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Ex5.xml" ContentType="application/vnd.ms-office.chartex+xml"/>
  <Override PartName="/xl/charts/style7.xml" ContentType="application/vnd.ms-office.chartstyle+xml"/>
  <Override PartName="/xl/charts/colors7.xml" ContentType="application/vnd.ms-office.chartcolorstyle+xml"/>
  <Override PartName="/xl/charts/chartEx6.xml" ContentType="application/vnd.ms-office.chartex+xml"/>
  <Override PartName="/xl/charts/style8.xml" ContentType="application/vnd.ms-office.chartstyle+xml"/>
  <Override PartName="/xl/charts/colors8.xml" ContentType="application/vnd.ms-office.chartcolorstyle+xml"/>
  <Override PartName="/xl/charts/chartEx7.xml" ContentType="application/vnd.ms-office.chartex+xml"/>
  <Override PartName="/xl/charts/style9.xml" ContentType="application/vnd.ms-office.chartstyle+xml"/>
  <Override PartName="/xl/charts/colors9.xml" ContentType="application/vnd.ms-office.chartcolorstyle+xml"/>
  <Override PartName="/xl/charts/chartEx8.xml" ContentType="application/vnd.ms-office.chartex+xml"/>
  <Override PartName="/xl/charts/style10.xml" ContentType="application/vnd.ms-office.chartstyle+xml"/>
  <Override PartName="/xl/charts/colors10.xml" ContentType="application/vnd.ms-office.chartcolorstyle+xml"/>
  <Override PartName="/xl/charts/chart3.xml" ContentType="application/vnd.openxmlformats-officedocument.drawingml.chart+xml"/>
  <Override PartName="/xl/charts/style11.xml" ContentType="application/vnd.ms-office.chartstyle+xml"/>
  <Override PartName="/xl/charts/colors11.xml" ContentType="application/vnd.ms-office.chartcolorstyle+xml"/>
  <Override PartName="/xl/charts/chart4.xml" ContentType="application/vnd.openxmlformats-officedocument.drawingml.chart+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xl/charts/chart5.xml" ContentType="application/vnd.openxmlformats-officedocument.drawingml.chart+xml"/>
  <Override PartName="/xl/charts/style14.xml" ContentType="application/vnd.ms-office.chartstyle+xml"/>
  <Override PartName="/xl/charts/colors14.xml" ContentType="application/vnd.ms-office.chartcolorstyle+xml"/>
  <Override PartName="/xl/charts/chart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charts/chartEx10.xml" ContentType="application/vnd.ms-office.chartex+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drawings/drawing7.xml" ContentType="application/vnd.openxmlformats-officedocument.drawingml.chartshapes+xml"/>
  <Override PartName="/xl/charts/chart9.xml" ContentType="application/vnd.openxmlformats-officedocument.drawingml.chart+xml"/>
  <Override PartName="/xl/drawings/drawing8.xml" ContentType="application/vnd.openxmlformats-officedocument.drawingml.chartshapes+xml"/>
  <Override PartName="/xl/charts/chart10.xml" ContentType="application/vnd.openxmlformats-officedocument.drawingml.chart+xml"/>
  <Override PartName="/xl/drawings/drawing9.xml" ContentType="application/vnd.openxmlformats-officedocument.drawingml.chartshapes+xml"/>
  <Override PartName="/xl/charts/chart11.xml" ContentType="application/vnd.openxmlformats-officedocument.drawingml.chart+xml"/>
  <Override PartName="/xl/drawings/drawing10.xml" ContentType="application/vnd.openxmlformats-officedocument.drawingml.chartshapes+xml"/>
  <Override PartName="/xl/charts/chart12.xml" ContentType="application/vnd.openxmlformats-officedocument.drawingml.chart+xml"/>
  <Override PartName="/xl/drawings/drawing11.xml" ContentType="application/vnd.openxmlformats-officedocument.drawingml.chartshapes+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ml.chartshapes+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ml.chartshapes+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ml.chartshapes+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5.xml" ContentType="application/vnd.openxmlformats-officedocument.drawingml.chartshapes+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6.xml" ContentType="application/vnd.openxmlformats-officedocument.drawingml.chartshapes+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9.xml" ContentType="application/vnd.openxmlformats-officedocument.drawingml.chartshapes+xml"/>
  <Override PartName="/xl/charts/chart21.xml" ContentType="application/vnd.openxmlformats-officedocument.drawingml.chart+xml"/>
  <Override PartName="/xl/drawings/drawing20.xml" ContentType="application/vnd.openxmlformats-officedocument.drawingml.chartshapes+xml"/>
  <Override PartName="/xl/charts/chart22.xml" ContentType="application/vnd.openxmlformats-officedocument.drawingml.chart+xml"/>
  <Override PartName="/xl/drawings/drawing21.xml" ContentType="application/vnd.openxmlformats-officedocument.drawingml.chartshapes+xml"/>
  <Override PartName="/xl/charts/chart23.xml" ContentType="application/vnd.openxmlformats-officedocument.drawingml.chart+xml"/>
  <Override PartName="/xl/drawings/drawing22.xml" ContentType="application/vnd.openxmlformats-officedocument.drawingml.chartshapes+xml"/>
  <Override PartName="/xl/charts/chart24.xml" ContentType="application/vnd.openxmlformats-officedocument.drawingml.chart+xml"/>
  <Override PartName="/xl/drawings/drawing23.xml" ContentType="application/vnd.openxmlformats-officedocument.drawingml.chartshapes+xml"/>
  <Override PartName="/xl/charts/chart25.xml" ContentType="application/vnd.openxmlformats-officedocument.drawingml.chart+xml"/>
  <Override PartName="/xl/drawings/drawing24.xml" ContentType="application/vnd.openxmlformats-officedocument.drawingml.chartshapes+xml"/>
  <Override PartName="/xl/comments3.xml" ContentType="application/vnd.openxmlformats-officedocument.spreadsheetml.comments+xml"/>
  <Override PartName="/xl/comments4.xml" ContentType="application/vnd.openxmlformats-officedocument.spreadsheetml.comments+xml"/>
  <Override PartName="/xl/pivotTables/pivotTable7.xml" ContentType="application/vnd.openxmlformats-officedocument.spreadsheetml.pivotTable+xml"/>
  <Override PartName="/xl/drawings/drawing2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7.xml" ContentType="application/vnd.openxmlformats-officedocument.drawing+xml"/>
  <Override PartName="/xl/comments8.xml" ContentType="application/vnd.openxmlformats-officedocument.spreadsheetml.comments+xml"/>
  <Override PartName="/xl/drawings/drawing28.xml" ContentType="application/vnd.openxmlformats-officedocument.drawing+xml"/>
  <Override PartName="/xl/comments9.xml" ContentType="application/vnd.openxmlformats-officedocument.spreadsheetml.comments+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mc:AlternateContent xmlns:mc="http://schemas.openxmlformats.org/markup-compatibility/2006">
    <mc:Choice Requires="x15">
      <x15ac:absPath xmlns:x15ac="http://schemas.microsoft.com/office/spreadsheetml/2010/11/ac" url="C:\Users\Apurva Sharma\Desktop\"/>
    </mc:Choice>
  </mc:AlternateContent>
  <xr:revisionPtr revIDLastSave="0" documentId="10_ncr:100000_{0F6F50EB-9C30-4C66-B37C-F79EC0E2BD97}" xr6:coauthVersionLast="31" xr6:coauthVersionMax="31" xr10:uidLastSave="{00000000-0000-0000-0000-000000000000}"/>
  <bookViews>
    <workbookView xWindow="0" yWindow="0" windowWidth="21600" windowHeight="9285" tabRatio="899" xr2:uid="{00000000-000D-0000-FFFF-FFFF00000000}"/>
  </bookViews>
  <sheets>
    <sheet name="Data" sheetId="1" r:id="rId1"/>
    <sheet name="Data Dictionary" sheetId="55" r:id="rId2"/>
    <sheet name="Pivot" sheetId="62" state="hidden" r:id="rId3"/>
    <sheet name="Initial Data View" sheetId="57" r:id="rId4"/>
    <sheet name="Numerical Descriptive Technique" sheetId="80" r:id="rId5"/>
    <sheet name="Data View After winsorize" sheetId="79" r:id="rId6"/>
    <sheet name="Visualizations" sheetId="5" r:id="rId7"/>
    <sheet name="_PalUtilTempWorksheet" sheetId="2" state="hidden" r:id="rId8"/>
    <sheet name="Linear_Joblevel_YrsCurrentMgr" sheetId="51" state="hidden" r:id="rId9"/>
    <sheet name="Correlation without Dummy" sheetId="67" r:id="rId10"/>
    <sheet name="Correlation w Dummy" sheetId="66" r:id="rId11"/>
    <sheet name="Scatterplot" sheetId="81" r:id="rId12"/>
    <sheet name="Linear on all Salary Variables" sheetId="11" r:id="rId13"/>
    <sheet name="Linear Regression w significant" sheetId="68" r:id="rId14"/>
    <sheet name="pivot for Interaction" sheetId="63" r:id="rId15"/>
    <sheet name="Linear Regression Interaction" sheetId="69" r:id="rId16"/>
    <sheet name="Logit_Gender_NoCompWorked" sheetId="40" state="hidden" r:id="rId17"/>
    <sheet name="_STDS_DG194D4B04" sheetId="58" state="hidden" r:id="rId18"/>
    <sheet name="Logistic Regression Before" sheetId="70" r:id="rId19"/>
    <sheet name="Logistic  with Significant var" sheetId="54" r:id="rId20"/>
    <sheet name="Hypothesis Testing" sheetId="75" r:id="rId21"/>
    <sheet name="Summary and Conclusion" sheetId="82" r:id="rId22"/>
    <sheet name="_Palisade_DataViewerSettings" sheetId="77" state="hidden" r:id="rId23"/>
  </sheets>
  <externalReferences>
    <externalReference r:id="rId24"/>
    <externalReference r:id="rId25"/>
    <externalReference r:id="rId26"/>
  </externalReferences>
  <definedNames>
    <definedName name="_xlnm._FilterDatabase" localSheetId="0" hidden="1">Data!$A$1:$CF$1471</definedName>
    <definedName name="_xlchart.v1.0" hidden="1">Data!$AM$1</definedName>
    <definedName name="_xlchart.v1.1" hidden="1">Data!$AM$2:$AM$1472</definedName>
    <definedName name="_xlchart.v1.10" hidden="1">Data!$AV$1</definedName>
    <definedName name="_xlchart.v1.11" hidden="1">Data!$AV$2:$AV$1472</definedName>
    <definedName name="_xlchart.v1.12" hidden="1">Data!$AM$1</definedName>
    <definedName name="_xlchart.v1.13" hidden="1">Data!$AM$2:$AM$1472</definedName>
    <definedName name="_xlchart.v1.14" hidden="1">Data!$BB$1</definedName>
    <definedName name="_xlchart.v1.15" hidden="1">Data!$BB$2:$BB$1472</definedName>
    <definedName name="_xlchart.v1.16" hidden="1">Data!$AZ$1</definedName>
    <definedName name="_xlchart.v1.17" hidden="1">Data!$AZ$2:$AZ$1472</definedName>
    <definedName name="_xlchart.v1.18" hidden="1">Linear_Joblevel_YrsCurrentMgr!$A$21:$A$34</definedName>
    <definedName name="_xlchart.v1.19" hidden="1">Linear_Joblevel_YrsCurrentMgr!$B$21:$B$34</definedName>
    <definedName name="_xlchart.v1.2" hidden="1">Data!$BE$1</definedName>
    <definedName name="_xlchart.v1.3" hidden="1">Data!$BE$2:$BE$1472</definedName>
    <definedName name="_xlchart.v1.4" hidden="1">Data!$BC$1</definedName>
    <definedName name="_xlchart.v1.5" hidden="1">Data!$BC$2:$BC$1472</definedName>
    <definedName name="_xlchart.v1.6" hidden="1">Data!$A$1</definedName>
    <definedName name="_xlchart.v1.7" hidden="1">Data!$A$2:$A$1472</definedName>
    <definedName name="_xlchart.v1.8" hidden="1">Data!$K$1</definedName>
    <definedName name="_xlchart.v1.9" hidden="1">Data!$K$2:$K$1472</definedName>
    <definedName name="PalisadeReportWorksheetCreatedBy" localSheetId="10" hidden="1">"StatTools"</definedName>
    <definedName name="PalisadeReportWorksheetCreatedBy" localSheetId="9" hidden="1">"StatTools"</definedName>
    <definedName name="PalisadeReportWorksheetCreatedBy" localSheetId="5" hidden="1">"StatTools"</definedName>
    <definedName name="PalisadeReportWorksheetCreatedBy" localSheetId="3" hidden="1">"StatTools"</definedName>
    <definedName name="PalisadeReportWorksheetCreatedBy" localSheetId="12" hidden="1">"StatTools"</definedName>
    <definedName name="PalisadeReportWorksheetCreatedBy" localSheetId="15" hidden="1">"StatTools"</definedName>
    <definedName name="PalisadeReportWorksheetCreatedBy" localSheetId="13" hidden="1">"StatTools"</definedName>
    <definedName name="PalisadeReportWorksheetCreatedBy" localSheetId="8" hidden="1">"StatTools"</definedName>
    <definedName name="PalisadeReportWorksheetCreatedBy" localSheetId="19" hidden="1">"StatTools"</definedName>
    <definedName name="PalisadeReportWorksheetCreatedBy" localSheetId="18" hidden="1">"StatTools"</definedName>
    <definedName name="PalisadeReportWorksheetCreatedBy" localSheetId="16" hidden="1">"StatTools"</definedName>
    <definedName name="PalisadeReportWorksheetCreatedBy" localSheetId="11" hidden="1">"StatTools"</definedName>
    <definedName name="ScatterX_363D4" localSheetId="11">_xll.StatScatterPlot(Scatterplot!ST_YearsInCurrentRole,Scatterplot!ST_Attritionyes,0)</definedName>
    <definedName name="ScatterX_41A0A" localSheetId="11">_xll.StatScatterPlot(Scatterplot!ST_WinsMonthlyIncome,Scatterplot!ST_Attritionyes,0)</definedName>
    <definedName name="ScatterX_41A75">_xll.StatScatterPlot(Scatterplot!ST_DeptRD,Scatterplot!ST_WinsMonthlyIncome,0)</definedName>
    <definedName name="ScatterX_52245">_xll.StatScatterPlot([0]!ST_WinsYearsWithCurrentMgr,'Initial Data View'!ST_MonthlyIncome,0)</definedName>
    <definedName name="ScatterX_6312C" localSheetId="11">_xll.StatScatterPlot(Scatterplot!ST_JobLevel,Scatterplot!ST_WinsMonthlyIncome,0)</definedName>
    <definedName name="ScatterX_640F7" localSheetId="11">_xll.StatScatterPlot(Scatterplot!ST_OvertimeYes,Scatterplot!ST_Attritionyes,0)</definedName>
    <definedName name="ScatterX_678D1" localSheetId="11">_xll.StatScatterPlot(Scatterplot!ST_DeptRD,'Initial Data View'!ST_MonthlyIncome,0)</definedName>
    <definedName name="ScatterX_678D1">_xll.StatScatterPlot([0]!ST_DeptRD,'Initial Data View'!ST_MonthlyIncome,0)</definedName>
    <definedName name="ScatterX_6A824" localSheetId="11">_xll.StatScatterPlot(Scatterplot!ST_MaritalMarried,Scatterplot!ST_Attritionyes,0)</definedName>
    <definedName name="ScatterX_877B0" localSheetId="11">_xll.StatScatterPlot(Scatterplot!ST_Education,Scatterplot!ST_WinsMonthlyIncome,0)</definedName>
    <definedName name="ScatterX_8A8BE" localSheetId="11">_xll.StatScatterPlot(Scatterplot!ST_WinsYearsWithCurrentMgr,Scatterplot!ST_WinsMonthlyIncome,0)</definedName>
    <definedName name="ScatterX_8E0F3">_xll.StatScatterPlot([0]!ST_WinsTotalWorkingYears,'Initial Data View'!ST_MonthlyIncome,0)</definedName>
    <definedName name="ScatterX_8F7F5" localSheetId="11">_xll.StatScatterPlot(Scatterplot!ST_DeptRD,Scatterplot!ST_WinsMonthlyIncome,0)</definedName>
    <definedName name="ScatterX_907CB" localSheetId="11">_xll.StatScatterPlot(Scatterplot!ST_DeptSales,'Initial Data View'!ST_MonthlyIncome,0)</definedName>
    <definedName name="ScatterX_907CB">_xll.StatScatterPlot([0]!ST_DeptSales,'Initial Data View'!ST_MonthlyIncome,0)</definedName>
    <definedName name="ScatterX_9160F" localSheetId="11">_xll.StatScatterPlot(Scatterplot!ST_BusinessTravelFrequently,Scatterplot!ST_Attritionyes,0)</definedName>
    <definedName name="ScatterX_95F40">_xll.StatScatterPlot([0]!ST_JobLevel,'Initial Data View'!ST_MonthlyIncome,0)</definedName>
    <definedName name="ScatterX_A27C3" localSheetId="11">_xll.StatScatterPlot(Scatterplot!ST_WinsTotalWorkingYears,Scatterplot!ST_WinsMonthlyIncome,0)</definedName>
    <definedName name="ScatterX_A2A35" localSheetId="11">_xll.StatScatterPlot(Scatterplot!ST_DeptRD,Scatterplot!ST_WinsMonthlyIncome,0)</definedName>
    <definedName name="ScatterX_A70F">_xll.StatScatterPlot([0]!ST_WinsMonthlyIncome,[0]!ST_Attritionyes,0)</definedName>
    <definedName name="ScatterX_A9AFA">_xll.StatScatterPlot([0]!ST_Education,'Initial Data View'!ST_MonthlyIncome,0)</definedName>
    <definedName name="ScatterX_B6C12" localSheetId="11">_xll.StatScatterPlot(Scatterplot!ST_WinYearsSinceLastPromotion,Scatterplot!ST_Attritionyes,0)</definedName>
    <definedName name="ScatterX_B8DA1" localSheetId="11">_xll.StatScatterPlot(Scatterplot!ST_DeptSales,Scatterplot!ST_WinsMonthlyIncome,0)</definedName>
    <definedName name="ScatterX_CCFAC" localSheetId="11">_xll.StatScatterPlot(Scatterplot!ST_EnvironmentSatisfaction,Scatterplot!ST_Attritionyes,0)</definedName>
    <definedName name="ScatterX_E9525" localSheetId="11">_xll.StatScatterPlot(Scatterplot!ST_JobSatisfaction,Scatterplot!ST_Attritionyes,0)</definedName>
    <definedName name="ScatterY_363D4" localSheetId="11">_xll.StatScatterPlot(Scatterplot!ST_YearsInCurrentRole,Scatterplot!ST_Attritionyes,1)</definedName>
    <definedName name="ScatterY_41A0A" localSheetId="11">_xll.StatScatterPlot(Scatterplot!ST_WinsMonthlyIncome,Scatterplot!ST_Attritionyes,1)</definedName>
    <definedName name="ScatterY_41A75">_xll.StatScatterPlot(Scatterplot!ST_DeptRD,Scatterplot!ST_WinsMonthlyIncome,1)</definedName>
    <definedName name="ScatterY_52245">_xll.StatScatterPlot([0]!ST_WinsYearsWithCurrentMgr,'Initial Data View'!ST_MonthlyIncome,1)</definedName>
    <definedName name="ScatterY_6312C" localSheetId="11">_xll.StatScatterPlot(Scatterplot!ST_JobLevel,Scatterplot!ST_WinsMonthlyIncome,1)</definedName>
    <definedName name="ScatterY_640F7" localSheetId="11">_xll.StatScatterPlot(Scatterplot!ST_OvertimeYes,Scatterplot!ST_Attritionyes,1)</definedName>
    <definedName name="ScatterY_678D1" localSheetId="11">_xll.StatScatterPlot(Scatterplot!ST_DeptRD,'Initial Data View'!ST_MonthlyIncome,1)</definedName>
    <definedName name="ScatterY_678D1">_xll.StatScatterPlot([0]!ST_DeptRD,'Initial Data View'!ST_MonthlyIncome,1)</definedName>
    <definedName name="ScatterY_6A824" localSheetId="11">_xll.StatScatterPlot(Scatterplot!ST_MaritalMarried,Scatterplot!ST_Attritionyes,1)</definedName>
    <definedName name="ScatterY_877B0" localSheetId="11">_xll.StatScatterPlot(Scatterplot!ST_Education,Scatterplot!ST_WinsMonthlyIncome,1)</definedName>
    <definedName name="ScatterY_8A8BE" localSheetId="11">_xll.StatScatterPlot(Scatterplot!ST_WinsYearsWithCurrentMgr,Scatterplot!ST_WinsMonthlyIncome,1)</definedName>
    <definedName name="ScatterY_8E0F3">_xll.StatScatterPlot([0]!ST_WinsTotalWorkingYears,'Initial Data View'!ST_MonthlyIncome,1)</definedName>
    <definedName name="ScatterY_8F7F5" localSheetId="11">_xll.StatScatterPlot(Scatterplot!ST_DeptRD,Scatterplot!ST_WinsMonthlyIncome,1)</definedName>
    <definedName name="ScatterY_907CB" localSheetId="11">_xll.StatScatterPlot(Scatterplot!ST_DeptSales,'Initial Data View'!ST_MonthlyIncome,1)</definedName>
    <definedName name="ScatterY_907CB">_xll.StatScatterPlot([0]!ST_DeptSales,'Initial Data View'!ST_MonthlyIncome,1)</definedName>
    <definedName name="ScatterY_9160F" localSheetId="11">_xll.StatScatterPlot(Scatterplot!ST_BusinessTravelFrequently,Scatterplot!ST_Attritionyes,1)</definedName>
    <definedName name="ScatterY_95F40">_xll.StatScatterPlot([0]!ST_JobLevel,'Initial Data View'!ST_MonthlyIncome,1)</definedName>
    <definedName name="ScatterY_A27C3" localSheetId="11">_xll.StatScatterPlot(Scatterplot!ST_WinsTotalWorkingYears,Scatterplot!ST_WinsMonthlyIncome,1)</definedName>
    <definedName name="ScatterY_A2A35" localSheetId="11">_xll.StatScatterPlot(Scatterplot!ST_DeptRD,Scatterplot!ST_WinsMonthlyIncome,1)</definedName>
    <definedName name="ScatterY_A70F">_xll.StatScatterPlot([0]!ST_WinsMonthlyIncome,[0]!ST_Attritionyes,1)</definedName>
    <definedName name="ScatterY_A9AFA">_xll.StatScatterPlot([0]!ST_Education,'Initial Data View'!ST_MonthlyIncome,1)</definedName>
    <definedName name="ScatterY_B6C12" localSheetId="11">_xll.StatScatterPlot(Scatterplot!ST_WinYearsSinceLastPromotion,Scatterplot!ST_Attritionyes,1)</definedName>
    <definedName name="ScatterY_B8DA1" localSheetId="11">_xll.StatScatterPlot(Scatterplot!ST_DeptSales,Scatterplot!ST_WinsMonthlyIncome,1)</definedName>
    <definedName name="ScatterY_CCFAC" localSheetId="11">_xll.StatScatterPlot(Scatterplot!ST_EnvironmentSatisfaction,Scatterplot!ST_Attritionyes,1)</definedName>
    <definedName name="ScatterY_E9525" localSheetId="11">_xll.StatScatterPlot(Scatterplot!ST_JobSatisfaction,Scatterplot!ST_Attritionyes,1)</definedName>
    <definedName name="ST_Age" localSheetId="3">[1]Linear!$A$2:$A$1471</definedName>
    <definedName name="ST_Age" localSheetId="11">[2]Data!$A$2:$A$1471</definedName>
    <definedName name="ST_Age">Data!$A$2:$A$1471</definedName>
    <definedName name="ST_Attrition">Data!$C$2:$C$1471</definedName>
    <definedName name="ST_Attritionyes" localSheetId="11">[2]Data!$D$2:$D$1471</definedName>
    <definedName name="ST_Attritionyes">Data!$D$2:$D$1471</definedName>
    <definedName name="ST_BusinessTravel">Data!$E$2:$E$1471</definedName>
    <definedName name="ST_BusinessTravelFrequently" localSheetId="11">[2]Data!$F$2:$F$1471</definedName>
    <definedName name="ST_BusinessTravelFrequently">Data!$F$2:$F$1471</definedName>
    <definedName name="ST_BusinessTravelrarely" localSheetId="11">[2]Data!$G$2:$G$1471</definedName>
    <definedName name="ST_BusinessTravelrarely">Data!$G$2:$G$1471</definedName>
    <definedName name="ST_Department">Data!$H$2:$H$1471</definedName>
    <definedName name="ST_DeptRD" localSheetId="11">[2]Data!$I$2:$I$1471</definedName>
    <definedName name="ST_DeptRD">Data!$I$2:$I$1471</definedName>
    <definedName name="ST_DeptSales" localSheetId="11">[2]Data!$J$2:$J$1471</definedName>
    <definedName name="ST_DeptSales">Data!$J$2:$J$1471</definedName>
    <definedName name="ST_DistanceFromHome" localSheetId="11">[2]Data!$K$2:$K$1471</definedName>
    <definedName name="ST_DistanceFromHome">Data!$K$2:$K$1471</definedName>
    <definedName name="ST_Education" localSheetId="3">[1]Linear!$B$2:$B$1471</definedName>
    <definedName name="ST_Education" localSheetId="11">[2]Data!$M$2:$M$1471</definedName>
    <definedName name="ST_Education">Data!$M$2:$M$1471</definedName>
    <definedName name="ST_EducationField">Data!$N$2:$N$1471</definedName>
    <definedName name="ST_EducationFieldLifeSci" localSheetId="11">[2]Data!$O$2:$O$1471</definedName>
    <definedName name="ST_EducationFieldLifeSci">Data!$O$2:$O$1471</definedName>
    <definedName name="ST_EducationFieldLifeSciences">[1]Linear!$O$2:$O$1471</definedName>
    <definedName name="ST_EducationFieldMarketing">[1]Linear!$P$2:$P$1471</definedName>
    <definedName name="ST_EducationFieldMedical" localSheetId="3">[1]Linear!$Q$2:$Q$1471</definedName>
    <definedName name="ST_EducationFieldMedical" localSheetId="11">[2]Data!$Q$2:$Q$1471</definedName>
    <definedName name="ST_EducationFieldMedical">Data!$Q$2:$Q$1471</definedName>
    <definedName name="ST_EducationFieldMkt" localSheetId="11">[2]Data!$R$2:$R$1471</definedName>
    <definedName name="ST_EducationFieldMkt">Data!$R$2:$R$1471</definedName>
    <definedName name="ST_EducationFieldOther" localSheetId="3">[1]Linear!$R$2:$R$1471</definedName>
    <definedName name="ST_EducationFieldOther" localSheetId="11">[2]Data!$P$2:$P$1471</definedName>
    <definedName name="ST_EducationFieldOther">Data!$P$2:$P$1471</definedName>
    <definedName name="ST_EducationFieldTech" localSheetId="11">[2]Data!$S$2:$S$1471</definedName>
    <definedName name="ST_EducationFieldTech">Data!$S$2:$S$1471</definedName>
    <definedName name="ST_EducationFieldTechnicalDegree">[1]Linear!$S$2:$S$1471</definedName>
    <definedName name="ST_EnvironmentSatisfaction" localSheetId="11">[2]Data!$T$2:$T$1471</definedName>
    <definedName name="ST_EnvironmentSatisfaction">Data!$T$2:$T$1471</definedName>
    <definedName name="ST_Female" localSheetId="11">[2]Data!$V$2:$V$1471</definedName>
    <definedName name="ST_Female">Data!$V$2:$V$1471</definedName>
    <definedName name="ST_FidelityNumofCompaniesWorkedTotalWorkingYears_28">[1]Linear!$AB$2:$AB$1471</definedName>
    <definedName name="ST_Gender">Data!$U$2:$U$1471</definedName>
    <definedName name="ST_GenderFemale">[1]Linear!$N$2:$N$1471</definedName>
    <definedName name="ST_GenderTotalWorkingYears" localSheetId="11">[2]Data!$BG$2:$BG$1471</definedName>
    <definedName name="ST_GenderTotalWorkingYears">Data!$BG$2:$BG$1471</definedName>
    <definedName name="ST_HourlyRate" localSheetId="11">[2]Data!$W$2:$W$1471</definedName>
    <definedName name="ST_HourlyRate">Data!$W$2:$W$1471</definedName>
    <definedName name="ST_InteractionBusinessTravelFrequently0andMaritalMarried0" localSheetId="11">[2]Data!$BH$2:$BH$1471</definedName>
    <definedName name="ST_InteractionBusinessTravelFrequently0andMaritalMarried0">Data!$BH$2:$BH$1471</definedName>
    <definedName name="ST_InteractionBusinessTravelFrequently0andMaritalMarried1" localSheetId="11">[2]Data!$BI$2:$BI$1471</definedName>
    <definedName name="ST_InteractionBusinessTravelFrequently0andMaritalMarried1">Data!$BI$2:$BI$1471</definedName>
    <definedName name="ST_InteractionBusinessTravelFrequently1andMaritalMarried0" localSheetId="11">[2]Data!$BJ$2:$BJ$1471</definedName>
    <definedName name="ST_InteractionBusinessTravelFrequently1andMaritalMarried0">Data!$BJ$2:$BJ$1471</definedName>
    <definedName name="ST_InteractionBusinessTravelFrequently1andMaritalMarried1" localSheetId="11">[2]Data!$BK$2:$BK$1471</definedName>
    <definedName name="ST_InteractionBusinessTravelFrequently1andMaritalMarried1">Data!$BK$2:$BK$1471</definedName>
    <definedName name="ST_InteractionBusinessTravelTravelFrequentlyMaritalStatusMarried_25">[1]Linear!$Y$2:$Y$1471</definedName>
    <definedName name="ST_InteractionEducationEducationFieldLifeSciences">[1]Linear!$T$2:$T$1471</definedName>
    <definedName name="ST_InteractionEducationEducationFieldMarketing">[1]Linear!$U$2:$U$1471</definedName>
    <definedName name="ST_InteractionEducationEducationFieldMedical">[1]Linear!$V$2:$V$1471</definedName>
    <definedName name="ST_InteractionEducationEducationFieldOther">[1]Linear!$W$2:$W$1471</definedName>
    <definedName name="ST_InteractionEducationEducationFieldTechnicalDegree">[1]Linear!$X$2:$X$1471</definedName>
    <definedName name="ST_InteractionEnvironmentSatisfactionJobSatisfaction_27">[1]Linear!$AA$2:$AA$1471</definedName>
    <definedName name="ST_InteractionMaritalMarried0andOvertimeYes0" localSheetId="11">[2]Data!$BL$2:$BL$1471</definedName>
    <definedName name="ST_InteractionMaritalMarried0andOvertimeYes0">Data!$BL$2:$BL$1471</definedName>
    <definedName name="ST_InteractionMaritalMarried0andOvertimeYes1" localSheetId="11">[2]Data!$BM$2:$BM$1471</definedName>
    <definedName name="ST_InteractionMaritalMarried0andOvertimeYes1">Data!$BM$2:$BM$1471</definedName>
    <definedName name="ST_InteractionMaritalMarried1andOvertimeYes0" localSheetId="11">[2]Data!$BN$2:$BN$1471</definedName>
    <definedName name="ST_InteractionMaritalMarried1andOvertimeYes0">Data!$BN$2:$BN$1471</definedName>
    <definedName name="ST_InteractionMaritalMarried1andOvertimeYes1" localSheetId="11">[2]Data!$BO$2:$BO$1471</definedName>
    <definedName name="ST_InteractionMaritalMarried1andOvertimeYes1">Data!$BO$2:$BO$1471</definedName>
    <definedName name="ST_InteractionOverTimeYesMaritalStatusMarried_26">[1]Linear!$Z$2:$Z$1471</definedName>
    <definedName name="ST_InteractionWinsTotalWorkingYearsDepartmentHumanResources" localSheetId="11">[2]Data!$BS$2:$BS$1471</definedName>
    <definedName name="ST_InteractionWinsTotalWorkingYearsDepartmentHumanResources">Data!$BS$2:$BS$1471</definedName>
    <definedName name="ST_InteractionWinsTotalWorkingYearsDepartmentResearchDevelopment" localSheetId="11">[2]Data!$BT$2:$BT$1471</definedName>
    <definedName name="ST_InteractionWinsTotalWorkingYearsDepartmentResearchDevelopment">Data!$BT$2:$BT$1471</definedName>
    <definedName name="ST_InteractionWinsTotalWorkingYearsDepartmentSales" localSheetId="11">[2]Data!$BU$2:$BU$1471</definedName>
    <definedName name="ST_InteractionWinsTotalWorkingYearsDepartmentSales">Data!$BU$2:$BU$1471</definedName>
    <definedName name="ST_InteractionWinsYearsWithCurrentMgrDepartmentHumanResources" localSheetId="11">[2]Data!$BP$2:$BP$1471</definedName>
    <definedName name="ST_InteractionWinsYearsWithCurrentMgrDepartmentHumanResources">Data!$BP$2:$BP$1471</definedName>
    <definedName name="ST_InteractionWinsYearsWithCurrentMgrDepartmentResearchDevelopment" localSheetId="11">[2]Data!$BQ$2:$BQ$1471</definedName>
    <definedName name="ST_InteractionWinsYearsWithCurrentMgrDepartmentResearchDevelopment">Data!$BQ$2:$BQ$1471</definedName>
    <definedName name="ST_InteractionWinsYearsWithCurrentMgrDepartmentSales" localSheetId="11">[2]Data!$BR$2:$BR$1471</definedName>
    <definedName name="ST_InteractionWinsYearsWithCurrentMgrDepartmentSales">Data!$BR$2:$BR$1471</definedName>
    <definedName name="ST_JobInvolvement" localSheetId="3">[1]Linear!$C$2:$C$1471</definedName>
    <definedName name="ST_JobInvolvement" localSheetId="11">[2]Data!$X$2:$X$1471</definedName>
    <definedName name="ST_JobInvolvement">Data!$X$2:$X$1471</definedName>
    <definedName name="ST_JobLevel" localSheetId="11">[2]Data!$Y$2:$Y$1471</definedName>
    <definedName name="ST_JobLevel">Data!$Y$2:$Y$1471</definedName>
    <definedName name="ST_JobRole">Data!$Z$2:$Z$1471</definedName>
    <definedName name="ST_JobRoleHealthRep" localSheetId="11">[2]Data!$AA$2:$AA$1471</definedName>
    <definedName name="ST_JobRoleHealthRep">Data!$AA$2:$AA$1471</definedName>
    <definedName name="ST_JobRoleLab" localSheetId="11">[2]Data!$AC$2:$AC$1471</definedName>
    <definedName name="ST_JobRoleLab">Data!$AC$2:$AC$1471</definedName>
    <definedName name="ST_JobRoleManufDir" localSheetId="11">[2]Data!$AE$2:$AE$1471</definedName>
    <definedName name="ST_JobRoleManufDir">Data!$AE$2:$AE$1471</definedName>
    <definedName name="ST_JobRoleMgr" localSheetId="11">[2]Data!$AD$2:$AD$1471</definedName>
    <definedName name="ST_JobRoleMgr">Data!$AD$2:$AD$1471</definedName>
    <definedName name="ST_JobRoleResearchDir" localSheetId="11">[2]Data!$AF$2:$AF$1471</definedName>
    <definedName name="ST_JobRoleResearchDir">Data!$AF$2:$AF$1471</definedName>
    <definedName name="ST_JobRoleResearchSci" localSheetId="11">[2]Data!$AH$2:$AH$1471</definedName>
    <definedName name="ST_JobRoleResearchSci">Data!$AH$2:$AH$1471</definedName>
    <definedName name="ST_JobRoleSalesExe" localSheetId="11">[2]Data!$AB$2:$AB$1471</definedName>
    <definedName name="ST_JobRoleSalesExe">Data!$AB$2:$AB$1471</definedName>
    <definedName name="ST_JobRoleSalesRep" localSheetId="11">[2]Data!$AG$2:$AG$1471</definedName>
    <definedName name="ST_JobRoleSalesRep">Data!$AG$2:$AG$1471</definedName>
    <definedName name="ST_JobSatisfaction" localSheetId="11">[2]Data!$AI$2:$AI$1471</definedName>
    <definedName name="ST_JobSatisfaction">Data!$AI$2:$AI$1471</definedName>
    <definedName name="ST_MaritalMarried" localSheetId="11">[2]Data!$AL$2:$AL$1471</definedName>
    <definedName name="ST_MaritalMarried">Data!$AL$2:$AL$1471</definedName>
    <definedName name="ST_MaritalSingle" localSheetId="11">[2]Data!$AK$2:$AK$1471</definedName>
    <definedName name="ST_MaritalSingle">Data!$AK$2:$AK$1471</definedName>
    <definedName name="ST_MaritalStatus">Data!$AJ$2:$AJ$1471</definedName>
    <definedName name="ST_MonthlyIncome" localSheetId="3">[1]Linear!$D$2:$D$1471</definedName>
    <definedName name="ST_MonthlyIncome">Data!$AM$2:$AM$1471</definedName>
    <definedName name="ST_NumCompaniesWorked" localSheetId="3">[1]Linear!$E$2:$E$1471</definedName>
    <definedName name="ST_NumCompaniesWorked" localSheetId="11">[2]Data!$AO$2:$AO$1471</definedName>
    <definedName name="ST_NumCompaniesWorked">Data!$AO$2:$AO$1471</definedName>
    <definedName name="ST_OverTime">Data!$AP$2:$AP$1471</definedName>
    <definedName name="ST_OverTimeYes" localSheetId="3">[1]Linear!$M$2:$M$1471</definedName>
    <definedName name="ST_OvertimeYes" localSheetId="11">[2]Data!$AQ$2:$AQ$1471</definedName>
    <definedName name="ST_OvertimeYes">Data!$AQ$2:$AQ$1471</definedName>
    <definedName name="ST_PercentSalaryHike" localSheetId="3">[1]Linear!$F$2:$F$1471</definedName>
    <definedName name="ST_PercentSalaryHike" localSheetId="11">[2]Data!$AR$2:$AR$1471</definedName>
    <definedName name="ST_PercentSalaryHike">Data!$AR$2:$AR$1471</definedName>
    <definedName name="ST_PerformanceRating" localSheetId="3">[1]Linear!$G$2:$G$1471</definedName>
    <definedName name="ST_PerformanceRating" localSheetId="11">[2]Data!$AS$2:$AS$1471</definedName>
    <definedName name="ST_PerformanceRating">Data!$AS$2:$AS$1471</definedName>
    <definedName name="ST_RelationshipSatisfaction" localSheetId="11">[2]Data!$AT$2:$AT$1471</definedName>
    <definedName name="ST_RelationshipSatisfaction">Data!$AT$2:$AT$1471</definedName>
    <definedName name="ST_StabilityYearsinCurrentRoleYearsatCompany_29">[1]Linear!$AC$2:$AC$1471</definedName>
    <definedName name="ST_StockOptionLevel" localSheetId="3">[1]Linear!$H$2:$H$1471</definedName>
    <definedName name="ST_StockOptionLevel" localSheetId="11">[2]Data!$AU$2:$AU$1471</definedName>
    <definedName name="ST_StockOptionLevel">Data!$AU$2:$AU$1471</definedName>
    <definedName name="ST_TotalSatisfactionInteractionRelationshipEnvironmentJob">[1]Linear!$AD$2:$AD$1471</definedName>
    <definedName name="ST_TotalWorkingYears" localSheetId="3">[1]Linear!$I$2:$I$1471</definedName>
    <definedName name="ST_TotalWorkingYears" localSheetId="11">[2]Data!$AV$2:$AV$1471</definedName>
    <definedName name="ST_TotalWorkingYears">Data!$AV$2:$AV$1471</definedName>
    <definedName name="ST_TrainingTimesLastYear" localSheetId="3">[1]Linear!$J$2:$J$1471</definedName>
    <definedName name="ST_TrainingTimesLastYear" localSheetId="11">[2]Data!$AX$2:$AX$1471</definedName>
    <definedName name="ST_TrainingTimesLastYear">Data!$AX$2:$AX$1471</definedName>
    <definedName name="ST_WinsAge" localSheetId="11">[2]Data!$B$2:$B$1471</definedName>
    <definedName name="ST_WinsAge">Data!$B$2:$B$1471</definedName>
    <definedName name="ST_WinsDistanceFromHome" localSheetId="11">[2]Data!$L$2:$L$1471</definedName>
    <definedName name="ST_WinsDistanceFromHome">Data!$L$2:$L$1471</definedName>
    <definedName name="ST_WinsMonthlyIncome" localSheetId="11">[2]Data!$AN$2:$AN$1471</definedName>
    <definedName name="ST_WinsMonthlyIncome">Data!$AN$2:$AN$1471</definedName>
    <definedName name="ST_WinsTotalWorkingYears" localSheetId="11">[2]Data!$AW$2:$AW$1471</definedName>
    <definedName name="ST_WinsTotalWorkingYears">Data!$AW$2:$AW$1471</definedName>
    <definedName name="ST_WinsYearsAtCompany" localSheetId="11">[2]Data!$BA$2:$BA$1471</definedName>
    <definedName name="ST_WinsYearsAtCompany">Data!$BA$2:$BA$1471</definedName>
    <definedName name="ST_WinsYearsWithCurrentMgr" localSheetId="11">[2]Data!$BF$2:$BF$1471</definedName>
    <definedName name="ST_WinsYearsWithCurrentMgr">Data!$BF$2:$BF$1471</definedName>
    <definedName name="ST_WinYearsSinceLastPromotion" localSheetId="11">[2]Data!$BD$2:$BD$1471</definedName>
    <definedName name="ST_WinYearsSinceLastPromotion">Data!$BD$2:$BD$1471</definedName>
    <definedName name="ST_WorkLifeBalance" localSheetId="11">[2]Data!$AY$2:$AY$1471</definedName>
    <definedName name="ST_WorkLifeBalance">Data!$AY$2:$AY$1471</definedName>
    <definedName name="ST_YearsAtCompany" localSheetId="3">[1]Linear!$K$2:$K$1471</definedName>
    <definedName name="ST_YearsAtCompany" localSheetId="11">[2]Data!$AZ$2:$AZ$1471</definedName>
    <definedName name="ST_YearsAtCompany">Data!$AZ$2:$AZ$1471</definedName>
    <definedName name="ST_YearsInCurrentRole" localSheetId="3">[1]Linear!$L$2:$L$1471</definedName>
    <definedName name="ST_YearsInCurrentRole" localSheetId="11">[2]Data!$BB$2:$BB$1471</definedName>
    <definedName name="ST_YearsInCurrentRole">Data!$BB$2:$BB$1471</definedName>
    <definedName name="ST_YearsSinceLastPromotion" localSheetId="11">[2]Data!$BC$2:$BC$1471</definedName>
    <definedName name="ST_YearsSinceLastPromotion">Data!$BC$2:$BC$1471</definedName>
    <definedName name="ST_YearsWithCurrManager" localSheetId="11">[2]Data!$BE$2:$BE$1471</definedName>
    <definedName name="ST_YearsWithCurrManager">Data!$BE$2:$BE$1471</definedName>
    <definedName name="StatToolsHeader" localSheetId="10">'Correlation w Dummy'!$1:$5</definedName>
    <definedName name="StatToolsHeader" localSheetId="9">'Correlation without Dummy'!$1:$5</definedName>
    <definedName name="StatToolsHeader" localSheetId="12">'Linear on all Salary Variables'!$1:$6</definedName>
    <definedName name="StatToolsHeader" localSheetId="15">'Linear Regression Interaction'!$1:$6</definedName>
    <definedName name="StatToolsHeader" localSheetId="13">'Linear Regression w significant'!$1:$6</definedName>
    <definedName name="StatToolsHeader" localSheetId="8">Linear_Joblevel_YrsCurrentMgr!$1:$6</definedName>
    <definedName name="StatToolsHeader" localSheetId="19">'Logistic  with Significant var'!$1:$6</definedName>
    <definedName name="StatToolsHeader" localSheetId="18">'Logistic Regression Before'!$1:$6</definedName>
    <definedName name="StatToolsHeader" localSheetId="16">Logit_Gender_NoCompWorked!$1:$6</definedName>
    <definedName name="StatToolsHeader" localSheetId="11">Scatterplot!$1:$5</definedName>
    <definedName name="STWBD_StatToolsClusterAnalysis_AgglomerationSteps" hidden="1">1</definedName>
    <definedName name="STWBD_StatToolsClusterAnalysis_AgglomerationSteps_1" hidden="1">"FALSE"</definedName>
    <definedName name="STWBD_StatToolsClusterAnalysis_AgglomerativeMethod" hidden="1">1</definedName>
    <definedName name="STWBD_StatToolsClusterAnalysis_AgglomerativeMethod_1" hidden="1">" 0"</definedName>
    <definedName name="STWBD_StatToolsClusterAnalysis_AnalysisType" hidden="1">1</definedName>
    <definedName name="STWBD_StatToolsClusterAnalysis_AnalysisType_1" hidden="1">" 0"</definedName>
    <definedName name="STWBD_StatToolsClusterAnalysis_Automatic" hidden="1">1</definedName>
    <definedName name="STWBD_StatToolsClusterAnalysis_Automatic_1" hidden="1">"FALSE"</definedName>
    <definedName name="STWBD_StatToolsClusterAnalysis_ClusterMembershipDataSet" hidden="1">1</definedName>
    <definedName name="STWBD_StatToolsClusterAnalysis_ClusterMembershipDataSet_1" hidden="1">" 0"</definedName>
    <definedName name="STWBD_StatToolsClusterAnalysis_Dendrogram" hidden="1">1</definedName>
    <definedName name="STWBD_StatToolsClusterAnalysis_Dendrogram_1" hidden="1">"FALSE"</definedName>
    <definedName name="STWBD_StatToolsClusterAnalysis_DendrogramOrientation" hidden="1">1</definedName>
    <definedName name="STWBD_StatToolsClusterAnalysis_DendrogramOrientation_1" hidden="1">" 0"</definedName>
    <definedName name="STWBD_StatToolsClusterAnalysis_DendrogramWithColor" hidden="1">1</definedName>
    <definedName name="STWBD_StatToolsClusterAnalysis_DendrogramWithColor_1" hidden="1">"FALSE"</definedName>
    <definedName name="STWBD_StatToolsClusterAnalysis_DendrogramXYAxis" hidden="1">1</definedName>
    <definedName name="STWBD_StatToolsClusterAnalysis_DendrogramXYAxis_1" hidden="1">" 0"</definedName>
    <definedName name="STWBD_StatToolsClusterAnalysis_DistanceMatrix" hidden="1">1</definedName>
    <definedName name="STWBD_StatToolsClusterAnalysis_DistanceMatrix_1" hidden="1">"FALSE"</definedName>
    <definedName name="STWBD_StatToolsClusterAnalysis_DistanceMeasureByObservations" hidden="1">1</definedName>
    <definedName name="STWBD_StatToolsClusterAnalysis_DistanceMeasureByObservations_1" hidden="1">" 0"</definedName>
    <definedName name="STWBD_StatToolsClusterAnalysis_DistanceMeasureByVariables" hidden="1">1</definedName>
    <definedName name="STWBD_StatToolsClusterAnalysis_DistanceMeasureByVariables_1" hidden="1">" 1"</definedName>
    <definedName name="STWBD_StatToolsClusterAnalysis_FixedNumber" hidden="1">1</definedName>
    <definedName name="STWBD_StatToolsClusterAnalysis_FixedNumber_1" hidden="1">"TRUE"</definedName>
    <definedName name="STWBD_StatToolsClusterAnalysis_HasDefaultInfo" hidden="1">1</definedName>
    <definedName name="STWBD_StatToolsClusterAnalysis_HasDefaultInfo_1" hidden="1">"TRUE"</definedName>
    <definedName name="STWBD_StatToolsClusterAnalysis_LabelObservationsByCase" hidden="1">1</definedName>
    <definedName name="STWBD_StatToolsClusterAnalysis_LabelObservationsByCase_1" hidden="1">"FALSE"</definedName>
    <definedName name="STWBD_StatToolsClusterAnalysis_NumberOfClusters" hidden="1">1</definedName>
    <definedName name="STWBD_StatToolsClusterAnalysis_NumberOfClusters_1" hidden="1">" 2"</definedName>
    <definedName name="STWBD_StatToolsClusterAnalysis_PercentageOfSimilarity" hidden="1">1</definedName>
    <definedName name="STWBD_StatToolsClusterAnalysis_PercentageOfSimilarity_1" hidden="1">" .7"</definedName>
    <definedName name="STWBD_StatToolsClusterAnalysis_PlaceClusterMembership" hidden="1">1</definedName>
    <definedName name="STWBD_StatToolsClusterAnalysis_PlaceClusterMembership_1" hidden="1">"FALSE"</definedName>
    <definedName name="STWBD_StatToolsClusterAnalysis_ProfilePlot" hidden="1">1</definedName>
    <definedName name="STWBD_StatToolsClusterAnalysis_ProfilePlot_1" hidden="1">"FALSE"</definedName>
    <definedName name="STWBD_StatToolsClusterAnalysis_ScreePlot" hidden="1">1</definedName>
    <definedName name="STWBD_StatToolsClusterAnalysis_ScreePlot_1" hidden="1">"TRUE"</definedName>
    <definedName name="STWBD_StatToolsClusterAnalysis_SimilarityLevel" hidden="1">1</definedName>
    <definedName name="STWBD_StatToolsClusterAnalysis_SimilarityLevel_1" hidden="1">"FALSE"</definedName>
    <definedName name="STWBD_StatToolsClusterAnalysis_StandardizeVariables" hidden="1">1</definedName>
    <definedName name="STWBD_StatToolsClusterAnalysis_StandardizeVariables_1" hidden="1">"TRUE"</definedName>
    <definedName name="STWBD_StatToolsClusterAnalysis_VariableList" hidden="1">22</definedName>
    <definedName name="STWBD_StatToolsClusterAnalysis_VariableList_1" hidden="1">"U_x0001_VG7B2B1701B2AC8F7_x0001_"</definedName>
    <definedName name="STWBD_StatToolsClusterAnalysis_VariableList_10" hidden="1">"U_x0001_VG2381182CB2454F2_x0001_"</definedName>
    <definedName name="STWBD_StatToolsClusterAnalysis_VariableList_11" hidden="1">"U_x0001_VG16612717A71A38B_x0001_"</definedName>
    <definedName name="STWBD_StatToolsClusterAnalysis_VariableList_12" hidden="1">"U_x0001_VG653622E133EF7AB_x0001_"</definedName>
    <definedName name="STWBD_StatToolsClusterAnalysis_VariableList_13" hidden="1">"U_x0001_VGE1A0739299D604E_x0001_"</definedName>
    <definedName name="STWBD_StatToolsClusterAnalysis_VariableList_14" hidden="1">"U_x0001_VG32C22F3E321D6D46_x0001_"</definedName>
    <definedName name="STWBD_StatToolsClusterAnalysis_VariableList_15" hidden="1">"U_x0001_VG5EF085833CAD094_x0001_"</definedName>
    <definedName name="STWBD_StatToolsClusterAnalysis_VariableList_16" hidden="1">"U_x0001_VGB2430643896DBEC_x0001_"</definedName>
    <definedName name="STWBD_StatToolsClusterAnalysis_VariableList_17" hidden="1">"U_x0001_VG2D9EBA1535BD6226_x0001_"</definedName>
    <definedName name="STWBD_StatToolsClusterAnalysis_VariableList_18" hidden="1">"U_x0001_VG8DD2FC23426A111_x0001_"</definedName>
    <definedName name="STWBD_StatToolsClusterAnalysis_VariableList_19" hidden="1">"U_x0001_VG12DF7EF81C804F33_x0001_"</definedName>
    <definedName name="STWBD_StatToolsClusterAnalysis_VariableList_2" hidden="1">"U_x0001_VG2D084B32254D46A8_x0001_"</definedName>
    <definedName name="STWBD_StatToolsClusterAnalysis_VariableList_20" hidden="1">"U_x0001_VG244D7968359E1FFE_x0001_"</definedName>
    <definedName name="STWBD_StatToolsClusterAnalysis_VariableList_21" hidden="1">"U_x0001_VG1BB1A554C5580B5_x0001_"</definedName>
    <definedName name="STWBD_StatToolsClusterAnalysis_VariableList_22" hidden="1">"U_x0001_VG17F658A21CBA42F0_x0001_"</definedName>
    <definedName name="STWBD_StatToolsClusterAnalysis_VariableList_3" hidden="1">"U_x0001_VG15523B7F3770E24E_x0001_"</definedName>
    <definedName name="STWBD_StatToolsClusterAnalysis_VariableList_4" hidden="1">"U_x0001_VG1CEEBC5648E049_x0001_"</definedName>
    <definedName name="STWBD_StatToolsClusterAnalysis_VariableList_5" hidden="1">"U_x0001_VG2E0DDEEB23C67E8C_x0001_"</definedName>
    <definedName name="STWBD_StatToolsClusterAnalysis_VariableList_6" hidden="1">"U_x0001_VG2701F632942D3BF_x0001_"</definedName>
    <definedName name="STWBD_StatToolsClusterAnalysis_VariableList_7" hidden="1">"U_x0001_VG1AAB15732FB5787D_x0001_"</definedName>
    <definedName name="STWBD_StatToolsClusterAnalysis_VariableList_8" hidden="1">"U_x0001_VG2514A48630A65797_x0001_"</definedName>
    <definedName name="STWBD_StatToolsClusterAnalysis_VariableList_9" hidden="1">"U_x0001_VGA1417481FFCC7B8_x0001_"</definedName>
    <definedName name="STWBD_StatToolsClusterAnalysis_VarSelectorDefaultDataSet" hidden="1">1</definedName>
    <definedName name="STWBD_StatToolsClusterAnalysis_VarSelectorDefaultDataSet_1" hidden="1">"DG18FF0436"</definedName>
    <definedName name="STWBD_StatToolsCorrAndCovar_CorrelationTable" hidden="1">"TRUE"</definedName>
    <definedName name="STWBD_StatToolsCorrAndCovar_CovarianceTable" hidden="1">"FALSE"</definedName>
    <definedName name="STWBD_StatToolsCorrAndCovar_HasDefaultInfo" hidden="1">"TRUE"</definedName>
    <definedName name="STWBD_StatToolsCorrAndCovar_RankOrderCorrelationTable" hidden="1">"FALSE"</definedName>
    <definedName name="STWBD_StatToolsCorrAndCovar_TableStructure" hidden="1">" 2"</definedName>
    <definedName name="STWBD_StatToolsCorrAndCovar_VariableList" hidden="1">19</definedName>
    <definedName name="STWBD_StatToolsCorrAndCovar_VariableList_1" hidden="1">"U_x0001_VG12136D217581143_x0001_"</definedName>
    <definedName name="STWBD_StatToolsCorrAndCovar_VariableList_10" hidden="1">"U_x0001_VG374999A2FD358F9_x0001_"</definedName>
    <definedName name="STWBD_StatToolsCorrAndCovar_VariableList_11" hidden="1">"U_x0001_VG12F05D13B0652BA_x0001_"</definedName>
    <definedName name="STWBD_StatToolsCorrAndCovar_VariableList_12" hidden="1">"U_x0001_VGD3ED86F31C392C5_x0001_"</definedName>
    <definedName name="STWBD_StatToolsCorrAndCovar_VariableList_13" hidden="1">"U_x0001_VGE8224BE38278507_x0001_"</definedName>
    <definedName name="STWBD_StatToolsCorrAndCovar_VariableList_14" hidden="1">"U_x0001_VG35AAB5E14229CB6_x0001_"</definedName>
    <definedName name="STWBD_StatToolsCorrAndCovar_VariableList_15" hidden="1">"U_x0001_VG3102E46F38B6AFD5_x0001_"</definedName>
    <definedName name="STWBD_StatToolsCorrAndCovar_VariableList_16" hidden="1">"U_x0001_VG12944DEE209395D6_x0001_"</definedName>
    <definedName name="STWBD_StatToolsCorrAndCovar_VariableList_17" hidden="1">"U_x0001_VG12B7599739634EDB_x0001_"</definedName>
    <definedName name="STWBD_StatToolsCorrAndCovar_VariableList_18" hidden="1">"U_x0001_VG62C66209FB6D62_x0001_"</definedName>
    <definedName name="STWBD_StatToolsCorrAndCovar_VariableList_19" hidden="1">"U_x0001_VG1140353D2B1FFB06_x0001_"</definedName>
    <definedName name="STWBD_StatToolsCorrAndCovar_VariableList_2" hidden="1">"U_x0001_VG15778026E722DB_x0001_"</definedName>
    <definedName name="STWBD_StatToolsCorrAndCovar_VariableList_3" hidden="1">"U_x0001_VG860E00030EA285F_x0001_"</definedName>
    <definedName name="STWBD_StatToolsCorrAndCovar_VariableList_4" hidden="1">"U_x0001_VG486A1F11D8F6FE1_x0001_"</definedName>
    <definedName name="STWBD_StatToolsCorrAndCovar_VariableList_5" hidden="1">"U_x0001_VG144F76C139EC8F54_x0001_"</definedName>
    <definedName name="STWBD_StatToolsCorrAndCovar_VariableList_6" hidden="1">"U_x0001_VG249484F91F6F0EA7_x0001_"</definedName>
    <definedName name="STWBD_StatToolsCorrAndCovar_VariableList_7" hidden="1">"U_x0001_VG111AF2A20B3BE7E_x0001_"</definedName>
    <definedName name="STWBD_StatToolsCorrAndCovar_VariableList_8" hidden="1">"U_x0001_VG130DC045EB96482_x0001_"</definedName>
    <definedName name="STWBD_StatToolsCorrAndCovar_VariableList_9" hidden="1">"U_x0001_VG26943A3F35AFA71A_x0001_"</definedName>
    <definedName name="STWBD_StatToolsCorrAndCovar_VarSelectorDefaultDataSet" hidden="1">"DG194D4B04"</definedName>
    <definedName name="STWBD_StatToolsDataViewer7_CorrelationCalculationMethod" hidden="1">1</definedName>
    <definedName name="STWBD_StatToolsDataViewer7_CorrelationCalculationMethod_1" hidden="1">" 0"</definedName>
    <definedName name="STWBD_StatToolsDataViewer7_DataSet">"DS:DG194D4B04"</definedName>
    <definedName name="STWBD_StatToolsDataViewer7_ExclusionMode" hidden="1">1</definedName>
    <definedName name="STWBD_StatToolsDataViewer7_ExclusionMode_1" hidden="1">" 0"</definedName>
    <definedName name="STWBD_StatToolsDataViewer7_VariableList" hidden="1">73</definedName>
    <definedName name="STWBD_StatToolsDataViewer7_VariableList_1" hidden="1">"U_x0001_VG1E7636182609CF49_x0001_"</definedName>
    <definedName name="STWBD_StatToolsDataViewer7_VariableList_10" hidden="1">"U_x0001_VG28A637A621E41FED_x0001_"</definedName>
    <definedName name="STWBD_StatToolsDataViewer7_VariableList_11" hidden="1">"U_x0001_VG145E5D383A62D72F_x0001_"</definedName>
    <definedName name="STWBD_StatToolsDataViewer7_VariableList_12" hidden="1">"U_x0001_VG15778026E722DB_x0001_"</definedName>
    <definedName name="STWBD_StatToolsDataViewer7_VariableList_13" hidden="1">"U_x0001_VG1CF6B6B91F7CCE96_x0001_"</definedName>
    <definedName name="STWBD_StatToolsDataViewer7_VariableList_14" hidden="1">"U_x0001_VG2B6EBBD423C5746C_x0001_"</definedName>
    <definedName name="STWBD_StatToolsDataViewer7_VariableList_15" hidden="1">"U_x0001_VG39847CFB2B422A32_x0001_"</definedName>
    <definedName name="STWBD_StatToolsDataViewer7_VariableList_16" hidden="1">"U_x0001_VG34150846AC6A34_x0001_"</definedName>
    <definedName name="STWBD_StatToolsDataViewer7_VariableList_17" hidden="1">"U_x0001_VG92646C1DA0CF69_x0001_"</definedName>
    <definedName name="STWBD_StatToolsDataViewer7_VariableList_18" hidden="1">"U_x0001_VG18B0AC2ED0DF033_x0001_"</definedName>
    <definedName name="STWBD_StatToolsDataViewer7_VariableList_19" hidden="1">"U_x0001_VG384C3E7F2F8B15A6_x0001_"</definedName>
    <definedName name="STWBD_StatToolsDataViewer7_VariableList_2" hidden="1">"U_x0001_VG12136D217581143_x0001_"</definedName>
    <definedName name="STWBD_StatToolsDataViewer7_VariableList_20" hidden="1">"U_x0001_VG860E00030EA285F_x0001_"</definedName>
    <definedName name="STWBD_StatToolsDataViewer7_VariableList_21" hidden="1">"U_x0001_VG2217993221351BD_x0001_"</definedName>
    <definedName name="STWBD_StatToolsDataViewer7_VariableList_22" hidden="1">"U_x0001_VG56E6BFF123250C1_x0001_"</definedName>
    <definedName name="STWBD_StatToolsDataViewer7_VariableList_23" hidden="1">"U_x0001_VG486A1F11D8F6FE1_x0001_"</definedName>
    <definedName name="STWBD_StatToolsDataViewer7_VariableList_24" hidden="1">"U_x0001_VG144F76C139EC8F54_x0001_"</definedName>
    <definedName name="STWBD_StatToolsDataViewer7_VariableList_25" hidden="1">"U_x0001_VGA8AFEA1616AE21_x0001_"</definedName>
    <definedName name="STWBD_StatToolsDataViewer7_VariableList_26" hidden="1">"U_x0001_VG10F7DFFCD240554_x0001_"</definedName>
    <definedName name="STWBD_StatToolsDataViewer7_VariableList_27" hidden="1">"U_x0001_VG1D13874474ABFEC_x0001_"</definedName>
    <definedName name="STWBD_StatToolsDataViewer7_VariableList_28" hidden="1">"U_x0001_VG2C6E81DC2BA31035_x0001_"</definedName>
    <definedName name="STWBD_StatToolsDataViewer7_VariableList_29" hidden="1">"U_x0001_VG302BCA978F6F970_x0001_"</definedName>
    <definedName name="STWBD_StatToolsDataViewer7_VariableList_3" hidden="1">"U_x0001_VG15C8BE4368E010C_x0001_"</definedName>
    <definedName name="STWBD_StatToolsDataViewer7_VariableList_30" hidden="1">"U_x0001_VG3747EB9D638B6E3_x0001_"</definedName>
    <definedName name="STWBD_StatToolsDataViewer7_VariableList_31" hidden="1">"U_x0001_VG12B227E53973D25C_x0001_"</definedName>
    <definedName name="STWBD_StatToolsDataViewer7_VariableList_32" hidden="1">"U_x0001_VG12A8FC442790148B_x0001_"</definedName>
    <definedName name="STWBD_StatToolsDataViewer7_VariableList_33" hidden="1">"U_x0001_VG33857DFF5F12FEB_x0001_"</definedName>
    <definedName name="STWBD_StatToolsDataViewer7_VariableList_34" hidden="1">"U_x0001_VG3248A0F619282495_x0001_"</definedName>
    <definedName name="STWBD_StatToolsDataViewer7_VariableList_35" hidden="1">"U_x0001_VG249484F91F6F0EA7_x0001_"</definedName>
    <definedName name="STWBD_StatToolsDataViewer7_VariableList_36" hidden="1">"U_x0001_VG3A6384E0179F69FB_x0001_"</definedName>
    <definedName name="STWBD_StatToolsDataViewer7_VariableList_37" hidden="1">"U_x0001_VG34DA22621EA1CED4_x0001_"</definedName>
    <definedName name="STWBD_StatToolsDataViewer7_VariableList_38" hidden="1">"U_x0001_VG1CCE810C2D55E8BA_x0001_"</definedName>
    <definedName name="STWBD_StatToolsDataViewer7_VariableList_39" hidden="1">"U_x0001_VG2098100F168F6FD_x0001_"</definedName>
    <definedName name="STWBD_StatToolsDataViewer7_VariableList_4" hidden="1">"U_x0001_VG122E1AFB2F81ECD0_x0001_"</definedName>
    <definedName name="STWBD_StatToolsDataViewer7_VariableList_40" hidden="1">"U_x0001_VG111AF2A20B3BE7E_x0001_"</definedName>
    <definedName name="STWBD_StatToolsDataViewer7_VariableList_41" hidden="1">"U_x0001_VG130DC045EB96482_x0001_"</definedName>
    <definedName name="STWBD_StatToolsDataViewer7_VariableList_42" hidden="1">"U_x0001_VG360F46AF34378444_x0001_"</definedName>
    <definedName name="STWBD_StatToolsDataViewer7_VariableList_43" hidden="1">"U_x0001_VG2F3B565C615E2A3_x0001_"</definedName>
    <definedName name="STWBD_StatToolsDataViewer7_VariableList_44" hidden="1">"U_x0001_VG26943A3F35AFA71A_x0001_"</definedName>
    <definedName name="STWBD_StatToolsDataViewer7_VariableList_45" hidden="1">"U_x0001_VG374999A2FD358F9_x0001_"</definedName>
    <definedName name="STWBD_StatToolsDataViewer7_VariableList_46" hidden="1">"U_x0001_VG12F05D13B0652BA_x0001_"</definedName>
    <definedName name="STWBD_StatToolsDataViewer7_VariableList_47" hidden="1">"U_x0001_VGD3ED86F31C392C5_x0001_"</definedName>
    <definedName name="STWBD_StatToolsDataViewer7_VariableList_48" hidden="1">"U_x0001_VG35309E7B309AED19_x0001_"</definedName>
    <definedName name="STWBD_StatToolsDataViewer7_VariableList_49" hidden="1">"U_x0001_VGE8224BE38278507_x0001_"</definedName>
    <definedName name="STWBD_StatToolsDataViewer7_VariableList_5" hidden="1">"U_x0001_VG1097527399CA7BB_x0001_"</definedName>
    <definedName name="STWBD_StatToolsDataViewer7_VariableList_50" hidden="1">"U_x0001_VG35AAB5E14229CB6_x0001_"</definedName>
    <definedName name="STWBD_StatToolsDataViewer7_VariableList_51" hidden="1">"U_x0001_VG3102E46F38B6AFD5_x0001_"</definedName>
    <definedName name="STWBD_StatToolsDataViewer7_VariableList_52" hidden="1">"U_x0001_VG29518193364957C2_x0001_"</definedName>
    <definedName name="STWBD_StatToolsDataViewer7_VariableList_53" hidden="1">"U_x0001_VG12944DEE209395D6_x0001_"</definedName>
    <definedName name="STWBD_StatToolsDataViewer7_VariableList_54" hidden="1">"U_x0001_VG12B7599739634EDB_x0001_"</definedName>
    <definedName name="STWBD_StatToolsDataViewer7_VariableList_55" hidden="1">"U_x0001_VG338AAACD133F575C_x0001_"</definedName>
    <definedName name="STWBD_StatToolsDataViewer7_VariableList_56" hidden="1">"U_x0001_VG62C66209FB6D62_x0001_"</definedName>
    <definedName name="STWBD_StatToolsDataViewer7_VariableList_57" hidden="1">"U_x0001_VGFBCC3263A7D008F_x0001_"</definedName>
    <definedName name="STWBD_StatToolsDataViewer7_VariableList_58" hidden="1">"U_x0001_VG1140353D2B1FFB06_x0001_"</definedName>
    <definedName name="STWBD_StatToolsDataViewer7_VariableList_59" hidden="1">"U_x0001_VG8445AE52DA5B54A_x0001_"</definedName>
    <definedName name="STWBD_StatToolsDataViewer7_VariableList_6" hidden="1">"U_x0001_VG690A8E928770381_x0001_"</definedName>
    <definedName name="STWBD_StatToolsDataViewer7_VariableList_60" hidden="1">"U_x0001_VG63AC3EB1A88AFCB_x0001_"</definedName>
    <definedName name="STWBD_StatToolsDataViewer7_VariableList_61" hidden="1">"U_x0001_VGBF8001616F0C8DE_x0001_"</definedName>
    <definedName name="STWBD_StatToolsDataViewer7_VariableList_62" hidden="1">"U_x0001_VGC85E68E34078DB5_x0001_"</definedName>
    <definedName name="STWBD_StatToolsDataViewer7_VariableList_63" hidden="1">"U_x0001_VG49140792E88CB9C_x0001_"</definedName>
    <definedName name="STWBD_StatToolsDataViewer7_VariableList_64" hidden="1">"U_x0001_VG12E9F69E2096728E_x0001_"</definedName>
    <definedName name="STWBD_StatToolsDataViewer7_VariableList_65" hidden="1">"U_x0001_VG28CFE2C8C1FD040_x0001_"</definedName>
    <definedName name="STWBD_StatToolsDataViewer7_VariableList_66" hidden="1">"U_x0001_VG29399FE816B83084_x0001_"</definedName>
    <definedName name="STWBD_StatToolsDataViewer7_VariableList_67" hidden="1">"U_x0001_VG325F5AB16504762_x0001_"</definedName>
    <definedName name="STWBD_StatToolsDataViewer7_VariableList_68" hidden="1">"U_x0001_VG3560BCDA299EC931_x0001_"</definedName>
    <definedName name="STWBD_StatToolsDataViewer7_VariableList_69" hidden="1">"U_x0001_VG3B41B78390BB7DE_x0001_"</definedName>
    <definedName name="STWBD_StatToolsDataViewer7_VariableList_7" hidden="1">"U_x0001_VGB57A7941F49B6A0_x0001_"</definedName>
    <definedName name="STWBD_StatToolsDataViewer7_VariableList_70" hidden="1">"U_x0001_VG2BBBA3C217B0C859_x0001_"</definedName>
    <definedName name="STWBD_StatToolsDataViewer7_VariableList_71" hidden="1">"U_x0001_VG2AAF43DBF383186_x0001_"</definedName>
    <definedName name="STWBD_StatToolsDataViewer7_VariableList_72" hidden="1">"U_x0001_VG23ECF872FB59D1A_x0001_"</definedName>
    <definedName name="STWBD_StatToolsDataViewer7_VariableList_73" hidden="1">"U_x0001_VG845134C12408D05_x0001_"</definedName>
    <definedName name="STWBD_StatToolsDataViewer7_VariableList_8" hidden="1">"U_x0001_VG11D0975631208D1_x0001_"</definedName>
    <definedName name="STWBD_StatToolsDataViewer7_VariableList_9" hidden="1">"U_x0001_VG40EFC2427CD7E6F_x0001_"</definedName>
    <definedName name="STWBD_StatToolsHistogram_BinMaximum" hidden="1">" 1.01E+300"</definedName>
    <definedName name="STWBD_StatToolsHistogram_BinMinimum" hidden="1">" 1.01E+300"</definedName>
    <definedName name="STWBD_StatToolsHistogram_DefaultDataFormat" hidden="1">" 0"</definedName>
    <definedName name="STWBD_StatToolsHistogram_HasDefaultInfo" hidden="1">"TRUE"</definedName>
    <definedName name="STWBD_StatToolsHistogram_NumBins" hidden="1">"-32767"</definedName>
    <definedName name="STWBD_StatToolsHistogram_VariableList" hidden="1">30</definedName>
    <definedName name="STWBD_StatToolsHistogram_VariableList_1" hidden="1">"U_x0001_VG2FA43EE81E6ED1A_x0001_"</definedName>
    <definedName name="STWBD_StatToolsHistogram_VariableList_10" hidden="1">"U_x0001_VG15624C73E91B47A_x0001_"</definedName>
    <definedName name="STWBD_StatToolsHistogram_VariableList_11" hidden="1">"U_x0001_VG9E963710CBC606_x0001_"</definedName>
    <definedName name="STWBD_StatToolsHistogram_VariableList_12" hidden="1">"U_x0001_VG266BEBA810727BE0_x0001_"</definedName>
    <definedName name="STWBD_StatToolsHistogram_VariableList_13" hidden="1">"U_x0001_VG36EF517C27DFD3D5_x0001_"</definedName>
    <definedName name="STWBD_StatToolsHistogram_VariableList_14" hidden="1">"U_x0001_VG19BCE26710471E0C_x0001_"</definedName>
    <definedName name="STWBD_StatToolsHistogram_VariableList_15" hidden="1">"U_x0001_VG3A57E49A37C6DCB8_x0001_"</definedName>
    <definedName name="STWBD_StatToolsHistogram_VariableList_16" hidden="1">"U_x0001_VG32914FDB30725997_x0001_"</definedName>
    <definedName name="STWBD_StatToolsHistogram_VariableList_17" hidden="1">"U_x0001_VG27FD050027F0016D_x0001_"</definedName>
    <definedName name="STWBD_StatToolsHistogram_VariableList_18" hidden="1">"U_x0001_VGA18838A235DBFAD_x0001_"</definedName>
    <definedName name="STWBD_StatToolsHistogram_VariableList_19" hidden="1">"U_x0001_VG29FB925824EA721D_x0001_"</definedName>
    <definedName name="STWBD_StatToolsHistogram_VariableList_2" hidden="1">"U_x0001_VG341043FE127C5E4B_x0001_"</definedName>
    <definedName name="STWBD_StatToolsHistogram_VariableList_20" hidden="1">"U_x0001_VG2BA79005B3250F3_x0001_"</definedName>
    <definedName name="STWBD_StatToolsHistogram_VariableList_21" hidden="1">"U_x0001_VG2EBC7D01329663FB_x0001_"</definedName>
    <definedName name="STWBD_StatToolsHistogram_VariableList_22" hidden="1">"U_x0001_VG15483D63110AF324_x0001_"</definedName>
    <definedName name="STWBD_StatToolsHistogram_VariableList_23" hidden="1">"U_x0001_VG2F0252352A9A2FC6_x0001_"</definedName>
    <definedName name="STWBD_StatToolsHistogram_VariableList_24" hidden="1">"U_x0001_VG6AD6BF2353209EE_x0001_"</definedName>
    <definedName name="STWBD_StatToolsHistogram_VariableList_25" hidden="1">"U_x0001_VG214F22133B98CEA9_x0001_"</definedName>
    <definedName name="STWBD_StatToolsHistogram_VariableList_26" hidden="1">"U_x0001_VG1F355219C0BE05E_x0001_"</definedName>
    <definedName name="STWBD_StatToolsHistogram_VariableList_27" hidden="1">"U_x0001_VG2DC8E23F2FB74D69_x0001_"</definedName>
    <definedName name="STWBD_StatToolsHistogram_VariableList_28" hidden="1">"U_x0001_VG21EDD6CA70C9275_x0001_"</definedName>
    <definedName name="STWBD_StatToolsHistogram_VariableList_29" hidden="1">"U_x0001_VG236D9C3EC7B441_x0001_"</definedName>
    <definedName name="STWBD_StatToolsHistogram_VariableList_3" hidden="1">"U_x0001_VG4BA6F8267A5131_x0001_"</definedName>
    <definedName name="STWBD_StatToolsHistogram_VariableList_30" hidden="1">"U_x0001_VG2FEF08925E11F24_x0001_"</definedName>
    <definedName name="STWBD_StatToolsHistogram_VariableList_4" hidden="1">"U_x0001_VGB81D42BD2AEED7_x0001_"</definedName>
    <definedName name="STWBD_StatToolsHistogram_VariableList_5" hidden="1">"U_x0001_VG20ED9C1C1420178A_x0001_"</definedName>
    <definedName name="STWBD_StatToolsHistogram_VariableList_6" hidden="1">"U_x0001_VG2E3412C2E35161C_x0001_"</definedName>
    <definedName name="STWBD_StatToolsHistogram_VariableList_7" hidden="1">"U_x0001_VG13F72CB833617B88_x0001_"</definedName>
    <definedName name="STWBD_StatToolsHistogram_VariableList_8" hidden="1">"U_x0001_VG230B1323E41B34C_x0001_"</definedName>
    <definedName name="STWBD_StatToolsHistogram_VariableList_9" hidden="1">"U_x0001_VG24E0F321364D2A58_x0001_"</definedName>
    <definedName name="STWBD_StatToolsHistogram_VarSelectorDefaultDataSet" hidden="1">"DG15DED2B1"</definedName>
    <definedName name="STWBD_StatToolsHistogram_XAxisStyle" hidden="1">" 1"</definedName>
    <definedName name="STWBD_StatToolsHistogram_YAxisStyle" hidden="1">" 1"</definedName>
    <definedName name="STWBD_StatToolsHypothesisTest_AnalysisType" hidden="1">" 0"</definedName>
    <definedName name="STWBD_StatToolsHypothesisTest_DefaultDataFormat" hidden="1">" 0"</definedName>
    <definedName name="STWBD_StatToolsHypothesisTest_HasDefaultInfo" hidden="1">"TRUE"</definedName>
    <definedName name="STWBD_StatToolsHypothesisTest_InputType" hidden="1">" 0"</definedName>
    <definedName name="STWBD_StatToolsHypothesisTest_KnownPopulationStdDev" hidden="1">"FALSE"</definedName>
    <definedName name="STWBD_StatToolsHypothesisTest_MeanAlternativeType" hidden="1">" 2"</definedName>
    <definedName name="STWBD_StatToolsHypothesisTest_MeanNullValue" hidden="1">" 6300"</definedName>
    <definedName name="STWBD_StatToolsHypothesisTest_MeanValueList" hidden="1">0</definedName>
    <definedName name="STWBD_StatToolsHypothesisTest_PerformFTest" hidden="1">"FALSE"</definedName>
    <definedName name="STWBD_StatToolsHypothesisTest_PerformMeanTest" hidden="1">"TRUE"</definedName>
    <definedName name="STWBD_StatToolsHypothesisTest_PerformStdDevTest" hidden="1">"FALSE"</definedName>
    <definedName name="STWBD_StatToolsHypothesisTest_SampleSizeValueList" hidden="1">0</definedName>
    <definedName name="STWBD_StatToolsHypothesisTest_SelectedVariableNameList" hidden="1">1</definedName>
    <definedName name="STWBD_StatToolsHypothesisTest_SelectedVariableNameList_1" hidden="1">"-1"</definedName>
    <definedName name="STWBD_StatToolsHypothesisTest_StdDevAlternativeType" hidden="1">" 0"</definedName>
    <definedName name="STWBD_StatToolsHypothesisTest_StdDevNullValue" hidden="1">" 1"</definedName>
    <definedName name="STWBD_StatToolsHypothesisTest_StdDevValueList" hidden="1">0</definedName>
    <definedName name="STWBD_StatToolsHypothesisTest_VariableList" hidden="1">1</definedName>
    <definedName name="STWBD_StatToolsHypothesisTest_VariableList_1" hidden="1">"U_x0001_VG2098100F168F6FD_x0001_"</definedName>
    <definedName name="STWBD_StatToolsHypothesisTest_VariableNameList" hidden="1">0</definedName>
    <definedName name="STWBD_StatToolsHypothesisTest_VariableSet" hidden="1">"Variable Set #1"</definedName>
    <definedName name="STWBD_StatToolsHypothesisTest_VarSelectorDefaultDataSet" hidden="1">"DG194D4B04"</definedName>
    <definedName name="STWBD_StatToolsInteraction_HasDefaultInfo" hidden="1">"TRUE"</definedName>
    <definedName name="STWBD_StatToolsInteraction_InteractionType" hidden="1">" 1"</definedName>
    <definedName name="STWBD_StatToolsInteraction_VariableListCategory" hidden="1">1</definedName>
    <definedName name="STWBD_StatToolsInteraction_VariableListCategory_1" hidden="1">"U_x0001_VG11D0975631208D1_x0001_"</definedName>
    <definedName name="STWBD_StatToolsInteraction_VariableListValue" hidden="1">1</definedName>
    <definedName name="STWBD_StatToolsInteraction_VariableListValue_1" hidden="1">"U_x0001_VGE8224BE38278507_x0001_"</definedName>
    <definedName name="STWBD_StatToolsInteraction_VarSelectorDefaultDataSet" hidden="1">"DG194D4B04"</definedName>
    <definedName name="STWBD_StatToolsLogistic_HasDefaultInfo" hidden="1">"TRUE"</definedName>
    <definedName name="STWBD_StatToolsLogistic_IncludeClassificationResults" hidden="1">"FALSE"</definedName>
    <definedName name="STWBD_StatToolsLogistic_IncludeClassificationSummary" hidden="1">"TRUE"</definedName>
    <definedName name="STWBD_StatToolsLogistic_IncludePrediction" hidden="1">"FALSE"</definedName>
    <definedName name="STWBD_StatToolsLogistic_LogisticRegressionType" hidden="1">" 0"</definedName>
    <definedName name="STWBD_StatToolsLogistic_VariableDependent" localSheetId="3" hidden="1">"U_x0001_VG360A095918827343_x0001_"</definedName>
    <definedName name="STWBD_StatToolsLogistic_VariableDependent" hidden="1">"U_x0001_VG122E1AFB2F81ECD0_x0001_"</definedName>
    <definedName name="STWBD_StatToolsLogistic_VariableListIndependent" localSheetId="3" hidden="1">35</definedName>
    <definedName name="STWBD_StatToolsLogistic_VariableListIndependent" hidden="1">17</definedName>
    <definedName name="STWBD_StatToolsLogistic_VariableListIndependent_1" localSheetId="3" hidden="1">"U_x0001_VG6386A0D35CB21E_x0001_"</definedName>
    <definedName name="STWBD_StatToolsLogistic_VariableListIndependent_1" hidden="1">"U_x0001_VG12136D217581143_x0001_"</definedName>
    <definedName name="STWBD_StatToolsLogistic_VariableListIndependent_10" localSheetId="3" hidden="1">"U_x0001_VG373C97F17BABC21_x0001_"</definedName>
    <definedName name="STWBD_StatToolsLogistic_VariableListIndependent_10" hidden="1">"U_x0001_VG130DC045EB96482_x0001_"</definedName>
    <definedName name="STWBD_StatToolsLogistic_VariableListIndependent_11" localSheetId="3" hidden="1">"U_x0001_VG13C450D59A8EA4A_x0001_"</definedName>
    <definedName name="STWBD_StatToolsLogistic_VariableListIndependent_11" hidden="1">"U_x0001_VG2F3B565C615E2A3_x0001_"</definedName>
    <definedName name="STWBD_StatToolsLogistic_VariableListIndependent_12" localSheetId="3" hidden="1">"U_x0001_VG1E565D872671BABF_x0001_"</definedName>
    <definedName name="STWBD_StatToolsLogistic_VariableListIndependent_12" hidden="1">"U_x0001_VG12F05D13B0652BA_x0001_"</definedName>
    <definedName name="STWBD_StatToolsLogistic_VariableListIndependent_13" localSheetId="3" hidden="1">"U_x0001_VG1297E77910155864_x0001_"</definedName>
    <definedName name="STWBD_StatToolsLogistic_VariableListIndependent_13" hidden="1">"U_x0001_VG35AAB5E14229CB6_x0001_"</definedName>
    <definedName name="STWBD_StatToolsLogistic_VariableListIndependent_14" localSheetId="3" hidden="1">"U_x0001_VG1CA5862A262B861_x0001_"</definedName>
    <definedName name="STWBD_StatToolsLogistic_VariableListIndependent_14" hidden="1">"U_x0001_VG3102E46F38B6AFD5_x0001_"</definedName>
    <definedName name="STWBD_StatToolsLogistic_VariableListIndependent_15" localSheetId="3" hidden="1">"U_x0001_VG43D623A2CA4A7AA_x0001_"</definedName>
    <definedName name="STWBD_StatToolsLogistic_VariableListIndependent_15" hidden="1">"U_x0001_VG12B7599739634EDB_x0001_"</definedName>
    <definedName name="STWBD_StatToolsLogistic_VariableListIndependent_16" localSheetId="3" hidden="1">"U_x0001_VG201E20B0384ED61_x0001_"</definedName>
    <definedName name="STWBD_StatToolsLogistic_VariableListIndependent_16" hidden="1">"U_x0001_VG338AAACD133F575C_x0001_"</definedName>
    <definedName name="STWBD_StatToolsLogistic_VariableListIndependent_17" localSheetId="3" hidden="1">"U_x0001_VG151F27BA2F4EF106_x0001_"</definedName>
    <definedName name="STWBD_StatToolsLogistic_VariableListIndependent_17" hidden="1">"U_x0001_VG1140353D2B1FFB06_x0001_"</definedName>
    <definedName name="STWBD_StatToolsLogistic_VariableListIndependent_18" localSheetId="3" hidden="1">"U_x0001_VG9DF759B270498B4_x0001_"</definedName>
    <definedName name="STWBD_StatToolsLogistic_VariableListIndependent_2" localSheetId="3" hidden="1">"U_x0001_VG2D35A4981FBEC00_x0001_"</definedName>
    <definedName name="STWBD_StatToolsLogistic_VariableListIndependent_2" hidden="1">"U_x0001_VG690A8E928770381_x0001_"</definedName>
    <definedName name="STWBD_StatToolsLogistic_VariableListIndependent_27" hidden="1">"U_x0001_VG29E240923A3AA790_x0001_"</definedName>
    <definedName name="STWBD_StatToolsLogistic_VariableListIndependent_28" hidden="1">"U_x0001_VG2BCDC7CC14B86AF2_x0001_"</definedName>
    <definedName name="STWBD_StatToolsLogistic_VariableListIndependent_29" hidden="1">"U_x0001_VG191812B2332B557E_x0001_"</definedName>
    <definedName name="STWBD_StatToolsLogistic_VariableListIndependent_3" localSheetId="3" hidden="1">"U_x0001_VG8A11BAA1AEB774C_x0001_"</definedName>
    <definedName name="STWBD_StatToolsLogistic_VariableListIndependent_3" hidden="1">"U_x0001_VGB57A7941F49B6A0_x0001_"</definedName>
    <definedName name="STWBD_StatToolsLogistic_VariableListIndependent_30" hidden="1">"U_x0001_VG38AD650032055E34_x0001_"</definedName>
    <definedName name="STWBD_StatToolsLogistic_VariableListIndependent_31" hidden="1">"U_x0001_VG1CB682FA1FD6095E_x0001_"</definedName>
    <definedName name="STWBD_StatToolsLogistic_VariableListIndependent_32" hidden="1">"U_x0001_VG15D108832CAE8A4D_x0001_"</definedName>
    <definedName name="STWBD_StatToolsLogistic_VariableListIndependent_33" hidden="1">"U_x0001_VG3A38894DBAF3D2B_x0001_"</definedName>
    <definedName name="STWBD_StatToolsLogistic_VariableListIndependent_34" hidden="1">"U_x0001_VG3667378B49396D9_x0001_"</definedName>
    <definedName name="STWBD_StatToolsLogistic_VariableListIndependent_35" hidden="1">"U_x0001_VG18E7CE9C2A155545_x0001_"</definedName>
    <definedName name="STWBD_StatToolsLogistic_VariableListIndependent_36" hidden="1">"U_x0001_VG2A27E6F93B00B145_x0001_"</definedName>
    <definedName name="STWBD_StatToolsLogistic_VariableListIndependent_37" hidden="1">"U_x0001_VG1EF423972A6C631F_x0001_"</definedName>
    <definedName name="STWBD_StatToolsLogistic_VariableListIndependent_38" hidden="1">"U_x0001_VG20A683BD11B8801E_x0001_"</definedName>
    <definedName name="STWBD_StatToolsLogistic_VariableListIndependent_39" hidden="1">"U_x0001_VG13D2ACFE1EAB1059_x0001_"</definedName>
    <definedName name="STWBD_StatToolsLogistic_VariableListIndependent_4" localSheetId="3" hidden="1">"U_x0001_VG2BF0FEC42E52A94C_x0001_"</definedName>
    <definedName name="STWBD_StatToolsLogistic_VariableListIndependent_4" hidden="1">"U_x0001_VG15778026E722DB_x0001_"</definedName>
    <definedName name="STWBD_StatToolsLogistic_VariableListIndependent_40" hidden="1">"U_x0001_VG2D8658D3D6ED36A_x0001_"</definedName>
    <definedName name="STWBD_StatToolsLogistic_VariableListIndependent_41" hidden="1">"U_x0001_VGAABDDD42CA1341_x0001_"</definedName>
    <definedName name="STWBD_StatToolsLogistic_VariableListIndependent_42" hidden="1">"U_x0001_VG1BF47AA711E1810E_x0001_"</definedName>
    <definedName name="STWBD_StatToolsLogistic_VariableListIndependent_43" hidden="1">"U_x0001_VG17E9B62633ADB20A_x0001_"</definedName>
    <definedName name="STWBD_StatToolsLogistic_VariableListIndependent_44" hidden="1">"U_x0001_VGE18FB783A83B69E_x0001_"</definedName>
    <definedName name="STWBD_StatToolsLogistic_VariableListIndependent_5" localSheetId="3" hidden="1">"U_x0001_VG2A0FD8231FBCE44C_x0001_"</definedName>
    <definedName name="STWBD_StatToolsLogistic_VariableListIndependent_5" hidden="1">"U_x0001_VG860E00030EA285F_x0001_"</definedName>
    <definedName name="STWBD_StatToolsLogistic_VariableListIndependent_6" localSheetId="3" hidden="1">"U_x0001_VG13E28EAF3B6EE255_x0001_"</definedName>
    <definedName name="STWBD_StatToolsLogistic_VariableListIndependent_6" hidden="1">"U_x0001_VG56E6BFF123250C1_x0001_"</definedName>
    <definedName name="STWBD_StatToolsLogistic_VariableListIndependent_7" localSheetId="3" hidden="1">"U_x0001_VG1C50CBE5616BD08_x0001_"</definedName>
    <definedName name="STWBD_StatToolsLogistic_VariableListIndependent_7" hidden="1">"U_x0001_VG144F76C139EC8F54_x0001_"</definedName>
    <definedName name="STWBD_StatToolsLogistic_VariableListIndependent_8" localSheetId="3" hidden="1">"U_x0001_VG17061E9C2D7F7EAD_x0001_"</definedName>
    <definedName name="STWBD_StatToolsLogistic_VariableListIndependent_8" hidden="1">"U_x0001_VG249484F91F6F0EA7_x0001_"</definedName>
    <definedName name="STWBD_StatToolsLogistic_VariableListIndependent_9" localSheetId="3" hidden="1">"U_x0001_VG25A2C17A2FF8642B_x0001_"</definedName>
    <definedName name="STWBD_StatToolsLogistic_VariableListIndependent_9" hidden="1">"U_x0001_VG111AF2A20B3BE7E_x0001_"</definedName>
    <definedName name="STWBD_StatToolsLogistic_VarSelectorDefaultDataSet" localSheetId="3" hidden="1">"DG49E6C18"</definedName>
    <definedName name="STWBD_StatToolsLogistic_VarSelectorDefaultDataSet" hidden="1">"DG194D4B04"</definedName>
    <definedName name="STWBD_StatToolsOneVarSummary_Count" hidden="1">"TRUE"</definedName>
    <definedName name="STWBD_StatToolsOneVarSummary_DefaultDataFormat" hidden="1">" 0"</definedName>
    <definedName name="STWBD_StatToolsOneVarSummary_FirstQuartile" hidden="1">"TRUE"</definedName>
    <definedName name="STWBD_StatToolsOneVarSummary_HasDefaultInfo" hidden="1">"TRUE"</definedName>
    <definedName name="STWBD_StatToolsOneVarSummary_InterQuartileRange" hidden="1">"TRUE"</definedName>
    <definedName name="STWBD_StatToolsOneVarSummary_Kurtosis" hidden="1">"TRUE"</definedName>
    <definedName name="STWBD_StatToolsOneVarSummary_Maximum" hidden="1">"TRUE"</definedName>
    <definedName name="STWBD_StatToolsOneVarSummary_Mean" hidden="1">"TRUE"</definedName>
    <definedName name="STWBD_StatToolsOneVarSummary_MeanAbsDeviation" hidden="1">"TRUE"</definedName>
    <definedName name="STWBD_StatToolsOneVarSummary_Median" hidden="1">"TRUE"</definedName>
    <definedName name="STWBD_StatToolsOneVarSummary_Minimum" hidden="1">"TRUE"</definedName>
    <definedName name="STWBD_StatToolsOneVarSummary_Mode" hidden="1">"TRUE"</definedName>
    <definedName name="STWBD_StatToolsOneVarSummary_OtherPercentiles" hidden="1">"TRUE"</definedName>
    <definedName name="STWBD_StatToolsOneVarSummary_PercentileList" hidden="1">" .01, .025, .05, .1, .2, .8, .9, .95, .975, .99"</definedName>
    <definedName name="STWBD_StatToolsOneVarSummary_Range" hidden="1">"TRUE"</definedName>
    <definedName name="STWBD_StatToolsOneVarSummary_Skewness" hidden="1">"TRUE"</definedName>
    <definedName name="STWBD_StatToolsOneVarSummary_StandardDeviation" hidden="1">"TRUE"</definedName>
    <definedName name="STWBD_StatToolsOneVarSummary_Sum" hidden="1">"TRUE"</definedName>
    <definedName name="STWBD_StatToolsOneVarSummary_ThirdQuartile" hidden="1">"TRUE"</definedName>
    <definedName name="STWBD_StatToolsOneVarSummary_VariableList" hidden="1">73</definedName>
    <definedName name="STWBD_StatToolsOneVarSummary_VariableList_1" hidden="1">"U_x0001_VG1E7636182609CF49_x0001_"</definedName>
    <definedName name="STWBD_StatToolsOneVarSummary_VariableList_10" hidden="1">"U_x0001_VG28A637A621E41FED_x0001_"</definedName>
    <definedName name="STWBD_StatToolsOneVarSummary_VariableList_11" hidden="1">"U_x0001_VG145E5D383A62D72F_x0001_"</definedName>
    <definedName name="STWBD_StatToolsOneVarSummary_VariableList_12" hidden="1">"U_x0001_VG15778026E722DB_x0001_"</definedName>
    <definedName name="STWBD_StatToolsOneVarSummary_VariableList_13" hidden="1">"U_x0001_VG1CF6B6B91F7CCE96_x0001_"</definedName>
    <definedName name="STWBD_StatToolsOneVarSummary_VariableList_14" hidden="1">"U_x0001_VG2B6EBBD423C5746C_x0001_"</definedName>
    <definedName name="STWBD_StatToolsOneVarSummary_VariableList_15" hidden="1">"U_x0001_VG39847CFB2B422A32_x0001_"</definedName>
    <definedName name="STWBD_StatToolsOneVarSummary_VariableList_16" hidden="1">"U_x0001_VG34150846AC6A34_x0001_"</definedName>
    <definedName name="STWBD_StatToolsOneVarSummary_VariableList_17" hidden="1">"U_x0001_VG92646C1DA0CF69_x0001_"</definedName>
    <definedName name="STWBD_StatToolsOneVarSummary_VariableList_18" hidden="1">"U_x0001_VG18B0AC2ED0DF033_x0001_"</definedName>
    <definedName name="STWBD_StatToolsOneVarSummary_VariableList_19" hidden="1">"U_x0001_VG384C3E7F2F8B15A6_x0001_"</definedName>
    <definedName name="STWBD_StatToolsOneVarSummary_VariableList_2" hidden="1">"U_x0001_VG12136D217581143_x0001_"</definedName>
    <definedName name="STWBD_StatToolsOneVarSummary_VariableList_20" hidden="1">"U_x0001_VG860E00030EA285F_x0001_"</definedName>
    <definedName name="STWBD_StatToolsOneVarSummary_VariableList_21" hidden="1">"U_x0001_VG2217993221351BD_x0001_"</definedName>
    <definedName name="STWBD_StatToolsOneVarSummary_VariableList_22" hidden="1">"U_x0001_VG56E6BFF123250C1_x0001_"</definedName>
    <definedName name="STWBD_StatToolsOneVarSummary_VariableList_23" hidden="1">"U_x0001_VG486A1F11D8F6FE1_x0001_"</definedName>
    <definedName name="STWBD_StatToolsOneVarSummary_VariableList_24" hidden="1">"U_x0001_VG144F76C139EC8F54_x0001_"</definedName>
    <definedName name="STWBD_StatToolsOneVarSummary_VariableList_25" hidden="1">"U_x0001_VGA8AFEA1616AE21_x0001_"</definedName>
    <definedName name="STWBD_StatToolsOneVarSummary_VariableList_26" hidden="1">"U_x0001_VG10F7DFFCD240554_x0001_"</definedName>
    <definedName name="STWBD_StatToolsOneVarSummary_VariableList_27" hidden="1">"U_x0001_VG1D13874474ABFEC_x0001_"</definedName>
    <definedName name="STWBD_StatToolsOneVarSummary_VariableList_28" hidden="1">"U_x0001_VG2C6E81DC2BA31035_x0001_"</definedName>
    <definedName name="STWBD_StatToolsOneVarSummary_VariableList_29" hidden="1">"U_x0001_VG302BCA978F6F970_x0001_"</definedName>
    <definedName name="STWBD_StatToolsOneVarSummary_VariableList_3" hidden="1">"U_x0001_VG15C8BE4368E010C_x0001_"</definedName>
    <definedName name="STWBD_StatToolsOneVarSummary_VariableList_30" hidden="1">"U_x0001_VG3747EB9D638B6E3_x0001_"</definedName>
    <definedName name="STWBD_StatToolsOneVarSummary_VariableList_31" hidden="1">"U_x0001_VG12B227E53973D25C_x0001_"</definedName>
    <definedName name="STWBD_StatToolsOneVarSummary_VariableList_32" hidden="1">"U_x0001_VG12A8FC442790148B_x0001_"</definedName>
    <definedName name="STWBD_StatToolsOneVarSummary_VariableList_33" hidden="1">"U_x0001_VG33857DFF5F12FEB_x0001_"</definedName>
    <definedName name="STWBD_StatToolsOneVarSummary_VariableList_34" hidden="1">"U_x0001_VG3248A0F619282495_x0001_"</definedName>
    <definedName name="STWBD_StatToolsOneVarSummary_VariableList_35" hidden="1">"U_x0001_VG249484F91F6F0EA7_x0001_"</definedName>
    <definedName name="STWBD_StatToolsOneVarSummary_VariableList_36" hidden="1">"U_x0001_VG3A6384E0179F69FB_x0001_"</definedName>
    <definedName name="STWBD_StatToolsOneVarSummary_VariableList_37" hidden="1">"U_x0001_VG34DA22621EA1CED4_x0001_"</definedName>
    <definedName name="STWBD_StatToolsOneVarSummary_VariableList_38" hidden="1">"U_x0001_VG1CCE810C2D55E8BA_x0001_"</definedName>
    <definedName name="STWBD_StatToolsOneVarSummary_VariableList_39" hidden="1">"U_x0001_VG2098100F168F6FD_x0001_"</definedName>
    <definedName name="STWBD_StatToolsOneVarSummary_VariableList_4" hidden="1">"U_x0001_VG122E1AFB2F81ECD0_x0001_"</definedName>
    <definedName name="STWBD_StatToolsOneVarSummary_VariableList_40" hidden="1">"U_x0001_VG111AF2A20B3BE7E_x0001_"</definedName>
    <definedName name="STWBD_StatToolsOneVarSummary_VariableList_41" hidden="1">"U_x0001_VG130DC045EB96482_x0001_"</definedName>
    <definedName name="STWBD_StatToolsOneVarSummary_VariableList_42" hidden="1">"U_x0001_VG360F46AF34378444_x0001_"</definedName>
    <definedName name="STWBD_StatToolsOneVarSummary_VariableList_43" hidden="1">"U_x0001_VG2F3B565C615E2A3_x0001_"</definedName>
    <definedName name="STWBD_StatToolsOneVarSummary_VariableList_44" hidden="1">"U_x0001_VG26943A3F35AFA71A_x0001_"</definedName>
    <definedName name="STWBD_StatToolsOneVarSummary_VariableList_45" hidden="1">"U_x0001_VG374999A2FD358F9_x0001_"</definedName>
    <definedName name="STWBD_StatToolsOneVarSummary_VariableList_46" hidden="1">"U_x0001_VG12F05D13B0652BA_x0001_"</definedName>
    <definedName name="STWBD_StatToolsOneVarSummary_VariableList_47" hidden="1">"U_x0001_VGD3ED86F31C392C5_x0001_"</definedName>
    <definedName name="STWBD_StatToolsOneVarSummary_VariableList_48" hidden="1">"U_x0001_VG35309E7B309AED19_x0001_"</definedName>
    <definedName name="STWBD_StatToolsOneVarSummary_VariableList_49" hidden="1">"U_x0001_VGE8224BE38278507_x0001_"</definedName>
    <definedName name="STWBD_StatToolsOneVarSummary_VariableList_5" hidden="1">"U_x0001_VG1097527399CA7BB_x0001_"</definedName>
    <definedName name="STWBD_StatToolsOneVarSummary_VariableList_50" hidden="1">"U_x0001_VG35AAB5E14229CB6_x0001_"</definedName>
    <definedName name="STWBD_StatToolsOneVarSummary_VariableList_51" hidden="1">"U_x0001_VG3102E46F38B6AFD5_x0001_"</definedName>
    <definedName name="STWBD_StatToolsOneVarSummary_VariableList_52" hidden="1">"U_x0001_VG29518193364957C2_x0001_"</definedName>
    <definedName name="STWBD_StatToolsOneVarSummary_VariableList_53" hidden="1">"U_x0001_VG12944DEE209395D6_x0001_"</definedName>
    <definedName name="STWBD_StatToolsOneVarSummary_VariableList_54" hidden="1">"U_x0001_VG12B7599739634EDB_x0001_"</definedName>
    <definedName name="STWBD_StatToolsOneVarSummary_VariableList_55" hidden="1">"U_x0001_VG338AAACD133F575C_x0001_"</definedName>
    <definedName name="STWBD_StatToolsOneVarSummary_VariableList_56" hidden="1">"U_x0001_VG62C66209FB6D62_x0001_"</definedName>
    <definedName name="STWBD_StatToolsOneVarSummary_VariableList_57" hidden="1">"U_x0001_VGFBCC3263A7D008F_x0001_"</definedName>
    <definedName name="STWBD_StatToolsOneVarSummary_VariableList_58" hidden="1">"U_x0001_VG1140353D2B1FFB06_x0001_"</definedName>
    <definedName name="STWBD_StatToolsOneVarSummary_VariableList_59" hidden="1">"U_x0001_VG8445AE52DA5B54A_x0001_"</definedName>
    <definedName name="STWBD_StatToolsOneVarSummary_VariableList_6" hidden="1">"U_x0001_VG690A8E928770381_x0001_"</definedName>
    <definedName name="STWBD_StatToolsOneVarSummary_VariableList_60" hidden="1">"U_x0001_VG63AC3EB1A88AFCB_x0001_"</definedName>
    <definedName name="STWBD_StatToolsOneVarSummary_VariableList_61" hidden="1">"U_x0001_VGBF8001616F0C8DE_x0001_"</definedName>
    <definedName name="STWBD_StatToolsOneVarSummary_VariableList_62" hidden="1">"U_x0001_VGC85E68E34078DB5_x0001_"</definedName>
    <definedName name="STWBD_StatToolsOneVarSummary_VariableList_63" hidden="1">"U_x0001_VG49140792E88CB9C_x0001_"</definedName>
    <definedName name="STWBD_StatToolsOneVarSummary_VariableList_64" hidden="1">"U_x0001_VG12E9F69E2096728E_x0001_"</definedName>
    <definedName name="STWBD_StatToolsOneVarSummary_VariableList_65" hidden="1">"U_x0001_VG28CFE2C8C1FD040_x0001_"</definedName>
    <definedName name="STWBD_StatToolsOneVarSummary_VariableList_66" hidden="1">"U_x0001_VG29399FE816B83084_x0001_"</definedName>
    <definedName name="STWBD_StatToolsOneVarSummary_VariableList_67" hidden="1">"U_x0001_VG325F5AB16504762_x0001_"</definedName>
    <definedName name="STWBD_StatToolsOneVarSummary_VariableList_68" hidden="1">"U_x0001_VG3560BCDA299EC931_x0001_"</definedName>
    <definedName name="STWBD_StatToolsOneVarSummary_VariableList_69" hidden="1">"U_x0001_VG3B41B78390BB7DE_x0001_"</definedName>
    <definedName name="STWBD_StatToolsOneVarSummary_VariableList_7" hidden="1">"U_x0001_VGB57A7941F49B6A0_x0001_"</definedName>
    <definedName name="STWBD_StatToolsOneVarSummary_VariableList_70" hidden="1">"U_x0001_VG2BBBA3C217B0C859_x0001_"</definedName>
    <definedName name="STWBD_StatToolsOneVarSummary_VariableList_71" hidden="1">"U_x0001_VG2AAF43DBF383186_x0001_"</definedName>
    <definedName name="STWBD_StatToolsOneVarSummary_VariableList_72" hidden="1">"U_x0001_VG23ECF872FB59D1A_x0001_"</definedName>
    <definedName name="STWBD_StatToolsOneVarSummary_VariableList_73" hidden="1">"U_x0001_VG845134C12408D05_x0001_"</definedName>
    <definedName name="STWBD_StatToolsOneVarSummary_VariableList_8" hidden="1">"U_x0001_VG11D0975631208D1_x0001_"</definedName>
    <definedName name="STWBD_StatToolsOneVarSummary_VariableList_9" hidden="1">"U_x0001_VG40EFC2427CD7E6F_x0001_"</definedName>
    <definedName name="STWBD_StatToolsOneVarSummary_Variance" hidden="1">"TRUE"</definedName>
    <definedName name="STWBD_StatToolsOneVarSummary_VarSelectorDefaultDataSet" hidden="1">"DG194D4B04"</definedName>
    <definedName name="STWBD_StatToolsPrincipalComponentAnalysis_ComponentsDataSet" hidden="1">1</definedName>
    <definedName name="STWBD_StatToolsPrincipalComponentAnalysis_ComponentsDataSet_1" hidden="1">" 0"</definedName>
    <definedName name="STWBD_StatToolsPrincipalComponentAnalysis_FixedNumber" hidden="1">1</definedName>
    <definedName name="STWBD_StatToolsPrincipalComponentAnalysis_FixedNumber_1" hidden="1">"TRUE"</definedName>
    <definedName name="STWBD_StatToolsPrincipalComponentAnalysis_GreaterThanAverage" hidden="1">1</definedName>
    <definedName name="STWBD_StatToolsPrincipalComponentAnalysis_GreaterThanAverage_1" hidden="1">"FALSE"</definedName>
    <definedName name="STWBD_StatToolsPrincipalComponentAnalysis_HasDefaultInfo" hidden="1">1</definedName>
    <definedName name="STWBD_StatToolsPrincipalComponentAnalysis_HasDefaultInfo_1" hidden="1">"TRUE"</definedName>
    <definedName name="STWBD_StatToolsPrincipalComponentAnalysis_MatrixType" hidden="1">1</definedName>
    <definedName name="STWBD_StatToolsPrincipalComponentAnalysis_MatrixType_1" hidden="1">" 0"</definedName>
    <definedName name="STWBD_StatToolsPrincipalComponentAnalysis_NumberOfComponents" hidden="1">1</definedName>
    <definedName name="STWBD_StatToolsPrincipalComponentAnalysis_NumberOfComponents_1" hidden="1">" 2"</definedName>
    <definedName name="STWBD_StatToolsPrincipalComponentAnalysis_PercentageOfTotalVariance" hidden="1">1</definedName>
    <definedName name="STWBD_StatToolsPrincipalComponentAnalysis_PercentageOfTotalVariance_1" hidden="1">" .7"</definedName>
    <definedName name="STWBD_StatToolsPrincipalComponentAnalysis_PlaceComponents" hidden="1">1</definedName>
    <definedName name="STWBD_StatToolsPrincipalComponentAnalysis_PlaceComponents_1" hidden="1">"FALSE"</definedName>
    <definedName name="STWBD_StatToolsPrincipalComponentAnalysis_ScorePlot" hidden="1">1</definedName>
    <definedName name="STWBD_StatToolsPrincipalComponentAnalysis_ScorePlot_1" hidden="1">"FALSE"</definedName>
    <definedName name="STWBD_StatToolsPrincipalComponentAnalysis_ScorePlotBreakingDownByCategory" hidden="1">1</definedName>
    <definedName name="STWBD_StatToolsPrincipalComponentAnalysis_ScorePlotBreakingDownByCategory_1" hidden="1">"FALSE"</definedName>
    <definedName name="STWBD_StatToolsPrincipalComponentAnalysis_ScorePlotIncludingEllipses" hidden="1">1</definedName>
    <definedName name="STWBD_StatToolsPrincipalComponentAnalysis_ScorePlotIncludingEllipses_1" hidden="1">"FALSE"</definedName>
    <definedName name="STWBD_StatToolsPrincipalComponentAnalysis_ScreePlot" hidden="1">1</definedName>
    <definedName name="STWBD_StatToolsPrincipalComponentAnalysis_ScreePlot_1" hidden="1">"TRUE"</definedName>
    <definedName name="STWBD_StatToolsPrincipalComponentAnalysis_SpecificPercentage" hidden="1">1</definedName>
    <definedName name="STWBD_StatToolsPrincipalComponentAnalysis_SpecificPercentage_1" hidden="1">"FALSE"</definedName>
    <definedName name="STWBD_StatToolsPrincipalComponentAnalysis_VariableList" hidden="1">22</definedName>
    <definedName name="STWBD_StatToolsPrincipalComponentAnalysis_VariableList_1" hidden="1">"U_x0001_VG7B2B1701B2AC8F7_x0001_"</definedName>
    <definedName name="STWBD_StatToolsPrincipalComponentAnalysis_VariableList_10" hidden="1">"U_x0001_VG2381182CB2454F2_x0001_"</definedName>
    <definedName name="STWBD_StatToolsPrincipalComponentAnalysis_VariableList_11" hidden="1">"U_x0001_VG16612717A71A38B_x0001_"</definedName>
    <definedName name="STWBD_StatToolsPrincipalComponentAnalysis_VariableList_12" hidden="1">"U_x0001_VG653622E133EF7AB_x0001_"</definedName>
    <definedName name="STWBD_StatToolsPrincipalComponentAnalysis_VariableList_13" hidden="1">"U_x0001_VGE1A0739299D604E_x0001_"</definedName>
    <definedName name="STWBD_StatToolsPrincipalComponentAnalysis_VariableList_14" hidden="1">"U_x0001_VG32C22F3E321D6D46_x0001_"</definedName>
    <definedName name="STWBD_StatToolsPrincipalComponentAnalysis_VariableList_15" hidden="1">"U_x0001_VG5EF085833CAD094_x0001_"</definedName>
    <definedName name="STWBD_StatToolsPrincipalComponentAnalysis_VariableList_16" hidden="1">"U_x0001_VGB2430643896DBEC_x0001_"</definedName>
    <definedName name="STWBD_StatToolsPrincipalComponentAnalysis_VariableList_17" hidden="1">"U_x0001_VG2D9EBA1535BD6226_x0001_"</definedName>
    <definedName name="STWBD_StatToolsPrincipalComponentAnalysis_VariableList_18" hidden="1">"U_x0001_VG8DD2FC23426A111_x0001_"</definedName>
    <definedName name="STWBD_StatToolsPrincipalComponentAnalysis_VariableList_19" hidden="1">"U_x0001_VG12DF7EF81C804F33_x0001_"</definedName>
    <definedName name="STWBD_StatToolsPrincipalComponentAnalysis_VariableList_2" hidden="1">"U_x0001_VG2D084B32254D46A8_x0001_"</definedName>
    <definedName name="STWBD_StatToolsPrincipalComponentAnalysis_VariableList_20" hidden="1">"U_x0001_VG244D7968359E1FFE_x0001_"</definedName>
    <definedName name="STWBD_StatToolsPrincipalComponentAnalysis_VariableList_21" hidden="1">"U_x0001_VG1BB1A554C5580B5_x0001_"</definedName>
    <definedName name="STWBD_StatToolsPrincipalComponentAnalysis_VariableList_22" hidden="1">"U_x0001_VG17F658A21CBA42F0_x0001_"</definedName>
    <definedName name="STWBD_StatToolsPrincipalComponentAnalysis_VariableList_3" hidden="1">"U_x0001_VG15523B7F3770E24E_x0001_"</definedName>
    <definedName name="STWBD_StatToolsPrincipalComponentAnalysis_VariableList_4" hidden="1">"U_x0001_VG1CEEBC5648E049_x0001_"</definedName>
    <definedName name="STWBD_StatToolsPrincipalComponentAnalysis_VariableList_5" hidden="1">"U_x0001_VG2E0DDEEB23C67E8C_x0001_"</definedName>
    <definedName name="STWBD_StatToolsPrincipalComponentAnalysis_VariableList_6" hidden="1">"U_x0001_VG2701F632942D3BF_x0001_"</definedName>
    <definedName name="STWBD_StatToolsPrincipalComponentAnalysis_VariableList_7" hidden="1">"U_x0001_VG1AAB15732FB5787D_x0001_"</definedName>
    <definedName name="STWBD_StatToolsPrincipalComponentAnalysis_VariableList_8" hidden="1">"U_x0001_VG2514A48630A65797_x0001_"</definedName>
    <definedName name="STWBD_StatToolsPrincipalComponentAnalysis_VariableList_9" hidden="1">"U_x0001_VGA1417481FFCC7B8_x0001_"</definedName>
    <definedName name="STWBD_StatToolsPrincipalComponentAnalysis_VarSelectorDefaultDataSet" hidden="1">1</definedName>
    <definedName name="STWBD_StatToolsPrincipalComponentAnalysis_VarSelectorDefaultDataSet_1" hidden="1">"DG18FF0436"</definedName>
    <definedName name="STWBD_StatToolsRegression_blockList" hidden="1">"-1"</definedName>
    <definedName name="STWBD_StatToolsRegression_CheckMulticollinearity" localSheetId="3" hidden="1">"TRUE"</definedName>
    <definedName name="STWBD_StatToolsRegression_CheckMulticollinearity" hidden="1">"FALSE"</definedName>
    <definedName name="STWBD_StatToolsRegression_ConfidenceLevel" hidden="1">" .95"</definedName>
    <definedName name="STWBD_StatToolsRegression_DisplayCorrelationMatrix" localSheetId="3" hidden="1">"TRUE"</definedName>
    <definedName name="STWBD_StatToolsRegression_DisplayCorrelationMatrix" hidden="1">"FALSE"</definedName>
    <definedName name="STWBD_StatToolsRegression_DisplayRegressionEquation" localSheetId="3" hidden="1">"TRUE"</definedName>
    <definedName name="STWBD_StatToolsRegression_DisplayRegressionEquation" hidden="1">"FALSE"</definedName>
    <definedName name="STWBD_StatToolsRegression_FixVariables" hidden="1">"FALSE"</definedName>
    <definedName name="STWBD_StatToolsRegression_fixVarList" hidden="1">"-1"</definedName>
    <definedName name="STWBD_StatToolsRegression_FValueToEnter" hidden="1">" 2.2"</definedName>
    <definedName name="STWBD_StatToolsRegression_FValueToLeave" hidden="1">" 1.1"</definedName>
    <definedName name="STWBD_StatToolsRegression_GraphFittedValueVsActualYValue" hidden="1">"FALSE"</definedName>
    <definedName name="STWBD_StatToolsRegression_GraphFittedValueVsXValue" hidden="1">"FALSE"</definedName>
    <definedName name="STWBD_StatToolsRegression_GraphHistogramOfResiduals" hidden="1">"FALSE"</definedName>
    <definedName name="STWBD_StatToolsRegression_GraphResidualVsFittedValue" hidden="1">"FALSE"</definedName>
    <definedName name="STWBD_StatToolsRegression_GraphResidualVsOrderIndex" hidden="1">"FALSE"</definedName>
    <definedName name="STWBD_StatToolsRegression_GraphResidualVsXValue" hidden="1">"FALSE"</definedName>
    <definedName name="STWBD_StatToolsRegression_HasDefaultInfo" hidden="1">"TRUE"</definedName>
    <definedName name="STWBD_StatToolsRegression_IdentifyOutliersInDataSet" hidden="1">"FALSE"</definedName>
    <definedName name="STWBD_StatToolsRegression_IdentifyOutliersInGraphs" hidden="1">"FALSE"</definedName>
    <definedName name="STWBD_StatToolsRegression_IncludeDerivedVariables" hidden="1">"FALSE"</definedName>
    <definedName name="STWBD_StatToolsRegression_IncludePrediction" hidden="1">"FALSE"</definedName>
    <definedName name="STWBD_StatToolsRegression_IncludeSteps" hidden="1">"FALSE"</definedName>
    <definedName name="STWBD_StatToolsRegression_NumberOfBlocks" hidden="1">" 2"</definedName>
    <definedName name="STWBD_StatToolsRegression_pValueToEnter" hidden="1">" .05"</definedName>
    <definedName name="STWBD_StatToolsRegression_pValueToLeave" hidden="1">" .1"</definedName>
    <definedName name="STWBD_StatToolsRegression_RegressionType" localSheetId="3" hidden="1">" 3"</definedName>
    <definedName name="STWBD_StatToolsRegression_RegressionType" hidden="1">" 0"</definedName>
    <definedName name="STWBD_StatToolsRegression_StandardizeNumericVariables" localSheetId="3" hidden="1">"TRUE"</definedName>
    <definedName name="STWBD_StatToolsRegression_StandardizeNumericVariables" hidden="1">"FALSE"</definedName>
    <definedName name="STWBD_StatToolsRegression_throughOrigin" hidden="1">"FALSE"</definedName>
    <definedName name="STWBD_StatToolsRegression_useFValue" hidden="1">"FALSE"</definedName>
    <definedName name="STWBD_StatToolsRegression_usePValue" hidden="1">"TRUE"</definedName>
    <definedName name="STWBD_StatToolsRegression_VariableDependent" localSheetId="3" hidden="1">"U_x0001_VGB81D42BD2AEED7_x0001_"</definedName>
    <definedName name="STWBD_StatToolsRegression_VariableDependent" hidden="1">"U_x0001_VG111AF2A20B3BE7E_x0001_"</definedName>
    <definedName name="STWBD_StatToolsRegression_VariableListIndependent" localSheetId="3" hidden="1">29</definedName>
    <definedName name="STWBD_StatToolsRegression_VariableListIndependent" hidden="1">14</definedName>
    <definedName name="STWBD_StatToolsRegression_VariableListIndependent_1" localSheetId="3" hidden="1">"U_x0001_VG2FA43EE81E6ED1A_x0001_"</definedName>
    <definedName name="STWBD_StatToolsRegression_VariableListIndependent_1" hidden="1">"U_x0001_VG40EFC2427CD7E6F_x0001_"</definedName>
    <definedName name="STWBD_StatToolsRegression_VariableListIndependent_10" localSheetId="3" hidden="1">"U_x0001_VG9E963710CBC606_x0001_"</definedName>
    <definedName name="STWBD_StatToolsRegression_VariableListIndependent_10" hidden="1">"U_x0001_VG33857DFF5F12FEB_x0001_"</definedName>
    <definedName name="STWBD_StatToolsRegression_VariableListIndependent_11" localSheetId="3" hidden="1">"U_x0001_VG266BEBA810727BE0_x0001_"</definedName>
    <definedName name="STWBD_StatToolsRegression_VariableListIndependent_11" hidden="1">"U_x0001_VG3248A0F619282495_x0001_"</definedName>
    <definedName name="STWBD_StatToolsRegression_VariableListIndependent_12" localSheetId="3" hidden="1">"U_x0001_VG36EF517C27DFD3D5_x0001_"</definedName>
    <definedName name="STWBD_StatToolsRegression_VariableListIndependent_12" hidden="1">"U_x0001_VGE8224BE38278507_x0001_"</definedName>
    <definedName name="STWBD_StatToolsRegression_VariableListIndependent_13" localSheetId="3" hidden="1">"U_x0001_VG19BCE26710471E0C_x0001_"</definedName>
    <definedName name="STWBD_StatToolsRegression_VariableListIndependent_13" hidden="1">"U_x0001_VG23ECF872FB59D1A_x0001_"</definedName>
    <definedName name="STWBD_StatToolsRegression_VariableListIndependent_14" localSheetId="3" hidden="1">"U_x0001_VG3A57E49A37C6DCB8_x0001_"</definedName>
    <definedName name="STWBD_StatToolsRegression_VariableListIndependent_14" hidden="1">"U_x0001_VG845134C12408D05_x0001_"</definedName>
    <definedName name="STWBD_StatToolsRegression_VariableListIndependent_2" localSheetId="3" hidden="1">"U_x0001_VG341043FE127C5E4B_x0001_"</definedName>
    <definedName name="STWBD_StatToolsRegression_VariableListIndependent_2" hidden="1">"U_x0001_VG28A637A621E41FED_x0001_"</definedName>
    <definedName name="STWBD_StatToolsRegression_VariableListIndependent_3" localSheetId="3" hidden="1">"U_x0001_VG4BA6F8267A5131_x0001_"</definedName>
    <definedName name="STWBD_StatToolsRegression_VariableListIndependent_3" hidden="1">"U_x0001_VGA8AFEA1616AE21_x0001_"</definedName>
    <definedName name="STWBD_StatToolsRegression_VariableListIndependent_4" localSheetId="3" hidden="1">"U_x0001_VG20ED9C1C1420178A_x0001_"</definedName>
    <definedName name="STWBD_StatToolsRegression_VariableListIndependent_4" hidden="1">"U_x0001_VG1D13874474ABFEC_x0001_"</definedName>
    <definedName name="STWBD_StatToolsRegression_VariableListIndependent_5" localSheetId="3" hidden="1">"U_x0001_VG2E3412C2E35161C_x0001_"</definedName>
    <definedName name="STWBD_StatToolsRegression_VariableListIndependent_5" hidden="1">"U_x0001_VG2C6E81DC2BA31035_x0001_"</definedName>
    <definedName name="STWBD_StatToolsRegression_VariableListIndependent_6" localSheetId="3" hidden="1">"U_x0001_VG13F72CB833617B88_x0001_"</definedName>
    <definedName name="STWBD_StatToolsRegression_VariableListIndependent_6" hidden="1">"U_x0001_VG302BCA978F6F970_x0001_"</definedName>
    <definedName name="STWBD_StatToolsRegression_VariableListIndependent_7" localSheetId="3" hidden="1">"U_x0001_VG230B1323E41B34C_x0001_"</definedName>
    <definedName name="STWBD_StatToolsRegression_VariableListIndependent_7" hidden="1">"U_x0001_VG3747EB9D638B6E3_x0001_"</definedName>
    <definedName name="STWBD_StatToolsRegression_VariableListIndependent_8" localSheetId="3" hidden="1">"U_x0001_VG24E0F321364D2A58_x0001_"</definedName>
    <definedName name="STWBD_StatToolsRegression_VariableListIndependent_8" hidden="1">"U_x0001_VG12B227E53973D25C_x0001_"</definedName>
    <definedName name="STWBD_StatToolsRegression_VariableListIndependent_9" localSheetId="3" hidden="1">"U_x0001_VG15624C73E91B47A_x0001_"</definedName>
    <definedName name="STWBD_StatToolsRegression_VariableListIndependent_9" hidden="1">"U_x0001_VG12A8FC442790148B_x0001_"</definedName>
    <definedName name="STWBD_StatToolsRegression_VarSelectorDefaultDataSet" localSheetId="3" hidden="1">"DG15DED2B1"</definedName>
    <definedName name="STWBD_StatToolsRegression_VarSelectorDefaultDataSet" hidden="1">"DG194D4B04"</definedName>
    <definedName name="STWBD_StatToolsScatterplot_DisplayCorrelationCoefficient" hidden="1">"TRUE"</definedName>
    <definedName name="STWBD_StatToolsScatterplot_HasDefaultInfo" hidden="1">"TRUE"</definedName>
    <definedName name="STWBD_StatToolsScatterplot_ScatterplotChartType" hidden="1">" 0"</definedName>
    <definedName name="STWBD_StatToolsScatterplot_VarSelectorDefaultDataSet" hidden="1">"DG194D4B04"</definedName>
    <definedName name="STWBD_StatToolsScatterplot_XVariableList" hidden="1">1</definedName>
    <definedName name="STWBD_StatToolsScatterplot_XVariableList_1" localSheetId="11" hidden="1">"U_x0001_VG690A8E928770381_x0001_"</definedName>
    <definedName name="STWBD_StatToolsScatterplot_XVariableList_1" hidden="1">"U_x0001_VG111AF2A20B3BE7E_x0001_"</definedName>
    <definedName name="STWBD_StatToolsScatterplot_YVariableList" hidden="1">1</definedName>
    <definedName name="STWBD_StatToolsScatterplot_YVariableList_1" hidden="1">"U_x0001_VG122E1AFB2F81ECD0_x0001_"</definedName>
  </definedNames>
  <calcPr calcId="179017"/>
  <pivotCaches>
    <pivotCache cacheId="0" r:id="rId27"/>
    <pivotCache cacheId="1" r:id="rId28"/>
    <pivotCache cacheId="2" r:id="rId29"/>
  </pivotCaches>
</workbook>
</file>

<file path=xl/calcChain.xml><?xml version="1.0" encoding="utf-8"?>
<calcChain xmlns="http://schemas.openxmlformats.org/spreadsheetml/2006/main">
  <c r="B9" i="58" l="1"/>
  <c r="A1" i="77"/>
  <c r="J25" i="54"/>
  <c r="J20" i="54"/>
  <c r="J29" i="54"/>
  <c r="J33" i="54"/>
  <c r="EQ15" i="1"/>
  <c r="G7" i="75"/>
  <c r="C4" i="75"/>
  <c r="B11" i="75"/>
  <c r="B12" i="75" s="1"/>
  <c r="EQ16" i="1"/>
  <c r="K32" i="54"/>
  <c r="J32" i="54" s="1"/>
  <c r="K31" i="54"/>
  <c r="J31" i="54" s="1"/>
  <c r="K20" i="57"/>
  <c r="J23" i="54"/>
  <c r="K28" i="54"/>
  <c r="J28" i="54" s="1"/>
  <c r="K27" i="54"/>
  <c r="J27" i="54" s="1"/>
  <c r="K24" i="54"/>
  <c r="J24" i="54" s="1"/>
  <c r="K23" i="54"/>
  <c r="M12" i="57"/>
  <c r="L12" i="57"/>
  <c r="K12" i="57"/>
  <c r="L13" i="57"/>
  <c r="K13" i="57"/>
  <c r="K19" i="54"/>
  <c r="J19" i="54" s="1"/>
  <c r="K18" i="54"/>
  <c r="J18" i="54" s="1"/>
  <c r="K19" i="57"/>
  <c r="K18" i="57"/>
  <c r="K17" i="57"/>
  <c r="K16" i="57"/>
  <c r="K15" i="57"/>
  <c r="K14" i="57"/>
  <c r="K10" i="57"/>
  <c r="K11" i="57"/>
  <c r="K9" i="57"/>
  <c r="K8" i="57"/>
  <c r="K7" i="57"/>
  <c r="I35" i="69"/>
  <c r="I37" i="69"/>
  <c r="I33" i="69"/>
  <c r="I34" i="69" s="1"/>
  <c r="I32" i="69"/>
  <c r="B229" i="58"/>
  <c r="B226" i="58"/>
  <c r="B223" i="58"/>
  <c r="B220" i="58"/>
  <c r="B217" i="58"/>
  <c r="B214" i="58"/>
  <c r="B211" i="58"/>
  <c r="B208" i="58"/>
  <c r="B205" i="58"/>
  <c r="B202" i="58"/>
  <c r="B199" i="58"/>
  <c r="B196" i="58"/>
  <c r="B193" i="58"/>
  <c r="B190" i="58"/>
  <c r="B181" i="58"/>
  <c r="B175" i="58"/>
  <c r="B172" i="58"/>
  <c r="B166" i="58"/>
  <c r="B163" i="58"/>
  <c r="B160" i="58"/>
  <c r="B154" i="58"/>
  <c r="B151" i="58"/>
  <c r="B148" i="58"/>
  <c r="B145" i="58"/>
  <c r="B142" i="58"/>
  <c r="B139" i="58"/>
  <c r="B136" i="58"/>
  <c r="B133" i="58"/>
  <c r="B127" i="58"/>
  <c r="B124" i="58"/>
  <c r="B121" i="58"/>
  <c r="B118" i="58"/>
  <c r="B115" i="58"/>
  <c r="B112" i="58"/>
  <c r="B109" i="58"/>
  <c r="B106" i="58"/>
  <c r="B103" i="58"/>
  <c r="B100" i="58"/>
  <c r="B97" i="58"/>
  <c r="B94" i="58"/>
  <c r="B91" i="58"/>
  <c r="B88" i="58"/>
  <c r="B85" i="58"/>
  <c r="B82" i="58"/>
  <c r="B79" i="58"/>
  <c r="B76" i="58"/>
  <c r="B73" i="58"/>
  <c r="B70" i="58"/>
  <c r="B67" i="58"/>
  <c r="B64" i="58"/>
  <c r="B61" i="58"/>
  <c r="B58" i="58"/>
  <c r="B55" i="58"/>
  <c r="B52" i="58"/>
  <c r="B49" i="58"/>
  <c r="B43" i="58"/>
  <c r="B40" i="58"/>
  <c r="B37" i="58"/>
  <c r="B34" i="58"/>
  <c r="B31" i="58"/>
  <c r="B28" i="58"/>
  <c r="B25" i="58"/>
  <c r="B22" i="58"/>
  <c r="B19" i="58"/>
  <c r="B13" i="58"/>
  <c r="B3" i="58"/>
  <c r="BD18" i="80"/>
  <c r="E15" i="80"/>
  <c r="AM4" i="80"/>
  <c r="T18" i="80"/>
  <c r="BL17" i="80"/>
  <c r="AH3" i="80"/>
  <c r="BC26" i="80"/>
  <c r="BM10" i="80"/>
  <c r="AX20" i="80"/>
  <c r="AU14" i="80"/>
  <c r="BL23" i="80"/>
  <c r="BA7" i="80"/>
  <c r="AK26" i="80"/>
  <c r="V16" i="80"/>
  <c r="N17" i="80"/>
  <c r="T4" i="80"/>
  <c r="AH16" i="80"/>
  <c r="M10" i="80"/>
  <c r="AZ17" i="80"/>
  <c r="BA27" i="80"/>
  <c r="AP13" i="80"/>
  <c r="AV12" i="80"/>
  <c r="AG24" i="80"/>
  <c r="AQ6" i="80"/>
  <c r="BM13" i="80"/>
  <c r="BH3" i="80"/>
  <c r="AZ13" i="80"/>
  <c r="AE5" i="80"/>
  <c r="AX3" i="80"/>
  <c r="AL26" i="80"/>
  <c r="BM4" i="80"/>
  <c r="C21" i="80"/>
  <c r="AS15" i="80"/>
  <c r="AT25" i="80"/>
  <c r="BK26" i="80"/>
  <c r="AE25" i="80"/>
  <c r="BA22" i="80"/>
  <c r="BK13" i="80"/>
  <c r="AV15" i="80"/>
  <c r="BF7" i="80"/>
  <c r="AQ9" i="80"/>
  <c r="AK25" i="80"/>
  <c r="BL12" i="80"/>
  <c r="AR24" i="80"/>
  <c r="N16" i="80"/>
  <c r="G26" i="80"/>
  <c r="L3" i="80"/>
  <c r="BL13" i="80"/>
  <c r="AQ3" i="80"/>
  <c r="AR13" i="80"/>
  <c r="BI14" i="80"/>
  <c r="BM26" i="80"/>
  <c r="AY10" i="80"/>
  <c r="BH27" i="80"/>
  <c r="AT3" i="80"/>
  <c r="BC21" i="80"/>
  <c r="AN23" i="80"/>
  <c r="AI13" i="80"/>
  <c r="BI26" i="80"/>
  <c r="AP12" i="80"/>
  <c r="I20" i="80"/>
  <c r="E16" i="80"/>
  <c r="I19" i="80"/>
  <c r="AZ3" i="80"/>
  <c r="AE27" i="80"/>
  <c r="AH17" i="80"/>
  <c r="T3" i="80"/>
  <c r="BF14" i="80"/>
  <c r="BK15" i="80"/>
  <c r="AY27" i="80"/>
  <c r="BF9" i="80"/>
  <c r="AT21" i="80"/>
  <c r="AN13" i="80"/>
  <c r="BG26" i="80"/>
  <c r="AW16" i="80"/>
  <c r="BC11" i="80"/>
  <c r="BD21" i="80"/>
  <c r="AN9" i="80"/>
  <c r="AO19" i="80"/>
  <c r="BK18" i="80"/>
  <c r="AJ4" i="80"/>
  <c r="BF11" i="80"/>
  <c r="AD26" i="80"/>
  <c r="BA5" i="80"/>
  <c r="AU21" i="80"/>
  <c r="AN5" i="80"/>
  <c r="BB20" i="80"/>
  <c r="H23" i="80"/>
  <c r="Q26" i="80"/>
  <c r="U21" i="80"/>
  <c r="BB12" i="80"/>
  <c r="BK17" i="80"/>
  <c r="U15" i="80"/>
  <c r="H22" i="80"/>
  <c r="Z17" i="80"/>
  <c r="M26" i="80"/>
  <c r="D26" i="80"/>
  <c r="BH6" i="80"/>
  <c r="B22" i="80"/>
  <c r="M17" i="80"/>
  <c r="BB2" i="80"/>
  <c r="O4" i="80"/>
  <c r="J19" i="67"/>
  <c r="X21" i="80"/>
  <c r="N32" i="66"/>
  <c r="AI44" i="66"/>
  <c r="W2" i="80"/>
  <c r="AE9" i="80"/>
  <c r="BH17" i="80"/>
  <c r="D22" i="67"/>
  <c r="I46" i="66"/>
  <c r="D13" i="80"/>
  <c r="AX8" i="80"/>
  <c r="X4" i="80"/>
  <c r="AI18" i="80"/>
  <c r="D12" i="80"/>
  <c r="G16" i="80"/>
  <c r="C26" i="80"/>
  <c r="S27" i="80"/>
  <c r="C11" i="80"/>
  <c r="N28" i="66"/>
  <c r="AH10" i="80"/>
  <c r="BA8" i="80"/>
  <c r="BH25" i="80"/>
  <c r="L2" i="80"/>
  <c r="C2" i="80"/>
  <c r="AN6" i="80"/>
  <c r="AJ26" i="80"/>
  <c r="O22" i="80"/>
  <c r="BC3" i="80"/>
  <c r="BD13" i="80"/>
  <c r="AR25" i="80"/>
  <c r="AX24" i="80"/>
  <c r="AJ8" i="80"/>
  <c r="AS18" i="80"/>
  <c r="AE4" i="80"/>
  <c r="BJ15" i="80"/>
  <c r="BB25" i="80"/>
  <c r="AG17" i="80"/>
  <c r="BJ19" i="80"/>
  <c r="BF18" i="80"/>
  <c r="D8" i="80"/>
  <c r="U25" i="80"/>
  <c r="AU27" i="80"/>
  <c r="AW11" i="80"/>
  <c r="AD15" i="80"/>
  <c r="AH11" i="80"/>
  <c r="BD8" i="80"/>
  <c r="BM25" i="80"/>
  <c r="AX27" i="80"/>
  <c r="BH19" i="80"/>
  <c r="AS21" i="80"/>
  <c r="AN11" i="80"/>
  <c r="AD11" i="80"/>
  <c r="AU10" i="80"/>
  <c r="S20" i="80"/>
  <c r="J12" i="80"/>
  <c r="N15" i="80"/>
  <c r="AU7" i="80"/>
  <c r="BI22" i="80"/>
  <c r="BI10" i="80"/>
  <c r="AR8" i="80"/>
  <c r="AV20" i="80"/>
  <c r="AH6" i="80"/>
  <c r="AQ21" i="80"/>
  <c r="BK8" i="80"/>
  <c r="AL15" i="80"/>
  <c r="AB25" i="80"/>
  <c r="BB22" i="80"/>
  <c r="AR20" i="80"/>
  <c r="BG17" i="80"/>
  <c r="X15" i="80"/>
  <c r="M13" i="80"/>
  <c r="W24" i="80"/>
  <c r="AR21" i="80"/>
  <c r="BG10" i="80"/>
  <c r="BF24" i="80"/>
  <c r="AO22" i="80"/>
  <c r="AT8" i="80"/>
  <c r="AE20" i="80"/>
  <c r="AO9" i="80"/>
  <c r="AQ16" i="80"/>
  <c r="AJ3" i="80"/>
  <c r="Z13" i="80"/>
  <c r="AZ10" i="80"/>
  <c r="AP8" i="80"/>
  <c r="BE5" i="80"/>
  <c r="V3" i="80"/>
  <c r="B6" i="80"/>
  <c r="U12" i="80"/>
  <c r="AC21" i="80"/>
  <c r="O7" i="80"/>
  <c r="AV26" i="80"/>
  <c r="AI24" i="80"/>
  <c r="AL22" i="80"/>
  <c r="AQ23" i="80"/>
  <c r="BM22" i="80"/>
  <c r="AL17" i="80"/>
  <c r="BH16" i="80"/>
  <c r="BE10" i="80"/>
  <c r="AN8" i="80"/>
  <c r="BE3" i="80"/>
  <c r="AI19" i="80"/>
  <c r="AK3" i="80"/>
  <c r="BB4" i="80"/>
  <c r="BF16" i="80"/>
  <c r="AQ26" i="80"/>
  <c r="BA17" i="80"/>
  <c r="AL19" i="80"/>
  <c r="AV11" i="80"/>
  <c r="AG7" i="80"/>
  <c r="BL18" i="80"/>
  <c r="BB16" i="80"/>
  <c r="AI2" i="80"/>
  <c r="B2" i="80"/>
  <c r="G19" i="80"/>
  <c r="BJ10" i="80"/>
  <c r="L21" i="80"/>
  <c r="AO11" i="80"/>
  <c r="BB24" i="80"/>
  <c r="BA4" i="80"/>
  <c r="L16" i="80"/>
  <c r="W25" i="80"/>
  <c r="C14" i="80"/>
  <c r="M25" i="80"/>
  <c r="B23" i="80"/>
  <c r="Y12" i="80"/>
  <c r="K25" i="67"/>
  <c r="Y3" i="80"/>
  <c r="V32" i="66"/>
  <c r="E11" i="80"/>
  <c r="BD9" i="80"/>
  <c r="AH27" i="80"/>
  <c r="AJ12" i="80"/>
  <c r="BJ22" i="80"/>
  <c r="AM26" i="80"/>
  <c r="AL3" i="80"/>
  <c r="AU20" i="80"/>
  <c r="N20" i="80"/>
  <c r="AL4" i="80"/>
  <c r="D20" i="80"/>
  <c r="AC7" i="80"/>
  <c r="N10" i="80"/>
  <c r="T9" i="80"/>
  <c r="B4" i="80"/>
  <c r="AU16" i="80"/>
  <c r="AX13" i="80"/>
  <c r="AY23" i="80"/>
  <c r="AI11" i="80"/>
  <c r="AJ21" i="80"/>
  <c r="BF20" i="80"/>
  <c r="AE8" i="80"/>
  <c r="BA13" i="80"/>
  <c r="BK5" i="80"/>
  <c r="AV7" i="80"/>
  <c r="AP23" i="80"/>
  <c r="AI7" i="80"/>
  <c r="AW22" i="80"/>
  <c r="Z12" i="80"/>
  <c r="M4" i="80"/>
  <c r="P27" i="80"/>
  <c r="AW19" i="80"/>
  <c r="BL8" i="80"/>
  <c r="BK22" i="80"/>
  <c r="AT20" i="80"/>
  <c r="AY6" i="80"/>
  <c r="AJ16" i="80"/>
  <c r="AT7" i="80"/>
  <c r="AE3" i="80"/>
  <c r="AN27" i="80"/>
  <c r="AO4" i="80"/>
  <c r="BE8" i="80"/>
  <c r="AU6" i="80"/>
  <c r="BJ3" i="80"/>
  <c r="Z27" i="80"/>
  <c r="AM8" i="80"/>
  <c r="Z10" i="80"/>
  <c r="BI18" i="80"/>
  <c r="AP4" i="80"/>
  <c r="AO18" i="80"/>
  <c r="BF27" i="80"/>
  <c r="AC6" i="80"/>
  <c r="AY9" i="80"/>
  <c r="BH18" i="80"/>
  <c r="N9" i="80"/>
  <c r="BC12" i="80"/>
  <c r="I5" i="80"/>
  <c r="AI4" i="80"/>
  <c r="BG21" i="80"/>
  <c r="AM25" i="80"/>
  <c r="D23" i="80"/>
  <c r="N19" i="80"/>
  <c r="D6" i="80"/>
  <c r="BG6" i="80"/>
  <c r="AM18" i="80"/>
  <c r="AM6" i="80"/>
  <c r="BD15" i="80"/>
  <c r="BK21" i="80"/>
  <c r="AV23" i="80"/>
  <c r="BF6" i="80"/>
  <c r="K23" i="80"/>
  <c r="AZ26" i="80"/>
  <c r="F19" i="80"/>
  <c r="BM23" i="80"/>
  <c r="BE9" i="80"/>
  <c r="AK13" i="80"/>
  <c r="BL22" i="80"/>
  <c r="B13" i="80"/>
  <c r="AU8" i="80"/>
  <c r="AT22" i="80"/>
  <c r="Y22" i="80"/>
  <c r="BL25" i="80"/>
  <c r="J18" i="80"/>
  <c r="BB21" i="80"/>
  <c r="BH20" i="80"/>
  <c r="AT4" i="80"/>
  <c r="BC14" i="80"/>
  <c r="AN24" i="80"/>
  <c r="AK18" i="80"/>
  <c r="BL21" i="80"/>
  <c r="AK11" i="80"/>
  <c r="AY26" i="80"/>
  <c r="AY14" i="80"/>
  <c r="AH14" i="80"/>
  <c r="AL24" i="80"/>
  <c r="BI5" i="80"/>
  <c r="AZ5" i="80"/>
  <c r="AD23" i="80"/>
  <c r="AC23" i="80"/>
  <c r="AW6" i="80"/>
  <c r="BA18" i="80"/>
  <c r="AM2" i="80"/>
  <c r="AV19" i="80"/>
  <c r="AG15" i="80"/>
  <c r="AQ13" i="80"/>
  <c r="BH22" i="80"/>
  <c r="BG20" i="80"/>
  <c r="AW18" i="80"/>
  <c r="BL15" i="80"/>
  <c r="AC20" i="80"/>
  <c r="M21" i="80"/>
  <c r="AB22" i="80"/>
  <c r="BL4" i="80"/>
  <c r="AR16" i="80"/>
  <c r="AR4" i="80"/>
  <c r="BI13" i="80"/>
  <c r="AE16" i="80"/>
  <c r="BA21" i="80"/>
  <c r="BK4" i="80"/>
  <c r="P21" i="80"/>
  <c r="BE24" i="80"/>
  <c r="K15" i="80"/>
  <c r="AK16" i="80"/>
  <c r="BJ7" i="80"/>
  <c r="AP11" i="80"/>
  <c r="G15" i="80"/>
  <c r="F5" i="80"/>
  <c r="F24" i="80"/>
  <c r="AO26" i="80"/>
  <c r="BD23" i="80"/>
  <c r="BG5" i="80"/>
  <c r="AM9" i="80"/>
  <c r="AT15" i="80"/>
  <c r="AE11" i="80"/>
  <c r="AN26" i="80"/>
  <c r="X24" i="80"/>
  <c r="AI20" i="80"/>
  <c r="BM3" i="80"/>
  <c r="AV17" i="80"/>
  <c r="AN3" i="80"/>
  <c r="W3" i="80"/>
  <c r="P26" i="80"/>
  <c r="D12" i="67"/>
  <c r="N13" i="80"/>
  <c r="AM14" i="80"/>
  <c r="BB11" i="80"/>
  <c r="BD19" i="80"/>
  <c r="AJ23" i="80"/>
  <c r="AR3" i="80"/>
  <c r="BM20" i="80"/>
  <c r="AL14" i="80"/>
  <c r="V12" i="80"/>
  <c r="AG10" i="80"/>
  <c r="BJ17" i="80"/>
  <c r="AT5" i="80"/>
  <c r="AK17" i="80"/>
  <c r="T19" i="80"/>
  <c r="N14" i="80"/>
  <c r="K23" i="67"/>
  <c r="K27" i="80"/>
  <c r="BH9" i="80"/>
  <c r="BI19" i="80"/>
  <c r="AS7" i="80"/>
  <c r="AT17" i="80"/>
  <c r="AI3" i="80"/>
  <c r="AO2" i="80"/>
  <c r="BK9" i="80"/>
  <c r="AI22" i="80"/>
  <c r="BF3" i="80"/>
  <c r="AZ19" i="80"/>
  <c r="AS3" i="80"/>
  <c r="AY22" i="80"/>
  <c r="AC26" i="80"/>
  <c r="AE24" i="80"/>
  <c r="AW5" i="80"/>
  <c r="BD11" i="80"/>
  <c r="AO13" i="80"/>
  <c r="AX22" i="80"/>
  <c r="D17" i="80"/>
  <c r="AS16" i="80"/>
  <c r="AC24" i="80"/>
  <c r="BF13" i="80"/>
  <c r="AW25" i="80"/>
  <c r="BA12" i="80"/>
  <c r="Z18" i="80"/>
  <c r="D20" i="67"/>
  <c r="X5" i="80"/>
  <c r="AT14" i="80"/>
  <c r="BK10" i="80"/>
  <c r="AK22" i="80"/>
  <c r="BB10" i="80"/>
  <c r="I7" i="80"/>
  <c r="P10" i="80"/>
  <c r="I17" i="67"/>
  <c r="F8" i="80"/>
  <c r="T47" i="66"/>
  <c r="O27" i="80"/>
  <c r="AN19" i="80"/>
  <c r="O26" i="80"/>
  <c r="AD13" i="80"/>
  <c r="Y24" i="80"/>
  <c r="K26" i="66"/>
  <c r="AW14" i="80"/>
  <c r="BF19" i="80"/>
  <c r="P13" i="80"/>
  <c r="BH13" i="80"/>
  <c r="U19" i="80"/>
  <c r="I4" i="80"/>
  <c r="B20" i="80"/>
  <c r="AN14" i="80"/>
  <c r="AD3" i="80"/>
  <c r="AU2" i="80"/>
  <c r="AT16" i="80"/>
  <c r="BK25" i="80"/>
  <c r="AH2" i="80"/>
  <c r="BD7" i="80"/>
  <c r="BM16" i="80"/>
  <c r="S13" i="80"/>
  <c r="BH10" i="80"/>
  <c r="M27" i="80"/>
  <c r="AN2" i="80"/>
  <c r="BL19" i="80"/>
  <c r="AR23" i="80"/>
  <c r="I27" i="80"/>
  <c r="B11" i="80"/>
  <c r="I10" i="80"/>
  <c r="AR12" i="80"/>
  <c r="BG9" i="80"/>
  <c r="BI17" i="80"/>
  <c r="AO21" i="80"/>
  <c r="AV27" i="80"/>
  <c r="AG23" i="80"/>
  <c r="AQ12" i="80"/>
  <c r="AA10" i="80"/>
  <c r="AL6" i="80"/>
  <c r="V4" i="80"/>
  <c r="AY3" i="80"/>
  <c r="AP15" i="80"/>
  <c r="Y15" i="80"/>
  <c r="S10" i="80"/>
  <c r="M23" i="67"/>
  <c r="P25" i="80"/>
  <c r="BD27" i="80"/>
  <c r="AK5" i="80"/>
  <c r="AM13" i="80"/>
  <c r="X25" i="80"/>
  <c r="BK12" i="80"/>
  <c r="Q9" i="80"/>
  <c r="BD25" i="80"/>
  <c r="BK7" i="80"/>
  <c r="AY19" i="80"/>
  <c r="AS11" i="80"/>
  <c r="BL24" i="80"/>
  <c r="BB14" i="80"/>
  <c r="BH14" i="80"/>
  <c r="Z25" i="80"/>
  <c r="BC6" i="80"/>
  <c r="X20" i="80"/>
  <c r="BB15" i="80"/>
  <c r="AH13" i="80"/>
  <c r="AJ27" i="80"/>
  <c r="V13" i="80"/>
  <c r="BH26" i="80"/>
  <c r="BM27" i="80"/>
  <c r="BB13" i="80"/>
  <c r="BH21" i="80"/>
  <c r="AW7" i="80"/>
  <c r="AP25" i="80"/>
  <c r="BJ12" i="80"/>
  <c r="AZ2" i="80"/>
  <c r="AN22" i="80"/>
  <c r="X13" i="80"/>
  <c r="AI14" i="80"/>
  <c r="BI27" i="80"/>
  <c r="AN17" i="80"/>
  <c r="AO27" i="80"/>
  <c r="BG2" i="80"/>
  <c r="BK14" i="80"/>
  <c r="AV24" i="80"/>
  <c r="BF15" i="80"/>
  <c r="AQ17" i="80"/>
  <c r="BA9" i="80"/>
  <c r="AL11" i="80"/>
  <c r="AG3" i="80"/>
  <c r="BG14" i="80"/>
  <c r="AC22" i="80"/>
  <c r="AT27" i="80"/>
  <c r="AW9" i="80"/>
  <c r="AC9" i="80"/>
  <c r="AJ19" i="80"/>
  <c r="AA3" i="80"/>
  <c r="AE6" i="80"/>
  <c r="N24" i="80"/>
  <c r="BI15" i="80"/>
  <c r="BC7" i="80"/>
  <c r="AL21" i="80"/>
  <c r="BL10" i="80"/>
  <c r="M3" i="80"/>
  <c r="G6" i="80"/>
  <c r="Q46" i="66"/>
  <c r="D21" i="80"/>
  <c r="AJ24" i="80"/>
  <c r="Z21" i="80"/>
  <c r="AK10" i="80"/>
  <c r="O16" i="80"/>
  <c r="G16" i="67"/>
  <c r="Z9" i="80"/>
  <c r="R27" i="66"/>
  <c r="P9" i="80"/>
  <c r="AD27" i="80"/>
  <c r="Z8" i="80"/>
  <c r="AP19" i="80"/>
  <c r="Z6" i="80"/>
  <c r="J10" i="80"/>
  <c r="E24" i="80"/>
  <c r="Q27" i="66"/>
  <c r="G25" i="80"/>
  <c r="AJ13" i="80"/>
  <c r="AW26" i="80"/>
  <c r="F26" i="80"/>
  <c r="BD6" i="80"/>
  <c r="U13" i="80"/>
  <c r="AB11" i="80"/>
  <c r="K13" i="80"/>
  <c r="H25" i="80"/>
  <c r="V26" i="80"/>
  <c r="J25" i="67"/>
  <c r="V17" i="80"/>
  <c r="U29" i="66"/>
  <c r="BD22" i="80"/>
  <c r="R23" i="80"/>
  <c r="BB8" i="80"/>
  <c r="BF23" i="80"/>
  <c r="AV2" i="80"/>
  <c r="AK14" i="80"/>
  <c r="W19" i="80"/>
  <c r="BK19" i="80"/>
  <c r="AT24" i="80"/>
  <c r="BI21" i="80"/>
  <c r="BL3" i="80"/>
  <c r="AR7" i="80"/>
  <c r="AY13" i="80"/>
  <c r="AJ15" i="80"/>
  <c r="AS24" i="80"/>
  <c r="AE26" i="80"/>
  <c r="AN18" i="80"/>
  <c r="X16" i="80"/>
  <c r="BA15" i="80"/>
  <c r="AR27" i="80"/>
  <c r="AA27" i="80"/>
  <c r="U20" i="80"/>
  <c r="J20" i="67"/>
  <c r="S9" i="80"/>
  <c r="BG13" i="80"/>
  <c r="AM17" i="80"/>
  <c r="AO25" i="80"/>
  <c r="AA11" i="80"/>
  <c r="BM24" i="80"/>
  <c r="S21" i="80"/>
  <c r="BG11" i="80"/>
  <c r="BM19" i="80"/>
  <c r="BB5" i="80"/>
  <c r="AU23" i="80"/>
  <c r="AE13" i="80"/>
  <c r="BD26" i="80"/>
  <c r="E23" i="80"/>
  <c r="AC16" i="80"/>
  <c r="AL9" i="80"/>
  <c r="AA6" i="80"/>
  <c r="AK9" i="80"/>
  <c r="T11" i="80"/>
  <c r="BA24" i="80"/>
  <c r="E7" i="80"/>
  <c r="AQ20" i="80"/>
  <c r="AV21" i="80"/>
  <c r="AK7" i="80"/>
  <c r="AQ15" i="80"/>
  <c r="BM14" i="80"/>
  <c r="BJ8" i="80"/>
  <c r="AS6" i="80"/>
  <c r="AH24" i="80"/>
  <c r="M18" i="80"/>
  <c r="G13" i="80"/>
  <c r="AQ2" i="80"/>
  <c r="E10" i="80"/>
  <c r="AH25" i="80"/>
  <c r="Q25" i="80"/>
  <c r="AY12" i="80"/>
  <c r="BC16" i="80"/>
  <c r="AO8" i="80"/>
  <c r="AT9" i="80"/>
  <c r="AH23" i="80"/>
  <c r="AO3" i="80"/>
  <c r="BK2" i="80"/>
  <c r="BG22" i="80"/>
  <c r="AP20" i="80"/>
  <c r="BM15" i="80"/>
  <c r="K6" i="80"/>
  <c r="E3" i="80"/>
  <c r="BH7" i="80"/>
  <c r="AP9" i="80"/>
  <c r="BD24" i="80"/>
  <c r="BD12" i="80"/>
  <c r="AM10" i="80"/>
  <c r="AQ22" i="80"/>
  <c r="AC10" i="80"/>
  <c r="AL23" i="80"/>
  <c r="AC8" i="80"/>
  <c r="AG19" i="80"/>
  <c r="W27" i="80"/>
  <c r="AW24" i="80"/>
  <c r="AM22" i="80"/>
  <c r="AU5" i="80"/>
  <c r="AX26" i="80"/>
  <c r="BK20" i="80"/>
  <c r="N25" i="80"/>
  <c r="BA16" i="80"/>
  <c r="BF17" i="80"/>
  <c r="AU3" i="80"/>
  <c r="BA11" i="80"/>
  <c r="AO23" i="80"/>
  <c r="AI15" i="80"/>
  <c r="BC2" i="80"/>
  <c r="AR18" i="80"/>
  <c r="W18" i="80"/>
  <c r="Q5" i="80"/>
  <c r="AX6" i="80"/>
  <c r="O2" i="80"/>
  <c r="AA26" i="80"/>
  <c r="AJ5" i="80"/>
  <c r="BK3" i="80"/>
  <c r="G19" i="67"/>
  <c r="AJ47" i="66"/>
  <c r="F23" i="80"/>
  <c r="AG13" i="80"/>
  <c r="Z16" i="80"/>
  <c r="BC10" i="80"/>
  <c r="F22" i="80"/>
  <c r="K14" i="80"/>
  <c r="F4" i="80"/>
  <c r="V11" i="80"/>
  <c r="B7" i="80"/>
  <c r="D32" i="66"/>
  <c r="AW2" i="80"/>
  <c r="AE15" i="80"/>
  <c r="AP14" i="80"/>
  <c r="X6" i="80"/>
  <c r="E8" i="80"/>
  <c r="BG24" i="80"/>
  <c r="G18" i="67"/>
  <c r="W8" i="80"/>
  <c r="D13" i="67"/>
  <c r="BG16" i="80"/>
  <c r="P44" i="66"/>
  <c r="BG8" i="80"/>
  <c r="AI12" i="80"/>
  <c r="BI25" i="80"/>
  <c r="AP3" i="80"/>
  <c r="AR11" i="80"/>
  <c r="AD4" i="80"/>
  <c r="AE23" i="80"/>
  <c r="V5" i="80"/>
  <c r="BI23" i="80"/>
  <c r="J2" i="80"/>
  <c r="BD17" i="80"/>
  <c r="AX9" i="80"/>
  <c r="AG25" i="80"/>
  <c r="BG12" i="80"/>
  <c r="H7" i="80"/>
  <c r="AW20" i="80"/>
  <c r="BE27" i="80"/>
  <c r="AD20" i="80"/>
  <c r="AM21" i="80"/>
  <c r="V21" i="80"/>
  <c r="BD10" i="80"/>
  <c r="G17" i="80"/>
  <c r="AT6" i="80"/>
  <c r="AY7" i="80"/>
  <c r="AM19" i="80"/>
  <c r="AS27" i="80"/>
  <c r="AH15" i="80"/>
  <c r="BL20" i="80"/>
  <c r="AU18" i="80"/>
  <c r="AK8" i="80"/>
  <c r="P4" i="80"/>
  <c r="I25" i="80"/>
  <c r="BJ20" i="80"/>
  <c r="G20" i="80"/>
  <c r="AY20" i="80"/>
  <c r="AL10" i="80"/>
  <c r="AH8" i="80"/>
  <c r="O14" i="80"/>
  <c r="BG19" i="80"/>
  <c r="BM18" i="80"/>
  <c r="AY2" i="80"/>
  <c r="BH12" i="80"/>
  <c r="AS22" i="80"/>
  <c r="AP16" i="80"/>
  <c r="BG25" i="80"/>
  <c r="AV9" i="80"/>
  <c r="AI21" i="80"/>
  <c r="Q20" i="80"/>
  <c r="AS20" i="80"/>
  <c r="O8" i="80"/>
  <c r="AW8" i="80"/>
  <c r="AB8" i="80"/>
  <c r="AE22" i="80"/>
  <c r="M2" i="80"/>
  <c r="BE7" i="80"/>
  <c r="BK6" i="80"/>
  <c r="AV16" i="80"/>
  <c r="BE26" i="80"/>
  <c r="AQ10" i="80"/>
  <c r="AN4" i="80"/>
  <c r="BE13" i="80"/>
  <c r="AS23" i="80"/>
  <c r="AZ18" i="80"/>
  <c r="O10" i="80"/>
  <c r="Y6" i="80"/>
  <c r="BD20" i="80"/>
  <c r="AK6" i="80"/>
  <c r="AJ20" i="80"/>
  <c r="BB3" i="80"/>
  <c r="BI9" i="80"/>
  <c r="AT11" i="80"/>
  <c r="BC20" i="80"/>
  <c r="I13" i="80"/>
  <c r="AX14" i="80"/>
  <c r="D9" i="80"/>
  <c r="BK11" i="80"/>
  <c r="BB23" i="80"/>
  <c r="BI16" i="80"/>
  <c r="J11" i="80"/>
  <c r="AR2" i="80"/>
  <c r="Y14" i="80"/>
  <c r="AG26" i="80"/>
  <c r="AL25" i="80"/>
  <c r="BH24" i="80"/>
  <c r="AG21" i="80"/>
  <c r="BC18" i="80"/>
  <c r="AZ12" i="80"/>
  <c r="AI10" i="80"/>
  <c r="BF5" i="80"/>
  <c r="AN21" i="80"/>
  <c r="AA14" i="80"/>
  <c r="BF10" i="80"/>
  <c r="AM23" i="80"/>
  <c r="AO10" i="80"/>
  <c r="AE7" i="80"/>
  <c r="AZ8" i="80"/>
  <c r="AU25" i="80"/>
  <c r="AD25" i="80"/>
  <c r="Q4" i="80"/>
  <c r="BE22" i="80"/>
  <c r="G4" i="80"/>
  <c r="F3" i="80"/>
  <c r="P22" i="80"/>
  <c r="V19" i="80"/>
  <c r="AV18" i="80"/>
  <c r="R22" i="80"/>
  <c r="BJ5" i="80"/>
  <c r="BC13" i="80"/>
  <c r="AM27" i="80"/>
  <c r="AN7" i="80"/>
  <c r="AK15" i="80"/>
  <c r="AD5" i="80"/>
  <c r="AT2" i="80"/>
  <c r="T26" i="80"/>
  <c r="AX16" i="80"/>
  <c r="AL13" i="80"/>
  <c r="BL2" i="80"/>
  <c r="S11" i="80"/>
  <c r="Q2" i="80"/>
  <c r="B19" i="80"/>
  <c r="K10" i="80"/>
  <c r="U23" i="80"/>
  <c r="B27" i="80"/>
  <c r="AH12" i="80"/>
  <c r="K5" i="80"/>
  <c r="L18" i="80"/>
  <c r="V9" i="80"/>
  <c r="F19" i="66"/>
  <c r="BJ13" i="80"/>
  <c r="BA2" i="80"/>
  <c r="BE18" i="80"/>
  <c r="O9" i="80"/>
  <c r="AW12" i="80"/>
  <c r="AD18" i="80"/>
  <c r="U18" i="80"/>
  <c r="BB27" i="80"/>
  <c r="AV22" i="80"/>
  <c r="E6" i="80"/>
  <c r="AC12" i="80"/>
  <c r="Q15" i="80"/>
  <c r="O17" i="80"/>
  <c r="N23" i="66"/>
  <c r="AW10" i="80"/>
  <c r="BA25" i="80"/>
  <c r="AQ4" i="80"/>
  <c r="AD6" i="80"/>
  <c r="S12" i="80"/>
  <c r="AQ27" i="80"/>
  <c r="I24" i="80"/>
  <c r="AS13" i="80"/>
  <c r="AD8" i="80"/>
  <c r="Q8" i="80"/>
  <c r="I6" i="80"/>
  <c r="O13" i="80"/>
  <c r="B16" i="80"/>
  <c r="Z26" i="80"/>
  <c r="L20" i="67"/>
  <c r="BE23" i="80"/>
  <c r="AD7" i="80"/>
  <c r="BC17" i="80"/>
  <c r="J19" i="80"/>
  <c r="S2" i="80"/>
  <c r="G9" i="80"/>
  <c r="N26" i="80"/>
  <c r="L20" i="80"/>
  <c r="G2" i="80"/>
  <c r="W9" i="80"/>
  <c r="C19" i="80"/>
  <c r="X22" i="80"/>
  <c r="G23" i="67"/>
  <c r="BB9" i="80"/>
  <c r="AG20" i="80"/>
  <c r="AS9" i="80"/>
  <c r="Q7" i="80"/>
  <c r="V22" i="80"/>
  <c r="K21" i="80"/>
  <c r="AW4" i="80"/>
  <c r="AM15" i="80"/>
  <c r="BD3" i="80"/>
  <c r="AD17" i="80"/>
  <c r="L11" i="80"/>
  <c r="L22" i="80"/>
  <c r="I11" i="80"/>
  <c r="J21" i="80"/>
  <c r="AK20" i="80"/>
  <c r="J13" i="80"/>
  <c r="J24" i="80"/>
  <c r="M25" i="67"/>
  <c r="J15" i="80"/>
  <c r="BE25" i="80"/>
  <c r="T14" i="80"/>
  <c r="T15" i="80"/>
  <c r="P35" i="66"/>
  <c r="AU17" i="80"/>
  <c r="S6" i="80"/>
  <c r="BI4" i="80"/>
  <c r="AC43" i="66"/>
  <c r="Q35" i="66"/>
  <c r="Z36" i="66"/>
  <c r="P47" i="66"/>
  <c r="N42" i="66"/>
  <c r="F14" i="66"/>
  <c r="AQ5" i="80"/>
  <c r="E30" i="66"/>
  <c r="X39" i="66"/>
  <c r="L42" i="66"/>
  <c r="Q25" i="66"/>
  <c r="S16" i="80"/>
  <c r="J26" i="66"/>
  <c r="G10" i="80"/>
  <c r="BJ16" i="80"/>
  <c r="B14" i="80"/>
  <c r="H4" i="80"/>
  <c r="S37" i="66"/>
  <c r="E39" i="66"/>
  <c r="AI16" i="80"/>
  <c r="R44" i="66"/>
  <c r="R47" i="66"/>
  <c r="W36" i="66"/>
  <c r="R33" i="66"/>
  <c r="S31" i="66"/>
  <c r="AF49" i="66"/>
  <c r="F49" i="66"/>
  <c r="AS8" i="80"/>
  <c r="BA19" i="80"/>
  <c r="L9" i="80"/>
  <c r="AE17" i="80"/>
  <c r="T6" i="80"/>
  <c r="AS26" i="80"/>
  <c r="AB2" i="80"/>
  <c r="AQ14" i="80"/>
  <c r="Y16" i="80"/>
  <c r="AJ2" i="80"/>
  <c r="BG27" i="80"/>
  <c r="BM8" i="80"/>
  <c r="AW21" i="80"/>
  <c r="BA26" i="80"/>
  <c r="G18" i="80"/>
  <c r="F16" i="67"/>
  <c r="C12" i="80"/>
  <c r="I36" i="66"/>
  <c r="BA6" i="80"/>
  <c r="G17" i="67"/>
  <c r="BJ2" i="80"/>
  <c r="M15" i="80"/>
  <c r="M14" i="80"/>
  <c r="M6" i="80"/>
  <c r="L22" i="66"/>
  <c r="AY17" i="80"/>
  <c r="AL12" i="80"/>
  <c r="D16" i="80"/>
  <c r="K20" i="67"/>
  <c r="L8" i="80"/>
  <c r="BC9" i="80"/>
  <c r="AY8" i="80"/>
  <c r="V20" i="80"/>
  <c r="K24" i="80"/>
  <c r="Q23" i="80"/>
  <c r="Q3" i="80"/>
  <c r="AC19" i="80"/>
  <c r="E20" i="67"/>
  <c r="V30" i="66"/>
  <c r="AM12" i="80"/>
  <c r="AU11" i="80"/>
  <c r="AG16" i="80"/>
  <c r="O15" i="80"/>
  <c r="AP18" i="80"/>
  <c r="M19" i="80"/>
  <c r="Q10" i="80"/>
  <c r="Q24" i="80"/>
  <c r="I14" i="80"/>
  <c r="Y21" i="80"/>
  <c r="U9" i="80"/>
  <c r="AA8" i="80"/>
  <c r="E22" i="67"/>
  <c r="G14" i="80"/>
  <c r="Y46" i="66"/>
  <c r="AW13" i="80"/>
  <c r="AC27" i="80"/>
  <c r="BE19" i="80"/>
  <c r="AV25" i="80"/>
  <c r="AY24" i="80"/>
  <c r="BJ18" i="80"/>
  <c r="Z15" i="80"/>
  <c r="W17" i="80"/>
  <c r="E17" i="80"/>
  <c r="C15" i="80"/>
  <c r="D11" i="80"/>
  <c r="E4" i="80"/>
  <c r="Z43" i="66"/>
  <c r="AT23" i="80"/>
  <c r="BL9" i="80"/>
  <c r="AJ9" i="80"/>
  <c r="U27" i="80"/>
  <c r="I15" i="80"/>
  <c r="W16" i="80"/>
  <c r="J22" i="67"/>
  <c r="AC13" i="80"/>
  <c r="AW15" i="80"/>
  <c r="BE14" i="80"/>
  <c r="S17" i="80"/>
  <c r="F13" i="80"/>
  <c r="U4" i="80"/>
  <c r="G25" i="67"/>
  <c r="K4" i="80"/>
  <c r="J18" i="67"/>
  <c r="T23" i="80"/>
  <c r="AP24" i="80"/>
  <c r="T22" i="80"/>
  <c r="AX11" i="80"/>
  <c r="AO12" i="80"/>
  <c r="P39" i="66"/>
  <c r="N29" i="66"/>
  <c r="AA12" i="80"/>
  <c r="F17" i="67"/>
  <c r="W5" i="80"/>
  <c r="AA16" i="80"/>
  <c r="AB40" i="66"/>
  <c r="X41" i="66"/>
  <c r="AB24" i="80"/>
  <c r="F47" i="66"/>
  <c r="D17" i="66"/>
  <c r="C34" i="66"/>
  <c r="O36" i="66"/>
  <c r="N34" i="66"/>
  <c r="E25" i="66"/>
  <c r="K23" i="66"/>
  <c r="AJ6" i="80"/>
  <c r="O35" i="66"/>
  <c r="AL18" i="80"/>
  <c r="J17" i="80"/>
  <c r="N49" i="66"/>
  <c r="AM49" i="66"/>
  <c r="AA43" i="66"/>
  <c r="N43" i="66"/>
  <c r="AP5" i="80"/>
  <c r="AT13" i="80"/>
  <c r="BA14" i="80"/>
  <c r="H15" i="80"/>
  <c r="AE12" i="80"/>
  <c r="AS12" i="80"/>
  <c r="BM21" i="80"/>
  <c r="AC5" i="80"/>
  <c r="T2" i="80"/>
  <c r="BI11" i="80"/>
  <c r="AI26" i="80"/>
  <c r="BM6" i="80"/>
  <c r="AJ10" i="80"/>
  <c r="AK21" i="80"/>
  <c r="BE20" i="80"/>
  <c r="BC4" i="80"/>
  <c r="O41" i="66"/>
  <c r="AD14" i="80"/>
  <c r="BC24" i="80"/>
  <c r="M23" i="80"/>
  <c r="W22" i="80"/>
  <c r="W20" i="80"/>
  <c r="W12" i="80"/>
  <c r="T33" i="66"/>
  <c r="BK23" i="80"/>
  <c r="AV6" i="80"/>
  <c r="Y2" i="80"/>
  <c r="AA42" i="66"/>
  <c r="S22" i="80"/>
  <c r="W26" i="80"/>
  <c r="L6" i="80"/>
  <c r="AB7" i="80"/>
  <c r="E25" i="80"/>
  <c r="AE10" i="80"/>
  <c r="F22" i="67"/>
  <c r="I26" i="80"/>
  <c r="O49" i="66"/>
  <c r="Z35" i="66"/>
  <c r="BL7" i="80"/>
  <c r="AL27" i="80"/>
  <c r="AA2" i="80"/>
  <c r="AG2" i="80"/>
  <c r="G5" i="80"/>
  <c r="C24" i="80"/>
  <c r="C9" i="80"/>
  <c r="Z3" i="80"/>
  <c r="W21" i="80"/>
  <c r="F9" i="80"/>
  <c r="AA13" i="80"/>
  <c r="G22" i="80"/>
  <c r="AG46" i="66"/>
  <c r="Q13" i="80"/>
  <c r="G18" i="66"/>
  <c r="BG7" i="80"/>
  <c r="AL16" i="80"/>
  <c r="AX7" i="80"/>
  <c r="S19" i="80"/>
  <c r="Y8" i="80"/>
  <c r="N7" i="80"/>
  <c r="L23" i="80"/>
  <c r="C23" i="80"/>
  <c r="H9" i="80"/>
  <c r="O20" i="80"/>
  <c r="K19" i="67"/>
  <c r="O11" i="80"/>
  <c r="BH4" i="80"/>
  <c r="AK23" i="80"/>
  <c r="BC25" i="80"/>
  <c r="AK19" i="80"/>
  <c r="E18" i="80"/>
  <c r="L7" i="80"/>
  <c r="BL14" i="80"/>
  <c r="T36" i="66"/>
  <c r="BD16" i="80"/>
  <c r="AO5" i="80"/>
  <c r="BE2" i="80"/>
  <c r="W4" i="80"/>
  <c r="B3" i="80"/>
  <c r="AR22" i="80"/>
  <c r="G34" i="66"/>
  <c r="U3" i="80"/>
  <c r="D31" i="66"/>
  <c r="AR14" i="80"/>
  <c r="AD22" i="80"/>
  <c r="AQ24" i="80"/>
  <c r="T10" i="80"/>
  <c r="J20" i="80"/>
  <c r="F34" i="66"/>
  <c r="C23" i="66"/>
  <c r="AO15" i="80"/>
  <c r="Y5" i="80"/>
  <c r="F35" i="66"/>
  <c r="I23" i="67"/>
  <c r="Z46" i="66"/>
  <c r="E46" i="66"/>
  <c r="N2" i="80"/>
  <c r="J23" i="66"/>
  <c r="I26" i="66"/>
  <c r="C7" i="80"/>
  <c r="U41" i="66"/>
  <c r="W37" i="66"/>
  <c r="I21" i="66"/>
  <c r="AC49" i="66"/>
  <c r="AN12" i="80"/>
  <c r="AG9" i="80"/>
  <c r="M16" i="80"/>
  <c r="W6" i="80"/>
  <c r="G33" i="66"/>
  <c r="K36" i="66"/>
  <c r="L49" i="66"/>
  <c r="G47" i="66"/>
  <c r="C47" i="66"/>
  <c r="Q28" i="66"/>
  <c r="J29" i="66"/>
  <c r="D18" i="67"/>
  <c r="Q44" i="66"/>
  <c r="AC39" i="66"/>
  <c r="M31" i="66"/>
  <c r="F22" i="66"/>
  <c r="X23" i="80"/>
  <c r="BD5" i="80"/>
  <c r="S14" i="80"/>
  <c r="V15" i="80"/>
  <c r="U44" i="66"/>
  <c r="G37" i="66"/>
  <c r="AZ24" i="80"/>
  <c r="J18" i="66"/>
  <c r="AV13" i="80"/>
  <c r="J6" i="80"/>
  <c r="BJ24" i="80"/>
  <c r="Q18" i="80"/>
  <c r="AN20" i="80"/>
  <c r="AB27" i="80"/>
  <c r="AL8" i="80"/>
  <c r="AK2" i="80"/>
  <c r="AD24" i="80"/>
  <c r="AW23" i="80"/>
  <c r="S5" i="80"/>
  <c r="N23" i="80"/>
  <c r="AJ11" i="80"/>
  <c r="D7" i="80"/>
  <c r="E20" i="80"/>
  <c r="B17" i="80"/>
  <c r="BG4" i="80"/>
  <c r="AD2" i="80"/>
  <c r="M24" i="80"/>
  <c r="N18" i="80"/>
  <c r="U17" i="80"/>
  <c r="T21" i="80"/>
  <c r="C18" i="80"/>
  <c r="L39" i="66"/>
  <c r="AZ9" i="80"/>
  <c r="AI6" i="80"/>
  <c r="X11" i="80"/>
  <c r="W11" i="80"/>
  <c r="T13" i="80"/>
  <c r="AB15" i="80"/>
  <c r="G11" i="80"/>
  <c r="H21" i="80"/>
  <c r="Y9" i="80"/>
  <c r="J8" i="80"/>
  <c r="W49" i="66"/>
  <c r="S25" i="80"/>
  <c r="C25" i="66"/>
  <c r="F41" i="66"/>
  <c r="R14" i="80"/>
  <c r="BA10" i="80"/>
  <c r="BL27" i="80"/>
  <c r="AU24" i="80"/>
  <c r="AA20" i="80"/>
  <c r="P19" i="80"/>
  <c r="D3" i="80"/>
  <c r="F17" i="80"/>
  <c r="AD12" i="80"/>
  <c r="R4" i="80"/>
  <c r="D16" i="67"/>
  <c r="Q21" i="80"/>
  <c r="AQ7" i="80"/>
  <c r="AA22" i="80"/>
  <c r="R5" i="80"/>
  <c r="AY21" i="80"/>
  <c r="AG18" i="80"/>
  <c r="AO7" i="80"/>
  <c r="D14" i="80"/>
  <c r="AB19" i="80"/>
  <c r="Z2" i="80"/>
  <c r="E18" i="67"/>
  <c r="P2" i="80"/>
  <c r="I20" i="67"/>
  <c r="Y19" i="80"/>
  <c r="AS19" i="80"/>
  <c r="Y18" i="80"/>
  <c r="AU26" i="80"/>
  <c r="AV14" i="80"/>
  <c r="L12" i="80"/>
  <c r="BI24" i="80"/>
  <c r="M5" i="80"/>
  <c r="O25" i="67"/>
  <c r="N5" i="80"/>
  <c r="R42" i="66"/>
  <c r="Q17" i="80"/>
  <c r="BC23" i="80"/>
  <c r="AU4" i="80"/>
  <c r="S7" i="80"/>
  <c r="G20" i="67"/>
  <c r="K19" i="80"/>
  <c r="W39" i="66"/>
  <c r="AT26" i="80"/>
  <c r="BF21" i="80"/>
  <c r="K18" i="80"/>
  <c r="U14" i="80"/>
  <c r="K8" i="80"/>
  <c r="AA9" i="80"/>
  <c r="BF26" i="80"/>
  <c r="O37" i="66"/>
  <c r="AR19" i="80"/>
  <c r="AB6" i="80"/>
  <c r="H3" i="80"/>
  <c r="E25" i="67"/>
  <c r="Q40" i="66"/>
  <c r="N39" i="66"/>
  <c r="C18" i="66"/>
  <c r="E19" i="66"/>
  <c r="G32" i="66"/>
  <c r="K32" i="66"/>
  <c r="C25" i="80"/>
  <c r="M47" i="66"/>
  <c r="X42" i="66"/>
  <c r="C13" i="66"/>
  <c r="E31" i="66"/>
  <c r="K41" i="66"/>
  <c r="AO14" i="80"/>
  <c r="X18" i="80"/>
  <c r="H17" i="80"/>
  <c r="Y47" i="66"/>
  <c r="X40" i="66"/>
  <c r="BM2" i="80"/>
  <c r="M24" i="66"/>
  <c r="Z47" i="66"/>
  <c r="Q22" i="80"/>
  <c r="K34" i="66"/>
  <c r="P37" i="66"/>
  <c r="AP7" i="80"/>
  <c r="AJ25" i="80"/>
  <c r="BB6" i="80"/>
  <c r="AV8" i="80"/>
  <c r="BM7" i="80"/>
  <c r="BJ27" i="80"/>
  <c r="BJ21" i="80"/>
  <c r="BH15" i="80"/>
  <c r="AY25" i="80"/>
  <c r="BH5" i="80"/>
  <c r="BC22" i="80"/>
  <c r="AD10" i="80"/>
  <c r="H2" i="80"/>
  <c r="BF4" i="80"/>
  <c r="X26" i="80"/>
  <c r="B9" i="80"/>
  <c r="N22" i="80"/>
  <c r="AO16" i="80"/>
  <c r="AH20" i="80"/>
  <c r="W23" i="80"/>
  <c r="X3" i="80"/>
  <c r="D27" i="80"/>
  <c r="J23" i="67"/>
  <c r="R9" i="80"/>
  <c r="E43" i="66"/>
  <c r="AQ25" i="80"/>
  <c r="BJ9" i="80"/>
  <c r="F20" i="67"/>
  <c r="F10" i="80"/>
  <c r="F21" i="80"/>
  <c r="I3" i="80"/>
  <c r="AA21" i="80"/>
  <c r="T16" i="80"/>
  <c r="E16" i="67"/>
  <c r="T7" i="80"/>
  <c r="BJ25" i="80"/>
  <c r="AK4" i="80"/>
  <c r="E14" i="80"/>
  <c r="C46" i="66"/>
  <c r="AC14" i="80"/>
  <c r="AV10" i="80"/>
  <c r="BC27" i="80"/>
  <c r="I18" i="80"/>
  <c r="K9" i="80"/>
  <c r="AB14" i="80"/>
  <c r="E19" i="67"/>
  <c r="R12" i="80"/>
  <c r="E17" i="67"/>
  <c r="AB5" i="80"/>
  <c r="BM11" i="80"/>
  <c r="AB4" i="80"/>
  <c r="AE21" i="80"/>
  <c r="H10" i="80"/>
  <c r="S15" i="80"/>
  <c r="AP21" i="80"/>
  <c r="BH23" i="80"/>
  <c r="AP17" i="80"/>
  <c r="J14" i="80"/>
  <c r="C27" i="80"/>
  <c r="F16" i="80"/>
  <c r="R40" i="66"/>
  <c r="Y27" i="80"/>
  <c r="L36" i="66"/>
  <c r="F7" i="80"/>
  <c r="AH7" i="80"/>
  <c r="F6" i="80"/>
  <c r="BJ26" i="80"/>
  <c r="AM7" i="80"/>
  <c r="BM17" i="80"/>
  <c r="AI27" i="80"/>
  <c r="AZ27" i="80"/>
  <c r="AZ20" i="80"/>
  <c r="X12" i="80"/>
  <c r="BG15" i="80"/>
  <c r="BI2" i="80"/>
  <c r="AX23" i="80"/>
  <c r="BG18" i="80"/>
  <c r="AG11" i="80"/>
  <c r="AG4" i="80"/>
  <c r="U26" i="80"/>
  <c r="BI7" i="80"/>
  <c r="K26" i="80"/>
  <c r="T27" i="80"/>
  <c r="U24" i="80"/>
  <c r="AA17" i="80"/>
  <c r="B21" i="80"/>
  <c r="G23" i="80"/>
  <c r="L15" i="80"/>
  <c r="P42" i="66"/>
  <c r="AY4" i="80"/>
  <c r="I16" i="80"/>
  <c r="Q11" i="80"/>
  <c r="D16" i="66"/>
  <c r="Y42" i="66"/>
  <c r="C11" i="66"/>
  <c r="K28" i="66"/>
  <c r="F17" i="66"/>
  <c r="AP27" i="80"/>
  <c r="M37" i="66"/>
  <c r="Z41" i="66"/>
  <c r="I23" i="66"/>
  <c r="AC46" i="66"/>
  <c r="O28" i="66"/>
  <c r="J22" i="66"/>
  <c r="C4" i="80"/>
  <c r="AD21" i="80"/>
  <c r="L23" i="67"/>
  <c r="BM5" i="80"/>
  <c r="I29" i="66"/>
  <c r="M44" i="66"/>
  <c r="Y26" i="80"/>
  <c r="N31" i="66"/>
  <c r="C22" i="66"/>
  <c r="R49" i="66"/>
  <c r="E40" i="66"/>
  <c r="Q41" i="66"/>
  <c r="I24" i="66"/>
  <c r="AM47" i="66"/>
  <c r="F37" i="66"/>
  <c r="U31" i="66"/>
  <c r="Y7" i="80"/>
  <c r="AD19" i="80"/>
  <c r="BF2" i="80"/>
  <c r="AS2" i="80"/>
  <c r="J26" i="80"/>
  <c r="BE17" i="80"/>
  <c r="BL5" i="80"/>
  <c r="BC5" i="80"/>
  <c r="BB7" i="80"/>
  <c r="AQ19" i="80"/>
  <c r="AG27" i="80"/>
  <c r="AR26" i="80"/>
  <c r="N27" i="80"/>
  <c r="AU12" i="80"/>
  <c r="K25" i="80"/>
  <c r="L47" i="66"/>
  <c r="O18" i="80"/>
  <c r="AC18" i="80"/>
  <c r="AG6" i="80"/>
  <c r="V14" i="80"/>
  <c r="X44" i="66"/>
  <c r="BE16" i="80"/>
  <c r="Z5" i="80"/>
  <c r="G22" i="67"/>
  <c r="AR10" i="80"/>
  <c r="BF8" i="80"/>
  <c r="AZ11" i="80"/>
  <c r="D15" i="80"/>
  <c r="S3" i="80"/>
  <c r="E13" i="67"/>
  <c r="T24" i="80"/>
  <c r="F18" i="67"/>
  <c r="AM24" i="80"/>
  <c r="C42" i="66"/>
  <c r="AM16" i="80"/>
  <c r="AY11" i="80"/>
  <c r="J22" i="80"/>
  <c r="AR6" i="80"/>
  <c r="AH46" i="66"/>
  <c r="BE15" i="80"/>
  <c r="AL20" i="80"/>
  <c r="BE11" i="80"/>
  <c r="L24" i="80"/>
  <c r="AY16" i="80"/>
  <c r="I2" i="80"/>
  <c r="S42" i="66"/>
  <c r="AB13" i="80"/>
  <c r="J40" i="66"/>
  <c r="H19" i="80"/>
  <c r="BA23" i="80"/>
  <c r="H18" i="80"/>
  <c r="I21" i="80"/>
  <c r="R8" i="80"/>
  <c r="AG43" i="66"/>
  <c r="AE19" i="80"/>
  <c r="Q16" i="80"/>
  <c r="AD9" i="80"/>
  <c r="BD14" i="80"/>
  <c r="E23" i="67"/>
  <c r="P17" i="80"/>
  <c r="O44" i="66"/>
  <c r="F15" i="80"/>
  <c r="BJ14" i="80"/>
  <c r="P16" i="80"/>
  <c r="BM12" i="80"/>
  <c r="P6" i="80"/>
  <c r="BL11" i="80"/>
  <c r="AH9" i="80"/>
  <c r="BG3" i="80"/>
  <c r="AZ7" i="80"/>
  <c r="F18" i="80"/>
  <c r="AN16" i="80"/>
  <c r="E2" i="80"/>
  <c r="AW17" i="80"/>
  <c r="BD2" i="80"/>
  <c r="AR9" i="80"/>
  <c r="AU9" i="80"/>
  <c r="Z19" i="80"/>
  <c r="BE21" i="80"/>
  <c r="BA20" i="80"/>
  <c r="U7" i="80"/>
  <c r="V6" i="80"/>
  <c r="E22" i="80"/>
  <c r="BK24" i="80"/>
  <c r="H5" i="80"/>
  <c r="R25" i="80"/>
  <c r="S18" i="80"/>
  <c r="P25" i="67"/>
  <c r="U46" i="66"/>
  <c r="AM11" i="80"/>
  <c r="L25" i="67"/>
  <c r="AL7" i="80"/>
  <c r="C33" i="66"/>
  <c r="Q47" i="66"/>
  <c r="O19" i="80"/>
  <c r="Q34" i="66"/>
  <c r="Q26" i="66"/>
  <c r="O42" i="66"/>
  <c r="F42" i="66"/>
  <c r="X43" i="66"/>
  <c r="AD49" i="66"/>
  <c r="M21" i="66"/>
  <c r="L26" i="66"/>
  <c r="J34" i="66"/>
  <c r="AC42" i="66"/>
  <c r="U6" i="80"/>
  <c r="H6" i="80"/>
  <c r="J9" i="80"/>
  <c r="AD47" i="66"/>
  <c r="K49" i="66"/>
  <c r="T31" i="66"/>
  <c r="Q39" i="66"/>
  <c r="BF22" i="80"/>
  <c r="AX4" i="80"/>
  <c r="AJ18" i="80"/>
  <c r="BJ11" i="80"/>
  <c r="AX5" i="80"/>
  <c r="AW27" i="80"/>
  <c r="AU19" i="80"/>
  <c r="AU15" i="80"/>
  <c r="AH5" i="80"/>
  <c r="AI5" i="80"/>
  <c r="AO6" i="80"/>
  <c r="BG23" i="80"/>
  <c r="I12" i="80"/>
  <c r="AC25" i="80"/>
  <c r="F11" i="80"/>
  <c r="B25" i="80"/>
  <c r="B24" i="80"/>
  <c r="AE14" i="80"/>
  <c r="C10" i="80"/>
  <c r="AB47" i="66"/>
  <c r="AU22" i="80"/>
  <c r="AB9" i="80"/>
  <c r="G8" i="80"/>
  <c r="M29" i="66"/>
  <c r="AH22" i="80"/>
  <c r="AQ18" i="80"/>
  <c r="BC19" i="80"/>
  <c r="I17" i="80"/>
  <c r="K12" i="80"/>
  <c r="AF44" i="66"/>
  <c r="AP10" i="80"/>
  <c r="K42" i="66"/>
  <c r="K3" i="80"/>
  <c r="AK24" i="80"/>
  <c r="K2" i="80"/>
  <c r="P5" i="80"/>
  <c r="T20" i="80"/>
  <c r="AI47" i="66"/>
  <c r="S29" i="66"/>
  <c r="AT19" i="80"/>
  <c r="AX18" i="80"/>
  <c r="AU13" i="80"/>
  <c r="AO20" i="80"/>
  <c r="D19" i="67"/>
  <c r="R27" i="80"/>
  <c r="AA47" i="66"/>
  <c r="H27" i="80"/>
  <c r="AS17" i="80"/>
  <c r="R26" i="80"/>
  <c r="J27" i="80"/>
  <c r="R16" i="80"/>
  <c r="B10" i="80"/>
  <c r="J5" i="80"/>
  <c r="G46" i="66"/>
  <c r="AR5" i="80"/>
  <c r="AG12" i="80"/>
  <c r="AN25" i="80"/>
  <c r="J43" i="66"/>
  <c r="AI23" i="80"/>
  <c r="Z24" i="80"/>
  <c r="BL26" i="80"/>
  <c r="P24" i="80"/>
  <c r="AI9" i="80"/>
  <c r="Z22" i="80"/>
  <c r="AZ22" i="80"/>
  <c r="B8" i="80"/>
  <c r="AZ25" i="80"/>
  <c r="BI6" i="80"/>
  <c r="AX19" i="80"/>
  <c r="AB16" i="80"/>
  <c r="P18" i="80"/>
  <c r="AQ8" i="80"/>
  <c r="L14" i="80"/>
  <c r="AL5" i="80"/>
  <c r="AT12" i="80"/>
  <c r="AI25" i="80"/>
  <c r="Z4" i="80"/>
  <c r="K20" i="80"/>
  <c r="X8" i="80"/>
  <c r="I22" i="80"/>
  <c r="F2" i="80"/>
  <c r="B12" i="80"/>
  <c r="R13" i="80"/>
  <c r="W13" i="80"/>
  <c r="S26" i="80"/>
  <c r="D14" i="67"/>
  <c r="AE2" i="80"/>
  <c r="Q37" i="66"/>
  <c r="E21" i="66"/>
  <c r="AH21" i="80"/>
  <c r="L5" i="80"/>
  <c r="L19" i="80"/>
  <c r="G20" i="66"/>
  <c r="I20" i="66"/>
  <c r="AB36" i="66"/>
  <c r="T41" i="66"/>
  <c r="S32" i="66"/>
  <c r="U22" i="80"/>
  <c r="AI46" i="66"/>
  <c r="D49" i="66"/>
  <c r="M26" i="66"/>
  <c r="D30" i="66"/>
  <c r="U49" i="66"/>
  <c r="BB17" i="80"/>
  <c r="C36" i="66"/>
  <c r="AC3" i="80"/>
  <c r="W7" i="80"/>
  <c r="O3" i="80"/>
  <c r="J30" i="66"/>
  <c r="G25" i="66"/>
  <c r="P30" i="66"/>
  <c r="AA23" i="80"/>
  <c r="S34" i="66"/>
  <c r="C20" i="80"/>
  <c r="D13" i="66"/>
  <c r="AI49" i="66"/>
  <c r="BI20" i="80"/>
  <c r="X32" i="66"/>
  <c r="Y36" i="66"/>
  <c r="AA39" i="66"/>
  <c r="C49" i="66"/>
  <c r="Z11" i="80"/>
  <c r="P15" i="80"/>
  <c r="O24" i="80"/>
  <c r="AB42" i="66"/>
  <c r="S28" i="66"/>
  <c r="J31" i="66"/>
  <c r="AX21" i="80"/>
  <c r="AH26" i="80"/>
  <c r="E22" i="66"/>
  <c r="AJ14" i="80"/>
  <c r="D24" i="80"/>
  <c r="BC15" i="80"/>
  <c r="O5" i="80"/>
  <c r="G12" i="80"/>
  <c r="X17" i="80"/>
  <c r="AK27" i="80"/>
  <c r="G27" i="80"/>
  <c r="AA7" i="80"/>
  <c r="E23" i="66"/>
  <c r="AB10" i="80"/>
  <c r="F18" i="66"/>
  <c r="O26" i="66"/>
  <c r="K40" i="66"/>
  <c r="Q29" i="66"/>
  <c r="AG5" i="80"/>
  <c r="R11" i="80"/>
  <c r="X46" i="66"/>
  <c r="AF41" i="66"/>
  <c r="R26" i="66"/>
  <c r="J25" i="80"/>
  <c r="M42" i="66"/>
  <c r="F44" i="66"/>
  <c r="AB43" i="66"/>
  <c r="L30" i="66"/>
  <c r="G28" i="66"/>
  <c r="D42" i="66"/>
  <c r="G24" i="80"/>
  <c r="N22" i="66"/>
  <c r="G43" i="66"/>
  <c r="F25" i="80"/>
  <c r="D19" i="80"/>
  <c r="M12" i="80"/>
  <c r="C24" i="66"/>
  <c r="F25" i="66"/>
  <c r="P27" i="66"/>
  <c r="Y49" i="66"/>
  <c r="Z34" i="66"/>
  <c r="G39" i="66"/>
  <c r="E14" i="67"/>
  <c r="J49" i="66"/>
  <c r="D20" i="66"/>
  <c r="J37" i="66"/>
  <c r="D26" i="66"/>
  <c r="BI8" i="80"/>
  <c r="R19" i="80"/>
  <c r="AB18" i="80"/>
  <c r="K31" i="66"/>
  <c r="I27" i="66"/>
  <c r="T46" i="66"/>
  <c r="U40" i="66"/>
  <c r="U35" i="66"/>
  <c r="C43" i="66"/>
  <c r="X47" i="66"/>
  <c r="P24" i="66"/>
  <c r="D23" i="67"/>
  <c r="AY18" i="80"/>
  <c r="D5" i="80"/>
  <c r="M20" i="80"/>
  <c r="AG42" i="66"/>
  <c r="D22" i="66"/>
  <c r="E27" i="66"/>
  <c r="T37" i="66"/>
  <c r="F33" i="66"/>
  <c r="G35" i="66"/>
  <c r="AB44" i="66"/>
  <c r="L20" i="66"/>
  <c r="P34" i="66"/>
  <c r="O27" i="66"/>
  <c r="Q30" i="66"/>
  <c r="AZ14" i="80"/>
  <c r="O21" i="80"/>
  <c r="AP6" i="80"/>
  <c r="AM3" i="80"/>
  <c r="AE18" i="80"/>
  <c r="Q32" i="66"/>
  <c r="N30" i="66"/>
  <c r="M22" i="67"/>
  <c r="R46" i="66"/>
  <c r="F43" i="66"/>
  <c r="E47" i="66"/>
  <c r="D4" i="80"/>
  <c r="N40" i="66"/>
  <c r="H24" i="80"/>
  <c r="Z39" i="66"/>
  <c r="J39" i="66"/>
  <c r="AF2" i="80"/>
  <c r="B135" i="81"/>
  <c r="G3" i="75"/>
  <c r="J26" i="81"/>
  <c r="AF6" i="80"/>
  <c r="AF3" i="80"/>
  <c r="M40" i="66"/>
  <c r="V33" i="66"/>
  <c r="J27" i="66"/>
  <c r="BL6" i="80"/>
  <c r="I25" i="67"/>
  <c r="Q14" i="80"/>
  <c r="AH43" i="66"/>
  <c r="J16" i="80"/>
  <c r="Z14" i="80"/>
  <c r="AX25" i="80"/>
  <c r="R41" i="66"/>
  <c r="B112" i="81"/>
  <c r="AY15" i="80"/>
  <c r="N6" i="80"/>
  <c r="AL2" i="80"/>
  <c r="U11" i="80"/>
  <c r="Z23" i="80"/>
  <c r="AC15" i="80"/>
  <c r="C3" i="80"/>
  <c r="AI17" i="80"/>
  <c r="AZ21" i="80"/>
  <c r="Y23" i="80"/>
  <c r="AG14" i="80"/>
  <c r="C40" i="66"/>
  <c r="V25" i="80"/>
  <c r="Q33" i="66"/>
  <c r="AA25" i="80"/>
  <c r="R39" i="66"/>
  <c r="AK49" i="66"/>
  <c r="M8" i="80"/>
  <c r="O23" i="80"/>
  <c r="BH11" i="80"/>
  <c r="J41" i="66"/>
  <c r="M46" i="66"/>
  <c r="S35" i="66"/>
  <c r="B15" i="80"/>
  <c r="AK47" i="66"/>
  <c r="T49" i="66"/>
  <c r="Y11" i="80"/>
  <c r="F36" i="66"/>
  <c r="L32" i="66"/>
  <c r="J20" i="66"/>
  <c r="I31" i="66"/>
  <c r="AX15" i="80"/>
  <c r="V40" i="66"/>
  <c r="AT18" i="80"/>
  <c r="AX12" i="80"/>
  <c r="L22" i="67"/>
  <c r="AB12" i="80"/>
  <c r="V31" i="66"/>
  <c r="D33" i="66"/>
  <c r="V18" i="80"/>
  <c r="L40" i="66"/>
  <c r="AG41" i="66"/>
  <c r="K21" i="66"/>
  <c r="N26" i="66"/>
  <c r="G23" i="66"/>
  <c r="D2" i="80"/>
  <c r="L25" i="80"/>
  <c r="AR17" i="80"/>
  <c r="Q27" i="80"/>
  <c r="D17" i="67"/>
  <c r="G27" i="66"/>
  <c r="R31" i="66"/>
  <c r="BC8" i="80"/>
  <c r="Z44" i="66"/>
  <c r="AD39" i="66"/>
  <c r="E35" i="66"/>
  <c r="L23" i="66"/>
  <c r="R30" i="66"/>
  <c r="O25" i="80"/>
  <c r="AJ7" i="80"/>
  <c r="B5" i="80"/>
  <c r="S41" i="66"/>
  <c r="F21" i="66"/>
  <c r="F28" i="66"/>
  <c r="M9" i="80"/>
  <c r="U42" i="66"/>
  <c r="R36" i="66"/>
  <c r="AF43" i="66"/>
  <c r="Z49" i="66"/>
  <c r="O23" i="66"/>
  <c r="E36" i="66"/>
  <c r="K33" i="66"/>
  <c r="AJ46" i="66"/>
  <c r="G36" i="66"/>
  <c r="AB37" i="66"/>
  <c r="P23" i="80"/>
  <c r="AA24" i="80"/>
  <c r="D22" i="80"/>
  <c r="G29" i="66"/>
  <c r="R35" i="66"/>
  <c r="I40" i="66"/>
  <c r="E20" i="66"/>
  <c r="E24" i="66"/>
  <c r="BE12" i="80"/>
  <c r="D14" i="66"/>
  <c r="AG49" i="66"/>
  <c r="AC44" i="66"/>
  <c r="AA49" i="66"/>
  <c r="C44" i="66"/>
  <c r="AF7" i="80"/>
  <c r="AF27" i="80"/>
  <c r="AF23" i="80"/>
  <c r="B68" i="81"/>
  <c r="K166" i="81"/>
  <c r="AF26" i="80"/>
  <c r="AF25" i="80"/>
  <c r="K72" i="81"/>
  <c r="AI8" i="80"/>
  <c r="Q31" i="66"/>
  <c r="H11" i="80"/>
  <c r="AG47" i="66"/>
  <c r="C20" i="66"/>
  <c r="G42" i="66"/>
  <c r="C16" i="66"/>
  <c r="U5" i="80"/>
  <c r="D36" i="66"/>
  <c r="C22" i="80"/>
  <c r="Y4" i="80"/>
  <c r="T43" i="66"/>
  <c r="AF11" i="80"/>
  <c r="BL16" i="80"/>
  <c r="AC4" i="80"/>
  <c r="AX2" i="80"/>
  <c r="E13" i="66"/>
  <c r="M49" i="66"/>
  <c r="AV3" i="80"/>
  <c r="AH18" i="80"/>
  <c r="AA4" i="80"/>
  <c r="AS14" i="80"/>
  <c r="S24" i="80"/>
  <c r="Y37" i="66"/>
  <c r="T28" i="66"/>
  <c r="X35" i="66"/>
  <c r="I32" i="66"/>
  <c r="AF46" i="66"/>
  <c r="K20" i="66"/>
  <c r="M25" i="66"/>
  <c r="AD43" i="66"/>
  <c r="Q12" i="80"/>
  <c r="E13" i="80"/>
  <c r="O25" i="66"/>
  <c r="J19" i="66"/>
  <c r="AD40" i="66"/>
  <c r="AH42" i="66"/>
  <c r="D25" i="66"/>
  <c r="G24" i="66"/>
  <c r="Z40" i="66"/>
  <c r="T42" i="66"/>
  <c r="Q36" i="66"/>
  <c r="T39" i="66"/>
  <c r="F20" i="66"/>
  <c r="X10" i="80"/>
  <c r="AZ23" i="80"/>
  <c r="H14" i="80"/>
  <c r="V10" i="80"/>
  <c r="Y40" i="66"/>
  <c r="F32" i="66"/>
  <c r="W32" i="66"/>
  <c r="AC37" i="66"/>
  <c r="O23" i="67"/>
  <c r="J46" i="66"/>
  <c r="V46" i="66"/>
  <c r="E27" i="80"/>
  <c r="I33" i="66"/>
  <c r="C29" i="66"/>
  <c r="P36" i="66"/>
  <c r="U34" i="66"/>
  <c r="AZ16" i="80"/>
  <c r="AX17" i="80"/>
  <c r="O6" i="80"/>
  <c r="C39" i="66"/>
  <c r="AA35" i="66"/>
  <c r="C6" i="80"/>
  <c r="C14" i="66"/>
  <c r="W43" i="66"/>
  <c r="U47" i="66"/>
  <c r="G31" i="66"/>
  <c r="M33" i="66"/>
  <c r="F40" i="66"/>
  <c r="AZ4" i="80"/>
  <c r="AP22" i="80"/>
  <c r="AX10" i="80"/>
  <c r="Y35" i="66"/>
  <c r="L33" i="66"/>
  <c r="AB3" i="80"/>
  <c r="P49" i="66"/>
  <c r="P41" i="66"/>
  <c r="S27" i="66"/>
  <c r="M27" i="66"/>
  <c r="K29" i="66"/>
  <c r="F27" i="66"/>
  <c r="K39" i="66"/>
  <c r="F31" i="66"/>
  <c r="BD4" i="80"/>
  <c r="P40" i="66"/>
  <c r="I18" i="67"/>
  <c r="I8" i="80"/>
  <c r="R2" i="80"/>
  <c r="C32" i="66"/>
  <c r="AC40" i="66"/>
  <c r="Q42" i="66"/>
  <c r="T35" i="66"/>
  <c r="I28" i="66"/>
  <c r="AH4" i="80"/>
  <c r="M22" i="66"/>
  <c r="D27" i="66"/>
  <c r="W44" i="66"/>
  <c r="J33" i="66"/>
  <c r="W46" i="66"/>
  <c r="AF21" i="80"/>
  <c r="AF22" i="80"/>
  <c r="AF24" i="80"/>
  <c r="AF10" i="80"/>
  <c r="AF15" i="80"/>
  <c r="C35" i="66"/>
  <c r="B24" i="81"/>
  <c r="G5" i="75"/>
  <c r="AF8" i="80"/>
  <c r="B91" i="81"/>
  <c r="BI3" i="80"/>
  <c r="F26" i="66"/>
  <c r="Z42" i="66"/>
  <c r="E44" i="66"/>
  <c r="C41" i="66"/>
  <c r="P43" i="66"/>
  <c r="J35" i="66"/>
  <c r="L27" i="66"/>
  <c r="L41" i="66"/>
  <c r="X36" i="66"/>
  <c r="T40" i="66"/>
  <c r="AT10" i="80"/>
  <c r="AF5" i="80"/>
  <c r="AW3" i="80"/>
  <c r="Y20" i="80"/>
  <c r="L10" i="80"/>
  <c r="K11" i="80"/>
  <c r="AV5" i="80"/>
  <c r="S8" i="80"/>
  <c r="AM5" i="80"/>
  <c r="L4" i="80"/>
  <c r="V8" i="80"/>
  <c r="AB23" i="80"/>
  <c r="J7" i="80"/>
  <c r="N33" i="66"/>
  <c r="K46" i="66"/>
  <c r="E34" i="66"/>
  <c r="G21" i="66"/>
  <c r="R37" i="66"/>
  <c r="X37" i="66"/>
  <c r="AD44" i="66"/>
  <c r="G3" i="80"/>
  <c r="R10" i="80"/>
  <c r="D43" i="66"/>
  <c r="Y34" i="66"/>
  <c r="S44" i="66"/>
  <c r="N44" i="66"/>
  <c r="R18" i="80"/>
  <c r="U30" i="66"/>
  <c r="V34" i="66"/>
  <c r="AI43" i="66"/>
  <c r="W41" i="66"/>
  <c r="I49" i="66"/>
  <c r="BJ23" i="80"/>
  <c r="AZ6" i="80"/>
  <c r="AH19" i="80"/>
  <c r="W15" i="80"/>
  <c r="BK16" i="80"/>
  <c r="S36" i="66"/>
  <c r="C31" i="66"/>
  <c r="E37" i="66"/>
  <c r="V42" i="66"/>
  <c r="O39" i="66"/>
  <c r="G19" i="66"/>
  <c r="D18" i="66"/>
  <c r="O34" i="66"/>
  <c r="S40" i="66"/>
  <c r="D34" i="66"/>
  <c r="T44" i="66"/>
  <c r="C12" i="66"/>
  <c r="N21" i="80"/>
  <c r="P3" i="80"/>
  <c r="V2" i="80"/>
  <c r="AA37" i="66"/>
  <c r="G41" i="66"/>
  <c r="K47" i="66"/>
  <c r="F29" i="66"/>
  <c r="AF47" i="66"/>
  <c r="AK12" i="80"/>
  <c r="V36" i="66"/>
  <c r="N46" i="66"/>
  <c r="P26" i="66"/>
  <c r="T12" i="80"/>
  <c r="BB26" i="80"/>
  <c r="Q6" i="80"/>
  <c r="P32" i="66"/>
  <c r="D39" i="66"/>
  <c r="Q43" i="66"/>
  <c r="L25" i="66"/>
  <c r="AJ44" i="66"/>
  <c r="J23" i="80"/>
  <c r="Y33" i="66"/>
  <c r="L34" i="66"/>
  <c r="T17" i="80"/>
  <c r="L43" i="66"/>
  <c r="I39" i="66"/>
  <c r="AS25" i="80"/>
  <c r="E14" i="66"/>
  <c r="I9" i="80"/>
  <c r="D25" i="67"/>
  <c r="P7" i="80"/>
  <c r="B26" i="80"/>
  <c r="AH44" i="66"/>
  <c r="I47" i="66"/>
  <c r="AS10" i="80"/>
  <c r="L29" i="66"/>
  <c r="E26" i="80"/>
  <c r="K24" i="66"/>
  <c r="J25" i="66"/>
  <c r="D19" i="66"/>
  <c r="S23" i="80"/>
  <c r="K141" i="81"/>
  <c r="B45" i="81"/>
  <c r="AF13" i="80"/>
  <c r="G49" i="66"/>
  <c r="F46" i="66"/>
  <c r="L37" i="66"/>
  <c r="J4" i="80"/>
  <c r="D28" i="66"/>
  <c r="T34" i="66"/>
  <c r="O43" i="66"/>
  <c r="Y13" i="80"/>
  <c r="E18" i="66"/>
  <c r="F23" i="66"/>
  <c r="E16" i="66"/>
  <c r="BJ4" i="80"/>
  <c r="E19" i="80"/>
  <c r="U16" i="80"/>
  <c r="BM9" i="80"/>
  <c r="BF25" i="80"/>
  <c r="AS5" i="80"/>
  <c r="BK27" i="80"/>
  <c r="F20" i="80"/>
  <c r="AP26" i="80"/>
  <c r="Z7" i="80"/>
  <c r="I43" i="66"/>
  <c r="P20" i="80"/>
  <c r="BE6" i="80"/>
  <c r="M30" i="66"/>
  <c r="J44" i="66"/>
  <c r="O33" i="66"/>
  <c r="C30" i="66"/>
  <c r="M32" i="66"/>
  <c r="M11" i="80"/>
  <c r="AN15" i="80"/>
  <c r="E17" i="66"/>
  <c r="AB41" i="66"/>
  <c r="J28" i="66"/>
  <c r="AB49" i="66"/>
  <c r="T30" i="66"/>
  <c r="D37" i="66"/>
  <c r="F39" i="66"/>
  <c r="E33" i="66"/>
  <c r="D46" i="66"/>
  <c r="P33" i="66"/>
  <c r="S30" i="66"/>
  <c r="N25" i="66"/>
  <c r="AY5" i="80"/>
  <c r="D18" i="80"/>
  <c r="F23" i="67"/>
  <c r="U39" i="66"/>
  <c r="M34" i="66"/>
  <c r="D25" i="80"/>
  <c r="N47" i="66"/>
  <c r="I42" i="66"/>
  <c r="W34" i="66"/>
  <c r="N27" i="66"/>
  <c r="E32" i="66"/>
  <c r="M36" i="66"/>
  <c r="M43" i="66"/>
  <c r="N37" i="66"/>
  <c r="Y44" i="66"/>
  <c r="AJ22" i="80"/>
  <c r="AB20" i="80"/>
  <c r="Y10" i="80"/>
  <c r="J42" i="66"/>
  <c r="AA44" i="66"/>
  <c r="AH47" i="66"/>
  <c r="P46" i="66"/>
  <c r="F24" i="66"/>
  <c r="AA41" i="66"/>
  <c r="P8" i="80"/>
  <c r="V41" i="66"/>
  <c r="E12" i="80"/>
  <c r="N11" i="80"/>
  <c r="N4" i="80"/>
  <c r="V24" i="80"/>
  <c r="J47" i="66"/>
  <c r="AD42" i="66"/>
  <c r="V44" i="66"/>
  <c r="D29" i="66"/>
  <c r="AH49" i="66"/>
  <c r="V35" i="66"/>
  <c r="Z37" i="66"/>
  <c r="AB39" i="66"/>
  <c r="C13" i="80"/>
  <c r="AN49" i="66"/>
  <c r="I30" i="66"/>
  <c r="AD16" i="80"/>
  <c r="K35" i="66"/>
  <c r="BA3" i="80"/>
  <c r="P12" i="80"/>
  <c r="R43" i="66"/>
  <c r="N3" i="80"/>
  <c r="I17" i="66"/>
  <c r="K19" i="66"/>
  <c r="W14" i="80"/>
  <c r="AB46" i="66"/>
  <c r="I18" i="66"/>
  <c r="S33" i="66"/>
  <c r="M23" i="66"/>
  <c r="E28" i="66"/>
  <c r="C5" i="80"/>
  <c r="G26" i="66"/>
  <c r="K118" i="81"/>
  <c r="G7" i="80"/>
  <c r="K17" i="80"/>
  <c r="G22" i="66"/>
  <c r="R17" i="80"/>
  <c r="I22" i="66"/>
  <c r="G21" i="80"/>
  <c r="AG44" i="66"/>
  <c r="C16" i="80"/>
  <c r="K43" i="66"/>
  <c r="BB18" i="80"/>
  <c r="W40" i="66"/>
  <c r="E9" i="80"/>
  <c r="V37" i="66"/>
  <c r="K192" i="81"/>
  <c r="J3" i="80"/>
  <c r="AO17" i="80"/>
  <c r="F25" i="67"/>
  <c r="W10" i="80"/>
  <c r="U10" i="80"/>
  <c r="AV4" i="80"/>
  <c r="AC11" i="80"/>
  <c r="BB19" i="80"/>
  <c r="L27" i="80"/>
  <c r="I23" i="80"/>
  <c r="R21" i="80"/>
  <c r="P29" i="66"/>
  <c r="U37" i="66"/>
  <c r="S43" i="66"/>
  <c r="T5" i="80"/>
  <c r="E21" i="80"/>
  <c r="D35" i="66"/>
  <c r="N41" i="66"/>
  <c r="AG8" i="80"/>
  <c r="H20" i="80"/>
  <c r="E5" i="80"/>
  <c r="R3" i="80"/>
  <c r="M28" i="66"/>
  <c r="W35" i="66"/>
  <c r="O24" i="66"/>
  <c r="H13" i="80"/>
  <c r="E42" i="66"/>
  <c r="AF42" i="66"/>
  <c r="AN10" i="80"/>
  <c r="D21" i="66"/>
  <c r="D41" i="66"/>
  <c r="I25" i="66"/>
  <c r="Y43" i="66"/>
  <c r="BJ6" i="80"/>
  <c r="W33" i="66"/>
  <c r="Z20" i="80"/>
  <c r="W47" i="66"/>
  <c r="M39" i="66"/>
  <c r="P14" i="80"/>
  <c r="D24" i="66"/>
  <c r="AD46" i="66"/>
  <c r="AC41" i="66"/>
  <c r="R34" i="66"/>
  <c r="L35" i="66"/>
  <c r="O40" i="66"/>
  <c r="X33" i="66"/>
  <c r="V49" i="66"/>
  <c r="W31" i="66"/>
  <c r="R20" i="80"/>
  <c r="C17" i="80"/>
  <c r="H8" i="80"/>
  <c r="AJ17" i="80"/>
  <c r="I19" i="66"/>
  <c r="K22" i="66"/>
  <c r="K30" i="66"/>
  <c r="O31" i="66"/>
  <c r="M35" i="66"/>
  <c r="P28" i="66"/>
  <c r="V7" i="80"/>
  <c r="N24" i="66"/>
  <c r="AB21" i="80"/>
  <c r="X19" i="80"/>
  <c r="BI12" i="80"/>
  <c r="K7" i="80"/>
  <c r="V47" i="66"/>
  <c r="AJ49" i="66"/>
  <c r="AA40" i="66"/>
  <c r="C28" i="66"/>
  <c r="U32" i="66"/>
  <c r="Y41" i="66"/>
  <c r="U43" i="66"/>
  <c r="G44" i="66"/>
  <c r="C27" i="66"/>
  <c r="W42" i="66"/>
  <c r="AA5" i="80"/>
  <c r="G16" i="66"/>
  <c r="P11" i="80"/>
  <c r="AA15" i="80"/>
  <c r="AP2" i="80"/>
  <c r="S47" i="66"/>
  <c r="E29" i="66"/>
  <c r="L28" i="66"/>
  <c r="T29" i="66"/>
  <c r="F12" i="80"/>
  <c r="R32" i="66"/>
  <c r="I22" i="67"/>
  <c r="S39" i="66"/>
  <c r="G30" i="66"/>
  <c r="D12" i="66"/>
  <c r="AA46" i="66"/>
  <c r="AF14" i="80"/>
  <c r="AF20" i="80"/>
  <c r="K49" i="81"/>
  <c r="K95" i="81"/>
  <c r="AF19" i="80"/>
  <c r="R6" i="80"/>
  <c r="R7" i="80"/>
  <c r="AR15" i="80"/>
  <c r="D10" i="80"/>
  <c r="C8" i="80"/>
  <c r="AD41" i="66"/>
  <c r="L21" i="66"/>
  <c r="O47" i="66"/>
  <c r="X2" i="80"/>
  <c r="AG22" i="80"/>
  <c r="C17" i="66"/>
  <c r="J32" i="66"/>
  <c r="D23" i="66"/>
  <c r="S49" i="66"/>
  <c r="I41" i="66"/>
  <c r="AF16" i="80"/>
  <c r="AM20" i="80"/>
  <c r="AO24" i="80"/>
  <c r="BF12" i="80"/>
  <c r="F27" i="80"/>
  <c r="R15" i="80"/>
  <c r="AQ11" i="80"/>
  <c r="B18" i="80"/>
  <c r="N8" i="80"/>
  <c r="Y17" i="80"/>
  <c r="AC17" i="80"/>
  <c r="Y25" i="80"/>
  <c r="X7" i="80"/>
  <c r="K16" i="80"/>
  <c r="S4" i="80"/>
  <c r="R29" i="66"/>
  <c r="O12" i="80"/>
  <c r="D44" i="66"/>
  <c r="U2" i="80"/>
  <c r="K44" i="66"/>
  <c r="F19" i="67"/>
  <c r="L17" i="80"/>
  <c r="I37" i="66"/>
  <c r="F14" i="80"/>
  <c r="AB26" i="80"/>
  <c r="P31" i="66"/>
  <c r="V23" i="80"/>
  <c r="AC47" i="66"/>
  <c r="AK46" i="66"/>
  <c r="M22" i="80"/>
  <c r="O29" i="66"/>
  <c r="T32" i="66"/>
  <c r="J21" i="66"/>
  <c r="X49" i="66"/>
  <c r="AS4" i="80"/>
  <c r="T25" i="80"/>
  <c r="X14" i="80"/>
  <c r="E41" i="66"/>
  <c r="V43" i="66"/>
  <c r="F16" i="66"/>
  <c r="O32" i="66"/>
  <c r="C19" i="66"/>
  <c r="T8" i="80"/>
  <c r="D40" i="66"/>
  <c r="G40" i="66"/>
  <c r="AB17" i="80"/>
  <c r="X34" i="66"/>
  <c r="C21" i="66"/>
  <c r="O30" i="66"/>
  <c r="I19" i="67"/>
  <c r="AZ15" i="80"/>
  <c r="K22" i="67"/>
  <c r="H26" i="80"/>
  <c r="R28" i="66"/>
  <c r="F30" i="66"/>
  <c r="BE4" i="80"/>
  <c r="C37" i="66"/>
  <c r="V39" i="66"/>
  <c r="L46" i="66"/>
  <c r="M41" i="66"/>
  <c r="J24" i="66"/>
  <c r="L31" i="66"/>
  <c r="AA18" i="80"/>
  <c r="F14" i="67"/>
  <c r="R24" i="80"/>
  <c r="L24" i="66"/>
  <c r="P25" i="66"/>
  <c r="M7" i="80"/>
  <c r="I34" i="66"/>
  <c r="J36" i="66"/>
  <c r="BH2" i="80"/>
  <c r="Q49" i="66"/>
  <c r="O46" i="66"/>
  <c r="Y39" i="66"/>
  <c r="K22" i="80"/>
  <c r="Q19" i="80"/>
  <c r="L13" i="80"/>
  <c r="AC2" i="80"/>
  <c r="H16" i="80"/>
  <c r="AF40" i="66"/>
  <c r="E49" i="66"/>
  <c r="N36" i="66"/>
  <c r="I35" i="66"/>
  <c r="U33" i="66"/>
  <c r="S46" i="66"/>
  <c r="D47" i="66"/>
  <c r="I44" i="66"/>
  <c r="AA36" i="66"/>
  <c r="V27" i="80"/>
  <c r="K27" i="66"/>
  <c r="L26" i="80"/>
  <c r="AF4" i="80"/>
  <c r="AF18" i="80"/>
  <c r="G4" i="75"/>
  <c r="AF9" i="80"/>
  <c r="AF17" i="80"/>
  <c r="X9" i="80"/>
  <c r="U8" i="80"/>
  <c r="BH8" i="80"/>
  <c r="H12" i="80"/>
  <c r="AA19" i="80"/>
  <c r="K25" i="66"/>
  <c r="U36" i="66"/>
  <c r="X27" i="80"/>
  <c r="L44" i="66"/>
  <c r="C26" i="66"/>
  <c r="N12" i="80"/>
  <c r="G17" i="66"/>
  <c r="E26" i="66"/>
  <c r="N35" i="66"/>
  <c r="K37" i="66"/>
  <c r="AF12" i="80"/>
  <c r="G9" i="75" l="1"/>
  <c r="G8" i="75"/>
  <c r="G10" i="75" s="1"/>
  <c r="B9" i="2"/>
  <c r="G11" i="75"/>
  <c r="G14" i="75" l="1"/>
  <c r="G12" i="75"/>
  <c r="G13" i="75"/>
  <c r="CB3" i="1"/>
  <c r="CB4" i="1"/>
  <c r="CB5" i="1"/>
  <c r="CB6" i="1"/>
  <c r="CB7" i="1"/>
  <c r="CB8" i="1"/>
  <c r="CB9" i="1"/>
  <c r="CB10" i="1"/>
  <c r="CB11" i="1"/>
  <c r="CB12" i="1"/>
  <c r="CB13" i="1"/>
  <c r="CB14" i="1"/>
  <c r="CB15" i="1"/>
  <c r="CB16" i="1"/>
  <c r="CB17" i="1"/>
  <c r="CB18" i="1"/>
  <c r="CB19" i="1"/>
  <c r="CB20" i="1"/>
  <c r="CB21" i="1"/>
  <c r="CB22" i="1"/>
  <c r="CB23" i="1"/>
  <c r="CB24" i="1"/>
  <c r="CB25" i="1"/>
  <c r="CB26" i="1"/>
  <c r="CB27" i="1"/>
  <c r="CB28" i="1"/>
  <c r="CB29" i="1"/>
  <c r="CB30" i="1"/>
  <c r="CB31" i="1"/>
  <c r="CB32" i="1"/>
  <c r="CB33" i="1"/>
  <c r="CB34" i="1"/>
  <c r="CB35" i="1"/>
  <c r="CB36" i="1"/>
  <c r="CB37" i="1"/>
  <c r="CB38" i="1"/>
  <c r="CB39" i="1"/>
  <c r="CB40" i="1"/>
  <c r="CB41" i="1"/>
  <c r="CB42" i="1"/>
  <c r="CB43" i="1"/>
  <c r="CB44" i="1"/>
  <c r="CB45" i="1"/>
  <c r="CB46" i="1"/>
  <c r="CB47" i="1"/>
  <c r="CB48" i="1"/>
  <c r="CB49" i="1"/>
  <c r="CB50" i="1"/>
  <c r="CB51" i="1"/>
  <c r="CB52" i="1"/>
  <c r="CB53" i="1"/>
  <c r="CB54" i="1"/>
  <c r="CB55" i="1"/>
  <c r="CB56" i="1"/>
  <c r="CB57" i="1"/>
  <c r="CB58" i="1"/>
  <c r="CB59" i="1"/>
  <c r="CB60" i="1"/>
  <c r="CB61" i="1"/>
  <c r="CB62" i="1"/>
  <c r="CB63" i="1"/>
  <c r="CB64" i="1"/>
  <c r="CB65" i="1"/>
  <c r="CB66" i="1"/>
  <c r="CB67" i="1"/>
  <c r="CB68" i="1"/>
  <c r="CB69" i="1"/>
  <c r="CB70" i="1"/>
  <c r="CB71" i="1"/>
  <c r="CB72" i="1"/>
  <c r="CB73" i="1"/>
  <c r="CB74" i="1"/>
  <c r="CB75" i="1"/>
  <c r="CB76" i="1"/>
  <c r="CB77" i="1"/>
  <c r="CB78" i="1"/>
  <c r="CB79" i="1"/>
  <c r="CB80" i="1"/>
  <c r="CB81" i="1"/>
  <c r="CB82" i="1"/>
  <c r="CB83" i="1"/>
  <c r="CB84" i="1"/>
  <c r="CB85" i="1"/>
  <c r="CB86" i="1"/>
  <c r="CB87" i="1"/>
  <c r="CB88" i="1"/>
  <c r="CB89" i="1"/>
  <c r="CB90" i="1"/>
  <c r="CB91" i="1"/>
  <c r="CB92" i="1"/>
  <c r="CB93" i="1"/>
  <c r="CB94" i="1"/>
  <c r="CB95" i="1"/>
  <c r="CB96" i="1"/>
  <c r="CB97" i="1"/>
  <c r="CB98" i="1"/>
  <c r="CB99" i="1"/>
  <c r="CB100" i="1"/>
  <c r="CB101" i="1"/>
  <c r="CB102" i="1"/>
  <c r="CB103" i="1"/>
  <c r="CB104" i="1"/>
  <c r="CB105" i="1"/>
  <c r="CB106" i="1"/>
  <c r="CB107" i="1"/>
  <c r="CB108" i="1"/>
  <c r="CB109" i="1"/>
  <c r="CB110" i="1"/>
  <c r="CB111" i="1"/>
  <c r="CB112" i="1"/>
  <c r="CB113" i="1"/>
  <c r="CB114" i="1"/>
  <c r="CB115" i="1"/>
  <c r="CB116" i="1"/>
  <c r="CB117" i="1"/>
  <c r="CB118" i="1"/>
  <c r="CB119" i="1"/>
  <c r="CB120" i="1"/>
  <c r="CB121" i="1"/>
  <c r="CB122" i="1"/>
  <c r="CB123" i="1"/>
  <c r="CB124" i="1"/>
  <c r="CB125" i="1"/>
  <c r="CB126" i="1"/>
  <c r="CB127" i="1"/>
  <c r="CB128" i="1"/>
  <c r="CB129" i="1"/>
  <c r="CB130" i="1"/>
  <c r="CB131" i="1"/>
  <c r="CB132" i="1"/>
  <c r="CB133" i="1"/>
  <c r="CB134" i="1"/>
  <c r="CB135" i="1"/>
  <c r="CB136" i="1"/>
  <c r="CB137" i="1"/>
  <c r="CB138" i="1"/>
  <c r="CB139" i="1"/>
  <c r="CB140" i="1"/>
  <c r="CB141" i="1"/>
  <c r="CB142" i="1"/>
  <c r="CB143" i="1"/>
  <c r="CB144" i="1"/>
  <c r="CB145" i="1"/>
  <c r="CB146" i="1"/>
  <c r="CB147" i="1"/>
  <c r="CB148" i="1"/>
  <c r="CB149" i="1"/>
  <c r="CB150" i="1"/>
  <c r="CB151" i="1"/>
  <c r="CB152" i="1"/>
  <c r="CB153" i="1"/>
  <c r="CB154" i="1"/>
  <c r="CB155" i="1"/>
  <c r="CB156" i="1"/>
  <c r="CB157" i="1"/>
  <c r="CB158" i="1"/>
  <c r="CB159" i="1"/>
  <c r="CB160" i="1"/>
  <c r="CB161" i="1"/>
  <c r="CB162" i="1"/>
  <c r="CB163" i="1"/>
  <c r="CB164" i="1"/>
  <c r="CB165" i="1"/>
  <c r="CB166" i="1"/>
  <c r="CB167" i="1"/>
  <c r="CB168" i="1"/>
  <c r="CB169" i="1"/>
  <c r="CB170" i="1"/>
  <c r="CB171" i="1"/>
  <c r="CB172" i="1"/>
  <c r="CB173" i="1"/>
  <c r="CB174" i="1"/>
  <c r="CB175" i="1"/>
  <c r="CB176" i="1"/>
  <c r="CB177" i="1"/>
  <c r="CB178" i="1"/>
  <c r="CB179" i="1"/>
  <c r="CB180" i="1"/>
  <c r="CB181" i="1"/>
  <c r="CB182" i="1"/>
  <c r="CB183" i="1"/>
  <c r="CB184" i="1"/>
  <c r="CB185" i="1"/>
  <c r="CB186" i="1"/>
  <c r="CB187" i="1"/>
  <c r="CB188" i="1"/>
  <c r="CB189" i="1"/>
  <c r="CB190" i="1"/>
  <c r="CB191" i="1"/>
  <c r="CB192" i="1"/>
  <c r="CB193" i="1"/>
  <c r="CB194" i="1"/>
  <c r="CB195" i="1"/>
  <c r="CB196" i="1"/>
  <c r="CB197" i="1"/>
  <c r="CB198" i="1"/>
  <c r="CB199" i="1"/>
  <c r="CB200" i="1"/>
  <c r="CB201" i="1"/>
  <c r="CB202" i="1"/>
  <c r="CB203" i="1"/>
  <c r="CB204" i="1"/>
  <c r="CB205" i="1"/>
  <c r="CB206" i="1"/>
  <c r="CB207" i="1"/>
  <c r="CB208" i="1"/>
  <c r="CB209" i="1"/>
  <c r="CB210" i="1"/>
  <c r="CB211" i="1"/>
  <c r="CB212" i="1"/>
  <c r="CB213" i="1"/>
  <c r="CB214" i="1"/>
  <c r="CB215" i="1"/>
  <c r="CB216" i="1"/>
  <c r="CB217" i="1"/>
  <c r="CB218" i="1"/>
  <c r="CB219" i="1"/>
  <c r="CB220" i="1"/>
  <c r="CB221" i="1"/>
  <c r="CB222" i="1"/>
  <c r="CB223" i="1"/>
  <c r="CB224" i="1"/>
  <c r="CB225" i="1"/>
  <c r="CB226" i="1"/>
  <c r="CB227" i="1"/>
  <c r="CB228" i="1"/>
  <c r="CB229" i="1"/>
  <c r="CB230" i="1"/>
  <c r="CB231" i="1"/>
  <c r="CB232" i="1"/>
  <c r="CB233" i="1"/>
  <c r="CB234" i="1"/>
  <c r="CB235" i="1"/>
  <c r="CB236" i="1"/>
  <c r="CB237" i="1"/>
  <c r="CB238" i="1"/>
  <c r="CB239" i="1"/>
  <c r="CB240" i="1"/>
  <c r="CB241" i="1"/>
  <c r="CB242" i="1"/>
  <c r="CB243" i="1"/>
  <c r="CB244" i="1"/>
  <c r="CB245" i="1"/>
  <c r="CB246" i="1"/>
  <c r="CB247" i="1"/>
  <c r="CB248" i="1"/>
  <c r="CB249" i="1"/>
  <c r="CB250" i="1"/>
  <c r="CB251" i="1"/>
  <c r="CB252" i="1"/>
  <c r="CB253" i="1"/>
  <c r="CB254" i="1"/>
  <c r="CB255" i="1"/>
  <c r="CB256" i="1"/>
  <c r="CB257" i="1"/>
  <c r="CB258" i="1"/>
  <c r="CB259" i="1"/>
  <c r="CB260" i="1"/>
  <c r="CB261" i="1"/>
  <c r="CB262" i="1"/>
  <c r="CB263" i="1"/>
  <c r="CB264" i="1"/>
  <c r="CB265" i="1"/>
  <c r="CB266" i="1"/>
  <c r="CB267" i="1"/>
  <c r="CB268" i="1"/>
  <c r="CB269" i="1"/>
  <c r="CB270" i="1"/>
  <c r="CB271" i="1"/>
  <c r="CB272" i="1"/>
  <c r="CB273" i="1"/>
  <c r="CB274" i="1"/>
  <c r="CB275" i="1"/>
  <c r="CB276" i="1"/>
  <c r="CB277" i="1"/>
  <c r="CB278" i="1"/>
  <c r="CB279" i="1"/>
  <c r="CB280" i="1"/>
  <c r="CB281" i="1"/>
  <c r="CB282" i="1"/>
  <c r="CB283" i="1"/>
  <c r="CB284" i="1"/>
  <c r="CB285" i="1"/>
  <c r="CB286" i="1"/>
  <c r="CB287" i="1"/>
  <c r="CB288" i="1"/>
  <c r="CB289" i="1"/>
  <c r="CB290" i="1"/>
  <c r="CB291" i="1"/>
  <c r="CB292" i="1"/>
  <c r="CB293" i="1"/>
  <c r="CB294" i="1"/>
  <c r="CB295" i="1"/>
  <c r="CB296" i="1"/>
  <c r="CB297" i="1"/>
  <c r="CB298" i="1"/>
  <c r="CB299" i="1"/>
  <c r="CB300" i="1"/>
  <c r="CB301" i="1"/>
  <c r="CB302" i="1"/>
  <c r="CB303" i="1"/>
  <c r="CB304" i="1"/>
  <c r="CB305" i="1"/>
  <c r="CB306" i="1"/>
  <c r="CB307" i="1"/>
  <c r="CB308" i="1"/>
  <c r="CB309" i="1"/>
  <c r="CB310" i="1"/>
  <c r="CB311" i="1"/>
  <c r="CB312" i="1"/>
  <c r="CB313" i="1"/>
  <c r="CB314" i="1"/>
  <c r="CB315" i="1"/>
  <c r="CB316" i="1"/>
  <c r="CB317" i="1"/>
  <c r="CB318" i="1"/>
  <c r="CB319" i="1"/>
  <c r="CB320" i="1"/>
  <c r="CB321" i="1"/>
  <c r="CB322" i="1"/>
  <c r="CB323" i="1"/>
  <c r="CB324" i="1"/>
  <c r="CB325" i="1"/>
  <c r="CB326" i="1"/>
  <c r="CB327" i="1"/>
  <c r="CB328" i="1"/>
  <c r="CB329" i="1"/>
  <c r="CB330" i="1"/>
  <c r="CB331" i="1"/>
  <c r="CB332" i="1"/>
  <c r="CB333" i="1"/>
  <c r="CB334" i="1"/>
  <c r="CB335" i="1"/>
  <c r="CB336" i="1"/>
  <c r="CB337" i="1"/>
  <c r="CB338" i="1"/>
  <c r="CB339" i="1"/>
  <c r="CB340" i="1"/>
  <c r="CB341" i="1"/>
  <c r="CB342" i="1"/>
  <c r="CB343" i="1"/>
  <c r="CB344" i="1"/>
  <c r="CB345" i="1"/>
  <c r="CB346" i="1"/>
  <c r="CB347" i="1"/>
  <c r="CB348" i="1"/>
  <c r="CB349" i="1"/>
  <c r="CB350" i="1"/>
  <c r="CB351" i="1"/>
  <c r="CB352" i="1"/>
  <c r="CB353" i="1"/>
  <c r="CB354" i="1"/>
  <c r="CB355" i="1"/>
  <c r="CB356" i="1"/>
  <c r="CB357" i="1"/>
  <c r="CB358" i="1"/>
  <c r="CB359" i="1"/>
  <c r="CB360" i="1"/>
  <c r="CB361" i="1"/>
  <c r="CB362" i="1"/>
  <c r="CB363" i="1"/>
  <c r="CB364" i="1"/>
  <c r="CB365" i="1"/>
  <c r="CB366" i="1"/>
  <c r="CB367" i="1"/>
  <c r="CB368" i="1"/>
  <c r="CB369" i="1"/>
  <c r="CB370" i="1"/>
  <c r="CB371" i="1"/>
  <c r="CB372" i="1"/>
  <c r="CB373" i="1"/>
  <c r="CB374" i="1"/>
  <c r="CB375" i="1"/>
  <c r="CB376" i="1"/>
  <c r="CB377" i="1"/>
  <c r="CB378" i="1"/>
  <c r="CB379" i="1"/>
  <c r="CB380" i="1"/>
  <c r="CB381" i="1"/>
  <c r="CB382" i="1"/>
  <c r="CB383" i="1"/>
  <c r="CB384" i="1"/>
  <c r="CB385" i="1"/>
  <c r="CB386" i="1"/>
  <c r="CB387" i="1"/>
  <c r="CB388" i="1"/>
  <c r="CB389" i="1"/>
  <c r="CB390" i="1"/>
  <c r="CB391" i="1"/>
  <c r="CB392" i="1"/>
  <c r="CB393" i="1"/>
  <c r="CB394" i="1"/>
  <c r="CB395" i="1"/>
  <c r="CB396" i="1"/>
  <c r="CB397" i="1"/>
  <c r="CB398" i="1"/>
  <c r="CB399" i="1"/>
  <c r="CB400" i="1"/>
  <c r="CB401" i="1"/>
  <c r="CB402" i="1"/>
  <c r="CB403" i="1"/>
  <c r="CB404" i="1"/>
  <c r="CB405" i="1"/>
  <c r="CB406" i="1"/>
  <c r="CB407" i="1"/>
  <c r="CB408" i="1"/>
  <c r="CB409" i="1"/>
  <c r="CB410" i="1"/>
  <c r="CB411" i="1"/>
  <c r="CB412" i="1"/>
  <c r="CB413" i="1"/>
  <c r="CB414" i="1"/>
  <c r="CB415" i="1"/>
  <c r="CB416" i="1"/>
  <c r="CB417" i="1"/>
  <c r="CB418" i="1"/>
  <c r="CB419" i="1"/>
  <c r="CB420" i="1"/>
  <c r="CB421" i="1"/>
  <c r="CB422" i="1"/>
  <c r="CB423" i="1"/>
  <c r="CB424" i="1"/>
  <c r="CB425" i="1"/>
  <c r="CB426" i="1"/>
  <c r="CB427" i="1"/>
  <c r="CB428" i="1"/>
  <c r="CB429" i="1"/>
  <c r="CB430" i="1"/>
  <c r="CB431" i="1"/>
  <c r="CB432" i="1"/>
  <c r="CB433" i="1"/>
  <c r="CB434" i="1"/>
  <c r="CB435" i="1"/>
  <c r="CB436" i="1"/>
  <c r="CB437" i="1"/>
  <c r="CB438" i="1"/>
  <c r="CB439" i="1"/>
  <c r="CB440" i="1"/>
  <c r="CB441" i="1"/>
  <c r="CB442" i="1"/>
  <c r="CB443" i="1"/>
  <c r="CB444" i="1"/>
  <c r="CB445" i="1"/>
  <c r="CB446" i="1"/>
  <c r="CB447" i="1"/>
  <c r="CB448" i="1"/>
  <c r="CB449" i="1"/>
  <c r="CB450" i="1"/>
  <c r="CB451" i="1"/>
  <c r="CB452" i="1"/>
  <c r="CB453" i="1"/>
  <c r="CB454" i="1"/>
  <c r="CB455" i="1"/>
  <c r="CB456" i="1"/>
  <c r="CB457" i="1"/>
  <c r="CB458" i="1"/>
  <c r="CB459" i="1"/>
  <c r="CB460" i="1"/>
  <c r="CB461" i="1"/>
  <c r="CB462" i="1"/>
  <c r="CB463" i="1"/>
  <c r="CB464" i="1"/>
  <c r="CB465" i="1"/>
  <c r="CB466" i="1"/>
  <c r="CB467" i="1"/>
  <c r="CB468" i="1"/>
  <c r="CB469" i="1"/>
  <c r="CB470" i="1"/>
  <c r="CB471" i="1"/>
  <c r="CB472" i="1"/>
  <c r="CB473" i="1"/>
  <c r="CB474" i="1"/>
  <c r="CB475" i="1"/>
  <c r="CB476" i="1"/>
  <c r="CB477" i="1"/>
  <c r="CB478" i="1"/>
  <c r="CB479" i="1"/>
  <c r="CB480" i="1"/>
  <c r="CB481" i="1"/>
  <c r="CB482" i="1"/>
  <c r="CB483" i="1"/>
  <c r="CB484" i="1"/>
  <c r="CB485" i="1"/>
  <c r="CB486" i="1"/>
  <c r="CB487" i="1"/>
  <c r="CB488" i="1"/>
  <c r="CB489" i="1"/>
  <c r="CB490" i="1"/>
  <c r="CB491" i="1"/>
  <c r="CB492" i="1"/>
  <c r="CB493" i="1"/>
  <c r="CB494" i="1"/>
  <c r="CB495" i="1"/>
  <c r="CB496" i="1"/>
  <c r="CB497" i="1"/>
  <c r="CB498" i="1"/>
  <c r="CB499" i="1"/>
  <c r="CB500" i="1"/>
  <c r="CB501" i="1"/>
  <c r="CB502" i="1"/>
  <c r="CB503" i="1"/>
  <c r="CB504" i="1"/>
  <c r="CB505" i="1"/>
  <c r="CB506" i="1"/>
  <c r="CB507" i="1"/>
  <c r="CB508" i="1"/>
  <c r="CB509" i="1"/>
  <c r="CB510" i="1"/>
  <c r="CB511" i="1"/>
  <c r="CB512" i="1"/>
  <c r="CB513" i="1"/>
  <c r="CB514" i="1"/>
  <c r="CB515" i="1"/>
  <c r="CB516" i="1"/>
  <c r="CB517" i="1"/>
  <c r="CB518" i="1"/>
  <c r="CB519" i="1"/>
  <c r="CB520" i="1"/>
  <c r="CB521" i="1"/>
  <c r="CB522" i="1"/>
  <c r="CB523" i="1"/>
  <c r="CB524" i="1"/>
  <c r="CB525" i="1"/>
  <c r="CB526" i="1"/>
  <c r="CB527" i="1"/>
  <c r="CB528" i="1"/>
  <c r="CB529" i="1"/>
  <c r="CB530" i="1"/>
  <c r="CB531" i="1"/>
  <c r="CB532" i="1"/>
  <c r="CB533" i="1"/>
  <c r="CB534" i="1"/>
  <c r="CB535" i="1"/>
  <c r="CB536" i="1"/>
  <c r="CB537" i="1"/>
  <c r="CB538" i="1"/>
  <c r="CB539" i="1"/>
  <c r="CB540" i="1"/>
  <c r="CB541" i="1"/>
  <c r="CB542" i="1"/>
  <c r="CB543" i="1"/>
  <c r="CB544" i="1"/>
  <c r="CB545" i="1"/>
  <c r="CB546" i="1"/>
  <c r="CB547" i="1"/>
  <c r="CB548" i="1"/>
  <c r="CB549" i="1"/>
  <c r="CB550" i="1"/>
  <c r="CB551" i="1"/>
  <c r="CB552" i="1"/>
  <c r="CB553" i="1"/>
  <c r="CB554" i="1"/>
  <c r="CB555" i="1"/>
  <c r="CB556" i="1"/>
  <c r="CB557" i="1"/>
  <c r="CB558" i="1"/>
  <c r="CB559" i="1"/>
  <c r="CB560" i="1"/>
  <c r="CB561" i="1"/>
  <c r="CB562" i="1"/>
  <c r="CB563" i="1"/>
  <c r="CB564" i="1"/>
  <c r="CB565" i="1"/>
  <c r="CB566" i="1"/>
  <c r="CB567" i="1"/>
  <c r="CB568" i="1"/>
  <c r="CB569" i="1"/>
  <c r="CB570" i="1"/>
  <c r="CB571" i="1"/>
  <c r="CB572" i="1"/>
  <c r="CB573" i="1"/>
  <c r="CB574" i="1"/>
  <c r="CB575" i="1"/>
  <c r="CB576" i="1"/>
  <c r="CB577" i="1"/>
  <c r="CB578" i="1"/>
  <c r="CB579" i="1"/>
  <c r="CB580" i="1"/>
  <c r="CB581" i="1"/>
  <c r="CB582" i="1"/>
  <c r="CB583" i="1"/>
  <c r="CB584" i="1"/>
  <c r="CB585" i="1"/>
  <c r="CB586" i="1"/>
  <c r="CB587" i="1"/>
  <c r="CB588" i="1"/>
  <c r="CB589" i="1"/>
  <c r="CB590" i="1"/>
  <c r="CB591" i="1"/>
  <c r="CB592" i="1"/>
  <c r="CB593" i="1"/>
  <c r="CB594" i="1"/>
  <c r="CB595" i="1"/>
  <c r="CB596" i="1"/>
  <c r="CB597" i="1"/>
  <c r="CB598" i="1"/>
  <c r="CB599" i="1"/>
  <c r="CB600" i="1"/>
  <c r="CB601" i="1"/>
  <c r="CB602" i="1"/>
  <c r="CB603" i="1"/>
  <c r="CB604" i="1"/>
  <c r="CB605" i="1"/>
  <c r="CB606" i="1"/>
  <c r="CB607" i="1"/>
  <c r="CB608" i="1"/>
  <c r="CB609" i="1"/>
  <c r="CB610" i="1"/>
  <c r="CB611" i="1"/>
  <c r="CB612" i="1"/>
  <c r="CB613" i="1"/>
  <c r="CB614" i="1"/>
  <c r="CB615" i="1"/>
  <c r="CB616" i="1"/>
  <c r="CB617" i="1"/>
  <c r="CB618" i="1"/>
  <c r="CB619" i="1"/>
  <c r="CB620" i="1"/>
  <c r="CB621" i="1"/>
  <c r="CB622" i="1"/>
  <c r="CB623" i="1"/>
  <c r="CB624" i="1"/>
  <c r="CB625" i="1"/>
  <c r="CB626" i="1"/>
  <c r="CB627" i="1"/>
  <c r="CB628" i="1"/>
  <c r="CB629" i="1"/>
  <c r="CB630" i="1"/>
  <c r="CB631" i="1"/>
  <c r="CB632" i="1"/>
  <c r="CB633" i="1"/>
  <c r="CB634" i="1"/>
  <c r="CB635" i="1"/>
  <c r="CB636" i="1"/>
  <c r="CB637" i="1"/>
  <c r="CB638" i="1"/>
  <c r="CB639" i="1"/>
  <c r="CB640" i="1"/>
  <c r="CB641" i="1"/>
  <c r="CB642" i="1"/>
  <c r="CB643" i="1"/>
  <c r="CB644" i="1"/>
  <c r="CB645" i="1"/>
  <c r="CB646" i="1"/>
  <c r="CB647" i="1"/>
  <c r="CB648" i="1"/>
  <c r="CB649"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76" i="1"/>
  <c r="CB677" i="1"/>
  <c r="CB678" i="1"/>
  <c r="CB679" i="1"/>
  <c r="CB680" i="1"/>
  <c r="CB681" i="1"/>
  <c r="CB682" i="1"/>
  <c r="CB683" i="1"/>
  <c r="CB684" i="1"/>
  <c r="CB685" i="1"/>
  <c r="CB686" i="1"/>
  <c r="CB687" i="1"/>
  <c r="CB688" i="1"/>
  <c r="CB689" i="1"/>
  <c r="CB690" i="1"/>
  <c r="CB691" i="1"/>
  <c r="CB692" i="1"/>
  <c r="CB693" i="1"/>
  <c r="CB694" i="1"/>
  <c r="CB695" i="1"/>
  <c r="CB696" i="1"/>
  <c r="CB697" i="1"/>
  <c r="CB698" i="1"/>
  <c r="CB699" i="1"/>
  <c r="CB700" i="1"/>
  <c r="CB701" i="1"/>
  <c r="CB702" i="1"/>
  <c r="CB703" i="1"/>
  <c r="CB704" i="1"/>
  <c r="CB705" i="1"/>
  <c r="CB706" i="1"/>
  <c r="CB707" i="1"/>
  <c r="CB708" i="1"/>
  <c r="CB709" i="1"/>
  <c r="CB710" i="1"/>
  <c r="CB711" i="1"/>
  <c r="CB712" i="1"/>
  <c r="CB713" i="1"/>
  <c r="CB714" i="1"/>
  <c r="CB715" i="1"/>
  <c r="CB716" i="1"/>
  <c r="CB717" i="1"/>
  <c r="CB718" i="1"/>
  <c r="CB719" i="1"/>
  <c r="CB720" i="1"/>
  <c r="CB721" i="1"/>
  <c r="CB722" i="1"/>
  <c r="CB723" i="1"/>
  <c r="CB724" i="1"/>
  <c r="CB725" i="1"/>
  <c r="CB726" i="1"/>
  <c r="CB727" i="1"/>
  <c r="CB728" i="1"/>
  <c r="CB729" i="1"/>
  <c r="CB730" i="1"/>
  <c r="CB731" i="1"/>
  <c r="CB732" i="1"/>
  <c r="CB733" i="1"/>
  <c r="CB734" i="1"/>
  <c r="CB735" i="1"/>
  <c r="CB736" i="1"/>
  <c r="CB737" i="1"/>
  <c r="CB738" i="1"/>
  <c r="CB739" i="1"/>
  <c r="CB740" i="1"/>
  <c r="CB741" i="1"/>
  <c r="CB742" i="1"/>
  <c r="CB743" i="1"/>
  <c r="CB744" i="1"/>
  <c r="CB745" i="1"/>
  <c r="CB746" i="1"/>
  <c r="CB747" i="1"/>
  <c r="CB748" i="1"/>
  <c r="CB749" i="1"/>
  <c r="CB750" i="1"/>
  <c r="CB751" i="1"/>
  <c r="CB752" i="1"/>
  <c r="CB753" i="1"/>
  <c r="CB754" i="1"/>
  <c r="CB755" i="1"/>
  <c r="CB756" i="1"/>
  <c r="CB757" i="1"/>
  <c r="CB758" i="1"/>
  <c r="CB759" i="1"/>
  <c r="CB760" i="1"/>
  <c r="CB761" i="1"/>
  <c r="CB762" i="1"/>
  <c r="CB763" i="1"/>
  <c r="CB764" i="1"/>
  <c r="CB765" i="1"/>
  <c r="CB766" i="1"/>
  <c r="CB767" i="1"/>
  <c r="CB768" i="1"/>
  <c r="CB769" i="1"/>
  <c r="CB770" i="1"/>
  <c r="CB771" i="1"/>
  <c r="CB772" i="1"/>
  <c r="CB773" i="1"/>
  <c r="CB774" i="1"/>
  <c r="CB775" i="1"/>
  <c r="CB776" i="1"/>
  <c r="CB777" i="1"/>
  <c r="CB778" i="1"/>
  <c r="CB779" i="1"/>
  <c r="CB780" i="1"/>
  <c r="CB781" i="1"/>
  <c r="CB782" i="1"/>
  <c r="CB783" i="1"/>
  <c r="CB784" i="1"/>
  <c r="CB785" i="1"/>
  <c r="CB786" i="1"/>
  <c r="CB787" i="1"/>
  <c r="CB788" i="1"/>
  <c r="CB789" i="1"/>
  <c r="CB790" i="1"/>
  <c r="CB791" i="1"/>
  <c r="CB792" i="1"/>
  <c r="CB793" i="1"/>
  <c r="CB794" i="1"/>
  <c r="CB795" i="1"/>
  <c r="CB796" i="1"/>
  <c r="CB797" i="1"/>
  <c r="CB798" i="1"/>
  <c r="CB799" i="1"/>
  <c r="CB800" i="1"/>
  <c r="CB801" i="1"/>
  <c r="CB802" i="1"/>
  <c r="CB803" i="1"/>
  <c r="CB804" i="1"/>
  <c r="CB805" i="1"/>
  <c r="CB806" i="1"/>
  <c r="CB807" i="1"/>
  <c r="CB808" i="1"/>
  <c r="CB809" i="1"/>
  <c r="CB810" i="1"/>
  <c r="CB811" i="1"/>
  <c r="CB812" i="1"/>
  <c r="CB813" i="1"/>
  <c r="CB814" i="1"/>
  <c r="CB815" i="1"/>
  <c r="CB816" i="1"/>
  <c r="CB817" i="1"/>
  <c r="CB818" i="1"/>
  <c r="CB819" i="1"/>
  <c r="CB820" i="1"/>
  <c r="CB821" i="1"/>
  <c r="CB822" i="1"/>
  <c r="CB823" i="1"/>
  <c r="CB824" i="1"/>
  <c r="CB825" i="1"/>
  <c r="CB826" i="1"/>
  <c r="CB827" i="1"/>
  <c r="CB828" i="1"/>
  <c r="CB829" i="1"/>
  <c r="CB830" i="1"/>
  <c r="CB831" i="1"/>
  <c r="CB832" i="1"/>
  <c r="CB833" i="1"/>
  <c r="CB834" i="1"/>
  <c r="CB835" i="1"/>
  <c r="CB836" i="1"/>
  <c r="CB837" i="1"/>
  <c r="CB838" i="1"/>
  <c r="CB839" i="1"/>
  <c r="CB840" i="1"/>
  <c r="CB841" i="1"/>
  <c r="CB842" i="1"/>
  <c r="CB843" i="1"/>
  <c r="CB844" i="1"/>
  <c r="CB845" i="1"/>
  <c r="CB846" i="1"/>
  <c r="CB847" i="1"/>
  <c r="CB848" i="1"/>
  <c r="CB849" i="1"/>
  <c r="CB850" i="1"/>
  <c r="CB851" i="1"/>
  <c r="CB852" i="1"/>
  <c r="CB853" i="1"/>
  <c r="CB854" i="1"/>
  <c r="CB855" i="1"/>
  <c r="CB856" i="1"/>
  <c r="CB857" i="1"/>
  <c r="CB858" i="1"/>
  <c r="CB859" i="1"/>
  <c r="CB860" i="1"/>
  <c r="CB861" i="1"/>
  <c r="CB862" i="1"/>
  <c r="CB863" i="1"/>
  <c r="CB864" i="1"/>
  <c r="CB865" i="1"/>
  <c r="CB866" i="1"/>
  <c r="CB867" i="1"/>
  <c r="CB868" i="1"/>
  <c r="CB869" i="1"/>
  <c r="CB870" i="1"/>
  <c r="CB871" i="1"/>
  <c r="CB872" i="1"/>
  <c r="CB873" i="1"/>
  <c r="CB874" i="1"/>
  <c r="CB875" i="1"/>
  <c r="CB876" i="1"/>
  <c r="CB877" i="1"/>
  <c r="CB878" i="1"/>
  <c r="CB879" i="1"/>
  <c r="CB880" i="1"/>
  <c r="CB881" i="1"/>
  <c r="CB882" i="1"/>
  <c r="CB883" i="1"/>
  <c r="CB884" i="1"/>
  <c r="CB885" i="1"/>
  <c r="CB886" i="1"/>
  <c r="CB887" i="1"/>
  <c r="CB888" i="1"/>
  <c r="CB889" i="1"/>
  <c r="CB890" i="1"/>
  <c r="CB891" i="1"/>
  <c r="CB892" i="1"/>
  <c r="CB893" i="1"/>
  <c r="CB894" i="1"/>
  <c r="CB895" i="1"/>
  <c r="CB896" i="1"/>
  <c r="CB897" i="1"/>
  <c r="CB898" i="1"/>
  <c r="CB899" i="1"/>
  <c r="CB900" i="1"/>
  <c r="CB901" i="1"/>
  <c r="CB902" i="1"/>
  <c r="CB903" i="1"/>
  <c r="CB904" i="1"/>
  <c r="CB905" i="1"/>
  <c r="CB906" i="1"/>
  <c r="CB907" i="1"/>
  <c r="CB908" i="1"/>
  <c r="CB909" i="1"/>
  <c r="CB910" i="1"/>
  <c r="CB911" i="1"/>
  <c r="CB912" i="1"/>
  <c r="CB913" i="1"/>
  <c r="CB914" i="1"/>
  <c r="CB915" i="1"/>
  <c r="CB916" i="1"/>
  <c r="CB917" i="1"/>
  <c r="CB918" i="1"/>
  <c r="CB919" i="1"/>
  <c r="CB920" i="1"/>
  <c r="CB921" i="1"/>
  <c r="CB922" i="1"/>
  <c r="CB923" i="1"/>
  <c r="CB924" i="1"/>
  <c r="CB925" i="1"/>
  <c r="CB926" i="1"/>
  <c r="CB927" i="1"/>
  <c r="CB928" i="1"/>
  <c r="CB929" i="1"/>
  <c r="CB930" i="1"/>
  <c r="CB931" i="1"/>
  <c r="CB932" i="1"/>
  <c r="CB933" i="1"/>
  <c r="CB934" i="1"/>
  <c r="CB935" i="1"/>
  <c r="CB936" i="1"/>
  <c r="CB937" i="1"/>
  <c r="CB938" i="1"/>
  <c r="CB939" i="1"/>
  <c r="CB940" i="1"/>
  <c r="CB941" i="1"/>
  <c r="CB942" i="1"/>
  <c r="CB943" i="1"/>
  <c r="CB944" i="1"/>
  <c r="CB945" i="1"/>
  <c r="CB946" i="1"/>
  <c r="CB947" i="1"/>
  <c r="CB948" i="1"/>
  <c r="CB949" i="1"/>
  <c r="CB950" i="1"/>
  <c r="CB951" i="1"/>
  <c r="CB952" i="1"/>
  <c r="CB953" i="1"/>
  <c r="CB954" i="1"/>
  <c r="CB955" i="1"/>
  <c r="CB956" i="1"/>
  <c r="CB957" i="1"/>
  <c r="CB958" i="1"/>
  <c r="CB959" i="1"/>
  <c r="CB960" i="1"/>
  <c r="CB961" i="1"/>
  <c r="CB962" i="1"/>
  <c r="CB963" i="1"/>
  <c r="CB964" i="1"/>
  <c r="CB965" i="1"/>
  <c r="CB966" i="1"/>
  <c r="CB967" i="1"/>
  <c r="CB968" i="1"/>
  <c r="CB969" i="1"/>
  <c r="CB970" i="1"/>
  <c r="CB971" i="1"/>
  <c r="CB972" i="1"/>
  <c r="CB973" i="1"/>
  <c r="CB974" i="1"/>
  <c r="CB975" i="1"/>
  <c r="CB976" i="1"/>
  <c r="CB977" i="1"/>
  <c r="CB978" i="1"/>
  <c r="CB979" i="1"/>
  <c r="CB980" i="1"/>
  <c r="CB981" i="1"/>
  <c r="CB982" i="1"/>
  <c r="CB983" i="1"/>
  <c r="CB984" i="1"/>
  <c r="CB985" i="1"/>
  <c r="CB986" i="1"/>
  <c r="CB987" i="1"/>
  <c r="CB988" i="1"/>
  <c r="CB989" i="1"/>
  <c r="CB990" i="1"/>
  <c r="CB991" i="1"/>
  <c r="CB992" i="1"/>
  <c r="CB993" i="1"/>
  <c r="CB994" i="1"/>
  <c r="CB995" i="1"/>
  <c r="CB996" i="1"/>
  <c r="CB997" i="1"/>
  <c r="CB998" i="1"/>
  <c r="CB999" i="1"/>
  <c r="CB1000" i="1"/>
  <c r="CB1001" i="1"/>
  <c r="CB1002" i="1"/>
  <c r="CB1003" i="1"/>
  <c r="CB1004" i="1"/>
  <c r="CB1005" i="1"/>
  <c r="CB1006" i="1"/>
  <c r="CB1007" i="1"/>
  <c r="CB1008" i="1"/>
  <c r="CB1009" i="1"/>
  <c r="CB1010" i="1"/>
  <c r="CB1011" i="1"/>
  <c r="CB1012" i="1"/>
  <c r="CB1013" i="1"/>
  <c r="CB1014" i="1"/>
  <c r="CB1015" i="1"/>
  <c r="CB1016" i="1"/>
  <c r="CB1017" i="1"/>
  <c r="CB1018" i="1"/>
  <c r="CB1019" i="1"/>
  <c r="CB1020" i="1"/>
  <c r="CB1021" i="1"/>
  <c r="CB1022" i="1"/>
  <c r="CB1023" i="1"/>
  <c r="CB1024" i="1"/>
  <c r="CB1025" i="1"/>
  <c r="CB1026" i="1"/>
  <c r="CB1027" i="1"/>
  <c r="CB1028" i="1"/>
  <c r="CB1029" i="1"/>
  <c r="CB1030" i="1"/>
  <c r="CB1031" i="1"/>
  <c r="CB1032" i="1"/>
  <c r="CB1033" i="1"/>
  <c r="CB1034" i="1"/>
  <c r="CB1035" i="1"/>
  <c r="CB1036" i="1"/>
  <c r="CB1037" i="1"/>
  <c r="CB1038" i="1"/>
  <c r="CB1039" i="1"/>
  <c r="CB1040" i="1"/>
  <c r="CB1041" i="1"/>
  <c r="CB1042" i="1"/>
  <c r="CB1043" i="1"/>
  <c r="CB1044" i="1"/>
  <c r="CB1045" i="1"/>
  <c r="CB1046" i="1"/>
  <c r="CB1047" i="1"/>
  <c r="CB1048" i="1"/>
  <c r="CB1049" i="1"/>
  <c r="CB1050" i="1"/>
  <c r="CB1051" i="1"/>
  <c r="CB1052" i="1"/>
  <c r="CB1053" i="1"/>
  <c r="CB1054" i="1"/>
  <c r="CB1055" i="1"/>
  <c r="CB1056" i="1"/>
  <c r="CB1057" i="1"/>
  <c r="CB1058" i="1"/>
  <c r="CB1059" i="1"/>
  <c r="CB1060" i="1"/>
  <c r="CB1061" i="1"/>
  <c r="CB1062" i="1"/>
  <c r="CB1063" i="1"/>
  <c r="CB1064" i="1"/>
  <c r="CB1065" i="1"/>
  <c r="CB1066" i="1"/>
  <c r="CB1067" i="1"/>
  <c r="CB1068" i="1"/>
  <c r="CB1069" i="1"/>
  <c r="CB1070" i="1"/>
  <c r="CB1071" i="1"/>
  <c r="CB1072" i="1"/>
  <c r="CB1073" i="1"/>
  <c r="CB1074" i="1"/>
  <c r="CB1075" i="1"/>
  <c r="CB1076" i="1"/>
  <c r="CB1077" i="1"/>
  <c r="CB1078" i="1"/>
  <c r="CB1079" i="1"/>
  <c r="CB1080" i="1"/>
  <c r="CB1081" i="1"/>
  <c r="CB1082" i="1"/>
  <c r="CB1083" i="1"/>
  <c r="CB1084" i="1"/>
  <c r="CB1085" i="1"/>
  <c r="CB1086" i="1"/>
  <c r="CB1087" i="1"/>
  <c r="CB1088" i="1"/>
  <c r="CB1089" i="1"/>
  <c r="CB1090" i="1"/>
  <c r="CB1091" i="1"/>
  <c r="CB1092" i="1"/>
  <c r="CB1093" i="1"/>
  <c r="CB1094" i="1"/>
  <c r="CB1095" i="1"/>
  <c r="CB1096" i="1"/>
  <c r="CB1097" i="1"/>
  <c r="CB1098" i="1"/>
  <c r="CB1099" i="1"/>
  <c r="CB1100" i="1"/>
  <c r="CB1101" i="1"/>
  <c r="CB1102" i="1"/>
  <c r="CB1103" i="1"/>
  <c r="CB1104" i="1"/>
  <c r="CB1105" i="1"/>
  <c r="CB1106" i="1"/>
  <c r="CB1107" i="1"/>
  <c r="CB1108" i="1"/>
  <c r="CB1109" i="1"/>
  <c r="CB1110" i="1"/>
  <c r="CB1111" i="1"/>
  <c r="CB1112" i="1"/>
  <c r="CB1113" i="1"/>
  <c r="CB1114" i="1"/>
  <c r="CB1115" i="1"/>
  <c r="CB1116" i="1"/>
  <c r="CB1117" i="1"/>
  <c r="CB1118" i="1"/>
  <c r="CB1119" i="1"/>
  <c r="CB1120" i="1"/>
  <c r="CB1121" i="1"/>
  <c r="CB1122" i="1"/>
  <c r="CB1123" i="1"/>
  <c r="CB1124" i="1"/>
  <c r="CB1125" i="1"/>
  <c r="CB1126" i="1"/>
  <c r="CB1127" i="1"/>
  <c r="CB1128" i="1"/>
  <c r="CB1129" i="1"/>
  <c r="CB1130" i="1"/>
  <c r="CB1131" i="1"/>
  <c r="CB1132" i="1"/>
  <c r="CB1133" i="1"/>
  <c r="CB1134" i="1"/>
  <c r="CB1135" i="1"/>
  <c r="CB1136" i="1"/>
  <c r="CB1137" i="1"/>
  <c r="CB1138" i="1"/>
  <c r="CB1139" i="1"/>
  <c r="CB1140" i="1"/>
  <c r="CB1141" i="1"/>
  <c r="CB1142" i="1"/>
  <c r="CB1143" i="1"/>
  <c r="CB1144" i="1"/>
  <c r="CB1145" i="1"/>
  <c r="CB1146" i="1"/>
  <c r="CB1147" i="1"/>
  <c r="CB1148" i="1"/>
  <c r="CB1149" i="1"/>
  <c r="CB1150" i="1"/>
  <c r="CB1151" i="1"/>
  <c r="CB1152" i="1"/>
  <c r="CB1153" i="1"/>
  <c r="CB1154" i="1"/>
  <c r="CB1155" i="1"/>
  <c r="CB1156" i="1"/>
  <c r="CB1157" i="1"/>
  <c r="CB1158" i="1"/>
  <c r="CB1159" i="1"/>
  <c r="CB1160" i="1"/>
  <c r="CB1161" i="1"/>
  <c r="CB1162" i="1"/>
  <c r="CB1163" i="1"/>
  <c r="CB1164" i="1"/>
  <c r="CB1165" i="1"/>
  <c r="CB1166" i="1"/>
  <c r="CB1167" i="1"/>
  <c r="CB1168" i="1"/>
  <c r="CB1169" i="1"/>
  <c r="CB1170" i="1"/>
  <c r="CB1171" i="1"/>
  <c r="CB1172" i="1"/>
  <c r="CB1173" i="1"/>
  <c r="CB1174" i="1"/>
  <c r="CB1175" i="1"/>
  <c r="CB1176" i="1"/>
  <c r="CB1177" i="1"/>
  <c r="CB1178" i="1"/>
  <c r="CB1179" i="1"/>
  <c r="CB1180" i="1"/>
  <c r="CB1181" i="1"/>
  <c r="CB1182" i="1"/>
  <c r="CB1183" i="1"/>
  <c r="CB1184" i="1"/>
  <c r="CB1185" i="1"/>
  <c r="CB1186" i="1"/>
  <c r="CB1187" i="1"/>
  <c r="CB1188" i="1"/>
  <c r="CB1189" i="1"/>
  <c r="CB1190" i="1"/>
  <c r="CB1191" i="1"/>
  <c r="CB1192" i="1"/>
  <c r="CB1193" i="1"/>
  <c r="CB1194" i="1"/>
  <c r="CB1195" i="1"/>
  <c r="CB1196" i="1"/>
  <c r="CB1197" i="1"/>
  <c r="CB1198" i="1"/>
  <c r="CB1199" i="1"/>
  <c r="CB1200" i="1"/>
  <c r="CB1201" i="1"/>
  <c r="CB1202" i="1"/>
  <c r="CB1203" i="1"/>
  <c r="CB1204" i="1"/>
  <c r="CB1205" i="1"/>
  <c r="CB1206" i="1"/>
  <c r="CB1207" i="1"/>
  <c r="CB1208" i="1"/>
  <c r="CB1209" i="1"/>
  <c r="CB1210" i="1"/>
  <c r="CB1211" i="1"/>
  <c r="CB1212" i="1"/>
  <c r="CB1213" i="1"/>
  <c r="CB1214" i="1"/>
  <c r="CB1215" i="1"/>
  <c r="CB1216" i="1"/>
  <c r="CB1217" i="1"/>
  <c r="CB1218" i="1"/>
  <c r="CB1219" i="1"/>
  <c r="CB1220" i="1"/>
  <c r="CB1221" i="1"/>
  <c r="CB1222" i="1"/>
  <c r="CB1223" i="1"/>
  <c r="CB1224" i="1"/>
  <c r="CB1225" i="1"/>
  <c r="CB1226" i="1"/>
  <c r="CB1227" i="1"/>
  <c r="CB1228" i="1"/>
  <c r="CB1229" i="1"/>
  <c r="CB1230" i="1"/>
  <c r="CB1231" i="1"/>
  <c r="CB1232" i="1"/>
  <c r="CB1233" i="1"/>
  <c r="CB1234" i="1"/>
  <c r="CB1235" i="1"/>
  <c r="CB1236" i="1"/>
  <c r="CB1237" i="1"/>
  <c r="CB1238" i="1"/>
  <c r="CB1239" i="1"/>
  <c r="CB1240" i="1"/>
  <c r="CB1241" i="1"/>
  <c r="CB1242" i="1"/>
  <c r="CB1243" i="1"/>
  <c r="CB1244" i="1"/>
  <c r="CB1245" i="1"/>
  <c r="CB1246" i="1"/>
  <c r="CB1247" i="1"/>
  <c r="CB1248" i="1"/>
  <c r="CB1249" i="1"/>
  <c r="CB1250" i="1"/>
  <c r="CB1251" i="1"/>
  <c r="CB1252" i="1"/>
  <c r="CB1253" i="1"/>
  <c r="CB1254" i="1"/>
  <c r="CB1255" i="1"/>
  <c r="CB1256" i="1"/>
  <c r="CB1257" i="1"/>
  <c r="CB1258" i="1"/>
  <c r="CB1259" i="1"/>
  <c r="CB1260" i="1"/>
  <c r="CB1261" i="1"/>
  <c r="CB1262" i="1"/>
  <c r="CB1263" i="1"/>
  <c r="CB1264" i="1"/>
  <c r="CB1265" i="1"/>
  <c r="CB1266" i="1"/>
  <c r="CB1267" i="1"/>
  <c r="CB1268" i="1"/>
  <c r="CB1269" i="1"/>
  <c r="CB1270" i="1"/>
  <c r="CB1271" i="1"/>
  <c r="CB1272" i="1"/>
  <c r="CB1273" i="1"/>
  <c r="CB1274" i="1"/>
  <c r="CB1275" i="1"/>
  <c r="CB1276" i="1"/>
  <c r="CB1277" i="1"/>
  <c r="CB1278" i="1"/>
  <c r="CB1279" i="1"/>
  <c r="CB1280" i="1"/>
  <c r="CB1281" i="1"/>
  <c r="CB1282" i="1"/>
  <c r="CB1283" i="1"/>
  <c r="CB1284" i="1"/>
  <c r="CB1285" i="1"/>
  <c r="CB1286" i="1"/>
  <c r="CB1287" i="1"/>
  <c r="CB1288" i="1"/>
  <c r="CB1289" i="1"/>
  <c r="CB1290" i="1"/>
  <c r="CB1291" i="1"/>
  <c r="CB1292" i="1"/>
  <c r="CB1293" i="1"/>
  <c r="CB1294" i="1"/>
  <c r="CB1295" i="1"/>
  <c r="CB1296" i="1"/>
  <c r="CB1297" i="1"/>
  <c r="CB1298" i="1"/>
  <c r="CB1299" i="1"/>
  <c r="CB1300" i="1"/>
  <c r="CB1301" i="1"/>
  <c r="CB1302" i="1"/>
  <c r="CB1303" i="1"/>
  <c r="CB1304" i="1"/>
  <c r="CB1305" i="1"/>
  <c r="CB1306" i="1"/>
  <c r="CB1307" i="1"/>
  <c r="CB1308" i="1"/>
  <c r="CB1309" i="1"/>
  <c r="CB1310" i="1"/>
  <c r="CB1311" i="1"/>
  <c r="CB1312" i="1"/>
  <c r="CB1313" i="1"/>
  <c r="CB1314" i="1"/>
  <c r="CB1315" i="1"/>
  <c r="CB1316" i="1"/>
  <c r="CB1317" i="1"/>
  <c r="CB1318" i="1"/>
  <c r="CB1319" i="1"/>
  <c r="CB1320" i="1"/>
  <c r="CB1321" i="1"/>
  <c r="CB1322" i="1"/>
  <c r="CB1323" i="1"/>
  <c r="CB1324" i="1"/>
  <c r="CB1325" i="1"/>
  <c r="CB1326" i="1"/>
  <c r="CB1327" i="1"/>
  <c r="CB1328" i="1"/>
  <c r="CB1329" i="1"/>
  <c r="CB1330" i="1"/>
  <c r="CB1331" i="1"/>
  <c r="CB1332" i="1"/>
  <c r="CB1333" i="1"/>
  <c r="CB1334" i="1"/>
  <c r="CB1335" i="1"/>
  <c r="CB1336" i="1"/>
  <c r="CB1337" i="1"/>
  <c r="CB1338" i="1"/>
  <c r="CB1339" i="1"/>
  <c r="CB1340" i="1"/>
  <c r="CB1341" i="1"/>
  <c r="CB1342" i="1"/>
  <c r="CB1343" i="1"/>
  <c r="CB1344" i="1"/>
  <c r="CB1345" i="1"/>
  <c r="CB1346" i="1"/>
  <c r="CB1347" i="1"/>
  <c r="CB1348" i="1"/>
  <c r="CB1349" i="1"/>
  <c r="CB1350" i="1"/>
  <c r="CB1351" i="1"/>
  <c r="CB1352" i="1"/>
  <c r="CB1353" i="1"/>
  <c r="CB1354" i="1"/>
  <c r="CB1355" i="1"/>
  <c r="CB1356" i="1"/>
  <c r="CB1357" i="1"/>
  <c r="CB1358" i="1"/>
  <c r="CB1359" i="1"/>
  <c r="CB1360" i="1"/>
  <c r="CB1361" i="1"/>
  <c r="CB1362" i="1"/>
  <c r="CB1363" i="1"/>
  <c r="CB1364" i="1"/>
  <c r="CB1365" i="1"/>
  <c r="CB1366" i="1"/>
  <c r="CB1367" i="1"/>
  <c r="CB1368" i="1"/>
  <c r="CB1369" i="1"/>
  <c r="CB1370" i="1"/>
  <c r="CB1371" i="1"/>
  <c r="CB1372" i="1"/>
  <c r="CB1373" i="1"/>
  <c r="CB1374" i="1"/>
  <c r="CB1375" i="1"/>
  <c r="CB1376" i="1"/>
  <c r="CB1377" i="1"/>
  <c r="CB1378" i="1"/>
  <c r="CB1379" i="1"/>
  <c r="CB1380" i="1"/>
  <c r="CB1381" i="1"/>
  <c r="CB1382" i="1"/>
  <c r="CB1383" i="1"/>
  <c r="CB1384" i="1"/>
  <c r="CB1385" i="1"/>
  <c r="CB1386" i="1"/>
  <c r="CB1387" i="1"/>
  <c r="CB1388" i="1"/>
  <c r="CB1389" i="1"/>
  <c r="CB1390" i="1"/>
  <c r="CB1391" i="1"/>
  <c r="CB1392" i="1"/>
  <c r="CB1393" i="1"/>
  <c r="CB1394" i="1"/>
  <c r="CB1395" i="1"/>
  <c r="CB1396" i="1"/>
  <c r="CB1397" i="1"/>
  <c r="CB1398" i="1"/>
  <c r="CB1399" i="1"/>
  <c r="CB1400" i="1"/>
  <c r="CB1401" i="1"/>
  <c r="CB1402" i="1"/>
  <c r="CB1403" i="1"/>
  <c r="CB1404" i="1"/>
  <c r="CB1405" i="1"/>
  <c r="CB1406" i="1"/>
  <c r="CB1407" i="1"/>
  <c r="CB1408" i="1"/>
  <c r="CB1409" i="1"/>
  <c r="CB1410" i="1"/>
  <c r="CB1411" i="1"/>
  <c r="CB1412" i="1"/>
  <c r="CB1413" i="1"/>
  <c r="CB1414" i="1"/>
  <c r="CB1415" i="1"/>
  <c r="CB1416" i="1"/>
  <c r="CB1417" i="1"/>
  <c r="CB1418" i="1"/>
  <c r="CB1419" i="1"/>
  <c r="CB1420" i="1"/>
  <c r="CB1421" i="1"/>
  <c r="CB1422" i="1"/>
  <c r="CB1423" i="1"/>
  <c r="CB1424" i="1"/>
  <c r="CB1425" i="1"/>
  <c r="CB1426" i="1"/>
  <c r="CB1427" i="1"/>
  <c r="CB1428" i="1"/>
  <c r="CB1429" i="1"/>
  <c r="CB1430" i="1"/>
  <c r="CB1431" i="1"/>
  <c r="CB1432" i="1"/>
  <c r="CB1433" i="1"/>
  <c r="CB1434" i="1"/>
  <c r="CB1435" i="1"/>
  <c r="CB1436" i="1"/>
  <c r="CB1437" i="1"/>
  <c r="CB1438" i="1"/>
  <c r="CB1439" i="1"/>
  <c r="CB1440" i="1"/>
  <c r="CB1441" i="1"/>
  <c r="CB1442" i="1"/>
  <c r="CB1443" i="1"/>
  <c r="CB1444" i="1"/>
  <c r="CB1445" i="1"/>
  <c r="CB1446" i="1"/>
  <c r="CB1447" i="1"/>
  <c r="CB1448" i="1"/>
  <c r="CB1449" i="1"/>
  <c r="CB1450" i="1"/>
  <c r="CB1451" i="1"/>
  <c r="CB1452" i="1"/>
  <c r="CB1453" i="1"/>
  <c r="CB1454" i="1"/>
  <c r="CB1455" i="1"/>
  <c r="CB1456" i="1"/>
  <c r="CB1457" i="1"/>
  <c r="CB1458" i="1"/>
  <c r="CB1459" i="1"/>
  <c r="CB1460" i="1"/>
  <c r="CB1461" i="1"/>
  <c r="CB1462" i="1"/>
  <c r="CB1463" i="1"/>
  <c r="CB1464" i="1"/>
  <c r="CB1465" i="1"/>
  <c r="CB1466" i="1"/>
  <c r="CB1467" i="1"/>
  <c r="CB1468" i="1"/>
  <c r="CB1469" i="1"/>
  <c r="CB1470" i="1"/>
  <c r="CB1471" i="1"/>
  <c r="CB2" i="1"/>
  <c r="BW2" i="1"/>
  <c r="CB1" i="1"/>
  <c r="CA3" i="1"/>
  <c r="CA4" i="1"/>
  <c r="CA5" i="1"/>
  <c r="CA6" i="1"/>
  <c r="CA7" i="1"/>
  <c r="CA8" i="1"/>
  <c r="CA9" i="1"/>
  <c r="CA10" i="1"/>
  <c r="CA11" i="1"/>
  <c r="CA12" i="1"/>
  <c r="CA13" i="1"/>
  <c r="CA14" i="1"/>
  <c r="CA15" i="1"/>
  <c r="CA16" i="1"/>
  <c r="CA17" i="1"/>
  <c r="CA18" i="1"/>
  <c r="CA19" i="1"/>
  <c r="CA20" i="1"/>
  <c r="CA21" i="1"/>
  <c r="CA22" i="1"/>
  <c r="CA23" i="1"/>
  <c r="CA24" i="1"/>
  <c r="CA25" i="1"/>
  <c r="CA26" i="1"/>
  <c r="CA27" i="1"/>
  <c r="CA28" i="1"/>
  <c r="CA29" i="1"/>
  <c r="CA30" i="1"/>
  <c r="CA31" i="1"/>
  <c r="CA32" i="1"/>
  <c r="CA33" i="1"/>
  <c r="CA34" i="1"/>
  <c r="CA35" i="1"/>
  <c r="CA36" i="1"/>
  <c r="CA37" i="1"/>
  <c r="CA38" i="1"/>
  <c r="CA39" i="1"/>
  <c r="CA40" i="1"/>
  <c r="CA41" i="1"/>
  <c r="CA42" i="1"/>
  <c r="CA43" i="1"/>
  <c r="CA44" i="1"/>
  <c r="CA45" i="1"/>
  <c r="CA46" i="1"/>
  <c r="CA47" i="1"/>
  <c r="CA48" i="1"/>
  <c r="CA49" i="1"/>
  <c r="CA50" i="1"/>
  <c r="CA51" i="1"/>
  <c r="CA52" i="1"/>
  <c r="CA53" i="1"/>
  <c r="CA54" i="1"/>
  <c r="CA55" i="1"/>
  <c r="CA56" i="1"/>
  <c r="CA57" i="1"/>
  <c r="CA58" i="1"/>
  <c r="CA59" i="1"/>
  <c r="CA60" i="1"/>
  <c r="CA61" i="1"/>
  <c r="CA62" i="1"/>
  <c r="CA63" i="1"/>
  <c r="CA64" i="1"/>
  <c r="CA65" i="1"/>
  <c r="CA66" i="1"/>
  <c r="CA67" i="1"/>
  <c r="CA68" i="1"/>
  <c r="CA69" i="1"/>
  <c r="CA70" i="1"/>
  <c r="CA71" i="1"/>
  <c r="CA72" i="1"/>
  <c r="CA73" i="1"/>
  <c r="CA74" i="1"/>
  <c r="CA75" i="1"/>
  <c r="CA76" i="1"/>
  <c r="CA77" i="1"/>
  <c r="CA78" i="1"/>
  <c r="CA79" i="1"/>
  <c r="CA80" i="1"/>
  <c r="CA81" i="1"/>
  <c r="CA82" i="1"/>
  <c r="CA83" i="1"/>
  <c r="CA84" i="1"/>
  <c r="CA85" i="1"/>
  <c r="CA86" i="1"/>
  <c r="CA87" i="1"/>
  <c r="CA88" i="1"/>
  <c r="CA89" i="1"/>
  <c r="CA90" i="1"/>
  <c r="CA91" i="1"/>
  <c r="CA92" i="1"/>
  <c r="CA93" i="1"/>
  <c r="CA94" i="1"/>
  <c r="CA95" i="1"/>
  <c r="CA96" i="1"/>
  <c r="CA97" i="1"/>
  <c r="CA98" i="1"/>
  <c r="CA99" i="1"/>
  <c r="CA100" i="1"/>
  <c r="CA101" i="1"/>
  <c r="CA102" i="1"/>
  <c r="CA103" i="1"/>
  <c r="CA104" i="1"/>
  <c r="CA105" i="1"/>
  <c r="CA106" i="1"/>
  <c r="CA107" i="1"/>
  <c r="CA108" i="1"/>
  <c r="CA109" i="1"/>
  <c r="CA110" i="1"/>
  <c r="CA111" i="1"/>
  <c r="CA112" i="1"/>
  <c r="CA113" i="1"/>
  <c r="CA114" i="1"/>
  <c r="CA115" i="1"/>
  <c r="CA116" i="1"/>
  <c r="CA117" i="1"/>
  <c r="CA118" i="1"/>
  <c r="CA119" i="1"/>
  <c r="CA120" i="1"/>
  <c r="CA121" i="1"/>
  <c r="CA122" i="1"/>
  <c r="CA123" i="1"/>
  <c r="CA124" i="1"/>
  <c r="CA125" i="1"/>
  <c r="CA126" i="1"/>
  <c r="CA127" i="1"/>
  <c r="CA128" i="1"/>
  <c r="CA129" i="1"/>
  <c r="CA130" i="1"/>
  <c r="CA131" i="1"/>
  <c r="CA132" i="1"/>
  <c r="CA133" i="1"/>
  <c r="CA134" i="1"/>
  <c r="CA135" i="1"/>
  <c r="CA136" i="1"/>
  <c r="CA137" i="1"/>
  <c r="CA138" i="1"/>
  <c r="CA139" i="1"/>
  <c r="CA140" i="1"/>
  <c r="CA141" i="1"/>
  <c r="CA142" i="1"/>
  <c r="CA143" i="1"/>
  <c r="CA144" i="1"/>
  <c r="CA145" i="1"/>
  <c r="CA146" i="1"/>
  <c r="CA147" i="1"/>
  <c r="CA148" i="1"/>
  <c r="CA149" i="1"/>
  <c r="CA150" i="1"/>
  <c r="CA151" i="1"/>
  <c r="CA152" i="1"/>
  <c r="CA153" i="1"/>
  <c r="CA154" i="1"/>
  <c r="CA155" i="1"/>
  <c r="CA156" i="1"/>
  <c r="CA157" i="1"/>
  <c r="CA158" i="1"/>
  <c r="CA159" i="1"/>
  <c r="CA160" i="1"/>
  <c r="CA161" i="1"/>
  <c r="CA162" i="1"/>
  <c r="CA163" i="1"/>
  <c r="CA164" i="1"/>
  <c r="CA165" i="1"/>
  <c r="CA166" i="1"/>
  <c r="CA167" i="1"/>
  <c r="CA168" i="1"/>
  <c r="CA169" i="1"/>
  <c r="CA170" i="1"/>
  <c r="CA171" i="1"/>
  <c r="CA172" i="1"/>
  <c r="CA173" i="1"/>
  <c r="CA174" i="1"/>
  <c r="CA175" i="1"/>
  <c r="CA176" i="1"/>
  <c r="CA177" i="1"/>
  <c r="CA178" i="1"/>
  <c r="CA179" i="1"/>
  <c r="CA180" i="1"/>
  <c r="CA181" i="1"/>
  <c r="CA182" i="1"/>
  <c r="CA183" i="1"/>
  <c r="CA184" i="1"/>
  <c r="CA185" i="1"/>
  <c r="CA186" i="1"/>
  <c r="CA187" i="1"/>
  <c r="CA188" i="1"/>
  <c r="CA189" i="1"/>
  <c r="CA190" i="1"/>
  <c r="CA191" i="1"/>
  <c r="CA192" i="1"/>
  <c r="CA193" i="1"/>
  <c r="CA194" i="1"/>
  <c r="CA195" i="1"/>
  <c r="CA196" i="1"/>
  <c r="CA197" i="1"/>
  <c r="CA198" i="1"/>
  <c r="CA199" i="1"/>
  <c r="CA200" i="1"/>
  <c r="CA201" i="1"/>
  <c r="CA202" i="1"/>
  <c r="CA203" i="1"/>
  <c r="CA204" i="1"/>
  <c r="CA205" i="1"/>
  <c r="CA206" i="1"/>
  <c r="CA207" i="1"/>
  <c r="CA208" i="1"/>
  <c r="CA209" i="1"/>
  <c r="CA210" i="1"/>
  <c r="CA211" i="1"/>
  <c r="CA212" i="1"/>
  <c r="CA213" i="1"/>
  <c r="CA214" i="1"/>
  <c r="CA215" i="1"/>
  <c r="CA216" i="1"/>
  <c r="CA217" i="1"/>
  <c r="CA218" i="1"/>
  <c r="CA219" i="1"/>
  <c r="CA220" i="1"/>
  <c r="CA221" i="1"/>
  <c r="CA222" i="1"/>
  <c r="CA223" i="1"/>
  <c r="CA224" i="1"/>
  <c r="CA225" i="1"/>
  <c r="CA226" i="1"/>
  <c r="CA227" i="1"/>
  <c r="CA228" i="1"/>
  <c r="CA229" i="1"/>
  <c r="CA230" i="1"/>
  <c r="CA231" i="1"/>
  <c r="CA232" i="1"/>
  <c r="CA233" i="1"/>
  <c r="CA234" i="1"/>
  <c r="CA235" i="1"/>
  <c r="CA236" i="1"/>
  <c r="CA237" i="1"/>
  <c r="CA238" i="1"/>
  <c r="CA239" i="1"/>
  <c r="CA240" i="1"/>
  <c r="CA241" i="1"/>
  <c r="CA242" i="1"/>
  <c r="CA243" i="1"/>
  <c r="CA244" i="1"/>
  <c r="CA245" i="1"/>
  <c r="CA246" i="1"/>
  <c r="CA247" i="1"/>
  <c r="CA248" i="1"/>
  <c r="CA249" i="1"/>
  <c r="CA250" i="1"/>
  <c r="CA251" i="1"/>
  <c r="CA252" i="1"/>
  <c r="CA253" i="1"/>
  <c r="CA254" i="1"/>
  <c r="CA255" i="1"/>
  <c r="CA256" i="1"/>
  <c r="CA257" i="1"/>
  <c r="CA258" i="1"/>
  <c r="CA259" i="1"/>
  <c r="CA260" i="1"/>
  <c r="CA261" i="1"/>
  <c r="CA262" i="1"/>
  <c r="CA263" i="1"/>
  <c r="CA264" i="1"/>
  <c r="CA265" i="1"/>
  <c r="CA266" i="1"/>
  <c r="CA267" i="1"/>
  <c r="CA268" i="1"/>
  <c r="CA269" i="1"/>
  <c r="CA270" i="1"/>
  <c r="CA271" i="1"/>
  <c r="CA272" i="1"/>
  <c r="CA273" i="1"/>
  <c r="CA274" i="1"/>
  <c r="CA275" i="1"/>
  <c r="CA276" i="1"/>
  <c r="CA277" i="1"/>
  <c r="CA278" i="1"/>
  <c r="CA279" i="1"/>
  <c r="CA280" i="1"/>
  <c r="CA281" i="1"/>
  <c r="CA282" i="1"/>
  <c r="CA283" i="1"/>
  <c r="CA284" i="1"/>
  <c r="CA285" i="1"/>
  <c r="CA286" i="1"/>
  <c r="CA287" i="1"/>
  <c r="CA288" i="1"/>
  <c r="CA289" i="1"/>
  <c r="CA290" i="1"/>
  <c r="CA291" i="1"/>
  <c r="CA292" i="1"/>
  <c r="CA293" i="1"/>
  <c r="CA294" i="1"/>
  <c r="CA295" i="1"/>
  <c r="CA296" i="1"/>
  <c r="CA297" i="1"/>
  <c r="CA298" i="1"/>
  <c r="CA299" i="1"/>
  <c r="CA300" i="1"/>
  <c r="CA301" i="1"/>
  <c r="CA302" i="1"/>
  <c r="CA303" i="1"/>
  <c r="CA304" i="1"/>
  <c r="CA305" i="1"/>
  <c r="CA306" i="1"/>
  <c r="CA307" i="1"/>
  <c r="CA308" i="1"/>
  <c r="CA309" i="1"/>
  <c r="CA310" i="1"/>
  <c r="CA311" i="1"/>
  <c r="CA312" i="1"/>
  <c r="CA313" i="1"/>
  <c r="CA314" i="1"/>
  <c r="CA315" i="1"/>
  <c r="CA316" i="1"/>
  <c r="CA317" i="1"/>
  <c r="CA318" i="1"/>
  <c r="CA319" i="1"/>
  <c r="CA320" i="1"/>
  <c r="CA321" i="1"/>
  <c r="CA322" i="1"/>
  <c r="CA323" i="1"/>
  <c r="CA324" i="1"/>
  <c r="CA325" i="1"/>
  <c r="CA326" i="1"/>
  <c r="CA327" i="1"/>
  <c r="CA328" i="1"/>
  <c r="CA329" i="1"/>
  <c r="CA330" i="1"/>
  <c r="CA331" i="1"/>
  <c r="CA332" i="1"/>
  <c r="CA333" i="1"/>
  <c r="CA334" i="1"/>
  <c r="CA335" i="1"/>
  <c r="CA336" i="1"/>
  <c r="CA337" i="1"/>
  <c r="CA338" i="1"/>
  <c r="CA339" i="1"/>
  <c r="CA340" i="1"/>
  <c r="CA341" i="1"/>
  <c r="CA342" i="1"/>
  <c r="CA343" i="1"/>
  <c r="CA344" i="1"/>
  <c r="CA345" i="1"/>
  <c r="CA346" i="1"/>
  <c r="CA347" i="1"/>
  <c r="CA348" i="1"/>
  <c r="CA349" i="1"/>
  <c r="CA350" i="1"/>
  <c r="CA351" i="1"/>
  <c r="CA352" i="1"/>
  <c r="CA353" i="1"/>
  <c r="CA354" i="1"/>
  <c r="CA355" i="1"/>
  <c r="CA356" i="1"/>
  <c r="CA357" i="1"/>
  <c r="CA358" i="1"/>
  <c r="CA359" i="1"/>
  <c r="CA360" i="1"/>
  <c r="CA361" i="1"/>
  <c r="CA362" i="1"/>
  <c r="CA363" i="1"/>
  <c r="CA364" i="1"/>
  <c r="CA365" i="1"/>
  <c r="CA366" i="1"/>
  <c r="CA367" i="1"/>
  <c r="CA368" i="1"/>
  <c r="CA369" i="1"/>
  <c r="CA370" i="1"/>
  <c r="CA371" i="1"/>
  <c r="CA372" i="1"/>
  <c r="CA373" i="1"/>
  <c r="CA374" i="1"/>
  <c r="CA375" i="1"/>
  <c r="CA376" i="1"/>
  <c r="CA377" i="1"/>
  <c r="CA378" i="1"/>
  <c r="CA379" i="1"/>
  <c r="CA380" i="1"/>
  <c r="CA381" i="1"/>
  <c r="CA382" i="1"/>
  <c r="CA383" i="1"/>
  <c r="CA384" i="1"/>
  <c r="CA385" i="1"/>
  <c r="CA386" i="1"/>
  <c r="CA387" i="1"/>
  <c r="CA388" i="1"/>
  <c r="CA389" i="1"/>
  <c r="CA390" i="1"/>
  <c r="CA391" i="1"/>
  <c r="CA392" i="1"/>
  <c r="CA393" i="1"/>
  <c r="CA394" i="1"/>
  <c r="CA395" i="1"/>
  <c r="CA396" i="1"/>
  <c r="CA397" i="1"/>
  <c r="CA398" i="1"/>
  <c r="CA399" i="1"/>
  <c r="CA400" i="1"/>
  <c r="CA401" i="1"/>
  <c r="CA402" i="1"/>
  <c r="CA403" i="1"/>
  <c r="CA404" i="1"/>
  <c r="CA405" i="1"/>
  <c r="CA406" i="1"/>
  <c r="CA407" i="1"/>
  <c r="CA408" i="1"/>
  <c r="CA409" i="1"/>
  <c r="CA410" i="1"/>
  <c r="CA411" i="1"/>
  <c r="CA412" i="1"/>
  <c r="CA413" i="1"/>
  <c r="CA414" i="1"/>
  <c r="CA415" i="1"/>
  <c r="CA416" i="1"/>
  <c r="CA417" i="1"/>
  <c r="CA418" i="1"/>
  <c r="CA419" i="1"/>
  <c r="CA420" i="1"/>
  <c r="CA421" i="1"/>
  <c r="CA422" i="1"/>
  <c r="CA423" i="1"/>
  <c r="CA424" i="1"/>
  <c r="CA425" i="1"/>
  <c r="CA426" i="1"/>
  <c r="CA427" i="1"/>
  <c r="CA428" i="1"/>
  <c r="CA429" i="1"/>
  <c r="CA430" i="1"/>
  <c r="CA431" i="1"/>
  <c r="CA432" i="1"/>
  <c r="CA433" i="1"/>
  <c r="CA434" i="1"/>
  <c r="CA435" i="1"/>
  <c r="CA436" i="1"/>
  <c r="CA437" i="1"/>
  <c r="CA438" i="1"/>
  <c r="CA439" i="1"/>
  <c r="CA440" i="1"/>
  <c r="CA441" i="1"/>
  <c r="CA442" i="1"/>
  <c r="CA443" i="1"/>
  <c r="CA444" i="1"/>
  <c r="CA445" i="1"/>
  <c r="CA446" i="1"/>
  <c r="CA447" i="1"/>
  <c r="CA448" i="1"/>
  <c r="CA449" i="1"/>
  <c r="CA450" i="1"/>
  <c r="CA451" i="1"/>
  <c r="CA452" i="1"/>
  <c r="CA453" i="1"/>
  <c r="CA454" i="1"/>
  <c r="CA455" i="1"/>
  <c r="CA456" i="1"/>
  <c r="CA457" i="1"/>
  <c r="CA458" i="1"/>
  <c r="CA459" i="1"/>
  <c r="CA460" i="1"/>
  <c r="CA461" i="1"/>
  <c r="CA462" i="1"/>
  <c r="CA463" i="1"/>
  <c r="CA464" i="1"/>
  <c r="CA465" i="1"/>
  <c r="CA466" i="1"/>
  <c r="CA467" i="1"/>
  <c r="CA468" i="1"/>
  <c r="CA469" i="1"/>
  <c r="CA470" i="1"/>
  <c r="CA471" i="1"/>
  <c r="CA472" i="1"/>
  <c r="CA473" i="1"/>
  <c r="CA474" i="1"/>
  <c r="CA475" i="1"/>
  <c r="CA476" i="1"/>
  <c r="CA477" i="1"/>
  <c r="CA478" i="1"/>
  <c r="CA479" i="1"/>
  <c r="CA480" i="1"/>
  <c r="CA481" i="1"/>
  <c r="CA482" i="1"/>
  <c r="CA483" i="1"/>
  <c r="CA484" i="1"/>
  <c r="CA485" i="1"/>
  <c r="CA486" i="1"/>
  <c r="CA487" i="1"/>
  <c r="CA488" i="1"/>
  <c r="CA489" i="1"/>
  <c r="CA490" i="1"/>
  <c r="CA491" i="1"/>
  <c r="CA492" i="1"/>
  <c r="CA493" i="1"/>
  <c r="CA494" i="1"/>
  <c r="CA495" i="1"/>
  <c r="CA496" i="1"/>
  <c r="CA497" i="1"/>
  <c r="CA498" i="1"/>
  <c r="CA499" i="1"/>
  <c r="CA500" i="1"/>
  <c r="CA501" i="1"/>
  <c r="CA502" i="1"/>
  <c r="CA503" i="1"/>
  <c r="CA504" i="1"/>
  <c r="CA505" i="1"/>
  <c r="CA506" i="1"/>
  <c r="CA507" i="1"/>
  <c r="CA508" i="1"/>
  <c r="CA509" i="1"/>
  <c r="CA510" i="1"/>
  <c r="CA511" i="1"/>
  <c r="CA512" i="1"/>
  <c r="CA513" i="1"/>
  <c r="CA514" i="1"/>
  <c r="CA515" i="1"/>
  <c r="CA516" i="1"/>
  <c r="CA517" i="1"/>
  <c r="CA518" i="1"/>
  <c r="CA519" i="1"/>
  <c r="CA520" i="1"/>
  <c r="CA521" i="1"/>
  <c r="CA522" i="1"/>
  <c r="CA523" i="1"/>
  <c r="CA524" i="1"/>
  <c r="CA525" i="1"/>
  <c r="CA526" i="1"/>
  <c r="CA527" i="1"/>
  <c r="CA528" i="1"/>
  <c r="CA529" i="1"/>
  <c r="CA530" i="1"/>
  <c r="CA531" i="1"/>
  <c r="CA532" i="1"/>
  <c r="CA533" i="1"/>
  <c r="CA534" i="1"/>
  <c r="CA535" i="1"/>
  <c r="CA536" i="1"/>
  <c r="CA537" i="1"/>
  <c r="CA538" i="1"/>
  <c r="CA539" i="1"/>
  <c r="CA540" i="1"/>
  <c r="CA541" i="1"/>
  <c r="CA542" i="1"/>
  <c r="CA543" i="1"/>
  <c r="CA544" i="1"/>
  <c r="CA545" i="1"/>
  <c r="CA546" i="1"/>
  <c r="CA547" i="1"/>
  <c r="CA548" i="1"/>
  <c r="CA549" i="1"/>
  <c r="CA550" i="1"/>
  <c r="CA551" i="1"/>
  <c r="CA552" i="1"/>
  <c r="CA553" i="1"/>
  <c r="CA554" i="1"/>
  <c r="CA555" i="1"/>
  <c r="CA556" i="1"/>
  <c r="CA557" i="1"/>
  <c r="CA558" i="1"/>
  <c r="CA559" i="1"/>
  <c r="CA560" i="1"/>
  <c r="CA561" i="1"/>
  <c r="CA562" i="1"/>
  <c r="CA563" i="1"/>
  <c r="CA564" i="1"/>
  <c r="CA565" i="1"/>
  <c r="CA566" i="1"/>
  <c r="CA567" i="1"/>
  <c r="CA568" i="1"/>
  <c r="CA569" i="1"/>
  <c r="CA570" i="1"/>
  <c r="CA571" i="1"/>
  <c r="CA572" i="1"/>
  <c r="CA573" i="1"/>
  <c r="CA574" i="1"/>
  <c r="CA575" i="1"/>
  <c r="CA576" i="1"/>
  <c r="CA577" i="1"/>
  <c r="CA578" i="1"/>
  <c r="CA579" i="1"/>
  <c r="CA580" i="1"/>
  <c r="CA581" i="1"/>
  <c r="CA582" i="1"/>
  <c r="CA583" i="1"/>
  <c r="CA584" i="1"/>
  <c r="CA585" i="1"/>
  <c r="CA586" i="1"/>
  <c r="CA587" i="1"/>
  <c r="CA588" i="1"/>
  <c r="CA589" i="1"/>
  <c r="CA590" i="1"/>
  <c r="CA591" i="1"/>
  <c r="CA592" i="1"/>
  <c r="CA593" i="1"/>
  <c r="CA594" i="1"/>
  <c r="CA595" i="1"/>
  <c r="CA596" i="1"/>
  <c r="CA597" i="1"/>
  <c r="CA598" i="1"/>
  <c r="CA599" i="1"/>
  <c r="CA600" i="1"/>
  <c r="CA601" i="1"/>
  <c r="CA602" i="1"/>
  <c r="CA603" i="1"/>
  <c r="CA604" i="1"/>
  <c r="CA605" i="1"/>
  <c r="CA606" i="1"/>
  <c r="CA607" i="1"/>
  <c r="CA608" i="1"/>
  <c r="CA609" i="1"/>
  <c r="CA610" i="1"/>
  <c r="CA611" i="1"/>
  <c r="CA612" i="1"/>
  <c r="CA613" i="1"/>
  <c r="CA614" i="1"/>
  <c r="CA615" i="1"/>
  <c r="CA616" i="1"/>
  <c r="CA617" i="1"/>
  <c r="CA618" i="1"/>
  <c r="CA619" i="1"/>
  <c r="CA620" i="1"/>
  <c r="CA621" i="1"/>
  <c r="CA622" i="1"/>
  <c r="CA623" i="1"/>
  <c r="CA624" i="1"/>
  <c r="CA625" i="1"/>
  <c r="CA626" i="1"/>
  <c r="CA627" i="1"/>
  <c r="CA628" i="1"/>
  <c r="CA629" i="1"/>
  <c r="CA630" i="1"/>
  <c r="CA631" i="1"/>
  <c r="CA632" i="1"/>
  <c r="CA633" i="1"/>
  <c r="CA634" i="1"/>
  <c r="CA635" i="1"/>
  <c r="CA636" i="1"/>
  <c r="CA637" i="1"/>
  <c r="CA638" i="1"/>
  <c r="CA639" i="1"/>
  <c r="CA640" i="1"/>
  <c r="CA641" i="1"/>
  <c r="CA642" i="1"/>
  <c r="CA643" i="1"/>
  <c r="CA644" i="1"/>
  <c r="CA645" i="1"/>
  <c r="CA646" i="1"/>
  <c r="CA647" i="1"/>
  <c r="CA648" i="1"/>
  <c r="CA649" i="1"/>
  <c r="CA650" i="1"/>
  <c r="CA651" i="1"/>
  <c r="CA652" i="1"/>
  <c r="CA653" i="1"/>
  <c r="CA654" i="1"/>
  <c r="CA655" i="1"/>
  <c r="CA656" i="1"/>
  <c r="CA657" i="1"/>
  <c r="CA658" i="1"/>
  <c r="CA659" i="1"/>
  <c r="CA660" i="1"/>
  <c r="CA661" i="1"/>
  <c r="CA662" i="1"/>
  <c r="CA663" i="1"/>
  <c r="CA664" i="1"/>
  <c r="CA665" i="1"/>
  <c r="CA666" i="1"/>
  <c r="CA667" i="1"/>
  <c r="CA668" i="1"/>
  <c r="CA669" i="1"/>
  <c r="CA670" i="1"/>
  <c r="CA671" i="1"/>
  <c r="CA672" i="1"/>
  <c r="CA673" i="1"/>
  <c r="CA674" i="1"/>
  <c r="CA675" i="1"/>
  <c r="CA676" i="1"/>
  <c r="CA677" i="1"/>
  <c r="CA678" i="1"/>
  <c r="CA679" i="1"/>
  <c r="CA680" i="1"/>
  <c r="CA681" i="1"/>
  <c r="CA682" i="1"/>
  <c r="CA683" i="1"/>
  <c r="CA684" i="1"/>
  <c r="CA685" i="1"/>
  <c r="CA686" i="1"/>
  <c r="CA687" i="1"/>
  <c r="CA688" i="1"/>
  <c r="CA689" i="1"/>
  <c r="CA690" i="1"/>
  <c r="CA691" i="1"/>
  <c r="CA692" i="1"/>
  <c r="CA693" i="1"/>
  <c r="CA694" i="1"/>
  <c r="CA695" i="1"/>
  <c r="CA696" i="1"/>
  <c r="CA697" i="1"/>
  <c r="CA698" i="1"/>
  <c r="CA699" i="1"/>
  <c r="CA700" i="1"/>
  <c r="CA701" i="1"/>
  <c r="CA702" i="1"/>
  <c r="CA703" i="1"/>
  <c r="CA704" i="1"/>
  <c r="CA705" i="1"/>
  <c r="CA706" i="1"/>
  <c r="CA707" i="1"/>
  <c r="CA708" i="1"/>
  <c r="CA709" i="1"/>
  <c r="CA710" i="1"/>
  <c r="CA711" i="1"/>
  <c r="CA712" i="1"/>
  <c r="CA713" i="1"/>
  <c r="CA714" i="1"/>
  <c r="CA715" i="1"/>
  <c r="CA716" i="1"/>
  <c r="CA717" i="1"/>
  <c r="CA718" i="1"/>
  <c r="CA719" i="1"/>
  <c r="CA720" i="1"/>
  <c r="CA721" i="1"/>
  <c r="CA722" i="1"/>
  <c r="CA723" i="1"/>
  <c r="CA724" i="1"/>
  <c r="CA725" i="1"/>
  <c r="CA726" i="1"/>
  <c r="CA727" i="1"/>
  <c r="CA728" i="1"/>
  <c r="CA729" i="1"/>
  <c r="CA730" i="1"/>
  <c r="CA731" i="1"/>
  <c r="CA732" i="1"/>
  <c r="CA733" i="1"/>
  <c r="CA734" i="1"/>
  <c r="CA735" i="1"/>
  <c r="CA736" i="1"/>
  <c r="CA737" i="1"/>
  <c r="CA738" i="1"/>
  <c r="CA739" i="1"/>
  <c r="CA740" i="1"/>
  <c r="CA741" i="1"/>
  <c r="CA742" i="1"/>
  <c r="CA743" i="1"/>
  <c r="CA744" i="1"/>
  <c r="CA745" i="1"/>
  <c r="CA746" i="1"/>
  <c r="CA747" i="1"/>
  <c r="CA748" i="1"/>
  <c r="CA749" i="1"/>
  <c r="CA750" i="1"/>
  <c r="CA751" i="1"/>
  <c r="CA752" i="1"/>
  <c r="CA753" i="1"/>
  <c r="CA754" i="1"/>
  <c r="CA755" i="1"/>
  <c r="CA756" i="1"/>
  <c r="CA757" i="1"/>
  <c r="CA758" i="1"/>
  <c r="CA759" i="1"/>
  <c r="CA760" i="1"/>
  <c r="CA761" i="1"/>
  <c r="CA762" i="1"/>
  <c r="CA763" i="1"/>
  <c r="CA764" i="1"/>
  <c r="CA765" i="1"/>
  <c r="CA766" i="1"/>
  <c r="CA767" i="1"/>
  <c r="CA768" i="1"/>
  <c r="CA769" i="1"/>
  <c r="CA770" i="1"/>
  <c r="CA771" i="1"/>
  <c r="CA772" i="1"/>
  <c r="CA773" i="1"/>
  <c r="CA774" i="1"/>
  <c r="CA775" i="1"/>
  <c r="CA776" i="1"/>
  <c r="CA777" i="1"/>
  <c r="CA778" i="1"/>
  <c r="CA779" i="1"/>
  <c r="CA780" i="1"/>
  <c r="CA781" i="1"/>
  <c r="CA782" i="1"/>
  <c r="CA783" i="1"/>
  <c r="CA784" i="1"/>
  <c r="CA785" i="1"/>
  <c r="CA786" i="1"/>
  <c r="CA787" i="1"/>
  <c r="CA788" i="1"/>
  <c r="CA789" i="1"/>
  <c r="CA790" i="1"/>
  <c r="CA791" i="1"/>
  <c r="CA792" i="1"/>
  <c r="CA793" i="1"/>
  <c r="CA794" i="1"/>
  <c r="CA795" i="1"/>
  <c r="CA796" i="1"/>
  <c r="CA797" i="1"/>
  <c r="CA798" i="1"/>
  <c r="CA799" i="1"/>
  <c r="CA800" i="1"/>
  <c r="CA801" i="1"/>
  <c r="CA802" i="1"/>
  <c r="CA803" i="1"/>
  <c r="CA804" i="1"/>
  <c r="CA805" i="1"/>
  <c r="CA806" i="1"/>
  <c r="CA807" i="1"/>
  <c r="CA808" i="1"/>
  <c r="CA809" i="1"/>
  <c r="CA810" i="1"/>
  <c r="CA811" i="1"/>
  <c r="CA812" i="1"/>
  <c r="CA813" i="1"/>
  <c r="CA814" i="1"/>
  <c r="CA815" i="1"/>
  <c r="CA816" i="1"/>
  <c r="CA817" i="1"/>
  <c r="CA818" i="1"/>
  <c r="CA819" i="1"/>
  <c r="CA820" i="1"/>
  <c r="CA821" i="1"/>
  <c r="CA822" i="1"/>
  <c r="CA823" i="1"/>
  <c r="CA824" i="1"/>
  <c r="CA825" i="1"/>
  <c r="CA826" i="1"/>
  <c r="CA827" i="1"/>
  <c r="CA828" i="1"/>
  <c r="CA829" i="1"/>
  <c r="CA830" i="1"/>
  <c r="CA831" i="1"/>
  <c r="CA832" i="1"/>
  <c r="CA833" i="1"/>
  <c r="CA834" i="1"/>
  <c r="CA835" i="1"/>
  <c r="CA836" i="1"/>
  <c r="CA837" i="1"/>
  <c r="CA838" i="1"/>
  <c r="CA839" i="1"/>
  <c r="CA840" i="1"/>
  <c r="CA841" i="1"/>
  <c r="CA842" i="1"/>
  <c r="CA843" i="1"/>
  <c r="CA844" i="1"/>
  <c r="CA845" i="1"/>
  <c r="CA846" i="1"/>
  <c r="CA847" i="1"/>
  <c r="CA848" i="1"/>
  <c r="CA849" i="1"/>
  <c r="CA850" i="1"/>
  <c r="CA851" i="1"/>
  <c r="CA852" i="1"/>
  <c r="CA853" i="1"/>
  <c r="CA854" i="1"/>
  <c r="CA855" i="1"/>
  <c r="CA856" i="1"/>
  <c r="CA857" i="1"/>
  <c r="CA858" i="1"/>
  <c r="CA859" i="1"/>
  <c r="CA860" i="1"/>
  <c r="CA861" i="1"/>
  <c r="CA862" i="1"/>
  <c r="CA863" i="1"/>
  <c r="CA864" i="1"/>
  <c r="CA865" i="1"/>
  <c r="CA866" i="1"/>
  <c r="CA867" i="1"/>
  <c r="CA868" i="1"/>
  <c r="CA869" i="1"/>
  <c r="CA870" i="1"/>
  <c r="CA871" i="1"/>
  <c r="CA872" i="1"/>
  <c r="CA873" i="1"/>
  <c r="CA874" i="1"/>
  <c r="CA875" i="1"/>
  <c r="CA876" i="1"/>
  <c r="CA877" i="1"/>
  <c r="CA878" i="1"/>
  <c r="CA879" i="1"/>
  <c r="CA880" i="1"/>
  <c r="CA881" i="1"/>
  <c r="CA882" i="1"/>
  <c r="CA883" i="1"/>
  <c r="CA884" i="1"/>
  <c r="CA885" i="1"/>
  <c r="CA886" i="1"/>
  <c r="CA887" i="1"/>
  <c r="CA888" i="1"/>
  <c r="CA889" i="1"/>
  <c r="CA890" i="1"/>
  <c r="CA891" i="1"/>
  <c r="CA892" i="1"/>
  <c r="CA893" i="1"/>
  <c r="CA894" i="1"/>
  <c r="CA895" i="1"/>
  <c r="CA896" i="1"/>
  <c r="CA897" i="1"/>
  <c r="CA898" i="1"/>
  <c r="CA899" i="1"/>
  <c r="CA900" i="1"/>
  <c r="CA901" i="1"/>
  <c r="CA902" i="1"/>
  <c r="CA903" i="1"/>
  <c r="CA904" i="1"/>
  <c r="CA905" i="1"/>
  <c r="CA906" i="1"/>
  <c r="CA907" i="1"/>
  <c r="CA908" i="1"/>
  <c r="CA909" i="1"/>
  <c r="CA910" i="1"/>
  <c r="CA911" i="1"/>
  <c r="CA912" i="1"/>
  <c r="CA913" i="1"/>
  <c r="CA914" i="1"/>
  <c r="CA915" i="1"/>
  <c r="CA916" i="1"/>
  <c r="CA917" i="1"/>
  <c r="CA918" i="1"/>
  <c r="CA919" i="1"/>
  <c r="CA920" i="1"/>
  <c r="CA921" i="1"/>
  <c r="CA922" i="1"/>
  <c r="CA923" i="1"/>
  <c r="CA924" i="1"/>
  <c r="CA925" i="1"/>
  <c r="CA926" i="1"/>
  <c r="CA927" i="1"/>
  <c r="CA928" i="1"/>
  <c r="CA929" i="1"/>
  <c r="CA930" i="1"/>
  <c r="CA931" i="1"/>
  <c r="CA932" i="1"/>
  <c r="CA933" i="1"/>
  <c r="CA934" i="1"/>
  <c r="CA935" i="1"/>
  <c r="CA936" i="1"/>
  <c r="CA937" i="1"/>
  <c r="CA938" i="1"/>
  <c r="CA939" i="1"/>
  <c r="CA940" i="1"/>
  <c r="CA941" i="1"/>
  <c r="CA942" i="1"/>
  <c r="CA943" i="1"/>
  <c r="CA944" i="1"/>
  <c r="CA945" i="1"/>
  <c r="CA946" i="1"/>
  <c r="CA947" i="1"/>
  <c r="CA948" i="1"/>
  <c r="CA949" i="1"/>
  <c r="CA950" i="1"/>
  <c r="CA951" i="1"/>
  <c r="CA952" i="1"/>
  <c r="CA953" i="1"/>
  <c r="CA954" i="1"/>
  <c r="CA955" i="1"/>
  <c r="CA956" i="1"/>
  <c r="CA957" i="1"/>
  <c r="CA958" i="1"/>
  <c r="CA959" i="1"/>
  <c r="CA960" i="1"/>
  <c r="CA961" i="1"/>
  <c r="CA962" i="1"/>
  <c r="CA963" i="1"/>
  <c r="CA964" i="1"/>
  <c r="CA965" i="1"/>
  <c r="CA966" i="1"/>
  <c r="CA967" i="1"/>
  <c r="CA968" i="1"/>
  <c r="CA969" i="1"/>
  <c r="CA970" i="1"/>
  <c r="CA971" i="1"/>
  <c r="CA972" i="1"/>
  <c r="CA973" i="1"/>
  <c r="CA974" i="1"/>
  <c r="CA975" i="1"/>
  <c r="CA976" i="1"/>
  <c r="CA977" i="1"/>
  <c r="CA978" i="1"/>
  <c r="CA979" i="1"/>
  <c r="CA980" i="1"/>
  <c r="CA981" i="1"/>
  <c r="CA982" i="1"/>
  <c r="CA983" i="1"/>
  <c r="CA984" i="1"/>
  <c r="CA985" i="1"/>
  <c r="CA986" i="1"/>
  <c r="CA987" i="1"/>
  <c r="CA988" i="1"/>
  <c r="CA989" i="1"/>
  <c r="CA990" i="1"/>
  <c r="CA991" i="1"/>
  <c r="CA992" i="1"/>
  <c r="CA993" i="1"/>
  <c r="CA994" i="1"/>
  <c r="CA995" i="1"/>
  <c r="CA996" i="1"/>
  <c r="CA997" i="1"/>
  <c r="CA998" i="1"/>
  <c r="CA999" i="1"/>
  <c r="CA1000" i="1"/>
  <c r="CA1001" i="1"/>
  <c r="CA1002" i="1"/>
  <c r="CA1003" i="1"/>
  <c r="CA1004" i="1"/>
  <c r="CA1005" i="1"/>
  <c r="CA1006" i="1"/>
  <c r="CA1007" i="1"/>
  <c r="CA1008" i="1"/>
  <c r="CA1009" i="1"/>
  <c r="CA1010" i="1"/>
  <c r="CA1011" i="1"/>
  <c r="CA1012" i="1"/>
  <c r="CA1013" i="1"/>
  <c r="CA1014" i="1"/>
  <c r="CA1015" i="1"/>
  <c r="CA1016" i="1"/>
  <c r="CA1017" i="1"/>
  <c r="CA1018" i="1"/>
  <c r="CA1019" i="1"/>
  <c r="CA1020" i="1"/>
  <c r="CA1021" i="1"/>
  <c r="CA1022" i="1"/>
  <c r="CA1023" i="1"/>
  <c r="CA1024" i="1"/>
  <c r="CA1025" i="1"/>
  <c r="CA1026" i="1"/>
  <c r="CA1027" i="1"/>
  <c r="CA1028" i="1"/>
  <c r="CA1029" i="1"/>
  <c r="CA1030" i="1"/>
  <c r="CA1031" i="1"/>
  <c r="CA1032" i="1"/>
  <c r="CA1033" i="1"/>
  <c r="CA1034" i="1"/>
  <c r="CA1035" i="1"/>
  <c r="CA1036" i="1"/>
  <c r="CA1037" i="1"/>
  <c r="CA1038" i="1"/>
  <c r="CA1039" i="1"/>
  <c r="CA1040" i="1"/>
  <c r="CA1041" i="1"/>
  <c r="CA1042" i="1"/>
  <c r="CA1043" i="1"/>
  <c r="CA1044" i="1"/>
  <c r="CA1045" i="1"/>
  <c r="CA1046" i="1"/>
  <c r="CA1047" i="1"/>
  <c r="CA1048" i="1"/>
  <c r="CA1049" i="1"/>
  <c r="CA1050" i="1"/>
  <c r="CA1051" i="1"/>
  <c r="CA1052" i="1"/>
  <c r="CA1053" i="1"/>
  <c r="CA1054" i="1"/>
  <c r="CA1055" i="1"/>
  <c r="CA1056" i="1"/>
  <c r="CA1057" i="1"/>
  <c r="CA1058" i="1"/>
  <c r="CA1059" i="1"/>
  <c r="CA1060" i="1"/>
  <c r="CA1061" i="1"/>
  <c r="CA1062" i="1"/>
  <c r="CA1063" i="1"/>
  <c r="CA1064" i="1"/>
  <c r="CA1065" i="1"/>
  <c r="CA1066" i="1"/>
  <c r="CA1067" i="1"/>
  <c r="CA1068" i="1"/>
  <c r="CA1069" i="1"/>
  <c r="CA1070" i="1"/>
  <c r="CA1071" i="1"/>
  <c r="CA1072" i="1"/>
  <c r="CA1073" i="1"/>
  <c r="CA1074" i="1"/>
  <c r="CA1075" i="1"/>
  <c r="CA1076" i="1"/>
  <c r="CA1077" i="1"/>
  <c r="CA1078" i="1"/>
  <c r="CA1079" i="1"/>
  <c r="CA1080" i="1"/>
  <c r="CA1081" i="1"/>
  <c r="CA1082" i="1"/>
  <c r="CA1083" i="1"/>
  <c r="CA1084" i="1"/>
  <c r="CA1085" i="1"/>
  <c r="CA1086" i="1"/>
  <c r="CA1087" i="1"/>
  <c r="CA1088" i="1"/>
  <c r="CA1089" i="1"/>
  <c r="CA1090" i="1"/>
  <c r="CA1091" i="1"/>
  <c r="CA1092" i="1"/>
  <c r="CA1093" i="1"/>
  <c r="CA1094" i="1"/>
  <c r="CA1095" i="1"/>
  <c r="CA1096" i="1"/>
  <c r="CA1097" i="1"/>
  <c r="CA1098" i="1"/>
  <c r="CA1099" i="1"/>
  <c r="CA1100" i="1"/>
  <c r="CA1101" i="1"/>
  <c r="CA1102" i="1"/>
  <c r="CA1103" i="1"/>
  <c r="CA1104" i="1"/>
  <c r="CA1105" i="1"/>
  <c r="CA1106" i="1"/>
  <c r="CA1107" i="1"/>
  <c r="CA1108" i="1"/>
  <c r="CA1109" i="1"/>
  <c r="CA1110" i="1"/>
  <c r="CA1111" i="1"/>
  <c r="CA1112" i="1"/>
  <c r="CA1113" i="1"/>
  <c r="CA1114" i="1"/>
  <c r="CA1115" i="1"/>
  <c r="CA1116" i="1"/>
  <c r="CA1117" i="1"/>
  <c r="CA1118" i="1"/>
  <c r="CA1119" i="1"/>
  <c r="CA1120" i="1"/>
  <c r="CA1121" i="1"/>
  <c r="CA1122" i="1"/>
  <c r="CA1123" i="1"/>
  <c r="CA1124" i="1"/>
  <c r="CA1125" i="1"/>
  <c r="CA1126" i="1"/>
  <c r="CA1127" i="1"/>
  <c r="CA1128" i="1"/>
  <c r="CA1129" i="1"/>
  <c r="CA1130" i="1"/>
  <c r="CA1131" i="1"/>
  <c r="CA1132" i="1"/>
  <c r="CA1133" i="1"/>
  <c r="CA1134" i="1"/>
  <c r="CA1135" i="1"/>
  <c r="CA1136" i="1"/>
  <c r="CA1137" i="1"/>
  <c r="CA1138" i="1"/>
  <c r="CA1139" i="1"/>
  <c r="CA1140" i="1"/>
  <c r="CA1141" i="1"/>
  <c r="CA1142" i="1"/>
  <c r="CA1143" i="1"/>
  <c r="CA1144" i="1"/>
  <c r="CA1145" i="1"/>
  <c r="CA1146" i="1"/>
  <c r="CA1147" i="1"/>
  <c r="CA1148" i="1"/>
  <c r="CA1149" i="1"/>
  <c r="CA1150" i="1"/>
  <c r="CA1151" i="1"/>
  <c r="CA1152" i="1"/>
  <c r="CA1153" i="1"/>
  <c r="CA1154" i="1"/>
  <c r="CA1155" i="1"/>
  <c r="CA1156" i="1"/>
  <c r="CA1157" i="1"/>
  <c r="CA1158" i="1"/>
  <c r="CA1159" i="1"/>
  <c r="CA1160" i="1"/>
  <c r="CA1161" i="1"/>
  <c r="CA1162" i="1"/>
  <c r="CA1163" i="1"/>
  <c r="CA1164" i="1"/>
  <c r="CA1165" i="1"/>
  <c r="CA1166" i="1"/>
  <c r="CA1167" i="1"/>
  <c r="CA1168" i="1"/>
  <c r="CA1169" i="1"/>
  <c r="CA1170" i="1"/>
  <c r="CA1171" i="1"/>
  <c r="CA1172" i="1"/>
  <c r="CA1173" i="1"/>
  <c r="CA1174" i="1"/>
  <c r="CA1175" i="1"/>
  <c r="CA1176" i="1"/>
  <c r="CA1177" i="1"/>
  <c r="CA1178" i="1"/>
  <c r="CA1179" i="1"/>
  <c r="CA1180" i="1"/>
  <c r="CA1181" i="1"/>
  <c r="CA1182" i="1"/>
  <c r="CA1183" i="1"/>
  <c r="CA1184" i="1"/>
  <c r="CA1185" i="1"/>
  <c r="CA1186" i="1"/>
  <c r="CA1187" i="1"/>
  <c r="CA1188" i="1"/>
  <c r="CA1189" i="1"/>
  <c r="CA1190" i="1"/>
  <c r="CA1191" i="1"/>
  <c r="CA1192" i="1"/>
  <c r="CA1193" i="1"/>
  <c r="CA1194" i="1"/>
  <c r="CA1195" i="1"/>
  <c r="CA1196" i="1"/>
  <c r="CA1197" i="1"/>
  <c r="CA1198" i="1"/>
  <c r="CA1199" i="1"/>
  <c r="CA1200" i="1"/>
  <c r="CA1201" i="1"/>
  <c r="CA1202" i="1"/>
  <c r="CA1203" i="1"/>
  <c r="CA1204" i="1"/>
  <c r="CA1205" i="1"/>
  <c r="CA1206" i="1"/>
  <c r="CA1207" i="1"/>
  <c r="CA1208" i="1"/>
  <c r="CA1209" i="1"/>
  <c r="CA1210" i="1"/>
  <c r="CA1211" i="1"/>
  <c r="CA1212" i="1"/>
  <c r="CA1213" i="1"/>
  <c r="CA1214" i="1"/>
  <c r="CA1215" i="1"/>
  <c r="CA1216" i="1"/>
  <c r="CA1217" i="1"/>
  <c r="CA1218" i="1"/>
  <c r="CA1219" i="1"/>
  <c r="CA1220" i="1"/>
  <c r="CA1221" i="1"/>
  <c r="CA1222" i="1"/>
  <c r="CA1223" i="1"/>
  <c r="CA1224" i="1"/>
  <c r="CA1225" i="1"/>
  <c r="CA1226" i="1"/>
  <c r="CA1227" i="1"/>
  <c r="CA1228" i="1"/>
  <c r="CA1229" i="1"/>
  <c r="CA1230" i="1"/>
  <c r="CA1231" i="1"/>
  <c r="CA1232" i="1"/>
  <c r="CA1233" i="1"/>
  <c r="CA1234" i="1"/>
  <c r="CA1235" i="1"/>
  <c r="CA1236" i="1"/>
  <c r="CA1237" i="1"/>
  <c r="CA1238" i="1"/>
  <c r="CA1239" i="1"/>
  <c r="CA1240" i="1"/>
  <c r="CA1241" i="1"/>
  <c r="CA1242" i="1"/>
  <c r="CA1243" i="1"/>
  <c r="CA1244" i="1"/>
  <c r="CA1245" i="1"/>
  <c r="CA1246" i="1"/>
  <c r="CA1247" i="1"/>
  <c r="CA1248" i="1"/>
  <c r="CA1249" i="1"/>
  <c r="CA1250" i="1"/>
  <c r="CA1251" i="1"/>
  <c r="CA1252" i="1"/>
  <c r="CA1253" i="1"/>
  <c r="CA1254" i="1"/>
  <c r="CA1255" i="1"/>
  <c r="CA1256" i="1"/>
  <c r="CA1257" i="1"/>
  <c r="CA1258" i="1"/>
  <c r="CA1259" i="1"/>
  <c r="CA1260" i="1"/>
  <c r="CA1261" i="1"/>
  <c r="CA1262" i="1"/>
  <c r="CA1263" i="1"/>
  <c r="CA1264" i="1"/>
  <c r="CA1265" i="1"/>
  <c r="CA1266" i="1"/>
  <c r="CA1267" i="1"/>
  <c r="CA1268" i="1"/>
  <c r="CA1269" i="1"/>
  <c r="CA1270" i="1"/>
  <c r="CA1271" i="1"/>
  <c r="CA1272" i="1"/>
  <c r="CA1273" i="1"/>
  <c r="CA1274" i="1"/>
  <c r="CA1275" i="1"/>
  <c r="CA1276" i="1"/>
  <c r="CA1277" i="1"/>
  <c r="CA1278" i="1"/>
  <c r="CA1279" i="1"/>
  <c r="CA1280" i="1"/>
  <c r="CA1281" i="1"/>
  <c r="CA1282" i="1"/>
  <c r="CA1283" i="1"/>
  <c r="CA1284" i="1"/>
  <c r="CA1285" i="1"/>
  <c r="CA1286" i="1"/>
  <c r="CA1287" i="1"/>
  <c r="CA1288" i="1"/>
  <c r="CA1289" i="1"/>
  <c r="CA1290" i="1"/>
  <c r="CA1291" i="1"/>
  <c r="CA1292" i="1"/>
  <c r="CA1293" i="1"/>
  <c r="CA1294" i="1"/>
  <c r="CA1295" i="1"/>
  <c r="CA1296" i="1"/>
  <c r="CA1297" i="1"/>
  <c r="CA1298" i="1"/>
  <c r="CA1299" i="1"/>
  <c r="CA1300" i="1"/>
  <c r="CA1301" i="1"/>
  <c r="CA1302" i="1"/>
  <c r="CA1303" i="1"/>
  <c r="CA1304" i="1"/>
  <c r="CA1305" i="1"/>
  <c r="CA1306" i="1"/>
  <c r="CA1307" i="1"/>
  <c r="CA1308" i="1"/>
  <c r="CA1309" i="1"/>
  <c r="CA1310" i="1"/>
  <c r="CA1311" i="1"/>
  <c r="CA1312" i="1"/>
  <c r="CA1313" i="1"/>
  <c r="CA1314" i="1"/>
  <c r="CA1315" i="1"/>
  <c r="CA1316" i="1"/>
  <c r="CA1317" i="1"/>
  <c r="CA1318" i="1"/>
  <c r="CA1319" i="1"/>
  <c r="CA1320" i="1"/>
  <c r="CA1321" i="1"/>
  <c r="CA1322" i="1"/>
  <c r="CA1323" i="1"/>
  <c r="CA1324" i="1"/>
  <c r="CA1325" i="1"/>
  <c r="CA1326" i="1"/>
  <c r="CA1327" i="1"/>
  <c r="CA1328" i="1"/>
  <c r="CA1329" i="1"/>
  <c r="CA1330" i="1"/>
  <c r="CA1331" i="1"/>
  <c r="CA1332" i="1"/>
  <c r="CA1333" i="1"/>
  <c r="CA1334" i="1"/>
  <c r="CA1335" i="1"/>
  <c r="CA1336" i="1"/>
  <c r="CA1337" i="1"/>
  <c r="CA1338" i="1"/>
  <c r="CA1339" i="1"/>
  <c r="CA1340" i="1"/>
  <c r="CA1341" i="1"/>
  <c r="CA1342" i="1"/>
  <c r="CA1343" i="1"/>
  <c r="CA1344" i="1"/>
  <c r="CA1345" i="1"/>
  <c r="CA1346" i="1"/>
  <c r="CA1347" i="1"/>
  <c r="CA1348" i="1"/>
  <c r="CA1349" i="1"/>
  <c r="CA1350" i="1"/>
  <c r="CA1351" i="1"/>
  <c r="CA1352" i="1"/>
  <c r="CA1353" i="1"/>
  <c r="CA1354" i="1"/>
  <c r="CA1355" i="1"/>
  <c r="CA1356" i="1"/>
  <c r="CA1357" i="1"/>
  <c r="CA1358" i="1"/>
  <c r="CA1359" i="1"/>
  <c r="CA1360" i="1"/>
  <c r="CA1361" i="1"/>
  <c r="CA1362" i="1"/>
  <c r="CA1363" i="1"/>
  <c r="CA1364" i="1"/>
  <c r="CA1365" i="1"/>
  <c r="CA1366" i="1"/>
  <c r="CA1367" i="1"/>
  <c r="CA1368" i="1"/>
  <c r="CA1369" i="1"/>
  <c r="CA1370" i="1"/>
  <c r="CA1371" i="1"/>
  <c r="CA1372" i="1"/>
  <c r="CA1373" i="1"/>
  <c r="CA1374" i="1"/>
  <c r="CA1375" i="1"/>
  <c r="CA1376" i="1"/>
  <c r="CA1377" i="1"/>
  <c r="CA1378" i="1"/>
  <c r="CA1379" i="1"/>
  <c r="CA1380" i="1"/>
  <c r="CA1381" i="1"/>
  <c r="CA1382" i="1"/>
  <c r="CA1383" i="1"/>
  <c r="CA1384" i="1"/>
  <c r="CA1385" i="1"/>
  <c r="CA1386" i="1"/>
  <c r="CA1387" i="1"/>
  <c r="CA1388" i="1"/>
  <c r="CA1389" i="1"/>
  <c r="CA1390" i="1"/>
  <c r="CA1391" i="1"/>
  <c r="CA1392" i="1"/>
  <c r="CA1393" i="1"/>
  <c r="CA1394" i="1"/>
  <c r="CA1395" i="1"/>
  <c r="CA1396" i="1"/>
  <c r="CA1397" i="1"/>
  <c r="CA1398" i="1"/>
  <c r="CA1399" i="1"/>
  <c r="CA1400" i="1"/>
  <c r="CA1401" i="1"/>
  <c r="CA1402" i="1"/>
  <c r="CA1403" i="1"/>
  <c r="CA1404" i="1"/>
  <c r="CA1405" i="1"/>
  <c r="CA1406" i="1"/>
  <c r="CA1407" i="1"/>
  <c r="CA1408" i="1"/>
  <c r="CA1409" i="1"/>
  <c r="CA1410" i="1"/>
  <c r="CA1411" i="1"/>
  <c r="CA1412" i="1"/>
  <c r="CA1413" i="1"/>
  <c r="CA1414" i="1"/>
  <c r="CA1415" i="1"/>
  <c r="CA1416" i="1"/>
  <c r="CA1417" i="1"/>
  <c r="CA1418" i="1"/>
  <c r="CA1419" i="1"/>
  <c r="CA1420" i="1"/>
  <c r="CA1421" i="1"/>
  <c r="CA1422" i="1"/>
  <c r="CA1423" i="1"/>
  <c r="CA1424" i="1"/>
  <c r="CA1425" i="1"/>
  <c r="CA1426" i="1"/>
  <c r="CA1427" i="1"/>
  <c r="CA1428" i="1"/>
  <c r="CA1429" i="1"/>
  <c r="CA1430" i="1"/>
  <c r="CA1431" i="1"/>
  <c r="CA1432" i="1"/>
  <c r="CA1433" i="1"/>
  <c r="CA1434" i="1"/>
  <c r="CA1435" i="1"/>
  <c r="CA1436" i="1"/>
  <c r="CA1437" i="1"/>
  <c r="CA1438" i="1"/>
  <c r="CA1439" i="1"/>
  <c r="CA1440" i="1"/>
  <c r="CA1441" i="1"/>
  <c r="CA1442" i="1"/>
  <c r="CA1443" i="1"/>
  <c r="CA1444" i="1"/>
  <c r="CA1445" i="1"/>
  <c r="CA1446" i="1"/>
  <c r="CA1447" i="1"/>
  <c r="CA1448" i="1"/>
  <c r="CA1449" i="1"/>
  <c r="CA1450" i="1"/>
  <c r="CA1451" i="1"/>
  <c r="CA1452" i="1"/>
  <c r="CA1453" i="1"/>
  <c r="CA1454" i="1"/>
  <c r="CA1455" i="1"/>
  <c r="CA1456" i="1"/>
  <c r="CA1457" i="1"/>
  <c r="CA1458" i="1"/>
  <c r="CA1459" i="1"/>
  <c r="CA1460" i="1"/>
  <c r="CA1461" i="1"/>
  <c r="CA1462" i="1"/>
  <c r="CA1463" i="1"/>
  <c r="CA1464" i="1"/>
  <c r="CA1465" i="1"/>
  <c r="CA1466" i="1"/>
  <c r="CA1467" i="1"/>
  <c r="CA1468" i="1"/>
  <c r="CA1469" i="1"/>
  <c r="CA1470" i="1"/>
  <c r="CA1471" i="1"/>
  <c r="CA2" i="1"/>
  <c r="BX2" i="1"/>
  <c r="CA1" i="1"/>
  <c r="BZ3" i="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14" i="1"/>
  <c r="BZ215" i="1"/>
  <c r="BZ216" i="1"/>
  <c r="BZ217" i="1"/>
  <c r="BZ218" i="1"/>
  <c r="BZ219" i="1"/>
  <c r="BZ220" i="1"/>
  <c r="BZ221" i="1"/>
  <c r="BZ222" i="1"/>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2"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06" i="1"/>
  <c r="BZ307" i="1"/>
  <c r="BZ308" i="1"/>
  <c r="BZ309" i="1"/>
  <c r="BZ310" i="1"/>
  <c r="BZ311" i="1"/>
  <c r="BZ312" i="1"/>
  <c r="BZ313"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Z347" i="1"/>
  <c r="BZ348" i="1"/>
  <c r="BZ349" i="1"/>
  <c r="BZ350" i="1"/>
  <c r="BZ351" i="1"/>
  <c r="BZ352" i="1"/>
  <c r="BZ353" i="1"/>
  <c r="BZ354" i="1"/>
  <c r="BZ355" i="1"/>
  <c r="BZ356" i="1"/>
  <c r="BZ357" i="1"/>
  <c r="BZ358" i="1"/>
  <c r="BZ359" i="1"/>
  <c r="BZ360" i="1"/>
  <c r="BZ361" i="1"/>
  <c r="BZ362" i="1"/>
  <c r="BZ363" i="1"/>
  <c r="BZ364" i="1"/>
  <c r="BZ365" i="1"/>
  <c r="BZ366"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392" i="1"/>
  <c r="BZ393"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BZ425" i="1"/>
  <c r="BZ426" i="1"/>
  <c r="BZ427" i="1"/>
  <c r="BZ428" i="1"/>
  <c r="BZ429" i="1"/>
  <c r="BZ430" i="1"/>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Z536" i="1"/>
  <c r="BZ537" i="1"/>
  <c r="BZ538" i="1"/>
  <c r="BZ539" i="1"/>
  <c r="BZ540" i="1"/>
  <c r="BZ541" i="1"/>
  <c r="BZ542" i="1"/>
  <c r="BZ543" i="1"/>
  <c r="BZ544" i="1"/>
  <c r="BZ545" i="1"/>
  <c r="BZ546" i="1"/>
  <c r="BZ547" i="1"/>
  <c r="BZ548" i="1"/>
  <c r="BZ549" i="1"/>
  <c r="BZ550" i="1"/>
  <c r="BZ551" i="1"/>
  <c r="BZ552" i="1"/>
  <c r="BZ553" i="1"/>
  <c r="BZ554" i="1"/>
  <c r="BZ555" i="1"/>
  <c r="BZ556" i="1"/>
  <c r="BZ557" i="1"/>
  <c r="BZ558" i="1"/>
  <c r="BZ559" i="1"/>
  <c r="BZ560" i="1"/>
  <c r="BZ561" i="1"/>
  <c r="BZ562" i="1"/>
  <c r="BZ563" i="1"/>
  <c r="BZ564" i="1"/>
  <c r="BZ565" i="1"/>
  <c r="BZ566" i="1"/>
  <c r="BZ567" i="1"/>
  <c r="BZ568" i="1"/>
  <c r="BZ569" i="1"/>
  <c r="BZ570" i="1"/>
  <c r="BZ571" i="1"/>
  <c r="BZ572" i="1"/>
  <c r="BZ573" i="1"/>
  <c r="BZ574" i="1"/>
  <c r="BZ575" i="1"/>
  <c r="BZ576" i="1"/>
  <c r="BZ577" i="1"/>
  <c r="BZ578" i="1"/>
  <c r="BZ579" i="1"/>
  <c r="BZ580" i="1"/>
  <c r="BZ581" i="1"/>
  <c r="BZ582" i="1"/>
  <c r="BZ583" i="1"/>
  <c r="BZ584" i="1"/>
  <c r="BZ585" i="1"/>
  <c r="BZ586" i="1"/>
  <c r="BZ587" i="1"/>
  <c r="BZ588" i="1"/>
  <c r="BZ589" i="1"/>
  <c r="BZ590" i="1"/>
  <c r="BZ591" i="1"/>
  <c r="BZ592" i="1"/>
  <c r="BZ593" i="1"/>
  <c r="BZ594" i="1"/>
  <c r="BZ595" i="1"/>
  <c r="BZ596" i="1"/>
  <c r="BZ597" i="1"/>
  <c r="BZ598" i="1"/>
  <c r="BZ599" i="1"/>
  <c r="BZ600" i="1"/>
  <c r="BZ601" i="1"/>
  <c r="BZ602" i="1"/>
  <c r="BZ603" i="1"/>
  <c r="BZ604" i="1"/>
  <c r="BZ605" i="1"/>
  <c r="BZ606" i="1"/>
  <c r="BZ607" i="1"/>
  <c r="BZ608" i="1"/>
  <c r="BZ609" i="1"/>
  <c r="BZ610" i="1"/>
  <c r="BZ611" i="1"/>
  <c r="BZ612" i="1"/>
  <c r="BZ613" i="1"/>
  <c r="BZ614" i="1"/>
  <c r="BZ615" i="1"/>
  <c r="BZ616" i="1"/>
  <c r="BZ617" i="1"/>
  <c r="BZ618" i="1"/>
  <c r="BZ619" i="1"/>
  <c r="BZ620" i="1"/>
  <c r="BZ621" i="1"/>
  <c r="BZ622" i="1"/>
  <c r="BZ623" i="1"/>
  <c r="BZ624" i="1"/>
  <c r="BZ625" i="1"/>
  <c r="BZ626" i="1"/>
  <c r="BZ627" i="1"/>
  <c r="BZ628" i="1"/>
  <c r="BZ629" i="1"/>
  <c r="BZ630" i="1"/>
  <c r="BZ631" i="1"/>
  <c r="BZ632" i="1"/>
  <c r="BZ633" i="1"/>
  <c r="BZ634" i="1"/>
  <c r="BZ635" i="1"/>
  <c r="BZ636" i="1"/>
  <c r="BZ637" i="1"/>
  <c r="BZ638" i="1"/>
  <c r="BZ639" i="1"/>
  <c r="BZ640" i="1"/>
  <c r="BZ641" i="1"/>
  <c r="BZ642" i="1"/>
  <c r="BZ643" i="1"/>
  <c r="BZ644" i="1"/>
  <c r="BZ645" i="1"/>
  <c r="BZ646" i="1"/>
  <c r="BZ647" i="1"/>
  <c r="BZ648" i="1"/>
  <c r="BZ649" i="1"/>
  <c r="BZ650" i="1"/>
  <c r="BZ651" i="1"/>
  <c r="BZ652" i="1"/>
  <c r="BZ653" i="1"/>
  <c r="BZ654" i="1"/>
  <c r="BZ655" i="1"/>
  <c r="BZ656" i="1"/>
  <c r="BZ657" i="1"/>
  <c r="BZ658" i="1"/>
  <c r="BZ659" i="1"/>
  <c r="BZ660" i="1"/>
  <c r="BZ661" i="1"/>
  <c r="BZ662" i="1"/>
  <c r="BZ663" i="1"/>
  <c r="BZ664" i="1"/>
  <c r="BZ665" i="1"/>
  <c r="BZ666" i="1"/>
  <c r="BZ667" i="1"/>
  <c r="BZ668" i="1"/>
  <c r="BZ669" i="1"/>
  <c r="BZ670" i="1"/>
  <c r="BZ671" i="1"/>
  <c r="BZ672" i="1"/>
  <c r="BZ673" i="1"/>
  <c r="BZ674" i="1"/>
  <c r="BZ675" i="1"/>
  <c r="BZ676" i="1"/>
  <c r="BZ677" i="1"/>
  <c r="BZ678" i="1"/>
  <c r="BZ679" i="1"/>
  <c r="BZ680" i="1"/>
  <c r="BZ681" i="1"/>
  <c r="BZ682" i="1"/>
  <c r="BZ683" i="1"/>
  <c r="BZ684" i="1"/>
  <c r="BZ685" i="1"/>
  <c r="BZ686" i="1"/>
  <c r="BZ687" i="1"/>
  <c r="BZ688" i="1"/>
  <c r="BZ689" i="1"/>
  <c r="BZ690" i="1"/>
  <c r="BZ691" i="1"/>
  <c r="BZ692" i="1"/>
  <c r="BZ693" i="1"/>
  <c r="BZ694" i="1"/>
  <c r="BZ695" i="1"/>
  <c r="BZ696" i="1"/>
  <c r="BZ697" i="1"/>
  <c r="BZ698" i="1"/>
  <c r="BZ699" i="1"/>
  <c r="BZ700" i="1"/>
  <c r="BZ701" i="1"/>
  <c r="BZ702" i="1"/>
  <c r="BZ703" i="1"/>
  <c r="BZ704" i="1"/>
  <c r="BZ705" i="1"/>
  <c r="BZ706" i="1"/>
  <c r="BZ707" i="1"/>
  <c r="BZ708" i="1"/>
  <c r="BZ709" i="1"/>
  <c r="BZ710" i="1"/>
  <c r="BZ711" i="1"/>
  <c r="BZ712" i="1"/>
  <c r="BZ713" i="1"/>
  <c r="BZ714" i="1"/>
  <c r="BZ715" i="1"/>
  <c r="BZ716" i="1"/>
  <c r="BZ717" i="1"/>
  <c r="BZ718" i="1"/>
  <c r="BZ719" i="1"/>
  <c r="BZ720" i="1"/>
  <c r="BZ721" i="1"/>
  <c r="BZ722" i="1"/>
  <c r="BZ723" i="1"/>
  <c r="BZ724" i="1"/>
  <c r="BZ725" i="1"/>
  <c r="BZ726" i="1"/>
  <c r="BZ727" i="1"/>
  <c r="BZ728" i="1"/>
  <c r="BZ729" i="1"/>
  <c r="BZ730" i="1"/>
  <c r="BZ731" i="1"/>
  <c r="BZ732" i="1"/>
  <c r="BZ733" i="1"/>
  <c r="BZ734" i="1"/>
  <c r="BZ735" i="1"/>
  <c r="BZ736" i="1"/>
  <c r="BZ737" i="1"/>
  <c r="BZ738" i="1"/>
  <c r="BZ739" i="1"/>
  <c r="BZ740" i="1"/>
  <c r="BZ741" i="1"/>
  <c r="BZ742" i="1"/>
  <c r="BZ743" i="1"/>
  <c r="BZ744" i="1"/>
  <c r="BZ745" i="1"/>
  <c r="BZ746" i="1"/>
  <c r="BZ747" i="1"/>
  <c r="BZ748" i="1"/>
  <c r="BZ749" i="1"/>
  <c r="BZ750" i="1"/>
  <c r="BZ751" i="1"/>
  <c r="BZ752" i="1"/>
  <c r="BZ753" i="1"/>
  <c r="BZ754" i="1"/>
  <c r="BZ755" i="1"/>
  <c r="BZ756" i="1"/>
  <c r="BZ757" i="1"/>
  <c r="BZ758" i="1"/>
  <c r="BZ759" i="1"/>
  <c r="BZ760" i="1"/>
  <c r="BZ761" i="1"/>
  <c r="BZ762" i="1"/>
  <c r="BZ763" i="1"/>
  <c r="BZ764" i="1"/>
  <c r="BZ765" i="1"/>
  <c r="BZ766" i="1"/>
  <c r="BZ767" i="1"/>
  <c r="BZ768" i="1"/>
  <c r="BZ769" i="1"/>
  <c r="BZ770" i="1"/>
  <c r="BZ771" i="1"/>
  <c r="BZ772" i="1"/>
  <c r="BZ773" i="1"/>
  <c r="BZ774" i="1"/>
  <c r="BZ775" i="1"/>
  <c r="BZ776" i="1"/>
  <c r="BZ777" i="1"/>
  <c r="BZ778" i="1"/>
  <c r="BZ779" i="1"/>
  <c r="BZ780" i="1"/>
  <c r="BZ781" i="1"/>
  <c r="BZ782" i="1"/>
  <c r="BZ783" i="1"/>
  <c r="BZ784" i="1"/>
  <c r="BZ785" i="1"/>
  <c r="BZ786" i="1"/>
  <c r="BZ787" i="1"/>
  <c r="BZ788" i="1"/>
  <c r="BZ789" i="1"/>
  <c r="BZ790" i="1"/>
  <c r="BZ791" i="1"/>
  <c r="BZ792" i="1"/>
  <c r="BZ793" i="1"/>
  <c r="BZ794" i="1"/>
  <c r="BZ795" i="1"/>
  <c r="BZ796" i="1"/>
  <c r="BZ797" i="1"/>
  <c r="BZ798" i="1"/>
  <c r="BZ799" i="1"/>
  <c r="BZ800" i="1"/>
  <c r="BZ801" i="1"/>
  <c r="BZ802" i="1"/>
  <c r="BZ803" i="1"/>
  <c r="BZ804" i="1"/>
  <c r="BZ805" i="1"/>
  <c r="BZ806" i="1"/>
  <c r="BZ807" i="1"/>
  <c r="BZ808" i="1"/>
  <c r="BZ809" i="1"/>
  <c r="BZ810" i="1"/>
  <c r="BZ811" i="1"/>
  <c r="BZ812" i="1"/>
  <c r="BZ813" i="1"/>
  <c r="BZ814" i="1"/>
  <c r="BZ815" i="1"/>
  <c r="BZ816" i="1"/>
  <c r="BZ817" i="1"/>
  <c r="BZ818" i="1"/>
  <c r="BZ819" i="1"/>
  <c r="BZ820" i="1"/>
  <c r="BZ821" i="1"/>
  <c r="BZ822" i="1"/>
  <c r="BZ823" i="1"/>
  <c r="BZ824" i="1"/>
  <c r="BZ825" i="1"/>
  <c r="BZ826" i="1"/>
  <c r="BZ827" i="1"/>
  <c r="BZ828" i="1"/>
  <c r="BZ829" i="1"/>
  <c r="BZ830" i="1"/>
  <c r="BZ831" i="1"/>
  <c r="BZ832" i="1"/>
  <c r="BZ833" i="1"/>
  <c r="BZ834" i="1"/>
  <c r="BZ835" i="1"/>
  <c r="BZ836" i="1"/>
  <c r="BZ837" i="1"/>
  <c r="BZ838" i="1"/>
  <c r="BZ839" i="1"/>
  <c r="BZ840" i="1"/>
  <c r="BZ841" i="1"/>
  <c r="BZ842" i="1"/>
  <c r="BZ843" i="1"/>
  <c r="BZ844" i="1"/>
  <c r="BZ845" i="1"/>
  <c r="BZ846" i="1"/>
  <c r="BZ847" i="1"/>
  <c r="BZ848" i="1"/>
  <c r="BZ849" i="1"/>
  <c r="BZ850" i="1"/>
  <c r="BZ851" i="1"/>
  <c r="BZ852" i="1"/>
  <c r="BZ853" i="1"/>
  <c r="BZ854" i="1"/>
  <c r="BZ855" i="1"/>
  <c r="BZ856" i="1"/>
  <c r="BZ857" i="1"/>
  <c r="BZ858" i="1"/>
  <c r="BZ859" i="1"/>
  <c r="BZ860" i="1"/>
  <c r="BZ861" i="1"/>
  <c r="BZ862" i="1"/>
  <c r="BZ863" i="1"/>
  <c r="BZ864" i="1"/>
  <c r="BZ865" i="1"/>
  <c r="BZ866" i="1"/>
  <c r="BZ867" i="1"/>
  <c r="BZ868" i="1"/>
  <c r="BZ869" i="1"/>
  <c r="BZ870" i="1"/>
  <c r="BZ871" i="1"/>
  <c r="BZ872" i="1"/>
  <c r="BZ873" i="1"/>
  <c r="BZ874" i="1"/>
  <c r="BZ875" i="1"/>
  <c r="BZ876" i="1"/>
  <c r="BZ877" i="1"/>
  <c r="BZ878" i="1"/>
  <c r="BZ879" i="1"/>
  <c r="BZ880" i="1"/>
  <c r="BZ881" i="1"/>
  <c r="BZ882" i="1"/>
  <c r="BZ883" i="1"/>
  <c r="BZ884" i="1"/>
  <c r="BZ885" i="1"/>
  <c r="BZ886" i="1"/>
  <c r="BZ887" i="1"/>
  <c r="BZ888" i="1"/>
  <c r="BZ889" i="1"/>
  <c r="BZ890" i="1"/>
  <c r="BZ891" i="1"/>
  <c r="BZ892" i="1"/>
  <c r="BZ893" i="1"/>
  <c r="BZ894" i="1"/>
  <c r="BZ895" i="1"/>
  <c r="BZ896" i="1"/>
  <c r="BZ897" i="1"/>
  <c r="BZ898" i="1"/>
  <c r="BZ899" i="1"/>
  <c r="BZ900" i="1"/>
  <c r="BZ901" i="1"/>
  <c r="BZ902" i="1"/>
  <c r="BZ903" i="1"/>
  <c r="BZ904" i="1"/>
  <c r="BZ905" i="1"/>
  <c r="BZ906" i="1"/>
  <c r="BZ907" i="1"/>
  <c r="BZ908" i="1"/>
  <c r="BZ909" i="1"/>
  <c r="BZ910" i="1"/>
  <c r="BZ911" i="1"/>
  <c r="BZ912" i="1"/>
  <c r="BZ913" i="1"/>
  <c r="BZ914" i="1"/>
  <c r="BZ915" i="1"/>
  <c r="BZ916" i="1"/>
  <c r="BZ917" i="1"/>
  <c r="BZ918" i="1"/>
  <c r="BZ919" i="1"/>
  <c r="BZ920" i="1"/>
  <c r="BZ921" i="1"/>
  <c r="BZ922" i="1"/>
  <c r="BZ923" i="1"/>
  <c r="BZ924" i="1"/>
  <c r="BZ925" i="1"/>
  <c r="BZ926" i="1"/>
  <c r="BZ927" i="1"/>
  <c r="BZ928" i="1"/>
  <c r="BZ929" i="1"/>
  <c r="BZ930" i="1"/>
  <c r="BZ931" i="1"/>
  <c r="BZ932" i="1"/>
  <c r="BZ933" i="1"/>
  <c r="BZ934" i="1"/>
  <c r="BZ935" i="1"/>
  <c r="BZ936" i="1"/>
  <c r="BZ937" i="1"/>
  <c r="BZ938" i="1"/>
  <c r="BZ939" i="1"/>
  <c r="BZ940" i="1"/>
  <c r="BZ941" i="1"/>
  <c r="BZ942" i="1"/>
  <c r="BZ943" i="1"/>
  <c r="BZ944" i="1"/>
  <c r="BZ945" i="1"/>
  <c r="BZ946" i="1"/>
  <c r="BZ947" i="1"/>
  <c r="BZ948" i="1"/>
  <c r="BZ949" i="1"/>
  <c r="BZ950" i="1"/>
  <c r="BZ951" i="1"/>
  <c r="BZ952" i="1"/>
  <c r="BZ953" i="1"/>
  <c r="BZ954" i="1"/>
  <c r="BZ955" i="1"/>
  <c r="BZ956" i="1"/>
  <c r="BZ957" i="1"/>
  <c r="BZ958" i="1"/>
  <c r="BZ959" i="1"/>
  <c r="BZ960" i="1"/>
  <c r="BZ961" i="1"/>
  <c r="BZ962" i="1"/>
  <c r="BZ963" i="1"/>
  <c r="BZ964" i="1"/>
  <c r="BZ965" i="1"/>
  <c r="BZ966" i="1"/>
  <c r="BZ967" i="1"/>
  <c r="BZ968" i="1"/>
  <c r="BZ969" i="1"/>
  <c r="BZ970" i="1"/>
  <c r="BZ971" i="1"/>
  <c r="BZ972" i="1"/>
  <c r="BZ973" i="1"/>
  <c r="BZ974" i="1"/>
  <c r="BZ975" i="1"/>
  <c r="BZ976" i="1"/>
  <c r="BZ977" i="1"/>
  <c r="BZ978" i="1"/>
  <c r="BZ979" i="1"/>
  <c r="BZ980" i="1"/>
  <c r="BZ981" i="1"/>
  <c r="BZ982" i="1"/>
  <c r="BZ983" i="1"/>
  <c r="BZ984" i="1"/>
  <c r="BZ985" i="1"/>
  <c r="BZ986" i="1"/>
  <c r="BZ987" i="1"/>
  <c r="BZ988" i="1"/>
  <c r="BZ989" i="1"/>
  <c r="BZ990" i="1"/>
  <c r="BZ991" i="1"/>
  <c r="BZ992" i="1"/>
  <c r="BZ993" i="1"/>
  <c r="BZ994" i="1"/>
  <c r="BZ995" i="1"/>
  <c r="BZ996" i="1"/>
  <c r="BZ997" i="1"/>
  <c r="BZ998" i="1"/>
  <c r="BZ999" i="1"/>
  <c r="BZ1000" i="1"/>
  <c r="BZ1001" i="1"/>
  <c r="BZ1002" i="1"/>
  <c r="BZ1003" i="1"/>
  <c r="BZ1004" i="1"/>
  <c r="BZ1005" i="1"/>
  <c r="BZ1006" i="1"/>
  <c r="BZ1007" i="1"/>
  <c r="BZ1008" i="1"/>
  <c r="BZ1009" i="1"/>
  <c r="BZ1010" i="1"/>
  <c r="BZ1011" i="1"/>
  <c r="BZ1012" i="1"/>
  <c r="BZ1013" i="1"/>
  <c r="BZ1014" i="1"/>
  <c r="BZ1015" i="1"/>
  <c r="BZ1016" i="1"/>
  <c r="BZ1017" i="1"/>
  <c r="BZ1018" i="1"/>
  <c r="BZ1019" i="1"/>
  <c r="BZ1020" i="1"/>
  <c r="BZ1021" i="1"/>
  <c r="BZ1022" i="1"/>
  <c r="BZ1023" i="1"/>
  <c r="BZ1024" i="1"/>
  <c r="BZ1025" i="1"/>
  <c r="BZ1026" i="1"/>
  <c r="BZ1027" i="1"/>
  <c r="BZ1028" i="1"/>
  <c r="BZ1029" i="1"/>
  <c r="BZ1030" i="1"/>
  <c r="BZ1031" i="1"/>
  <c r="BZ1032" i="1"/>
  <c r="BZ1033" i="1"/>
  <c r="BZ1034" i="1"/>
  <c r="BZ1035" i="1"/>
  <c r="BZ1036" i="1"/>
  <c r="BZ1037" i="1"/>
  <c r="BZ1038" i="1"/>
  <c r="BZ1039" i="1"/>
  <c r="BZ1040" i="1"/>
  <c r="BZ1041" i="1"/>
  <c r="BZ1042" i="1"/>
  <c r="BZ1043" i="1"/>
  <c r="BZ1044" i="1"/>
  <c r="BZ1045" i="1"/>
  <c r="BZ1046" i="1"/>
  <c r="BZ1047" i="1"/>
  <c r="BZ1048" i="1"/>
  <c r="BZ1049" i="1"/>
  <c r="BZ1050" i="1"/>
  <c r="BZ1051" i="1"/>
  <c r="BZ1052" i="1"/>
  <c r="BZ1053" i="1"/>
  <c r="BZ1054" i="1"/>
  <c r="BZ1055" i="1"/>
  <c r="BZ1056" i="1"/>
  <c r="BZ1057" i="1"/>
  <c r="BZ1058" i="1"/>
  <c r="BZ1059" i="1"/>
  <c r="BZ1060" i="1"/>
  <c r="BZ1061" i="1"/>
  <c r="BZ1062" i="1"/>
  <c r="BZ1063" i="1"/>
  <c r="BZ1064" i="1"/>
  <c r="BZ1065" i="1"/>
  <c r="BZ1066" i="1"/>
  <c r="BZ1067" i="1"/>
  <c r="BZ1068" i="1"/>
  <c r="BZ1069" i="1"/>
  <c r="BZ1070" i="1"/>
  <c r="BZ1071" i="1"/>
  <c r="BZ1072" i="1"/>
  <c r="BZ1073" i="1"/>
  <c r="BZ1074" i="1"/>
  <c r="BZ1075" i="1"/>
  <c r="BZ1076" i="1"/>
  <c r="BZ1077" i="1"/>
  <c r="BZ1078" i="1"/>
  <c r="BZ1079" i="1"/>
  <c r="BZ1080" i="1"/>
  <c r="BZ1081" i="1"/>
  <c r="BZ1082" i="1"/>
  <c r="BZ1083" i="1"/>
  <c r="BZ1084" i="1"/>
  <c r="BZ1085" i="1"/>
  <c r="BZ1086" i="1"/>
  <c r="BZ1087" i="1"/>
  <c r="BZ1088" i="1"/>
  <c r="BZ1089" i="1"/>
  <c r="BZ1090" i="1"/>
  <c r="BZ1091" i="1"/>
  <c r="BZ1092" i="1"/>
  <c r="BZ1093" i="1"/>
  <c r="BZ1094" i="1"/>
  <c r="BZ1095" i="1"/>
  <c r="BZ1096" i="1"/>
  <c r="BZ1097" i="1"/>
  <c r="BZ1098" i="1"/>
  <c r="BZ1099" i="1"/>
  <c r="BZ1100" i="1"/>
  <c r="BZ1101" i="1"/>
  <c r="BZ1102" i="1"/>
  <c r="BZ1103" i="1"/>
  <c r="BZ1104" i="1"/>
  <c r="BZ1105" i="1"/>
  <c r="BZ1106" i="1"/>
  <c r="BZ1107" i="1"/>
  <c r="BZ1108" i="1"/>
  <c r="BZ1109" i="1"/>
  <c r="BZ1110" i="1"/>
  <c r="BZ1111" i="1"/>
  <c r="BZ1112" i="1"/>
  <c r="BZ1113" i="1"/>
  <c r="BZ1114" i="1"/>
  <c r="BZ1115" i="1"/>
  <c r="BZ1116" i="1"/>
  <c r="BZ1117" i="1"/>
  <c r="BZ1118" i="1"/>
  <c r="BZ1119" i="1"/>
  <c r="BZ1120" i="1"/>
  <c r="BZ1121" i="1"/>
  <c r="BZ1122" i="1"/>
  <c r="BZ1123" i="1"/>
  <c r="BZ1124" i="1"/>
  <c r="BZ1125" i="1"/>
  <c r="BZ1126" i="1"/>
  <c r="BZ1127" i="1"/>
  <c r="BZ1128" i="1"/>
  <c r="BZ1129" i="1"/>
  <c r="BZ1130" i="1"/>
  <c r="BZ1131" i="1"/>
  <c r="BZ1132" i="1"/>
  <c r="BZ1133" i="1"/>
  <c r="BZ1134" i="1"/>
  <c r="BZ1135" i="1"/>
  <c r="BZ1136" i="1"/>
  <c r="BZ1137" i="1"/>
  <c r="BZ1138" i="1"/>
  <c r="BZ1139" i="1"/>
  <c r="BZ1140" i="1"/>
  <c r="BZ1141" i="1"/>
  <c r="BZ1142" i="1"/>
  <c r="BZ1143" i="1"/>
  <c r="BZ1144" i="1"/>
  <c r="BZ1145" i="1"/>
  <c r="BZ1146" i="1"/>
  <c r="BZ1147" i="1"/>
  <c r="BZ1148" i="1"/>
  <c r="BZ1149" i="1"/>
  <c r="BZ1150" i="1"/>
  <c r="BZ1151" i="1"/>
  <c r="BZ1152" i="1"/>
  <c r="BZ1153" i="1"/>
  <c r="BZ1154" i="1"/>
  <c r="BZ1155" i="1"/>
  <c r="BZ1156" i="1"/>
  <c r="BZ1157" i="1"/>
  <c r="BZ1158" i="1"/>
  <c r="BZ1159" i="1"/>
  <c r="BZ1160" i="1"/>
  <c r="BZ1161" i="1"/>
  <c r="BZ1162" i="1"/>
  <c r="BZ1163" i="1"/>
  <c r="BZ1164" i="1"/>
  <c r="BZ1165" i="1"/>
  <c r="BZ1166" i="1"/>
  <c r="BZ1167" i="1"/>
  <c r="BZ1168" i="1"/>
  <c r="BZ1169" i="1"/>
  <c r="BZ1170" i="1"/>
  <c r="BZ1171" i="1"/>
  <c r="BZ1172" i="1"/>
  <c r="BZ1173" i="1"/>
  <c r="BZ1174" i="1"/>
  <c r="BZ1175" i="1"/>
  <c r="BZ1176" i="1"/>
  <c r="BZ1177" i="1"/>
  <c r="BZ1178" i="1"/>
  <c r="BZ1179" i="1"/>
  <c r="BZ1180" i="1"/>
  <c r="BZ1181" i="1"/>
  <c r="BZ1182" i="1"/>
  <c r="BZ1183" i="1"/>
  <c r="BZ1184" i="1"/>
  <c r="BZ1185" i="1"/>
  <c r="BZ1186" i="1"/>
  <c r="BZ1187" i="1"/>
  <c r="BZ1188" i="1"/>
  <c r="BZ1189" i="1"/>
  <c r="BZ1190" i="1"/>
  <c r="BZ1191" i="1"/>
  <c r="BZ1192" i="1"/>
  <c r="BZ1193" i="1"/>
  <c r="BZ1194" i="1"/>
  <c r="BZ1195" i="1"/>
  <c r="BZ1196" i="1"/>
  <c r="BZ1197" i="1"/>
  <c r="BZ1198" i="1"/>
  <c r="BZ1199" i="1"/>
  <c r="BZ1200" i="1"/>
  <c r="BZ1201" i="1"/>
  <c r="BZ1202" i="1"/>
  <c r="BZ1203" i="1"/>
  <c r="BZ1204" i="1"/>
  <c r="BZ1205" i="1"/>
  <c r="BZ1206" i="1"/>
  <c r="BZ1207" i="1"/>
  <c r="BZ1208" i="1"/>
  <c r="BZ1209" i="1"/>
  <c r="BZ1210" i="1"/>
  <c r="BZ1211" i="1"/>
  <c r="BZ1212" i="1"/>
  <c r="BZ1213" i="1"/>
  <c r="BZ1214" i="1"/>
  <c r="BZ1215" i="1"/>
  <c r="BZ1216" i="1"/>
  <c r="BZ1217" i="1"/>
  <c r="BZ1218" i="1"/>
  <c r="BZ1219" i="1"/>
  <c r="BZ1220" i="1"/>
  <c r="BZ1221" i="1"/>
  <c r="BZ1222" i="1"/>
  <c r="BZ1223" i="1"/>
  <c r="BZ1224" i="1"/>
  <c r="BZ1225" i="1"/>
  <c r="BZ1226" i="1"/>
  <c r="BZ1227" i="1"/>
  <c r="BZ1228" i="1"/>
  <c r="BZ1229" i="1"/>
  <c r="BZ1230" i="1"/>
  <c r="BZ1231" i="1"/>
  <c r="BZ1232" i="1"/>
  <c r="BZ1233" i="1"/>
  <c r="BZ1234" i="1"/>
  <c r="BZ1235" i="1"/>
  <c r="BZ1236" i="1"/>
  <c r="BZ1237" i="1"/>
  <c r="BZ1238" i="1"/>
  <c r="BZ1239" i="1"/>
  <c r="BZ1240" i="1"/>
  <c r="BZ1241" i="1"/>
  <c r="BZ1242" i="1"/>
  <c r="BZ1243" i="1"/>
  <c r="BZ1244" i="1"/>
  <c r="BZ1245" i="1"/>
  <c r="BZ1246" i="1"/>
  <c r="BZ1247" i="1"/>
  <c r="BZ1248" i="1"/>
  <c r="BZ1249" i="1"/>
  <c r="BZ1250" i="1"/>
  <c r="BZ1251" i="1"/>
  <c r="BZ1252" i="1"/>
  <c r="BZ1253" i="1"/>
  <c r="BZ1254" i="1"/>
  <c r="BZ1255" i="1"/>
  <c r="BZ1256" i="1"/>
  <c r="BZ1257" i="1"/>
  <c r="BZ1258" i="1"/>
  <c r="BZ1259" i="1"/>
  <c r="BZ1260" i="1"/>
  <c r="BZ1261" i="1"/>
  <c r="BZ1262" i="1"/>
  <c r="BZ1263" i="1"/>
  <c r="BZ1264" i="1"/>
  <c r="BZ1265" i="1"/>
  <c r="BZ1266" i="1"/>
  <c r="BZ1267" i="1"/>
  <c r="BZ1268" i="1"/>
  <c r="BZ1269" i="1"/>
  <c r="BZ1270" i="1"/>
  <c r="BZ1271" i="1"/>
  <c r="BZ1272" i="1"/>
  <c r="BZ1273" i="1"/>
  <c r="BZ1274" i="1"/>
  <c r="BZ1275" i="1"/>
  <c r="BZ1276" i="1"/>
  <c r="BZ1277" i="1"/>
  <c r="BZ1278" i="1"/>
  <c r="BZ1279" i="1"/>
  <c r="BZ1280" i="1"/>
  <c r="BZ1281" i="1"/>
  <c r="BZ1282" i="1"/>
  <c r="BZ1283" i="1"/>
  <c r="BZ1284" i="1"/>
  <c r="BZ1285" i="1"/>
  <c r="BZ1286" i="1"/>
  <c r="BZ1287" i="1"/>
  <c r="BZ1288" i="1"/>
  <c r="BZ1289" i="1"/>
  <c r="BZ1290" i="1"/>
  <c r="BZ1291" i="1"/>
  <c r="BZ1292" i="1"/>
  <c r="BZ1293" i="1"/>
  <c r="BZ1294" i="1"/>
  <c r="BZ1295" i="1"/>
  <c r="BZ1296" i="1"/>
  <c r="BZ1297" i="1"/>
  <c r="BZ1298" i="1"/>
  <c r="BZ1299" i="1"/>
  <c r="BZ1300" i="1"/>
  <c r="BZ1301" i="1"/>
  <c r="BZ1302" i="1"/>
  <c r="BZ1303" i="1"/>
  <c r="BZ1304" i="1"/>
  <c r="BZ1305" i="1"/>
  <c r="BZ1306" i="1"/>
  <c r="BZ1307" i="1"/>
  <c r="BZ1308" i="1"/>
  <c r="BZ1309" i="1"/>
  <c r="BZ1310" i="1"/>
  <c r="BZ1311" i="1"/>
  <c r="BZ1312" i="1"/>
  <c r="BZ1313" i="1"/>
  <c r="BZ1314" i="1"/>
  <c r="BZ1315" i="1"/>
  <c r="BZ1316" i="1"/>
  <c r="BZ1317" i="1"/>
  <c r="BZ1318" i="1"/>
  <c r="BZ1319" i="1"/>
  <c r="BZ1320" i="1"/>
  <c r="BZ1321" i="1"/>
  <c r="BZ1322" i="1"/>
  <c r="BZ1323" i="1"/>
  <c r="BZ1324" i="1"/>
  <c r="BZ1325" i="1"/>
  <c r="BZ1326" i="1"/>
  <c r="BZ1327" i="1"/>
  <c r="BZ1328" i="1"/>
  <c r="BZ1329" i="1"/>
  <c r="BZ1330" i="1"/>
  <c r="BZ1331" i="1"/>
  <c r="BZ1332" i="1"/>
  <c r="BZ1333" i="1"/>
  <c r="BZ1334" i="1"/>
  <c r="BZ1335" i="1"/>
  <c r="BZ1336" i="1"/>
  <c r="BZ1337" i="1"/>
  <c r="BZ1338" i="1"/>
  <c r="BZ1339" i="1"/>
  <c r="BZ1340" i="1"/>
  <c r="BZ1341" i="1"/>
  <c r="BZ1342" i="1"/>
  <c r="BZ1343" i="1"/>
  <c r="BZ1344" i="1"/>
  <c r="BZ1345" i="1"/>
  <c r="BZ1346" i="1"/>
  <c r="BZ1347" i="1"/>
  <c r="BZ1348" i="1"/>
  <c r="BZ1349" i="1"/>
  <c r="BZ1350" i="1"/>
  <c r="BZ1351" i="1"/>
  <c r="BZ1352" i="1"/>
  <c r="BZ1353" i="1"/>
  <c r="BZ1354" i="1"/>
  <c r="BZ1355" i="1"/>
  <c r="BZ1356" i="1"/>
  <c r="BZ1357" i="1"/>
  <c r="BZ1358" i="1"/>
  <c r="BZ1359" i="1"/>
  <c r="BZ1360" i="1"/>
  <c r="BZ1361" i="1"/>
  <c r="BZ1362" i="1"/>
  <c r="BZ1363" i="1"/>
  <c r="BZ1364" i="1"/>
  <c r="BZ1365" i="1"/>
  <c r="BZ1366" i="1"/>
  <c r="BZ1367" i="1"/>
  <c r="BZ1368" i="1"/>
  <c r="BZ1369" i="1"/>
  <c r="BZ1370" i="1"/>
  <c r="BZ1371" i="1"/>
  <c r="BZ1372" i="1"/>
  <c r="BZ1373" i="1"/>
  <c r="BZ1374" i="1"/>
  <c r="BZ1375" i="1"/>
  <c r="BZ1376" i="1"/>
  <c r="BZ1377" i="1"/>
  <c r="BZ1378" i="1"/>
  <c r="BZ1379" i="1"/>
  <c r="BZ1380" i="1"/>
  <c r="BZ1381" i="1"/>
  <c r="BZ1382" i="1"/>
  <c r="BZ1383" i="1"/>
  <c r="BZ1384" i="1"/>
  <c r="BZ1385" i="1"/>
  <c r="BZ1386" i="1"/>
  <c r="BZ1387" i="1"/>
  <c r="BZ1388" i="1"/>
  <c r="BZ1389" i="1"/>
  <c r="BZ1390" i="1"/>
  <c r="BZ1391" i="1"/>
  <c r="BZ1392" i="1"/>
  <c r="BZ1393" i="1"/>
  <c r="BZ1394" i="1"/>
  <c r="BZ1395" i="1"/>
  <c r="BZ1396" i="1"/>
  <c r="BZ1397" i="1"/>
  <c r="BZ1398" i="1"/>
  <c r="BZ1399" i="1"/>
  <c r="BZ1400" i="1"/>
  <c r="BZ1401" i="1"/>
  <c r="BZ1402" i="1"/>
  <c r="BZ1403" i="1"/>
  <c r="BZ1404" i="1"/>
  <c r="BZ1405" i="1"/>
  <c r="BZ1406" i="1"/>
  <c r="BZ1407" i="1"/>
  <c r="BZ1408" i="1"/>
  <c r="BZ1409" i="1"/>
  <c r="BZ1410" i="1"/>
  <c r="BZ1411" i="1"/>
  <c r="BZ1412" i="1"/>
  <c r="BZ1413" i="1"/>
  <c r="BZ1414" i="1"/>
  <c r="BZ1415" i="1"/>
  <c r="BZ1416" i="1"/>
  <c r="BZ1417" i="1"/>
  <c r="BZ1418" i="1"/>
  <c r="BZ1419" i="1"/>
  <c r="BZ1420" i="1"/>
  <c r="BZ1421" i="1"/>
  <c r="BZ1422" i="1"/>
  <c r="BZ1423" i="1"/>
  <c r="BZ1424" i="1"/>
  <c r="BZ1425" i="1"/>
  <c r="BZ1426" i="1"/>
  <c r="BZ1427" i="1"/>
  <c r="BZ1428" i="1"/>
  <c r="BZ1429" i="1"/>
  <c r="BZ1430" i="1"/>
  <c r="BZ1431" i="1"/>
  <c r="BZ1432" i="1"/>
  <c r="BZ1433" i="1"/>
  <c r="BZ1434" i="1"/>
  <c r="BZ1435" i="1"/>
  <c r="BZ1436" i="1"/>
  <c r="BZ1437" i="1"/>
  <c r="BZ1438" i="1"/>
  <c r="BZ1439" i="1"/>
  <c r="BZ1440" i="1"/>
  <c r="BZ1441" i="1"/>
  <c r="BZ1442" i="1"/>
  <c r="BZ1443" i="1"/>
  <c r="BZ1444" i="1"/>
  <c r="BZ1445" i="1"/>
  <c r="BZ1446" i="1"/>
  <c r="BZ1447" i="1"/>
  <c r="BZ1448" i="1"/>
  <c r="BZ1449" i="1"/>
  <c r="BZ1450" i="1"/>
  <c r="BZ1451" i="1"/>
  <c r="BZ1452" i="1"/>
  <c r="BZ1453" i="1"/>
  <c r="BZ1454" i="1"/>
  <c r="BZ1455" i="1"/>
  <c r="BZ1456" i="1"/>
  <c r="BZ1457" i="1"/>
  <c r="BZ1458" i="1"/>
  <c r="BZ1459" i="1"/>
  <c r="BZ1460" i="1"/>
  <c r="BZ1461" i="1"/>
  <c r="BZ1462" i="1"/>
  <c r="BZ1463" i="1"/>
  <c r="BZ1464" i="1"/>
  <c r="BZ1465" i="1"/>
  <c r="BZ1466" i="1"/>
  <c r="BZ1467" i="1"/>
  <c r="BZ1468" i="1"/>
  <c r="BZ1469" i="1"/>
  <c r="BZ1470" i="1"/>
  <c r="BZ1471" i="1"/>
  <c r="BZ2" i="1"/>
  <c r="BY2" i="1"/>
  <c r="BZ1" i="1"/>
  <c r="BY3" i="1"/>
  <c r="BY4" i="1"/>
  <c r="BY5" i="1"/>
  <c r="BY6" i="1"/>
  <c r="BY7" i="1"/>
  <c r="BY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9" i="1"/>
  <c r="BY90" i="1"/>
  <c r="BY91" i="1"/>
  <c r="BY92" i="1"/>
  <c r="BY93" i="1"/>
  <c r="BY94" i="1"/>
  <c r="BY95" i="1"/>
  <c r="BY96" i="1"/>
  <c r="BY97" i="1"/>
  <c r="BY98" i="1"/>
  <c r="BY99" i="1"/>
  <c r="BY100" i="1"/>
  <c r="BY101" i="1"/>
  <c r="BY102" i="1"/>
  <c r="BY103" i="1"/>
  <c r="BY104" i="1"/>
  <c r="BY105" i="1"/>
  <c r="BY106" i="1"/>
  <c r="BY107" i="1"/>
  <c r="BY108" i="1"/>
  <c r="BY109" i="1"/>
  <c r="BY110" i="1"/>
  <c r="BY111" i="1"/>
  <c r="BY112" i="1"/>
  <c r="BY113" i="1"/>
  <c r="BY114" i="1"/>
  <c r="BY115" i="1"/>
  <c r="BY116" i="1"/>
  <c r="BY117" i="1"/>
  <c r="BY118" i="1"/>
  <c r="BY119" i="1"/>
  <c r="BY120" i="1"/>
  <c r="BY121" i="1"/>
  <c r="BY122" i="1"/>
  <c r="BY123" i="1"/>
  <c r="BY124" i="1"/>
  <c r="BY125" i="1"/>
  <c r="BY126" i="1"/>
  <c r="BY127" i="1"/>
  <c r="BY128" i="1"/>
  <c r="BY129" i="1"/>
  <c r="BY130" i="1"/>
  <c r="BY131" i="1"/>
  <c r="BY132" i="1"/>
  <c r="BY133" i="1"/>
  <c r="BY134" i="1"/>
  <c r="BY135" i="1"/>
  <c r="BY136" i="1"/>
  <c r="BY137" i="1"/>
  <c r="BY138" i="1"/>
  <c r="BY139" i="1"/>
  <c r="BY140" i="1"/>
  <c r="BY141" i="1"/>
  <c r="BY142" i="1"/>
  <c r="BY143" i="1"/>
  <c r="BY144" i="1"/>
  <c r="BY145" i="1"/>
  <c r="BY146" i="1"/>
  <c r="BY147" i="1"/>
  <c r="BY148" i="1"/>
  <c r="BY149" i="1"/>
  <c r="BY150" i="1"/>
  <c r="BY151" i="1"/>
  <c r="BY152" i="1"/>
  <c r="BY153" i="1"/>
  <c r="BY154" i="1"/>
  <c r="BY155" i="1"/>
  <c r="BY156" i="1"/>
  <c r="BY157" i="1"/>
  <c r="BY158" i="1"/>
  <c r="BY159" i="1"/>
  <c r="BY160" i="1"/>
  <c r="BY161" i="1"/>
  <c r="BY162" i="1"/>
  <c r="BY163" i="1"/>
  <c r="BY164" i="1"/>
  <c r="BY165" i="1"/>
  <c r="BY166" i="1"/>
  <c r="BY167" i="1"/>
  <c r="BY168" i="1"/>
  <c r="BY169" i="1"/>
  <c r="BY170" i="1"/>
  <c r="BY171" i="1"/>
  <c r="BY172" i="1"/>
  <c r="BY173" i="1"/>
  <c r="BY174" i="1"/>
  <c r="BY175" i="1"/>
  <c r="BY176" i="1"/>
  <c r="BY177" i="1"/>
  <c r="BY178" i="1"/>
  <c r="BY179" i="1"/>
  <c r="BY180" i="1"/>
  <c r="BY181" i="1"/>
  <c r="BY182" i="1"/>
  <c r="BY183" i="1"/>
  <c r="BY184" i="1"/>
  <c r="BY185" i="1"/>
  <c r="BY186" i="1"/>
  <c r="BY187" i="1"/>
  <c r="BY188" i="1"/>
  <c r="BY189" i="1"/>
  <c r="BY190" i="1"/>
  <c r="BY191" i="1"/>
  <c r="BY192" i="1"/>
  <c r="BY193" i="1"/>
  <c r="BY194" i="1"/>
  <c r="BY195" i="1"/>
  <c r="BY196" i="1"/>
  <c r="BY197" i="1"/>
  <c r="BY198" i="1"/>
  <c r="BY199" i="1"/>
  <c r="BY200" i="1"/>
  <c r="BY201" i="1"/>
  <c r="BY202" i="1"/>
  <c r="BY203" i="1"/>
  <c r="BY204" i="1"/>
  <c r="BY205" i="1"/>
  <c r="BY206" i="1"/>
  <c r="BY207" i="1"/>
  <c r="BY208" i="1"/>
  <c r="BY209" i="1"/>
  <c r="BY210" i="1"/>
  <c r="BY211" i="1"/>
  <c r="BY212" i="1"/>
  <c r="BY213" i="1"/>
  <c r="BY214" i="1"/>
  <c r="BY215" i="1"/>
  <c r="BY216" i="1"/>
  <c r="BY217" i="1"/>
  <c r="BY218" i="1"/>
  <c r="BY219" i="1"/>
  <c r="BY220" i="1"/>
  <c r="BY221" i="1"/>
  <c r="BY222" i="1"/>
  <c r="BY223" i="1"/>
  <c r="BY224" i="1"/>
  <c r="BY225" i="1"/>
  <c r="BY226" i="1"/>
  <c r="BY227" i="1"/>
  <c r="BY228" i="1"/>
  <c r="BY229" i="1"/>
  <c r="BY230" i="1"/>
  <c r="BY231" i="1"/>
  <c r="BY232" i="1"/>
  <c r="BY233" i="1"/>
  <c r="BY234" i="1"/>
  <c r="BY235" i="1"/>
  <c r="BY236" i="1"/>
  <c r="BY237" i="1"/>
  <c r="BY238" i="1"/>
  <c r="BY239" i="1"/>
  <c r="BY240" i="1"/>
  <c r="BY241" i="1"/>
  <c r="BY242" i="1"/>
  <c r="BY243" i="1"/>
  <c r="BY244" i="1"/>
  <c r="BY245" i="1"/>
  <c r="BY246" i="1"/>
  <c r="BY247" i="1"/>
  <c r="BY248" i="1"/>
  <c r="BY249" i="1"/>
  <c r="BY250" i="1"/>
  <c r="BY251" i="1"/>
  <c r="BY252" i="1"/>
  <c r="BY253" i="1"/>
  <c r="BY254" i="1"/>
  <c r="BY255" i="1"/>
  <c r="BY256" i="1"/>
  <c r="BY257" i="1"/>
  <c r="BY258" i="1"/>
  <c r="BY259" i="1"/>
  <c r="BY260" i="1"/>
  <c r="BY261" i="1"/>
  <c r="BY262" i="1"/>
  <c r="BY263" i="1"/>
  <c r="BY264" i="1"/>
  <c r="BY265" i="1"/>
  <c r="BY266" i="1"/>
  <c r="BY267" i="1"/>
  <c r="BY268" i="1"/>
  <c r="BY269" i="1"/>
  <c r="BY270" i="1"/>
  <c r="BY271" i="1"/>
  <c r="BY272" i="1"/>
  <c r="BY273" i="1"/>
  <c r="BY274" i="1"/>
  <c r="BY275" i="1"/>
  <c r="BY276" i="1"/>
  <c r="BY277" i="1"/>
  <c r="BY278" i="1"/>
  <c r="BY279" i="1"/>
  <c r="BY280" i="1"/>
  <c r="BY281" i="1"/>
  <c r="BY282" i="1"/>
  <c r="BY283" i="1"/>
  <c r="BY284" i="1"/>
  <c r="BY285" i="1"/>
  <c r="BY286" i="1"/>
  <c r="BY287" i="1"/>
  <c r="BY288" i="1"/>
  <c r="BY289" i="1"/>
  <c r="BY290" i="1"/>
  <c r="BY291" i="1"/>
  <c r="BY292" i="1"/>
  <c r="BY293" i="1"/>
  <c r="BY294" i="1"/>
  <c r="BY295" i="1"/>
  <c r="BY296" i="1"/>
  <c r="BY297" i="1"/>
  <c r="BY298" i="1"/>
  <c r="BY299" i="1"/>
  <c r="BY300" i="1"/>
  <c r="BY301" i="1"/>
  <c r="BY302" i="1"/>
  <c r="BY303" i="1"/>
  <c r="BY304" i="1"/>
  <c r="BY305" i="1"/>
  <c r="BY306" i="1"/>
  <c r="BY307" i="1"/>
  <c r="BY308" i="1"/>
  <c r="BY309" i="1"/>
  <c r="BY310" i="1"/>
  <c r="BY311" i="1"/>
  <c r="BY312" i="1"/>
  <c r="BY313" i="1"/>
  <c r="BY314" i="1"/>
  <c r="BY315" i="1"/>
  <c r="BY316" i="1"/>
  <c r="BY317" i="1"/>
  <c r="BY318" i="1"/>
  <c r="BY319" i="1"/>
  <c r="BY320" i="1"/>
  <c r="BY321" i="1"/>
  <c r="BY322" i="1"/>
  <c r="BY323" i="1"/>
  <c r="BY324" i="1"/>
  <c r="BY325" i="1"/>
  <c r="BY326" i="1"/>
  <c r="BY327" i="1"/>
  <c r="BY328" i="1"/>
  <c r="BY329" i="1"/>
  <c r="BY330" i="1"/>
  <c r="BY331" i="1"/>
  <c r="BY332" i="1"/>
  <c r="BY333" i="1"/>
  <c r="BY334" i="1"/>
  <c r="BY335" i="1"/>
  <c r="BY336" i="1"/>
  <c r="BY337" i="1"/>
  <c r="BY338" i="1"/>
  <c r="BY339" i="1"/>
  <c r="BY340" i="1"/>
  <c r="BY341" i="1"/>
  <c r="BY342" i="1"/>
  <c r="BY343" i="1"/>
  <c r="BY344" i="1"/>
  <c r="BY345" i="1"/>
  <c r="BY346" i="1"/>
  <c r="BY347" i="1"/>
  <c r="BY348" i="1"/>
  <c r="BY349" i="1"/>
  <c r="BY350" i="1"/>
  <c r="BY351" i="1"/>
  <c r="BY352" i="1"/>
  <c r="BY353" i="1"/>
  <c r="BY354" i="1"/>
  <c r="BY355" i="1"/>
  <c r="BY356" i="1"/>
  <c r="BY357" i="1"/>
  <c r="BY358" i="1"/>
  <c r="BY359" i="1"/>
  <c r="BY360" i="1"/>
  <c r="BY361" i="1"/>
  <c r="BY362" i="1"/>
  <c r="BY363" i="1"/>
  <c r="BY364" i="1"/>
  <c r="BY365" i="1"/>
  <c r="BY366" i="1"/>
  <c r="BY367" i="1"/>
  <c r="BY368" i="1"/>
  <c r="BY369" i="1"/>
  <c r="BY370" i="1"/>
  <c r="BY371" i="1"/>
  <c r="BY372" i="1"/>
  <c r="BY373" i="1"/>
  <c r="BY374" i="1"/>
  <c r="BY375" i="1"/>
  <c r="BY376" i="1"/>
  <c r="BY377" i="1"/>
  <c r="BY378" i="1"/>
  <c r="BY379" i="1"/>
  <c r="BY380"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3" i="1"/>
  <c r="BY414" i="1"/>
  <c r="BY415" i="1"/>
  <c r="BY416" i="1"/>
  <c r="BY417" i="1"/>
  <c r="BY418" i="1"/>
  <c r="BY419" i="1"/>
  <c r="BY420" i="1"/>
  <c r="BY421" i="1"/>
  <c r="BY422" i="1"/>
  <c r="BY423" i="1"/>
  <c r="BY424" i="1"/>
  <c r="BY425" i="1"/>
  <c r="BY426" i="1"/>
  <c r="BY427" i="1"/>
  <c r="BY428" i="1"/>
  <c r="BY429" i="1"/>
  <c r="BY430" i="1"/>
  <c r="BY431" i="1"/>
  <c r="BY432" i="1"/>
  <c r="BY433" i="1"/>
  <c r="BY434" i="1"/>
  <c r="BY435" i="1"/>
  <c r="BY436" i="1"/>
  <c r="BY437" i="1"/>
  <c r="BY438" i="1"/>
  <c r="BY439" i="1"/>
  <c r="BY440" i="1"/>
  <c r="BY441" i="1"/>
  <c r="BY442" i="1"/>
  <c r="BY443" i="1"/>
  <c r="BY444" i="1"/>
  <c r="BY445" i="1"/>
  <c r="BY446" i="1"/>
  <c r="BY447" i="1"/>
  <c r="BY448" i="1"/>
  <c r="BY449" i="1"/>
  <c r="BY450" i="1"/>
  <c r="BY451" i="1"/>
  <c r="BY452" i="1"/>
  <c r="BY453" i="1"/>
  <c r="BY454" i="1"/>
  <c r="BY455" i="1"/>
  <c r="BY456" i="1"/>
  <c r="BY457" i="1"/>
  <c r="BY458" i="1"/>
  <c r="BY459" i="1"/>
  <c r="BY460" i="1"/>
  <c r="BY461" i="1"/>
  <c r="BY462" i="1"/>
  <c r="BY463" i="1"/>
  <c r="BY464" i="1"/>
  <c r="BY465" i="1"/>
  <c r="BY466" i="1"/>
  <c r="BY467" i="1"/>
  <c r="BY468" i="1"/>
  <c r="BY469" i="1"/>
  <c r="BY470" i="1"/>
  <c r="BY471" i="1"/>
  <c r="BY472" i="1"/>
  <c r="BY473" i="1"/>
  <c r="BY474" i="1"/>
  <c r="BY475" i="1"/>
  <c r="BY476" i="1"/>
  <c r="BY477" i="1"/>
  <c r="BY478" i="1"/>
  <c r="BY479" i="1"/>
  <c r="BY480" i="1"/>
  <c r="BY481" i="1"/>
  <c r="BY482" i="1"/>
  <c r="BY483" i="1"/>
  <c r="BY484" i="1"/>
  <c r="BY485" i="1"/>
  <c r="BY486" i="1"/>
  <c r="BY487" i="1"/>
  <c r="BY488" i="1"/>
  <c r="BY489" i="1"/>
  <c r="BY490" i="1"/>
  <c r="BY491" i="1"/>
  <c r="BY492" i="1"/>
  <c r="BY493" i="1"/>
  <c r="BY494" i="1"/>
  <c r="BY495" i="1"/>
  <c r="BY496" i="1"/>
  <c r="BY497" i="1"/>
  <c r="BY498" i="1"/>
  <c r="BY499" i="1"/>
  <c r="BY500" i="1"/>
  <c r="BY501" i="1"/>
  <c r="BY502" i="1"/>
  <c r="BY503" i="1"/>
  <c r="BY504" i="1"/>
  <c r="BY505" i="1"/>
  <c r="BY506" i="1"/>
  <c r="BY507" i="1"/>
  <c r="BY508" i="1"/>
  <c r="BY509" i="1"/>
  <c r="BY510" i="1"/>
  <c r="BY511" i="1"/>
  <c r="BY512" i="1"/>
  <c r="BY513" i="1"/>
  <c r="BY514" i="1"/>
  <c r="BY515" i="1"/>
  <c r="BY516" i="1"/>
  <c r="BY517" i="1"/>
  <c r="BY518" i="1"/>
  <c r="BY519" i="1"/>
  <c r="BY520" i="1"/>
  <c r="BY521" i="1"/>
  <c r="BY522" i="1"/>
  <c r="BY523" i="1"/>
  <c r="BY524" i="1"/>
  <c r="BY525" i="1"/>
  <c r="BY526" i="1"/>
  <c r="BY527" i="1"/>
  <c r="BY528" i="1"/>
  <c r="BY529" i="1"/>
  <c r="BY530" i="1"/>
  <c r="BY531" i="1"/>
  <c r="BY532" i="1"/>
  <c r="BY533" i="1"/>
  <c r="BY534" i="1"/>
  <c r="BY535" i="1"/>
  <c r="BY536" i="1"/>
  <c r="BY537" i="1"/>
  <c r="BY538" i="1"/>
  <c r="BY539" i="1"/>
  <c r="BY540" i="1"/>
  <c r="BY541" i="1"/>
  <c r="BY542" i="1"/>
  <c r="BY543" i="1"/>
  <c r="BY544" i="1"/>
  <c r="BY545" i="1"/>
  <c r="BY546" i="1"/>
  <c r="BY547" i="1"/>
  <c r="BY548" i="1"/>
  <c r="BY549" i="1"/>
  <c r="BY550" i="1"/>
  <c r="BY551" i="1"/>
  <c r="BY552" i="1"/>
  <c r="BY553" i="1"/>
  <c r="BY554" i="1"/>
  <c r="BY555" i="1"/>
  <c r="BY556" i="1"/>
  <c r="BY557" i="1"/>
  <c r="BY558" i="1"/>
  <c r="BY559" i="1"/>
  <c r="BY560" i="1"/>
  <c r="BY561" i="1"/>
  <c r="BY562" i="1"/>
  <c r="BY563" i="1"/>
  <c r="BY564" i="1"/>
  <c r="BY565" i="1"/>
  <c r="BY566" i="1"/>
  <c r="BY567" i="1"/>
  <c r="BY568" i="1"/>
  <c r="BY569" i="1"/>
  <c r="BY570" i="1"/>
  <c r="BY571" i="1"/>
  <c r="BY572" i="1"/>
  <c r="BY573" i="1"/>
  <c r="BY574" i="1"/>
  <c r="BY575" i="1"/>
  <c r="BY576" i="1"/>
  <c r="BY577" i="1"/>
  <c r="BY578" i="1"/>
  <c r="BY579" i="1"/>
  <c r="BY580" i="1"/>
  <c r="BY581" i="1"/>
  <c r="BY582" i="1"/>
  <c r="BY583" i="1"/>
  <c r="BY584" i="1"/>
  <c r="BY585" i="1"/>
  <c r="BY586" i="1"/>
  <c r="BY587" i="1"/>
  <c r="BY588" i="1"/>
  <c r="BY589" i="1"/>
  <c r="BY590" i="1"/>
  <c r="BY591" i="1"/>
  <c r="BY592" i="1"/>
  <c r="BY593" i="1"/>
  <c r="BY594" i="1"/>
  <c r="BY595" i="1"/>
  <c r="BY596" i="1"/>
  <c r="BY597" i="1"/>
  <c r="BY598" i="1"/>
  <c r="BY599" i="1"/>
  <c r="BY600" i="1"/>
  <c r="BY601" i="1"/>
  <c r="BY602" i="1"/>
  <c r="BY603" i="1"/>
  <c r="BY604" i="1"/>
  <c r="BY605" i="1"/>
  <c r="BY606" i="1"/>
  <c r="BY607" i="1"/>
  <c r="BY608" i="1"/>
  <c r="BY609" i="1"/>
  <c r="BY610" i="1"/>
  <c r="BY611" i="1"/>
  <c r="BY612" i="1"/>
  <c r="BY613" i="1"/>
  <c r="BY614" i="1"/>
  <c r="BY615" i="1"/>
  <c r="BY616" i="1"/>
  <c r="BY617" i="1"/>
  <c r="BY618" i="1"/>
  <c r="BY619" i="1"/>
  <c r="BY620" i="1"/>
  <c r="BY621" i="1"/>
  <c r="BY622" i="1"/>
  <c r="BY623" i="1"/>
  <c r="BY624" i="1"/>
  <c r="BY625" i="1"/>
  <c r="BY626" i="1"/>
  <c r="BY627" i="1"/>
  <c r="BY628" i="1"/>
  <c r="BY629" i="1"/>
  <c r="BY630" i="1"/>
  <c r="BY631" i="1"/>
  <c r="BY632" i="1"/>
  <c r="BY633" i="1"/>
  <c r="BY634" i="1"/>
  <c r="BY635" i="1"/>
  <c r="BY636" i="1"/>
  <c r="BY637" i="1"/>
  <c r="BY638" i="1"/>
  <c r="BY639" i="1"/>
  <c r="BY640" i="1"/>
  <c r="BY641" i="1"/>
  <c r="BY642" i="1"/>
  <c r="BY643" i="1"/>
  <c r="BY644" i="1"/>
  <c r="BY645" i="1"/>
  <c r="BY646" i="1"/>
  <c r="BY647" i="1"/>
  <c r="BY648" i="1"/>
  <c r="BY649" i="1"/>
  <c r="BY650" i="1"/>
  <c r="BY651" i="1"/>
  <c r="BY652" i="1"/>
  <c r="BY653" i="1"/>
  <c r="BY654" i="1"/>
  <c r="BY655" i="1"/>
  <c r="BY656" i="1"/>
  <c r="BY657" i="1"/>
  <c r="BY658" i="1"/>
  <c r="BY659" i="1"/>
  <c r="BY660" i="1"/>
  <c r="BY661" i="1"/>
  <c r="BY662" i="1"/>
  <c r="BY663" i="1"/>
  <c r="BY664" i="1"/>
  <c r="BY665" i="1"/>
  <c r="BY666" i="1"/>
  <c r="BY667" i="1"/>
  <c r="BY668" i="1"/>
  <c r="BY669" i="1"/>
  <c r="BY670" i="1"/>
  <c r="BY671" i="1"/>
  <c r="BY672" i="1"/>
  <c r="BY673" i="1"/>
  <c r="BY674" i="1"/>
  <c r="BY675" i="1"/>
  <c r="BY676" i="1"/>
  <c r="BY677" i="1"/>
  <c r="BY678" i="1"/>
  <c r="BY679" i="1"/>
  <c r="BY680" i="1"/>
  <c r="BY681" i="1"/>
  <c r="BY682" i="1"/>
  <c r="BY683" i="1"/>
  <c r="BY684" i="1"/>
  <c r="BY685" i="1"/>
  <c r="BY686" i="1"/>
  <c r="BY687" i="1"/>
  <c r="BY688" i="1"/>
  <c r="BY689" i="1"/>
  <c r="BY690" i="1"/>
  <c r="BY691" i="1"/>
  <c r="BY692" i="1"/>
  <c r="BY693" i="1"/>
  <c r="BY694" i="1"/>
  <c r="BY695" i="1"/>
  <c r="BY696" i="1"/>
  <c r="BY697" i="1"/>
  <c r="BY698" i="1"/>
  <c r="BY699" i="1"/>
  <c r="BY700" i="1"/>
  <c r="BY701" i="1"/>
  <c r="BY702" i="1"/>
  <c r="BY703" i="1"/>
  <c r="BY704" i="1"/>
  <c r="BY705" i="1"/>
  <c r="BY706" i="1"/>
  <c r="BY707" i="1"/>
  <c r="BY708" i="1"/>
  <c r="BY709" i="1"/>
  <c r="BY710" i="1"/>
  <c r="BY711" i="1"/>
  <c r="BY712" i="1"/>
  <c r="BY713" i="1"/>
  <c r="BY714" i="1"/>
  <c r="BY715" i="1"/>
  <c r="BY716" i="1"/>
  <c r="BY717" i="1"/>
  <c r="BY718" i="1"/>
  <c r="BY719" i="1"/>
  <c r="BY720" i="1"/>
  <c r="BY721" i="1"/>
  <c r="BY722" i="1"/>
  <c r="BY723" i="1"/>
  <c r="BY724" i="1"/>
  <c r="BY725" i="1"/>
  <c r="BY726" i="1"/>
  <c r="BY727" i="1"/>
  <c r="BY728" i="1"/>
  <c r="BY729" i="1"/>
  <c r="BY730" i="1"/>
  <c r="BY731" i="1"/>
  <c r="BY732" i="1"/>
  <c r="BY733" i="1"/>
  <c r="BY734" i="1"/>
  <c r="BY735" i="1"/>
  <c r="BY736" i="1"/>
  <c r="BY737" i="1"/>
  <c r="BY738" i="1"/>
  <c r="BY739" i="1"/>
  <c r="BY740" i="1"/>
  <c r="BY741" i="1"/>
  <c r="BY742" i="1"/>
  <c r="BY743" i="1"/>
  <c r="BY744" i="1"/>
  <c r="BY745" i="1"/>
  <c r="BY746" i="1"/>
  <c r="BY747" i="1"/>
  <c r="BY748" i="1"/>
  <c r="BY749" i="1"/>
  <c r="BY750" i="1"/>
  <c r="BY751" i="1"/>
  <c r="BY752" i="1"/>
  <c r="BY753" i="1"/>
  <c r="BY754" i="1"/>
  <c r="BY755" i="1"/>
  <c r="BY756" i="1"/>
  <c r="BY757" i="1"/>
  <c r="BY758" i="1"/>
  <c r="BY759" i="1"/>
  <c r="BY760" i="1"/>
  <c r="BY761" i="1"/>
  <c r="BY762" i="1"/>
  <c r="BY763" i="1"/>
  <c r="BY764" i="1"/>
  <c r="BY765" i="1"/>
  <c r="BY766" i="1"/>
  <c r="BY767" i="1"/>
  <c r="BY768" i="1"/>
  <c r="BY769" i="1"/>
  <c r="BY770" i="1"/>
  <c r="BY771" i="1"/>
  <c r="BY772" i="1"/>
  <c r="BY773" i="1"/>
  <c r="BY774" i="1"/>
  <c r="BY775" i="1"/>
  <c r="BY776" i="1"/>
  <c r="BY777" i="1"/>
  <c r="BY778" i="1"/>
  <c r="BY779" i="1"/>
  <c r="BY780" i="1"/>
  <c r="BY781" i="1"/>
  <c r="BY782" i="1"/>
  <c r="BY783" i="1"/>
  <c r="BY784" i="1"/>
  <c r="BY785" i="1"/>
  <c r="BY786" i="1"/>
  <c r="BY787" i="1"/>
  <c r="BY788" i="1"/>
  <c r="BY789" i="1"/>
  <c r="BY790" i="1"/>
  <c r="BY791" i="1"/>
  <c r="BY792" i="1"/>
  <c r="BY793" i="1"/>
  <c r="BY794" i="1"/>
  <c r="BY795" i="1"/>
  <c r="BY796" i="1"/>
  <c r="BY797" i="1"/>
  <c r="BY798" i="1"/>
  <c r="BY799" i="1"/>
  <c r="BY800" i="1"/>
  <c r="BY801" i="1"/>
  <c r="BY802" i="1"/>
  <c r="BY803" i="1"/>
  <c r="BY804" i="1"/>
  <c r="BY805" i="1"/>
  <c r="BY806" i="1"/>
  <c r="BY807" i="1"/>
  <c r="BY808" i="1"/>
  <c r="BY809" i="1"/>
  <c r="BY810" i="1"/>
  <c r="BY811" i="1"/>
  <c r="BY812" i="1"/>
  <c r="BY813" i="1"/>
  <c r="BY814" i="1"/>
  <c r="BY815" i="1"/>
  <c r="BY816" i="1"/>
  <c r="BY817" i="1"/>
  <c r="BY818" i="1"/>
  <c r="BY819" i="1"/>
  <c r="BY820" i="1"/>
  <c r="BY821" i="1"/>
  <c r="BY822" i="1"/>
  <c r="BY823" i="1"/>
  <c r="BY824" i="1"/>
  <c r="BY825" i="1"/>
  <c r="BY826" i="1"/>
  <c r="BY827" i="1"/>
  <c r="BY828" i="1"/>
  <c r="BY829" i="1"/>
  <c r="BY830" i="1"/>
  <c r="BY831" i="1"/>
  <c r="BY832" i="1"/>
  <c r="BY833" i="1"/>
  <c r="BY834" i="1"/>
  <c r="BY835" i="1"/>
  <c r="BY836" i="1"/>
  <c r="BY837" i="1"/>
  <c r="BY838" i="1"/>
  <c r="BY839" i="1"/>
  <c r="BY840" i="1"/>
  <c r="BY841" i="1"/>
  <c r="BY842" i="1"/>
  <c r="BY843" i="1"/>
  <c r="BY844" i="1"/>
  <c r="BY845" i="1"/>
  <c r="BY846" i="1"/>
  <c r="BY847" i="1"/>
  <c r="BY848" i="1"/>
  <c r="BY849" i="1"/>
  <c r="BY850" i="1"/>
  <c r="BY851" i="1"/>
  <c r="BY852" i="1"/>
  <c r="BY853" i="1"/>
  <c r="BY854" i="1"/>
  <c r="BY855" i="1"/>
  <c r="BY856" i="1"/>
  <c r="BY857" i="1"/>
  <c r="BY858" i="1"/>
  <c r="BY859" i="1"/>
  <c r="BY860" i="1"/>
  <c r="BY861" i="1"/>
  <c r="BY862" i="1"/>
  <c r="BY863" i="1"/>
  <c r="BY864" i="1"/>
  <c r="BY865" i="1"/>
  <c r="BY866" i="1"/>
  <c r="BY867" i="1"/>
  <c r="BY868" i="1"/>
  <c r="BY869" i="1"/>
  <c r="BY870" i="1"/>
  <c r="BY871" i="1"/>
  <c r="BY872" i="1"/>
  <c r="BY873" i="1"/>
  <c r="BY874" i="1"/>
  <c r="BY875" i="1"/>
  <c r="BY876" i="1"/>
  <c r="BY877" i="1"/>
  <c r="BY878" i="1"/>
  <c r="BY879" i="1"/>
  <c r="BY880" i="1"/>
  <c r="BY881" i="1"/>
  <c r="BY882" i="1"/>
  <c r="BY883" i="1"/>
  <c r="BY884" i="1"/>
  <c r="BY885" i="1"/>
  <c r="BY886" i="1"/>
  <c r="BY887" i="1"/>
  <c r="BY888" i="1"/>
  <c r="BY889" i="1"/>
  <c r="BY890" i="1"/>
  <c r="BY891" i="1"/>
  <c r="BY892" i="1"/>
  <c r="BY893" i="1"/>
  <c r="BY894" i="1"/>
  <c r="BY895" i="1"/>
  <c r="BY896" i="1"/>
  <c r="BY897" i="1"/>
  <c r="BY898" i="1"/>
  <c r="BY899" i="1"/>
  <c r="BY900" i="1"/>
  <c r="BY901" i="1"/>
  <c r="BY902" i="1"/>
  <c r="BY903" i="1"/>
  <c r="BY904" i="1"/>
  <c r="BY905" i="1"/>
  <c r="BY906" i="1"/>
  <c r="BY907" i="1"/>
  <c r="BY908" i="1"/>
  <c r="BY909" i="1"/>
  <c r="BY910" i="1"/>
  <c r="BY911" i="1"/>
  <c r="BY912" i="1"/>
  <c r="BY913" i="1"/>
  <c r="BY914" i="1"/>
  <c r="BY915" i="1"/>
  <c r="BY916" i="1"/>
  <c r="BY917" i="1"/>
  <c r="BY918" i="1"/>
  <c r="BY919" i="1"/>
  <c r="BY920" i="1"/>
  <c r="BY921" i="1"/>
  <c r="BY922" i="1"/>
  <c r="BY923" i="1"/>
  <c r="BY924" i="1"/>
  <c r="BY925" i="1"/>
  <c r="BY926" i="1"/>
  <c r="BY927" i="1"/>
  <c r="BY928" i="1"/>
  <c r="BY929" i="1"/>
  <c r="BY930" i="1"/>
  <c r="BY931" i="1"/>
  <c r="BY932" i="1"/>
  <c r="BY933" i="1"/>
  <c r="BY934" i="1"/>
  <c r="BY935" i="1"/>
  <c r="BY936" i="1"/>
  <c r="BY937" i="1"/>
  <c r="BY938" i="1"/>
  <c r="BY939" i="1"/>
  <c r="BY940" i="1"/>
  <c r="BY941" i="1"/>
  <c r="BY942" i="1"/>
  <c r="BY943" i="1"/>
  <c r="BY944" i="1"/>
  <c r="BY945" i="1"/>
  <c r="BY946" i="1"/>
  <c r="BY947" i="1"/>
  <c r="BY948" i="1"/>
  <c r="BY949" i="1"/>
  <c r="BY950" i="1"/>
  <c r="BY951" i="1"/>
  <c r="BY952" i="1"/>
  <c r="BY953" i="1"/>
  <c r="BY954" i="1"/>
  <c r="BY955" i="1"/>
  <c r="BY956" i="1"/>
  <c r="BY957" i="1"/>
  <c r="BY958" i="1"/>
  <c r="BY959" i="1"/>
  <c r="BY960" i="1"/>
  <c r="BY961" i="1"/>
  <c r="BY962" i="1"/>
  <c r="BY963" i="1"/>
  <c r="BY964" i="1"/>
  <c r="BY965" i="1"/>
  <c r="BY966" i="1"/>
  <c r="BY967" i="1"/>
  <c r="BY968" i="1"/>
  <c r="BY969" i="1"/>
  <c r="BY970" i="1"/>
  <c r="BY971" i="1"/>
  <c r="BY972" i="1"/>
  <c r="BY973" i="1"/>
  <c r="BY974" i="1"/>
  <c r="BY975" i="1"/>
  <c r="BY976" i="1"/>
  <c r="BY977" i="1"/>
  <c r="BY978" i="1"/>
  <c r="BY979" i="1"/>
  <c r="BY980" i="1"/>
  <c r="BY981" i="1"/>
  <c r="BY982" i="1"/>
  <c r="BY983" i="1"/>
  <c r="BY984" i="1"/>
  <c r="BY985" i="1"/>
  <c r="BY986" i="1"/>
  <c r="BY987" i="1"/>
  <c r="BY988" i="1"/>
  <c r="BY989" i="1"/>
  <c r="BY990" i="1"/>
  <c r="BY991" i="1"/>
  <c r="BY992" i="1"/>
  <c r="BY993" i="1"/>
  <c r="BY994" i="1"/>
  <c r="BY995" i="1"/>
  <c r="BY996" i="1"/>
  <c r="BY997" i="1"/>
  <c r="BY998" i="1"/>
  <c r="BY999" i="1"/>
  <c r="BY1000" i="1"/>
  <c r="BY1001" i="1"/>
  <c r="BY1002" i="1"/>
  <c r="BY1003" i="1"/>
  <c r="BY1004" i="1"/>
  <c r="BY1005" i="1"/>
  <c r="BY1006" i="1"/>
  <c r="BY1007" i="1"/>
  <c r="BY1008" i="1"/>
  <c r="BY1009" i="1"/>
  <c r="BY1010" i="1"/>
  <c r="BY1011" i="1"/>
  <c r="BY1012" i="1"/>
  <c r="BY1013" i="1"/>
  <c r="BY1014" i="1"/>
  <c r="BY1015" i="1"/>
  <c r="BY1016" i="1"/>
  <c r="BY1017" i="1"/>
  <c r="BY1018" i="1"/>
  <c r="BY1019" i="1"/>
  <c r="BY1020" i="1"/>
  <c r="BY1021" i="1"/>
  <c r="BY1022" i="1"/>
  <c r="BY1023" i="1"/>
  <c r="BY1024" i="1"/>
  <c r="BY1025" i="1"/>
  <c r="BY1026" i="1"/>
  <c r="BY1027" i="1"/>
  <c r="BY1028" i="1"/>
  <c r="BY1029" i="1"/>
  <c r="BY1030" i="1"/>
  <c r="BY1031" i="1"/>
  <c r="BY1032" i="1"/>
  <c r="BY1033" i="1"/>
  <c r="BY1034" i="1"/>
  <c r="BY1035" i="1"/>
  <c r="BY1036" i="1"/>
  <c r="BY1037" i="1"/>
  <c r="BY1038" i="1"/>
  <c r="BY1039" i="1"/>
  <c r="BY1040" i="1"/>
  <c r="BY1041" i="1"/>
  <c r="BY1042" i="1"/>
  <c r="BY1043" i="1"/>
  <c r="BY1044" i="1"/>
  <c r="BY1045" i="1"/>
  <c r="BY1046" i="1"/>
  <c r="BY1047" i="1"/>
  <c r="BY1048" i="1"/>
  <c r="BY1049" i="1"/>
  <c r="BY1050" i="1"/>
  <c r="BY1051" i="1"/>
  <c r="BY1052" i="1"/>
  <c r="BY1053" i="1"/>
  <c r="BY1054" i="1"/>
  <c r="BY1055" i="1"/>
  <c r="BY1056" i="1"/>
  <c r="BY1057" i="1"/>
  <c r="BY1058" i="1"/>
  <c r="BY1059" i="1"/>
  <c r="BY1060" i="1"/>
  <c r="BY1061" i="1"/>
  <c r="BY1062" i="1"/>
  <c r="BY1063" i="1"/>
  <c r="BY1064" i="1"/>
  <c r="BY1065" i="1"/>
  <c r="BY1066" i="1"/>
  <c r="BY1067" i="1"/>
  <c r="BY1068" i="1"/>
  <c r="BY1069" i="1"/>
  <c r="BY1070" i="1"/>
  <c r="BY1071" i="1"/>
  <c r="BY1072" i="1"/>
  <c r="BY1073" i="1"/>
  <c r="BY1074" i="1"/>
  <c r="BY1075" i="1"/>
  <c r="BY1076" i="1"/>
  <c r="BY1077" i="1"/>
  <c r="BY1078" i="1"/>
  <c r="BY1079" i="1"/>
  <c r="BY1080" i="1"/>
  <c r="BY1081" i="1"/>
  <c r="BY1082" i="1"/>
  <c r="BY1083" i="1"/>
  <c r="BY1084" i="1"/>
  <c r="BY1085" i="1"/>
  <c r="BY1086" i="1"/>
  <c r="BY1087" i="1"/>
  <c r="BY1088" i="1"/>
  <c r="BY1089" i="1"/>
  <c r="BY1090" i="1"/>
  <c r="BY1091" i="1"/>
  <c r="BY1092" i="1"/>
  <c r="BY1093" i="1"/>
  <c r="BY1094" i="1"/>
  <c r="BY1095" i="1"/>
  <c r="BY1096" i="1"/>
  <c r="BY1097" i="1"/>
  <c r="BY1098" i="1"/>
  <c r="BY1099" i="1"/>
  <c r="BY1100" i="1"/>
  <c r="BY1101" i="1"/>
  <c r="BY1102" i="1"/>
  <c r="BY1103" i="1"/>
  <c r="BY1104" i="1"/>
  <c r="BY1105" i="1"/>
  <c r="BY1106" i="1"/>
  <c r="BY1107" i="1"/>
  <c r="BY1108" i="1"/>
  <c r="BY1109" i="1"/>
  <c r="BY1110" i="1"/>
  <c r="BY1111" i="1"/>
  <c r="BY1112" i="1"/>
  <c r="BY1113" i="1"/>
  <c r="BY1114" i="1"/>
  <c r="BY1115" i="1"/>
  <c r="BY1116" i="1"/>
  <c r="BY1117" i="1"/>
  <c r="BY1118" i="1"/>
  <c r="BY1119" i="1"/>
  <c r="BY1120" i="1"/>
  <c r="BY1121" i="1"/>
  <c r="BY1122" i="1"/>
  <c r="BY1123" i="1"/>
  <c r="BY1124" i="1"/>
  <c r="BY1125" i="1"/>
  <c r="BY1126" i="1"/>
  <c r="BY1127" i="1"/>
  <c r="BY1128" i="1"/>
  <c r="BY1129" i="1"/>
  <c r="BY1130" i="1"/>
  <c r="BY1131" i="1"/>
  <c r="BY1132" i="1"/>
  <c r="BY1133" i="1"/>
  <c r="BY1134" i="1"/>
  <c r="BY1135" i="1"/>
  <c r="BY1136" i="1"/>
  <c r="BY1137" i="1"/>
  <c r="BY1138" i="1"/>
  <c r="BY1139" i="1"/>
  <c r="BY1140" i="1"/>
  <c r="BY1141" i="1"/>
  <c r="BY1142" i="1"/>
  <c r="BY1143" i="1"/>
  <c r="BY1144" i="1"/>
  <c r="BY1145" i="1"/>
  <c r="BY1146" i="1"/>
  <c r="BY1147" i="1"/>
  <c r="BY1148" i="1"/>
  <c r="BY1149" i="1"/>
  <c r="BY1150" i="1"/>
  <c r="BY1151" i="1"/>
  <c r="BY1152" i="1"/>
  <c r="BY1153" i="1"/>
  <c r="BY1154" i="1"/>
  <c r="BY1155" i="1"/>
  <c r="BY1156" i="1"/>
  <c r="BY1157" i="1"/>
  <c r="BY1158" i="1"/>
  <c r="BY1159" i="1"/>
  <c r="BY1160" i="1"/>
  <c r="BY1161" i="1"/>
  <c r="BY1162" i="1"/>
  <c r="BY1163" i="1"/>
  <c r="BY1164" i="1"/>
  <c r="BY1165" i="1"/>
  <c r="BY1166" i="1"/>
  <c r="BY1167" i="1"/>
  <c r="BY1168" i="1"/>
  <c r="BY1169" i="1"/>
  <c r="BY1170" i="1"/>
  <c r="BY1171" i="1"/>
  <c r="BY1172" i="1"/>
  <c r="BY1173" i="1"/>
  <c r="BY1174" i="1"/>
  <c r="BY1175" i="1"/>
  <c r="BY1176" i="1"/>
  <c r="BY1177" i="1"/>
  <c r="BY1178" i="1"/>
  <c r="BY1179" i="1"/>
  <c r="BY1180" i="1"/>
  <c r="BY1181" i="1"/>
  <c r="BY1182" i="1"/>
  <c r="BY1183" i="1"/>
  <c r="BY1184" i="1"/>
  <c r="BY1185" i="1"/>
  <c r="BY1186" i="1"/>
  <c r="BY1187" i="1"/>
  <c r="BY1188" i="1"/>
  <c r="BY1189" i="1"/>
  <c r="BY1190" i="1"/>
  <c r="BY1191" i="1"/>
  <c r="BY1192" i="1"/>
  <c r="BY1193" i="1"/>
  <c r="BY1194" i="1"/>
  <c r="BY1195" i="1"/>
  <c r="BY1196" i="1"/>
  <c r="BY1197" i="1"/>
  <c r="BY1198" i="1"/>
  <c r="BY1199" i="1"/>
  <c r="BY1200" i="1"/>
  <c r="BY1201" i="1"/>
  <c r="BY1202" i="1"/>
  <c r="BY1203" i="1"/>
  <c r="BY1204" i="1"/>
  <c r="BY1205" i="1"/>
  <c r="BY1206" i="1"/>
  <c r="BY1207" i="1"/>
  <c r="BY1208" i="1"/>
  <c r="BY1209" i="1"/>
  <c r="BY1210" i="1"/>
  <c r="BY1211" i="1"/>
  <c r="BY1212" i="1"/>
  <c r="BY1213" i="1"/>
  <c r="BY1214" i="1"/>
  <c r="BY1215" i="1"/>
  <c r="BY1216" i="1"/>
  <c r="BY1217" i="1"/>
  <c r="BY1218" i="1"/>
  <c r="BY1219" i="1"/>
  <c r="BY1220" i="1"/>
  <c r="BY1221" i="1"/>
  <c r="BY1222" i="1"/>
  <c r="BY1223" i="1"/>
  <c r="BY1224" i="1"/>
  <c r="BY1225" i="1"/>
  <c r="BY1226" i="1"/>
  <c r="BY1227" i="1"/>
  <c r="BY1228" i="1"/>
  <c r="BY1229" i="1"/>
  <c r="BY1230" i="1"/>
  <c r="BY1231" i="1"/>
  <c r="BY1232" i="1"/>
  <c r="BY1233" i="1"/>
  <c r="BY1234" i="1"/>
  <c r="BY1235" i="1"/>
  <c r="BY1236" i="1"/>
  <c r="BY1237" i="1"/>
  <c r="BY1238" i="1"/>
  <c r="BY1239" i="1"/>
  <c r="BY1240" i="1"/>
  <c r="BY1241" i="1"/>
  <c r="BY1242" i="1"/>
  <c r="BY1243" i="1"/>
  <c r="BY1244" i="1"/>
  <c r="BY1245" i="1"/>
  <c r="BY1246" i="1"/>
  <c r="BY1247" i="1"/>
  <c r="BY1248" i="1"/>
  <c r="BY1249" i="1"/>
  <c r="BY1250" i="1"/>
  <c r="BY1251" i="1"/>
  <c r="BY1252" i="1"/>
  <c r="BY1253" i="1"/>
  <c r="BY1254" i="1"/>
  <c r="BY1255" i="1"/>
  <c r="BY1256" i="1"/>
  <c r="BY1257" i="1"/>
  <c r="BY1258" i="1"/>
  <c r="BY1259" i="1"/>
  <c r="BY1260" i="1"/>
  <c r="BY1261" i="1"/>
  <c r="BY1262" i="1"/>
  <c r="BY1263" i="1"/>
  <c r="BY1264" i="1"/>
  <c r="BY1265" i="1"/>
  <c r="BY1266" i="1"/>
  <c r="BY1267" i="1"/>
  <c r="BY1268" i="1"/>
  <c r="BY1269" i="1"/>
  <c r="BY1270" i="1"/>
  <c r="BY1271" i="1"/>
  <c r="BY1272" i="1"/>
  <c r="BY1273" i="1"/>
  <c r="BY1274" i="1"/>
  <c r="BY1275" i="1"/>
  <c r="BY1276" i="1"/>
  <c r="BY1277" i="1"/>
  <c r="BY1278" i="1"/>
  <c r="BY1279" i="1"/>
  <c r="BY1280" i="1"/>
  <c r="BY1281" i="1"/>
  <c r="BY1282" i="1"/>
  <c r="BY1283" i="1"/>
  <c r="BY1284" i="1"/>
  <c r="BY1285" i="1"/>
  <c r="BY1286" i="1"/>
  <c r="BY1287" i="1"/>
  <c r="BY1288" i="1"/>
  <c r="BY1289" i="1"/>
  <c r="BY1290" i="1"/>
  <c r="BY1291" i="1"/>
  <c r="BY1292" i="1"/>
  <c r="BY1293" i="1"/>
  <c r="BY1294" i="1"/>
  <c r="BY1295" i="1"/>
  <c r="BY1296" i="1"/>
  <c r="BY1297" i="1"/>
  <c r="BY1298" i="1"/>
  <c r="BY1299" i="1"/>
  <c r="BY1300" i="1"/>
  <c r="BY1301" i="1"/>
  <c r="BY1302" i="1"/>
  <c r="BY1303" i="1"/>
  <c r="BY1304" i="1"/>
  <c r="BY1305" i="1"/>
  <c r="BY1306" i="1"/>
  <c r="BY1307" i="1"/>
  <c r="BY1308" i="1"/>
  <c r="BY1309" i="1"/>
  <c r="BY1310" i="1"/>
  <c r="BY1311" i="1"/>
  <c r="BY1312" i="1"/>
  <c r="BY1313" i="1"/>
  <c r="BY1314" i="1"/>
  <c r="BY1315" i="1"/>
  <c r="BY1316" i="1"/>
  <c r="BY1317" i="1"/>
  <c r="BY1318" i="1"/>
  <c r="BY1319" i="1"/>
  <c r="BY1320" i="1"/>
  <c r="BY1321" i="1"/>
  <c r="BY1322" i="1"/>
  <c r="BY1323" i="1"/>
  <c r="BY1324" i="1"/>
  <c r="BY1325" i="1"/>
  <c r="BY1326" i="1"/>
  <c r="BY1327" i="1"/>
  <c r="BY1328" i="1"/>
  <c r="BY1329" i="1"/>
  <c r="BY1330" i="1"/>
  <c r="BY1331" i="1"/>
  <c r="BY1332" i="1"/>
  <c r="BY1333" i="1"/>
  <c r="BY1334" i="1"/>
  <c r="BY1335" i="1"/>
  <c r="BY1336" i="1"/>
  <c r="BY1337" i="1"/>
  <c r="BY1338" i="1"/>
  <c r="BY1339" i="1"/>
  <c r="BY1340" i="1"/>
  <c r="BY1341" i="1"/>
  <c r="BY1342" i="1"/>
  <c r="BY1343" i="1"/>
  <c r="BY1344" i="1"/>
  <c r="BY1345" i="1"/>
  <c r="BY1346" i="1"/>
  <c r="BY1347" i="1"/>
  <c r="BY1348" i="1"/>
  <c r="BY1349" i="1"/>
  <c r="BY1350" i="1"/>
  <c r="BY1351" i="1"/>
  <c r="BY1352" i="1"/>
  <c r="BY1353" i="1"/>
  <c r="BY1354" i="1"/>
  <c r="BY1355" i="1"/>
  <c r="BY1356" i="1"/>
  <c r="BY1357" i="1"/>
  <c r="BY1358" i="1"/>
  <c r="BY1359" i="1"/>
  <c r="BY1360" i="1"/>
  <c r="BY1361" i="1"/>
  <c r="BY1362" i="1"/>
  <c r="BY1363" i="1"/>
  <c r="BY1364" i="1"/>
  <c r="BY1365" i="1"/>
  <c r="BY1366" i="1"/>
  <c r="BY1367" i="1"/>
  <c r="BY1368" i="1"/>
  <c r="BY1369" i="1"/>
  <c r="BY1370" i="1"/>
  <c r="BY1371" i="1"/>
  <c r="BY1372" i="1"/>
  <c r="BY1373" i="1"/>
  <c r="BY1374" i="1"/>
  <c r="BY1375" i="1"/>
  <c r="BY1376" i="1"/>
  <c r="BY1377" i="1"/>
  <c r="BY1378" i="1"/>
  <c r="BY1379" i="1"/>
  <c r="BY1380" i="1"/>
  <c r="BY1381" i="1"/>
  <c r="BY1382" i="1"/>
  <c r="BY1383" i="1"/>
  <c r="BY1384" i="1"/>
  <c r="BY1385" i="1"/>
  <c r="BY1386" i="1"/>
  <c r="BY1387" i="1"/>
  <c r="BY1388" i="1"/>
  <c r="BY1389" i="1"/>
  <c r="BY1390" i="1"/>
  <c r="BY1391" i="1"/>
  <c r="BY1392" i="1"/>
  <c r="BY1393" i="1"/>
  <c r="BY1394" i="1"/>
  <c r="BY1395" i="1"/>
  <c r="BY1396" i="1"/>
  <c r="BY1397" i="1"/>
  <c r="BY1398" i="1"/>
  <c r="BY1399" i="1"/>
  <c r="BY1400" i="1"/>
  <c r="BY1401" i="1"/>
  <c r="BY1402" i="1"/>
  <c r="BY1403" i="1"/>
  <c r="BY1404" i="1"/>
  <c r="BY1405" i="1"/>
  <c r="BY1406" i="1"/>
  <c r="BY1407" i="1"/>
  <c r="BY1408" i="1"/>
  <c r="BY1409" i="1"/>
  <c r="BY1410" i="1"/>
  <c r="BY1411" i="1"/>
  <c r="BY1412" i="1"/>
  <c r="BY1413" i="1"/>
  <c r="BY1414" i="1"/>
  <c r="BY1415" i="1"/>
  <c r="BY1416" i="1"/>
  <c r="BY1417" i="1"/>
  <c r="BY1418" i="1"/>
  <c r="BY1419" i="1"/>
  <c r="BY1420" i="1"/>
  <c r="BY1421" i="1"/>
  <c r="BY1422" i="1"/>
  <c r="BY1423" i="1"/>
  <c r="BY1424" i="1"/>
  <c r="BY1425" i="1"/>
  <c r="BY1426" i="1"/>
  <c r="BY1427" i="1"/>
  <c r="BY1428" i="1"/>
  <c r="BY1429" i="1"/>
  <c r="BY1430" i="1"/>
  <c r="BY1431" i="1"/>
  <c r="BY1432" i="1"/>
  <c r="BY1433" i="1"/>
  <c r="BY1434" i="1"/>
  <c r="BY1435" i="1"/>
  <c r="BY1436" i="1"/>
  <c r="BY1437" i="1"/>
  <c r="BY1438" i="1"/>
  <c r="BY1439" i="1"/>
  <c r="BY1440" i="1"/>
  <c r="BY1441" i="1"/>
  <c r="BY1442" i="1"/>
  <c r="BY1443" i="1"/>
  <c r="BY1444" i="1"/>
  <c r="BY1445" i="1"/>
  <c r="BY1446" i="1"/>
  <c r="BY1447" i="1"/>
  <c r="BY1448" i="1"/>
  <c r="BY1449" i="1"/>
  <c r="BY1450" i="1"/>
  <c r="BY1451" i="1"/>
  <c r="BY1452" i="1"/>
  <c r="BY1453" i="1"/>
  <c r="BY1454" i="1"/>
  <c r="BY1455" i="1"/>
  <c r="BY1456" i="1"/>
  <c r="BY1457" i="1"/>
  <c r="BY1458" i="1"/>
  <c r="BY1459" i="1"/>
  <c r="BY1460" i="1"/>
  <c r="BY1461" i="1"/>
  <c r="BY1462" i="1"/>
  <c r="BY1463" i="1"/>
  <c r="BY1464" i="1"/>
  <c r="BY1465" i="1"/>
  <c r="BY1466" i="1"/>
  <c r="BY1467" i="1"/>
  <c r="BY1468" i="1"/>
  <c r="BY1469" i="1"/>
  <c r="BY1470" i="1"/>
  <c r="BY1471" i="1"/>
  <c r="BY1" i="1"/>
  <c r="BX3" i="1"/>
  <c r="BX4" i="1"/>
  <c r="BX5" i="1"/>
  <c r="BX6" i="1"/>
  <c r="BX7" i="1"/>
  <c r="BX8" i="1"/>
  <c r="BX9" i="1"/>
  <c r="BX10"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9" i="1"/>
  <c r="BX90" i="1"/>
  <c r="BX91" i="1"/>
  <c r="BX92" i="1"/>
  <c r="BX93" i="1"/>
  <c r="BX94" i="1"/>
  <c r="BX95" i="1"/>
  <c r="BX96" i="1"/>
  <c r="BX97" i="1"/>
  <c r="BX98" i="1"/>
  <c r="BX99" i="1"/>
  <c r="BX100" i="1"/>
  <c r="BX101"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X507" i="1"/>
  <c r="BX508" i="1"/>
  <c r="BX509" i="1"/>
  <c r="BX510" i="1"/>
  <c r="BX511" i="1"/>
  <c r="BX512" i="1"/>
  <c r="BX513" i="1"/>
  <c r="BX514" i="1"/>
  <c r="BX515" i="1"/>
  <c r="BX516" i="1"/>
  <c r="BX517" i="1"/>
  <c r="BX518" i="1"/>
  <c r="BX519" i="1"/>
  <c r="BX520" i="1"/>
  <c r="BX521" i="1"/>
  <c r="BX522"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X557" i="1"/>
  <c r="BX558" i="1"/>
  <c r="BX559" i="1"/>
  <c r="BX560" i="1"/>
  <c r="BX561" i="1"/>
  <c r="BX562" i="1"/>
  <c r="BX563" i="1"/>
  <c r="BX564" i="1"/>
  <c r="BX565" i="1"/>
  <c r="BX566" i="1"/>
  <c r="BX567" i="1"/>
  <c r="BX568" i="1"/>
  <c r="BX569" i="1"/>
  <c r="BX570" i="1"/>
  <c r="BX571" i="1"/>
  <c r="BX572" i="1"/>
  <c r="BX573" i="1"/>
  <c r="BX574" i="1"/>
  <c r="BX575" i="1"/>
  <c r="BX576" i="1"/>
  <c r="BX577" i="1"/>
  <c r="BX578" i="1"/>
  <c r="BX579" i="1"/>
  <c r="BX580" i="1"/>
  <c r="BX581" i="1"/>
  <c r="BX582" i="1"/>
  <c r="BX583" i="1"/>
  <c r="BX584" i="1"/>
  <c r="BX585" i="1"/>
  <c r="BX586" i="1"/>
  <c r="BX587" i="1"/>
  <c r="BX588" i="1"/>
  <c r="BX589" i="1"/>
  <c r="BX590" i="1"/>
  <c r="BX591" i="1"/>
  <c r="BX592" i="1"/>
  <c r="BX593" i="1"/>
  <c r="BX594" i="1"/>
  <c r="BX595" i="1"/>
  <c r="BX596" i="1"/>
  <c r="BX597" i="1"/>
  <c r="BX598" i="1"/>
  <c r="BX599" i="1"/>
  <c r="BX600" i="1"/>
  <c r="BX601" i="1"/>
  <c r="BX602" i="1"/>
  <c r="BX603" i="1"/>
  <c r="BX604" i="1"/>
  <c r="BX605" i="1"/>
  <c r="BX606" i="1"/>
  <c r="BX607" i="1"/>
  <c r="BX608" i="1"/>
  <c r="BX609" i="1"/>
  <c r="BX610" i="1"/>
  <c r="BX611" i="1"/>
  <c r="BX612" i="1"/>
  <c r="BX613" i="1"/>
  <c r="BX614" i="1"/>
  <c r="BX615" i="1"/>
  <c r="BX616" i="1"/>
  <c r="BX617" i="1"/>
  <c r="BX618" i="1"/>
  <c r="BX619" i="1"/>
  <c r="BX620" i="1"/>
  <c r="BX621" i="1"/>
  <c r="BX622" i="1"/>
  <c r="BX623" i="1"/>
  <c r="BX624" i="1"/>
  <c r="BX625" i="1"/>
  <c r="BX626" i="1"/>
  <c r="BX627" i="1"/>
  <c r="BX628" i="1"/>
  <c r="BX629" i="1"/>
  <c r="BX630" i="1"/>
  <c r="BX631" i="1"/>
  <c r="BX632" i="1"/>
  <c r="BX633" i="1"/>
  <c r="BX634" i="1"/>
  <c r="BX635" i="1"/>
  <c r="BX636" i="1"/>
  <c r="BX637" i="1"/>
  <c r="BX638" i="1"/>
  <c r="BX639" i="1"/>
  <c r="BX640" i="1"/>
  <c r="BX641" i="1"/>
  <c r="BX642" i="1"/>
  <c r="BX643" i="1"/>
  <c r="BX644" i="1"/>
  <c r="BX645" i="1"/>
  <c r="BX646" i="1"/>
  <c r="BX647" i="1"/>
  <c r="BX648" i="1"/>
  <c r="BX649" i="1"/>
  <c r="BX650" i="1"/>
  <c r="BX651" i="1"/>
  <c r="BX652" i="1"/>
  <c r="BX653" i="1"/>
  <c r="BX654" i="1"/>
  <c r="BX655" i="1"/>
  <c r="BX656" i="1"/>
  <c r="BX657" i="1"/>
  <c r="BX658" i="1"/>
  <c r="BX659" i="1"/>
  <c r="BX660" i="1"/>
  <c r="BX661" i="1"/>
  <c r="BX662" i="1"/>
  <c r="BX663" i="1"/>
  <c r="BX664" i="1"/>
  <c r="BX665" i="1"/>
  <c r="BX666" i="1"/>
  <c r="BX667" i="1"/>
  <c r="BX668" i="1"/>
  <c r="BX669" i="1"/>
  <c r="BX670" i="1"/>
  <c r="BX671" i="1"/>
  <c r="BX672" i="1"/>
  <c r="BX673" i="1"/>
  <c r="BX674" i="1"/>
  <c r="BX675" i="1"/>
  <c r="BX676" i="1"/>
  <c r="BX677" i="1"/>
  <c r="BX678" i="1"/>
  <c r="BX679" i="1"/>
  <c r="BX680" i="1"/>
  <c r="BX681" i="1"/>
  <c r="BX682" i="1"/>
  <c r="BX683" i="1"/>
  <c r="BX684" i="1"/>
  <c r="BX685" i="1"/>
  <c r="BX686" i="1"/>
  <c r="BX687" i="1"/>
  <c r="BX688" i="1"/>
  <c r="BX689" i="1"/>
  <c r="BX690" i="1"/>
  <c r="BX691" i="1"/>
  <c r="BX692" i="1"/>
  <c r="BX693" i="1"/>
  <c r="BX694" i="1"/>
  <c r="BX695" i="1"/>
  <c r="BX696" i="1"/>
  <c r="BX697" i="1"/>
  <c r="BX698" i="1"/>
  <c r="BX699" i="1"/>
  <c r="BX700" i="1"/>
  <c r="BX701" i="1"/>
  <c r="BX702" i="1"/>
  <c r="BX703" i="1"/>
  <c r="BX704" i="1"/>
  <c r="BX705" i="1"/>
  <c r="BX706" i="1"/>
  <c r="BX707" i="1"/>
  <c r="BX708" i="1"/>
  <c r="BX709" i="1"/>
  <c r="BX710" i="1"/>
  <c r="BX711" i="1"/>
  <c r="BX712" i="1"/>
  <c r="BX713" i="1"/>
  <c r="BX714" i="1"/>
  <c r="BX715" i="1"/>
  <c r="BX716" i="1"/>
  <c r="BX717" i="1"/>
  <c r="BX718" i="1"/>
  <c r="BX719" i="1"/>
  <c r="BX720" i="1"/>
  <c r="BX721" i="1"/>
  <c r="BX722" i="1"/>
  <c r="BX723" i="1"/>
  <c r="BX724" i="1"/>
  <c r="BX725" i="1"/>
  <c r="BX726" i="1"/>
  <c r="BX727" i="1"/>
  <c r="BX728" i="1"/>
  <c r="BX729" i="1"/>
  <c r="BX730" i="1"/>
  <c r="BX731" i="1"/>
  <c r="BX732" i="1"/>
  <c r="BX733" i="1"/>
  <c r="BX734" i="1"/>
  <c r="BX735" i="1"/>
  <c r="BX736" i="1"/>
  <c r="BX737" i="1"/>
  <c r="BX738" i="1"/>
  <c r="BX739" i="1"/>
  <c r="BX740" i="1"/>
  <c r="BX741" i="1"/>
  <c r="BX742" i="1"/>
  <c r="BX743" i="1"/>
  <c r="BX744" i="1"/>
  <c r="BX745" i="1"/>
  <c r="BX746" i="1"/>
  <c r="BX747" i="1"/>
  <c r="BX748" i="1"/>
  <c r="BX749" i="1"/>
  <c r="BX750" i="1"/>
  <c r="BX751" i="1"/>
  <c r="BX752" i="1"/>
  <c r="BX753" i="1"/>
  <c r="BX754" i="1"/>
  <c r="BX755" i="1"/>
  <c r="BX756" i="1"/>
  <c r="BX757" i="1"/>
  <c r="BX758" i="1"/>
  <c r="BX759" i="1"/>
  <c r="BX760" i="1"/>
  <c r="BX761" i="1"/>
  <c r="BX762" i="1"/>
  <c r="BX763" i="1"/>
  <c r="BX764" i="1"/>
  <c r="BX765" i="1"/>
  <c r="BX766" i="1"/>
  <c r="BX767" i="1"/>
  <c r="BX768" i="1"/>
  <c r="BX769" i="1"/>
  <c r="BX770" i="1"/>
  <c r="BX771" i="1"/>
  <c r="BX772" i="1"/>
  <c r="BX773" i="1"/>
  <c r="BX774" i="1"/>
  <c r="BX775" i="1"/>
  <c r="BX776" i="1"/>
  <c r="BX777" i="1"/>
  <c r="BX778" i="1"/>
  <c r="BX779" i="1"/>
  <c r="BX780" i="1"/>
  <c r="BX781" i="1"/>
  <c r="BX782" i="1"/>
  <c r="BX783" i="1"/>
  <c r="BX784" i="1"/>
  <c r="BX785" i="1"/>
  <c r="BX786" i="1"/>
  <c r="BX787" i="1"/>
  <c r="BX788" i="1"/>
  <c r="BX789" i="1"/>
  <c r="BX790" i="1"/>
  <c r="BX791" i="1"/>
  <c r="BX792" i="1"/>
  <c r="BX793" i="1"/>
  <c r="BX794" i="1"/>
  <c r="BX795" i="1"/>
  <c r="BX796" i="1"/>
  <c r="BX797" i="1"/>
  <c r="BX798" i="1"/>
  <c r="BX799" i="1"/>
  <c r="BX800" i="1"/>
  <c r="BX801" i="1"/>
  <c r="BX802" i="1"/>
  <c r="BX803" i="1"/>
  <c r="BX804" i="1"/>
  <c r="BX805" i="1"/>
  <c r="BX806" i="1"/>
  <c r="BX807" i="1"/>
  <c r="BX808" i="1"/>
  <c r="BX809" i="1"/>
  <c r="BX810" i="1"/>
  <c r="BX811" i="1"/>
  <c r="BX812" i="1"/>
  <c r="BX813" i="1"/>
  <c r="BX814" i="1"/>
  <c r="BX815" i="1"/>
  <c r="BX816" i="1"/>
  <c r="BX817" i="1"/>
  <c r="BX818" i="1"/>
  <c r="BX819" i="1"/>
  <c r="BX820" i="1"/>
  <c r="BX821" i="1"/>
  <c r="BX822" i="1"/>
  <c r="BX823" i="1"/>
  <c r="BX824" i="1"/>
  <c r="BX825" i="1"/>
  <c r="BX826" i="1"/>
  <c r="BX827" i="1"/>
  <c r="BX828" i="1"/>
  <c r="BX829" i="1"/>
  <c r="BX830" i="1"/>
  <c r="BX831" i="1"/>
  <c r="BX832" i="1"/>
  <c r="BX833" i="1"/>
  <c r="BX834" i="1"/>
  <c r="BX835" i="1"/>
  <c r="BX836" i="1"/>
  <c r="BX837" i="1"/>
  <c r="BX838" i="1"/>
  <c r="BX839" i="1"/>
  <c r="BX840" i="1"/>
  <c r="BX841" i="1"/>
  <c r="BX842" i="1"/>
  <c r="BX843" i="1"/>
  <c r="BX844" i="1"/>
  <c r="BX845" i="1"/>
  <c r="BX846" i="1"/>
  <c r="BX847" i="1"/>
  <c r="BX848" i="1"/>
  <c r="BX849" i="1"/>
  <c r="BX850" i="1"/>
  <c r="BX851" i="1"/>
  <c r="BX852" i="1"/>
  <c r="BX853" i="1"/>
  <c r="BX854" i="1"/>
  <c r="BX855" i="1"/>
  <c r="BX856" i="1"/>
  <c r="BX857" i="1"/>
  <c r="BX858" i="1"/>
  <c r="BX859" i="1"/>
  <c r="BX860" i="1"/>
  <c r="BX861" i="1"/>
  <c r="BX862" i="1"/>
  <c r="BX863" i="1"/>
  <c r="BX864" i="1"/>
  <c r="BX865" i="1"/>
  <c r="BX866" i="1"/>
  <c r="BX867" i="1"/>
  <c r="BX868" i="1"/>
  <c r="BX869" i="1"/>
  <c r="BX870" i="1"/>
  <c r="BX871" i="1"/>
  <c r="BX872" i="1"/>
  <c r="BX873" i="1"/>
  <c r="BX874" i="1"/>
  <c r="BX875" i="1"/>
  <c r="BX876" i="1"/>
  <c r="BX877" i="1"/>
  <c r="BX878" i="1"/>
  <c r="BX879" i="1"/>
  <c r="BX880" i="1"/>
  <c r="BX881" i="1"/>
  <c r="BX882" i="1"/>
  <c r="BX883" i="1"/>
  <c r="BX884" i="1"/>
  <c r="BX885" i="1"/>
  <c r="BX886" i="1"/>
  <c r="BX887" i="1"/>
  <c r="BX888" i="1"/>
  <c r="BX889" i="1"/>
  <c r="BX890" i="1"/>
  <c r="BX891" i="1"/>
  <c r="BX892" i="1"/>
  <c r="BX893" i="1"/>
  <c r="BX894" i="1"/>
  <c r="BX895" i="1"/>
  <c r="BX896" i="1"/>
  <c r="BX897" i="1"/>
  <c r="BX898" i="1"/>
  <c r="BX899" i="1"/>
  <c r="BX900" i="1"/>
  <c r="BX901" i="1"/>
  <c r="BX902" i="1"/>
  <c r="BX903" i="1"/>
  <c r="BX904" i="1"/>
  <c r="BX905" i="1"/>
  <c r="BX906" i="1"/>
  <c r="BX907" i="1"/>
  <c r="BX908" i="1"/>
  <c r="BX909" i="1"/>
  <c r="BX910" i="1"/>
  <c r="BX911" i="1"/>
  <c r="BX912" i="1"/>
  <c r="BX913" i="1"/>
  <c r="BX914" i="1"/>
  <c r="BX915" i="1"/>
  <c r="BX916" i="1"/>
  <c r="BX917" i="1"/>
  <c r="BX918" i="1"/>
  <c r="BX919" i="1"/>
  <c r="BX920" i="1"/>
  <c r="BX921" i="1"/>
  <c r="BX922" i="1"/>
  <c r="BX923" i="1"/>
  <c r="BX924" i="1"/>
  <c r="BX925" i="1"/>
  <c r="BX926" i="1"/>
  <c r="BX927" i="1"/>
  <c r="BX928" i="1"/>
  <c r="BX929" i="1"/>
  <c r="BX930" i="1"/>
  <c r="BX931" i="1"/>
  <c r="BX932" i="1"/>
  <c r="BX933" i="1"/>
  <c r="BX934" i="1"/>
  <c r="BX935" i="1"/>
  <c r="BX936" i="1"/>
  <c r="BX937" i="1"/>
  <c r="BX938" i="1"/>
  <c r="BX939" i="1"/>
  <c r="BX940" i="1"/>
  <c r="BX941" i="1"/>
  <c r="BX942" i="1"/>
  <c r="BX943" i="1"/>
  <c r="BX944" i="1"/>
  <c r="BX945" i="1"/>
  <c r="BX946" i="1"/>
  <c r="BX947" i="1"/>
  <c r="BX948" i="1"/>
  <c r="BX949" i="1"/>
  <c r="BX950" i="1"/>
  <c r="BX951" i="1"/>
  <c r="BX952" i="1"/>
  <c r="BX953" i="1"/>
  <c r="BX954" i="1"/>
  <c r="BX955" i="1"/>
  <c r="BX956" i="1"/>
  <c r="BX957" i="1"/>
  <c r="BX958" i="1"/>
  <c r="BX959" i="1"/>
  <c r="BX960" i="1"/>
  <c r="BX961" i="1"/>
  <c r="BX962" i="1"/>
  <c r="BX963" i="1"/>
  <c r="BX964" i="1"/>
  <c r="BX965" i="1"/>
  <c r="BX966" i="1"/>
  <c r="BX967" i="1"/>
  <c r="BX968" i="1"/>
  <c r="BX969" i="1"/>
  <c r="BX970" i="1"/>
  <c r="BX971" i="1"/>
  <c r="BX972" i="1"/>
  <c r="BX973" i="1"/>
  <c r="BX974" i="1"/>
  <c r="BX975" i="1"/>
  <c r="BX976" i="1"/>
  <c r="BX977" i="1"/>
  <c r="BX978" i="1"/>
  <c r="BX979" i="1"/>
  <c r="BX980" i="1"/>
  <c r="BX981" i="1"/>
  <c r="BX982" i="1"/>
  <c r="BX983" i="1"/>
  <c r="BX984" i="1"/>
  <c r="BX985" i="1"/>
  <c r="BX986" i="1"/>
  <c r="BX987" i="1"/>
  <c r="BX988" i="1"/>
  <c r="BX989" i="1"/>
  <c r="BX990" i="1"/>
  <c r="BX991" i="1"/>
  <c r="BX992" i="1"/>
  <c r="BX993" i="1"/>
  <c r="BX994" i="1"/>
  <c r="BX995" i="1"/>
  <c r="BX996" i="1"/>
  <c r="BX997" i="1"/>
  <c r="BX998" i="1"/>
  <c r="BX999" i="1"/>
  <c r="BX1000" i="1"/>
  <c r="BX1001" i="1"/>
  <c r="BX1002" i="1"/>
  <c r="BX1003" i="1"/>
  <c r="BX1004" i="1"/>
  <c r="BX1005" i="1"/>
  <c r="BX1006" i="1"/>
  <c r="BX1007" i="1"/>
  <c r="BX1008" i="1"/>
  <c r="BX1009" i="1"/>
  <c r="BX1010" i="1"/>
  <c r="BX1011" i="1"/>
  <c r="BX1012" i="1"/>
  <c r="BX1013" i="1"/>
  <c r="BX1014" i="1"/>
  <c r="BX1015" i="1"/>
  <c r="BX1016" i="1"/>
  <c r="BX1017" i="1"/>
  <c r="BX1018" i="1"/>
  <c r="BX1019" i="1"/>
  <c r="BX1020" i="1"/>
  <c r="BX1021" i="1"/>
  <c r="BX1022" i="1"/>
  <c r="BX1023" i="1"/>
  <c r="BX1024" i="1"/>
  <c r="BX1025" i="1"/>
  <c r="BX1026" i="1"/>
  <c r="BX1027" i="1"/>
  <c r="BX1028" i="1"/>
  <c r="BX1029" i="1"/>
  <c r="BX1030" i="1"/>
  <c r="BX1031" i="1"/>
  <c r="BX1032" i="1"/>
  <c r="BX1033" i="1"/>
  <c r="BX1034" i="1"/>
  <c r="BX1035" i="1"/>
  <c r="BX1036" i="1"/>
  <c r="BX1037" i="1"/>
  <c r="BX1038" i="1"/>
  <c r="BX1039" i="1"/>
  <c r="BX1040" i="1"/>
  <c r="BX1041" i="1"/>
  <c r="BX1042" i="1"/>
  <c r="BX1043" i="1"/>
  <c r="BX1044" i="1"/>
  <c r="BX1045" i="1"/>
  <c r="BX1046" i="1"/>
  <c r="BX1047" i="1"/>
  <c r="BX1048" i="1"/>
  <c r="BX1049" i="1"/>
  <c r="BX1050" i="1"/>
  <c r="BX1051" i="1"/>
  <c r="BX1052" i="1"/>
  <c r="BX1053" i="1"/>
  <c r="BX1054" i="1"/>
  <c r="BX1055" i="1"/>
  <c r="BX1056" i="1"/>
  <c r="BX1057" i="1"/>
  <c r="BX1058" i="1"/>
  <c r="BX1059" i="1"/>
  <c r="BX1060" i="1"/>
  <c r="BX1061" i="1"/>
  <c r="BX1062" i="1"/>
  <c r="BX1063" i="1"/>
  <c r="BX1064" i="1"/>
  <c r="BX1065" i="1"/>
  <c r="BX1066" i="1"/>
  <c r="BX1067" i="1"/>
  <c r="BX1068" i="1"/>
  <c r="BX1069" i="1"/>
  <c r="BX1070" i="1"/>
  <c r="BX1071" i="1"/>
  <c r="BX1072" i="1"/>
  <c r="BX1073" i="1"/>
  <c r="BX1074" i="1"/>
  <c r="BX1075" i="1"/>
  <c r="BX1076" i="1"/>
  <c r="BX1077" i="1"/>
  <c r="BX1078" i="1"/>
  <c r="BX1079" i="1"/>
  <c r="BX1080" i="1"/>
  <c r="BX1081" i="1"/>
  <c r="BX1082" i="1"/>
  <c r="BX1083" i="1"/>
  <c r="BX1084" i="1"/>
  <c r="BX1085" i="1"/>
  <c r="BX1086" i="1"/>
  <c r="BX1087" i="1"/>
  <c r="BX1088" i="1"/>
  <c r="BX1089" i="1"/>
  <c r="BX1090" i="1"/>
  <c r="BX1091" i="1"/>
  <c r="BX1092" i="1"/>
  <c r="BX1093" i="1"/>
  <c r="BX1094" i="1"/>
  <c r="BX1095" i="1"/>
  <c r="BX1096" i="1"/>
  <c r="BX1097" i="1"/>
  <c r="BX1098" i="1"/>
  <c r="BX1099" i="1"/>
  <c r="BX1100" i="1"/>
  <c r="BX1101" i="1"/>
  <c r="BX1102" i="1"/>
  <c r="BX1103" i="1"/>
  <c r="BX1104" i="1"/>
  <c r="BX1105" i="1"/>
  <c r="BX1106" i="1"/>
  <c r="BX1107" i="1"/>
  <c r="BX1108" i="1"/>
  <c r="BX1109" i="1"/>
  <c r="BX1110" i="1"/>
  <c r="BX1111" i="1"/>
  <c r="BX1112" i="1"/>
  <c r="BX1113" i="1"/>
  <c r="BX1114" i="1"/>
  <c r="BX1115" i="1"/>
  <c r="BX1116" i="1"/>
  <c r="BX1117" i="1"/>
  <c r="BX1118" i="1"/>
  <c r="BX1119" i="1"/>
  <c r="BX1120" i="1"/>
  <c r="BX1121" i="1"/>
  <c r="BX1122" i="1"/>
  <c r="BX1123" i="1"/>
  <c r="BX1124" i="1"/>
  <c r="BX1125" i="1"/>
  <c r="BX1126" i="1"/>
  <c r="BX1127" i="1"/>
  <c r="BX1128" i="1"/>
  <c r="BX1129" i="1"/>
  <c r="BX1130" i="1"/>
  <c r="BX1131" i="1"/>
  <c r="BX1132" i="1"/>
  <c r="BX1133" i="1"/>
  <c r="BX1134" i="1"/>
  <c r="BX1135" i="1"/>
  <c r="BX1136" i="1"/>
  <c r="BX1137" i="1"/>
  <c r="BX1138" i="1"/>
  <c r="BX1139" i="1"/>
  <c r="BX1140" i="1"/>
  <c r="BX1141" i="1"/>
  <c r="BX1142" i="1"/>
  <c r="BX1143" i="1"/>
  <c r="BX1144" i="1"/>
  <c r="BX1145" i="1"/>
  <c r="BX1146" i="1"/>
  <c r="BX1147" i="1"/>
  <c r="BX1148" i="1"/>
  <c r="BX1149" i="1"/>
  <c r="BX1150" i="1"/>
  <c r="BX1151" i="1"/>
  <c r="BX1152" i="1"/>
  <c r="BX1153" i="1"/>
  <c r="BX1154" i="1"/>
  <c r="BX1155" i="1"/>
  <c r="BX1156" i="1"/>
  <c r="BX1157" i="1"/>
  <c r="BX1158" i="1"/>
  <c r="BX1159" i="1"/>
  <c r="BX1160" i="1"/>
  <c r="BX1161" i="1"/>
  <c r="BX1162" i="1"/>
  <c r="BX1163" i="1"/>
  <c r="BX1164" i="1"/>
  <c r="BX1165" i="1"/>
  <c r="BX1166" i="1"/>
  <c r="BX1167" i="1"/>
  <c r="BX1168" i="1"/>
  <c r="BX1169" i="1"/>
  <c r="BX1170" i="1"/>
  <c r="BX1171" i="1"/>
  <c r="BX1172" i="1"/>
  <c r="BX1173" i="1"/>
  <c r="BX1174" i="1"/>
  <c r="BX1175" i="1"/>
  <c r="BX1176" i="1"/>
  <c r="BX1177" i="1"/>
  <c r="BX1178" i="1"/>
  <c r="BX1179" i="1"/>
  <c r="BX1180" i="1"/>
  <c r="BX1181" i="1"/>
  <c r="BX1182" i="1"/>
  <c r="BX1183" i="1"/>
  <c r="BX1184" i="1"/>
  <c r="BX1185" i="1"/>
  <c r="BX1186" i="1"/>
  <c r="BX1187" i="1"/>
  <c r="BX1188" i="1"/>
  <c r="BX1189" i="1"/>
  <c r="BX1190" i="1"/>
  <c r="BX1191" i="1"/>
  <c r="BX1192" i="1"/>
  <c r="BX1193" i="1"/>
  <c r="BX1194" i="1"/>
  <c r="BX1195" i="1"/>
  <c r="BX1196" i="1"/>
  <c r="BX1197" i="1"/>
  <c r="BX1198" i="1"/>
  <c r="BX1199" i="1"/>
  <c r="BX1200" i="1"/>
  <c r="BX1201" i="1"/>
  <c r="BX1202" i="1"/>
  <c r="BX1203" i="1"/>
  <c r="BX1204" i="1"/>
  <c r="BX1205" i="1"/>
  <c r="BX1206" i="1"/>
  <c r="BX1207" i="1"/>
  <c r="BX1208" i="1"/>
  <c r="BX1209" i="1"/>
  <c r="BX1210" i="1"/>
  <c r="BX1211" i="1"/>
  <c r="BX1212" i="1"/>
  <c r="BX1213" i="1"/>
  <c r="BX1214" i="1"/>
  <c r="BX1215" i="1"/>
  <c r="BX1216" i="1"/>
  <c r="BX1217" i="1"/>
  <c r="BX1218" i="1"/>
  <c r="BX1219" i="1"/>
  <c r="BX1220" i="1"/>
  <c r="BX1221" i="1"/>
  <c r="BX1222" i="1"/>
  <c r="BX1223" i="1"/>
  <c r="BX1224" i="1"/>
  <c r="BX1225" i="1"/>
  <c r="BX1226" i="1"/>
  <c r="BX1227" i="1"/>
  <c r="BX1228" i="1"/>
  <c r="BX1229" i="1"/>
  <c r="BX1230" i="1"/>
  <c r="BX1231" i="1"/>
  <c r="BX1232" i="1"/>
  <c r="BX1233" i="1"/>
  <c r="BX1234" i="1"/>
  <c r="BX1235" i="1"/>
  <c r="BX1236" i="1"/>
  <c r="BX1237" i="1"/>
  <c r="BX1238" i="1"/>
  <c r="BX1239" i="1"/>
  <c r="BX1240" i="1"/>
  <c r="BX1241" i="1"/>
  <c r="BX1242" i="1"/>
  <c r="BX1243" i="1"/>
  <c r="BX1244" i="1"/>
  <c r="BX1245" i="1"/>
  <c r="BX1246" i="1"/>
  <c r="BX1247" i="1"/>
  <c r="BX1248" i="1"/>
  <c r="BX1249" i="1"/>
  <c r="BX1250" i="1"/>
  <c r="BX1251" i="1"/>
  <c r="BX1252" i="1"/>
  <c r="BX1253" i="1"/>
  <c r="BX1254" i="1"/>
  <c r="BX1255" i="1"/>
  <c r="BX1256" i="1"/>
  <c r="BX1257" i="1"/>
  <c r="BX1258" i="1"/>
  <c r="BX1259" i="1"/>
  <c r="BX1260" i="1"/>
  <c r="BX1261" i="1"/>
  <c r="BX1262" i="1"/>
  <c r="BX1263" i="1"/>
  <c r="BX1264" i="1"/>
  <c r="BX1265" i="1"/>
  <c r="BX1266" i="1"/>
  <c r="BX1267" i="1"/>
  <c r="BX1268" i="1"/>
  <c r="BX1269" i="1"/>
  <c r="BX1270" i="1"/>
  <c r="BX1271" i="1"/>
  <c r="BX1272" i="1"/>
  <c r="BX1273" i="1"/>
  <c r="BX1274" i="1"/>
  <c r="BX1275" i="1"/>
  <c r="BX1276" i="1"/>
  <c r="BX1277" i="1"/>
  <c r="BX1278" i="1"/>
  <c r="BX1279" i="1"/>
  <c r="BX1280" i="1"/>
  <c r="BX1281" i="1"/>
  <c r="BX1282" i="1"/>
  <c r="BX1283" i="1"/>
  <c r="BX1284" i="1"/>
  <c r="BX1285" i="1"/>
  <c r="BX1286" i="1"/>
  <c r="BX1287" i="1"/>
  <c r="BX1288" i="1"/>
  <c r="BX1289" i="1"/>
  <c r="BX1290" i="1"/>
  <c r="BX1291" i="1"/>
  <c r="BX1292" i="1"/>
  <c r="BX1293" i="1"/>
  <c r="BX1294" i="1"/>
  <c r="BX1295" i="1"/>
  <c r="BX1296" i="1"/>
  <c r="BX1297" i="1"/>
  <c r="BX1298" i="1"/>
  <c r="BX1299" i="1"/>
  <c r="BX1300" i="1"/>
  <c r="BX1301" i="1"/>
  <c r="BX1302" i="1"/>
  <c r="BX1303" i="1"/>
  <c r="BX1304" i="1"/>
  <c r="BX1305" i="1"/>
  <c r="BX1306" i="1"/>
  <c r="BX1307" i="1"/>
  <c r="BX1308" i="1"/>
  <c r="BX1309" i="1"/>
  <c r="BX1310" i="1"/>
  <c r="BX1311" i="1"/>
  <c r="BX1312" i="1"/>
  <c r="BX1313" i="1"/>
  <c r="BX1314" i="1"/>
  <c r="BX1315" i="1"/>
  <c r="BX1316" i="1"/>
  <c r="BX1317" i="1"/>
  <c r="BX1318" i="1"/>
  <c r="BX1319" i="1"/>
  <c r="BX1320" i="1"/>
  <c r="BX1321" i="1"/>
  <c r="BX1322" i="1"/>
  <c r="BX1323" i="1"/>
  <c r="BX1324" i="1"/>
  <c r="BX1325" i="1"/>
  <c r="BX1326" i="1"/>
  <c r="BX1327" i="1"/>
  <c r="BX1328" i="1"/>
  <c r="BX1329" i="1"/>
  <c r="BX1330" i="1"/>
  <c r="BX1331" i="1"/>
  <c r="BX1332" i="1"/>
  <c r="BX1333" i="1"/>
  <c r="BX1334" i="1"/>
  <c r="BX1335" i="1"/>
  <c r="BX1336" i="1"/>
  <c r="BX1337" i="1"/>
  <c r="BX1338" i="1"/>
  <c r="BX1339" i="1"/>
  <c r="BX1340" i="1"/>
  <c r="BX1341" i="1"/>
  <c r="BX1342" i="1"/>
  <c r="BX1343" i="1"/>
  <c r="BX1344" i="1"/>
  <c r="BX1345" i="1"/>
  <c r="BX1346" i="1"/>
  <c r="BX1347" i="1"/>
  <c r="BX1348" i="1"/>
  <c r="BX1349" i="1"/>
  <c r="BX1350" i="1"/>
  <c r="BX1351" i="1"/>
  <c r="BX1352" i="1"/>
  <c r="BX1353" i="1"/>
  <c r="BX1354" i="1"/>
  <c r="BX1355" i="1"/>
  <c r="BX1356" i="1"/>
  <c r="BX1357" i="1"/>
  <c r="BX1358" i="1"/>
  <c r="BX1359" i="1"/>
  <c r="BX1360" i="1"/>
  <c r="BX1361" i="1"/>
  <c r="BX1362" i="1"/>
  <c r="BX1363" i="1"/>
  <c r="BX1364" i="1"/>
  <c r="BX1365" i="1"/>
  <c r="BX1366" i="1"/>
  <c r="BX1367" i="1"/>
  <c r="BX1368" i="1"/>
  <c r="BX1369" i="1"/>
  <c r="BX1370" i="1"/>
  <c r="BX1371" i="1"/>
  <c r="BX1372" i="1"/>
  <c r="BX1373" i="1"/>
  <c r="BX1374" i="1"/>
  <c r="BX1375" i="1"/>
  <c r="BX1376" i="1"/>
  <c r="BX1377" i="1"/>
  <c r="BX1378" i="1"/>
  <c r="BX1379" i="1"/>
  <c r="BX1380" i="1"/>
  <c r="BX1381" i="1"/>
  <c r="BX1382" i="1"/>
  <c r="BX1383" i="1"/>
  <c r="BX1384" i="1"/>
  <c r="BX1385" i="1"/>
  <c r="BX1386" i="1"/>
  <c r="BX1387" i="1"/>
  <c r="BX1388" i="1"/>
  <c r="BX1389" i="1"/>
  <c r="BX1390" i="1"/>
  <c r="BX1391" i="1"/>
  <c r="BX1392" i="1"/>
  <c r="BX1393" i="1"/>
  <c r="BX1394" i="1"/>
  <c r="BX1395" i="1"/>
  <c r="BX1396" i="1"/>
  <c r="BX1397" i="1"/>
  <c r="BX1398" i="1"/>
  <c r="BX1399" i="1"/>
  <c r="BX1400" i="1"/>
  <c r="BX1401" i="1"/>
  <c r="BX1402" i="1"/>
  <c r="BX1403" i="1"/>
  <c r="BX1404" i="1"/>
  <c r="BX1405" i="1"/>
  <c r="BX1406" i="1"/>
  <c r="BX1407" i="1"/>
  <c r="BX1408" i="1"/>
  <c r="BX1409" i="1"/>
  <c r="BX1410" i="1"/>
  <c r="BX1411" i="1"/>
  <c r="BX1412" i="1"/>
  <c r="BX1413" i="1"/>
  <c r="BX1414" i="1"/>
  <c r="BX1415" i="1"/>
  <c r="BX1416" i="1"/>
  <c r="BX1417" i="1"/>
  <c r="BX1418" i="1"/>
  <c r="BX1419" i="1"/>
  <c r="BX1420" i="1"/>
  <c r="BX1421" i="1"/>
  <c r="BX1422" i="1"/>
  <c r="BX1423" i="1"/>
  <c r="BX1424" i="1"/>
  <c r="BX1425" i="1"/>
  <c r="BX1426" i="1"/>
  <c r="BX1427" i="1"/>
  <c r="BX1428" i="1"/>
  <c r="BX1429" i="1"/>
  <c r="BX1430" i="1"/>
  <c r="BX1431" i="1"/>
  <c r="BX1432" i="1"/>
  <c r="BX1433" i="1"/>
  <c r="BX1434" i="1"/>
  <c r="BX1435" i="1"/>
  <c r="BX1436" i="1"/>
  <c r="BX1437" i="1"/>
  <c r="BX1438" i="1"/>
  <c r="BX1439" i="1"/>
  <c r="BX1440" i="1"/>
  <c r="BX1441" i="1"/>
  <c r="BX1442" i="1"/>
  <c r="BX1443" i="1"/>
  <c r="BX1444" i="1"/>
  <c r="BX1445" i="1"/>
  <c r="BX1446" i="1"/>
  <c r="BX1447" i="1"/>
  <c r="BX1448" i="1"/>
  <c r="BX1449" i="1"/>
  <c r="BX1450" i="1"/>
  <c r="BX1451" i="1"/>
  <c r="BX1452" i="1"/>
  <c r="BX1453" i="1"/>
  <c r="BX1454" i="1"/>
  <c r="BX1455" i="1"/>
  <c r="BX1456" i="1"/>
  <c r="BX1457" i="1"/>
  <c r="BX1458" i="1"/>
  <c r="BX1459" i="1"/>
  <c r="BX1460" i="1"/>
  <c r="BX1461" i="1"/>
  <c r="BX1462" i="1"/>
  <c r="BX1463" i="1"/>
  <c r="BX1464" i="1"/>
  <c r="BX1465" i="1"/>
  <c r="BX1466" i="1"/>
  <c r="BX1467" i="1"/>
  <c r="BX1468" i="1"/>
  <c r="BX1469" i="1"/>
  <c r="BX1470" i="1"/>
  <c r="BX1471" i="1"/>
  <c r="BX1" i="1"/>
  <c r="BW3" i="1"/>
  <c r="BW4" i="1"/>
  <c r="BW5" i="1"/>
  <c r="BW6" i="1"/>
  <c r="BW7" i="1"/>
  <c r="BW8" i="1"/>
  <c r="BW9" i="1"/>
  <c r="BW10" i="1"/>
  <c r="BW11" i="1"/>
  <c r="BW12" i="1"/>
  <c r="BW13" i="1"/>
  <c r="BW14" i="1"/>
  <c r="BW15" i="1"/>
  <c r="BW16" i="1"/>
  <c r="BW17" i="1"/>
  <c r="BW18" i="1"/>
  <c r="BW19" i="1"/>
  <c r="BW20" i="1"/>
  <c r="BW21" i="1"/>
  <c r="BW22" i="1"/>
  <c r="BW23" i="1"/>
  <c r="BW24" i="1"/>
  <c r="BW25" i="1"/>
  <c r="BW26" i="1"/>
  <c r="BW27" i="1"/>
  <c r="BW28" i="1"/>
  <c r="BW29" i="1"/>
  <c r="BW30" i="1"/>
  <c r="BW31" i="1"/>
  <c r="BW32" i="1"/>
  <c r="BW33" i="1"/>
  <c r="BW34" i="1"/>
  <c r="BW35" i="1"/>
  <c r="BW36" i="1"/>
  <c r="BW37" i="1"/>
  <c r="BW38" i="1"/>
  <c r="BW39" i="1"/>
  <c r="BW40" i="1"/>
  <c r="BW41" i="1"/>
  <c r="BW42" i="1"/>
  <c r="BW43" i="1"/>
  <c r="BW44" i="1"/>
  <c r="BW45" i="1"/>
  <c r="BW46" i="1"/>
  <c r="BW47" i="1"/>
  <c r="BW48" i="1"/>
  <c r="BW49" i="1"/>
  <c r="BW50" i="1"/>
  <c r="BW51" i="1"/>
  <c r="BW52" i="1"/>
  <c r="BW53" i="1"/>
  <c r="BW54" i="1"/>
  <c r="BW55" i="1"/>
  <c r="BW56" i="1"/>
  <c r="BW57" i="1"/>
  <c r="BW58" i="1"/>
  <c r="BW59" i="1"/>
  <c r="BW60" i="1"/>
  <c r="BW61" i="1"/>
  <c r="BW62" i="1"/>
  <c r="BW63" i="1"/>
  <c r="BW64" i="1"/>
  <c r="BW65" i="1"/>
  <c r="BW66" i="1"/>
  <c r="BW67" i="1"/>
  <c r="BW68" i="1"/>
  <c r="BW69" i="1"/>
  <c r="BW70" i="1"/>
  <c r="BW71" i="1"/>
  <c r="BW72" i="1"/>
  <c r="BW73" i="1"/>
  <c r="BW74" i="1"/>
  <c r="BW75" i="1"/>
  <c r="BW76" i="1"/>
  <c r="BW77" i="1"/>
  <c r="BW78" i="1"/>
  <c r="BW79" i="1"/>
  <c r="BW80" i="1"/>
  <c r="BW81" i="1"/>
  <c r="BW82" i="1"/>
  <c r="BW83" i="1"/>
  <c r="BW84" i="1"/>
  <c r="BW85" i="1"/>
  <c r="BW86" i="1"/>
  <c r="BW87" i="1"/>
  <c r="BW88" i="1"/>
  <c r="BW89" i="1"/>
  <c r="BW90" i="1"/>
  <c r="BW91" i="1"/>
  <c r="BW92" i="1"/>
  <c r="BW93" i="1"/>
  <c r="BW94" i="1"/>
  <c r="BW95" i="1"/>
  <c r="BW96" i="1"/>
  <c r="BW97" i="1"/>
  <c r="BW98" i="1"/>
  <c r="BW99" i="1"/>
  <c r="BW100" i="1"/>
  <c r="BW101" i="1"/>
  <c r="BW102" i="1"/>
  <c r="BW103" i="1"/>
  <c r="BW104" i="1"/>
  <c r="BW105" i="1"/>
  <c r="BW106" i="1"/>
  <c r="BW107" i="1"/>
  <c r="BW108" i="1"/>
  <c r="BW109" i="1"/>
  <c r="BW110" i="1"/>
  <c r="BW111" i="1"/>
  <c r="BW112" i="1"/>
  <c r="BW113" i="1"/>
  <c r="BW114" i="1"/>
  <c r="BW115" i="1"/>
  <c r="BW116" i="1"/>
  <c r="BW117" i="1"/>
  <c r="BW118" i="1"/>
  <c r="BW119" i="1"/>
  <c r="BW120" i="1"/>
  <c r="BW121" i="1"/>
  <c r="BW122" i="1"/>
  <c r="BW123" i="1"/>
  <c r="BW124" i="1"/>
  <c r="BW125" i="1"/>
  <c r="BW126" i="1"/>
  <c r="BW127" i="1"/>
  <c r="BW128" i="1"/>
  <c r="BW129" i="1"/>
  <c r="BW130" i="1"/>
  <c r="BW131" i="1"/>
  <c r="BW132" i="1"/>
  <c r="BW133" i="1"/>
  <c r="BW134" i="1"/>
  <c r="BW135" i="1"/>
  <c r="BW136" i="1"/>
  <c r="BW137" i="1"/>
  <c r="BW138" i="1"/>
  <c r="BW139" i="1"/>
  <c r="BW140" i="1"/>
  <c r="BW141" i="1"/>
  <c r="BW142" i="1"/>
  <c r="BW143" i="1"/>
  <c r="BW144" i="1"/>
  <c r="BW145" i="1"/>
  <c r="BW146" i="1"/>
  <c r="BW14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8" i="1"/>
  <c r="BW219" i="1"/>
  <c r="BW220" i="1"/>
  <c r="BW221" i="1"/>
  <c r="BW222" i="1"/>
  <c r="BW223" i="1"/>
  <c r="BW224" i="1"/>
  <c r="BW225" i="1"/>
  <c r="BW226" i="1"/>
  <c r="BW227" i="1"/>
  <c r="BW228" i="1"/>
  <c r="BW229" i="1"/>
  <c r="BW230" i="1"/>
  <c r="BW231" i="1"/>
  <c r="BW232" i="1"/>
  <c r="BW233" i="1"/>
  <c r="BW234" i="1"/>
  <c r="BW235" i="1"/>
  <c r="BW236" i="1"/>
  <c r="BW237" i="1"/>
  <c r="BW238" i="1"/>
  <c r="BW239" i="1"/>
  <c r="BW240" i="1"/>
  <c r="BW241" i="1"/>
  <c r="BW242" i="1"/>
  <c r="BW243" i="1"/>
  <c r="BW244" i="1"/>
  <c r="BW245" i="1"/>
  <c r="BW246" i="1"/>
  <c r="BW247" i="1"/>
  <c r="BW24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BW294" i="1"/>
  <c r="BW295" i="1"/>
  <c r="BW296" i="1"/>
  <c r="BW297" i="1"/>
  <c r="BW298" i="1"/>
  <c r="BW299" i="1"/>
  <c r="BW300" i="1"/>
  <c r="BW301" i="1"/>
  <c r="BW302" i="1"/>
  <c r="BW303" i="1"/>
  <c r="BW304" i="1"/>
  <c r="BW305" i="1"/>
  <c r="BW306" i="1"/>
  <c r="BW307" i="1"/>
  <c r="BW308" i="1"/>
  <c r="BW309" i="1"/>
  <c r="BW310" i="1"/>
  <c r="BW311" i="1"/>
  <c r="BW312" i="1"/>
  <c r="BW313" i="1"/>
  <c r="BW314" i="1"/>
  <c r="BW315" i="1"/>
  <c r="BW316" i="1"/>
  <c r="BW317" i="1"/>
  <c r="BW318" i="1"/>
  <c r="BW319" i="1"/>
  <c r="BW320" i="1"/>
  <c r="BW321" i="1"/>
  <c r="BW322" i="1"/>
  <c r="BW323" i="1"/>
  <c r="BW324" i="1"/>
  <c r="BW325" i="1"/>
  <c r="BW326" i="1"/>
  <c r="BW327" i="1"/>
  <c r="BW328" i="1"/>
  <c r="BW329" i="1"/>
  <c r="BW330" i="1"/>
  <c r="BW331" i="1"/>
  <c r="BW332" i="1"/>
  <c r="BW333" i="1"/>
  <c r="BW334" i="1"/>
  <c r="BW335" i="1"/>
  <c r="BW336" i="1"/>
  <c r="BW337" i="1"/>
  <c r="BW338" i="1"/>
  <c r="BW339" i="1"/>
  <c r="BW340" i="1"/>
  <c r="BW341" i="1"/>
  <c r="BW342" i="1"/>
  <c r="BW343" i="1"/>
  <c r="BW344" i="1"/>
  <c r="BW345" i="1"/>
  <c r="BW346" i="1"/>
  <c r="BW347" i="1"/>
  <c r="BW348" i="1"/>
  <c r="BW349" i="1"/>
  <c r="BW350" i="1"/>
  <c r="BW351" i="1"/>
  <c r="BW352" i="1"/>
  <c r="BW353" i="1"/>
  <c r="BW354" i="1"/>
  <c r="BW355" i="1"/>
  <c r="BW356" i="1"/>
  <c r="BW357" i="1"/>
  <c r="BW358" i="1"/>
  <c r="BW359" i="1"/>
  <c r="BW360" i="1"/>
  <c r="BW361" i="1"/>
  <c r="BW362" i="1"/>
  <c r="BW363" i="1"/>
  <c r="BW364" i="1"/>
  <c r="BW365" i="1"/>
  <c r="BW366" i="1"/>
  <c r="BW367" i="1"/>
  <c r="BW368" i="1"/>
  <c r="BW369" i="1"/>
  <c r="BW370" i="1"/>
  <c r="BW371" i="1"/>
  <c r="BW372" i="1"/>
  <c r="BW373" i="1"/>
  <c r="BW374" i="1"/>
  <c r="BW375" i="1"/>
  <c r="BW376" i="1"/>
  <c r="BW377" i="1"/>
  <c r="BW378" i="1"/>
  <c r="BW379" i="1"/>
  <c r="BW380" i="1"/>
  <c r="BW381" i="1"/>
  <c r="BW382" i="1"/>
  <c r="BW383" i="1"/>
  <c r="BW384" i="1"/>
  <c r="BW385" i="1"/>
  <c r="BW386" i="1"/>
  <c r="BW387" i="1"/>
  <c r="BW388" i="1"/>
  <c r="BW389" i="1"/>
  <c r="BW390" i="1"/>
  <c r="BW391" i="1"/>
  <c r="BW392" i="1"/>
  <c r="BW393" i="1"/>
  <c r="BW394" i="1"/>
  <c r="BW395" i="1"/>
  <c r="BW396" i="1"/>
  <c r="BW397" i="1"/>
  <c r="BW398" i="1"/>
  <c r="BW399" i="1"/>
  <c r="BW400" i="1"/>
  <c r="BW401" i="1"/>
  <c r="BW402" i="1"/>
  <c r="BW403" i="1"/>
  <c r="BW404" i="1"/>
  <c r="BW405" i="1"/>
  <c r="BW406" i="1"/>
  <c r="BW407" i="1"/>
  <c r="BW408" i="1"/>
  <c r="BW409" i="1"/>
  <c r="BW410" i="1"/>
  <c r="BW411" i="1"/>
  <c r="BW412" i="1"/>
  <c r="BW413" i="1"/>
  <c r="BW414" i="1"/>
  <c r="BW415" i="1"/>
  <c r="BW416" i="1"/>
  <c r="BW417" i="1"/>
  <c r="BW418" i="1"/>
  <c r="BW419" i="1"/>
  <c r="BW420" i="1"/>
  <c r="BW421" i="1"/>
  <c r="BW422" i="1"/>
  <c r="BW423" i="1"/>
  <c r="BW424" i="1"/>
  <c r="BW425" i="1"/>
  <c r="BW426" i="1"/>
  <c r="BW427" i="1"/>
  <c r="BW428" i="1"/>
  <c r="BW429" i="1"/>
  <c r="BW430" i="1"/>
  <c r="BW431" i="1"/>
  <c r="BW432" i="1"/>
  <c r="BW433" i="1"/>
  <c r="BW434" i="1"/>
  <c r="BW435" i="1"/>
  <c r="BW436" i="1"/>
  <c r="BW437" i="1"/>
  <c r="BW438" i="1"/>
  <c r="BW439" i="1"/>
  <c r="BW440" i="1"/>
  <c r="BW441" i="1"/>
  <c r="BW442" i="1"/>
  <c r="BW443" i="1"/>
  <c r="BW444" i="1"/>
  <c r="BW445" i="1"/>
  <c r="BW446" i="1"/>
  <c r="BW447" i="1"/>
  <c r="BW448" i="1"/>
  <c r="BW449" i="1"/>
  <c r="BW450" i="1"/>
  <c r="BW451" i="1"/>
  <c r="BW452" i="1"/>
  <c r="BW453" i="1"/>
  <c r="BW454" i="1"/>
  <c r="BW455" i="1"/>
  <c r="BW456" i="1"/>
  <c r="BW457" i="1"/>
  <c r="BW458" i="1"/>
  <c r="BW459" i="1"/>
  <c r="BW460" i="1"/>
  <c r="BW461" i="1"/>
  <c r="BW462" i="1"/>
  <c r="BW463" i="1"/>
  <c r="BW464" i="1"/>
  <c r="BW465" i="1"/>
  <c r="BW466" i="1"/>
  <c r="BW467" i="1"/>
  <c r="BW468" i="1"/>
  <c r="BW469" i="1"/>
  <c r="BW470" i="1"/>
  <c r="BW471" i="1"/>
  <c r="BW472" i="1"/>
  <c r="BW473" i="1"/>
  <c r="BW474" i="1"/>
  <c r="BW475" i="1"/>
  <c r="BW476" i="1"/>
  <c r="BW477" i="1"/>
  <c r="BW478" i="1"/>
  <c r="BW479" i="1"/>
  <c r="BW480" i="1"/>
  <c r="BW481" i="1"/>
  <c r="BW482" i="1"/>
  <c r="BW483" i="1"/>
  <c r="BW484" i="1"/>
  <c r="BW485" i="1"/>
  <c r="BW486" i="1"/>
  <c r="BW487" i="1"/>
  <c r="BW488" i="1"/>
  <c r="BW489" i="1"/>
  <c r="BW490" i="1"/>
  <c r="BW491" i="1"/>
  <c r="BW492" i="1"/>
  <c r="BW493" i="1"/>
  <c r="BW494" i="1"/>
  <c r="BW495" i="1"/>
  <c r="BW496" i="1"/>
  <c r="BW497" i="1"/>
  <c r="BW498" i="1"/>
  <c r="BW499" i="1"/>
  <c r="BW500" i="1"/>
  <c r="BW501" i="1"/>
  <c r="BW502" i="1"/>
  <c r="BW503" i="1"/>
  <c r="BW504" i="1"/>
  <c r="BW505" i="1"/>
  <c r="BW506" i="1"/>
  <c r="BW507" i="1"/>
  <c r="BW508" i="1"/>
  <c r="BW509" i="1"/>
  <c r="BW510" i="1"/>
  <c r="BW511" i="1"/>
  <c r="BW512" i="1"/>
  <c r="BW513" i="1"/>
  <c r="BW514" i="1"/>
  <c r="BW515" i="1"/>
  <c r="BW516" i="1"/>
  <c r="BW517" i="1"/>
  <c r="BW518" i="1"/>
  <c r="BW519" i="1"/>
  <c r="BW520" i="1"/>
  <c r="BW521" i="1"/>
  <c r="BW522" i="1"/>
  <c r="BW523" i="1"/>
  <c r="BW524" i="1"/>
  <c r="BW525" i="1"/>
  <c r="BW526" i="1"/>
  <c r="BW527" i="1"/>
  <c r="BW528" i="1"/>
  <c r="BW529" i="1"/>
  <c r="BW530" i="1"/>
  <c r="BW531" i="1"/>
  <c r="BW532" i="1"/>
  <c r="BW533" i="1"/>
  <c r="BW534" i="1"/>
  <c r="BW535" i="1"/>
  <c r="BW536" i="1"/>
  <c r="BW537" i="1"/>
  <c r="BW538" i="1"/>
  <c r="BW539" i="1"/>
  <c r="BW540" i="1"/>
  <c r="BW541" i="1"/>
  <c r="BW542" i="1"/>
  <c r="BW543" i="1"/>
  <c r="BW544" i="1"/>
  <c r="BW545" i="1"/>
  <c r="BW546" i="1"/>
  <c r="BW547" i="1"/>
  <c r="BW548" i="1"/>
  <c r="BW549" i="1"/>
  <c r="BW550" i="1"/>
  <c r="BW551" i="1"/>
  <c r="BW552" i="1"/>
  <c r="BW553" i="1"/>
  <c r="BW554" i="1"/>
  <c r="BW555" i="1"/>
  <c r="BW556" i="1"/>
  <c r="BW557" i="1"/>
  <c r="BW558" i="1"/>
  <c r="BW559" i="1"/>
  <c r="BW560" i="1"/>
  <c r="BW561" i="1"/>
  <c r="BW562" i="1"/>
  <c r="BW563" i="1"/>
  <c r="BW564" i="1"/>
  <c r="BW565" i="1"/>
  <c r="BW566" i="1"/>
  <c r="BW567" i="1"/>
  <c r="BW568" i="1"/>
  <c r="BW569" i="1"/>
  <c r="BW570" i="1"/>
  <c r="BW571" i="1"/>
  <c r="BW572" i="1"/>
  <c r="BW573" i="1"/>
  <c r="BW574" i="1"/>
  <c r="BW575" i="1"/>
  <c r="BW576" i="1"/>
  <c r="BW577" i="1"/>
  <c r="BW578" i="1"/>
  <c r="BW579" i="1"/>
  <c r="BW580" i="1"/>
  <c r="BW581" i="1"/>
  <c r="BW582" i="1"/>
  <c r="BW583" i="1"/>
  <c r="BW584" i="1"/>
  <c r="BW585" i="1"/>
  <c r="BW586" i="1"/>
  <c r="BW587" i="1"/>
  <c r="BW588" i="1"/>
  <c r="BW589" i="1"/>
  <c r="BW590" i="1"/>
  <c r="BW591" i="1"/>
  <c r="BW592" i="1"/>
  <c r="BW593" i="1"/>
  <c r="BW594" i="1"/>
  <c r="BW595" i="1"/>
  <c r="BW596" i="1"/>
  <c r="BW597" i="1"/>
  <c r="BW598" i="1"/>
  <c r="BW599" i="1"/>
  <c r="BW600" i="1"/>
  <c r="BW601" i="1"/>
  <c r="BW602" i="1"/>
  <c r="BW603" i="1"/>
  <c r="BW604" i="1"/>
  <c r="BW605" i="1"/>
  <c r="BW606" i="1"/>
  <c r="BW607" i="1"/>
  <c r="BW608" i="1"/>
  <c r="BW609" i="1"/>
  <c r="BW610" i="1"/>
  <c r="BW611" i="1"/>
  <c r="BW612" i="1"/>
  <c r="BW613" i="1"/>
  <c r="BW614" i="1"/>
  <c r="BW615" i="1"/>
  <c r="BW616" i="1"/>
  <c r="BW617" i="1"/>
  <c r="BW618" i="1"/>
  <c r="BW619" i="1"/>
  <c r="BW620" i="1"/>
  <c r="BW621" i="1"/>
  <c r="BW622" i="1"/>
  <c r="BW623" i="1"/>
  <c r="BW624" i="1"/>
  <c r="BW625" i="1"/>
  <c r="BW626" i="1"/>
  <c r="BW627" i="1"/>
  <c r="BW628" i="1"/>
  <c r="BW629" i="1"/>
  <c r="BW630" i="1"/>
  <c r="BW631" i="1"/>
  <c r="BW632" i="1"/>
  <c r="BW633" i="1"/>
  <c r="BW634" i="1"/>
  <c r="BW635" i="1"/>
  <c r="BW636" i="1"/>
  <c r="BW637" i="1"/>
  <c r="BW638" i="1"/>
  <c r="BW639" i="1"/>
  <c r="BW640" i="1"/>
  <c r="BW641" i="1"/>
  <c r="BW642" i="1"/>
  <c r="BW643" i="1"/>
  <c r="BW644" i="1"/>
  <c r="BW645" i="1"/>
  <c r="BW646" i="1"/>
  <c r="BW647" i="1"/>
  <c r="BW648" i="1"/>
  <c r="BW649"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77" i="1"/>
  <c r="BW678" i="1"/>
  <c r="BW679" i="1"/>
  <c r="BW680" i="1"/>
  <c r="BW681" i="1"/>
  <c r="BW682" i="1"/>
  <c r="BW683" i="1"/>
  <c r="BW684" i="1"/>
  <c r="BW685" i="1"/>
  <c r="BW686" i="1"/>
  <c r="BW687" i="1"/>
  <c r="BW688" i="1"/>
  <c r="BW689" i="1"/>
  <c r="BW690" i="1"/>
  <c r="BW691" i="1"/>
  <c r="BW692" i="1"/>
  <c r="BW693" i="1"/>
  <c r="BW694" i="1"/>
  <c r="BW695" i="1"/>
  <c r="BW696" i="1"/>
  <c r="BW697" i="1"/>
  <c r="BW698" i="1"/>
  <c r="BW699" i="1"/>
  <c r="BW700" i="1"/>
  <c r="BW701" i="1"/>
  <c r="BW702" i="1"/>
  <c r="BW703" i="1"/>
  <c r="BW704" i="1"/>
  <c r="BW705" i="1"/>
  <c r="BW706" i="1"/>
  <c r="BW707" i="1"/>
  <c r="BW708" i="1"/>
  <c r="BW709" i="1"/>
  <c r="BW710" i="1"/>
  <c r="BW711" i="1"/>
  <c r="BW712" i="1"/>
  <c r="BW713" i="1"/>
  <c r="BW714" i="1"/>
  <c r="BW715" i="1"/>
  <c r="BW716" i="1"/>
  <c r="BW717" i="1"/>
  <c r="BW718" i="1"/>
  <c r="BW719" i="1"/>
  <c r="BW720" i="1"/>
  <c r="BW721" i="1"/>
  <c r="BW722" i="1"/>
  <c r="BW723" i="1"/>
  <c r="BW724" i="1"/>
  <c r="BW725" i="1"/>
  <c r="BW726" i="1"/>
  <c r="BW727" i="1"/>
  <c r="BW728" i="1"/>
  <c r="BW729" i="1"/>
  <c r="BW730" i="1"/>
  <c r="BW731" i="1"/>
  <c r="BW732" i="1"/>
  <c r="BW733" i="1"/>
  <c r="BW734" i="1"/>
  <c r="BW735" i="1"/>
  <c r="BW736" i="1"/>
  <c r="BW737" i="1"/>
  <c r="BW738" i="1"/>
  <c r="BW739" i="1"/>
  <c r="BW740" i="1"/>
  <c r="BW741" i="1"/>
  <c r="BW742" i="1"/>
  <c r="BW743" i="1"/>
  <c r="BW744" i="1"/>
  <c r="BW745" i="1"/>
  <c r="BW746" i="1"/>
  <c r="BW747" i="1"/>
  <c r="BW748" i="1"/>
  <c r="BW749" i="1"/>
  <c r="BW750" i="1"/>
  <c r="BW751" i="1"/>
  <c r="BW752" i="1"/>
  <c r="BW753" i="1"/>
  <c r="BW754" i="1"/>
  <c r="BW755" i="1"/>
  <c r="BW756" i="1"/>
  <c r="BW757" i="1"/>
  <c r="BW758" i="1"/>
  <c r="BW759" i="1"/>
  <c r="BW760" i="1"/>
  <c r="BW761" i="1"/>
  <c r="BW762" i="1"/>
  <c r="BW763" i="1"/>
  <c r="BW764" i="1"/>
  <c r="BW765" i="1"/>
  <c r="BW766" i="1"/>
  <c r="BW767" i="1"/>
  <c r="BW768" i="1"/>
  <c r="BW769" i="1"/>
  <c r="BW770" i="1"/>
  <c r="BW771" i="1"/>
  <c r="BW772" i="1"/>
  <c r="BW773" i="1"/>
  <c r="BW774" i="1"/>
  <c r="BW775" i="1"/>
  <c r="BW776" i="1"/>
  <c r="BW777" i="1"/>
  <c r="BW778" i="1"/>
  <c r="BW779" i="1"/>
  <c r="BW780" i="1"/>
  <c r="BW781" i="1"/>
  <c r="BW782" i="1"/>
  <c r="BW783" i="1"/>
  <c r="BW784" i="1"/>
  <c r="BW785" i="1"/>
  <c r="BW786" i="1"/>
  <c r="BW787" i="1"/>
  <c r="BW788" i="1"/>
  <c r="BW789" i="1"/>
  <c r="BW790" i="1"/>
  <c r="BW791" i="1"/>
  <c r="BW792" i="1"/>
  <c r="BW793" i="1"/>
  <c r="BW794" i="1"/>
  <c r="BW795" i="1"/>
  <c r="BW796" i="1"/>
  <c r="BW797" i="1"/>
  <c r="BW798" i="1"/>
  <c r="BW799" i="1"/>
  <c r="BW800" i="1"/>
  <c r="BW801" i="1"/>
  <c r="BW802" i="1"/>
  <c r="BW803" i="1"/>
  <c r="BW804" i="1"/>
  <c r="BW805" i="1"/>
  <c r="BW806" i="1"/>
  <c r="BW807" i="1"/>
  <c r="BW808" i="1"/>
  <c r="BW809" i="1"/>
  <c r="BW810" i="1"/>
  <c r="BW811" i="1"/>
  <c r="BW812" i="1"/>
  <c r="BW813" i="1"/>
  <c r="BW814" i="1"/>
  <c r="BW815" i="1"/>
  <c r="BW816" i="1"/>
  <c r="BW817" i="1"/>
  <c r="BW818" i="1"/>
  <c r="BW819" i="1"/>
  <c r="BW820" i="1"/>
  <c r="BW821" i="1"/>
  <c r="BW822" i="1"/>
  <c r="BW823" i="1"/>
  <c r="BW824" i="1"/>
  <c r="BW825" i="1"/>
  <c r="BW826" i="1"/>
  <c r="BW827" i="1"/>
  <c r="BW828" i="1"/>
  <c r="BW829" i="1"/>
  <c r="BW830" i="1"/>
  <c r="BW831" i="1"/>
  <c r="BW832" i="1"/>
  <c r="BW833" i="1"/>
  <c r="BW834" i="1"/>
  <c r="BW835" i="1"/>
  <c r="BW836" i="1"/>
  <c r="BW837" i="1"/>
  <c r="BW838" i="1"/>
  <c r="BW839" i="1"/>
  <c r="BW840" i="1"/>
  <c r="BW841" i="1"/>
  <c r="BW842" i="1"/>
  <c r="BW843" i="1"/>
  <c r="BW844" i="1"/>
  <c r="BW845" i="1"/>
  <c r="BW846" i="1"/>
  <c r="BW847" i="1"/>
  <c r="BW848" i="1"/>
  <c r="BW849" i="1"/>
  <c r="BW850" i="1"/>
  <c r="BW851" i="1"/>
  <c r="BW852" i="1"/>
  <c r="BW853" i="1"/>
  <c r="BW854" i="1"/>
  <c r="BW855" i="1"/>
  <c r="BW856" i="1"/>
  <c r="BW857" i="1"/>
  <c r="BW858" i="1"/>
  <c r="BW859" i="1"/>
  <c r="BW860" i="1"/>
  <c r="BW861" i="1"/>
  <c r="BW862" i="1"/>
  <c r="BW863" i="1"/>
  <c r="BW864" i="1"/>
  <c r="BW865" i="1"/>
  <c r="BW866" i="1"/>
  <c r="BW867" i="1"/>
  <c r="BW868" i="1"/>
  <c r="BW869" i="1"/>
  <c r="BW870" i="1"/>
  <c r="BW871" i="1"/>
  <c r="BW872" i="1"/>
  <c r="BW873" i="1"/>
  <c r="BW874" i="1"/>
  <c r="BW875" i="1"/>
  <c r="BW876" i="1"/>
  <c r="BW877" i="1"/>
  <c r="BW878" i="1"/>
  <c r="BW879" i="1"/>
  <c r="BW880" i="1"/>
  <c r="BW881" i="1"/>
  <c r="BW882" i="1"/>
  <c r="BW883" i="1"/>
  <c r="BW884" i="1"/>
  <c r="BW885" i="1"/>
  <c r="BW886" i="1"/>
  <c r="BW887" i="1"/>
  <c r="BW888" i="1"/>
  <c r="BW889" i="1"/>
  <c r="BW890" i="1"/>
  <c r="BW891" i="1"/>
  <c r="BW892" i="1"/>
  <c r="BW893" i="1"/>
  <c r="BW894" i="1"/>
  <c r="BW895" i="1"/>
  <c r="BW896" i="1"/>
  <c r="BW897" i="1"/>
  <c r="BW898" i="1"/>
  <c r="BW899" i="1"/>
  <c r="BW900" i="1"/>
  <c r="BW901" i="1"/>
  <c r="BW902" i="1"/>
  <c r="BW903" i="1"/>
  <c r="BW904" i="1"/>
  <c r="BW905" i="1"/>
  <c r="BW906" i="1"/>
  <c r="BW907" i="1"/>
  <c r="BW908" i="1"/>
  <c r="BW909" i="1"/>
  <c r="BW910" i="1"/>
  <c r="BW911" i="1"/>
  <c r="BW912" i="1"/>
  <c r="BW913" i="1"/>
  <c r="BW914" i="1"/>
  <c r="BW915" i="1"/>
  <c r="BW916" i="1"/>
  <c r="BW917" i="1"/>
  <c r="BW918" i="1"/>
  <c r="BW919" i="1"/>
  <c r="BW920" i="1"/>
  <c r="BW921" i="1"/>
  <c r="BW922" i="1"/>
  <c r="BW923" i="1"/>
  <c r="BW924" i="1"/>
  <c r="BW925" i="1"/>
  <c r="BW926" i="1"/>
  <c r="BW927" i="1"/>
  <c r="BW928" i="1"/>
  <c r="BW929" i="1"/>
  <c r="BW930" i="1"/>
  <c r="BW931" i="1"/>
  <c r="BW932" i="1"/>
  <c r="BW933" i="1"/>
  <c r="BW934" i="1"/>
  <c r="BW935" i="1"/>
  <c r="BW936" i="1"/>
  <c r="BW937" i="1"/>
  <c r="BW938" i="1"/>
  <c r="BW939" i="1"/>
  <c r="BW940" i="1"/>
  <c r="BW941" i="1"/>
  <c r="BW942" i="1"/>
  <c r="BW943" i="1"/>
  <c r="BW944" i="1"/>
  <c r="BW945" i="1"/>
  <c r="BW946" i="1"/>
  <c r="BW947" i="1"/>
  <c r="BW948" i="1"/>
  <c r="BW949" i="1"/>
  <c r="BW950" i="1"/>
  <c r="BW951" i="1"/>
  <c r="BW952" i="1"/>
  <c r="BW953" i="1"/>
  <c r="BW954" i="1"/>
  <c r="BW955" i="1"/>
  <c r="BW956" i="1"/>
  <c r="BW957" i="1"/>
  <c r="BW958" i="1"/>
  <c r="BW959" i="1"/>
  <c r="BW960" i="1"/>
  <c r="BW961" i="1"/>
  <c r="BW962" i="1"/>
  <c r="BW963" i="1"/>
  <c r="BW964" i="1"/>
  <c r="BW965" i="1"/>
  <c r="BW966" i="1"/>
  <c r="BW967" i="1"/>
  <c r="BW968" i="1"/>
  <c r="BW969" i="1"/>
  <c r="BW970" i="1"/>
  <c r="BW971" i="1"/>
  <c r="BW972" i="1"/>
  <c r="BW973" i="1"/>
  <c r="BW974" i="1"/>
  <c r="BW975" i="1"/>
  <c r="BW976" i="1"/>
  <c r="BW977" i="1"/>
  <c r="BW978" i="1"/>
  <c r="BW979" i="1"/>
  <c r="BW980" i="1"/>
  <c r="BW981" i="1"/>
  <c r="BW982" i="1"/>
  <c r="BW983" i="1"/>
  <c r="BW984" i="1"/>
  <c r="BW985" i="1"/>
  <c r="BW986" i="1"/>
  <c r="BW987" i="1"/>
  <c r="BW988" i="1"/>
  <c r="BW989" i="1"/>
  <c r="BW990" i="1"/>
  <c r="BW991" i="1"/>
  <c r="BW992" i="1"/>
  <c r="BW993" i="1"/>
  <c r="BW994" i="1"/>
  <c r="BW995" i="1"/>
  <c r="BW996" i="1"/>
  <c r="BW997" i="1"/>
  <c r="BW998" i="1"/>
  <c r="BW999" i="1"/>
  <c r="BW1000" i="1"/>
  <c r="BW1001" i="1"/>
  <c r="BW1002" i="1"/>
  <c r="BW1003" i="1"/>
  <c r="BW1004" i="1"/>
  <c r="BW1005" i="1"/>
  <c r="BW1006" i="1"/>
  <c r="BW1007" i="1"/>
  <c r="BW1008" i="1"/>
  <c r="BW1009" i="1"/>
  <c r="BW1010" i="1"/>
  <c r="BW1011" i="1"/>
  <c r="BW1012" i="1"/>
  <c r="BW1013" i="1"/>
  <c r="BW1014" i="1"/>
  <c r="BW1015" i="1"/>
  <c r="BW1016" i="1"/>
  <c r="BW1017" i="1"/>
  <c r="BW1018" i="1"/>
  <c r="BW1019" i="1"/>
  <c r="BW1020" i="1"/>
  <c r="BW1021" i="1"/>
  <c r="BW1022" i="1"/>
  <c r="BW1023" i="1"/>
  <c r="BW1024" i="1"/>
  <c r="BW1025" i="1"/>
  <c r="BW1026" i="1"/>
  <c r="BW1027" i="1"/>
  <c r="BW1028" i="1"/>
  <c r="BW1029" i="1"/>
  <c r="BW1030" i="1"/>
  <c r="BW1031" i="1"/>
  <c r="BW1032" i="1"/>
  <c r="BW1033" i="1"/>
  <c r="BW1034" i="1"/>
  <c r="BW1035" i="1"/>
  <c r="BW1036" i="1"/>
  <c r="BW1037" i="1"/>
  <c r="BW1038" i="1"/>
  <c r="BW1039" i="1"/>
  <c r="BW1040" i="1"/>
  <c r="BW1041" i="1"/>
  <c r="BW1042" i="1"/>
  <c r="BW1043" i="1"/>
  <c r="BW1044" i="1"/>
  <c r="BW1045" i="1"/>
  <c r="BW1046" i="1"/>
  <c r="BW1047" i="1"/>
  <c r="BW1048" i="1"/>
  <c r="BW1049" i="1"/>
  <c r="BW1050" i="1"/>
  <c r="BW1051" i="1"/>
  <c r="BW1052" i="1"/>
  <c r="BW1053" i="1"/>
  <c r="BW1054" i="1"/>
  <c r="BW1055" i="1"/>
  <c r="BW1056" i="1"/>
  <c r="BW1057" i="1"/>
  <c r="BW1058" i="1"/>
  <c r="BW1059" i="1"/>
  <c r="BW1060" i="1"/>
  <c r="BW1061" i="1"/>
  <c r="BW1062" i="1"/>
  <c r="BW1063" i="1"/>
  <c r="BW1064" i="1"/>
  <c r="BW1065" i="1"/>
  <c r="BW1066" i="1"/>
  <c r="BW1067" i="1"/>
  <c r="BW1068" i="1"/>
  <c r="BW1069" i="1"/>
  <c r="BW1070" i="1"/>
  <c r="BW1071" i="1"/>
  <c r="BW1072" i="1"/>
  <c r="BW1073" i="1"/>
  <c r="BW1074" i="1"/>
  <c r="BW1075" i="1"/>
  <c r="BW1076" i="1"/>
  <c r="BW1077" i="1"/>
  <c r="BW1078" i="1"/>
  <c r="BW1079" i="1"/>
  <c r="BW1080" i="1"/>
  <c r="BW1081" i="1"/>
  <c r="BW1082" i="1"/>
  <c r="BW1083" i="1"/>
  <c r="BW1084" i="1"/>
  <c r="BW1085" i="1"/>
  <c r="BW1086" i="1"/>
  <c r="BW1087" i="1"/>
  <c r="BW1088" i="1"/>
  <c r="BW1089" i="1"/>
  <c r="BW1090" i="1"/>
  <c r="BW1091" i="1"/>
  <c r="BW1092" i="1"/>
  <c r="BW1093" i="1"/>
  <c r="BW1094" i="1"/>
  <c r="BW1095" i="1"/>
  <c r="BW1096" i="1"/>
  <c r="BW1097" i="1"/>
  <c r="BW1098" i="1"/>
  <c r="BW1099" i="1"/>
  <c r="BW1100" i="1"/>
  <c r="BW1101" i="1"/>
  <c r="BW1102" i="1"/>
  <c r="BW1103" i="1"/>
  <c r="BW1104" i="1"/>
  <c r="BW1105" i="1"/>
  <c r="BW1106" i="1"/>
  <c r="BW1107" i="1"/>
  <c r="BW1108" i="1"/>
  <c r="BW1109" i="1"/>
  <c r="BW1110" i="1"/>
  <c r="BW1111" i="1"/>
  <c r="BW1112" i="1"/>
  <c r="BW1113" i="1"/>
  <c r="BW1114" i="1"/>
  <c r="BW1115" i="1"/>
  <c r="BW1116" i="1"/>
  <c r="BW1117" i="1"/>
  <c r="BW1118" i="1"/>
  <c r="BW1119" i="1"/>
  <c r="BW1120" i="1"/>
  <c r="BW1121" i="1"/>
  <c r="BW1122" i="1"/>
  <c r="BW1123" i="1"/>
  <c r="BW1124" i="1"/>
  <c r="BW1125" i="1"/>
  <c r="BW1126" i="1"/>
  <c r="BW1127" i="1"/>
  <c r="BW1128" i="1"/>
  <c r="BW1129" i="1"/>
  <c r="BW1130" i="1"/>
  <c r="BW1131" i="1"/>
  <c r="BW1132" i="1"/>
  <c r="BW1133" i="1"/>
  <c r="BW1134" i="1"/>
  <c r="BW1135" i="1"/>
  <c r="BW1136" i="1"/>
  <c r="BW1137" i="1"/>
  <c r="BW1138" i="1"/>
  <c r="BW1139" i="1"/>
  <c r="BW1140" i="1"/>
  <c r="BW1141" i="1"/>
  <c r="BW1142" i="1"/>
  <c r="BW1143" i="1"/>
  <c r="BW1144" i="1"/>
  <c r="BW1145" i="1"/>
  <c r="BW1146" i="1"/>
  <c r="BW1147" i="1"/>
  <c r="BW1148" i="1"/>
  <c r="BW1149" i="1"/>
  <c r="BW1150" i="1"/>
  <c r="BW1151" i="1"/>
  <c r="BW1152" i="1"/>
  <c r="BW1153" i="1"/>
  <c r="BW1154" i="1"/>
  <c r="BW1155" i="1"/>
  <c r="BW1156" i="1"/>
  <c r="BW1157" i="1"/>
  <c r="BW1158" i="1"/>
  <c r="BW1159" i="1"/>
  <c r="BW1160" i="1"/>
  <c r="BW1161" i="1"/>
  <c r="BW1162" i="1"/>
  <c r="BW1163" i="1"/>
  <c r="BW1164" i="1"/>
  <c r="BW1165" i="1"/>
  <c r="BW1166" i="1"/>
  <c r="BW1167" i="1"/>
  <c r="BW1168" i="1"/>
  <c r="BW1169" i="1"/>
  <c r="BW1170" i="1"/>
  <c r="BW1171" i="1"/>
  <c r="BW1172" i="1"/>
  <c r="BW1173" i="1"/>
  <c r="BW1174" i="1"/>
  <c r="BW1175" i="1"/>
  <c r="BW1176" i="1"/>
  <c r="BW1177" i="1"/>
  <c r="BW1178" i="1"/>
  <c r="BW1179" i="1"/>
  <c r="BW1180" i="1"/>
  <c r="BW1181" i="1"/>
  <c r="BW1182" i="1"/>
  <c r="BW1183" i="1"/>
  <c r="BW1184" i="1"/>
  <c r="BW1185" i="1"/>
  <c r="BW1186" i="1"/>
  <c r="BW1187" i="1"/>
  <c r="BW1188" i="1"/>
  <c r="BW1189" i="1"/>
  <c r="BW1190" i="1"/>
  <c r="BW1191" i="1"/>
  <c r="BW1192" i="1"/>
  <c r="BW1193" i="1"/>
  <c r="BW1194" i="1"/>
  <c r="BW1195" i="1"/>
  <c r="BW1196" i="1"/>
  <c r="BW1197" i="1"/>
  <c r="BW1198" i="1"/>
  <c r="BW1199" i="1"/>
  <c r="BW1200" i="1"/>
  <c r="BW1201" i="1"/>
  <c r="BW1202" i="1"/>
  <c r="BW1203" i="1"/>
  <c r="BW1204" i="1"/>
  <c r="BW1205" i="1"/>
  <c r="BW1206" i="1"/>
  <c r="BW1207" i="1"/>
  <c r="BW1208" i="1"/>
  <c r="BW1209" i="1"/>
  <c r="BW1210" i="1"/>
  <c r="BW1211" i="1"/>
  <c r="BW1212" i="1"/>
  <c r="BW1213" i="1"/>
  <c r="BW1214" i="1"/>
  <c r="BW1215" i="1"/>
  <c r="BW1216" i="1"/>
  <c r="BW1217" i="1"/>
  <c r="BW1218" i="1"/>
  <c r="BW1219" i="1"/>
  <c r="BW1220" i="1"/>
  <c r="BW1221" i="1"/>
  <c r="BW1222" i="1"/>
  <c r="BW1223" i="1"/>
  <c r="BW1224" i="1"/>
  <c r="BW1225" i="1"/>
  <c r="BW1226" i="1"/>
  <c r="BW1227" i="1"/>
  <c r="BW1228" i="1"/>
  <c r="BW1229" i="1"/>
  <c r="BW1230" i="1"/>
  <c r="BW1231" i="1"/>
  <c r="BW1232" i="1"/>
  <c r="BW1233" i="1"/>
  <c r="BW1234" i="1"/>
  <c r="BW1235" i="1"/>
  <c r="BW1236" i="1"/>
  <c r="BW1237" i="1"/>
  <c r="BW1238" i="1"/>
  <c r="BW1239" i="1"/>
  <c r="BW1240" i="1"/>
  <c r="BW1241" i="1"/>
  <c r="BW1242" i="1"/>
  <c r="BW1243" i="1"/>
  <c r="BW1244" i="1"/>
  <c r="BW1245" i="1"/>
  <c r="BW1246" i="1"/>
  <c r="BW1247" i="1"/>
  <c r="BW1248" i="1"/>
  <c r="BW1249" i="1"/>
  <c r="BW1250" i="1"/>
  <c r="BW1251" i="1"/>
  <c r="BW1252" i="1"/>
  <c r="BW1253" i="1"/>
  <c r="BW1254" i="1"/>
  <c r="BW1255" i="1"/>
  <c r="BW1256" i="1"/>
  <c r="BW1257" i="1"/>
  <c r="BW1258" i="1"/>
  <c r="BW1259" i="1"/>
  <c r="BW1260" i="1"/>
  <c r="BW1261" i="1"/>
  <c r="BW1262" i="1"/>
  <c r="BW1263" i="1"/>
  <c r="BW1264" i="1"/>
  <c r="BW1265" i="1"/>
  <c r="BW1266" i="1"/>
  <c r="BW1267" i="1"/>
  <c r="BW1268" i="1"/>
  <c r="BW1269" i="1"/>
  <c r="BW1270" i="1"/>
  <c r="BW1271" i="1"/>
  <c r="BW1272" i="1"/>
  <c r="BW1273" i="1"/>
  <c r="BW1274" i="1"/>
  <c r="BW1275" i="1"/>
  <c r="BW1276" i="1"/>
  <c r="BW1277" i="1"/>
  <c r="BW1278" i="1"/>
  <c r="BW1279" i="1"/>
  <c r="BW1280" i="1"/>
  <c r="BW1281" i="1"/>
  <c r="BW1282" i="1"/>
  <c r="BW1283" i="1"/>
  <c r="BW1284" i="1"/>
  <c r="BW1285" i="1"/>
  <c r="BW1286" i="1"/>
  <c r="BW1287" i="1"/>
  <c r="BW1288" i="1"/>
  <c r="BW1289" i="1"/>
  <c r="BW1290" i="1"/>
  <c r="BW1291" i="1"/>
  <c r="BW1292" i="1"/>
  <c r="BW1293" i="1"/>
  <c r="BW1294" i="1"/>
  <c r="BW1295" i="1"/>
  <c r="BW1296" i="1"/>
  <c r="BW1297" i="1"/>
  <c r="BW1298" i="1"/>
  <c r="BW1299" i="1"/>
  <c r="BW1300" i="1"/>
  <c r="BW1301" i="1"/>
  <c r="BW1302" i="1"/>
  <c r="BW1303" i="1"/>
  <c r="BW1304" i="1"/>
  <c r="BW1305" i="1"/>
  <c r="BW1306" i="1"/>
  <c r="BW1307" i="1"/>
  <c r="BW1308" i="1"/>
  <c r="BW1309" i="1"/>
  <c r="BW1310" i="1"/>
  <c r="BW1311" i="1"/>
  <c r="BW1312" i="1"/>
  <c r="BW1313" i="1"/>
  <c r="BW1314" i="1"/>
  <c r="BW1315" i="1"/>
  <c r="BW1316" i="1"/>
  <c r="BW1317" i="1"/>
  <c r="BW1318" i="1"/>
  <c r="BW1319" i="1"/>
  <c r="BW1320" i="1"/>
  <c r="BW1321" i="1"/>
  <c r="BW1322" i="1"/>
  <c r="BW1323" i="1"/>
  <c r="BW1324" i="1"/>
  <c r="BW1325" i="1"/>
  <c r="BW1326" i="1"/>
  <c r="BW1327" i="1"/>
  <c r="BW1328" i="1"/>
  <c r="BW1329" i="1"/>
  <c r="BW1330" i="1"/>
  <c r="BW1331" i="1"/>
  <c r="BW1332" i="1"/>
  <c r="BW1333" i="1"/>
  <c r="BW1334" i="1"/>
  <c r="BW1335" i="1"/>
  <c r="BW1336" i="1"/>
  <c r="BW1337" i="1"/>
  <c r="BW1338" i="1"/>
  <c r="BW1339" i="1"/>
  <c r="BW1340" i="1"/>
  <c r="BW1341" i="1"/>
  <c r="BW1342" i="1"/>
  <c r="BW1343" i="1"/>
  <c r="BW1344" i="1"/>
  <c r="BW1345" i="1"/>
  <c r="BW1346" i="1"/>
  <c r="BW1347" i="1"/>
  <c r="BW1348" i="1"/>
  <c r="BW1349" i="1"/>
  <c r="BW1350" i="1"/>
  <c r="BW1351" i="1"/>
  <c r="BW1352" i="1"/>
  <c r="BW1353" i="1"/>
  <c r="BW1354" i="1"/>
  <c r="BW1355" i="1"/>
  <c r="BW1356" i="1"/>
  <c r="BW1357" i="1"/>
  <c r="BW1358" i="1"/>
  <c r="BW1359" i="1"/>
  <c r="BW1360" i="1"/>
  <c r="BW1361" i="1"/>
  <c r="BW1362" i="1"/>
  <c r="BW1363" i="1"/>
  <c r="BW1364" i="1"/>
  <c r="BW1365" i="1"/>
  <c r="BW1366" i="1"/>
  <c r="BW1367" i="1"/>
  <c r="BW1368" i="1"/>
  <c r="BW1369" i="1"/>
  <c r="BW1370" i="1"/>
  <c r="BW1371" i="1"/>
  <c r="BW1372" i="1"/>
  <c r="BW1373" i="1"/>
  <c r="BW1374" i="1"/>
  <c r="BW1375" i="1"/>
  <c r="BW1376" i="1"/>
  <c r="BW1377" i="1"/>
  <c r="BW1378" i="1"/>
  <c r="BW1379" i="1"/>
  <c r="BW1380" i="1"/>
  <c r="BW1381" i="1"/>
  <c r="BW1382" i="1"/>
  <c r="BW1383" i="1"/>
  <c r="BW1384" i="1"/>
  <c r="BW1385" i="1"/>
  <c r="BW1386" i="1"/>
  <c r="BW1387" i="1"/>
  <c r="BW1388" i="1"/>
  <c r="BW1389" i="1"/>
  <c r="BW1390" i="1"/>
  <c r="BW1391" i="1"/>
  <c r="BW1392" i="1"/>
  <c r="BW1393" i="1"/>
  <c r="BW1394" i="1"/>
  <c r="BW1395" i="1"/>
  <c r="BW1396" i="1"/>
  <c r="BW1397" i="1"/>
  <c r="BW1398" i="1"/>
  <c r="BW1399" i="1"/>
  <c r="BW1400" i="1"/>
  <c r="BW1401" i="1"/>
  <c r="BW1402" i="1"/>
  <c r="BW1403" i="1"/>
  <c r="BW1404" i="1"/>
  <c r="BW1405" i="1"/>
  <c r="BW1406" i="1"/>
  <c r="BW1407" i="1"/>
  <c r="BW1408" i="1"/>
  <c r="BW1409" i="1"/>
  <c r="BW1410" i="1"/>
  <c r="BW1411" i="1"/>
  <c r="BW1412" i="1"/>
  <c r="BW1413" i="1"/>
  <c r="BW1414" i="1"/>
  <c r="BW1415" i="1"/>
  <c r="BW1416" i="1"/>
  <c r="BW1417" i="1"/>
  <c r="BW1418" i="1"/>
  <c r="BW1419" i="1"/>
  <c r="BW1420" i="1"/>
  <c r="BW1421" i="1"/>
  <c r="BW1422" i="1"/>
  <c r="BW1423" i="1"/>
  <c r="BW1424" i="1"/>
  <c r="BW1425" i="1"/>
  <c r="BW1426" i="1"/>
  <c r="BW1427" i="1"/>
  <c r="BW1428" i="1"/>
  <c r="BW1429" i="1"/>
  <c r="BW1430" i="1"/>
  <c r="BW1431" i="1"/>
  <c r="BW1432" i="1"/>
  <c r="BW1433" i="1"/>
  <c r="BW1434" i="1"/>
  <c r="BW1435" i="1"/>
  <c r="BW1436" i="1"/>
  <c r="BW1437" i="1"/>
  <c r="BW1438" i="1"/>
  <c r="BW1439" i="1"/>
  <c r="BW1440" i="1"/>
  <c r="BW1441" i="1"/>
  <c r="BW1442" i="1"/>
  <c r="BW1443" i="1"/>
  <c r="BW1444" i="1"/>
  <c r="BW1445" i="1"/>
  <c r="BW1446" i="1"/>
  <c r="BW1447" i="1"/>
  <c r="BW1448" i="1"/>
  <c r="BW1449" i="1"/>
  <c r="BW1450" i="1"/>
  <c r="BW1451" i="1"/>
  <c r="BW1452" i="1"/>
  <c r="BW1453" i="1"/>
  <c r="BW1454" i="1"/>
  <c r="BW1455" i="1"/>
  <c r="BW1456" i="1"/>
  <c r="BW1457" i="1"/>
  <c r="BW1458" i="1"/>
  <c r="BW1459" i="1"/>
  <c r="BW1460" i="1"/>
  <c r="BW1461" i="1"/>
  <c r="BW1462" i="1"/>
  <c r="BW1463" i="1"/>
  <c r="BW1464" i="1"/>
  <c r="BW1465" i="1"/>
  <c r="BW1466" i="1"/>
  <c r="BW1467" i="1"/>
  <c r="BW1468" i="1"/>
  <c r="BW1469" i="1"/>
  <c r="BW1470" i="1"/>
  <c r="BW1471" i="1"/>
  <c r="BV2" i="1"/>
  <c r="BW1" i="1"/>
  <c r="CF26" i="1" l="1"/>
  <c r="CF30" i="1"/>
  <c r="CF34" i="1"/>
  <c r="CF22" i="1"/>
  <c r="CF18" i="1"/>
  <c r="CF13" i="1"/>
  <c r="CF21" i="1"/>
  <c r="CF25" i="1"/>
  <c r="CF29" i="1"/>
  <c r="CF33" i="1"/>
  <c r="CF12" i="1"/>
  <c r="CF17" i="1"/>
  <c r="CD34" i="1"/>
  <c r="CD33" i="1"/>
  <c r="BD1363" i="1" s="1"/>
  <c r="CC32" i="1"/>
  <c r="BD1464" i="1" l="1"/>
  <c r="BD1456" i="1"/>
  <c r="BD1448" i="1"/>
  <c r="BD1440" i="1"/>
  <c r="BD1432" i="1"/>
  <c r="BD1424" i="1"/>
  <c r="BD1416" i="1"/>
  <c r="BD1408" i="1"/>
  <c r="BD1400" i="1"/>
  <c r="BD1392" i="1"/>
  <c r="BD1384" i="1"/>
  <c r="BD1376" i="1"/>
  <c r="BD1368" i="1"/>
  <c r="BD1360" i="1"/>
  <c r="BD1463" i="1"/>
  <c r="BD1447" i="1"/>
  <c r="BD1423" i="1"/>
  <c r="BD1407" i="1"/>
  <c r="BD1383" i="1"/>
  <c r="BD1367" i="1"/>
  <c r="BD1470" i="1"/>
  <c r="BD1454" i="1"/>
  <c r="BD1446" i="1"/>
  <c r="BD1438" i="1"/>
  <c r="BD1430" i="1"/>
  <c r="BD1422" i="1"/>
  <c r="BD1414" i="1"/>
  <c r="BD1406" i="1"/>
  <c r="BD1398" i="1"/>
  <c r="BD1390" i="1"/>
  <c r="BD1382" i="1"/>
  <c r="BD1374" i="1"/>
  <c r="BD1366" i="1"/>
  <c r="BD2" i="1"/>
  <c r="BD1455" i="1"/>
  <c r="BD1431" i="1"/>
  <c r="BD1415" i="1"/>
  <c r="BD1391" i="1"/>
  <c r="BD1375" i="1"/>
  <c r="BD1359" i="1"/>
  <c r="BD1462" i="1"/>
  <c r="BD1469" i="1"/>
  <c r="BD1461" i="1"/>
  <c r="BD1453" i="1"/>
  <c r="BD1445" i="1"/>
  <c r="BD1437" i="1"/>
  <c r="BD1429" i="1"/>
  <c r="BD1421" i="1"/>
  <c r="BD1413" i="1"/>
  <c r="BD1405" i="1"/>
  <c r="BD1397" i="1"/>
  <c r="BD1389" i="1"/>
  <c r="BD1381" i="1"/>
  <c r="BD1373" i="1"/>
  <c r="BD1365" i="1"/>
  <c r="BD1471" i="1"/>
  <c r="BD1439" i="1"/>
  <c r="BD1399" i="1"/>
  <c r="BD1468" i="1"/>
  <c r="BD1460" i="1"/>
  <c r="BD1452" i="1"/>
  <c r="BD1444" i="1"/>
  <c r="BD1436" i="1"/>
  <c r="BD1428" i="1"/>
  <c r="BD1420" i="1"/>
  <c r="BD1412" i="1"/>
  <c r="BD1404" i="1"/>
  <c r="BD1396" i="1"/>
  <c r="BD1388" i="1"/>
  <c r="BD1380" i="1"/>
  <c r="BD1372" i="1"/>
  <c r="BD1364" i="1"/>
  <c r="BD1467" i="1"/>
  <c r="BD1459" i="1"/>
  <c r="BD1451" i="1"/>
  <c r="BD1443" i="1"/>
  <c r="BD1435" i="1"/>
  <c r="BD1427" i="1"/>
  <c r="BD1419" i="1"/>
  <c r="BD1411" i="1"/>
  <c r="BD1403" i="1"/>
  <c r="BD1395" i="1"/>
  <c r="BD1387" i="1"/>
  <c r="BD1379" i="1"/>
  <c r="BD1371" i="1"/>
  <c r="BD3" i="1"/>
  <c r="BD11" i="1"/>
  <c r="BD19" i="1"/>
  <c r="BD27" i="1"/>
  <c r="BD35" i="1"/>
  <c r="BD43" i="1"/>
  <c r="BD51" i="1"/>
  <c r="BD59" i="1"/>
  <c r="BD67" i="1"/>
  <c r="BD75" i="1"/>
  <c r="BD83" i="1"/>
  <c r="BD91" i="1"/>
  <c r="BD99" i="1"/>
  <c r="BD107" i="1"/>
  <c r="BD115" i="1"/>
  <c r="BD123" i="1"/>
  <c r="BD131" i="1"/>
  <c r="BD139" i="1"/>
  <c r="BD147" i="1"/>
  <c r="BD155" i="1"/>
  <c r="BD163" i="1"/>
  <c r="BD171" i="1"/>
  <c r="BD179" i="1"/>
  <c r="BD187" i="1"/>
  <c r="BD195" i="1"/>
  <c r="BD203" i="1"/>
  <c r="BD211" i="1"/>
  <c r="BD219" i="1"/>
  <c r="BD227" i="1"/>
  <c r="BD235" i="1"/>
  <c r="BD243" i="1"/>
  <c r="BD251" i="1"/>
  <c r="BD259" i="1"/>
  <c r="BD267" i="1"/>
  <c r="BD275" i="1"/>
  <c r="BD283" i="1"/>
  <c r="BD291" i="1"/>
  <c r="BD299" i="1"/>
  <c r="BD307" i="1"/>
  <c r="BD315" i="1"/>
  <c r="BD323" i="1"/>
  <c r="BD331" i="1"/>
  <c r="BD339" i="1"/>
  <c r="BD347" i="1"/>
  <c r="BD355" i="1"/>
  <c r="BD363" i="1"/>
  <c r="BD371" i="1"/>
  <c r="BD379" i="1"/>
  <c r="BD387" i="1"/>
  <c r="BD395" i="1"/>
  <c r="BD403" i="1"/>
  <c r="BD411" i="1"/>
  <c r="BD419" i="1"/>
  <c r="BD427" i="1"/>
  <c r="BD435" i="1"/>
  <c r="BD443" i="1"/>
  <c r="BD451" i="1"/>
  <c r="BD459" i="1"/>
  <c r="BD467" i="1"/>
  <c r="BD475" i="1"/>
  <c r="BD483" i="1"/>
  <c r="BD491" i="1"/>
  <c r="BD499" i="1"/>
  <c r="BD507" i="1"/>
  <c r="BD515" i="1"/>
  <c r="BD523" i="1"/>
  <c r="BD531" i="1"/>
  <c r="BD539" i="1"/>
  <c r="BD547" i="1"/>
  <c r="BD555" i="1"/>
  <c r="BD563" i="1"/>
  <c r="BD571" i="1"/>
  <c r="BD579" i="1"/>
  <c r="BD587" i="1"/>
  <c r="BD595" i="1"/>
  <c r="BD603" i="1"/>
  <c r="BD611" i="1"/>
  <c r="BD619" i="1"/>
  <c r="BD627" i="1"/>
  <c r="BD635" i="1"/>
  <c r="BD643" i="1"/>
  <c r="BD651" i="1"/>
  <c r="BD659" i="1"/>
  <c r="BD667" i="1"/>
  <c r="BD8" i="1"/>
  <c r="BD16" i="1"/>
  <c r="BD24" i="1"/>
  <c r="BD32" i="1"/>
  <c r="BD40" i="1"/>
  <c r="BD48" i="1"/>
  <c r="BD56" i="1"/>
  <c r="BD64" i="1"/>
  <c r="BD72" i="1"/>
  <c r="BD80" i="1"/>
  <c r="BD88" i="1"/>
  <c r="BD96" i="1"/>
  <c r="BD104" i="1"/>
  <c r="BD112" i="1"/>
  <c r="BD120" i="1"/>
  <c r="BD128" i="1"/>
  <c r="BD136" i="1"/>
  <c r="BD144" i="1"/>
  <c r="BD152" i="1"/>
  <c r="BD160" i="1"/>
  <c r="BD168" i="1"/>
  <c r="BD176" i="1"/>
  <c r="BD184" i="1"/>
  <c r="BD192" i="1"/>
  <c r="BD200" i="1"/>
  <c r="BD208" i="1"/>
  <c r="BD216" i="1"/>
  <c r="BD224" i="1"/>
  <c r="BD232" i="1"/>
  <c r="BD240" i="1"/>
  <c r="BD248" i="1"/>
  <c r="BD256" i="1"/>
  <c r="BD264" i="1"/>
  <c r="BD272" i="1"/>
  <c r="BD280" i="1"/>
  <c r="BD288" i="1"/>
  <c r="BD296" i="1"/>
  <c r="BD304" i="1"/>
  <c r="BD312" i="1"/>
  <c r="BD320" i="1"/>
  <c r="BD328" i="1"/>
  <c r="BD336" i="1"/>
  <c r="BD344" i="1"/>
  <c r="BD352" i="1"/>
  <c r="BD360" i="1"/>
  <c r="BD368" i="1"/>
  <c r="BD376" i="1"/>
  <c r="BD384" i="1"/>
  <c r="BD392" i="1"/>
  <c r="BD400" i="1"/>
  <c r="BD408" i="1"/>
  <c r="BD416" i="1"/>
  <c r="BD424" i="1"/>
  <c r="BD432" i="1"/>
  <c r="BD440" i="1"/>
  <c r="BD448" i="1"/>
  <c r="BD456" i="1"/>
  <c r="BD464" i="1"/>
  <c r="BD472" i="1"/>
  <c r="BD480" i="1"/>
  <c r="BD488" i="1"/>
  <c r="BD496" i="1"/>
  <c r="BD504" i="1"/>
  <c r="BD512" i="1"/>
  <c r="BD520" i="1"/>
  <c r="BD528" i="1"/>
  <c r="BD536" i="1"/>
  <c r="BD544" i="1"/>
  <c r="BD552" i="1"/>
  <c r="BD560" i="1"/>
  <c r="BD568" i="1"/>
  <c r="BD576" i="1"/>
  <c r="BD584" i="1"/>
  <c r="BD592" i="1"/>
  <c r="BD600" i="1"/>
  <c r="BD608" i="1"/>
  <c r="BD616" i="1"/>
  <c r="BD624" i="1"/>
  <c r="BD632" i="1"/>
  <c r="BD640" i="1"/>
  <c r="BD648" i="1"/>
  <c r="BD656" i="1"/>
  <c r="BD664" i="1"/>
  <c r="BD672" i="1"/>
  <c r="BD6" i="1"/>
  <c r="BD17" i="1"/>
  <c r="BD28" i="1"/>
  <c r="BD38" i="1"/>
  <c r="BD49" i="1"/>
  <c r="BD60" i="1"/>
  <c r="BD70" i="1"/>
  <c r="BD81" i="1"/>
  <c r="BD92" i="1"/>
  <c r="BD102" i="1"/>
  <c r="BD113" i="1"/>
  <c r="BD124" i="1"/>
  <c r="BD134" i="1"/>
  <c r="BD145" i="1"/>
  <c r="BD156" i="1"/>
  <c r="BD166" i="1"/>
  <c r="BD177" i="1"/>
  <c r="BD188" i="1"/>
  <c r="BD198" i="1"/>
  <c r="BD209" i="1"/>
  <c r="BD220" i="1"/>
  <c r="BD230" i="1"/>
  <c r="BD241" i="1"/>
  <c r="BD252" i="1"/>
  <c r="BD262" i="1"/>
  <c r="BD273" i="1"/>
  <c r="BD284" i="1"/>
  <c r="BD294" i="1"/>
  <c r="BD305" i="1"/>
  <c r="BD316" i="1"/>
  <c r="BD326" i="1"/>
  <c r="BD337" i="1"/>
  <c r="BD348" i="1"/>
  <c r="BD358" i="1"/>
  <c r="BD369" i="1"/>
  <c r="BD380" i="1"/>
  <c r="BD390" i="1"/>
  <c r="BD401" i="1"/>
  <c r="BD412" i="1"/>
  <c r="BD422" i="1"/>
  <c r="BD433" i="1"/>
  <c r="BD444" i="1"/>
  <c r="BD454" i="1"/>
  <c r="BD465" i="1"/>
  <c r="BD476" i="1"/>
  <c r="BD486" i="1"/>
  <c r="BD497" i="1"/>
  <c r="BD508" i="1"/>
  <c r="BD518" i="1"/>
  <c r="BD529" i="1"/>
  <c r="BD540" i="1"/>
  <c r="BD550" i="1"/>
  <c r="BD561" i="1"/>
  <c r="BD572" i="1"/>
  <c r="BD582" i="1"/>
  <c r="BD593" i="1"/>
  <c r="BD604" i="1"/>
  <c r="BD614" i="1"/>
  <c r="BD625" i="1"/>
  <c r="BD636" i="1"/>
  <c r="BD646" i="1"/>
  <c r="BD657" i="1"/>
  <c r="BD668" i="1"/>
  <c r="BD677" i="1"/>
  <c r="BD685" i="1"/>
  <c r="BD693" i="1"/>
  <c r="BD701" i="1"/>
  <c r="BD709" i="1"/>
  <c r="BD717" i="1"/>
  <c r="BD725" i="1"/>
  <c r="BD733" i="1"/>
  <c r="BD741" i="1"/>
  <c r="BD749" i="1"/>
  <c r="BD757" i="1"/>
  <c r="BD765" i="1"/>
  <c r="BD773" i="1"/>
  <c r="BD781" i="1"/>
  <c r="BD789" i="1"/>
  <c r="BD797" i="1"/>
  <c r="BD805" i="1"/>
  <c r="BD813" i="1"/>
  <c r="BD821" i="1"/>
  <c r="BD829" i="1"/>
  <c r="BD837" i="1"/>
  <c r="BD845" i="1"/>
  <c r="BD853" i="1"/>
  <c r="BD7" i="1"/>
  <c r="BD18" i="1"/>
  <c r="BD29" i="1"/>
  <c r="BD39" i="1"/>
  <c r="BD50" i="1"/>
  <c r="BD61" i="1"/>
  <c r="BD71" i="1"/>
  <c r="BD82" i="1"/>
  <c r="BD93" i="1"/>
  <c r="BD103" i="1"/>
  <c r="BD114" i="1"/>
  <c r="BD125" i="1"/>
  <c r="BD135" i="1"/>
  <c r="BD146" i="1"/>
  <c r="BD157" i="1"/>
  <c r="BD167" i="1"/>
  <c r="BD178" i="1"/>
  <c r="B178" i="58" s="1"/>
  <c r="BD189" i="1"/>
  <c r="BD199" i="1"/>
  <c r="BD210" i="1"/>
  <c r="BD221" i="1"/>
  <c r="BD231" i="1"/>
  <c r="BD242" i="1"/>
  <c r="BD253" i="1"/>
  <c r="BD263" i="1"/>
  <c r="BD274" i="1"/>
  <c r="BD285" i="1"/>
  <c r="BD295" i="1"/>
  <c r="BD306" i="1"/>
  <c r="BD317" i="1"/>
  <c r="BD327" i="1"/>
  <c r="BD338" i="1"/>
  <c r="BD349" i="1"/>
  <c r="BD359" i="1"/>
  <c r="BD370" i="1"/>
  <c r="BD381" i="1"/>
  <c r="BD391" i="1"/>
  <c r="BD402" i="1"/>
  <c r="BD413" i="1"/>
  <c r="BD423" i="1"/>
  <c r="BD434" i="1"/>
  <c r="BD445" i="1"/>
  <c r="BD455" i="1"/>
  <c r="BD466" i="1"/>
  <c r="BD477" i="1"/>
  <c r="BD487" i="1"/>
  <c r="BD498" i="1"/>
  <c r="BD509" i="1"/>
  <c r="BD519" i="1"/>
  <c r="BD530" i="1"/>
  <c r="BD541" i="1"/>
  <c r="BD551" i="1"/>
  <c r="BD562" i="1"/>
  <c r="BD573" i="1"/>
  <c r="BD583" i="1"/>
  <c r="BD594" i="1"/>
  <c r="BD605" i="1"/>
  <c r="BD615" i="1"/>
  <c r="BD626" i="1"/>
  <c r="BD637" i="1"/>
  <c r="BD647" i="1"/>
  <c r="BD658" i="1"/>
  <c r="BD669" i="1"/>
  <c r="BD678" i="1"/>
  <c r="BD686" i="1"/>
  <c r="BD694" i="1"/>
  <c r="BD702" i="1"/>
  <c r="BD710" i="1"/>
  <c r="BD718" i="1"/>
  <c r="BD726" i="1"/>
  <c r="BD734" i="1"/>
  <c r="BD742" i="1"/>
  <c r="BD750" i="1"/>
  <c r="BD758" i="1"/>
  <c r="BD766" i="1"/>
  <c r="BD774" i="1"/>
  <c r="BD782" i="1"/>
  <c r="BD790" i="1"/>
  <c r="BD798" i="1"/>
  <c r="BD806" i="1"/>
  <c r="BD814" i="1"/>
  <c r="BD822" i="1"/>
  <c r="BD830" i="1"/>
  <c r="BD838" i="1"/>
  <c r="BD846" i="1"/>
  <c r="BD9" i="1"/>
  <c r="BD20" i="1"/>
  <c r="BD30" i="1"/>
  <c r="BD41" i="1"/>
  <c r="BD52" i="1"/>
  <c r="BD62" i="1"/>
  <c r="BD73" i="1"/>
  <c r="BD84" i="1"/>
  <c r="BD94" i="1"/>
  <c r="BD105" i="1"/>
  <c r="BD116" i="1"/>
  <c r="BD126" i="1"/>
  <c r="BD137" i="1"/>
  <c r="BD148" i="1"/>
  <c r="BD158" i="1"/>
  <c r="BD169" i="1"/>
  <c r="BD180" i="1"/>
  <c r="BD190" i="1"/>
  <c r="BD201" i="1"/>
  <c r="BD212" i="1"/>
  <c r="BD222" i="1"/>
  <c r="BD233" i="1"/>
  <c r="BD244" i="1"/>
  <c r="BD254" i="1"/>
  <c r="BD265" i="1"/>
  <c r="BD276" i="1"/>
  <c r="BD286" i="1"/>
  <c r="BD297" i="1"/>
  <c r="BD308" i="1"/>
  <c r="BD318" i="1"/>
  <c r="BD329" i="1"/>
  <c r="BD340" i="1"/>
  <c r="BD350" i="1"/>
  <c r="BD361" i="1"/>
  <c r="BD372" i="1"/>
  <c r="BD382" i="1"/>
  <c r="BD393" i="1"/>
  <c r="BD404" i="1"/>
  <c r="BD414" i="1"/>
  <c r="BD425" i="1"/>
  <c r="BD436" i="1"/>
  <c r="BD446" i="1"/>
  <c r="BD457" i="1"/>
  <c r="BD468" i="1"/>
  <c r="BD478" i="1"/>
  <c r="BD489" i="1"/>
  <c r="BD500" i="1"/>
  <c r="BD510" i="1"/>
  <c r="BD521" i="1"/>
  <c r="BD532" i="1"/>
  <c r="BD542" i="1"/>
  <c r="BD553" i="1"/>
  <c r="BD564" i="1"/>
  <c r="BD574" i="1"/>
  <c r="BD585" i="1"/>
  <c r="BD596" i="1"/>
  <c r="BD606" i="1"/>
  <c r="BD617" i="1"/>
  <c r="BD628" i="1"/>
  <c r="BD638" i="1"/>
  <c r="BD649" i="1"/>
  <c r="BD660" i="1"/>
  <c r="BD670" i="1"/>
  <c r="BD679" i="1"/>
  <c r="BD687" i="1"/>
  <c r="BD695" i="1"/>
  <c r="BD703" i="1"/>
  <c r="BD711" i="1"/>
  <c r="BD719" i="1"/>
  <c r="BD727" i="1"/>
  <c r="BD735" i="1"/>
  <c r="BD743" i="1"/>
  <c r="BD751" i="1"/>
  <c r="BD759" i="1"/>
  <c r="BD767" i="1"/>
  <c r="BD775" i="1"/>
  <c r="BD783" i="1"/>
  <c r="BD791" i="1"/>
  <c r="BD799" i="1"/>
  <c r="BD807" i="1"/>
  <c r="BD815" i="1"/>
  <c r="BD823" i="1"/>
  <c r="BD831" i="1"/>
  <c r="BD10" i="1"/>
  <c r="BD21" i="1"/>
  <c r="BD31" i="1"/>
  <c r="BD42" i="1"/>
  <c r="BD53" i="1"/>
  <c r="BD63" i="1"/>
  <c r="BD74" i="1"/>
  <c r="BD85" i="1"/>
  <c r="BD95" i="1"/>
  <c r="BD106" i="1"/>
  <c r="BD117" i="1"/>
  <c r="BD127" i="1"/>
  <c r="BD138" i="1"/>
  <c r="BD149" i="1"/>
  <c r="BD159" i="1"/>
  <c r="BD170" i="1"/>
  <c r="BD181" i="1"/>
  <c r="BD191" i="1"/>
  <c r="BD202" i="1"/>
  <c r="BD213" i="1"/>
  <c r="BD223" i="1"/>
  <c r="BD234" i="1"/>
  <c r="BD245" i="1"/>
  <c r="BD255" i="1"/>
  <c r="BD266" i="1"/>
  <c r="BD277" i="1"/>
  <c r="BD287" i="1"/>
  <c r="BD298" i="1"/>
  <c r="BD309" i="1"/>
  <c r="BD319" i="1"/>
  <c r="BD330" i="1"/>
  <c r="BD341" i="1"/>
  <c r="BD351" i="1"/>
  <c r="BD362" i="1"/>
  <c r="BD373" i="1"/>
  <c r="BD383" i="1"/>
  <c r="BD394" i="1"/>
  <c r="BD405" i="1"/>
  <c r="BD415" i="1"/>
  <c r="BD426" i="1"/>
  <c r="BD437" i="1"/>
  <c r="BD447" i="1"/>
  <c r="BD458" i="1"/>
  <c r="BD469" i="1"/>
  <c r="BD479" i="1"/>
  <c r="BD490" i="1"/>
  <c r="BD501" i="1"/>
  <c r="BD511" i="1"/>
  <c r="BD522" i="1"/>
  <c r="BD533" i="1"/>
  <c r="BD543" i="1"/>
  <c r="BD554" i="1"/>
  <c r="BD565" i="1"/>
  <c r="BD575" i="1"/>
  <c r="BD586" i="1"/>
  <c r="BD597" i="1"/>
  <c r="BD607" i="1"/>
  <c r="BD618" i="1"/>
  <c r="BD629" i="1"/>
  <c r="BD639" i="1"/>
  <c r="BD650" i="1"/>
  <c r="BD661" i="1"/>
  <c r="BD671" i="1"/>
  <c r="BD680" i="1"/>
  <c r="BD688" i="1"/>
  <c r="BD696" i="1"/>
  <c r="BD704" i="1"/>
  <c r="BD712" i="1"/>
  <c r="BD720" i="1"/>
  <c r="BD728" i="1"/>
  <c r="BD736" i="1"/>
  <c r="BD744" i="1"/>
  <c r="BD752" i="1"/>
  <c r="BD760" i="1"/>
  <c r="BD768" i="1"/>
  <c r="BD776" i="1"/>
  <c r="BD784" i="1"/>
  <c r="BD792" i="1"/>
  <c r="BD800" i="1"/>
  <c r="BD808" i="1"/>
  <c r="BD816" i="1"/>
  <c r="BD824" i="1"/>
  <c r="BD832" i="1"/>
  <c r="BD840" i="1"/>
  <c r="BD848" i="1"/>
  <c r="BD13" i="1"/>
  <c r="BD23" i="1"/>
  <c r="BD34" i="1"/>
  <c r="BD45" i="1"/>
  <c r="BD55" i="1"/>
  <c r="BD66" i="1"/>
  <c r="BD77" i="1"/>
  <c r="BD87" i="1"/>
  <c r="BD98" i="1"/>
  <c r="BD109" i="1"/>
  <c r="BD119" i="1"/>
  <c r="BD130" i="1"/>
  <c r="BD141" i="1"/>
  <c r="BD151" i="1"/>
  <c r="BD162" i="1"/>
  <c r="BD173" i="1"/>
  <c r="BD183" i="1"/>
  <c r="BD194" i="1"/>
  <c r="BD205" i="1"/>
  <c r="BD215" i="1"/>
  <c r="BD226" i="1"/>
  <c r="BD237" i="1"/>
  <c r="BD247" i="1"/>
  <c r="BD258" i="1"/>
  <c r="BD269" i="1"/>
  <c r="BD279" i="1"/>
  <c r="BD290" i="1"/>
  <c r="BD301" i="1"/>
  <c r="BD311" i="1"/>
  <c r="BD322" i="1"/>
  <c r="BD333" i="1"/>
  <c r="BD343" i="1"/>
  <c r="BD354" i="1"/>
  <c r="BD365" i="1"/>
  <c r="BD375" i="1"/>
  <c r="BD386" i="1"/>
  <c r="BD397" i="1"/>
  <c r="BD407" i="1"/>
  <c r="BD418" i="1"/>
  <c r="BD429" i="1"/>
  <c r="BD439" i="1"/>
  <c r="BD450" i="1"/>
  <c r="BD461" i="1"/>
  <c r="BD471" i="1"/>
  <c r="BD482" i="1"/>
  <c r="BD493" i="1"/>
  <c r="BD503" i="1"/>
  <c r="BD514" i="1"/>
  <c r="BD525" i="1"/>
  <c r="BD535" i="1"/>
  <c r="BD546" i="1"/>
  <c r="BD557" i="1"/>
  <c r="BD567" i="1"/>
  <c r="BD578" i="1"/>
  <c r="BD589" i="1"/>
  <c r="BD599" i="1"/>
  <c r="BD610" i="1"/>
  <c r="BD621" i="1"/>
  <c r="BD631" i="1"/>
  <c r="BD642" i="1"/>
  <c r="BD653" i="1"/>
  <c r="BD663" i="1"/>
  <c r="BD674" i="1"/>
  <c r="BD682" i="1"/>
  <c r="BD690" i="1"/>
  <c r="BD698" i="1"/>
  <c r="BD706" i="1"/>
  <c r="BD714" i="1"/>
  <c r="BD722" i="1"/>
  <c r="BD730" i="1"/>
  <c r="BD738" i="1"/>
  <c r="BD746" i="1"/>
  <c r="BD754" i="1"/>
  <c r="BD762" i="1"/>
  <c r="BD770" i="1"/>
  <c r="BD778" i="1"/>
  <c r="BD786" i="1"/>
  <c r="BD794" i="1"/>
  <c r="BD802" i="1"/>
  <c r="BD810" i="1"/>
  <c r="BD818" i="1"/>
  <c r="BD826" i="1"/>
  <c r="BD834" i="1"/>
  <c r="BD842" i="1"/>
  <c r="BD4" i="1"/>
  <c r="BD14" i="1"/>
  <c r="BD25" i="1"/>
  <c r="BD36" i="1"/>
  <c r="BD46" i="1"/>
  <c r="BD57" i="1"/>
  <c r="BD68" i="1"/>
  <c r="BD78" i="1"/>
  <c r="BD89" i="1"/>
  <c r="BD100" i="1"/>
  <c r="BD110" i="1"/>
  <c r="BD121" i="1"/>
  <c r="BD132" i="1"/>
  <c r="BD142" i="1"/>
  <c r="BD153" i="1"/>
  <c r="BD164" i="1"/>
  <c r="BD174" i="1"/>
  <c r="BD185" i="1"/>
  <c r="BD196" i="1"/>
  <c r="BD206" i="1"/>
  <c r="BD217" i="1"/>
  <c r="BD228" i="1"/>
  <c r="BD238" i="1"/>
  <c r="BD249" i="1"/>
  <c r="BD260" i="1"/>
  <c r="BD270" i="1"/>
  <c r="BD281" i="1"/>
  <c r="BD292" i="1"/>
  <c r="BD302" i="1"/>
  <c r="BD313" i="1"/>
  <c r="BD324" i="1"/>
  <c r="BD334" i="1"/>
  <c r="BD345" i="1"/>
  <c r="BD356" i="1"/>
  <c r="BD366" i="1"/>
  <c r="BD377" i="1"/>
  <c r="BD388" i="1"/>
  <c r="BD398" i="1"/>
  <c r="BD409" i="1"/>
  <c r="BD420" i="1"/>
  <c r="BD430" i="1"/>
  <c r="BD441" i="1"/>
  <c r="BD452" i="1"/>
  <c r="BD462" i="1"/>
  <c r="BD473" i="1"/>
  <c r="BD484" i="1"/>
  <c r="BD494" i="1"/>
  <c r="BD505" i="1"/>
  <c r="BD516" i="1"/>
  <c r="BD526" i="1"/>
  <c r="BD537" i="1"/>
  <c r="BD548" i="1"/>
  <c r="BD558" i="1"/>
  <c r="BD569" i="1"/>
  <c r="BD580" i="1"/>
  <c r="BD590" i="1"/>
  <c r="BD601" i="1"/>
  <c r="BD612" i="1"/>
  <c r="BD622" i="1"/>
  <c r="BD633" i="1"/>
  <c r="BD644" i="1"/>
  <c r="BD654" i="1"/>
  <c r="BD665" i="1"/>
  <c r="BD675" i="1"/>
  <c r="BD683" i="1"/>
  <c r="BD691" i="1"/>
  <c r="BD699" i="1"/>
  <c r="BD707" i="1"/>
  <c r="BD715" i="1"/>
  <c r="BD723" i="1"/>
  <c r="BD731" i="1"/>
  <c r="BD739" i="1"/>
  <c r="BD747" i="1"/>
  <c r="BD755" i="1"/>
  <c r="BD763" i="1"/>
  <c r="BD771" i="1"/>
  <c r="BD779" i="1"/>
  <c r="BD787" i="1"/>
  <c r="BD795" i="1"/>
  <c r="BD803" i="1"/>
  <c r="BD811" i="1"/>
  <c r="BD819" i="1"/>
  <c r="BD827" i="1"/>
  <c r="BD835" i="1"/>
  <c r="BD843" i="1"/>
  <c r="BD15" i="1"/>
  <c r="BD58" i="1"/>
  <c r="BD101" i="1"/>
  <c r="BD143" i="1"/>
  <c r="BD186" i="1"/>
  <c r="BD229" i="1"/>
  <c r="BD271" i="1"/>
  <c r="BD314" i="1"/>
  <c r="BD357" i="1"/>
  <c r="BD399" i="1"/>
  <c r="BD442" i="1"/>
  <c r="BD485" i="1"/>
  <c r="BD527" i="1"/>
  <c r="BD570" i="1"/>
  <c r="BD613" i="1"/>
  <c r="BD655" i="1"/>
  <c r="BD692" i="1"/>
  <c r="BD724" i="1"/>
  <c r="BD756" i="1"/>
  <c r="BD788" i="1"/>
  <c r="BD820" i="1"/>
  <c r="BD847" i="1"/>
  <c r="BD857" i="1"/>
  <c r="BD865" i="1"/>
  <c r="BD873" i="1"/>
  <c r="BD881" i="1"/>
  <c r="BD889" i="1"/>
  <c r="BD897" i="1"/>
  <c r="BD905" i="1"/>
  <c r="BD913" i="1"/>
  <c r="BD921" i="1"/>
  <c r="BD929" i="1"/>
  <c r="BD937" i="1"/>
  <c r="BD945" i="1"/>
  <c r="BD953" i="1"/>
  <c r="BD961" i="1"/>
  <c r="BD969" i="1"/>
  <c r="BD977" i="1"/>
  <c r="BD985" i="1"/>
  <c r="BD993" i="1"/>
  <c r="BD1001" i="1"/>
  <c r="BD1009" i="1"/>
  <c r="BD1017" i="1"/>
  <c r="BD1025" i="1"/>
  <c r="BD1033" i="1"/>
  <c r="BD1041" i="1"/>
  <c r="BD1049" i="1"/>
  <c r="BD1057" i="1"/>
  <c r="BD1065" i="1"/>
  <c r="BD1073" i="1"/>
  <c r="BD1081" i="1"/>
  <c r="BD1089" i="1"/>
  <c r="BD1097" i="1"/>
  <c r="BD1105" i="1"/>
  <c r="BD1113" i="1"/>
  <c r="BD1121" i="1"/>
  <c r="BD1129" i="1"/>
  <c r="BD1137" i="1"/>
  <c r="BD1145" i="1"/>
  <c r="BD1153" i="1"/>
  <c r="BD1161" i="1"/>
  <c r="BD1169" i="1"/>
  <c r="BD1177" i="1"/>
  <c r="BD1185" i="1"/>
  <c r="BD1193" i="1"/>
  <c r="BD1201" i="1"/>
  <c r="BD1209" i="1"/>
  <c r="BD1217" i="1"/>
  <c r="BD1225" i="1"/>
  <c r="BD1233" i="1"/>
  <c r="BD1241" i="1"/>
  <c r="BD1249" i="1"/>
  <c r="BD1257" i="1"/>
  <c r="BD1265" i="1"/>
  <c r="BD1273" i="1"/>
  <c r="BD1281" i="1"/>
  <c r="BD1289" i="1"/>
  <c r="BD1297" i="1"/>
  <c r="BD1305" i="1"/>
  <c r="BD1313" i="1"/>
  <c r="BD1321" i="1"/>
  <c r="BD1329" i="1"/>
  <c r="BD1337" i="1"/>
  <c r="BD1345" i="1"/>
  <c r="BD1353" i="1"/>
  <c r="BD22" i="1"/>
  <c r="BD65" i="1"/>
  <c r="BD108" i="1"/>
  <c r="BD150" i="1"/>
  <c r="BD193" i="1"/>
  <c r="BD236" i="1"/>
  <c r="BD278" i="1"/>
  <c r="BD321" i="1"/>
  <c r="BD364" i="1"/>
  <c r="BD406" i="1"/>
  <c r="BD449" i="1"/>
  <c r="BD492" i="1"/>
  <c r="BD534" i="1"/>
  <c r="BD577" i="1"/>
  <c r="BD620" i="1"/>
  <c r="BD662" i="1"/>
  <c r="BD697" i="1"/>
  <c r="BD729" i="1"/>
  <c r="BD761" i="1"/>
  <c r="BD793" i="1"/>
  <c r="BD825" i="1"/>
  <c r="BD849" i="1"/>
  <c r="BD858" i="1"/>
  <c r="BD866" i="1"/>
  <c r="BD874" i="1"/>
  <c r="BD882" i="1"/>
  <c r="BD890" i="1"/>
  <c r="BD898" i="1"/>
  <c r="BD906" i="1"/>
  <c r="BD914" i="1"/>
  <c r="BD922" i="1"/>
  <c r="BD930" i="1"/>
  <c r="BD938" i="1"/>
  <c r="BD946" i="1"/>
  <c r="BD954" i="1"/>
  <c r="BD962" i="1"/>
  <c r="BD970" i="1"/>
  <c r="BD978" i="1"/>
  <c r="BD986" i="1"/>
  <c r="BD994" i="1"/>
  <c r="BD1002" i="1"/>
  <c r="BD1010" i="1"/>
  <c r="BD1018" i="1"/>
  <c r="BD1026" i="1"/>
  <c r="BD1034" i="1"/>
  <c r="BD1042" i="1"/>
  <c r="BD1050" i="1"/>
  <c r="BD1058" i="1"/>
  <c r="BD1066" i="1"/>
  <c r="BD1074" i="1"/>
  <c r="BD1082" i="1"/>
  <c r="BD1090" i="1"/>
  <c r="BD1098" i="1"/>
  <c r="BD1106" i="1"/>
  <c r="BD1114" i="1"/>
  <c r="BD1122" i="1"/>
  <c r="BD1130" i="1"/>
  <c r="BD1138" i="1"/>
  <c r="BD1146" i="1"/>
  <c r="BD1154" i="1"/>
  <c r="BD1162" i="1"/>
  <c r="BD1170" i="1"/>
  <c r="BD1178" i="1"/>
  <c r="BD1186" i="1"/>
  <c r="BD1194" i="1"/>
  <c r="BD1202" i="1"/>
  <c r="BD1210" i="1"/>
  <c r="BD1218" i="1"/>
  <c r="BD1226" i="1"/>
  <c r="BD1234" i="1"/>
  <c r="BD1242" i="1"/>
  <c r="BD1250" i="1"/>
  <c r="BD1258" i="1"/>
  <c r="BD1266" i="1"/>
  <c r="BD1274" i="1"/>
  <c r="BD1282" i="1"/>
  <c r="BD1290" i="1"/>
  <c r="BD1298" i="1"/>
  <c r="BD1306" i="1"/>
  <c r="BD1314" i="1"/>
  <c r="BD1322" i="1"/>
  <c r="BD1330" i="1"/>
  <c r="BD1338" i="1"/>
  <c r="BD1346" i="1"/>
  <c r="BD1354" i="1"/>
  <c r="BD26" i="1"/>
  <c r="BD69" i="1"/>
  <c r="BD111" i="1"/>
  <c r="BD154" i="1"/>
  <c r="BD197" i="1"/>
  <c r="BD239" i="1"/>
  <c r="BD282" i="1"/>
  <c r="BD325" i="1"/>
  <c r="BD367" i="1"/>
  <c r="BD410" i="1"/>
  <c r="BD453" i="1"/>
  <c r="BD495" i="1"/>
  <c r="BD538" i="1"/>
  <c r="BD581" i="1"/>
  <c r="BD623" i="1"/>
  <c r="BD666" i="1"/>
  <c r="BD700" i="1"/>
  <c r="BD732" i="1"/>
  <c r="BD764" i="1"/>
  <c r="BD796" i="1"/>
  <c r="BD828" i="1"/>
  <c r="BD850" i="1"/>
  <c r="BD859" i="1"/>
  <c r="BD867" i="1"/>
  <c r="BD875" i="1"/>
  <c r="BD883" i="1"/>
  <c r="BD891" i="1"/>
  <c r="BD899" i="1"/>
  <c r="BD907" i="1"/>
  <c r="BD915" i="1"/>
  <c r="BD923" i="1"/>
  <c r="BD931" i="1"/>
  <c r="BD939" i="1"/>
  <c r="BD947" i="1"/>
  <c r="BD955" i="1"/>
  <c r="BD963" i="1"/>
  <c r="BD971" i="1"/>
  <c r="BD979" i="1"/>
  <c r="BD987" i="1"/>
  <c r="BD995" i="1"/>
  <c r="BD1003" i="1"/>
  <c r="BD1011" i="1"/>
  <c r="BD1019" i="1"/>
  <c r="BD1027" i="1"/>
  <c r="BD1035" i="1"/>
  <c r="BD1043" i="1"/>
  <c r="BD1051" i="1"/>
  <c r="BD1059" i="1"/>
  <c r="BD1067" i="1"/>
  <c r="BD1075" i="1"/>
  <c r="BD1083" i="1"/>
  <c r="BD1091" i="1"/>
  <c r="BD1099" i="1"/>
  <c r="BD1107" i="1"/>
  <c r="BD1115" i="1"/>
  <c r="BD1123" i="1"/>
  <c r="BD1131" i="1"/>
  <c r="BD1139" i="1"/>
  <c r="BD1147" i="1"/>
  <c r="BD1155" i="1"/>
  <c r="BD1163" i="1"/>
  <c r="BD1171" i="1"/>
  <c r="BD1179" i="1"/>
  <c r="BD1187" i="1"/>
  <c r="BD1195" i="1"/>
  <c r="BD1203" i="1"/>
  <c r="BD1211" i="1"/>
  <c r="BD1219" i="1"/>
  <c r="BD1227" i="1"/>
  <c r="BD1235" i="1"/>
  <c r="BD1243" i="1"/>
  <c r="BD1251" i="1"/>
  <c r="BD1259" i="1"/>
  <c r="BD1267" i="1"/>
  <c r="BD1275" i="1"/>
  <c r="BD1283" i="1"/>
  <c r="BD1291" i="1"/>
  <c r="BD1299" i="1"/>
  <c r="BD1307" i="1"/>
  <c r="BD1315" i="1"/>
  <c r="BD1323" i="1"/>
  <c r="BD1331" i="1"/>
  <c r="BD1339" i="1"/>
  <c r="BD1347" i="1"/>
  <c r="BD1355" i="1"/>
  <c r="BD33" i="1"/>
  <c r="BD76" i="1"/>
  <c r="BD118" i="1"/>
  <c r="BD161" i="1"/>
  <c r="BD204" i="1"/>
  <c r="BD246" i="1"/>
  <c r="BD289" i="1"/>
  <c r="BD332" i="1"/>
  <c r="BD374" i="1"/>
  <c r="BD417" i="1"/>
  <c r="BD460" i="1"/>
  <c r="BD502" i="1"/>
  <c r="BD545" i="1"/>
  <c r="BD588" i="1"/>
  <c r="BD630" i="1"/>
  <c r="BD673" i="1"/>
  <c r="BD705" i="1"/>
  <c r="BD737" i="1"/>
  <c r="BD769" i="1"/>
  <c r="BD801" i="1"/>
  <c r="BD833" i="1"/>
  <c r="BD851" i="1"/>
  <c r="BD860" i="1"/>
  <c r="BD868" i="1"/>
  <c r="BD876" i="1"/>
  <c r="BD884" i="1"/>
  <c r="BD892" i="1"/>
  <c r="BD900" i="1"/>
  <c r="BD908" i="1"/>
  <c r="BD916" i="1"/>
  <c r="BD924" i="1"/>
  <c r="BD932" i="1"/>
  <c r="BD940" i="1"/>
  <c r="BD948" i="1"/>
  <c r="BD956" i="1"/>
  <c r="BD964" i="1"/>
  <c r="BD972" i="1"/>
  <c r="BD980" i="1"/>
  <c r="BD988" i="1"/>
  <c r="BD996" i="1"/>
  <c r="BD1004" i="1"/>
  <c r="BD1012" i="1"/>
  <c r="BD1020" i="1"/>
  <c r="BD1028" i="1"/>
  <c r="BD1036" i="1"/>
  <c r="BD1044" i="1"/>
  <c r="BD1052" i="1"/>
  <c r="BD1060" i="1"/>
  <c r="BD1068" i="1"/>
  <c r="BD1076" i="1"/>
  <c r="BD1084" i="1"/>
  <c r="BD1092" i="1"/>
  <c r="BD1100" i="1"/>
  <c r="BD1108" i="1"/>
  <c r="BD1116" i="1"/>
  <c r="BD1124" i="1"/>
  <c r="BD1132" i="1"/>
  <c r="BD1140" i="1"/>
  <c r="BD1148" i="1"/>
  <c r="BD1156" i="1"/>
  <c r="BD1164" i="1"/>
  <c r="BD1172" i="1"/>
  <c r="BD1180" i="1"/>
  <c r="BD1188" i="1"/>
  <c r="BD1196" i="1"/>
  <c r="BD1204" i="1"/>
  <c r="BD1212" i="1"/>
  <c r="BD1220" i="1"/>
  <c r="BD1228" i="1"/>
  <c r="BD1236" i="1"/>
  <c r="BD1244" i="1"/>
  <c r="BD1252" i="1"/>
  <c r="BD1260" i="1"/>
  <c r="BD1268" i="1"/>
  <c r="BD1276" i="1"/>
  <c r="BD1284" i="1"/>
  <c r="BD1292" i="1"/>
  <c r="BD1300" i="1"/>
  <c r="BD1308" i="1"/>
  <c r="BD1316" i="1"/>
  <c r="BD1324" i="1"/>
  <c r="BD1332" i="1"/>
  <c r="BD1340" i="1"/>
  <c r="BD1348" i="1"/>
  <c r="BD1356" i="1"/>
  <c r="BD37" i="1"/>
  <c r="BD79" i="1"/>
  <c r="BD122" i="1"/>
  <c r="BD165" i="1"/>
  <c r="BD207" i="1"/>
  <c r="BD250" i="1"/>
  <c r="BD293" i="1"/>
  <c r="BD335" i="1"/>
  <c r="BD378" i="1"/>
  <c r="BD421" i="1"/>
  <c r="BD463" i="1"/>
  <c r="BD506" i="1"/>
  <c r="BD549" i="1"/>
  <c r="BD591" i="1"/>
  <c r="BD634" i="1"/>
  <c r="BD676" i="1"/>
  <c r="BD708" i="1"/>
  <c r="BD740" i="1"/>
  <c r="BD772" i="1"/>
  <c r="BD804" i="1"/>
  <c r="BD836" i="1"/>
  <c r="BD852" i="1"/>
  <c r="BD861" i="1"/>
  <c r="BD869" i="1"/>
  <c r="BD877" i="1"/>
  <c r="BD885" i="1"/>
  <c r="BD893" i="1"/>
  <c r="BD901" i="1"/>
  <c r="BD909" i="1"/>
  <c r="BD917" i="1"/>
  <c r="BD925" i="1"/>
  <c r="BD933" i="1"/>
  <c r="BD941" i="1"/>
  <c r="BD949" i="1"/>
  <c r="BD957" i="1"/>
  <c r="BD965" i="1"/>
  <c r="BD973" i="1"/>
  <c r="BD981" i="1"/>
  <c r="BD989" i="1"/>
  <c r="BD997" i="1"/>
  <c r="BD1005" i="1"/>
  <c r="BD1013" i="1"/>
  <c r="BD1021" i="1"/>
  <c r="BD1029" i="1"/>
  <c r="BD1037" i="1"/>
  <c r="BD1045" i="1"/>
  <c r="BD1053" i="1"/>
  <c r="BD1061" i="1"/>
  <c r="BD1069" i="1"/>
  <c r="BD1077" i="1"/>
  <c r="BD1085" i="1"/>
  <c r="BD1093" i="1"/>
  <c r="BD1101" i="1"/>
  <c r="BD1109" i="1"/>
  <c r="BD1117" i="1"/>
  <c r="BD1125" i="1"/>
  <c r="BD1133" i="1"/>
  <c r="BD1141" i="1"/>
  <c r="BD1149" i="1"/>
  <c r="BD1157" i="1"/>
  <c r="BD1165" i="1"/>
  <c r="BD1173" i="1"/>
  <c r="BD1181" i="1"/>
  <c r="BD1189" i="1"/>
  <c r="BD1197" i="1"/>
  <c r="BD1205" i="1"/>
  <c r="BD1213" i="1"/>
  <c r="BD1221" i="1"/>
  <c r="BD1229" i="1"/>
  <c r="BD1237" i="1"/>
  <c r="BD1245" i="1"/>
  <c r="BD1253" i="1"/>
  <c r="BD1261" i="1"/>
  <c r="BD1269" i="1"/>
  <c r="BD1277" i="1"/>
  <c r="BD1285" i="1"/>
  <c r="BD1293" i="1"/>
  <c r="BD1301" i="1"/>
  <c r="BD1309" i="1"/>
  <c r="BD1317" i="1"/>
  <c r="BD1325" i="1"/>
  <c r="BD1333" i="1"/>
  <c r="BD1341" i="1"/>
  <c r="BD1349" i="1"/>
  <c r="BD1357" i="1"/>
  <c r="BD44" i="1"/>
  <c r="BD86" i="1"/>
  <c r="BD129" i="1"/>
  <c r="BD172" i="1"/>
  <c r="BD214" i="1"/>
  <c r="BD257" i="1"/>
  <c r="BD300" i="1"/>
  <c r="BD342" i="1"/>
  <c r="BD385" i="1"/>
  <c r="BD428" i="1"/>
  <c r="BD470" i="1"/>
  <c r="BD513" i="1"/>
  <c r="BD556" i="1"/>
  <c r="BD598" i="1"/>
  <c r="BD641" i="1"/>
  <c r="BD681" i="1"/>
  <c r="BD713" i="1"/>
  <c r="BD745" i="1"/>
  <c r="BD777" i="1"/>
  <c r="BD809" i="1"/>
  <c r="BD839" i="1"/>
  <c r="BD854" i="1"/>
  <c r="BD862" i="1"/>
  <c r="BD870" i="1"/>
  <c r="BD878" i="1"/>
  <c r="BD886" i="1"/>
  <c r="BD894" i="1"/>
  <c r="BD902" i="1"/>
  <c r="BD910" i="1"/>
  <c r="BD918" i="1"/>
  <c r="BD926" i="1"/>
  <c r="BD934" i="1"/>
  <c r="BD942" i="1"/>
  <c r="BD950" i="1"/>
  <c r="BD958" i="1"/>
  <c r="BD966" i="1"/>
  <c r="BD974" i="1"/>
  <c r="BD982" i="1"/>
  <c r="BD990" i="1"/>
  <c r="BD998" i="1"/>
  <c r="BD1006" i="1"/>
  <c r="BD1014" i="1"/>
  <c r="BD1022" i="1"/>
  <c r="BD1030" i="1"/>
  <c r="BD1038" i="1"/>
  <c r="BD1046" i="1"/>
  <c r="BD1054" i="1"/>
  <c r="BD1062" i="1"/>
  <c r="BD1070" i="1"/>
  <c r="BD1078" i="1"/>
  <c r="BD1086" i="1"/>
  <c r="BD1094" i="1"/>
  <c r="BD1102" i="1"/>
  <c r="BD1110" i="1"/>
  <c r="BD1118" i="1"/>
  <c r="BD1126" i="1"/>
  <c r="BD1134" i="1"/>
  <c r="BD1142" i="1"/>
  <c r="BD1150" i="1"/>
  <c r="BD1158" i="1"/>
  <c r="BD1166" i="1"/>
  <c r="BD1174" i="1"/>
  <c r="BD1182" i="1"/>
  <c r="BD1190" i="1"/>
  <c r="BD1198" i="1"/>
  <c r="BD1206" i="1"/>
  <c r="BD1214" i="1"/>
  <c r="BD1222" i="1"/>
  <c r="BD1230" i="1"/>
  <c r="BD1238" i="1"/>
  <c r="BD1246" i="1"/>
  <c r="BD1254" i="1"/>
  <c r="BD1262" i="1"/>
  <c r="BD1270" i="1"/>
  <c r="BD1278" i="1"/>
  <c r="BD1286" i="1"/>
  <c r="BD1294" i="1"/>
  <c r="BD1302" i="1"/>
  <c r="BD1310" i="1"/>
  <c r="BD1318" i="1"/>
  <c r="BD1326" i="1"/>
  <c r="BD1334" i="1"/>
  <c r="BD1342" i="1"/>
  <c r="BD1350" i="1"/>
  <c r="BD1358" i="1"/>
  <c r="BD5" i="1"/>
  <c r="BD47" i="1"/>
  <c r="BD90" i="1"/>
  <c r="BD133" i="1"/>
  <c r="BD175" i="1"/>
  <c r="BD218" i="1"/>
  <c r="BD261" i="1"/>
  <c r="BD303" i="1"/>
  <c r="BD346" i="1"/>
  <c r="BD389" i="1"/>
  <c r="BD431" i="1"/>
  <c r="BD474" i="1"/>
  <c r="BD517" i="1"/>
  <c r="BD559" i="1"/>
  <c r="BD602" i="1"/>
  <c r="BD645" i="1"/>
  <c r="BD684" i="1"/>
  <c r="BD716" i="1"/>
  <c r="BD748" i="1"/>
  <c r="BD780" i="1"/>
  <c r="BD812" i="1"/>
  <c r="BD841" i="1"/>
  <c r="BD855" i="1"/>
  <c r="BD863" i="1"/>
  <c r="BD871" i="1"/>
  <c r="BD879" i="1"/>
  <c r="BD887" i="1"/>
  <c r="BD895" i="1"/>
  <c r="BD903" i="1"/>
  <c r="BD911" i="1"/>
  <c r="BD919" i="1"/>
  <c r="BD927" i="1"/>
  <c r="BD935" i="1"/>
  <c r="BD943" i="1"/>
  <c r="BD951" i="1"/>
  <c r="BD959" i="1"/>
  <c r="BD967" i="1"/>
  <c r="BD975" i="1"/>
  <c r="BD983" i="1"/>
  <c r="BD991" i="1"/>
  <c r="BD999" i="1"/>
  <c r="BD1007" i="1"/>
  <c r="BD1015" i="1"/>
  <c r="BD1023" i="1"/>
  <c r="BD1031" i="1"/>
  <c r="BD1039" i="1"/>
  <c r="BD1047" i="1"/>
  <c r="BD1055" i="1"/>
  <c r="BD1063" i="1"/>
  <c r="BD1071" i="1"/>
  <c r="BD1079" i="1"/>
  <c r="BD1087" i="1"/>
  <c r="BD1095" i="1"/>
  <c r="BD1103" i="1"/>
  <c r="BD1111" i="1"/>
  <c r="BD1119" i="1"/>
  <c r="BD1127" i="1"/>
  <c r="BD1135" i="1"/>
  <c r="BD1143" i="1"/>
  <c r="BD1151" i="1"/>
  <c r="BD1159" i="1"/>
  <c r="BD1167" i="1"/>
  <c r="BD1175" i="1"/>
  <c r="BD1183" i="1"/>
  <c r="BD1191" i="1"/>
  <c r="BD1199" i="1"/>
  <c r="BD1207" i="1"/>
  <c r="BD1215" i="1"/>
  <c r="BD1223" i="1"/>
  <c r="BD1231" i="1"/>
  <c r="BD1239" i="1"/>
  <c r="BD1247" i="1"/>
  <c r="BD1255" i="1"/>
  <c r="BD1263" i="1"/>
  <c r="BD1271" i="1"/>
  <c r="BD1279" i="1"/>
  <c r="BD1287" i="1"/>
  <c r="BD1295" i="1"/>
  <c r="BD1303" i="1"/>
  <c r="BD1311" i="1"/>
  <c r="BD1319" i="1"/>
  <c r="BD1327" i="1"/>
  <c r="BD1335" i="1"/>
  <c r="BD1343" i="1"/>
  <c r="BD1351" i="1"/>
  <c r="BD12" i="1"/>
  <c r="BD54" i="1"/>
  <c r="BD97" i="1"/>
  <c r="BD140" i="1"/>
  <c r="BD182" i="1"/>
  <c r="BD225" i="1"/>
  <c r="BD268" i="1"/>
  <c r="BD310" i="1"/>
  <c r="BD353" i="1"/>
  <c r="BD396" i="1"/>
  <c r="BD438" i="1"/>
  <c r="BD481" i="1"/>
  <c r="BD524" i="1"/>
  <c r="BD566" i="1"/>
  <c r="BD609" i="1"/>
  <c r="BD652" i="1"/>
  <c r="BD689" i="1"/>
  <c r="BD721" i="1"/>
  <c r="BD753" i="1"/>
  <c r="BD785" i="1"/>
  <c r="BD817" i="1"/>
  <c r="BD844" i="1"/>
  <c r="BD856" i="1"/>
  <c r="BD864" i="1"/>
  <c r="BD872" i="1"/>
  <c r="BD880" i="1"/>
  <c r="BD888" i="1"/>
  <c r="BD896" i="1"/>
  <c r="BD904" i="1"/>
  <c r="BD912" i="1"/>
  <c r="BD920" i="1"/>
  <c r="BD928" i="1"/>
  <c r="BD936" i="1"/>
  <c r="BD944" i="1"/>
  <c r="BD952" i="1"/>
  <c r="BD960" i="1"/>
  <c r="BD968" i="1"/>
  <c r="BD976" i="1"/>
  <c r="BD984" i="1"/>
  <c r="BD992" i="1"/>
  <c r="BD1000" i="1"/>
  <c r="BD1008" i="1"/>
  <c r="BD1016" i="1"/>
  <c r="BD1024" i="1"/>
  <c r="BD1032" i="1"/>
  <c r="BD1040" i="1"/>
  <c r="BD1048" i="1"/>
  <c r="BD1056" i="1"/>
  <c r="BD1064" i="1"/>
  <c r="BD1072" i="1"/>
  <c r="BD1080" i="1"/>
  <c r="BD1088" i="1"/>
  <c r="BD1096" i="1"/>
  <c r="BD1104" i="1"/>
  <c r="BD1112" i="1"/>
  <c r="BD1120" i="1"/>
  <c r="BD1128" i="1"/>
  <c r="BD1136" i="1"/>
  <c r="BD1144" i="1"/>
  <c r="BD1152" i="1"/>
  <c r="BD1160" i="1"/>
  <c r="BD1168" i="1"/>
  <c r="BD1176" i="1"/>
  <c r="BD1184" i="1"/>
  <c r="BD1192" i="1"/>
  <c r="BD1200" i="1"/>
  <c r="BD1208" i="1"/>
  <c r="BD1216" i="1"/>
  <c r="BD1224" i="1"/>
  <c r="BD1232" i="1"/>
  <c r="BD1240" i="1"/>
  <c r="BD1248" i="1"/>
  <c r="BD1256" i="1"/>
  <c r="BD1264" i="1"/>
  <c r="BD1272" i="1"/>
  <c r="BD1280" i="1"/>
  <c r="BD1288" i="1"/>
  <c r="BD1296" i="1"/>
  <c r="BD1304" i="1"/>
  <c r="BD1312" i="1"/>
  <c r="BD1320" i="1"/>
  <c r="BD1328" i="1"/>
  <c r="BD1336" i="1"/>
  <c r="BD1344" i="1"/>
  <c r="BD1352" i="1"/>
  <c r="BD1466" i="1"/>
  <c r="BD1458" i="1"/>
  <c r="BD1450" i="1"/>
  <c r="BD1442" i="1"/>
  <c r="BD1434" i="1"/>
  <c r="BD1426" i="1"/>
  <c r="BD1418" i="1"/>
  <c r="BD1410" i="1"/>
  <c r="BD1402" i="1"/>
  <c r="BD1394" i="1"/>
  <c r="BD1386" i="1"/>
  <c r="BD1378" i="1"/>
  <c r="BD1370" i="1"/>
  <c r="BD1362" i="1"/>
  <c r="BD1465" i="1"/>
  <c r="BD1457" i="1"/>
  <c r="BD1449" i="1"/>
  <c r="BD1441" i="1"/>
  <c r="BD1433" i="1"/>
  <c r="BD1425" i="1"/>
  <c r="BD1417" i="1"/>
  <c r="BD1409" i="1"/>
  <c r="BD1401" i="1"/>
  <c r="BD1393" i="1"/>
  <c r="BD1385" i="1"/>
  <c r="BD1377" i="1"/>
  <c r="BD1369" i="1"/>
  <c r="BD1361" i="1"/>
  <c r="CD30" i="1" l="1"/>
  <c r="CD29" i="1"/>
  <c r="CC28" i="1"/>
  <c r="CD26" i="1"/>
  <c r="CD25" i="1"/>
  <c r="CC24" i="1"/>
  <c r="CD22" i="1"/>
  <c r="CD21" i="1"/>
  <c r="CC20" i="1"/>
  <c r="CD18" i="1"/>
  <c r="CD17" i="1"/>
  <c r="AW128" i="1" s="1"/>
  <c r="CC16" i="1"/>
  <c r="CC11" i="1"/>
  <c r="CD12" i="1"/>
  <c r="CD13" i="1"/>
  <c r="CD9" i="1"/>
  <c r="CD8" i="1"/>
  <c r="B840" i="1" l="1"/>
  <c r="BF280" i="1"/>
  <c r="BG280" i="1" s="1"/>
  <c r="B505" i="1"/>
  <c r="L474" i="1"/>
  <c r="L1268" i="1"/>
  <c r="L1369" i="1"/>
  <c r="L1454" i="1"/>
  <c r="L1282" i="1"/>
  <c r="L1379" i="1"/>
  <c r="L1465" i="1"/>
  <c r="L1358" i="1"/>
  <c r="L1443" i="1"/>
  <c r="L1332" i="1"/>
  <c r="B1471" i="1"/>
  <c r="B1458" i="1"/>
  <c r="B1447" i="1"/>
  <c r="B1433" i="1"/>
  <c r="B1419" i="1"/>
  <c r="B1408" i="1"/>
  <c r="B1394" i="1"/>
  <c r="B1383" i="1"/>
  <c r="B1369" i="1"/>
  <c r="B1355" i="1"/>
  <c r="B1344" i="1"/>
  <c r="B1330" i="1"/>
  <c r="B1319" i="1"/>
  <c r="B1305" i="1"/>
  <c r="B1291" i="1"/>
  <c r="B1280" i="1"/>
  <c r="B1265" i="1"/>
  <c r="B1249" i="1"/>
  <c r="B1233" i="1"/>
  <c r="B1217" i="1"/>
  <c r="B1201" i="1"/>
  <c r="B1185" i="1"/>
  <c r="B1162" i="1"/>
  <c r="B1138" i="1"/>
  <c r="B1106" i="1"/>
  <c r="B1042" i="1"/>
  <c r="B959" i="1"/>
  <c r="B856" i="1"/>
  <c r="B727" i="1"/>
  <c r="L1422" i="1"/>
  <c r="L1307" i="1"/>
  <c r="B1467" i="1"/>
  <c r="B1456" i="1"/>
  <c r="B1442" i="1"/>
  <c r="B1431" i="1"/>
  <c r="B1417" i="1"/>
  <c r="B1403" i="1"/>
  <c r="B1392" i="1"/>
  <c r="B1378" i="1"/>
  <c r="B1367" i="1"/>
  <c r="B1353" i="1"/>
  <c r="B1339" i="1"/>
  <c r="B1328" i="1"/>
  <c r="B1314" i="1"/>
  <c r="B1303" i="1"/>
  <c r="B1289" i="1"/>
  <c r="B1275" i="1"/>
  <c r="B1259" i="1"/>
  <c r="B1243" i="1"/>
  <c r="B1227" i="1"/>
  <c r="B1211" i="1"/>
  <c r="B1195" i="1"/>
  <c r="B1178" i="1"/>
  <c r="B1155" i="1"/>
  <c r="B1130" i="1"/>
  <c r="B1090" i="1"/>
  <c r="B1025" i="1"/>
  <c r="B934" i="1"/>
  <c r="B824" i="1"/>
  <c r="B681" i="1"/>
  <c r="L1321" i="1"/>
  <c r="B1457" i="1"/>
  <c r="B1432" i="1"/>
  <c r="B1407" i="1"/>
  <c r="B1379" i="1"/>
  <c r="B1354" i="1"/>
  <c r="B1343" i="1"/>
  <c r="B1315" i="1"/>
  <c r="B1290" i="1"/>
  <c r="B1279" i="1"/>
  <c r="B1248" i="1"/>
  <c r="B1232" i="1"/>
  <c r="B1216" i="1"/>
  <c r="B1200" i="1"/>
  <c r="B1179" i="1"/>
  <c r="B1161" i="1"/>
  <c r="B1137" i="1"/>
  <c r="B1098" i="1"/>
  <c r="B1034" i="1"/>
  <c r="B945" i="1"/>
  <c r="B705" i="1"/>
  <c r="L1411" i="1"/>
  <c r="L1296" i="1"/>
  <c r="B1466" i="1"/>
  <c r="B1455" i="1"/>
  <c r="B1441" i="1"/>
  <c r="B1427" i="1"/>
  <c r="B1416" i="1"/>
  <c r="B1402" i="1"/>
  <c r="B1391" i="1"/>
  <c r="B1377" i="1"/>
  <c r="B1363" i="1"/>
  <c r="B1352" i="1"/>
  <c r="B1338" i="1"/>
  <c r="B1327" i="1"/>
  <c r="B1313" i="1"/>
  <c r="B1299" i="1"/>
  <c r="B1288" i="1"/>
  <c r="B1274" i="1"/>
  <c r="B1258" i="1"/>
  <c r="B1242" i="1"/>
  <c r="B1226" i="1"/>
  <c r="B1210" i="1"/>
  <c r="B1194" i="1"/>
  <c r="B1177" i="1"/>
  <c r="B1154" i="1"/>
  <c r="B1129" i="1"/>
  <c r="B1082" i="1"/>
  <c r="B1015" i="1"/>
  <c r="B920" i="1"/>
  <c r="B808" i="1"/>
  <c r="B632" i="1"/>
  <c r="L1433" i="1"/>
  <c r="B1470" i="1"/>
  <c r="B1443" i="1"/>
  <c r="B1418" i="1"/>
  <c r="B1393" i="1"/>
  <c r="B1368" i="1"/>
  <c r="B1329" i="1"/>
  <c r="B1304" i="1"/>
  <c r="B1264" i="1"/>
  <c r="L1401" i="1"/>
  <c r="B1465" i="1"/>
  <c r="B1451" i="1"/>
  <c r="B1440" i="1"/>
  <c r="B1426" i="1"/>
  <c r="B1415" i="1"/>
  <c r="B1401" i="1"/>
  <c r="B1387" i="1"/>
  <c r="B1376" i="1"/>
  <c r="B1362" i="1"/>
  <c r="B1351" i="1"/>
  <c r="B1337" i="1"/>
  <c r="B1323" i="1"/>
  <c r="B1312" i="1"/>
  <c r="B1298" i="1"/>
  <c r="B1287" i="1"/>
  <c r="B1273" i="1"/>
  <c r="B1257" i="1"/>
  <c r="B1241" i="1"/>
  <c r="B1225" i="1"/>
  <c r="B1209" i="1"/>
  <c r="B1193" i="1"/>
  <c r="B1171" i="1"/>
  <c r="B1153" i="1"/>
  <c r="B1122" i="1"/>
  <c r="B1074" i="1"/>
  <c r="B1005" i="1"/>
  <c r="B906" i="1"/>
  <c r="B792" i="1"/>
  <c r="B3" i="1"/>
  <c r="B11" i="1"/>
  <c r="B19" i="1"/>
  <c r="B27" i="1"/>
  <c r="B35" i="1"/>
  <c r="B43" i="1"/>
  <c r="B51" i="1"/>
  <c r="B59" i="1"/>
  <c r="B67" i="1"/>
  <c r="B75" i="1"/>
  <c r="B83" i="1"/>
  <c r="B91" i="1"/>
  <c r="B99" i="1"/>
  <c r="B107" i="1"/>
  <c r="B115" i="1"/>
  <c r="B123" i="1"/>
  <c r="B131" i="1"/>
  <c r="B139" i="1"/>
  <c r="B147" i="1"/>
  <c r="B155" i="1"/>
  <c r="B163" i="1"/>
  <c r="B171" i="1"/>
  <c r="B179" i="1"/>
  <c r="B187" i="1"/>
  <c r="B195" i="1"/>
  <c r="B203" i="1"/>
  <c r="B211" i="1"/>
  <c r="B219" i="1"/>
  <c r="B227" i="1"/>
  <c r="B235" i="1"/>
  <c r="B243" i="1"/>
  <c r="B251" i="1"/>
  <c r="B259" i="1"/>
  <c r="B267" i="1"/>
  <c r="B275" i="1"/>
  <c r="B283" i="1"/>
  <c r="B291" i="1"/>
  <c r="B299" i="1"/>
  <c r="B307" i="1"/>
  <c r="B315" i="1"/>
  <c r="B323" i="1"/>
  <c r="B331" i="1"/>
  <c r="B339" i="1"/>
  <c r="B347" i="1"/>
  <c r="B355" i="1"/>
  <c r="B363" i="1"/>
  <c r="B371" i="1"/>
  <c r="B379" i="1"/>
  <c r="B387" i="1"/>
  <c r="B395" i="1"/>
  <c r="B403" i="1"/>
  <c r="B411" i="1"/>
  <c r="B419" i="1"/>
  <c r="B427" i="1"/>
  <c r="B435" i="1"/>
  <c r="B443" i="1"/>
  <c r="B451" i="1"/>
  <c r="B459" i="1"/>
  <c r="B467" i="1"/>
  <c r="B475" i="1"/>
  <c r="B483" i="1"/>
  <c r="B491" i="1"/>
  <c r="B499" i="1"/>
  <c r="B507" i="1"/>
  <c r="B515" i="1"/>
  <c r="B523" i="1"/>
  <c r="B531" i="1"/>
  <c r="B539" i="1"/>
  <c r="B547" i="1"/>
  <c r="B555" i="1"/>
  <c r="B563" i="1"/>
  <c r="B571" i="1"/>
  <c r="B579" i="1"/>
  <c r="B587" i="1"/>
  <c r="B595" i="1"/>
  <c r="B603" i="1"/>
  <c r="B611" i="1"/>
  <c r="B619" i="1"/>
  <c r="B627" i="1"/>
  <c r="B635" i="1"/>
  <c r="B643" i="1"/>
  <c r="B651" i="1"/>
  <c r="B659" i="1"/>
  <c r="B667" i="1"/>
  <c r="B675" i="1"/>
  <c r="B4" i="1"/>
  <c r="B12" i="1"/>
  <c r="B20" i="1"/>
  <c r="B28" i="1"/>
  <c r="B36" i="1"/>
  <c r="B44" i="1"/>
  <c r="B52" i="1"/>
  <c r="B60" i="1"/>
  <c r="B68" i="1"/>
  <c r="B76" i="1"/>
  <c r="B84" i="1"/>
  <c r="B92" i="1"/>
  <c r="B100" i="1"/>
  <c r="B108" i="1"/>
  <c r="B116" i="1"/>
  <c r="B124" i="1"/>
  <c r="B132" i="1"/>
  <c r="B140" i="1"/>
  <c r="B148" i="1"/>
  <c r="B156" i="1"/>
  <c r="B164" i="1"/>
  <c r="B172" i="1"/>
  <c r="B180" i="1"/>
  <c r="B188" i="1"/>
  <c r="B196" i="1"/>
  <c r="B204" i="1"/>
  <c r="B212" i="1"/>
  <c r="B220" i="1"/>
  <c r="B228" i="1"/>
  <c r="B236" i="1"/>
  <c r="B244" i="1"/>
  <c r="B252" i="1"/>
  <c r="B260" i="1"/>
  <c r="B268" i="1"/>
  <c r="B276" i="1"/>
  <c r="B284" i="1"/>
  <c r="B292" i="1"/>
  <c r="B300" i="1"/>
  <c r="B308" i="1"/>
  <c r="B316" i="1"/>
  <c r="B324" i="1"/>
  <c r="B332" i="1"/>
  <c r="B340" i="1"/>
  <c r="B348" i="1"/>
  <c r="B356" i="1"/>
  <c r="B364" i="1"/>
  <c r="B372" i="1"/>
  <c r="B380" i="1"/>
  <c r="B388" i="1"/>
  <c r="B396" i="1"/>
  <c r="B404" i="1"/>
  <c r="B412" i="1"/>
  <c r="B420" i="1"/>
  <c r="B428" i="1"/>
  <c r="B436" i="1"/>
  <c r="B444" i="1"/>
  <c r="B452" i="1"/>
  <c r="B460" i="1"/>
  <c r="B468" i="1"/>
  <c r="B476" i="1"/>
  <c r="B484" i="1"/>
  <c r="B492" i="1"/>
  <c r="B500" i="1"/>
  <c r="B508" i="1"/>
  <c r="B516" i="1"/>
  <c r="B524" i="1"/>
  <c r="B532" i="1"/>
  <c r="B540" i="1"/>
  <c r="B548" i="1"/>
  <c r="B556" i="1"/>
  <c r="B564" i="1"/>
  <c r="B572" i="1"/>
  <c r="B580" i="1"/>
  <c r="B588" i="1"/>
  <c r="B596" i="1"/>
  <c r="B604" i="1"/>
  <c r="B612" i="1"/>
  <c r="B620" i="1"/>
  <c r="B628" i="1"/>
  <c r="B636" i="1"/>
  <c r="B644" i="1"/>
  <c r="B652" i="1"/>
  <c r="B660" i="1"/>
  <c r="B668" i="1"/>
  <c r="B676" i="1"/>
  <c r="B5" i="1"/>
  <c r="B6" i="1"/>
  <c r="B14" i="1"/>
  <c r="B22" i="1"/>
  <c r="B30" i="1"/>
  <c r="B38" i="1"/>
  <c r="B46" i="1"/>
  <c r="B54" i="1"/>
  <c r="B62" i="1"/>
  <c r="B70" i="1"/>
  <c r="B78" i="1"/>
  <c r="B86" i="1"/>
  <c r="B94" i="1"/>
  <c r="B102" i="1"/>
  <c r="B110" i="1"/>
  <c r="B118" i="1"/>
  <c r="B126" i="1"/>
  <c r="B134" i="1"/>
  <c r="B142" i="1"/>
  <c r="B150" i="1"/>
  <c r="B158" i="1"/>
  <c r="B166" i="1"/>
  <c r="B174" i="1"/>
  <c r="B182" i="1"/>
  <c r="B190" i="1"/>
  <c r="B198" i="1"/>
  <c r="B206" i="1"/>
  <c r="B214" i="1"/>
  <c r="B222" i="1"/>
  <c r="B230" i="1"/>
  <c r="B238" i="1"/>
  <c r="B246" i="1"/>
  <c r="B254" i="1"/>
  <c r="B262" i="1"/>
  <c r="B270" i="1"/>
  <c r="B278" i="1"/>
  <c r="B286" i="1"/>
  <c r="B294" i="1"/>
  <c r="B302" i="1"/>
  <c r="B310" i="1"/>
  <c r="B318" i="1"/>
  <c r="B326" i="1"/>
  <c r="B334" i="1"/>
  <c r="B342" i="1"/>
  <c r="B350" i="1"/>
  <c r="B358" i="1"/>
  <c r="B366" i="1"/>
  <c r="B374" i="1"/>
  <c r="B382" i="1"/>
  <c r="B390" i="1"/>
  <c r="B398" i="1"/>
  <c r="B406" i="1"/>
  <c r="B414" i="1"/>
  <c r="B422" i="1"/>
  <c r="B430" i="1"/>
  <c r="B438" i="1"/>
  <c r="B446" i="1"/>
  <c r="B454" i="1"/>
  <c r="B462" i="1"/>
  <c r="B470" i="1"/>
  <c r="B478" i="1"/>
  <c r="B486" i="1"/>
  <c r="B494" i="1"/>
  <c r="B502" i="1"/>
  <c r="B510" i="1"/>
  <c r="B518" i="1"/>
  <c r="B526" i="1"/>
  <c r="B534" i="1"/>
  <c r="B542" i="1"/>
  <c r="B550" i="1"/>
  <c r="B558" i="1"/>
  <c r="B566" i="1"/>
  <c r="B574" i="1"/>
  <c r="B582" i="1"/>
  <c r="B590" i="1"/>
  <c r="B598" i="1"/>
  <c r="B606" i="1"/>
  <c r="B614" i="1"/>
  <c r="B622" i="1"/>
  <c r="B630" i="1"/>
  <c r="B638" i="1"/>
  <c r="B646" i="1"/>
  <c r="B654" i="1"/>
  <c r="B662" i="1"/>
  <c r="B670" i="1"/>
  <c r="B678" i="1"/>
  <c r="B7" i="1"/>
  <c r="B7" i="58" s="1"/>
  <c r="B8" i="1"/>
  <c r="B9" i="1"/>
  <c r="B10" i="1"/>
  <c r="B18" i="1"/>
  <c r="B26" i="1"/>
  <c r="B34" i="1"/>
  <c r="B42" i="1"/>
  <c r="B50" i="1"/>
  <c r="B58" i="1"/>
  <c r="B66" i="1"/>
  <c r="B74" i="1"/>
  <c r="B82" i="1"/>
  <c r="B90" i="1"/>
  <c r="B98" i="1"/>
  <c r="B106" i="1"/>
  <c r="B114" i="1"/>
  <c r="B122" i="1"/>
  <c r="B130" i="1"/>
  <c r="B138" i="1"/>
  <c r="B146" i="1"/>
  <c r="B154" i="1"/>
  <c r="B162" i="1"/>
  <c r="B170" i="1"/>
  <c r="B178" i="1"/>
  <c r="B186" i="1"/>
  <c r="B194" i="1"/>
  <c r="B202" i="1"/>
  <c r="B210" i="1"/>
  <c r="B218" i="1"/>
  <c r="B226" i="1"/>
  <c r="B234" i="1"/>
  <c r="B242" i="1"/>
  <c r="B250" i="1"/>
  <c r="B258" i="1"/>
  <c r="B266" i="1"/>
  <c r="B274" i="1"/>
  <c r="B282" i="1"/>
  <c r="B290" i="1"/>
  <c r="B298" i="1"/>
  <c r="B306" i="1"/>
  <c r="B314" i="1"/>
  <c r="B322" i="1"/>
  <c r="B330" i="1"/>
  <c r="B338" i="1"/>
  <c r="B346" i="1"/>
  <c r="B354" i="1"/>
  <c r="B362" i="1"/>
  <c r="B370" i="1"/>
  <c r="B378" i="1"/>
  <c r="B386" i="1"/>
  <c r="B394" i="1"/>
  <c r="B402" i="1"/>
  <c r="B410" i="1"/>
  <c r="B418" i="1"/>
  <c r="B426" i="1"/>
  <c r="B434" i="1"/>
  <c r="B442" i="1"/>
  <c r="B450" i="1"/>
  <c r="B458" i="1"/>
  <c r="B466" i="1"/>
  <c r="B474" i="1"/>
  <c r="B482" i="1"/>
  <c r="B490" i="1"/>
  <c r="B498" i="1"/>
  <c r="B506" i="1"/>
  <c r="B514" i="1"/>
  <c r="B522" i="1"/>
  <c r="B530" i="1"/>
  <c r="B538" i="1"/>
  <c r="B546" i="1"/>
  <c r="B554" i="1"/>
  <c r="B562" i="1"/>
  <c r="B570" i="1"/>
  <c r="B578" i="1"/>
  <c r="B586" i="1"/>
  <c r="B594" i="1"/>
  <c r="B602" i="1"/>
  <c r="B610" i="1"/>
  <c r="B618" i="1"/>
  <c r="B626" i="1"/>
  <c r="B634" i="1"/>
  <c r="B642" i="1"/>
  <c r="B650" i="1"/>
  <c r="B658" i="1"/>
  <c r="B666" i="1"/>
  <c r="B674" i="1"/>
  <c r="B682" i="1"/>
  <c r="B13" i="1"/>
  <c r="B29" i="1"/>
  <c r="B45" i="1"/>
  <c r="B61" i="1"/>
  <c r="B77" i="1"/>
  <c r="B93" i="1"/>
  <c r="B109" i="1"/>
  <c r="B125" i="1"/>
  <c r="B141" i="1"/>
  <c r="B157" i="1"/>
  <c r="B173" i="1"/>
  <c r="B189" i="1"/>
  <c r="B205" i="1"/>
  <c r="B221" i="1"/>
  <c r="B237" i="1"/>
  <c r="B253" i="1"/>
  <c r="B269" i="1"/>
  <c r="B285" i="1"/>
  <c r="B301" i="1"/>
  <c r="B317" i="1"/>
  <c r="B333" i="1"/>
  <c r="B349" i="1"/>
  <c r="B365" i="1"/>
  <c r="B381" i="1"/>
  <c r="B397" i="1"/>
  <c r="B413" i="1"/>
  <c r="B429" i="1"/>
  <c r="B445" i="1"/>
  <c r="B461" i="1"/>
  <c r="B477" i="1"/>
  <c r="B493" i="1"/>
  <c r="B509" i="1"/>
  <c r="B525" i="1"/>
  <c r="B541" i="1"/>
  <c r="B557" i="1"/>
  <c r="B573" i="1"/>
  <c r="B589" i="1"/>
  <c r="B605" i="1"/>
  <c r="B621" i="1"/>
  <c r="B637" i="1"/>
  <c r="B653" i="1"/>
  <c r="B669" i="1"/>
  <c r="B683" i="1"/>
  <c r="B691" i="1"/>
  <c r="B699" i="1"/>
  <c r="B707" i="1"/>
  <c r="B715" i="1"/>
  <c r="B723" i="1"/>
  <c r="B731" i="1"/>
  <c r="B739" i="1"/>
  <c r="B747" i="1"/>
  <c r="B755" i="1"/>
  <c r="B763" i="1"/>
  <c r="B771" i="1"/>
  <c r="B779" i="1"/>
  <c r="B787" i="1"/>
  <c r="B795" i="1"/>
  <c r="B803" i="1"/>
  <c r="B811" i="1"/>
  <c r="B819" i="1"/>
  <c r="B827" i="1"/>
  <c r="B835" i="1"/>
  <c r="B843" i="1"/>
  <c r="B851" i="1"/>
  <c r="B859" i="1"/>
  <c r="B867" i="1"/>
  <c r="B875" i="1"/>
  <c r="B883" i="1"/>
  <c r="B891" i="1"/>
  <c r="B899" i="1"/>
  <c r="B907" i="1"/>
  <c r="B915" i="1"/>
  <c r="B923" i="1"/>
  <c r="B931" i="1"/>
  <c r="B939" i="1"/>
  <c r="B947" i="1"/>
  <c r="B955" i="1"/>
  <c r="B963" i="1"/>
  <c r="B971" i="1"/>
  <c r="B979" i="1"/>
  <c r="B987" i="1"/>
  <c r="B995" i="1"/>
  <c r="B1003" i="1"/>
  <c r="B1011" i="1"/>
  <c r="B1019" i="1"/>
  <c r="B1027" i="1"/>
  <c r="B15" i="1"/>
  <c r="B31" i="1"/>
  <c r="B47" i="1"/>
  <c r="B63" i="1"/>
  <c r="B79" i="1"/>
  <c r="B95" i="1"/>
  <c r="B111" i="1"/>
  <c r="B127" i="1"/>
  <c r="B143" i="1"/>
  <c r="B159" i="1"/>
  <c r="B175" i="1"/>
  <c r="B191" i="1"/>
  <c r="B207" i="1"/>
  <c r="B223" i="1"/>
  <c r="B239" i="1"/>
  <c r="B255" i="1"/>
  <c r="B271" i="1"/>
  <c r="B287" i="1"/>
  <c r="B303" i="1"/>
  <c r="B319" i="1"/>
  <c r="B335" i="1"/>
  <c r="B351" i="1"/>
  <c r="B367" i="1"/>
  <c r="B383" i="1"/>
  <c r="B399" i="1"/>
  <c r="B415" i="1"/>
  <c r="B431" i="1"/>
  <c r="B447" i="1"/>
  <c r="B463" i="1"/>
  <c r="B479" i="1"/>
  <c r="B495" i="1"/>
  <c r="B511" i="1"/>
  <c r="B527" i="1"/>
  <c r="B543" i="1"/>
  <c r="B559" i="1"/>
  <c r="B575" i="1"/>
  <c r="B591" i="1"/>
  <c r="B607" i="1"/>
  <c r="B623" i="1"/>
  <c r="B639" i="1"/>
  <c r="B655" i="1"/>
  <c r="B671" i="1"/>
  <c r="B684" i="1"/>
  <c r="B692" i="1"/>
  <c r="B700" i="1"/>
  <c r="B708" i="1"/>
  <c r="B716" i="1"/>
  <c r="B724" i="1"/>
  <c r="B732" i="1"/>
  <c r="B740" i="1"/>
  <c r="B748" i="1"/>
  <c r="B756" i="1"/>
  <c r="B764" i="1"/>
  <c r="B772" i="1"/>
  <c r="B780" i="1"/>
  <c r="B788" i="1"/>
  <c r="B796" i="1"/>
  <c r="B804" i="1"/>
  <c r="B812" i="1"/>
  <c r="B820" i="1"/>
  <c r="B828" i="1"/>
  <c r="B836" i="1"/>
  <c r="B844" i="1"/>
  <c r="B852" i="1"/>
  <c r="B860" i="1"/>
  <c r="B868" i="1"/>
  <c r="B876" i="1"/>
  <c r="B884" i="1"/>
  <c r="B892" i="1"/>
  <c r="B900" i="1"/>
  <c r="B908" i="1"/>
  <c r="B916" i="1"/>
  <c r="B924" i="1"/>
  <c r="B932" i="1"/>
  <c r="B940" i="1"/>
  <c r="B948" i="1"/>
  <c r="B956" i="1"/>
  <c r="B964" i="1"/>
  <c r="B972" i="1"/>
  <c r="B980" i="1"/>
  <c r="B988" i="1"/>
  <c r="B996" i="1"/>
  <c r="B1004" i="1"/>
  <c r="B1012" i="1"/>
  <c r="B1020" i="1"/>
  <c r="B16" i="1"/>
  <c r="B16" i="58" s="1"/>
  <c r="B32" i="1"/>
  <c r="B48" i="1"/>
  <c r="B64" i="1"/>
  <c r="B80" i="1"/>
  <c r="B96" i="1"/>
  <c r="B112" i="1"/>
  <c r="B128" i="1"/>
  <c r="B144" i="1"/>
  <c r="B160" i="1"/>
  <c r="B176" i="1"/>
  <c r="B192" i="1"/>
  <c r="B208" i="1"/>
  <c r="B224" i="1"/>
  <c r="B240" i="1"/>
  <c r="B256" i="1"/>
  <c r="B272" i="1"/>
  <c r="B288" i="1"/>
  <c r="B304" i="1"/>
  <c r="B320" i="1"/>
  <c r="B336" i="1"/>
  <c r="B352" i="1"/>
  <c r="B368" i="1"/>
  <c r="B384" i="1"/>
  <c r="B400" i="1"/>
  <c r="B416" i="1"/>
  <c r="B432" i="1"/>
  <c r="B448" i="1"/>
  <c r="B464" i="1"/>
  <c r="B480" i="1"/>
  <c r="B496" i="1"/>
  <c r="B512" i="1"/>
  <c r="B528" i="1"/>
  <c r="B544" i="1"/>
  <c r="B560" i="1"/>
  <c r="B576" i="1"/>
  <c r="B592" i="1"/>
  <c r="B608" i="1"/>
  <c r="B624" i="1"/>
  <c r="B640" i="1"/>
  <c r="B656" i="1"/>
  <c r="B672" i="1"/>
  <c r="B685" i="1"/>
  <c r="B693" i="1"/>
  <c r="B701" i="1"/>
  <c r="B709" i="1"/>
  <c r="B717" i="1"/>
  <c r="B725" i="1"/>
  <c r="B733" i="1"/>
  <c r="B741" i="1"/>
  <c r="B749" i="1"/>
  <c r="B757" i="1"/>
  <c r="B765" i="1"/>
  <c r="B773" i="1"/>
  <c r="B781" i="1"/>
  <c r="B789" i="1"/>
  <c r="B797" i="1"/>
  <c r="B805" i="1"/>
  <c r="B813" i="1"/>
  <c r="B821" i="1"/>
  <c r="B829" i="1"/>
  <c r="B837" i="1"/>
  <c r="B845" i="1"/>
  <c r="B853" i="1"/>
  <c r="B861" i="1"/>
  <c r="B869" i="1"/>
  <c r="B877" i="1"/>
  <c r="B885" i="1"/>
  <c r="B893" i="1"/>
  <c r="B901" i="1"/>
  <c r="B909" i="1"/>
  <c r="B917" i="1"/>
  <c r="B925" i="1"/>
  <c r="B933" i="1"/>
  <c r="B941" i="1"/>
  <c r="B949" i="1"/>
  <c r="B957" i="1"/>
  <c r="B965" i="1"/>
  <c r="B973" i="1"/>
  <c r="B17" i="1"/>
  <c r="B33" i="1"/>
  <c r="B49" i="1"/>
  <c r="B65" i="1"/>
  <c r="B81" i="1"/>
  <c r="B97" i="1"/>
  <c r="B113" i="1"/>
  <c r="B129" i="1"/>
  <c r="B145" i="1"/>
  <c r="B161" i="1"/>
  <c r="B177" i="1"/>
  <c r="B193" i="1"/>
  <c r="B209" i="1"/>
  <c r="B225" i="1"/>
  <c r="B241" i="1"/>
  <c r="B257" i="1"/>
  <c r="B273" i="1"/>
  <c r="B289" i="1"/>
  <c r="B305" i="1"/>
  <c r="B321" i="1"/>
  <c r="B337" i="1"/>
  <c r="B353" i="1"/>
  <c r="B369" i="1"/>
  <c r="B385" i="1"/>
  <c r="B401" i="1"/>
  <c r="B417" i="1"/>
  <c r="B433" i="1"/>
  <c r="B449" i="1"/>
  <c r="B465" i="1"/>
  <c r="B481" i="1"/>
  <c r="B497" i="1"/>
  <c r="B513" i="1"/>
  <c r="B529" i="1"/>
  <c r="B545" i="1"/>
  <c r="B561" i="1"/>
  <c r="B577" i="1"/>
  <c r="B593" i="1"/>
  <c r="B609" i="1"/>
  <c r="B625" i="1"/>
  <c r="B641" i="1"/>
  <c r="B657" i="1"/>
  <c r="B673" i="1"/>
  <c r="B686" i="1"/>
  <c r="B694" i="1"/>
  <c r="B702" i="1"/>
  <c r="B710" i="1"/>
  <c r="B718" i="1"/>
  <c r="B726" i="1"/>
  <c r="B734" i="1"/>
  <c r="B742" i="1"/>
  <c r="B750" i="1"/>
  <c r="B758" i="1"/>
  <c r="B766" i="1"/>
  <c r="B774" i="1"/>
  <c r="B782" i="1"/>
  <c r="B790" i="1"/>
  <c r="B798" i="1"/>
  <c r="B806" i="1"/>
  <c r="B814" i="1"/>
  <c r="B822" i="1"/>
  <c r="B830" i="1"/>
  <c r="B838" i="1"/>
  <c r="B846" i="1"/>
  <c r="B854" i="1"/>
  <c r="B21" i="1"/>
  <c r="B37" i="1"/>
  <c r="B53" i="1"/>
  <c r="B69" i="1"/>
  <c r="B85" i="1"/>
  <c r="B101" i="1"/>
  <c r="B117" i="1"/>
  <c r="B133" i="1"/>
  <c r="B149" i="1"/>
  <c r="B165" i="1"/>
  <c r="B181" i="1"/>
  <c r="B197" i="1"/>
  <c r="B213" i="1"/>
  <c r="B229" i="1"/>
  <c r="B245" i="1"/>
  <c r="B261" i="1"/>
  <c r="B277" i="1"/>
  <c r="B293" i="1"/>
  <c r="B309" i="1"/>
  <c r="B325" i="1"/>
  <c r="B341" i="1"/>
  <c r="B357" i="1"/>
  <c r="B373" i="1"/>
  <c r="B389" i="1"/>
  <c r="B405" i="1"/>
  <c r="B421" i="1"/>
  <c r="B437" i="1"/>
  <c r="B453" i="1"/>
  <c r="B469" i="1"/>
  <c r="B485" i="1"/>
  <c r="B501" i="1"/>
  <c r="B517" i="1"/>
  <c r="B533" i="1"/>
  <c r="B549" i="1"/>
  <c r="B565" i="1"/>
  <c r="B581" i="1"/>
  <c r="B597" i="1"/>
  <c r="B613" i="1"/>
  <c r="B629" i="1"/>
  <c r="B645" i="1"/>
  <c r="B661" i="1"/>
  <c r="B23" i="1"/>
  <c r="B39" i="1"/>
  <c r="B55" i="1"/>
  <c r="B71" i="1"/>
  <c r="B87" i="1"/>
  <c r="B103" i="1"/>
  <c r="B119" i="1"/>
  <c r="B135" i="1"/>
  <c r="B151" i="1"/>
  <c r="B167" i="1"/>
  <c r="B183" i="1"/>
  <c r="B199" i="1"/>
  <c r="B215" i="1"/>
  <c r="B231" i="1"/>
  <c r="B247" i="1"/>
  <c r="B263" i="1"/>
  <c r="B279" i="1"/>
  <c r="B295" i="1"/>
  <c r="B311" i="1"/>
  <c r="B327" i="1"/>
  <c r="B343" i="1"/>
  <c r="B359" i="1"/>
  <c r="B375" i="1"/>
  <c r="B391" i="1"/>
  <c r="B407" i="1"/>
  <c r="B423" i="1"/>
  <c r="B439" i="1"/>
  <c r="B455" i="1"/>
  <c r="B471" i="1"/>
  <c r="B487" i="1"/>
  <c r="B503" i="1"/>
  <c r="B519" i="1"/>
  <c r="B535" i="1"/>
  <c r="B551" i="1"/>
  <c r="B567" i="1"/>
  <c r="B583" i="1"/>
  <c r="B599" i="1"/>
  <c r="B615" i="1"/>
  <c r="B631" i="1"/>
  <c r="B647" i="1"/>
  <c r="B663" i="1"/>
  <c r="B679" i="1"/>
  <c r="B688" i="1"/>
  <c r="B696" i="1"/>
  <c r="B704" i="1"/>
  <c r="B712" i="1"/>
  <c r="B720" i="1"/>
  <c r="B728" i="1"/>
  <c r="B24" i="1"/>
  <c r="B40" i="1"/>
  <c r="B56" i="1"/>
  <c r="B72" i="1"/>
  <c r="B88" i="1"/>
  <c r="B104" i="1"/>
  <c r="B120" i="1"/>
  <c r="B136" i="1"/>
  <c r="B152" i="1"/>
  <c r="B168" i="1"/>
  <c r="B184" i="1"/>
  <c r="B200" i="1"/>
  <c r="B216" i="1"/>
  <c r="B232" i="1"/>
  <c r="B248" i="1"/>
  <c r="B264" i="1"/>
  <c r="B280" i="1"/>
  <c r="B296" i="1"/>
  <c r="B312" i="1"/>
  <c r="B328" i="1"/>
  <c r="B344" i="1"/>
  <c r="B360" i="1"/>
  <c r="B376" i="1"/>
  <c r="B392" i="1"/>
  <c r="B408" i="1"/>
  <c r="B424" i="1"/>
  <c r="B440" i="1"/>
  <c r="B456" i="1"/>
  <c r="B472" i="1"/>
  <c r="B488" i="1"/>
  <c r="B504" i="1"/>
  <c r="B520" i="1"/>
  <c r="B536" i="1"/>
  <c r="B552" i="1"/>
  <c r="B568" i="1"/>
  <c r="B584" i="1"/>
  <c r="B600" i="1"/>
  <c r="B616" i="1"/>
  <c r="B25" i="1"/>
  <c r="B153" i="1"/>
  <c r="B281" i="1"/>
  <c r="B409" i="1"/>
  <c r="B537" i="1"/>
  <c r="B648" i="1"/>
  <c r="B689" i="1"/>
  <c r="B711" i="1"/>
  <c r="B730" i="1"/>
  <c r="B746" i="1"/>
  <c r="B762" i="1"/>
  <c r="B778" i="1"/>
  <c r="B794" i="1"/>
  <c r="B810" i="1"/>
  <c r="B826" i="1"/>
  <c r="B842" i="1"/>
  <c r="B858" i="1"/>
  <c r="B872" i="1"/>
  <c r="B886" i="1"/>
  <c r="B897" i="1"/>
  <c r="B911" i="1"/>
  <c r="B922" i="1"/>
  <c r="B936" i="1"/>
  <c r="B950" i="1"/>
  <c r="B961" i="1"/>
  <c r="B975" i="1"/>
  <c r="B985" i="1"/>
  <c r="B997" i="1"/>
  <c r="B1007" i="1"/>
  <c r="B1017" i="1"/>
  <c r="B1028" i="1"/>
  <c r="B1036" i="1"/>
  <c r="B1044" i="1"/>
  <c r="B1052" i="1"/>
  <c r="B1060" i="1"/>
  <c r="B1068" i="1"/>
  <c r="B1076" i="1"/>
  <c r="B1084" i="1"/>
  <c r="B1092" i="1"/>
  <c r="B1100" i="1"/>
  <c r="B1108" i="1"/>
  <c r="B1116" i="1"/>
  <c r="B1124" i="1"/>
  <c r="B1132" i="1"/>
  <c r="B1140" i="1"/>
  <c r="B1148" i="1"/>
  <c r="B1156" i="1"/>
  <c r="B1164" i="1"/>
  <c r="B1172" i="1"/>
  <c r="B1180" i="1"/>
  <c r="B1188" i="1"/>
  <c r="B1196" i="1"/>
  <c r="B1204" i="1"/>
  <c r="B1212" i="1"/>
  <c r="B1220" i="1"/>
  <c r="B1228" i="1"/>
  <c r="B1236" i="1"/>
  <c r="B1244" i="1"/>
  <c r="B1252" i="1"/>
  <c r="B1260" i="1"/>
  <c r="B1268" i="1"/>
  <c r="B1276" i="1"/>
  <c r="B1284" i="1"/>
  <c r="B1292" i="1"/>
  <c r="B1300" i="1"/>
  <c r="B1308" i="1"/>
  <c r="B1316" i="1"/>
  <c r="B1324" i="1"/>
  <c r="B1332" i="1"/>
  <c r="B1340" i="1"/>
  <c r="B1348" i="1"/>
  <c r="B1356" i="1"/>
  <c r="B1364" i="1"/>
  <c r="B1372" i="1"/>
  <c r="B1380" i="1"/>
  <c r="B1388" i="1"/>
  <c r="B1396" i="1"/>
  <c r="B1404" i="1"/>
  <c r="B1412" i="1"/>
  <c r="B1420" i="1"/>
  <c r="B1428" i="1"/>
  <c r="B1436" i="1"/>
  <c r="B1444" i="1"/>
  <c r="B1452" i="1"/>
  <c r="B1460" i="1"/>
  <c r="B1468" i="1"/>
  <c r="B41" i="1"/>
  <c r="B169" i="1"/>
  <c r="B297" i="1"/>
  <c r="B425" i="1"/>
  <c r="B553" i="1"/>
  <c r="B649" i="1"/>
  <c r="B690" i="1"/>
  <c r="B713" i="1"/>
  <c r="B735" i="1"/>
  <c r="B751" i="1"/>
  <c r="B767" i="1"/>
  <c r="B783" i="1"/>
  <c r="B799" i="1"/>
  <c r="B815" i="1"/>
  <c r="B831" i="1"/>
  <c r="B847" i="1"/>
  <c r="B862" i="1"/>
  <c r="B873" i="1"/>
  <c r="B887" i="1"/>
  <c r="B898" i="1"/>
  <c r="B912" i="1"/>
  <c r="B926" i="1"/>
  <c r="B937" i="1"/>
  <c r="B951" i="1"/>
  <c r="B962" i="1"/>
  <c r="B976" i="1"/>
  <c r="B986" i="1"/>
  <c r="B998" i="1"/>
  <c r="B1008" i="1"/>
  <c r="B1018" i="1"/>
  <c r="B1029" i="1"/>
  <c r="B1037" i="1"/>
  <c r="B1045" i="1"/>
  <c r="B1053" i="1"/>
  <c r="B1061" i="1"/>
  <c r="B1069" i="1"/>
  <c r="B1077" i="1"/>
  <c r="B1085" i="1"/>
  <c r="B1093" i="1"/>
  <c r="B1101" i="1"/>
  <c r="B1109" i="1"/>
  <c r="B1117" i="1"/>
  <c r="B1125" i="1"/>
  <c r="B1133" i="1"/>
  <c r="B1141" i="1"/>
  <c r="B1149" i="1"/>
  <c r="B1157" i="1"/>
  <c r="B1165" i="1"/>
  <c r="B1173" i="1"/>
  <c r="B1181" i="1"/>
  <c r="B1189" i="1"/>
  <c r="B1197" i="1"/>
  <c r="B1205" i="1"/>
  <c r="B1213" i="1"/>
  <c r="B1221" i="1"/>
  <c r="B1229" i="1"/>
  <c r="B1237" i="1"/>
  <c r="B1245" i="1"/>
  <c r="B1253" i="1"/>
  <c r="B1261" i="1"/>
  <c r="B1269" i="1"/>
  <c r="B1277" i="1"/>
  <c r="B1285" i="1"/>
  <c r="B1293" i="1"/>
  <c r="B1301" i="1"/>
  <c r="B1309" i="1"/>
  <c r="B1317" i="1"/>
  <c r="B1325" i="1"/>
  <c r="B1333" i="1"/>
  <c r="B1341" i="1"/>
  <c r="B1349" i="1"/>
  <c r="B1357" i="1"/>
  <c r="B1365" i="1"/>
  <c r="B1373" i="1"/>
  <c r="B1381" i="1"/>
  <c r="B1389" i="1"/>
  <c r="B1397" i="1"/>
  <c r="B1405" i="1"/>
  <c r="B1413" i="1"/>
  <c r="B1421" i="1"/>
  <c r="B1429" i="1"/>
  <c r="B1437" i="1"/>
  <c r="B1445" i="1"/>
  <c r="B1453" i="1"/>
  <c r="B1461" i="1"/>
  <c r="B1469" i="1"/>
  <c r="B57" i="1"/>
  <c r="B185" i="1"/>
  <c r="B313" i="1"/>
  <c r="B441" i="1"/>
  <c r="B569" i="1"/>
  <c r="B664" i="1"/>
  <c r="B695" i="1"/>
  <c r="B714" i="1"/>
  <c r="B736" i="1"/>
  <c r="B752" i="1"/>
  <c r="B768" i="1"/>
  <c r="B784" i="1"/>
  <c r="B800" i="1"/>
  <c r="B816" i="1"/>
  <c r="B832" i="1"/>
  <c r="B848" i="1"/>
  <c r="B863" i="1"/>
  <c r="B874" i="1"/>
  <c r="B888" i="1"/>
  <c r="B902" i="1"/>
  <c r="B913" i="1"/>
  <c r="B927" i="1"/>
  <c r="B938" i="1"/>
  <c r="B952" i="1"/>
  <c r="B966" i="1"/>
  <c r="B977" i="1"/>
  <c r="B989" i="1"/>
  <c r="B999" i="1"/>
  <c r="B1009" i="1"/>
  <c r="B1021" i="1"/>
  <c r="B1030" i="1"/>
  <c r="B1038" i="1"/>
  <c r="B1046" i="1"/>
  <c r="B1054" i="1"/>
  <c r="B1062" i="1"/>
  <c r="B1070" i="1"/>
  <c r="B1078" i="1"/>
  <c r="B1086" i="1"/>
  <c r="B1094" i="1"/>
  <c r="B1102" i="1"/>
  <c r="B1110" i="1"/>
  <c r="B1118" i="1"/>
  <c r="B1126" i="1"/>
  <c r="B1134" i="1"/>
  <c r="B1142" i="1"/>
  <c r="B1150" i="1"/>
  <c r="B1158" i="1"/>
  <c r="B1166" i="1"/>
  <c r="B1174" i="1"/>
  <c r="B1182" i="1"/>
  <c r="B1190" i="1"/>
  <c r="B1198" i="1"/>
  <c r="B1206" i="1"/>
  <c r="B1214" i="1"/>
  <c r="B1222" i="1"/>
  <c r="B1230" i="1"/>
  <c r="B1238" i="1"/>
  <c r="B1246" i="1"/>
  <c r="B1254" i="1"/>
  <c r="B1262" i="1"/>
  <c r="B1270" i="1"/>
  <c r="B1278" i="1"/>
  <c r="B1286" i="1"/>
  <c r="B1294" i="1"/>
  <c r="B1302" i="1"/>
  <c r="B1310" i="1"/>
  <c r="B1318" i="1"/>
  <c r="B1326" i="1"/>
  <c r="B1334" i="1"/>
  <c r="B1342" i="1"/>
  <c r="B1350" i="1"/>
  <c r="B1358" i="1"/>
  <c r="B1366" i="1"/>
  <c r="B1374" i="1"/>
  <c r="B1382" i="1"/>
  <c r="B1390" i="1"/>
  <c r="B1398" i="1"/>
  <c r="B1406" i="1"/>
  <c r="B1414" i="1"/>
  <c r="B1422" i="1"/>
  <c r="B1430" i="1"/>
  <c r="B1438" i="1"/>
  <c r="B1446" i="1"/>
  <c r="B1454" i="1"/>
  <c r="B1462" i="1"/>
  <c r="B73" i="1"/>
  <c r="B201" i="1"/>
  <c r="B329" i="1"/>
  <c r="B457" i="1"/>
  <c r="B585" i="1"/>
  <c r="B665" i="1"/>
  <c r="B697" i="1"/>
  <c r="B719" i="1"/>
  <c r="B737" i="1"/>
  <c r="B753" i="1"/>
  <c r="B769" i="1"/>
  <c r="B785" i="1"/>
  <c r="B801" i="1"/>
  <c r="B817" i="1"/>
  <c r="B833" i="1"/>
  <c r="B849" i="1"/>
  <c r="B864" i="1"/>
  <c r="B878" i="1"/>
  <c r="B889" i="1"/>
  <c r="B903" i="1"/>
  <c r="B914" i="1"/>
  <c r="B928" i="1"/>
  <c r="B942" i="1"/>
  <c r="B953" i="1"/>
  <c r="B967" i="1"/>
  <c r="B978" i="1"/>
  <c r="B990" i="1"/>
  <c r="B1000" i="1"/>
  <c r="B1010" i="1"/>
  <c r="B1022" i="1"/>
  <c r="B1031" i="1"/>
  <c r="B1039" i="1"/>
  <c r="B1047" i="1"/>
  <c r="B1055" i="1"/>
  <c r="B1063" i="1"/>
  <c r="B1071" i="1"/>
  <c r="B1079" i="1"/>
  <c r="B1087" i="1"/>
  <c r="B1095" i="1"/>
  <c r="B1103" i="1"/>
  <c r="B1111" i="1"/>
  <c r="B1119" i="1"/>
  <c r="B1127" i="1"/>
  <c r="B1135" i="1"/>
  <c r="B1143" i="1"/>
  <c r="B1151" i="1"/>
  <c r="B1159" i="1"/>
  <c r="B1167" i="1"/>
  <c r="B1175" i="1"/>
  <c r="B1183" i="1"/>
  <c r="B1191" i="1"/>
  <c r="B1199" i="1"/>
  <c r="B1207" i="1"/>
  <c r="B1215" i="1"/>
  <c r="B1223" i="1"/>
  <c r="B1231" i="1"/>
  <c r="B1239" i="1"/>
  <c r="B1247" i="1"/>
  <c r="B1255" i="1"/>
  <c r="B1263" i="1"/>
  <c r="B1271" i="1"/>
  <c r="B89" i="1"/>
  <c r="B217" i="1"/>
  <c r="B345" i="1"/>
  <c r="B473" i="1"/>
  <c r="B601" i="1"/>
  <c r="B677" i="1"/>
  <c r="B698" i="1"/>
  <c r="B721" i="1"/>
  <c r="B738" i="1"/>
  <c r="B754" i="1"/>
  <c r="B770" i="1"/>
  <c r="B786" i="1"/>
  <c r="B802" i="1"/>
  <c r="B818" i="1"/>
  <c r="B834" i="1"/>
  <c r="B850" i="1"/>
  <c r="B865" i="1"/>
  <c r="B879" i="1"/>
  <c r="B890" i="1"/>
  <c r="B904" i="1"/>
  <c r="B918" i="1"/>
  <c r="B929" i="1"/>
  <c r="B943" i="1"/>
  <c r="B954" i="1"/>
  <c r="B968" i="1"/>
  <c r="B981" i="1"/>
  <c r="B991" i="1"/>
  <c r="B1001" i="1"/>
  <c r="B1013" i="1"/>
  <c r="B1023" i="1"/>
  <c r="B1032" i="1"/>
  <c r="B1040" i="1"/>
  <c r="B1048" i="1"/>
  <c r="B1056" i="1"/>
  <c r="B1064" i="1"/>
  <c r="B1072" i="1"/>
  <c r="B1080" i="1"/>
  <c r="B1088" i="1"/>
  <c r="B1096" i="1"/>
  <c r="B1104" i="1"/>
  <c r="B1112" i="1"/>
  <c r="B1120" i="1"/>
  <c r="B1128" i="1"/>
  <c r="B1136" i="1"/>
  <c r="B1144" i="1"/>
  <c r="B1152" i="1"/>
  <c r="B1160" i="1"/>
  <c r="B1168" i="1"/>
  <c r="B1176" i="1"/>
  <c r="B1184" i="1"/>
  <c r="B105" i="1"/>
  <c r="B233" i="1"/>
  <c r="B361" i="1"/>
  <c r="B489" i="1"/>
  <c r="B617" i="1"/>
  <c r="B680" i="1"/>
  <c r="B703" i="1"/>
  <c r="B722" i="1"/>
  <c r="B743" i="1"/>
  <c r="B759" i="1"/>
  <c r="B775" i="1"/>
  <c r="B791" i="1"/>
  <c r="B807" i="1"/>
  <c r="B823" i="1"/>
  <c r="B839" i="1"/>
  <c r="B855" i="1"/>
  <c r="B866" i="1"/>
  <c r="B880" i="1"/>
  <c r="B894" i="1"/>
  <c r="B905" i="1"/>
  <c r="B919" i="1"/>
  <c r="B930" i="1"/>
  <c r="B944" i="1"/>
  <c r="B958" i="1"/>
  <c r="B969" i="1"/>
  <c r="B982" i="1"/>
  <c r="B992" i="1"/>
  <c r="B1002" i="1"/>
  <c r="B1014" i="1"/>
  <c r="B1024" i="1"/>
  <c r="B1033" i="1"/>
  <c r="B1041" i="1"/>
  <c r="B1049" i="1"/>
  <c r="B1057" i="1"/>
  <c r="B1065" i="1"/>
  <c r="B1073" i="1"/>
  <c r="B1081" i="1"/>
  <c r="B1089" i="1"/>
  <c r="B1097" i="1"/>
  <c r="B1105" i="1"/>
  <c r="B137" i="1"/>
  <c r="B265" i="1"/>
  <c r="B393" i="1"/>
  <c r="B521" i="1"/>
  <c r="B633" i="1"/>
  <c r="B687" i="1"/>
  <c r="B706" i="1"/>
  <c r="B729" i="1"/>
  <c r="B745" i="1"/>
  <c r="B761" i="1"/>
  <c r="B777" i="1"/>
  <c r="B793" i="1"/>
  <c r="B809" i="1"/>
  <c r="B825" i="1"/>
  <c r="B841" i="1"/>
  <c r="B857" i="1"/>
  <c r="B871" i="1"/>
  <c r="B882" i="1"/>
  <c r="B896" i="1"/>
  <c r="B910" i="1"/>
  <c r="B921" i="1"/>
  <c r="B935" i="1"/>
  <c r="B946" i="1"/>
  <c r="B960" i="1"/>
  <c r="B974" i="1"/>
  <c r="B984" i="1"/>
  <c r="B994" i="1"/>
  <c r="B1006" i="1"/>
  <c r="B1016" i="1"/>
  <c r="B1026" i="1"/>
  <c r="B1035" i="1"/>
  <c r="B1043" i="1"/>
  <c r="B1051" i="1"/>
  <c r="B1059" i="1"/>
  <c r="B1067" i="1"/>
  <c r="B1075" i="1"/>
  <c r="B1083" i="1"/>
  <c r="B1091" i="1"/>
  <c r="B1099" i="1"/>
  <c r="B1107" i="1"/>
  <c r="B1115" i="1"/>
  <c r="B1123" i="1"/>
  <c r="B1131" i="1"/>
  <c r="B1139" i="1"/>
  <c r="B1464" i="1"/>
  <c r="B1450" i="1"/>
  <c r="B1439" i="1"/>
  <c r="B1425" i="1"/>
  <c r="B1411" i="1"/>
  <c r="B1400" i="1"/>
  <c r="B1386" i="1"/>
  <c r="B1375" i="1"/>
  <c r="B1361" i="1"/>
  <c r="B1347" i="1"/>
  <c r="B1336" i="1"/>
  <c r="B1322" i="1"/>
  <c r="B1311" i="1"/>
  <c r="B1297" i="1"/>
  <c r="B1283" i="1"/>
  <c r="B1272" i="1"/>
  <c r="B1256" i="1"/>
  <c r="B1240" i="1"/>
  <c r="B1224" i="1"/>
  <c r="B1208" i="1"/>
  <c r="B1192" i="1"/>
  <c r="B1170" i="1"/>
  <c r="B1147" i="1"/>
  <c r="B1121" i="1"/>
  <c r="B1066" i="1"/>
  <c r="B993" i="1"/>
  <c r="B895" i="1"/>
  <c r="B776" i="1"/>
  <c r="B377" i="1"/>
  <c r="B1463" i="1"/>
  <c r="B1449" i="1"/>
  <c r="B1435" i="1"/>
  <c r="B1424" i="1"/>
  <c r="B1410" i="1"/>
  <c r="B1399" i="1"/>
  <c r="B1385" i="1"/>
  <c r="B1371" i="1"/>
  <c r="B1360" i="1"/>
  <c r="B1346" i="1"/>
  <c r="B1335" i="1"/>
  <c r="B1321" i="1"/>
  <c r="B1307" i="1"/>
  <c r="B1296" i="1"/>
  <c r="B1282" i="1"/>
  <c r="B1267" i="1"/>
  <c r="B1251" i="1"/>
  <c r="B1235" i="1"/>
  <c r="B1219" i="1"/>
  <c r="B1203" i="1"/>
  <c r="B1187" i="1"/>
  <c r="B1169" i="1"/>
  <c r="B1146" i="1"/>
  <c r="B1114" i="1"/>
  <c r="B1058" i="1"/>
  <c r="B983" i="1"/>
  <c r="B881" i="1"/>
  <c r="B760" i="1"/>
  <c r="B249" i="1"/>
  <c r="L1390" i="1"/>
  <c r="L1346" i="1"/>
  <c r="B2" i="1"/>
  <c r="B1459" i="1"/>
  <c r="B1448" i="1"/>
  <c r="B1434" i="1"/>
  <c r="B1423" i="1"/>
  <c r="B1409" i="1"/>
  <c r="B1395" i="1"/>
  <c r="B1384" i="1"/>
  <c r="B1370" i="1"/>
  <c r="B1359" i="1"/>
  <c r="B1345" i="1"/>
  <c r="B1331" i="1"/>
  <c r="B1320" i="1"/>
  <c r="B1306" i="1"/>
  <c r="B1295" i="1"/>
  <c r="B1281" i="1"/>
  <c r="B1266" i="1"/>
  <c r="B1250" i="1"/>
  <c r="B1234" i="1"/>
  <c r="B1218" i="1"/>
  <c r="B1202" i="1"/>
  <c r="B1186" i="1"/>
  <c r="B1163" i="1"/>
  <c r="B1145" i="1"/>
  <c r="B1113" i="1"/>
  <c r="B1050" i="1"/>
  <c r="B970" i="1"/>
  <c r="B870" i="1"/>
  <c r="B744" i="1"/>
  <c r="B121" i="1"/>
  <c r="L1466" i="1"/>
  <c r="L1456" i="1"/>
  <c r="L1444" i="1"/>
  <c r="L1434" i="1"/>
  <c r="L1424" i="1"/>
  <c r="L1412" i="1"/>
  <c r="L1402" i="1"/>
  <c r="L1392" i="1"/>
  <c r="L1380" i="1"/>
  <c r="L1370" i="1"/>
  <c r="L1360" i="1"/>
  <c r="L1347" i="1"/>
  <c r="L1336" i="1"/>
  <c r="L1322" i="1"/>
  <c r="L1308" i="1"/>
  <c r="L1297" i="1"/>
  <c r="L1283" i="1"/>
  <c r="L1272" i="1"/>
  <c r="L1258" i="1"/>
  <c r="L1244" i="1"/>
  <c r="L1233" i="1"/>
  <c r="L1219" i="1"/>
  <c r="L1208" i="1"/>
  <c r="L1194" i="1"/>
  <c r="L1180" i="1"/>
  <c r="L1169" i="1"/>
  <c r="L1155" i="1"/>
  <c r="L1144" i="1"/>
  <c r="L1130" i="1"/>
  <c r="L1114" i="1"/>
  <c r="L1096" i="1"/>
  <c r="L1077" i="1"/>
  <c r="L1059" i="1"/>
  <c r="L1041" i="1"/>
  <c r="L1023" i="1"/>
  <c r="L1003" i="1"/>
  <c r="L977" i="1"/>
  <c r="L937" i="1"/>
  <c r="L893" i="1"/>
  <c r="L851" i="1"/>
  <c r="L809" i="1"/>
  <c r="L763" i="1"/>
  <c r="L713" i="1"/>
  <c r="L657" i="1"/>
  <c r="L600" i="1"/>
  <c r="L3" i="1"/>
  <c r="L11" i="1"/>
  <c r="L19" i="1"/>
  <c r="L27" i="1"/>
  <c r="L35" i="1"/>
  <c r="L43" i="1"/>
  <c r="L51" i="1"/>
  <c r="L59" i="1"/>
  <c r="L67" i="1"/>
  <c r="L75" i="1"/>
  <c r="L83" i="1"/>
  <c r="L91" i="1"/>
  <c r="L99" i="1"/>
  <c r="L107" i="1"/>
  <c r="L115" i="1"/>
  <c r="L123" i="1"/>
  <c r="L131" i="1"/>
  <c r="L139" i="1"/>
  <c r="L147" i="1"/>
  <c r="L155" i="1"/>
  <c r="L163" i="1"/>
  <c r="L171" i="1"/>
  <c r="L179" i="1"/>
  <c r="L187" i="1"/>
  <c r="L195" i="1"/>
  <c r="L203" i="1"/>
  <c r="L211" i="1"/>
  <c r="L219" i="1"/>
  <c r="L227" i="1"/>
  <c r="L235" i="1"/>
  <c r="L243" i="1"/>
  <c r="L251" i="1"/>
  <c r="L259" i="1"/>
  <c r="L267" i="1"/>
  <c r="L275" i="1"/>
  <c r="L283" i="1"/>
  <c r="L291" i="1"/>
  <c r="L299" i="1"/>
  <c r="L307" i="1"/>
  <c r="L315" i="1"/>
  <c r="L323" i="1"/>
  <c r="L331" i="1"/>
  <c r="L339" i="1"/>
  <c r="L347" i="1"/>
  <c r="L355" i="1"/>
  <c r="L363" i="1"/>
  <c r="L371" i="1"/>
  <c r="L379" i="1"/>
  <c r="L387" i="1"/>
  <c r="L395" i="1"/>
  <c r="L403" i="1"/>
  <c r="L411" i="1"/>
  <c r="L419" i="1"/>
  <c r="L427" i="1"/>
  <c r="L435" i="1"/>
  <c r="L443" i="1"/>
  <c r="L451" i="1"/>
  <c r="L459" i="1"/>
  <c r="L467" i="1"/>
  <c r="L475" i="1"/>
  <c r="L483" i="1"/>
  <c r="L491" i="1"/>
  <c r="L499" i="1"/>
  <c r="L507" i="1"/>
  <c r="L515" i="1"/>
  <c r="L523" i="1"/>
  <c r="L531" i="1"/>
  <c r="L539" i="1"/>
  <c r="L547" i="1"/>
  <c r="L555" i="1"/>
  <c r="L563" i="1"/>
  <c r="L571" i="1"/>
  <c r="L579" i="1"/>
  <c r="L587" i="1"/>
  <c r="L595" i="1"/>
  <c r="L603" i="1"/>
  <c r="L611" i="1"/>
  <c r="L619" i="1"/>
  <c r="L627" i="1"/>
  <c r="L635" i="1"/>
  <c r="L643" i="1"/>
  <c r="L651" i="1"/>
  <c r="L659" i="1"/>
  <c r="L667" i="1"/>
  <c r="L675" i="1"/>
  <c r="L4" i="1"/>
  <c r="L12" i="1"/>
  <c r="L20" i="1"/>
  <c r="L28" i="1"/>
  <c r="L36" i="1"/>
  <c r="L44" i="1"/>
  <c r="L52" i="1"/>
  <c r="L60" i="1"/>
  <c r="L68" i="1"/>
  <c r="L76" i="1"/>
  <c r="L84" i="1"/>
  <c r="L92" i="1"/>
  <c r="L100" i="1"/>
  <c r="L108" i="1"/>
  <c r="L116" i="1"/>
  <c r="L124" i="1"/>
  <c r="L132" i="1"/>
  <c r="L140" i="1"/>
  <c r="L148" i="1"/>
  <c r="L156" i="1"/>
  <c r="L164" i="1"/>
  <c r="L172" i="1"/>
  <c r="L180" i="1"/>
  <c r="L188" i="1"/>
  <c r="L196" i="1"/>
  <c r="L204" i="1"/>
  <c r="L212" i="1"/>
  <c r="L220" i="1"/>
  <c r="L228" i="1"/>
  <c r="L236" i="1"/>
  <c r="L244" i="1"/>
  <c r="L252" i="1"/>
  <c r="L260" i="1"/>
  <c r="L268" i="1"/>
  <c r="L276" i="1"/>
  <c r="L284" i="1"/>
  <c r="L292" i="1"/>
  <c r="L300" i="1"/>
  <c r="L308" i="1"/>
  <c r="L316" i="1"/>
  <c r="L324" i="1"/>
  <c r="L332" i="1"/>
  <c r="L340" i="1"/>
  <c r="L348" i="1"/>
  <c r="L356" i="1"/>
  <c r="L364" i="1"/>
  <c r="L372" i="1"/>
  <c r="L380" i="1"/>
  <c r="L388" i="1"/>
  <c r="L396" i="1"/>
  <c r="L404" i="1"/>
  <c r="L412" i="1"/>
  <c r="L420" i="1"/>
  <c r="L428" i="1"/>
  <c r="L436" i="1"/>
  <c r="L444" i="1"/>
  <c r="L452" i="1"/>
  <c r="L460" i="1"/>
  <c r="L468" i="1"/>
  <c r="L476" i="1"/>
  <c r="L484" i="1"/>
  <c r="L492" i="1"/>
  <c r="L500" i="1"/>
  <c r="L508" i="1"/>
  <c r="L5" i="1"/>
  <c r="L13" i="1"/>
  <c r="L21" i="1"/>
  <c r="L29" i="1"/>
  <c r="L37" i="1"/>
  <c r="L45" i="1"/>
  <c r="L53" i="1"/>
  <c r="L61" i="1"/>
  <c r="L69" i="1"/>
  <c r="L77" i="1"/>
  <c r="L85" i="1"/>
  <c r="L93" i="1"/>
  <c r="L101" i="1"/>
  <c r="L109" i="1"/>
  <c r="L117" i="1"/>
  <c r="L125" i="1"/>
  <c r="L133" i="1"/>
  <c r="L141" i="1"/>
  <c r="L149" i="1"/>
  <c r="L157" i="1"/>
  <c r="L165" i="1"/>
  <c r="L173" i="1"/>
  <c r="L181" i="1"/>
  <c r="L189" i="1"/>
  <c r="L197" i="1"/>
  <c r="L205" i="1"/>
  <c r="L213" i="1"/>
  <c r="L221" i="1"/>
  <c r="L229" i="1"/>
  <c r="L237" i="1"/>
  <c r="L245" i="1"/>
  <c r="L253" i="1"/>
  <c r="L261" i="1"/>
  <c r="L269" i="1"/>
  <c r="L277" i="1"/>
  <c r="L285" i="1"/>
  <c r="L293" i="1"/>
  <c r="L301" i="1"/>
  <c r="L309" i="1"/>
  <c r="L317" i="1"/>
  <c r="L325" i="1"/>
  <c r="L333" i="1"/>
  <c r="L341" i="1"/>
  <c r="L349" i="1"/>
  <c r="L357" i="1"/>
  <c r="L365" i="1"/>
  <c r="L373" i="1"/>
  <c r="L381" i="1"/>
  <c r="L389" i="1"/>
  <c r="L397" i="1"/>
  <c r="L405" i="1"/>
  <c r="L413" i="1"/>
  <c r="L421" i="1"/>
  <c r="L429" i="1"/>
  <c r="L437" i="1"/>
  <c r="L445" i="1"/>
  <c r="L453" i="1"/>
  <c r="L461" i="1"/>
  <c r="L469" i="1"/>
  <c r="L477" i="1"/>
  <c r="L485" i="1"/>
  <c r="L493" i="1"/>
  <c r="L501" i="1"/>
  <c r="L509" i="1"/>
  <c r="L517" i="1"/>
  <c r="L525" i="1"/>
  <c r="L533" i="1"/>
  <c r="L541" i="1"/>
  <c r="L549" i="1"/>
  <c r="L557" i="1"/>
  <c r="L6" i="1"/>
  <c r="L14" i="1"/>
  <c r="L22" i="1"/>
  <c r="L30" i="1"/>
  <c r="L38" i="1"/>
  <c r="L46" i="1"/>
  <c r="B46" i="58" s="1"/>
  <c r="L54" i="1"/>
  <c r="L62" i="1"/>
  <c r="L70" i="1"/>
  <c r="L78" i="1"/>
  <c r="L86" i="1"/>
  <c r="L94" i="1"/>
  <c r="L102" i="1"/>
  <c r="L110" i="1"/>
  <c r="L118" i="1"/>
  <c r="L126" i="1"/>
  <c r="L134" i="1"/>
  <c r="L7" i="1"/>
  <c r="L15" i="1"/>
  <c r="L23" i="1"/>
  <c r="L31" i="1"/>
  <c r="L39" i="1"/>
  <c r="L47" i="1"/>
  <c r="L55" i="1"/>
  <c r="L63" i="1"/>
  <c r="L71" i="1"/>
  <c r="L79" i="1"/>
  <c r="L87" i="1"/>
  <c r="L95" i="1"/>
  <c r="L103" i="1"/>
  <c r="L111" i="1"/>
  <c r="L119" i="1"/>
  <c r="L127" i="1"/>
  <c r="L135" i="1"/>
  <c r="L143" i="1"/>
  <c r="L151" i="1"/>
  <c r="L159" i="1"/>
  <c r="L167" i="1"/>
  <c r="L175" i="1"/>
  <c r="L183" i="1"/>
  <c r="L8" i="1"/>
  <c r="L16" i="1"/>
  <c r="L24" i="1"/>
  <c r="L32" i="1"/>
  <c r="L40" i="1"/>
  <c r="L48" i="1"/>
  <c r="L56" i="1"/>
  <c r="L64" i="1"/>
  <c r="L72" i="1"/>
  <c r="L80" i="1"/>
  <c r="L88" i="1"/>
  <c r="L96" i="1"/>
  <c r="L104" i="1"/>
  <c r="L112" i="1"/>
  <c r="L10" i="1"/>
  <c r="L18" i="1"/>
  <c r="L26" i="1"/>
  <c r="L34" i="1"/>
  <c r="L42" i="1"/>
  <c r="L50" i="1"/>
  <c r="L58" i="1"/>
  <c r="L66" i="1"/>
  <c r="L74" i="1"/>
  <c r="L82" i="1"/>
  <c r="L9" i="1"/>
  <c r="L73" i="1"/>
  <c r="L113" i="1"/>
  <c r="L136" i="1"/>
  <c r="L152" i="1"/>
  <c r="L168" i="1"/>
  <c r="L184" i="1"/>
  <c r="L198" i="1"/>
  <c r="L209" i="1"/>
  <c r="L223" i="1"/>
  <c r="L234" i="1"/>
  <c r="L248" i="1"/>
  <c r="L262" i="1"/>
  <c r="L273" i="1"/>
  <c r="L287" i="1"/>
  <c r="L298" i="1"/>
  <c r="L312" i="1"/>
  <c r="L326" i="1"/>
  <c r="L337" i="1"/>
  <c r="L351" i="1"/>
  <c r="L362" i="1"/>
  <c r="L376" i="1"/>
  <c r="L390" i="1"/>
  <c r="L401" i="1"/>
  <c r="L415" i="1"/>
  <c r="L426" i="1"/>
  <c r="L440" i="1"/>
  <c r="L454" i="1"/>
  <c r="L465" i="1"/>
  <c r="L479" i="1"/>
  <c r="L490" i="1"/>
  <c r="L504" i="1"/>
  <c r="L516" i="1"/>
  <c r="L527" i="1"/>
  <c r="L537" i="1"/>
  <c r="L548" i="1"/>
  <c r="L559" i="1"/>
  <c r="L568" i="1"/>
  <c r="L577" i="1"/>
  <c r="L586" i="1"/>
  <c r="L596" i="1"/>
  <c r="L605" i="1"/>
  <c r="L614" i="1"/>
  <c r="L623" i="1"/>
  <c r="L632" i="1"/>
  <c r="L641" i="1"/>
  <c r="L650" i="1"/>
  <c r="L660" i="1"/>
  <c r="L669" i="1"/>
  <c r="L678" i="1"/>
  <c r="L686" i="1"/>
  <c r="L694" i="1"/>
  <c r="L702" i="1"/>
  <c r="L710" i="1"/>
  <c r="L718" i="1"/>
  <c r="L726" i="1"/>
  <c r="L734" i="1"/>
  <c r="L742" i="1"/>
  <c r="L750" i="1"/>
  <c r="L758" i="1"/>
  <c r="L766" i="1"/>
  <c r="L774" i="1"/>
  <c r="L782" i="1"/>
  <c r="L790" i="1"/>
  <c r="L798" i="1"/>
  <c r="L806" i="1"/>
  <c r="L814" i="1"/>
  <c r="L822" i="1"/>
  <c r="L830" i="1"/>
  <c r="L838" i="1"/>
  <c r="L846" i="1"/>
  <c r="L854" i="1"/>
  <c r="L862" i="1"/>
  <c r="L870" i="1"/>
  <c r="L878" i="1"/>
  <c r="L886" i="1"/>
  <c r="L894" i="1"/>
  <c r="L902" i="1"/>
  <c r="L910" i="1"/>
  <c r="L918" i="1"/>
  <c r="L926" i="1"/>
  <c r="L934" i="1"/>
  <c r="L942" i="1"/>
  <c r="L950" i="1"/>
  <c r="L958" i="1"/>
  <c r="L966" i="1"/>
  <c r="L974" i="1"/>
  <c r="L982" i="1"/>
  <c r="L990" i="1"/>
  <c r="L998" i="1"/>
  <c r="L1006" i="1"/>
  <c r="L1014" i="1"/>
  <c r="L1022" i="1"/>
  <c r="L1030" i="1"/>
  <c r="L1038" i="1"/>
  <c r="L1046" i="1"/>
  <c r="L1054" i="1"/>
  <c r="L1062" i="1"/>
  <c r="L1070" i="1"/>
  <c r="L1078" i="1"/>
  <c r="L1086" i="1"/>
  <c r="L1094" i="1"/>
  <c r="L1102" i="1"/>
  <c r="L1110" i="1"/>
  <c r="L1118" i="1"/>
  <c r="L1126" i="1"/>
  <c r="L17" i="1"/>
  <c r="L81" i="1"/>
  <c r="L114" i="1"/>
  <c r="L137" i="1"/>
  <c r="L153" i="1"/>
  <c r="L169" i="1"/>
  <c r="L185" i="1"/>
  <c r="L199" i="1"/>
  <c r="L210" i="1"/>
  <c r="L224" i="1"/>
  <c r="L238" i="1"/>
  <c r="L249" i="1"/>
  <c r="L263" i="1"/>
  <c r="L274" i="1"/>
  <c r="L288" i="1"/>
  <c r="L302" i="1"/>
  <c r="L313" i="1"/>
  <c r="L327" i="1"/>
  <c r="L338" i="1"/>
  <c r="L352" i="1"/>
  <c r="L366" i="1"/>
  <c r="L377" i="1"/>
  <c r="L391" i="1"/>
  <c r="L402" i="1"/>
  <c r="L416" i="1"/>
  <c r="L430" i="1"/>
  <c r="L441" i="1"/>
  <c r="L455" i="1"/>
  <c r="L466" i="1"/>
  <c r="L480" i="1"/>
  <c r="L494" i="1"/>
  <c r="L505" i="1"/>
  <c r="L518" i="1"/>
  <c r="L528" i="1"/>
  <c r="L538" i="1"/>
  <c r="L550" i="1"/>
  <c r="L560" i="1"/>
  <c r="L569" i="1"/>
  <c r="L578" i="1"/>
  <c r="L588" i="1"/>
  <c r="L597" i="1"/>
  <c r="L606" i="1"/>
  <c r="L615" i="1"/>
  <c r="L624" i="1"/>
  <c r="L633" i="1"/>
  <c r="L642" i="1"/>
  <c r="L652" i="1"/>
  <c r="L661" i="1"/>
  <c r="L670" i="1"/>
  <c r="L679" i="1"/>
  <c r="L687" i="1"/>
  <c r="L695" i="1"/>
  <c r="L703" i="1"/>
  <c r="L711" i="1"/>
  <c r="L719" i="1"/>
  <c r="L727" i="1"/>
  <c r="L735" i="1"/>
  <c r="L743" i="1"/>
  <c r="L751" i="1"/>
  <c r="L759" i="1"/>
  <c r="L767" i="1"/>
  <c r="L775" i="1"/>
  <c r="L25" i="1"/>
  <c r="L89" i="1"/>
  <c r="L120" i="1"/>
  <c r="L138" i="1"/>
  <c r="L154" i="1"/>
  <c r="L170" i="1"/>
  <c r="L186" i="1"/>
  <c r="L200" i="1"/>
  <c r="L214" i="1"/>
  <c r="L225" i="1"/>
  <c r="L239" i="1"/>
  <c r="L250" i="1"/>
  <c r="L264" i="1"/>
  <c r="L278" i="1"/>
  <c r="L289" i="1"/>
  <c r="L303" i="1"/>
  <c r="L314" i="1"/>
  <c r="L328" i="1"/>
  <c r="L342" i="1"/>
  <c r="L353" i="1"/>
  <c r="L367" i="1"/>
  <c r="L378" i="1"/>
  <c r="L392" i="1"/>
  <c r="L406" i="1"/>
  <c r="L417" i="1"/>
  <c r="L431" i="1"/>
  <c r="L442" i="1"/>
  <c r="L456" i="1"/>
  <c r="L470" i="1"/>
  <c r="L481" i="1"/>
  <c r="L495" i="1"/>
  <c r="L506" i="1"/>
  <c r="L519" i="1"/>
  <c r="L529" i="1"/>
  <c r="L540" i="1"/>
  <c r="L551" i="1"/>
  <c r="L561" i="1"/>
  <c r="L570" i="1"/>
  <c r="L580" i="1"/>
  <c r="L589" i="1"/>
  <c r="L598" i="1"/>
  <c r="L607" i="1"/>
  <c r="L616" i="1"/>
  <c r="L625" i="1"/>
  <c r="L634" i="1"/>
  <c r="L644" i="1"/>
  <c r="L653" i="1"/>
  <c r="L662" i="1"/>
  <c r="L671" i="1"/>
  <c r="L680" i="1"/>
  <c r="L688" i="1"/>
  <c r="L696" i="1"/>
  <c r="L704" i="1"/>
  <c r="L712" i="1"/>
  <c r="L720" i="1"/>
  <c r="L728" i="1"/>
  <c r="L736" i="1"/>
  <c r="L744" i="1"/>
  <c r="L752" i="1"/>
  <c r="L760" i="1"/>
  <c r="L768" i="1"/>
  <c r="L776" i="1"/>
  <c r="L784" i="1"/>
  <c r="L792" i="1"/>
  <c r="L800" i="1"/>
  <c r="L808" i="1"/>
  <c r="L816" i="1"/>
  <c r="L824" i="1"/>
  <c r="L832" i="1"/>
  <c r="L840" i="1"/>
  <c r="L848" i="1"/>
  <c r="L856" i="1"/>
  <c r="L864" i="1"/>
  <c r="L872" i="1"/>
  <c r="L880" i="1"/>
  <c r="L888" i="1"/>
  <c r="L896" i="1"/>
  <c r="L904" i="1"/>
  <c r="L912" i="1"/>
  <c r="L920" i="1"/>
  <c r="L928" i="1"/>
  <c r="L936" i="1"/>
  <c r="L944" i="1"/>
  <c r="L952" i="1"/>
  <c r="L960" i="1"/>
  <c r="L33" i="1"/>
  <c r="L90" i="1"/>
  <c r="L121" i="1"/>
  <c r="L142" i="1"/>
  <c r="L158" i="1"/>
  <c r="L174" i="1"/>
  <c r="L190" i="1"/>
  <c r="L201" i="1"/>
  <c r="L215" i="1"/>
  <c r="L226" i="1"/>
  <c r="L240" i="1"/>
  <c r="L254" i="1"/>
  <c r="L265" i="1"/>
  <c r="L279" i="1"/>
  <c r="L290" i="1"/>
  <c r="L304" i="1"/>
  <c r="L318" i="1"/>
  <c r="L329" i="1"/>
  <c r="L343" i="1"/>
  <c r="L354" i="1"/>
  <c r="L368" i="1"/>
  <c r="L382" i="1"/>
  <c r="L393" i="1"/>
  <c r="L407" i="1"/>
  <c r="L418" i="1"/>
  <c r="L432" i="1"/>
  <c r="L446" i="1"/>
  <c r="L457" i="1"/>
  <c r="L471" i="1"/>
  <c r="L482" i="1"/>
  <c r="L496" i="1"/>
  <c r="L510" i="1"/>
  <c r="L520" i="1"/>
  <c r="L41" i="1"/>
  <c r="L97" i="1"/>
  <c r="L122" i="1"/>
  <c r="L144" i="1"/>
  <c r="L160" i="1"/>
  <c r="L176" i="1"/>
  <c r="L191" i="1"/>
  <c r="L202" i="1"/>
  <c r="L216" i="1"/>
  <c r="L230" i="1"/>
  <c r="L241" i="1"/>
  <c r="L255" i="1"/>
  <c r="L266" i="1"/>
  <c r="L280" i="1"/>
  <c r="L294" i="1"/>
  <c r="L305" i="1"/>
  <c r="L319" i="1"/>
  <c r="L330" i="1"/>
  <c r="L344" i="1"/>
  <c r="L358" i="1"/>
  <c r="L369" i="1"/>
  <c r="L383" i="1"/>
  <c r="L394" i="1"/>
  <c r="L408" i="1"/>
  <c r="L422" i="1"/>
  <c r="L433" i="1"/>
  <c r="L447" i="1"/>
  <c r="L458" i="1"/>
  <c r="L472" i="1"/>
  <c r="L486" i="1"/>
  <c r="L497" i="1"/>
  <c r="L511" i="1"/>
  <c r="L521" i="1"/>
  <c r="L532" i="1"/>
  <c r="L543" i="1"/>
  <c r="L553" i="1"/>
  <c r="L564" i="1"/>
  <c r="L573" i="1"/>
  <c r="L582" i="1"/>
  <c r="L591" i="1"/>
  <c r="L49" i="1"/>
  <c r="L98" i="1"/>
  <c r="L128" i="1"/>
  <c r="L145" i="1"/>
  <c r="L161" i="1"/>
  <c r="L177" i="1"/>
  <c r="L192" i="1"/>
  <c r="L206" i="1"/>
  <c r="L217" i="1"/>
  <c r="L231" i="1"/>
  <c r="L242" i="1"/>
  <c r="L256" i="1"/>
  <c r="L270" i="1"/>
  <c r="L281" i="1"/>
  <c r="L295" i="1"/>
  <c r="L306" i="1"/>
  <c r="L320" i="1"/>
  <c r="L334" i="1"/>
  <c r="L345" i="1"/>
  <c r="L359" i="1"/>
  <c r="L370" i="1"/>
  <c r="L384" i="1"/>
  <c r="L398" i="1"/>
  <c r="L409" i="1"/>
  <c r="L423" i="1"/>
  <c r="L434" i="1"/>
  <c r="L448" i="1"/>
  <c r="L462" i="1"/>
  <c r="L473" i="1"/>
  <c r="L487" i="1"/>
  <c r="L498" i="1"/>
  <c r="L512" i="1"/>
  <c r="L522" i="1"/>
  <c r="L534" i="1"/>
  <c r="L544" i="1"/>
  <c r="L554" i="1"/>
  <c r="L565" i="1"/>
  <c r="L574" i="1"/>
  <c r="L583" i="1"/>
  <c r="L592" i="1"/>
  <c r="L57" i="1"/>
  <c r="L105" i="1"/>
  <c r="L129" i="1"/>
  <c r="L146" i="1"/>
  <c r="L162" i="1"/>
  <c r="L178" i="1"/>
  <c r="L193" i="1"/>
  <c r="L207" i="1"/>
  <c r="L218" i="1"/>
  <c r="L232" i="1"/>
  <c r="L246" i="1"/>
  <c r="L257" i="1"/>
  <c r="L271" i="1"/>
  <c r="L282" i="1"/>
  <c r="L296" i="1"/>
  <c r="L310" i="1"/>
  <c r="L321" i="1"/>
  <c r="L335" i="1"/>
  <c r="L346" i="1"/>
  <c r="L360" i="1"/>
  <c r="L374" i="1"/>
  <c r="L385" i="1"/>
  <c r="L399" i="1"/>
  <c r="L410" i="1"/>
  <c r="L424" i="1"/>
  <c r="L65" i="1"/>
  <c r="L222" i="1"/>
  <c r="L322" i="1"/>
  <c r="L425" i="1"/>
  <c r="L478" i="1"/>
  <c r="L526" i="1"/>
  <c r="L556" i="1"/>
  <c r="L581" i="1"/>
  <c r="L601" i="1"/>
  <c r="L617" i="1"/>
  <c r="L630" i="1"/>
  <c r="L646" i="1"/>
  <c r="L658" i="1"/>
  <c r="L674" i="1"/>
  <c r="L689" i="1"/>
  <c r="L700" i="1"/>
  <c r="L714" i="1"/>
  <c r="L725" i="1"/>
  <c r="L739" i="1"/>
  <c r="L753" i="1"/>
  <c r="L764" i="1"/>
  <c r="L778" i="1"/>
  <c r="L788" i="1"/>
  <c r="L799" i="1"/>
  <c r="L810" i="1"/>
  <c r="L820" i="1"/>
  <c r="L831" i="1"/>
  <c r="L842" i="1"/>
  <c r="L852" i="1"/>
  <c r="L863" i="1"/>
  <c r="L874" i="1"/>
  <c r="L884" i="1"/>
  <c r="L895" i="1"/>
  <c r="L906" i="1"/>
  <c r="L916" i="1"/>
  <c r="L927" i="1"/>
  <c r="L938" i="1"/>
  <c r="L948" i="1"/>
  <c r="L959" i="1"/>
  <c r="L969" i="1"/>
  <c r="L978" i="1"/>
  <c r="L987" i="1"/>
  <c r="L996" i="1"/>
  <c r="L1005" i="1"/>
  <c r="L1015" i="1"/>
  <c r="L1024" i="1"/>
  <c r="L1033" i="1"/>
  <c r="L1042" i="1"/>
  <c r="L1051" i="1"/>
  <c r="L1060" i="1"/>
  <c r="L1069" i="1"/>
  <c r="L1079" i="1"/>
  <c r="L1088" i="1"/>
  <c r="L1097" i="1"/>
  <c r="L1106" i="1"/>
  <c r="L1115" i="1"/>
  <c r="L1124" i="1"/>
  <c r="L1133" i="1"/>
  <c r="L1141" i="1"/>
  <c r="L1149" i="1"/>
  <c r="L1157" i="1"/>
  <c r="L1165" i="1"/>
  <c r="L1173" i="1"/>
  <c r="L1181" i="1"/>
  <c r="L1189" i="1"/>
  <c r="L1197" i="1"/>
  <c r="L1205" i="1"/>
  <c r="L1213" i="1"/>
  <c r="L1221" i="1"/>
  <c r="L1229" i="1"/>
  <c r="L1237" i="1"/>
  <c r="L1245" i="1"/>
  <c r="L1253" i="1"/>
  <c r="L1261" i="1"/>
  <c r="L1269" i="1"/>
  <c r="L1277" i="1"/>
  <c r="L1285" i="1"/>
  <c r="L1293" i="1"/>
  <c r="L1301" i="1"/>
  <c r="L1309" i="1"/>
  <c r="L1317" i="1"/>
  <c r="L1325" i="1"/>
  <c r="L1333" i="1"/>
  <c r="L1341" i="1"/>
  <c r="L1349" i="1"/>
  <c r="L1357" i="1"/>
  <c r="L1365" i="1"/>
  <c r="L1373" i="1"/>
  <c r="L1381" i="1"/>
  <c r="L1389" i="1"/>
  <c r="L1397" i="1"/>
  <c r="L1405" i="1"/>
  <c r="L1413" i="1"/>
  <c r="L1421" i="1"/>
  <c r="L1429" i="1"/>
  <c r="L1437" i="1"/>
  <c r="L1445" i="1"/>
  <c r="L1453" i="1"/>
  <c r="L1461" i="1"/>
  <c r="L1469" i="1"/>
  <c r="L106" i="1"/>
  <c r="L233" i="1"/>
  <c r="L336" i="1"/>
  <c r="L438" i="1"/>
  <c r="L488" i="1"/>
  <c r="L530" i="1"/>
  <c r="L558" i="1"/>
  <c r="L584" i="1"/>
  <c r="L602" i="1"/>
  <c r="L618" i="1"/>
  <c r="L631" i="1"/>
  <c r="L647" i="1"/>
  <c r="L663" i="1"/>
  <c r="L676" i="1"/>
  <c r="L690" i="1"/>
  <c r="L701" i="1"/>
  <c r="L715" i="1"/>
  <c r="L729" i="1"/>
  <c r="L740" i="1"/>
  <c r="L754" i="1"/>
  <c r="L765" i="1"/>
  <c r="L779" i="1"/>
  <c r="L789" i="1"/>
  <c r="L801" i="1"/>
  <c r="L811" i="1"/>
  <c r="L821" i="1"/>
  <c r="L833" i="1"/>
  <c r="L843" i="1"/>
  <c r="L853" i="1"/>
  <c r="L865" i="1"/>
  <c r="L875" i="1"/>
  <c r="L885" i="1"/>
  <c r="L897" i="1"/>
  <c r="L907" i="1"/>
  <c r="L917" i="1"/>
  <c r="L929" i="1"/>
  <c r="L939" i="1"/>
  <c r="L949" i="1"/>
  <c r="L961" i="1"/>
  <c r="L970" i="1"/>
  <c r="L979" i="1"/>
  <c r="L988" i="1"/>
  <c r="L997" i="1"/>
  <c r="L1007" i="1"/>
  <c r="L1016" i="1"/>
  <c r="L1025" i="1"/>
  <c r="L1034" i="1"/>
  <c r="L1043" i="1"/>
  <c r="L1052" i="1"/>
  <c r="L1061" i="1"/>
  <c r="L1071" i="1"/>
  <c r="L1080" i="1"/>
  <c r="L1089" i="1"/>
  <c r="L1098" i="1"/>
  <c r="L1107" i="1"/>
  <c r="L1116" i="1"/>
  <c r="L1125" i="1"/>
  <c r="L1134" i="1"/>
  <c r="L1142" i="1"/>
  <c r="L1150" i="1"/>
  <c r="L1158" i="1"/>
  <c r="L1166" i="1"/>
  <c r="L1174" i="1"/>
  <c r="L1182" i="1"/>
  <c r="L1190" i="1"/>
  <c r="L1198" i="1"/>
  <c r="L1206" i="1"/>
  <c r="L1214" i="1"/>
  <c r="L1222" i="1"/>
  <c r="L1230" i="1"/>
  <c r="L1238" i="1"/>
  <c r="L1246" i="1"/>
  <c r="L1254" i="1"/>
  <c r="L1262" i="1"/>
  <c r="L1270" i="1"/>
  <c r="L1278" i="1"/>
  <c r="L1286" i="1"/>
  <c r="L1294" i="1"/>
  <c r="L1302" i="1"/>
  <c r="L1310" i="1"/>
  <c r="L1318" i="1"/>
  <c r="L1326" i="1"/>
  <c r="L1334" i="1"/>
  <c r="L1342" i="1"/>
  <c r="L1350" i="1"/>
  <c r="L130" i="1"/>
  <c r="L247" i="1"/>
  <c r="L350" i="1"/>
  <c r="L439" i="1"/>
  <c r="L489" i="1"/>
  <c r="L535" i="1"/>
  <c r="L562" i="1"/>
  <c r="L585" i="1"/>
  <c r="L604" i="1"/>
  <c r="L620" i="1"/>
  <c r="L636" i="1"/>
  <c r="L648" i="1"/>
  <c r="L664" i="1"/>
  <c r="L677" i="1"/>
  <c r="L691" i="1"/>
  <c r="L705" i="1"/>
  <c r="L716" i="1"/>
  <c r="L730" i="1"/>
  <c r="L741" i="1"/>
  <c r="L755" i="1"/>
  <c r="L769" i="1"/>
  <c r="L780" i="1"/>
  <c r="L791" i="1"/>
  <c r="L802" i="1"/>
  <c r="L812" i="1"/>
  <c r="L823" i="1"/>
  <c r="L834" i="1"/>
  <c r="L844" i="1"/>
  <c r="L855" i="1"/>
  <c r="L866" i="1"/>
  <c r="L876" i="1"/>
  <c r="L887" i="1"/>
  <c r="L898" i="1"/>
  <c r="L908" i="1"/>
  <c r="L919" i="1"/>
  <c r="L930" i="1"/>
  <c r="L940" i="1"/>
  <c r="L951" i="1"/>
  <c r="L962" i="1"/>
  <c r="L971" i="1"/>
  <c r="L980" i="1"/>
  <c r="L989" i="1"/>
  <c r="L999" i="1"/>
  <c r="L1008" i="1"/>
  <c r="L1017" i="1"/>
  <c r="L1026" i="1"/>
  <c r="L1035" i="1"/>
  <c r="L1044" i="1"/>
  <c r="L1053" i="1"/>
  <c r="L1063" i="1"/>
  <c r="L1072" i="1"/>
  <c r="L1081" i="1"/>
  <c r="L1090" i="1"/>
  <c r="L1099" i="1"/>
  <c r="L1108" i="1"/>
  <c r="L1117" i="1"/>
  <c r="L1127" i="1"/>
  <c r="L1135" i="1"/>
  <c r="L1143" i="1"/>
  <c r="L1151" i="1"/>
  <c r="L1159" i="1"/>
  <c r="L1167" i="1"/>
  <c r="L1175" i="1"/>
  <c r="L1183" i="1"/>
  <c r="L1191" i="1"/>
  <c r="L1199" i="1"/>
  <c r="L1207" i="1"/>
  <c r="L1215" i="1"/>
  <c r="L1223" i="1"/>
  <c r="L1231" i="1"/>
  <c r="L1239" i="1"/>
  <c r="L1247" i="1"/>
  <c r="L1255" i="1"/>
  <c r="L1263" i="1"/>
  <c r="L1271" i="1"/>
  <c r="L1279" i="1"/>
  <c r="L1287" i="1"/>
  <c r="L1295" i="1"/>
  <c r="L1303" i="1"/>
  <c r="L1311" i="1"/>
  <c r="L1319" i="1"/>
  <c r="L1327" i="1"/>
  <c r="L1335" i="1"/>
  <c r="L1343" i="1"/>
  <c r="L1351" i="1"/>
  <c r="L1359" i="1"/>
  <c r="L1367" i="1"/>
  <c r="L1375" i="1"/>
  <c r="L1383" i="1"/>
  <c r="L1391" i="1"/>
  <c r="L1399" i="1"/>
  <c r="L1407" i="1"/>
  <c r="L1415" i="1"/>
  <c r="L1423" i="1"/>
  <c r="L1431" i="1"/>
  <c r="L1439" i="1"/>
  <c r="L1447" i="1"/>
  <c r="L1455" i="1"/>
  <c r="L1463" i="1"/>
  <c r="L1471" i="1"/>
  <c r="L150" i="1"/>
  <c r="L258" i="1"/>
  <c r="L361" i="1"/>
  <c r="L449" i="1"/>
  <c r="L502" i="1"/>
  <c r="L536" i="1"/>
  <c r="L566" i="1"/>
  <c r="L590" i="1"/>
  <c r="L608" i="1"/>
  <c r="L621" i="1"/>
  <c r="L637" i="1"/>
  <c r="L649" i="1"/>
  <c r="L665" i="1"/>
  <c r="L681" i="1"/>
  <c r="L692" i="1"/>
  <c r="L706" i="1"/>
  <c r="L717" i="1"/>
  <c r="L731" i="1"/>
  <c r="L745" i="1"/>
  <c r="L756" i="1"/>
  <c r="L770" i="1"/>
  <c r="L781" i="1"/>
  <c r="L793" i="1"/>
  <c r="L803" i="1"/>
  <c r="L813" i="1"/>
  <c r="L825" i="1"/>
  <c r="L835" i="1"/>
  <c r="L845" i="1"/>
  <c r="L857" i="1"/>
  <c r="L867" i="1"/>
  <c r="L877" i="1"/>
  <c r="L889" i="1"/>
  <c r="L899" i="1"/>
  <c r="L909" i="1"/>
  <c r="L921" i="1"/>
  <c r="L931" i="1"/>
  <c r="L941" i="1"/>
  <c r="L953" i="1"/>
  <c r="L963" i="1"/>
  <c r="L972" i="1"/>
  <c r="L981" i="1"/>
  <c r="L991" i="1"/>
  <c r="L1000" i="1"/>
  <c r="L1009" i="1"/>
  <c r="L166" i="1"/>
  <c r="L272" i="1"/>
  <c r="L375" i="1"/>
  <c r="L450" i="1"/>
  <c r="L503" i="1"/>
  <c r="L542" i="1"/>
  <c r="L567" i="1"/>
  <c r="L593" i="1"/>
  <c r="L609" i="1"/>
  <c r="L622" i="1"/>
  <c r="L638" i="1"/>
  <c r="L654" i="1"/>
  <c r="L666" i="1"/>
  <c r="L682" i="1"/>
  <c r="L693" i="1"/>
  <c r="L707" i="1"/>
  <c r="L721" i="1"/>
  <c r="L732" i="1"/>
  <c r="L746" i="1"/>
  <c r="L757" i="1"/>
  <c r="L771" i="1"/>
  <c r="L783" i="1"/>
  <c r="L794" i="1"/>
  <c r="L804" i="1"/>
  <c r="L815" i="1"/>
  <c r="L826" i="1"/>
  <c r="L836" i="1"/>
  <c r="L847" i="1"/>
  <c r="L858" i="1"/>
  <c r="L868" i="1"/>
  <c r="L879" i="1"/>
  <c r="L890" i="1"/>
  <c r="L900" i="1"/>
  <c r="L911" i="1"/>
  <c r="L922" i="1"/>
  <c r="L932" i="1"/>
  <c r="L943" i="1"/>
  <c r="L954" i="1"/>
  <c r="L964" i="1"/>
  <c r="L973" i="1"/>
  <c r="L983" i="1"/>
  <c r="L992" i="1"/>
  <c r="L1001" i="1"/>
  <c r="L1010" i="1"/>
  <c r="L1019" i="1"/>
  <c r="L1028" i="1"/>
  <c r="L1037" i="1"/>
  <c r="L1047" i="1"/>
  <c r="L1056" i="1"/>
  <c r="L1065" i="1"/>
  <c r="L1074" i="1"/>
  <c r="L1083" i="1"/>
  <c r="L1092" i="1"/>
  <c r="L1101" i="1"/>
  <c r="L1111" i="1"/>
  <c r="L182" i="1"/>
  <c r="L286" i="1"/>
  <c r="L386" i="1"/>
  <c r="L463" i="1"/>
  <c r="L513" i="1"/>
  <c r="L545" i="1"/>
  <c r="L572" i="1"/>
  <c r="L594" i="1"/>
  <c r="L610" i="1"/>
  <c r="L626" i="1"/>
  <c r="L639" i="1"/>
  <c r="L655" i="1"/>
  <c r="L668" i="1"/>
  <c r="L683" i="1"/>
  <c r="L697" i="1"/>
  <c r="L708" i="1"/>
  <c r="L722" i="1"/>
  <c r="L733" i="1"/>
  <c r="L747" i="1"/>
  <c r="L761" i="1"/>
  <c r="L772" i="1"/>
  <c r="L785" i="1"/>
  <c r="L795" i="1"/>
  <c r="L805" i="1"/>
  <c r="L817" i="1"/>
  <c r="L827" i="1"/>
  <c r="L837" i="1"/>
  <c r="L849" i="1"/>
  <c r="L859" i="1"/>
  <c r="L869" i="1"/>
  <c r="L881" i="1"/>
  <c r="L891" i="1"/>
  <c r="L901" i="1"/>
  <c r="L913" i="1"/>
  <c r="L923" i="1"/>
  <c r="L933" i="1"/>
  <c r="L945" i="1"/>
  <c r="L955" i="1"/>
  <c r="L965" i="1"/>
  <c r="L975" i="1"/>
  <c r="L1432" i="1"/>
  <c r="L1388" i="1"/>
  <c r="L1331" i="1"/>
  <c r="L1292" i="1"/>
  <c r="L1267" i="1"/>
  <c r="L1242" i="1"/>
  <c r="L1228" i="1"/>
  <c r="L1203" i="1"/>
  <c r="L1192" i="1"/>
  <c r="L1178" i="1"/>
  <c r="L1164" i="1"/>
  <c r="L1153" i="1"/>
  <c r="L1139" i="1"/>
  <c r="L1128" i="1"/>
  <c r="L1112" i="1"/>
  <c r="L1093" i="1"/>
  <c r="L1075" i="1"/>
  <c r="L1057" i="1"/>
  <c r="L1039" i="1"/>
  <c r="L1020" i="1"/>
  <c r="L995" i="1"/>
  <c r="L968" i="1"/>
  <c r="L925" i="1"/>
  <c r="L883" i="1"/>
  <c r="L841" i="1"/>
  <c r="L797" i="1"/>
  <c r="L749" i="1"/>
  <c r="L699" i="1"/>
  <c r="L645" i="1"/>
  <c r="L576" i="1"/>
  <c r="L414" i="1"/>
  <c r="L1257" i="1"/>
  <c r="L1243" i="1"/>
  <c r="L1232" i="1"/>
  <c r="L1218" i="1"/>
  <c r="L1204" i="1"/>
  <c r="L1193" i="1"/>
  <c r="L1179" i="1"/>
  <c r="L1168" i="1"/>
  <c r="L1154" i="1"/>
  <c r="L1140" i="1"/>
  <c r="L1129" i="1"/>
  <c r="L1113" i="1"/>
  <c r="L1095" i="1"/>
  <c r="L1076" i="1"/>
  <c r="L1058" i="1"/>
  <c r="L1040" i="1"/>
  <c r="L1021" i="1"/>
  <c r="L1002" i="1"/>
  <c r="L976" i="1"/>
  <c r="L935" i="1"/>
  <c r="L892" i="1"/>
  <c r="L850" i="1"/>
  <c r="L807" i="1"/>
  <c r="L762" i="1"/>
  <c r="L709" i="1"/>
  <c r="L656" i="1"/>
  <c r="L599" i="1"/>
  <c r="L464" i="1"/>
  <c r="L1464" i="1"/>
  <c r="L1452" i="1"/>
  <c r="L1442" i="1"/>
  <c r="L1420" i="1"/>
  <c r="L1410" i="1"/>
  <c r="L1400" i="1"/>
  <c r="L1378" i="1"/>
  <c r="L1368" i="1"/>
  <c r="L1356" i="1"/>
  <c r="L1345" i="1"/>
  <c r="L1320" i="1"/>
  <c r="L1306" i="1"/>
  <c r="L1281" i="1"/>
  <c r="L1256" i="1"/>
  <c r="L1217" i="1"/>
  <c r="L1462" i="1"/>
  <c r="L1430" i="1"/>
  <c r="L1398" i="1"/>
  <c r="L1387" i="1"/>
  <c r="L1377" i="1"/>
  <c r="L1366" i="1"/>
  <c r="L1355" i="1"/>
  <c r="L1344" i="1"/>
  <c r="L1330" i="1"/>
  <c r="L1316" i="1"/>
  <c r="L1305" i="1"/>
  <c r="L1291" i="1"/>
  <c r="L1280" i="1"/>
  <c r="L1266" i="1"/>
  <c r="L1252" i="1"/>
  <c r="L1241" i="1"/>
  <c r="L1227" i="1"/>
  <c r="L1216" i="1"/>
  <c r="L1202" i="1"/>
  <c r="L1188" i="1"/>
  <c r="L1177" i="1"/>
  <c r="L1163" i="1"/>
  <c r="L1152" i="1"/>
  <c r="L1138" i="1"/>
  <c r="L1123" i="1"/>
  <c r="L1109" i="1"/>
  <c r="L1091" i="1"/>
  <c r="L1073" i="1"/>
  <c r="L1055" i="1"/>
  <c r="L1036" i="1"/>
  <c r="L1018" i="1"/>
  <c r="L994" i="1"/>
  <c r="L967" i="1"/>
  <c r="L924" i="1"/>
  <c r="L882" i="1"/>
  <c r="L839" i="1"/>
  <c r="L796" i="1"/>
  <c r="L748" i="1"/>
  <c r="L698" i="1"/>
  <c r="L640" i="1"/>
  <c r="L575" i="1"/>
  <c r="L400" i="1"/>
  <c r="L1450" i="1"/>
  <c r="L1418" i="1"/>
  <c r="L1376" i="1"/>
  <c r="L1340" i="1"/>
  <c r="L1304" i="1"/>
  <c r="L1251" i="1"/>
  <c r="L1201" i="1"/>
  <c r="L1162" i="1"/>
  <c r="L1137" i="1"/>
  <c r="L1105" i="1"/>
  <c r="L1087" i="1"/>
  <c r="L1050" i="1"/>
  <c r="L1032" i="1"/>
  <c r="L1013" i="1"/>
  <c r="L993" i="1"/>
  <c r="L957" i="1"/>
  <c r="L915" i="1"/>
  <c r="L873" i="1"/>
  <c r="L829" i="1"/>
  <c r="L787" i="1"/>
  <c r="L738" i="1"/>
  <c r="L685" i="1"/>
  <c r="L629" i="1"/>
  <c r="L552" i="1"/>
  <c r="L311" i="1"/>
  <c r="L1451" i="1"/>
  <c r="L1441" i="1"/>
  <c r="L1419" i="1"/>
  <c r="L1409" i="1"/>
  <c r="L2" i="1"/>
  <c r="L1460" i="1"/>
  <c r="L1440" i="1"/>
  <c r="L1428" i="1"/>
  <c r="L1408" i="1"/>
  <c r="L1396" i="1"/>
  <c r="L1386" i="1"/>
  <c r="L1364" i="1"/>
  <c r="L1354" i="1"/>
  <c r="L1329" i="1"/>
  <c r="L1315" i="1"/>
  <c r="L1290" i="1"/>
  <c r="L1276" i="1"/>
  <c r="L1265" i="1"/>
  <c r="L1240" i="1"/>
  <c r="L1226" i="1"/>
  <c r="L1212" i="1"/>
  <c r="L1187" i="1"/>
  <c r="L1176" i="1"/>
  <c r="L1148" i="1"/>
  <c r="L1122" i="1"/>
  <c r="L1068" i="1"/>
  <c r="L1470" i="1"/>
  <c r="L1459" i="1"/>
  <c r="L1449" i="1"/>
  <c r="L1438" i="1"/>
  <c r="L1427" i="1"/>
  <c r="L1417" i="1"/>
  <c r="L1406" i="1"/>
  <c r="L1395" i="1"/>
  <c r="L1385" i="1"/>
  <c r="L1374" i="1"/>
  <c r="L1363" i="1"/>
  <c r="L1353" i="1"/>
  <c r="L1339" i="1"/>
  <c r="L1328" i="1"/>
  <c r="L1314" i="1"/>
  <c r="L1300" i="1"/>
  <c r="L1289" i="1"/>
  <c r="L1275" i="1"/>
  <c r="L1264" i="1"/>
  <c r="L1250" i="1"/>
  <c r="L1236" i="1"/>
  <c r="L1225" i="1"/>
  <c r="L1211" i="1"/>
  <c r="L1200" i="1"/>
  <c r="L1186" i="1"/>
  <c r="L1172" i="1"/>
  <c r="L1161" i="1"/>
  <c r="L1147" i="1"/>
  <c r="L1136" i="1"/>
  <c r="L1121" i="1"/>
  <c r="L1104" i="1"/>
  <c r="L1085" i="1"/>
  <c r="L1067" i="1"/>
  <c r="L1049" i="1"/>
  <c r="L1031" i="1"/>
  <c r="L1012" i="1"/>
  <c r="L986" i="1"/>
  <c r="L956" i="1"/>
  <c r="L914" i="1"/>
  <c r="L871" i="1"/>
  <c r="L828" i="1"/>
  <c r="L786" i="1"/>
  <c r="L737" i="1"/>
  <c r="L684" i="1"/>
  <c r="L628" i="1"/>
  <c r="L546" i="1"/>
  <c r="L297" i="1"/>
  <c r="L1468" i="1"/>
  <c r="L1458" i="1"/>
  <c r="L1448" i="1"/>
  <c r="L1436" i="1"/>
  <c r="L1426" i="1"/>
  <c r="L1416" i="1"/>
  <c r="L1404" i="1"/>
  <c r="L1394" i="1"/>
  <c r="L1384" i="1"/>
  <c r="L1372" i="1"/>
  <c r="L1362" i="1"/>
  <c r="L1352" i="1"/>
  <c r="L1338" i="1"/>
  <c r="L1324" i="1"/>
  <c r="L1313" i="1"/>
  <c r="L1299" i="1"/>
  <c r="L1288" i="1"/>
  <c r="L1274" i="1"/>
  <c r="L1260" i="1"/>
  <c r="L1249" i="1"/>
  <c r="L1235" i="1"/>
  <c r="L1224" i="1"/>
  <c r="L1210" i="1"/>
  <c r="L1196" i="1"/>
  <c r="L1185" i="1"/>
  <c r="L1171" i="1"/>
  <c r="L1160" i="1"/>
  <c r="L1146" i="1"/>
  <c r="L1132" i="1"/>
  <c r="L1120" i="1"/>
  <c r="L1103" i="1"/>
  <c r="L1084" i="1"/>
  <c r="L1066" i="1"/>
  <c r="L1048" i="1"/>
  <c r="L1029" i="1"/>
  <c r="L1011" i="1"/>
  <c r="L985" i="1"/>
  <c r="L947" i="1"/>
  <c r="L905" i="1"/>
  <c r="L861" i="1"/>
  <c r="L819" i="1"/>
  <c r="L777" i="1"/>
  <c r="L724" i="1"/>
  <c r="L673" i="1"/>
  <c r="L613" i="1"/>
  <c r="L524" i="1"/>
  <c r="L208" i="1"/>
  <c r="BA346" i="1"/>
  <c r="L1467" i="1"/>
  <c r="L1457" i="1"/>
  <c r="L1446" i="1"/>
  <c r="L1435" i="1"/>
  <c r="L1425" i="1"/>
  <c r="L1414" i="1"/>
  <c r="L1403" i="1"/>
  <c r="L1393" i="1"/>
  <c r="L1382" i="1"/>
  <c r="L1371" i="1"/>
  <c r="L1361" i="1"/>
  <c r="L1348" i="1"/>
  <c r="L1337" i="1"/>
  <c r="L1323" i="1"/>
  <c r="L1312" i="1"/>
  <c r="L1298" i="1"/>
  <c r="L1284" i="1"/>
  <c r="L1273" i="1"/>
  <c r="L1259" i="1"/>
  <c r="L1248" i="1"/>
  <c r="L1234" i="1"/>
  <c r="L1220" i="1"/>
  <c r="L1209" i="1"/>
  <c r="L1195" i="1"/>
  <c r="L1184" i="1"/>
  <c r="L1170" i="1"/>
  <c r="L1156" i="1"/>
  <c r="L1145" i="1"/>
  <c r="L1131" i="1"/>
  <c r="L1119" i="1"/>
  <c r="L1100" i="1"/>
  <c r="L1082" i="1"/>
  <c r="L1064" i="1"/>
  <c r="L1045" i="1"/>
  <c r="L1027" i="1"/>
  <c r="L1004" i="1"/>
  <c r="L984" i="1"/>
  <c r="L946" i="1"/>
  <c r="L903" i="1"/>
  <c r="L860" i="1"/>
  <c r="L818" i="1"/>
  <c r="L773" i="1"/>
  <c r="L723" i="1"/>
  <c r="L672" i="1"/>
  <c r="L612" i="1"/>
  <c r="L514" i="1"/>
  <c r="L194" i="1"/>
  <c r="BA1404" i="1"/>
  <c r="BA1319" i="1"/>
  <c r="BA1225" i="1"/>
  <c r="BA1122" i="1"/>
  <c r="BA938" i="1"/>
  <c r="AW191" i="1"/>
  <c r="BA1393" i="1"/>
  <c r="BA1308" i="1"/>
  <c r="BA1214" i="1"/>
  <c r="BA1111" i="1"/>
  <c r="BA896" i="1"/>
  <c r="AW1303" i="1"/>
  <c r="BA1095" i="1"/>
  <c r="BA1468" i="1"/>
  <c r="BA1383" i="1"/>
  <c r="BA1297" i="1"/>
  <c r="BA1200" i="1"/>
  <c r="BA853" i="1"/>
  <c r="AW1118" i="1"/>
  <c r="BA1457" i="1"/>
  <c r="BA1372" i="1"/>
  <c r="BA1287" i="1"/>
  <c r="BA1186" i="1"/>
  <c r="BA1082" i="1"/>
  <c r="BA810" i="1"/>
  <c r="BA1039" i="1"/>
  <c r="BA1436" i="1"/>
  <c r="BA1264" i="1"/>
  <c r="BA1425" i="1"/>
  <c r="BA1250" i="1"/>
  <c r="BA1150" i="1"/>
  <c r="BA1011" i="1"/>
  <c r="BA578" i="1"/>
  <c r="AW958" i="1"/>
  <c r="BA1447" i="1"/>
  <c r="BA1361" i="1"/>
  <c r="BA1276" i="1"/>
  <c r="BA1175" i="1"/>
  <c r="BA1064" i="1"/>
  <c r="BA768" i="1"/>
  <c r="AW896" i="1"/>
  <c r="BA1351" i="1"/>
  <c r="BA1161" i="1"/>
  <c r="BA691" i="1"/>
  <c r="BA1340" i="1"/>
  <c r="BA1415" i="1"/>
  <c r="BA1329" i="1"/>
  <c r="BA1239" i="1"/>
  <c r="BA1136" i="1"/>
  <c r="BA975" i="1"/>
  <c r="BA449" i="1"/>
  <c r="AW1471" i="1"/>
  <c r="AW1461" i="1"/>
  <c r="AW1449" i="1"/>
  <c r="AW1439" i="1"/>
  <c r="AW1429" i="1"/>
  <c r="AW1417" i="1"/>
  <c r="AW1407" i="1"/>
  <c r="AW1397" i="1"/>
  <c r="AW1385" i="1"/>
  <c r="AW1375" i="1"/>
  <c r="AW1365" i="1"/>
  <c r="AW1353" i="1"/>
  <c r="AW1343" i="1"/>
  <c r="AW1333" i="1"/>
  <c r="AW1321" i="1"/>
  <c r="AW1311" i="1"/>
  <c r="AW1301" i="1"/>
  <c r="AW1289" i="1"/>
  <c r="AW1279" i="1"/>
  <c r="AW1269" i="1"/>
  <c r="AW1257" i="1"/>
  <c r="AW1247" i="1"/>
  <c r="AW1237" i="1"/>
  <c r="AW1225" i="1"/>
  <c r="AW1215" i="1"/>
  <c r="AW1205" i="1"/>
  <c r="AW1193" i="1"/>
  <c r="AW1183" i="1"/>
  <c r="AW1173" i="1"/>
  <c r="AW1161" i="1"/>
  <c r="AW1151" i="1"/>
  <c r="AW1141" i="1"/>
  <c r="AW1129" i="1"/>
  <c r="AW1119" i="1"/>
  <c r="AW1109" i="1"/>
  <c r="AW1097" i="1"/>
  <c r="AW1087" i="1"/>
  <c r="AW1077" i="1"/>
  <c r="AW1065" i="1"/>
  <c r="AW1055" i="1"/>
  <c r="AW1045" i="1"/>
  <c r="AW1033" i="1"/>
  <c r="AW1022" i="1"/>
  <c r="AW1008" i="1"/>
  <c r="AW997" i="1"/>
  <c r="AW983" i="1"/>
  <c r="AW969" i="1"/>
  <c r="AW952" i="1"/>
  <c r="AW933" i="1"/>
  <c r="AW910" i="1"/>
  <c r="AW888" i="1"/>
  <c r="AW848" i="1"/>
  <c r="AW783" i="1"/>
  <c r="AW710" i="1"/>
  <c r="AW636" i="1"/>
  <c r="AW560" i="1"/>
  <c r="AW474" i="1"/>
  <c r="AW388" i="1"/>
  <c r="AW295" i="1"/>
  <c r="AW174" i="1"/>
  <c r="AW1459" i="1"/>
  <c r="AW1427" i="1"/>
  <c r="AW1395" i="1"/>
  <c r="AW1352" i="1"/>
  <c r="AW1320" i="1"/>
  <c r="AW1278" i="1"/>
  <c r="AW1246" i="1"/>
  <c r="AW1214" i="1"/>
  <c r="AW1182" i="1"/>
  <c r="AW1150" i="1"/>
  <c r="AW1128" i="1"/>
  <c r="AW1096" i="1"/>
  <c r="AW1064" i="1"/>
  <c r="AW1054" i="1"/>
  <c r="AW1007" i="1"/>
  <c r="AW968" i="1"/>
  <c r="AW909" i="1"/>
  <c r="AW840" i="1"/>
  <c r="AW627" i="1"/>
  <c r="AW378" i="1"/>
  <c r="AW151" i="1"/>
  <c r="AW1447" i="1"/>
  <c r="AW1393" i="1"/>
  <c r="AW1329" i="1"/>
  <c r="AW1309" i="1"/>
  <c r="AW1297" i="1"/>
  <c r="AW1287" i="1"/>
  <c r="AW1277" i="1"/>
  <c r="AW1265" i="1"/>
  <c r="AW1255" i="1"/>
  <c r="AW1245" i="1"/>
  <c r="AW1233" i="1"/>
  <c r="AW1223" i="1"/>
  <c r="AW1213" i="1"/>
  <c r="AW1201" i="1"/>
  <c r="AW1191" i="1"/>
  <c r="AW1181" i="1"/>
  <c r="AW1169" i="1"/>
  <c r="AW1159" i="1"/>
  <c r="AW1149" i="1"/>
  <c r="AW1137" i="1"/>
  <c r="AW1127" i="1"/>
  <c r="AW1117" i="1"/>
  <c r="AW1105" i="1"/>
  <c r="AW1095" i="1"/>
  <c r="AW1085" i="1"/>
  <c r="AW1073" i="1"/>
  <c r="AW1063" i="1"/>
  <c r="AW1053" i="1"/>
  <c r="AW1041" i="1"/>
  <c r="AW1031" i="1"/>
  <c r="AW1017" i="1"/>
  <c r="AW1006" i="1"/>
  <c r="AW992" i="1"/>
  <c r="AW981" i="1"/>
  <c r="AW967" i="1"/>
  <c r="AW949" i="1"/>
  <c r="AW926" i="1"/>
  <c r="AW904" i="1"/>
  <c r="AW885" i="1"/>
  <c r="AW832" i="1"/>
  <c r="AW764" i="1"/>
  <c r="AW691" i="1"/>
  <c r="AW618" i="1"/>
  <c r="AW538" i="1"/>
  <c r="AW452" i="1"/>
  <c r="AW368" i="1"/>
  <c r="AW268" i="1"/>
  <c r="AW1425" i="1"/>
  <c r="AW1361" i="1"/>
  <c r="AW1424" i="1"/>
  <c r="AW1350" i="1"/>
  <c r="AW1318" i="1"/>
  <c r="AW1286" i="1"/>
  <c r="AW1264" i="1"/>
  <c r="AW1254" i="1"/>
  <c r="AW1243" i="1"/>
  <c r="AW1232" i="1"/>
  <c r="AW1222" i="1"/>
  <c r="AW1211" i="1"/>
  <c r="AW1200" i="1"/>
  <c r="AW1190" i="1"/>
  <c r="AW1179" i="1"/>
  <c r="AW1168" i="1"/>
  <c r="AW1158" i="1"/>
  <c r="AW1147" i="1"/>
  <c r="AW1136" i="1"/>
  <c r="AW1126" i="1"/>
  <c r="AW1115" i="1"/>
  <c r="AW1104" i="1"/>
  <c r="AW1094" i="1"/>
  <c r="AW1083" i="1"/>
  <c r="AW1072" i="1"/>
  <c r="AW1062" i="1"/>
  <c r="AW1051" i="1"/>
  <c r="AW1040" i="1"/>
  <c r="AW1030" i="1"/>
  <c r="AW1016" i="1"/>
  <c r="AW1005" i="1"/>
  <c r="AW991" i="1"/>
  <c r="AW977" i="1"/>
  <c r="AW966" i="1"/>
  <c r="AW944" i="1"/>
  <c r="AW925" i="1"/>
  <c r="AW902" i="1"/>
  <c r="AW880" i="1"/>
  <c r="AW824" i="1"/>
  <c r="AW755" i="1"/>
  <c r="AW682" i="1"/>
  <c r="AW609" i="1"/>
  <c r="AW528" i="1"/>
  <c r="AW442" i="1"/>
  <c r="AW356" i="1"/>
  <c r="AW255" i="1"/>
  <c r="AW102" i="1"/>
  <c r="AW1448" i="1"/>
  <c r="AW1406" i="1"/>
  <c r="AW1374" i="1"/>
  <c r="AW1342" i="1"/>
  <c r="AW1299" i="1"/>
  <c r="AW1267" i="1"/>
  <c r="AW1235" i="1"/>
  <c r="AW1203" i="1"/>
  <c r="AW1171" i="1"/>
  <c r="AW1086" i="1"/>
  <c r="AW1043" i="1"/>
  <c r="AW993" i="1"/>
  <c r="AW950" i="1"/>
  <c r="AW774" i="1"/>
  <c r="AW548" i="1"/>
  <c r="AW1457" i="1"/>
  <c r="AW1405" i="1"/>
  <c r="AW1373" i="1"/>
  <c r="AW1341" i="1"/>
  <c r="AW1467" i="1"/>
  <c r="AW1446" i="1"/>
  <c r="AW1414" i="1"/>
  <c r="AW1392" i="1"/>
  <c r="AW1371" i="1"/>
  <c r="AW1339" i="1"/>
  <c r="AW1296" i="1"/>
  <c r="AW1445" i="1"/>
  <c r="AW1413" i="1"/>
  <c r="AW1391" i="1"/>
  <c r="AW1359" i="1"/>
  <c r="AW1337" i="1"/>
  <c r="AW1305" i="1"/>
  <c r="AW1285" i="1"/>
  <c r="AW1263" i="1"/>
  <c r="AW1241" i="1"/>
  <c r="AW1231" i="1"/>
  <c r="AW1221" i="1"/>
  <c r="AW1209" i="1"/>
  <c r="AW1199" i="1"/>
  <c r="AW1189" i="1"/>
  <c r="AW1177" i="1"/>
  <c r="AW1167" i="1"/>
  <c r="AW1157" i="1"/>
  <c r="AW1145" i="1"/>
  <c r="AW1135" i="1"/>
  <c r="AW1125" i="1"/>
  <c r="AW1113" i="1"/>
  <c r="AW1103" i="1"/>
  <c r="AW1093" i="1"/>
  <c r="AW1081" i="1"/>
  <c r="AW1071" i="1"/>
  <c r="AW1061" i="1"/>
  <c r="AW1049" i="1"/>
  <c r="AW1039" i="1"/>
  <c r="AW1029" i="1"/>
  <c r="AW1015" i="1"/>
  <c r="AW1001" i="1"/>
  <c r="AW990" i="1"/>
  <c r="AW976" i="1"/>
  <c r="AW965" i="1"/>
  <c r="AW942" i="1"/>
  <c r="AW920" i="1"/>
  <c r="AW901" i="1"/>
  <c r="AW878" i="1"/>
  <c r="AW816" i="1"/>
  <c r="AW746" i="1"/>
  <c r="AW673" i="1"/>
  <c r="AW600" i="1"/>
  <c r="AW516" i="1"/>
  <c r="AW432" i="1"/>
  <c r="AW346" i="1"/>
  <c r="AW239" i="1"/>
  <c r="AW78" i="1"/>
  <c r="AW1470" i="1"/>
  <c r="AW1438" i="1"/>
  <c r="AW1416" i="1"/>
  <c r="AW1384" i="1"/>
  <c r="AW1363" i="1"/>
  <c r="AW1331" i="1"/>
  <c r="AW1310" i="1"/>
  <c r="AW1288" i="1"/>
  <c r="AW1256" i="1"/>
  <c r="AW1224" i="1"/>
  <c r="AW1192" i="1"/>
  <c r="AW1160" i="1"/>
  <c r="AW1139" i="1"/>
  <c r="AW1107" i="1"/>
  <c r="AW1075" i="1"/>
  <c r="AW1032" i="1"/>
  <c r="AW1021" i="1"/>
  <c r="AW982" i="1"/>
  <c r="AW928" i="1"/>
  <c r="AW886" i="1"/>
  <c r="AW700" i="1"/>
  <c r="AW464" i="1"/>
  <c r="AW282" i="1"/>
  <c r="AW1469" i="1"/>
  <c r="AW1437" i="1"/>
  <c r="AW1415" i="1"/>
  <c r="AW1383" i="1"/>
  <c r="AW1351" i="1"/>
  <c r="AW1319" i="1"/>
  <c r="AW1456" i="1"/>
  <c r="AW1435" i="1"/>
  <c r="AW1403" i="1"/>
  <c r="AW1382" i="1"/>
  <c r="AW1360" i="1"/>
  <c r="AW1328" i="1"/>
  <c r="AW1307" i="1"/>
  <c r="AW1275" i="1"/>
  <c r="AW1465" i="1"/>
  <c r="AW1455" i="1"/>
  <c r="AW1433" i="1"/>
  <c r="AW1423" i="1"/>
  <c r="AW1401" i="1"/>
  <c r="AW1381" i="1"/>
  <c r="AW1369" i="1"/>
  <c r="AW1349" i="1"/>
  <c r="AW1327" i="1"/>
  <c r="AW1317" i="1"/>
  <c r="AW1295" i="1"/>
  <c r="AW1273" i="1"/>
  <c r="AW1253" i="1"/>
  <c r="AW5" i="1"/>
  <c r="AW1464" i="1"/>
  <c r="AW1454" i="1"/>
  <c r="AW1443" i="1"/>
  <c r="AW1432" i="1"/>
  <c r="AW1422" i="1"/>
  <c r="AW1411" i="1"/>
  <c r="AW1400" i="1"/>
  <c r="AW1390" i="1"/>
  <c r="AW1379" i="1"/>
  <c r="AW1368" i="1"/>
  <c r="AW1358" i="1"/>
  <c r="AW1347" i="1"/>
  <c r="AW1336" i="1"/>
  <c r="AW1326" i="1"/>
  <c r="AW1315" i="1"/>
  <c r="AW1304" i="1"/>
  <c r="AW1294" i="1"/>
  <c r="AW1283" i="1"/>
  <c r="AW1272" i="1"/>
  <c r="AW1262" i="1"/>
  <c r="AW1251" i="1"/>
  <c r="AW1240" i="1"/>
  <c r="AW1230" i="1"/>
  <c r="AW1219" i="1"/>
  <c r="AW1208" i="1"/>
  <c r="AW1198" i="1"/>
  <c r="AW1187" i="1"/>
  <c r="AW1176" i="1"/>
  <c r="AW1166" i="1"/>
  <c r="AW1155" i="1"/>
  <c r="AW1144" i="1"/>
  <c r="AW1134" i="1"/>
  <c r="AW1123" i="1"/>
  <c r="AW1112" i="1"/>
  <c r="AW1102" i="1"/>
  <c r="AW1091" i="1"/>
  <c r="AW1080" i="1"/>
  <c r="AW1070" i="1"/>
  <c r="AW1059" i="1"/>
  <c r="AW1048" i="1"/>
  <c r="AW1038" i="1"/>
  <c r="AW1025" i="1"/>
  <c r="AW1014" i="1"/>
  <c r="AW1000" i="1"/>
  <c r="AW989" i="1"/>
  <c r="AW975" i="1"/>
  <c r="AW960" i="1"/>
  <c r="AW941" i="1"/>
  <c r="AW918" i="1"/>
  <c r="AW872" i="1"/>
  <c r="AW808" i="1"/>
  <c r="AW737" i="1"/>
  <c r="AW664" i="1"/>
  <c r="AW591" i="1"/>
  <c r="AW506" i="1"/>
  <c r="AW420" i="1"/>
  <c r="AW332" i="1"/>
  <c r="AW223" i="1"/>
  <c r="AW53" i="1"/>
  <c r="AW1463" i="1"/>
  <c r="AW1453" i="1"/>
  <c r="AW1441" i="1"/>
  <c r="AW1431" i="1"/>
  <c r="AW1421" i="1"/>
  <c r="AW1409" i="1"/>
  <c r="AW1399" i="1"/>
  <c r="AW1389" i="1"/>
  <c r="AW1377" i="1"/>
  <c r="AW1367" i="1"/>
  <c r="AW1357" i="1"/>
  <c r="AW1345" i="1"/>
  <c r="AW1335" i="1"/>
  <c r="AW1325" i="1"/>
  <c r="AW1313" i="1"/>
  <c r="AW1293" i="1"/>
  <c r="AW1281" i="1"/>
  <c r="AW1271" i="1"/>
  <c r="AW1261" i="1"/>
  <c r="AW1249" i="1"/>
  <c r="AW1239" i="1"/>
  <c r="AW1229" i="1"/>
  <c r="AW1217" i="1"/>
  <c r="AW1207" i="1"/>
  <c r="AW1197" i="1"/>
  <c r="AW1185" i="1"/>
  <c r="AW1175" i="1"/>
  <c r="AW1165" i="1"/>
  <c r="AW1153" i="1"/>
  <c r="AW1143" i="1"/>
  <c r="AW1133" i="1"/>
  <c r="AW1121" i="1"/>
  <c r="AW1111" i="1"/>
  <c r="AW1101" i="1"/>
  <c r="AW1089" i="1"/>
  <c r="AW1079" i="1"/>
  <c r="AW1069" i="1"/>
  <c r="AW1057" i="1"/>
  <c r="AW1047" i="1"/>
  <c r="AW1037" i="1"/>
  <c r="AW1024" i="1"/>
  <c r="AW1013" i="1"/>
  <c r="AW999" i="1"/>
  <c r="AW985" i="1"/>
  <c r="AW974" i="1"/>
  <c r="AW936" i="1"/>
  <c r="AW917" i="1"/>
  <c r="AW894" i="1"/>
  <c r="AW864" i="1"/>
  <c r="AW800" i="1"/>
  <c r="AW728" i="1"/>
  <c r="AW655" i="1"/>
  <c r="AW580" i="1"/>
  <c r="AW496" i="1"/>
  <c r="AW410" i="1"/>
  <c r="AW320" i="1"/>
  <c r="AW207" i="1"/>
  <c r="AW22" i="1"/>
  <c r="AW2" i="1"/>
  <c r="AW1462" i="1"/>
  <c r="AW1451" i="1"/>
  <c r="AW1440" i="1"/>
  <c r="AW1430" i="1"/>
  <c r="AW1419" i="1"/>
  <c r="AW1408" i="1"/>
  <c r="AW1398" i="1"/>
  <c r="AW1387" i="1"/>
  <c r="AW1376" i="1"/>
  <c r="AW1366" i="1"/>
  <c r="AW1355" i="1"/>
  <c r="AW1344" i="1"/>
  <c r="AW1334" i="1"/>
  <c r="AW1323" i="1"/>
  <c r="AW1312" i="1"/>
  <c r="AW1302" i="1"/>
  <c r="AW1291" i="1"/>
  <c r="AW1280" i="1"/>
  <c r="AW1270" i="1"/>
  <c r="AW1259" i="1"/>
  <c r="AW1248" i="1"/>
  <c r="AW1238" i="1"/>
  <c r="AW1227" i="1"/>
  <c r="AW1216" i="1"/>
  <c r="AW1206" i="1"/>
  <c r="AW1195" i="1"/>
  <c r="AW1184" i="1"/>
  <c r="AW1174" i="1"/>
  <c r="AW1163" i="1"/>
  <c r="AW1152" i="1"/>
  <c r="AW1142" i="1"/>
  <c r="AW1131" i="1"/>
  <c r="AW1120" i="1"/>
  <c r="AW1110" i="1"/>
  <c r="AW1099" i="1"/>
  <c r="AW1088" i="1"/>
  <c r="AW1078" i="1"/>
  <c r="AW1067" i="1"/>
  <c r="AW1056" i="1"/>
  <c r="AW1046" i="1"/>
  <c r="AW1035" i="1"/>
  <c r="AW1023" i="1"/>
  <c r="AW1009" i="1"/>
  <c r="AW998" i="1"/>
  <c r="AW984" i="1"/>
  <c r="AW973" i="1"/>
  <c r="AW957" i="1"/>
  <c r="AW934" i="1"/>
  <c r="AW912" i="1"/>
  <c r="AW893" i="1"/>
  <c r="AW856" i="1"/>
  <c r="AW792" i="1"/>
  <c r="AW719" i="1"/>
  <c r="AW646" i="1"/>
  <c r="AW570" i="1"/>
  <c r="AW484" i="1"/>
  <c r="AW400" i="1"/>
  <c r="AW307" i="1"/>
  <c r="AW961" i="1"/>
  <c r="AW953" i="1"/>
  <c r="AW945" i="1"/>
  <c r="AW937" i="1"/>
  <c r="AW929" i="1"/>
  <c r="AW921" i="1"/>
  <c r="AW913" i="1"/>
  <c r="AW905" i="1"/>
  <c r="AW897" i="1"/>
  <c r="AW889" i="1"/>
  <c r="AW881" i="1"/>
  <c r="AW873" i="1"/>
  <c r="AW865" i="1"/>
  <c r="AW857" i="1"/>
  <c r="AW849" i="1"/>
  <c r="AW841" i="1"/>
  <c r="AW833" i="1"/>
  <c r="AW825" i="1"/>
  <c r="AW817" i="1"/>
  <c r="AW809" i="1"/>
  <c r="AW801" i="1"/>
  <c r="AW793" i="1"/>
  <c r="AW784" i="1"/>
  <c r="AW775" i="1"/>
  <c r="AW766" i="1"/>
  <c r="AW756" i="1"/>
  <c r="AW747" i="1"/>
  <c r="AW738" i="1"/>
  <c r="AW729" i="1"/>
  <c r="AW720" i="1"/>
  <c r="AW711" i="1"/>
  <c r="AW702" i="1"/>
  <c r="AW692" i="1"/>
  <c r="AW683" i="1"/>
  <c r="AW674" i="1"/>
  <c r="AW665" i="1"/>
  <c r="AW656" i="1"/>
  <c r="AW647" i="1"/>
  <c r="AW638" i="1"/>
  <c r="AW628" i="1"/>
  <c r="AW619" i="1"/>
  <c r="AW610" i="1"/>
  <c r="AW601" i="1"/>
  <c r="AW592" i="1"/>
  <c r="AW583" i="1"/>
  <c r="AW571" i="1"/>
  <c r="AW561" i="1"/>
  <c r="AW551" i="1"/>
  <c r="AW539" i="1"/>
  <c r="AW529" i="1"/>
  <c r="AW519" i="1"/>
  <c r="AW507" i="1"/>
  <c r="AW497" i="1"/>
  <c r="AW487" i="1"/>
  <c r="AW475" i="1"/>
  <c r="AW465" i="1"/>
  <c r="AW455" i="1"/>
  <c r="AW443" i="1"/>
  <c r="AW433" i="1"/>
  <c r="AW423" i="1"/>
  <c r="AW411" i="1"/>
  <c r="AW401" i="1"/>
  <c r="AW391" i="1"/>
  <c r="AW379" i="1"/>
  <c r="AW369" i="1"/>
  <c r="AW359" i="1"/>
  <c r="AW347" i="1"/>
  <c r="AW335" i="1"/>
  <c r="AW322" i="1"/>
  <c r="AW308" i="1"/>
  <c r="AW296" i="1"/>
  <c r="AW283" i="1"/>
  <c r="AW271" i="1"/>
  <c r="AW256" i="1"/>
  <c r="AW240" i="1"/>
  <c r="AW224" i="1"/>
  <c r="AW208" i="1"/>
  <c r="AW192" i="1"/>
  <c r="AW175" i="1"/>
  <c r="AW156" i="1"/>
  <c r="AW129" i="1"/>
  <c r="AW105" i="1"/>
  <c r="AW83" i="1"/>
  <c r="AW54" i="1"/>
  <c r="AW25" i="1"/>
  <c r="AW959" i="1"/>
  <c r="AW951" i="1"/>
  <c r="AW943" i="1"/>
  <c r="AW935" i="1"/>
  <c r="AW927" i="1"/>
  <c r="AW919" i="1"/>
  <c r="AW911" i="1"/>
  <c r="AW903" i="1"/>
  <c r="AW895" i="1"/>
  <c r="AW887" i="1"/>
  <c r="AW879" i="1"/>
  <c r="AW871" i="1"/>
  <c r="AW863" i="1"/>
  <c r="AW855" i="1"/>
  <c r="AW847" i="1"/>
  <c r="AW839" i="1"/>
  <c r="AW831" i="1"/>
  <c r="AW823" i="1"/>
  <c r="AW815" i="1"/>
  <c r="AW807" i="1"/>
  <c r="AW799" i="1"/>
  <c r="AW791" i="1"/>
  <c r="AW782" i="1"/>
  <c r="AW772" i="1"/>
  <c r="AW763" i="1"/>
  <c r="AW754" i="1"/>
  <c r="AW745" i="1"/>
  <c r="AW736" i="1"/>
  <c r="AW727" i="1"/>
  <c r="AW718" i="1"/>
  <c r="AW708" i="1"/>
  <c r="AW699" i="1"/>
  <c r="AW690" i="1"/>
  <c r="AW681" i="1"/>
  <c r="AW672" i="1"/>
  <c r="AW663" i="1"/>
  <c r="AW654" i="1"/>
  <c r="AW644" i="1"/>
  <c r="AW635" i="1"/>
  <c r="AW626" i="1"/>
  <c r="AW617" i="1"/>
  <c r="AW608" i="1"/>
  <c r="AW599" i="1"/>
  <c r="AW590" i="1"/>
  <c r="AW579" i="1"/>
  <c r="AW569" i="1"/>
  <c r="AW559" i="1"/>
  <c r="AW547" i="1"/>
  <c r="AW537" i="1"/>
  <c r="AW527" i="1"/>
  <c r="AW515" i="1"/>
  <c r="AW505" i="1"/>
  <c r="AW495" i="1"/>
  <c r="AW483" i="1"/>
  <c r="AW473" i="1"/>
  <c r="AW463" i="1"/>
  <c r="AW451" i="1"/>
  <c r="AW441" i="1"/>
  <c r="AW431" i="1"/>
  <c r="AW419" i="1"/>
  <c r="AW409" i="1"/>
  <c r="AW399" i="1"/>
  <c r="AW387" i="1"/>
  <c r="AW377" i="1"/>
  <c r="AW367" i="1"/>
  <c r="AW355" i="1"/>
  <c r="AW344" i="1"/>
  <c r="AW331" i="1"/>
  <c r="AW319" i="1"/>
  <c r="AW306" i="1"/>
  <c r="AW292" i="1"/>
  <c r="AW280" i="1"/>
  <c r="AW267" i="1"/>
  <c r="AW251" i="1"/>
  <c r="AW235" i="1"/>
  <c r="AW219" i="1"/>
  <c r="AW203" i="1"/>
  <c r="AW187" i="1"/>
  <c r="AW169" i="1"/>
  <c r="AW148" i="1"/>
  <c r="AW124" i="1"/>
  <c r="AW101" i="1"/>
  <c r="AW75" i="1"/>
  <c r="AW47" i="1"/>
  <c r="AW21" i="1"/>
  <c r="AW870" i="1"/>
  <c r="AW862" i="1"/>
  <c r="AW854" i="1"/>
  <c r="AW846" i="1"/>
  <c r="AW838" i="1"/>
  <c r="AW830" i="1"/>
  <c r="AW822" i="1"/>
  <c r="AW814" i="1"/>
  <c r="AW806" i="1"/>
  <c r="AW798" i="1"/>
  <c r="AW790" i="1"/>
  <c r="AW780" i="1"/>
  <c r="AW771" i="1"/>
  <c r="AW762" i="1"/>
  <c r="AW753" i="1"/>
  <c r="AW744" i="1"/>
  <c r="AW735" i="1"/>
  <c r="AW726" i="1"/>
  <c r="AW716" i="1"/>
  <c r="AW707" i="1"/>
  <c r="AW698" i="1"/>
  <c r="AW689" i="1"/>
  <c r="AW680" i="1"/>
  <c r="AW671" i="1"/>
  <c r="AW662" i="1"/>
  <c r="AW652" i="1"/>
  <c r="AW643" i="1"/>
  <c r="AW634" i="1"/>
  <c r="AW625" i="1"/>
  <c r="AW616" i="1"/>
  <c r="AW607" i="1"/>
  <c r="AW598" i="1"/>
  <c r="AW588" i="1"/>
  <c r="AW578" i="1"/>
  <c r="AW568" i="1"/>
  <c r="AW556" i="1"/>
  <c r="AW546" i="1"/>
  <c r="AW536" i="1"/>
  <c r="AW524" i="1"/>
  <c r="AW514" i="1"/>
  <c r="AW504" i="1"/>
  <c r="AW492" i="1"/>
  <c r="AW482" i="1"/>
  <c r="AW472" i="1"/>
  <c r="AW460" i="1"/>
  <c r="AW450" i="1"/>
  <c r="AW440" i="1"/>
  <c r="AW428" i="1"/>
  <c r="AW418" i="1"/>
  <c r="AW408" i="1"/>
  <c r="AW396" i="1"/>
  <c r="AW386" i="1"/>
  <c r="AW376" i="1"/>
  <c r="AW364" i="1"/>
  <c r="AW354" i="1"/>
  <c r="AW343" i="1"/>
  <c r="AW330" i="1"/>
  <c r="AW316" i="1"/>
  <c r="AW304" i="1"/>
  <c r="AW291" i="1"/>
  <c r="AW279" i="1"/>
  <c r="AW266" i="1"/>
  <c r="AW250" i="1"/>
  <c r="AW234" i="1"/>
  <c r="AW218" i="1"/>
  <c r="AW202" i="1"/>
  <c r="AW186" i="1"/>
  <c r="AW168" i="1"/>
  <c r="AW147" i="1"/>
  <c r="AW120" i="1"/>
  <c r="AW96" i="1"/>
  <c r="AW73" i="1"/>
  <c r="AW43" i="1"/>
  <c r="AW15" i="1"/>
  <c r="AW877" i="1"/>
  <c r="AW869" i="1"/>
  <c r="AW861" i="1"/>
  <c r="AW853" i="1"/>
  <c r="AW845" i="1"/>
  <c r="AW837" i="1"/>
  <c r="AW829" i="1"/>
  <c r="AW821" i="1"/>
  <c r="AW813" i="1"/>
  <c r="AW805" i="1"/>
  <c r="AW797" i="1"/>
  <c r="AW788" i="1"/>
  <c r="AW779" i="1"/>
  <c r="AW770" i="1"/>
  <c r="AW761" i="1"/>
  <c r="AW752" i="1"/>
  <c r="AW743" i="1"/>
  <c r="AW734" i="1"/>
  <c r="AW724" i="1"/>
  <c r="AW715" i="1"/>
  <c r="AW706" i="1"/>
  <c r="AW697" i="1"/>
  <c r="AW688" i="1"/>
  <c r="AW679" i="1"/>
  <c r="AW670" i="1"/>
  <c r="AW660" i="1"/>
  <c r="AW651" i="1"/>
  <c r="AW642" i="1"/>
  <c r="AW633" i="1"/>
  <c r="AW624" i="1"/>
  <c r="AW615" i="1"/>
  <c r="AW606" i="1"/>
  <c r="AW596" i="1"/>
  <c r="AW587" i="1"/>
  <c r="AW577" i="1"/>
  <c r="AW567" i="1"/>
  <c r="AW555" i="1"/>
  <c r="AW545" i="1"/>
  <c r="AW535" i="1"/>
  <c r="AW523" i="1"/>
  <c r="AW513" i="1"/>
  <c r="AW503" i="1"/>
  <c r="AW491" i="1"/>
  <c r="AW481" i="1"/>
  <c r="AW471" i="1"/>
  <c r="AW459" i="1"/>
  <c r="AW449" i="1"/>
  <c r="AW439" i="1"/>
  <c r="AW427" i="1"/>
  <c r="AW417" i="1"/>
  <c r="AW407" i="1"/>
  <c r="AW395" i="1"/>
  <c r="AW385" i="1"/>
  <c r="AW375" i="1"/>
  <c r="AW363" i="1"/>
  <c r="AW353" i="1"/>
  <c r="AW340" i="1"/>
  <c r="AW328" i="1"/>
  <c r="AW315" i="1"/>
  <c r="AW303" i="1"/>
  <c r="AW290" i="1"/>
  <c r="AW276" i="1"/>
  <c r="AW264" i="1"/>
  <c r="AW248" i="1"/>
  <c r="AW232" i="1"/>
  <c r="AW216" i="1"/>
  <c r="AW200" i="1"/>
  <c r="AW184" i="1"/>
  <c r="AW166" i="1"/>
  <c r="AW142" i="1"/>
  <c r="AW119" i="1"/>
  <c r="AW93" i="1"/>
  <c r="AW69" i="1"/>
  <c r="AW41" i="1"/>
  <c r="AW11" i="1"/>
  <c r="AW1468" i="1"/>
  <c r="AW1460" i="1"/>
  <c r="AW1452" i="1"/>
  <c r="AW1444" i="1"/>
  <c r="AW1436" i="1"/>
  <c r="AW1428" i="1"/>
  <c r="AW1420" i="1"/>
  <c r="AW1412" i="1"/>
  <c r="AW1404" i="1"/>
  <c r="AW1396" i="1"/>
  <c r="AW1388" i="1"/>
  <c r="AW1380" i="1"/>
  <c r="AW1372" i="1"/>
  <c r="AW1364" i="1"/>
  <c r="AW1356" i="1"/>
  <c r="AW1348" i="1"/>
  <c r="AW1340" i="1"/>
  <c r="AW1332" i="1"/>
  <c r="AW1324" i="1"/>
  <c r="AW1316" i="1"/>
  <c r="AW1308" i="1"/>
  <c r="AW1300" i="1"/>
  <c r="AW1292" i="1"/>
  <c r="AW1284" i="1"/>
  <c r="AW1276" i="1"/>
  <c r="AW1268" i="1"/>
  <c r="AW1260" i="1"/>
  <c r="AW1252" i="1"/>
  <c r="AW1244" i="1"/>
  <c r="AW1236" i="1"/>
  <c r="AW1228" i="1"/>
  <c r="AW1220" i="1"/>
  <c r="AW1212" i="1"/>
  <c r="AW1204" i="1"/>
  <c r="AW1196" i="1"/>
  <c r="AW1188" i="1"/>
  <c r="AW1180" i="1"/>
  <c r="AW1172" i="1"/>
  <c r="AW1164" i="1"/>
  <c r="AW1156" i="1"/>
  <c r="AW1148" i="1"/>
  <c r="AW1140" i="1"/>
  <c r="AW1132" i="1"/>
  <c r="AW1124" i="1"/>
  <c r="AW1116" i="1"/>
  <c r="AW1108" i="1"/>
  <c r="AW1100" i="1"/>
  <c r="AW1092" i="1"/>
  <c r="AW1084" i="1"/>
  <c r="AW1076" i="1"/>
  <c r="AW1068" i="1"/>
  <c r="AW1060" i="1"/>
  <c r="AW1052" i="1"/>
  <c r="AW1044" i="1"/>
  <c r="AW1036" i="1"/>
  <c r="AW1028" i="1"/>
  <c r="AW1020" i="1"/>
  <c r="AW1012" i="1"/>
  <c r="AW1004" i="1"/>
  <c r="AW996" i="1"/>
  <c r="AW988" i="1"/>
  <c r="AW980" i="1"/>
  <c r="AW972" i="1"/>
  <c r="AW964" i="1"/>
  <c r="AW956" i="1"/>
  <c r="AW948" i="1"/>
  <c r="AW940" i="1"/>
  <c r="AW932" i="1"/>
  <c r="AW924" i="1"/>
  <c r="AW916" i="1"/>
  <c r="AW908" i="1"/>
  <c r="AW900" i="1"/>
  <c r="AW892" i="1"/>
  <c r="AW884" i="1"/>
  <c r="AW876" i="1"/>
  <c r="AW868" i="1"/>
  <c r="AW860" i="1"/>
  <c r="AW852" i="1"/>
  <c r="AW844" i="1"/>
  <c r="AW836" i="1"/>
  <c r="AW828" i="1"/>
  <c r="AW820" i="1"/>
  <c r="AW812" i="1"/>
  <c r="AW804" i="1"/>
  <c r="AW796" i="1"/>
  <c r="AW787" i="1"/>
  <c r="AW778" i="1"/>
  <c r="AW769" i="1"/>
  <c r="AW760" i="1"/>
  <c r="AW751" i="1"/>
  <c r="AW742" i="1"/>
  <c r="AW732" i="1"/>
  <c r="AW723" i="1"/>
  <c r="AW714" i="1"/>
  <c r="AW705" i="1"/>
  <c r="AW696" i="1"/>
  <c r="AW687" i="1"/>
  <c r="AW678" i="1"/>
  <c r="AW668" i="1"/>
  <c r="AW659" i="1"/>
  <c r="AW650" i="1"/>
  <c r="AW641" i="1"/>
  <c r="AW632" i="1"/>
  <c r="AW623" i="1"/>
  <c r="AW614" i="1"/>
  <c r="AW604" i="1"/>
  <c r="AW595" i="1"/>
  <c r="AW586" i="1"/>
  <c r="AW576" i="1"/>
  <c r="AW564" i="1"/>
  <c r="AW554" i="1"/>
  <c r="AW544" i="1"/>
  <c r="AW532" i="1"/>
  <c r="AW522" i="1"/>
  <c r="AW512" i="1"/>
  <c r="AW500" i="1"/>
  <c r="AW490" i="1"/>
  <c r="AW480" i="1"/>
  <c r="AW468" i="1"/>
  <c r="AW458" i="1"/>
  <c r="AW448" i="1"/>
  <c r="AW436" i="1"/>
  <c r="AW426" i="1"/>
  <c r="AW416" i="1"/>
  <c r="AW404" i="1"/>
  <c r="AW394" i="1"/>
  <c r="AW384" i="1"/>
  <c r="AW372" i="1"/>
  <c r="AW362" i="1"/>
  <c r="AW352" i="1"/>
  <c r="AW339" i="1"/>
  <c r="AW327" i="1"/>
  <c r="AW314" i="1"/>
  <c r="AW300" i="1"/>
  <c r="AW288" i="1"/>
  <c r="AW275" i="1"/>
  <c r="AW263" i="1"/>
  <c r="AW247" i="1"/>
  <c r="AW231" i="1"/>
  <c r="AW215" i="1"/>
  <c r="AW199" i="1"/>
  <c r="AW183" i="1"/>
  <c r="AW165" i="1"/>
  <c r="AW139" i="1"/>
  <c r="AW115" i="1"/>
  <c r="AW92" i="1"/>
  <c r="AW64" i="1"/>
  <c r="AW37" i="1"/>
  <c r="AW9" i="1"/>
  <c r="AW1027" i="1"/>
  <c r="AW1019" i="1"/>
  <c r="AW1011" i="1"/>
  <c r="AW1003" i="1"/>
  <c r="AW995" i="1"/>
  <c r="AW987" i="1"/>
  <c r="AW979" i="1"/>
  <c r="AW971" i="1"/>
  <c r="AW963" i="1"/>
  <c r="AW955" i="1"/>
  <c r="AW947" i="1"/>
  <c r="AW939" i="1"/>
  <c r="AW931" i="1"/>
  <c r="AW923" i="1"/>
  <c r="AW915" i="1"/>
  <c r="AW907" i="1"/>
  <c r="AW899" i="1"/>
  <c r="AW891" i="1"/>
  <c r="AW883" i="1"/>
  <c r="AW875" i="1"/>
  <c r="AW867" i="1"/>
  <c r="AW859" i="1"/>
  <c r="AW851" i="1"/>
  <c r="AW843" i="1"/>
  <c r="AW835" i="1"/>
  <c r="AW827" i="1"/>
  <c r="AW819" i="1"/>
  <c r="AW811" i="1"/>
  <c r="AW803" i="1"/>
  <c r="AW795" i="1"/>
  <c r="AW786" i="1"/>
  <c r="AW777" i="1"/>
  <c r="AW768" i="1"/>
  <c r="AW759" i="1"/>
  <c r="AW750" i="1"/>
  <c r="AW740" i="1"/>
  <c r="AW731" i="1"/>
  <c r="AW722" i="1"/>
  <c r="AW713" i="1"/>
  <c r="AW704" i="1"/>
  <c r="AW695" i="1"/>
  <c r="AW686" i="1"/>
  <c r="AW676" i="1"/>
  <c r="AW667" i="1"/>
  <c r="AW658" i="1"/>
  <c r="AW649" i="1"/>
  <c r="AW640" i="1"/>
  <c r="AW631" i="1"/>
  <c r="AW622" i="1"/>
  <c r="AW612" i="1"/>
  <c r="AW603" i="1"/>
  <c r="AW594" i="1"/>
  <c r="AW585" i="1"/>
  <c r="AW575" i="1"/>
  <c r="AW563" i="1"/>
  <c r="AW553" i="1"/>
  <c r="AW543" i="1"/>
  <c r="AW531" i="1"/>
  <c r="AW521" i="1"/>
  <c r="AW511" i="1"/>
  <c r="AW499" i="1"/>
  <c r="AW489" i="1"/>
  <c r="AW479" i="1"/>
  <c r="AW467" i="1"/>
  <c r="AW457" i="1"/>
  <c r="AW447" i="1"/>
  <c r="AW435" i="1"/>
  <c r="AW425" i="1"/>
  <c r="AW415" i="1"/>
  <c r="AW403" i="1"/>
  <c r="AW393" i="1"/>
  <c r="AW383" i="1"/>
  <c r="AW371" i="1"/>
  <c r="AW361" i="1"/>
  <c r="AW351" i="1"/>
  <c r="AW338" i="1"/>
  <c r="AW324" i="1"/>
  <c r="AW312" i="1"/>
  <c r="AW299" i="1"/>
  <c r="AW287" i="1"/>
  <c r="AW274" i="1"/>
  <c r="AW259" i="1"/>
  <c r="AW243" i="1"/>
  <c r="AW227" i="1"/>
  <c r="AW211" i="1"/>
  <c r="AW195" i="1"/>
  <c r="AW179" i="1"/>
  <c r="AW160" i="1"/>
  <c r="AW137" i="1"/>
  <c r="AW111" i="1"/>
  <c r="AW87" i="1"/>
  <c r="AW63" i="1"/>
  <c r="AW32" i="1"/>
  <c r="AW10" i="1"/>
  <c r="AW18" i="1"/>
  <c r="AW26" i="1"/>
  <c r="AW34" i="1"/>
  <c r="AW42" i="1"/>
  <c r="AW50" i="1"/>
  <c r="AW58" i="1"/>
  <c r="AW66" i="1"/>
  <c r="AW74" i="1"/>
  <c r="AW82" i="1"/>
  <c r="AW90" i="1"/>
  <c r="AW98" i="1"/>
  <c r="AW106" i="1"/>
  <c r="AW114" i="1"/>
  <c r="AW122" i="1"/>
  <c r="AW130" i="1"/>
  <c r="AW138" i="1"/>
  <c r="AW146" i="1"/>
  <c r="AW154" i="1"/>
  <c r="AW162" i="1"/>
  <c r="AW170" i="1"/>
  <c r="AW178" i="1"/>
  <c r="AW4" i="1"/>
  <c r="AW12" i="1"/>
  <c r="AW20" i="1"/>
  <c r="AW28" i="1"/>
  <c r="AW36" i="1"/>
  <c r="AW44" i="1"/>
  <c r="AW52" i="1"/>
  <c r="AW60" i="1"/>
  <c r="AW68" i="1"/>
  <c r="AW7" i="1"/>
  <c r="AW17" i="1"/>
  <c r="AW29" i="1"/>
  <c r="AW39" i="1"/>
  <c r="AW49" i="1"/>
  <c r="AW61" i="1"/>
  <c r="AW71" i="1"/>
  <c r="AW80" i="1"/>
  <c r="AW89" i="1"/>
  <c r="AW99" i="1"/>
  <c r="AW108" i="1"/>
  <c r="AW117" i="1"/>
  <c r="AW126" i="1"/>
  <c r="AW135" i="1"/>
  <c r="AW144" i="1"/>
  <c r="AW153" i="1"/>
  <c r="AW163" i="1"/>
  <c r="AW172" i="1"/>
  <c r="AW181" i="1"/>
  <c r="AW189" i="1"/>
  <c r="AW197" i="1"/>
  <c r="AW205" i="1"/>
  <c r="AW213" i="1"/>
  <c r="AW221" i="1"/>
  <c r="AW229" i="1"/>
  <c r="AW237" i="1"/>
  <c r="AW245" i="1"/>
  <c r="AW253" i="1"/>
  <c r="AW261" i="1"/>
  <c r="AW269" i="1"/>
  <c r="AW277" i="1"/>
  <c r="AW285" i="1"/>
  <c r="AW293" i="1"/>
  <c r="AW301" i="1"/>
  <c r="AW309" i="1"/>
  <c r="AW317" i="1"/>
  <c r="AW325" i="1"/>
  <c r="AW333" i="1"/>
  <c r="AW341" i="1"/>
  <c r="AW349" i="1"/>
  <c r="AW357" i="1"/>
  <c r="AW365" i="1"/>
  <c r="AW373" i="1"/>
  <c r="AW381" i="1"/>
  <c r="AW389" i="1"/>
  <c r="AW397" i="1"/>
  <c r="AW405" i="1"/>
  <c r="AW413" i="1"/>
  <c r="AW421" i="1"/>
  <c r="AW429" i="1"/>
  <c r="AW437" i="1"/>
  <c r="AW445" i="1"/>
  <c r="AW453" i="1"/>
  <c r="AW461" i="1"/>
  <c r="AW469" i="1"/>
  <c r="AW477" i="1"/>
  <c r="AW485" i="1"/>
  <c r="AW493" i="1"/>
  <c r="AW501" i="1"/>
  <c r="AW509" i="1"/>
  <c r="AW517" i="1"/>
  <c r="AW525" i="1"/>
  <c r="AW533" i="1"/>
  <c r="AW541" i="1"/>
  <c r="AW549" i="1"/>
  <c r="AW557" i="1"/>
  <c r="AW565" i="1"/>
  <c r="AW573" i="1"/>
  <c r="AW581" i="1"/>
  <c r="AW589" i="1"/>
  <c r="AW597" i="1"/>
  <c r="AW605" i="1"/>
  <c r="AW613" i="1"/>
  <c r="AW621" i="1"/>
  <c r="AW629" i="1"/>
  <c r="AW637" i="1"/>
  <c r="AW645" i="1"/>
  <c r="AW653" i="1"/>
  <c r="AW661" i="1"/>
  <c r="AW669" i="1"/>
  <c r="AW677" i="1"/>
  <c r="AW685" i="1"/>
  <c r="AW693" i="1"/>
  <c r="AW701" i="1"/>
  <c r="AW709" i="1"/>
  <c r="AW717" i="1"/>
  <c r="AW725" i="1"/>
  <c r="AW733" i="1"/>
  <c r="AW741" i="1"/>
  <c r="AW749" i="1"/>
  <c r="AW757" i="1"/>
  <c r="AW765" i="1"/>
  <c r="AW773" i="1"/>
  <c r="AW781" i="1"/>
  <c r="AW789" i="1"/>
  <c r="AW8" i="1"/>
  <c r="AW19" i="1"/>
  <c r="AW30" i="1"/>
  <c r="AW40" i="1"/>
  <c r="AW51" i="1"/>
  <c r="AW62" i="1"/>
  <c r="AW72" i="1"/>
  <c r="AW81" i="1"/>
  <c r="AW91" i="1"/>
  <c r="AW100" i="1"/>
  <c r="AW109" i="1"/>
  <c r="AW118" i="1"/>
  <c r="AW127" i="1"/>
  <c r="AW136" i="1"/>
  <c r="AW145" i="1"/>
  <c r="AW155" i="1"/>
  <c r="AW164" i="1"/>
  <c r="AW173" i="1"/>
  <c r="AW182" i="1"/>
  <c r="AW190" i="1"/>
  <c r="AW198" i="1"/>
  <c r="AW206" i="1"/>
  <c r="AW214" i="1"/>
  <c r="AW222" i="1"/>
  <c r="AW230" i="1"/>
  <c r="AW238" i="1"/>
  <c r="AW246" i="1"/>
  <c r="AW254" i="1"/>
  <c r="AW262" i="1"/>
  <c r="AW270" i="1"/>
  <c r="AW278" i="1"/>
  <c r="AW286" i="1"/>
  <c r="AW294" i="1"/>
  <c r="AW302" i="1"/>
  <c r="AW310" i="1"/>
  <c r="AW318" i="1"/>
  <c r="AW326" i="1"/>
  <c r="AW334" i="1"/>
  <c r="AW342" i="1"/>
  <c r="AW350" i="1"/>
  <c r="AW358" i="1"/>
  <c r="AW366" i="1"/>
  <c r="AW374" i="1"/>
  <c r="AW382" i="1"/>
  <c r="AW390" i="1"/>
  <c r="AW398" i="1"/>
  <c r="AW406" i="1"/>
  <c r="AW414" i="1"/>
  <c r="AW422" i="1"/>
  <c r="AW430" i="1"/>
  <c r="AW438" i="1"/>
  <c r="AW446" i="1"/>
  <c r="AW454" i="1"/>
  <c r="AW462" i="1"/>
  <c r="AW470" i="1"/>
  <c r="AW478" i="1"/>
  <c r="AW486" i="1"/>
  <c r="AW494" i="1"/>
  <c r="AW502" i="1"/>
  <c r="AW510" i="1"/>
  <c r="AW518" i="1"/>
  <c r="AW526" i="1"/>
  <c r="AW534" i="1"/>
  <c r="AW542" i="1"/>
  <c r="AW550" i="1"/>
  <c r="AW558" i="1"/>
  <c r="AW566" i="1"/>
  <c r="AW574" i="1"/>
  <c r="AW582" i="1"/>
  <c r="AW13" i="1"/>
  <c r="AW23" i="1"/>
  <c r="AW33" i="1"/>
  <c r="AW45" i="1"/>
  <c r="AW55" i="1"/>
  <c r="AW65" i="1"/>
  <c r="AW76" i="1"/>
  <c r="AW85" i="1"/>
  <c r="AW94" i="1"/>
  <c r="AW103" i="1"/>
  <c r="AW112" i="1"/>
  <c r="AW121" i="1"/>
  <c r="AW131" i="1"/>
  <c r="AW140" i="1"/>
  <c r="AW149" i="1"/>
  <c r="AW158" i="1"/>
  <c r="AW167" i="1"/>
  <c r="AW176" i="1"/>
  <c r="AW185" i="1"/>
  <c r="AW193" i="1"/>
  <c r="AW201" i="1"/>
  <c r="AW209" i="1"/>
  <c r="AW217" i="1"/>
  <c r="AW225" i="1"/>
  <c r="AW233" i="1"/>
  <c r="AW241" i="1"/>
  <c r="AW249" i="1"/>
  <c r="AW257" i="1"/>
  <c r="AW265" i="1"/>
  <c r="AW273" i="1"/>
  <c r="AW281" i="1"/>
  <c r="AW289" i="1"/>
  <c r="AW297" i="1"/>
  <c r="AW305" i="1"/>
  <c r="AW313" i="1"/>
  <c r="AW321" i="1"/>
  <c r="AW329" i="1"/>
  <c r="AW337" i="1"/>
  <c r="AW345" i="1"/>
  <c r="AW3" i="1"/>
  <c r="AW14" i="1"/>
  <c r="AW24" i="1"/>
  <c r="AW35" i="1"/>
  <c r="AW46" i="1"/>
  <c r="AW56" i="1"/>
  <c r="AW67" i="1"/>
  <c r="AW77" i="1"/>
  <c r="AW86" i="1"/>
  <c r="AW95" i="1"/>
  <c r="AW104" i="1"/>
  <c r="AW113" i="1"/>
  <c r="AW123" i="1"/>
  <c r="AW132" i="1"/>
  <c r="AW141" i="1"/>
  <c r="AW150" i="1"/>
  <c r="AW159" i="1"/>
  <c r="AW6" i="1"/>
  <c r="AW16" i="1"/>
  <c r="AW27" i="1"/>
  <c r="AW38" i="1"/>
  <c r="AW48" i="1"/>
  <c r="AW59" i="1"/>
  <c r="AW70" i="1"/>
  <c r="AW79" i="1"/>
  <c r="AW88" i="1"/>
  <c r="AW97" i="1"/>
  <c r="AW107" i="1"/>
  <c r="AW116" i="1"/>
  <c r="AW125" i="1"/>
  <c r="AW134" i="1"/>
  <c r="AW143" i="1"/>
  <c r="AW152" i="1"/>
  <c r="AW161" i="1"/>
  <c r="AW171" i="1"/>
  <c r="AW180" i="1"/>
  <c r="AW188" i="1"/>
  <c r="AW196" i="1"/>
  <c r="AW204" i="1"/>
  <c r="AW212" i="1"/>
  <c r="AW220" i="1"/>
  <c r="AW228" i="1"/>
  <c r="AW236" i="1"/>
  <c r="AW244" i="1"/>
  <c r="AW252" i="1"/>
  <c r="AW260" i="1"/>
  <c r="AW1466" i="1"/>
  <c r="AW1458" i="1"/>
  <c r="AW1450" i="1"/>
  <c r="AW1442" i="1"/>
  <c r="AW1434" i="1"/>
  <c r="AW1426" i="1"/>
  <c r="AW1418" i="1"/>
  <c r="AW1410" i="1"/>
  <c r="AW1402" i="1"/>
  <c r="AW1394" i="1"/>
  <c r="AW1386" i="1"/>
  <c r="AW1378" i="1"/>
  <c r="AW1370" i="1"/>
  <c r="AW1362" i="1"/>
  <c r="AW1354" i="1"/>
  <c r="AW1346" i="1"/>
  <c r="AW1338" i="1"/>
  <c r="AW1330" i="1"/>
  <c r="AW1322" i="1"/>
  <c r="AW1314" i="1"/>
  <c r="AW1306" i="1"/>
  <c r="AW1298" i="1"/>
  <c r="AW1290" i="1"/>
  <c r="AW1282" i="1"/>
  <c r="AW1274" i="1"/>
  <c r="AW1266" i="1"/>
  <c r="AW1258" i="1"/>
  <c r="AW1250" i="1"/>
  <c r="AW1242" i="1"/>
  <c r="AW1234" i="1"/>
  <c r="AW1226" i="1"/>
  <c r="AW1218" i="1"/>
  <c r="AW1210" i="1"/>
  <c r="AW1202" i="1"/>
  <c r="AW1194" i="1"/>
  <c r="AW1186" i="1"/>
  <c r="AW1178" i="1"/>
  <c r="AW1170" i="1"/>
  <c r="AW1162" i="1"/>
  <c r="AW1154" i="1"/>
  <c r="AW1146" i="1"/>
  <c r="AW1138" i="1"/>
  <c r="AW1130" i="1"/>
  <c r="AW1122" i="1"/>
  <c r="AW1114" i="1"/>
  <c r="AW1106" i="1"/>
  <c r="AW1098" i="1"/>
  <c r="AW1090" i="1"/>
  <c r="AW1082" i="1"/>
  <c r="AW1074" i="1"/>
  <c r="AW1066" i="1"/>
  <c r="AW1058" i="1"/>
  <c r="AW1050" i="1"/>
  <c r="AW1042" i="1"/>
  <c r="AW1034" i="1"/>
  <c r="AW1026" i="1"/>
  <c r="AW1018" i="1"/>
  <c r="AW1010" i="1"/>
  <c r="AW1002" i="1"/>
  <c r="AW994" i="1"/>
  <c r="AW986" i="1"/>
  <c r="AW978" i="1"/>
  <c r="AW970" i="1"/>
  <c r="AW962" i="1"/>
  <c r="AW954" i="1"/>
  <c r="AW946" i="1"/>
  <c r="AW938" i="1"/>
  <c r="AW930" i="1"/>
  <c r="AW922" i="1"/>
  <c r="AW914" i="1"/>
  <c r="AW906" i="1"/>
  <c r="AW898" i="1"/>
  <c r="AW890" i="1"/>
  <c r="AW882" i="1"/>
  <c r="AW874" i="1"/>
  <c r="AW866" i="1"/>
  <c r="AW858" i="1"/>
  <c r="AW850" i="1"/>
  <c r="AW842" i="1"/>
  <c r="AW834" i="1"/>
  <c r="AW826" i="1"/>
  <c r="AW818" i="1"/>
  <c r="AW810" i="1"/>
  <c r="AW802" i="1"/>
  <c r="AW794" i="1"/>
  <c r="AW785" i="1"/>
  <c r="AW776" i="1"/>
  <c r="AW767" i="1"/>
  <c r="AW758" i="1"/>
  <c r="AW748" i="1"/>
  <c r="AW739" i="1"/>
  <c r="AW730" i="1"/>
  <c r="AW721" i="1"/>
  <c r="AW712" i="1"/>
  <c r="AW703" i="1"/>
  <c r="AW694" i="1"/>
  <c r="AW684" i="1"/>
  <c r="AW675" i="1"/>
  <c r="AW666" i="1"/>
  <c r="AW657" i="1"/>
  <c r="AW648" i="1"/>
  <c r="AW639" i="1"/>
  <c r="AW630" i="1"/>
  <c r="AW620" i="1"/>
  <c r="AW611" i="1"/>
  <c r="AW602" i="1"/>
  <c r="AW593" i="1"/>
  <c r="AW584" i="1"/>
  <c r="AW572" i="1"/>
  <c r="AW562" i="1"/>
  <c r="AW552" i="1"/>
  <c r="AW540" i="1"/>
  <c r="AW530" i="1"/>
  <c r="AW520" i="1"/>
  <c r="AW508" i="1"/>
  <c r="AW498" i="1"/>
  <c r="AW488" i="1"/>
  <c r="AW476" i="1"/>
  <c r="AW466" i="1"/>
  <c r="AW456" i="1"/>
  <c r="AW444" i="1"/>
  <c r="AW434" i="1"/>
  <c r="AW424" i="1"/>
  <c r="AW412" i="1"/>
  <c r="AW402" i="1"/>
  <c r="AW392" i="1"/>
  <c r="AW380" i="1"/>
  <c r="AW370" i="1"/>
  <c r="AW360" i="1"/>
  <c r="AW348" i="1"/>
  <c r="AW336" i="1"/>
  <c r="AW323" i="1"/>
  <c r="AW311" i="1"/>
  <c r="AW298" i="1"/>
  <c r="AW284" i="1"/>
  <c r="AW272" i="1"/>
  <c r="AW258" i="1"/>
  <c r="AW242" i="1"/>
  <c r="AW226" i="1"/>
  <c r="AW210" i="1"/>
  <c r="AW194" i="1"/>
  <c r="AW177" i="1"/>
  <c r="AW157" i="1"/>
  <c r="B157" i="58" s="1"/>
  <c r="AW133" i="1"/>
  <c r="AW110" i="1"/>
  <c r="AW84" i="1"/>
  <c r="AW57" i="1"/>
  <c r="AW31" i="1"/>
  <c r="BA1470" i="1"/>
  <c r="BA1458" i="1"/>
  <c r="BA1448" i="1"/>
  <c r="BA1438" i="1"/>
  <c r="BA1426" i="1"/>
  <c r="BA1416" i="1"/>
  <c r="BA1406" i="1"/>
  <c r="BA1394" i="1"/>
  <c r="BA1384" i="1"/>
  <c r="BA1374" i="1"/>
  <c r="BA1362" i="1"/>
  <c r="BA1352" i="1"/>
  <c r="BA1342" i="1"/>
  <c r="BA1330" i="1"/>
  <c r="BA1320" i="1"/>
  <c r="BA1310" i="1"/>
  <c r="BA1298" i="1"/>
  <c r="BA1288" i="1"/>
  <c r="BA1278" i="1"/>
  <c r="BA1265" i="1"/>
  <c r="BA1254" i="1"/>
  <c r="BA1240" i="1"/>
  <c r="BA1226" i="1"/>
  <c r="BA1215" i="1"/>
  <c r="BA1201" i="1"/>
  <c r="BA1190" i="1"/>
  <c r="BA1176" i="1"/>
  <c r="BA1162" i="1"/>
  <c r="BA1151" i="1"/>
  <c r="BA1137" i="1"/>
  <c r="BA1126" i="1"/>
  <c r="BA1112" i="1"/>
  <c r="BA1096" i="1"/>
  <c r="BA1083" i="1"/>
  <c r="BA1065" i="1"/>
  <c r="BA1040" i="1"/>
  <c r="BA1013" i="1"/>
  <c r="BA976" i="1"/>
  <c r="BA939" i="1"/>
  <c r="BA897" i="1"/>
  <c r="BA855" i="1"/>
  <c r="BA811" i="1"/>
  <c r="BA769" i="1"/>
  <c r="BA705" i="1"/>
  <c r="BA591" i="1"/>
  <c r="BA472" i="1"/>
  <c r="BA1466" i="1"/>
  <c r="BA1456" i="1"/>
  <c r="BA1446" i="1"/>
  <c r="BA1434" i="1"/>
  <c r="BA1424" i="1"/>
  <c r="BA1414" i="1"/>
  <c r="BA1402" i="1"/>
  <c r="BA1392" i="1"/>
  <c r="BA1382" i="1"/>
  <c r="BA1370" i="1"/>
  <c r="BA1360" i="1"/>
  <c r="BA1350" i="1"/>
  <c r="BA1338" i="1"/>
  <c r="BA1328" i="1"/>
  <c r="BA1318" i="1"/>
  <c r="BA1306" i="1"/>
  <c r="BA1296" i="1"/>
  <c r="BA1286" i="1"/>
  <c r="BA1274" i="1"/>
  <c r="BA1263" i="1"/>
  <c r="BA1249" i="1"/>
  <c r="BA1238" i="1"/>
  <c r="BA1224" i="1"/>
  <c r="BA1210" i="1"/>
  <c r="BA1199" i="1"/>
  <c r="BA1185" i="1"/>
  <c r="BA1174" i="1"/>
  <c r="BA1160" i="1"/>
  <c r="BA1146" i="1"/>
  <c r="BA1135" i="1"/>
  <c r="BA1121" i="1"/>
  <c r="BA1110" i="1"/>
  <c r="BA1094" i="1"/>
  <c r="BA1077" i="1"/>
  <c r="BA1058" i="1"/>
  <c r="BA1038" i="1"/>
  <c r="BA1003" i="1"/>
  <c r="BA967" i="1"/>
  <c r="BA929" i="1"/>
  <c r="BA887" i="1"/>
  <c r="BA843" i="1"/>
  <c r="BA801" i="1"/>
  <c r="BA759" i="1"/>
  <c r="BA680" i="1"/>
  <c r="BA562" i="1"/>
  <c r="BA399" i="1"/>
  <c r="BA1465" i="1"/>
  <c r="BA1455" i="1"/>
  <c r="BA1444" i="1"/>
  <c r="BA1433" i="1"/>
  <c r="BA1423" i="1"/>
  <c r="BA1412" i="1"/>
  <c r="BA1401" i="1"/>
  <c r="BA1391" i="1"/>
  <c r="BA1380" i="1"/>
  <c r="BA1369" i="1"/>
  <c r="BA1359" i="1"/>
  <c r="BA1348" i="1"/>
  <c r="BA1337" i="1"/>
  <c r="BA1327" i="1"/>
  <c r="BA1316" i="1"/>
  <c r="BA1305" i="1"/>
  <c r="BA1295" i="1"/>
  <c r="BA1284" i="1"/>
  <c r="BA1273" i="1"/>
  <c r="BA1262" i="1"/>
  <c r="BA1248" i="1"/>
  <c r="BA1234" i="1"/>
  <c r="BA1223" i="1"/>
  <c r="BA1209" i="1"/>
  <c r="BA1198" i="1"/>
  <c r="BA1184" i="1"/>
  <c r="BA1170" i="1"/>
  <c r="BA1159" i="1"/>
  <c r="BA1145" i="1"/>
  <c r="BA1134" i="1"/>
  <c r="BA1120" i="1"/>
  <c r="BA1105" i="1"/>
  <c r="BA1093" i="1"/>
  <c r="BA1075" i="1"/>
  <c r="BA1057" i="1"/>
  <c r="BA1031" i="1"/>
  <c r="BA1002" i="1"/>
  <c r="BA966" i="1"/>
  <c r="BA928" i="1"/>
  <c r="BA885" i="1"/>
  <c r="BA842" i="1"/>
  <c r="BA800" i="1"/>
  <c r="BA757" i="1"/>
  <c r="BA664" i="1"/>
  <c r="BA546" i="1"/>
  <c r="BA3" i="1"/>
  <c r="BA11" i="1"/>
  <c r="BA19" i="1"/>
  <c r="BA27" i="1"/>
  <c r="BA35" i="1"/>
  <c r="BA43" i="1"/>
  <c r="BA51" i="1"/>
  <c r="BA59" i="1"/>
  <c r="BA67" i="1"/>
  <c r="BA75" i="1"/>
  <c r="BA83" i="1"/>
  <c r="BA91" i="1"/>
  <c r="BA99" i="1"/>
  <c r="BA107" i="1"/>
  <c r="BA115" i="1"/>
  <c r="BA123" i="1"/>
  <c r="BA131" i="1"/>
  <c r="BA139" i="1"/>
  <c r="BA147" i="1"/>
  <c r="BA155" i="1"/>
  <c r="BA163" i="1"/>
  <c r="BA171" i="1"/>
  <c r="BA179" i="1"/>
  <c r="BA187" i="1"/>
  <c r="BA195" i="1"/>
  <c r="BA203" i="1"/>
  <c r="BA211" i="1"/>
  <c r="BA219" i="1"/>
  <c r="BA227" i="1"/>
  <c r="BA235" i="1"/>
  <c r="BA243" i="1"/>
  <c r="BA251" i="1"/>
  <c r="BA259" i="1"/>
  <c r="BA267" i="1"/>
  <c r="BA275" i="1"/>
  <c r="BA283" i="1"/>
  <c r="BA291" i="1"/>
  <c r="BA299" i="1"/>
  <c r="BA307" i="1"/>
  <c r="BA315" i="1"/>
  <c r="BA323" i="1"/>
  <c r="BA331" i="1"/>
  <c r="BA339" i="1"/>
  <c r="BA347" i="1"/>
  <c r="BA355" i="1"/>
  <c r="BA363" i="1"/>
  <c r="BA371" i="1"/>
  <c r="BA379" i="1"/>
  <c r="BA387" i="1"/>
  <c r="BA395" i="1"/>
  <c r="BA403" i="1"/>
  <c r="BA411" i="1"/>
  <c r="BA419" i="1"/>
  <c r="BA427" i="1"/>
  <c r="BA435" i="1"/>
  <c r="BA443" i="1"/>
  <c r="BA451" i="1"/>
  <c r="BA459" i="1"/>
  <c r="BA467" i="1"/>
  <c r="BA475" i="1"/>
  <c r="BA483" i="1"/>
  <c r="BA491" i="1"/>
  <c r="BA499" i="1"/>
  <c r="BA507" i="1"/>
  <c r="BA515" i="1"/>
  <c r="BA523" i="1"/>
  <c r="BA531" i="1"/>
  <c r="BA539" i="1"/>
  <c r="BA547" i="1"/>
  <c r="BA555" i="1"/>
  <c r="BA563" i="1"/>
  <c r="BA571" i="1"/>
  <c r="BA579" i="1"/>
  <c r="BA587" i="1"/>
  <c r="BA595" i="1"/>
  <c r="BA603" i="1"/>
  <c r="BA611" i="1"/>
  <c r="BA619" i="1"/>
  <c r="BA627" i="1"/>
  <c r="BA635" i="1"/>
  <c r="BA643" i="1"/>
  <c r="BA651" i="1"/>
  <c r="BA659" i="1"/>
  <c r="BA667" i="1"/>
  <c r="BA675" i="1"/>
  <c r="BA4" i="1"/>
  <c r="BA12" i="1"/>
  <c r="BA20" i="1"/>
  <c r="BA28" i="1"/>
  <c r="BA36" i="1"/>
  <c r="BA44" i="1"/>
  <c r="BA52" i="1"/>
  <c r="BA60" i="1"/>
  <c r="BA68" i="1"/>
  <c r="BA76" i="1"/>
  <c r="BA84" i="1"/>
  <c r="BA92" i="1"/>
  <c r="BA100" i="1"/>
  <c r="BA108" i="1"/>
  <c r="BA116" i="1"/>
  <c r="BA124" i="1"/>
  <c r="BA132" i="1"/>
  <c r="BA140" i="1"/>
  <c r="BA148" i="1"/>
  <c r="BA156" i="1"/>
  <c r="BA164" i="1"/>
  <c r="BA172" i="1"/>
  <c r="BA180" i="1"/>
  <c r="BA188" i="1"/>
  <c r="BA196" i="1"/>
  <c r="BA204" i="1"/>
  <c r="BA212" i="1"/>
  <c r="BA220" i="1"/>
  <c r="BA228" i="1"/>
  <c r="BA236" i="1"/>
  <c r="BA244" i="1"/>
  <c r="BA252" i="1"/>
  <c r="BA260" i="1"/>
  <c r="BA268" i="1"/>
  <c r="BA276" i="1"/>
  <c r="BA284" i="1"/>
  <c r="BA292" i="1"/>
  <c r="BA300" i="1"/>
  <c r="BA308" i="1"/>
  <c r="BA316" i="1"/>
  <c r="BA324" i="1"/>
  <c r="BA332" i="1"/>
  <c r="BA340" i="1"/>
  <c r="BA348" i="1"/>
  <c r="BA356" i="1"/>
  <c r="BA364" i="1"/>
  <c r="BA372" i="1"/>
  <c r="BA380" i="1"/>
  <c r="BA388" i="1"/>
  <c r="BA396" i="1"/>
  <c r="BA404" i="1"/>
  <c r="BA412" i="1"/>
  <c r="BA420" i="1"/>
  <c r="BA428" i="1"/>
  <c r="BA436" i="1"/>
  <c r="BA444" i="1"/>
  <c r="BA5" i="1"/>
  <c r="BA13" i="1"/>
  <c r="BA21" i="1"/>
  <c r="BA29" i="1"/>
  <c r="BA37" i="1"/>
  <c r="BA45" i="1"/>
  <c r="BA53" i="1"/>
  <c r="BA61" i="1"/>
  <c r="BA69" i="1"/>
  <c r="BA77" i="1"/>
  <c r="BA85" i="1"/>
  <c r="BA93" i="1"/>
  <c r="BA101" i="1"/>
  <c r="BA109" i="1"/>
  <c r="BA117" i="1"/>
  <c r="BA125" i="1"/>
  <c r="BA133" i="1"/>
  <c r="BA141" i="1"/>
  <c r="BA149" i="1"/>
  <c r="BA157" i="1"/>
  <c r="BA165" i="1"/>
  <c r="BA173" i="1"/>
  <c r="BA181" i="1"/>
  <c r="BA189" i="1"/>
  <c r="BA197" i="1"/>
  <c r="BA205" i="1"/>
  <c r="BA213" i="1"/>
  <c r="BA221" i="1"/>
  <c r="BA229" i="1"/>
  <c r="BA237" i="1"/>
  <c r="BA245" i="1"/>
  <c r="BA253" i="1"/>
  <c r="BA261" i="1"/>
  <c r="BA269" i="1"/>
  <c r="BA277" i="1"/>
  <c r="BA285" i="1"/>
  <c r="BA293" i="1"/>
  <c r="BA301" i="1"/>
  <c r="BA309" i="1"/>
  <c r="BA317" i="1"/>
  <c r="BA325" i="1"/>
  <c r="BA333" i="1"/>
  <c r="BA341" i="1"/>
  <c r="BA349" i="1"/>
  <c r="BA357" i="1"/>
  <c r="BA365" i="1"/>
  <c r="BA373" i="1"/>
  <c r="BA381" i="1"/>
  <c r="BA389" i="1"/>
  <c r="BA397" i="1"/>
  <c r="BA405" i="1"/>
  <c r="BA413" i="1"/>
  <c r="BA421" i="1"/>
  <c r="BA429" i="1"/>
  <c r="BA437" i="1"/>
  <c r="BA445" i="1"/>
  <c r="BA453" i="1"/>
  <c r="BA461" i="1"/>
  <c r="BA469" i="1"/>
  <c r="BA477" i="1"/>
  <c r="BA6" i="1"/>
  <c r="BA14" i="1"/>
  <c r="BA22" i="1"/>
  <c r="BA30" i="1"/>
  <c r="BA38" i="1"/>
  <c r="BA46" i="1"/>
  <c r="BA54" i="1"/>
  <c r="BA62" i="1"/>
  <c r="BA70" i="1"/>
  <c r="BA78" i="1"/>
  <c r="BA86" i="1"/>
  <c r="BA94" i="1"/>
  <c r="BA102" i="1"/>
  <c r="BA110" i="1"/>
  <c r="BA118" i="1"/>
  <c r="BA126" i="1"/>
  <c r="BA134" i="1"/>
  <c r="BA142" i="1"/>
  <c r="BA150" i="1"/>
  <c r="BA158" i="1"/>
  <c r="BA166" i="1"/>
  <c r="BA174" i="1"/>
  <c r="BA182" i="1"/>
  <c r="BA190" i="1"/>
  <c r="BA198" i="1"/>
  <c r="BA206" i="1"/>
  <c r="BA7" i="1"/>
  <c r="BA15" i="1"/>
  <c r="BA23" i="1"/>
  <c r="BA31" i="1"/>
  <c r="BA39" i="1"/>
  <c r="BA47" i="1"/>
  <c r="BA55" i="1"/>
  <c r="BA63" i="1"/>
  <c r="BA71" i="1"/>
  <c r="BA79" i="1"/>
  <c r="BA87" i="1"/>
  <c r="BA95" i="1"/>
  <c r="BA103" i="1"/>
  <c r="BA111" i="1"/>
  <c r="BA119" i="1"/>
  <c r="BA127" i="1"/>
  <c r="BA135" i="1"/>
  <c r="BA143" i="1"/>
  <c r="BA151" i="1"/>
  <c r="BA8" i="1"/>
  <c r="BA10" i="1"/>
  <c r="BA18" i="1"/>
  <c r="BA26" i="1"/>
  <c r="BA34" i="1"/>
  <c r="BA42" i="1"/>
  <c r="BA50" i="1"/>
  <c r="BA58" i="1"/>
  <c r="BA66" i="1"/>
  <c r="BA74" i="1"/>
  <c r="BA82" i="1"/>
  <c r="BA9" i="1"/>
  <c r="BA41" i="1"/>
  <c r="BA73" i="1"/>
  <c r="BA98" i="1"/>
  <c r="BA121" i="1"/>
  <c r="BA144" i="1"/>
  <c r="BA161" i="1"/>
  <c r="BA177" i="1"/>
  <c r="BA193" i="1"/>
  <c r="BA209" i="1"/>
  <c r="BA223" i="1"/>
  <c r="BA234" i="1"/>
  <c r="BA248" i="1"/>
  <c r="BA262" i="1"/>
  <c r="BA273" i="1"/>
  <c r="BA287" i="1"/>
  <c r="BA298" i="1"/>
  <c r="BA312" i="1"/>
  <c r="BA326" i="1"/>
  <c r="BA337" i="1"/>
  <c r="BA351" i="1"/>
  <c r="BA362" i="1"/>
  <c r="BA376" i="1"/>
  <c r="BA390" i="1"/>
  <c r="BA401" i="1"/>
  <c r="BA415" i="1"/>
  <c r="BA426" i="1"/>
  <c r="BA440" i="1"/>
  <c r="BA452" i="1"/>
  <c r="BA463" i="1"/>
  <c r="BA473" i="1"/>
  <c r="BA484" i="1"/>
  <c r="BA493" i="1"/>
  <c r="BA502" i="1"/>
  <c r="BA511" i="1"/>
  <c r="BA520" i="1"/>
  <c r="BA529" i="1"/>
  <c r="BA538" i="1"/>
  <c r="BA548" i="1"/>
  <c r="BA557" i="1"/>
  <c r="BA566" i="1"/>
  <c r="BA575" i="1"/>
  <c r="BA584" i="1"/>
  <c r="BA593" i="1"/>
  <c r="BA602" i="1"/>
  <c r="BA612" i="1"/>
  <c r="BA621" i="1"/>
  <c r="BA630" i="1"/>
  <c r="BA639" i="1"/>
  <c r="BA648" i="1"/>
  <c r="BA657" i="1"/>
  <c r="BA666" i="1"/>
  <c r="BA676" i="1"/>
  <c r="BA684" i="1"/>
  <c r="BA692" i="1"/>
  <c r="BA700" i="1"/>
  <c r="BA708" i="1"/>
  <c r="BA716" i="1"/>
  <c r="BA724" i="1"/>
  <c r="BA732" i="1"/>
  <c r="BA740" i="1"/>
  <c r="BA748" i="1"/>
  <c r="BA756" i="1"/>
  <c r="BA764" i="1"/>
  <c r="BA772" i="1"/>
  <c r="BA780" i="1"/>
  <c r="BA788" i="1"/>
  <c r="BA796" i="1"/>
  <c r="BA804" i="1"/>
  <c r="BA812" i="1"/>
  <c r="BA820" i="1"/>
  <c r="BA828" i="1"/>
  <c r="BA836" i="1"/>
  <c r="BA844" i="1"/>
  <c r="BA852" i="1"/>
  <c r="BA860" i="1"/>
  <c r="BA868" i="1"/>
  <c r="BA876" i="1"/>
  <c r="BA884" i="1"/>
  <c r="BA892" i="1"/>
  <c r="BA900" i="1"/>
  <c r="BA908" i="1"/>
  <c r="BA916" i="1"/>
  <c r="BA924" i="1"/>
  <c r="BA932" i="1"/>
  <c r="BA940" i="1"/>
  <c r="BA948" i="1"/>
  <c r="BA956" i="1"/>
  <c r="BA964" i="1"/>
  <c r="BA972" i="1"/>
  <c r="BA980" i="1"/>
  <c r="BA988" i="1"/>
  <c r="BA996" i="1"/>
  <c r="BA1004" i="1"/>
  <c r="BA1012" i="1"/>
  <c r="BA1020" i="1"/>
  <c r="BA1028" i="1"/>
  <c r="BA1036" i="1"/>
  <c r="BA1044" i="1"/>
  <c r="BA1052" i="1"/>
  <c r="BA1060" i="1"/>
  <c r="BA1068" i="1"/>
  <c r="BA1076" i="1"/>
  <c r="BA1084" i="1"/>
  <c r="BA1092" i="1"/>
  <c r="BA1100" i="1"/>
  <c r="BA1108" i="1"/>
  <c r="BA16" i="1"/>
  <c r="BA48" i="1"/>
  <c r="BA80" i="1"/>
  <c r="BA104" i="1"/>
  <c r="BA122" i="1"/>
  <c r="BA145" i="1"/>
  <c r="BA162" i="1"/>
  <c r="BA178" i="1"/>
  <c r="BA194" i="1"/>
  <c r="BA210" i="1"/>
  <c r="BA224" i="1"/>
  <c r="BA238" i="1"/>
  <c r="BA249" i="1"/>
  <c r="BA263" i="1"/>
  <c r="BA274" i="1"/>
  <c r="BA288" i="1"/>
  <c r="BA302" i="1"/>
  <c r="BA313" i="1"/>
  <c r="BA327" i="1"/>
  <c r="BA338" i="1"/>
  <c r="BA352" i="1"/>
  <c r="BA366" i="1"/>
  <c r="BA377" i="1"/>
  <c r="BA391" i="1"/>
  <c r="BA402" i="1"/>
  <c r="BA416" i="1"/>
  <c r="BA430" i="1"/>
  <c r="BA441" i="1"/>
  <c r="BA454" i="1"/>
  <c r="BA464" i="1"/>
  <c r="BA474" i="1"/>
  <c r="BA485" i="1"/>
  <c r="BA494" i="1"/>
  <c r="BA503" i="1"/>
  <c r="BA512" i="1"/>
  <c r="BA521" i="1"/>
  <c r="BA530" i="1"/>
  <c r="BA540" i="1"/>
  <c r="BA549" i="1"/>
  <c r="BA558" i="1"/>
  <c r="BA567" i="1"/>
  <c r="BA576" i="1"/>
  <c r="BA585" i="1"/>
  <c r="BA594" i="1"/>
  <c r="BA604" i="1"/>
  <c r="BA613" i="1"/>
  <c r="BA622" i="1"/>
  <c r="BA631" i="1"/>
  <c r="BA640" i="1"/>
  <c r="BA649" i="1"/>
  <c r="BA658" i="1"/>
  <c r="BA668" i="1"/>
  <c r="BA677" i="1"/>
  <c r="BA685" i="1"/>
  <c r="BA693" i="1"/>
  <c r="BA701" i="1"/>
  <c r="BA17" i="1"/>
  <c r="BA49" i="1"/>
  <c r="BA81" i="1"/>
  <c r="BA105" i="1"/>
  <c r="BA128" i="1"/>
  <c r="BA146" i="1"/>
  <c r="BA167" i="1"/>
  <c r="BA183" i="1"/>
  <c r="BA199" i="1"/>
  <c r="BA214" i="1"/>
  <c r="BA225" i="1"/>
  <c r="BA239" i="1"/>
  <c r="BA250" i="1"/>
  <c r="BA264" i="1"/>
  <c r="BA278" i="1"/>
  <c r="BA289" i="1"/>
  <c r="BA303" i="1"/>
  <c r="BA314" i="1"/>
  <c r="BA328" i="1"/>
  <c r="BA342" i="1"/>
  <c r="BA353" i="1"/>
  <c r="BA367" i="1"/>
  <c r="BA378" i="1"/>
  <c r="BA392" i="1"/>
  <c r="BA406" i="1"/>
  <c r="BA417" i="1"/>
  <c r="BA431" i="1"/>
  <c r="BA442" i="1"/>
  <c r="BA455" i="1"/>
  <c r="BA465" i="1"/>
  <c r="BA476" i="1"/>
  <c r="BA486" i="1"/>
  <c r="BA495" i="1"/>
  <c r="BA504" i="1"/>
  <c r="BA513" i="1"/>
  <c r="BA522" i="1"/>
  <c r="BA532" i="1"/>
  <c r="BA541" i="1"/>
  <c r="BA550" i="1"/>
  <c r="BA559" i="1"/>
  <c r="BA568" i="1"/>
  <c r="BA577" i="1"/>
  <c r="BA586" i="1"/>
  <c r="BA596" i="1"/>
  <c r="BA605" i="1"/>
  <c r="BA614" i="1"/>
  <c r="BA623" i="1"/>
  <c r="BA632" i="1"/>
  <c r="BA641" i="1"/>
  <c r="BA650" i="1"/>
  <c r="BA660" i="1"/>
  <c r="BA669" i="1"/>
  <c r="BA678" i="1"/>
  <c r="BA686" i="1"/>
  <c r="BA694" i="1"/>
  <c r="BA702" i="1"/>
  <c r="BA710" i="1"/>
  <c r="BA718" i="1"/>
  <c r="BA726" i="1"/>
  <c r="BA734" i="1"/>
  <c r="BA742" i="1"/>
  <c r="BA750" i="1"/>
  <c r="BA758" i="1"/>
  <c r="BA766" i="1"/>
  <c r="BA774" i="1"/>
  <c r="BA782" i="1"/>
  <c r="BA790" i="1"/>
  <c r="BA798" i="1"/>
  <c r="BA806" i="1"/>
  <c r="BA814" i="1"/>
  <c r="BA822" i="1"/>
  <c r="BA830" i="1"/>
  <c r="BA838" i="1"/>
  <c r="BA846" i="1"/>
  <c r="BA854" i="1"/>
  <c r="BA862" i="1"/>
  <c r="BA870" i="1"/>
  <c r="BA878" i="1"/>
  <c r="BA886" i="1"/>
  <c r="BA894" i="1"/>
  <c r="BA902" i="1"/>
  <c r="BA910" i="1"/>
  <c r="BA918" i="1"/>
  <c r="BA926" i="1"/>
  <c r="BA934" i="1"/>
  <c r="BA24" i="1"/>
  <c r="BA56" i="1"/>
  <c r="BA88" i="1"/>
  <c r="BA106" i="1"/>
  <c r="BA129" i="1"/>
  <c r="BA152" i="1"/>
  <c r="BA168" i="1"/>
  <c r="BA184" i="1"/>
  <c r="BA200" i="1"/>
  <c r="BA215" i="1"/>
  <c r="BA226" i="1"/>
  <c r="BA240" i="1"/>
  <c r="BA254" i="1"/>
  <c r="BA265" i="1"/>
  <c r="BA279" i="1"/>
  <c r="BA290" i="1"/>
  <c r="BA304" i="1"/>
  <c r="BA318" i="1"/>
  <c r="BA329" i="1"/>
  <c r="BA343" i="1"/>
  <c r="BA354" i="1"/>
  <c r="BA368" i="1"/>
  <c r="BA382" i="1"/>
  <c r="BA393" i="1"/>
  <c r="BA407" i="1"/>
  <c r="BA418" i="1"/>
  <c r="BA432" i="1"/>
  <c r="BA446" i="1"/>
  <c r="BA456" i="1"/>
  <c r="BA25" i="1"/>
  <c r="BA57" i="1"/>
  <c r="BA89" i="1"/>
  <c r="BA112" i="1"/>
  <c r="BA130" i="1"/>
  <c r="BA153" i="1"/>
  <c r="BA169" i="1"/>
  <c r="B169" i="58" s="1"/>
  <c r="BA185" i="1"/>
  <c r="BA201" i="1"/>
  <c r="BA216" i="1"/>
  <c r="BA230" i="1"/>
  <c r="BA241" i="1"/>
  <c r="BA255" i="1"/>
  <c r="BA266" i="1"/>
  <c r="BA280" i="1"/>
  <c r="BA294" i="1"/>
  <c r="BA305" i="1"/>
  <c r="BA319" i="1"/>
  <c r="BA330" i="1"/>
  <c r="BA344" i="1"/>
  <c r="BA358" i="1"/>
  <c r="BA369" i="1"/>
  <c r="BA383" i="1"/>
  <c r="BA394" i="1"/>
  <c r="BA408" i="1"/>
  <c r="BA422" i="1"/>
  <c r="BA433" i="1"/>
  <c r="BA447" i="1"/>
  <c r="BA457" i="1"/>
  <c r="BA32" i="1"/>
  <c r="BA64" i="1"/>
  <c r="BA90" i="1"/>
  <c r="BA113" i="1"/>
  <c r="BA136" i="1"/>
  <c r="BA154" i="1"/>
  <c r="BA170" i="1"/>
  <c r="BA186" i="1"/>
  <c r="BA202" i="1"/>
  <c r="BA217" i="1"/>
  <c r="BA231" i="1"/>
  <c r="BA242" i="1"/>
  <c r="BA256" i="1"/>
  <c r="BA270" i="1"/>
  <c r="BA281" i="1"/>
  <c r="BA295" i="1"/>
  <c r="BA306" i="1"/>
  <c r="BA320" i="1"/>
  <c r="BA334" i="1"/>
  <c r="BA345" i="1"/>
  <c r="BA359" i="1"/>
  <c r="BA370" i="1"/>
  <c r="BA384" i="1"/>
  <c r="BA398" i="1"/>
  <c r="BA409" i="1"/>
  <c r="BA423" i="1"/>
  <c r="BA434" i="1"/>
  <c r="BA448" i="1"/>
  <c r="BA458" i="1"/>
  <c r="BA33" i="1"/>
  <c r="BA137" i="1"/>
  <c r="BA207" i="1"/>
  <c r="BA257" i="1"/>
  <c r="BA310" i="1"/>
  <c r="BA360" i="1"/>
  <c r="BA410" i="1"/>
  <c r="BA460" i="1"/>
  <c r="BA479" i="1"/>
  <c r="BA492" i="1"/>
  <c r="BA508" i="1"/>
  <c r="BA524" i="1"/>
  <c r="BA536" i="1"/>
  <c r="BA552" i="1"/>
  <c r="BA565" i="1"/>
  <c r="BA581" i="1"/>
  <c r="BA597" i="1"/>
  <c r="BA609" i="1"/>
  <c r="BA625" i="1"/>
  <c r="BA638" i="1"/>
  <c r="BA654" i="1"/>
  <c r="BA670" i="1"/>
  <c r="BA682" i="1"/>
  <c r="BA696" i="1"/>
  <c r="BA707" i="1"/>
  <c r="BA719" i="1"/>
  <c r="BA729" i="1"/>
  <c r="BA739" i="1"/>
  <c r="BA751" i="1"/>
  <c r="BA761" i="1"/>
  <c r="BA771" i="1"/>
  <c r="BA783" i="1"/>
  <c r="BA793" i="1"/>
  <c r="BA803" i="1"/>
  <c r="BA815" i="1"/>
  <c r="BA825" i="1"/>
  <c r="BA835" i="1"/>
  <c r="BA847" i="1"/>
  <c r="BA857" i="1"/>
  <c r="BA867" i="1"/>
  <c r="BA879" i="1"/>
  <c r="BA889" i="1"/>
  <c r="BA899" i="1"/>
  <c r="BA911" i="1"/>
  <c r="BA921" i="1"/>
  <c r="BA931" i="1"/>
  <c r="BA942" i="1"/>
  <c r="BA951" i="1"/>
  <c r="BA960" i="1"/>
  <c r="BA969" i="1"/>
  <c r="BA978" i="1"/>
  <c r="BA987" i="1"/>
  <c r="BA997" i="1"/>
  <c r="BA1006" i="1"/>
  <c r="BA1015" i="1"/>
  <c r="BA1024" i="1"/>
  <c r="BA1033" i="1"/>
  <c r="BA1042" i="1"/>
  <c r="BA1051" i="1"/>
  <c r="BA1061" i="1"/>
  <c r="BA1070" i="1"/>
  <c r="BA1079" i="1"/>
  <c r="BA1088" i="1"/>
  <c r="BA1097" i="1"/>
  <c r="BA1106" i="1"/>
  <c r="BA1115" i="1"/>
  <c r="BA1123" i="1"/>
  <c r="BA1131" i="1"/>
  <c r="BA1139" i="1"/>
  <c r="BA1147" i="1"/>
  <c r="BA1155" i="1"/>
  <c r="BA1163" i="1"/>
  <c r="BA1171" i="1"/>
  <c r="BA1179" i="1"/>
  <c r="BA1187" i="1"/>
  <c r="BA1195" i="1"/>
  <c r="BA1203" i="1"/>
  <c r="BA1211" i="1"/>
  <c r="BA1219" i="1"/>
  <c r="BA1227" i="1"/>
  <c r="BA1235" i="1"/>
  <c r="BA1243" i="1"/>
  <c r="BA1251" i="1"/>
  <c r="BA1259" i="1"/>
  <c r="BA1267" i="1"/>
  <c r="BA1275" i="1"/>
  <c r="BA1283" i="1"/>
  <c r="BA1291" i="1"/>
  <c r="BA1299" i="1"/>
  <c r="BA1307" i="1"/>
  <c r="BA1315" i="1"/>
  <c r="BA1323" i="1"/>
  <c r="BA1331" i="1"/>
  <c r="BA1339" i="1"/>
  <c r="BA1347" i="1"/>
  <c r="BA1355" i="1"/>
  <c r="BA1363" i="1"/>
  <c r="BA1371" i="1"/>
  <c r="BA1379" i="1"/>
  <c r="BA1387" i="1"/>
  <c r="BA1395" i="1"/>
  <c r="BA1403" i="1"/>
  <c r="BA1411" i="1"/>
  <c r="BA1419" i="1"/>
  <c r="BA1427" i="1"/>
  <c r="BA1435" i="1"/>
  <c r="BA1443" i="1"/>
  <c r="BA1451" i="1"/>
  <c r="BA1459" i="1"/>
  <c r="BA1467" i="1"/>
  <c r="BA40" i="1"/>
  <c r="BA138" i="1"/>
  <c r="BA208" i="1"/>
  <c r="BA258" i="1"/>
  <c r="BA311" i="1"/>
  <c r="BA361" i="1"/>
  <c r="BA414" i="1"/>
  <c r="BA462" i="1"/>
  <c r="BA480" i="1"/>
  <c r="BA496" i="1"/>
  <c r="BA509" i="1"/>
  <c r="BA525" i="1"/>
  <c r="BA537" i="1"/>
  <c r="BA553" i="1"/>
  <c r="BA569" i="1"/>
  <c r="BA582" i="1"/>
  <c r="BA598" i="1"/>
  <c r="BA610" i="1"/>
  <c r="BA626" i="1"/>
  <c r="BA642" i="1"/>
  <c r="BA655" i="1"/>
  <c r="BA671" i="1"/>
  <c r="BA683" i="1"/>
  <c r="BA697" i="1"/>
  <c r="BA709" i="1"/>
  <c r="BA720" i="1"/>
  <c r="BA730" i="1"/>
  <c r="BA741" i="1"/>
  <c r="BA752" i="1"/>
  <c r="BA762" i="1"/>
  <c r="BA773" i="1"/>
  <c r="BA784" i="1"/>
  <c r="BA794" i="1"/>
  <c r="BA805" i="1"/>
  <c r="BA816" i="1"/>
  <c r="BA826" i="1"/>
  <c r="BA837" i="1"/>
  <c r="BA848" i="1"/>
  <c r="BA858" i="1"/>
  <c r="BA869" i="1"/>
  <c r="BA880" i="1"/>
  <c r="BA890" i="1"/>
  <c r="BA901" i="1"/>
  <c r="BA912" i="1"/>
  <c r="BA922" i="1"/>
  <c r="BA933" i="1"/>
  <c r="BA943" i="1"/>
  <c r="BA952" i="1"/>
  <c r="BA961" i="1"/>
  <c r="BA970" i="1"/>
  <c r="BA979" i="1"/>
  <c r="BA989" i="1"/>
  <c r="BA998" i="1"/>
  <c r="BA1007" i="1"/>
  <c r="BA1016" i="1"/>
  <c r="BA1025" i="1"/>
  <c r="BA1034" i="1"/>
  <c r="BA1043" i="1"/>
  <c r="BA1053" i="1"/>
  <c r="BA1062" i="1"/>
  <c r="BA1071" i="1"/>
  <c r="BA1080" i="1"/>
  <c r="BA1089" i="1"/>
  <c r="BA1098" i="1"/>
  <c r="BA1107" i="1"/>
  <c r="BA1116" i="1"/>
  <c r="BA1124" i="1"/>
  <c r="BA1132" i="1"/>
  <c r="BA1140" i="1"/>
  <c r="BA1148" i="1"/>
  <c r="BA1156" i="1"/>
  <c r="BA1164" i="1"/>
  <c r="BA1172" i="1"/>
  <c r="BA1180" i="1"/>
  <c r="BA1188" i="1"/>
  <c r="BA1196" i="1"/>
  <c r="BA1204" i="1"/>
  <c r="BA1212" i="1"/>
  <c r="BA1220" i="1"/>
  <c r="BA1228" i="1"/>
  <c r="BA1236" i="1"/>
  <c r="BA1244" i="1"/>
  <c r="BA1252" i="1"/>
  <c r="BA1260" i="1"/>
  <c r="BA1268" i="1"/>
  <c r="BA65" i="1"/>
  <c r="BA159" i="1"/>
  <c r="BA218" i="1"/>
  <c r="BA271" i="1"/>
  <c r="BA321" i="1"/>
  <c r="BA374" i="1"/>
  <c r="BA424" i="1"/>
  <c r="BA466" i="1"/>
  <c r="BA481" i="1"/>
  <c r="BA497" i="1"/>
  <c r="BA510" i="1"/>
  <c r="BA526" i="1"/>
  <c r="BA542" i="1"/>
  <c r="BA554" i="1"/>
  <c r="BA570" i="1"/>
  <c r="BA583" i="1"/>
  <c r="BA599" i="1"/>
  <c r="BA615" i="1"/>
  <c r="BA628" i="1"/>
  <c r="BA644" i="1"/>
  <c r="BA656" i="1"/>
  <c r="BA672" i="1"/>
  <c r="BA687" i="1"/>
  <c r="BA698" i="1"/>
  <c r="BA711" i="1"/>
  <c r="BA721" i="1"/>
  <c r="BA731" i="1"/>
  <c r="BA743" i="1"/>
  <c r="BA753" i="1"/>
  <c r="BA763" i="1"/>
  <c r="BA775" i="1"/>
  <c r="BA785" i="1"/>
  <c r="BA795" i="1"/>
  <c r="BA807" i="1"/>
  <c r="BA817" i="1"/>
  <c r="BA827" i="1"/>
  <c r="BA839" i="1"/>
  <c r="BA849" i="1"/>
  <c r="BA859" i="1"/>
  <c r="BA871" i="1"/>
  <c r="BA881" i="1"/>
  <c r="BA891" i="1"/>
  <c r="BA903" i="1"/>
  <c r="BA913" i="1"/>
  <c r="BA923" i="1"/>
  <c r="BA935" i="1"/>
  <c r="BA944" i="1"/>
  <c r="BA953" i="1"/>
  <c r="BA962" i="1"/>
  <c r="BA971" i="1"/>
  <c r="BA981" i="1"/>
  <c r="BA990" i="1"/>
  <c r="BA999" i="1"/>
  <c r="BA1008" i="1"/>
  <c r="BA1017" i="1"/>
  <c r="BA1026" i="1"/>
  <c r="BA1035" i="1"/>
  <c r="BA1045" i="1"/>
  <c r="BA1054" i="1"/>
  <c r="BA1063" i="1"/>
  <c r="BA1072" i="1"/>
  <c r="BA1081" i="1"/>
  <c r="BA1090" i="1"/>
  <c r="BA1099" i="1"/>
  <c r="BA1109" i="1"/>
  <c r="BA1117" i="1"/>
  <c r="BA1125" i="1"/>
  <c r="BA1133" i="1"/>
  <c r="BA1141" i="1"/>
  <c r="BA1149" i="1"/>
  <c r="BA1157" i="1"/>
  <c r="BA1165" i="1"/>
  <c r="BA1173" i="1"/>
  <c r="BA1181" i="1"/>
  <c r="BA1189" i="1"/>
  <c r="BA1197" i="1"/>
  <c r="BA1205" i="1"/>
  <c r="BA1213" i="1"/>
  <c r="BA1221" i="1"/>
  <c r="BA1229" i="1"/>
  <c r="BA1237" i="1"/>
  <c r="BA1245" i="1"/>
  <c r="BA1253" i="1"/>
  <c r="BA1261" i="1"/>
  <c r="BA1269" i="1"/>
  <c r="BA1277" i="1"/>
  <c r="BA1285" i="1"/>
  <c r="BA1293" i="1"/>
  <c r="BA1301" i="1"/>
  <c r="BA1309" i="1"/>
  <c r="BA1317" i="1"/>
  <c r="BA1325" i="1"/>
  <c r="BA1333" i="1"/>
  <c r="BA1341" i="1"/>
  <c r="BA1349" i="1"/>
  <c r="BA1357" i="1"/>
  <c r="BA1365" i="1"/>
  <c r="BA1373" i="1"/>
  <c r="BA1381" i="1"/>
  <c r="BA1389" i="1"/>
  <c r="BA1397" i="1"/>
  <c r="BA1405" i="1"/>
  <c r="BA1413" i="1"/>
  <c r="BA1421" i="1"/>
  <c r="BA1429" i="1"/>
  <c r="BA1437" i="1"/>
  <c r="BA1445" i="1"/>
  <c r="BA1453" i="1"/>
  <c r="BA1461" i="1"/>
  <c r="BA1469" i="1"/>
  <c r="BA72" i="1"/>
  <c r="BA160" i="1"/>
  <c r="BA222" i="1"/>
  <c r="BA272" i="1"/>
  <c r="BA322" i="1"/>
  <c r="BA375" i="1"/>
  <c r="BA425" i="1"/>
  <c r="BA468" i="1"/>
  <c r="BA482" i="1"/>
  <c r="BA498" i="1"/>
  <c r="BA514" i="1"/>
  <c r="BA527" i="1"/>
  <c r="BA543" i="1"/>
  <c r="BA556" i="1"/>
  <c r="BA572" i="1"/>
  <c r="BA588" i="1"/>
  <c r="BA600" i="1"/>
  <c r="BA616" i="1"/>
  <c r="BA629" i="1"/>
  <c r="BA645" i="1"/>
  <c r="BA661" i="1"/>
  <c r="BA673" i="1"/>
  <c r="BA688" i="1"/>
  <c r="BA699" i="1"/>
  <c r="BA712" i="1"/>
  <c r="BA722" i="1"/>
  <c r="BA733" i="1"/>
  <c r="BA744" i="1"/>
  <c r="BA754" i="1"/>
  <c r="BA765" i="1"/>
  <c r="BA776" i="1"/>
  <c r="BA786" i="1"/>
  <c r="BA797" i="1"/>
  <c r="BA808" i="1"/>
  <c r="BA818" i="1"/>
  <c r="BA829" i="1"/>
  <c r="BA840" i="1"/>
  <c r="BA850" i="1"/>
  <c r="BA861" i="1"/>
  <c r="BA872" i="1"/>
  <c r="BA882" i="1"/>
  <c r="BA893" i="1"/>
  <c r="BA904" i="1"/>
  <c r="BA914" i="1"/>
  <c r="BA925" i="1"/>
  <c r="BA936" i="1"/>
  <c r="BA945" i="1"/>
  <c r="BA954" i="1"/>
  <c r="BA963" i="1"/>
  <c r="BA973" i="1"/>
  <c r="BA982" i="1"/>
  <c r="BA991" i="1"/>
  <c r="BA1000" i="1"/>
  <c r="BA1009" i="1"/>
  <c r="BA1018" i="1"/>
  <c r="BA1027" i="1"/>
  <c r="BA1037" i="1"/>
  <c r="BA1046" i="1"/>
  <c r="BA1055" i="1"/>
  <c r="BA96" i="1"/>
  <c r="BA175" i="1"/>
  <c r="BA232" i="1"/>
  <c r="BA282" i="1"/>
  <c r="BA335" i="1"/>
  <c r="BA385" i="1"/>
  <c r="BA438" i="1"/>
  <c r="BA470" i="1"/>
  <c r="BA487" i="1"/>
  <c r="BA500" i="1"/>
  <c r="BA516" i="1"/>
  <c r="BA528" i="1"/>
  <c r="BA544" i="1"/>
  <c r="BA560" i="1"/>
  <c r="BA573" i="1"/>
  <c r="BA589" i="1"/>
  <c r="BA601" i="1"/>
  <c r="BA617" i="1"/>
  <c r="BA633" i="1"/>
  <c r="BA646" i="1"/>
  <c r="BA662" i="1"/>
  <c r="BA674" i="1"/>
  <c r="BA689" i="1"/>
  <c r="BA703" i="1"/>
  <c r="BA713" i="1"/>
  <c r="BA723" i="1"/>
  <c r="BA735" i="1"/>
  <c r="BA745" i="1"/>
  <c r="BA755" i="1"/>
  <c r="BA767" i="1"/>
  <c r="BA777" i="1"/>
  <c r="BA787" i="1"/>
  <c r="BA799" i="1"/>
  <c r="BA809" i="1"/>
  <c r="BA819" i="1"/>
  <c r="BA831" i="1"/>
  <c r="BA841" i="1"/>
  <c r="BA851" i="1"/>
  <c r="BA863" i="1"/>
  <c r="BA873" i="1"/>
  <c r="BA883" i="1"/>
  <c r="BA895" i="1"/>
  <c r="BA905" i="1"/>
  <c r="BA915" i="1"/>
  <c r="BA927" i="1"/>
  <c r="BA937" i="1"/>
  <c r="BA946" i="1"/>
  <c r="BA955" i="1"/>
  <c r="BA965" i="1"/>
  <c r="BA974" i="1"/>
  <c r="BA983" i="1"/>
  <c r="BA992" i="1"/>
  <c r="BA1001" i="1"/>
  <c r="BA1010" i="1"/>
  <c r="BA1019" i="1"/>
  <c r="BA97" i="1"/>
  <c r="BA176" i="1"/>
  <c r="BA233" i="1"/>
  <c r="BA286" i="1"/>
  <c r="BA336" i="1"/>
  <c r="BA386" i="1"/>
  <c r="BA439" i="1"/>
  <c r="BA471" i="1"/>
  <c r="BA488" i="1"/>
  <c r="BA501" i="1"/>
  <c r="BA517" i="1"/>
  <c r="BA533" i="1"/>
  <c r="BA545" i="1"/>
  <c r="BA561" i="1"/>
  <c r="BA574" i="1"/>
  <c r="BA590" i="1"/>
  <c r="BA606" i="1"/>
  <c r="BA618" i="1"/>
  <c r="BA634" i="1"/>
  <c r="BA647" i="1"/>
  <c r="BA663" i="1"/>
  <c r="BA679" i="1"/>
  <c r="BA690" i="1"/>
  <c r="BA704" i="1"/>
  <c r="BA714" i="1"/>
  <c r="BA725" i="1"/>
  <c r="BA736" i="1"/>
  <c r="BA746" i="1"/>
  <c r="BA120" i="1"/>
  <c r="BA192" i="1"/>
  <c r="BA247" i="1"/>
  <c r="BA297" i="1"/>
  <c r="BA350" i="1"/>
  <c r="BA400" i="1"/>
  <c r="BA450" i="1"/>
  <c r="BA478" i="1"/>
  <c r="BA490" i="1"/>
  <c r="BA506" i="1"/>
  <c r="BA519" i="1"/>
  <c r="BA535" i="1"/>
  <c r="BA551" i="1"/>
  <c r="BA564" i="1"/>
  <c r="BA580" i="1"/>
  <c r="BA592" i="1"/>
  <c r="BA608" i="1"/>
  <c r="BA624" i="1"/>
  <c r="BA637" i="1"/>
  <c r="BA653" i="1"/>
  <c r="BA665" i="1"/>
  <c r="BA681" i="1"/>
  <c r="BA695" i="1"/>
  <c r="BA706" i="1"/>
  <c r="BA717" i="1"/>
  <c r="BA728" i="1"/>
  <c r="BA738" i="1"/>
  <c r="BA749" i="1"/>
  <c r="BA760" i="1"/>
  <c r="BA770" i="1"/>
  <c r="BA781" i="1"/>
  <c r="BA792" i="1"/>
  <c r="BA802" i="1"/>
  <c r="BA813" i="1"/>
  <c r="BA824" i="1"/>
  <c r="BA834" i="1"/>
  <c r="BA845" i="1"/>
  <c r="BA856" i="1"/>
  <c r="BA866" i="1"/>
  <c r="BA877" i="1"/>
  <c r="BA888" i="1"/>
  <c r="BA898" i="1"/>
  <c r="BA909" i="1"/>
  <c r="BA920" i="1"/>
  <c r="BA930" i="1"/>
  <c r="BA941" i="1"/>
  <c r="BA950" i="1"/>
  <c r="BA959" i="1"/>
  <c r="BA968" i="1"/>
  <c r="BA977" i="1"/>
  <c r="BA986" i="1"/>
  <c r="BA995" i="1"/>
  <c r="BA1005" i="1"/>
  <c r="BA1014" i="1"/>
  <c r="BA1023" i="1"/>
  <c r="BA1032" i="1"/>
  <c r="BA1041" i="1"/>
  <c r="BA1050" i="1"/>
  <c r="BA1059" i="1"/>
  <c r="BA1069" i="1"/>
  <c r="BA1078" i="1"/>
  <c r="BA1464" i="1"/>
  <c r="BA1454" i="1"/>
  <c r="BA1442" i="1"/>
  <c r="BA1432" i="1"/>
  <c r="BA1422" i="1"/>
  <c r="BA1410" i="1"/>
  <c r="BA1400" i="1"/>
  <c r="BA1390" i="1"/>
  <c r="BA1378" i="1"/>
  <c r="BA1368" i="1"/>
  <c r="BA1358" i="1"/>
  <c r="BA1346" i="1"/>
  <c r="BA1336" i="1"/>
  <c r="BA1326" i="1"/>
  <c r="BA1314" i="1"/>
  <c r="BA1304" i="1"/>
  <c r="BA1294" i="1"/>
  <c r="BA1282" i="1"/>
  <c r="BA1272" i="1"/>
  <c r="BA1258" i="1"/>
  <c r="BA1247" i="1"/>
  <c r="BA1233" i="1"/>
  <c r="BA1222" i="1"/>
  <c r="BA1208" i="1"/>
  <c r="BA1194" i="1"/>
  <c r="BA1183" i="1"/>
  <c r="BA1169" i="1"/>
  <c r="BA1158" i="1"/>
  <c r="BA1144" i="1"/>
  <c r="BA1130" i="1"/>
  <c r="BA1119" i="1"/>
  <c r="BA1104" i="1"/>
  <c r="BA1091" i="1"/>
  <c r="BA1074" i="1"/>
  <c r="BA1056" i="1"/>
  <c r="BA1030" i="1"/>
  <c r="BA994" i="1"/>
  <c r="BA958" i="1"/>
  <c r="BA919" i="1"/>
  <c r="BA875" i="1"/>
  <c r="BA833" i="1"/>
  <c r="BA791" i="1"/>
  <c r="BA747" i="1"/>
  <c r="BA652" i="1"/>
  <c r="BA534" i="1"/>
  <c r="BA296" i="1"/>
  <c r="BA1463" i="1"/>
  <c r="BA1452" i="1"/>
  <c r="BA1441" i="1"/>
  <c r="BA1431" i="1"/>
  <c r="BA1420" i="1"/>
  <c r="BA1409" i="1"/>
  <c r="BA1399" i="1"/>
  <c r="BA1388" i="1"/>
  <c r="BA1377" i="1"/>
  <c r="BA1367" i="1"/>
  <c r="BA1356" i="1"/>
  <c r="BA1345" i="1"/>
  <c r="BA1335" i="1"/>
  <c r="BA1324" i="1"/>
  <c r="BA1313" i="1"/>
  <c r="BA1303" i="1"/>
  <c r="BA1292" i="1"/>
  <c r="BA1281" i="1"/>
  <c r="BA1271" i="1"/>
  <c r="BA1257" i="1"/>
  <c r="BA1246" i="1"/>
  <c r="BA1232" i="1"/>
  <c r="BA1218" i="1"/>
  <c r="BA1207" i="1"/>
  <c r="BA1193" i="1"/>
  <c r="BA1182" i="1"/>
  <c r="BA1168" i="1"/>
  <c r="BA1154" i="1"/>
  <c r="BA1143" i="1"/>
  <c r="BA1129" i="1"/>
  <c r="BA1118" i="1"/>
  <c r="BA1103" i="1"/>
  <c r="BA1087" i="1"/>
  <c r="BA1073" i="1"/>
  <c r="BA1049" i="1"/>
  <c r="BA1029" i="1"/>
  <c r="BA993" i="1"/>
  <c r="BA957" i="1"/>
  <c r="BA917" i="1"/>
  <c r="BA874" i="1"/>
  <c r="BA832" i="1"/>
  <c r="BA789" i="1"/>
  <c r="BA737" i="1"/>
  <c r="BA636" i="1"/>
  <c r="BA518" i="1"/>
  <c r="BA246" i="1"/>
  <c r="BA2" i="1"/>
  <c r="BA1462" i="1"/>
  <c r="BA1450" i="1"/>
  <c r="BA1440" i="1"/>
  <c r="BA1430" i="1"/>
  <c r="BA1418" i="1"/>
  <c r="BA1408" i="1"/>
  <c r="BA1398" i="1"/>
  <c r="BA1386" i="1"/>
  <c r="BA1376" i="1"/>
  <c r="BA1366" i="1"/>
  <c r="BA1354" i="1"/>
  <c r="BA1344" i="1"/>
  <c r="BA1334" i="1"/>
  <c r="BA1322" i="1"/>
  <c r="BA1312" i="1"/>
  <c r="BA1302" i="1"/>
  <c r="BA1290" i="1"/>
  <c r="BA1280" i="1"/>
  <c r="BA1270" i="1"/>
  <c r="BA1256" i="1"/>
  <c r="BA1242" i="1"/>
  <c r="BA1231" i="1"/>
  <c r="BA1217" i="1"/>
  <c r="BA1206" i="1"/>
  <c r="BA1192" i="1"/>
  <c r="BA1178" i="1"/>
  <c r="BA1167" i="1"/>
  <c r="BA1153" i="1"/>
  <c r="BA1142" i="1"/>
  <c r="BA1128" i="1"/>
  <c r="BA1114" i="1"/>
  <c r="BA1102" i="1"/>
  <c r="BA1086" i="1"/>
  <c r="BA1067" i="1"/>
  <c r="BA1048" i="1"/>
  <c r="BA1022" i="1"/>
  <c r="BA985" i="1"/>
  <c r="BA949" i="1"/>
  <c r="BA907" i="1"/>
  <c r="BA865" i="1"/>
  <c r="BA823" i="1"/>
  <c r="BA779" i="1"/>
  <c r="BA727" i="1"/>
  <c r="BA620" i="1"/>
  <c r="BA505" i="1"/>
  <c r="BA191" i="1"/>
  <c r="BA1471" i="1"/>
  <c r="BA1460" i="1"/>
  <c r="BA1449" i="1"/>
  <c r="BA1439" i="1"/>
  <c r="BA1428" i="1"/>
  <c r="BA1417" i="1"/>
  <c r="BA1407" i="1"/>
  <c r="BA1396" i="1"/>
  <c r="BA1385" i="1"/>
  <c r="BA1375" i="1"/>
  <c r="BA1364" i="1"/>
  <c r="BA1353" i="1"/>
  <c r="BA1343" i="1"/>
  <c r="BA1332" i="1"/>
  <c r="BA1321" i="1"/>
  <c r="BA1311" i="1"/>
  <c r="BA1300" i="1"/>
  <c r="BA1289" i="1"/>
  <c r="BA1279" i="1"/>
  <c r="BA1266" i="1"/>
  <c r="BA1255" i="1"/>
  <c r="BA1241" i="1"/>
  <c r="BA1230" i="1"/>
  <c r="BA1216" i="1"/>
  <c r="BA1202" i="1"/>
  <c r="BA1191" i="1"/>
  <c r="BA1177" i="1"/>
  <c r="BA1166" i="1"/>
  <c r="BA1152" i="1"/>
  <c r="BA1138" i="1"/>
  <c r="BA1127" i="1"/>
  <c r="BA1113" i="1"/>
  <c r="BA1101" i="1"/>
  <c r="BA1085" i="1"/>
  <c r="BA1066" i="1"/>
  <c r="BA1047" i="1"/>
  <c r="BA1021" i="1"/>
  <c r="BA984" i="1"/>
  <c r="BA947" i="1"/>
  <c r="BA906" i="1"/>
  <c r="BA864" i="1"/>
  <c r="BA821" i="1"/>
  <c r="BA778" i="1"/>
  <c r="BA715" i="1"/>
  <c r="BA607" i="1"/>
  <c r="BA489" i="1"/>
  <c r="BA114" i="1"/>
  <c r="BF1469" i="1"/>
  <c r="BG1469" i="1" s="1"/>
  <c r="BF1458" i="1"/>
  <c r="BG1458" i="1" s="1"/>
  <c r="BF1444" i="1"/>
  <c r="BG1444" i="1" s="1"/>
  <c r="BF1430" i="1"/>
  <c r="BG1430" i="1" s="1"/>
  <c r="BF1419" i="1"/>
  <c r="BG1419" i="1" s="1"/>
  <c r="BF1405" i="1"/>
  <c r="BG1405" i="1" s="1"/>
  <c r="BF1394" i="1"/>
  <c r="BG1394" i="1" s="1"/>
  <c r="BF1380" i="1"/>
  <c r="BG1380" i="1" s="1"/>
  <c r="BF1366" i="1"/>
  <c r="BG1366" i="1" s="1"/>
  <c r="BF1354" i="1"/>
  <c r="BG1354" i="1" s="1"/>
  <c r="BF1338" i="1"/>
  <c r="BG1338" i="1" s="1"/>
  <c r="BF1322" i="1"/>
  <c r="BG1322" i="1" s="1"/>
  <c r="BF1306" i="1"/>
  <c r="BG1306" i="1" s="1"/>
  <c r="BF1290" i="1"/>
  <c r="BG1290" i="1" s="1"/>
  <c r="BF1274" i="1"/>
  <c r="BG1274" i="1" s="1"/>
  <c r="BF1258" i="1"/>
  <c r="BG1258" i="1" s="1"/>
  <c r="BF1242" i="1"/>
  <c r="BG1242" i="1" s="1"/>
  <c r="BF1226" i="1"/>
  <c r="BG1226" i="1" s="1"/>
  <c r="BF1210" i="1"/>
  <c r="BG1210" i="1" s="1"/>
  <c r="BF1194" i="1"/>
  <c r="BG1194" i="1" s="1"/>
  <c r="BF1173" i="1"/>
  <c r="BG1173" i="1" s="1"/>
  <c r="BF1150" i="1"/>
  <c r="BG1150" i="1" s="1"/>
  <c r="BF1131" i="1"/>
  <c r="BG1131" i="1" s="1"/>
  <c r="BF1100" i="1"/>
  <c r="BG1100" i="1" s="1"/>
  <c r="BF1064" i="1"/>
  <c r="BG1064" i="1" s="1"/>
  <c r="BF1027" i="1"/>
  <c r="BG1027" i="1" s="1"/>
  <c r="BF988" i="1"/>
  <c r="BG988" i="1" s="1"/>
  <c r="BF946" i="1"/>
  <c r="BG946" i="1" s="1"/>
  <c r="BF902" i="1"/>
  <c r="BG902" i="1" s="1"/>
  <c r="BF860" i="1"/>
  <c r="BG860" i="1" s="1"/>
  <c r="BF812" i="1"/>
  <c r="BG812" i="1" s="1"/>
  <c r="BF762" i="1"/>
  <c r="BG762" i="1" s="1"/>
  <c r="BF709" i="1"/>
  <c r="BG709" i="1" s="1"/>
  <c r="BF656" i="1"/>
  <c r="BG656" i="1" s="1"/>
  <c r="BF591" i="1"/>
  <c r="BG591" i="1" s="1"/>
  <c r="BF439" i="1"/>
  <c r="BG439" i="1" s="1"/>
  <c r="BF1468" i="1"/>
  <c r="BG1468" i="1" s="1"/>
  <c r="BF1454" i="1"/>
  <c r="BG1454" i="1" s="1"/>
  <c r="BF1404" i="1"/>
  <c r="BG1404" i="1" s="1"/>
  <c r="BF1365" i="1"/>
  <c r="BG1365" i="1" s="1"/>
  <c r="BF1302" i="1"/>
  <c r="BG1302" i="1" s="1"/>
  <c r="BF1238" i="1"/>
  <c r="BG1238" i="1" s="1"/>
  <c r="BF1019" i="1"/>
  <c r="BG1019" i="1" s="1"/>
  <c r="BF1453" i="1"/>
  <c r="BG1453" i="1" s="1"/>
  <c r="BF1285" i="1"/>
  <c r="BG1285" i="1" s="1"/>
  <c r="BF1054" i="1"/>
  <c r="BG1054" i="1" s="1"/>
  <c r="BF850" i="1"/>
  <c r="BG850" i="1" s="1"/>
  <c r="BF698" i="1"/>
  <c r="BG698" i="1" s="1"/>
  <c r="BF640" i="1"/>
  <c r="BG640" i="1" s="1"/>
  <c r="BF567" i="1"/>
  <c r="BG567" i="1" s="1"/>
  <c r="BF386" i="1"/>
  <c r="BG386" i="1" s="1"/>
  <c r="BF1418" i="1"/>
  <c r="BG1418" i="1" s="1"/>
  <c r="BF1334" i="1"/>
  <c r="BG1334" i="1" s="1"/>
  <c r="BF1270" i="1"/>
  <c r="BG1270" i="1" s="1"/>
  <c r="BF1190" i="1"/>
  <c r="BG1190" i="1" s="1"/>
  <c r="BF1126" i="1"/>
  <c r="BG1126" i="1" s="1"/>
  <c r="BF979" i="1"/>
  <c r="BG979" i="1" s="1"/>
  <c r="BF802" i="1"/>
  <c r="BG802" i="1" s="1"/>
  <c r="BF390" i="1"/>
  <c r="BG390" i="1" s="1"/>
  <c r="BF1414" i="1"/>
  <c r="BG1414" i="1" s="1"/>
  <c r="BF1364" i="1"/>
  <c r="BG1364" i="1" s="1"/>
  <c r="BF1317" i="1"/>
  <c r="BG1317" i="1" s="1"/>
  <c r="BF1237" i="1"/>
  <c r="BG1237" i="1" s="1"/>
  <c r="BF1091" i="1"/>
  <c r="BG1091" i="1" s="1"/>
  <c r="BF1427" i="1"/>
  <c r="BG1427" i="1" s="1"/>
  <c r="BF1267" i="1"/>
  <c r="BG1267" i="1" s="1"/>
  <c r="BF1083" i="1"/>
  <c r="BG1083" i="1" s="1"/>
  <c r="BF925" i="1"/>
  <c r="BG925" i="1" s="1"/>
  <c r="BF883" i="1"/>
  <c r="BG883" i="1" s="1"/>
  <c r="BF788" i="1"/>
  <c r="BG788" i="1" s="1"/>
  <c r="BF738" i="1"/>
  <c r="BG738" i="1" s="1"/>
  <c r="BF685" i="1"/>
  <c r="BG685" i="1" s="1"/>
  <c r="BF629" i="1"/>
  <c r="BG629" i="1" s="1"/>
  <c r="BF528" i="1"/>
  <c r="BG528" i="1" s="1"/>
  <c r="BF337" i="1"/>
  <c r="BG337" i="1" s="1"/>
  <c r="BF1429" i="1"/>
  <c r="BG1429" i="1" s="1"/>
  <c r="BF1379" i="1"/>
  <c r="BG1379" i="1" s="1"/>
  <c r="BF1286" i="1"/>
  <c r="BG1286" i="1" s="1"/>
  <c r="BF1222" i="1"/>
  <c r="BG1222" i="1" s="1"/>
  <c r="BF1149" i="1"/>
  <c r="BG1149" i="1" s="1"/>
  <c r="BF1056" i="1"/>
  <c r="BG1056" i="1" s="1"/>
  <c r="BF893" i="1"/>
  <c r="BG893" i="1" s="1"/>
  <c r="BF749" i="1"/>
  <c r="BG749" i="1" s="1"/>
  <c r="BF568" i="1"/>
  <c r="BG568" i="1" s="1"/>
  <c r="BF1428" i="1"/>
  <c r="BG1428" i="1" s="1"/>
  <c r="BF1378" i="1"/>
  <c r="BG1378" i="1" s="1"/>
  <c r="BF1333" i="1"/>
  <c r="BG1333" i="1" s="1"/>
  <c r="BF1269" i="1"/>
  <c r="BG1269" i="1" s="1"/>
  <c r="BF1221" i="1"/>
  <c r="BG1221" i="1" s="1"/>
  <c r="BF1189" i="1"/>
  <c r="BG1189" i="1" s="1"/>
  <c r="BF1147" i="1"/>
  <c r="BG1147" i="1" s="1"/>
  <c r="BF1018" i="1"/>
  <c r="BG1018" i="1" s="1"/>
  <c r="BF934" i="1"/>
  <c r="BG934" i="1" s="1"/>
  <c r="BF798" i="1"/>
  <c r="BG798" i="1" s="1"/>
  <c r="BF1466" i="1"/>
  <c r="BG1466" i="1" s="1"/>
  <c r="BF1438" i="1"/>
  <c r="BG1438" i="1" s="1"/>
  <c r="BF1402" i="1"/>
  <c r="BG1402" i="1" s="1"/>
  <c r="BF1363" i="1"/>
  <c r="BG1363" i="1" s="1"/>
  <c r="BF1331" i="1"/>
  <c r="BG1331" i="1" s="1"/>
  <c r="BF1299" i="1"/>
  <c r="BG1299" i="1" s="1"/>
  <c r="BF1235" i="1"/>
  <c r="BG1235" i="1" s="1"/>
  <c r="BF1203" i="1"/>
  <c r="BG1203" i="1" s="1"/>
  <c r="BF1142" i="1"/>
  <c r="BG1142" i="1" s="1"/>
  <c r="BF1010" i="1"/>
  <c r="BG1010" i="1" s="1"/>
  <c r="BF1437" i="1"/>
  <c r="BG1437" i="1" s="1"/>
  <c r="BF1330" i="1"/>
  <c r="BG1330" i="1" s="1"/>
  <c r="BF1202" i="1"/>
  <c r="BG1202" i="1" s="1"/>
  <c r="BF1082" i="1"/>
  <c r="BG1082" i="1" s="1"/>
  <c r="BF966" i="1"/>
  <c r="BG966" i="1" s="1"/>
  <c r="BF924" i="1"/>
  <c r="BG924" i="1" s="1"/>
  <c r="BF882" i="1"/>
  <c r="BG882" i="1" s="1"/>
  <c r="BF837" i="1"/>
  <c r="BG837" i="1" s="1"/>
  <c r="BF787" i="1"/>
  <c r="BG787" i="1" s="1"/>
  <c r="BF734" i="1"/>
  <c r="BG734" i="1" s="1"/>
  <c r="BF684" i="1"/>
  <c r="BG684" i="1" s="1"/>
  <c r="BF628" i="1"/>
  <c r="BG628" i="1" s="1"/>
  <c r="BF527" i="1"/>
  <c r="BG527" i="1" s="1"/>
  <c r="BF336" i="1"/>
  <c r="BG336" i="1" s="1"/>
  <c r="BF1443" i="1"/>
  <c r="BG1443" i="1" s="1"/>
  <c r="BF1390" i="1"/>
  <c r="BG1390" i="1" s="1"/>
  <c r="BF1350" i="1"/>
  <c r="BG1350" i="1" s="1"/>
  <c r="BF1318" i="1"/>
  <c r="BG1318" i="1" s="1"/>
  <c r="BF1254" i="1"/>
  <c r="BG1254" i="1" s="1"/>
  <c r="BF1206" i="1"/>
  <c r="BG1206" i="1" s="1"/>
  <c r="BF1171" i="1"/>
  <c r="BG1171" i="1" s="1"/>
  <c r="BF1092" i="1"/>
  <c r="BG1092" i="1" s="1"/>
  <c r="BF936" i="1"/>
  <c r="BG936" i="1" s="1"/>
  <c r="BF851" i="1"/>
  <c r="BG851" i="1" s="1"/>
  <c r="BF699" i="1"/>
  <c r="BG699" i="1" s="1"/>
  <c r="BF641" i="1"/>
  <c r="BG641" i="1" s="1"/>
  <c r="BF1467" i="1"/>
  <c r="BG1467" i="1" s="1"/>
  <c r="BF1442" i="1"/>
  <c r="BG1442" i="1" s="1"/>
  <c r="BF1403" i="1"/>
  <c r="BG1403" i="1" s="1"/>
  <c r="BF1389" i="1"/>
  <c r="BG1389" i="1" s="1"/>
  <c r="BF1349" i="1"/>
  <c r="BG1349" i="1" s="1"/>
  <c r="BF1301" i="1"/>
  <c r="BG1301" i="1" s="1"/>
  <c r="BF1253" i="1"/>
  <c r="BG1253" i="1" s="1"/>
  <c r="BF1205" i="1"/>
  <c r="BG1205" i="1" s="1"/>
  <c r="BF1166" i="1"/>
  <c r="BG1166" i="1" s="1"/>
  <c r="BF1125" i="1"/>
  <c r="BG1125" i="1" s="1"/>
  <c r="BF978" i="1"/>
  <c r="BG978" i="1" s="1"/>
  <c r="BF892" i="1"/>
  <c r="BG892" i="1" s="1"/>
  <c r="BF748" i="1"/>
  <c r="BG748" i="1" s="1"/>
  <c r="BF1452" i="1"/>
  <c r="BG1452" i="1" s="1"/>
  <c r="BF1413" i="1"/>
  <c r="BG1413" i="1" s="1"/>
  <c r="BF1388" i="1"/>
  <c r="BG1388" i="1" s="1"/>
  <c r="BF1374" i="1"/>
  <c r="BG1374" i="1" s="1"/>
  <c r="BF1347" i="1"/>
  <c r="BG1347" i="1" s="1"/>
  <c r="BF1315" i="1"/>
  <c r="BG1315" i="1" s="1"/>
  <c r="BF1283" i="1"/>
  <c r="BG1283" i="1" s="1"/>
  <c r="BF1251" i="1"/>
  <c r="BG1251" i="1" s="1"/>
  <c r="BF1219" i="1"/>
  <c r="BG1219" i="1" s="1"/>
  <c r="BF1187" i="1"/>
  <c r="BG1187" i="1" s="1"/>
  <c r="BF1165" i="1"/>
  <c r="BG1165" i="1" s="1"/>
  <c r="BF1118" i="1"/>
  <c r="BG1118" i="1" s="1"/>
  <c r="BF1046" i="1"/>
  <c r="BG1046" i="1" s="1"/>
  <c r="BF968" i="1"/>
  <c r="BG968" i="1" s="1"/>
  <c r="BF838" i="1"/>
  <c r="BG838" i="1" s="1"/>
  <c r="BF1462" i="1"/>
  <c r="BG1462" i="1" s="1"/>
  <c r="BF1426" i="1"/>
  <c r="BG1426" i="1" s="1"/>
  <c r="BF1398" i="1"/>
  <c r="BG1398" i="1" s="1"/>
  <c r="BF1373" i="1"/>
  <c r="BG1373" i="1" s="1"/>
  <c r="BF1346" i="1"/>
  <c r="BG1346" i="1" s="1"/>
  <c r="BF1314" i="1"/>
  <c r="BG1314" i="1" s="1"/>
  <c r="BF1282" i="1"/>
  <c r="BG1282" i="1" s="1"/>
  <c r="BF1250" i="1"/>
  <c r="BG1250" i="1" s="1"/>
  <c r="BF1218" i="1"/>
  <c r="BG1218" i="1" s="1"/>
  <c r="BF1182" i="1"/>
  <c r="BG1182" i="1" s="1"/>
  <c r="BF1141" i="1"/>
  <c r="BG1141" i="1" s="1"/>
  <c r="BF1045" i="1"/>
  <c r="BG1045" i="1" s="1"/>
  <c r="BF1461" i="1"/>
  <c r="BG1461" i="1" s="1"/>
  <c r="BF1411" i="1"/>
  <c r="BG1411" i="1" s="1"/>
  <c r="BF1358" i="1"/>
  <c r="BG1358" i="1" s="1"/>
  <c r="BF1326" i="1"/>
  <c r="BG1326" i="1" s="1"/>
  <c r="BF1278" i="1"/>
  <c r="BG1278" i="1" s="1"/>
  <c r="BF1262" i="1"/>
  <c r="BG1262" i="1" s="1"/>
  <c r="BF1246" i="1"/>
  <c r="BG1246" i="1" s="1"/>
  <c r="BF1230" i="1"/>
  <c r="BG1230" i="1" s="1"/>
  <c r="BF1214" i="1"/>
  <c r="BG1214" i="1" s="1"/>
  <c r="BF1198" i="1"/>
  <c r="BG1198" i="1" s="1"/>
  <c r="BF1181" i="1"/>
  <c r="BG1181" i="1" s="1"/>
  <c r="BF1158" i="1"/>
  <c r="BG1158" i="1" s="1"/>
  <c r="BF1139" i="1"/>
  <c r="BG1139" i="1" s="1"/>
  <c r="BF1110" i="1"/>
  <c r="BG1110" i="1" s="1"/>
  <c r="BF1074" i="1"/>
  <c r="BG1074" i="1" s="1"/>
  <c r="BF1037" i="1"/>
  <c r="BG1037" i="1" s="1"/>
  <c r="BF1000" i="1"/>
  <c r="BG1000" i="1" s="1"/>
  <c r="BF957" i="1"/>
  <c r="BG957" i="1" s="1"/>
  <c r="BF915" i="1"/>
  <c r="BG915" i="1" s="1"/>
  <c r="BF872" i="1"/>
  <c r="BG872" i="1" s="1"/>
  <c r="BF827" i="1"/>
  <c r="BG827" i="1" s="1"/>
  <c r="BF774" i="1"/>
  <c r="BG774" i="1" s="1"/>
  <c r="BF724" i="1"/>
  <c r="BG724" i="1" s="1"/>
  <c r="BF673" i="1"/>
  <c r="BG673" i="1" s="1"/>
  <c r="BF610" i="1"/>
  <c r="BG610" i="1" s="1"/>
  <c r="BF486" i="1"/>
  <c r="BG486" i="1" s="1"/>
  <c r="BF281" i="1"/>
  <c r="BG281" i="1" s="1"/>
  <c r="BF1451" i="1"/>
  <c r="BG1451" i="1" s="1"/>
  <c r="BF1412" i="1"/>
  <c r="BG1412" i="1" s="1"/>
  <c r="BF1387" i="1"/>
  <c r="BG1387" i="1" s="1"/>
  <c r="BF1362" i="1"/>
  <c r="BG1362" i="1" s="1"/>
  <c r="BF1298" i="1"/>
  <c r="BG1298" i="1" s="1"/>
  <c r="BF1266" i="1"/>
  <c r="BG1266" i="1" s="1"/>
  <c r="BF1234" i="1"/>
  <c r="BG1234" i="1" s="1"/>
  <c r="BF1163" i="1"/>
  <c r="BG1163" i="1" s="1"/>
  <c r="BF1117" i="1"/>
  <c r="BG1117" i="1" s="1"/>
  <c r="BF1009" i="1"/>
  <c r="BG1009" i="1" s="1"/>
  <c r="BF1436" i="1"/>
  <c r="BG1436" i="1" s="1"/>
  <c r="BF1386" i="1"/>
  <c r="BG1386" i="1" s="1"/>
  <c r="BF1310" i="1"/>
  <c r="BG1310" i="1" s="1"/>
  <c r="BF1446" i="1"/>
  <c r="BG1446" i="1" s="1"/>
  <c r="BF1421" i="1"/>
  <c r="BG1421" i="1" s="1"/>
  <c r="BF1410" i="1"/>
  <c r="BG1410" i="1" s="1"/>
  <c r="BF1396" i="1"/>
  <c r="BG1396" i="1" s="1"/>
  <c r="BF1382" i="1"/>
  <c r="BG1382" i="1" s="1"/>
  <c r="BF1371" i="1"/>
  <c r="BG1371" i="1" s="1"/>
  <c r="BF1357" i="1"/>
  <c r="BG1357" i="1" s="1"/>
  <c r="BF1341" i="1"/>
  <c r="BG1341" i="1" s="1"/>
  <c r="BF1325" i="1"/>
  <c r="BG1325" i="1" s="1"/>
  <c r="BF1309" i="1"/>
  <c r="BG1309" i="1" s="1"/>
  <c r="BF1293" i="1"/>
  <c r="BG1293" i="1" s="1"/>
  <c r="BF1277" i="1"/>
  <c r="BG1277" i="1" s="1"/>
  <c r="BF1261" i="1"/>
  <c r="BG1261" i="1" s="1"/>
  <c r="BF1245" i="1"/>
  <c r="BG1245" i="1" s="1"/>
  <c r="BF1229" i="1"/>
  <c r="BG1229" i="1" s="1"/>
  <c r="BF1213" i="1"/>
  <c r="BG1213" i="1" s="1"/>
  <c r="BF1197" i="1"/>
  <c r="BG1197" i="1" s="1"/>
  <c r="BF1179" i="1"/>
  <c r="BG1179" i="1" s="1"/>
  <c r="BF1157" i="1"/>
  <c r="BG1157" i="1" s="1"/>
  <c r="BF1134" i="1"/>
  <c r="BG1134" i="1" s="1"/>
  <c r="BF1109" i="1"/>
  <c r="BG1109" i="1" s="1"/>
  <c r="BF1073" i="1"/>
  <c r="BG1073" i="1" s="1"/>
  <c r="BF1036" i="1"/>
  <c r="BG1036" i="1" s="1"/>
  <c r="BF998" i="1"/>
  <c r="BG998" i="1" s="1"/>
  <c r="BF956" i="1"/>
  <c r="BG956" i="1" s="1"/>
  <c r="BF914" i="1"/>
  <c r="BG914" i="1" s="1"/>
  <c r="BF870" i="1"/>
  <c r="BG870" i="1" s="1"/>
  <c r="BF826" i="1"/>
  <c r="BG826" i="1" s="1"/>
  <c r="BF773" i="1"/>
  <c r="BG773" i="1" s="1"/>
  <c r="BF723" i="1"/>
  <c r="BG723" i="1" s="1"/>
  <c r="BF669" i="1"/>
  <c r="BG669" i="1" s="1"/>
  <c r="BF609" i="1"/>
  <c r="BG609" i="1" s="1"/>
  <c r="BF484" i="1"/>
  <c r="BG484" i="1" s="1"/>
  <c r="BF3" i="1"/>
  <c r="BG3" i="1" s="1"/>
  <c r="BF11" i="1"/>
  <c r="BG11" i="1" s="1"/>
  <c r="BF19" i="1"/>
  <c r="BG19" i="1" s="1"/>
  <c r="BF27" i="1"/>
  <c r="BG27" i="1" s="1"/>
  <c r="BF35" i="1"/>
  <c r="BG35" i="1" s="1"/>
  <c r="BF43" i="1"/>
  <c r="BG43" i="1" s="1"/>
  <c r="BF51" i="1"/>
  <c r="BG51" i="1" s="1"/>
  <c r="BF59" i="1"/>
  <c r="BG59" i="1" s="1"/>
  <c r="BF67" i="1"/>
  <c r="BG67" i="1" s="1"/>
  <c r="BF75" i="1"/>
  <c r="BG75" i="1" s="1"/>
  <c r="BF83" i="1"/>
  <c r="BG83" i="1" s="1"/>
  <c r="BF91" i="1"/>
  <c r="BG91" i="1" s="1"/>
  <c r="BF99" i="1"/>
  <c r="BG99" i="1" s="1"/>
  <c r="BF107" i="1"/>
  <c r="BG107" i="1" s="1"/>
  <c r="BF115" i="1"/>
  <c r="BG115" i="1" s="1"/>
  <c r="BF123" i="1"/>
  <c r="BG123" i="1" s="1"/>
  <c r="BF131" i="1"/>
  <c r="BG131" i="1" s="1"/>
  <c r="BF139" i="1"/>
  <c r="BG139" i="1" s="1"/>
  <c r="BF147" i="1"/>
  <c r="BG147" i="1" s="1"/>
  <c r="BF155" i="1"/>
  <c r="BG155" i="1" s="1"/>
  <c r="BF163" i="1"/>
  <c r="BG163" i="1" s="1"/>
  <c r="BF171" i="1"/>
  <c r="BG171" i="1" s="1"/>
  <c r="BF179" i="1"/>
  <c r="BG179" i="1" s="1"/>
  <c r="BF187" i="1"/>
  <c r="BG187" i="1" s="1"/>
  <c r="B187" i="58" s="1"/>
  <c r="BF195" i="1"/>
  <c r="BG195" i="1" s="1"/>
  <c r="BF203" i="1"/>
  <c r="BG203" i="1" s="1"/>
  <c r="BF211" i="1"/>
  <c r="BG211" i="1" s="1"/>
  <c r="BF219" i="1"/>
  <c r="BG219" i="1" s="1"/>
  <c r="BF227" i="1"/>
  <c r="BG227" i="1" s="1"/>
  <c r="BF235" i="1"/>
  <c r="BG235" i="1" s="1"/>
  <c r="BF243" i="1"/>
  <c r="BG243" i="1" s="1"/>
  <c r="BF251" i="1"/>
  <c r="BG251" i="1" s="1"/>
  <c r="BF259" i="1"/>
  <c r="BG259" i="1" s="1"/>
  <c r="BF267" i="1"/>
  <c r="BG267" i="1" s="1"/>
  <c r="BF275" i="1"/>
  <c r="BG275" i="1" s="1"/>
  <c r="BF283" i="1"/>
  <c r="BG283" i="1" s="1"/>
  <c r="BF291" i="1"/>
  <c r="BG291" i="1" s="1"/>
  <c r="BF299" i="1"/>
  <c r="BG299" i="1" s="1"/>
  <c r="BF307" i="1"/>
  <c r="BG307" i="1" s="1"/>
  <c r="BF315" i="1"/>
  <c r="BG315" i="1" s="1"/>
  <c r="BF323" i="1"/>
  <c r="BG323" i="1" s="1"/>
  <c r="BF331" i="1"/>
  <c r="BG331" i="1" s="1"/>
  <c r="BF339" i="1"/>
  <c r="BG339" i="1" s="1"/>
  <c r="BF347" i="1"/>
  <c r="BG347" i="1" s="1"/>
  <c r="BF355" i="1"/>
  <c r="BG355" i="1" s="1"/>
  <c r="BF363" i="1"/>
  <c r="BG363" i="1" s="1"/>
  <c r="BF371" i="1"/>
  <c r="BG371" i="1" s="1"/>
  <c r="BF379" i="1"/>
  <c r="BG379" i="1" s="1"/>
  <c r="BF387" i="1"/>
  <c r="BG387" i="1" s="1"/>
  <c r="BF395" i="1"/>
  <c r="BG395" i="1" s="1"/>
  <c r="BF403" i="1"/>
  <c r="BG403" i="1" s="1"/>
  <c r="BF411" i="1"/>
  <c r="BG411" i="1" s="1"/>
  <c r="BF419" i="1"/>
  <c r="BG419" i="1" s="1"/>
  <c r="BF427" i="1"/>
  <c r="BG427" i="1" s="1"/>
  <c r="BF435" i="1"/>
  <c r="BG435" i="1" s="1"/>
  <c r="BF443" i="1"/>
  <c r="BG443" i="1" s="1"/>
  <c r="BF451" i="1"/>
  <c r="BG451" i="1" s="1"/>
  <c r="BF459" i="1"/>
  <c r="BG459" i="1" s="1"/>
  <c r="BF467" i="1"/>
  <c r="BG467" i="1" s="1"/>
  <c r="BF475" i="1"/>
  <c r="BG475" i="1" s="1"/>
  <c r="BF483" i="1"/>
  <c r="BG483" i="1" s="1"/>
  <c r="BF491" i="1"/>
  <c r="BG491" i="1" s="1"/>
  <c r="BF499" i="1"/>
  <c r="BG499" i="1" s="1"/>
  <c r="BF507" i="1"/>
  <c r="BG507" i="1" s="1"/>
  <c r="BF515" i="1"/>
  <c r="BG515" i="1" s="1"/>
  <c r="BF523" i="1"/>
  <c r="BG523" i="1" s="1"/>
  <c r="BF531" i="1"/>
  <c r="BG531" i="1" s="1"/>
  <c r="BF539" i="1"/>
  <c r="BG539" i="1" s="1"/>
  <c r="BF547" i="1"/>
  <c r="BG547" i="1" s="1"/>
  <c r="BF555" i="1"/>
  <c r="BG555" i="1" s="1"/>
  <c r="BF563" i="1"/>
  <c r="BG563" i="1" s="1"/>
  <c r="BF571" i="1"/>
  <c r="BG571" i="1" s="1"/>
  <c r="BF579" i="1"/>
  <c r="BG579" i="1" s="1"/>
  <c r="BF587" i="1"/>
  <c r="BG587" i="1" s="1"/>
  <c r="BF595" i="1"/>
  <c r="BG595" i="1" s="1"/>
  <c r="BF603" i="1"/>
  <c r="BG603" i="1" s="1"/>
  <c r="BF611" i="1"/>
  <c r="BG611" i="1" s="1"/>
  <c r="BF619" i="1"/>
  <c r="BG619" i="1" s="1"/>
  <c r="BF627" i="1"/>
  <c r="BG627" i="1" s="1"/>
  <c r="BF635" i="1"/>
  <c r="BG635" i="1" s="1"/>
  <c r="BF643" i="1"/>
  <c r="BG643" i="1" s="1"/>
  <c r="BF651" i="1"/>
  <c r="BG651" i="1" s="1"/>
  <c r="BF659" i="1"/>
  <c r="BG659" i="1" s="1"/>
  <c r="BF667" i="1"/>
  <c r="BG667" i="1" s="1"/>
  <c r="BF675" i="1"/>
  <c r="BG675" i="1" s="1"/>
  <c r="BF4" i="1"/>
  <c r="BG4" i="1" s="1"/>
  <c r="BF12" i="1"/>
  <c r="BG12" i="1" s="1"/>
  <c r="BF20" i="1"/>
  <c r="BG20" i="1" s="1"/>
  <c r="BF28" i="1"/>
  <c r="BG28" i="1" s="1"/>
  <c r="BF36" i="1"/>
  <c r="BG36" i="1" s="1"/>
  <c r="BF44" i="1"/>
  <c r="BG44" i="1" s="1"/>
  <c r="BF52" i="1"/>
  <c r="BG52" i="1" s="1"/>
  <c r="BF60" i="1"/>
  <c r="BG60" i="1" s="1"/>
  <c r="BF68" i="1"/>
  <c r="BG68" i="1" s="1"/>
  <c r="BF76" i="1"/>
  <c r="BG76" i="1" s="1"/>
  <c r="BF84" i="1"/>
  <c r="BG84" i="1" s="1"/>
  <c r="BF92" i="1"/>
  <c r="BG92" i="1" s="1"/>
  <c r="BF100" i="1"/>
  <c r="BG100" i="1" s="1"/>
  <c r="BF108" i="1"/>
  <c r="BG108" i="1" s="1"/>
  <c r="BF116" i="1"/>
  <c r="BG116" i="1" s="1"/>
  <c r="BF124" i="1"/>
  <c r="BG124" i="1" s="1"/>
  <c r="BF132" i="1"/>
  <c r="BG132" i="1" s="1"/>
  <c r="BF140" i="1"/>
  <c r="BG140" i="1" s="1"/>
  <c r="BF148" i="1"/>
  <c r="BG148" i="1" s="1"/>
  <c r="BF156" i="1"/>
  <c r="BG156" i="1" s="1"/>
  <c r="BF164" i="1"/>
  <c r="BG164" i="1" s="1"/>
  <c r="BF172" i="1"/>
  <c r="BG172" i="1" s="1"/>
  <c r="BF180" i="1"/>
  <c r="BG180" i="1" s="1"/>
  <c r="BF188" i="1"/>
  <c r="BG188" i="1" s="1"/>
  <c r="BF196" i="1"/>
  <c r="BG196" i="1" s="1"/>
  <c r="BF204" i="1"/>
  <c r="BG204" i="1" s="1"/>
  <c r="BF212" i="1"/>
  <c r="BG212" i="1" s="1"/>
  <c r="BF220" i="1"/>
  <c r="BG220" i="1" s="1"/>
  <c r="BF228" i="1"/>
  <c r="BG228" i="1" s="1"/>
  <c r="BF236" i="1"/>
  <c r="BG236" i="1" s="1"/>
  <c r="BF244" i="1"/>
  <c r="BG244" i="1" s="1"/>
  <c r="BF252" i="1"/>
  <c r="BG252" i="1" s="1"/>
  <c r="BF260" i="1"/>
  <c r="BG260" i="1" s="1"/>
  <c r="BF268" i="1"/>
  <c r="BG268" i="1" s="1"/>
  <c r="BF276" i="1"/>
  <c r="BG276" i="1" s="1"/>
  <c r="BF284" i="1"/>
  <c r="BG284" i="1" s="1"/>
  <c r="BF292" i="1"/>
  <c r="BG292" i="1" s="1"/>
  <c r="BF300" i="1"/>
  <c r="BG300" i="1" s="1"/>
  <c r="BF308" i="1"/>
  <c r="BG308" i="1" s="1"/>
  <c r="BF316" i="1"/>
  <c r="BG316" i="1" s="1"/>
  <c r="BF324" i="1"/>
  <c r="BG324" i="1" s="1"/>
  <c r="BF332" i="1"/>
  <c r="BG332" i="1" s="1"/>
  <c r="BF340" i="1"/>
  <c r="BG340" i="1" s="1"/>
  <c r="BF348" i="1"/>
  <c r="BG348" i="1" s="1"/>
  <c r="BF356" i="1"/>
  <c r="BG356" i="1" s="1"/>
  <c r="BF364" i="1"/>
  <c r="BG364" i="1" s="1"/>
  <c r="BF372" i="1"/>
  <c r="BG372" i="1" s="1"/>
  <c r="BF380" i="1"/>
  <c r="BG380" i="1" s="1"/>
  <c r="BF388" i="1"/>
  <c r="BG388" i="1" s="1"/>
  <c r="BF396" i="1"/>
  <c r="BG396" i="1" s="1"/>
  <c r="BF404" i="1"/>
  <c r="BG404" i="1" s="1"/>
  <c r="BF412" i="1"/>
  <c r="BG412" i="1" s="1"/>
  <c r="BF420" i="1"/>
  <c r="BG420" i="1" s="1"/>
  <c r="BF428" i="1"/>
  <c r="BG428" i="1" s="1"/>
  <c r="BF436" i="1"/>
  <c r="BG436" i="1" s="1"/>
  <c r="BF444" i="1"/>
  <c r="BG444" i="1" s="1"/>
  <c r="BF452" i="1"/>
  <c r="BG452" i="1" s="1"/>
  <c r="BF5" i="1"/>
  <c r="BG5" i="1" s="1"/>
  <c r="BF13" i="1"/>
  <c r="BG13" i="1" s="1"/>
  <c r="BF21" i="1"/>
  <c r="BG21" i="1" s="1"/>
  <c r="BF29" i="1"/>
  <c r="BG29" i="1" s="1"/>
  <c r="BF37" i="1"/>
  <c r="BG37" i="1" s="1"/>
  <c r="BF45" i="1"/>
  <c r="BG45" i="1" s="1"/>
  <c r="BF53" i="1"/>
  <c r="BG53" i="1" s="1"/>
  <c r="BF61" i="1"/>
  <c r="BG61" i="1" s="1"/>
  <c r="BF69" i="1"/>
  <c r="BG69" i="1" s="1"/>
  <c r="BF77" i="1"/>
  <c r="BG77" i="1" s="1"/>
  <c r="BF85" i="1"/>
  <c r="BG85" i="1" s="1"/>
  <c r="BF93" i="1"/>
  <c r="BG93" i="1" s="1"/>
  <c r="BF101" i="1"/>
  <c r="BG101" i="1" s="1"/>
  <c r="BF109" i="1"/>
  <c r="BG109" i="1" s="1"/>
  <c r="BF117" i="1"/>
  <c r="BG117" i="1" s="1"/>
  <c r="BF125" i="1"/>
  <c r="BG125" i="1" s="1"/>
  <c r="BF133" i="1"/>
  <c r="BG133" i="1" s="1"/>
  <c r="BF141" i="1"/>
  <c r="BG141" i="1" s="1"/>
  <c r="BF149" i="1"/>
  <c r="BG149" i="1" s="1"/>
  <c r="BF157" i="1"/>
  <c r="BG157" i="1" s="1"/>
  <c r="BF165" i="1"/>
  <c r="BG165" i="1" s="1"/>
  <c r="BF173" i="1"/>
  <c r="BG173" i="1" s="1"/>
  <c r="BF181" i="1"/>
  <c r="BF189" i="1"/>
  <c r="BG189" i="1" s="1"/>
  <c r="BF197" i="1"/>
  <c r="BG197" i="1" s="1"/>
  <c r="BF205" i="1"/>
  <c r="BG205" i="1" s="1"/>
  <c r="BF213" i="1"/>
  <c r="BG213" i="1" s="1"/>
  <c r="BF221" i="1"/>
  <c r="BG221" i="1" s="1"/>
  <c r="BF229" i="1"/>
  <c r="BG229" i="1" s="1"/>
  <c r="BF237" i="1"/>
  <c r="BG237" i="1" s="1"/>
  <c r="BF245" i="1"/>
  <c r="BG245" i="1" s="1"/>
  <c r="BF253" i="1"/>
  <c r="BG253" i="1" s="1"/>
  <c r="BF261" i="1"/>
  <c r="BG261" i="1" s="1"/>
  <c r="BF269" i="1"/>
  <c r="BG269" i="1" s="1"/>
  <c r="BF277" i="1"/>
  <c r="BG277" i="1" s="1"/>
  <c r="BF285" i="1"/>
  <c r="BG285" i="1" s="1"/>
  <c r="BF293" i="1"/>
  <c r="BG293" i="1" s="1"/>
  <c r="BF301" i="1"/>
  <c r="BG301" i="1" s="1"/>
  <c r="BF309" i="1"/>
  <c r="BG309" i="1" s="1"/>
  <c r="BF317" i="1"/>
  <c r="BG317" i="1" s="1"/>
  <c r="BF325" i="1"/>
  <c r="BG325" i="1" s="1"/>
  <c r="BF333" i="1"/>
  <c r="BG333" i="1" s="1"/>
  <c r="BF341" i="1"/>
  <c r="BG341" i="1" s="1"/>
  <c r="BF349" i="1"/>
  <c r="BG349" i="1" s="1"/>
  <c r="BF357" i="1"/>
  <c r="BG357" i="1" s="1"/>
  <c r="BF365" i="1"/>
  <c r="BG365" i="1" s="1"/>
  <c r="BF373" i="1"/>
  <c r="BG373" i="1" s="1"/>
  <c r="BF381" i="1"/>
  <c r="BG381" i="1" s="1"/>
  <c r="BF389" i="1"/>
  <c r="BG389" i="1" s="1"/>
  <c r="BF397" i="1"/>
  <c r="BG397" i="1" s="1"/>
  <c r="BF405" i="1"/>
  <c r="BG405" i="1" s="1"/>
  <c r="BF413" i="1"/>
  <c r="BG413" i="1" s="1"/>
  <c r="BF421" i="1"/>
  <c r="BG421" i="1" s="1"/>
  <c r="BF429" i="1"/>
  <c r="BG429" i="1" s="1"/>
  <c r="BF437" i="1"/>
  <c r="BG437" i="1" s="1"/>
  <c r="BF445" i="1"/>
  <c r="BG445" i="1" s="1"/>
  <c r="BF453" i="1"/>
  <c r="BG453" i="1" s="1"/>
  <c r="BF461" i="1"/>
  <c r="BG461" i="1" s="1"/>
  <c r="BF469" i="1"/>
  <c r="BG469" i="1" s="1"/>
  <c r="BF477" i="1"/>
  <c r="BG477" i="1" s="1"/>
  <c r="BF485" i="1"/>
  <c r="BG485" i="1" s="1"/>
  <c r="BF493" i="1"/>
  <c r="BG493" i="1" s="1"/>
  <c r="BF501" i="1"/>
  <c r="BG501" i="1" s="1"/>
  <c r="BF509" i="1"/>
  <c r="BG509" i="1" s="1"/>
  <c r="BF517" i="1"/>
  <c r="BG517" i="1" s="1"/>
  <c r="BF525" i="1"/>
  <c r="BG525" i="1" s="1"/>
  <c r="BF533" i="1"/>
  <c r="BG533" i="1" s="1"/>
  <c r="BF541" i="1"/>
  <c r="BG541" i="1" s="1"/>
  <c r="BF549" i="1"/>
  <c r="BG549" i="1" s="1"/>
  <c r="BF6" i="1"/>
  <c r="BG6" i="1" s="1"/>
  <c r="BF14" i="1"/>
  <c r="BG14" i="1" s="1"/>
  <c r="BF22" i="1"/>
  <c r="BG22" i="1" s="1"/>
  <c r="BF30" i="1"/>
  <c r="BG30" i="1" s="1"/>
  <c r="BF38" i="1"/>
  <c r="BG38" i="1" s="1"/>
  <c r="BF46" i="1"/>
  <c r="BG46" i="1" s="1"/>
  <c r="BF54" i="1"/>
  <c r="BG54" i="1" s="1"/>
  <c r="BF62" i="1"/>
  <c r="BG62" i="1" s="1"/>
  <c r="BF70" i="1"/>
  <c r="BG70" i="1" s="1"/>
  <c r="BF78" i="1"/>
  <c r="BG78" i="1" s="1"/>
  <c r="BF86" i="1"/>
  <c r="BG86" i="1" s="1"/>
  <c r="BF94" i="1"/>
  <c r="BG94" i="1" s="1"/>
  <c r="BF102" i="1"/>
  <c r="BG102" i="1" s="1"/>
  <c r="BF110" i="1"/>
  <c r="BG110" i="1" s="1"/>
  <c r="BF118" i="1"/>
  <c r="BG118" i="1" s="1"/>
  <c r="BF126" i="1"/>
  <c r="BG126" i="1" s="1"/>
  <c r="BF134" i="1"/>
  <c r="BG134" i="1" s="1"/>
  <c r="BF142" i="1"/>
  <c r="BG142" i="1" s="1"/>
  <c r="BF150" i="1"/>
  <c r="BG150" i="1" s="1"/>
  <c r="BF158" i="1"/>
  <c r="BG158" i="1" s="1"/>
  <c r="BF166" i="1"/>
  <c r="BG166" i="1" s="1"/>
  <c r="BF174" i="1"/>
  <c r="BG174" i="1" s="1"/>
  <c r="BF182" i="1"/>
  <c r="BG182" i="1" s="1"/>
  <c r="BF190" i="1"/>
  <c r="BG190" i="1" s="1"/>
  <c r="BF198" i="1"/>
  <c r="BG198" i="1" s="1"/>
  <c r="BF206" i="1"/>
  <c r="BG206" i="1" s="1"/>
  <c r="BF214" i="1"/>
  <c r="BG214" i="1" s="1"/>
  <c r="BF222" i="1"/>
  <c r="BG222" i="1" s="1"/>
  <c r="BF230" i="1"/>
  <c r="BG230" i="1" s="1"/>
  <c r="BF238" i="1"/>
  <c r="BG238" i="1" s="1"/>
  <c r="BF246" i="1"/>
  <c r="BG246" i="1" s="1"/>
  <c r="BF254" i="1"/>
  <c r="BG254" i="1" s="1"/>
  <c r="BF7" i="1"/>
  <c r="BG7" i="1" s="1"/>
  <c r="BF15" i="1"/>
  <c r="BG15" i="1" s="1"/>
  <c r="BF23" i="1"/>
  <c r="BG23" i="1" s="1"/>
  <c r="BF31" i="1"/>
  <c r="BG31" i="1" s="1"/>
  <c r="BF39" i="1"/>
  <c r="BG39" i="1" s="1"/>
  <c r="BF47" i="1"/>
  <c r="BG47" i="1" s="1"/>
  <c r="BF55" i="1"/>
  <c r="BG55" i="1" s="1"/>
  <c r="BF63" i="1"/>
  <c r="BG63" i="1" s="1"/>
  <c r="BF71" i="1"/>
  <c r="BG71" i="1" s="1"/>
  <c r="BF79" i="1"/>
  <c r="BG79" i="1" s="1"/>
  <c r="BF87" i="1"/>
  <c r="BG87" i="1" s="1"/>
  <c r="BF95" i="1"/>
  <c r="BG95" i="1" s="1"/>
  <c r="BF103" i="1"/>
  <c r="BG103" i="1" s="1"/>
  <c r="BF111" i="1"/>
  <c r="BG111" i="1" s="1"/>
  <c r="BF119" i="1"/>
  <c r="BG119" i="1" s="1"/>
  <c r="BF127" i="1"/>
  <c r="BG127" i="1" s="1"/>
  <c r="BF135" i="1"/>
  <c r="BG135" i="1" s="1"/>
  <c r="BF143" i="1"/>
  <c r="BG143" i="1" s="1"/>
  <c r="BF151" i="1"/>
  <c r="BG151" i="1" s="1"/>
  <c r="BF159" i="1"/>
  <c r="BG159" i="1" s="1"/>
  <c r="BF167" i="1"/>
  <c r="BG167" i="1" s="1"/>
  <c r="BF175" i="1"/>
  <c r="BG175" i="1" s="1"/>
  <c r="BF183" i="1"/>
  <c r="BG183" i="1" s="1"/>
  <c r="BF191" i="1"/>
  <c r="BG191" i="1" s="1"/>
  <c r="BF8" i="1"/>
  <c r="BG8" i="1" s="1"/>
  <c r="BF16" i="1"/>
  <c r="BG16" i="1" s="1"/>
  <c r="BF24" i="1"/>
  <c r="BG24" i="1" s="1"/>
  <c r="BF32" i="1"/>
  <c r="BG32" i="1" s="1"/>
  <c r="BF40" i="1"/>
  <c r="BG40" i="1" s="1"/>
  <c r="BF48" i="1"/>
  <c r="BG48" i="1" s="1"/>
  <c r="BF56" i="1"/>
  <c r="BG56" i="1" s="1"/>
  <c r="BF64" i="1"/>
  <c r="BG64" i="1" s="1"/>
  <c r="BF72" i="1"/>
  <c r="BG72" i="1" s="1"/>
  <c r="BF80" i="1"/>
  <c r="BG80" i="1" s="1"/>
  <c r="BF88" i="1"/>
  <c r="BG88" i="1" s="1"/>
  <c r="BF96" i="1"/>
  <c r="BG96" i="1" s="1"/>
  <c r="BF104" i="1"/>
  <c r="BG104" i="1" s="1"/>
  <c r="BF112" i="1"/>
  <c r="BG112" i="1" s="1"/>
  <c r="BF120" i="1"/>
  <c r="BG120" i="1" s="1"/>
  <c r="BF128" i="1"/>
  <c r="BG128" i="1" s="1"/>
  <c r="BF136" i="1"/>
  <c r="BG136" i="1" s="1"/>
  <c r="BF144" i="1"/>
  <c r="BG144" i="1" s="1"/>
  <c r="BF152" i="1"/>
  <c r="BG152" i="1" s="1"/>
  <c r="BF160" i="1"/>
  <c r="BG160" i="1" s="1"/>
  <c r="BF10" i="1"/>
  <c r="BG10" i="1" s="1"/>
  <c r="BF18" i="1"/>
  <c r="BG18" i="1" s="1"/>
  <c r="BF26" i="1"/>
  <c r="BG26" i="1" s="1"/>
  <c r="BF34" i="1"/>
  <c r="BG34" i="1" s="1"/>
  <c r="BF42" i="1"/>
  <c r="BG42" i="1" s="1"/>
  <c r="BF50" i="1"/>
  <c r="BG50" i="1" s="1"/>
  <c r="BF58" i="1"/>
  <c r="BG58" i="1" s="1"/>
  <c r="BF66" i="1"/>
  <c r="BG66" i="1" s="1"/>
  <c r="BF74" i="1"/>
  <c r="BG74" i="1" s="1"/>
  <c r="BF82" i="1"/>
  <c r="BG82" i="1" s="1"/>
  <c r="BF90" i="1"/>
  <c r="BG90" i="1" s="1"/>
  <c r="BF98" i="1"/>
  <c r="BG98" i="1" s="1"/>
  <c r="BF106" i="1"/>
  <c r="BG106" i="1" s="1"/>
  <c r="BF114" i="1"/>
  <c r="BG114" i="1" s="1"/>
  <c r="BF122" i="1"/>
  <c r="BG122" i="1" s="1"/>
  <c r="BF130" i="1"/>
  <c r="BG130" i="1" s="1"/>
  <c r="BF138" i="1"/>
  <c r="BG138" i="1" s="1"/>
  <c r="BF146" i="1"/>
  <c r="BG146" i="1" s="1"/>
  <c r="BF154" i="1"/>
  <c r="BG154" i="1" s="1"/>
  <c r="BF162" i="1"/>
  <c r="BG162" i="1" s="1"/>
  <c r="BF170" i="1"/>
  <c r="BG170" i="1" s="1"/>
  <c r="BF178" i="1"/>
  <c r="BG178" i="1" s="1"/>
  <c r="BF186" i="1"/>
  <c r="BG186" i="1" s="1"/>
  <c r="BF194" i="1"/>
  <c r="BG194" i="1" s="1"/>
  <c r="BF202" i="1"/>
  <c r="BG202" i="1" s="1"/>
  <c r="BF210" i="1"/>
  <c r="BG210" i="1" s="1"/>
  <c r="BF218" i="1"/>
  <c r="BG218" i="1" s="1"/>
  <c r="BF226" i="1"/>
  <c r="BG226" i="1" s="1"/>
  <c r="BF234" i="1"/>
  <c r="BG234" i="1" s="1"/>
  <c r="BF242" i="1"/>
  <c r="BG242" i="1" s="1"/>
  <c r="BF250" i="1"/>
  <c r="BG250" i="1" s="1"/>
  <c r="BF258" i="1"/>
  <c r="BG258" i="1" s="1"/>
  <c r="BF266" i="1"/>
  <c r="BG266" i="1" s="1"/>
  <c r="BF274" i="1"/>
  <c r="BG274" i="1" s="1"/>
  <c r="BF282" i="1"/>
  <c r="BG282" i="1" s="1"/>
  <c r="BF290" i="1"/>
  <c r="BG290" i="1" s="1"/>
  <c r="BF298" i="1"/>
  <c r="BG298" i="1" s="1"/>
  <c r="BF9" i="1"/>
  <c r="BG9" i="1" s="1"/>
  <c r="BF73" i="1"/>
  <c r="BG73" i="1" s="1"/>
  <c r="BF137" i="1"/>
  <c r="BG137" i="1" s="1"/>
  <c r="BF184" i="1"/>
  <c r="B184" i="58" s="1"/>
  <c r="BF208" i="1"/>
  <c r="BG208" i="1" s="1"/>
  <c r="BF231" i="1"/>
  <c r="BG231" i="1" s="1"/>
  <c r="BF249" i="1"/>
  <c r="BG249" i="1" s="1"/>
  <c r="BF270" i="1"/>
  <c r="BG270" i="1" s="1"/>
  <c r="BF286" i="1"/>
  <c r="BG286" i="1" s="1"/>
  <c r="BF302" i="1"/>
  <c r="BG302" i="1" s="1"/>
  <c r="BF313" i="1"/>
  <c r="BG313" i="1" s="1"/>
  <c r="BF327" i="1"/>
  <c r="BG327" i="1" s="1"/>
  <c r="BF338" i="1"/>
  <c r="BG338" i="1" s="1"/>
  <c r="BF352" i="1"/>
  <c r="BG352" i="1" s="1"/>
  <c r="BF366" i="1"/>
  <c r="BG366" i="1" s="1"/>
  <c r="BF377" i="1"/>
  <c r="BG377" i="1" s="1"/>
  <c r="BF391" i="1"/>
  <c r="BG391" i="1" s="1"/>
  <c r="BF402" i="1"/>
  <c r="BG402" i="1" s="1"/>
  <c r="BF416" i="1"/>
  <c r="BG416" i="1" s="1"/>
  <c r="BF430" i="1"/>
  <c r="BG430" i="1" s="1"/>
  <c r="BF441" i="1"/>
  <c r="BG441" i="1" s="1"/>
  <c r="BF455" i="1"/>
  <c r="BG455" i="1" s="1"/>
  <c r="BF465" i="1"/>
  <c r="BG465" i="1" s="1"/>
  <c r="BF476" i="1"/>
  <c r="BG476" i="1" s="1"/>
  <c r="BF487" i="1"/>
  <c r="BG487" i="1" s="1"/>
  <c r="BF497" i="1"/>
  <c r="BG497" i="1" s="1"/>
  <c r="BF508" i="1"/>
  <c r="BG508" i="1" s="1"/>
  <c r="BF519" i="1"/>
  <c r="BG519" i="1" s="1"/>
  <c r="BF529" i="1"/>
  <c r="BG529" i="1" s="1"/>
  <c r="BF540" i="1"/>
  <c r="BG540" i="1" s="1"/>
  <c r="BF551" i="1"/>
  <c r="BG551" i="1" s="1"/>
  <c r="BF560" i="1"/>
  <c r="BG560" i="1" s="1"/>
  <c r="BF569" i="1"/>
  <c r="BG569" i="1" s="1"/>
  <c r="BF578" i="1"/>
  <c r="BG578" i="1" s="1"/>
  <c r="BF588" i="1"/>
  <c r="BG588" i="1" s="1"/>
  <c r="BF597" i="1"/>
  <c r="BG597" i="1" s="1"/>
  <c r="BF606" i="1"/>
  <c r="BG606" i="1" s="1"/>
  <c r="BF615" i="1"/>
  <c r="BG615" i="1" s="1"/>
  <c r="BF624" i="1"/>
  <c r="BG624" i="1" s="1"/>
  <c r="BF633" i="1"/>
  <c r="BG633" i="1" s="1"/>
  <c r="BF642" i="1"/>
  <c r="BG642" i="1" s="1"/>
  <c r="BF652" i="1"/>
  <c r="BG652" i="1" s="1"/>
  <c r="BF661" i="1"/>
  <c r="BG661" i="1" s="1"/>
  <c r="BF670" i="1"/>
  <c r="BG670" i="1" s="1"/>
  <c r="BF679" i="1"/>
  <c r="BG679" i="1" s="1"/>
  <c r="BF687" i="1"/>
  <c r="BG687" i="1" s="1"/>
  <c r="BF695" i="1"/>
  <c r="BG695" i="1" s="1"/>
  <c r="BF703" i="1"/>
  <c r="BG703" i="1" s="1"/>
  <c r="BF711" i="1"/>
  <c r="BG711" i="1" s="1"/>
  <c r="BF719" i="1"/>
  <c r="BG719" i="1" s="1"/>
  <c r="BF727" i="1"/>
  <c r="BG727" i="1" s="1"/>
  <c r="BF735" i="1"/>
  <c r="BG735" i="1" s="1"/>
  <c r="BF743" i="1"/>
  <c r="BG743" i="1" s="1"/>
  <c r="BF751" i="1"/>
  <c r="BG751" i="1" s="1"/>
  <c r="BF759" i="1"/>
  <c r="BG759" i="1" s="1"/>
  <c r="BF767" i="1"/>
  <c r="BG767" i="1" s="1"/>
  <c r="BF775" i="1"/>
  <c r="BG775" i="1" s="1"/>
  <c r="BF783" i="1"/>
  <c r="BG783" i="1" s="1"/>
  <c r="BF791" i="1"/>
  <c r="BG791" i="1" s="1"/>
  <c r="BF799" i="1"/>
  <c r="BG799" i="1" s="1"/>
  <c r="BF807" i="1"/>
  <c r="BG807" i="1" s="1"/>
  <c r="BF815" i="1"/>
  <c r="BG815" i="1" s="1"/>
  <c r="BF823" i="1"/>
  <c r="BG823" i="1" s="1"/>
  <c r="BF831" i="1"/>
  <c r="BG831" i="1" s="1"/>
  <c r="BF839" i="1"/>
  <c r="BG839" i="1" s="1"/>
  <c r="BF847" i="1"/>
  <c r="BG847" i="1" s="1"/>
  <c r="BF855" i="1"/>
  <c r="BG855" i="1" s="1"/>
  <c r="BF863" i="1"/>
  <c r="BG863" i="1" s="1"/>
  <c r="BF871" i="1"/>
  <c r="BG871" i="1" s="1"/>
  <c r="BF879" i="1"/>
  <c r="BG879" i="1" s="1"/>
  <c r="BF887" i="1"/>
  <c r="BG887" i="1" s="1"/>
  <c r="BF895" i="1"/>
  <c r="BG895" i="1" s="1"/>
  <c r="BF903" i="1"/>
  <c r="BG903" i="1" s="1"/>
  <c r="BF911" i="1"/>
  <c r="BG911" i="1" s="1"/>
  <c r="BF919" i="1"/>
  <c r="BG919" i="1" s="1"/>
  <c r="BF927" i="1"/>
  <c r="BG927" i="1" s="1"/>
  <c r="BF935" i="1"/>
  <c r="BG935" i="1" s="1"/>
  <c r="BF943" i="1"/>
  <c r="BG943" i="1" s="1"/>
  <c r="BF951" i="1"/>
  <c r="BG951" i="1" s="1"/>
  <c r="BF959" i="1"/>
  <c r="BG959" i="1" s="1"/>
  <c r="BF967" i="1"/>
  <c r="BG967" i="1" s="1"/>
  <c r="BF975" i="1"/>
  <c r="BG975" i="1" s="1"/>
  <c r="BF983" i="1"/>
  <c r="BG983" i="1" s="1"/>
  <c r="BF991" i="1"/>
  <c r="BG991" i="1" s="1"/>
  <c r="BF999" i="1"/>
  <c r="BG999" i="1" s="1"/>
  <c r="BF1007" i="1"/>
  <c r="BG1007" i="1" s="1"/>
  <c r="BF1015" i="1"/>
  <c r="BG1015" i="1" s="1"/>
  <c r="BF1023" i="1"/>
  <c r="BG1023" i="1" s="1"/>
  <c r="BF1031" i="1"/>
  <c r="BG1031" i="1" s="1"/>
  <c r="BF1039" i="1"/>
  <c r="BG1039" i="1" s="1"/>
  <c r="BF1047" i="1"/>
  <c r="BG1047" i="1" s="1"/>
  <c r="BF1055" i="1"/>
  <c r="BG1055" i="1" s="1"/>
  <c r="BF1063" i="1"/>
  <c r="BG1063" i="1" s="1"/>
  <c r="BF1071" i="1"/>
  <c r="BG1071" i="1" s="1"/>
  <c r="BF1079" i="1"/>
  <c r="BG1079" i="1" s="1"/>
  <c r="BF1087" i="1"/>
  <c r="BG1087" i="1" s="1"/>
  <c r="BF1095" i="1"/>
  <c r="BG1095" i="1" s="1"/>
  <c r="BF1103" i="1"/>
  <c r="BG1103" i="1" s="1"/>
  <c r="BF17" i="1"/>
  <c r="BG17" i="1" s="1"/>
  <c r="BF81" i="1"/>
  <c r="BG81" i="1" s="1"/>
  <c r="BF145" i="1"/>
  <c r="BG145" i="1" s="1"/>
  <c r="BF185" i="1"/>
  <c r="BG185" i="1" s="1"/>
  <c r="BF209" i="1"/>
  <c r="BG209" i="1" s="1"/>
  <c r="BF232" i="1"/>
  <c r="BG232" i="1" s="1"/>
  <c r="BF255" i="1"/>
  <c r="BG255" i="1" s="1"/>
  <c r="BF271" i="1"/>
  <c r="BG271" i="1" s="1"/>
  <c r="BF287" i="1"/>
  <c r="BG287" i="1" s="1"/>
  <c r="BF303" i="1"/>
  <c r="BG303" i="1" s="1"/>
  <c r="BF314" i="1"/>
  <c r="BG314" i="1" s="1"/>
  <c r="BF328" i="1"/>
  <c r="BG328" i="1" s="1"/>
  <c r="BF342" i="1"/>
  <c r="BG342" i="1" s="1"/>
  <c r="BF353" i="1"/>
  <c r="BG353" i="1" s="1"/>
  <c r="BF367" i="1"/>
  <c r="BG367" i="1" s="1"/>
  <c r="BF378" i="1"/>
  <c r="BG378" i="1" s="1"/>
  <c r="BF392" i="1"/>
  <c r="BG392" i="1" s="1"/>
  <c r="BF406" i="1"/>
  <c r="BG406" i="1" s="1"/>
  <c r="BF417" i="1"/>
  <c r="BG417" i="1" s="1"/>
  <c r="BF431" i="1"/>
  <c r="BG431" i="1" s="1"/>
  <c r="BF442" i="1"/>
  <c r="BG442" i="1" s="1"/>
  <c r="BF456" i="1"/>
  <c r="BG456" i="1" s="1"/>
  <c r="BF466" i="1"/>
  <c r="BG466" i="1" s="1"/>
  <c r="BF478" i="1"/>
  <c r="BG478" i="1" s="1"/>
  <c r="BF488" i="1"/>
  <c r="BG488" i="1" s="1"/>
  <c r="BF498" i="1"/>
  <c r="BG498" i="1" s="1"/>
  <c r="BF510" i="1"/>
  <c r="BG510" i="1" s="1"/>
  <c r="BF520" i="1"/>
  <c r="BG520" i="1" s="1"/>
  <c r="BF530" i="1"/>
  <c r="BG530" i="1" s="1"/>
  <c r="BF542" i="1"/>
  <c r="BG542" i="1" s="1"/>
  <c r="BF552" i="1"/>
  <c r="BG552" i="1" s="1"/>
  <c r="BF561" i="1"/>
  <c r="BG561" i="1" s="1"/>
  <c r="BF570" i="1"/>
  <c r="BG570" i="1" s="1"/>
  <c r="BF580" i="1"/>
  <c r="BG580" i="1" s="1"/>
  <c r="BF589" i="1"/>
  <c r="BG589" i="1" s="1"/>
  <c r="BF598" i="1"/>
  <c r="BG598" i="1" s="1"/>
  <c r="BF607" i="1"/>
  <c r="BG607" i="1" s="1"/>
  <c r="BF616" i="1"/>
  <c r="BG616" i="1" s="1"/>
  <c r="BF625" i="1"/>
  <c r="BG625" i="1" s="1"/>
  <c r="BF634" i="1"/>
  <c r="BG634" i="1" s="1"/>
  <c r="BF644" i="1"/>
  <c r="BG644" i="1" s="1"/>
  <c r="BF653" i="1"/>
  <c r="BG653" i="1" s="1"/>
  <c r="BF662" i="1"/>
  <c r="BG662" i="1" s="1"/>
  <c r="BF671" i="1"/>
  <c r="BG671" i="1" s="1"/>
  <c r="BF680" i="1"/>
  <c r="BG680" i="1" s="1"/>
  <c r="BF688" i="1"/>
  <c r="BG688" i="1" s="1"/>
  <c r="BF696" i="1"/>
  <c r="BG696" i="1" s="1"/>
  <c r="BF704" i="1"/>
  <c r="BG704" i="1" s="1"/>
  <c r="BF712" i="1"/>
  <c r="BG712" i="1" s="1"/>
  <c r="BF720" i="1"/>
  <c r="BG720" i="1" s="1"/>
  <c r="BF728" i="1"/>
  <c r="BG728" i="1" s="1"/>
  <c r="BF736" i="1"/>
  <c r="BG736" i="1" s="1"/>
  <c r="BF744" i="1"/>
  <c r="BG744" i="1" s="1"/>
  <c r="BF752" i="1"/>
  <c r="BG752" i="1" s="1"/>
  <c r="BF760" i="1"/>
  <c r="BG760" i="1" s="1"/>
  <c r="BF768" i="1"/>
  <c r="BG768" i="1" s="1"/>
  <c r="BF776" i="1"/>
  <c r="BG776" i="1" s="1"/>
  <c r="BF784" i="1"/>
  <c r="BG784" i="1" s="1"/>
  <c r="BF792" i="1"/>
  <c r="BG792" i="1" s="1"/>
  <c r="BF800" i="1"/>
  <c r="BG800" i="1" s="1"/>
  <c r="BF808" i="1"/>
  <c r="BG808" i="1" s="1"/>
  <c r="BF816" i="1"/>
  <c r="BG816" i="1" s="1"/>
  <c r="BF824" i="1"/>
  <c r="BG824" i="1" s="1"/>
  <c r="BF832" i="1"/>
  <c r="BG832" i="1" s="1"/>
  <c r="BF840" i="1"/>
  <c r="BG840" i="1" s="1"/>
  <c r="BF25" i="1"/>
  <c r="BG25" i="1" s="1"/>
  <c r="BF89" i="1"/>
  <c r="BG89" i="1" s="1"/>
  <c r="BF153" i="1"/>
  <c r="BG153" i="1" s="1"/>
  <c r="BF192" i="1"/>
  <c r="BG192" i="1" s="1"/>
  <c r="BF215" i="1"/>
  <c r="BG215" i="1" s="1"/>
  <c r="BF233" i="1"/>
  <c r="BG233" i="1" s="1"/>
  <c r="BF256" i="1"/>
  <c r="BG256" i="1" s="1"/>
  <c r="BF272" i="1"/>
  <c r="BG272" i="1" s="1"/>
  <c r="BF288" i="1"/>
  <c r="BG288" i="1" s="1"/>
  <c r="BF304" i="1"/>
  <c r="BG304" i="1" s="1"/>
  <c r="BF318" i="1"/>
  <c r="BG318" i="1" s="1"/>
  <c r="BF329" i="1"/>
  <c r="BG329" i="1" s="1"/>
  <c r="BF343" i="1"/>
  <c r="BG343" i="1" s="1"/>
  <c r="BF354" i="1"/>
  <c r="BG354" i="1" s="1"/>
  <c r="BF368" i="1"/>
  <c r="BG368" i="1" s="1"/>
  <c r="BF382" i="1"/>
  <c r="BG382" i="1" s="1"/>
  <c r="BF393" i="1"/>
  <c r="BG393" i="1" s="1"/>
  <c r="BF407" i="1"/>
  <c r="BG407" i="1" s="1"/>
  <c r="BF418" i="1"/>
  <c r="BG418" i="1" s="1"/>
  <c r="BF432" i="1"/>
  <c r="BG432" i="1" s="1"/>
  <c r="BF446" i="1"/>
  <c r="BG446" i="1" s="1"/>
  <c r="BF457" i="1"/>
  <c r="BG457" i="1" s="1"/>
  <c r="BF468" i="1"/>
  <c r="BG468" i="1" s="1"/>
  <c r="BF479" i="1"/>
  <c r="BG479" i="1" s="1"/>
  <c r="BF489" i="1"/>
  <c r="BG489" i="1" s="1"/>
  <c r="BF500" i="1"/>
  <c r="BG500" i="1" s="1"/>
  <c r="BF511" i="1"/>
  <c r="BG511" i="1" s="1"/>
  <c r="BF521" i="1"/>
  <c r="BG521" i="1" s="1"/>
  <c r="BF532" i="1"/>
  <c r="BG532" i="1" s="1"/>
  <c r="BF543" i="1"/>
  <c r="BG543" i="1" s="1"/>
  <c r="BF553" i="1"/>
  <c r="BG553" i="1" s="1"/>
  <c r="BF562" i="1"/>
  <c r="BG562" i="1" s="1"/>
  <c r="BF572" i="1"/>
  <c r="BG572" i="1" s="1"/>
  <c r="BF581" i="1"/>
  <c r="BG581" i="1" s="1"/>
  <c r="BF590" i="1"/>
  <c r="BG590" i="1" s="1"/>
  <c r="BF599" i="1"/>
  <c r="BG599" i="1" s="1"/>
  <c r="BF608" i="1"/>
  <c r="BG608" i="1" s="1"/>
  <c r="BF617" i="1"/>
  <c r="BG617" i="1" s="1"/>
  <c r="BF626" i="1"/>
  <c r="BG626" i="1" s="1"/>
  <c r="BF636" i="1"/>
  <c r="BG636" i="1" s="1"/>
  <c r="BF645" i="1"/>
  <c r="BG645" i="1" s="1"/>
  <c r="BF654" i="1"/>
  <c r="BG654" i="1" s="1"/>
  <c r="BF663" i="1"/>
  <c r="BG663" i="1" s="1"/>
  <c r="BF672" i="1"/>
  <c r="BG672" i="1" s="1"/>
  <c r="BF681" i="1"/>
  <c r="BG681" i="1" s="1"/>
  <c r="BF689" i="1"/>
  <c r="BG689" i="1" s="1"/>
  <c r="BF697" i="1"/>
  <c r="BG697" i="1" s="1"/>
  <c r="BF705" i="1"/>
  <c r="BG705" i="1" s="1"/>
  <c r="BF713" i="1"/>
  <c r="BG713" i="1" s="1"/>
  <c r="BF721" i="1"/>
  <c r="BG721" i="1" s="1"/>
  <c r="BF729" i="1"/>
  <c r="BG729" i="1" s="1"/>
  <c r="BF737" i="1"/>
  <c r="BG737" i="1" s="1"/>
  <c r="BF745" i="1"/>
  <c r="BG745" i="1" s="1"/>
  <c r="BF753" i="1"/>
  <c r="BG753" i="1" s="1"/>
  <c r="BF761" i="1"/>
  <c r="BG761" i="1" s="1"/>
  <c r="BF769" i="1"/>
  <c r="BG769" i="1" s="1"/>
  <c r="BF777" i="1"/>
  <c r="BG777" i="1" s="1"/>
  <c r="BF785" i="1"/>
  <c r="BG785" i="1" s="1"/>
  <c r="BF793" i="1"/>
  <c r="BG793" i="1" s="1"/>
  <c r="BF801" i="1"/>
  <c r="BG801" i="1" s="1"/>
  <c r="BF809" i="1"/>
  <c r="BG809" i="1" s="1"/>
  <c r="BF817" i="1"/>
  <c r="BG817" i="1" s="1"/>
  <c r="BF825" i="1"/>
  <c r="BG825" i="1" s="1"/>
  <c r="BF833" i="1"/>
  <c r="BG833" i="1" s="1"/>
  <c r="BF841" i="1"/>
  <c r="BG841" i="1" s="1"/>
  <c r="BF849" i="1"/>
  <c r="BG849" i="1" s="1"/>
  <c r="BF857" i="1"/>
  <c r="BG857" i="1" s="1"/>
  <c r="BF865" i="1"/>
  <c r="BG865" i="1" s="1"/>
  <c r="BF873" i="1"/>
  <c r="BG873" i="1" s="1"/>
  <c r="BF881" i="1"/>
  <c r="BG881" i="1" s="1"/>
  <c r="BF889" i="1"/>
  <c r="BG889" i="1" s="1"/>
  <c r="BF897" i="1"/>
  <c r="BG897" i="1" s="1"/>
  <c r="BF905" i="1"/>
  <c r="BG905" i="1" s="1"/>
  <c r="BF913" i="1"/>
  <c r="BG913" i="1" s="1"/>
  <c r="BF921" i="1"/>
  <c r="BG921" i="1" s="1"/>
  <c r="BF929" i="1"/>
  <c r="BG929" i="1" s="1"/>
  <c r="BF937" i="1"/>
  <c r="BG937" i="1" s="1"/>
  <c r="BF945" i="1"/>
  <c r="BG945" i="1" s="1"/>
  <c r="BF953" i="1"/>
  <c r="BG953" i="1" s="1"/>
  <c r="BF961" i="1"/>
  <c r="BG961" i="1" s="1"/>
  <c r="BF969" i="1"/>
  <c r="BG969" i="1" s="1"/>
  <c r="BF977" i="1"/>
  <c r="BG977" i="1" s="1"/>
  <c r="BF985" i="1"/>
  <c r="BG985" i="1" s="1"/>
  <c r="BF993" i="1"/>
  <c r="BG993" i="1" s="1"/>
  <c r="BF1001" i="1"/>
  <c r="BG1001" i="1" s="1"/>
  <c r="BF33" i="1"/>
  <c r="BG33" i="1" s="1"/>
  <c r="BF97" i="1"/>
  <c r="BG97" i="1" s="1"/>
  <c r="BF161" i="1"/>
  <c r="BG161" i="1" s="1"/>
  <c r="BF193" i="1"/>
  <c r="BG193" i="1" s="1"/>
  <c r="BF216" i="1"/>
  <c r="BG216" i="1" s="1"/>
  <c r="BF239" i="1"/>
  <c r="BG239" i="1" s="1"/>
  <c r="BF257" i="1"/>
  <c r="BG257" i="1" s="1"/>
  <c r="BF273" i="1"/>
  <c r="BG273" i="1" s="1"/>
  <c r="BF289" i="1"/>
  <c r="BG289" i="1" s="1"/>
  <c r="BF305" i="1"/>
  <c r="BG305" i="1" s="1"/>
  <c r="BF319" i="1"/>
  <c r="BG319" i="1" s="1"/>
  <c r="BF330" i="1"/>
  <c r="BG330" i="1" s="1"/>
  <c r="BF344" i="1"/>
  <c r="BG344" i="1" s="1"/>
  <c r="BF358" i="1"/>
  <c r="BG358" i="1" s="1"/>
  <c r="BF369" i="1"/>
  <c r="BG369" i="1" s="1"/>
  <c r="BF383" i="1"/>
  <c r="BG383" i="1" s="1"/>
  <c r="BF394" i="1"/>
  <c r="BG394" i="1" s="1"/>
  <c r="BF408" i="1"/>
  <c r="BG408" i="1" s="1"/>
  <c r="BF422" i="1"/>
  <c r="BG422" i="1" s="1"/>
  <c r="BF433" i="1"/>
  <c r="BG433" i="1" s="1"/>
  <c r="BF447" i="1"/>
  <c r="BG447" i="1" s="1"/>
  <c r="BF458" i="1"/>
  <c r="BG458" i="1" s="1"/>
  <c r="BF470" i="1"/>
  <c r="BG470" i="1" s="1"/>
  <c r="BF480" i="1"/>
  <c r="BG480" i="1" s="1"/>
  <c r="BF490" i="1"/>
  <c r="BG490" i="1" s="1"/>
  <c r="BF502" i="1"/>
  <c r="BG502" i="1" s="1"/>
  <c r="BF512" i="1"/>
  <c r="BG512" i="1" s="1"/>
  <c r="BF522" i="1"/>
  <c r="BG522" i="1" s="1"/>
  <c r="BF534" i="1"/>
  <c r="BG534" i="1" s="1"/>
  <c r="BF544" i="1"/>
  <c r="BG544" i="1" s="1"/>
  <c r="BF554" i="1"/>
  <c r="BG554" i="1" s="1"/>
  <c r="BF564" i="1"/>
  <c r="BG564" i="1" s="1"/>
  <c r="BF41" i="1"/>
  <c r="BG41" i="1" s="1"/>
  <c r="BF105" i="1"/>
  <c r="BG105" i="1" s="1"/>
  <c r="BF168" i="1"/>
  <c r="BG168" i="1" s="1"/>
  <c r="BF199" i="1"/>
  <c r="BG199" i="1" s="1"/>
  <c r="BF217" i="1"/>
  <c r="BG217" i="1" s="1"/>
  <c r="BF240" i="1"/>
  <c r="BG240" i="1" s="1"/>
  <c r="BF262" i="1"/>
  <c r="BG262" i="1" s="1"/>
  <c r="BF278" i="1"/>
  <c r="BG278" i="1" s="1"/>
  <c r="BF294" i="1"/>
  <c r="BG294" i="1" s="1"/>
  <c r="BF306" i="1"/>
  <c r="BG306" i="1" s="1"/>
  <c r="BF320" i="1"/>
  <c r="BG320" i="1" s="1"/>
  <c r="BF334" i="1"/>
  <c r="BG334" i="1" s="1"/>
  <c r="BF345" i="1"/>
  <c r="BG345" i="1" s="1"/>
  <c r="BF359" i="1"/>
  <c r="BG359" i="1" s="1"/>
  <c r="BF370" i="1"/>
  <c r="BG370" i="1" s="1"/>
  <c r="BF384" i="1"/>
  <c r="BG384" i="1" s="1"/>
  <c r="BF398" i="1"/>
  <c r="BG398" i="1" s="1"/>
  <c r="BF409" i="1"/>
  <c r="BG409" i="1" s="1"/>
  <c r="BF423" i="1"/>
  <c r="BG423" i="1" s="1"/>
  <c r="BF434" i="1"/>
  <c r="BG434" i="1" s="1"/>
  <c r="BF448" i="1"/>
  <c r="BG448" i="1" s="1"/>
  <c r="BF460" i="1"/>
  <c r="BG460" i="1" s="1"/>
  <c r="BF471" i="1"/>
  <c r="BG471" i="1" s="1"/>
  <c r="BF481" i="1"/>
  <c r="BG481" i="1" s="1"/>
  <c r="BF492" i="1"/>
  <c r="BG492" i="1" s="1"/>
  <c r="BF503" i="1"/>
  <c r="BG503" i="1" s="1"/>
  <c r="BF513" i="1"/>
  <c r="BG513" i="1" s="1"/>
  <c r="BF524" i="1"/>
  <c r="BG524" i="1" s="1"/>
  <c r="BF535" i="1"/>
  <c r="BG535" i="1" s="1"/>
  <c r="BF545" i="1"/>
  <c r="BG545" i="1" s="1"/>
  <c r="BF556" i="1"/>
  <c r="BG556" i="1" s="1"/>
  <c r="BF565" i="1"/>
  <c r="BG565" i="1" s="1"/>
  <c r="BF574" i="1"/>
  <c r="BG574" i="1" s="1"/>
  <c r="BF583" i="1"/>
  <c r="BG583" i="1" s="1"/>
  <c r="BF49" i="1"/>
  <c r="BG49" i="1" s="1"/>
  <c r="BF113" i="1"/>
  <c r="BG113" i="1" s="1"/>
  <c r="BF169" i="1"/>
  <c r="BG169" i="1" s="1"/>
  <c r="BF200" i="1"/>
  <c r="BG200" i="1" s="1"/>
  <c r="BF223" i="1"/>
  <c r="BG223" i="1" s="1"/>
  <c r="BF241" i="1"/>
  <c r="BG241" i="1" s="1"/>
  <c r="BF263" i="1"/>
  <c r="BG263" i="1" s="1"/>
  <c r="BF279" i="1"/>
  <c r="BG279" i="1" s="1"/>
  <c r="BF295" i="1"/>
  <c r="BG295" i="1" s="1"/>
  <c r="BF310" i="1"/>
  <c r="BG310" i="1" s="1"/>
  <c r="BF321" i="1"/>
  <c r="BG321" i="1" s="1"/>
  <c r="BF335" i="1"/>
  <c r="BG335" i="1" s="1"/>
  <c r="BF346" i="1"/>
  <c r="BG346" i="1" s="1"/>
  <c r="BF360" i="1"/>
  <c r="BG360" i="1" s="1"/>
  <c r="BF374" i="1"/>
  <c r="BG374" i="1" s="1"/>
  <c r="BF385" i="1"/>
  <c r="BG385" i="1" s="1"/>
  <c r="BF399" i="1"/>
  <c r="BG399" i="1" s="1"/>
  <c r="BF410" i="1"/>
  <c r="BG410" i="1" s="1"/>
  <c r="BF424" i="1"/>
  <c r="BG424" i="1" s="1"/>
  <c r="BF438" i="1"/>
  <c r="BG438" i="1" s="1"/>
  <c r="BF449" i="1"/>
  <c r="BG449" i="1" s="1"/>
  <c r="BF462" i="1"/>
  <c r="BG462" i="1" s="1"/>
  <c r="BF472" i="1"/>
  <c r="BG472" i="1" s="1"/>
  <c r="BF482" i="1"/>
  <c r="BG482" i="1" s="1"/>
  <c r="BF494" i="1"/>
  <c r="BG494" i="1" s="1"/>
  <c r="BF504" i="1"/>
  <c r="BG504" i="1" s="1"/>
  <c r="BF514" i="1"/>
  <c r="BG514" i="1" s="1"/>
  <c r="BF526" i="1"/>
  <c r="BG526" i="1" s="1"/>
  <c r="BF536" i="1"/>
  <c r="BG536" i="1" s="1"/>
  <c r="BF546" i="1"/>
  <c r="BG546" i="1" s="1"/>
  <c r="BF557" i="1"/>
  <c r="BG557" i="1" s="1"/>
  <c r="BF566" i="1"/>
  <c r="BG566" i="1" s="1"/>
  <c r="BF575" i="1"/>
  <c r="BG575" i="1" s="1"/>
  <c r="BF584" i="1"/>
  <c r="BG584" i="1" s="1"/>
  <c r="BF593" i="1"/>
  <c r="BG593" i="1" s="1"/>
  <c r="BF602" i="1"/>
  <c r="BG602" i="1" s="1"/>
  <c r="BF612" i="1"/>
  <c r="BG612" i="1" s="1"/>
  <c r="BF621" i="1"/>
  <c r="BG621" i="1" s="1"/>
  <c r="BF57" i="1"/>
  <c r="BG57" i="1" s="1"/>
  <c r="BF224" i="1"/>
  <c r="BG224" i="1" s="1"/>
  <c r="BF296" i="1"/>
  <c r="BG296" i="1" s="1"/>
  <c r="BF350" i="1"/>
  <c r="BG350" i="1" s="1"/>
  <c r="BF400" i="1"/>
  <c r="BG400" i="1" s="1"/>
  <c r="BF450" i="1"/>
  <c r="BG450" i="1" s="1"/>
  <c r="BF495" i="1"/>
  <c r="BG495" i="1" s="1"/>
  <c r="BF537" i="1"/>
  <c r="BG537" i="1" s="1"/>
  <c r="BF573" i="1"/>
  <c r="BG573" i="1" s="1"/>
  <c r="BF594" i="1"/>
  <c r="BG594" i="1" s="1"/>
  <c r="BF613" i="1"/>
  <c r="BG613" i="1" s="1"/>
  <c r="BF630" i="1"/>
  <c r="BG630" i="1" s="1"/>
  <c r="BF646" i="1"/>
  <c r="BG646" i="1" s="1"/>
  <c r="BF658" i="1"/>
  <c r="BG658" i="1" s="1"/>
  <c r="BF674" i="1"/>
  <c r="BG674" i="1" s="1"/>
  <c r="BF686" i="1"/>
  <c r="BG686" i="1" s="1"/>
  <c r="BF700" i="1"/>
  <c r="BG700" i="1" s="1"/>
  <c r="BF714" i="1"/>
  <c r="BG714" i="1" s="1"/>
  <c r="BF725" i="1"/>
  <c r="BG725" i="1" s="1"/>
  <c r="BF739" i="1"/>
  <c r="BG739" i="1" s="1"/>
  <c r="BF750" i="1"/>
  <c r="BG750" i="1" s="1"/>
  <c r="BF764" i="1"/>
  <c r="BG764" i="1" s="1"/>
  <c r="BF778" i="1"/>
  <c r="BG778" i="1" s="1"/>
  <c r="BF789" i="1"/>
  <c r="BG789" i="1" s="1"/>
  <c r="BF803" i="1"/>
  <c r="BG803" i="1" s="1"/>
  <c r="BF814" i="1"/>
  <c r="BG814" i="1" s="1"/>
  <c r="BF828" i="1"/>
  <c r="BG828" i="1" s="1"/>
  <c r="BF842" i="1"/>
  <c r="BG842" i="1" s="1"/>
  <c r="BF852" i="1"/>
  <c r="BG852" i="1" s="1"/>
  <c r="BF862" i="1"/>
  <c r="BG862" i="1" s="1"/>
  <c r="BF874" i="1"/>
  <c r="BG874" i="1" s="1"/>
  <c r="BF884" i="1"/>
  <c r="BG884" i="1" s="1"/>
  <c r="BF894" i="1"/>
  <c r="BG894" i="1" s="1"/>
  <c r="BF906" i="1"/>
  <c r="BG906" i="1" s="1"/>
  <c r="BF916" i="1"/>
  <c r="BG916" i="1" s="1"/>
  <c r="BF926" i="1"/>
  <c r="BG926" i="1" s="1"/>
  <c r="BF938" i="1"/>
  <c r="BG938" i="1" s="1"/>
  <c r="BF948" i="1"/>
  <c r="BG948" i="1" s="1"/>
  <c r="BF958" i="1"/>
  <c r="BG958" i="1" s="1"/>
  <c r="BF970" i="1"/>
  <c r="BG970" i="1" s="1"/>
  <c r="BF980" i="1"/>
  <c r="BG980" i="1" s="1"/>
  <c r="BF990" i="1"/>
  <c r="BG990" i="1" s="1"/>
  <c r="BF1002" i="1"/>
  <c r="BG1002" i="1" s="1"/>
  <c r="BF1011" i="1"/>
  <c r="BG1011" i="1" s="1"/>
  <c r="BF1020" i="1"/>
  <c r="BG1020" i="1" s="1"/>
  <c r="BF1029" i="1"/>
  <c r="BG1029" i="1" s="1"/>
  <c r="BF1038" i="1"/>
  <c r="BG1038" i="1" s="1"/>
  <c r="BF1048" i="1"/>
  <c r="BG1048" i="1" s="1"/>
  <c r="BF1057" i="1"/>
  <c r="BG1057" i="1" s="1"/>
  <c r="BF1066" i="1"/>
  <c r="BG1066" i="1" s="1"/>
  <c r="BF1075" i="1"/>
  <c r="BG1075" i="1" s="1"/>
  <c r="BF1084" i="1"/>
  <c r="BG1084" i="1" s="1"/>
  <c r="BF1093" i="1"/>
  <c r="BG1093" i="1" s="1"/>
  <c r="BF1102" i="1"/>
  <c r="BG1102" i="1" s="1"/>
  <c r="BF1111" i="1"/>
  <c r="BG1111" i="1" s="1"/>
  <c r="BF1119" i="1"/>
  <c r="BG1119" i="1" s="1"/>
  <c r="BF1127" i="1"/>
  <c r="BG1127" i="1" s="1"/>
  <c r="BF1135" i="1"/>
  <c r="BG1135" i="1" s="1"/>
  <c r="BF1143" i="1"/>
  <c r="BG1143" i="1" s="1"/>
  <c r="BF1151" i="1"/>
  <c r="BG1151" i="1" s="1"/>
  <c r="BF1159" i="1"/>
  <c r="BG1159" i="1" s="1"/>
  <c r="BF1167" i="1"/>
  <c r="BG1167" i="1" s="1"/>
  <c r="BF1175" i="1"/>
  <c r="BG1175" i="1" s="1"/>
  <c r="BF1183" i="1"/>
  <c r="BG1183" i="1" s="1"/>
  <c r="BF1191" i="1"/>
  <c r="BG1191" i="1" s="1"/>
  <c r="BF1199" i="1"/>
  <c r="BG1199" i="1" s="1"/>
  <c r="BF1207" i="1"/>
  <c r="BG1207" i="1" s="1"/>
  <c r="BF1215" i="1"/>
  <c r="BG1215" i="1" s="1"/>
  <c r="BF1223" i="1"/>
  <c r="BG1223" i="1" s="1"/>
  <c r="BF1231" i="1"/>
  <c r="BG1231" i="1" s="1"/>
  <c r="BF1239" i="1"/>
  <c r="BG1239" i="1" s="1"/>
  <c r="BF1247" i="1"/>
  <c r="BG1247" i="1" s="1"/>
  <c r="BF1255" i="1"/>
  <c r="BG1255" i="1" s="1"/>
  <c r="BF1263" i="1"/>
  <c r="BG1263" i="1" s="1"/>
  <c r="BF1271" i="1"/>
  <c r="BG1271" i="1" s="1"/>
  <c r="BF1279" i="1"/>
  <c r="BG1279" i="1" s="1"/>
  <c r="BF1287" i="1"/>
  <c r="BG1287" i="1" s="1"/>
  <c r="BF1295" i="1"/>
  <c r="BG1295" i="1" s="1"/>
  <c r="BF1303" i="1"/>
  <c r="BG1303" i="1" s="1"/>
  <c r="BF1311" i="1"/>
  <c r="BG1311" i="1" s="1"/>
  <c r="BF1319" i="1"/>
  <c r="BG1319" i="1" s="1"/>
  <c r="BF1327" i="1"/>
  <c r="BG1327" i="1" s="1"/>
  <c r="BF1335" i="1"/>
  <c r="BG1335" i="1" s="1"/>
  <c r="BF1343" i="1"/>
  <c r="BG1343" i="1" s="1"/>
  <c r="BF1351" i="1"/>
  <c r="BG1351" i="1" s="1"/>
  <c r="BF1359" i="1"/>
  <c r="BG1359" i="1" s="1"/>
  <c r="BF1367" i="1"/>
  <c r="BG1367" i="1" s="1"/>
  <c r="BF1375" i="1"/>
  <c r="BG1375" i="1" s="1"/>
  <c r="BF1383" i="1"/>
  <c r="BG1383" i="1" s="1"/>
  <c r="BF1391" i="1"/>
  <c r="BG1391" i="1" s="1"/>
  <c r="BF1399" i="1"/>
  <c r="BG1399" i="1" s="1"/>
  <c r="BF1407" i="1"/>
  <c r="BG1407" i="1" s="1"/>
  <c r="BF1415" i="1"/>
  <c r="BG1415" i="1" s="1"/>
  <c r="BF1423" i="1"/>
  <c r="BG1423" i="1" s="1"/>
  <c r="BF1431" i="1"/>
  <c r="BG1431" i="1" s="1"/>
  <c r="BF1439" i="1"/>
  <c r="BG1439" i="1" s="1"/>
  <c r="BF1447" i="1"/>
  <c r="BG1447" i="1" s="1"/>
  <c r="BF1455" i="1"/>
  <c r="BG1455" i="1" s="1"/>
  <c r="BF1463" i="1"/>
  <c r="BG1463" i="1" s="1"/>
  <c r="BF1471" i="1"/>
  <c r="BG1471" i="1" s="1"/>
  <c r="BF1200" i="1"/>
  <c r="BG1200" i="1" s="1"/>
  <c r="BF1232" i="1"/>
  <c r="BG1232" i="1" s="1"/>
  <c r="BF1240" i="1"/>
  <c r="BG1240" i="1" s="1"/>
  <c r="BF1248" i="1"/>
  <c r="BG1248" i="1" s="1"/>
  <c r="BF1264" i="1"/>
  <c r="BG1264" i="1" s="1"/>
  <c r="BF1272" i="1"/>
  <c r="BG1272" i="1" s="1"/>
  <c r="BF1288" i="1"/>
  <c r="BG1288" i="1" s="1"/>
  <c r="BF1296" i="1"/>
  <c r="BG1296" i="1" s="1"/>
  <c r="BF1304" i="1"/>
  <c r="BG1304" i="1" s="1"/>
  <c r="BF1320" i="1"/>
  <c r="BG1320" i="1" s="1"/>
  <c r="BF1328" i="1"/>
  <c r="BG1328" i="1" s="1"/>
  <c r="BF1344" i="1"/>
  <c r="BG1344" i="1" s="1"/>
  <c r="BF1352" i="1"/>
  <c r="BG1352" i="1" s="1"/>
  <c r="BF1360" i="1"/>
  <c r="BG1360" i="1" s="1"/>
  <c r="BF1376" i="1"/>
  <c r="BG1376" i="1" s="1"/>
  <c r="BF1384" i="1"/>
  <c r="BG1384" i="1" s="1"/>
  <c r="BF1400" i="1"/>
  <c r="BG1400" i="1" s="1"/>
  <c r="BF1416" i="1"/>
  <c r="BG1416" i="1" s="1"/>
  <c r="BF1424" i="1"/>
  <c r="BG1424" i="1" s="1"/>
  <c r="BF1440" i="1"/>
  <c r="BG1440" i="1" s="1"/>
  <c r="BF1448" i="1"/>
  <c r="BG1448" i="1" s="1"/>
  <c r="BF1456" i="1"/>
  <c r="BG1456" i="1" s="1"/>
  <c r="BF2" i="1"/>
  <c r="BG2" i="1" s="1"/>
  <c r="BF65" i="1"/>
  <c r="BG65" i="1" s="1"/>
  <c r="BF225" i="1"/>
  <c r="BG225" i="1" s="1"/>
  <c r="BF297" i="1"/>
  <c r="BG297" i="1" s="1"/>
  <c r="BF351" i="1"/>
  <c r="BG351" i="1" s="1"/>
  <c r="BF401" i="1"/>
  <c r="BG401" i="1" s="1"/>
  <c r="BF454" i="1"/>
  <c r="BG454" i="1" s="1"/>
  <c r="BF496" i="1"/>
  <c r="BG496" i="1" s="1"/>
  <c r="BF538" i="1"/>
  <c r="BG538" i="1" s="1"/>
  <c r="BF576" i="1"/>
  <c r="BG576" i="1" s="1"/>
  <c r="BF596" i="1"/>
  <c r="BG596" i="1" s="1"/>
  <c r="BF614" i="1"/>
  <c r="BG614" i="1" s="1"/>
  <c r="BF631" i="1"/>
  <c r="BG631" i="1" s="1"/>
  <c r="BF647" i="1"/>
  <c r="BG647" i="1" s="1"/>
  <c r="BF660" i="1"/>
  <c r="BG660" i="1" s="1"/>
  <c r="BF676" i="1"/>
  <c r="BG676" i="1" s="1"/>
  <c r="BF690" i="1"/>
  <c r="BG690" i="1" s="1"/>
  <c r="BF701" i="1"/>
  <c r="BG701" i="1" s="1"/>
  <c r="BF715" i="1"/>
  <c r="BG715" i="1" s="1"/>
  <c r="BF726" i="1"/>
  <c r="BG726" i="1" s="1"/>
  <c r="BF740" i="1"/>
  <c r="BG740" i="1" s="1"/>
  <c r="BF754" i="1"/>
  <c r="BG754" i="1" s="1"/>
  <c r="BF765" i="1"/>
  <c r="BG765" i="1" s="1"/>
  <c r="BF779" i="1"/>
  <c r="BG779" i="1" s="1"/>
  <c r="BF790" i="1"/>
  <c r="BG790" i="1" s="1"/>
  <c r="BF804" i="1"/>
  <c r="BG804" i="1" s="1"/>
  <c r="BF818" i="1"/>
  <c r="BG818" i="1" s="1"/>
  <c r="BF829" i="1"/>
  <c r="BG829" i="1" s="1"/>
  <c r="BF843" i="1"/>
  <c r="BG843" i="1" s="1"/>
  <c r="BF853" i="1"/>
  <c r="BG853" i="1" s="1"/>
  <c r="BF864" i="1"/>
  <c r="BG864" i="1" s="1"/>
  <c r="BF875" i="1"/>
  <c r="BG875" i="1" s="1"/>
  <c r="BF885" i="1"/>
  <c r="BG885" i="1" s="1"/>
  <c r="BF896" i="1"/>
  <c r="BG896" i="1" s="1"/>
  <c r="BF907" i="1"/>
  <c r="BG907" i="1" s="1"/>
  <c r="BF917" i="1"/>
  <c r="BG917" i="1" s="1"/>
  <c r="BF928" i="1"/>
  <c r="BG928" i="1" s="1"/>
  <c r="BF939" i="1"/>
  <c r="BG939" i="1" s="1"/>
  <c r="BF949" i="1"/>
  <c r="BG949" i="1" s="1"/>
  <c r="BF960" i="1"/>
  <c r="BG960" i="1" s="1"/>
  <c r="BF971" i="1"/>
  <c r="BG971" i="1" s="1"/>
  <c r="BF981" i="1"/>
  <c r="BG981" i="1" s="1"/>
  <c r="BF992" i="1"/>
  <c r="BG992" i="1" s="1"/>
  <c r="BF1003" i="1"/>
  <c r="BG1003" i="1" s="1"/>
  <c r="BF1012" i="1"/>
  <c r="BG1012" i="1" s="1"/>
  <c r="BF1021" i="1"/>
  <c r="BG1021" i="1" s="1"/>
  <c r="BF1030" i="1"/>
  <c r="BG1030" i="1" s="1"/>
  <c r="BF1040" i="1"/>
  <c r="BG1040" i="1" s="1"/>
  <c r="BF1049" i="1"/>
  <c r="BG1049" i="1" s="1"/>
  <c r="BF1058" i="1"/>
  <c r="BG1058" i="1" s="1"/>
  <c r="BF1067" i="1"/>
  <c r="BG1067" i="1" s="1"/>
  <c r="BF1076" i="1"/>
  <c r="BG1076" i="1" s="1"/>
  <c r="BF1085" i="1"/>
  <c r="BG1085" i="1" s="1"/>
  <c r="BF1094" i="1"/>
  <c r="BG1094" i="1" s="1"/>
  <c r="BF1104" i="1"/>
  <c r="BG1104" i="1" s="1"/>
  <c r="BF1112" i="1"/>
  <c r="BG1112" i="1" s="1"/>
  <c r="BF1120" i="1"/>
  <c r="BG1120" i="1" s="1"/>
  <c r="BF1128" i="1"/>
  <c r="BG1128" i="1" s="1"/>
  <c r="BF1136" i="1"/>
  <c r="BG1136" i="1" s="1"/>
  <c r="BF1144" i="1"/>
  <c r="BG1144" i="1" s="1"/>
  <c r="BF1152" i="1"/>
  <c r="BG1152" i="1" s="1"/>
  <c r="BF1160" i="1"/>
  <c r="BG1160" i="1" s="1"/>
  <c r="BF1168" i="1"/>
  <c r="BG1168" i="1" s="1"/>
  <c r="BF1176" i="1"/>
  <c r="BG1176" i="1" s="1"/>
  <c r="BF1184" i="1"/>
  <c r="BG1184" i="1" s="1"/>
  <c r="BF1192" i="1"/>
  <c r="BG1192" i="1" s="1"/>
  <c r="BF1208" i="1"/>
  <c r="BG1208" i="1" s="1"/>
  <c r="BF1216" i="1"/>
  <c r="BG1216" i="1" s="1"/>
  <c r="BF1224" i="1"/>
  <c r="BG1224" i="1" s="1"/>
  <c r="BF1256" i="1"/>
  <c r="BG1256" i="1" s="1"/>
  <c r="BF1280" i="1"/>
  <c r="BG1280" i="1" s="1"/>
  <c r="BF1312" i="1"/>
  <c r="BG1312" i="1" s="1"/>
  <c r="BF1336" i="1"/>
  <c r="BG1336" i="1" s="1"/>
  <c r="BF1368" i="1"/>
  <c r="BG1368" i="1" s="1"/>
  <c r="BF1392" i="1"/>
  <c r="BG1392" i="1" s="1"/>
  <c r="BF1408" i="1"/>
  <c r="BG1408" i="1" s="1"/>
  <c r="BF1432" i="1"/>
  <c r="BG1432" i="1" s="1"/>
  <c r="BF1464" i="1"/>
  <c r="BG1464" i="1" s="1"/>
  <c r="BF121" i="1"/>
  <c r="BG121" i="1" s="1"/>
  <c r="BF247" i="1"/>
  <c r="BG247" i="1" s="1"/>
  <c r="BF311" i="1"/>
  <c r="BG311" i="1" s="1"/>
  <c r="BF361" i="1"/>
  <c r="BG361" i="1" s="1"/>
  <c r="BF414" i="1"/>
  <c r="BG414" i="1" s="1"/>
  <c r="BF463" i="1"/>
  <c r="BG463" i="1" s="1"/>
  <c r="BF505" i="1"/>
  <c r="BG505" i="1" s="1"/>
  <c r="BF548" i="1"/>
  <c r="BG548" i="1" s="1"/>
  <c r="BF577" i="1"/>
  <c r="BG577" i="1" s="1"/>
  <c r="BF600" i="1"/>
  <c r="BG600" i="1" s="1"/>
  <c r="BF618" i="1"/>
  <c r="BG618" i="1" s="1"/>
  <c r="BF632" i="1"/>
  <c r="BG632" i="1" s="1"/>
  <c r="BF648" i="1"/>
  <c r="BG648" i="1" s="1"/>
  <c r="BF664" i="1"/>
  <c r="BG664" i="1" s="1"/>
  <c r="BF677" i="1"/>
  <c r="BG677" i="1" s="1"/>
  <c r="BF691" i="1"/>
  <c r="BG691" i="1" s="1"/>
  <c r="BF702" i="1"/>
  <c r="BG702" i="1" s="1"/>
  <c r="BF716" i="1"/>
  <c r="BG716" i="1" s="1"/>
  <c r="BF730" i="1"/>
  <c r="BG730" i="1" s="1"/>
  <c r="BF741" i="1"/>
  <c r="BG741" i="1" s="1"/>
  <c r="BF755" i="1"/>
  <c r="BG755" i="1" s="1"/>
  <c r="BF766" i="1"/>
  <c r="BG766" i="1" s="1"/>
  <c r="BF780" i="1"/>
  <c r="BG780" i="1" s="1"/>
  <c r="BF794" i="1"/>
  <c r="BG794" i="1" s="1"/>
  <c r="BF805" i="1"/>
  <c r="BG805" i="1" s="1"/>
  <c r="BF819" i="1"/>
  <c r="BG819" i="1" s="1"/>
  <c r="BF830" i="1"/>
  <c r="BG830" i="1" s="1"/>
  <c r="BF844" i="1"/>
  <c r="BG844" i="1" s="1"/>
  <c r="BF854" i="1"/>
  <c r="BG854" i="1" s="1"/>
  <c r="BF866" i="1"/>
  <c r="BG866" i="1" s="1"/>
  <c r="BF876" i="1"/>
  <c r="BG876" i="1" s="1"/>
  <c r="BF886" i="1"/>
  <c r="BG886" i="1" s="1"/>
  <c r="BF898" i="1"/>
  <c r="BG898" i="1" s="1"/>
  <c r="BF908" i="1"/>
  <c r="BG908" i="1" s="1"/>
  <c r="BF918" i="1"/>
  <c r="BG918" i="1" s="1"/>
  <c r="BF930" i="1"/>
  <c r="BG930" i="1" s="1"/>
  <c r="BF940" i="1"/>
  <c r="BG940" i="1" s="1"/>
  <c r="BF950" i="1"/>
  <c r="BG950" i="1" s="1"/>
  <c r="BF962" i="1"/>
  <c r="BG962" i="1" s="1"/>
  <c r="BF972" i="1"/>
  <c r="BG972" i="1" s="1"/>
  <c r="BF982" i="1"/>
  <c r="BG982" i="1" s="1"/>
  <c r="BF994" i="1"/>
  <c r="BG994" i="1" s="1"/>
  <c r="BF1004" i="1"/>
  <c r="BG1004" i="1" s="1"/>
  <c r="BF1013" i="1"/>
  <c r="BG1013" i="1" s="1"/>
  <c r="BF1022" i="1"/>
  <c r="BG1022" i="1" s="1"/>
  <c r="BF1032" i="1"/>
  <c r="BG1032" i="1" s="1"/>
  <c r="BF1041" i="1"/>
  <c r="BG1041" i="1" s="1"/>
  <c r="BF1050" i="1"/>
  <c r="BG1050" i="1" s="1"/>
  <c r="BF1059" i="1"/>
  <c r="BG1059" i="1" s="1"/>
  <c r="BF1068" i="1"/>
  <c r="BG1068" i="1" s="1"/>
  <c r="BF1077" i="1"/>
  <c r="BG1077" i="1" s="1"/>
  <c r="BF1086" i="1"/>
  <c r="BG1086" i="1" s="1"/>
  <c r="BF1096" i="1"/>
  <c r="BG1096" i="1" s="1"/>
  <c r="BF1105" i="1"/>
  <c r="BG1105" i="1" s="1"/>
  <c r="BF1113" i="1"/>
  <c r="BG1113" i="1" s="1"/>
  <c r="BF1121" i="1"/>
  <c r="BG1121" i="1" s="1"/>
  <c r="BF1129" i="1"/>
  <c r="BG1129" i="1" s="1"/>
  <c r="BF1137" i="1"/>
  <c r="BG1137" i="1" s="1"/>
  <c r="BF1145" i="1"/>
  <c r="BG1145" i="1" s="1"/>
  <c r="BF1153" i="1"/>
  <c r="BG1153" i="1" s="1"/>
  <c r="BF1161" i="1"/>
  <c r="BG1161" i="1" s="1"/>
  <c r="BF1169" i="1"/>
  <c r="BG1169" i="1" s="1"/>
  <c r="BF1177" i="1"/>
  <c r="BG1177" i="1" s="1"/>
  <c r="BF1185" i="1"/>
  <c r="BG1185" i="1" s="1"/>
  <c r="BF1193" i="1"/>
  <c r="BG1193" i="1" s="1"/>
  <c r="BF1201" i="1"/>
  <c r="BG1201" i="1" s="1"/>
  <c r="BF1209" i="1"/>
  <c r="BG1209" i="1" s="1"/>
  <c r="BF1217" i="1"/>
  <c r="BG1217" i="1" s="1"/>
  <c r="BF1225" i="1"/>
  <c r="BG1225" i="1" s="1"/>
  <c r="BF1233" i="1"/>
  <c r="BG1233" i="1" s="1"/>
  <c r="BF1241" i="1"/>
  <c r="BG1241" i="1" s="1"/>
  <c r="BF1249" i="1"/>
  <c r="BG1249" i="1" s="1"/>
  <c r="BF1257" i="1"/>
  <c r="BG1257" i="1" s="1"/>
  <c r="BF1265" i="1"/>
  <c r="BG1265" i="1" s="1"/>
  <c r="BF1273" i="1"/>
  <c r="BG1273" i="1" s="1"/>
  <c r="BF1281" i="1"/>
  <c r="BG1281" i="1" s="1"/>
  <c r="BF1289" i="1"/>
  <c r="BG1289" i="1" s="1"/>
  <c r="BF1297" i="1"/>
  <c r="BG1297" i="1" s="1"/>
  <c r="BF1305" i="1"/>
  <c r="BG1305" i="1" s="1"/>
  <c r="BF1313" i="1"/>
  <c r="BG1313" i="1" s="1"/>
  <c r="BF1321" i="1"/>
  <c r="BG1321" i="1" s="1"/>
  <c r="BF1329" i="1"/>
  <c r="BG1329" i="1" s="1"/>
  <c r="BF1337" i="1"/>
  <c r="BG1337" i="1" s="1"/>
  <c r="BF1345" i="1"/>
  <c r="BG1345" i="1" s="1"/>
  <c r="BF1353" i="1"/>
  <c r="BG1353" i="1" s="1"/>
  <c r="BF1361" i="1"/>
  <c r="BG1361" i="1" s="1"/>
  <c r="BF1369" i="1"/>
  <c r="BG1369" i="1" s="1"/>
  <c r="BF1377" i="1"/>
  <c r="BG1377" i="1" s="1"/>
  <c r="BF1385" i="1"/>
  <c r="BG1385" i="1" s="1"/>
  <c r="BF1393" i="1"/>
  <c r="BG1393" i="1" s="1"/>
  <c r="BF1401" i="1"/>
  <c r="BG1401" i="1" s="1"/>
  <c r="BF1409" i="1"/>
  <c r="BG1409" i="1" s="1"/>
  <c r="BF1417" i="1"/>
  <c r="BG1417" i="1" s="1"/>
  <c r="BF1425" i="1"/>
  <c r="BG1425" i="1" s="1"/>
  <c r="BF1433" i="1"/>
  <c r="BG1433" i="1" s="1"/>
  <c r="BF1441" i="1"/>
  <c r="BG1441" i="1" s="1"/>
  <c r="BF1449" i="1"/>
  <c r="BG1449" i="1" s="1"/>
  <c r="BF1457" i="1"/>
  <c r="BG1457" i="1" s="1"/>
  <c r="BF1465" i="1"/>
  <c r="BG1465" i="1" s="1"/>
  <c r="BF1106" i="1"/>
  <c r="BG1106" i="1" s="1"/>
  <c r="BF1138" i="1"/>
  <c r="BG1138" i="1" s="1"/>
  <c r="BF1154" i="1"/>
  <c r="BG1154" i="1" s="1"/>
  <c r="BF1162" i="1"/>
  <c r="BG1162" i="1" s="1"/>
  <c r="BF1170" i="1"/>
  <c r="BG1170" i="1" s="1"/>
  <c r="BF1186" i="1"/>
  <c r="BG1186" i="1" s="1"/>
  <c r="BF129" i="1"/>
  <c r="BG129" i="1" s="1"/>
  <c r="BF248" i="1"/>
  <c r="BG248" i="1" s="1"/>
  <c r="BF312" i="1"/>
  <c r="BG312" i="1" s="1"/>
  <c r="BF362" i="1"/>
  <c r="BG362" i="1" s="1"/>
  <c r="BF415" i="1"/>
  <c r="BG415" i="1" s="1"/>
  <c r="BF464" i="1"/>
  <c r="BG464" i="1" s="1"/>
  <c r="BF506" i="1"/>
  <c r="BG506" i="1" s="1"/>
  <c r="BF550" i="1"/>
  <c r="BG550" i="1" s="1"/>
  <c r="BF582" i="1"/>
  <c r="BG582" i="1" s="1"/>
  <c r="BF601" i="1"/>
  <c r="BG601" i="1" s="1"/>
  <c r="BF620" i="1"/>
  <c r="BG620" i="1" s="1"/>
  <c r="BF637" i="1"/>
  <c r="BG637" i="1" s="1"/>
  <c r="BF649" i="1"/>
  <c r="BG649" i="1" s="1"/>
  <c r="BF665" i="1"/>
  <c r="BG665" i="1" s="1"/>
  <c r="BF678" i="1"/>
  <c r="BG678" i="1" s="1"/>
  <c r="BF692" i="1"/>
  <c r="BG692" i="1" s="1"/>
  <c r="BF706" i="1"/>
  <c r="BG706" i="1" s="1"/>
  <c r="BF717" i="1"/>
  <c r="BG717" i="1" s="1"/>
  <c r="BF731" i="1"/>
  <c r="BG731" i="1" s="1"/>
  <c r="BF742" i="1"/>
  <c r="BG742" i="1" s="1"/>
  <c r="BF756" i="1"/>
  <c r="BG756" i="1" s="1"/>
  <c r="BF770" i="1"/>
  <c r="BG770" i="1" s="1"/>
  <c r="BF781" i="1"/>
  <c r="BG781" i="1" s="1"/>
  <c r="BF795" i="1"/>
  <c r="BG795" i="1" s="1"/>
  <c r="BF806" i="1"/>
  <c r="BG806" i="1" s="1"/>
  <c r="BF820" i="1"/>
  <c r="BG820" i="1" s="1"/>
  <c r="BF834" i="1"/>
  <c r="BG834" i="1" s="1"/>
  <c r="BF845" i="1"/>
  <c r="BG845" i="1" s="1"/>
  <c r="BF856" i="1"/>
  <c r="BG856" i="1" s="1"/>
  <c r="BF867" i="1"/>
  <c r="BG867" i="1" s="1"/>
  <c r="BF877" i="1"/>
  <c r="BG877" i="1" s="1"/>
  <c r="BF888" i="1"/>
  <c r="BG888" i="1" s="1"/>
  <c r="BF899" i="1"/>
  <c r="BG899" i="1" s="1"/>
  <c r="BF909" i="1"/>
  <c r="BG909" i="1" s="1"/>
  <c r="BF920" i="1"/>
  <c r="BG920" i="1" s="1"/>
  <c r="BF931" i="1"/>
  <c r="BG931" i="1" s="1"/>
  <c r="BF941" i="1"/>
  <c r="BG941" i="1" s="1"/>
  <c r="BF952" i="1"/>
  <c r="BG952" i="1" s="1"/>
  <c r="BF963" i="1"/>
  <c r="BG963" i="1" s="1"/>
  <c r="BF973" i="1"/>
  <c r="BG973" i="1" s="1"/>
  <c r="BF984" i="1"/>
  <c r="BG984" i="1" s="1"/>
  <c r="BF995" i="1"/>
  <c r="BG995" i="1" s="1"/>
  <c r="BF1005" i="1"/>
  <c r="BG1005" i="1" s="1"/>
  <c r="BF1014" i="1"/>
  <c r="BG1014" i="1" s="1"/>
  <c r="BF1024" i="1"/>
  <c r="BG1024" i="1" s="1"/>
  <c r="BF1033" i="1"/>
  <c r="BG1033" i="1" s="1"/>
  <c r="BF1042" i="1"/>
  <c r="BG1042" i="1" s="1"/>
  <c r="BF1051" i="1"/>
  <c r="BG1051" i="1" s="1"/>
  <c r="BF1060" i="1"/>
  <c r="BG1060" i="1" s="1"/>
  <c r="BF1069" i="1"/>
  <c r="BG1069" i="1" s="1"/>
  <c r="BF1078" i="1"/>
  <c r="BG1078" i="1" s="1"/>
  <c r="BF1088" i="1"/>
  <c r="BG1088" i="1" s="1"/>
  <c r="BF1097" i="1"/>
  <c r="BG1097" i="1" s="1"/>
  <c r="BF1114" i="1"/>
  <c r="BG1114" i="1" s="1"/>
  <c r="BF1122" i="1"/>
  <c r="BG1122" i="1" s="1"/>
  <c r="BF1130" i="1"/>
  <c r="BG1130" i="1" s="1"/>
  <c r="BF1146" i="1"/>
  <c r="BG1146" i="1" s="1"/>
  <c r="BF1178" i="1"/>
  <c r="BG1178" i="1" s="1"/>
  <c r="BF176" i="1"/>
  <c r="BG176" i="1" s="1"/>
  <c r="BF264" i="1"/>
  <c r="BG264" i="1" s="1"/>
  <c r="BF322" i="1"/>
  <c r="BG322" i="1" s="1"/>
  <c r="BF375" i="1"/>
  <c r="BG375" i="1" s="1"/>
  <c r="BF425" i="1"/>
  <c r="BG425" i="1" s="1"/>
  <c r="BF473" i="1"/>
  <c r="BG473" i="1" s="1"/>
  <c r="BF516" i="1"/>
  <c r="BG516" i="1" s="1"/>
  <c r="BF558" i="1"/>
  <c r="BG558" i="1" s="1"/>
  <c r="BF585" i="1"/>
  <c r="BG585" i="1" s="1"/>
  <c r="BF604" i="1"/>
  <c r="BG604" i="1" s="1"/>
  <c r="BF622" i="1"/>
  <c r="BG622" i="1" s="1"/>
  <c r="BF638" i="1"/>
  <c r="BG638" i="1" s="1"/>
  <c r="BF650" i="1"/>
  <c r="BG650" i="1" s="1"/>
  <c r="BF666" i="1"/>
  <c r="BG666" i="1" s="1"/>
  <c r="BF682" i="1"/>
  <c r="BG682" i="1" s="1"/>
  <c r="BF693" i="1"/>
  <c r="BG693" i="1" s="1"/>
  <c r="BF707" i="1"/>
  <c r="BG707" i="1" s="1"/>
  <c r="BF718" i="1"/>
  <c r="BG718" i="1" s="1"/>
  <c r="BF732" i="1"/>
  <c r="BG732" i="1" s="1"/>
  <c r="BF746" i="1"/>
  <c r="BG746" i="1" s="1"/>
  <c r="BF757" i="1"/>
  <c r="BG757" i="1" s="1"/>
  <c r="BF771" i="1"/>
  <c r="BG771" i="1" s="1"/>
  <c r="BF782" i="1"/>
  <c r="BG782" i="1" s="1"/>
  <c r="BF796" i="1"/>
  <c r="BG796" i="1" s="1"/>
  <c r="BF810" i="1"/>
  <c r="BG810" i="1" s="1"/>
  <c r="BF821" i="1"/>
  <c r="BG821" i="1" s="1"/>
  <c r="BF835" i="1"/>
  <c r="BG835" i="1" s="1"/>
  <c r="BF846" i="1"/>
  <c r="BG846" i="1" s="1"/>
  <c r="BF858" i="1"/>
  <c r="BG858" i="1" s="1"/>
  <c r="BF868" i="1"/>
  <c r="BG868" i="1" s="1"/>
  <c r="BF878" i="1"/>
  <c r="BG878" i="1" s="1"/>
  <c r="BF890" i="1"/>
  <c r="BG890" i="1" s="1"/>
  <c r="BF900" i="1"/>
  <c r="BG900" i="1" s="1"/>
  <c r="BF910" i="1"/>
  <c r="BG910" i="1" s="1"/>
  <c r="BF922" i="1"/>
  <c r="BG922" i="1" s="1"/>
  <c r="BF932" i="1"/>
  <c r="BG932" i="1" s="1"/>
  <c r="BF942" i="1"/>
  <c r="BG942" i="1" s="1"/>
  <c r="BF954" i="1"/>
  <c r="BG954" i="1" s="1"/>
  <c r="BF964" i="1"/>
  <c r="BG964" i="1" s="1"/>
  <c r="BF974" i="1"/>
  <c r="BG974" i="1" s="1"/>
  <c r="BF986" i="1"/>
  <c r="BG986" i="1" s="1"/>
  <c r="BF996" i="1"/>
  <c r="BG996" i="1" s="1"/>
  <c r="BF1006" i="1"/>
  <c r="BG1006" i="1" s="1"/>
  <c r="BF1016" i="1"/>
  <c r="BG1016" i="1" s="1"/>
  <c r="BF1025" i="1"/>
  <c r="BG1025" i="1" s="1"/>
  <c r="BF1034" i="1"/>
  <c r="BG1034" i="1" s="1"/>
  <c r="BF1043" i="1"/>
  <c r="BG1043" i="1" s="1"/>
  <c r="BF1052" i="1"/>
  <c r="BG1052" i="1" s="1"/>
  <c r="BF1061" i="1"/>
  <c r="BG1061" i="1" s="1"/>
  <c r="BF1070" i="1"/>
  <c r="BG1070" i="1" s="1"/>
  <c r="BF1080" i="1"/>
  <c r="BG1080" i="1" s="1"/>
  <c r="BF1089" i="1"/>
  <c r="BG1089" i="1" s="1"/>
  <c r="BF1098" i="1"/>
  <c r="BG1098" i="1" s="1"/>
  <c r="BF1107" i="1"/>
  <c r="BG1107" i="1" s="1"/>
  <c r="BF1115" i="1"/>
  <c r="BG1115" i="1" s="1"/>
  <c r="BF1123" i="1"/>
  <c r="BG1123" i="1" s="1"/>
  <c r="BF177" i="1"/>
  <c r="BG177" i="1" s="1"/>
  <c r="BF265" i="1"/>
  <c r="BG265" i="1" s="1"/>
  <c r="BF326" i="1"/>
  <c r="BG326" i="1" s="1"/>
  <c r="BF376" i="1"/>
  <c r="BG376" i="1" s="1"/>
  <c r="BF426" i="1"/>
  <c r="BG426" i="1" s="1"/>
  <c r="BF474" i="1"/>
  <c r="BG474" i="1" s="1"/>
  <c r="BF518" i="1"/>
  <c r="BG518" i="1" s="1"/>
  <c r="BF559" i="1"/>
  <c r="BG559" i="1" s="1"/>
  <c r="BF586" i="1"/>
  <c r="BG586" i="1" s="1"/>
  <c r="BF605" i="1"/>
  <c r="BG605" i="1" s="1"/>
  <c r="BF623" i="1"/>
  <c r="BG623" i="1" s="1"/>
  <c r="BF639" i="1"/>
  <c r="BG639" i="1" s="1"/>
  <c r="BF655" i="1"/>
  <c r="BG655" i="1" s="1"/>
  <c r="BF668" i="1"/>
  <c r="BG668" i="1" s="1"/>
  <c r="BF683" i="1"/>
  <c r="BG683" i="1" s="1"/>
  <c r="BF694" i="1"/>
  <c r="BG694" i="1" s="1"/>
  <c r="BF708" i="1"/>
  <c r="BG708" i="1" s="1"/>
  <c r="BF722" i="1"/>
  <c r="BG722" i="1" s="1"/>
  <c r="BF733" i="1"/>
  <c r="BG733" i="1" s="1"/>
  <c r="BF747" i="1"/>
  <c r="BG747" i="1" s="1"/>
  <c r="BF758" i="1"/>
  <c r="BG758" i="1" s="1"/>
  <c r="BF772" i="1"/>
  <c r="BG772" i="1" s="1"/>
  <c r="BF786" i="1"/>
  <c r="BG786" i="1" s="1"/>
  <c r="BF797" i="1"/>
  <c r="BG797" i="1" s="1"/>
  <c r="BF811" i="1"/>
  <c r="BG811" i="1" s="1"/>
  <c r="BF822" i="1"/>
  <c r="BG822" i="1" s="1"/>
  <c r="BF836" i="1"/>
  <c r="BG836" i="1" s="1"/>
  <c r="BF848" i="1"/>
  <c r="BG848" i="1" s="1"/>
  <c r="BF859" i="1"/>
  <c r="BG859" i="1" s="1"/>
  <c r="BF869" i="1"/>
  <c r="BG869" i="1" s="1"/>
  <c r="BF880" i="1"/>
  <c r="BG880" i="1" s="1"/>
  <c r="BF891" i="1"/>
  <c r="BG891" i="1" s="1"/>
  <c r="BF901" i="1"/>
  <c r="BG901" i="1" s="1"/>
  <c r="BF912" i="1"/>
  <c r="BG912" i="1" s="1"/>
  <c r="BF923" i="1"/>
  <c r="BG923" i="1" s="1"/>
  <c r="BF933" i="1"/>
  <c r="BG933" i="1" s="1"/>
  <c r="BF944" i="1"/>
  <c r="BG944" i="1" s="1"/>
  <c r="BF955" i="1"/>
  <c r="BG955" i="1" s="1"/>
  <c r="BF965" i="1"/>
  <c r="BG965" i="1" s="1"/>
  <c r="BF976" i="1"/>
  <c r="BG976" i="1" s="1"/>
  <c r="BF987" i="1"/>
  <c r="BG987" i="1" s="1"/>
  <c r="BF997" i="1"/>
  <c r="BG997" i="1" s="1"/>
  <c r="BF1008" i="1"/>
  <c r="BG1008" i="1" s="1"/>
  <c r="BF1017" i="1"/>
  <c r="BG1017" i="1" s="1"/>
  <c r="BF1026" i="1"/>
  <c r="BG1026" i="1" s="1"/>
  <c r="BF1035" i="1"/>
  <c r="BG1035" i="1" s="1"/>
  <c r="BF1044" i="1"/>
  <c r="BG1044" i="1" s="1"/>
  <c r="BF1053" i="1"/>
  <c r="BG1053" i="1" s="1"/>
  <c r="BF1062" i="1"/>
  <c r="BG1062" i="1" s="1"/>
  <c r="BF1072" i="1"/>
  <c r="BG1072" i="1" s="1"/>
  <c r="BF1081" i="1"/>
  <c r="BG1081" i="1" s="1"/>
  <c r="BF1090" i="1"/>
  <c r="BG1090" i="1" s="1"/>
  <c r="BF1099" i="1"/>
  <c r="BG1099" i="1" s="1"/>
  <c r="BF1108" i="1"/>
  <c r="BG1108" i="1" s="1"/>
  <c r="BF1116" i="1"/>
  <c r="BG1116" i="1" s="1"/>
  <c r="BF1124" i="1"/>
  <c r="BG1124" i="1" s="1"/>
  <c r="BF1132" i="1"/>
  <c r="BG1132" i="1" s="1"/>
  <c r="BF1140" i="1"/>
  <c r="BG1140" i="1" s="1"/>
  <c r="BF1148" i="1"/>
  <c r="BG1148" i="1" s="1"/>
  <c r="BF1156" i="1"/>
  <c r="BG1156" i="1" s="1"/>
  <c r="BF1164" i="1"/>
  <c r="BG1164" i="1" s="1"/>
  <c r="BF1172" i="1"/>
  <c r="BG1172" i="1" s="1"/>
  <c r="BF1180" i="1"/>
  <c r="BG1180" i="1" s="1"/>
  <c r="BF1188" i="1"/>
  <c r="BG1188" i="1" s="1"/>
  <c r="BF1196" i="1"/>
  <c r="BG1196" i="1" s="1"/>
  <c r="BF1204" i="1"/>
  <c r="BG1204" i="1" s="1"/>
  <c r="BF1212" i="1"/>
  <c r="BG1212" i="1" s="1"/>
  <c r="BF1220" i="1"/>
  <c r="BG1220" i="1" s="1"/>
  <c r="BF1228" i="1"/>
  <c r="BG1228" i="1" s="1"/>
  <c r="BF1236" i="1"/>
  <c r="BG1236" i="1" s="1"/>
  <c r="BF1244" i="1"/>
  <c r="BG1244" i="1" s="1"/>
  <c r="BF1252" i="1"/>
  <c r="BG1252" i="1" s="1"/>
  <c r="BF1260" i="1"/>
  <c r="BG1260" i="1" s="1"/>
  <c r="BF1268" i="1"/>
  <c r="BG1268" i="1" s="1"/>
  <c r="BF1276" i="1"/>
  <c r="BG1276" i="1" s="1"/>
  <c r="BF1284" i="1"/>
  <c r="BG1284" i="1" s="1"/>
  <c r="BF1292" i="1"/>
  <c r="BG1292" i="1" s="1"/>
  <c r="BF1300" i="1"/>
  <c r="BG1300" i="1" s="1"/>
  <c r="BF1308" i="1"/>
  <c r="BG1308" i="1" s="1"/>
  <c r="BF1316" i="1"/>
  <c r="BG1316" i="1" s="1"/>
  <c r="BF1324" i="1"/>
  <c r="BG1324" i="1" s="1"/>
  <c r="BF1332" i="1"/>
  <c r="BG1332" i="1" s="1"/>
  <c r="BF1340" i="1"/>
  <c r="BG1340" i="1" s="1"/>
  <c r="BF1348" i="1"/>
  <c r="BG1348" i="1" s="1"/>
  <c r="BF1356" i="1"/>
  <c r="BG1356" i="1" s="1"/>
  <c r="BF207" i="1"/>
  <c r="BG207" i="1" s="1"/>
  <c r="BF1450" i="1"/>
  <c r="BG1450" i="1" s="1"/>
  <c r="BF1422" i="1"/>
  <c r="BG1422" i="1" s="1"/>
  <c r="BF1397" i="1"/>
  <c r="BG1397" i="1" s="1"/>
  <c r="BF1372" i="1"/>
  <c r="BG1372" i="1" s="1"/>
  <c r="BF1342" i="1"/>
  <c r="BG1342" i="1" s="1"/>
  <c r="BF1294" i="1"/>
  <c r="BG1294" i="1" s="1"/>
  <c r="BF1460" i="1"/>
  <c r="BG1460" i="1" s="1"/>
  <c r="BF1435" i="1"/>
  <c r="BG1435" i="1" s="1"/>
  <c r="BF1470" i="1"/>
  <c r="BG1470" i="1" s="1"/>
  <c r="BF1459" i="1"/>
  <c r="BG1459" i="1" s="1"/>
  <c r="BF1445" i="1"/>
  <c r="BG1445" i="1" s="1"/>
  <c r="BF1434" i="1"/>
  <c r="BG1434" i="1" s="1"/>
  <c r="BF1420" i="1"/>
  <c r="BG1420" i="1" s="1"/>
  <c r="BF1406" i="1"/>
  <c r="BG1406" i="1" s="1"/>
  <c r="BF1395" i="1"/>
  <c r="BG1395" i="1" s="1"/>
  <c r="BF1381" i="1"/>
  <c r="BG1381" i="1" s="1"/>
  <c r="BF1370" i="1"/>
  <c r="BG1370" i="1" s="1"/>
  <c r="BF1355" i="1"/>
  <c r="BG1355" i="1" s="1"/>
  <c r="BF1339" i="1"/>
  <c r="BG1339" i="1" s="1"/>
  <c r="BF1323" i="1"/>
  <c r="BG1323" i="1" s="1"/>
  <c r="BF1307" i="1"/>
  <c r="BG1307" i="1" s="1"/>
  <c r="BF1291" i="1"/>
  <c r="BG1291" i="1" s="1"/>
  <c r="BF1275" i="1"/>
  <c r="BG1275" i="1" s="1"/>
  <c r="BF1259" i="1"/>
  <c r="BG1259" i="1" s="1"/>
  <c r="BF1243" i="1"/>
  <c r="BG1243" i="1" s="1"/>
  <c r="BF1227" i="1"/>
  <c r="BG1227" i="1" s="1"/>
  <c r="BF1211" i="1"/>
  <c r="BG1211" i="1" s="1"/>
  <c r="BF1195" i="1"/>
  <c r="BG1195" i="1" s="1"/>
  <c r="BF1174" i="1"/>
  <c r="BG1174" i="1" s="1"/>
  <c r="BF1155" i="1"/>
  <c r="BG1155" i="1" s="1"/>
  <c r="BF1133" i="1"/>
  <c r="BG1133" i="1" s="1"/>
  <c r="BF1101" i="1"/>
  <c r="BG1101" i="1" s="1"/>
  <c r="BF1065" i="1"/>
  <c r="BG1065" i="1" s="1"/>
  <c r="BF1028" i="1"/>
  <c r="BG1028" i="1" s="1"/>
  <c r="BF989" i="1"/>
  <c r="BG989" i="1" s="1"/>
  <c r="BF947" i="1"/>
  <c r="BG947" i="1" s="1"/>
  <c r="BF904" i="1"/>
  <c r="BG904" i="1" s="1"/>
  <c r="BF861" i="1"/>
  <c r="BG861" i="1" s="1"/>
  <c r="BF813" i="1"/>
  <c r="BG813" i="1" s="1"/>
  <c r="BF763" i="1"/>
  <c r="BG763" i="1" s="1"/>
  <c r="BF710" i="1"/>
  <c r="BG710" i="1" s="1"/>
  <c r="BF657" i="1"/>
  <c r="BG657" i="1" s="1"/>
  <c r="BF592" i="1"/>
  <c r="BG592" i="1" s="1"/>
  <c r="BF440" i="1"/>
  <c r="BG440" i="1" s="1"/>
  <c r="BF201" i="1"/>
  <c r="BG201" i="1" s="1"/>
  <c r="AN281" i="1"/>
  <c r="AN1459" i="1"/>
  <c r="AN1448" i="1"/>
  <c r="AN1437" i="1"/>
  <c r="AN1427" i="1"/>
  <c r="AN1414" i="1"/>
  <c r="AN1404" i="1"/>
  <c r="AN1390" i="1"/>
  <c r="AN1379" i="1"/>
  <c r="AN1365" i="1"/>
  <c r="AN1354" i="1"/>
  <c r="AN1340" i="1"/>
  <c r="AN1326" i="1"/>
  <c r="AN1315" i="1"/>
  <c r="AN1301" i="1"/>
  <c r="AN1290" i="1"/>
  <c r="AN1276" i="1"/>
  <c r="AN1262" i="1"/>
  <c r="AN1251" i="1"/>
  <c r="AN1237" i="1"/>
  <c r="AN1226" i="1"/>
  <c r="AN1212" i="1"/>
  <c r="AN1198" i="1"/>
  <c r="AN1187" i="1"/>
  <c r="AN1173" i="1"/>
  <c r="AN1162" i="1"/>
  <c r="AN1148" i="1"/>
  <c r="AN1132" i="1"/>
  <c r="AN1114" i="1"/>
  <c r="AN1088" i="1"/>
  <c r="AN1061" i="1"/>
  <c r="AN1033" i="1"/>
  <c r="AN992" i="1"/>
  <c r="AN949" i="1"/>
  <c r="AN898" i="1"/>
  <c r="AN805" i="1"/>
  <c r="AN702" i="1"/>
  <c r="AN560" i="1"/>
  <c r="AN1458" i="1"/>
  <c r="AN1389" i="1"/>
  <c r="AN1325" i="1"/>
  <c r="AN1261" i="1"/>
  <c r="AN1186" i="1"/>
  <c r="AN940" i="1"/>
  <c r="AN1424" i="1"/>
  <c r="AN1299" i="1"/>
  <c r="AN1210" i="1"/>
  <c r="AN1106" i="1"/>
  <c r="AN1024" i="1"/>
  <c r="AN939" i="1"/>
  <c r="AN876" i="1"/>
  <c r="AN780" i="1"/>
  <c r="AN677" i="1"/>
  <c r="AN495" i="1"/>
  <c r="AN1468" i="1"/>
  <c r="AN1413" i="1"/>
  <c r="AN1350" i="1"/>
  <c r="AN1275" i="1"/>
  <c r="AN1197" i="1"/>
  <c r="AN1131" i="1"/>
  <c r="AN1060" i="1"/>
  <c r="AN794" i="1"/>
  <c r="AN1456" i="1"/>
  <c r="AN1374" i="1"/>
  <c r="AN1324" i="1"/>
  <c r="AN1260" i="1"/>
  <c r="AN1142" i="1"/>
  <c r="AN1411" i="1"/>
  <c r="AN1298" i="1"/>
  <c r="AN1195" i="1"/>
  <c r="AN1170" i="1"/>
  <c r="AN1125" i="1"/>
  <c r="AN1105" i="1"/>
  <c r="AN1078" i="1"/>
  <c r="AN1052" i="1"/>
  <c r="AN1014" i="1"/>
  <c r="AN972" i="1"/>
  <c r="AN930" i="1"/>
  <c r="AN866" i="1"/>
  <c r="AN766" i="1"/>
  <c r="AN664" i="1"/>
  <c r="AN447" i="1"/>
  <c r="AN1446" i="1"/>
  <c r="AN1364" i="1"/>
  <c r="AN1300" i="1"/>
  <c r="AN1222" i="1"/>
  <c r="AN1147" i="1"/>
  <c r="AN1025" i="1"/>
  <c r="AN691" i="1"/>
  <c r="AN1402" i="1"/>
  <c r="AN1338" i="1"/>
  <c r="AN1246" i="1"/>
  <c r="AN1196" i="1"/>
  <c r="AN1157" i="1"/>
  <c r="AN1080" i="1"/>
  <c r="AN1454" i="1"/>
  <c r="AN1422" i="1"/>
  <c r="AN1373" i="1"/>
  <c r="AN1323" i="1"/>
  <c r="AN1234" i="1"/>
  <c r="AN1432" i="1"/>
  <c r="AN1333" i="1"/>
  <c r="AN1258" i="1"/>
  <c r="AN1205" i="1"/>
  <c r="AN1194" i="1"/>
  <c r="AN1180" i="1"/>
  <c r="AN1166" i="1"/>
  <c r="AN1155" i="1"/>
  <c r="AN1140" i="1"/>
  <c r="AN1124" i="1"/>
  <c r="AN1098" i="1"/>
  <c r="AN1077" i="1"/>
  <c r="AN1051" i="1"/>
  <c r="AN1013" i="1"/>
  <c r="AN971" i="1"/>
  <c r="AN928" i="1"/>
  <c r="AN854" i="1"/>
  <c r="AN755" i="1"/>
  <c r="AN648" i="1"/>
  <c r="AN394" i="1"/>
  <c r="AN1469" i="1"/>
  <c r="AN1426" i="1"/>
  <c r="AN1403" i="1"/>
  <c r="AN1339" i="1"/>
  <c r="AN1286" i="1"/>
  <c r="AN1250" i="1"/>
  <c r="AN1211" i="1"/>
  <c r="AN1158" i="1"/>
  <c r="AN1086" i="1"/>
  <c r="AN982" i="1"/>
  <c r="AN536" i="1"/>
  <c r="AN1445" i="1"/>
  <c r="AN1412" i="1"/>
  <c r="AN1388" i="1"/>
  <c r="AN1349" i="1"/>
  <c r="AN1310" i="1"/>
  <c r="AN1274" i="1"/>
  <c r="AN1221" i="1"/>
  <c r="AN1171" i="1"/>
  <c r="AN1126" i="1"/>
  <c r="AN981" i="1"/>
  <c r="AN1444" i="1"/>
  <c r="AN1398" i="1"/>
  <c r="AN1362" i="1"/>
  <c r="AN1348" i="1"/>
  <c r="AN1309" i="1"/>
  <c r="AN1270" i="1"/>
  <c r="AN1245" i="1"/>
  <c r="AN1206" i="1"/>
  <c r="AN1181" i="1"/>
  <c r="AN1141" i="1"/>
  <c r="AN1464" i="1"/>
  <c r="AN1443" i="1"/>
  <c r="AN1410" i="1"/>
  <c r="AN1386" i="1"/>
  <c r="AN1358" i="1"/>
  <c r="AN1322" i="1"/>
  <c r="AN1283" i="1"/>
  <c r="AN1244" i="1"/>
  <c r="AN1442" i="1"/>
  <c r="AN1408" i="1"/>
  <c r="AN1382" i="1"/>
  <c r="AN1346" i="1"/>
  <c r="AN1318" i="1"/>
  <c r="AN1307" i="1"/>
  <c r="AN1293" i="1"/>
  <c r="AN1282" i="1"/>
  <c r="AN1268" i="1"/>
  <c r="AN1254" i="1"/>
  <c r="AN1243" i="1"/>
  <c r="AN1229" i="1"/>
  <c r="AN1218" i="1"/>
  <c r="AN1204" i="1"/>
  <c r="AN1190" i="1"/>
  <c r="AN1179" i="1"/>
  <c r="AN1165" i="1"/>
  <c r="AN1154" i="1"/>
  <c r="AN1139" i="1"/>
  <c r="AN1123" i="1"/>
  <c r="AN1097" i="1"/>
  <c r="AN1070" i="1"/>
  <c r="AN1043" i="1"/>
  <c r="AN1004" i="1"/>
  <c r="AN962" i="1"/>
  <c r="AN918" i="1"/>
  <c r="AN844" i="1"/>
  <c r="AN741" i="1"/>
  <c r="AN632" i="1"/>
  <c r="AN344" i="1"/>
  <c r="AN1436" i="1"/>
  <c r="AN1378" i="1"/>
  <c r="AN1314" i="1"/>
  <c r="AN1236" i="1"/>
  <c r="AN1172" i="1"/>
  <c r="AN1107" i="1"/>
  <c r="AN886" i="1"/>
  <c r="AN1467" i="1"/>
  <c r="AN1435" i="1"/>
  <c r="AN1363" i="1"/>
  <c r="AN1285" i="1"/>
  <c r="AN1235" i="1"/>
  <c r="AN1182" i="1"/>
  <c r="AN1059" i="1"/>
  <c r="AN1466" i="1"/>
  <c r="AN1434" i="1"/>
  <c r="AN1387" i="1"/>
  <c r="AN1334" i="1"/>
  <c r="AN1284" i="1"/>
  <c r="AN1259" i="1"/>
  <c r="AN1220" i="1"/>
  <c r="AN1156" i="1"/>
  <c r="AN1421" i="1"/>
  <c r="AN1372" i="1"/>
  <c r="AN1294" i="1"/>
  <c r="AN1230" i="1"/>
  <c r="AN1452" i="1"/>
  <c r="AN1420" i="1"/>
  <c r="AN1357" i="1"/>
  <c r="AN1440" i="1"/>
  <c r="AN1406" i="1"/>
  <c r="AN1356" i="1"/>
  <c r="AN1306" i="1"/>
  <c r="AN1253" i="1"/>
  <c r="AN1214" i="1"/>
  <c r="AN1189" i="1"/>
  <c r="AN1178" i="1"/>
  <c r="AN1164" i="1"/>
  <c r="AN1150" i="1"/>
  <c r="AN1134" i="1"/>
  <c r="AN1116" i="1"/>
  <c r="AN1096" i="1"/>
  <c r="AN1069" i="1"/>
  <c r="AN1042" i="1"/>
  <c r="AN1003" i="1"/>
  <c r="AN960" i="1"/>
  <c r="AN917" i="1"/>
  <c r="AN830" i="1"/>
  <c r="AN730" i="1"/>
  <c r="AN618" i="1"/>
  <c r="AN3" i="1"/>
  <c r="AN11" i="1"/>
  <c r="AN19" i="1"/>
  <c r="AN27" i="1"/>
  <c r="AN35" i="1"/>
  <c r="AN43" i="1"/>
  <c r="AN51" i="1"/>
  <c r="AN59" i="1"/>
  <c r="AN67" i="1"/>
  <c r="AN75" i="1"/>
  <c r="AN83" i="1"/>
  <c r="AN91" i="1"/>
  <c r="AN99" i="1"/>
  <c r="AN107" i="1"/>
  <c r="AN115" i="1"/>
  <c r="AN123" i="1"/>
  <c r="AN131" i="1"/>
  <c r="AN139" i="1"/>
  <c r="AN147" i="1"/>
  <c r="AN155" i="1"/>
  <c r="AN163" i="1"/>
  <c r="AN171" i="1"/>
  <c r="AN179" i="1"/>
  <c r="AN187" i="1"/>
  <c r="AN195" i="1"/>
  <c r="AN203" i="1"/>
  <c r="AN211" i="1"/>
  <c r="AN219" i="1"/>
  <c r="AN227" i="1"/>
  <c r="AN235" i="1"/>
  <c r="AN243" i="1"/>
  <c r="AN251" i="1"/>
  <c r="AN259" i="1"/>
  <c r="AN267" i="1"/>
  <c r="AN275" i="1"/>
  <c r="AN283" i="1"/>
  <c r="AN291" i="1"/>
  <c r="AN299" i="1"/>
  <c r="AN307" i="1"/>
  <c r="AN315" i="1"/>
  <c r="AN323" i="1"/>
  <c r="AN331" i="1"/>
  <c r="AN339" i="1"/>
  <c r="AN347" i="1"/>
  <c r="AN355" i="1"/>
  <c r="AN363" i="1"/>
  <c r="AN371" i="1"/>
  <c r="AN379" i="1"/>
  <c r="AN387" i="1"/>
  <c r="AN395" i="1"/>
  <c r="AN403" i="1"/>
  <c r="AN411" i="1"/>
  <c r="AN419" i="1"/>
  <c r="AN427" i="1"/>
  <c r="AN435" i="1"/>
  <c r="AN443" i="1"/>
  <c r="AN451" i="1"/>
  <c r="AN459" i="1"/>
  <c r="AN467" i="1"/>
  <c r="AN475" i="1"/>
  <c r="AN483" i="1"/>
  <c r="AN491" i="1"/>
  <c r="AN499" i="1"/>
  <c r="AN507" i="1"/>
  <c r="AN515" i="1"/>
  <c r="AN523" i="1"/>
  <c r="AN531" i="1"/>
  <c r="AN539" i="1"/>
  <c r="AN547" i="1"/>
  <c r="AN555" i="1"/>
  <c r="AN563" i="1"/>
  <c r="AN571" i="1"/>
  <c r="AN579" i="1"/>
  <c r="AN587" i="1"/>
  <c r="AN595" i="1"/>
  <c r="AN603" i="1"/>
  <c r="AN611" i="1"/>
  <c r="AN619" i="1"/>
  <c r="AN627" i="1"/>
  <c r="AN635" i="1"/>
  <c r="AN643" i="1"/>
  <c r="AN651" i="1"/>
  <c r="AN659" i="1"/>
  <c r="AN667" i="1"/>
  <c r="AN675" i="1"/>
  <c r="AN4" i="1"/>
  <c r="AN12" i="1"/>
  <c r="AN20" i="1"/>
  <c r="AN28" i="1"/>
  <c r="AN36" i="1"/>
  <c r="AN44" i="1"/>
  <c r="AN52" i="1"/>
  <c r="AN60" i="1"/>
  <c r="AN68" i="1"/>
  <c r="AN76" i="1"/>
  <c r="AN84" i="1"/>
  <c r="AN92" i="1"/>
  <c r="AN100" i="1"/>
  <c r="AN108" i="1"/>
  <c r="AN116" i="1"/>
  <c r="AN124" i="1"/>
  <c r="AN132" i="1"/>
  <c r="AN140" i="1"/>
  <c r="AN148" i="1"/>
  <c r="AN156" i="1"/>
  <c r="AN164" i="1"/>
  <c r="AN172" i="1"/>
  <c r="AN180" i="1"/>
  <c r="AN188" i="1"/>
  <c r="AN196" i="1"/>
  <c r="AN204" i="1"/>
  <c r="AN212" i="1"/>
  <c r="AN220" i="1"/>
  <c r="AN228" i="1"/>
  <c r="AN236" i="1"/>
  <c r="AN244" i="1"/>
  <c r="AN252" i="1"/>
  <c r="AN260" i="1"/>
  <c r="AN268" i="1"/>
  <c r="AN276" i="1"/>
  <c r="AN284" i="1"/>
  <c r="AN292" i="1"/>
  <c r="AN300" i="1"/>
  <c r="AN308" i="1"/>
  <c r="AN316" i="1"/>
  <c r="AN324" i="1"/>
  <c r="AN332" i="1"/>
  <c r="AN340" i="1"/>
  <c r="AN348" i="1"/>
  <c r="AN356" i="1"/>
  <c r="AN364" i="1"/>
  <c r="AN372" i="1"/>
  <c r="AN380" i="1"/>
  <c r="AN388" i="1"/>
  <c r="AN396" i="1"/>
  <c r="AN404" i="1"/>
  <c r="AN412" i="1"/>
  <c r="AN420" i="1"/>
  <c r="AN428" i="1"/>
  <c r="AN436" i="1"/>
  <c r="AN444" i="1"/>
  <c r="AN452" i="1"/>
  <c r="AN460" i="1"/>
  <c r="AN468" i="1"/>
  <c r="AN476" i="1"/>
  <c r="AN5" i="1"/>
  <c r="AN13" i="1"/>
  <c r="AN21" i="1"/>
  <c r="AN29" i="1"/>
  <c r="AN37" i="1"/>
  <c r="AN45" i="1"/>
  <c r="AN53" i="1"/>
  <c r="AN61" i="1"/>
  <c r="AN69" i="1"/>
  <c r="AN77" i="1"/>
  <c r="AN85" i="1"/>
  <c r="AN93" i="1"/>
  <c r="AN101" i="1"/>
  <c r="AN109" i="1"/>
  <c r="AN117" i="1"/>
  <c r="AN125" i="1"/>
  <c r="AN133" i="1"/>
  <c r="AN141" i="1"/>
  <c r="AN149" i="1"/>
  <c r="AN157" i="1"/>
  <c r="AN165" i="1"/>
  <c r="AN173" i="1"/>
  <c r="AN181" i="1"/>
  <c r="AN189" i="1"/>
  <c r="AN197" i="1"/>
  <c r="AN205" i="1"/>
  <c r="AN213" i="1"/>
  <c r="AN221" i="1"/>
  <c r="AN229" i="1"/>
  <c r="AN237" i="1"/>
  <c r="AN245" i="1"/>
  <c r="AN253" i="1"/>
  <c r="AN261" i="1"/>
  <c r="AN269" i="1"/>
  <c r="AN277" i="1"/>
  <c r="AN285" i="1"/>
  <c r="AN293" i="1"/>
  <c r="AN301" i="1"/>
  <c r="AN309" i="1"/>
  <c r="AN317" i="1"/>
  <c r="AN325" i="1"/>
  <c r="AN333" i="1"/>
  <c r="AN341" i="1"/>
  <c r="AN349" i="1"/>
  <c r="AN357" i="1"/>
  <c r="AN365" i="1"/>
  <c r="AN373" i="1"/>
  <c r="AN381" i="1"/>
  <c r="AN389" i="1"/>
  <c r="AN397" i="1"/>
  <c r="AN405" i="1"/>
  <c r="AN413" i="1"/>
  <c r="AN421" i="1"/>
  <c r="AN429" i="1"/>
  <c r="AN437" i="1"/>
  <c r="AN445" i="1"/>
  <c r="AN453" i="1"/>
  <c r="AN461" i="1"/>
  <c r="AN469" i="1"/>
  <c r="AN477" i="1"/>
  <c r="AN485" i="1"/>
  <c r="AN493" i="1"/>
  <c r="AN501" i="1"/>
  <c r="AN509" i="1"/>
  <c r="AN517" i="1"/>
  <c r="AN525" i="1"/>
  <c r="AN533" i="1"/>
  <c r="AN541" i="1"/>
  <c r="AN549" i="1"/>
  <c r="AN557" i="1"/>
  <c r="AN565" i="1"/>
  <c r="AN573" i="1"/>
  <c r="AN581" i="1"/>
  <c r="AN589" i="1"/>
  <c r="AN597" i="1"/>
  <c r="AN605" i="1"/>
  <c r="AN613" i="1"/>
  <c r="AN6" i="1"/>
  <c r="AN14" i="1"/>
  <c r="AN22" i="1"/>
  <c r="AN30" i="1"/>
  <c r="AN38" i="1"/>
  <c r="AN46" i="1"/>
  <c r="AN54" i="1"/>
  <c r="AN62" i="1"/>
  <c r="AN70" i="1"/>
  <c r="AN78" i="1"/>
  <c r="AN86" i="1"/>
  <c r="AN94" i="1"/>
  <c r="AN102" i="1"/>
  <c r="AN110" i="1"/>
  <c r="AN118" i="1"/>
  <c r="AN126" i="1"/>
  <c r="AN134" i="1"/>
  <c r="AN142" i="1"/>
  <c r="AN150" i="1"/>
  <c r="AN158" i="1"/>
  <c r="AN166" i="1"/>
  <c r="AN174" i="1"/>
  <c r="AN182" i="1"/>
  <c r="AN190" i="1"/>
  <c r="AN198" i="1"/>
  <c r="AN206" i="1"/>
  <c r="AN214" i="1"/>
  <c r="AN222" i="1"/>
  <c r="AN230" i="1"/>
  <c r="AN238" i="1"/>
  <c r="AN246" i="1"/>
  <c r="AN254" i="1"/>
  <c r="AN262" i="1"/>
  <c r="AN270" i="1"/>
  <c r="AN278" i="1"/>
  <c r="AN286" i="1"/>
  <c r="AN294" i="1"/>
  <c r="AN302" i="1"/>
  <c r="AN310" i="1"/>
  <c r="AN318" i="1"/>
  <c r="AN326" i="1"/>
  <c r="AN334" i="1"/>
  <c r="AN7" i="1"/>
  <c r="AN15" i="1"/>
  <c r="AN23" i="1"/>
  <c r="AN31" i="1"/>
  <c r="AN39" i="1"/>
  <c r="AN47" i="1"/>
  <c r="AN55" i="1"/>
  <c r="AN63" i="1"/>
  <c r="AN71" i="1"/>
  <c r="AN79" i="1"/>
  <c r="AN87" i="1"/>
  <c r="AN95" i="1"/>
  <c r="AN103" i="1"/>
  <c r="AN111" i="1"/>
  <c r="AN119" i="1"/>
  <c r="AN127" i="1"/>
  <c r="AN135" i="1"/>
  <c r="AN143" i="1"/>
  <c r="AN151" i="1"/>
  <c r="AN159" i="1"/>
  <c r="AN167" i="1"/>
  <c r="AN175" i="1"/>
  <c r="AN183" i="1"/>
  <c r="AN191" i="1"/>
  <c r="AN199" i="1"/>
  <c r="AN207" i="1"/>
  <c r="AN215" i="1"/>
  <c r="AN223" i="1"/>
  <c r="AN231" i="1"/>
  <c r="AN8" i="1"/>
  <c r="AN16" i="1"/>
  <c r="AN24" i="1"/>
  <c r="AN32" i="1"/>
  <c r="AN40" i="1"/>
  <c r="AN48" i="1"/>
  <c r="AN56" i="1"/>
  <c r="AN64" i="1"/>
  <c r="AN72" i="1"/>
  <c r="AN80" i="1"/>
  <c r="AN88" i="1"/>
  <c r="AN96" i="1"/>
  <c r="AN104" i="1"/>
  <c r="AN112" i="1"/>
  <c r="AN120" i="1"/>
  <c r="AN128" i="1"/>
  <c r="AN136" i="1"/>
  <c r="AN144" i="1"/>
  <c r="AN152" i="1"/>
  <c r="AN160" i="1"/>
  <c r="AN168" i="1"/>
  <c r="AN10" i="1"/>
  <c r="AN18" i="1"/>
  <c r="AN26" i="1"/>
  <c r="AN34" i="1"/>
  <c r="AN42" i="1"/>
  <c r="AN50" i="1"/>
  <c r="AN58" i="1"/>
  <c r="AN66" i="1"/>
  <c r="AN74" i="1"/>
  <c r="AN82" i="1"/>
  <c r="AN90" i="1"/>
  <c r="AN98" i="1"/>
  <c r="AN106" i="1"/>
  <c r="AN114" i="1"/>
  <c r="AN122" i="1"/>
  <c r="AN130" i="1"/>
  <c r="B130" i="58" s="1"/>
  <c r="AN138" i="1"/>
  <c r="AN146" i="1"/>
  <c r="AN154" i="1"/>
  <c r="AN162" i="1"/>
  <c r="AN170" i="1"/>
  <c r="AN178" i="1"/>
  <c r="AN186" i="1"/>
  <c r="AN194" i="1"/>
  <c r="AN202" i="1"/>
  <c r="AN210" i="1"/>
  <c r="AN9" i="1"/>
  <c r="AN73" i="1"/>
  <c r="AN137" i="1"/>
  <c r="AN185" i="1"/>
  <c r="AN217" i="1"/>
  <c r="AN239" i="1"/>
  <c r="AN255" i="1"/>
  <c r="AN271" i="1"/>
  <c r="AN287" i="1"/>
  <c r="AN303" i="1"/>
  <c r="AN319" i="1"/>
  <c r="AN335" i="1"/>
  <c r="AN346" i="1"/>
  <c r="AN360" i="1"/>
  <c r="AN374" i="1"/>
  <c r="AN385" i="1"/>
  <c r="AN399" i="1"/>
  <c r="AN410" i="1"/>
  <c r="AN424" i="1"/>
  <c r="AN438" i="1"/>
  <c r="AN449" i="1"/>
  <c r="AN463" i="1"/>
  <c r="AN474" i="1"/>
  <c r="AN487" i="1"/>
  <c r="AN497" i="1"/>
  <c r="AN508" i="1"/>
  <c r="AN519" i="1"/>
  <c r="AN529" i="1"/>
  <c r="AN540" i="1"/>
  <c r="AN551" i="1"/>
  <c r="AN561" i="1"/>
  <c r="AN572" i="1"/>
  <c r="AN583" i="1"/>
  <c r="AN593" i="1"/>
  <c r="AN604" i="1"/>
  <c r="AN615" i="1"/>
  <c r="AN624" i="1"/>
  <c r="AN633" i="1"/>
  <c r="AN642" i="1"/>
  <c r="AN652" i="1"/>
  <c r="AN661" i="1"/>
  <c r="AN670" i="1"/>
  <c r="AN679" i="1"/>
  <c r="AN687" i="1"/>
  <c r="AN695" i="1"/>
  <c r="AN703" i="1"/>
  <c r="AN711" i="1"/>
  <c r="AN719" i="1"/>
  <c r="AN727" i="1"/>
  <c r="AN735" i="1"/>
  <c r="AN743" i="1"/>
  <c r="AN751" i="1"/>
  <c r="AN759" i="1"/>
  <c r="AN767" i="1"/>
  <c r="AN775" i="1"/>
  <c r="AN783" i="1"/>
  <c r="AN791" i="1"/>
  <c r="AN799" i="1"/>
  <c r="AN807" i="1"/>
  <c r="AN815" i="1"/>
  <c r="AN823" i="1"/>
  <c r="AN831" i="1"/>
  <c r="AN839" i="1"/>
  <c r="AN847" i="1"/>
  <c r="AN855" i="1"/>
  <c r="AN863" i="1"/>
  <c r="AN871" i="1"/>
  <c r="AN879" i="1"/>
  <c r="AN887" i="1"/>
  <c r="AN895" i="1"/>
  <c r="AN903" i="1"/>
  <c r="AN911" i="1"/>
  <c r="AN919" i="1"/>
  <c r="AN927" i="1"/>
  <c r="AN935" i="1"/>
  <c r="AN943" i="1"/>
  <c r="AN951" i="1"/>
  <c r="AN959" i="1"/>
  <c r="AN967" i="1"/>
  <c r="AN975" i="1"/>
  <c r="AN983" i="1"/>
  <c r="AN991" i="1"/>
  <c r="AN999" i="1"/>
  <c r="AN1007" i="1"/>
  <c r="AN1015" i="1"/>
  <c r="AN1023" i="1"/>
  <c r="AN1031" i="1"/>
  <c r="AN1039" i="1"/>
  <c r="AN1047" i="1"/>
  <c r="AN1055" i="1"/>
  <c r="AN1063" i="1"/>
  <c r="AN1071" i="1"/>
  <c r="AN1079" i="1"/>
  <c r="AN1087" i="1"/>
  <c r="AN1095" i="1"/>
  <c r="AN1103" i="1"/>
  <c r="AN1111" i="1"/>
  <c r="AN1119" i="1"/>
  <c r="AN17" i="1"/>
  <c r="AN81" i="1"/>
  <c r="AN145" i="1"/>
  <c r="AN192" i="1"/>
  <c r="AN218" i="1"/>
  <c r="AN240" i="1"/>
  <c r="AN256" i="1"/>
  <c r="AN272" i="1"/>
  <c r="AN288" i="1"/>
  <c r="AN304" i="1"/>
  <c r="AN320" i="1"/>
  <c r="AN336" i="1"/>
  <c r="AN350" i="1"/>
  <c r="AN361" i="1"/>
  <c r="AN375" i="1"/>
  <c r="AN386" i="1"/>
  <c r="AN400" i="1"/>
  <c r="AN414" i="1"/>
  <c r="AN425" i="1"/>
  <c r="AN439" i="1"/>
  <c r="AN450" i="1"/>
  <c r="AN464" i="1"/>
  <c r="AN478" i="1"/>
  <c r="AN488" i="1"/>
  <c r="AN498" i="1"/>
  <c r="AN510" i="1"/>
  <c r="AN520" i="1"/>
  <c r="AN530" i="1"/>
  <c r="AN542" i="1"/>
  <c r="AN552" i="1"/>
  <c r="AN562" i="1"/>
  <c r="AN574" i="1"/>
  <c r="AN584" i="1"/>
  <c r="AN594" i="1"/>
  <c r="AN606" i="1"/>
  <c r="AN616" i="1"/>
  <c r="AN625" i="1"/>
  <c r="AN634" i="1"/>
  <c r="AN644" i="1"/>
  <c r="AN653" i="1"/>
  <c r="AN662" i="1"/>
  <c r="AN671" i="1"/>
  <c r="AN680" i="1"/>
  <c r="AN688" i="1"/>
  <c r="AN696" i="1"/>
  <c r="AN704" i="1"/>
  <c r="AN712" i="1"/>
  <c r="AN720" i="1"/>
  <c r="AN728" i="1"/>
  <c r="AN736" i="1"/>
  <c r="AN744" i="1"/>
  <c r="AN752" i="1"/>
  <c r="AN760" i="1"/>
  <c r="AN768" i="1"/>
  <c r="AN776" i="1"/>
  <c r="AN784" i="1"/>
  <c r="AN792" i="1"/>
  <c r="AN800" i="1"/>
  <c r="AN808" i="1"/>
  <c r="AN816" i="1"/>
  <c r="AN824" i="1"/>
  <c r="AN832" i="1"/>
  <c r="AN840" i="1"/>
  <c r="AN25" i="1"/>
  <c r="AN89" i="1"/>
  <c r="AN153" i="1"/>
  <c r="AN193" i="1"/>
  <c r="AN224" i="1"/>
  <c r="AN241" i="1"/>
  <c r="AN257" i="1"/>
  <c r="AN273" i="1"/>
  <c r="AN289" i="1"/>
  <c r="AN305" i="1"/>
  <c r="AN321" i="1"/>
  <c r="AN337" i="1"/>
  <c r="AN351" i="1"/>
  <c r="AN362" i="1"/>
  <c r="AN376" i="1"/>
  <c r="AN390" i="1"/>
  <c r="AN401" i="1"/>
  <c r="AN415" i="1"/>
  <c r="AN426" i="1"/>
  <c r="AN440" i="1"/>
  <c r="AN454" i="1"/>
  <c r="AN465" i="1"/>
  <c r="AN479" i="1"/>
  <c r="AN489" i="1"/>
  <c r="AN500" i="1"/>
  <c r="AN511" i="1"/>
  <c r="AN521" i="1"/>
  <c r="AN532" i="1"/>
  <c r="AN543" i="1"/>
  <c r="AN553" i="1"/>
  <c r="AN564" i="1"/>
  <c r="AN575" i="1"/>
  <c r="AN585" i="1"/>
  <c r="AN596" i="1"/>
  <c r="AN607" i="1"/>
  <c r="AN617" i="1"/>
  <c r="AN626" i="1"/>
  <c r="AN636" i="1"/>
  <c r="AN645" i="1"/>
  <c r="AN654" i="1"/>
  <c r="AN663" i="1"/>
  <c r="AN672" i="1"/>
  <c r="AN681" i="1"/>
  <c r="AN689" i="1"/>
  <c r="AN697" i="1"/>
  <c r="AN705" i="1"/>
  <c r="AN713" i="1"/>
  <c r="AN721" i="1"/>
  <c r="AN729" i="1"/>
  <c r="AN737" i="1"/>
  <c r="AN745" i="1"/>
  <c r="AN753" i="1"/>
  <c r="AN761" i="1"/>
  <c r="AN769" i="1"/>
  <c r="AN777" i="1"/>
  <c r="AN785" i="1"/>
  <c r="AN793" i="1"/>
  <c r="AN801" i="1"/>
  <c r="AN809" i="1"/>
  <c r="AN817" i="1"/>
  <c r="AN825" i="1"/>
  <c r="AN833" i="1"/>
  <c r="AN841" i="1"/>
  <c r="AN849" i="1"/>
  <c r="AN857" i="1"/>
  <c r="AN865" i="1"/>
  <c r="AN873" i="1"/>
  <c r="AN881" i="1"/>
  <c r="AN889" i="1"/>
  <c r="AN897" i="1"/>
  <c r="AN905" i="1"/>
  <c r="AN913" i="1"/>
  <c r="AN921" i="1"/>
  <c r="AN929" i="1"/>
  <c r="AN937" i="1"/>
  <c r="AN945" i="1"/>
  <c r="AN953" i="1"/>
  <c r="AN961" i="1"/>
  <c r="AN969" i="1"/>
  <c r="AN977" i="1"/>
  <c r="AN985" i="1"/>
  <c r="AN993" i="1"/>
  <c r="AN1001" i="1"/>
  <c r="AN1009" i="1"/>
  <c r="AN1017" i="1"/>
  <c r="AN33" i="1"/>
  <c r="AN97" i="1"/>
  <c r="AN161" i="1"/>
  <c r="AN200" i="1"/>
  <c r="AN225" i="1"/>
  <c r="AN242" i="1"/>
  <c r="AN258" i="1"/>
  <c r="AN274" i="1"/>
  <c r="AN290" i="1"/>
  <c r="AN306" i="1"/>
  <c r="AN322" i="1"/>
  <c r="AN338" i="1"/>
  <c r="AN352" i="1"/>
  <c r="AN366" i="1"/>
  <c r="AN377" i="1"/>
  <c r="AN391" i="1"/>
  <c r="AN402" i="1"/>
  <c r="AN416" i="1"/>
  <c r="AN430" i="1"/>
  <c r="AN441" i="1"/>
  <c r="AN455" i="1"/>
  <c r="AN466" i="1"/>
  <c r="AN480" i="1"/>
  <c r="AN490" i="1"/>
  <c r="AN502" i="1"/>
  <c r="AN512" i="1"/>
  <c r="AN522" i="1"/>
  <c r="AN534" i="1"/>
  <c r="AN544" i="1"/>
  <c r="AN554" i="1"/>
  <c r="AN566" i="1"/>
  <c r="AN576" i="1"/>
  <c r="AN586" i="1"/>
  <c r="AN598" i="1"/>
  <c r="AN608" i="1"/>
  <c r="AN41" i="1"/>
  <c r="AN105" i="1"/>
  <c r="AN169" i="1"/>
  <c r="AN201" i="1"/>
  <c r="AN226" i="1"/>
  <c r="AN247" i="1"/>
  <c r="AN263" i="1"/>
  <c r="AN279" i="1"/>
  <c r="AN295" i="1"/>
  <c r="AN311" i="1"/>
  <c r="AN327" i="1"/>
  <c r="AN342" i="1"/>
  <c r="AN353" i="1"/>
  <c r="AN367" i="1"/>
  <c r="AN378" i="1"/>
  <c r="AN392" i="1"/>
  <c r="AN406" i="1"/>
  <c r="AN417" i="1"/>
  <c r="AN431" i="1"/>
  <c r="AN442" i="1"/>
  <c r="AN456" i="1"/>
  <c r="AN470" i="1"/>
  <c r="AN481" i="1"/>
  <c r="AN492" i="1"/>
  <c r="AN503" i="1"/>
  <c r="AN513" i="1"/>
  <c r="AN524" i="1"/>
  <c r="AN535" i="1"/>
  <c r="AN545" i="1"/>
  <c r="AN556" i="1"/>
  <c r="AN567" i="1"/>
  <c r="AN577" i="1"/>
  <c r="AN588" i="1"/>
  <c r="AN599" i="1"/>
  <c r="AN609" i="1"/>
  <c r="AN620" i="1"/>
  <c r="AN49" i="1"/>
  <c r="AN65" i="1"/>
  <c r="AN129" i="1"/>
  <c r="AN184" i="1"/>
  <c r="AN216" i="1"/>
  <c r="AN234" i="1"/>
  <c r="AN250" i="1"/>
  <c r="AN266" i="1"/>
  <c r="AN282" i="1"/>
  <c r="AN298" i="1"/>
  <c r="AN314" i="1"/>
  <c r="AN330" i="1"/>
  <c r="AN345" i="1"/>
  <c r="AN359" i="1"/>
  <c r="AN370" i="1"/>
  <c r="AN384" i="1"/>
  <c r="AN398" i="1"/>
  <c r="AN409" i="1"/>
  <c r="AN423" i="1"/>
  <c r="AN434" i="1"/>
  <c r="AN448" i="1"/>
  <c r="AN462" i="1"/>
  <c r="AN473" i="1"/>
  <c r="AN486" i="1"/>
  <c r="AN496" i="1"/>
  <c r="AN506" i="1"/>
  <c r="AN518" i="1"/>
  <c r="AN57" i="1"/>
  <c r="AN233" i="1"/>
  <c r="AN297" i="1"/>
  <c r="AN358" i="1"/>
  <c r="AN408" i="1"/>
  <c r="AN458" i="1"/>
  <c r="AN505" i="1"/>
  <c r="AN538" i="1"/>
  <c r="AN569" i="1"/>
  <c r="AN600" i="1"/>
  <c r="AN622" i="1"/>
  <c r="AN638" i="1"/>
  <c r="AN650" i="1"/>
  <c r="AN666" i="1"/>
  <c r="AN682" i="1"/>
  <c r="AN693" i="1"/>
  <c r="AN707" i="1"/>
  <c r="AN718" i="1"/>
  <c r="AN732" i="1"/>
  <c r="AN746" i="1"/>
  <c r="AN757" i="1"/>
  <c r="AN771" i="1"/>
  <c r="AN782" i="1"/>
  <c r="AN796" i="1"/>
  <c r="AN810" i="1"/>
  <c r="AN821" i="1"/>
  <c r="AN835" i="1"/>
  <c r="AN846" i="1"/>
  <c r="AN858" i="1"/>
  <c r="AN868" i="1"/>
  <c r="AN878" i="1"/>
  <c r="AN890" i="1"/>
  <c r="AN900" i="1"/>
  <c r="AN910" i="1"/>
  <c r="AN922" i="1"/>
  <c r="AN932" i="1"/>
  <c r="AN942" i="1"/>
  <c r="AN954" i="1"/>
  <c r="AN964" i="1"/>
  <c r="AN974" i="1"/>
  <c r="AN986" i="1"/>
  <c r="AN996" i="1"/>
  <c r="AN1006" i="1"/>
  <c r="AN1018" i="1"/>
  <c r="AN1027" i="1"/>
  <c r="AN1036" i="1"/>
  <c r="AN1045" i="1"/>
  <c r="AN1054" i="1"/>
  <c r="AN1064" i="1"/>
  <c r="AN1073" i="1"/>
  <c r="AN1082" i="1"/>
  <c r="AN1091" i="1"/>
  <c r="AN1100" i="1"/>
  <c r="AN1109" i="1"/>
  <c r="AN1118" i="1"/>
  <c r="AN1127" i="1"/>
  <c r="AN1135" i="1"/>
  <c r="AN1143" i="1"/>
  <c r="AN1151" i="1"/>
  <c r="AN1159" i="1"/>
  <c r="AN1167" i="1"/>
  <c r="AN1175" i="1"/>
  <c r="AN1183" i="1"/>
  <c r="AN1191" i="1"/>
  <c r="AN1199" i="1"/>
  <c r="AN1207" i="1"/>
  <c r="AN1215" i="1"/>
  <c r="AN1223" i="1"/>
  <c r="AN1231" i="1"/>
  <c r="AN1239" i="1"/>
  <c r="AN1247" i="1"/>
  <c r="AN1255" i="1"/>
  <c r="AN1263" i="1"/>
  <c r="AN1271" i="1"/>
  <c r="AN1279" i="1"/>
  <c r="AN1287" i="1"/>
  <c r="AN1295" i="1"/>
  <c r="AN1303" i="1"/>
  <c r="AN1311" i="1"/>
  <c r="AN1319" i="1"/>
  <c r="AN1327" i="1"/>
  <c r="AN1335" i="1"/>
  <c r="AN1343" i="1"/>
  <c r="AN1351" i="1"/>
  <c r="AN1359" i="1"/>
  <c r="AN1367" i="1"/>
  <c r="AN1375" i="1"/>
  <c r="AN1383" i="1"/>
  <c r="AN1391" i="1"/>
  <c r="AN1399" i="1"/>
  <c r="AN1407" i="1"/>
  <c r="AN1415" i="1"/>
  <c r="AN1423" i="1"/>
  <c r="AN1431" i="1"/>
  <c r="AN1439" i="1"/>
  <c r="AN1447" i="1"/>
  <c r="AN1455" i="1"/>
  <c r="AN1463" i="1"/>
  <c r="AN1471" i="1"/>
  <c r="AN1336" i="1"/>
  <c r="AN1352" i="1"/>
  <c r="AN1368" i="1"/>
  <c r="AN1384" i="1"/>
  <c r="AN1400" i="1"/>
  <c r="AN1416" i="1"/>
  <c r="AN113" i="1"/>
  <c r="AN248" i="1"/>
  <c r="AN312" i="1"/>
  <c r="AN368" i="1"/>
  <c r="AN418" i="1"/>
  <c r="AN471" i="1"/>
  <c r="AN514" i="1"/>
  <c r="AN546" i="1"/>
  <c r="AN570" i="1"/>
  <c r="AN601" i="1"/>
  <c r="AN623" i="1"/>
  <c r="AN639" i="1"/>
  <c r="AN655" i="1"/>
  <c r="AN668" i="1"/>
  <c r="AN683" i="1"/>
  <c r="AN694" i="1"/>
  <c r="AN708" i="1"/>
  <c r="AN722" i="1"/>
  <c r="AN733" i="1"/>
  <c r="AN747" i="1"/>
  <c r="AN758" i="1"/>
  <c r="AN772" i="1"/>
  <c r="AN786" i="1"/>
  <c r="AN797" i="1"/>
  <c r="AN811" i="1"/>
  <c r="AN822" i="1"/>
  <c r="AN836" i="1"/>
  <c r="AN848" i="1"/>
  <c r="AN859" i="1"/>
  <c r="AN869" i="1"/>
  <c r="AN880" i="1"/>
  <c r="AN891" i="1"/>
  <c r="AN901" i="1"/>
  <c r="AN912" i="1"/>
  <c r="AN923" i="1"/>
  <c r="AN933" i="1"/>
  <c r="AN944" i="1"/>
  <c r="AN955" i="1"/>
  <c r="AN965" i="1"/>
  <c r="AN976" i="1"/>
  <c r="AN987" i="1"/>
  <c r="AN997" i="1"/>
  <c r="AN1008" i="1"/>
  <c r="AN1019" i="1"/>
  <c r="AN1028" i="1"/>
  <c r="AN1037" i="1"/>
  <c r="AN1046" i="1"/>
  <c r="AN1056" i="1"/>
  <c r="AN1065" i="1"/>
  <c r="AN1074" i="1"/>
  <c r="AN1083" i="1"/>
  <c r="AN1092" i="1"/>
  <c r="AN1101" i="1"/>
  <c r="AN1110" i="1"/>
  <c r="AN1120" i="1"/>
  <c r="AN1128" i="1"/>
  <c r="AN1136" i="1"/>
  <c r="AN1144" i="1"/>
  <c r="AN1152" i="1"/>
  <c r="AN1160" i="1"/>
  <c r="AN1168" i="1"/>
  <c r="AN1176" i="1"/>
  <c r="AN1184" i="1"/>
  <c r="AN1192" i="1"/>
  <c r="AN1200" i="1"/>
  <c r="AN1208" i="1"/>
  <c r="AN1216" i="1"/>
  <c r="AN1224" i="1"/>
  <c r="AN1232" i="1"/>
  <c r="AN1240" i="1"/>
  <c r="AN1248" i="1"/>
  <c r="AN1256" i="1"/>
  <c r="AN1264" i="1"/>
  <c r="AN1272" i="1"/>
  <c r="AN1280" i="1"/>
  <c r="AN1288" i="1"/>
  <c r="AN1296" i="1"/>
  <c r="AN1304" i="1"/>
  <c r="AN1312" i="1"/>
  <c r="AN1320" i="1"/>
  <c r="AN1328" i="1"/>
  <c r="AN1344" i="1"/>
  <c r="AN1360" i="1"/>
  <c r="AN1376" i="1"/>
  <c r="AN1392" i="1"/>
  <c r="AN121" i="1"/>
  <c r="AN249" i="1"/>
  <c r="AN313" i="1"/>
  <c r="AN369" i="1"/>
  <c r="AN422" i="1"/>
  <c r="AN472" i="1"/>
  <c r="AN516" i="1"/>
  <c r="AN548" i="1"/>
  <c r="AN578" i="1"/>
  <c r="AN602" i="1"/>
  <c r="AN628" i="1"/>
  <c r="AN640" i="1"/>
  <c r="AN656" i="1"/>
  <c r="AN669" i="1"/>
  <c r="AN684" i="1"/>
  <c r="AN698" i="1"/>
  <c r="AN709" i="1"/>
  <c r="AN723" i="1"/>
  <c r="AN734" i="1"/>
  <c r="AN748" i="1"/>
  <c r="AN762" i="1"/>
  <c r="AN773" i="1"/>
  <c r="AN787" i="1"/>
  <c r="AN798" i="1"/>
  <c r="AN812" i="1"/>
  <c r="AN826" i="1"/>
  <c r="AN837" i="1"/>
  <c r="AN850" i="1"/>
  <c r="AN860" i="1"/>
  <c r="AN870" i="1"/>
  <c r="AN882" i="1"/>
  <c r="AN892" i="1"/>
  <c r="AN902" i="1"/>
  <c r="AN914" i="1"/>
  <c r="AN924" i="1"/>
  <c r="AN934" i="1"/>
  <c r="AN946" i="1"/>
  <c r="AN956" i="1"/>
  <c r="AN966" i="1"/>
  <c r="AN978" i="1"/>
  <c r="AN988" i="1"/>
  <c r="AN998" i="1"/>
  <c r="AN1010" i="1"/>
  <c r="AN1020" i="1"/>
  <c r="AN1029" i="1"/>
  <c r="AN1038" i="1"/>
  <c r="AN1048" i="1"/>
  <c r="AN1057" i="1"/>
  <c r="AN1066" i="1"/>
  <c r="AN1075" i="1"/>
  <c r="AN1084" i="1"/>
  <c r="AN1093" i="1"/>
  <c r="AN1102" i="1"/>
  <c r="AN1112" i="1"/>
  <c r="AN1121" i="1"/>
  <c r="AN1129" i="1"/>
  <c r="AN1137" i="1"/>
  <c r="AN1145" i="1"/>
  <c r="AN1153" i="1"/>
  <c r="AN1161" i="1"/>
  <c r="AN1169" i="1"/>
  <c r="AN1177" i="1"/>
  <c r="AN1185" i="1"/>
  <c r="AN1193" i="1"/>
  <c r="AN1201" i="1"/>
  <c r="AN1209" i="1"/>
  <c r="AN1217" i="1"/>
  <c r="AN1225" i="1"/>
  <c r="AN1233" i="1"/>
  <c r="AN1241" i="1"/>
  <c r="AN1249" i="1"/>
  <c r="AN1257" i="1"/>
  <c r="AN1265" i="1"/>
  <c r="AN1273" i="1"/>
  <c r="AN1281" i="1"/>
  <c r="AN1289" i="1"/>
  <c r="AN1297" i="1"/>
  <c r="AN1305" i="1"/>
  <c r="AN1313" i="1"/>
  <c r="AN1321" i="1"/>
  <c r="AN1329" i="1"/>
  <c r="AN1337" i="1"/>
  <c r="AN1345" i="1"/>
  <c r="AN1353" i="1"/>
  <c r="AN1361" i="1"/>
  <c r="AN1369" i="1"/>
  <c r="AN1377" i="1"/>
  <c r="AN1385" i="1"/>
  <c r="AN1393" i="1"/>
  <c r="AN1401" i="1"/>
  <c r="AN1409" i="1"/>
  <c r="AN1417" i="1"/>
  <c r="AN1425" i="1"/>
  <c r="AN1433" i="1"/>
  <c r="AN1441" i="1"/>
  <c r="AN1449" i="1"/>
  <c r="AN1457" i="1"/>
  <c r="AN1465" i="1"/>
  <c r="AN176" i="1"/>
  <c r="AN264" i="1"/>
  <c r="AN328" i="1"/>
  <c r="AN382" i="1"/>
  <c r="AN432" i="1"/>
  <c r="AN482" i="1"/>
  <c r="AN526" i="1"/>
  <c r="AN550" i="1"/>
  <c r="AN580" i="1"/>
  <c r="AN610" i="1"/>
  <c r="AN629" i="1"/>
  <c r="AN641" i="1"/>
  <c r="AN657" i="1"/>
  <c r="AN673" i="1"/>
  <c r="AN685" i="1"/>
  <c r="AN699" i="1"/>
  <c r="AN710" i="1"/>
  <c r="AN724" i="1"/>
  <c r="AN738" i="1"/>
  <c r="AN749" i="1"/>
  <c r="AN763" i="1"/>
  <c r="AN774" i="1"/>
  <c r="AN788" i="1"/>
  <c r="AN802" i="1"/>
  <c r="AN813" i="1"/>
  <c r="AN827" i="1"/>
  <c r="AN838" i="1"/>
  <c r="AN851" i="1"/>
  <c r="AN861" i="1"/>
  <c r="AN872" i="1"/>
  <c r="AN883" i="1"/>
  <c r="AN893" i="1"/>
  <c r="AN904" i="1"/>
  <c r="AN915" i="1"/>
  <c r="AN925" i="1"/>
  <c r="AN936" i="1"/>
  <c r="AN947" i="1"/>
  <c r="AN957" i="1"/>
  <c r="AN968" i="1"/>
  <c r="AN979" i="1"/>
  <c r="AN989" i="1"/>
  <c r="AN1000" i="1"/>
  <c r="AN1011" i="1"/>
  <c r="AN1021" i="1"/>
  <c r="AN1030" i="1"/>
  <c r="AN1040" i="1"/>
  <c r="AN1049" i="1"/>
  <c r="AN1058" i="1"/>
  <c r="AN1067" i="1"/>
  <c r="AN1076" i="1"/>
  <c r="AN1085" i="1"/>
  <c r="AN1094" i="1"/>
  <c r="AN1104" i="1"/>
  <c r="AN1113" i="1"/>
  <c r="AN1122" i="1"/>
  <c r="AN1130" i="1"/>
  <c r="AN1138" i="1"/>
  <c r="AN1146" i="1"/>
  <c r="AN177" i="1"/>
  <c r="AN265" i="1"/>
  <c r="AN329" i="1"/>
  <c r="AN383" i="1"/>
  <c r="AN433" i="1"/>
  <c r="AN484" i="1"/>
  <c r="AN527" i="1"/>
  <c r="AN558" i="1"/>
  <c r="AN582" i="1"/>
  <c r="AN612" i="1"/>
  <c r="AN630" i="1"/>
  <c r="AN646" i="1"/>
  <c r="AN658" i="1"/>
  <c r="AN674" i="1"/>
  <c r="AN686" i="1"/>
  <c r="AN700" i="1"/>
  <c r="AN714" i="1"/>
  <c r="AN725" i="1"/>
  <c r="AN739" i="1"/>
  <c r="AN750" i="1"/>
  <c r="AN764" i="1"/>
  <c r="AN778" i="1"/>
  <c r="AN789" i="1"/>
  <c r="AN803" i="1"/>
  <c r="AN814" i="1"/>
  <c r="AN828" i="1"/>
  <c r="AN842" i="1"/>
  <c r="AN852" i="1"/>
  <c r="AN862" i="1"/>
  <c r="AN874" i="1"/>
  <c r="AN884" i="1"/>
  <c r="AN894" i="1"/>
  <c r="AN906" i="1"/>
  <c r="AN916" i="1"/>
  <c r="AN926" i="1"/>
  <c r="AN938" i="1"/>
  <c r="AN948" i="1"/>
  <c r="AN958" i="1"/>
  <c r="AN970" i="1"/>
  <c r="AN980" i="1"/>
  <c r="AN990" i="1"/>
  <c r="AN1002" i="1"/>
  <c r="AN1012" i="1"/>
  <c r="AN1022" i="1"/>
  <c r="AN1032" i="1"/>
  <c r="AN1041" i="1"/>
  <c r="AN1050" i="1"/>
  <c r="AN208" i="1"/>
  <c r="AN280" i="1"/>
  <c r="AN343" i="1"/>
  <c r="AN393" i="1"/>
  <c r="AN446" i="1"/>
  <c r="AN494" i="1"/>
  <c r="AN528" i="1"/>
  <c r="AN559" i="1"/>
  <c r="AN590" i="1"/>
  <c r="AN614" i="1"/>
  <c r="AN631" i="1"/>
  <c r="AN647" i="1"/>
  <c r="AN660" i="1"/>
  <c r="AN676" i="1"/>
  <c r="AN690" i="1"/>
  <c r="AN701" i="1"/>
  <c r="AN715" i="1"/>
  <c r="AN726" i="1"/>
  <c r="AN740" i="1"/>
  <c r="AN754" i="1"/>
  <c r="AN765" i="1"/>
  <c r="AN779" i="1"/>
  <c r="AN790" i="1"/>
  <c r="AN804" i="1"/>
  <c r="AN818" i="1"/>
  <c r="AN829" i="1"/>
  <c r="AN843" i="1"/>
  <c r="AN853" i="1"/>
  <c r="AN864" i="1"/>
  <c r="AN875" i="1"/>
  <c r="AN885" i="1"/>
  <c r="AN896" i="1"/>
  <c r="AN907" i="1"/>
  <c r="AN232" i="1"/>
  <c r="AN296" i="1"/>
  <c r="AN354" i="1"/>
  <c r="AN407" i="1"/>
  <c r="AN457" i="1"/>
  <c r="AN504" i="1"/>
  <c r="AN537" i="1"/>
  <c r="AN568" i="1"/>
  <c r="AN592" i="1"/>
  <c r="AN621" i="1"/>
  <c r="AN637" i="1"/>
  <c r="AN649" i="1"/>
  <c r="AN665" i="1"/>
  <c r="AN678" i="1"/>
  <c r="AN692" i="1"/>
  <c r="AN706" i="1"/>
  <c r="AN717" i="1"/>
  <c r="AN731" i="1"/>
  <c r="AN742" i="1"/>
  <c r="AN756" i="1"/>
  <c r="AN770" i="1"/>
  <c r="AN781" i="1"/>
  <c r="AN795" i="1"/>
  <c r="AN806" i="1"/>
  <c r="AN820" i="1"/>
  <c r="AN834" i="1"/>
  <c r="AN845" i="1"/>
  <c r="AN856" i="1"/>
  <c r="AN867" i="1"/>
  <c r="AN877" i="1"/>
  <c r="AN888" i="1"/>
  <c r="AN899" i="1"/>
  <c r="AN909" i="1"/>
  <c r="AN920" i="1"/>
  <c r="AN931" i="1"/>
  <c r="AN941" i="1"/>
  <c r="AN952" i="1"/>
  <c r="AN963" i="1"/>
  <c r="AN973" i="1"/>
  <c r="AN984" i="1"/>
  <c r="AN995" i="1"/>
  <c r="AN1005" i="1"/>
  <c r="AN1016" i="1"/>
  <c r="AN1026" i="1"/>
  <c r="AN1035" i="1"/>
  <c r="AN1044" i="1"/>
  <c r="AN1053" i="1"/>
  <c r="AN1062" i="1"/>
  <c r="AN1072" i="1"/>
  <c r="AN1081" i="1"/>
  <c r="AN1090" i="1"/>
  <c r="AN1099" i="1"/>
  <c r="AN1108" i="1"/>
  <c r="AN1117" i="1"/>
  <c r="AN1453" i="1"/>
  <c r="AN1397" i="1"/>
  <c r="AN1347" i="1"/>
  <c r="AN1308" i="1"/>
  <c r="AN1269" i="1"/>
  <c r="AN1219" i="1"/>
  <c r="AN1462" i="1"/>
  <c r="AN1430" i="1"/>
  <c r="AN1396" i="1"/>
  <c r="AN1371" i="1"/>
  <c r="AN1332" i="1"/>
  <c r="AN2" i="1"/>
  <c r="AN1461" i="1"/>
  <c r="AN1451" i="1"/>
  <c r="AN1429" i="1"/>
  <c r="AN1419" i="1"/>
  <c r="AN1395" i="1"/>
  <c r="AN1381" i="1"/>
  <c r="AN1370" i="1"/>
  <c r="AN1342" i="1"/>
  <c r="AN1331" i="1"/>
  <c r="AN1317" i="1"/>
  <c r="AN1292" i="1"/>
  <c r="AN1278" i="1"/>
  <c r="AN1267" i="1"/>
  <c r="AN1242" i="1"/>
  <c r="AN1228" i="1"/>
  <c r="AN1203" i="1"/>
  <c r="AN1470" i="1"/>
  <c r="AN1460" i="1"/>
  <c r="AN1450" i="1"/>
  <c r="AN1438" i="1"/>
  <c r="AN1428" i="1"/>
  <c r="AN1418" i="1"/>
  <c r="AN1405" i="1"/>
  <c r="AN1394" i="1"/>
  <c r="AN1380" i="1"/>
  <c r="AN1366" i="1"/>
  <c r="AN1355" i="1"/>
  <c r="AN1341" i="1"/>
  <c r="AN1330" i="1"/>
  <c r="AN1316" i="1"/>
  <c r="AN1302" i="1"/>
  <c r="AN1291" i="1"/>
  <c r="AN1277" i="1"/>
  <c r="AN1266" i="1"/>
  <c r="AN1252" i="1"/>
  <c r="AN1238" i="1"/>
  <c r="AN1227" i="1"/>
  <c r="AN1213" i="1"/>
  <c r="AN1202" i="1"/>
  <c r="AN1188" i="1"/>
  <c r="AN1174" i="1"/>
  <c r="AN1163" i="1"/>
  <c r="AN1149" i="1"/>
  <c r="AN1133" i="1"/>
  <c r="AN1115" i="1"/>
  <c r="AN1089" i="1"/>
  <c r="AN1068" i="1"/>
  <c r="AN1034" i="1"/>
  <c r="AN994" i="1"/>
  <c r="AN950" i="1"/>
  <c r="AN908" i="1"/>
  <c r="AN819" i="1"/>
  <c r="AN716" i="1"/>
  <c r="AN591" i="1"/>
  <c r="AN209" i="1"/>
  <c r="BV3" i="1"/>
  <c r="BV4" i="1"/>
  <c r="BV5" i="1"/>
  <c r="BV6" i="1"/>
  <c r="BV7" i="1"/>
  <c r="BV8" i="1"/>
  <c r="BV9" i="1"/>
  <c r="BV10" i="1"/>
  <c r="BV11" i="1"/>
  <c r="BV12" i="1"/>
  <c r="BV13" i="1"/>
  <c r="BV14" i="1"/>
  <c r="BV15" i="1"/>
  <c r="BV16" i="1"/>
  <c r="BV17" i="1"/>
  <c r="BV18" i="1"/>
  <c r="BV19" i="1"/>
  <c r="BV20" i="1"/>
  <c r="BV21" i="1"/>
  <c r="BV22" i="1"/>
  <c r="BV23" i="1"/>
  <c r="BV24" i="1"/>
  <c r="BV25" i="1"/>
  <c r="BV26" i="1"/>
  <c r="BV27" i="1"/>
  <c r="BV28" i="1"/>
  <c r="BV29" i="1"/>
  <c r="BV30" i="1"/>
  <c r="BV31" i="1"/>
  <c r="BV32" i="1"/>
  <c r="BV33" i="1"/>
  <c r="BV34" i="1"/>
  <c r="BV35" i="1"/>
  <c r="BV36" i="1"/>
  <c r="BV37" i="1"/>
  <c r="BV38" i="1"/>
  <c r="BV39" i="1"/>
  <c r="BV40" i="1"/>
  <c r="BV41" i="1"/>
  <c r="BV42" i="1"/>
  <c r="BV43" i="1"/>
  <c r="BV44" i="1"/>
  <c r="BV45" i="1"/>
  <c r="BV46" i="1"/>
  <c r="BV47" i="1"/>
  <c r="BV48" i="1"/>
  <c r="BV49" i="1"/>
  <c r="BV50" i="1"/>
  <c r="BV51" i="1"/>
  <c r="BV52" i="1"/>
  <c r="BV53" i="1"/>
  <c r="BV54" i="1"/>
  <c r="BV55" i="1"/>
  <c r="BV56" i="1"/>
  <c r="BV57" i="1"/>
  <c r="BV58" i="1"/>
  <c r="BV59" i="1"/>
  <c r="BV60" i="1"/>
  <c r="BV61" i="1"/>
  <c r="BV62" i="1"/>
  <c r="BV63" i="1"/>
  <c r="BV64" i="1"/>
  <c r="BV65" i="1"/>
  <c r="BV66" i="1"/>
  <c r="BV67" i="1"/>
  <c r="BV68" i="1"/>
  <c r="BV69" i="1"/>
  <c r="BV70" i="1"/>
  <c r="BV71" i="1"/>
  <c r="BV72" i="1"/>
  <c r="BV73" i="1"/>
  <c r="BV74" i="1"/>
  <c r="BV75" i="1"/>
  <c r="BV76" i="1"/>
  <c r="BV77" i="1"/>
  <c r="BV78" i="1"/>
  <c r="BV79" i="1"/>
  <c r="BV80" i="1"/>
  <c r="BV81" i="1"/>
  <c r="BV82" i="1"/>
  <c r="BV83" i="1"/>
  <c r="BV84" i="1"/>
  <c r="BV85" i="1"/>
  <c r="BV86" i="1"/>
  <c r="BV87" i="1"/>
  <c r="BV88" i="1"/>
  <c r="BV89" i="1"/>
  <c r="BV90" i="1"/>
  <c r="BV91" i="1"/>
  <c r="BV92" i="1"/>
  <c r="BV93" i="1"/>
  <c r="BV94" i="1"/>
  <c r="BV95" i="1"/>
  <c r="BV96" i="1"/>
  <c r="BV97" i="1"/>
  <c r="BV98" i="1"/>
  <c r="BV99" i="1"/>
  <c r="BV100" i="1"/>
  <c r="BV101" i="1"/>
  <c r="BV102" i="1"/>
  <c r="BV103" i="1"/>
  <c r="BV104" i="1"/>
  <c r="BV105" i="1"/>
  <c r="BV106" i="1"/>
  <c r="BV107" i="1"/>
  <c r="BV108" i="1"/>
  <c r="BV109" i="1"/>
  <c r="BV110" i="1"/>
  <c r="BV111" i="1"/>
  <c r="BV112" i="1"/>
  <c r="BV113" i="1"/>
  <c r="BV114" i="1"/>
  <c r="BV115" i="1"/>
  <c r="BV116" i="1"/>
  <c r="BV117" i="1"/>
  <c r="BV118" i="1"/>
  <c r="BV119" i="1"/>
  <c r="BV120" i="1"/>
  <c r="BV121" i="1"/>
  <c r="BV122" i="1"/>
  <c r="BV123" i="1"/>
  <c r="BV124" i="1"/>
  <c r="BV125" i="1"/>
  <c r="BV126" i="1"/>
  <c r="BV127" i="1"/>
  <c r="BV128" i="1"/>
  <c r="BV129" i="1"/>
  <c r="BV130" i="1"/>
  <c r="BV131" i="1"/>
  <c r="BV132" i="1"/>
  <c r="BV133" i="1"/>
  <c r="BV134" i="1"/>
  <c r="BV135" i="1"/>
  <c r="BV136" i="1"/>
  <c r="BV137" i="1"/>
  <c r="BV138" i="1"/>
  <c r="BV139" i="1"/>
  <c r="BV140" i="1"/>
  <c r="BV141" i="1"/>
  <c r="BV142" i="1"/>
  <c r="BV143" i="1"/>
  <c r="BV144" i="1"/>
  <c r="BV145" i="1"/>
  <c r="BV146" i="1"/>
  <c r="BV147" i="1"/>
  <c r="BV148" i="1"/>
  <c r="BV149" i="1"/>
  <c r="BV150" i="1"/>
  <c r="BV151" i="1"/>
  <c r="BV152" i="1"/>
  <c r="BV153" i="1"/>
  <c r="BV154" i="1"/>
  <c r="BV155" i="1"/>
  <c r="BV156" i="1"/>
  <c r="BV157" i="1"/>
  <c r="BV158" i="1"/>
  <c r="BV159" i="1"/>
  <c r="BV160" i="1"/>
  <c r="BV161" i="1"/>
  <c r="BV162" i="1"/>
  <c r="BV163" i="1"/>
  <c r="BV164" i="1"/>
  <c r="BV165" i="1"/>
  <c r="BV166" i="1"/>
  <c r="BV167" i="1"/>
  <c r="BV168" i="1"/>
  <c r="BV169" i="1"/>
  <c r="BV170" i="1"/>
  <c r="BV171" i="1"/>
  <c r="BV172" i="1"/>
  <c r="BV173" i="1"/>
  <c r="BV174" i="1"/>
  <c r="BV175" i="1"/>
  <c r="BV176" i="1"/>
  <c r="BV177" i="1"/>
  <c r="BV178" i="1"/>
  <c r="BV179" i="1"/>
  <c r="BV180" i="1"/>
  <c r="BV181" i="1"/>
  <c r="BV182" i="1"/>
  <c r="BV183" i="1"/>
  <c r="BV184" i="1"/>
  <c r="BV185" i="1"/>
  <c r="BV186" i="1"/>
  <c r="BV187" i="1"/>
  <c r="BV188" i="1"/>
  <c r="BV189" i="1"/>
  <c r="BV190" i="1"/>
  <c r="BV191" i="1"/>
  <c r="BV192" i="1"/>
  <c r="BV193" i="1"/>
  <c r="BV194" i="1"/>
  <c r="BV195" i="1"/>
  <c r="BV196" i="1"/>
  <c r="BV197" i="1"/>
  <c r="BV198" i="1"/>
  <c r="BV199" i="1"/>
  <c r="BV200" i="1"/>
  <c r="BV201" i="1"/>
  <c r="BV202" i="1"/>
  <c r="BV203" i="1"/>
  <c r="BV204" i="1"/>
  <c r="BV205" i="1"/>
  <c r="BV206" i="1"/>
  <c r="BV207" i="1"/>
  <c r="BV208" i="1"/>
  <c r="BV209" i="1"/>
  <c r="BV210" i="1"/>
  <c r="BV211" i="1"/>
  <c r="BV212" i="1"/>
  <c r="BV213" i="1"/>
  <c r="BV214" i="1"/>
  <c r="BV215" i="1"/>
  <c r="BV216" i="1"/>
  <c r="BV217" i="1"/>
  <c r="BV218" i="1"/>
  <c r="BV219" i="1"/>
  <c r="BV220" i="1"/>
  <c r="BV221" i="1"/>
  <c r="BV222" i="1"/>
  <c r="BV223" i="1"/>
  <c r="BV224" i="1"/>
  <c r="BV225" i="1"/>
  <c r="BV226" i="1"/>
  <c r="BV227" i="1"/>
  <c r="BV228" i="1"/>
  <c r="BV229" i="1"/>
  <c r="BV230" i="1"/>
  <c r="BV231" i="1"/>
  <c r="BV232" i="1"/>
  <c r="BV233" i="1"/>
  <c r="BV234" i="1"/>
  <c r="BV235" i="1"/>
  <c r="BV236" i="1"/>
  <c r="BV237" i="1"/>
  <c r="BV238" i="1"/>
  <c r="BV239" i="1"/>
  <c r="BV240" i="1"/>
  <c r="BV241" i="1"/>
  <c r="BV242" i="1"/>
  <c r="BV243" i="1"/>
  <c r="BV244" i="1"/>
  <c r="BV245" i="1"/>
  <c r="BV246" i="1"/>
  <c r="BV247" i="1"/>
  <c r="BV248" i="1"/>
  <c r="BV249" i="1"/>
  <c r="BV250" i="1"/>
  <c r="BV251" i="1"/>
  <c r="BV252" i="1"/>
  <c r="BV253" i="1"/>
  <c r="BV254" i="1"/>
  <c r="BV255" i="1"/>
  <c r="BV256" i="1"/>
  <c r="BV257" i="1"/>
  <c r="BV258" i="1"/>
  <c r="BV259" i="1"/>
  <c r="BV260" i="1"/>
  <c r="BV261" i="1"/>
  <c r="BV262" i="1"/>
  <c r="BV263" i="1"/>
  <c r="BV264" i="1"/>
  <c r="BV265" i="1"/>
  <c r="BV266" i="1"/>
  <c r="BV267" i="1"/>
  <c r="BV268" i="1"/>
  <c r="BV269" i="1"/>
  <c r="BV270" i="1"/>
  <c r="BV271" i="1"/>
  <c r="BV272" i="1"/>
  <c r="BV273" i="1"/>
  <c r="BV274" i="1"/>
  <c r="BV275" i="1"/>
  <c r="BV276" i="1"/>
  <c r="BV277" i="1"/>
  <c r="BV278" i="1"/>
  <c r="BV279" i="1"/>
  <c r="BV280" i="1"/>
  <c r="BV281" i="1"/>
  <c r="BV282" i="1"/>
  <c r="BV283" i="1"/>
  <c r="BV284" i="1"/>
  <c r="BV285" i="1"/>
  <c r="BV286" i="1"/>
  <c r="BV287" i="1"/>
  <c r="BV288" i="1"/>
  <c r="BV289" i="1"/>
  <c r="BV290" i="1"/>
  <c r="BV291" i="1"/>
  <c r="BV292" i="1"/>
  <c r="BV293" i="1"/>
  <c r="BV294" i="1"/>
  <c r="BV295" i="1"/>
  <c r="BV296" i="1"/>
  <c r="BV297" i="1"/>
  <c r="BV298" i="1"/>
  <c r="BV299" i="1"/>
  <c r="BV300" i="1"/>
  <c r="BV301" i="1"/>
  <c r="BV302" i="1"/>
  <c r="BV303" i="1"/>
  <c r="BV304" i="1"/>
  <c r="BV305" i="1"/>
  <c r="BV306" i="1"/>
  <c r="BV307" i="1"/>
  <c r="BV308" i="1"/>
  <c r="BV309" i="1"/>
  <c r="BV310" i="1"/>
  <c r="BV311" i="1"/>
  <c r="BV312" i="1"/>
  <c r="BV313" i="1"/>
  <c r="BV314" i="1"/>
  <c r="BV315" i="1"/>
  <c r="BV316" i="1"/>
  <c r="BV317" i="1"/>
  <c r="BV318" i="1"/>
  <c r="BV319" i="1"/>
  <c r="BV320" i="1"/>
  <c r="BV321" i="1"/>
  <c r="BV322" i="1"/>
  <c r="BV323" i="1"/>
  <c r="BV324" i="1"/>
  <c r="BV325" i="1"/>
  <c r="BV326" i="1"/>
  <c r="BV327" i="1"/>
  <c r="BV328" i="1"/>
  <c r="BV329" i="1"/>
  <c r="BV330" i="1"/>
  <c r="BV331" i="1"/>
  <c r="BV332" i="1"/>
  <c r="BV333" i="1"/>
  <c r="BV334" i="1"/>
  <c r="BV335" i="1"/>
  <c r="BV336" i="1"/>
  <c r="BV337" i="1"/>
  <c r="BV338" i="1"/>
  <c r="BV339" i="1"/>
  <c r="BV340" i="1"/>
  <c r="BV341" i="1"/>
  <c r="BV342" i="1"/>
  <c r="BV343" i="1"/>
  <c r="BV344" i="1"/>
  <c r="BV345" i="1"/>
  <c r="BV346" i="1"/>
  <c r="BV347" i="1"/>
  <c r="BV348" i="1"/>
  <c r="BV349" i="1"/>
  <c r="BV350" i="1"/>
  <c r="BV351" i="1"/>
  <c r="BV352" i="1"/>
  <c r="BV353" i="1"/>
  <c r="BV354" i="1"/>
  <c r="BV355" i="1"/>
  <c r="BV356" i="1"/>
  <c r="BV357" i="1"/>
  <c r="BV358" i="1"/>
  <c r="BV359" i="1"/>
  <c r="BV360" i="1"/>
  <c r="BV361" i="1"/>
  <c r="BV362" i="1"/>
  <c r="BV363" i="1"/>
  <c r="BV364" i="1"/>
  <c r="BV365" i="1"/>
  <c r="BV366" i="1"/>
  <c r="BV367" i="1"/>
  <c r="BV368" i="1"/>
  <c r="BV369" i="1"/>
  <c r="BV370" i="1"/>
  <c r="BV371" i="1"/>
  <c r="BV372" i="1"/>
  <c r="BV373" i="1"/>
  <c r="BV374" i="1"/>
  <c r="BV375" i="1"/>
  <c r="BV376" i="1"/>
  <c r="BV377" i="1"/>
  <c r="BV378" i="1"/>
  <c r="BV379" i="1"/>
  <c r="BV380" i="1"/>
  <c r="BV381" i="1"/>
  <c r="BV382" i="1"/>
  <c r="BV383" i="1"/>
  <c r="BV384" i="1"/>
  <c r="BV385" i="1"/>
  <c r="BV386" i="1"/>
  <c r="BV387" i="1"/>
  <c r="BV388" i="1"/>
  <c r="BV389" i="1"/>
  <c r="BV390" i="1"/>
  <c r="BV391" i="1"/>
  <c r="BV392" i="1"/>
  <c r="BV393" i="1"/>
  <c r="BV394" i="1"/>
  <c r="BV395" i="1"/>
  <c r="BV396" i="1"/>
  <c r="BV397" i="1"/>
  <c r="BV398" i="1"/>
  <c r="BV399" i="1"/>
  <c r="BV400" i="1"/>
  <c r="BV401" i="1"/>
  <c r="BV402" i="1"/>
  <c r="BV403" i="1"/>
  <c r="BV404" i="1"/>
  <c r="BV405" i="1"/>
  <c r="BV406" i="1"/>
  <c r="BV407" i="1"/>
  <c r="BV408" i="1"/>
  <c r="BV409" i="1"/>
  <c r="BV410" i="1"/>
  <c r="BV411" i="1"/>
  <c r="BV412" i="1"/>
  <c r="BV413" i="1"/>
  <c r="BV414" i="1"/>
  <c r="BV415" i="1"/>
  <c r="BV416" i="1"/>
  <c r="BV417" i="1"/>
  <c r="BV418" i="1"/>
  <c r="BV419" i="1"/>
  <c r="BV420" i="1"/>
  <c r="BV421" i="1"/>
  <c r="BV422" i="1"/>
  <c r="BV423" i="1"/>
  <c r="BV424" i="1"/>
  <c r="BV425" i="1"/>
  <c r="BV426" i="1"/>
  <c r="BV427" i="1"/>
  <c r="BV428" i="1"/>
  <c r="BV429" i="1"/>
  <c r="BV430" i="1"/>
  <c r="BV431" i="1"/>
  <c r="BV432" i="1"/>
  <c r="BV433" i="1"/>
  <c r="BV434" i="1"/>
  <c r="BV435" i="1"/>
  <c r="BV436" i="1"/>
  <c r="BV437" i="1"/>
  <c r="BV438" i="1"/>
  <c r="BV439" i="1"/>
  <c r="BV440" i="1"/>
  <c r="BV441" i="1"/>
  <c r="BV442" i="1"/>
  <c r="BV443" i="1"/>
  <c r="BV444" i="1"/>
  <c r="BV445" i="1"/>
  <c r="BV446" i="1"/>
  <c r="BV447" i="1"/>
  <c r="BV448" i="1"/>
  <c r="BV449" i="1"/>
  <c r="BV450" i="1"/>
  <c r="BV451" i="1"/>
  <c r="BV452" i="1"/>
  <c r="BV453" i="1"/>
  <c r="BV454" i="1"/>
  <c r="BV455" i="1"/>
  <c r="BV456" i="1"/>
  <c r="BV457" i="1"/>
  <c r="BV458" i="1"/>
  <c r="BV459" i="1"/>
  <c r="BV460" i="1"/>
  <c r="BV461" i="1"/>
  <c r="BV462" i="1"/>
  <c r="BV463" i="1"/>
  <c r="BV464" i="1"/>
  <c r="BV465" i="1"/>
  <c r="BV466" i="1"/>
  <c r="BV467" i="1"/>
  <c r="BV468" i="1"/>
  <c r="BV469" i="1"/>
  <c r="BV470" i="1"/>
  <c r="BV471" i="1"/>
  <c r="BV472" i="1"/>
  <c r="BV473" i="1"/>
  <c r="BV474" i="1"/>
  <c r="BV475" i="1"/>
  <c r="BV476" i="1"/>
  <c r="BV477" i="1"/>
  <c r="BV478" i="1"/>
  <c r="BV479" i="1"/>
  <c r="BV480" i="1"/>
  <c r="BV481" i="1"/>
  <c r="BV482" i="1"/>
  <c r="BV483" i="1"/>
  <c r="BV484" i="1"/>
  <c r="BV485" i="1"/>
  <c r="BV486" i="1"/>
  <c r="BV487" i="1"/>
  <c r="BV488" i="1"/>
  <c r="BV489" i="1"/>
  <c r="BV490" i="1"/>
  <c r="BV491" i="1"/>
  <c r="BV492" i="1"/>
  <c r="BV493" i="1"/>
  <c r="BV494" i="1"/>
  <c r="BV495" i="1"/>
  <c r="BV496" i="1"/>
  <c r="BV497" i="1"/>
  <c r="BV498" i="1"/>
  <c r="BV499" i="1"/>
  <c r="BV500" i="1"/>
  <c r="BV501" i="1"/>
  <c r="BV502" i="1"/>
  <c r="BV503" i="1"/>
  <c r="BV504" i="1"/>
  <c r="BV505" i="1"/>
  <c r="BV506" i="1"/>
  <c r="BV507" i="1"/>
  <c r="BV508" i="1"/>
  <c r="BV509" i="1"/>
  <c r="BV510" i="1"/>
  <c r="BV511" i="1"/>
  <c r="BV512" i="1"/>
  <c r="BV513" i="1"/>
  <c r="BV514" i="1"/>
  <c r="BV515" i="1"/>
  <c r="BV516" i="1"/>
  <c r="BV517" i="1"/>
  <c r="BV518" i="1"/>
  <c r="BV519" i="1"/>
  <c r="BV520" i="1"/>
  <c r="BV521" i="1"/>
  <c r="BV522" i="1"/>
  <c r="BV523" i="1"/>
  <c r="BV524" i="1"/>
  <c r="BV525" i="1"/>
  <c r="BV526" i="1"/>
  <c r="BV527" i="1"/>
  <c r="BV528" i="1"/>
  <c r="BV529" i="1"/>
  <c r="BV530" i="1"/>
  <c r="BV531" i="1"/>
  <c r="BV532" i="1"/>
  <c r="BV533" i="1"/>
  <c r="BV534" i="1"/>
  <c r="BV535" i="1"/>
  <c r="BV536" i="1"/>
  <c r="BV537" i="1"/>
  <c r="BV538" i="1"/>
  <c r="BV539" i="1"/>
  <c r="BV540" i="1"/>
  <c r="BV541" i="1"/>
  <c r="BV542" i="1"/>
  <c r="BV543" i="1"/>
  <c r="BV544" i="1"/>
  <c r="BV545" i="1"/>
  <c r="BV546" i="1"/>
  <c r="BV547" i="1"/>
  <c r="BV548" i="1"/>
  <c r="BV549" i="1"/>
  <c r="BV550" i="1"/>
  <c r="BV551" i="1"/>
  <c r="BV552" i="1"/>
  <c r="BV553" i="1"/>
  <c r="BV554" i="1"/>
  <c r="BV555" i="1"/>
  <c r="BV556" i="1"/>
  <c r="BV557" i="1"/>
  <c r="BV558" i="1"/>
  <c r="BV559" i="1"/>
  <c r="BV560" i="1"/>
  <c r="BV561" i="1"/>
  <c r="BV562" i="1"/>
  <c r="BV563" i="1"/>
  <c r="BV564" i="1"/>
  <c r="BV565" i="1"/>
  <c r="BV566" i="1"/>
  <c r="BV567" i="1"/>
  <c r="BV568" i="1"/>
  <c r="BV569" i="1"/>
  <c r="BV570" i="1"/>
  <c r="BV571" i="1"/>
  <c r="BV572" i="1"/>
  <c r="BV573" i="1"/>
  <c r="BV574" i="1"/>
  <c r="BV575" i="1"/>
  <c r="BV576" i="1"/>
  <c r="BV577" i="1"/>
  <c r="BV578" i="1"/>
  <c r="BV579" i="1"/>
  <c r="BV580" i="1"/>
  <c r="BV581" i="1"/>
  <c r="BV582" i="1"/>
  <c r="BV583" i="1"/>
  <c r="BV584" i="1"/>
  <c r="BV585" i="1"/>
  <c r="BV586" i="1"/>
  <c r="BV587" i="1"/>
  <c r="BV588" i="1"/>
  <c r="BV589" i="1"/>
  <c r="BV590" i="1"/>
  <c r="BV591" i="1"/>
  <c r="BV592" i="1"/>
  <c r="BV593" i="1"/>
  <c r="BV594" i="1"/>
  <c r="BV595" i="1"/>
  <c r="BV596" i="1"/>
  <c r="BV597" i="1"/>
  <c r="BV598" i="1"/>
  <c r="BV599" i="1"/>
  <c r="BV600" i="1"/>
  <c r="BV601" i="1"/>
  <c r="BV602" i="1"/>
  <c r="BV603" i="1"/>
  <c r="BV604" i="1"/>
  <c r="BV605" i="1"/>
  <c r="BV606" i="1"/>
  <c r="BV607" i="1"/>
  <c r="BV608" i="1"/>
  <c r="BV609" i="1"/>
  <c r="BV610" i="1"/>
  <c r="BV611" i="1"/>
  <c r="BV612" i="1"/>
  <c r="BV613" i="1"/>
  <c r="BV614" i="1"/>
  <c r="BV615" i="1"/>
  <c r="BV616" i="1"/>
  <c r="BV617" i="1"/>
  <c r="BV618" i="1"/>
  <c r="BV619" i="1"/>
  <c r="BV620" i="1"/>
  <c r="BV621" i="1"/>
  <c r="BV622" i="1"/>
  <c r="BV623" i="1"/>
  <c r="BV624" i="1"/>
  <c r="BV625" i="1"/>
  <c r="BV626" i="1"/>
  <c r="BV627" i="1"/>
  <c r="BV628" i="1"/>
  <c r="BV629" i="1"/>
  <c r="BV630" i="1"/>
  <c r="BV631" i="1"/>
  <c r="BV632" i="1"/>
  <c r="BV633" i="1"/>
  <c r="BV634" i="1"/>
  <c r="BV635" i="1"/>
  <c r="BV636" i="1"/>
  <c r="BV637" i="1"/>
  <c r="BV638" i="1"/>
  <c r="BV639" i="1"/>
  <c r="BV640" i="1"/>
  <c r="BV641" i="1"/>
  <c r="BV642" i="1"/>
  <c r="BV643" i="1"/>
  <c r="BV644" i="1"/>
  <c r="BV645" i="1"/>
  <c r="BV646" i="1"/>
  <c r="BV647" i="1"/>
  <c r="BV648" i="1"/>
  <c r="BV649" i="1"/>
  <c r="BV650" i="1"/>
  <c r="BV651" i="1"/>
  <c r="BV652" i="1"/>
  <c r="BV653" i="1"/>
  <c r="BV654" i="1"/>
  <c r="BV655" i="1"/>
  <c r="BV656" i="1"/>
  <c r="BV657" i="1"/>
  <c r="BV658" i="1"/>
  <c r="BV659" i="1"/>
  <c r="BV660" i="1"/>
  <c r="BV661" i="1"/>
  <c r="BV662" i="1"/>
  <c r="BV663" i="1"/>
  <c r="BV664" i="1"/>
  <c r="BV665" i="1"/>
  <c r="BV666" i="1"/>
  <c r="BV667" i="1"/>
  <c r="BV668" i="1"/>
  <c r="BV669" i="1"/>
  <c r="BV670" i="1"/>
  <c r="BV671" i="1"/>
  <c r="BV672" i="1"/>
  <c r="BV673" i="1"/>
  <c r="BV674" i="1"/>
  <c r="BV675" i="1"/>
  <c r="BV676" i="1"/>
  <c r="BV677" i="1"/>
  <c r="BV678" i="1"/>
  <c r="BV679" i="1"/>
  <c r="BV680" i="1"/>
  <c r="BV681" i="1"/>
  <c r="BV682" i="1"/>
  <c r="BV683" i="1"/>
  <c r="BV684" i="1"/>
  <c r="BV685" i="1"/>
  <c r="BV686" i="1"/>
  <c r="BV687" i="1"/>
  <c r="BV688" i="1"/>
  <c r="BV689" i="1"/>
  <c r="BV690" i="1"/>
  <c r="BV691" i="1"/>
  <c r="BV692" i="1"/>
  <c r="BV693" i="1"/>
  <c r="BV694" i="1"/>
  <c r="BV695" i="1"/>
  <c r="BV696" i="1"/>
  <c r="BV697" i="1"/>
  <c r="BV698" i="1"/>
  <c r="BV699" i="1"/>
  <c r="BV700" i="1"/>
  <c r="BV701" i="1"/>
  <c r="BV702" i="1"/>
  <c r="BV703" i="1"/>
  <c r="BV704" i="1"/>
  <c r="BV705" i="1"/>
  <c r="BV706" i="1"/>
  <c r="BV707" i="1"/>
  <c r="BV708" i="1"/>
  <c r="BV709" i="1"/>
  <c r="BV710" i="1"/>
  <c r="BV711" i="1"/>
  <c r="BV712" i="1"/>
  <c r="BV713" i="1"/>
  <c r="BV714" i="1"/>
  <c r="BV715" i="1"/>
  <c r="BV716" i="1"/>
  <c r="BV717" i="1"/>
  <c r="BV718" i="1"/>
  <c r="BV719" i="1"/>
  <c r="BV720" i="1"/>
  <c r="BV721" i="1"/>
  <c r="BV722" i="1"/>
  <c r="BV723" i="1"/>
  <c r="BV724" i="1"/>
  <c r="BV725" i="1"/>
  <c r="BV726" i="1"/>
  <c r="BV727" i="1"/>
  <c r="BV728" i="1"/>
  <c r="BV729" i="1"/>
  <c r="BV730" i="1"/>
  <c r="BV731" i="1"/>
  <c r="BV732" i="1"/>
  <c r="BV733" i="1"/>
  <c r="BV734" i="1"/>
  <c r="BV735" i="1"/>
  <c r="BV736" i="1"/>
  <c r="BV737" i="1"/>
  <c r="BV738" i="1"/>
  <c r="BV739" i="1"/>
  <c r="BV740" i="1"/>
  <c r="BV741" i="1"/>
  <c r="BV742" i="1"/>
  <c r="BV743" i="1"/>
  <c r="BV744" i="1"/>
  <c r="BV745" i="1"/>
  <c r="BV746" i="1"/>
  <c r="BV747" i="1"/>
  <c r="BV748" i="1"/>
  <c r="BV749" i="1"/>
  <c r="BV750" i="1"/>
  <c r="BV751" i="1"/>
  <c r="BV752" i="1"/>
  <c r="BV753" i="1"/>
  <c r="BV754" i="1"/>
  <c r="BV755" i="1"/>
  <c r="BV756" i="1"/>
  <c r="BV757" i="1"/>
  <c r="BV758" i="1"/>
  <c r="BV759" i="1"/>
  <c r="BV760" i="1"/>
  <c r="BV761" i="1"/>
  <c r="BV762" i="1"/>
  <c r="BV763" i="1"/>
  <c r="BV764" i="1"/>
  <c r="BV765" i="1"/>
  <c r="BV766" i="1"/>
  <c r="BV767" i="1"/>
  <c r="BV768" i="1"/>
  <c r="BV769" i="1"/>
  <c r="BV770" i="1"/>
  <c r="BV771" i="1"/>
  <c r="BV772" i="1"/>
  <c r="BV773" i="1"/>
  <c r="BV774" i="1"/>
  <c r="BV775" i="1"/>
  <c r="BV776" i="1"/>
  <c r="BV777" i="1"/>
  <c r="BV778" i="1"/>
  <c r="BV779" i="1"/>
  <c r="BV780" i="1"/>
  <c r="BV781" i="1"/>
  <c r="BV782" i="1"/>
  <c r="BV783" i="1"/>
  <c r="BV784" i="1"/>
  <c r="BV785" i="1"/>
  <c r="BV786" i="1"/>
  <c r="BV787" i="1"/>
  <c r="BV788" i="1"/>
  <c r="BV789" i="1"/>
  <c r="BV790" i="1"/>
  <c r="BV791" i="1"/>
  <c r="BV792" i="1"/>
  <c r="BV793" i="1"/>
  <c r="BV794" i="1"/>
  <c r="BV795" i="1"/>
  <c r="BV796" i="1"/>
  <c r="BV797" i="1"/>
  <c r="BV798" i="1"/>
  <c r="BV799" i="1"/>
  <c r="BV800" i="1"/>
  <c r="BV801" i="1"/>
  <c r="BV802" i="1"/>
  <c r="BV803" i="1"/>
  <c r="BV804" i="1"/>
  <c r="BV805" i="1"/>
  <c r="BV806" i="1"/>
  <c r="BV807" i="1"/>
  <c r="BV808" i="1"/>
  <c r="BV809" i="1"/>
  <c r="BV810" i="1"/>
  <c r="BV811" i="1"/>
  <c r="BV812" i="1"/>
  <c r="BV813" i="1"/>
  <c r="BV814" i="1"/>
  <c r="BV815" i="1"/>
  <c r="BV816" i="1"/>
  <c r="BV817" i="1"/>
  <c r="BV818" i="1"/>
  <c r="BV819" i="1"/>
  <c r="BV820" i="1"/>
  <c r="BV821" i="1"/>
  <c r="BV822" i="1"/>
  <c r="BV823" i="1"/>
  <c r="BV824" i="1"/>
  <c r="BV825" i="1"/>
  <c r="BV826" i="1"/>
  <c r="BV827" i="1"/>
  <c r="BV828" i="1"/>
  <c r="BV829" i="1"/>
  <c r="BV830" i="1"/>
  <c r="BV831" i="1"/>
  <c r="BV832" i="1"/>
  <c r="BV833" i="1"/>
  <c r="BV834" i="1"/>
  <c r="BV835" i="1"/>
  <c r="BV836" i="1"/>
  <c r="BV837" i="1"/>
  <c r="BV838" i="1"/>
  <c r="BV839" i="1"/>
  <c r="BV840" i="1"/>
  <c r="BV841" i="1"/>
  <c r="BV842" i="1"/>
  <c r="BV843" i="1"/>
  <c r="BV844" i="1"/>
  <c r="BV845" i="1"/>
  <c r="BV846" i="1"/>
  <c r="BV847" i="1"/>
  <c r="BV848" i="1"/>
  <c r="BV849" i="1"/>
  <c r="BV850" i="1"/>
  <c r="BV851" i="1"/>
  <c r="BV852" i="1"/>
  <c r="BV853" i="1"/>
  <c r="BV854" i="1"/>
  <c r="BV855" i="1"/>
  <c r="BV856" i="1"/>
  <c r="BV857" i="1"/>
  <c r="BV858" i="1"/>
  <c r="BV859" i="1"/>
  <c r="BV860" i="1"/>
  <c r="BV861" i="1"/>
  <c r="BV862" i="1"/>
  <c r="BV863" i="1"/>
  <c r="BV864" i="1"/>
  <c r="BV865" i="1"/>
  <c r="BV866" i="1"/>
  <c r="BV867" i="1"/>
  <c r="BV868" i="1"/>
  <c r="BV869" i="1"/>
  <c r="BV870" i="1"/>
  <c r="BV871" i="1"/>
  <c r="BV872" i="1"/>
  <c r="BV873" i="1"/>
  <c r="BV874" i="1"/>
  <c r="BV875" i="1"/>
  <c r="BV876" i="1"/>
  <c r="BV877" i="1"/>
  <c r="BV878" i="1"/>
  <c r="BV879" i="1"/>
  <c r="BV880" i="1"/>
  <c r="BV881" i="1"/>
  <c r="BV882" i="1"/>
  <c r="BV883" i="1"/>
  <c r="BV884" i="1"/>
  <c r="BV885" i="1"/>
  <c r="BV886" i="1"/>
  <c r="BV887" i="1"/>
  <c r="BV888" i="1"/>
  <c r="BV889" i="1"/>
  <c r="BV890" i="1"/>
  <c r="BV891" i="1"/>
  <c r="BV892" i="1"/>
  <c r="BV893" i="1"/>
  <c r="BV894" i="1"/>
  <c r="BV895" i="1"/>
  <c r="BV896" i="1"/>
  <c r="BV897" i="1"/>
  <c r="BV898" i="1"/>
  <c r="BV899" i="1"/>
  <c r="BV900" i="1"/>
  <c r="BV901" i="1"/>
  <c r="BV902" i="1"/>
  <c r="BV903" i="1"/>
  <c r="BV904" i="1"/>
  <c r="BV905" i="1"/>
  <c r="BV906" i="1"/>
  <c r="BV907" i="1"/>
  <c r="BV908" i="1"/>
  <c r="BV909" i="1"/>
  <c r="BV910" i="1"/>
  <c r="BV911" i="1"/>
  <c r="BV912" i="1"/>
  <c r="BV913" i="1"/>
  <c r="BV914" i="1"/>
  <c r="BV915" i="1"/>
  <c r="BV916" i="1"/>
  <c r="BV917" i="1"/>
  <c r="BV918" i="1"/>
  <c r="BV919" i="1"/>
  <c r="BV920" i="1"/>
  <c r="BV921" i="1"/>
  <c r="BV922" i="1"/>
  <c r="BV923" i="1"/>
  <c r="BV924" i="1"/>
  <c r="BV925" i="1"/>
  <c r="BV926" i="1"/>
  <c r="BV927" i="1"/>
  <c r="BV928" i="1"/>
  <c r="BV929" i="1"/>
  <c r="BV930" i="1"/>
  <c r="BV931" i="1"/>
  <c r="BV932" i="1"/>
  <c r="BV933" i="1"/>
  <c r="BV934" i="1"/>
  <c r="BV935" i="1"/>
  <c r="BV936" i="1"/>
  <c r="BV937" i="1"/>
  <c r="BV938" i="1"/>
  <c r="BV939" i="1"/>
  <c r="BV940" i="1"/>
  <c r="BV941" i="1"/>
  <c r="BV942" i="1"/>
  <c r="BV943" i="1"/>
  <c r="BV944" i="1"/>
  <c r="BV945" i="1"/>
  <c r="BV946" i="1"/>
  <c r="BV947" i="1"/>
  <c r="BV948" i="1"/>
  <c r="BV949" i="1"/>
  <c r="BV950" i="1"/>
  <c r="BV951" i="1"/>
  <c r="BV952" i="1"/>
  <c r="BV953" i="1"/>
  <c r="BV954" i="1"/>
  <c r="BV955" i="1"/>
  <c r="BV956" i="1"/>
  <c r="BV957" i="1"/>
  <c r="BV958" i="1"/>
  <c r="BV959" i="1"/>
  <c r="BV960" i="1"/>
  <c r="BV961" i="1"/>
  <c r="BV962" i="1"/>
  <c r="BV963" i="1"/>
  <c r="BV964" i="1"/>
  <c r="BV965" i="1"/>
  <c r="BV966" i="1"/>
  <c r="BV967" i="1"/>
  <c r="BV968" i="1"/>
  <c r="BV969" i="1"/>
  <c r="BV970" i="1"/>
  <c r="BV971" i="1"/>
  <c r="BV972" i="1"/>
  <c r="BV973" i="1"/>
  <c r="BV974" i="1"/>
  <c r="BV975" i="1"/>
  <c r="BV976" i="1"/>
  <c r="BV977" i="1"/>
  <c r="BV978" i="1"/>
  <c r="BV979" i="1"/>
  <c r="BV980" i="1"/>
  <c r="BV981" i="1"/>
  <c r="BV982" i="1"/>
  <c r="BV983" i="1"/>
  <c r="BV984" i="1"/>
  <c r="BV985" i="1"/>
  <c r="BV986" i="1"/>
  <c r="BV987" i="1"/>
  <c r="BV988" i="1"/>
  <c r="BV989" i="1"/>
  <c r="BV990" i="1"/>
  <c r="BV991" i="1"/>
  <c r="BV992" i="1"/>
  <c r="BV993" i="1"/>
  <c r="BV994" i="1"/>
  <c r="BV995" i="1"/>
  <c r="BV996" i="1"/>
  <c r="BV997" i="1"/>
  <c r="BV998" i="1"/>
  <c r="BV999" i="1"/>
  <c r="BV1000" i="1"/>
  <c r="BV1001" i="1"/>
  <c r="BV1002" i="1"/>
  <c r="BV1003" i="1"/>
  <c r="BV1004" i="1"/>
  <c r="BV1005" i="1"/>
  <c r="BV1006" i="1"/>
  <c r="BV1007" i="1"/>
  <c r="BV1008" i="1"/>
  <c r="BV1009" i="1"/>
  <c r="BV1010" i="1"/>
  <c r="BV1011" i="1"/>
  <c r="BV1012" i="1"/>
  <c r="BV1013" i="1"/>
  <c r="BV1014" i="1"/>
  <c r="BV1015" i="1"/>
  <c r="BV1016" i="1"/>
  <c r="BV1017" i="1"/>
  <c r="BV1018" i="1"/>
  <c r="BV1019" i="1"/>
  <c r="BV1020" i="1"/>
  <c r="BV1021" i="1"/>
  <c r="BV1022" i="1"/>
  <c r="BV1023" i="1"/>
  <c r="BV1024" i="1"/>
  <c r="BV1025" i="1"/>
  <c r="BV1026" i="1"/>
  <c r="BV1027" i="1"/>
  <c r="BV1028" i="1"/>
  <c r="BV1029" i="1"/>
  <c r="BV1030" i="1"/>
  <c r="BV1031" i="1"/>
  <c r="BV1032" i="1"/>
  <c r="BV1033" i="1"/>
  <c r="BV1034" i="1"/>
  <c r="BV1035" i="1"/>
  <c r="BV1036" i="1"/>
  <c r="BV1037" i="1"/>
  <c r="BV1038" i="1"/>
  <c r="BV1039" i="1"/>
  <c r="BV1040" i="1"/>
  <c r="BV1041" i="1"/>
  <c r="BV1042" i="1"/>
  <c r="BV1043" i="1"/>
  <c r="BV1044" i="1"/>
  <c r="BV1045" i="1"/>
  <c r="BV1046" i="1"/>
  <c r="BV1047" i="1"/>
  <c r="BV1048" i="1"/>
  <c r="BV1049" i="1"/>
  <c r="BV1050" i="1"/>
  <c r="BV1051" i="1"/>
  <c r="BV1052" i="1"/>
  <c r="BV1053" i="1"/>
  <c r="BV1054" i="1"/>
  <c r="BV1055" i="1"/>
  <c r="BV1056" i="1"/>
  <c r="BV1057" i="1"/>
  <c r="BV1058" i="1"/>
  <c r="BV1059" i="1"/>
  <c r="BV1060" i="1"/>
  <c r="BV1061" i="1"/>
  <c r="BV1062" i="1"/>
  <c r="BV1063" i="1"/>
  <c r="BV1064" i="1"/>
  <c r="BV1065" i="1"/>
  <c r="BV1066" i="1"/>
  <c r="BV1067" i="1"/>
  <c r="BV1068" i="1"/>
  <c r="BV1069" i="1"/>
  <c r="BV1070" i="1"/>
  <c r="BV1071" i="1"/>
  <c r="BV1072" i="1"/>
  <c r="BV1073" i="1"/>
  <c r="BV1074" i="1"/>
  <c r="BV1075" i="1"/>
  <c r="BV1076" i="1"/>
  <c r="BV1077" i="1"/>
  <c r="BV1078" i="1"/>
  <c r="BV1079" i="1"/>
  <c r="BV1080" i="1"/>
  <c r="BV1081" i="1"/>
  <c r="BV1082" i="1"/>
  <c r="BV1083" i="1"/>
  <c r="BV1084" i="1"/>
  <c r="BV1085" i="1"/>
  <c r="BV1086" i="1"/>
  <c r="BV1087" i="1"/>
  <c r="BV1088" i="1"/>
  <c r="BV1089" i="1"/>
  <c r="BV1090" i="1"/>
  <c r="BV1091" i="1"/>
  <c r="BV1092" i="1"/>
  <c r="BV1093" i="1"/>
  <c r="BV1094" i="1"/>
  <c r="BV1095" i="1"/>
  <c r="BV1096" i="1"/>
  <c r="BV1097" i="1"/>
  <c r="BV1098" i="1"/>
  <c r="BV1099" i="1"/>
  <c r="BV1100" i="1"/>
  <c r="BV1101" i="1"/>
  <c r="BV1102" i="1"/>
  <c r="BV1103" i="1"/>
  <c r="BV1104" i="1"/>
  <c r="BV1105" i="1"/>
  <c r="BV1106" i="1"/>
  <c r="BV1107" i="1"/>
  <c r="BV1108" i="1"/>
  <c r="BV1109" i="1"/>
  <c r="BV1110" i="1"/>
  <c r="BV1111" i="1"/>
  <c r="BV1112" i="1"/>
  <c r="BV1113" i="1"/>
  <c r="BV1114" i="1"/>
  <c r="BV1115" i="1"/>
  <c r="BV1116" i="1"/>
  <c r="BV1117" i="1"/>
  <c r="BV1118" i="1"/>
  <c r="BV1119" i="1"/>
  <c r="BV1120" i="1"/>
  <c r="BV1121" i="1"/>
  <c r="BV1122" i="1"/>
  <c r="BV1123" i="1"/>
  <c r="BV1124" i="1"/>
  <c r="BV1125" i="1"/>
  <c r="BV1126" i="1"/>
  <c r="BV1127" i="1"/>
  <c r="BV1128" i="1"/>
  <c r="BV1129" i="1"/>
  <c r="BV1130" i="1"/>
  <c r="BV1131" i="1"/>
  <c r="BV1132" i="1"/>
  <c r="BV1133" i="1"/>
  <c r="BV1134" i="1"/>
  <c r="BV1135" i="1"/>
  <c r="BV1136" i="1"/>
  <c r="BV1137" i="1"/>
  <c r="BV1138" i="1"/>
  <c r="BV1139" i="1"/>
  <c r="BV1140" i="1"/>
  <c r="BV1141" i="1"/>
  <c r="BV1142" i="1"/>
  <c r="BV1143" i="1"/>
  <c r="BV1144" i="1"/>
  <c r="BV1145" i="1"/>
  <c r="BV1146" i="1"/>
  <c r="BV1147" i="1"/>
  <c r="BV1148" i="1"/>
  <c r="BV1149" i="1"/>
  <c r="BV1150" i="1"/>
  <c r="BV1151" i="1"/>
  <c r="BV1152" i="1"/>
  <c r="BV1153" i="1"/>
  <c r="BV1154" i="1"/>
  <c r="BV1155" i="1"/>
  <c r="BV1156" i="1"/>
  <c r="BV1157" i="1"/>
  <c r="BV1158" i="1"/>
  <c r="BV1159" i="1"/>
  <c r="BV1160" i="1"/>
  <c r="BV1161" i="1"/>
  <c r="BV1162" i="1"/>
  <c r="BV1163" i="1"/>
  <c r="BV1164" i="1"/>
  <c r="BV1165" i="1"/>
  <c r="BV1166" i="1"/>
  <c r="BV1167" i="1"/>
  <c r="BV1168" i="1"/>
  <c r="BV1169" i="1"/>
  <c r="BV1170" i="1"/>
  <c r="BV1171" i="1"/>
  <c r="BV1172" i="1"/>
  <c r="BV1173" i="1"/>
  <c r="BV1174" i="1"/>
  <c r="BV1175" i="1"/>
  <c r="BV1176" i="1"/>
  <c r="BV1177" i="1"/>
  <c r="BV1178" i="1"/>
  <c r="BV1179" i="1"/>
  <c r="BV1180" i="1"/>
  <c r="BV1181" i="1"/>
  <c r="BV1182" i="1"/>
  <c r="BV1183" i="1"/>
  <c r="BV1184" i="1"/>
  <c r="BV1185" i="1"/>
  <c r="BV1186" i="1"/>
  <c r="BV1187" i="1"/>
  <c r="BV1188" i="1"/>
  <c r="BV1189" i="1"/>
  <c r="BV1190" i="1"/>
  <c r="BV1191" i="1"/>
  <c r="BV1192" i="1"/>
  <c r="BV1193" i="1"/>
  <c r="BV1194" i="1"/>
  <c r="BV1195" i="1"/>
  <c r="BV1196" i="1"/>
  <c r="BV1197" i="1"/>
  <c r="BV1198" i="1"/>
  <c r="BV1199" i="1"/>
  <c r="BV1200" i="1"/>
  <c r="BV1201" i="1"/>
  <c r="BV1202" i="1"/>
  <c r="BV1203" i="1"/>
  <c r="BV1204" i="1"/>
  <c r="BV1205" i="1"/>
  <c r="BV1206" i="1"/>
  <c r="BV1207" i="1"/>
  <c r="BV1208" i="1"/>
  <c r="BV1209" i="1"/>
  <c r="BV1210" i="1"/>
  <c r="BV1211" i="1"/>
  <c r="BV1212" i="1"/>
  <c r="BV1213" i="1"/>
  <c r="BV1214" i="1"/>
  <c r="BV1215" i="1"/>
  <c r="BV1216" i="1"/>
  <c r="BV1217" i="1"/>
  <c r="BV1218" i="1"/>
  <c r="BV1219" i="1"/>
  <c r="BV1220" i="1"/>
  <c r="BV1221" i="1"/>
  <c r="BV1222" i="1"/>
  <c r="BV1223" i="1"/>
  <c r="BV1224" i="1"/>
  <c r="BV1225" i="1"/>
  <c r="BV1226" i="1"/>
  <c r="BV1227" i="1"/>
  <c r="BV1228" i="1"/>
  <c r="BV1229" i="1"/>
  <c r="BV1230" i="1"/>
  <c r="BV1231" i="1"/>
  <c r="BV1232" i="1"/>
  <c r="BV1233" i="1"/>
  <c r="BV1234" i="1"/>
  <c r="BV1235" i="1"/>
  <c r="BV1236" i="1"/>
  <c r="BV1237" i="1"/>
  <c r="BV1238" i="1"/>
  <c r="BV1239" i="1"/>
  <c r="BV1240" i="1"/>
  <c r="BV1241" i="1"/>
  <c r="BV1242" i="1"/>
  <c r="BV1243" i="1"/>
  <c r="BV1244" i="1"/>
  <c r="BV1245" i="1"/>
  <c r="BV1246" i="1"/>
  <c r="BV1247" i="1"/>
  <c r="BV1248" i="1"/>
  <c r="BV1249" i="1"/>
  <c r="BV1250" i="1"/>
  <c r="BV1251" i="1"/>
  <c r="BV1252" i="1"/>
  <c r="BV1253" i="1"/>
  <c r="BV1254" i="1"/>
  <c r="BV1255" i="1"/>
  <c r="BV1256" i="1"/>
  <c r="BV1257" i="1"/>
  <c r="BV1258" i="1"/>
  <c r="BV1259" i="1"/>
  <c r="BV1260" i="1"/>
  <c r="BV1261" i="1"/>
  <c r="BV1262" i="1"/>
  <c r="BV1263" i="1"/>
  <c r="BV1264" i="1"/>
  <c r="BV1265" i="1"/>
  <c r="BV1266" i="1"/>
  <c r="BV1267" i="1"/>
  <c r="BV1268" i="1"/>
  <c r="BV1269" i="1"/>
  <c r="BV1270" i="1"/>
  <c r="BV1271" i="1"/>
  <c r="BV1272" i="1"/>
  <c r="BV1273" i="1"/>
  <c r="BV1274" i="1"/>
  <c r="BV1275" i="1"/>
  <c r="BV1276" i="1"/>
  <c r="BV1277" i="1"/>
  <c r="BV1278" i="1"/>
  <c r="BV1279" i="1"/>
  <c r="BV1280" i="1"/>
  <c r="BV1281" i="1"/>
  <c r="BV1282" i="1"/>
  <c r="BV1283" i="1"/>
  <c r="BV1284" i="1"/>
  <c r="BV1285" i="1"/>
  <c r="BV1286" i="1"/>
  <c r="BV1287" i="1"/>
  <c r="BV1288" i="1"/>
  <c r="BV1289" i="1"/>
  <c r="BV1290" i="1"/>
  <c r="BV1291" i="1"/>
  <c r="BV1292" i="1"/>
  <c r="BV1293" i="1"/>
  <c r="BV1294" i="1"/>
  <c r="BV1295" i="1"/>
  <c r="BV1296" i="1"/>
  <c r="BV1297" i="1"/>
  <c r="BV1298" i="1"/>
  <c r="BV1299" i="1"/>
  <c r="BV1300" i="1"/>
  <c r="BV1301" i="1"/>
  <c r="BV1302" i="1"/>
  <c r="BV1303" i="1"/>
  <c r="BV1304" i="1"/>
  <c r="BV1305" i="1"/>
  <c r="BV1306" i="1"/>
  <c r="BV1307" i="1"/>
  <c r="BV1308" i="1"/>
  <c r="BV1309" i="1"/>
  <c r="BV1310" i="1"/>
  <c r="BV1311" i="1"/>
  <c r="BV1312" i="1"/>
  <c r="BV1313" i="1"/>
  <c r="BV1314" i="1"/>
  <c r="BV1315" i="1"/>
  <c r="BV1316" i="1"/>
  <c r="BV1317" i="1"/>
  <c r="BV1318" i="1"/>
  <c r="BV1319" i="1"/>
  <c r="BV1320" i="1"/>
  <c r="BV1321" i="1"/>
  <c r="BV1322" i="1"/>
  <c r="BV1323" i="1"/>
  <c r="BV1324" i="1"/>
  <c r="BV1325" i="1"/>
  <c r="BV1326" i="1"/>
  <c r="BV1327" i="1"/>
  <c r="BV1328" i="1"/>
  <c r="BV1329" i="1"/>
  <c r="BV1330" i="1"/>
  <c r="BV1331" i="1"/>
  <c r="BV1332" i="1"/>
  <c r="BV1333" i="1"/>
  <c r="BV1334" i="1"/>
  <c r="BV1335" i="1"/>
  <c r="BV1336" i="1"/>
  <c r="BV1337" i="1"/>
  <c r="BV1338" i="1"/>
  <c r="BV1339" i="1"/>
  <c r="BV1340" i="1"/>
  <c r="BV1341" i="1"/>
  <c r="BV1342" i="1"/>
  <c r="BV1343" i="1"/>
  <c r="BV1344" i="1"/>
  <c r="BV1345" i="1"/>
  <c r="BV1346" i="1"/>
  <c r="BV1347" i="1"/>
  <c r="BV1348" i="1"/>
  <c r="BV1349" i="1"/>
  <c r="BV1350" i="1"/>
  <c r="BV1351" i="1"/>
  <c r="BV1352" i="1"/>
  <c r="BV1353" i="1"/>
  <c r="BV1354" i="1"/>
  <c r="BV1355" i="1"/>
  <c r="BV1356" i="1"/>
  <c r="BV1357" i="1"/>
  <c r="BV1358" i="1"/>
  <c r="BV1359" i="1"/>
  <c r="BV1360" i="1"/>
  <c r="BV1361" i="1"/>
  <c r="BV1362" i="1"/>
  <c r="BV1363" i="1"/>
  <c r="BV1364" i="1"/>
  <c r="BV1365" i="1"/>
  <c r="BV1366" i="1"/>
  <c r="BV1367" i="1"/>
  <c r="BV1368" i="1"/>
  <c r="BV1369" i="1"/>
  <c r="BV1370" i="1"/>
  <c r="BV1371" i="1"/>
  <c r="BV1372" i="1"/>
  <c r="BV1373" i="1"/>
  <c r="BV1374" i="1"/>
  <c r="BV1375" i="1"/>
  <c r="BV1376" i="1"/>
  <c r="BV1377" i="1"/>
  <c r="BV1378" i="1"/>
  <c r="BV1379" i="1"/>
  <c r="BV1380" i="1"/>
  <c r="BV1381" i="1"/>
  <c r="BV1382" i="1"/>
  <c r="BV1383" i="1"/>
  <c r="BV1384" i="1"/>
  <c r="BV1385" i="1"/>
  <c r="BV1386" i="1"/>
  <c r="BV1387" i="1"/>
  <c r="BV1388" i="1"/>
  <c r="BV1389" i="1"/>
  <c r="BV1390" i="1"/>
  <c r="BV1391" i="1"/>
  <c r="BV1392" i="1"/>
  <c r="BV1393" i="1"/>
  <c r="BV1394" i="1"/>
  <c r="BV1395" i="1"/>
  <c r="BV1396" i="1"/>
  <c r="BV1397" i="1"/>
  <c r="BV1398" i="1"/>
  <c r="BV1399" i="1"/>
  <c r="BV1400" i="1"/>
  <c r="BV1401" i="1"/>
  <c r="BV1402" i="1"/>
  <c r="BV1403" i="1"/>
  <c r="BV1404" i="1"/>
  <c r="BV1405" i="1"/>
  <c r="BV1406" i="1"/>
  <c r="BV1407" i="1"/>
  <c r="BV1408" i="1"/>
  <c r="BV1409" i="1"/>
  <c r="BV1410" i="1"/>
  <c r="BV1411" i="1"/>
  <c r="BV1412" i="1"/>
  <c r="BV1413" i="1"/>
  <c r="BV1414" i="1"/>
  <c r="BV1415" i="1"/>
  <c r="BV1416" i="1"/>
  <c r="BV1417" i="1"/>
  <c r="BV1418" i="1"/>
  <c r="BV1419" i="1"/>
  <c r="BV1420" i="1"/>
  <c r="BV1421" i="1"/>
  <c r="BV1422" i="1"/>
  <c r="BV1423" i="1"/>
  <c r="BV1424" i="1"/>
  <c r="BV1425" i="1"/>
  <c r="BV1426" i="1"/>
  <c r="BV1427" i="1"/>
  <c r="BV1428" i="1"/>
  <c r="BV1429" i="1"/>
  <c r="BV1430" i="1"/>
  <c r="BV1431" i="1"/>
  <c r="BV1432" i="1"/>
  <c r="BV1433" i="1"/>
  <c r="BV1434" i="1"/>
  <c r="BV1435" i="1"/>
  <c r="BV1436" i="1"/>
  <c r="BV1437" i="1"/>
  <c r="BV1438" i="1"/>
  <c r="BV1439" i="1"/>
  <c r="BV1440" i="1"/>
  <c r="BV1441" i="1"/>
  <c r="BV1442" i="1"/>
  <c r="BV1443" i="1"/>
  <c r="BV1444" i="1"/>
  <c r="BV1445" i="1"/>
  <c r="BV1446" i="1"/>
  <c r="BV1447" i="1"/>
  <c r="BV1448" i="1"/>
  <c r="BV1449" i="1"/>
  <c r="BV1450" i="1"/>
  <c r="BV1451" i="1"/>
  <c r="BV1452" i="1"/>
  <c r="BV1453" i="1"/>
  <c r="BV1454" i="1"/>
  <c r="BV1455" i="1"/>
  <c r="BV1456" i="1"/>
  <c r="BV1457" i="1"/>
  <c r="BV1458" i="1"/>
  <c r="BV1459" i="1"/>
  <c r="BV1460" i="1"/>
  <c r="BV1461" i="1"/>
  <c r="BV1462" i="1"/>
  <c r="BV1463" i="1"/>
  <c r="BV1464" i="1"/>
  <c r="BV1465" i="1"/>
  <c r="BV1466" i="1"/>
  <c r="BV1467" i="1"/>
  <c r="BV1468" i="1"/>
  <c r="BV1469" i="1"/>
  <c r="BV1470" i="1"/>
  <c r="BV1471" i="1"/>
  <c r="BG184" i="1" l="1"/>
  <c r="CD5" i="1"/>
  <c r="CD4" i="1"/>
  <c r="BG181" i="1"/>
  <c r="J4" i="5"/>
  <c r="J3" i="5"/>
  <c r="D26" i="67"/>
  <c r="B24" i="67"/>
  <c r="C16" i="67"/>
  <c r="G15" i="67"/>
  <c r="H22" i="67"/>
  <c r="M48" i="66"/>
  <c r="Z52" i="66"/>
  <c r="H50" i="66"/>
  <c r="H34" i="66"/>
  <c r="E21" i="67"/>
  <c r="R52" i="66"/>
  <c r="O27" i="67"/>
  <c r="N26" i="67"/>
  <c r="B17" i="67"/>
  <c r="E15" i="67"/>
  <c r="F48" i="66"/>
  <c r="AA52" i="66"/>
  <c r="AL50" i="66"/>
  <c r="AA48" i="66"/>
  <c r="P52" i="66"/>
  <c r="AC51" i="66"/>
  <c r="AB45" i="66"/>
  <c r="AJ51" i="66"/>
  <c r="S38" i="66"/>
  <c r="AO52" i="66"/>
  <c r="J50" i="66"/>
  <c r="F52" i="66"/>
  <c r="H47" i="66"/>
  <c r="W52" i="66"/>
  <c r="P38" i="66"/>
  <c r="AF48" i="66"/>
  <c r="B44" i="66"/>
  <c r="C45" i="66"/>
  <c r="AJ45" i="66"/>
  <c r="H21" i="66"/>
  <c r="AE46" i="66"/>
  <c r="AA51" i="66"/>
  <c r="AI48" i="66"/>
  <c r="B33" i="66"/>
  <c r="H48" i="66"/>
  <c r="G38" i="66"/>
  <c r="W51" i="66"/>
  <c r="H33" i="66"/>
  <c r="B20" i="67"/>
  <c r="I27" i="67"/>
  <c r="G27" i="67"/>
  <c r="V48" i="66"/>
  <c r="B27" i="66"/>
  <c r="AK48" i="66"/>
  <c r="B16" i="66"/>
  <c r="T51" i="66"/>
  <c r="R48" i="66"/>
  <c r="Y51" i="66"/>
  <c r="H20" i="67"/>
  <c r="C12" i="67"/>
  <c r="D52" i="66"/>
  <c r="H39" i="66"/>
  <c r="D15" i="66"/>
  <c r="AG52" i="66"/>
  <c r="B50" i="66"/>
  <c r="N50" i="66"/>
  <c r="AL47" i="66"/>
  <c r="J27" i="67"/>
  <c r="Q27" i="67"/>
  <c r="V51" i="66"/>
  <c r="M38" i="66"/>
  <c r="G15" i="66"/>
  <c r="AL49" i="66"/>
  <c r="B10" i="66"/>
  <c r="AI45" i="66"/>
  <c r="K38" i="66"/>
  <c r="AG51" i="66"/>
  <c r="H29" i="66"/>
  <c r="H43" i="66"/>
  <c r="AQ51" i="66"/>
  <c r="AE40" i="66"/>
  <c r="AH48" i="66"/>
  <c r="I45" i="66"/>
  <c r="M52" i="66"/>
  <c r="N38" i="66"/>
  <c r="I50" i="66"/>
  <c r="H35" i="66"/>
  <c r="AM48" i="66"/>
  <c r="U52" i="66"/>
  <c r="B21" i="67"/>
  <c r="H27" i="67"/>
  <c r="I52" i="66"/>
  <c r="AL46" i="66"/>
  <c r="Z51" i="66"/>
  <c r="B35" i="66"/>
  <c r="AO51" i="66"/>
  <c r="O48" i="66"/>
  <c r="L26" i="67"/>
  <c r="Q26" i="67"/>
  <c r="AK50" i="66"/>
  <c r="AN51" i="66"/>
  <c r="S27" i="67"/>
  <c r="E26" i="67"/>
  <c r="N51" i="66"/>
  <c r="B25" i="66"/>
  <c r="U50" i="66"/>
  <c r="B20" i="66"/>
  <c r="Z45" i="66"/>
  <c r="R38" i="66"/>
  <c r="AG50" i="66"/>
  <c r="H16" i="66"/>
  <c r="H44" i="66"/>
  <c r="AQ52" i="66"/>
  <c r="T45" i="66"/>
  <c r="AB51" i="66"/>
  <c r="AJ48" i="66"/>
  <c r="AE42" i="66"/>
  <c r="B11" i="67"/>
  <c r="B25" i="67"/>
  <c r="O24" i="67"/>
  <c r="C23" i="67"/>
  <c r="M26" i="67"/>
  <c r="AE44" i="66"/>
  <c r="D51" i="66"/>
  <c r="D48" i="66"/>
  <c r="H24" i="66"/>
  <c r="AH45" i="66"/>
  <c r="R51" i="66"/>
  <c r="Z48" i="66"/>
  <c r="H19" i="66"/>
  <c r="G48" i="66"/>
  <c r="S50" i="66"/>
  <c r="I38" i="66"/>
  <c r="Q48" i="66"/>
  <c r="H51" i="66"/>
  <c r="X48" i="66"/>
  <c r="B26" i="66"/>
  <c r="H22" i="66"/>
  <c r="B14" i="66"/>
  <c r="D24" i="67"/>
  <c r="B31" i="66"/>
  <c r="Q50" i="66"/>
  <c r="E27" i="67"/>
  <c r="C14" i="67"/>
  <c r="Q38" i="66"/>
  <c r="AP50" i="66"/>
  <c r="AL52" i="66"/>
  <c r="G45" i="66"/>
  <c r="W48" i="66"/>
  <c r="H52" i="66"/>
  <c r="H46" i="66"/>
  <c r="K24" i="67"/>
  <c r="I24" i="67"/>
  <c r="G24" i="67"/>
  <c r="N24" i="67"/>
  <c r="K52" i="66"/>
  <c r="B42" i="66"/>
  <c r="C48" i="66"/>
  <c r="H25" i="66"/>
  <c r="Y45" i="66"/>
  <c r="Z50" i="66"/>
  <c r="AE47" i="66"/>
  <c r="H18" i="66"/>
  <c r="F51" i="66"/>
  <c r="J52" i="66"/>
  <c r="B47" i="66"/>
  <c r="AI51" i="66"/>
  <c r="Z38" i="66"/>
  <c r="AF52" i="66"/>
  <c r="P48" i="66"/>
  <c r="N25" i="67"/>
  <c r="K21" i="67"/>
  <c r="W50" i="66"/>
  <c r="H23" i="66"/>
  <c r="S52" i="66"/>
  <c r="K51" i="66"/>
  <c r="B38" i="66"/>
  <c r="AP51" i="66"/>
  <c r="AG45" i="66"/>
  <c r="AH50" i="66"/>
  <c r="AD52" i="66"/>
  <c r="AO50" i="66"/>
  <c r="E45" i="66"/>
  <c r="AA50" i="66"/>
  <c r="AF51" i="66"/>
  <c r="W45" i="66"/>
  <c r="O51" i="66"/>
  <c r="B30" i="66"/>
  <c r="K27" i="67"/>
  <c r="R26" i="67"/>
  <c r="H17" i="66"/>
  <c r="P45" i="66"/>
  <c r="R27" i="67"/>
  <c r="H24" i="67"/>
  <c r="C17" i="67"/>
  <c r="U38" i="66"/>
  <c r="V50" i="66"/>
  <c r="AE45" i="66"/>
  <c r="B13" i="66"/>
  <c r="N45" i="66"/>
  <c r="B21" i="66"/>
  <c r="K26" i="67"/>
  <c r="G21" i="67"/>
  <c r="H26" i="67"/>
  <c r="B19" i="67"/>
  <c r="C21" i="67"/>
  <c r="O50" i="66"/>
  <c r="AC45" i="66"/>
  <c r="S45" i="66"/>
  <c r="C51" i="66"/>
  <c r="I51" i="66"/>
  <c r="X38" i="66"/>
  <c r="AN48" i="66"/>
  <c r="AC52" i="66"/>
  <c r="B15" i="66"/>
  <c r="AM51" i="66"/>
  <c r="B45" i="66"/>
  <c r="H42" i="66"/>
  <c r="AH51" i="66"/>
  <c r="H36" i="66"/>
  <c r="I48" i="66"/>
  <c r="B34" i="66"/>
  <c r="B14" i="67"/>
  <c r="H28" i="66"/>
  <c r="U51" i="66"/>
  <c r="T38" i="66"/>
  <c r="E50" i="66"/>
  <c r="AA45" i="66"/>
  <c r="H31" i="66"/>
  <c r="X45" i="66"/>
  <c r="B18" i="66"/>
  <c r="AO49" i="66"/>
  <c r="AK52" i="66"/>
  <c r="F45" i="66"/>
  <c r="O38" i="66"/>
  <c r="C26" i="67"/>
  <c r="J48" i="66"/>
  <c r="B37" i="66"/>
  <c r="C25" i="67"/>
  <c r="B41" i="66"/>
  <c r="Y38" i="66"/>
  <c r="F24" i="67"/>
  <c r="L24" i="67"/>
  <c r="I26" i="67"/>
  <c r="H25" i="67"/>
  <c r="E24" i="67"/>
  <c r="D15" i="67"/>
  <c r="AD51" i="66"/>
  <c r="L51" i="66"/>
  <c r="B36" i="66"/>
  <c r="AD38" i="66"/>
  <c r="E38" i="66"/>
  <c r="B48" i="66"/>
  <c r="E15" i="66"/>
  <c r="L21" i="67"/>
  <c r="AJ52" i="66"/>
  <c r="AM50" i="66"/>
  <c r="B43" i="66"/>
  <c r="M51" i="66"/>
  <c r="L38" i="66"/>
  <c r="AP52" i="66"/>
  <c r="B51" i="66"/>
  <c r="H20" i="66"/>
  <c r="B12" i="66"/>
  <c r="H49" i="66"/>
  <c r="B23" i="66"/>
  <c r="B12" i="67"/>
  <c r="P27" i="67"/>
  <c r="C19" i="67"/>
  <c r="E52" i="66"/>
  <c r="AG48" i="66"/>
  <c r="B17" i="66"/>
  <c r="O45" i="66"/>
  <c r="G51" i="66"/>
  <c r="AJ50" i="66"/>
  <c r="C27" i="67"/>
  <c r="AC50" i="66"/>
  <c r="H40" i="66"/>
  <c r="L50" i="66"/>
  <c r="AN52" i="66"/>
  <c r="J51" i="66"/>
  <c r="B39" i="66"/>
  <c r="X50" i="66"/>
  <c r="AD45" i="66"/>
  <c r="AN50" i="66"/>
  <c r="AD48" i="66"/>
  <c r="K48" i="66"/>
  <c r="F21" i="67"/>
  <c r="D21" i="67"/>
  <c r="P50" i="66"/>
  <c r="B29" i="66"/>
  <c r="C24" i="67"/>
  <c r="H21" i="67"/>
  <c r="N23" i="67"/>
  <c r="U45" i="66"/>
  <c r="C52" i="66"/>
  <c r="H17" i="67"/>
  <c r="AE50" i="66"/>
  <c r="B24" i="66"/>
  <c r="AC48" i="66"/>
  <c r="D45" i="66"/>
  <c r="J38" i="66"/>
  <c r="Y50" i="66"/>
  <c r="F15" i="66"/>
  <c r="H23" i="67"/>
  <c r="B13" i="67"/>
  <c r="B22" i="67"/>
  <c r="B11" i="66"/>
  <c r="E48" i="66"/>
  <c r="AE39" i="66"/>
  <c r="B52" i="66"/>
  <c r="AA38" i="66"/>
  <c r="D50" i="66"/>
  <c r="R45" i="66"/>
  <c r="N52" i="66"/>
  <c r="W38" i="66"/>
  <c r="C18" i="67"/>
  <c r="AE43" i="66"/>
  <c r="B46" i="66"/>
  <c r="J21" i="67"/>
  <c r="F15" i="67"/>
  <c r="AL48" i="66"/>
  <c r="AE51" i="66"/>
  <c r="V45" i="66"/>
  <c r="J26" i="67"/>
  <c r="AK51" i="66"/>
  <c r="C22" i="67"/>
  <c r="M21" i="67"/>
  <c r="H26" i="66"/>
  <c r="K50" i="66"/>
  <c r="O52" i="66"/>
  <c r="H38" i="66"/>
  <c r="V52" i="66"/>
  <c r="B18" i="67"/>
  <c r="Q52" i="66"/>
  <c r="L48" i="66"/>
  <c r="F38" i="66"/>
  <c r="I21" i="67"/>
  <c r="C20" i="67"/>
  <c r="AE49" i="66"/>
  <c r="C15" i="66"/>
  <c r="B26" i="67"/>
  <c r="C13" i="67"/>
  <c r="B16" i="67"/>
  <c r="H19" i="67"/>
  <c r="B10" i="67"/>
  <c r="AH52" i="66"/>
  <c r="K45" i="66"/>
  <c r="F50" i="66"/>
  <c r="AB38" i="66"/>
  <c r="M50" i="66"/>
  <c r="B19" i="66"/>
  <c r="S51" i="66"/>
  <c r="AF45" i="66"/>
  <c r="B15" i="67"/>
  <c r="F27" i="67"/>
  <c r="L27" i="67"/>
  <c r="AL51" i="66"/>
  <c r="G50" i="66"/>
  <c r="AB48" i="66"/>
  <c r="Y52" i="66"/>
  <c r="AB50" i="66"/>
  <c r="H41" i="66"/>
  <c r="C50" i="66"/>
  <c r="G52" i="66"/>
  <c r="R50" i="66"/>
  <c r="V38" i="66"/>
  <c r="F26" i="67"/>
  <c r="C15" i="67"/>
  <c r="P24" i="67"/>
  <c r="G26" i="67"/>
  <c r="M27" i="67"/>
  <c r="AD50" i="66"/>
  <c r="H30" i="66"/>
  <c r="AB52" i="66"/>
  <c r="AM52" i="66"/>
  <c r="N22" i="67"/>
  <c r="B27" i="67"/>
  <c r="AR52" i="66"/>
  <c r="M45" i="66"/>
  <c r="H45" i="66"/>
  <c r="X51" i="66"/>
  <c r="H32" i="66"/>
  <c r="AE48" i="66"/>
  <c r="Q51" i="66"/>
  <c r="H18" i="67"/>
  <c r="J24" i="67"/>
  <c r="Q25" i="67"/>
  <c r="O26" i="67"/>
  <c r="D27" i="67"/>
  <c r="H16" i="67"/>
  <c r="H37" i="66"/>
  <c r="T48" i="66"/>
  <c r="B23" i="67"/>
  <c r="L52" i="66"/>
  <c r="B40" i="66"/>
  <c r="E51" i="66"/>
  <c r="U48" i="66"/>
  <c r="J45" i="66"/>
  <c r="AI50" i="66"/>
  <c r="H27" i="66"/>
  <c r="T50" i="66"/>
  <c r="B22" i="66"/>
  <c r="Q45" i="66"/>
  <c r="B32" i="66"/>
  <c r="AF50" i="66"/>
  <c r="T52" i="66"/>
  <c r="N48" i="66"/>
  <c r="AI52" i="66"/>
  <c r="L45" i="66"/>
  <c r="D38" i="66"/>
  <c r="X52" i="66"/>
  <c r="AE41" i="66"/>
  <c r="AE52" i="66"/>
  <c r="Y48" i="66"/>
  <c r="P51" i="66"/>
  <c r="B28" i="66"/>
  <c r="P26" i="67"/>
  <c r="B49" i="66"/>
  <c r="N27" i="67"/>
  <c r="M24" i="67"/>
  <c r="C11" i="67"/>
  <c r="AK45" i="66"/>
  <c r="AC38" i="66"/>
  <c r="C38" i="66"/>
  <c r="S4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Apurva Sharma</author>
  </authors>
  <commentList>
    <comment ref="CK3" authorId="0" shapeId="0" xr:uid="{879C4057-48F5-4CFF-8CDE-A9DE3D7E32A6}">
      <text>
        <r>
          <rPr>
            <b/>
            <u/>
            <sz val="9"/>
            <color indexed="81"/>
            <rFont val="Tahoma"/>
            <family val="2"/>
          </rPr>
          <t>StatTools Note:</t>
        </r>
        <r>
          <rPr>
            <sz val="9"/>
            <color indexed="81"/>
            <rFont val="Tahoma"/>
            <family val="2"/>
          </rPr>
          <t xml:space="preserve">
This is the correlation between the actual Y values and the fitted Y values.</t>
        </r>
      </text>
    </comment>
    <comment ref="CO3" authorId="0" shapeId="0" xr:uid="{46D423F3-D082-4682-875A-348209778D54}">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CP3" authorId="0" shapeId="0" xr:uid="{6E55DBA1-B17D-4290-B25B-E65ED27F9235}">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CS3" authorId="0" shapeId="0" xr:uid="{C2133006-C2FD-47A3-827B-AEC70AE53E4A}">
      <text>
        <r>
          <rPr>
            <b/>
            <u/>
            <sz val="9"/>
            <color indexed="81"/>
            <rFont val="Tahoma"/>
            <family val="2"/>
          </rPr>
          <t>StatTools Note:</t>
        </r>
        <r>
          <rPr>
            <sz val="9"/>
            <color indexed="81"/>
            <rFont val="Tahoma"/>
            <family val="2"/>
          </rPr>
          <t xml:space="preserve">
This is the correlation between the actual Y values and the fitted Y values.</t>
        </r>
      </text>
    </comment>
    <comment ref="CW3" authorId="0" shapeId="0" xr:uid="{0A0C0D43-E5CD-413C-9414-4BB471D5E9E5}">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CX3" authorId="0" shapeId="0" xr:uid="{69B9831E-A748-4826-B068-E65B03C0E249}">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DA3" authorId="0" shapeId="0" xr:uid="{4C0F872B-14C2-460B-AC05-39D6CE07E0DC}">
      <text>
        <r>
          <rPr>
            <b/>
            <u/>
            <sz val="9"/>
            <color indexed="81"/>
            <rFont val="Tahoma"/>
            <family val="2"/>
          </rPr>
          <t>StatTools Note:</t>
        </r>
        <r>
          <rPr>
            <sz val="9"/>
            <color indexed="81"/>
            <rFont val="Tahoma"/>
            <family val="2"/>
          </rPr>
          <t xml:space="preserve">
This is the correlation between the actual Y values and the fitted Y values.</t>
        </r>
      </text>
    </comment>
    <comment ref="DE3" authorId="0" shapeId="0" xr:uid="{09FAD9B5-C96C-41F0-94DD-A82FEFFFF8FB}">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DF3" authorId="0" shapeId="0" xr:uid="{89C6A4F4-0DD1-444B-9DB4-399A9F1E6DB7}">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DI3" authorId="0" shapeId="0" xr:uid="{42459505-0F89-4460-ABF9-295325E61EB7}">
      <text>
        <r>
          <rPr>
            <b/>
            <u/>
            <sz val="9"/>
            <color indexed="81"/>
            <rFont val="Tahoma"/>
            <family val="2"/>
          </rPr>
          <t>StatTools Note:</t>
        </r>
        <r>
          <rPr>
            <sz val="9"/>
            <color indexed="81"/>
            <rFont val="Tahoma"/>
            <family val="2"/>
          </rPr>
          <t xml:space="preserve">
This is the correlation between the actual Y values and the fitted Y values.</t>
        </r>
      </text>
    </comment>
    <comment ref="DM3" authorId="0" shapeId="0" xr:uid="{FE7C0C89-EDB0-48AB-9170-01E8A8B0E35E}">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DN3" authorId="0" shapeId="0" xr:uid="{34A16B58-824B-4FE2-A410-29930536E9FC}">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DQ3" authorId="0" shapeId="0" xr:uid="{E0EB0CDC-7A87-4ECB-A2C1-585A053351F3}">
      <text>
        <r>
          <rPr>
            <b/>
            <u/>
            <sz val="9"/>
            <color indexed="81"/>
            <rFont val="Tahoma"/>
            <family val="2"/>
          </rPr>
          <t>StatTools Note:</t>
        </r>
        <r>
          <rPr>
            <sz val="9"/>
            <color indexed="81"/>
            <rFont val="Tahoma"/>
            <family val="2"/>
          </rPr>
          <t xml:space="preserve">
This is the correlation between the actual Y values and the fitted Y values.</t>
        </r>
      </text>
    </comment>
    <comment ref="DU3" authorId="0" shapeId="0" xr:uid="{ED4BD3E9-99AA-413E-82A4-E9BD744C80BC}">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DV3" authorId="0" shapeId="0" xr:uid="{BDA94837-6F4A-46FA-8BDD-6EE49F047FE5}">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DY3" authorId="0" shapeId="0" xr:uid="{B5087237-AE64-4331-85BF-02D6C8D0148F}">
      <text>
        <r>
          <rPr>
            <b/>
            <u/>
            <sz val="9"/>
            <color indexed="81"/>
            <rFont val="Tahoma"/>
            <family val="2"/>
          </rPr>
          <t>StatTools Note:</t>
        </r>
        <r>
          <rPr>
            <sz val="9"/>
            <color indexed="81"/>
            <rFont val="Tahoma"/>
            <family val="2"/>
          </rPr>
          <t xml:space="preserve">
This is the correlation between the actual Y values and the fitted Y values.</t>
        </r>
      </text>
    </comment>
    <comment ref="EC3" authorId="0" shapeId="0" xr:uid="{F3EA728A-05F7-4686-906B-1119E4F3AC47}">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ED3" authorId="0" shapeId="0" xr:uid="{6E8C7E8F-B83D-4ADF-8396-750CD40F95CE}">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 ref="EG3" authorId="0" shapeId="0" xr:uid="{D78CD549-40E7-4FA3-AFFC-413EEBE91FE2}">
      <text>
        <r>
          <rPr>
            <b/>
            <u/>
            <sz val="9"/>
            <color indexed="81"/>
            <rFont val="Tahoma"/>
            <family val="2"/>
          </rPr>
          <t>StatTools Note:</t>
        </r>
        <r>
          <rPr>
            <sz val="9"/>
            <color indexed="81"/>
            <rFont val="Tahoma"/>
            <family val="2"/>
          </rPr>
          <t xml:space="preserve">
This is the correlation between the actual Y values and the fitted Y values.</t>
        </r>
      </text>
    </comment>
    <comment ref="EK3" authorId="0" shapeId="0" xr:uid="{B64EEB4F-F1AB-4824-B4A8-8B1747EFE0A9}">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EL3" authorId="0" shapeId="0" xr:uid="{9E470AE0-3051-478C-B9A5-27C7933BBD22}">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Wenqi Wu</author>
  </authors>
  <commentList>
    <comment ref="B10" authorId="0" shapeId="0" xr:uid="{00000000-0006-0000-0600-000001000000}">
      <text>
        <r>
          <rPr>
            <b/>
            <u/>
            <sz val="9"/>
            <color indexed="81"/>
            <rFont val="Tahoma"/>
            <family val="2"/>
          </rPr>
          <t>StatTools Note:</t>
        </r>
        <r>
          <rPr>
            <sz val="9"/>
            <color indexed="81"/>
            <rFont val="Tahoma"/>
            <family val="2"/>
          </rPr>
          <t xml:space="preserve">
This is the correlation between the actual Y values and the fitted Y values.</t>
        </r>
      </text>
    </comment>
    <comment ref="F10" authorId="0" shapeId="0" xr:uid="{00000000-0006-0000-0600-000002000000}">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G10" authorId="0" shapeId="0" xr:uid="{00000000-0006-0000-0600-000003000000}">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Wenqi Wu</author>
  </authors>
  <commentList>
    <comment ref="B10" authorId="0" shapeId="0" xr:uid="{00000000-0006-0000-0200-000001000000}">
      <text>
        <r>
          <rPr>
            <b/>
            <u/>
            <sz val="9"/>
            <color indexed="81"/>
            <rFont val="Tahoma"/>
            <family val="2"/>
          </rPr>
          <t>StatTools Note:</t>
        </r>
        <r>
          <rPr>
            <sz val="9"/>
            <color indexed="81"/>
            <rFont val="Tahoma"/>
            <family val="2"/>
          </rPr>
          <t xml:space="preserve">
This is the correlation between the actual Y values and the fitted Y values.</t>
        </r>
      </text>
    </comment>
    <comment ref="F10" authorId="0" shapeId="0" xr:uid="{00000000-0006-0000-0200-000002000000}">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G10" authorId="0" shapeId="0" xr:uid="{00000000-0006-0000-0200-000003000000}">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Apurva Sharma</author>
  </authors>
  <commentList>
    <comment ref="B10" authorId="0" shapeId="0" xr:uid="{FA46BE6E-9B87-429C-AF87-A49D7273E95F}">
      <text>
        <r>
          <rPr>
            <b/>
            <u/>
            <sz val="9"/>
            <color indexed="81"/>
            <rFont val="Tahoma"/>
            <family val="2"/>
          </rPr>
          <t>StatTools Note:</t>
        </r>
        <r>
          <rPr>
            <sz val="9"/>
            <color indexed="81"/>
            <rFont val="Tahoma"/>
            <family val="2"/>
          </rPr>
          <t xml:space="preserve">
This is the correlation between the actual Y values and the fitted Y values.</t>
        </r>
      </text>
    </comment>
    <comment ref="F10" authorId="0" shapeId="0" xr:uid="{7501AE7A-26BB-44DB-8E15-877FCC40E84B}">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G10" authorId="0" shapeId="0" xr:uid="{C348143B-2799-4735-8B27-8D008F26657D}">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Apurva Sharma</author>
  </authors>
  <commentList>
    <comment ref="B10" authorId="0" shapeId="0" xr:uid="{47C8DB5A-059E-46BE-97B1-A692C677E039}">
      <text>
        <r>
          <rPr>
            <b/>
            <u/>
            <sz val="9"/>
            <color indexed="81"/>
            <rFont val="Tahoma"/>
            <family val="2"/>
          </rPr>
          <t>StatTools Note:</t>
        </r>
        <r>
          <rPr>
            <sz val="9"/>
            <color indexed="81"/>
            <rFont val="Tahoma"/>
            <family val="2"/>
          </rPr>
          <t xml:space="preserve">
This is the correlation between the actual Y values and the fitted Y values.</t>
        </r>
      </text>
    </comment>
    <comment ref="F10" authorId="0" shapeId="0" xr:uid="{BF5834AA-C676-4971-AC4D-4B79E601AAF8}">
      <text>
        <r>
          <rPr>
            <b/>
            <u/>
            <sz val="9"/>
            <color indexed="81"/>
            <rFont val="Tahoma"/>
            <family val="2"/>
          </rPr>
          <t>StatTools Note:</t>
        </r>
        <r>
          <rPr>
            <sz val="9"/>
            <color indexed="81"/>
            <rFont val="Tahoma"/>
            <family val="2"/>
          </rPr>
          <t xml:space="preserve">
Number of records which had missing or invalid data and were ignored in this report.</t>
        </r>
      </text>
    </comment>
    <comment ref="G10" authorId="0" shapeId="0" xr:uid="{EEF244BB-F0BC-4AB6-BA99-091D9C86E137}">
      <text>
        <r>
          <rPr>
            <b/>
            <u/>
            <sz val="9"/>
            <color indexed="81"/>
            <rFont val="Tahoma"/>
            <family val="2"/>
          </rPr>
          <t>StatTools Note:</t>
        </r>
        <r>
          <rPr>
            <sz val="9"/>
            <color indexed="81"/>
            <rFont val="Tahoma"/>
            <family val="2"/>
          </rPr>
          <t xml:space="preserve">
An observation with a standardized residual greater than 3 (in absolute value) is deemed an outlier.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Wenqi Wu</author>
  </authors>
  <commentList>
    <comment ref="A10" authorId="0" shapeId="0" xr:uid="{00000000-0006-0000-0800-000001000000}">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A11" authorId="0" shapeId="0" xr:uid="{00000000-0006-0000-0800-000002000000}">
      <text>
        <r>
          <rPr>
            <b/>
            <u/>
            <sz val="9"/>
            <color indexed="81"/>
            <rFont val="Tahoma"/>
            <family val="2"/>
          </rPr>
          <t>StatTools Note:</t>
        </r>
        <r>
          <rPr>
            <sz val="9"/>
            <color indexed="81"/>
            <rFont val="Tahoma"/>
            <family val="2"/>
          </rPr>
          <t xml:space="preserve">
This is the same measure of the deviations for the proposed model.</t>
        </r>
      </text>
    </comment>
    <comment ref="A12" authorId="0" shapeId="0" xr:uid="{00000000-0006-0000-0800-000003000000}">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A13" authorId="0" shapeId="0" xr:uid="{00000000-0006-0000-0800-000004000000}">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B15" authorId="0" shapeId="0" xr:uid="{00000000-0006-0000-0800-000005000000}">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H15" authorId="0" shapeId="0" xr:uid="{00000000-0006-0000-0800-000006000000}">
      <text>
        <r>
          <rPr>
            <b/>
            <u/>
            <sz val="9"/>
            <color indexed="81"/>
            <rFont val="Tahoma"/>
            <family val="2"/>
          </rPr>
          <t>StatTools Note:</t>
        </r>
        <r>
          <rPr>
            <sz val="9"/>
            <color indexed="81"/>
            <rFont val="Tahoma"/>
            <family val="2"/>
          </rPr>
          <t xml:space="preserve">
This is useful for interpreting the coefficients in terms of a change in odds.</t>
        </r>
      </text>
    </comment>
    <comment ref="C16" authorId="0" shapeId="0" xr:uid="{00000000-0006-0000-0800-000007000000}">
      <text>
        <r>
          <rPr>
            <b/>
            <u/>
            <sz val="9"/>
            <color indexed="81"/>
            <rFont val="Tahoma"/>
            <family val="2"/>
          </rPr>
          <t>StatTools Note:</t>
        </r>
        <r>
          <rPr>
            <sz val="9"/>
            <color indexed="81"/>
            <rFont val="Tahoma"/>
            <family val="2"/>
          </rPr>
          <t xml:space="preserve">
Indications of how the regression coefficents would vary from sample to sample.</t>
        </r>
      </text>
    </comment>
    <comment ref="D16" authorId="0" shapeId="0" xr:uid="{00000000-0006-0000-0800-000008000000}">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F16" authorId="0" shapeId="0" xr:uid="{00000000-0006-0000-0800-000009000000}">
      <text>
        <r>
          <rPr>
            <b/>
            <u/>
            <sz val="9"/>
            <color indexed="81"/>
            <rFont val="Tahoma"/>
            <family val="2"/>
          </rPr>
          <t>StatTools Note:</t>
        </r>
        <r>
          <rPr>
            <sz val="9"/>
            <color indexed="81"/>
            <rFont val="Tahoma"/>
            <family val="2"/>
          </rPr>
          <t xml:space="preserve">
This column and the next represent 95% confidence intervals for the coefficients.</t>
        </r>
      </text>
    </comment>
    <comment ref="A40" authorId="0" shapeId="0" xr:uid="{00000000-0006-0000-0800-00000A000000}">
      <text>
        <r>
          <rPr>
            <b/>
            <u/>
            <sz val="9"/>
            <color indexed="81"/>
            <rFont val="Tahoma"/>
            <family val="2"/>
          </rPr>
          <t>StatTools Note:</t>
        </r>
        <r>
          <rPr>
            <sz val="9"/>
            <color indexed="81"/>
            <rFont val="Tahoma"/>
            <family val="2"/>
          </rPr>
          <t xml:space="preserve">
Actual along the side, predicted along the top.</t>
        </r>
      </text>
    </comment>
    <comment ref="A46" authorId="0" shapeId="0" xr:uid="{00000000-0006-0000-0800-00000B000000}">
      <text>
        <r>
          <rPr>
            <b/>
            <u/>
            <sz val="9"/>
            <color indexed="81"/>
            <rFont val="Tahoma"/>
            <family val="2"/>
          </rPr>
          <t>StatTools Note:</t>
        </r>
        <r>
          <rPr>
            <sz val="9"/>
            <color indexed="81"/>
            <rFont val="Tahoma"/>
            <family val="2"/>
          </rPr>
          <t xml:space="preserve">
Percentage of all observations correctly classified.</t>
        </r>
      </text>
    </comment>
    <comment ref="A47" authorId="0" shapeId="0" xr:uid="{00000000-0006-0000-0800-00000C000000}">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A48" authorId="0" shapeId="0" xr:uid="{00000000-0006-0000-0800-00000D000000}">
      <text>
        <r>
          <rPr>
            <b/>
            <u/>
            <sz val="9"/>
            <color indexed="81"/>
            <rFont val="Tahoma"/>
            <family val="2"/>
          </rPr>
          <t>StatTools Note:</t>
        </r>
        <r>
          <rPr>
            <sz val="9"/>
            <color indexed="81"/>
            <rFont val="Tahoma"/>
            <family val="2"/>
          </rPr>
          <t xml:space="preserve">
Percent of the "error gap" filled.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Apurva Sharma</author>
  </authors>
  <commentList>
    <comment ref="A10" authorId="0" shapeId="0" xr:uid="{B3568546-6F99-4A2A-BEE1-3D9A330BC17B}">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A11" authorId="0" shapeId="0" xr:uid="{D2F34D3F-3978-4ED0-9C49-CCAD9DE50B3A}">
      <text>
        <r>
          <rPr>
            <b/>
            <u/>
            <sz val="9"/>
            <color indexed="81"/>
            <rFont val="Tahoma"/>
            <family val="2"/>
          </rPr>
          <t>StatTools Note:</t>
        </r>
        <r>
          <rPr>
            <sz val="9"/>
            <color indexed="81"/>
            <rFont val="Tahoma"/>
            <family val="2"/>
          </rPr>
          <t xml:space="preserve">
This is the same measure of the deviations for the proposed model.</t>
        </r>
      </text>
    </comment>
    <comment ref="A12" authorId="0" shapeId="0" xr:uid="{B067BFE8-E20A-4084-992E-10737BFD68AE}">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A13" authorId="0" shapeId="0" xr:uid="{0303F30C-32AE-44F0-AE43-C8FEE92E552C}">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B15" authorId="0" shapeId="0" xr:uid="{67CEF4BA-8375-48C9-8D80-8A8CC87DD95C}">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H15" authorId="0" shapeId="0" xr:uid="{FD519B6E-A839-44E3-9592-D7ED16B709D0}">
      <text>
        <r>
          <rPr>
            <b/>
            <u/>
            <sz val="9"/>
            <color indexed="81"/>
            <rFont val="Tahoma"/>
            <family val="2"/>
          </rPr>
          <t>StatTools Note:</t>
        </r>
        <r>
          <rPr>
            <sz val="9"/>
            <color indexed="81"/>
            <rFont val="Tahoma"/>
            <family val="2"/>
          </rPr>
          <t xml:space="preserve">
This is useful for interpreting the coefficients in terms of a change in odds.</t>
        </r>
      </text>
    </comment>
    <comment ref="C16" authorId="0" shapeId="0" xr:uid="{01F1AD78-26E3-4174-BB58-E936C3B220B2}">
      <text>
        <r>
          <rPr>
            <b/>
            <u/>
            <sz val="9"/>
            <color indexed="81"/>
            <rFont val="Tahoma"/>
            <family val="2"/>
          </rPr>
          <t>StatTools Note:</t>
        </r>
        <r>
          <rPr>
            <sz val="9"/>
            <color indexed="81"/>
            <rFont val="Tahoma"/>
            <family val="2"/>
          </rPr>
          <t xml:space="preserve">
Indications of how the regression coefficents would vary from sample to sample.</t>
        </r>
      </text>
    </comment>
    <comment ref="D16" authorId="0" shapeId="0" xr:uid="{FFE83528-F8E5-4C23-AB0C-3AD21A035D40}">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F16" authorId="0" shapeId="0" xr:uid="{C592D692-53A9-4E8E-B3AC-E5F8E9F62F79}">
      <text>
        <r>
          <rPr>
            <b/>
            <u/>
            <sz val="9"/>
            <color indexed="81"/>
            <rFont val="Tahoma"/>
            <family val="2"/>
          </rPr>
          <t>StatTools Note:</t>
        </r>
        <r>
          <rPr>
            <sz val="9"/>
            <color indexed="81"/>
            <rFont val="Tahoma"/>
            <family val="2"/>
          </rPr>
          <t xml:space="preserve">
This column and the next represent 95% confidence intervals for the coefficients.</t>
        </r>
      </text>
    </comment>
    <comment ref="A46" authorId="0" shapeId="0" xr:uid="{7B0C5BA6-2973-40AE-B24C-58AF17D44F60}">
      <text>
        <r>
          <rPr>
            <b/>
            <u/>
            <sz val="9"/>
            <color indexed="81"/>
            <rFont val="Tahoma"/>
            <family val="2"/>
          </rPr>
          <t>StatTools Note:</t>
        </r>
        <r>
          <rPr>
            <sz val="9"/>
            <color indexed="81"/>
            <rFont val="Tahoma"/>
            <family val="2"/>
          </rPr>
          <t xml:space="preserve">
Actual along the side, predicted along the top.</t>
        </r>
      </text>
    </comment>
    <comment ref="A52" authorId="0" shapeId="0" xr:uid="{D234359C-1597-40CE-A6D6-A2920902DDC3}">
      <text>
        <r>
          <rPr>
            <b/>
            <u/>
            <sz val="9"/>
            <color indexed="81"/>
            <rFont val="Tahoma"/>
            <family val="2"/>
          </rPr>
          <t>StatTools Note:</t>
        </r>
        <r>
          <rPr>
            <sz val="9"/>
            <color indexed="81"/>
            <rFont val="Tahoma"/>
            <family val="2"/>
          </rPr>
          <t xml:space="preserve">
Percentage of all observations correctly classified.</t>
        </r>
      </text>
    </comment>
    <comment ref="A53" authorId="0" shapeId="0" xr:uid="{1CD0AE6D-5A78-4382-A830-5D163B97F4F5}">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A54" authorId="0" shapeId="0" xr:uid="{3D5B6FDF-5190-4E2C-B93C-8A734B3079A9}">
      <text>
        <r>
          <rPr>
            <b/>
            <u/>
            <sz val="9"/>
            <color indexed="81"/>
            <rFont val="Tahoma"/>
            <family val="2"/>
          </rPr>
          <t>StatTools Note:</t>
        </r>
        <r>
          <rPr>
            <sz val="9"/>
            <color indexed="81"/>
            <rFont val="Tahoma"/>
            <family val="2"/>
          </rPr>
          <t xml:space="preserve">
Percent of the "error gap" filled.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Wenqi Wu</author>
  </authors>
  <commentList>
    <comment ref="A10" authorId="0" shapeId="0" xr:uid="{00000000-0006-0000-0700-000001000000}">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A11" authorId="0" shapeId="0" xr:uid="{00000000-0006-0000-0700-000002000000}">
      <text>
        <r>
          <rPr>
            <b/>
            <u/>
            <sz val="9"/>
            <color indexed="81"/>
            <rFont val="Tahoma"/>
            <family val="2"/>
          </rPr>
          <t>StatTools Note:</t>
        </r>
        <r>
          <rPr>
            <sz val="9"/>
            <color indexed="81"/>
            <rFont val="Tahoma"/>
            <family val="2"/>
          </rPr>
          <t xml:space="preserve">
This is the same measure of the deviations for the proposed model.</t>
        </r>
      </text>
    </comment>
    <comment ref="A12" authorId="0" shapeId="0" xr:uid="{00000000-0006-0000-0700-000003000000}">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A13" authorId="0" shapeId="0" xr:uid="{00000000-0006-0000-0700-000004000000}">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B15" authorId="0" shapeId="0" xr:uid="{00000000-0006-0000-0700-000005000000}">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H15" authorId="0" shapeId="0" xr:uid="{00000000-0006-0000-0700-000006000000}">
      <text>
        <r>
          <rPr>
            <b/>
            <u/>
            <sz val="9"/>
            <color indexed="81"/>
            <rFont val="Tahoma"/>
            <family val="2"/>
          </rPr>
          <t>StatTools Note:</t>
        </r>
        <r>
          <rPr>
            <sz val="9"/>
            <color indexed="81"/>
            <rFont val="Tahoma"/>
            <family val="2"/>
          </rPr>
          <t xml:space="preserve">
This is useful for interpreting the coefficients in terms of a change in odds.</t>
        </r>
      </text>
    </comment>
    <comment ref="C16" authorId="0" shapeId="0" xr:uid="{00000000-0006-0000-0700-000007000000}">
      <text>
        <r>
          <rPr>
            <b/>
            <u/>
            <sz val="9"/>
            <color indexed="81"/>
            <rFont val="Tahoma"/>
            <family val="2"/>
          </rPr>
          <t>StatTools Note:</t>
        </r>
        <r>
          <rPr>
            <sz val="9"/>
            <color indexed="81"/>
            <rFont val="Tahoma"/>
            <family val="2"/>
          </rPr>
          <t xml:space="preserve">
Indications of how the regression coefficents would vary from sample to sample.</t>
        </r>
      </text>
    </comment>
    <comment ref="D16" authorId="0" shapeId="0" xr:uid="{00000000-0006-0000-0700-000008000000}">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F16" authorId="0" shapeId="0" xr:uid="{00000000-0006-0000-0700-000009000000}">
      <text>
        <r>
          <rPr>
            <b/>
            <u/>
            <sz val="9"/>
            <color indexed="81"/>
            <rFont val="Tahoma"/>
            <family val="2"/>
          </rPr>
          <t>StatTools Note:</t>
        </r>
        <r>
          <rPr>
            <sz val="9"/>
            <color indexed="81"/>
            <rFont val="Tahoma"/>
            <family val="2"/>
          </rPr>
          <t xml:space="preserve">
This column and the next represent 95% confidence intervals for the coefficients.</t>
        </r>
      </text>
    </comment>
    <comment ref="A38" authorId="0" shapeId="0" xr:uid="{00000000-0006-0000-0700-00000A000000}">
      <text>
        <r>
          <rPr>
            <b/>
            <u/>
            <sz val="9"/>
            <color indexed="81"/>
            <rFont val="Tahoma"/>
            <family val="2"/>
          </rPr>
          <t>StatTools Note:</t>
        </r>
        <r>
          <rPr>
            <sz val="9"/>
            <color indexed="81"/>
            <rFont val="Tahoma"/>
            <family val="2"/>
          </rPr>
          <t xml:space="preserve">
Actual along the side, predicted along the top.</t>
        </r>
      </text>
    </comment>
    <comment ref="A44" authorId="0" shapeId="0" xr:uid="{00000000-0006-0000-0700-00000B000000}">
      <text>
        <r>
          <rPr>
            <b/>
            <u/>
            <sz val="9"/>
            <color indexed="81"/>
            <rFont val="Tahoma"/>
            <family val="2"/>
          </rPr>
          <t>StatTools Note:</t>
        </r>
        <r>
          <rPr>
            <sz val="9"/>
            <color indexed="81"/>
            <rFont val="Tahoma"/>
            <family val="2"/>
          </rPr>
          <t xml:space="preserve">
Percentage of all observations correctly classified.</t>
        </r>
      </text>
    </comment>
    <comment ref="A45" authorId="0" shapeId="0" xr:uid="{00000000-0006-0000-0700-00000C000000}">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A46" authorId="0" shapeId="0" xr:uid="{00000000-0006-0000-0700-00000D000000}">
      <text>
        <r>
          <rPr>
            <b/>
            <u/>
            <sz val="9"/>
            <color indexed="81"/>
            <rFont val="Tahoma"/>
            <family val="2"/>
          </rPr>
          <t>StatTools Note:</t>
        </r>
        <r>
          <rPr>
            <sz val="9"/>
            <color indexed="81"/>
            <rFont val="Tahoma"/>
            <family val="2"/>
          </rPr>
          <t xml:space="preserve">
Percent of the "error gap" filled.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Apurva Sharma</author>
  </authors>
  <commentList>
    <comment ref="F2" authorId="0" shapeId="0" xr:uid="{6468ECD7-6225-4C27-9D36-D36AB2690C18}">
      <text>
        <r>
          <rPr>
            <b/>
            <u/>
            <sz val="9"/>
            <color indexed="81"/>
            <rFont val="Tahoma"/>
            <family val="2"/>
          </rPr>
          <t>StatTools Note:</t>
        </r>
        <r>
          <rPr>
            <sz val="9"/>
            <color indexed="81"/>
            <rFont val="Tahoma"/>
            <family val="2"/>
          </rPr>
          <t xml:space="preserve">
These results are based on the assumption that the variable(s) are approximately normally distributed.  If this is not the case, then these results might not be valid, especially if the sample size is small.</t>
        </r>
      </text>
    </comment>
  </commentList>
</comments>
</file>

<file path=xl/sharedStrings.xml><?xml version="1.0" encoding="utf-8"?>
<sst xmlns="http://schemas.openxmlformats.org/spreadsheetml/2006/main" count="13741" uniqueCount="757">
  <si>
    <t>Age</t>
  </si>
  <si>
    <t>Attrition</t>
  </si>
  <si>
    <t>Attrition_yes</t>
  </si>
  <si>
    <t>BusinessTravel</t>
  </si>
  <si>
    <t>BusinessTravel_Frequently</t>
  </si>
  <si>
    <t>BusinessTravel_rarely</t>
  </si>
  <si>
    <t>Department</t>
  </si>
  <si>
    <t>Dept_R&amp;D</t>
  </si>
  <si>
    <t>Dept_Sales</t>
  </si>
  <si>
    <t>DistanceFromHome</t>
  </si>
  <si>
    <t>Education</t>
  </si>
  <si>
    <t>EducationField</t>
  </si>
  <si>
    <t>EducationField_Life Sci</t>
  </si>
  <si>
    <t>EducationField_Other</t>
  </si>
  <si>
    <t>EducationField_Medical</t>
  </si>
  <si>
    <t>EducationField_Mkt</t>
  </si>
  <si>
    <t xml:space="preserve">EducationField_Tech </t>
  </si>
  <si>
    <t>EnvironmentSatisfaction</t>
  </si>
  <si>
    <t>Gender</t>
  </si>
  <si>
    <t>Female</t>
  </si>
  <si>
    <t>HourlyRate</t>
  </si>
  <si>
    <t>JobInvolvement</t>
  </si>
  <si>
    <t>JobLevel</t>
  </si>
  <si>
    <t>JobRole</t>
  </si>
  <si>
    <t>JobRole_Health Rep</t>
  </si>
  <si>
    <t>JobRole_Sales Exe</t>
  </si>
  <si>
    <t>JobRole_Lab</t>
  </si>
  <si>
    <t>JobRole_Mgr</t>
  </si>
  <si>
    <t>JobRole_Manuf Dir</t>
  </si>
  <si>
    <t>JobRole_Research Dir</t>
  </si>
  <si>
    <t>JobRole_Sales Rep</t>
  </si>
  <si>
    <t>JobRole_Research Sci</t>
  </si>
  <si>
    <t>JobSatisfaction</t>
  </si>
  <si>
    <t>MaritalStatus</t>
  </si>
  <si>
    <t>Marital_Single</t>
  </si>
  <si>
    <t>Marital_Married</t>
  </si>
  <si>
    <t>MonthlyIncome</t>
  </si>
  <si>
    <t>NumCompaniesWorked</t>
  </si>
  <si>
    <t>OverTime</t>
  </si>
  <si>
    <t>Overtime_Yes</t>
  </si>
  <si>
    <t>PercentSalaryHike</t>
  </si>
  <si>
    <t>PerformanceRating</t>
  </si>
  <si>
    <t>RelationshipSatisfaction</t>
  </si>
  <si>
    <t>StockOptionLevel</t>
  </si>
  <si>
    <t>TotalWorkingYears</t>
  </si>
  <si>
    <t>TrainingTimesLastYear</t>
  </si>
  <si>
    <t>WorkLifeBalance</t>
  </si>
  <si>
    <t>YearsAtCompany</t>
  </si>
  <si>
    <t>YearsInCurrentRole</t>
  </si>
  <si>
    <t>YearsSinceLastPromotion</t>
  </si>
  <si>
    <t>YearsWithCurrManager</t>
  </si>
  <si>
    <t>Logistic Regression for Attrition_yes</t>
  </si>
  <si>
    <t>Yes</t>
  </si>
  <si>
    <t>Travel_Rarely</t>
  </si>
  <si>
    <t>Sales</t>
  </si>
  <si>
    <t>Life Sciences</t>
  </si>
  <si>
    <t>Sales Executive</t>
  </si>
  <si>
    <t>Single</t>
  </si>
  <si>
    <t>Summary Measures</t>
  </si>
  <si>
    <t>No</t>
  </si>
  <si>
    <t>Travel_Frequently</t>
  </si>
  <si>
    <t>Research &amp; Development</t>
  </si>
  <si>
    <t>Male</t>
  </si>
  <si>
    <t>Research Scientist</t>
  </si>
  <si>
    <t>Married</t>
  </si>
  <si>
    <t>Null Deviance</t>
  </si>
  <si>
    <t>Other</t>
  </si>
  <si>
    <t>Laboratory Technician</t>
  </si>
  <si>
    <t>Model Deviance</t>
  </si>
  <si>
    <t>Improvement</t>
  </si>
  <si>
    <t>Medical</t>
  </si>
  <si>
    <t>p-Value</t>
  </si>
  <si>
    <t>Coefficient</t>
  </si>
  <si>
    <t>Standard</t>
  </si>
  <si>
    <t>Wald</t>
  </si>
  <si>
    <t>Lower</t>
  </si>
  <si>
    <t>Upper</t>
  </si>
  <si>
    <t>Exp(Coef)</t>
  </si>
  <si>
    <t>Divorced</t>
  </si>
  <si>
    <t>Regression Coefficients</t>
  </si>
  <si>
    <t>Error</t>
  </si>
  <si>
    <t>Value</t>
  </si>
  <si>
    <t>Limit</t>
  </si>
  <si>
    <t>Manufacturing Director</t>
  </si>
  <si>
    <t>Constant</t>
  </si>
  <si>
    <t>Healthcare Representative</t>
  </si>
  <si>
    <t>Non-Travel</t>
  </si>
  <si>
    <t>Manager</t>
  </si>
  <si>
    <t>Sales Representative</t>
  </si>
  <si>
    <t>Research Director</t>
  </si>
  <si>
    <t>Marketing</t>
  </si>
  <si>
    <t>Technical Degree</t>
  </si>
  <si>
    <t>Percent</t>
  </si>
  <si>
    <t>Classification Matrix</t>
  </si>
  <si>
    <t>Correct</t>
  </si>
  <si>
    <t>Summary Classification</t>
  </si>
  <si>
    <t>Base</t>
  </si>
  <si>
    <t>Human Resources</t>
  </si>
  <si>
    <t>StatTools Version that generated sheet, Major</t>
  </si>
  <si>
    <t>StatTools Version that generated sheet, Minor</t>
  </si>
  <si>
    <t>StatTools Version that generated sheet, Revision</t>
  </si>
  <si>
    <t>Min. StatTools Version to Read Sheet, Major (note ST versions before 1.1.1 don't perform forward compatibility check)</t>
  </si>
  <si>
    <t>Min. StatTools Version to Read Sheet, Minor</t>
  </si>
  <si>
    <t>Min. StatTools Version to Read Sheet, Revision</t>
  </si>
  <si>
    <t>Min. StatTools version to not put up warning about extra info, Major</t>
  </si>
  <si>
    <t>Min. StatTools version to not put up warning about extra info, Minor</t>
  </si>
  <si>
    <t>Min. StatTools version to not put up warning about extra info, Revision</t>
  </si>
  <si>
    <t>Name</t>
  </si>
  <si>
    <t>GUID</t>
  </si>
  <si>
    <t>DG194D4B04</t>
  </si>
  <si>
    <t>Format Range</t>
  </si>
  <si>
    <t>Variable Layout</t>
  </si>
  <si>
    <t>Columns</t>
  </si>
  <si>
    <t>Variable Names In Cells</t>
  </si>
  <si>
    <t>Variable Names In 2nd Cells</t>
  </si>
  <si>
    <t>Data Set Ranges</t>
  </si>
  <si>
    <t>Data Sheet Format</t>
  </si>
  <si>
    <t>Formula Eval Cell</t>
  </si>
  <si>
    <t>Num Stored Vars</t>
  </si>
  <si>
    <t>1 : Info</t>
  </si>
  <si>
    <t>var1</t>
  </si>
  <si>
    <t>ST_Age</t>
  </si>
  <si>
    <t>1 : Ranges</t>
  </si>
  <si>
    <t>1 : MultiRefs</t>
  </si>
  <si>
    <t>2 : Info</t>
  </si>
  <si>
    <t>var2</t>
  </si>
  <si>
    <t>ST_Attrition</t>
  </si>
  <si>
    <t>2 : Ranges</t>
  </si>
  <si>
    <t>2 : MultiRefs</t>
  </si>
  <si>
    <t>3 : Info</t>
  </si>
  <si>
    <t>var3</t>
  </si>
  <si>
    <t>ST_Attritionyes</t>
  </si>
  <si>
    <t>3 : Ranges</t>
  </si>
  <si>
    <t>3 : MultiRefs</t>
  </si>
  <si>
    <t>4 : Info</t>
  </si>
  <si>
    <t>var4</t>
  </si>
  <si>
    <t>ST_BusinessTravel</t>
  </si>
  <si>
    <t>4 : Ranges</t>
  </si>
  <si>
    <t>4 : MultiRefs</t>
  </si>
  <si>
    <t>5 : Info</t>
  </si>
  <si>
    <t>var5</t>
  </si>
  <si>
    <t>ST_BusinessTravelFrequently</t>
  </si>
  <si>
    <t>5 : Ranges</t>
  </si>
  <si>
    <t>5 : MultiRefs</t>
  </si>
  <si>
    <t>6 : Info</t>
  </si>
  <si>
    <t>var6</t>
  </si>
  <si>
    <t>ST_BusinessTravelrarely</t>
  </si>
  <si>
    <t>6 : Ranges</t>
  </si>
  <si>
    <t>6 : MultiRefs</t>
  </si>
  <si>
    <t>7 : Info</t>
  </si>
  <si>
    <t>var7</t>
  </si>
  <si>
    <t>7 : Ranges</t>
  </si>
  <si>
    <t>7 : MultiRefs</t>
  </si>
  <si>
    <t>8 : Info</t>
  </si>
  <si>
    <t>var8</t>
  </si>
  <si>
    <t>ST_Department</t>
  </si>
  <si>
    <t>8 : Ranges</t>
  </si>
  <si>
    <t>8 : MultiRefs</t>
  </si>
  <si>
    <t>9 : Info</t>
  </si>
  <si>
    <t>var9</t>
  </si>
  <si>
    <t>ST_DeptRD</t>
  </si>
  <si>
    <t>9 : Ranges</t>
  </si>
  <si>
    <t>9 : MultiRefs</t>
  </si>
  <si>
    <t>10 : Info</t>
  </si>
  <si>
    <t>var10</t>
  </si>
  <si>
    <t>ST_DeptSales</t>
  </si>
  <si>
    <t>10 : Ranges</t>
  </si>
  <si>
    <t>10 : MultiRefs</t>
  </si>
  <si>
    <t>11 : Info</t>
  </si>
  <si>
    <t>var11</t>
  </si>
  <si>
    <t>ST_DistanceFromHome</t>
  </si>
  <si>
    <t>11 : Ranges</t>
  </si>
  <si>
    <t>11 : MultiRefs</t>
  </si>
  <si>
    <t>12 : Info</t>
  </si>
  <si>
    <t>var12</t>
  </si>
  <si>
    <t>ST_Education</t>
  </si>
  <si>
    <t>12 : Ranges</t>
  </si>
  <si>
    <t>12 : MultiRefs</t>
  </si>
  <si>
    <t>13 : Info</t>
  </si>
  <si>
    <t>var13</t>
  </si>
  <si>
    <t>ST_EducationField</t>
  </si>
  <si>
    <t>13 : Ranges</t>
  </si>
  <si>
    <t>13 : MultiRefs</t>
  </si>
  <si>
    <t>14 : Info</t>
  </si>
  <si>
    <t>var14</t>
  </si>
  <si>
    <t>ST_EducationFieldLifeSci</t>
  </si>
  <si>
    <t>14 : Ranges</t>
  </si>
  <si>
    <t>14 : MultiRefs</t>
  </si>
  <si>
    <t>15 : Info</t>
  </si>
  <si>
    <t>var15</t>
  </si>
  <si>
    <t>ST_EducationFieldOther</t>
  </si>
  <si>
    <t>15 : Ranges</t>
  </si>
  <si>
    <t>15 : MultiRefs</t>
  </si>
  <si>
    <t>16 : Info</t>
  </si>
  <si>
    <t>var16</t>
  </si>
  <si>
    <t>ST_EducationFieldMedical</t>
  </si>
  <si>
    <t>16 : Ranges</t>
  </si>
  <si>
    <t>16 : MultiRefs</t>
  </si>
  <si>
    <t>17 : Info</t>
  </si>
  <si>
    <t>var17</t>
  </si>
  <si>
    <t>ST_EducationFieldMkt</t>
  </si>
  <si>
    <t>17 : Ranges</t>
  </si>
  <si>
    <t>17 : MultiRefs</t>
  </si>
  <si>
    <t>18 : Info</t>
  </si>
  <si>
    <t>var18</t>
  </si>
  <si>
    <t>ST_EducationFieldTech</t>
  </si>
  <si>
    <t>18 : Ranges</t>
  </si>
  <si>
    <t>18 : MultiRefs</t>
  </si>
  <si>
    <t>19 : Info</t>
  </si>
  <si>
    <t>var19</t>
  </si>
  <si>
    <t>ST_EnvironmentSatisfaction</t>
  </si>
  <si>
    <t>19 : Ranges</t>
  </si>
  <si>
    <t>19 : MultiRefs</t>
  </si>
  <si>
    <t>20 : Info</t>
  </si>
  <si>
    <t>var20</t>
  </si>
  <si>
    <t>ST_Gender</t>
  </si>
  <si>
    <t>20 : Ranges</t>
  </si>
  <si>
    <t>20 : MultiRefs</t>
  </si>
  <si>
    <t>21 : Info</t>
  </si>
  <si>
    <t>var21</t>
  </si>
  <si>
    <t>ST_Female</t>
  </si>
  <si>
    <t>21 : Ranges</t>
  </si>
  <si>
    <t>21 : MultiRefs</t>
  </si>
  <si>
    <t>22 : Info</t>
  </si>
  <si>
    <t>var22</t>
  </si>
  <si>
    <t>ST_HourlyRate</t>
  </si>
  <si>
    <t>22 : Ranges</t>
  </si>
  <si>
    <t>22 : MultiRefs</t>
  </si>
  <si>
    <t>23 : Info</t>
  </si>
  <si>
    <t>var23</t>
  </si>
  <si>
    <t>ST_JobInvolvement</t>
  </si>
  <si>
    <t>23 : Ranges</t>
  </si>
  <si>
    <t>23 : MultiRefs</t>
  </si>
  <si>
    <t>24 : Info</t>
  </si>
  <si>
    <t>var24</t>
  </si>
  <si>
    <t>ST_JobLevel</t>
  </si>
  <si>
    <t>24 : Ranges</t>
  </si>
  <si>
    <t>24 : MultiRefs</t>
  </si>
  <si>
    <t>25 : Info</t>
  </si>
  <si>
    <t>var25</t>
  </si>
  <si>
    <t>ST_JobRole</t>
  </si>
  <si>
    <t>25 : Ranges</t>
  </si>
  <si>
    <t>25 : MultiRefs</t>
  </si>
  <si>
    <t>26 : Info</t>
  </si>
  <si>
    <t>var26</t>
  </si>
  <si>
    <t>ST_JobRoleHealthRep</t>
  </si>
  <si>
    <t>26 : Ranges</t>
  </si>
  <si>
    <t>26 : MultiRefs</t>
  </si>
  <si>
    <t>27 : Info</t>
  </si>
  <si>
    <t>var27</t>
  </si>
  <si>
    <t>ST_JobRoleSalesExe</t>
  </si>
  <si>
    <t>27 : Ranges</t>
  </si>
  <si>
    <t>27 : MultiRefs</t>
  </si>
  <si>
    <t>28 : Info</t>
  </si>
  <si>
    <t>var28</t>
  </si>
  <si>
    <t>ST_JobRoleLab</t>
  </si>
  <si>
    <t>28 : Ranges</t>
  </si>
  <si>
    <t>28 : MultiRefs</t>
  </si>
  <si>
    <t>29 : Info</t>
  </si>
  <si>
    <t>var29</t>
  </si>
  <si>
    <t>ST_JobRoleMgr</t>
  </si>
  <si>
    <t>29 : Ranges</t>
  </si>
  <si>
    <t>29 : MultiRefs</t>
  </si>
  <si>
    <t>30 : Info</t>
  </si>
  <si>
    <t>var30</t>
  </si>
  <si>
    <t>ST_JobRoleManufDir</t>
  </si>
  <si>
    <t>30 : Ranges</t>
  </si>
  <si>
    <t>30 : MultiRefs</t>
  </si>
  <si>
    <t>31 : Info</t>
  </si>
  <si>
    <t>var31</t>
  </si>
  <si>
    <t>ST_JobRoleResearchDir</t>
  </si>
  <si>
    <t>31 : Ranges</t>
  </si>
  <si>
    <t>31 : MultiRefs</t>
  </si>
  <si>
    <t>32 : Info</t>
  </si>
  <si>
    <t>var32</t>
  </si>
  <si>
    <t>ST_JobRoleSalesRep</t>
  </si>
  <si>
    <t>32 : Ranges</t>
  </si>
  <si>
    <t>32 : MultiRefs</t>
  </si>
  <si>
    <t>33 : Info</t>
  </si>
  <si>
    <t>var33</t>
  </si>
  <si>
    <t>ST_JobRoleResearchSci</t>
  </si>
  <si>
    <t>33 : Ranges</t>
  </si>
  <si>
    <t>33 : MultiRefs</t>
  </si>
  <si>
    <t>34 : Info</t>
  </si>
  <si>
    <t>var34</t>
  </si>
  <si>
    <t>ST_JobSatisfaction</t>
  </si>
  <si>
    <t>34 : Ranges</t>
  </si>
  <si>
    <t>34 : MultiRefs</t>
  </si>
  <si>
    <t>35 : Info</t>
  </si>
  <si>
    <t>var35</t>
  </si>
  <si>
    <t>ST_MaritalStatus</t>
  </si>
  <si>
    <t>35 : Ranges</t>
  </si>
  <si>
    <t>35 : MultiRefs</t>
  </si>
  <si>
    <t>36 : Info</t>
  </si>
  <si>
    <t>var36</t>
  </si>
  <si>
    <t>ST_MaritalSingle</t>
  </si>
  <si>
    <t>36 : Ranges</t>
  </si>
  <si>
    <t>36 : MultiRefs</t>
  </si>
  <si>
    <t>37 : Info</t>
  </si>
  <si>
    <t>var37</t>
  </si>
  <si>
    <t>ST_MaritalMarried</t>
  </si>
  <si>
    <t>37 : Ranges</t>
  </si>
  <si>
    <t>37 : MultiRefs</t>
  </si>
  <si>
    <t>38 : Info</t>
  </si>
  <si>
    <t>var38</t>
  </si>
  <si>
    <t>ST_MonthlyIncome</t>
  </si>
  <si>
    <t>38 : Ranges</t>
  </si>
  <si>
    <t>38 : MultiRefs</t>
  </si>
  <si>
    <t>39 : Info</t>
  </si>
  <si>
    <t>var39</t>
  </si>
  <si>
    <t>39 : Ranges</t>
  </si>
  <si>
    <t>39 : MultiRefs</t>
  </si>
  <si>
    <t>40 : Info</t>
  </si>
  <si>
    <t>var40</t>
  </si>
  <si>
    <t>ST_NumCompaniesWorked</t>
  </si>
  <si>
    <t>40 : Ranges</t>
  </si>
  <si>
    <t>40 : MultiRefs</t>
  </si>
  <si>
    <t>41 : Info</t>
  </si>
  <si>
    <t>var41</t>
  </si>
  <si>
    <t>ST_OverTime</t>
  </si>
  <si>
    <t>41 : Ranges</t>
  </si>
  <si>
    <t>41 : MultiRefs</t>
  </si>
  <si>
    <t>42 : Info</t>
  </si>
  <si>
    <t>var42</t>
  </si>
  <si>
    <t>ST_OvertimeYes</t>
  </si>
  <si>
    <t>42 : Ranges</t>
  </si>
  <si>
    <t>42 : MultiRefs</t>
  </si>
  <si>
    <t>43 : Info</t>
  </si>
  <si>
    <t>var43</t>
  </si>
  <si>
    <t>ST_PercentSalaryHike</t>
  </si>
  <si>
    <t>43 : Ranges</t>
  </si>
  <si>
    <t>43 : MultiRefs</t>
  </si>
  <si>
    <t>44 : Info</t>
  </si>
  <si>
    <t>var44</t>
  </si>
  <si>
    <t>ST_PerformanceRating</t>
  </si>
  <si>
    <t>44 : Ranges</t>
  </si>
  <si>
    <t>44 : MultiRefs</t>
  </si>
  <si>
    <t>45 : Info</t>
  </si>
  <si>
    <t>var45</t>
  </si>
  <si>
    <t>ST_RelationshipSatisfaction</t>
  </si>
  <si>
    <t>45 : Ranges</t>
  </si>
  <si>
    <t>45 : MultiRefs</t>
  </si>
  <si>
    <t>46 : Info</t>
  </si>
  <si>
    <t>var46</t>
  </si>
  <si>
    <t>ST_StockOptionLevel</t>
  </si>
  <si>
    <t>46 : Ranges</t>
  </si>
  <si>
    <t>46 : MultiRefs</t>
  </si>
  <si>
    <t>47 : Info</t>
  </si>
  <si>
    <t>var47</t>
  </si>
  <si>
    <t>ST_TotalWorkingYears</t>
  </si>
  <si>
    <t>47 : Ranges</t>
  </si>
  <si>
    <t>47 : MultiRefs</t>
  </si>
  <si>
    <t>48 : Info</t>
  </si>
  <si>
    <t>var48</t>
  </si>
  <si>
    <t>ST_TrainingTimesLastYear</t>
  </si>
  <si>
    <t>48 : Ranges</t>
  </si>
  <si>
    <t>48 : MultiRefs</t>
  </si>
  <si>
    <t>49 : Info</t>
  </si>
  <si>
    <t>var49</t>
  </si>
  <si>
    <t>ST_WorkLifeBalance</t>
  </si>
  <si>
    <t>49 : Ranges</t>
  </si>
  <si>
    <t>49 : MultiRefs</t>
  </si>
  <si>
    <t>50 : Info</t>
  </si>
  <si>
    <t>var50</t>
  </si>
  <si>
    <t>ST_YearsAtCompany</t>
  </si>
  <si>
    <t>50 : Ranges</t>
  </si>
  <si>
    <t>50 : MultiRefs</t>
  </si>
  <si>
    <t>51 : Info</t>
  </si>
  <si>
    <t>var51</t>
  </si>
  <si>
    <t>ST_YearsInCurrentRole</t>
  </si>
  <si>
    <t>51 : Ranges</t>
  </si>
  <si>
    <t>51 : MultiRefs</t>
  </si>
  <si>
    <t>52 : Info</t>
  </si>
  <si>
    <t>var52</t>
  </si>
  <si>
    <t>ST_YearsSinceLastPromotion</t>
  </si>
  <si>
    <t>52 : Ranges</t>
  </si>
  <si>
    <t>52 : MultiRefs</t>
  </si>
  <si>
    <t>53 : Info</t>
  </si>
  <si>
    <t>var53</t>
  </si>
  <si>
    <t>ST_YearsWithCurrManager</t>
  </si>
  <si>
    <t>53 : Ranges</t>
  </si>
  <si>
    <t>53 : MultiRefs</t>
  </si>
  <si>
    <t/>
  </si>
  <si>
    <t>Row Labels</t>
  </si>
  <si>
    <t>Grand Total</t>
  </si>
  <si>
    <t>Count of Gender</t>
  </si>
  <si>
    <t>Column Labels</t>
  </si>
  <si>
    <t>Count of Attrition</t>
  </si>
  <si>
    <t xml:space="preserve">Zscore:Monthly Income </t>
  </si>
  <si>
    <t>Zscore&gt;3</t>
  </si>
  <si>
    <t>2&lt;Zscore&lt;=3</t>
  </si>
  <si>
    <t>Monthly Income_Zscore</t>
  </si>
  <si>
    <t>Wins_MonthlyIncome</t>
  </si>
  <si>
    <t>wins_MonthlyIncome</t>
  </si>
  <si>
    <t>Wins_YearsWithCurrentMgr</t>
  </si>
  <si>
    <t>Wins_TotalWorkingYears</t>
  </si>
  <si>
    <t>Wins_YearsAtCompany</t>
  </si>
  <si>
    <t>Wins_DistanceFromHome</t>
  </si>
  <si>
    <t>Wins_Age</t>
  </si>
  <si>
    <t>ST_WinsAge</t>
  </si>
  <si>
    <t>ST_WinsDistanceFromHome</t>
  </si>
  <si>
    <t>ST_WinsMonthlyIncome</t>
  </si>
  <si>
    <t>ST_WinsTotalWorkingYears</t>
  </si>
  <si>
    <t>ST_WinsYearsAtCompany</t>
  </si>
  <si>
    <t>54 : Info</t>
  </si>
  <si>
    <t>54 : Ranges</t>
  </si>
  <si>
    <t>54 : MultiRefs</t>
  </si>
  <si>
    <t>55 : Info</t>
  </si>
  <si>
    <t>55 : Ranges</t>
  </si>
  <si>
    <t>55 : MultiRefs</t>
  </si>
  <si>
    <t>56 : Info</t>
  </si>
  <si>
    <t>56 : Ranges</t>
  </si>
  <si>
    <t>56 : MultiRefs</t>
  </si>
  <si>
    <t>StatTools Report</t>
  </si>
  <si>
    <t>Analysis:</t>
  </si>
  <si>
    <t>Regression</t>
  </si>
  <si>
    <t>Performed By:</t>
  </si>
  <si>
    <t>Wenqi Wu</t>
  </si>
  <si>
    <t>Date:</t>
  </si>
  <si>
    <t>Wednesday, November 21, 2018</t>
  </si>
  <si>
    <t>Updating:</t>
  </si>
  <si>
    <t>Static</t>
  </si>
  <si>
    <t>Variable:</t>
  </si>
  <si>
    <t>Linearly dependent variables ignored: JobRole_Research Dir</t>
  </si>
  <si>
    <t>Multiple Regression for Wins_MonthlyIncome</t>
  </si>
  <si>
    <t>Multiple_x000D_
R</t>
  </si>
  <si>
    <t>R-Square</t>
  </si>
  <si>
    <t>Adjusted_x000D_
R-square</t>
  </si>
  <si>
    <t>Std. Err. of_x000D_
Estimate</t>
  </si>
  <si>
    <t>Rows_x000D_
Ignored</t>
  </si>
  <si>
    <t>Outliers</t>
  </si>
  <si>
    <t>Summary</t>
  </si>
  <si>
    <t>Degrees of_x000D_
Freedom</t>
  </si>
  <si>
    <t>Sum of_x000D_
Squares</t>
  </si>
  <si>
    <t>Mean of_x000D_
Squares</t>
  </si>
  <si>
    <t>F</t>
  </si>
  <si>
    <t>ANOVA Table</t>
  </si>
  <si>
    <t>Explained</t>
  </si>
  <si>
    <t>Unexplained</t>
  </si>
  <si>
    <t>Standard_x000D_
Error</t>
  </si>
  <si>
    <t>t-Value</t>
  </si>
  <si>
    <t>Confidence Interval 95%</t>
  </si>
  <si>
    <t>Regression Table</t>
  </si>
  <si>
    <t>var54</t>
  </si>
  <si>
    <t>var55</t>
  </si>
  <si>
    <t>var56</t>
  </si>
  <si>
    <t>57 : Info</t>
  </si>
  <si>
    <t>var57</t>
  </si>
  <si>
    <t>ST_WinsYearsWithCurrentMgr</t>
  </si>
  <si>
    <t>57 : Ranges</t>
  </si>
  <si>
    <t>57 : MultiRefs</t>
  </si>
  <si>
    <t>58 : Info</t>
  </si>
  <si>
    <t>var58</t>
  </si>
  <si>
    <t>ST_GenderTotalWorkingYears</t>
  </si>
  <si>
    <t>58 : Ranges</t>
  </si>
  <si>
    <t>58 : MultiRefs</t>
  </si>
  <si>
    <t>VG1E7636182609CF49</t>
  </si>
  <si>
    <t>VG12136D217581143</t>
  </si>
  <si>
    <t>VG15C8BE4368E010C</t>
  </si>
  <si>
    <t>VG122E1AFB2F81ECD0</t>
  </si>
  <si>
    <t>VG1097527399CA7BB</t>
  </si>
  <si>
    <t>VG690A8E928770381</t>
  </si>
  <si>
    <t>VGB57A7941F49B6A0</t>
  </si>
  <si>
    <t>VG11D0975631208D1</t>
  </si>
  <si>
    <t>VG40EFC2427CD7E6F</t>
  </si>
  <si>
    <t>VG28A637A621E41FED</t>
  </si>
  <si>
    <t>VG145E5D383A62D72F</t>
  </si>
  <si>
    <t>VG15778026E722DB</t>
  </si>
  <si>
    <t>VG1CF6B6B91F7CCE96</t>
  </si>
  <si>
    <t>VG2B6EBBD423C5746C</t>
  </si>
  <si>
    <t>VG39847CFB2B422A32</t>
  </si>
  <si>
    <t>VG34150846AC6A34</t>
  </si>
  <si>
    <t>VG92646C1DA0CF69</t>
  </si>
  <si>
    <t>VG18B0AC2ED0DF033</t>
  </si>
  <si>
    <t>VG384C3E7F2F8B15A6</t>
  </si>
  <si>
    <t>VG860E00030EA285F</t>
  </si>
  <si>
    <t>VG2217993221351BD</t>
  </si>
  <si>
    <t>VG56E6BFF123250C1</t>
  </si>
  <si>
    <t>VG486A1F11D8F6FE1</t>
  </si>
  <si>
    <t>VG144F76C139EC8F54</t>
  </si>
  <si>
    <t>VGA8AFEA1616AE21</t>
  </si>
  <si>
    <t>VG10F7DFFCD240554</t>
  </si>
  <si>
    <t>VG1D13874474ABFEC</t>
  </si>
  <si>
    <t>VG2C6E81DC2BA31035</t>
  </si>
  <si>
    <t>VG302BCA978F6F970</t>
  </si>
  <si>
    <t>VG3747EB9D638B6E3</t>
  </si>
  <si>
    <t>VG12B227E53973D25C</t>
  </si>
  <si>
    <t>VG12A8FC442790148B</t>
  </si>
  <si>
    <t>VG33857DFF5F12FEB</t>
  </si>
  <si>
    <t>VG3248A0F619282495</t>
  </si>
  <si>
    <t>VG249484F91F6F0EA7</t>
  </si>
  <si>
    <t>VG3A6384E0179F69FB</t>
  </si>
  <si>
    <t>VG34DA22621EA1CED4</t>
  </si>
  <si>
    <t>VG1CCE810C2D55E8BA</t>
  </si>
  <si>
    <t>VG2098100F168F6FD</t>
  </si>
  <si>
    <t>VG111AF2A20B3BE7E</t>
  </si>
  <si>
    <t>VG130DC045EB96482</t>
  </si>
  <si>
    <t>VG360F46AF34378444</t>
  </si>
  <si>
    <t>VG2F3B565C615E2A3</t>
  </si>
  <si>
    <t>VG26943A3F35AFA71A</t>
  </si>
  <si>
    <t>VG374999A2FD358F9</t>
  </si>
  <si>
    <t>VG12F05D13B0652BA</t>
  </si>
  <si>
    <t>VGD3ED86F31C392C5</t>
  </si>
  <si>
    <t>VG35309E7B309AED19</t>
  </si>
  <si>
    <t>VGE8224BE38278507</t>
  </si>
  <si>
    <t>VG35AAB5E14229CB6</t>
  </si>
  <si>
    <t>VG3102E46F38B6AFD5</t>
  </si>
  <si>
    <t>VG29518193364957C2</t>
  </si>
  <si>
    <t>VG12944DEE209395D6</t>
  </si>
  <si>
    <t>VG12B7599739634EDB</t>
  </si>
  <si>
    <t>VG338AAACD133F575C</t>
  </si>
  <si>
    <t>VGFBCC3263A7D008F</t>
  </si>
  <si>
    <t>VG1140353D2B1FFB06</t>
  </si>
  <si>
    <t>VG8445AE52DA5B54A</t>
  </si>
  <si>
    <t>Logistic Regression</t>
  </si>
  <si>
    <t>Monday, November 26, 2018</t>
  </si>
  <si>
    <t>Gender_NumCompaniesWorked</t>
  </si>
  <si>
    <t>JobLevel_YearsWithCurrentMgr</t>
  </si>
  <si>
    <t>Win_YearsSinceLastPromotion</t>
  </si>
  <si>
    <t>Wins_YearsSinceLastPromotion</t>
  </si>
  <si>
    <t>Count of OverTime</t>
  </si>
  <si>
    <t>Zscore</t>
  </si>
  <si>
    <t>Count of MaritalStatus</t>
  </si>
  <si>
    <t>Variable</t>
  </si>
  <si>
    <t>Meaning</t>
  </si>
  <si>
    <t>Levels</t>
  </si>
  <si>
    <t>Age of the employee</t>
  </si>
  <si>
    <t>Whether the employee left in the previous year or not</t>
  </si>
  <si>
    <t>How frequently the employees travelled for business purposes in the last year</t>
  </si>
  <si>
    <t>Department in company</t>
  </si>
  <si>
    <t>Distance from home in kms</t>
  </si>
  <si>
    <t>Education Level</t>
  </si>
  <si>
    <t>1 'Below College'</t>
  </si>
  <si>
    <t>2 'College'</t>
  </si>
  <si>
    <t>3 'Bachelor'</t>
  </si>
  <si>
    <t>4 'Master'</t>
  </si>
  <si>
    <t>5 'Doctor'</t>
  </si>
  <si>
    <t>Field of education</t>
  </si>
  <si>
    <t>EmployeeCount</t>
  </si>
  <si>
    <t>Employee count</t>
  </si>
  <si>
    <t>EmployeeNumber</t>
  </si>
  <si>
    <t>Employee number/id</t>
  </si>
  <si>
    <t>Work Environment Satisfaction Level</t>
  </si>
  <si>
    <t>1 'Low'</t>
  </si>
  <si>
    <t>2 'Medium'</t>
  </si>
  <si>
    <t>3 'High'</t>
  </si>
  <si>
    <t>4 'Very High'</t>
  </si>
  <si>
    <t>Gender of employee</t>
  </si>
  <si>
    <t>Job Involvement Level</t>
  </si>
  <si>
    <t>Job level at company on a scale of 1 to 5</t>
  </si>
  <si>
    <t>Name of job role in company</t>
  </si>
  <si>
    <t>Job Satisfaction Level</t>
  </si>
  <si>
    <t>Marital status of the employee</t>
  </si>
  <si>
    <t>Monthly income in rupees per month</t>
  </si>
  <si>
    <t>Total number of companies the employee has worked for</t>
  </si>
  <si>
    <t>Over18</t>
  </si>
  <si>
    <t>Whether the employee is above 18 years of age or not</t>
  </si>
  <si>
    <t>Percent salary hike for last year</t>
  </si>
  <si>
    <t>Performance rating for last year</t>
  </si>
  <si>
    <t>2 'Good'</t>
  </si>
  <si>
    <t>3 'Excellent'</t>
  </si>
  <si>
    <t>4 'Outstanding'</t>
  </si>
  <si>
    <t>Relationship satisfaction level</t>
  </si>
  <si>
    <t>StandardHours</t>
  </si>
  <si>
    <t>Standard hours of work for the employee</t>
  </si>
  <si>
    <t>Stock option level of the employee</t>
  </si>
  <si>
    <t>Total number of years the employee has worked so far</t>
  </si>
  <si>
    <t>Number of times training was conducted for this employee last year</t>
  </si>
  <si>
    <t>Work life balance level</t>
  </si>
  <si>
    <t>1 'Bad'</t>
  </si>
  <si>
    <t>3 'Better'</t>
  </si>
  <si>
    <t>4 'Best'</t>
  </si>
  <si>
    <t>Total number of years spent at the company by the employee</t>
  </si>
  <si>
    <t>Number of years since last promotion</t>
  </si>
  <si>
    <t>Number of years under current manager</t>
  </si>
  <si>
    <t>Gender = Female</t>
  </si>
  <si>
    <t>MaritalStatus = Single</t>
  </si>
  <si>
    <t>MaritalStatus = Married</t>
  </si>
  <si>
    <t>OverTime = Yes</t>
  </si>
  <si>
    <t>BusinessTravel = Travel_Rarely</t>
  </si>
  <si>
    <t>BusinessTravel = Travel_Frequently</t>
  </si>
  <si>
    <t>Attrition = Yes</t>
  </si>
  <si>
    <t>Count</t>
  </si>
  <si>
    <t>Std. Deviation</t>
  </si>
  <si>
    <t>Mean</t>
  </si>
  <si>
    <t>Maximum</t>
  </si>
  <si>
    <t>Minimum</t>
  </si>
  <si>
    <t>Graph</t>
  </si>
  <si>
    <r>
      <t>Data Range:</t>
    </r>
    <r>
      <rPr>
        <sz val="8"/>
        <color theme="1"/>
        <rFont val="Tahoma"/>
        <family val="2"/>
      </rPr>
      <t xml:space="preserve"> The chosen ones1</t>
    </r>
  </si>
  <si>
    <r>
      <t>Date:</t>
    </r>
    <r>
      <rPr>
        <sz val="8"/>
        <color theme="1"/>
        <rFont val="Tahoma"/>
        <family val="2"/>
      </rPr>
      <t xml:space="preserve"> Thursday, November 8, 2018 6:16:02 PM</t>
    </r>
  </si>
  <si>
    <r>
      <t>Performed By:</t>
    </r>
    <r>
      <rPr>
        <sz val="8"/>
        <color theme="1"/>
        <rFont val="Tahoma"/>
        <family val="2"/>
      </rPr>
      <t xml:space="preserve"> Apurva Sharma</t>
    </r>
  </si>
  <si>
    <t>Data Summary Report</t>
  </si>
  <si>
    <t>Median</t>
  </si>
  <si>
    <t>VG62C66209FB6D62</t>
  </si>
  <si>
    <t>ST_WinYearsSinceLastPromotion</t>
  </si>
  <si>
    <t>59 : Info</t>
  </si>
  <si>
    <t>59 : Ranges</t>
  </si>
  <si>
    <t>59 : MultiRefs</t>
  </si>
  <si>
    <t>Linear with interaction variables2_appy</t>
  </si>
  <si>
    <t>60 : Info</t>
  </si>
  <si>
    <t>60 : Ranges</t>
  </si>
  <si>
    <t>60 : MultiRefs</t>
  </si>
  <si>
    <t>Interaction(BusinessTravel_Frequently=0 and Marital_Married=0)</t>
  </si>
  <si>
    <t>Interaction(BusinessTravel_Frequently=0 and Marital_Married=1)</t>
  </si>
  <si>
    <t>Interaction(BusinessTravel_Frequently=1 and Marital_Married=0)</t>
  </si>
  <si>
    <t>Interaction(BusinessTravel_Frequently=1 and Marital_Married=1)</t>
  </si>
  <si>
    <t>61 : Info</t>
  </si>
  <si>
    <t>VG63AC3EB1A88AFCB</t>
  </si>
  <si>
    <t>ST_InteractionBusinessTravelFrequently0andMaritalMarried0</t>
  </si>
  <si>
    <t>61 : Ranges</t>
  </si>
  <si>
    <t>61 : MultiRefs</t>
  </si>
  <si>
    <t>62 : Info</t>
  </si>
  <si>
    <t>VGBF8001616F0C8DE</t>
  </si>
  <si>
    <t>ST_InteractionBusinessTravelFrequently0andMaritalMarried1</t>
  </si>
  <si>
    <t>62 : Ranges</t>
  </si>
  <si>
    <t>62 : MultiRefs</t>
  </si>
  <si>
    <t>63 : Info</t>
  </si>
  <si>
    <t>VGC85E68E34078DB5</t>
  </si>
  <si>
    <t>ST_InteractionBusinessTravelFrequently1andMaritalMarried0</t>
  </si>
  <si>
    <t>63 : Ranges</t>
  </si>
  <si>
    <t>63 : MultiRefs</t>
  </si>
  <si>
    <t>64 : Info</t>
  </si>
  <si>
    <t>VG49140792E88CB9C</t>
  </si>
  <si>
    <t>ST_InteractionBusinessTravelFrequently1andMaritalMarried1</t>
  </si>
  <si>
    <t>64 : Ranges</t>
  </si>
  <si>
    <t>64 : MultiRefs</t>
  </si>
  <si>
    <t>Interaction(Marital_Married=0 and Overtime_Yes=0)</t>
  </si>
  <si>
    <t>Interaction(Marital_Married=0 and Overtime_Yes=1)</t>
  </si>
  <si>
    <t>Interaction(Marital_Married=1 and Overtime_Yes=0)</t>
  </si>
  <si>
    <t>Interaction(Marital_Married=1 and Overtime_Yes=1)</t>
  </si>
  <si>
    <t>VG12E9F69E2096728E</t>
  </si>
  <si>
    <t>ST_InteractionMaritalMarried0andOvertimeYes0</t>
  </si>
  <si>
    <t>65 : Info</t>
  </si>
  <si>
    <t>VG28CFE2C8C1FD040</t>
  </si>
  <si>
    <t>ST_InteractionMaritalMarried0andOvertimeYes1</t>
  </si>
  <si>
    <t>65 : Ranges</t>
  </si>
  <si>
    <t>65 : MultiRefs</t>
  </si>
  <si>
    <t>66 : Info</t>
  </si>
  <si>
    <t>VG29399FE816B83084</t>
  </si>
  <si>
    <t>ST_InteractionMaritalMarried1andOvertimeYes0</t>
  </si>
  <si>
    <t>66 : Ranges</t>
  </si>
  <si>
    <t>66 : MultiRefs</t>
  </si>
  <si>
    <t>67 : Info</t>
  </si>
  <si>
    <t>VG325F5AB16504762</t>
  </si>
  <si>
    <t>ST_InteractionMaritalMarried1andOvertimeYes1</t>
  </si>
  <si>
    <t>67 : Ranges</t>
  </si>
  <si>
    <t>67 : MultiRefs</t>
  </si>
  <si>
    <t>Linearly dependent variables ignored: Wins_DistanceFromHome, JobRole_Research Dir, Interaction(BusinessTravel_Frequently=1 and Marital_Married=0), Interaction(BusinessTravel_Frequently=1 and Marital_Married=1), Interaction(Marital_Married=1 and Overtime_Yes=0), Interaction(Marital_Married=1 and Overtime_Yes=1)</t>
  </si>
  <si>
    <t>Backward Stepwise Regression for Wins_MonthlyIncome</t>
  </si>
  <si>
    <t>Stepwise Regression for Wins_MonthlyIncome</t>
  </si>
  <si>
    <t>Interaction(Wins_YearsWithCurrentMgr,Department = Human Resources)</t>
  </si>
  <si>
    <t>Interaction(Wins_YearsWithCurrentMgr,Department = Research &amp; Development)</t>
  </si>
  <si>
    <t>Interaction(Wins_YearsWithCurrentMgr,Department = Sales)</t>
  </si>
  <si>
    <t>68 : Info</t>
  </si>
  <si>
    <t>VG3560BCDA299EC931</t>
  </si>
  <si>
    <t>ST_InteractionWinsYearsWithCurrentMgrDepartmentHumanResources</t>
  </si>
  <si>
    <t>68 : Ranges</t>
  </si>
  <si>
    <t>68 : MultiRefs</t>
  </si>
  <si>
    <t>69 : Info</t>
  </si>
  <si>
    <t>VG3B41B78390BB7DE</t>
  </si>
  <si>
    <t>ST_InteractionWinsYearsWithCurrentMgrDepartmentResearchDevelopment</t>
  </si>
  <si>
    <t>69 : Ranges</t>
  </si>
  <si>
    <t>69 : MultiRefs</t>
  </si>
  <si>
    <t>70 : Info</t>
  </si>
  <si>
    <t>VG2BBBA3C217B0C859</t>
  </si>
  <si>
    <t>ST_InteractionWinsYearsWithCurrentMgrDepartmentSales</t>
  </si>
  <si>
    <t>70 : Ranges</t>
  </si>
  <si>
    <t>70 : MultiRefs</t>
  </si>
  <si>
    <t>Linearly dependent variables ignored: Wins_DistanceFromHome, JobRole_Research Dir</t>
  </si>
  <si>
    <t>Interaction(Wins_TotalWorkingYears,Department = Human Resources)</t>
  </si>
  <si>
    <t>Interaction(Wins_TotalWorkingYears,Department = Research &amp; Development)</t>
  </si>
  <si>
    <t>Interaction(Wins_TotalWorkingYears,Department = Sales)</t>
  </si>
  <si>
    <t>71 : Info</t>
  </si>
  <si>
    <t>VG2AAF43DBF383186</t>
  </si>
  <si>
    <t>ST_InteractionWinsTotalWorkingYearsDepartmentHumanResources</t>
  </si>
  <si>
    <t>71 : Ranges</t>
  </si>
  <si>
    <t>71 : MultiRefs</t>
  </si>
  <si>
    <t>72 : Info</t>
  </si>
  <si>
    <t>VG23ECF872FB59D1A</t>
  </si>
  <si>
    <t>ST_InteractionWinsTotalWorkingYearsDepartmentResearchDevelopment</t>
  </si>
  <si>
    <t>72 : Ranges</t>
  </si>
  <si>
    <t>72 : MultiRefs</t>
  </si>
  <si>
    <t>73 : Info</t>
  </si>
  <si>
    <t>VG845134C12408D05</t>
  </si>
  <si>
    <t>ST_InteractionWinsTotalWorkingYearsDepartmentSales</t>
  </si>
  <si>
    <t>73 : Ranges</t>
  </si>
  <si>
    <t>73 : MultiRefs</t>
  </si>
  <si>
    <t>Apurva Sharma</t>
  </si>
  <si>
    <t>Friday, December 7, 2018</t>
  </si>
  <si>
    <t>Average of Wins_MonthlyIncome</t>
  </si>
  <si>
    <t>Correlation and Covariance</t>
  </si>
  <si>
    <t>Live</t>
  </si>
  <si>
    <t>Linear Correlation Table</t>
  </si>
  <si>
    <t>Scatterplot</t>
  </si>
  <si>
    <t>Correlation</t>
  </si>
  <si>
    <t>R&amp;D Mgr</t>
  </si>
  <si>
    <t>Sales Mgr</t>
  </si>
  <si>
    <t>Sale Mgr 4</t>
  </si>
  <si>
    <t xml:space="preserve">Job level difference </t>
  </si>
  <si>
    <t xml:space="preserve">Department Difference </t>
  </si>
  <si>
    <t>Z</t>
  </si>
  <si>
    <t>Ln(Z)</t>
  </si>
  <si>
    <t>P(Arrition=Yes)</t>
  </si>
  <si>
    <t>Overtime=1(trvael=Freq)</t>
  </si>
  <si>
    <t>Overtime=0(travel=Freq)</t>
  </si>
  <si>
    <t>JobSati=1</t>
  </si>
  <si>
    <t>JobSati=4</t>
  </si>
  <si>
    <t>YearSinceLastPromotion=1</t>
  </si>
  <si>
    <t>YearSinceLastPromotion=9</t>
  </si>
  <si>
    <t>Avg Montly Income</t>
  </si>
  <si>
    <t>Std dev</t>
  </si>
  <si>
    <t>n</t>
  </si>
  <si>
    <t>Sample Avg Montly Income</t>
  </si>
  <si>
    <t>zscore</t>
  </si>
  <si>
    <t>Population Avg Monthly Income &lt;</t>
  </si>
  <si>
    <t>alpha</t>
  </si>
  <si>
    <t>P(mu&gt;6300)</t>
  </si>
  <si>
    <t>Hypothesis Test (One-Sample)</t>
  </si>
  <si>
    <t>Sample Size</t>
  </si>
  <si>
    <t>Sample Mean</t>
  </si>
  <si>
    <t>Sample Std Dev</t>
  </si>
  <si>
    <t>Hypothesized Mean</t>
  </si>
  <si>
    <t>Alternative Hypothesis</t>
  </si>
  <si>
    <t>Standard Error of Mean</t>
  </si>
  <si>
    <t>Degrees of Freedom</t>
  </si>
  <si>
    <t>t-Test Statistic</t>
  </si>
  <si>
    <t>Null Hypoth. at 10% Significance</t>
  </si>
  <si>
    <t>Null Hypoth. at 5% Significance</t>
  </si>
  <si>
    <t>Null Hypoth. at 1% Significance</t>
  </si>
  <si>
    <t>Env Satisfaction:1</t>
  </si>
  <si>
    <t>Env Satisfaction:4</t>
  </si>
  <si>
    <t>MAD</t>
  </si>
  <si>
    <t>IQR</t>
  </si>
  <si>
    <r>
      <t>Data Range:</t>
    </r>
    <r>
      <rPr>
        <sz val="8"/>
        <color theme="1"/>
        <rFont val="Tahoma"/>
        <family val="2"/>
      </rPr>
      <t xml:space="preserve"> Linear with interaction variables2_appy</t>
    </r>
  </si>
  <si>
    <t>StatTools</t>
  </si>
  <si>
    <t>Variance</t>
  </si>
  <si>
    <t>Std. Dev.</t>
  </si>
  <si>
    <t>Skewness</t>
  </si>
  <si>
    <t>Kurtosis</t>
  </si>
  <si>
    <t>Mean Abs. Dev.</t>
  </si>
  <si>
    <t>Mode</t>
  </si>
  <si>
    <t>Range</t>
  </si>
  <si>
    <t>Sum</t>
  </si>
  <si>
    <t>1st Quartile</t>
  </si>
  <si>
    <t>3rd Quartile</t>
  </si>
  <si>
    <t>Interquartile Range</t>
  </si>
  <si>
    <r>
      <t>Date:</t>
    </r>
    <r>
      <rPr>
        <sz val="8"/>
        <color theme="1"/>
        <rFont val="Tahoma"/>
        <family val="2"/>
      </rPr>
      <t xml:space="preserve"> Friday, December 7, 2018 9:12:18 PM</t>
    </r>
  </si>
  <si>
    <t>Summary Statistics</t>
  </si>
  <si>
    <t>H0(Null Hypothesis)</t>
  </si>
  <si>
    <t>Ha (Alternative Hypothesis)</t>
  </si>
  <si>
    <t>Population Avg Monthly Income &gt;</t>
  </si>
  <si>
    <t xml:space="preserve">Hypothesis Testing </t>
  </si>
  <si>
    <t xml:space="preserve"> Population mean = Sample mean</t>
  </si>
  <si>
    <t xml:space="preserve">Assumption: </t>
  </si>
  <si>
    <t>Sunday, December 9, 2018</t>
  </si>
  <si>
    <t>Srinivas Reddy Pachika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</si>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</sst>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lt;0.0001]&quot;&lt; 0.0001&quot;;0.0000"/>
    <numFmt numFmtId="165" formatCode="0.0000"/>
    <numFmt numFmtId="166" formatCode="0.000"/>
    <numFmt numFmtId="167" formatCode="0.000000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1"/>
      <name val="Calibri"/>
      <family val="2"/>
      <scheme val="minor"/>
    </font>
    <font>
      <b/>
      <i/>
      <sz val="8"/>
      <color theme="1"/>
      <name val="Calibri"/>
      <family val="2"/>
      <scheme val="minor"/>
    </font>
    <font>
      <sz val="9"/>
      <color indexed="81"/>
      <name val="Tahoma"/>
      <family val="2"/>
    </font>
    <font>
      <b/>
      <u/>
      <sz val="9"/>
      <color indexed="81"/>
      <name val="Tahoma"/>
      <family val="2"/>
    </font>
    <font>
      <b/>
      <sz val="14"/>
      <color theme="1"/>
      <name val="Calibri"/>
      <family val="2"/>
      <scheme val="minor"/>
    </font>
    <font>
      <sz val="8"/>
      <color theme="1"/>
      <name val="Calibri"/>
      <family val="2"/>
      <scheme val="minor"/>
    </font>
    <font>
      <sz val="8"/>
      <color theme="1"/>
      <name val="Tahoma"/>
      <family val="2"/>
    </font>
    <font>
      <b/>
      <sz val="8"/>
      <color theme="1"/>
      <name val="Tahoma"/>
      <family val="2"/>
    </font>
    <font>
      <b/>
      <sz val="14"/>
      <color theme="1"/>
      <name val="Tahoma"/>
      <family val="2"/>
    </font>
    <font>
      <b/>
      <i/>
      <sz val="10"/>
      <color theme="1"/>
      <name val="Calibri"/>
      <family val="2"/>
      <scheme val="minor"/>
    </font>
    <font>
      <b/>
      <sz val="10"/>
      <color theme="1"/>
      <name val="Calibri"/>
      <family val="2"/>
      <scheme val="minor"/>
    </font>
    <font>
      <b/>
      <sz val="11"/>
      <color rgb="FFFF00FF"/>
      <name val="Calibri"/>
      <family val="2"/>
      <scheme val="minor"/>
    </font>
    <font>
      <b/>
      <sz val="11"/>
      <color rgb="FFFF000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00CCFF"/>
        <bgColor indexed="64"/>
      </patternFill>
    </fill>
    <fill>
      <patternFill patternType="solid">
        <fgColor rgb="FFC0C0C0"/>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style="dashed">
        <color indexed="64"/>
      </right>
      <top style="dashed">
        <color rgb="FF000000"/>
      </top>
      <bottom/>
      <diagonal/>
    </border>
    <border>
      <left style="dashed">
        <color indexed="64"/>
      </left>
      <right style="dashed">
        <color indexed="64"/>
      </right>
      <top style="dashed">
        <color rgb="FF000000"/>
      </top>
      <bottom/>
      <diagonal/>
    </border>
    <border>
      <left style="dashed">
        <color indexed="64"/>
      </left>
      <right style="double">
        <color indexed="64"/>
      </right>
      <top style="dashed">
        <color rgb="FF000000"/>
      </top>
      <bottom/>
      <diagonal/>
    </border>
    <border>
      <left style="double">
        <color indexed="64"/>
      </left>
      <right style="dashed">
        <color indexed="64"/>
      </right>
      <top/>
      <bottom/>
      <diagonal/>
    </border>
    <border>
      <left style="dashed">
        <color indexed="64"/>
      </left>
      <right style="dashed">
        <color indexed="64"/>
      </right>
      <top/>
      <bottom/>
      <diagonal/>
    </border>
    <border>
      <left style="double">
        <color indexed="64"/>
      </left>
      <right style="dashed">
        <color indexed="64"/>
      </right>
      <top/>
      <bottom style="double">
        <color indexed="64"/>
      </bottom>
      <diagonal/>
    </border>
    <border>
      <left style="dashed">
        <color indexed="64"/>
      </left>
      <right style="dashed">
        <color indexed="64"/>
      </right>
      <top/>
      <bottom style="double">
        <color indexed="64"/>
      </bottom>
      <diagonal/>
    </border>
    <border>
      <left/>
      <right/>
      <top/>
      <bottom style="double">
        <color rgb="FF000000"/>
      </bottom>
      <diagonal/>
    </border>
    <border>
      <left/>
      <right style="dashed">
        <color indexed="64"/>
      </right>
      <top style="dashed">
        <color rgb="FF000000"/>
      </top>
      <bottom/>
      <diagonal/>
    </border>
    <border>
      <left/>
      <right/>
      <top/>
      <bottom style="thin">
        <color rgb="FF000000"/>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medium">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medium">
        <color indexed="64"/>
      </left>
      <right style="hair">
        <color indexed="64"/>
      </right>
      <top style="thin">
        <color indexed="64"/>
      </top>
      <bottom style="hair">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dashed">
        <color indexed="64"/>
      </left>
      <right style="double">
        <color indexed="64"/>
      </right>
      <top/>
      <bottom/>
      <diagonal/>
    </border>
    <border>
      <left style="dashed">
        <color indexed="64"/>
      </left>
      <right style="double">
        <color indexed="64"/>
      </right>
      <top/>
      <bottom style="double">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hair">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5">
    <xf numFmtId="0" fontId="0" fillId="0" borderId="0" xfId="0"/>
    <xf numFmtId="11" fontId="0" fillId="0" borderId="0" xfId="0" applyNumberFormat="1"/>
    <xf numFmtId="10" fontId="0" fillId="0" borderId="0" xfId="0" applyNumberFormat="1"/>
    <xf numFmtId="0" fontId="0" fillId="0" borderId="0" xfId="0" applyNumberFormat="1"/>
    <xf numFmtId="0" fontId="0" fillId="0" borderId="0" xfId="0" applyAlignment="1">
      <alignment horizontal="left"/>
    </xf>
    <xf numFmtId="0" fontId="16" fillId="0" borderId="0" xfId="0" applyFont="1" applyAlignment="1">
      <alignment horizontal="left"/>
    </xf>
    <xf numFmtId="0" fontId="0" fillId="34" borderId="10" xfId="0" applyFill="1" applyBorder="1"/>
    <xf numFmtId="0" fontId="0" fillId="34" borderId="11" xfId="0" applyFill="1" applyBorder="1"/>
    <xf numFmtId="0" fontId="0" fillId="34" borderId="12" xfId="0" applyFill="1" applyBorder="1"/>
    <xf numFmtId="0" fontId="0" fillId="33" borderId="13" xfId="0" applyFill="1" applyBorder="1"/>
    <xf numFmtId="0" fontId="0" fillId="33" borderId="14" xfId="0" applyFill="1" applyBorder="1"/>
    <xf numFmtId="0" fontId="0" fillId="33" borderId="16" xfId="0" applyFill="1" applyBorder="1"/>
    <xf numFmtId="0" fontId="0" fillId="33" borderId="17" xfId="0" applyFill="1" applyBorder="1"/>
    <xf numFmtId="0" fontId="0" fillId="33" borderId="18" xfId="0" applyFill="1" applyBorder="1"/>
    <xf numFmtId="0" fontId="0" fillId="33" borderId="19" xfId="0" applyFill="1" applyBorder="1"/>
    <xf numFmtId="0" fontId="0" fillId="0" borderId="0" xfId="0" applyNumberFormat="1" applyAlignment="1">
      <alignment horizontal="left"/>
    </xf>
    <xf numFmtId="0" fontId="0" fillId="0" borderId="0" xfId="0" applyAlignment="1">
      <alignment horizontal="center"/>
    </xf>
    <xf numFmtId="49" fontId="18" fillId="0" borderId="20" xfId="0" applyNumberFormat="1" applyFont="1" applyFill="1" applyBorder="1" applyAlignment="1">
      <alignment horizontal="center"/>
    </xf>
    <xf numFmtId="49" fontId="18" fillId="0" borderId="0" xfId="0" applyNumberFormat="1" applyFont="1" applyAlignment="1">
      <alignment horizontal="left"/>
    </xf>
    <xf numFmtId="49" fontId="19" fillId="0" borderId="0" xfId="0" applyNumberFormat="1" applyFont="1" applyAlignment="1">
      <alignment horizontal="left"/>
    </xf>
    <xf numFmtId="49" fontId="19" fillId="0" borderId="20" xfId="0" applyNumberFormat="1" applyFont="1" applyFill="1" applyBorder="1" applyAlignment="1">
      <alignment horizontal="left"/>
    </xf>
    <xf numFmtId="0" fontId="0" fillId="0" borderId="0" xfId="0" applyNumberFormat="1" applyAlignment="1">
      <alignment horizontal="center"/>
    </xf>
    <xf numFmtId="164" fontId="0" fillId="0" borderId="0" xfId="0" applyNumberFormat="1" applyAlignment="1">
      <alignment horizontal="center"/>
    </xf>
    <xf numFmtId="0" fontId="18" fillId="0" borderId="0" xfId="0" applyNumberFormat="1" applyFont="1" applyAlignment="1">
      <alignment horizontal="center"/>
    </xf>
    <xf numFmtId="0" fontId="18" fillId="0" borderId="0" xfId="0" applyNumberFormat="1" applyFont="1" applyAlignment="1">
      <alignment horizontal="left"/>
    </xf>
    <xf numFmtId="10" fontId="0" fillId="0" borderId="0" xfId="0" applyNumberFormat="1" applyAlignment="1">
      <alignment horizontal="center"/>
    </xf>
    <xf numFmtId="0" fontId="0" fillId="0" borderId="0" xfId="0" pivotButton="1"/>
    <xf numFmtId="0" fontId="0" fillId="0" borderId="0" xfId="0" quotePrefix="1"/>
    <xf numFmtId="9" fontId="0" fillId="0" borderId="0" xfId="0" applyNumberFormat="1"/>
    <xf numFmtId="0" fontId="0" fillId="33" borderId="21" xfId="0" applyFill="1" applyBorder="1"/>
    <xf numFmtId="0" fontId="22" fillId="35" borderId="0" xfId="0" applyFont="1" applyFill="1" applyAlignment="1">
      <alignment horizontal="left"/>
    </xf>
    <xf numFmtId="0" fontId="23" fillId="35" borderId="0" xfId="0" applyFont="1" applyFill="1" applyAlignment="1">
      <alignment horizontal="left"/>
    </xf>
    <xf numFmtId="0" fontId="23" fillId="35" borderId="0" xfId="0" applyFont="1" applyFill="1"/>
    <xf numFmtId="0" fontId="18" fillId="35" borderId="0" xfId="0" applyFont="1" applyFill="1" applyAlignment="1">
      <alignment horizontal="right"/>
    </xf>
    <xf numFmtId="0" fontId="18" fillId="35" borderId="22" xfId="0" applyFont="1" applyFill="1" applyBorder="1" applyAlignment="1">
      <alignment horizontal="right"/>
    </xf>
    <xf numFmtId="0" fontId="23" fillId="35" borderId="22" xfId="0" applyFont="1" applyFill="1" applyBorder="1" applyAlignment="1">
      <alignment horizontal="left"/>
    </xf>
    <xf numFmtId="0" fontId="23" fillId="35" borderId="22" xfId="0" applyFont="1" applyFill="1" applyBorder="1"/>
    <xf numFmtId="165" fontId="0" fillId="0" borderId="0" xfId="0" applyNumberFormat="1" applyAlignment="1">
      <alignment horizontal="center"/>
    </xf>
    <xf numFmtId="49" fontId="18" fillId="0" borderId="0" xfId="0" applyNumberFormat="1" applyFont="1" applyAlignment="1">
      <alignment horizontal="center"/>
    </xf>
    <xf numFmtId="49" fontId="18" fillId="0" borderId="0" xfId="0" applyNumberFormat="1" applyFont="1" applyAlignment="1">
      <alignment horizontal="center" vertical="center"/>
    </xf>
    <xf numFmtId="49" fontId="18" fillId="0" borderId="0" xfId="0" applyNumberFormat="1" applyFont="1" applyAlignment="1">
      <alignment horizontal="center"/>
    </xf>
    <xf numFmtId="0" fontId="16" fillId="36" borderId="23" xfId="0" applyFont="1" applyFill="1" applyBorder="1"/>
    <xf numFmtId="0" fontId="0" fillId="37" borderId="24" xfId="0" applyFill="1" applyBorder="1"/>
    <xf numFmtId="0" fontId="0" fillId="0" borderId="24" xfId="0" applyBorder="1"/>
    <xf numFmtId="0" fontId="0" fillId="38" borderId="24" xfId="0" applyFill="1" applyBorder="1"/>
    <xf numFmtId="0" fontId="0" fillId="0" borderId="28" xfId="0" applyFont="1" applyBorder="1" applyAlignment="1">
      <alignment horizontal="left" vertical="center" wrapText="1"/>
    </xf>
    <xf numFmtId="0" fontId="0" fillId="0" borderId="29" xfId="0" applyFont="1" applyBorder="1" applyAlignment="1">
      <alignment horizontal="left" vertical="center" wrapText="1"/>
    </xf>
    <xf numFmtId="0" fontId="0" fillId="0" borderId="30" xfId="0" applyFont="1" applyBorder="1" applyAlignment="1">
      <alignment horizontal="left" vertical="center" wrapText="1"/>
    </xf>
    <xf numFmtId="0" fontId="0" fillId="0" borderId="31" xfId="0" applyFont="1" applyBorder="1" applyAlignment="1">
      <alignment horizontal="left" vertical="center" wrapText="1"/>
    </xf>
    <xf numFmtId="0" fontId="0" fillId="0" borderId="32" xfId="0" applyFont="1" applyBorder="1" applyAlignment="1">
      <alignment horizontal="left" vertical="center" wrapText="1"/>
    </xf>
    <xf numFmtId="0" fontId="0" fillId="0" borderId="33" xfId="0" applyFont="1" applyBorder="1" applyAlignment="1">
      <alignment horizontal="left" vertical="center" wrapText="1"/>
    </xf>
    <xf numFmtId="4" fontId="0" fillId="0" borderId="32" xfId="0" applyNumberFormat="1"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36" xfId="0" applyFont="1" applyBorder="1" applyAlignment="1">
      <alignment horizontal="left" vertical="center" wrapText="1"/>
    </xf>
    <xf numFmtId="0" fontId="0" fillId="0" borderId="37" xfId="0" applyFont="1" applyBorder="1" applyAlignment="1">
      <alignment horizontal="left" vertical="center" wrapText="1"/>
    </xf>
    <xf numFmtId="9" fontId="0" fillId="0" borderId="38" xfId="0" applyNumberFormat="1" applyFont="1" applyBorder="1" applyAlignment="1">
      <alignment horizontal="left" vertical="center" wrapText="1"/>
    </xf>
    <xf numFmtId="0" fontId="0" fillId="0" borderId="38" xfId="0" applyFont="1" applyBorder="1" applyAlignment="1">
      <alignment horizontal="left" vertical="center" wrapText="1"/>
    </xf>
    <xf numFmtId="0" fontId="0" fillId="0" borderId="39" xfId="0" applyFont="1" applyBorder="1" applyAlignment="1">
      <alignment horizontal="left" vertical="center" wrapText="1"/>
    </xf>
    <xf numFmtId="0" fontId="24" fillId="35" borderId="22" xfId="0" applyFont="1" applyFill="1" applyBorder="1"/>
    <xf numFmtId="0" fontId="25" fillId="35" borderId="22" xfId="0" applyFont="1" applyFill="1" applyBorder="1"/>
    <xf numFmtId="0" fontId="24" fillId="35" borderId="0" xfId="0" applyFont="1" applyFill="1" applyBorder="1"/>
    <xf numFmtId="0" fontId="25" fillId="35" borderId="0" xfId="0" applyFont="1" applyFill="1" applyBorder="1"/>
    <xf numFmtId="0" fontId="26" fillId="35" borderId="0" xfId="0" applyFont="1" applyFill="1" applyBorder="1"/>
    <xf numFmtId="0" fontId="26" fillId="35" borderId="0" xfId="0" quotePrefix="1" applyFont="1" applyFill="1" applyBorder="1"/>
    <xf numFmtId="0" fontId="0" fillId="0" borderId="0" xfId="0" applyFont="1" applyFill="1" applyBorder="1" applyAlignment="1">
      <alignment horizontal="left" vertical="center" wrapText="1"/>
    </xf>
    <xf numFmtId="0" fontId="0" fillId="33" borderId="14" xfId="0" applyNumberFormat="1" applyFill="1" applyBorder="1"/>
    <xf numFmtId="0" fontId="0" fillId="33" borderId="17" xfId="0" applyNumberFormat="1" applyFill="1" applyBorder="1"/>
    <xf numFmtId="0" fontId="0" fillId="33" borderId="19" xfId="0" applyNumberFormat="1" applyFill="1" applyBorder="1"/>
    <xf numFmtId="0" fontId="0" fillId="33" borderId="15" xfId="0" applyNumberFormat="1" applyFill="1" applyBorder="1"/>
    <xf numFmtId="0" fontId="0" fillId="33" borderId="40" xfId="0" applyNumberFormat="1" applyFill="1" applyBorder="1"/>
    <xf numFmtId="0" fontId="0" fillId="33" borderId="41" xfId="0" applyNumberFormat="1" applyFill="1" applyBorder="1"/>
    <xf numFmtId="49" fontId="18" fillId="39" borderId="0" xfId="0" applyNumberFormat="1" applyFont="1" applyFill="1" applyAlignment="1">
      <alignment horizontal="left"/>
    </xf>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166" fontId="0" fillId="0" borderId="0" xfId="0" applyNumberFormat="1" applyAlignment="1">
      <alignment horizontal="center"/>
    </xf>
    <xf numFmtId="166" fontId="16" fillId="0" borderId="0" xfId="0" applyNumberFormat="1" applyFont="1" applyAlignment="1">
      <alignment horizontal="center"/>
    </xf>
    <xf numFmtId="0" fontId="16" fillId="0" borderId="0" xfId="0" applyFont="1"/>
    <xf numFmtId="0" fontId="23" fillId="0" borderId="0" xfId="0" applyFont="1"/>
    <xf numFmtId="166" fontId="23" fillId="0" borderId="0" xfId="0" applyNumberFormat="1" applyFont="1" applyAlignment="1">
      <alignment horizontal="center"/>
    </xf>
    <xf numFmtId="0" fontId="0" fillId="39" borderId="0" xfId="0" applyFill="1"/>
    <xf numFmtId="0" fontId="14" fillId="0" borderId="0" xfId="0" applyFont="1"/>
    <xf numFmtId="0" fontId="0" fillId="0" borderId="0" xfId="0" applyBorder="1" applyAlignment="1">
      <alignment horizontal="center" vertical="center"/>
    </xf>
    <xf numFmtId="0" fontId="0" fillId="39" borderId="0" xfId="0" applyNumberFormat="1" applyFill="1" applyAlignment="1">
      <alignment horizontal="center"/>
    </xf>
    <xf numFmtId="167" fontId="0" fillId="0" borderId="0" xfId="0" applyNumberFormat="1"/>
    <xf numFmtId="0" fontId="18" fillId="0" borderId="20" xfId="0" applyNumberFormat="1" applyFont="1" applyFill="1" applyBorder="1" applyAlignment="1">
      <alignment horizontal="center"/>
    </xf>
    <xf numFmtId="49" fontId="18" fillId="0" borderId="51" xfId="0" applyNumberFormat="1" applyFont="1" applyFill="1" applyBorder="1" applyAlignment="1">
      <alignment horizontal="left"/>
    </xf>
    <xf numFmtId="2" fontId="0" fillId="0" borderId="0" xfId="0" applyNumberFormat="1" applyAlignment="1">
      <alignment horizontal="center"/>
    </xf>
    <xf numFmtId="2" fontId="14" fillId="0" borderId="0" xfId="0" applyNumberFormat="1" applyFont="1" applyAlignment="1">
      <alignment horizontal="center"/>
    </xf>
    <xf numFmtId="2" fontId="14" fillId="0" borderId="51" xfId="0" applyNumberFormat="1" applyFont="1" applyFill="1" applyBorder="1" applyAlignment="1">
      <alignment horizontal="center"/>
    </xf>
    <xf numFmtId="3" fontId="0" fillId="0" borderId="0" xfId="0" applyNumberFormat="1"/>
    <xf numFmtId="166" fontId="0" fillId="0" borderId="0" xfId="0" applyNumberFormat="1" applyAlignment="1">
      <alignment horizontal="left"/>
    </xf>
    <xf numFmtId="165" fontId="0" fillId="0" borderId="0" xfId="0" applyNumberFormat="1" applyAlignment="1">
      <alignment horizontal="left"/>
    </xf>
    <xf numFmtId="166" fontId="0" fillId="0" borderId="51" xfId="0" applyNumberFormat="1" applyFill="1" applyBorder="1" applyAlignment="1">
      <alignment horizontal="left"/>
    </xf>
    <xf numFmtId="2" fontId="0" fillId="0" borderId="0" xfId="0" applyNumberFormat="1" applyAlignment="1">
      <alignment horizontal="left"/>
    </xf>
    <xf numFmtId="2" fontId="0" fillId="0" borderId="51" xfId="0" applyNumberFormat="1" applyFill="1" applyBorder="1" applyAlignment="1">
      <alignment horizontal="left"/>
    </xf>
    <xf numFmtId="165" fontId="0" fillId="0" borderId="51" xfId="0" applyNumberFormat="1" applyFill="1" applyBorder="1" applyAlignment="1">
      <alignment horizontal="left"/>
    </xf>
    <xf numFmtId="49" fontId="27" fillId="39" borderId="0" xfId="0" applyNumberFormat="1" applyFont="1" applyFill="1" applyAlignment="1">
      <alignment horizontal="left"/>
    </xf>
    <xf numFmtId="49" fontId="28" fillId="39" borderId="0" xfId="0" applyNumberFormat="1" applyFont="1" applyFill="1" applyAlignment="1">
      <alignment horizontal="left"/>
    </xf>
    <xf numFmtId="0" fontId="28" fillId="39" borderId="0" xfId="0" applyFont="1" applyFill="1"/>
    <xf numFmtId="49" fontId="28" fillId="0" borderId="0" xfId="0" applyNumberFormat="1" applyFont="1" applyAlignment="1">
      <alignment horizontal="left"/>
    </xf>
    <xf numFmtId="49" fontId="28" fillId="0" borderId="51" xfId="0" applyNumberFormat="1" applyFont="1" applyFill="1" applyBorder="1" applyAlignment="1">
      <alignment horizontal="left"/>
    </xf>
    <xf numFmtId="10" fontId="28" fillId="0" borderId="0" xfId="0" applyNumberFormat="1" applyFont="1" applyAlignment="1">
      <alignment horizontal="left"/>
    </xf>
    <xf numFmtId="0" fontId="28" fillId="0" borderId="0" xfId="0" applyFont="1"/>
    <xf numFmtId="0" fontId="16" fillId="0" borderId="0" xfId="0" applyFont="1" applyAlignment="1">
      <alignment horizontal="right"/>
    </xf>
    <xf numFmtId="0" fontId="29" fillId="0" borderId="0" xfId="0" applyFont="1"/>
    <xf numFmtId="0" fontId="0" fillId="39" borderId="0" xfId="0" applyFill="1" applyAlignment="1">
      <alignment horizontal="center"/>
    </xf>
    <xf numFmtId="0" fontId="0" fillId="0" borderId="0" xfId="0" applyFill="1"/>
    <xf numFmtId="0" fontId="30" fillId="40" borderId="24" xfId="0" applyFont="1" applyFill="1" applyBorder="1"/>
    <xf numFmtId="0" fontId="0" fillId="0" borderId="24" xfId="0" applyFill="1" applyBorder="1"/>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49" fontId="18" fillId="0" borderId="0" xfId="0" applyNumberFormat="1" applyFont="1" applyAlignment="1">
      <alignment horizontal="center" vertical="center" wrapText="1"/>
    </xf>
    <xf numFmtId="0" fontId="0" fillId="0" borderId="20" xfId="0" applyBorder="1" applyAlignment="1">
      <alignment horizontal="center" vertical="center"/>
    </xf>
    <xf numFmtId="49" fontId="18" fillId="0" borderId="0" xfId="0" applyNumberFormat="1" applyFont="1" applyAlignment="1">
      <alignment horizontal="center" vertical="center"/>
    </xf>
    <xf numFmtId="49" fontId="18" fillId="0" borderId="0" xfId="0" applyNumberFormat="1" applyFont="1" applyAlignment="1">
      <alignment horizontal="center"/>
    </xf>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7.xml"/><Relationship Id="rId1" Type="http://schemas.microsoft.com/office/2011/relationships/chartStyle" Target="style1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Attrition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Visualizations!$J$2</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9B-49D7-8866-7414369A0D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9B-49D7-8866-7414369A0D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Visualizations!$I$3:$I$4</c:f>
              <c:strCache>
                <c:ptCount val="2"/>
                <c:pt idx="0">
                  <c:v>Yes</c:v>
                </c:pt>
                <c:pt idx="1">
                  <c:v>No</c:v>
                </c:pt>
              </c:strCache>
            </c:strRef>
          </c:cat>
          <c:val>
            <c:numRef>
              <c:f>Visualizations!$J$3:$J$4</c:f>
              <c:numCache>
                <c:formatCode>General</c:formatCode>
                <c:ptCount val="2"/>
                <c:pt idx="0">
                  <c:v>237</c:v>
                </c:pt>
                <c:pt idx="1">
                  <c:v>1233</c:v>
                </c:pt>
              </c:numCache>
            </c:numRef>
          </c:val>
          <c:extLst>
            <c:ext xmlns:c16="http://schemas.microsoft.com/office/drawing/2014/chart" uri="{C3380CC4-5D6E-409C-BE32-E72D297353CC}">
              <c16:uniqueId val="{00000000-DCBC-4E1E-912F-F41C14848C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980119493256923"/>
          <c:y val="0.45035523231351804"/>
          <c:w val="7.8532152230971125E-2"/>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[Final_excel_Group18.xlsx]Visualizations!PivotTable5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Satisfaction and Attrition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Visualizations!$B$33:$B$34</c:f>
              <c:strCache>
                <c:ptCount val="1"/>
                <c:pt idx="0">
                  <c:v>No</c:v>
                </c:pt>
              </c:strCache>
            </c:strRef>
          </c:tx>
          <c:spPr>
            <a:solidFill>
              <a:schemeClr val="accent1"/>
            </a:solidFill>
            <a:ln>
              <a:noFill/>
            </a:ln>
            <a:effectLst/>
          </c:spPr>
          <c:invertIfNegative val="0"/>
          <c:cat>
            <c:strRef>
              <c:f>Visualizations!$A$35:$A$39</c:f>
              <c:strCache>
                <c:ptCount val="4"/>
                <c:pt idx="0">
                  <c:v>1</c:v>
                </c:pt>
                <c:pt idx="1">
                  <c:v>2</c:v>
                </c:pt>
                <c:pt idx="2">
                  <c:v>3</c:v>
                </c:pt>
                <c:pt idx="3">
                  <c:v>4</c:v>
                </c:pt>
              </c:strCache>
            </c:strRef>
          </c:cat>
          <c:val>
            <c:numRef>
              <c:f>Visualizations!$B$35:$B$39</c:f>
              <c:numCache>
                <c:formatCode>General</c:formatCode>
                <c:ptCount val="4"/>
                <c:pt idx="0">
                  <c:v>223</c:v>
                </c:pt>
                <c:pt idx="1">
                  <c:v>234</c:v>
                </c:pt>
                <c:pt idx="2">
                  <c:v>369</c:v>
                </c:pt>
                <c:pt idx="3">
                  <c:v>407</c:v>
                </c:pt>
              </c:numCache>
            </c:numRef>
          </c:val>
          <c:extLst>
            <c:ext xmlns:c16="http://schemas.microsoft.com/office/drawing/2014/chart" uri="{C3380CC4-5D6E-409C-BE32-E72D297353CC}">
              <c16:uniqueId val="{00000000-17F8-4C07-9820-5A782358F3F3}"/>
            </c:ext>
          </c:extLst>
        </c:ser>
        <c:ser>
          <c:idx val="1"/>
          <c:order val="1"/>
          <c:tx>
            <c:strRef>
              <c:f>Visualizations!$C$33:$C$34</c:f>
              <c:strCache>
                <c:ptCount val="1"/>
                <c:pt idx="0">
                  <c:v>Yes</c:v>
                </c:pt>
              </c:strCache>
            </c:strRef>
          </c:tx>
          <c:spPr>
            <a:solidFill>
              <a:schemeClr val="accent2"/>
            </a:solidFill>
            <a:ln>
              <a:noFill/>
            </a:ln>
            <a:effectLst/>
          </c:spPr>
          <c:invertIfNegative val="0"/>
          <c:cat>
            <c:strRef>
              <c:f>Visualizations!$A$35:$A$39</c:f>
              <c:strCache>
                <c:ptCount val="4"/>
                <c:pt idx="0">
                  <c:v>1</c:v>
                </c:pt>
                <c:pt idx="1">
                  <c:v>2</c:v>
                </c:pt>
                <c:pt idx="2">
                  <c:v>3</c:v>
                </c:pt>
                <c:pt idx="3">
                  <c:v>4</c:v>
                </c:pt>
              </c:strCache>
            </c:strRef>
          </c:cat>
          <c:val>
            <c:numRef>
              <c:f>Visualizations!$C$35:$C$39</c:f>
              <c:numCache>
                <c:formatCode>General</c:formatCode>
                <c:ptCount val="4"/>
                <c:pt idx="0">
                  <c:v>66</c:v>
                </c:pt>
                <c:pt idx="1">
                  <c:v>46</c:v>
                </c:pt>
                <c:pt idx="2">
                  <c:v>73</c:v>
                </c:pt>
                <c:pt idx="3">
                  <c:v>52</c:v>
                </c:pt>
              </c:numCache>
            </c:numRef>
          </c:val>
          <c:extLst>
            <c:ext xmlns:c16="http://schemas.microsoft.com/office/drawing/2014/chart" uri="{C3380CC4-5D6E-409C-BE32-E72D297353CC}">
              <c16:uniqueId val="{00000001-17F8-4C07-9820-5A782358F3F3}"/>
            </c:ext>
          </c:extLst>
        </c:ser>
        <c:dLbls>
          <c:showLegendKey val="0"/>
          <c:showVal val="0"/>
          <c:showCatName val="0"/>
          <c:showSerName val="0"/>
          <c:showPercent val="0"/>
          <c:showBubbleSize val="0"/>
        </c:dLbls>
        <c:gapWidth val="150"/>
        <c:overlap val="100"/>
        <c:axId val="600805832"/>
        <c:axId val="600812064"/>
      </c:barChart>
      <c:catAx>
        <c:axId val="600805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12064"/>
        <c:crosses val="autoZero"/>
        <c:auto val="1"/>
        <c:lblAlgn val="ctr"/>
        <c:lblOffset val="100"/>
        <c:noMultiLvlLbl val="0"/>
      </c:catAx>
      <c:valAx>
        <c:axId val="60081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05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[Final_excel_Group18.xlsx]Visualizations!PivotTable20</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Visualizations!$J$17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3B-48BC-A3DB-3E83C3F954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3B-48BC-A3DB-3E83C3F954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Visualizations!$I$18:$I$20</c:f>
              <c:strCache>
                <c:ptCount val="2"/>
                <c:pt idx="0">
                  <c:v>Female</c:v>
                </c:pt>
                <c:pt idx="1">
                  <c:v>Male</c:v>
                </c:pt>
              </c:strCache>
            </c:strRef>
          </c:cat>
          <c:val>
            <c:numRef>
              <c:f>Visualizations!$J$18:$J$20</c:f>
              <c:numCache>
                <c:formatCode>General</c:formatCode>
                <c:ptCount val="2"/>
                <c:pt idx="0">
                  <c:v>588</c:v>
                </c:pt>
                <c:pt idx="1">
                  <c:v>882</c:v>
                </c:pt>
              </c:numCache>
            </c:numRef>
          </c:val>
          <c:extLst>
            <c:ext xmlns:c16="http://schemas.microsoft.com/office/drawing/2014/chart" uri="{C3380CC4-5D6E-409C-BE32-E72D297353CC}">
              <c16:uniqueId val="{00000000-F6D0-48BC-9E13-4F6859066D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[Final_excel_Group18.xlsx]Visualizations!PivotTable4</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Visualizations!$B$51:$B$52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Visualizations!$A$53:$A$55</c:f>
              <c:strCache>
                <c:ptCount val="2"/>
                <c:pt idx="0">
                  <c:v>Female</c:v>
                </c:pt>
                <c:pt idx="1">
                  <c:v>Male</c:v>
                </c:pt>
              </c:strCache>
            </c:strRef>
          </c:cat>
          <c:val>
            <c:numRef>
              <c:f>Visualizations!$B$53:$B$55</c:f>
              <c:numCache>
                <c:formatCode>General</c:formatCode>
                <c:ptCount val="2"/>
                <c:pt idx="0">
                  <c:v>501</c:v>
                </c:pt>
                <c:pt idx="1">
                  <c:v>732</c:v>
                </c:pt>
              </c:numCache>
            </c:numRef>
          </c:val>
          <c:extLst>
            <c:ext xmlns:c16="http://schemas.microsoft.com/office/drawing/2014/chart" uri="{C3380CC4-5D6E-409C-BE32-E72D297353CC}">
              <c16:uniqueId val="{00000000-0192-4A83-A752-7CB21ED5F9D2}"/>
            </c:ext>
          </c:extLst>
        </c:ser>
        <c:ser>
          <c:idx val="1"/>
          <c:order val="1"/>
          <c:tx>
            <c:strRef>
              <c:f>Visualizations!$C$51:$C$52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Visualizations!$A$53:$A$55</c:f>
              <c:strCache>
                <c:ptCount val="2"/>
                <c:pt idx="0">
                  <c:v>Female</c:v>
                </c:pt>
                <c:pt idx="1">
                  <c:v>Male</c:v>
                </c:pt>
              </c:strCache>
            </c:strRef>
          </c:cat>
          <c:val>
            <c:numRef>
              <c:f>Visualizations!$C$53:$C$55</c:f>
              <c:numCache>
                <c:formatCode>General</c:formatCode>
                <c:ptCount val="2"/>
                <c:pt idx="0">
                  <c:v>87</c:v>
                </c:pt>
                <c:pt idx="1">
                  <c:v>150</c:v>
                </c:pt>
              </c:numCache>
            </c:numRef>
          </c:val>
          <c:extLst>
            <c:ext xmlns:c16="http://schemas.microsoft.com/office/drawing/2014/chart" uri="{C3380CC4-5D6E-409C-BE32-E72D297353CC}">
              <c16:uniqueId val="{00000001-0192-4A83-A752-7CB21ED5F9D2}"/>
            </c:ext>
          </c:extLst>
        </c:ser>
        <c:dLbls>
          <c:dLblPos val="ctr"/>
          <c:showLegendKey val="0"/>
          <c:showVal val="1"/>
          <c:showCatName val="0"/>
          <c:showSerName val="0"/>
          <c:showPercent val="0"/>
          <c:showBubbleSize val="0"/>
        </c:dLbls>
        <c:gapWidth val="150"/>
        <c:overlap val="100"/>
        <c:axId val="595632264"/>
        <c:axId val="595632920"/>
      </c:barChart>
      <c:catAx>
        <c:axId val="595632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32920"/>
        <c:crosses val="autoZero"/>
        <c:auto val="1"/>
        <c:lblAlgn val="ctr"/>
        <c:lblOffset val="100"/>
        <c:noMultiLvlLbl val="0"/>
      </c:catAx>
      <c:valAx>
        <c:axId val="595632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32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[Final_excel_Group18.xlsx]Visualizations!PivotTable2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Visualizations!$B$66:$B$67</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Visualizations!$A$68:$A$70</c:f>
              <c:strCache>
                <c:ptCount val="2"/>
                <c:pt idx="0">
                  <c:v>No</c:v>
                </c:pt>
                <c:pt idx="1">
                  <c:v>Yes</c:v>
                </c:pt>
              </c:strCache>
            </c:strRef>
          </c:cat>
          <c:val>
            <c:numRef>
              <c:f>Visualizations!$B$68:$B$70</c:f>
              <c:numCache>
                <c:formatCode>General</c:formatCode>
                <c:ptCount val="2"/>
                <c:pt idx="0">
                  <c:v>944</c:v>
                </c:pt>
                <c:pt idx="1">
                  <c:v>289</c:v>
                </c:pt>
              </c:numCache>
            </c:numRef>
          </c:val>
          <c:extLst>
            <c:ext xmlns:c16="http://schemas.microsoft.com/office/drawing/2014/chart" uri="{C3380CC4-5D6E-409C-BE32-E72D297353CC}">
              <c16:uniqueId val="{00000000-4282-4FB3-B025-4C0D286F6F2F}"/>
            </c:ext>
          </c:extLst>
        </c:ser>
        <c:ser>
          <c:idx val="1"/>
          <c:order val="1"/>
          <c:tx>
            <c:strRef>
              <c:f>Visualizations!$C$66:$C$67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Visualizations!$A$68:$A$70</c:f>
              <c:strCache>
                <c:ptCount val="2"/>
                <c:pt idx="0">
                  <c:v>No</c:v>
                </c:pt>
                <c:pt idx="1">
                  <c:v>Yes</c:v>
                </c:pt>
              </c:strCache>
            </c:strRef>
          </c:cat>
          <c:val>
            <c:numRef>
              <c:f>Visualizations!$C$68:$C$70</c:f>
              <c:numCache>
                <c:formatCode>General</c:formatCode>
                <c:ptCount val="2"/>
                <c:pt idx="0">
                  <c:v>110</c:v>
                </c:pt>
                <c:pt idx="1">
                  <c:v>127</c:v>
                </c:pt>
              </c:numCache>
            </c:numRef>
          </c:val>
          <c:extLst>
            <c:ext xmlns:c16="http://schemas.microsoft.com/office/drawing/2014/chart" uri="{C3380CC4-5D6E-409C-BE32-E72D297353CC}">
              <c16:uniqueId val="{00000001-4282-4FB3-B025-4C0D286F6F2F}"/>
            </c:ext>
          </c:extLst>
        </c:ser>
        <c:dLbls>
          <c:showLegendKey val="0"/>
          <c:showVal val="0"/>
          <c:showCatName val="0"/>
          <c:showSerName val="0"/>
          <c:showPercent val="0"/>
          <c:showBubbleSize val="0"/>
        </c:dLbls>
        <c:gapWidth val="219"/>
        <c:overlap val="-27"/>
        <c:axId val="340753688"/>
        <c:axId val="340757624"/>
      </c:barChart>
      <c:catAx>
        <c:axId val="340753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57624"/>
        <c:crosses val="autoZero"/>
        <c:auto val="1"/>
        <c:lblAlgn val="ctr"/>
        <c:lblOffset val="100"/>
        <c:noMultiLvlLbl val="0"/>
      </c:catAx>
      <c:valAx>
        <c:axId val="34075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53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[Final_excel_Group18.xlsx]Visualizations!PivotTable3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Visualizations!$B$82:$B$83</c:f>
              <c:strCache>
                <c:ptCount val="1"/>
                <c:pt idx="0">
                  <c:v>No</c:v>
                </c:pt>
              </c:strCache>
            </c:strRef>
          </c:tx>
          <c:spPr>
            <a:solidFill>
              <a:schemeClr val="accent1"/>
            </a:solidFill>
            <a:ln>
              <a:noFill/>
            </a:ln>
            <a:effectLst/>
          </c:spPr>
          <c:invertIfNegative val="0"/>
          <c:cat>
            <c:strRef>
              <c:f>Visualizations!$A$84:$A$87</c:f>
              <c:strCache>
                <c:ptCount val="3"/>
                <c:pt idx="0">
                  <c:v>Divorced</c:v>
                </c:pt>
                <c:pt idx="1">
                  <c:v>Married</c:v>
                </c:pt>
                <c:pt idx="2">
                  <c:v>Single</c:v>
                </c:pt>
              </c:strCache>
            </c:strRef>
          </c:cat>
          <c:val>
            <c:numRef>
              <c:f>Visualizations!$B$84:$B$87</c:f>
              <c:numCache>
                <c:formatCode>General</c:formatCode>
                <c:ptCount val="3"/>
                <c:pt idx="0">
                  <c:v>294</c:v>
                </c:pt>
                <c:pt idx="1">
                  <c:v>589</c:v>
                </c:pt>
                <c:pt idx="2">
                  <c:v>350</c:v>
                </c:pt>
              </c:numCache>
            </c:numRef>
          </c:val>
          <c:extLst>
            <c:ext xmlns:c16="http://schemas.microsoft.com/office/drawing/2014/chart" uri="{C3380CC4-5D6E-409C-BE32-E72D297353CC}">
              <c16:uniqueId val="{00000001-6A5D-4BD0-B2A8-47021FF45EF3}"/>
            </c:ext>
          </c:extLst>
        </c:ser>
        <c:ser>
          <c:idx val="1"/>
          <c:order val="1"/>
          <c:tx>
            <c:strRef>
              <c:f>Visualizations!$C$82:$C$83</c:f>
              <c:strCache>
                <c:ptCount val="1"/>
                <c:pt idx="0">
                  <c:v>Yes</c:v>
                </c:pt>
              </c:strCache>
            </c:strRef>
          </c:tx>
          <c:spPr>
            <a:solidFill>
              <a:schemeClr val="accent2"/>
            </a:solidFill>
            <a:ln>
              <a:noFill/>
            </a:ln>
            <a:effectLst/>
          </c:spPr>
          <c:invertIfNegative val="0"/>
          <c:cat>
            <c:strRef>
              <c:f>Visualizations!$A$84:$A$87</c:f>
              <c:strCache>
                <c:ptCount val="3"/>
                <c:pt idx="0">
                  <c:v>Divorced</c:v>
                </c:pt>
                <c:pt idx="1">
                  <c:v>Married</c:v>
                </c:pt>
                <c:pt idx="2">
                  <c:v>Single</c:v>
                </c:pt>
              </c:strCache>
            </c:strRef>
          </c:cat>
          <c:val>
            <c:numRef>
              <c:f>Visualizations!$C$84:$C$87</c:f>
              <c:numCache>
                <c:formatCode>General</c:formatCode>
                <c:ptCount val="3"/>
                <c:pt idx="0">
                  <c:v>33</c:v>
                </c:pt>
                <c:pt idx="1">
                  <c:v>84</c:v>
                </c:pt>
                <c:pt idx="2">
                  <c:v>120</c:v>
                </c:pt>
              </c:numCache>
            </c:numRef>
          </c:val>
          <c:extLst>
            <c:ext xmlns:c16="http://schemas.microsoft.com/office/drawing/2014/chart" uri="{C3380CC4-5D6E-409C-BE32-E72D297353CC}">
              <c16:uniqueId val="{00000002-6A5D-4BD0-B2A8-47021FF45EF3}"/>
            </c:ext>
          </c:extLst>
        </c:ser>
        <c:dLbls>
          <c:showLegendKey val="0"/>
          <c:showVal val="0"/>
          <c:showCatName val="0"/>
          <c:showSerName val="0"/>
          <c:showPercent val="0"/>
          <c:showBubbleSize val="0"/>
        </c:dLbls>
        <c:gapWidth val="219"/>
        <c:overlap val="-27"/>
        <c:axId val="456973056"/>
        <c:axId val="456972072"/>
      </c:barChart>
      <c:catAx>
        <c:axId val="45697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72072"/>
        <c:crosses val="autoZero"/>
        <c:auto val="1"/>
        <c:lblAlgn val="ctr"/>
        <c:lblOffset val="100"/>
        <c:noMultiLvlLbl val="0"/>
      </c:catAx>
      <c:valAx>
        <c:axId val="456972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7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MonthlyIncome vs Education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7.6353501864898463E-2"/>
                  <c:y val="-0.43342425196850393"/>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200" b="1" baseline="0">
                        <a:solidFill>
                          <a:srgbClr val="FF0000"/>
                        </a:solidFill>
                      </a:rPr>
                      <a:t>Predicted monthly income = 434.64x + 5237.3</a:t>
                    </a:r>
                    <a:br>
                      <a:rPr lang="en-US" sz="1200" b="1" baseline="0">
                        <a:solidFill>
                          <a:srgbClr val="FF0000"/>
                        </a:solidFill>
                      </a:rPr>
                    </a:br>
                    <a:r>
                      <a:rPr lang="en-US" sz="1200" b="1" baseline="0">
                        <a:solidFill>
                          <a:srgbClr val="FF0000"/>
                        </a:solidFill>
                      </a:rPr>
                      <a:t>R² = 0.009</a:t>
                    </a:r>
                    <a:endParaRPr lang="en-US" sz="1200" b="1">
                      <a:solidFill>
                        <a:srgbClr val="FF0000"/>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Scatterplot!ScatterX_877B0</c:f>
              <c:numCache>
                <c:formatCode>General</c:formatCode>
                <c:ptCount val="1"/>
                <c:pt idx="0">
                  <c:v>0</c:v>
                </c:pt>
              </c:numCache>
            </c:numRef>
          </c:xVal>
          <c:yVal>
            <c:numRef>
              <c:f>Scatterplot!ScatterY_877B0</c:f>
              <c:numCache>
                <c:formatCode>General</c:formatCode>
                <c:ptCount val="1"/>
                <c:pt idx="0">
                  <c:v>0</c:v>
                </c:pt>
              </c:numCache>
            </c:numRef>
          </c:yVal>
          <c:smooth val="0"/>
          <c:extLst>
            <c:ext xmlns:c16="http://schemas.microsoft.com/office/drawing/2014/chart" uri="{C3380CC4-5D6E-409C-BE32-E72D297353CC}">
              <c16:uniqueId val="{00000001-7553-4817-950E-F4657020E4C4}"/>
            </c:ext>
          </c:extLst>
        </c:ser>
        <c:dLbls>
          <c:showLegendKey val="0"/>
          <c:showVal val="0"/>
          <c:showCatName val="0"/>
          <c:showSerName val="0"/>
          <c:showPercent val="0"/>
          <c:showBubbleSize val="0"/>
        </c:dLbls>
        <c:axId val="677346912"/>
        <c:axId val="677348880"/>
      </c:scatterChart>
      <c:valAx>
        <c:axId val="67734691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Education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7348880"/>
        <c:crosses val="autoZero"/>
        <c:crossBetween val="midCat"/>
      </c:valAx>
      <c:valAx>
        <c:axId val="6773488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MonthlyIncome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7346912"/>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Scatterplot of MonthlyIncome vs Deptartment</a:t>
            </a:r>
          </a:p>
        </c:rich>
      </c:tx>
      <c:overlay val="0"/>
      <c:spPr>
        <a:noFill/>
        <a:ln>
          <a:noFill/>
        </a:ln>
        <a:effectLst/>
      </c:spPr>
    </c:title>
    <c:autoTitleDeleted val="0"/>
    <c:plotArea>
      <c:layout>
        <c:manualLayout>
          <c:layoutTarget val="inner"/>
          <c:xMode val="edge"/>
          <c:yMode val="edge"/>
          <c:x val="0.16482677165354331"/>
          <c:y val="0.14836000000000002"/>
          <c:w val="0.8043970161624534"/>
          <c:h val="0.6789067716535433"/>
        </c:manualLayout>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6.9829050973891416E-2"/>
                  <c:y val="-0.46008913385826772"/>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050" b="1" i="0" u="none" strike="noStrike" baseline="0">
                        <a:solidFill>
                          <a:srgbClr val="FF0000"/>
                        </a:solidFill>
                        <a:effectLst/>
                      </a:rPr>
                      <a:t>Predicted monthly income </a:t>
                    </a:r>
                    <a:r>
                      <a:rPr lang="en-US" sz="1050" b="1" baseline="0">
                        <a:solidFill>
                          <a:srgbClr val="FF0000"/>
                        </a:solidFill>
                      </a:rPr>
                      <a:t> </a:t>
                    </a:r>
                    <a:r>
                      <a:rPr lang="en-US" sz="1200" b="1" baseline="0">
                        <a:solidFill>
                          <a:srgbClr val="FF0000"/>
                        </a:solidFill>
                      </a:rPr>
                      <a:t>= -641.33x + 6922.7</a:t>
                    </a:r>
                    <a:br>
                      <a:rPr lang="en-US" sz="1200" b="1" baseline="0">
                        <a:solidFill>
                          <a:srgbClr val="FF0000"/>
                        </a:solidFill>
                      </a:rPr>
                    </a:br>
                    <a:r>
                      <a:rPr lang="en-US" sz="1200" b="1" baseline="0">
                        <a:solidFill>
                          <a:srgbClr val="FF0000"/>
                        </a:solidFill>
                      </a:rPr>
                      <a:t>R² = 0.0042</a:t>
                    </a:r>
                    <a:endParaRPr lang="en-US" sz="1200" b="1">
                      <a:solidFill>
                        <a:srgbClr val="FF0000"/>
                      </a:solidFill>
                    </a:endParaRPr>
                  </a:p>
                </c:rich>
              </c:tx>
              <c:numFmt formatCode="General" sourceLinked="0"/>
              <c:spPr>
                <a:noFill/>
                <a:ln>
                  <a:noFill/>
                </a:ln>
                <a:effectLst/>
              </c:spPr>
            </c:trendlineLbl>
          </c:trendline>
          <c:xVal>
            <c:numRef>
              <c:f>Scatterplot!ScatterX_8F7F5</c:f>
              <c:numCache>
                <c:formatCode>General</c:formatCode>
                <c:ptCount val="1"/>
                <c:pt idx="0">
                  <c:v>0</c:v>
                </c:pt>
              </c:numCache>
            </c:numRef>
          </c:xVal>
          <c:yVal>
            <c:numRef>
              <c:f>Scatterplot!ScatterY_8F7F5</c:f>
              <c:numCache>
                <c:formatCode>General</c:formatCode>
                <c:ptCount val="1"/>
                <c:pt idx="0">
                  <c:v>0</c:v>
                </c:pt>
              </c:numCache>
            </c:numRef>
          </c:yVal>
          <c:smooth val="0"/>
          <c:extLst>
            <c:ext xmlns:c16="http://schemas.microsoft.com/office/drawing/2014/chart" uri="{C3380CC4-5D6E-409C-BE32-E72D297353CC}">
              <c16:uniqueId val="{00000001-B101-4B45-9804-6995726DBBC7}"/>
            </c:ext>
          </c:extLst>
        </c:ser>
        <c:dLbls>
          <c:showLegendKey val="0"/>
          <c:showVal val="0"/>
          <c:showCatName val="0"/>
          <c:showSerName val="0"/>
          <c:showPercent val="0"/>
          <c:showBubbleSize val="0"/>
        </c:dLbls>
        <c:axId val="622930376"/>
        <c:axId val="622936608"/>
      </c:scatterChart>
      <c:valAx>
        <c:axId val="62293037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Dept_R&amp;D </a:t>
                </a:r>
              </a:p>
            </c:rich>
          </c:tx>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22936608"/>
        <c:crosses val="autoZero"/>
        <c:crossBetween val="midCat"/>
      </c:valAx>
      <c:valAx>
        <c:axId val="6229366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Wins_MonthlyIncome </a:t>
                </a:r>
              </a:p>
            </c:rich>
          </c:tx>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2293037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Scatterplot of MonthlyIncome vs Dept_Sales </a:t>
            </a:r>
          </a:p>
        </c:rich>
      </c:tx>
      <c:overlay val="0"/>
      <c:spPr>
        <a:noFill/>
        <a:ln>
          <a:noFill/>
        </a:ln>
        <a:effectLst/>
      </c:sp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0.104592416079569"/>
                  <c:y val="-0.43987622047244096"/>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400" b="1" baseline="0">
                        <a:solidFill>
                          <a:srgbClr val="FF0000"/>
                        </a:solidFill>
                      </a:rPr>
                      <a:t>Predicted monthly income = 656.68x + 6304.2</a:t>
                    </a:r>
                    <a:br>
                      <a:rPr lang="en-US" sz="1400" b="1" baseline="0">
                        <a:solidFill>
                          <a:srgbClr val="FF0000"/>
                        </a:solidFill>
                      </a:rPr>
                    </a:br>
                    <a:r>
                      <a:rPr lang="en-US" sz="1400" b="1" baseline="0">
                        <a:solidFill>
                          <a:srgbClr val="FF0000"/>
                        </a:solidFill>
                      </a:rPr>
                      <a:t>R² = 0.0041</a:t>
                    </a:r>
                    <a:endParaRPr lang="en-US" sz="1400" b="1">
                      <a:solidFill>
                        <a:srgbClr val="FF0000"/>
                      </a:solidFill>
                    </a:endParaRPr>
                  </a:p>
                </c:rich>
              </c:tx>
              <c:numFmt formatCode="General" sourceLinked="0"/>
              <c:spPr>
                <a:noFill/>
                <a:ln>
                  <a:noFill/>
                </a:ln>
                <a:effectLst/>
              </c:spPr>
            </c:trendlineLbl>
          </c:trendline>
          <c:xVal>
            <c:numRef>
              <c:f>Scatterplot!ScatterX_B8DA1</c:f>
              <c:numCache>
                <c:formatCode>General</c:formatCode>
                <c:ptCount val="1"/>
                <c:pt idx="0">
                  <c:v>0</c:v>
                </c:pt>
              </c:numCache>
            </c:numRef>
          </c:xVal>
          <c:yVal>
            <c:numRef>
              <c:f>Scatterplot!ScatterY_B8DA1</c:f>
              <c:numCache>
                <c:formatCode>General</c:formatCode>
                <c:ptCount val="1"/>
                <c:pt idx="0">
                  <c:v>0</c:v>
                </c:pt>
              </c:numCache>
            </c:numRef>
          </c:yVal>
          <c:smooth val="0"/>
          <c:extLst>
            <c:ext xmlns:c16="http://schemas.microsoft.com/office/drawing/2014/chart" uri="{C3380CC4-5D6E-409C-BE32-E72D297353CC}">
              <c16:uniqueId val="{00000001-83A7-4189-AA79-D2E9B3D3987E}"/>
            </c:ext>
          </c:extLst>
        </c:ser>
        <c:dLbls>
          <c:showLegendKey val="0"/>
          <c:showVal val="0"/>
          <c:showCatName val="0"/>
          <c:showSerName val="0"/>
          <c:showPercent val="0"/>
          <c:showBubbleSize val="0"/>
        </c:dLbls>
        <c:axId val="622920536"/>
        <c:axId val="622924800"/>
      </c:scatterChart>
      <c:valAx>
        <c:axId val="6229205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Dept_Sales </a:t>
                </a:r>
              </a:p>
            </c:rich>
          </c:tx>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22924800"/>
        <c:crosses val="autoZero"/>
        <c:crossBetween val="midCat"/>
      </c:valAx>
      <c:valAx>
        <c:axId val="62292480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Wins_MonthlyIncome </a:t>
                </a:r>
              </a:p>
            </c:rich>
          </c:tx>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2292053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Scatterplot of MonthlyIncome vs years</a:t>
            </a:r>
            <a:r>
              <a:rPr lang="en-US" baseline="0">
                <a:solidFill>
                  <a:sysClr val="windowText" lastClr="000000"/>
                </a:solidFill>
              </a:rPr>
              <a:t> with current manager</a:t>
            </a:r>
            <a:endParaRPr lang="en-US">
              <a:solidFill>
                <a:sysClr val="windowText" lastClr="000000"/>
              </a:solidFill>
            </a:endParaRPr>
          </a:p>
        </c:rich>
      </c:tx>
      <c:layout>
        <c:manualLayout>
          <c:xMode val="edge"/>
          <c:yMode val="edge"/>
          <c:x val="0.12688147534189806"/>
          <c:y val="2.4E-2"/>
        </c:manualLayout>
      </c:layout>
      <c:overlay val="0"/>
      <c:spPr>
        <a:noFill/>
        <a:ln>
          <a:noFill/>
        </a:ln>
        <a:effectLst/>
      </c:sp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2.4835060091172815E-2"/>
                  <c:y val="-0.34348503937007874"/>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400" b="1" baseline="0">
                        <a:solidFill>
                          <a:srgbClr val="FF0000"/>
                        </a:solidFill>
                      </a:rPr>
                      <a:t>Predicted monthly income = 462.03x + 4607.8</a:t>
                    </a:r>
                    <a:br>
                      <a:rPr lang="en-US" sz="1400" b="1" baseline="0">
                        <a:solidFill>
                          <a:srgbClr val="FF0000"/>
                        </a:solidFill>
                      </a:rPr>
                    </a:br>
                    <a:r>
                      <a:rPr lang="en-US" sz="1400" b="1" baseline="0">
                        <a:solidFill>
                          <a:srgbClr val="FF0000"/>
                        </a:solidFill>
                      </a:rPr>
                      <a:t>R² = 0.1186</a:t>
                    </a:r>
                    <a:endParaRPr lang="en-US" sz="1400" b="1">
                      <a:solidFill>
                        <a:srgbClr val="FF0000"/>
                      </a:solidFill>
                    </a:endParaRPr>
                  </a:p>
                </c:rich>
              </c:tx>
              <c:numFmt formatCode="General" sourceLinked="0"/>
              <c:spPr>
                <a:noFill/>
                <a:ln>
                  <a:noFill/>
                </a:ln>
                <a:effectLst/>
              </c:spPr>
            </c:trendlineLbl>
          </c:trendline>
          <c:xVal>
            <c:numRef>
              <c:f>Scatterplot!ScatterX_8A8BE</c:f>
              <c:numCache>
                <c:formatCode>General</c:formatCode>
                <c:ptCount val="1"/>
                <c:pt idx="0">
                  <c:v>0</c:v>
                </c:pt>
              </c:numCache>
            </c:numRef>
          </c:xVal>
          <c:yVal>
            <c:numRef>
              <c:f>Scatterplot!ScatterY_8A8BE</c:f>
              <c:numCache>
                <c:formatCode>General</c:formatCode>
                <c:ptCount val="1"/>
                <c:pt idx="0">
                  <c:v>0</c:v>
                </c:pt>
              </c:numCache>
            </c:numRef>
          </c:yVal>
          <c:smooth val="0"/>
          <c:extLst>
            <c:ext xmlns:c16="http://schemas.microsoft.com/office/drawing/2014/chart" uri="{C3380CC4-5D6E-409C-BE32-E72D297353CC}">
              <c16:uniqueId val="{00000001-1468-42F1-A3DE-7DCAA75E5E39}"/>
            </c:ext>
          </c:extLst>
        </c:ser>
        <c:dLbls>
          <c:showLegendKey val="0"/>
          <c:showVal val="0"/>
          <c:showCatName val="0"/>
          <c:showSerName val="0"/>
          <c:showPercent val="0"/>
          <c:showBubbleSize val="0"/>
        </c:dLbls>
        <c:axId val="617032360"/>
        <c:axId val="617033672"/>
      </c:scatterChart>
      <c:valAx>
        <c:axId val="61703236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Wins_YearsWithCurrentMgr / Linear with interaction variables2_appy</a:t>
                </a:r>
              </a:p>
            </c:rich>
          </c:tx>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7033672"/>
        <c:crosses val="autoZero"/>
        <c:crossBetween val="midCat"/>
      </c:valAx>
      <c:valAx>
        <c:axId val="61703367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Wins_MonthlyIncome / Linear with interaction variables2_appy</a:t>
                </a:r>
              </a:p>
            </c:rich>
          </c:tx>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1703236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Scatterplot of MonthlyIncome vs TotalWorkingYears </a:t>
            </a:r>
          </a:p>
        </c:rich>
      </c:tx>
      <c:overlay val="0"/>
      <c:spPr>
        <a:noFill/>
        <a:ln>
          <a:noFill/>
        </a:ln>
        <a:effectLst/>
      </c:sp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0.14051512639867386"/>
                  <c:y val="-0.18276535433070867"/>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600" b="1" baseline="0">
                        <a:solidFill>
                          <a:srgbClr val="FF0000"/>
                        </a:solidFill>
                      </a:rPr>
                      <a:t>Predicted monthly income = 472x + 1184.5</a:t>
                    </a:r>
                    <a:br>
                      <a:rPr lang="en-US" sz="1600" b="1" baseline="0">
                        <a:solidFill>
                          <a:srgbClr val="FF0000"/>
                        </a:solidFill>
                      </a:rPr>
                    </a:br>
                    <a:r>
                      <a:rPr lang="en-US" sz="1600" b="1" baseline="0">
                        <a:solidFill>
                          <a:srgbClr val="FF0000"/>
                        </a:solidFill>
                      </a:rPr>
                      <a:t>R² = 0.5995</a:t>
                    </a:r>
                    <a:endParaRPr lang="en-US" sz="1600" b="1">
                      <a:solidFill>
                        <a:srgbClr val="FF0000"/>
                      </a:solidFill>
                    </a:endParaRPr>
                  </a:p>
                </c:rich>
              </c:tx>
              <c:numFmt formatCode="General" sourceLinked="0"/>
              <c:spPr>
                <a:noFill/>
                <a:ln>
                  <a:noFill/>
                </a:ln>
                <a:effectLst/>
              </c:spPr>
            </c:trendlineLbl>
          </c:trendline>
          <c:xVal>
            <c:numRef>
              <c:f>Scatterplot!ScatterX_A27C3</c:f>
              <c:numCache>
                <c:formatCode>General</c:formatCode>
                <c:ptCount val="1"/>
                <c:pt idx="0">
                  <c:v>0</c:v>
                </c:pt>
              </c:numCache>
            </c:numRef>
          </c:xVal>
          <c:yVal>
            <c:numRef>
              <c:f>Scatterplot!ScatterY_A27C3</c:f>
              <c:numCache>
                <c:formatCode>General</c:formatCode>
                <c:ptCount val="1"/>
                <c:pt idx="0">
                  <c:v>0</c:v>
                </c:pt>
              </c:numCache>
            </c:numRef>
          </c:yVal>
          <c:smooth val="0"/>
          <c:extLst>
            <c:ext xmlns:c16="http://schemas.microsoft.com/office/drawing/2014/chart" uri="{C3380CC4-5D6E-409C-BE32-E72D297353CC}">
              <c16:uniqueId val="{00000001-3295-4E37-81B9-925987E89834}"/>
            </c:ext>
          </c:extLst>
        </c:ser>
        <c:dLbls>
          <c:showLegendKey val="0"/>
          <c:showVal val="0"/>
          <c:showCatName val="0"/>
          <c:showSerName val="0"/>
          <c:showPercent val="0"/>
          <c:showBubbleSize val="0"/>
        </c:dLbls>
        <c:axId val="617035968"/>
        <c:axId val="617031704"/>
      </c:scatterChart>
      <c:valAx>
        <c:axId val="617035968"/>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Wins_TotalWorkingYears </a:t>
                </a:r>
              </a:p>
            </c:rich>
          </c:tx>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7031704"/>
        <c:crosses val="autoZero"/>
        <c:crossBetween val="midCat"/>
      </c:valAx>
      <c:valAx>
        <c:axId val="61703170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Wins_MonthlyIncome </a:t>
                </a:r>
              </a:p>
            </c:rich>
          </c:tx>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17035968"/>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ysClr val="windowText" lastClr="000000"/>
                </a:solidFill>
              </a:rPr>
              <a:t>Scatterplot of MonthlyIncome vs JobLevel </a:t>
            </a:r>
          </a:p>
        </c:rich>
      </c:tx>
      <c:overlay val="0"/>
      <c:spPr>
        <a:noFill/>
        <a:ln>
          <a:noFill/>
        </a:ln>
        <a:effectLst/>
      </c:sp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0.14265602983837547"/>
                  <c:y val="-0.15052976377952756"/>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400" b="1" baseline="0">
                        <a:solidFill>
                          <a:srgbClr val="FF0000"/>
                        </a:solidFill>
                      </a:rPr>
                      <a:t>Predicted monthly income = 4035.6x - 1825.9</a:t>
                    </a:r>
                    <a:br>
                      <a:rPr lang="en-US" sz="1400" b="1" baseline="0">
                        <a:solidFill>
                          <a:srgbClr val="FF0000"/>
                        </a:solidFill>
                      </a:rPr>
                    </a:br>
                    <a:r>
                      <a:rPr lang="en-US" sz="1400" b="1" baseline="0">
                        <a:solidFill>
                          <a:srgbClr val="FF0000"/>
                        </a:solidFill>
                      </a:rPr>
                      <a:t>R² = 0.9032</a:t>
                    </a:r>
                    <a:endParaRPr lang="en-US" sz="1400" b="1">
                      <a:solidFill>
                        <a:srgbClr val="FF0000"/>
                      </a:solidFill>
                    </a:endParaRPr>
                  </a:p>
                </c:rich>
              </c:tx>
              <c:numFmt formatCode="General" sourceLinked="0"/>
              <c:spPr>
                <a:noFill/>
                <a:ln>
                  <a:noFill/>
                </a:ln>
                <a:effectLst/>
              </c:spPr>
            </c:trendlineLbl>
          </c:trendline>
          <c:xVal>
            <c:numRef>
              <c:f>Scatterplot!ScatterX_6312C</c:f>
              <c:numCache>
                <c:formatCode>General</c:formatCode>
                <c:ptCount val="1"/>
                <c:pt idx="0">
                  <c:v>0</c:v>
                </c:pt>
              </c:numCache>
            </c:numRef>
          </c:xVal>
          <c:yVal>
            <c:numRef>
              <c:f>Scatterplot!ScatterY_6312C</c:f>
              <c:numCache>
                <c:formatCode>General</c:formatCode>
                <c:ptCount val="1"/>
                <c:pt idx="0">
                  <c:v>0</c:v>
                </c:pt>
              </c:numCache>
            </c:numRef>
          </c:yVal>
          <c:smooth val="0"/>
          <c:extLst>
            <c:ext xmlns:c16="http://schemas.microsoft.com/office/drawing/2014/chart" uri="{C3380CC4-5D6E-409C-BE32-E72D297353CC}">
              <c16:uniqueId val="{00000001-6852-40A0-B7DF-7FA74591C7AA}"/>
            </c:ext>
          </c:extLst>
        </c:ser>
        <c:dLbls>
          <c:showLegendKey val="0"/>
          <c:showVal val="0"/>
          <c:showCatName val="0"/>
          <c:showSerName val="0"/>
          <c:showPercent val="0"/>
          <c:showBubbleSize val="0"/>
        </c:dLbls>
        <c:axId val="627028224"/>
        <c:axId val="627022648"/>
      </c:scatterChart>
      <c:valAx>
        <c:axId val="627028224"/>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JobLevel </a:t>
                </a:r>
              </a:p>
            </c:rich>
          </c:tx>
          <c:overlay val="0"/>
          <c:spPr>
            <a:noFill/>
            <a:ln>
              <a:noFill/>
            </a:ln>
            <a:effectLst/>
          </c:spPr>
        </c:title>
        <c:numFmt formatCode="General"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27022648"/>
        <c:crosses val="autoZero"/>
        <c:crossBetween val="midCat"/>
      </c:valAx>
      <c:valAx>
        <c:axId val="62702264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Wins_MonthlyIncome </a:t>
                </a:r>
              </a:p>
            </c:rich>
          </c:tx>
          <c:overlay val="0"/>
          <c:spPr>
            <a:noFill/>
            <a:ln>
              <a:noFill/>
            </a:ln>
            <a:effectLst/>
          </c:spPr>
        </c:title>
        <c:numFmt formatCode="General"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27028224"/>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Attrition vs MonthlyIncome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0386137588064649"/>
                  <c:y val="-0.40020976377952755"/>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baseline="0">
                        <a:solidFill>
                          <a:schemeClr val="bg1"/>
                        </a:solidFill>
                      </a:rPr>
                      <a:t>predicted attrition = -1E-05x + 0.2425</a:t>
                    </a:r>
                    <a:br>
                      <a:rPr lang="en-US" sz="1050" b="1" baseline="0">
                        <a:solidFill>
                          <a:schemeClr val="bg1"/>
                        </a:solidFill>
                      </a:rPr>
                    </a:br>
                    <a:r>
                      <a:rPr lang="en-US" sz="1050" b="1" baseline="0">
                        <a:solidFill>
                          <a:schemeClr val="bg1"/>
                        </a:solidFill>
                      </a:rPr>
                      <a:t>R² = 0.0255</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Scatterplot!ScatterX_41A0A</c:f>
              <c:numCache>
                <c:formatCode>General</c:formatCode>
                <c:ptCount val="1"/>
                <c:pt idx="0">
                  <c:v>0</c:v>
                </c:pt>
              </c:numCache>
            </c:numRef>
          </c:xVal>
          <c:yVal>
            <c:numRef>
              <c:f>Scatterplot!ScatterY_41A0A</c:f>
              <c:numCache>
                <c:formatCode>General</c:formatCode>
                <c:ptCount val="1"/>
                <c:pt idx="0">
                  <c:v>0</c:v>
                </c:pt>
              </c:numCache>
            </c:numRef>
          </c:yVal>
          <c:smooth val="0"/>
          <c:extLst>
            <c:ext xmlns:c16="http://schemas.microsoft.com/office/drawing/2014/chart" uri="{C3380CC4-5D6E-409C-BE32-E72D297353CC}">
              <c16:uniqueId val="{00000002-F709-4211-941B-12E709A15EEB}"/>
            </c:ext>
          </c:extLst>
        </c:ser>
        <c:dLbls>
          <c:showLegendKey val="0"/>
          <c:showVal val="0"/>
          <c:showCatName val="0"/>
          <c:showSerName val="0"/>
          <c:showPercent val="0"/>
          <c:showBubbleSize val="0"/>
        </c:dLbls>
        <c:axId val="689454176"/>
        <c:axId val="689399400"/>
      </c:scatterChart>
      <c:valAx>
        <c:axId val="689454176"/>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MonthlyIncome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99400"/>
        <c:crosses val="autoZero"/>
        <c:crossBetween val="midCat"/>
      </c:valAx>
      <c:valAx>
        <c:axId val="68939940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45417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YearsSinceLastPromotion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3.4394944053046002E-3"/>
                  <c:y val="-0.39626740157480317"/>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i="0" u="none" strike="noStrike" baseline="0">
                        <a:solidFill>
                          <a:schemeClr val="bg1"/>
                        </a:solidFill>
                        <a:effectLst/>
                      </a:rPr>
                      <a:t>predicted attrition</a:t>
                    </a:r>
                    <a:r>
                      <a:rPr lang="en-US" sz="1050" b="1" baseline="0">
                        <a:solidFill>
                          <a:schemeClr val="bg1"/>
                        </a:solidFill>
                      </a:rPr>
                      <a:t> = -0.0039x + 0.1697</a:t>
                    </a:r>
                    <a:br>
                      <a:rPr lang="en-US" sz="1050" b="1" baseline="0">
                        <a:solidFill>
                          <a:schemeClr val="bg1"/>
                        </a:solidFill>
                      </a:rPr>
                    </a:br>
                    <a:r>
                      <a:rPr lang="en-US" sz="1050" b="1" baseline="0">
                        <a:solidFill>
                          <a:schemeClr val="bg1"/>
                        </a:solidFill>
                      </a:rPr>
                      <a:t>R² = 0.0011</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Scatterplot!ScatterX_B6C12</c:f>
              <c:numCache>
                <c:formatCode>General</c:formatCode>
                <c:ptCount val="1"/>
                <c:pt idx="0">
                  <c:v>0</c:v>
                </c:pt>
              </c:numCache>
            </c:numRef>
          </c:xVal>
          <c:yVal>
            <c:numRef>
              <c:f>Scatterplot!ScatterY_B6C12</c:f>
              <c:numCache>
                <c:formatCode>General</c:formatCode>
                <c:ptCount val="1"/>
                <c:pt idx="0">
                  <c:v>0</c:v>
                </c:pt>
              </c:numCache>
            </c:numRef>
          </c:yVal>
          <c:smooth val="0"/>
          <c:extLst>
            <c:ext xmlns:c16="http://schemas.microsoft.com/office/drawing/2014/chart" uri="{C3380CC4-5D6E-409C-BE32-E72D297353CC}">
              <c16:uniqueId val="{00000002-27E2-4388-98CC-D6DDE948EE22}"/>
            </c:ext>
          </c:extLst>
        </c:ser>
        <c:dLbls>
          <c:showLegendKey val="0"/>
          <c:showVal val="0"/>
          <c:showCatName val="0"/>
          <c:showSerName val="0"/>
          <c:showPercent val="0"/>
          <c:showBubbleSize val="0"/>
        </c:dLbls>
        <c:axId val="615964120"/>
        <c:axId val="615964776"/>
      </c:scatterChart>
      <c:valAx>
        <c:axId val="61596412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YearsSinceLastPromotion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5964776"/>
        <c:crosses val="autoZero"/>
        <c:crossBetween val="midCat"/>
      </c:valAx>
      <c:valAx>
        <c:axId val="61596477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596412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EnvironmentSatisfaction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1.8147741400745959E-2"/>
                  <c:y val="-0.34727055118110234"/>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i="0" u="none" strike="noStrike" baseline="0">
                        <a:solidFill>
                          <a:schemeClr val="bg1"/>
                        </a:solidFill>
                        <a:effectLst/>
                      </a:rPr>
                      <a:t>predicted attrition </a:t>
                    </a:r>
                    <a:r>
                      <a:rPr lang="en-US" sz="1050" b="1" baseline="0">
                        <a:solidFill>
                          <a:schemeClr val="bg1"/>
                        </a:solidFill>
                      </a:rPr>
                      <a:t>= -0.0348x + 0.2559</a:t>
                    </a:r>
                    <a:br>
                      <a:rPr lang="en-US" sz="1050" b="1" baseline="0">
                        <a:solidFill>
                          <a:schemeClr val="bg1"/>
                        </a:solidFill>
                      </a:rPr>
                    </a:br>
                    <a:r>
                      <a:rPr lang="en-US" sz="1050" b="1" baseline="0">
                        <a:solidFill>
                          <a:schemeClr val="bg1"/>
                        </a:solidFill>
                      </a:rPr>
                      <a:t>R² = 0.0107</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Scatterplot!ScatterX_CCFAC</c:f>
              <c:numCache>
                <c:formatCode>General</c:formatCode>
                <c:ptCount val="1"/>
                <c:pt idx="0">
                  <c:v>0</c:v>
                </c:pt>
              </c:numCache>
            </c:numRef>
          </c:xVal>
          <c:yVal>
            <c:numRef>
              <c:f>Scatterplot!ScatterY_CCFAC</c:f>
              <c:numCache>
                <c:formatCode>General</c:formatCode>
                <c:ptCount val="1"/>
                <c:pt idx="0">
                  <c:v>0</c:v>
                </c:pt>
              </c:numCache>
            </c:numRef>
          </c:yVal>
          <c:smooth val="0"/>
          <c:extLst>
            <c:ext xmlns:c16="http://schemas.microsoft.com/office/drawing/2014/chart" uri="{C3380CC4-5D6E-409C-BE32-E72D297353CC}">
              <c16:uniqueId val="{00000002-E994-4026-87FF-FC0FDF0290E0}"/>
            </c:ext>
          </c:extLst>
        </c:ser>
        <c:dLbls>
          <c:showLegendKey val="0"/>
          <c:showVal val="0"/>
          <c:showCatName val="0"/>
          <c:showSerName val="0"/>
          <c:showPercent val="0"/>
          <c:showBubbleSize val="0"/>
        </c:dLbls>
        <c:axId val="483778520"/>
        <c:axId val="483782456"/>
      </c:scatterChart>
      <c:valAx>
        <c:axId val="48377852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EnvironmentSatisfaction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782456"/>
        <c:crosses val="autoZero"/>
        <c:crossBetween val="midCat"/>
      </c:valAx>
      <c:valAx>
        <c:axId val="48378245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77852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Overtime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2.2087650227932035E-2"/>
                  <c:y val="-0.32526803149606298"/>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baseline="0">
                        <a:solidFill>
                          <a:schemeClr val="bg1"/>
                        </a:solidFill>
                      </a:rPr>
                      <a:t>predicted attrition = 0.2009x + 0.1044</a:t>
                    </a:r>
                    <a:br>
                      <a:rPr lang="en-US" sz="1050" b="1" baseline="0">
                        <a:solidFill>
                          <a:schemeClr val="bg1"/>
                        </a:solidFill>
                      </a:rPr>
                    </a:br>
                    <a:r>
                      <a:rPr lang="en-US" sz="1050" b="1" baseline="0">
                        <a:solidFill>
                          <a:schemeClr val="bg1"/>
                        </a:solidFill>
                      </a:rPr>
                      <a:t>R² = 0.0606</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Scatterplot!ScatterX_640F7</c:f>
              <c:numCache>
                <c:formatCode>General</c:formatCode>
                <c:ptCount val="1"/>
                <c:pt idx="0">
                  <c:v>0</c:v>
                </c:pt>
              </c:numCache>
            </c:numRef>
          </c:xVal>
          <c:yVal>
            <c:numRef>
              <c:f>Scatterplot!ScatterY_640F7</c:f>
              <c:numCache>
                <c:formatCode>General</c:formatCode>
                <c:ptCount val="1"/>
                <c:pt idx="0">
                  <c:v>0</c:v>
                </c:pt>
              </c:numCache>
            </c:numRef>
          </c:yVal>
          <c:smooth val="0"/>
          <c:extLst>
            <c:ext xmlns:c16="http://schemas.microsoft.com/office/drawing/2014/chart" uri="{C3380CC4-5D6E-409C-BE32-E72D297353CC}">
              <c16:uniqueId val="{00000002-7450-4F61-938B-0B9CE6600A68}"/>
            </c:ext>
          </c:extLst>
        </c:ser>
        <c:dLbls>
          <c:showLegendKey val="0"/>
          <c:showVal val="0"/>
          <c:showCatName val="0"/>
          <c:showSerName val="0"/>
          <c:showPercent val="0"/>
          <c:showBubbleSize val="0"/>
        </c:dLbls>
        <c:axId val="480693080"/>
        <c:axId val="480693408"/>
      </c:scatterChart>
      <c:valAx>
        <c:axId val="48069308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Overtimey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0693408"/>
        <c:crosses val="autoZero"/>
        <c:crossBetween val="midCat"/>
      </c:valAx>
      <c:valAx>
        <c:axId val="48069340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069308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a:t>
            </a:r>
            <a:r>
              <a:rPr lang="en-US" baseline="0"/>
              <a:t> </a:t>
            </a:r>
            <a:r>
              <a:rPr lang="en-US"/>
              <a:t>vs YearsInCurrentRole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3927351844177371"/>
                  <c:y val="-0.444691968503937"/>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baseline="0">
                        <a:solidFill>
                          <a:schemeClr val="bg1"/>
                        </a:solidFill>
                      </a:rPr>
                      <a:t>predicted attrition = -0.0163x + 0.2302</a:t>
                    </a:r>
                    <a:br>
                      <a:rPr lang="en-US" sz="1050" b="1" baseline="0">
                        <a:solidFill>
                          <a:schemeClr val="bg1"/>
                        </a:solidFill>
                      </a:rPr>
                    </a:br>
                    <a:r>
                      <a:rPr lang="en-US" sz="1050" b="1" baseline="0">
                        <a:solidFill>
                          <a:schemeClr val="bg1"/>
                        </a:solidFill>
                      </a:rPr>
                      <a:t>R² = 0.0258</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Scatterplot!ScatterX_363D4</c:f>
              <c:numCache>
                <c:formatCode>General</c:formatCode>
                <c:ptCount val="1"/>
                <c:pt idx="0">
                  <c:v>0</c:v>
                </c:pt>
              </c:numCache>
            </c:numRef>
          </c:xVal>
          <c:yVal>
            <c:numRef>
              <c:f>Scatterplot!ScatterY_363D4</c:f>
              <c:numCache>
                <c:formatCode>General</c:formatCode>
                <c:ptCount val="1"/>
                <c:pt idx="0">
                  <c:v>0</c:v>
                </c:pt>
              </c:numCache>
            </c:numRef>
          </c:yVal>
          <c:smooth val="0"/>
          <c:extLst>
            <c:ext xmlns:c16="http://schemas.microsoft.com/office/drawing/2014/chart" uri="{C3380CC4-5D6E-409C-BE32-E72D297353CC}">
              <c16:uniqueId val="{00000002-F475-418F-BAEA-6E912C601AE7}"/>
            </c:ext>
          </c:extLst>
        </c:ser>
        <c:dLbls>
          <c:showLegendKey val="0"/>
          <c:showVal val="0"/>
          <c:showCatName val="0"/>
          <c:showSerName val="0"/>
          <c:showPercent val="0"/>
          <c:showBubbleSize val="0"/>
        </c:dLbls>
        <c:axId val="689399728"/>
        <c:axId val="689390872"/>
      </c:scatterChart>
      <c:valAx>
        <c:axId val="689399728"/>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YearsInCurrentRole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90872"/>
        <c:crosses val="autoZero"/>
        <c:crossBetween val="midCat"/>
      </c:valAx>
      <c:valAx>
        <c:axId val="68939087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99728"/>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JobSatisfaction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4.1871114794861169E-3"/>
                  <c:y val="-0.35560188976377954"/>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baseline="0">
                        <a:solidFill>
                          <a:schemeClr val="bg1"/>
                        </a:solidFill>
                      </a:rPr>
                      <a:t>predicted attrition = -0.0345x + 0.2554</a:t>
                    </a:r>
                    <a:br>
                      <a:rPr lang="en-US" sz="1050" b="1" baseline="0">
                        <a:solidFill>
                          <a:schemeClr val="bg1"/>
                        </a:solidFill>
                      </a:rPr>
                    </a:br>
                    <a:r>
                      <a:rPr lang="en-US" sz="1050" b="1" baseline="0">
                        <a:solidFill>
                          <a:schemeClr val="bg1"/>
                        </a:solidFill>
                      </a:rPr>
                      <a:t>R² = 0.0107</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Scatterplot!ScatterX_E9525</c:f>
              <c:numCache>
                <c:formatCode>General</c:formatCode>
                <c:ptCount val="1"/>
                <c:pt idx="0">
                  <c:v>0</c:v>
                </c:pt>
              </c:numCache>
            </c:numRef>
          </c:xVal>
          <c:yVal>
            <c:numRef>
              <c:f>Scatterplot!ScatterY_E9525</c:f>
              <c:numCache>
                <c:formatCode>General</c:formatCode>
                <c:ptCount val="1"/>
                <c:pt idx="0">
                  <c:v>0</c:v>
                </c:pt>
              </c:numCache>
            </c:numRef>
          </c:yVal>
          <c:smooth val="0"/>
          <c:extLst>
            <c:ext xmlns:c16="http://schemas.microsoft.com/office/drawing/2014/chart" uri="{C3380CC4-5D6E-409C-BE32-E72D297353CC}">
              <c16:uniqueId val="{00000002-BD57-4085-B98F-641DD1022D91}"/>
            </c:ext>
          </c:extLst>
        </c:ser>
        <c:dLbls>
          <c:showLegendKey val="0"/>
          <c:showVal val="0"/>
          <c:showCatName val="0"/>
          <c:showSerName val="0"/>
          <c:showPercent val="0"/>
          <c:showBubbleSize val="0"/>
        </c:dLbls>
        <c:axId val="480703904"/>
        <c:axId val="480697344"/>
      </c:scatterChart>
      <c:valAx>
        <c:axId val="48070390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JobSatisfaction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0697344"/>
        <c:crosses val="autoZero"/>
        <c:crossBetween val="midCat"/>
      </c:valAx>
      <c:valAx>
        <c:axId val="48069734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070390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Marital_Married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2690571902196435"/>
          <c:y val="0.16036"/>
          <c:w val="0.83442333195192708"/>
          <c:h val="0.6789067716535433"/>
        </c:manualLayout>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1065333609614587"/>
                  <c:y val="-0.43071244094488187"/>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50" b="1" baseline="0">
                        <a:solidFill>
                          <a:schemeClr val="bg1"/>
                        </a:solidFill>
                      </a:rPr>
                      <a:t>predicted attrition = -0.0672x + 0.192</a:t>
                    </a:r>
                    <a:br>
                      <a:rPr lang="en-US" sz="1050" b="1" baseline="0">
                        <a:solidFill>
                          <a:schemeClr val="bg1"/>
                        </a:solidFill>
                      </a:rPr>
                    </a:br>
                    <a:r>
                      <a:rPr lang="en-US" sz="1050" b="1" baseline="0">
                        <a:solidFill>
                          <a:schemeClr val="bg1"/>
                        </a:solidFill>
                      </a:rPr>
                      <a:t>R² = 0.0083</a:t>
                    </a:r>
                    <a:endParaRPr lang="en-US" sz="1050" b="1">
                      <a:solidFill>
                        <a:schemeClr val="bg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Scatterplot!ScatterX_6A824</c:f>
              <c:numCache>
                <c:formatCode>General</c:formatCode>
                <c:ptCount val="1"/>
                <c:pt idx="0">
                  <c:v>0</c:v>
                </c:pt>
              </c:numCache>
            </c:numRef>
          </c:xVal>
          <c:yVal>
            <c:numRef>
              <c:f>Scatterplot!ScatterY_6A824</c:f>
              <c:numCache>
                <c:formatCode>General</c:formatCode>
                <c:ptCount val="1"/>
                <c:pt idx="0">
                  <c:v>0</c:v>
                </c:pt>
              </c:numCache>
            </c:numRef>
          </c:yVal>
          <c:smooth val="0"/>
          <c:extLst>
            <c:ext xmlns:c16="http://schemas.microsoft.com/office/drawing/2014/chart" uri="{C3380CC4-5D6E-409C-BE32-E72D297353CC}">
              <c16:uniqueId val="{00000002-C432-4B65-BE6A-4068F47CDBDF}"/>
            </c:ext>
          </c:extLst>
        </c:ser>
        <c:dLbls>
          <c:showLegendKey val="0"/>
          <c:showVal val="0"/>
          <c:showCatName val="0"/>
          <c:showSerName val="0"/>
          <c:showPercent val="0"/>
          <c:showBubbleSize val="0"/>
        </c:dLbls>
        <c:axId val="736222736"/>
        <c:axId val="736214864"/>
      </c:scatterChart>
      <c:valAx>
        <c:axId val="736222736"/>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Marital_Married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214864"/>
        <c:crosses val="autoZero"/>
        <c:crossBetween val="midCat"/>
      </c:valAx>
      <c:valAx>
        <c:axId val="73621486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a:t>
                </a:r>
              </a:p>
            </c:rich>
          </c:tx>
          <c:layout>
            <c:manualLayout>
              <c:xMode val="edge"/>
              <c:yMode val="edge"/>
              <c:x val="3.9473684210526314E-2"/>
              <c:y val="0.2260733858267716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22273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Scatterplot of Attrition vs BusinessTravel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Scatterplot!ScatterX_9160F</c:f>
              <c:numCache>
                <c:formatCode>General</c:formatCode>
                <c:ptCount val="1"/>
                <c:pt idx="0">
                  <c:v>0</c:v>
                </c:pt>
              </c:numCache>
            </c:numRef>
          </c:xVal>
          <c:yVal>
            <c:numRef>
              <c:f>Scatterplot!ScatterY_9160F</c:f>
              <c:numCache>
                <c:formatCode>General</c:formatCode>
                <c:ptCount val="1"/>
                <c:pt idx="0">
                  <c:v>0</c:v>
                </c:pt>
              </c:numCache>
            </c:numRef>
          </c:yVal>
          <c:smooth val="0"/>
          <c:extLst>
            <c:ext xmlns:c16="http://schemas.microsoft.com/office/drawing/2014/chart" uri="{C3380CC4-5D6E-409C-BE32-E72D297353CC}">
              <c16:uniqueId val="{00000001-7FC0-41C6-AFC0-F7C37AF11888}"/>
            </c:ext>
          </c:extLst>
        </c:ser>
        <c:dLbls>
          <c:showLegendKey val="0"/>
          <c:showVal val="0"/>
          <c:showCatName val="0"/>
          <c:showSerName val="0"/>
          <c:showPercent val="0"/>
          <c:showBubbleSize val="0"/>
        </c:dLbls>
        <c:axId val="736206664"/>
        <c:axId val="736210928"/>
      </c:scatterChart>
      <c:valAx>
        <c:axId val="73620666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BusinessTravel_Frequently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210928"/>
        <c:crosses val="autoZero"/>
        <c:crossBetween val="midCat"/>
      </c:valAx>
      <c:valAx>
        <c:axId val="73621092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Attrition_</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20666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a:pPr>
            <a:r>
              <a:rPr lang="en-US"/>
              <a:t>Scatterplot of Attrition_yes vs Wins_MonthlyIncome of Linear with interaction variables2_appy</a:t>
            </a:r>
          </a:p>
        </c:rich>
      </c:tx>
      <c:overlay val="0"/>
    </c:title>
    <c:autoTitleDeleted val="0"/>
    <c:plotArea>
      <c:layout/>
      <c:scatterChart>
        <c:scatterStyle val="lineMarker"/>
        <c:varyColors val="0"/>
        <c:ser>
          <c:idx val="0"/>
          <c:order val="0"/>
          <c:spPr>
            <a:ln w="19050">
              <a:noFill/>
            </a:ln>
          </c:spPr>
          <c:marker>
            <c:symbol val="circle"/>
            <c:size val="3"/>
            <c:spPr>
              <a:noFill/>
              <a:ln>
                <a:solidFill>
                  <a:srgbClr val="333399"/>
                </a:solidFill>
                <a:prstDash val="solid"/>
              </a:ln>
            </c:spPr>
          </c:marker>
          <c:xVal>
            <c:numRef>
              <c:f>[0]!ScatterX_A70F</c:f>
              <c:numCache>
                <c:formatCode>General</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1382.46</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19626.310000000001</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1382.46</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19626.310000000001</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1382.46</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1382.46</c:v>
                </c:pt>
                <c:pt idx="514">
                  <c:v>3348</c:v>
                </c:pt>
                <c:pt idx="515">
                  <c:v>1382.46</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19626.310000000001</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1382.46</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19626.310000000001</c:v>
                </c:pt>
                <c:pt idx="747">
                  <c:v>6861</c:v>
                </c:pt>
                <c:pt idx="748">
                  <c:v>4969</c:v>
                </c:pt>
                <c:pt idx="749">
                  <c:v>19626.310000000001</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1382.46</c:v>
                </c:pt>
                <c:pt idx="765">
                  <c:v>2821</c:v>
                </c:pt>
                <c:pt idx="766">
                  <c:v>19237</c:v>
                </c:pt>
                <c:pt idx="767">
                  <c:v>4107</c:v>
                </c:pt>
                <c:pt idx="768">
                  <c:v>8396</c:v>
                </c:pt>
                <c:pt idx="769">
                  <c:v>2007</c:v>
                </c:pt>
                <c:pt idx="770">
                  <c:v>19626.310000000001</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19626.310000000001</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19626.310000000001</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1382.46</c:v>
                </c:pt>
                <c:pt idx="911">
                  <c:v>1382.46</c:v>
                </c:pt>
                <c:pt idx="912">
                  <c:v>2875</c:v>
                </c:pt>
                <c:pt idx="913">
                  <c:v>18824</c:v>
                </c:pt>
                <c:pt idx="914">
                  <c:v>13577</c:v>
                </c:pt>
                <c:pt idx="915">
                  <c:v>2625</c:v>
                </c:pt>
                <c:pt idx="916">
                  <c:v>18789</c:v>
                </c:pt>
                <c:pt idx="917">
                  <c:v>4538</c:v>
                </c:pt>
                <c:pt idx="918">
                  <c:v>19626.310000000001</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19626.310000000001</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19626.310000000001</c:v>
                </c:pt>
                <c:pt idx="1010">
                  <c:v>14732</c:v>
                </c:pt>
                <c:pt idx="1011">
                  <c:v>9278</c:v>
                </c:pt>
                <c:pt idx="1012">
                  <c:v>1382.46</c:v>
                </c:pt>
                <c:pt idx="1013">
                  <c:v>4779</c:v>
                </c:pt>
                <c:pt idx="1014">
                  <c:v>16422</c:v>
                </c:pt>
                <c:pt idx="1015">
                  <c:v>2996</c:v>
                </c:pt>
                <c:pt idx="1016">
                  <c:v>1382.46</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1382.46</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19626.310000000001</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19626.310000000001</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19626.310000000001</c:v>
                </c:pt>
                <c:pt idx="1332">
                  <c:v>2439</c:v>
                </c:pt>
                <c:pt idx="1333">
                  <c:v>7314</c:v>
                </c:pt>
                <c:pt idx="1334">
                  <c:v>4774</c:v>
                </c:pt>
                <c:pt idx="1335">
                  <c:v>3902</c:v>
                </c:pt>
                <c:pt idx="1336">
                  <c:v>2662</c:v>
                </c:pt>
                <c:pt idx="1337">
                  <c:v>2856</c:v>
                </c:pt>
                <c:pt idx="1338">
                  <c:v>1382.46</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1382.46</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19626.310000000001</c:v>
                </c:pt>
                <c:pt idx="1402">
                  <c:v>1382.46</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[0]!ScatterY_A70F</c:f>
              <c:numCache>
                <c:formatCode>General</c:formatCode>
                <c:ptCount val="1470"/>
                <c:pt idx="0">
                  <c:v>1</c:v>
                </c:pt>
                <c:pt idx="1">
                  <c:v>0</c:v>
                </c:pt>
                <c:pt idx="2">
                  <c:v>1</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1</c:v>
                </c:pt>
                <c:pt idx="22">
                  <c:v>0</c:v>
                </c:pt>
                <c:pt idx="23">
                  <c:v>0</c:v>
                </c:pt>
                <c:pt idx="24">
                  <c:v>1</c:v>
                </c:pt>
                <c:pt idx="25">
                  <c:v>0</c:v>
                </c:pt>
                <c:pt idx="26">
                  <c:v>1</c:v>
                </c:pt>
                <c:pt idx="27">
                  <c:v>0</c:v>
                </c:pt>
                <c:pt idx="28">
                  <c:v>0</c:v>
                </c:pt>
                <c:pt idx="29">
                  <c:v>0</c:v>
                </c:pt>
                <c:pt idx="30">
                  <c:v>0</c:v>
                </c:pt>
                <c:pt idx="31">
                  <c:v>0</c:v>
                </c:pt>
                <c:pt idx="32">
                  <c:v>0</c:v>
                </c:pt>
                <c:pt idx="33">
                  <c:v>1</c:v>
                </c:pt>
                <c:pt idx="34">
                  <c:v>1</c:v>
                </c:pt>
                <c:pt idx="35">
                  <c:v>0</c:v>
                </c:pt>
                <c:pt idx="36">
                  <c:v>1</c:v>
                </c:pt>
                <c:pt idx="37">
                  <c:v>0</c:v>
                </c:pt>
                <c:pt idx="38">
                  <c:v>0</c:v>
                </c:pt>
                <c:pt idx="39">
                  <c:v>0</c:v>
                </c:pt>
                <c:pt idx="40">
                  <c:v>0</c:v>
                </c:pt>
                <c:pt idx="41">
                  <c:v>0</c:v>
                </c:pt>
                <c:pt idx="42">
                  <c:v>1</c:v>
                </c:pt>
                <c:pt idx="43">
                  <c:v>0</c:v>
                </c:pt>
                <c:pt idx="44">
                  <c:v>0</c:v>
                </c:pt>
                <c:pt idx="45">
                  <c:v>1</c:v>
                </c:pt>
                <c:pt idx="46">
                  <c:v>0</c:v>
                </c:pt>
                <c:pt idx="47">
                  <c:v>0</c:v>
                </c:pt>
                <c:pt idx="48">
                  <c:v>0</c:v>
                </c:pt>
                <c:pt idx="49">
                  <c:v>0</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0</c:v>
                </c:pt>
                <c:pt idx="91">
                  <c:v>0</c:v>
                </c:pt>
                <c:pt idx="92">
                  <c:v>0</c:v>
                </c:pt>
                <c:pt idx="93">
                  <c:v>0</c:v>
                </c:pt>
                <c:pt idx="94">
                  <c:v>0</c:v>
                </c:pt>
                <c:pt idx="95">
                  <c:v>0</c:v>
                </c:pt>
                <c:pt idx="96">
                  <c:v>0</c:v>
                </c:pt>
                <c:pt idx="97">
                  <c:v>0</c:v>
                </c:pt>
                <c:pt idx="98">
                  <c:v>0</c:v>
                </c:pt>
                <c:pt idx="99">
                  <c:v>0</c:v>
                </c:pt>
                <c:pt idx="100">
                  <c:v>1</c:v>
                </c:pt>
                <c:pt idx="101">
                  <c:v>0</c:v>
                </c:pt>
                <c:pt idx="102">
                  <c:v>1</c:v>
                </c:pt>
                <c:pt idx="103">
                  <c:v>0</c:v>
                </c:pt>
                <c:pt idx="104">
                  <c:v>0</c:v>
                </c:pt>
                <c:pt idx="105">
                  <c:v>0</c:v>
                </c:pt>
                <c:pt idx="106">
                  <c:v>0</c:v>
                </c:pt>
                <c:pt idx="107">
                  <c:v>1</c:v>
                </c:pt>
                <c:pt idx="108">
                  <c:v>0</c:v>
                </c:pt>
                <c:pt idx="109">
                  <c:v>0</c:v>
                </c:pt>
                <c:pt idx="110">
                  <c:v>0</c:v>
                </c:pt>
                <c:pt idx="111">
                  <c:v>1</c:v>
                </c:pt>
                <c:pt idx="112">
                  <c:v>0</c:v>
                </c:pt>
                <c:pt idx="113">
                  <c:v>0</c:v>
                </c:pt>
                <c:pt idx="114">
                  <c:v>0</c:v>
                </c:pt>
                <c:pt idx="115">
                  <c:v>0</c:v>
                </c:pt>
                <c:pt idx="116">
                  <c:v>0</c:v>
                </c:pt>
                <c:pt idx="117">
                  <c:v>0</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1</c:v>
                </c:pt>
                <c:pt idx="133">
                  <c:v>0</c:v>
                </c:pt>
                <c:pt idx="134">
                  <c:v>0</c:v>
                </c:pt>
                <c:pt idx="135">
                  <c:v>0</c:v>
                </c:pt>
                <c:pt idx="136">
                  <c:v>1</c:v>
                </c:pt>
                <c:pt idx="137">
                  <c:v>0</c:v>
                </c:pt>
                <c:pt idx="138">
                  <c:v>0</c:v>
                </c:pt>
                <c:pt idx="139">
                  <c:v>0</c:v>
                </c:pt>
                <c:pt idx="140">
                  <c:v>1</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0</c:v>
                </c:pt>
                <c:pt idx="180">
                  <c:v>0</c:v>
                </c:pt>
                <c:pt idx="181">
                  <c:v>0</c:v>
                </c:pt>
                <c:pt idx="182">
                  <c:v>1</c:v>
                </c:pt>
                <c:pt idx="183">
                  <c:v>0</c:v>
                </c:pt>
                <c:pt idx="184">
                  <c:v>0</c:v>
                </c:pt>
                <c:pt idx="185">
                  <c:v>0</c:v>
                </c:pt>
                <c:pt idx="186">
                  <c:v>0</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1</c:v>
                </c:pt>
                <c:pt idx="205">
                  <c:v>1</c:v>
                </c:pt>
                <c:pt idx="206">
                  <c:v>0</c:v>
                </c:pt>
                <c:pt idx="207">
                  <c:v>0</c:v>
                </c:pt>
                <c:pt idx="208">
                  <c:v>0</c:v>
                </c:pt>
                <c:pt idx="209">
                  <c:v>0</c:v>
                </c:pt>
                <c:pt idx="210">
                  <c:v>1</c:v>
                </c:pt>
                <c:pt idx="211">
                  <c:v>0</c:v>
                </c:pt>
                <c:pt idx="212">
                  <c:v>0</c:v>
                </c:pt>
                <c:pt idx="213">
                  <c:v>0</c:v>
                </c:pt>
                <c:pt idx="214">
                  <c:v>1</c:v>
                </c:pt>
                <c:pt idx="215">
                  <c:v>0</c:v>
                </c:pt>
                <c:pt idx="216">
                  <c:v>1</c:v>
                </c:pt>
                <c:pt idx="217">
                  <c:v>1</c:v>
                </c:pt>
                <c:pt idx="218">
                  <c:v>0</c:v>
                </c:pt>
                <c:pt idx="219">
                  <c:v>0</c:v>
                </c:pt>
                <c:pt idx="220">
                  <c:v>0</c:v>
                </c:pt>
                <c:pt idx="221">
                  <c:v>0</c:v>
                </c:pt>
                <c:pt idx="222">
                  <c:v>0</c:v>
                </c:pt>
                <c:pt idx="223">
                  <c:v>0</c:v>
                </c:pt>
                <c:pt idx="224">
                  <c:v>0</c:v>
                </c:pt>
                <c:pt idx="225">
                  <c:v>0</c:v>
                </c:pt>
                <c:pt idx="226">
                  <c:v>0</c:v>
                </c:pt>
                <c:pt idx="227">
                  <c:v>0</c:v>
                </c:pt>
                <c:pt idx="228">
                  <c:v>0</c:v>
                </c:pt>
                <c:pt idx="229">
                  <c:v>1</c:v>
                </c:pt>
                <c:pt idx="230">
                  <c:v>0</c:v>
                </c:pt>
                <c:pt idx="231">
                  <c:v>0</c:v>
                </c:pt>
                <c:pt idx="232">
                  <c:v>0</c:v>
                </c:pt>
                <c:pt idx="233">
                  <c:v>0</c:v>
                </c:pt>
                <c:pt idx="234">
                  <c:v>1</c:v>
                </c:pt>
                <c:pt idx="235">
                  <c:v>0</c:v>
                </c:pt>
                <c:pt idx="236">
                  <c:v>1</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0</c:v>
                </c:pt>
                <c:pt idx="255">
                  <c:v>0</c:v>
                </c:pt>
                <c:pt idx="256">
                  <c:v>0</c:v>
                </c:pt>
                <c:pt idx="257">
                  <c:v>0</c:v>
                </c:pt>
                <c:pt idx="258">
                  <c:v>0</c:v>
                </c:pt>
                <c:pt idx="259">
                  <c:v>1</c:v>
                </c:pt>
                <c:pt idx="260">
                  <c:v>0</c:v>
                </c:pt>
                <c:pt idx="261">
                  <c:v>0</c:v>
                </c:pt>
                <c:pt idx="262">
                  <c:v>0</c:v>
                </c:pt>
                <c:pt idx="263">
                  <c:v>0</c:v>
                </c:pt>
                <c:pt idx="264">
                  <c:v>1</c:v>
                </c:pt>
                <c:pt idx="265">
                  <c:v>0</c:v>
                </c:pt>
                <c:pt idx="266">
                  <c:v>0</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1</c:v>
                </c:pt>
                <c:pt idx="287">
                  <c:v>0</c:v>
                </c:pt>
                <c:pt idx="288">
                  <c:v>1</c:v>
                </c:pt>
                <c:pt idx="289">
                  <c:v>0</c:v>
                </c:pt>
                <c:pt idx="290">
                  <c:v>0</c:v>
                </c:pt>
                <c:pt idx="291">
                  <c:v>0</c:v>
                </c:pt>
                <c:pt idx="292">
                  <c:v>0</c:v>
                </c:pt>
                <c:pt idx="293">
                  <c:v>1</c:v>
                </c:pt>
                <c:pt idx="294">
                  <c:v>0</c:v>
                </c:pt>
                <c:pt idx="295">
                  <c:v>0</c:v>
                </c:pt>
                <c:pt idx="296">
                  <c:v>1</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1</c:v>
                </c:pt>
                <c:pt idx="318">
                  <c:v>0</c:v>
                </c:pt>
                <c:pt idx="319">
                  <c:v>0</c:v>
                </c:pt>
                <c:pt idx="320">
                  <c:v>0</c:v>
                </c:pt>
                <c:pt idx="321">
                  <c:v>0</c:v>
                </c:pt>
                <c:pt idx="322">
                  <c:v>0</c:v>
                </c:pt>
                <c:pt idx="323">
                  <c:v>1</c:v>
                </c:pt>
                <c:pt idx="324">
                  <c:v>0</c:v>
                </c:pt>
                <c:pt idx="325">
                  <c:v>0</c:v>
                </c:pt>
                <c:pt idx="326">
                  <c:v>0</c:v>
                </c:pt>
                <c:pt idx="327">
                  <c:v>1</c:v>
                </c:pt>
                <c:pt idx="328">
                  <c:v>0</c:v>
                </c:pt>
                <c:pt idx="329">
                  <c:v>0</c:v>
                </c:pt>
                <c:pt idx="330">
                  <c:v>0</c:v>
                </c:pt>
                <c:pt idx="331">
                  <c:v>0</c:v>
                </c:pt>
                <c:pt idx="332">
                  <c:v>0</c:v>
                </c:pt>
                <c:pt idx="333">
                  <c:v>0</c:v>
                </c:pt>
                <c:pt idx="334">
                  <c:v>0</c:v>
                </c:pt>
                <c:pt idx="335">
                  <c:v>0</c:v>
                </c:pt>
                <c:pt idx="336">
                  <c:v>1</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1</c:v>
                </c:pt>
                <c:pt idx="364">
                  <c:v>0</c:v>
                </c:pt>
                <c:pt idx="365">
                  <c:v>0</c:v>
                </c:pt>
                <c:pt idx="366">
                  <c:v>1</c:v>
                </c:pt>
                <c:pt idx="367">
                  <c:v>0</c:v>
                </c:pt>
                <c:pt idx="368">
                  <c:v>1</c:v>
                </c:pt>
                <c:pt idx="369">
                  <c:v>0</c:v>
                </c:pt>
                <c:pt idx="370">
                  <c:v>1</c:v>
                </c:pt>
                <c:pt idx="371">
                  <c:v>0</c:v>
                </c:pt>
                <c:pt idx="372">
                  <c:v>0</c:v>
                </c:pt>
                <c:pt idx="373">
                  <c:v>0</c:v>
                </c:pt>
                <c:pt idx="374">
                  <c:v>0</c:v>
                </c:pt>
                <c:pt idx="375">
                  <c:v>0</c:v>
                </c:pt>
                <c:pt idx="376">
                  <c:v>0</c:v>
                </c:pt>
                <c:pt idx="377">
                  <c:v>0</c:v>
                </c:pt>
                <c:pt idx="378">
                  <c:v>1</c:v>
                </c:pt>
                <c:pt idx="379">
                  <c:v>0</c:v>
                </c:pt>
                <c:pt idx="380">
                  <c:v>0</c:v>
                </c:pt>
                <c:pt idx="381">
                  <c:v>0</c:v>
                </c:pt>
                <c:pt idx="382">
                  <c:v>1</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1</c:v>
                </c:pt>
                <c:pt idx="415">
                  <c:v>1</c:v>
                </c:pt>
                <c:pt idx="416">
                  <c:v>0</c:v>
                </c:pt>
                <c:pt idx="417">
                  <c:v>0</c:v>
                </c:pt>
                <c:pt idx="418">
                  <c:v>0</c:v>
                </c:pt>
                <c:pt idx="419">
                  <c:v>0</c:v>
                </c:pt>
                <c:pt idx="420">
                  <c:v>0</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1</c:v>
                </c:pt>
                <c:pt idx="436">
                  <c:v>1</c:v>
                </c:pt>
                <c:pt idx="437">
                  <c:v>0</c:v>
                </c:pt>
                <c:pt idx="438">
                  <c:v>0</c:v>
                </c:pt>
                <c:pt idx="439">
                  <c:v>1</c:v>
                </c:pt>
                <c:pt idx="440">
                  <c:v>1</c:v>
                </c:pt>
                <c:pt idx="441">
                  <c:v>0</c:v>
                </c:pt>
                <c:pt idx="442">
                  <c:v>0</c:v>
                </c:pt>
                <c:pt idx="443">
                  <c:v>1</c:v>
                </c:pt>
                <c:pt idx="444">
                  <c:v>0</c:v>
                </c:pt>
                <c:pt idx="445">
                  <c:v>0</c:v>
                </c:pt>
                <c:pt idx="446">
                  <c:v>0</c:v>
                </c:pt>
                <c:pt idx="447">
                  <c:v>0</c:v>
                </c:pt>
                <c:pt idx="448">
                  <c:v>0</c:v>
                </c:pt>
                <c:pt idx="449">
                  <c:v>0</c:v>
                </c:pt>
                <c:pt idx="450">
                  <c:v>0</c:v>
                </c:pt>
                <c:pt idx="451">
                  <c:v>0</c:v>
                </c:pt>
                <c:pt idx="452">
                  <c:v>0</c:v>
                </c:pt>
                <c:pt idx="453">
                  <c:v>1</c:v>
                </c:pt>
                <c:pt idx="454">
                  <c:v>0</c:v>
                </c:pt>
                <c:pt idx="455">
                  <c:v>0</c:v>
                </c:pt>
                <c:pt idx="456">
                  <c:v>0</c:v>
                </c:pt>
                <c:pt idx="457">
                  <c:v>1</c:v>
                </c:pt>
                <c:pt idx="458">
                  <c:v>0</c:v>
                </c:pt>
                <c:pt idx="459">
                  <c:v>0</c:v>
                </c:pt>
                <c:pt idx="460">
                  <c:v>0</c:v>
                </c:pt>
                <c:pt idx="461">
                  <c:v>0</c:v>
                </c:pt>
                <c:pt idx="462">
                  <c:v>0</c:v>
                </c:pt>
                <c:pt idx="463">
                  <c:v>1</c:v>
                </c:pt>
                <c:pt idx="464">
                  <c:v>0</c:v>
                </c:pt>
                <c:pt idx="465">
                  <c:v>0</c:v>
                </c:pt>
                <c:pt idx="466">
                  <c:v>0</c:v>
                </c:pt>
                <c:pt idx="467">
                  <c:v>0</c:v>
                </c:pt>
                <c:pt idx="468">
                  <c:v>0</c:v>
                </c:pt>
                <c:pt idx="469">
                  <c:v>1</c:v>
                </c:pt>
                <c:pt idx="470">
                  <c:v>0</c:v>
                </c:pt>
                <c:pt idx="471">
                  <c:v>0</c:v>
                </c:pt>
                <c:pt idx="472">
                  <c:v>0</c:v>
                </c:pt>
                <c:pt idx="473">
                  <c:v>0</c:v>
                </c:pt>
                <c:pt idx="474">
                  <c:v>0</c:v>
                </c:pt>
                <c:pt idx="475">
                  <c:v>0</c:v>
                </c:pt>
                <c:pt idx="476">
                  <c:v>0</c:v>
                </c:pt>
                <c:pt idx="477">
                  <c:v>0</c:v>
                </c:pt>
                <c:pt idx="478">
                  <c:v>0</c:v>
                </c:pt>
                <c:pt idx="479">
                  <c:v>1</c:v>
                </c:pt>
                <c:pt idx="480">
                  <c:v>1</c:v>
                </c:pt>
                <c:pt idx="481">
                  <c:v>0</c:v>
                </c:pt>
                <c:pt idx="482">
                  <c:v>1</c:v>
                </c:pt>
                <c:pt idx="483">
                  <c:v>0</c:v>
                </c:pt>
                <c:pt idx="484">
                  <c:v>0</c:v>
                </c:pt>
                <c:pt idx="485">
                  <c:v>0</c:v>
                </c:pt>
                <c:pt idx="486">
                  <c:v>0</c:v>
                </c:pt>
                <c:pt idx="487">
                  <c:v>0</c:v>
                </c:pt>
                <c:pt idx="488">
                  <c:v>0</c:v>
                </c:pt>
                <c:pt idx="489">
                  <c:v>0</c:v>
                </c:pt>
                <c:pt idx="490">
                  <c:v>0</c:v>
                </c:pt>
                <c:pt idx="491">
                  <c:v>0</c:v>
                </c:pt>
                <c:pt idx="492">
                  <c:v>0</c:v>
                </c:pt>
                <c:pt idx="493">
                  <c:v>0</c:v>
                </c:pt>
                <c:pt idx="494">
                  <c:v>0</c:v>
                </c:pt>
                <c:pt idx="495">
                  <c:v>1</c:v>
                </c:pt>
                <c:pt idx="496">
                  <c:v>0</c:v>
                </c:pt>
                <c:pt idx="497">
                  <c:v>0</c:v>
                </c:pt>
                <c:pt idx="498">
                  <c:v>0</c:v>
                </c:pt>
                <c:pt idx="499">
                  <c:v>0</c:v>
                </c:pt>
                <c:pt idx="500">
                  <c:v>0</c:v>
                </c:pt>
                <c:pt idx="501">
                  <c:v>0</c:v>
                </c:pt>
                <c:pt idx="502">
                  <c:v>0</c:v>
                </c:pt>
                <c:pt idx="503">
                  <c:v>0</c:v>
                </c:pt>
                <c:pt idx="504">
                  <c:v>1</c:v>
                </c:pt>
                <c:pt idx="505">
                  <c:v>0</c:v>
                </c:pt>
                <c:pt idx="506">
                  <c:v>0</c:v>
                </c:pt>
                <c:pt idx="507">
                  <c:v>0</c:v>
                </c:pt>
                <c:pt idx="508">
                  <c:v>0</c:v>
                </c:pt>
                <c:pt idx="509">
                  <c:v>0</c:v>
                </c:pt>
                <c:pt idx="510">
                  <c:v>0</c:v>
                </c:pt>
                <c:pt idx="511">
                  <c:v>0</c:v>
                </c:pt>
                <c:pt idx="512">
                  <c:v>0</c:v>
                </c:pt>
                <c:pt idx="513">
                  <c:v>1</c:v>
                </c:pt>
                <c:pt idx="514">
                  <c:v>1</c:v>
                </c:pt>
                <c:pt idx="515">
                  <c:v>0</c:v>
                </c:pt>
                <c:pt idx="516">
                  <c:v>0</c:v>
                </c:pt>
                <c:pt idx="517">
                  <c:v>0</c:v>
                </c:pt>
                <c:pt idx="518">
                  <c:v>0</c:v>
                </c:pt>
                <c:pt idx="519">
                  <c:v>0</c:v>
                </c:pt>
                <c:pt idx="520">
                  <c:v>0</c:v>
                </c:pt>
                <c:pt idx="521">
                  <c:v>0</c:v>
                </c:pt>
                <c:pt idx="522">
                  <c:v>0</c:v>
                </c:pt>
                <c:pt idx="523">
                  <c:v>0</c:v>
                </c:pt>
                <c:pt idx="524">
                  <c:v>0</c:v>
                </c:pt>
                <c:pt idx="525">
                  <c:v>1</c:v>
                </c:pt>
                <c:pt idx="526">
                  <c:v>0</c:v>
                </c:pt>
                <c:pt idx="527">
                  <c:v>0</c:v>
                </c:pt>
                <c:pt idx="528">
                  <c:v>1</c:v>
                </c:pt>
                <c:pt idx="529">
                  <c:v>0</c:v>
                </c:pt>
                <c:pt idx="530">
                  <c:v>0</c:v>
                </c:pt>
                <c:pt idx="531">
                  <c:v>0</c:v>
                </c:pt>
                <c:pt idx="532">
                  <c:v>0</c:v>
                </c:pt>
                <c:pt idx="533">
                  <c:v>0</c:v>
                </c:pt>
                <c:pt idx="534">
                  <c:v>0</c:v>
                </c:pt>
                <c:pt idx="535">
                  <c:v>0</c:v>
                </c:pt>
                <c:pt idx="536">
                  <c:v>0</c:v>
                </c:pt>
                <c:pt idx="537">
                  <c:v>0</c:v>
                </c:pt>
                <c:pt idx="538">
                  <c:v>0</c:v>
                </c:pt>
                <c:pt idx="539">
                  <c:v>0</c:v>
                </c:pt>
                <c:pt idx="540">
                  <c:v>1</c:v>
                </c:pt>
                <c:pt idx="541">
                  <c:v>0</c:v>
                </c:pt>
                <c:pt idx="542">
                  <c:v>0</c:v>
                </c:pt>
                <c:pt idx="543">
                  <c:v>0</c:v>
                </c:pt>
                <c:pt idx="544">
                  <c:v>0</c:v>
                </c:pt>
                <c:pt idx="545">
                  <c:v>0</c:v>
                </c:pt>
                <c:pt idx="546">
                  <c:v>0</c:v>
                </c:pt>
                <c:pt idx="547">
                  <c:v>1</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1</c:v>
                </c:pt>
                <c:pt idx="563">
                  <c:v>0</c:v>
                </c:pt>
                <c:pt idx="564">
                  <c:v>0</c:v>
                </c:pt>
                <c:pt idx="565">
                  <c:v>0</c:v>
                </c:pt>
                <c:pt idx="566">
                  <c:v>1</c:v>
                </c:pt>
                <c:pt idx="567">
                  <c:v>0</c:v>
                </c:pt>
                <c:pt idx="568">
                  <c:v>1</c:v>
                </c:pt>
                <c:pt idx="569">
                  <c:v>0</c:v>
                </c:pt>
                <c:pt idx="570">
                  <c:v>0</c:v>
                </c:pt>
                <c:pt idx="571">
                  <c:v>0</c:v>
                </c:pt>
                <c:pt idx="572">
                  <c:v>0</c:v>
                </c:pt>
                <c:pt idx="573">
                  <c:v>1</c:v>
                </c:pt>
                <c:pt idx="574">
                  <c:v>0</c:v>
                </c:pt>
                <c:pt idx="575">
                  <c:v>0</c:v>
                </c:pt>
                <c:pt idx="576">
                  <c:v>0</c:v>
                </c:pt>
                <c:pt idx="577">
                  <c:v>0</c:v>
                </c:pt>
                <c:pt idx="578">
                  <c:v>0</c:v>
                </c:pt>
                <c:pt idx="579">
                  <c:v>0</c:v>
                </c:pt>
                <c:pt idx="580">
                  <c:v>0</c:v>
                </c:pt>
                <c:pt idx="581">
                  <c:v>0</c:v>
                </c:pt>
                <c:pt idx="582">
                  <c:v>0</c:v>
                </c:pt>
                <c:pt idx="583">
                  <c:v>0</c:v>
                </c:pt>
                <c:pt idx="584">
                  <c:v>0</c:v>
                </c:pt>
                <c:pt idx="585">
                  <c:v>1</c:v>
                </c:pt>
                <c:pt idx="586">
                  <c:v>0</c:v>
                </c:pt>
                <c:pt idx="587">
                  <c:v>0</c:v>
                </c:pt>
                <c:pt idx="588">
                  <c:v>0</c:v>
                </c:pt>
                <c:pt idx="589">
                  <c:v>1</c:v>
                </c:pt>
                <c:pt idx="590">
                  <c:v>0</c:v>
                </c:pt>
                <c:pt idx="591">
                  <c:v>1</c:v>
                </c:pt>
                <c:pt idx="592">
                  <c:v>0</c:v>
                </c:pt>
                <c:pt idx="593">
                  <c:v>0</c:v>
                </c:pt>
                <c:pt idx="594">
                  <c:v>0</c:v>
                </c:pt>
                <c:pt idx="595">
                  <c:v>1</c:v>
                </c:pt>
                <c:pt idx="596">
                  <c:v>0</c:v>
                </c:pt>
                <c:pt idx="597">
                  <c:v>0</c:v>
                </c:pt>
                <c:pt idx="598">
                  <c:v>1</c:v>
                </c:pt>
                <c:pt idx="599">
                  <c:v>0</c:v>
                </c:pt>
                <c:pt idx="600">
                  <c:v>0</c:v>
                </c:pt>
                <c:pt idx="601">
                  <c:v>0</c:v>
                </c:pt>
                <c:pt idx="602">
                  <c:v>0</c:v>
                </c:pt>
                <c:pt idx="603">
                  <c:v>0</c:v>
                </c:pt>
                <c:pt idx="604">
                  <c:v>0</c:v>
                </c:pt>
                <c:pt idx="605">
                  <c:v>0</c:v>
                </c:pt>
                <c:pt idx="606">
                  <c:v>0</c:v>
                </c:pt>
                <c:pt idx="607">
                  <c:v>1</c:v>
                </c:pt>
                <c:pt idx="608">
                  <c:v>1</c:v>
                </c:pt>
                <c:pt idx="609">
                  <c:v>0</c:v>
                </c:pt>
                <c:pt idx="610">
                  <c:v>0</c:v>
                </c:pt>
                <c:pt idx="611">
                  <c:v>0</c:v>
                </c:pt>
                <c:pt idx="612">
                  <c:v>0</c:v>
                </c:pt>
                <c:pt idx="613">
                  <c:v>0</c:v>
                </c:pt>
                <c:pt idx="614">
                  <c:v>1</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1</c:v>
                </c:pt>
                <c:pt idx="637">
                  <c:v>0</c:v>
                </c:pt>
                <c:pt idx="638">
                  <c:v>0</c:v>
                </c:pt>
                <c:pt idx="639">
                  <c:v>0</c:v>
                </c:pt>
                <c:pt idx="640">
                  <c:v>0</c:v>
                </c:pt>
                <c:pt idx="641">
                  <c:v>0</c:v>
                </c:pt>
                <c:pt idx="642">
                  <c:v>0</c:v>
                </c:pt>
                <c:pt idx="643">
                  <c:v>0</c:v>
                </c:pt>
                <c:pt idx="644">
                  <c:v>0</c:v>
                </c:pt>
                <c:pt idx="645">
                  <c:v>1</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1</c:v>
                </c:pt>
                <c:pt idx="661">
                  <c:v>0</c:v>
                </c:pt>
                <c:pt idx="662">
                  <c:v>1</c:v>
                </c:pt>
                <c:pt idx="663">
                  <c:v>1</c:v>
                </c:pt>
                <c:pt idx="664">
                  <c:v>0</c:v>
                </c:pt>
                <c:pt idx="665">
                  <c:v>0</c:v>
                </c:pt>
                <c:pt idx="666">
                  <c:v>1</c:v>
                </c:pt>
                <c:pt idx="667">
                  <c:v>1</c:v>
                </c:pt>
                <c:pt idx="668">
                  <c:v>0</c:v>
                </c:pt>
                <c:pt idx="669">
                  <c:v>1</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1</c:v>
                </c:pt>
                <c:pt idx="684">
                  <c:v>0</c:v>
                </c:pt>
                <c:pt idx="685">
                  <c:v>0</c:v>
                </c:pt>
                <c:pt idx="686">
                  <c:v>0</c:v>
                </c:pt>
                <c:pt idx="687">
                  <c:v>0</c:v>
                </c:pt>
                <c:pt idx="688">
                  <c:v>1</c:v>
                </c:pt>
                <c:pt idx="689">
                  <c:v>1</c:v>
                </c:pt>
                <c:pt idx="690">
                  <c:v>0</c:v>
                </c:pt>
                <c:pt idx="691">
                  <c:v>0</c:v>
                </c:pt>
                <c:pt idx="692">
                  <c:v>0</c:v>
                </c:pt>
                <c:pt idx="693">
                  <c:v>1</c:v>
                </c:pt>
                <c:pt idx="694">
                  <c:v>0</c:v>
                </c:pt>
                <c:pt idx="695">
                  <c:v>1</c:v>
                </c:pt>
                <c:pt idx="696">
                  <c:v>0</c:v>
                </c:pt>
                <c:pt idx="697">
                  <c:v>0</c:v>
                </c:pt>
                <c:pt idx="698">
                  <c:v>0</c:v>
                </c:pt>
                <c:pt idx="699">
                  <c:v>0</c:v>
                </c:pt>
                <c:pt idx="700">
                  <c:v>1</c:v>
                </c:pt>
                <c:pt idx="701">
                  <c:v>0</c:v>
                </c:pt>
                <c:pt idx="702">
                  <c:v>0</c:v>
                </c:pt>
                <c:pt idx="703">
                  <c:v>0</c:v>
                </c:pt>
                <c:pt idx="704">
                  <c:v>0</c:v>
                </c:pt>
                <c:pt idx="705">
                  <c:v>0</c:v>
                </c:pt>
                <c:pt idx="706">
                  <c:v>1</c:v>
                </c:pt>
                <c:pt idx="707">
                  <c:v>0</c:v>
                </c:pt>
                <c:pt idx="708">
                  <c:v>0</c:v>
                </c:pt>
                <c:pt idx="709">
                  <c:v>1</c:v>
                </c:pt>
                <c:pt idx="710">
                  <c:v>0</c:v>
                </c:pt>
                <c:pt idx="711">
                  <c:v>1</c:v>
                </c:pt>
                <c:pt idx="712">
                  <c:v>0</c:v>
                </c:pt>
                <c:pt idx="713">
                  <c:v>0</c:v>
                </c:pt>
                <c:pt idx="714">
                  <c:v>0</c:v>
                </c:pt>
                <c:pt idx="715">
                  <c:v>0</c:v>
                </c:pt>
                <c:pt idx="716">
                  <c:v>0</c:v>
                </c:pt>
                <c:pt idx="717">
                  <c:v>0</c:v>
                </c:pt>
                <c:pt idx="718">
                  <c:v>0</c:v>
                </c:pt>
                <c:pt idx="719">
                  <c:v>0</c:v>
                </c:pt>
                <c:pt idx="720">
                  <c:v>1</c:v>
                </c:pt>
                <c:pt idx="721">
                  <c:v>0</c:v>
                </c:pt>
                <c:pt idx="722">
                  <c:v>0</c:v>
                </c:pt>
                <c:pt idx="723">
                  <c:v>0</c:v>
                </c:pt>
                <c:pt idx="724">
                  <c:v>0</c:v>
                </c:pt>
                <c:pt idx="725">
                  <c:v>1</c:v>
                </c:pt>
                <c:pt idx="726">
                  <c:v>0</c:v>
                </c:pt>
                <c:pt idx="727">
                  <c:v>0</c:v>
                </c:pt>
                <c:pt idx="728">
                  <c:v>0</c:v>
                </c:pt>
                <c:pt idx="729">
                  <c:v>0</c:v>
                </c:pt>
                <c:pt idx="730">
                  <c:v>0</c:v>
                </c:pt>
                <c:pt idx="731">
                  <c:v>1</c:v>
                </c:pt>
                <c:pt idx="732">
                  <c:v>1</c:v>
                </c:pt>
                <c:pt idx="733">
                  <c:v>0</c:v>
                </c:pt>
                <c:pt idx="734">
                  <c:v>0</c:v>
                </c:pt>
                <c:pt idx="735">
                  <c:v>0</c:v>
                </c:pt>
                <c:pt idx="736">
                  <c:v>0</c:v>
                </c:pt>
                <c:pt idx="737">
                  <c:v>0</c:v>
                </c:pt>
                <c:pt idx="738">
                  <c:v>0</c:v>
                </c:pt>
                <c:pt idx="739">
                  <c:v>0</c:v>
                </c:pt>
                <c:pt idx="740">
                  <c:v>0</c:v>
                </c:pt>
                <c:pt idx="741">
                  <c:v>0</c:v>
                </c:pt>
                <c:pt idx="742">
                  <c:v>0</c:v>
                </c:pt>
                <c:pt idx="743">
                  <c:v>0</c:v>
                </c:pt>
                <c:pt idx="744">
                  <c:v>1</c:v>
                </c:pt>
                <c:pt idx="745">
                  <c:v>0</c:v>
                </c:pt>
                <c:pt idx="746">
                  <c:v>0</c:v>
                </c:pt>
                <c:pt idx="747">
                  <c:v>0</c:v>
                </c:pt>
                <c:pt idx="748">
                  <c:v>1</c:v>
                </c:pt>
                <c:pt idx="749">
                  <c:v>1</c:v>
                </c:pt>
                <c:pt idx="750">
                  <c:v>0</c:v>
                </c:pt>
                <c:pt idx="751">
                  <c:v>0</c:v>
                </c:pt>
                <c:pt idx="752">
                  <c:v>1</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1</c:v>
                </c:pt>
                <c:pt idx="777">
                  <c:v>1</c:v>
                </c:pt>
                <c:pt idx="778">
                  <c:v>0</c:v>
                </c:pt>
                <c:pt idx="779">
                  <c:v>1</c:v>
                </c:pt>
                <c:pt idx="780">
                  <c:v>1</c:v>
                </c:pt>
                <c:pt idx="781">
                  <c:v>0</c:v>
                </c:pt>
                <c:pt idx="782">
                  <c:v>0</c:v>
                </c:pt>
                <c:pt idx="783">
                  <c:v>0</c:v>
                </c:pt>
                <c:pt idx="784">
                  <c:v>0</c:v>
                </c:pt>
                <c:pt idx="785">
                  <c:v>0</c:v>
                </c:pt>
                <c:pt idx="786">
                  <c:v>0</c:v>
                </c:pt>
                <c:pt idx="787">
                  <c:v>0</c:v>
                </c:pt>
                <c:pt idx="788">
                  <c:v>0</c:v>
                </c:pt>
                <c:pt idx="789">
                  <c:v>1</c:v>
                </c:pt>
                <c:pt idx="790">
                  <c:v>0</c:v>
                </c:pt>
                <c:pt idx="791">
                  <c:v>1</c:v>
                </c:pt>
                <c:pt idx="792">
                  <c:v>1</c:v>
                </c:pt>
                <c:pt idx="793">
                  <c:v>0</c:v>
                </c:pt>
                <c:pt idx="794">
                  <c:v>0</c:v>
                </c:pt>
                <c:pt idx="795">
                  <c:v>0</c:v>
                </c:pt>
                <c:pt idx="796">
                  <c:v>1</c:v>
                </c:pt>
                <c:pt idx="797">
                  <c:v>1</c:v>
                </c:pt>
                <c:pt idx="798">
                  <c:v>1</c:v>
                </c:pt>
                <c:pt idx="799">
                  <c:v>0</c:v>
                </c:pt>
                <c:pt idx="800">
                  <c:v>1</c:v>
                </c:pt>
                <c:pt idx="801">
                  <c:v>1</c:v>
                </c:pt>
                <c:pt idx="802">
                  <c:v>0</c:v>
                </c:pt>
                <c:pt idx="803">
                  <c:v>0</c:v>
                </c:pt>
                <c:pt idx="804">
                  <c:v>0</c:v>
                </c:pt>
                <c:pt idx="805">
                  <c:v>0</c:v>
                </c:pt>
                <c:pt idx="806">
                  <c:v>0</c:v>
                </c:pt>
                <c:pt idx="807">
                  <c:v>0</c:v>
                </c:pt>
                <c:pt idx="808">
                  <c:v>0</c:v>
                </c:pt>
                <c:pt idx="809">
                  <c:v>0</c:v>
                </c:pt>
                <c:pt idx="810">
                  <c:v>0</c:v>
                </c:pt>
                <c:pt idx="811">
                  <c:v>0</c:v>
                </c:pt>
                <c:pt idx="812">
                  <c:v>0</c:v>
                </c:pt>
                <c:pt idx="813">
                  <c:v>1</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1</c:v>
                </c:pt>
                <c:pt idx="829">
                  <c:v>1</c:v>
                </c:pt>
                <c:pt idx="830">
                  <c:v>0</c:v>
                </c:pt>
                <c:pt idx="831">
                  <c:v>1</c:v>
                </c:pt>
                <c:pt idx="832">
                  <c:v>0</c:v>
                </c:pt>
                <c:pt idx="833">
                  <c:v>0</c:v>
                </c:pt>
                <c:pt idx="834">
                  <c:v>0</c:v>
                </c:pt>
                <c:pt idx="835">
                  <c:v>0</c:v>
                </c:pt>
                <c:pt idx="836">
                  <c:v>1</c:v>
                </c:pt>
                <c:pt idx="837">
                  <c:v>0</c:v>
                </c:pt>
                <c:pt idx="838">
                  <c:v>1</c:v>
                </c:pt>
                <c:pt idx="839">
                  <c:v>0</c:v>
                </c:pt>
                <c:pt idx="840">
                  <c:v>0</c:v>
                </c:pt>
                <c:pt idx="841">
                  <c:v>0</c:v>
                </c:pt>
                <c:pt idx="842">
                  <c:v>1</c:v>
                </c:pt>
                <c:pt idx="843">
                  <c:v>0</c:v>
                </c:pt>
                <c:pt idx="844">
                  <c:v>0</c:v>
                </c:pt>
                <c:pt idx="845">
                  <c:v>0</c:v>
                </c:pt>
                <c:pt idx="846">
                  <c:v>0</c:v>
                </c:pt>
                <c:pt idx="847">
                  <c:v>0</c:v>
                </c:pt>
                <c:pt idx="848">
                  <c:v>0</c:v>
                </c:pt>
                <c:pt idx="849">
                  <c:v>1</c:v>
                </c:pt>
                <c:pt idx="850">
                  <c:v>0</c:v>
                </c:pt>
                <c:pt idx="851">
                  <c:v>0</c:v>
                </c:pt>
                <c:pt idx="852">
                  <c:v>0</c:v>
                </c:pt>
                <c:pt idx="853">
                  <c:v>0</c:v>
                </c:pt>
                <c:pt idx="854">
                  <c:v>0</c:v>
                </c:pt>
                <c:pt idx="855">
                  <c:v>0</c:v>
                </c:pt>
                <c:pt idx="856">
                  <c:v>0</c:v>
                </c:pt>
                <c:pt idx="857">
                  <c:v>1</c:v>
                </c:pt>
                <c:pt idx="858">
                  <c:v>0</c:v>
                </c:pt>
                <c:pt idx="859">
                  <c:v>0</c:v>
                </c:pt>
                <c:pt idx="860">
                  <c:v>1</c:v>
                </c:pt>
                <c:pt idx="861">
                  <c:v>0</c:v>
                </c:pt>
                <c:pt idx="862">
                  <c:v>0</c:v>
                </c:pt>
                <c:pt idx="863">
                  <c:v>0</c:v>
                </c:pt>
                <c:pt idx="864">
                  <c:v>1</c:v>
                </c:pt>
                <c:pt idx="865">
                  <c:v>0</c:v>
                </c:pt>
                <c:pt idx="866">
                  <c:v>0</c:v>
                </c:pt>
                <c:pt idx="867">
                  <c:v>0</c:v>
                </c:pt>
                <c:pt idx="868">
                  <c:v>0</c:v>
                </c:pt>
                <c:pt idx="869">
                  <c:v>0</c:v>
                </c:pt>
                <c:pt idx="870">
                  <c:v>0</c:v>
                </c:pt>
                <c:pt idx="871">
                  <c:v>1</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1</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1</c:v>
                </c:pt>
                <c:pt idx="912">
                  <c:v>0</c:v>
                </c:pt>
                <c:pt idx="913">
                  <c:v>1</c:v>
                </c:pt>
                <c:pt idx="914">
                  <c:v>0</c:v>
                </c:pt>
                <c:pt idx="915">
                  <c:v>1</c:v>
                </c:pt>
                <c:pt idx="916">
                  <c:v>0</c:v>
                </c:pt>
                <c:pt idx="917">
                  <c:v>0</c:v>
                </c:pt>
                <c:pt idx="918">
                  <c:v>0</c:v>
                </c:pt>
                <c:pt idx="919">
                  <c:v>0</c:v>
                </c:pt>
                <c:pt idx="920">
                  <c:v>0</c:v>
                </c:pt>
                <c:pt idx="921">
                  <c:v>0</c:v>
                </c:pt>
                <c:pt idx="922">
                  <c:v>0</c:v>
                </c:pt>
                <c:pt idx="923">
                  <c:v>0</c:v>
                </c:pt>
                <c:pt idx="924">
                  <c:v>0</c:v>
                </c:pt>
                <c:pt idx="925">
                  <c:v>0</c:v>
                </c:pt>
                <c:pt idx="926">
                  <c:v>0</c:v>
                </c:pt>
                <c:pt idx="927">
                  <c:v>0</c:v>
                </c:pt>
                <c:pt idx="928">
                  <c:v>1</c:v>
                </c:pt>
                <c:pt idx="929">
                  <c:v>0</c:v>
                </c:pt>
                <c:pt idx="930">
                  <c:v>0</c:v>
                </c:pt>
                <c:pt idx="931">
                  <c:v>0</c:v>
                </c:pt>
                <c:pt idx="932">
                  <c:v>1</c:v>
                </c:pt>
                <c:pt idx="933">
                  <c:v>0</c:v>
                </c:pt>
                <c:pt idx="934">
                  <c:v>0</c:v>
                </c:pt>
                <c:pt idx="935">
                  <c:v>0</c:v>
                </c:pt>
                <c:pt idx="936">
                  <c:v>0</c:v>
                </c:pt>
                <c:pt idx="937">
                  <c:v>0</c:v>
                </c:pt>
                <c:pt idx="938">
                  <c:v>0</c:v>
                </c:pt>
                <c:pt idx="939">
                  <c:v>1</c:v>
                </c:pt>
                <c:pt idx="940">
                  <c:v>1</c:v>
                </c:pt>
                <c:pt idx="941">
                  <c:v>0</c:v>
                </c:pt>
                <c:pt idx="942">
                  <c:v>0</c:v>
                </c:pt>
                <c:pt idx="943">
                  <c:v>0</c:v>
                </c:pt>
                <c:pt idx="944">
                  <c:v>0</c:v>
                </c:pt>
                <c:pt idx="945">
                  <c:v>0</c:v>
                </c:pt>
                <c:pt idx="946">
                  <c:v>1</c:v>
                </c:pt>
                <c:pt idx="947">
                  <c:v>1</c:v>
                </c:pt>
                <c:pt idx="948">
                  <c:v>0</c:v>
                </c:pt>
                <c:pt idx="949">
                  <c:v>0</c:v>
                </c:pt>
                <c:pt idx="950">
                  <c:v>0</c:v>
                </c:pt>
                <c:pt idx="951">
                  <c:v>0</c:v>
                </c:pt>
                <c:pt idx="952">
                  <c:v>1</c:v>
                </c:pt>
                <c:pt idx="953">
                  <c:v>1</c:v>
                </c:pt>
                <c:pt idx="954">
                  <c:v>0</c:v>
                </c:pt>
                <c:pt idx="955">
                  <c:v>0</c:v>
                </c:pt>
                <c:pt idx="956">
                  <c:v>0</c:v>
                </c:pt>
                <c:pt idx="957">
                  <c:v>0</c:v>
                </c:pt>
                <c:pt idx="958">
                  <c:v>0</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1</c:v>
                </c:pt>
                <c:pt idx="981">
                  <c:v>1</c:v>
                </c:pt>
                <c:pt idx="982">
                  <c:v>0</c:v>
                </c:pt>
                <c:pt idx="983">
                  <c:v>0</c:v>
                </c:pt>
                <c:pt idx="984">
                  <c:v>0</c:v>
                </c:pt>
                <c:pt idx="985">
                  <c:v>1</c:v>
                </c:pt>
                <c:pt idx="986">
                  <c:v>0</c:v>
                </c:pt>
                <c:pt idx="987">
                  <c:v>0</c:v>
                </c:pt>
                <c:pt idx="988">
                  <c:v>0</c:v>
                </c:pt>
                <c:pt idx="989">
                  <c:v>0</c:v>
                </c:pt>
                <c:pt idx="990">
                  <c:v>0</c:v>
                </c:pt>
                <c:pt idx="991">
                  <c:v>0</c:v>
                </c:pt>
                <c:pt idx="992">
                  <c:v>0</c:v>
                </c:pt>
                <c:pt idx="993">
                  <c:v>0</c:v>
                </c:pt>
                <c:pt idx="994">
                  <c:v>0</c:v>
                </c:pt>
                <c:pt idx="995">
                  <c:v>0</c:v>
                </c:pt>
                <c:pt idx="996">
                  <c:v>0</c:v>
                </c:pt>
                <c:pt idx="997">
                  <c:v>1</c:v>
                </c:pt>
                <c:pt idx="998">
                  <c:v>0</c:v>
                </c:pt>
                <c:pt idx="999">
                  <c:v>0</c:v>
                </c:pt>
                <c:pt idx="1000">
                  <c:v>0</c:v>
                </c:pt>
                <c:pt idx="1001">
                  <c:v>0</c:v>
                </c:pt>
                <c:pt idx="1002">
                  <c:v>0</c:v>
                </c:pt>
                <c:pt idx="1003">
                  <c:v>0</c:v>
                </c:pt>
                <c:pt idx="1004">
                  <c:v>0</c:v>
                </c:pt>
                <c:pt idx="1005">
                  <c:v>0</c:v>
                </c:pt>
                <c:pt idx="1006">
                  <c:v>1</c:v>
                </c:pt>
                <c:pt idx="1007">
                  <c:v>1</c:v>
                </c:pt>
                <c:pt idx="1008">
                  <c:v>0</c:v>
                </c:pt>
                <c:pt idx="1009">
                  <c:v>0</c:v>
                </c:pt>
                <c:pt idx="1010">
                  <c:v>0</c:v>
                </c:pt>
                <c:pt idx="1011">
                  <c:v>0</c:v>
                </c:pt>
                <c:pt idx="1012">
                  <c:v>1</c:v>
                </c:pt>
                <c:pt idx="1013">
                  <c:v>0</c:v>
                </c:pt>
                <c:pt idx="1014">
                  <c:v>0</c:v>
                </c:pt>
                <c:pt idx="1015">
                  <c:v>0</c:v>
                </c:pt>
                <c:pt idx="1016">
                  <c:v>1</c:v>
                </c:pt>
                <c:pt idx="1017">
                  <c:v>0</c:v>
                </c:pt>
                <c:pt idx="1018">
                  <c:v>0</c:v>
                </c:pt>
                <c:pt idx="1019">
                  <c:v>0</c:v>
                </c:pt>
                <c:pt idx="1020">
                  <c:v>0</c:v>
                </c:pt>
                <c:pt idx="1021">
                  <c:v>1</c:v>
                </c:pt>
                <c:pt idx="1022">
                  <c:v>0</c:v>
                </c:pt>
                <c:pt idx="1023">
                  <c:v>0</c:v>
                </c:pt>
                <c:pt idx="1024">
                  <c:v>0</c:v>
                </c:pt>
                <c:pt idx="1025">
                  <c:v>0</c:v>
                </c:pt>
                <c:pt idx="1026">
                  <c:v>0</c:v>
                </c:pt>
                <c:pt idx="1027">
                  <c:v>0</c:v>
                </c:pt>
                <c:pt idx="1028">
                  <c:v>0</c:v>
                </c:pt>
                <c:pt idx="1029">
                  <c:v>0</c:v>
                </c:pt>
                <c:pt idx="1030">
                  <c:v>0</c:v>
                </c:pt>
                <c:pt idx="1031">
                  <c:v>1</c:v>
                </c:pt>
                <c:pt idx="1032">
                  <c:v>1</c:v>
                </c:pt>
                <c:pt idx="1033">
                  <c:v>1</c:v>
                </c:pt>
                <c:pt idx="1034">
                  <c:v>0</c:v>
                </c:pt>
                <c:pt idx="1035">
                  <c:v>0</c:v>
                </c:pt>
                <c:pt idx="1036">
                  <c:v>1</c:v>
                </c:pt>
                <c:pt idx="1037">
                  <c:v>0</c:v>
                </c:pt>
                <c:pt idx="1038">
                  <c:v>0</c:v>
                </c:pt>
                <c:pt idx="1039">
                  <c:v>1</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1</c:v>
                </c:pt>
                <c:pt idx="1057">
                  <c:v>1</c:v>
                </c:pt>
                <c:pt idx="1058">
                  <c:v>1</c:v>
                </c:pt>
                <c:pt idx="1059">
                  <c:v>0</c:v>
                </c:pt>
                <c:pt idx="1060">
                  <c:v>1</c:v>
                </c:pt>
                <c:pt idx="1061">
                  <c:v>0</c:v>
                </c:pt>
                <c:pt idx="1062">
                  <c:v>0</c:v>
                </c:pt>
                <c:pt idx="1063">
                  <c:v>0</c:v>
                </c:pt>
                <c:pt idx="1064">
                  <c:v>0</c:v>
                </c:pt>
                <c:pt idx="1065">
                  <c:v>0</c:v>
                </c:pt>
                <c:pt idx="1066">
                  <c:v>0</c:v>
                </c:pt>
                <c:pt idx="1067">
                  <c:v>0</c:v>
                </c:pt>
                <c:pt idx="1068">
                  <c:v>1</c:v>
                </c:pt>
                <c:pt idx="1069">
                  <c:v>0</c:v>
                </c:pt>
                <c:pt idx="1070">
                  <c:v>0</c:v>
                </c:pt>
                <c:pt idx="1071">
                  <c:v>0</c:v>
                </c:pt>
                <c:pt idx="1072">
                  <c:v>0</c:v>
                </c:pt>
                <c:pt idx="1073">
                  <c:v>0</c:v>
                </c:pt>
                <c:pt idx="1074">
                  <c:v>0</c:v>
                </c:pt>
                <c:pt idx="1075">
                  <c:v>0</c:v>
                </c:pt>
                <c:pt idx="1076">
                  <c:v>0</c:v>
                </c:pt>
                <c:pt idx="1077">
                  <c:v>1</c:v>
                </c:pt>
                <c:pt idx="1078">
                  <c:v>0</c:v>
                </c:pt>
                <c:pt idx="1079">
                  <c:v>0</c:v>
                </c:pt>
                <c:pt idx="1080">
                  <c:v>0</c:v>
                </c:pt>
                <c:pt idx="1081">
                  <c:v>0</c:v>
                </c:pt>
                <c:pt idx="1082">
                  <c:v>0</c:v>
                </c:pt>
                <c:pt idx="1083">
                  <c:v>1</c:v>
                </c:pt>
                <c:pt idx="1084">
                  <c:v>0</c:v>
                </c:pt>
                <c:pt idx="1085">
                  <c:v>1</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0</c:v>
                </c:pt>
                <c:pt idx="1108">
                  <c:v>0</c:v>
                </c:pt>
                <c:pt idx="1109">
                  <c:v>0</c:v>
                </c:pt>
                <c:pt idx="1110">
                  <c:v>1</c:v>
                </c:pt>
                <c:pt idx="1111">
                  <c:v>1</c:v>
                </c:pt>
                <c:pt idx="1112">
                  <c:v>1</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0</c:v>
                </c:pt>
                <c:pt idx="1159">
                  <c:v>0</c:v>
                </c:pt>
                <c:pt idx="1160">
                  <c:v>0</c:v>
                </c:pt>
                <c:pt idx="1161">
                  <c:v>0</c:v>
                </c:pt>
                <c:pt idx="1162">
                  <c:v>1</c:v>
                </c:pt>
                <c:pt idx="1163">
                  <c:v>0</c:v>
                </c:pt>
                <c:pt idx="1164">
                  <c:v>0</c:v>
                </c:pt>
                <c:pt idx="1165">
                  <c:v>0</c:v>
                </c:pt>
                <c:pt idx="1166">
                  <c:v>0</c:v>
                </c:pt>
                <c:pt idx="1167">
                  <c:v>1</c:v>
                </c:pt>
                <c:pt idx="1168">
                  <c:v>0</c:v>
                </c:pt>
                <c:pt idx="1169">
                  <c:v>0</c:v>
                </c:pt>
                <c:pt idx="1170">
                  <c:v>0</c:v>
                </c:pt>
                <c:pt idx="1171">
                  <c:v>1</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1</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1</c:v>
                </c:pt>
                <c:pt idx="1202">
                  <c:v>0</c:v>
                </c:pt>
                <c:pt idx="1203">
                  <c:v>0</c:v>
                </c:pt>
                <c:pt idx="1204">
                  <c:v>1</c:v>
                </c:pt>
                <c:pt idx="1205">
                  <c:v>1</c:v>
                </c:pt>
                <c:pt idx="1206">
                  <c:v>0</c:v>
                </c:pt>
                <c:pt idx="1207">
                  <c:v>0</c:v>
                </c:pt>
                <c:pt idx="1208">
                  <c:v>0</c:v>
                </c:pt>
                <c:pt idx="1209">
                  <c:v>0</c:v>
                </c:pt>
                <c:pt idx="1210">
                  <c:v>0</c:v>
                </c:pt>
                <c:pt idx="1211">
                  <c:v>0</c:v>
                </c:pt>
                <c:pt idx="1212">
                  <c:v>0</c:v>
                </c:pt>
                <c:pt idx="1213">
                  <c:v>1</c:v>
                </c:pt>
                <c:pt idx="1214">
                  <c:v>0</c:v>
                </c:pt>
                <c:pt idx="1215">
                  <c:v>0</c:v>
                </c:pt>
                <c:pt idx="1216">
                  <c:v>0</c:v>
                </c:pt>
                <c:pt idx="1217">
                  <c:v>0</c:v>
                </c:pt>
                <c:pt idx="1218">
                  <c:v>0</c:v>
                </c:pt>
                <c:pt idx="1219">
                  <c:v>0</c:v>
                </c:pt>
                <c:pt idx="1220">
                  <c:v>0</c:v>
                </c:pt>
                <c:pt idx="1221">
                  <c:v>0</c:v>
                </c:pt>
                <c:pt idx="1222">
                  <c:v>1</c:v>
                </c:pt>
                <c:pt idx="1223">
                  <c:v>1</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1</c:v>
                </c:pt>
                <c:pt idx="1237">
                  <c:v>1</c:v>
                </c:pt>
                <c:pt idx="1238">
                  <c:v>0</c:v>
                </c:pt>
                <c:pt idx="1239">
                  <c:v>0</c:v>
                </c:pt>
                <c:pt idx="1240">
                  <c:v>0</c:v>
                </c:pt>
                <c:pt idx="1241">
                  <c:v>0</c:v>
                </c:pt>
                <c:pt idx="1242">
                  <c:v>0</c:v>
                </c:pt>
                <c:pt idx="1243">
                  <c:v>0</c:v>
                </c:pt>
                <c:pt idx="1244">
                  <c:v>0</c:v>
                </c:pt>
                <c:pt idx="1245">
                  <c:v>0</c:v>
                </c:pt>
                <c:pt idx="1246">
                  <c:v>1</c:v>
                </c:pt>
                <c:pt idx="1247">
                  <c:v>0</c:v>
                </c:pt>
                <c:pt idx="1248">
                  <c:v>0</c:v>
                </c:pt>
                <c:pt idx="1249">
                  <c:v>1</c:v>
                </c:pt>
                <c:pt idx="1250">
                  <c:v>0</c:v>
                </c:pt>
                <c:pt idx="1251">
                  <c:v>0</c:v>
                </c:pt>
                <c:pt idx="1252">
                  <c:v>0</c:v>
                </c:pt>
                <c:pt idx="1253">
                  <c:v>0</c:v>
                </c:pt>
                <c:pt idx="1254">
                  <c:v>0</c:v>
                </c:pt>
                <c:pt idx="1255">
                  <c:v>1</c:v>
                </c:pt>
                <c:pt idx="1256">
                  <c:v>0</c:v>
                </c:pt>
                <c:pt idx="1257">
                  <c:v>1</c:v>
                </c:pt>
                <c:pt idx="1258">
                  <c:v>0</c:v>
                </c:pt>
                <c:pt idx="1259">
                  <c:v>0</c:v>
                </c:pt>
                <c:pt idx="1260">
                  <c:v>0</c:v>
                </c:pt>
                <c:pt idx="1261">
                  <c:v>0</c:v>
                </c:pt>
                <c:pt idx="1262">
                  <c:v>1</c:v>
                </c:pt>
                <c:pt idx="1263">
                  <c:v>0</c:v>
                </c:pt>
                <c:pt idx="1264">
                  <c:v>0</c:v>
                </c:pt>
                <c:pt idx="1265">
                  <c:v>0</c:v>
                </c:pt>
                <c:pt idx="1266">
                  <c:v>0</c:v>
                </c:pt>
                <c:pt idx="1267">
                  <c:v>0</c:v>
                </c:pt>
                <c:pt idx="1268">
                  <c:v>0</c:v>
                </c:pt>
                <c:pt idx="1269">
                  <c:v>0</c:v>
                </c:pt>
                <c:pt idx="1270">
                  <c:v>0</c:v>
                </c:pt>
                <c:pt idx="1271">
                  <c:v>1</c:v>
                </c:pt>
                <c:pt idx="1272">
                  <c:v>0</c:v>
                </c:pt>
                <c:pt idx="1273">
                  <c:v>1</c:v>
                </c:pt>
                <c:pt idx="1274">
                  <c:v>0</c:v>
                </c:pt>
                <c:pt idx="1275">
                  <c:v>0</c:v>
                </c:pt>
                <c:pt idx="1276">
                  <c:v>0</c:v>
                </c:pt>
                <c:pt idx="1277">
                  <c:v>0</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1</c:v>
                </c:pt>
                <c:pt idx="1291">
                  <c:v>1</c:v>
                </c:pt>
                <c:pt idx="1292">
                  <c:v>0</c:v>
                </c:pt>
                <c:pt idx="1293">
                  <c:v>0</c:v>
                </c:pt>
                <c:pt idx="1294">
                  <c:v>0</c:v>
                </c:pt>
                <c:pt idx="1295">
                  <c:v>0</c:v>
                </c:pt>
                <c:pt idx="1296">
                  <c:v>0</c:v>
                </c:pt>
                <c:pt idx="1297">
                  <c:v>1</c:v>
                </c:pt>
                <c:pt idx="1298">
                  <c:v>1</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1</c:v>
                </c:pt>
                <c:pt idx="1313">
                  <c:v>1</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1</c:v>
                </c:pt>
                <c:pt idx="1327">
                  <c:v>0</c:v>
                </c:pt>
                <c:pt idx="1328">
                  <c:v>0</c:v>
                </c:pt>
                <c:pt idx="1329">
                  <c:v>0</c:v>
                </c:pt>
                <c:pt idx="1330">
                  <c:v>0</c:v>
                </c:pt>
                <c:pt idx="1331">
                  <c:v>0</c:v>
                </c:pt>
                <c:pt idx="1332">
                  <c:v>1</c:v>
                </c:pt>
                <c:pt idx="1333">
                  <c:v>1</c:v>
                </c:pt>
                <c:pt idx="1334">
                  <c:v>0</c:v>
                </c:pt>
                <c:pt idx="1335">
                  <c:v>0</c:v>
                </c:pt>
                <c:pt idx="1336">
                  <c:v>0</c:v>
                </c:pt>
                <c:pt idx="1337">
                  <c:v>0</c:v>
                </c:pt>
                <c:pt idx="1338">
                  <c:v>1</c:v>
                </c:pt>
                <c:pt idx="1339">
                  <c:v>1</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1</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0</c:v>
                </c:pt>
                <c:pt idx="1368">
                  <c:v>0</c:v>
                </c:pt>
                <c:pt idx="1369">
                  <c:v>1</c:v>
                </c:pt>
                <c:pt idx="1370">
                  <c:v>0</c:v>
                </c:pt>
                <c:pt idx="1371">
                  <c:v>0</c:v>
                </c:pt>
                <c:pt idx="1372">
                  <c:v>0</c:v>
                </c:pt>
                <c:pt idx="1373">
                  <c:v>0</c:v>
                </c:pt>
                <c:pt idx="1374">
                  <c:v>0</c:v>
                </c:pt>
                <c:pt idx="1375">
                  <c:v>1</c:v>
                </c:pt>
                <c:pt idx="1376">
                  <c:v>0</c:v>
                </c:pt>
                <c:pt idx="1377">
                  <c:v>0</c:v>
                </c:pt>
                <c:pt idx="1378">
                  <c:v>0</c:v>
                </c:pt>
                <c:pt idx="1379">
                  <c:v>1</c:v>
                </c:pt>
                <c:pt idx="1380">
                  <c:v>0</c:v>
                </c:pt>
                <c:pt idx="1381">
                  <c:v>0</c:v>
                </c:pt>
                <c:pt idx="1382">
                  <c:v>0</c:v>
                </c:pt>
                <c:pt idx="1383">
                  <c:v>0</c:v>
                </c:pt>
                <c:pt idx="1384">
                  <c:v>0</c:v>
                </c:pt>
                <c:pt idx="1385">
                  <c:v>0</c:v>
                </c:pt>
                <c:pt idx="1386">
                  <c:v>0</c:v>
                </c:pt>
                <c:pt idx="1387">
                  <c:v>0</c:v>
                </c:pt>
                <c:pt idx="1388">
                  <c:v>0</c:v>
                </c:pt>
                <c:pt idx="1389">
                  <c:v>0</c:v>
                </c:pt>
                <c:pt idx="1390">
                  <c:v>1</c:v>
                </c:pt>
                <c:pt idx="1391">
                  <c:v>0</c:v>
                </c:pt>
                <c:pt idx="1392">
                  <c:v>0</c:v>
                </c:pt>
                <c:pt idx="1393">
                  <c:v>0</c:v>
                </c:pt>
                <c:pt idx="1394">
                  <c:v>0</c:v>
                </c:pt>
                <c:pt idx="1395">
                  <c:v>1</c:v>
                </c:pt>
                <c:pt idx="1396">
                  <c:v>1</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0</c:v>
                </c:pt>
                <c:pt idx="1441">
                  <c:v>0</c:v>
                </c:pt>
                <c:pt idx="1442">
                  <c:v>1</c:v>
                </c:pt>
                <c:pt idx="1443">
                  <c:v>0</c:v>
                </c:pt>
                <c:pt idx="1444">
                  <c:v>1</c:v>
                </c:pt>
                <c:pt idx="1445">
                  <c:v>0</c:v>
                </c:pt>
                <c:pt idx="1446">
                  <c:v>0</c:v>
                </c:pt>
                <c:pt idx="1447">
                  <c:v>0</c:v>
                </c:pt>
                <c:pt idx="1448">
                  <c:v>0</c:v>
                </c:pt>
                <c:pt idx="1449">
                  <c:v>0</c:v>
                </c:pt>
                <c:pt idx="1450">
                  <c:v>0</c:v>
                </c:pt>
                <c:pt idx="1451">
                  <c:v>0</c:v>
                </c:pt>
                <c:pt idx="1452">
                  <c:v>1</c:v>
                </c:pt>
                <c:pt idx="1453">
                  <c:v>0</c:v>
                </c:pt>
                <c:pt idx="1454">
                  <c:v>0</c:v>
                </c:pt>
                <c:pt idx="1455">
                  <c:v>0</c:v>
                </c:pt>
                <c:pt idx="1456">
                  <c:v>0</c:v>
                </c:pt>
                <c:pt idx="1457">
                  <c:v>0</c:v>
                </c:pt>
                <c:pt idx="1458">
                  <c:v>0</c:v>
                </c:pt>
                <c:pt idx="1459">
                  <c:v>0</c:v>
                </c:pt>
                <c:pt idx="1460">
                  <c:v>0</c:v>
                </c:pt>
                <c:pt idx="1461">
                  <c:v>1</c:v>
                </c:pt>
                <c:pt idx="1462">
                  <c:v>0</c:v>
                </c:pt>
                <c:pt idx="1463">
                  <c:v>0</c:v>
                </c:pt>
                <c:pt idx="1464">
                  <c:v>0</c:v>
                </c:pt>
                <c:pt idx="1465">
                  <c:v>0</c:v>
                </c:pt>
                <c:pt idx="1466">
                  <c:v>0</c:v>
                </c:pt>
                <c:pt idx="1467">
                  <c:v>0</c:v>
                </c:pt>
                <c:pt idx="1468">
                  <c:v>0</c:v>
                </c:pt>
                <c:pt idx="1469">
                  <c:v>0</c:v>
                </c:pt>
              </c:numCache>
            </c:numRef>
          </c:yVal>
          <c:smooth val="0"/>
          <c:extLst>
            <c:ext xmlns:c16="http://schemas.microsoft.com/office/drawing/2014/chart" uri="{C3380CC4-5D6E-409C-BE32-E72D297353CC}">
              <c16:uniqueId val="{00000000-E151-4777-807E-466BF0DEA2A3}"/>
            </c:ext>
          </c:extLst>
        </c:ser>
        <c:dLbls>
          <c:showLegendKey val="0"/>
          <c:showVal val="0"/>
          <c:showCatName val="0"/>
          <c:showSerName val="0"/>
          <c:showPercent val="0"/>
          <c:showBubbleSize val="0"/>
        </c:dLbls>
        <c:axId val="1134305688"/>
        <c:axId val="1134307984"/>
      </c:scatterChart>
      <c:valAx>
        <c:axId val="1134305688"/>
        <c:scaling>
          <c:orientation val="minMax"/>
        </c:scaling>
        <c:delete val="0"/>
        <c:axPos val="b"/>
        <c:title>
          <c:tx>
            <c:rich>
              <a:bodyPr/>
              <a:lstStyle/>
              <a:p>
                <a:pPr>
                  <a:defRPr sz="800" b="0"/>
                </a:pPr>
                <a:r>
                  <a:rPr lang="en-US"/>
                  <a:t>Wins_MonthlyIncome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134307984"/>
        <c:crosses val="autoZero"/>
        <c:crossBetween val="midCat"/>
      </c:valAx>
      <c:valAx>
        <c:axId val="1134307984"/>
        <c:scaling>
          <c:orientation val="minMax"/>
        </c:scaling>
        <c:delete val="0"/>
        <c:axPos val="l"/>
        <c:title>
          <c:tx>
            <c:rich>
              <a:bodyPr/>
              <a:lstStyle/>
              <a:p>
                <a:pPr>
                  <a:defRPr sz="800" b="0"/>
                </a:pPr>
                <a:r>
                  <a:rPr lang="en-US"/>
                  <a:t>Attrition_yes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1343056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w="6350">
      <a:noFill/>
    </a:ln>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a:pPr>
            <a:r>
              <a:rPr lang="en-US"/>
              <a:t>Scatterplot of MonthlyIncome vs Education of Linear with interaction variables2_appy</a:t>
            </a:r>
          </a:p>
        </c:rich>
      </c:tx>
      <c:overlay val="0"/>
    </c:title>
    <c:autoTitleDeleted val="0"/>
    <c:plotArea>
      <c:layout/>
      <c:scatterChart>
        <c:scatterStyle val="lineMarker"/>
        <c:varyColors val="0"/>
        <c:ser>
          <c:idx val="0"/>
          <c:order val="0"/>
          <c:spPr>
            <a:ln w="19050">
              <a:noFill/>
            </a:ln>
          </c:spPr>
          <c:marker>
            <c:symbol val="circle"/>
            <c:size val="3"/>
            <c:spPr>
              <a:noFill/>
              <a:ln>
                <a:solidFill>
                  <a:srgbClr val="333399"/>
                </a:solidFill>
                <a:prstDash val="solid"/>
              </a:ln>
            </c:spPr>
          </c:marker>
          <c:trendline>
            <c:trendlineType val="linear"/>
            <c:dispRSqr val="1"/>
            <c:dispEq val="1"/>
            <c:trendlineLbl>
              <c:layout>
                <c:manualLayout>
                  <c:x val="8.4125569830087024E-2"/>
                  <c:y val="-0.40845070866141731"/>
                </c:manualLayout>
              </c:layout>
              <c:tx>
                <c:rich>
                  <a:bodyPr/>
                  <a:lstStyle/>
                  <a:p>
                    <a:pPr>
                      <a:defRPr/>
                    </a:pPr>
                    <a:r>
                      <a:rPr lang="en-US" baseline="0"/>
                      <a:t>Monthly income (y predicted) = 436.52x + 5231.4</a:t>
                    </a:r>
                    <a:br>
                      <a:rPr lang="en-US" baseline="0"/>
                    </a:br>
                    <a:r>
                      <a:rPr lang="en-US" baseline="0"/>
                      <a:t>R² = 0.009</a:t>
                    </a:r>
                    <a:endParaRPr lang="en-US"/>
                  </a:p>
                </c:rich>
              </c:tx>
              <c:numFmt formatCode="General" sourceLinked="0"/>
            </c:trendlineLbl>
          </c:trendline>
          <c:xVal>
            <c:numRef>
              <c:f>[0]!ScatterX_A9AFA</c:f>
              <c:numCache>
                <c:formatCode>General</c:formatCode>
                <c:ptCount val="1"/>
                <c:pt idx="0">
                  <c:v>0</c:v>
                </c:pt>
              </c:numCache>
            </c:numRef>
          </c:xVal>
          <c:yVal>
            <c:numRef>
              <c:f>[0]!ScatterY_A9AFA</c:f>
              <c:numCache>
                <c:formatCode>General</c:formatCode>
                <c:ptCount val="1"/>
                <c:pt idx="0">
                  <c:v>0</c:v>
                </c:pt>
              </c:numCache>
            </c:numRef>
          </c:yVal>
          <c:smooth val="0"/>
          <c:extLst>
            <c:ext xmlns:c16="http://schemas.microsoft.com/office/drawing/2014/chart" uri="{C3380CC4-5D6E-409C-BE32-E72D297353CC}">
              <c16:uniqueId val="{00000001-3819-4565-9ECD-C48640DA1184}"/>
            </c:ext>
          </c:extLst>
        </c:ser>
        <c:dLbls>
          <c:showLegendKey val="0"/>
          <c:showVal val="0"/>
          <c:showCatName val="0"/>
          <c:showSerName val="0"/>
          <c:showPercent val="0"/>
          <c:showBubbleSize val="0"/>
        </c:dLbls>
        <c:axId val="1044128080"/>
        <c:axId val="1044121848"/>
      </c:scatterChart>
      <c:valAx>
        <c:axId val="1044128080"/>
        <c:scaling>
          <c:orientation val="minMax"/>
        </c:scaling>
        <c:delete val="0"/>
        <c:axPos val="b"/>
        <c:title>
          <c:tx>
            <c:rich>
              <a:bodyPr/>
              <a:lstStyle/>
              <a:p>
                <a:pPr>
                  <a:defRPr sz="800" b="0"/>
                </a:pPr>
                <a:r>
                  <a:rPr lang="en-US"/>
                  <a:t>Education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044121848"/>
        <c:crosses val="autoZero"/>
        <c:crossBetween val="midCat"/>
      </c:valAx>
      <c:valAx>
        <c:axId val="1044121848"/>
        <c:scaling>
          <c:orientation val="minMax"/>
        </c:scaling>
        <c:delete val="0"/>
        <c:axPos val="l"/>
        <c:title>
          <c:tx>
            <c:rich>
              <a:bodyPr/>
              <a:lstStyle/>
              <a:p>
                <a:pPr>
                  <a:defRPr sz="800" b="0"/>
                </a:pPr>
                <a:r>
                  <a:rPr lang="en-US"/>
                  <a:t>MonthlyIncome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0441280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w="6350">
      <a:noFill/>
    </a:ln>
  </c:sp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a:pPr>
            <a:r>
              <a:rPr lang="en-US"/>
              <a:t>Scatterplot of MonthlyIncome vs JobLevel of Linear with interaction variables2_appy</a:t>
            </a:r>
          </a:p>
        </c:rich>
      </c:tx>
      <c:overlay val="0"/>
    </c:title>
    <c:autoTitleDeleted val="0"/>
    <c:plotArea>
      <c:layout/>
      <c:scatterChart>
        <c:scatterStyle val="lineMarker"/>
        <c:varyColors val="0"/>
        <c:ser>
          <c:idx val="0"/>
          <c:order val="0"/>
          <c:spPr>
            <a:ln w="19050">
              <a:noFill/>
            </a:ln>
          </c:spPr>
          <c:marker>
            <c:symbol val="circle"/>
            <c:size val="3"/>
            <c:spPr>
              <a:noFill/>
              <a:ln>
                <a:solidFill>
                  <a:srgbClr val="333399"/>
                </a:solidFill>
                <a:prstDash val="solid"/>
              </a:ln>
            </c:spPr>
          </c:marker>
          <c:trendline>
            <c:trendlineType val="linear"/>
            <c:dispRSqr val="1"/>
            <c:dispEq val="1"/>
            <c:trendlineLbl>
              <c:layout>
                <c:manualLayout>
                  <c:x val="-7.7756112722751763E-2"/>
                  <c:y val="-0.11037228346456693"/>
                </c:manualLayout>
              </c:layout>
              <c:numFmt formatCode="General" sourceLinked="0"/>
            </c:trendlineLbl>
          </c:trendline>
          <c:xVal>
            <c:numRef>
              <c:f>[0]!ScatterX_95F40</c:f>
              <c:numCache>
                <c:formatCode>General</c:formatCode>
                <c:ptCount val="1"/>
                <c:pt idx="0">
                  <c:v>0</c:v>
                </c:pt>
              </c:numCache>
            </c:numRef>
          </c:xVal>
          <c:yVal>
            <c:numRef>
              <c:f>[0]!ScatterY_95F40</c:f>
              <c:numCache>
                <c:formatCode>General</c:formatCode>
                <c:ptCount val="1"/>
                <c:pt idx="0">
                  <c:v>0</c:v>
                </c:pt>
              </c:numCache>
            </c:numRef>
          </c:yVal>
          <c:smooth val="0"/>
          <c:extLst>
            <c:ext xmlns:c16="http://schemas.microsoft.com/office/drawing/2014/chart" uri="{C3380CC4-5D6E-409C-BE32-E72D297353CC}">
              <c16:uniqueId val="{00000001-0BE9-4385-A379-8B7F90DF88C7}"/>
            </c:ext>
          </c:extLst>
        </c:ser>
        <c:dLbls>
          <c:showLegendKey val="0"/>
          <c:showVal val="0"/>
          <c:showCatName val="0"/>
          <c:showSerName val="0"/>
          <c:showPercent val="0"/>
          <c:showBubbleSize val="0"/>
        </c:dLbls>
        <c:axId val="1134223032"/>
        <c:axId val="1134228936"/>
      </c:scatterChart>
      <c:valAx>
        <c:axId val="1134223032"/>
        <c:scaling>
          <c:orientation val="minMax"/>
        </c:scaling>
        <c:delete val="0"/>
        <c:axPos val="b"/>
        <c:title>
          <c:tx>
            <c:rich>
              <a:bodyPr/>
              <a:lstStyle/>
              <a:p>
                <a:pPr>
                  <a:defRPr sz="800" b="0"/>
                </a:pPr>
                <a:r>
                  <a:rPr lang="en-US"/>
                  <a:t>JobLevel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134228936"/>
        <c:crosses val="autoZero"/>
        <c:crossBetween val="midCat"/>
      </c:valAx>
      <c:valAx>
        <c:axId val="1134228936"/>
        <c:scaling>
          <c:orientation val="minMax"/>
        </c:scaling>
        <c:delete val="0"/>
        <c:axPos val="l"/>
        <c:title>
          <c:tx>
            <c:rich>
              <a:bodyPr/>
              <a:lstStyle/>
              <a:p>
                <a:pPr>
                  <a:defRPr sz="800" b="0"/>
                </a:pPr>
                <a:r>
                  <a:rPr lang="en-US"/>
                  <a:t>MonthlyIncome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113422303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w="6350">
      <a:noFill/>
    </a:ln>
  </c:sp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a:pPr>
            <a:r>
              <a:rPr lang="en-US"/>
              <a:t>Scatterplot of MonthlyIncome vs Wins_TotalWorkingYears of Linear with interaction variables2_appy</a:t>
            </a:r>
          </a:p>
        </c:rich>
      </c:tx>
      <c:overlay val="0"/>
    </c:title>
    <c:autoTitleDeleted val="0"/>
    <c:plotArea>
      <c:layout/>
      <c:scatterChart>
        <c:scatterStyle val="lineMarker"/>
        <c:varyColors val="0"/>
        <c:ser>
          <c:idx val="0"/>
          <c:order val="0"/>
          <c:spPr>
            <a:ln w="19050">
              <a:noFill/>
            </a:ln>
          </c:spPr>
          <c:marker>
            <c:symbol val="circle"/>
            <c:size val="3"/>
            <c:spPr>
              <a:noFill/>
              <a:ln>
                <a:solidFill>
                  <a:srgbClr val="333399"/>
                </a:solidFill>
                <a:prstDash val="solid"/>
              </a:ln>
            </c:spPr>
          </c:marker>
          <c:trendline>
            <c:trendlineType val="linear"/>
            <c:dispRSqr val="1"/>
            <c:dispEq val="1"/>
            <c:trendlineLbl>
              <c:layout>
                <c:manualLayout>
                  <c:x val="-6.1632822213012846E-3"/>
                  <c:y val="-0.13545763779527559"/>
                </c:manualLayout>
              </c:layout>
              <c:numFmt formatCode="General" sourceLinked="0"/>
            </c:trendlineLbl>
          </c:trendline>
          <c:xVal>
            <c:numRef>
              <c:f>[0]!ScatterX_8E0F3</c:f>
              <c:numCache>
                <c:formatCode>General</c:formatCode>
                <c:ptCount val="1"/>
                <c:pt idx="0">
                  <c:v>0</c:v>
                </c:pt>
              </c:numCache>
            </c:numRef>
          </c:xVal>
          <c:yVal>
            <c:numRef>
              <c:f>[0]!ScatterY_8E0F3</c:f>
              <c:numCache>
                <c:formatCode>General</c:formatCode>
                <c:ptCount val="1"/>
                <c:pt idx="0">
                  <c:v>0</c:v>
                </c:pt>
              </c:numCache>
            </c:numRef>
          </c:yVal>
          <c:smooth val="0"/>
          <c:extLst>
            <c:ext xmlns:c16="http://schemas.microsoft.com/office/drawing/2014/chart" uri="{C3380CC4-5D6E-409C-BE32-E72D297353CC}">
              <c16:uniqueId val="{00000001-BEB9-4E06-A6E5-AB11B70A25B7}"/>
            </c:ext>
          </c:extLst>
        </c:ser>
        <c:dLbls>
          <c:showLegendKey val="0"/>
          <c:showVal val="0"/>
          <c:showCatName val="0"/>
          <c:showSerName val="0"/>
          <c:showPercent val="0"/>
          <c:showBubbleSize val="0"/>
        </c:dLbls>
        <c:axId val="881848584"/>
        <c:axId val="881848912"/>
      </c:scatterChart>
      <c:valAx>
        <c:axId val="881848584"/>
        <c:scaling>
          <c:orientation val="minMax"/>
        </c:scaling>
        <c:delete val="0"/>
        <c:axPos val="b"/>
        <c:title>
          <c:tx>
            <c:rich>
              <a:bodyPr/>
              <a:lstStyle/>
              <a:p>
                <a:pPr>
                  <a:defRPr sz="800" b="0"/>
                </a:pPr>
                <a:r>
                  <a:rPr lang="en-US"/>
                  <a:t>Wins_TotalWorkingYears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881848912"/>
        <c:crosses val="autoZero"/>
        <c:crossBetween val="midCat"/>
      </c:valAx>
      <c:valAx>
        <c:axId val="881848912"/>
        <c:scaling>
          <c:orientation val="minMax"/>
        </c:scaling>
        <c:delete val="0"/>
        <c:axPos val="l"/>
        <c:title>
          <c:tx>
            <c:rich>
              <a:bodyPr/>
              <a:lstStyle/>
              <a:p>
                <a:pPr>
                  <a:defRPr sz="800" b="0"/>
                </a:pPr>
                <a:r>
                  <a:rPr lang="en-US"/>
                  <a:t>MonthlyIncome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8818485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w="6350">
      <a:noFill/>
    </a:ln>
  </c:sp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a:pPr>
            <a:r>
              <a:rPr lang="en-US"/>
              <a:t>Scatterplot of MonthlyIncome vs Wins_YearsWithCurrentMgr of Linear with interaction variables2_appy</a:t>
            </a:r>
          </a:p>
        </c:rich>
      </c:tx>
      <c:overlay val="0"/>
    </c:title>
    <c:autoTitleDeleted val="0"/>
    <c:plotArea>
      <c:layout/>
      <c:scatterChart>
        <c:scatterStyle val="lineMarker"/>
        <c:varyColors val="0"/>
        <c:ser>
          <c:idx val="0"/>
          <c:order val="0"/>
          <c:spPr>
            <a:ln w="19050">
              <a:noFill/>
            </a:ln>
          </c:spPr>
          <c:marker>
            <c:symbol val="circle"/>
            <c:size val="3"/>
            <c:spPr>
              <a:noFill/>
              <a:ln>
                <a:solidFill>
                  <a:srgbClr val="333399"/>
                </a:solidFill>
                <a:prstDash val="solid"/>
              </a:ln>
            </c:spPr>
          </c:marker>
          <c:trendline>
            <c:trendlineType val="linear"/>
            <c:dispRSqr val="1"/>
            <c:dispEq val="1"/>
            <c:trendlineLbl>
              <c:layout>
                <c:manualLayout>
                  <c:x val="6.2257770410277663E-2"/>
                  <c:y val="-0.34720787401574804"/>
                </c:manualLayout>
              </c:layout>
              <c:numFmt formatCode="General" sourceLinked="0"/>
            </c:trendlineLbl>
          </c:trendline>
          <c:xVal>
            <c:numRef>
              <c:f>[0]!ScatterX_52245</c:f>
              <c:numCache>
                <c:formatCode>General</c:formatCode>
                <c:ptCount val="1"/>
                <c:pt idx="0">
                  <c:v>0</c:v>
                </c:pt>
              </c:numCache>
            </c:numRef>
          </c:xVal>
          <c:yVal>
            <c:numRef>
              <c:f>[0]!ScatterY_52245</c:f>
              <c:numCache>
                <c:formatCode>General</c:formatCode>
                <c:ptCount val="1"/>
                <c:pt idx="0">
                  <c:v>0</c:v>
                </c:pt>
              </c:numCache>
            </c:numRef>
          </c:yVal>
          <c:smooth val="0"/>
          <c:extLst>
            <c:ext xmlns:c16="http://schemas.microsoft.com/office/drawing/2014/chart" uri="{C3380CC4-5D6E-409C-BE32-E72D297353CC}">
              <c16:uniqueId val="{00000001-2286-47DE-AE8D-E798872020C9}"/>
            </c:ext>
          </c:extLst>
        </c:ser>
        <c:dLbls>
          <c:showLegendKey val="0"/>
          <c:showVal val="0"/>
          <c:showCatName val="0"/>
          <c:showSerName val="0"/>
          <c:showPercent val="0"/>
          <c:showBubbleSize val="0"/>
        </c:dLbls>
        <c:axId val="979490088"/>
        <c:axId val="979489104"/>
      </c:scatterChart>
      <c:valAx>
        <c:axId val="979490088"/>
        <c:scaling>
          <c:orientation val="minMax"/>
        </c:scaling>
        <c:delete val="0"/>
        <c:axPos val="b"/>
        <c:title>
          <c:tx>
            <c:rich>
              <a:bodyPr/>
              <a:lstStyle/>
              <a:p>
                <a:pPr>
                  <a:defRPr sz="800" b="0"/>
                </a:pPr>
                <a:r>
                  <a:rPr lang="en-US"/>
                  <a:t>Wins_YearsWithCurrentMgr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979489104"/>
        <c:crosses val="autoZero"/>
        <c:crossBetween val="midCat"/>
      </c:valAx>
      <c:valAx>
        <c:axId val="979489104"/>
        <c:scaling>
          <c:orientation val="minMax"/>
        </c:scaling>
        <c:delete val="0"/>
        <c:axPos val="l"/>
        <c:title>
          <c:tx>
            <c:rich>
              <a:bodyPr/>
              <a:lstStyle/>
              <a:p>
                <a:pPr>
                  <a:defRPr sz="800" b="0"/>
                </a:pPr>
                <a:r>
                  <a:rPr lang="en-US"/>
                  <a:t>MonthlyIncome / Linear with interaction variables2_appy</a:t>
                </a:r>
              </a:p>
            </c:rich>
          </c:tx>
          <c:overlay val="0"/>
        </c:title>
        <c:numFmt formatCode="General" sourceLinked="0"/>
        <c:majorTickMark val="out"/>
        <c:minorTickMark val="none"/>
        <c:tickLblPos val="nextTo"/>
        <c:txPr>
          <a:bodyPr/>
          <a:lstStyle/>
          <a:p>
            <a:pPr>
              <a:defRPr sz="800" b="0"/>
            </a:pPr>
            <a:endParaRPr lang="en-US"/>
          </a:p>
        </c:txPr>
        <c:crossAx val="9794900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w="6350">
      <a:noFill/>
    </a:ln>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Department  and Monthly Income vs. Years</a:t>
            </a:r>
            <a:endParaRPr lang="en-US"/>
          </a:p>
        </c:rich>
      </c:tx>
      <c:layout>
        <c:manualLayout>
          <c:xMode val="edge"/>
          <c:yMode val="edge"/>
          <c:x val="0.2774570401414313"/>
          <c:y val="1.451905626134301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7.75150265397231E-2"/>
          <c:y val="0.25607213798819611"/>
          <c:w val="0.90406285754280713"/>
          <c:h val="0.64545727540139286"/>
        </c:manualLayout>
      </c:layout>
      <c:scatterChart>
        <c:scatterStyle val="lineMarker"/>
        <c:varyColors val="0"/>
        <c:ser>
          <c:idx val="0"/>
          <c:order val="0"/>
          <c:tx>
            <c:strRef>
              <c:f>'pivot for Interaction'!$O$15</c:f>
              <c:strCache>
                <c:ptCount val="1"/>
                <c:pt idx="0">
                  <c:v>Human Resources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53781025611830768"/>
                  <c:y val="-5.4577143415465088E-2"/>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aseline="0"/>
                      <a:t>HR predicted: y = 561.14x + 435.97</a:t>
                    </a:r>
                    <a:br>
                      <a:rPr lang="en-US" baseline="0"/>
                    </a:br>
                    <a:r>
                      <a:rPr lang="en-US" baseline="0"/>
                      <a:t>R² = 0.7687</a:t>
                    </a:r>
                    <a:endParaRPr lang="en-US"/>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'pivot for Interaction'!$N$16:$N$50</c:f>
              <c:numCache>
                <c:formatCode>General</c:formatCod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numCache>
            </c:numRef>
          </c:xVal>
          <c:yVal>
            <c:numRef>
              <c:f>'pivot for Interaction'!$O$16:$O$50</c:f>
              <c:numCache>
                <c:formatCode>General</c:formatCode>
                <c:ptCount val="35"/>
                <c:pt idx="0">
                  <c:v>2446.5</c:v>
                </c:pt>
                <c:pt idx="1">
                  <c:v>2849</c:v>
                </c:pt>
                <c:pt idx="2">
                  <c:v>2425.5</c:v>
                </c:pt>
                <c:pt idx="3">
                  <c:v>2922.6666666666665</c:v>
                </c:pt>
                <c:pt idx="4">
                  <c:v>3600</c:v>
                </c:pt>
                <c:pt idx="5">
                  <c:v>2794.625</c:v>
                </c:pt>
                <c:pt idx="6">
                  <c:v>2490.4</c:v>
                </c:pt>
                <c:pt idx="7">
                  <c:v>2626</c:v>
                </c:pt>
                <c:pt idx="8">
                  <c:v>8334.3333333333339</c:v>
                </c:pt>
                <c:pt idx="9">
                  <c:v>5450</c:v>
                </c:pt>
                <c:pt idx="10">
                  <c:v>9950</c:v>
                </c:pt>
                <c:pt idx="11">
                  <c:v>6368</c:v>
                </c:pt>
                <c:pt idx="12">
                  <c:v>3898</c:v>
                </c:pt>
                <c:pt idx="13">
                  <c:v>5116.5</c:v>
                </c:pt>
                <c:pt idx="15">
                  <c:v>7873</c:v>
                </c:pt>
                <c:pt idx="18">
                  <c:v>4071</c:v>
                </c:pt>
                <c:pt idx="20">
                  <c:v>16618</c:v>
                </c:pt>
                <c:pt idx="21">
                  <c:v>19189</c:v>
                </c:pt>
                <c:pt idx="22">
                  <c:v>18234.5</c:v>
                </c:pt>
                <c:pt idx="23">
                  <c:v>10482</c:v>
                </c:pt>
                <c:pt idx="26">
                  <c:v>19626.310000000001</c:v>
                </c:pt>
                <c:pt idx="29">
                  <c:v>18844</c:v>
                </c:pt>
                <c:pt idx="31">
                  <c:v>18200</c:v>
                </c:pt>
                <c:pt idx="32">
                  <c:v>14026</c:v>
                </c:pt>
                <c:pt idx="34">
                  <c:v>19626.310000000001</c:v>
                </c:pt>
              </c:numCache>
            </c:numRef>
          </c:yVal>
          <c:smooth val="0"/>
          <c:extLst>
            <c:ext xmlns:c16="http://schemas.microsoft.com/office/drawing/2014/chart" uri="{C3380CC4-5D6E-409C-BE32-E72D297353CC}">
              <c16:uniqueId val="{00000000-0929-4CF4-BBDF-B94484CAE6F9}"/>
            </c:ext>
          </c:extLst>
        </c:ser>
        <c:ser>
          <c:idx val="1"/>
          <c:order val="1"/>
          <c:tx>
            <c:strRef>
              <c:f>'pivot for Interaction'!$P$15</c:f>
              <c:strCache>
                <c:ptCount val="1"/>
                <c:pt idx="0">
                  <c:v>Research &amp; Development</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dispRSqr val="1"/>
            <c:dispEq val="1"/>
            <c:trendlineLbl>
              <c:layout>
                <c:manualLayout>
                  <c:x val="-0.52460306226652131"/>
                  <c:y val="-4.7844476750627338E-3"/>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aseline="0"/>
                      <a:t>R&amp;D predicted: y = 480.41x + 900.56</a:t>
                    </a:r>
                    <a:br>
                      <a:rPr lang="en-US" baseline="0"/>
                    </a:br>
                    <a:r>
                      <a:rPr lang="en-US" baseline="0"/>
                      <a:t>R² = 0.8335</a:t>
                    </a:r>
                    <a:endParaRPr lang="en-US"/>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'pivot for Interaction'!$N$16:$N$50</c:f>
              <c:numCache>
                <c:formatCode>General</c:formatCod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numCache>
            </c:numRef>
          </c:xVal>
          <c:yVal>
            <c:numRef>
              <c:f>'pivot for Interaction'!$P$16:$P$50</c:f>
              <c:numCache>
                <c:formatCode>General</c:formatCode>
                <c:ptCount val="35"/>
                <c:pt idx="0">
                  <c:v>2177.5021875000002</c:v>
                </c:pt>
                <c:pt idx="1">
                  <c:v>2719.0526315789475</c:v>
                </c:pt>
                <c:pt idx="2">
                  <c:v>2964.2272727272725</c:v>
                </c:pt>
                <c:pt idx="3">
                  <c:v>3333.8139534883721</c:v>
                </c:pt>
                <c:pt idx="4">
                  <c:v>3133.155172413793</c:v>
                </c:pt>
                <c:pt idx="5">
                  <c:v>3530.7530864197529</c:v>
                </c:pt>
                <c:pt idx="6">
                  <c:v>3624.3090909090911</c:v>
                </c:pt>
                <c:pt idx="7">
                  <c:v>3610.8358208955224</c:v>
                </c:pt>
                <c:pt idx="8">
                  <c:v>6355.7868852459014</c:v>
                </c:pt>
                <c:pt idx="9">
                  <c:v>5617.977272727273</c:v>
                </c:pt>
                <c:pt idx="10">
                  <c:v>4993.208333333333</c:v>
                </c:pt>
                <c:pt idx="11">
                  <c:v>5689.8275862068967</c:v>
                </c:pt>
                <c:pt idx="12">
                  <c:v>6777.4210526315792</c:v>
                </c:pt>
                <c:pt idx="13">
                  <c:v>7179.5555555555557</c:v>
                </c:pt>
                <c:pt idx="14">
                  <c:v>7009.04</c:v>
                </c:pt>
                <c:pt idx="15">
                  <c:v>8600.681818181818</c:v>
                </c:pt>
                <c:pt idx="16">
                  <c:v>6358.8461538461543</c:v>
                </c:pt>
                <c:pt idx="17">
                  <c:v>6523.8</c:v>
                </c:pt>
                <c:pt idx="18">
                  <c:v>5935.6875</c:v>
                </c:pt>
                <c:pt idx="19">
                  <c:v>6230.818181818182</c:v>
                </c:pt>
                <c:pt idx="20">
                  <c:v>16557.40846153846</c:v>
                </c:pt>
                <c:pt idx="21">
                  <c:v>16147.272727272728</c:v>
                </c:pt>
                <c:pt idx="22">
                  <c:v>15656.100769230768</c:v>
                </c:pt>
                <c:pt idx="23">
                  <c:v>14929.807857142858</c:v>
                </c:pt>
                <c:pt idx="24">
                  <c:v>14633.755454545455</c:v>
                </c:pt>
                <c:pt idx="25">
                  <c:v>17228.099999999999</c:v>
                </c:pt>
                <c:pt idx="26">
                  <c:v>14315.5</c:v>
                </c:pt>
                <c:pt idx="27">
                  <c:v>15247.28875</c:v>
                </c:pt>
                <c:pt idx="28">
                  <c:v>15134.615714285714</c:v>
                </c:pt>
                <c:pt idx="29">
                  <c:v>14618.6</c:v>
                </c:pt>
                <c:pt idx="30">
                  <c:v>15614.714285714286</c:v>
                </c:pt>
                <c:pt idx="31">
                  <c:v>15891.885</c:v>
                </c:pt>
                <c:pt idx="32">
                  <c:v>14436.25</c:v>
                </c:pt>
                <c:pt idx="33">
                  <c:v>15602.577499999999</c:v>
                </c:pt>
                <c:pt idx="34">
                  <c:v>15798.5</c:v>
                </c:pt>
              </c:numCache>
            </c:numRef>
          </c:yVal>
          <c:smooth val="0"/>
          <c:extLst>
            <c:ext xmlns:c16="http://schemas.microsoft.com/office/drawing/2014/chart" uri="{C3380CC4-5D6E-409C-BE32-E72D297353CC}">
              <c16:uniqueId val="{00000001-0929-4CF4-BBDF-B94484CAE6F9}"/>
            </c:ext>
          </c:extLst>
        </c:ser>
        <c:ser>
          <c:idx val="2"/>
          <c:order val="2"/>
          <c:tx>
            <c:strRef>
              <c:f>'pivot for Interaction'!$Q$15</c:f>
              <c:strCache>
                <c:ptCount val="1"/>
                <c:pt idx="0">
                  <c:v>Sales</c:v>
                </c:pt>
              </c:strCache>
            </c:strRef>
          </c:tx>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trendline>
            <c:spPr>
              <a:ln w="25400" cap="rnd">
                <a:solidFill>
                  <a:schemeClr val="accent3">
                    <a:alpha val="50000"/>
                  </a:schemeClr>
                </a:solidFill>
              </a:ln>
              <a:effectLst/>
            </c:spPr>
            <c:trendlineType val="linear"/>
            <c:dispRSqr val="0"/>
            <c:dispEq val="0"/>
          </c:trendline>
          <c:trendline>
            <c:spPr>
              <a:ln w="25400" cap="rnd">
                <a:solidFill>
                  <a:schemeClr val="accent3">
                    <a:alpha val="50000"/>
                  </a:schemeClr>
                </a:solidFill>
              </a:ln>
              <a:effectLst/>
            </c:spPr>
            <c:trendlineType val="linear"/>
            <c:dispRSqr val="0"/>
            <c:dispEq val="0"/>
          </c:trendline>
          <c:trendline>
            <c:spPr>
              <a:ln w="25400" cap="rnd">
                <a:solidFill>
                  <a:schemeClr val="accent3">
                    <a:alpha val="50000"/>
                  </a:schemeClr>
                </a:solidFill>
              </a:ln>
              <a:effectLst/>
            </c:spPr>
            <c:trendlineType val="linear"/>
            <c:dispRSqr val="1"/>
            <c:dispEq val="1"/>
            <c:trendlineLbl>
              <c:layout>
                <c:manualLayout>
                  <c:x val="-0.53441149208154703"/>
                  <c:y val="8.1604039262352629E-2"/>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aseline="0"/>
                      <a:t>Sales predicted: y = 452x + 1711.6</a:t>
                    </a:r>
                    <a:br>
                      <a:rPr lang="en-US" baseline="0"/>
                    </a:br>
                    <a:r>
                      <a:rPr lang="en-US" baseline="0"/>
                      <a:t>R² = 0.7688</a:t>
                    </a:r>
                    <a:endParaRPr lang="en-US"/>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'pivot for Interaction'!$N$16:$N$50</c:f>
              <c:numCache>
                <c:formatCode>General</c:formatCod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numCache>
            </c:numRef>
          </c:xVal>
          <c:yVal>
            <c:numRef>
              <c:f>'pivot for Interaction'!$Q$16:$Q$50</c:f>
              <c:numCache>
                <c:formatCode>General</c:formatCode>
                <c:ptCount val="35"/>
                <c:pt idx="0">
                  <c:v>2075.1149999999998</c:v>
                </c:pt>
                <c:pt idx="1">
                  <c:v>2479.6</c:v>
                </c:pt>
                <c:pt idx="2">
                  <c:v>2596.6666666666665</c:v>
                </c:pt>
                <c:pt idx="3">
                  <c:v>4446.2941176470586</c:v>
                </c:pt>
                <c:pt idx="4">
                  <c:v>4159.4137931034484</c:v>
                </c:pt>
                <c:pt idx="5">
                  <c:v>6071.083333333333</c:v>
                </c:pt>
                <c:pt idx="6">
                  <c:v>6004.1428571428569</c:v>
                </c:pt>
                <c:pt idx="7">
                  <c:v>5757.9677419354839</c:v>
                </c:pt>
                <c:pt idx="8">
                  <c:v>6973.15625</c:v>
                </c:pt>
                <c:pt idx="9">
                  <c:v>6948.7096774193551</c:v>
                </c:pt>
                <c:pt idx="10">
                  <c:v>6755.363636363636</c:v>
                </c:pt>
                <c:pt idx="11">
                  <c:v>6543.9411764705883</c:v>
                </c:pt>
                <c:pt idx="12">
                  <c:v>5907.333333333333</c:v>
                </c:pt>
                <c:pt idx="13">
                  <c:v>8069.545454545455</c:v>
                </c:pt>
                <c:pt idx="14">
                  <c:v>7592.1333333333332</c:v>
                </c:pt>
                <c:pt idx="15">
                  <c:v>7543.2307692307695</c:v>
                </c:pt>
                <c:pt idx="16">
                  <c:v>7321.8571428571431</c:v>
                </c:pt>
                <c:pt idx="17">
                  <c:v>7758.8571428571431</c:v>
                </c:pt>
                <c:pt idx="18">
                  <c:v>4820</c:v>
                </c:pt>
                <c:pt idx="19">
                  <c:v>6983</c:v>
                </c:pt>
                <c:pt idx="20">
                  <c:v>14737.385</c:v>
                </c:pt>
                <c:pt idx="21">
                  <c:v>14756.777777777777</c:v>
                </c:pt>
                <c:pt idx="22">
                  <c:v>12922.714285714286</c:v>
                </c:pt>
                <c:pt idx="23">
                  <c:v>11462.333333333334</c:v>
                </c:pt>
                <c:pt idx="24">
                  <c:v>14373.333333333334</c:v>
                </c:pt>
                <c:pt idx="25">
                  <c:v>18369</c:v>
                </c:pt>
                <c:pt idx="26">
                  <c:v>18449</c:v>
                </c:pt>
                <c:pt idx="27">
                  <c:v>12876.5</c:v>
                </c:pt>
                <c:pt idx="28">
                  <c:v>16718</c:v>
                </c:pt>
                <c:pt idx="29">
                  <c:v>7525</c:v>
                </c:pt>
                <c:pt idx="30">
                  <c:v>17526.654999999999</c:v>
                </c:pt>
                <c:pt idx="31">
                  <c:v>16817.5</c:v>
                </c:pt>
                <c:pt idx="32">
                  <c:v>19347.154999999999</c:v>
                </c:pt>
                <c:pt idx="33">
                  <c:v>16856</c:v>
                </c:pt>
                <c:pt idx="34">
                  <c:v>15121.666666666666</c:v>
                </c:pt>
              </c:numCache>
            </c:numRef>
          </c:yVal>
          <c:smooth val="0"/>
          <c:extLst>
            <c:ext xmlns:c16="http://schemas.microsoft.com/office/drawing/2014/chart" uri="{C3380CC4-5D6E-409C-BE32-E72D297353CC}">
              <c16:uniqueId val="{00000002-0929-4CF4-BBDF-B94484CAE6F9}"/>
            </c:ext>
          </c:extLst>
        </c:ser>
        <c:dLbls>
          <c:showLegendKey val="0"/>
          <c:showVal val="0"/>
          <c:showCatName val="0"/>
          <c:showSerName val="0"/>
          <c:showPercent val="0"/>
          <c:showBubbleSize val="0"/>
        </c:dLbls>
        <c:axId val="882095632"/>
        <c:axId val="882096288"/>
      </c:scatterChart>
      <c:valAx>
        <c:axId val="882095632"/>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Total Working 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2096288"/>
        <c:crosses val="autoZero"/>
        <c:crossBetween val="midCat"/>
      </c:valAx>
      <c:valAx>
        <c:axId val="88209628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Monthly Income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20956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Box plot for Monthly Income</cx:v>
        </cx:txData>
      </cx:tx>
      <cx:txPr>
        <a:bodyPr spcFirstLastPara="1" vertOverflow="ellipsis" wrap="square" lIns="0" tIns="0" rIns="0" bIns="0" anchor="ctr" anchorCtr="1"/>
        <a:lstStyle/>
        <a:p>
          <a:pPr algn="ctr">
            <a:defRPr/>
          </a:pPr>
          <a:r>
            <a:rPr lang="en-US"/>
            <a:t>Box plot for Monthly Income</a:t>
          </a:r>
        </a:p>
      </cx:txPr>
    </cx:title>
    <cx:plotArea>
      <cx:plotAreaRegion>
        <cx:series layoutId="boxWhisker" uniqueId="{AF5C265E-14BD-4AF4-8A9C-2EDEEFFC5F6F}" formatIdx="0">
          <cx:tx>
            <cx:txData>
              <cx:f>_xlchart.v1.12</cx:f>
              <cx:v>MonthlyIncome</cx:v>
            </cx:txData>
          </cx:tx>
          <cx:dataId val="0"/>
          <cx:layoutPr>
            <cx:statistics quartileMethod="exclusive"/>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Histogram for Age</cx:v>
        </cx:txData>
      </cx:tx>
      <cx:txPr>
        <a:bodyPr spcFirstLastPara="1" vertOverflow="ellipsis" wrap="square" lIns="0" tIns="0" rIns="0" bIns="0" anchor="ctr" anchorCtr="1"/>
        <a:lstStyle/>
        <a:p>
          <a:pPr algn="ctr">
            <a:defRPr/>
          </a:pPr>
          <a:r>
            <a:rPr lang="en-US"/>
            <a:t>Histogram for Age</a:t>
          </a:r>
        </a:p>
      </cx:txPr>
    </cx:title>
    <cx:plotArea>
      <cx:plotAreaRegion>
        <cx:series layoutId="clusteredColumn" uniqueId="{5B50669A-06EF-4C13-8DBD-54A14A7D0186}">
          <cx:tx>
            <cx:txData>
              <cx:f>_xlchart.v1.6</cx:f>
              <cx:v>Age</cx:v>
            </cx:txData>
          </cx:tx>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Histogram of Years at Company</cx:v>
        </cx:txData>
      </cx:tx>
      <cx:txPr>
        <a:bodyPr spcFirstLastPara="1" vertOverflow="ellipsis" wrap="square" lIns="0" tIns="0" rIns="0" bIns="0" anchor="ctr" anchorCtr="1"/>
        <a:lstStyle/>
        <a:p>
          <a:pPr algn="ctr">
            <a:defRPr/>
          </a:pPr>
          <a:r>
            <a:rPr lang="en-US"/>
            <a:t>Histogram of Years at Company</a:t>
          </a:r>
        </a:p>
      </cx:txPr>
    </cx:title>
    <cx:plotArea>
      <cx:plotAreaRegion>
        <cx:series layoutId="clusteredColumn" uniqueId="{18010CD4-8D71-4F0D-8AD3-1B5F88D5A1EC}">
          <cx:tx>
            <cx:txData>
              <cx:f>_xlchart.v1.16</cx:f>
              <cx:v>YearsAtCompany</cx:v>
            </cx:txData>
          </cx:tx>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Distance from Work</cx:v>
        </cx:txData>
      </cx:tx>
      <cx:txPr>
        <a:bodyPr spcFirstLastPara="1" vertOverflow="ellipsis" wrap="square" lIns="0" tIns="0" rIns="0" bIns="0" anchor="ctr" anchorCtr="1"/>
        <a:lstStyle/>
        <a:p>
          <a:pPr algn="ctr">
            <a:defRPr/>
          </a:pPr>
          <a:r>
            <a:rPr lang="en-US"/>
            <a:t>Distance from Work</a:t>
          </a:r>
        </a:p>
      </cx:txPr>
    </cx:title>
    <cx:plotArea>
      <cx:plotAreaRegion>
        <cx:series layoutId="clusteredColumn" uniqueId="{653A8D08-2620-4D40-AF61-3034B60066EF}">
          <cx:tx>
            <cx:txData>
              <cx:f>_xlchart.v1.8</cx:f>
              <cx:v>DistanceFromHome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Years With Current Manager</cx:v>
        </cx:txData>
      </cx:tx>
      <cx:txPr>
        <a:bodyPr spcFirstLastPara="1" vertOverflow="ellipsis" wrap="square" lIns="0" tIns="0" rIns="0" bIns="0" anchor="ctr" anchorCtr="1"/>
        <a:lstStyle/>
        <a:p>
          <a:pPr algn="ctr">
            <a:defRPr/>
          </a:pPr>
          <a:r>
            <a:rPr lang="en-US"/>
            <a:t>Years With Current Manager</a:t>
          </a:r>
        </a:p>
      </cx:txPr>
    </cx:title>
    <cx:plotArea>
      <cx:plotAreaRegion>
        <cx:series layoutId="clusteredColumn" uniqueId="{17AE17D0-A138-4133-92BD-62847D7CEB86}">
          <cx:tx>
            <cx:txData>
              <cx:f>_xlchart.v1.2</cx:f>
              <cx:v>YearsWithCurrManager</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Years in Current Role</cx:v>
        </cx:txData>
      </cx:tx>
      <cx:txPr>
        <a:bodyPr spcFirstLastPara="1" vertOverflow="ellipsis" wrap="square" lIns="0" tIns="0" rIns="0" bIns="0" anchor="ctr" anchorCtr="1"/>
        <a:lstStyle/>
        <a:p>
          <a:pPr algn="ctr">
            <a:defRPr/>
          </a:pPr>
          <a:r>
            <a:rPr lang="en-US"/>
            <a:t>Years in Current Role</a:t>
          </a:r>
        </a:p>
      </cx:txPr>
    </cx:title>
    <cx:plotArea>
      <cx:plotAreaRegion>
        <cx:series layoutId="clusteredColumn" uniqueId="{B8814815-D92E-45A3-9903-BBB3507D8138}">
          <cx:tx>
            <cx:txData>
              <cx:f>_xlchart.v1.14</cx:f>
              <cx:v>YearsInCurrentRole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Years Since Last Promotion</cx:v>
        </cx:txData>
      </cx:tx>
      <cx:txPr>
        <a:bodyPr spcFirstLastPara="1" vertOverflow="ellipsis" wrap="square" lIns="0" tIns="0" rIns="0" bIns="0" anchor="ctr" anchorCtr="1"/>
        <a:lstStyle/>
        <a:p>
          <a:pPr algn="ctr">
            <a:defRPr/>
          </a:pPr>
          <a:r>
            <a:rPr lang="en-US"/>
            <a:t>Years Since Last Promotion</a:t>
          </a:r>
        </a:p>
      </cx:txPr>
    </cx:title>
    <cx:plotArea>
      <cx:plotAreaRegion>
        <cx:series layoutId="clusteredColumn" uniqueId="{9DD7A20C-FB23-4E4B-95C5-AB489F36B91A}">
          <cx:tx>
            <cx:txData>
              <cx:f>_xlchart.v1.4</cx:f>
              <cx:v>YearsSinceLastPromotion</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Total Working Years</cx:v>
        </cx:txData>
      </cx:tx>
      <cx:txPr>
        <a:bodyPr spcFirstLastPara="1" vertOverflow="ellipsis" wrap="square" lIns="0" tIns="0" rIns="0" bIns="0" anchor="ctr" anchorCtr="1"/>
        <a:lstStyle/>
        <a:p>
          <a:pPr algn="ctr">
            <a:defRPr/>
          </a:pPr>
          <a:r>
            <a:rPr lang="en-US"/>
            <a:t>Total Working Years</a:t>
          </a:r>
        </a:p>
      </cx:txPr>
    </cx:title>
    <cx:plotArea>
      <cx:plotAreaRegion>
        <cx:series layoutId="clusteredColumn" uniqueId="{261AFD7C-6235-4C9F-A1AF-5D33B9D0C194}">
          <cx:tx>
            <cx:txData>
              <cx:f>_xlchart.v1.10</cx:f>
              <cx:v>TotalWorkingYears</cx:v>
            </cx:txData>
          </cx:tx>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for Monthly Income</cx:v>
        </cx:txData>
      </cx:tx>
      <cx:txPr>
        <a:bodyPr spcFirstLastPara="1" vertOverflow="ellipsis" wrap="square" lIns="0" tIns="0" rIns="0" bIns="0" anchor="ctr" anchorCtr="1"/>
        <a:lstStyle/>
        <a:p>
          <a:pPr algn="ctr">
            <a:defRPr/>
          </a:pPr>
          <a:r>
            <a:rPr lang="en-US"/>
            <a:t>Histogram for Monthly Income</a:t>
          </a:r>
        </a:p>
      </cx:txPr>
    </cx:title>
    <cx:plotArea>
      <cx:plotAreaRegion>
        <cx:series layoutId="clusteredColumn" uniqueId="{AF5C265E-14BD-4AF4-8A9C-2EDEEFFC5F6F}" formatIdx="0">
          <cx:tx>
            <cx:txData>
              <cx:f>_xlchart.v1.0</cx:f>
              <cx:v>MonthlyIncome</cx:v>
            </cx:txData>
          </cx:tx>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_xlchart.v1.19</cx:f>
      </cx:numDim>
    </cx:data>
  </cx:chartData>
  <cx:chart>
    <cx:title pos="t" align="ctr" overlay="0"/>
    <cx:plotArea>
      <cx:plotAreaRegion>
        <cx:series layoutId="clusteredColumn" uniqueId="{79A8C32E-E956-4504-AEB3-4C12B6F01EFB}">
          <cx:dataId val="0"/>
          <cx:layoutPr>
            <cx:aggregation/>
          </cx:layoutPr>
          <cx:axisId val="1"/>
        </cx:series>
        <cx:series layoutId="paretoLine" ownerIdx="0" uniqueId="{C19866DD-5AD5-4728-B298-91C96F626A5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4.png"/><Relationship Id="rId26" Type="http://schemas.openxmlformats.org/officeDocument/2006/relationships/image" Target="../media/image21.png"/><Relationship Id="rId39" Type="http://schemas.openxmlformats.org/officeDocument/2006/relationships/image" Target="../media/image11.png"/><Relationship Id="rId21" Type="http://schemas.openxmlformats.org/officeDocument/2006/relationships/image" Target="../media/image35.png"/><Relationship Id="rId34" Type="http://schemas.openxmlformats.org/officeDocument/2006/relationships/image" Target="../media/image8.png"/><Relationship Id="rId42" Type="http://schemas.openxmlformats.org/officeDocument/2006/relationships/image" Target="../media/image13.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25.png"/><Relationship Id="rId12" Type="http://schemas.openxmlformats.org/officeDocument/2006/relationships/image" Target="../media/image29.png"/><Relationship Id="rId17" Type="http://schemas.openxmlformats.org/officeDocument/2006/relationships/image" Target="../media/image32.png"/><Relationship Id="rId25" Type="http://schemas.openxmlformats.org/officeDocument/2006/relationships/image" Target="../media/image5.png"/><Relationship Id="rId33" Type="http://schemas.openxmlformats.org/officeDocument/2006/relationships/image" Target="../media/image41.png"/><Relationship Id="rId38" Type="http://schemas.openxmlformats.org/officeDocument/2006/relationships/image" Target="../media/image10.png"/><Relationship Id="rId46" Type="http://schemas.openxmlformats.org/officeDocument/2006/relationships/image" Target="../media/image46.png"/><Relationship Id="rId59" Type="http://schemas.openxmlformats.org/officeDocument/2006/relationships/image" Target="../media/image59.png"/><Relationship Id="rId2" Type="http://schemas.openxmlformats.org/officeDocument/2006/relationships/image" Target="../media/image23.png"/><Relationship Id="rId16" Type="http://schemas.openxmlformats.org/officeDocument/2006/relationships/image" Target="../media/image22.png"/><Relationship Id="rId20" Type="http://schemas.openxmlformats.org/officeDocument/2006/relationships/image" Target="../media/image34.png"/><Relationship Id="rId29" Type="http://schemas.openxmlformats.org/officeDocument/2006/relationships/image" Target="../media/image39.png"/><Relationship Id="rId41" Type="http://schemas.openxmlformats.org/officeDocument/2006/relationships/image" Target="../media/image44.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image" Target="../media/image28.png"/><Relationship Id="rId24" Type="http://schemas.openxmlformats.org/officeDocument/2006/relationships/image" Target="../media/image38.png"/><Relationship Id="rId32" Type="http://schemas.openxmlformats.org/officeDocument/2006/relationships/image" Target="../media/image40.png"/><Relationship Id="rId37" Type="http://schemas.openxmlformats.org/officeDocument/2006/relationships/image" Target="../media/image43.png"/><Relationship Id="rId40" Type="http://schemas.openxmlformats.org/officeDocument/2006/relationships/image" Target="../media/image12.png"/><Relationship Id="rId45" Type="http://schemas.openxmlformats.org/officeDocument/2006/relationships/image" Target="../media/image1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18.png"/><Relationship Id="rId15" Type="http://schemas.openxmlformats.org/officeDocument/2006/relationships/image" Target="../media/image3.png"/><Relationship Id="rId23" Type="http://schemas.openxmlformats.org/officeDocument/2006/relationships/image" Target="../media/image37.png"/><Relationship Id="rId28" Type="http://schemas.openxmlformats.org/officeDocument/2006/relationships/image" Target="../media/image6.png"/><Relationship Id="rId36" Type="http://schemas.openxmlformats.org/officeDocument/2006/relationships/image" Target="../media/image9.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27.png"/><Relationship Id="rId19" Type="http://schemas.openxmlformats.org/officeDocument/2006/relationships/image" Target="../media/image33.png"/><Relationship Id="rId31" Type="http://schemas.openxmlformats.org/officeDocument/2006/relationships/image" Target="../media/image19.png"/><Relationship Id="rId44" Type="http://schemas.openxmlformats.org/officeDocument/2006/relationships/image" Target="../media/image45.png"/><Relationship Id="rId52" Type="http://schemas.openxmlformats.org/officeDocument/2006/relationships/image" Target="../media/image52.png"/><Relationship Id="rId4" Type="http://schemas.openxmlformats.org/officeDocument/2006/relationships/image" Target="../media/image17.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6.png"/><Relationship Id="rId27" Type="http://schemas.openxmlformats.org/officeDocument/2006/relationships/image" Target="../media/image20.png"/><Relationship Id="rId30" Type="http://schemas.openxmlformats.org/officeDocument/2006/relationships/image" Target="../media/image7.png"/><Relationship Id="rId35" Type="http://schemas.openxmlformats.org/officeDocument/2006/relationships/image" Target="../media/image42.png"/><Relationship Id="rId43" Type="http://schemas.openxmlformats.org/officeDocument/2006/relationships/image" Target="../media/image14.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2.png"/><Relationship Id="rId51" Type="http://schemas.openxmlformats.org/officeDocument/2006/relationships/image" Target="../media/image51.png"/><Relationship Id="rId3"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14/relationships/chartEx" Target="../charts/chartEx6.xml"/><Relationship Id="rId13" Type="http://schemas.microsoft.com/office/2014/relationships/chartEx" Target="../charts/chartEx9.xml"/><Relationship Id="rId3" Type="http://schemas.openxmlformats.org/officeDocument/2006/relationships/chart" Target="../charts/chart1.xml"/><Relationship Id="rId7" Type="http://schemas.microsoft.com/office/2014/relationships/chartEx" Target="../charts/chartEx5.xml"/><Relationship Id="rId12"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4.xml"/><Relationship Id="rId11" Type="http://schemas.openxmlformats.org/officeDocument/2006/relationships/chart" Target="../charts/chart3.xml"/><Relationship Id="rId5" Type="http://schemas.microsoft.com/office/2014/relationships/chartEx" Target="../charts/chartEx3.xml"/><Relationship Id="rId15" Type="http://schemas.openxmlformats.org/officeDocument/2006/relationships/chart" Target="../charts/chart6.xml"/><Relationship Id="rId10" Type="http://schemas.microsoft.com/office/2014/relationships/chartEx" Target="../charts/chartEx8.xml"/><Relationship Id="rId4" Type="http://schemas.openxmlformats.org/officeDocument/2006/relationships/chart" Target="../charts/chart2.xml"/><Relationship Id="rId9" Type="http://schemas.microsoft.com/office/2014/relationships/chartEx" Target="../charts/chartEx7.xml"/><Relationship Id="rId1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openxmlformats.org/officeDocument/2006/relationships/chart" Target="../charts/chart25.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2</xdr:col>
      <xdr:colOff>95308</xdr:colOff>
      <xdr:row>6</xdr:row>
      <xdr:rowOff>38143</xdr:rowOff>
    </xdr:from>
    <xdr:ext cx="923810" cy="685714"/>
    <xdr:pic>
      <xdr:nvPicPr>
        <xdr:cNvPr id="2" name="Picture 1">
          <a:extLst>
            <a:ext uri="{FF2B5EF4-FFF2-40B4-BE49-F238E27FC236}">
              <a16:creationId xmlns:a16="http://schemas.microsoft.com/office/drawing/2014/main" id="{36374518-A6B9-45E1-9B8F-80471A59EC55}"/>
            </a:ext>
          </a:extLst>
        </xdr:cNvPr>
        <xdr:cNvPicPr>
          <a:picLocks noChangeAspect="1"/>
        </xdr:cNvPicPr>
      </xdr:nvPicPr>
      <xdr:blipFill>
        <a:blip xmlns:r="http://schemas.openxmlformats.org/officeDocument/2006/relationships" r:embed="rId1"/>
        <a:stretch>
          <a:fillRect/>
        </a:stretch>
      </xdr:blipFill>
      <xdr:spPr>
        <a:xfrm>
          <a:off x="1390708" y="1123993"/>
          <a:ext cx="923810" cy="685714"/>
        </a:xfrm>
        <a:prstGeom prst="rect">
          <a:avLst/>
        </a:prstGeom>
      </xdr:spPr>
    </xdr:pic>
    <xdr:clientData/>
  </xdr:oneCellAnchor>
  <xdr:oneCellAnchor>
    <xdr:from>
      <xdr:col>2</xdr:col>
      <xdr:colOff>95308</xdr:colOff>
      <xdr:row>7</xdr:row>
      <xdr:rowOff>38143</xdr:rowOff>
    </xdr:from>
    <xdr:ext cx="923810" cy="685714"/>
    <xdr:pic>
      <xdr:nvPicPr>
        <xdr:cNvPr id="3" name="Picture 2">
          <a:extLst>
            <a:ext uri="{FF2B5EF4-FFF2-40B4-BE49-F238E27FC236}">
              <a16:creationId xmlns:a16="http://schemas.microsoft.com/office/drawing/2014/main" id="{53DDE40B-209E-4C3D-9340-7AAD43C71AEC}"/>
            </a:ext>
          </a:extLst>
        </xdr:cNvPr>
        <xdr:cNvPicPr>
          <a:picLocks noChangeAspect="1"/>
        </xdr:cNvPicPr>
      </xdr:nvPicPr>
      <xdr:blipFill>
        <a:blip xmlns:r="http://schemas.openxmlformats.org/officeDocument/2006/relationships" r:embed="rId2"/>
        <a:stretch>
          <a:fillRect/>
        </a:stretch>
      </xdr:blipFill>
      <xdr:spPr>
        <a:xfrm>
          <a:off x="1390708" y="1304968"/>
          <a:ext cx="923810" cy="685714"/>
        </a:xfrm>
        <a:prstGeom prst="rect">
          <a:avLst/>
        </a:prstGeom>
      </xdr:spPr>
    </xdr:pic>
    <xdr:clientData/>
  </xdr:oneCellAnchor>
  <xdr:oneCellAnchor>
    <xdr:from>
      <xdr:col>2</xdr:col>
      <xdr:colOff>95308</xdr:colOff>
      <xdr:row>8</xdr:row>
      <xdr:rowOff>38143</xdr:rowOff>
    </xdr:from>
    <xdr:ext cx="923810" cy="685714"/>
    <xdr:pic>
      <xdr:nvPicPr>
        <xdr:cNvPr id="4" name="Picture 3">
          <a:extLst>
            <a:ext uri="{FF2B5EF4-FFF2-40B4-BE49-F238E27FC236}">
              <a16:creationId xmlns:a16="http://schemas.microsoft.com/office/drawing/2014/main" id="{824F5BC7-E2DE-4098-A5C0-C1D56F2349F1}"/>
            </a:ext>
          </a:extLst>
        </xdr:cNvPr>
        <xdr:cNvPicPr>
          <a:picLocks noChangeAspect="1"/>
        </xdr:cNvPicPr>
      </xdr:nvPicPr>
      <xdr:blipFill>
        <a:blip xmlns:r="http://schemas.openxmlformats.org/officeDocument/2006/relationships" r:embed="rId3"/>
        <a:stretch>
          <a:fillRect/>
        </a:stretch>
      </xdr:blipFill>
      <xdr:spPr>
        <a:xfrm>
          <a:off x="1390708" y="1485943"/>
          <a:ext cx="923810" cy="685714"/>
        </a:xfrm>
        <a:prstGeom prst="rect">
          <a:avLst/>
        </a:prstGeom>
      </xdr:spPr>
    </xdr:pic>
    <xdr:clientData/>
  </xdr:oneCellAnchor>
  <xdr:oneCellAnchor>
    <xdr:from>
      <xdr:col>2</xdr:col>
      <xdr:colOff>95308</xdr:colOff>
      <xdr:row>9</xdr:row>
      <xdr:rowOff>38143</xdr:rowOff>
    </xdr:from>
    <xdr:ext cx="923810" cy="685714"/>
    <xdr:pic>
      <xdr:nvPicPr>
        <xdr:cNvPr id="5" name="Picture 4">
          <a:extLst>
            <a:ext uri="{FF2B5EF4-FFF2-40B4-BE49-F238E27FC236}">
              <a16:creationId xmlns:a16="http://schemas.microsoft.com/office/drawing/2014/main" id="{B5597DAA-5E7A-492B-A883-063DCAA40C46}"/>
            </a:ext>
          </a:extLst>
        </xdr:cNvPr>
        <xdr:cNvPicPr>
          <a:picLocks noChangeAspect="1"/>
        </xdr:cNvPicPr>
      </xdr:nvPicPr>
      <xdr:blipFill>
        <a:blip xmlns:r="http://schemas.openxmlformats.org/officeDocument/2006/relationships" r:embed="rId4"/>
        <a:stretch>
          <a:fillRect/>
        </a:stretch>
      </xdr:blipFill>
      <xdr:spPr>
        <a:xfrm>
          <a:off x="1390708" y="1666918"/>
          <a:ext cx="923810" cy="685714"/>
        </a:xfrm>
        <a:prstGeom prst="rect">
          <a:avLst/>
        </a:prstGeom>
      </xdr:spPr>
    </xdr:pic>
    <xdr:clientData/>
  </xdr:oneCellAnchor>
  <xdr:oneCellAnchor>
    <xdr:from>
      <xdr:col>2</xdr:col>
      <xdr:colOff>95308</xdr:colOff>
      <xdr:row>10</xdr:row>
      <xdr:rowOff>38143</xdr:rowOff>
    </xdr:from>
    <xdr:ext cx="923810" cy="685714"/>
    <xdr:pic>
      <xdr:nvPicPr>
        <xdr:cNvPr id="6" name="Picture 5">
          <a:extLst>
            <a:ext uri="{FF2B5EF4-FFF2-40B4-BE49-F238E27FC236}">
              <a16:creationId xmlns:a16="http://schemas.microsoft.com/office/drawing/2014/main" id="{E71B384C-803F-48A6-9A8F-FCE49E4472B4}"/>
            </a:ext>
          </a:extLst>
        </xdr:cNvPr>
        <xdr:cNvPicPr>
          <a:picLocks noChangeAspect="1"/>
        </xdr:cNvPicPr>
      </xdr:nvPicPr>
      <xdr:blipFill>
        <a:blip xmlns:r="http://schemas.openxmlformats.org/officeDocument/2006/relationships" r:embed="rId5"/>
        <a:stretch>
          <a:fillRect/>
        </a:stretch>
      </xdr:blipFill>
      <xdr:spPr>
        <a:xfrm>
          <a:off x="1390708" y="1847893"/>
          <a:ext cx="923810" cy="685714"/>
        </a:xfrm>
        <a:prstGeom prst="rect">
          <a:avLst/>
        </a:prstGeom>
      </xdr:spPr>
    </xdr:pic>
    <xdr:clientData/>
  </xdr:oneCellAnchor>
  <xdr:oneCellAnchor>
    <xdr:from>
      <xdr:col>2</xdr:col>
      <xdr:colOff>95308</xdr:colOff>
      <xdr:row>11</xdr:row>
      <xdr:rowOff>38143</xdr:rowOff>
    </xdr:from>
    <xdr:ext cx="923810" cy="685714"/>
    <xdr:pic>
      <xdr:nvPicPr>
        <xdr:cNvPr id="7" name="Picture 6">
          <a:extLst>
            <a:ext uri="{FF2B5EF4-FFF2-40B4-BE49-F238E27FC236}">
              <a16:creationId xmlns:a16="http://schemas.microsoft.com/office/drawing/2014/main" id="{F70FD2F5-708B-4F6D-85D1-1DFA2C3ACF4A}"/>
            </a:ext>
          </a:extLst>
        </xdr:cNvPr>
        <xdr:cNvPicPr>
          <a:picLocks noChangeAspect="1"/>
        </xdr:cNvPicPr>
      </xdr:nvPicPr>
      <xdr:blipFill>
        <a:blip xmlns:r="http://schemas.openxmlformats.org/officeDocument/2006/relationships" r:embed="rId6"/>
        <a:stretch>
          <a:fillRect/>
        </a:stretch>
      </xdr:blipFill>
      <xdr:spPr>
        <a:xfrm>
          <a:off x="1390708" y="2028868"/>
          <a:ext cx="923810" cy="685714"/>
        </a:xfrm>
        <a:prstGeom prst="rect">
          <a:avLst/>
        </a:prstGeom>
      </xdr:spPr>
    </xdr:pic>
    <xdr:clientData/>
  </xdr:oneCellAnchor>
  <xdr:oneCellAnchor>
    <xdr:from>
      <xdr:col>2</xdr:col>
      <xdr:colOff>95308</xdr:colOff>
      <xdr:row>12</xdr:row>
      <xdr:rowOff>38143</xdr:rowOff>
    </xdr:from>
    <xdr:ext cx="923810" cy="685714"/>
    <xdr:pic>
      <xdr:nvPicPr>
        <xdr:cNvPr id="8" name="Picture 7">
          <a:extLst>
            <a:ext uri="{FF2B5EF4-FFF2-40B4-BE49-F238E27FC236}">
              <a16:creationId xmlns:a16="http://schemas.microsoft.com/office/drawing/2014/main" id="{07A9EAE0-6582-4ECA-BA4F-47CF312F0888}"/>
            </a:ext>
          </a:extLst>
        </xdr:cNvPr>
        <xdr:cNvPicPr>
          <a:picLocks noChangeAspect="1"/>
        </xdr:cNvPicPr>
      </xdr:nvPicPr>
      <xdr:blipFill>
        <a:blip xmlns:r="http://schemas.openxmlformats.org/officeDocument/2006/relationships" r:embed="rId7"/>
        <a:stretch>
          <a:fillRect/>
        </a:stretch>
      </xdr:blipFill>
      <xdr:spPr>
        <a:xfrm>
          <a:off x="1390708" y="2209843"/>
          <a:ext cx="923810" cy="685714"/>
        </a:xfrm>
        <a:prstGeom prst="rect">
          <a:avLst/>
        </a:prstGeom>
      </xdr:spPr>
    </xdr:pic>
    <xdr:clientData/>
  </xdr:oneCellAnchor>
  <xdr:oneCellAnchor>
    <xdr:from>
      <xdr:col>2</xdr:col>
      <xdr:colOff>95308</xdr:colOff>
      <xdr:row>13</xdr:row>
      <xdr:rowOff>38143</xdr:rowOff>
    </xdr:from>
    <xdr:ext cx="923810" cy="685714"/>
    <xdr:pic>
      <xdr:nvPicPr>
        <xdr:cNvPr id="9" name="Picture 8">
          <a:extLst>
            <a:ext uri="{FF2B5EF4-FFF2-40B4-BE49-F238E27FC236}">
              <a16:creationId xmlns:a16="http://schemas.microsoft.com/office/drawing/2014/main" id="{E31AB839-4C17-4635-B88F-C723BFB22850}"/>
            </a:ext>
          </a:extLst>
        </xdr:cNvPr>
        <xdr:cNvPicPr>
          <a:picLocks noChangeAspect="1"/>
        </xdr:cNvPicPr>
      </xdr:nvPicPr>
      <xdr:blipFill>
        <a:blip xmlns:r="http://schemas.openxmlformats.org/officeDocument/2006/relationships" r:embed="rId8"/>
        <a:stretch>
          <a:fillRect/>
        </a:stretch>
      </xdr:blipFill>
      <xdr:spPr>
        <a:xfrm>
          <a:off x="1390708" y="2390818"/>
          <a:ext cx="923810" cy="685714"/>
        </a:xfrm>
        <a:prstGeom prst="rect">
          <a:avLst/>
        </a:prstGeom>
      </xdr:spPr>
    </xdr:pic>
    <xdr:clientData/>
  </xdr:oneCellAnchor>
  <xdr:oneCellAnchor>
    <xdr:from>
      <xdr:col>2</xdr:col>
      <xdr:colOff>95308</xdr:colOff>
      <xdr:row>14</xdr:row>
      <xdr:rowOff>38142</xdr:rowOff>
    </xdr:from>
    <xdr:ext cx="923810" cy="685714"/>
    <xdr:pic>
      <xdr:nvPicPr>
        <xdr:cNvPr id="10" name="Picture 9">
          <a:extLst>
            <a:ext uri="{FF2B5EF4-FFF2-40B4-BE49-F238E27FC236}">
              <a16:creationId xmlns:a16="http://schemas.microsoft.com/office/drawing/2014/main" id="{40ECA37F-0940-42EA-A305-5E8B90888C4B}"/>
            </a:ext>
          </a:extLst>
        </xdr:cNvPr>
        <xdr:cNvPicPr>
          <a:picLocks noChangeAspect="1"/>
        </xdr:cNvPicPr>
      </xdr:nvPicPr>
      <xdr:blipFill>
        <a:blip xmlns:r="http://schemas.openxmlformats.org/officeDocument/2006/relationships" r:embed="rId9"/>
        <a:stretch>
          <a:fillRect/>
        </a:stretch>
      </xdr:blipFill>
      <xdr:spPr>
        <a:xfrm>
          <a:off x="1390708" y="2571792"/>
          <a:ext cx="923810" cy="685714"/>
        </a:xfrm>
        <a:prstGeom prst="rect">
          <a:avLst/>
        </a:prstGeom>
      </xdr:spPr>
    </xdr:pic>
    <xdr:clientData/>
  </xdr:oneCellAnchor>
  <xdr:oneCellAnchor>
    <xdr:from>
      <xdr:col>2</xdr:col>
      <xdr:colOff>95308</xdr:colOff>
      <xdr:row>15</xdr:row>
      <xdr:rowOff>38142</xdr:rowOff>
    </xdr:from>
    <xdr:ext cx="923810" cy="685714"/>
    <xdr:pic>
      <xdr:nvPicPr>
        <xdr:cNvPr id="11" name="Picture 10">
          <a:extLst>
            <a:ext uri="{FF2B5EF4-FFF2-40B4-BE49-F238E27FC236}">
              <a16:creationId xmlns:a16="http://schemas.microsoft.com/office/drawing/2014/main" id="{7B49D2DA-CC25-4D06-B453-468529C1F6B6}"/>
            </a:ext>
          </a:extLst>
        </xdr:cNvPr>
        <xdr:cNvPicPr>
          <a:picLocks noChangeAspect="1"/>
        </xdr:cNvPicPr>
      </xdr:nvPicPr>
      <xdr:blipFill>
        <a:blip xmlns:r="http://schemas.openxmlformats.org/officeDocument/2006/relationships" r:embed="rId10"/>
        <a:stretch>
          <a:fillRect/>
        </a:stretch>
      </xdr:blipFill>
      <xdr:spPr>
        <a:xfrm>
          <a:off x="1390708" y="2752767"/>
          <a:ext cx="923810" cy="685714"/>
        </a:xfrm>
        <a:prstGeom prst="rect">
          <a:avLst/>
        </a:prstGeom>
      </xdr:spPr>
    </xdr:pic>
    <xdr:clientData/>
  </xdr:oneCellAnchor>
  <xdr:oneCellAnchor>
    <xdr:from>
      <xdr:col>2</xdr:col>
      <xdr:colOff>95308</xdr:colOff>
      <xdr:row>16</xdr:row>
      <xdr:rowOff>38142</xdr:rowOff>
    </xdr:from>
    <xdr:ext cx="923810" cy="685714"/>
    <xdr:pic>
      <xdr:nvPicPr>
        <xdr:cNvPr id="12" name="Picture 11">
          <a:extLst>
            <a:ext uri="{FF2B5EF4-FFF2-40B4-BE49-F238E27FC236}">
              <a16:creationId xmlns:a16="http://schemas.microsoft.com/office/drawing/2014/main" id="{804E0591-855F-4556-B935-1F8C99B8E990}"/>
            </a:ext>
          </a:extLst>
        </xdr:cNvPr>
        <xdr:cNvPicPr>
          <a:picLocks noChangeAspect="1"/>
        </xdr:cNvPicPr>
      </xdr:nvPicPr>
      <xdr:blipFill>
        <a:blip xmlns:r="http://schemas.openxmlformats.org/officeDocument/2006/relationships" r:embed="rId11"/>
        <a:stretch>
          <a:fillRect/>
        </a:stretch>
      </xdr:blipFill>
      <xdr:spPr>
        <a:xfrm>
          <a:off x="1390708" y="2933742"/>
          <a:ext cx="923810" cy="685714"/>
        </a:xfrm>
        <a:prstGeom prst="rect">
          <a:avLst/>
        </a:prstGeom>
      </xdr:spPr>
    </xdr:pic>
    <xdr:clientData/>
  </xdr:oneCellAnchor>
  <xdr:oneCellAnchor>
    <xdr:from>
      <xdr:col>2</xdr:col>
      <xdr:colOff>95308</xdr:colOff>
      <xdr:row>17</xdr:row>
      <xdr:rowOff>38142</xdr:rowOff>
    </xdr:from>
    <xdr:ext cx="923810" cy="685714"/>
    <xdr:pic>
      <xdr:nvPicPr>
        <xdr:cNvPr id="13" name="Picture 12">
          <a:extLst>
            <a:ext uri="{FF2B5EF4-FFF2-40B4-BE49-F238E27FC236}">
              <a16:creationId xmlns:a16="http://schemas.microsoft.com/office/drawing/2014/main" id="{C827ED88-7A1F-4C97-8A9E-CAED5C3F693E}"/>
            </a:ext>
          </a:extLst>
        </xdr:cNvPr>
        <xdr:cNvPicPr>
          <a:picLocks noChangeAspect="1"/>
        </xdr:cNvPicPr>
      </xdr:nvPicPr>
      <xdr:blipFill>
        <a:blip xmlns:r="http://schemas.openxmlformats.org/officeDocument/2006/relationships" r:embed="rId12"/>
        <a:stretch>
          <a:fillRect/>
        </a:stretch>
      </xdr:blipFill>
      <xdr:spPr>
        <a:xfrm>
          <a:off x="1390708" y="3114717"/>
          <a:ext cx="923810" cy="685714"/>
        </a:xfrm>
        <a:prstGeom prst="rect">
          <a:avLst/>
        </a:prstGeom>
      </xdr:spPr>
    </xdr:pic>
    <xdr:clientData/>
  </xdr:oneCellAnchor>
  <xdr:oneCellAnchor>
    <xdr:from>
      <xdr:col>2</xdr:col>
      <xdr:colOff>95308</xdr:colOff>
      <xdr:row>18</xdr:row>
      <xdr:rowOff>38142</xdr:rowOff>
    </xdr:from>
    <xdr:ext cx="923810" cy="685714"/>
    <xdr:pic>
      <xdr:nvPicPr>
        <xdr:cNvPr id="14" name="Picture 13">
          <a:extLst>
            <a:ext uri="{FF2B5EF4-FFF2-40B4-BE49-F238E27FC236}">
              <a16:creationId xmlns:a16="http://schemas.microsoft.com/office/drawing/2014/main" id="{A2526C13-049D-4860-A1A9-BCBC9DAF0F91}"/>
            </a:ext>
          </a:extLst>
        </xdr:cNvPr>
        <xdr:cNvPicPr>
          <a:picLocks noChangeAspect="1"/>
        </xdr:cNvPicPr>
      </xdr:nvPicPr>
      <xdr:blipFill>
        <a:blip xmlns:r="http://schemas.openxmlformats.org/officeDocument/2006/relationships" r:embed="rId13"/>
        <a:stretch>
          <a:fillRect/>
        </a:stretch>
      </xdr:blipFill>
      <xdr:spPr>
        <a:xfrm>
          <a:off x="1390708" y="3295692"/>
          <a:ext cx="923810" cy="685714"/>
        </a:xfrm>
        <a:prstGeom prst="rect">
          <a:avLst/>
        </a:prstGeom>
      </xdr:spPr>
    </xdr:pic>
    <xdr:clientData/>
  </xdr:oneCellAnchor>
  <xdr:oneCellAnchor>
    <xdr:from>
      <xdr:col>2</xdr:col>
      <xdr:colOff>95308</xdr:colOff>
      <xdr:row>19</xdr:row>
      <xdr:rowOff>38142</xdr:rowOff>
    </xdr:from>
    <xdr:ext cx="923810" cy="685714"/>
    <xdr:pic>
      <xdr:nvPicPr>
        <xdr:cNvPr id="15" name="Picture 14">
          <a:extLst>
            <a:ext uri="{FF2B5EF4-FFF2-40B4-BE49-F238E27FC236}">
              <a16:creationId xmlns:a16="http://schemas.microsoft.com/office/drawing/2014/main" id="{E78550ED-1160-4856-B009-5EDC3725C456}"/>
            </a:ext>
          </a:extLst>
        </xdr:cNvPr>
        <xdr:cNvPicPr>
          <a:picLocks noChangeAspect="1"/>
        </xdr:cNvPicPr>
      </xdr:nvPicPr>
      <xdr:blipFill>
        <a:blip xmlns:r="http://schemas.openxmlformats.org/officeDocument/2006/relationships" r:embed="rId14"/>
        <a:stretch>
          <a:fillRect/>
        </a:stretch>
      </xdr:blipFill>
      <xdr:spPr>
        <a:xfrm>
          <a:off x="1390708" y="3476667"/>
          <a:ext cx="923810" cy="685714"/>
        </a:xfrm>
        <a:prstGeom prst="rect">
          <a:avLst/>
        </a:prstGeom>
      </xdr:spPr>
    </xdr:pic>
    <xdr:clientData/>
  </xdr:oneCellAnchor>
  <xdr:oneCellAnchor>
    <xdr:from>
      <xdr:col>2</xdr:col>
      <xdr:colOff>95308</xdr:colOff>
      <xdr:row>20</xdr:row>
      <xdr:rowOff>38142</xdr:rowOff>
    </xdr:from>
    <xdr:ext cx="923810" cy="685714"/>
    <xdr:pic>
      <xdr:nvPicPr>
        <xdr:cNvPr id="16" name="Picture 15">
          <a:extLst>
            <a:ext uri="{FF2B5EF4-FFF2-40B4-BE49-F238E27FC236}">
              <a16:creationId xmlns:a16="http://schemas.microsoft.com/office/drawing/2014/main" id="{01F1428A-3081-4885-8358-B2150A9136E5}"/>
            </a:ext>
          </a:extLst>
        </xdr:cNvPr>
        <xdr:cNvPicPr>
          <a:picLocks noChangeAspect="1"/>
        </xdr:cNvPicPr>
      </xdr:nvPicPr>
      <xdr:blipFill>
        <a:blip xmlns:r="http://schemas.openxmlformats.org/officeDocument/2006/relationships" r:embed="rId15"/>
        <a:stretch>
          <a:fillRect/>
        </a:stretch>
      </xdr:blipFill>
      <xdr:spPr>
        <a:xfrm>
          <a:off x="1390708" y="3657642"/>
          <a:ext cx="923810" cy="685714"/>
        </a:xfrm>
        <a:prstGeom prst="rect">
          <a:avLst/>
        </a:prstGeom>
      </xdr:spPr>
    </xdr:pic>
    <xdr:clientData/>
  </xdr:oneCellAnchor>
  <xdr:oneCellAnchor>
    <xdr:from>
      <xdr:col>2</xdr:col>
      <xdr:colOff>95308</xdr:colOff>
      <xdr:row>21</xdr:row>
      <xdr:rowOff>38142</xdr:rowOff>
    </xdr:from>
    <xdr:ext cx="923810" cy="685714"/>
    <xdr:pic>
      <xdr:nvPicPr>
        <xdr:cNvPr id="17" name="Picture 16">
          <a:extLst>
            <a:ext uri="{FF2B5EF4-FFF2-40B4-BE49-F238E27FC236}">
              <a16:creationId xmlns:a16="http://schemas.microsoft.com/office/drawing/2014/main" id="{59B063AD-A9AC-4598-B13E-78D1B7F9B4CA}"/>
            </a:ext>
          </a:extLst>
        </xdr:cNvPr>
        <xdr:cNvPicPr>
          <a:picLocks noChangeAspect="1"/>
        </xdr:cNvPicPr>
      </xdr:nvPicPr>
      <xdr:blipFill>
        <a:blip xmlns:r="http://schemas.openxmlformats.org/officeDocument/2006/relationships" r:embed="rId16"/>
        <a:stretch>
          <a:fillRect/>
        </a:stretch>
      </xdr:blipFill>
      <xdr:spPr>
        <a:xfrm>
          <a:off x="1390708" y="3838617"/>
          <a:ext cx="923810" cy="685714"/>
        </a:xfrm>
        <a:prstGeom prst="rect">
          <a:avLst/>
        </a:prstGeom>
      </xdr:spPr>
    </xdr:pic>
    <xdr:clientData/>
  </xdr:oneCellAnchor>
  <xdr:oneCellAnchor>
    <xdr:from>
      <xdr:col>2</xdr:col>
      <xdr:colOff>95308</xdr:colOff>
      <xdr:row>22</xdr:row>
      <xdr:rowOff>38143</xdr:rowOff>
    </xdr:from>
    <xdr:ext cx="923810" cy="685714"/>
    <xdr:pic>
      <xdr:nvPicPr>
        <xdr:cNvPr id="18" name="Picture 17">
          <a:extLst>
            <a:ext uri="{FF2B5EF4-FFF2-40B4-BE49-F238E27FC236}">
              <a16:creationId xmlns:a16="http://schemas.microsoft.com/office/drawing/2014/main" id="{BC2DA29F-3C72-468D-9F5D-37EC97201DE6}"/>
            </a:ext>
          </a:extLst>
        </xdr:cNvPr>
        <xdr:cNvPicPr>
          <a:picLocks noChangeAspect="1"/>
        </xdr:cNvPicPr>
      </xdr:nvPicPr>
      <xdr:blipFill>
        <a:blip xmlns:r="http://schemas.openxmlformats.org/officeDocument/2006/relationships" r:embed="rId17"/>
        <a:stretch>
          <a:fillRect/>
        </a:stretch>
      </xdr:blipFill>
      <xdr:spPr>
        <a:xfrm>
          <a:off x="1390708" y="4019593"/>
          <a:ext cx="923810" cy="685714"/>
        </a:xfrm>
        <a:prstGeom prst="rect">
          <a:avLst/>
        </a:prstGeom>
      </xdr:spPr>
    </xdr:pic>
    <xdr:clientData/>
  </xdr:oneCellAnchor>
  <xdr:oneCellAnchor>
    <xdr:from>
      <xdr:col>2</xdr:col>
      <xdr:colOff>95308</xdr:colOff>
      <xdr:row>23</xdr:row>
      <xdr:rowOff>38143</xdr:rowOff>
    </xdr:from>
    <xdr:ext cx="923810" cy="685714"/>
    <xdr:pic>
      <xdr:nvPicPr>
        <xdr:cNvPr id="19" name="Picture 18">
          <a:extLst>
            <a:ext uri="{FF2B5EF4-FFF2-40B4-BE49-F238E27FC236}">
              <a16:creationId xmlns:a16="http://schemas.microsoft.com/office/drawing/2014/main" id="{7DB1F306-1E21-4927-9AC4-D84B210CA79A}"/>
            </a:ext>
          </a:extLst>
        </xdr:cNvPr>
        <xdr:cNvPicPr>
          <a:picLocks noChangeAspect="1"/>
        </xdr:cNvPicPr>
      </xdr:nvPicPr>
      <xdr:blipFill>
        <a:blip xmlns:r="http://schemas.openxmlformats.org/officeDocument/2006/relationships" r:embed="rId18"/>
        <a:stretch>
          <a:fillRect/>
        </a:stretch>
      </xdr:blipFill>
      <xdr:spPr>
        <a:xfrm>
          <a:off x="1390708" y="4200568"/>
          <a:ext cx="923810" cy="685714"/>
        </a:xfrm>
        <a:prstGeom prst="rect">
          <a:avLst/>
        </a:prstGeom>
      </xdr:spPr>
    </xdr:pic>
    <xdr:clientData/>
  </xdr:oneCellAnchor>
  <xdr:oneCellAnchor>
    <xdr:from>
      <xdr:col>2</xdr:col>
      <xdr:colOff>95308</xdr:colOff>
      <xdr:row>24</xdr:row>
      <xdr:rowOff>38143</xdr:rowOff>
    </xdr:from>
    <xdr:ext cx="923810" cy="685714"/>
    <xdr:pic>
      <xdr:nvPicPr>
        <xdr:cNvPr id="20" name="Picture 19">
          <a:extLst>
            <a:ext uri="{FF2B5EF4-FFF2-40B4-BE49-F238E27FC236}">
              <a16:creationId xmlns:a16="http://schemas.microsoft.com/office/drawing/2014/main" id="{A4C10C1A-7D1F-4B9E-845F-F89BFAAA71C8}"/>
            </a:ext>
          </a:extLst>
        </xdr:cNvPr>
        <xdr:cNvPicPr>
          <a:picLocks noChangeAspect="1"/>
        </xdr:cNvPicPr>
      </xdr:nvPicPr>
      <xdr:blipFill>
        <a:blip xmlns:r="http://schemas.openxmlformats.org/officeDocument/2006/relationships" r:embed="rId19"/>
        <a:stretch>
          <a:fillRect/>
        </a:stretch>
      </xdr:blipFill>
      <xdr:spPr>
        <a:xfrm>
          <a:off x="1390708" y="4381543"/>
          <a:ext cx="923810" cy="685714"/>
        </a:xfrm>
        <a:prstGeom prst="rect">
          <a:avLst/>
        </a:prstGeom>
      </xdr:spPr>
    </xdr:pic>
    <xdr:clientData/>
  </xdr:oneCellAnchor>
  <xdr:oneCellAnchor>
    <xdr:from>
      <xdr:col>2</xdr:col>
      <xdr:colOff>95308</xdr:colOff>
      <xdr:row>25</xdr:row>
      <xdr:rowOff>38143</xdr:rowOff>
    </xdr:from>
    <xdr:ext cx="923810" cy="685714"/>
    <xdr:pic>
      <xdr:nvPicPr>
        <xdr:cNvPr id="21" name="Picture 20">
          <a:extLst>
            <a:ext uri="{FF2B5EF4-FFF2-40B4-BE49-F238E27FC236}">
              <a16:creationId xmlns:a16="http://schemas.microsoft.com/office/drawing/2014/main" id="{CD96F798-6169-4F2D-97BD-AE0EFD3959F5}"/>
            </a:ext>
          </a:extLst>
        </xdr:cNvPr>
        <xdr:cNvPicPr>
          <a:picLocks noChangeAspect="1"/>
        </xdr:cNvPicPr>
      </xdr:nvPicPr>
      <xdr:blipFill>
        <a:blip xmlns:r="http://schemas.openxmlformats.org/officeDocument/2006/relationships" r:embed="rId20"/>
        <a:stretch>
          <a:fillRect/>
        </a:stretch>
      </xdr:blipFill>
      <xdr:spPr>
        <a:xfrm>
          <a:off x="1390708" y="4562518"/>
          <a:ext cx="923810" cy="685714"/>
        </a:xfrm>
        <a:prstGeom prst="rect">
          <a:avLst/>
        </a:prstGeom>
      </xdr:spPr>
    </xdr:pic>
    <xdr:clientData/>
  </xdr:oneCellAnchor>
  <xdr:oneCellAnchor>
    <xdr:from>
      <xdr:col>2</xdr:col>
      <xdr:colOff>95308</xdr:colOff>
      <xdr:row>26</xdr:row>
      <xdr:rowOff>38143</xdr:rowOff>
    </xdr:from>
    <xdr:ext cx="923810" cy="685714"/>
    <xdr:pic>
      <xdr:nvPicPr>
        <xdr:cNvPr id="22" name="Picture 21">
          <a:extLst>
            <a:ext uri="{FF2B5EF4-FFF2-40B4-BE49-F238E27FC236}">
              <a16:creationId xmlns:a16="http://schemas.microsoft.com/office/drawing/2014/main" id="{169F4AB9-E541-4372-9954-C1EE8CB4C6CE}"/>
            </a:ext>
          </a:extLst>
        </xdr:cNvPr>
        <xdr:cNvPicPr>
          <a:picLocks noChangeAspect="1"/>
        </xdr:cNvPicPr>
      </xdr:nvPicPr>
      <xdr:blipFill>
        <a:blip xmlns:r="http://schemas.openxmlformats.org/officeDocument/2006/relationships" r:embed="rId21"/>
        <a:stretch>
          <a:fillRect/>
        </a:stretch>
      </xdr:blipFill>
      <xdr:spPr>
        <a:xfrm>
          <a:off x="1390708" y="4743493"/>
          <a:ext cx="923810" cy="685714"/>
        </a:xfrm>
        <a:prstGeom prst="rect">
          <a:avLst/>
        </a:prstGeom>
      </xdr:spPr>
    </xdr:pic>
    <xdr:clientData/>
  </xdr:oneCellAnchor>
  <xdr:oneCellAnchor>
    <xdr:from>
      <xdr:col>2</xdr:col>
      <xdr:colOff>95308</xdr:colOff>
      <xdr:row>27</xdr:row>
      <xdr:rowOff>38143</xdr:rowOff>
    </xdr:from>
    <xdr:ext cx="923810" cy="685714"/>
    <xdr:pic>
      <xdr:nvPicPr>
        <xdr:cNvPr id="23" name="Picture 22">
          <a:extLst>
            <a:ext uri="{FF2B5EF4-FFF2-40B4-BE49-F238E27FC236}">
              <a16:creationId xmlns:a16="http://schemas.microsoft.com/office/drawing/2014/main" id="{91BA7969-4BFA-42B3-8949-6CB4E956C0DD}"/>
            </a:ext>
          </a:extLst>
        </xdr:cNvPr>
        <xdr:cNvPicPr>
          <a:picLocks noChangeAspect="1"/>
        </xdr:cNvPicPr>
      </xdr:nvPicPr>
      <xdr:blipFill>
        <a:blip xmlns:r="http://schemas.openxmlformats.org/officeDocument/2006/relationships" r:embed="rId22"/>
        <a:stretch>
          <a:fillRect/>
        </a:stretch>
      </xdr:blipFill>
      <xdr:spPr>
        <a:xfrm>
          <a:off x="1390708" y="4924468"/>
          <a:ext cx="923810" cy="685714"/>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95308</xdr:colOff>
      <xdr:row>6</xdr:row>
      <xdr:rowOff>38143</xdr:rowOff>
    </xdr:from>
    <xdr:to>
      <xdr:col>2</xdr:col>
      <xdr:colOff>1019118</xdr:colOff>
      <xdr:row>6</xdr:row>
      <xdr:rowOff>723857</xdr:rowOff>
    </xdr:to>
    <xdr:pic>
      <xdr:nvPicPr>
        <xdr:cNvPr id="2" name="Picture 1">
          <a:extLst>
            <a:ext uri="{FF2B5EF4-FFF2-40B4-BE49-F238E27FC236}">
              <a16:creationId xmlns:a16="http://schemas.microsoft.com/office/drawing/2014/main" id="{7B8DA90E-CEE2-43CD-B35F-E7087F94E747}"/>
            </a:ext>
          </a:extLst>
        </xdr:cNvPr>
        <xdr:cNvPicPr>
          <a:picLocks noChangeAspect="1"/>
        </xdr:cNvPicPr>
      </xdr:nvPicPr>
      <xdr:blipFill>
        <a:blip xmlns:r="http://schemas.openxmlformats.org/officeDocument/2006/relationships" r:embed="rId1"/>
        <a:stretch>
          <a:fillRect/>
        </a:stretch>
      </xdr:blipFill>
      <xdr:spPr>
        <a:xfrm>
          <a:off x="1209733" y="995406"/>
          <a:ext cx="923810" cy="685714"/>
        </a:xfrm>
        <a:prstGeom prst="rect">
          <a:avLst/>
        </a:prstGeom>
      </xdr:spPr>
    </xdr:pic>
    <xdr:clientData/>
  </xdr:twoCellAnchor>
  <xdr:twoCellAnchor editAs="oneCell">
    <xdr:from>
      <xdr:col>2</xdr:col>
      <xdr:colOff>95308</xdr:colOff>
      <xdr:row>7</xdr:row>
      <xdr:rowOff>38143</xdr:rowOff>
    </xdr:from>
    <xdr:to>
      <xdr:col>2</xdr:col>
      <xdr:colOff>1019118</xdr:colOff>
      <xdr:row>7</xdr:row>
      <xdr:rowOff>723857</xdr:rowOff>
    </xdr:to>
    <xdr:pic>
      <xdr:nvPicPr>
        <xdr:cNvPr id="3" name="Picture 2">
          <a:extLst>
            <a:ext uri="{FF2B5EF4-FFF2-40B4-BE49-F238E27FC236}">
              <a16:creationId xmlns:a16="http://schemas.microsoft.com/office/drawing/2014/main" id="{A40F6FD4-E76D-423B-9579-A7A8E8C8AB3B}"/>
            </a:ext>
          </a:extLst>
        </xdr:cNvPr>
        <xdr:cNvPicPr>
          <a:picLocks noChangeAspect="1"/>
        </xdr:cNvPicPr>
      </xdr:nvPicPr>
      <xdr:blipFill>
        <a:blip xmlns:r="http://schemas.openxmlformats.org/officeDocument/2006/relationships" r:embed="rId2"/>
        <a:stretch>
          <a:fillRect/>
        </a:stretch>
      </xdr:blipFill>
      <xdr:spPr>
        <a:xfrm>
          <a:off x="1209733" y="1757406"/>
          <a:ext cx="923810" cy="685714"/>
        </a:xfrm>
        <a:prstGeom prst="rect">
          <a:avLst/>
        </a:prstGeom>
      </xdr:spPr>
    </xdr:pic>
    <xdr:clientData/>
  </xdr:twoCellAnchor>
  <xdr:twoCellAnchor editAs="oneCell">
    <xdr:from>
      <xdr:col>2</xdr:col>
      <xdr:colOff>95308</xdr:colOff>
      <xdr:row>8</xdr:row>
      <xdr:rowOff>38143</xdr:rowOff>
    </xdr:from>
    <xdr:to>
      <xdr:col>2</xdr:col>
      <xdr:colOff>1019118</xdr:colOff>
      <xdr:row>8</xdr:row>
      <xdr:rowOff>723857</xdr:rowOff>
    </xdr:to>
    <xdr:pic>
      <xdr:nvPicPr>
        <xdr:cNvPr id="4" name="Picture 3">
          <a:extLst>
            <a:ext uri="{FF2B5EF4-FFF2-40B4-BE49-F238E27FC236}">
              <a16:creationId xmlns:a16="http://schemas.microsoft.com/office/drawing/2014/main" id="{9B583B14-6B2E-4B81-B9D6-123BF107F204}"/>
            </a:ext>
          </a:extLst>
        </xdr:cNvPr>
        <xdr:cNvPicPr>
          <a:picLocks noChangeAspect="1"/>
        </xdr:cNvPicPr>
      </xdr:nvPicPr>
      <xdr:blipFill>
        <a:blip xmlns:r="http://schemas.openxmlformats.org/officeDocument/2006/relationships" r:embed="rId3"/>
        <a:stretch>
          <a:fillRect/>
        </a:stretch>
      </xdr:blipFill>
      <xdr:spPr>
        <a:xfrm>
          <a:off x="1209733" y="2519406"/>
          <a:ext cx="923810" cy="685714"/>
        </a:xfrm>
        <a:prstGeom prst="rect">
          <a:avLst/>
        </a:prstGeom>
      </xdr:spPr>
    </xdr:pic>
    <xdr:clientData/>
  </xdr:twoCellAnchor>
  <xdr:twoCellAnchor editAs="oneCell">
    <xdr:from>
      <xdr:col>2</xdr:col>
      <xdr:colOff>95308</xdr:colOff>
      <xdr:row>9</xdr:row>
      <xdr:rowOff>38143</xdr:rowOff>
    </xdr:from>
    <xdr:to>
      <xdr:col>2</xdr:col>
      <xdr:colOff>1019118</xdr:colOff>
      <xdr:row>9</xdr:row>
      <xdr:rowOff>723857</xdr:rowOff>
    </xdr:to>
    <xdr:pic>
      <xdr:nvPicPr>
        <xdr:cNvPr id="5" name="Picture 4">
          <a:extLst>
            <a:ext uri="{FF2B5EF4-FFF2-40B4-BE49-F238E27FC236}">
              <a16:creationId xmlns:a16="http://schemas.microsoft.com/office/drawing/2014/main" id="{512E2A1B-572C-4F21-A2D6-97ACBE7ACFA5}"/>
            </a:ext>
          </a:extLst>
        </xdr:cNvPr>
        <xdr:cNvPicPr>
          <a:picLocks noChangeAspect="1"/>
        </xdr:cNvPicPr>
      </xdr:nvPicPr>
      <xdr:blipFill>
        <a:blip xmlns:r="http://schemas.openxmlformats.org/officeDocument/2006/relationships" r:embed="rId4"/>
        <a:stretch>
          <a:fillRect/>
        </a:stretch>
      </xdr:blipFill>
      <xdr:spPr>
        <a:xfrm>
          <a:off x="1209733" y="3281406"/>
          <a:ext cx="923810" cy="685714"/>
        </a:xfrm>
        <a:prstGeom prst="rect">
          <a:avLst/>
        </a:prstGeom>
      </xdr:spPr>
    </xdr:pic>
    <xdr:clientData/>
  </xdr:twoCellAnchor>
  <xdr:twoCellAnchor editAs="oneCell">
    <xdr:from>
      <xdr:col>2</xdr:col>
      <xdr:colOff>95308</xdr:colOff>
      <xdr:row>10</xdr:row>
      <xdr:rowOff>38143</xdr:rowOff>
    </xdr:from>
    <xdr:to>
      <xdr:col>2</xdr:col>
      <xdr:colOff>1019118</xdr:colOff>
      <xdr:row>10</xdr:row>
      <xdr:rowOff>723857</xdr:rowOff>
    </xdr:to>
    <xdr:pic>
      <xdr:nvPicPr>
        <xdr:cNvPr id="6" name="Picture 5">
          <a:extLst>
            <a:ext uri="{FF2B5EF4-FFF2-40B4-BE49-F238E27FC236}">
              <a16:creationId xmlns:a16="http://schemas.microsoft.com/office/drawing/2014/main" id="{C53F2F49-5E4E-4122-ABB1-884AAE6918AB}"/>
            </a:ext>
          </a:extLst>
        </xdr:cNvPr>
        <xdr:cNvPicPr>
          <a:picLocks noChangeAspect="1"/>
        </xdr:cNvPicPr>
      </xdr:nvPicPr>
      <xdr:blipFill>
        <a:blip xmlns:r="http://schemas.openxmlformats.org/officeDocument/2006/relationships" r:embed="rId5"/>
        <a:stretch>
          <a:fillRect/>
        </a:stretch>
      </xdr:blipFill>
      <xdr:spPr>
        <a:xfrm>
          <a:off x="1209733" y="4043406"/>
          <a:ext cx="923810" cy="685714"/>
        </a:xfrm>
        <a:prstGeom prst="rect">
          <a:avLst/>
        </a:prstGeom>
      </xdr:spPr>
    </xdr:pic>
    <xdr:clientData/>
  </xdr:twoCellAnchor>
  <xdr:twoCellAnchor editAs="oneCell">
    <xdr:from>
      <xdr:col>2</xdr:col>
      <xdr:colOff>95308</xdr:colOff>
      <xdr:row>11</xdr:row>
      <xdr:rowOff>38143</xdr:rowOff>
    </xdr:from>
    <xdr:to>
      <xdr:col>2</xdr:col>
      <xdr:colOff>1019118</xdr:colOff>
      <xdr:row>11</xdr:row>
      <xdr:rowOff>723857</xdr:rowOff>
    </xdr:to>
    <xdr:pic>
      <xdr:nvPicPr>
        <xdr:cNvPr id="7" name="Picture 6">
          <a:extLst>
            <a:ext uri="{FF2B5EF4-FFF2-40B4-BE49-F238E27FC236}">
              <a16:creationId xmlns:a16="http://schemas.microsoft.com/office/drawing/2014/main" id="{CB2FCFC7-8CDC-470F-9360-33A500EFF4DE}"/>
            </a:ext>
          </a:extLst>
        </xdr:cNvPr>
        <xdr:cNvPicPr>
          <a:picLocks noChangeAspect="1"/>
        </xdr:cNvPicPr>
      </xdr:nvPicPr>
      <xdr:blipFill>
        <a:blip xmlns:r="http://schemas.openxmlformats.org/officeDocument/2006/relationships" r:embed="rId6"/>
        <a:stretch>
          <a:fillRect/>
        </a:stretch>
      </xdr:blipFill>
      <xdr:spPr>
        <a:xfrm>
          <a:off x="1209733" y="4805406"/>
          <a:ext cx="923810" cy="685714"/>
        </a:xfrm>
        <a:prstGeom prst="rect">
          <a:avLst/>
        </a:prstGeom>
      </xdr:spPr>
    </xdr:pic>
    <xdr:clientData/>
  </xdr:twoCellAnchor>
  <xdr:twoCellAnchor editAs="oneCell">
    <xdr:from>
      <xdr:col>2</xdr:col>
      <xdr:colOff>95308</xdr:colOff>
      <xdr:row>12</xdr:row>
      <xdr:rowOff>38143</xdr:rowOff>
    </xdr:from>
    <xdr:to>
      <xdr:col>2</xdr:col>
      <xdr:colOff>1019118</xdr:colOff>
      <xdr:row>12</xdr:row>
      <xdr:rowOff>723857</xdr:rowOff>
    </xdr:to>
    <xdr:pic>
      <xdr:nvPicPr>
        <xdr:cNvPr id="8" name="Picture 7">
          <a:extLst>
            <a:ext uri="{FF2B5EF4-FFF2-40B4-BE49-F238E27FC236}">
              <a16:creationId xmlns:a16="http://schemas.microsoft.com/office/drawing/2014/main" id="{A3C60E37-1881-471D-BD10-0A4FE1FF7B52}"/>
            </a:ext>
          </a:extLst>
        </xdr:cNvPr>
        <xdr:cNvPicPr>
          <a:picLocks noChangeAspect="1"/>
        </xdr:cNvPicPr>
      </xdr:nvPicPr>
      <xdr:blipFill>
        <a:blip xmlns:r="http://schemas.openxmlformats.org/officeDocument/2006/relationships" r:embed="rId7"/>
        <a:stretch>
          <a:fillRect/>
        </a:stretch>
      </xdr:blipFill>
      <xdr:spPr>
        <a:xfrm>
          <a:off x="1209733" y="5567406"/>
          <a:ext cx="923810" cy="685714"/>
        </a:xfrm>
        <a:prstGeom prst="rect">
          <a:avLst/>
        </a:prstGeom>
      </xdr:spPr>
    </xdr:pic>
    <xdr:clientData/>
  </xdr:twoCellAnchor>
  <xdr:twoCellAnchor editAs="oneCell">
    <xdr:from>
      <xdr:col>2</xdr:col>
      <xdr:colOff>95308</xdr:colOff>
      <xdr:row>13</xdr:row>
      <xdr:rowOff>38143</xdr:rowOff>
    </xdr:from>
    <xdr:to>
      <xdr:col>2</xdr:col>
      <xdr:colOff>1019118</xdr:colOff>
      <xdr:row>13</xdr:row>
      <xdr:rowOff>723857</xdr:rowOff>
    </xdr:to>
    <xdr:pic>
      <xdr:nvPicPr>
        <xdr:cNvPr id="9" name="Picture 8">
          <a:extLst>
            <a:ext uri="{FF2B5EF4-FFF2-40B4-BE49-F238E27FC236}">
              <a16:creationId xmlns:a16="http://schemas.microsoft.com/office/drawing/2014/main" id="{B2A729DF-015D-42F4-89CF-488DC42377A1}"/>
            </a:ext>
          </a:extLst>
        </xdr:cNvPr>
        <xdr:cNvPicPr>
          <a:picLocks noChangeAspect="1"/>
        </xdr:cNvPicPr>
      </xdr:nvPicPr>
      <xdr:blipFill>
        <a:blip xmlns:r="http://schemas.openxmlformats.org/officeDocument/2006/relationships" r:embed="rId8"/>
        <a:stretch>
          <a:fillRect/>
        </a:stretch>
      </xdr:blipFill>
      <xdr:spPr>
        <a:xfrm>
          <a:off x="1209733" y="6329406"/>
          <a:ext cx="923810" cy="685714"/>
        </a:xfrm>
        <a:prstGeom prst="rect">
          <a:avLst/>
        </a:prstGeom>
      </xdr:spPr>
    </xdr:pic>
    <xdr:clientData/>
  </xdr:twoCellAnchor>
  <xdr:twoCellAnchor editAs="oneCell">
    <xdr:from>
      <xdr:col>2</xdr:col>
      <xdr:colOff>95308</xdr:colOff>
      <xdr:row>14</xdr:row>
      <xdr:rowOff>38142</xdr:rowOff>
    </xdr:from>
    <xdr:to>
      <xdr:col>2</xdr:col>
      <xdr:colOff>1019118</xdr:colOff>
      <xdr:row>14</xdr:row>
      <xdr:rowOff>723856</xdr:rowOff>
    </xdr:to>
    <xdr:pic>
      <xdr:nvPicPr>
        <xdr:cNvPr id="10" name="Picture 9">
          <a:extLst>
            <a:ext uri="{FF2B5EF4-FFF2-40B4-BE49-F238E27FC236}">
              <a16:creationId xmlns:a16="http://schemas.microsoft.com/office/drawing/2014/main" id="{50EC20CF-4331-42D4-ACD5-EDD8E39ED780}"/>
            </a:ext>
          </a:extLst>
        </xdr:cNvPr>
        <xdr:cNvPicPr>
          <a:picLocks noChangeAspect="1"/>
        </xdr:cNvPicPr>
      </xdr:nvPicPr>
      <xdr:blipFill>
        <a:blip xmlns:r="http://schemas.openxmlformats.org/officeDocument/2006/relationships" r:embed="rId8"/>
        <a:stretch>
          <a:fillRect/>
        </a:stretch>
      </xdr:blipFill>
      <xdr:spPr>
        <a:xfrm>
          <a:off x="1209733" y="7091405"/>
          <a:ext cx="923810" cy="685714"/>
        </a:xfrm>
        <a:prstGeom prst="rect">
          <a:avLst/>
        </a:prstGeom>
      </xdr:spPr>
    </xdr:pic>
    <xdr:clientData/>
  </xdr:twoCellAnchor>
  <xdr:twoCellAnchor editAs="oneCell">
    <xdr:from>
      <xdr:col>2</xdr:col>
      <xdr:colOff>95308</xdr:colOff>
      <xdr:row>15</xdr:row>
      <xdr:rowOff>38142</xdr:rowOff>
    </xdr:from>
    <xdr:to>
      <xdr:col>2</xdr:col>
      <xdr:colOff>1019118</xdr:colOff>
      <xdr:row>15</xdr:row>
      <xdr:rowOff>723856</xdr:rowOff>
    </xdr:to>
    <xdr:pic>
      <xdr:nvPicPr>
        <xdr:cNvPr id="11" name="Picture 10">
          <a:extLst>
            <a:ext uri="{FF2B5EF4-FFF2-40B4-BE49-F238E27FC236}">
              <a16:creationId xmlns:a16="http://schemas.microsoft.com/office/drawing/2014/main" id="{EEAD8D26-E1C6-4092-857D-678AE8B36F8E}"/>
            </a:ext>
          </a:extLst>
        </xdr:cNvPr>
        <xdr:cNvPicPr>
          <a:picLocks noChangeAspect="1"/>
        </xdr:cNvPicPr>
      </xdr:nvPicPr>
      <xdr:blipFill>
        <a:blip xmlns:r="http://schemas.openxmlformats.org/officeDocument/2006/relationships" r:embed="rId9"/>
        <a:stretch>
          <a:fillRect/>
        </a:stretch>
      </xdr:blipFill>
      <xdr:spPr>
        <a:xfrm>
          <a:off x="1209733" y="7853405"/>
          <a:ext cx="923810" cy="685714"/>
        </a:xfrm>
        <a:prstGeom prst="rect">
          <a:avLst/>
        </a:prstGeom>
      </xdr:spPr>
    </xdr:pic>
    <xdr:clientData/>
  </xdr:twoCellAnchor>
  <xdr:twoCellAnchor editAs="oneCell">
    <xdr:from>
      <xdr:col>2</xdr:col>
      <xdr:colOff>95308</xdr:colOff>
      <xdr:row>16</xdr:row>
      <xdr:rowOff>38142</xdr:rowOff>
    </xdr:from>
    <xdr:to>
      <xdr:col>2</xdr:col>
      <xdr:colOff>1019118</xdr:colOff>
      <xdr:row>16</xdr:row>
      <xdr:rowOff>723856</xdr:rowOff>
    </xdr:to>
    <xdr:pic>
      <xdr:nvPicPr>
        <xdr:cNvPr id="12" name="Picture 11">
          <a:extLst>
            <a:ext uri="{FF2B5EF4-FFF2-40B4-BE49-F238E27FC236}">
              <a16:creationId xmlns:a16="http://schemas.microsoft.com/office/drawing/2014/main" id="{9E9940F1-5B2F-4C89-B376-B5FA950951AD}"/>
            </a:ext>
          </a:extLst>
        </xdr:cNvPr>
        <xdr:cNvPicPr>
          <a:picLocks noChangeAspect="1"/>
        </xdr:cNvPicPr>
      </xdr:nvPicPr>
      <xdr:blipFill>
        <a:blip xmlns:r="http://schemas.openxmlformats.org/officeDocument/2006/relationships" r:embed="rId10"/>
        <a:stretch>
          <a:fillRect/>
        </a:stretch>
      </xdr:blipFill>
      <xdr:spPr>
        <a:xfrm>
          <a:off x="1209733" y="8615405"/>
          <a:ext cx="923810" cy="685714"/>
        </a:xfrm>
        <a:prstGeom prst="rect">
          <a:avLst/>
        </a:prstGeom>
      </xdr:spPr>
    </xdr:pic>
    <xdr:clientData/>
  </xdr:twoCellAnchor>
  <xdr:twoCellAnchor editAs="oneCell">
    <xdr:from>
      <xdr:col>2</xdr:col>
      <xdr:colOff>95308</xdr:colOff>
      <xdr:row>17</xdr:row>
      <xdr:rowOff>38142</xdr:rowOff>
    </xdr:from>
    <xdr:to>
      <xdr:col>2</xdr:col>
      <xdr:colOff>1019118</xdr:colOff>
      <xdr:row>17</xdr:row>
      <xdr:rowOff>723856</xdr:rowOff>
    </xdr:to>
    <xdr:pic>
      <xdr:nvPicPr>
        <xdr:cNvPr id="13" name="Picture 12">
          <a:extLst>
            <a:ext uri="{FF2B5EF4-FFF2-40B4-BE49-F238E27FC236}">
              <a16:creationId xmlns:a16="http://schemas.microsoft.com/office/drawing/2014/main" id="{68D19F97-1897-4BAA-8760-E70BFF94588E}"/>
            </a:ext>
          </a:extLst>
        </xdr:cNvPr>
        <xdr:cNvPicPr>
          <a:picLocks noChangeAspect="1"/>
        </xdr:cNvPicPr>
      </xdr:nvPicPr>
      <xdr:blipFill>
        <a:blip xmlns:r="http://schemas.openxmlformats.org/officeDocument/2006/relationships" r:embed="rId11"/>
        <a:stretch>
          <a:fillRect/>
        </a:stretch>
      </xdr:blipFill>
      <xdr:spPr>
        <a:xfrm>
          <a:off x="1209733" y="9377405"/>
          <a:ext cx="923810" cy="685714"/>
        </a:xfrm>
        <a:prstGeom prst="rect">
          <a:avLst/>
        </a:prstGeom>
      </xdr:spPr>
    </xdr:pic>
    <xdr:clientData/>
  </xdr:twoCellAnchor>
  <xdr:twoCellAnchor editAs="oneCell">
    <xdr:from>
      <xdr:col>2</xdr:col>
      <xdr:colOff>95308</xdr:colOff>
      <xdr:row>18</xdr:row>
      <xdr:rowOff>38142</xdr:rowOff>
    </xdr:from>
    <xdr:to>
      <xdr:col>2</xdr:col>
      <xdr:colOff>1019118</xdr:colOff>
      <xdr:row>18</xdr:row>
      <xdr:rowOff>723856</xdr:rowOff>
    </xdr:to>
    <xdr:pic>
      <xdr:nvPicPr>
        <xdr:cNvPr id="14" name="Picture 13">
          <a:extLst>
            <a:ext uri="{FF2B5EF4-FFF2-40B4-BE49-F238E27FC236}">
              <a16:creationId xmlns:a16="http://schemas.microsoft.com/office/drawing/2014/main" id="{9BE39A1A-8DE3-4935-BB1E-AB36B7FEDD12}"/>
            </a:ext>
          </a:extLst>
        </xdr:cNvPr>
        <xdr:cNvPicPr>
          <a:picLocks noChangeAspect="1"/>
        </xdr:cNvPicPr>
      </xdr:nvPicPr>
      <xdr:blipFill>
        <a:blip xmlns:r="http://schemas.openxmlformats.org/officeDocument/2006/relationships" r:embed="rId12"/>
        <a:stretch>
          <a:fillRect/>
        </a:stretch>
      </xdr:blipFill>
      <xdr:spPr>
        <a:xfrm>
          <a:off x="1209733" y="10139405"/>
          <a:ext cx="923810" cy="685714"/>
        </a:xfrm>
        <a:prstGeom prst="rect">
          <a:avLst/>
        </a:prstGeom>
      </xdr:spPr>
    </xdr:pic>
    <xdr:clientData/>
  </xdr:twoCellAnchor>
  <xdr:twoCellAnchor editAs="oneCell">
    <xdr:from>
      <xdr:col>2</xdr:col>
      <xdr:colOff>95308</xdr:colOff>
      <xdr:row>19</xdr:row>
      <xdr:rowOff>38142</xdr:rowOff>
    </xdr:from>
    <xdr:to>
      <xdr:col>2</xdr:col>
      <xdr:colOff>1019118</xdr:colOff>
      <xdr:row>19</xdr:row>
      <xdr:rowOff>723856</xdr:rowOff>
    </xdr:to>
    <xdr:pic>
      <xdr:nvPicPr>
        <xdr:cNvPr id="15" name="Picture 14">
          <a:extLst>
            <a:ext uri="{FF2B5EF4-FFF2-40B4-BE49-F238E27FC236}">
              <a16:creationId xmlns:a16="http://schemas.microsoft.com/office/drawing/2014/main" id="{D88B10EC-7ECE-4E8A-B62D-CBC593F09172}"/>
            </a:ext>
          </a:extLst>
        </xdr:cNvPr>
        <xdr:cNvPicPr>
          <a:picLocks noChangeAspect="1"/>
        </xdr:cNvPicPr>
      </xdr:nvPicPr>
      <xdr:blipFill>
        <a:blip xmlns:r="http://schemas.openxmlformats.org/officeDocument/2006/relationships" r:embed="rId13"/>
        <a:stretch>
          <a:fillRect/>
        </a:stretch>
      </xdr:blipFill>
      <xdr:spPr>
        <a:xfrm>
          <a:off x="1209733" y="10901405"/>
          <a:ext cx="923810" cy="685714"/>
        </a:xfrm>
        <a:prstGeom prst="rect">
          <a:avLst/>
        </a:prstGeom>
      </xdr:spPr>
    </xdr:pic>
    <xdr:clientData/>
  </xdr:twoCellAnchor>
  <xdr:twoCellAnchor editAs="oneCell">
    <xdr:from>
      <xdr:col>2</xdr:col>
      <xdr:colOff>95308</xdr:colOff>
      <xdr:row>20</xdr:row>
      <xdr:rowOff>38142</xdr:rowOff>
    </xdr:from>
    <xdr:to>
      <xdr:col>2</xdr:col>
      <xdr:colOff>1019118</xdr:colOff>
      <xdr:row>20</xdr:row>
      <xdr:rowOff>723856</xdr:rowOff>
    </xdr:to>
    <xdr:pic>
      <xdr:nvPicPr>
        <xdr:cNvPr id="16" name="Picture 15">
          <a:extLst>
            <a:ext uri="{FF2B5EF4-FFF2-40B4-BE49-F238E27FC236}">
              <a16:creationId xmlns:a16="http://schemas.microsoft.com/office/drawing/2014/main" id="{71BD3C0C-3EC0-417F-98F5-621C67D9E55C}"/>
            </a:ext>
          </a:extLst>
        </xdr:cNvPr>
        <xdr:cNvPicPr>
          <a:picLocks noChangeAspect="1"/>
        </xdr:cNvPicPr>
      </xdr:nvPicPr>
      <xdr:blipFill>
        <a:blip xmlns:r="http://schemas.openxmlformats.org/officeDocument/2006/relationships" r:embed="rId14"/>
        <a:stretch>
          <a:fillRect/>
        </a:stretch>
      </xdr:blipFill>
      <xdr:spPr>
        <a:xfrm>
          <a:off x="1209733" y="11663405"/>
          <a:ext cx="923810" cy="685714"/>
        </a:xfrm>
        <a:prstGeom prst="rect">
          <a:avLst/>
        </a:prstGeom>
      </xdr:spPr>
    </xdr:pic>
    <xdr:clientData/>
  </xdr:twoCellAnchor>
  <xdr:twoCellAnchor editAs="oneCell">
    <xdr:from>
      <xdr:col>2</xdr:col>
      <xdr:colOff>95308</xdr:colOff>
      <xdr:row>21</xdr:row>
      <xdr:rowOff>38142</xdr:rowOff>
    </xdr:from>
    <xdr:to>
      <xdr:col>2</xdr:col>
      <xdr:colOff>1019118</xdr:colOff>
      <xdr:row>21</xdr:row>
      <xdr:rowOff>723856</xdr:rowOff>
    </xdr:to>
    <xdr:pic>
      <xdr:nvPicPr>
        <xdr:cNvPr id="17" name="Picture 16">
          <a:extLst>
            <a:ext uri="{FF2B5EF4-FFF2-40B4-BE49-F238E27FC236}">
              <a16:creationId xmlns:a16="http://schemas.microsoft.com/office/drawing/2014/main" id="{255B25CF-FA3E-48C4-989F-0EA4AA9001EC}"/>
            </a:ext>
          </a:extLst>
        </xdr:cNvPr>
        <xdr:cNvPicPr>
          <a:picLocks noChangeAspect="1"/>
        </xdr:cNvPicPr>
      </xdr:nvPicPr>
      <xdr:blipFill>
        <a:blip xmlns:r="http://schemas.openxmlformats.org/officeDocument/2006/relationships" r:embed="rId15"/>
        <a:stretch>
          <a:fillRect/>
        </a:stretch>
      </xdr:blipFill>
      <xdr:spPr>
        <a:xfrm>
          <a:off x="1209733" y="12425405"/>
          <a:ext cx="923810" cy="685714"/>
        </a:xfrm>
        <a:prstGeom prst="rect">
          <a:avLst/>
        </a:prstGeom>
      </xdr:spPr>
    </xdr:pic>
    <xdr:clientData/>
  </xdr:twoCellAnchor>
  <xdr:twoCellAnchor editAs="oneCell">
    <xdr:from>
      <xdr:col>2</xdr:col>
      <xdr:colOff>95308</xdr:colOff>
      <xdr:row>22</xdr:row>
      <xdr:rowOff>38143</xdr:rowOff>
    </xdr:from>
    <xdr:to>
      <xdr:col>2</xdr:col>
      <xdr:colOff>1019118</xdr:colOff>
      <xdr:row>22</xdr:row>
      <xdr:rowOff>723857</xdr:rowOff>
    </xdr:to>
    <xdr:pic>
      <xdr:nvPicPr>
        <xdr:cNvPr id="18" name="Picture 17">
          <a:extLst>
            <a:ext uri="{FF2B5EF4-FFF2-40B4-BE49-F238E27FC236}">
              <a16:creationId xmlns:a16="http://schemas.microsoft.com/office/drawing/2014/main" id="{0972198B-74BC-4015-B5AE-691B2CCB1B15}"/>
            </a:ext>
          </a:extLst>
        </xdr:cNvPr>
        <xdr:cNvPicPr>
          <a:picLocks noChangeAspect="1"/>
        </xdr:cNvPicPr>
      </xdr:nvPicPr>
      <xdr:blipFill>
        <a:blip xmlns:r="http://schemas.openxmlformats.org/officeDocument/2006/relationships" r:embed="rId16"/>
        <a:stretch>
          <a:fillRect/>
        </a:stretch>
      </xdr:blipFill>
      <xdr:spPr>
        <a:xfrm>
          <a:off x="1209733" y="13187406"/>
          <a:ext cx="923810" cy="685714"/>
        </a:xfrm>
        <a:prstGeom prst="rect">
          <a:avLst/>
        </a:prstGeom>
      </xdr:spPr>
    </xdr:pic>
    <xdr:clientData/>
  </xdr:twoCellAnchor>
  <xdr:twoCellAnchor editAs="oneCell">
    <xdr:from>
      <xdr:col>2</xdr:col>
      <xdr:colOff>95308</xdr:colOff>
      <xdr:row>23</xdr:row>
      <xdr:rowOff>38143</xdr:rowOff>
    </xdr:from>
    <xdr:to>
      <xdr:col>2</xdr:col>
      <xdr:colOff>1019118</xdr:colOff>
      <xdr:row>23</xdr:row>
      <xdr:rowOff>723857</xdr:rowOff>
    </xdr:to>
    <xdr:pic>
      <xdr:nvPicPr>
        <xdr:cNvPr id="19" name="Picture 18">
          <a:extLst>
            <a:ext uri="{FF2B5EF4-FFF2-40B4-BE49-F238E27FC236}">
              <a16:creationId xmlns:a16="http://schemas.microsoft.com/office/drawing/2014/main" id="{7FED4D06-AE02-4020-A04F-AC425C199821}"/>
            </a:ext>
          </a:extLst>
        </xdr:cNvPr>
        <xdr:cNvPicPr>
          <a:picLocks noChangeAspect="1"/>
        </xdr:cNvPicPr>
      </xdr:nvPicPr>
      <xdr:blipFill>
        <a:blip xmlns:r="http://schemas.openxmlformats.org/officeDocument/2006/relationships" r:embed="rId17"/>
        <a:stretch>
          <a:fillRect/>
        </a:stretch>
      </xdr:blipFill>
      <xdr:spPr>
        <a:xfrm>
          <a:off x="1209733" y="13949406"/>
          <a:ext cx="923810" cy="685714"/>
        </a:xfrm>
        <a:prstGeom prst="rect">
          <a:avLst/>
        </a:prstGeom>
      </xdr:spPr>
    </xdr:pic>
    <xdr:clientData/>
  </xdr:twoCellAnchor>
  <xdr:twoCellAnchor editAs="oneCell">
    <xdr:from>
      <xdr:col>2</xdr:col>
      <xdr:colOff>95308</xdr:colOff>
      <xdr:row>24</xdr:row>
      <xdr:rowOff>38143</xdr:rowOff>
    </xdr:from>
    <xdr:to>
      <xdr:col>2</xdr:col>
      <xdr:colOff>1019118</xdr:colOff>
      <xdr:row>24</xdr:row>
      <xdr:rowOff>723857</xdr:rowOff>
    </xdr:to>
    <xdr:pic>
      <xdr:nvPicPr>
        <xdr:cNvPr id="20" name="Picture 19">
          <a:extLst>
            <a:ext uri="{FF2B5EF4-FFF2-40B4-BE49-F238E27FC236}">
              <a16:creationId xmlns:a16="http://schemas.microsoft.com/office/drawing/2014/main" id="{0C9EA533-7C45-4B0E-B8D7-6579D3FD8115}"/>
            </a:ext>
          </a:extLst>
        </xdr:cNvPr>
        <xdr:cNvPicPr>
          <a:picLocks noChangeAspect="1"/>
        </xdr:cNvPicPr>
      </xdr:nvPicPr>
      <xdr:blipFill>
        <a:blip xmlns:r="http://schemas.openxmlformats.org/officeDocument/2006/relationships" r:embed="rId18"/>
        <a:stretch>
          <a:fillRect/>
        </a:stretch>
      </xdr:blipFill>
      <xdr:spPr>
        <a:xfrm>
          <a:off x="1209733" y="14711406"/>
          <a:ext cx="923810" cy="685714"/>
        </a:xfrm>
        <a:prstGeom prst="rect">
          <a:avLst/>
        </a:prstGeom>
      </xdr:spPr>
    </xdr:pic>
    <xdr:clientData/>
  </xdr:twoCellAnchor>
  <xdr:twoCellAnchor editAs="oneCell">
    <xdr:from>
      <xdr:col>2</xdr:col>
      <xdr:colOff>95308</xdr:colOff>
      <xdr:row>25</xdr:row>
      <xdr:rowOff>38143</xdr:rowOff>
    </xdr:from>
    <xdr:to>
      <xdr:col>2</xdr:col>
      <xdr:colOff>1019118</xdr:colOff>
      <xdr:row>25</xdr:row>
      <xdr:rowOff>723857</xdr:rowOff>
    </xdr:to>
    <xdr:pic>
      <xdr:nvPicPr>
        <xdr:cNvPr id="21" name="Picture 20">
          <a:extLst>
            <a:ext uri="{FF2B5EF4-FFF2-40B4-BE49-F238E27FC236}">
              <a16:creationId xmlns:a16="http://schemas.microsoft.com/office/drawing/2014/main" id="{98ABE065-8D36-458E-9588-DACBC797A5B1}"/>
            </a:ext>
          </a:extLst>
        </xdr:cNvPr>
        <xdr:cNvPicPr>
          <a:picLocks noChangeAspect="1"/>
        </xdr:cNvPicPr>
      </xdr:nvPicPr>
      <xdr:blipFill>
        <a:blip xmlns:r="http://schemas.openxmlformats.org/officeDocument/2006/relationships" r:embed="rId19"/>
        <a:stretch>
          <a:fillRect/>
        </a:stretch>
      </xdr:blipFill>
      <xdr:spPr>
        <a:xfrm>
          <a:off x="1209733" y="15473406"/>
          <a:ext cx="923810" cy="685714"/>
        </a:xfrm>
        <a:prstGeom prst="rect">
          <a:avLst/>
        </a:prstGeom>
      </xdr:spPr>
    </xdr:pic>
    <xdr:clientData/>
  </xdr:twoCellAnchor>
  <xdr:twoCellAnchor editAs="oneCell">
    <xdr:from>
      <xdr:col>2</xdr:col>
      <xdr:colOff>95308</xdr:colOff>
      <xdr:row>26</xdr:row>
      <xdr:rowOff>38143</xdr:rowOff>
    </xdr:from>
    <xdr:to>
      <xdr:col>2</xdr:col>
      <xdr:colOff>1019118</xdr:colOff>
      <xdr:row>26</xdr:row>
      <xdr:rowOff>723857</xdr:rowOff>
    </xdr:to>
    <xdr:pic>
      <xdr:nvPicPr>
        <xdr:cNvPr id="22" name="Picture 21">
          <a:extLst>
            <a:ext uri="{FF2B5EF4-FFF2-40B4-BE49-F238E27FC236}">
              <a16:creationId xmlns:a16="http://schemas.microsoft.com/office/drawing/2014/main" id="{5F0CB123-CDB2-4FFC-9915-3673F68364DB}"/>
            </a:ext>
          </a:extLst>
        </xdr:cNvPr>
        <xdr:cNvPicPr>
          <a:picLocks noChangeAspect="1"/>
        </xdr:cNvPicPr>
      </xdr:nvPicPr>
      <xdr:blipFill>
        <a:blip xmlns:r="http://schemas.openxmlformats.org/officeDocument/2006/relationships" r:embed="rId14"/>
        <a:stretch>
          <a:fillRect/>
        </a:stretch>
      </xdr:blipFill>
      <xdr:spPr>
        <a:xfrm>
          <a:off x="1209733" y="16235406"/>
          <a:ext cx="923810" cy="685714"/>
        </a:xfrm>
        <a:prstGeom prst="rect">
          <a:avLst/>
        </a:prstGeom>
      </xdr:spPr>
    </xdr:pic>
    <xdr:clientData/>
  </xdr:twoCellAnchor>
  <xdr:twoCellAnchor editAs="oneCell">
    <xdr:from>
      <xdr:col>2</xdr:col>
      <xdr:colOff>95308</xdr:colOff>
      <xdr:row>27</xdr:row>
      <xdr:rowOff>38143</xdr:rowOff>
    </xdr:from>
    <xdr:to>
      <xdr:col>2</xdr:col>
      <xdr:colOff>1019118</xdr:colOff>
      <xdr:row>27</xdr:row>
      <xdr:rowOff>723857</xdr:rowOff>
    </xdr:to>
    <xdr:pic>
      <xdr:nvPicPr>
        <xdr:cNvPr id="23" name="Picture 22">
          <a:extLst>
            <a:ext uri="{FF2B5EF4-FFF2-40B4-BE49-F238E27FC236}">
              <a16:creationId xmlns:a16="http://schemas.microsoft.com/office/drawing/2014/main" id="{95DC6089-00B6-44EF-ABF5-FF57990D43DA}"/>
            </a:ext>
          </a:extLst>
        </xdr:cNvPr>
        <xdr:cNvPicPr>
          <a:picLocks noChangeAspect="1"/>
        </xdr:cNvPicPr>
      </xdr:nvPicPr>
      <xdr:blipFill>
        <a:blip xmlns:r="http://schemas.openxmlformats.org/officeDocument/2006/relationships" r:embed="rId20"/>
        <a:stretch>
          <a:fillRect/>
        </a:stretch>
      </xdr:blipFill>
      <xdr:spPr>
        <a:xfrm>
          <a:off x="1209733" y="16997406"/>
          <a:ext cx="923810" cy="685714"/>
        </a:xfrm>
        <a:prstGeom prst="rect">
          <a:avLst/>
        </a:prstGeom>
      </xdr:spPr>
    </xdr:pic>
    <xdr:clientData/>
  </xdr:twoCellAnchor>
  <xdr:twoCellAnchor editAs="oneCell">
    <xdr:from>
      <xdr:col>2</xdr:col>
      <xdr:colOff>95308</xdr:colOff>
      <xdr:row>28</xdr:row>
      <xdr:rowOff>38143</xdr:rowOff>
    </xdr:from>
    <xdr:to>
      <xdr:col>2</xdr:col>
      <xdr:colOff>1019118</xdr:colOff>
      <xdr:row>28</xdr:row>
      <xdr:rowOff>723857</xdr:rowOff>
    </xdr:to>
    <xdr:pic>
      <xdr:nvPicPr>
        <xdr:cNvPr id="24" name="Picture 23">
          <a:extLst>
            <a:ext uri="{FF2B5EF4-FFF2-40B4-BE49-F238E27FC236}">
              <a16:creationId xmlns:a16="http://schemas.microsoft.com/office/drawing/2014/main" id="{0923A697-9057-4FEA-ACE6-D70702D6F51B}"/>
            </a:ext>
          </a:extLst>
        </xdr:cNvPr>
        <xdr:cNvPicPr>
          <a:picLocks noChangeAspect="1"/>
        </xdr:cNvPicPr>
      </xdr:nvPicPr>
      <xdr:blipFill>
        <a:blip xmlns:r="http://schemas.openxmlformats.org/officeDocument/2006/relationships" r:embed="rId21"/>
        <a:stretch>
          <a:fillRect/>
        </a:stretch>
      </xdr:blipFill>
      <xdr:spPr>
        <a:xfrm>
          <a:off x="1209733" y="17759406"/>
          <a:ext cx="923810" cy="685714"/>
        </a:xfrm>
        <a:prstGeom prst="rect">
          <a:avLst/>
        </a:prstGeom>
      </xdr:spPr>
    </xdr:pic>
    <xdr:clientData/>
  </xdr:twoCellAnchor>
  <xdr:twoCellAnchor editAs="oneCell">
    <xdr:from>
      <xdr:col>2</xdr:col>
      <xdr:colOff>95308</xdr:colOff>
      <xdr:row>29</xdr:row>
      <xdr:rowOff>38143</xdr:rowOff>
    </xdr:from>
    <xdr:to>
      <xdr:col>2</xdr:col>
      <xdr:colOff>1019118</xdr:colOff>
      <xdr:row>29</xdr:row>
      <xdr:rowOff>723857</xdr:rowOff>
    </xdr:to>
    <xdr:pic>
      <xdr:nvPicPr>
        <xdr:cNvPr id="25" name="Picture 24">
          <a:extLst>
            <a:ext uri="{FF2B5EF4-FFF2-40B4-BE49-F238E27FC236}">
              <a16:creationId xmlns:a16="http://schemas.microsoft.com/office/drawing/2014/main" id="{77833B5F-04EF-492A-9B29-9BFE7B43122F}"/>
            </a:ext>
          </a:extLst>
        </xdr:cNvPr>
        <xdr:cNvPicPr>
          <a:picLocks noChangeAspect="1"/>
        </xdr:cNvPicPr>
      </xdr:nvPicPr>
      <xdr:blipFill>
        <a:blip xmlns:r="http://schemas.openxmlformats.org/officeDocument/2006/relationships" r:embed="rId22"/>
        <a:stretch>
          <a:fillRect/>
        </a:stretch>
      </xdr:blipFill>
      <xdr:spPr>
        <a:xfrm>
          <a:off x="1209733" y="18521406"/>
          <a:ext cx="923810" cy="685714"/>
        </a:xfrm>
        <a:prstGeom prst="rect">
          <a:avLst/>
        </a:prstGeom>
      </xdr:spPr>
    </xdr:pic>
    <xdr:clientData/>
  </xdr:twoCellAnchor>
  <xdr:twoCellAnchor editAs="oneCell">
    <xdr:from>
      <xdr:col>2</xdr:col>
      <xdr:colOff>95308</xdr:colOff>
      <xdr:row>30</xdr:row>
      <xdr:rowOff>38143</xdr:rowOff>
    </xdr:from>
    <xdr:to>
      <xdr:col>2</xdr:col>
      <xdr:colOff>1019118</xdr:colOff>
      <xdr:row>30</xdr:row>
      <xdr:rowOff>723857</xdr:rowOff>
    </xdr:to>
    <xdr:pic>
      <xdr:nvPicPr>
        <xdr:cNvPr id="26" name="Picture 25">
          <a:extLst>
            <a:ext uri="{FF2B5EF4-FFF2-40B4-BE49-F238E27FC236}">
              <a16:creationId xmlns:a16="http://schemas.microsoft.com/office/drawing/2014/main" id="{798EF779-9816-439B-B383-00B8300524DC}"/>
            </a:ext>
          </a:extLst>
        </xdr:cNvPr>
        <xdr:cNvPicPr>
          <a:picLocks noChangeAspect="1"/>
        </xdr:cNvPicPr>
      </xdr:nvPicPr>
      <xdr:blipFill>
        <a:blip xmlns:r="http://schemas.openxmlformats.org/officeDocument/2006/relationships" r:embed="rId23"/>
        <a:stretch>
          <a:fillRect/>
        </a:stretch>
      </xdr:blipFill>
      <xdr:spPr>
        <a:xfrm>
          <a:off x="1209733" y="19283406"/>
          <a:ext cx="923810" cy="685714"/>
        </a:xfrm>
        <a:prstGeom prst="rect">
          <a:avLst/>
        </a:prstGeom>
      </xdr:spPr>
    </xdr:pic>
    <xdr:clientData/>
  </xdr:twoCellAnchor>
  <xdr:twoCellAnchor editAs="oneCell">
    <xdr:from>
      <xdr:col>2</xdr:col>
      <xdr:colOff>95308</xdr:colOff>
      <xdr:row>31</xdr:row>
      <xdr:rowOff>38143</xdr:rowOff>
    </xdr:from>
    <xdr:to>
      <xdr:col>2</xdr:col>
      <xdr:colOff>1019118</xdr:colOff>
      <xdr:row>31</xdr:row>
      <xdr:rowOff>723857</xdr:rowOff>
    </xdr:to>
    <xdr:pic>
      <xdr:nvPicPr>
        <xdr:cNvPr id="27" name="Picture 26">
          <a:extLst>
            <a:ext uri="{FF2B5EF4-FFF2-40B4-BE49-F238E27FC236}">
              <a16:creationId xmlns:a16="http://schemas.microsoft.com/office/drawing/2014/main" id="{E4688955-282D-43BA-BC06-EDD16A8266F2}"/>
            </a:ext>
          </a:extLst>
        </xdr:cNvPr>
        <xdr:cNvPicPr>
          <a:picLocks noChangeAspect="1"/>
        </xdr:cNvPicPr>
      </xdr:nvPicPr>
      <xdr:blipFill>
        <a:blip xmlns:r="http://schemas.openxmlformats.org/officeDocument/2006/relationships" r:embed="rId23"/>
        <a:stretch>
          <a:fillRect/>
        </a:stretch>
      </xdr:blipFill>
      <xdr:spPr>
        <a:xfrm>
          <a:off x="1209733" y="20045406"/>
          <a:ext cx="923810" cy="685714"/>
        </a:xfrm>
        <a:prstGeom prst="rect">
          <a:avLst/>
        </a:prstGeom>
      </xdr:spPr>
    </xdr:pic>
    <xdr:clientData/>
  </xdr:twoCellAnchor>
  <xdr:twoCellAnchor editAs="oneCell">
    <xdr:from>
      <xdr:col>2</xdr:col>
      <xdr:colOff>95308</xdr:colOff>
      <xdr:row>32</xdr:row>
      <xdr:rowOff>38143</xdr:rowOff>
    </xdr:from>
    <xdr:to>
      <xdr:col>2</xdr:col>
      <xdr:colOff>1019118</xdr:colOff>
      <xdr:row>32</xdr:row>
      <xdr:rowOff>723857</xdr:rowOff>
    </xdr:to>
    <xdr:pic>
      <xdr:nvPicPr>
        <xdr:cNvPr id="28" name="Picture 27">
          <a:extLst>
            <a:ext uri="{FF2B5EF4-FFF2-40B4-BE49-F238E27FC236}">
              <a16:creationId xmlns:a16="http://schemas.microsoft.com/office/drawing/2014/main" id="{F961185F-E115-4352-A38D-A0D7D34A1C61}"/>
            </a:ext>
          </a:extLst>
        </xdr:cNvPr>
        <xdr:cNvPicPr>
          <a:picLocks noChangeAspect="1"/>
        </xdr:cNvPicPr>
      </xdr:nvPicPr>
      <xdr:blipFill>
        <a:blip xmlns:r="http://schemas.openxmlformats.org/officeDocument/2006/relationships" r:embed="rId11"/>
        <a:stretch>
          <a:fillRect/>
        </a:stretch>
      </xdr:blipFill>
      <xdr:spPr>
        <a:xfrm>
          <a:off x="1209733" y="20807406"/>
          <a:ext cx="923810" cy="685714"/>
        </a:xfrm>
        <a:prstGeom prst="rect">
          <a:avLst/>
        </a:prstGeom>
      </xdr:spPr>
    </xdr:pic>
    <xdr:clientData/>
  </xdr:twoCellAnchor>
  <xdr:twoCellAnchor editAs="oneCell">
    <xdr:from>
      <xdr:col>2</xdr:col>
      <xdr:colOff>95308</xdr:colOff>
      <xdr:row>33</xdr:row>
      <xdr:rowOff>38143</xdr:rowOff>
    </xdr:from>
    <xdr:to>
      <xdr:col>2</xdr:col>
      <xdr:colOff>1019118</xdr:colOff>
      <xdr:row>33</xdr:row>
      <xdr:rowOff>723857</xdr:rowOff>
    </xdr:to>
    <xdr:pic>
      <xdr:nvPicPr>
        <xdr:cNvPr id="29" name="Picture 28">
          <a:extLst>
            <a:ext uri="{FF2B5EF4-FFF2-40B4-BE49-F238E27FC236}">
              <a16:creationId xmlns:a16="http://schemas.microsoft.com/office/drawing/2014/main" id="{7FBDDB80-DD08-4BE0-BD5C-DAC6D3955188}"/>
            </a:ext>
          </a:extLst>
        </xdr:cNvPr>
        <xdr:cNvPicPr>
          <a:picLocks noChangeAspect="1"/>
        </xdr:cNvPicPr>
      </xdr:nvPicPr>
      <xdr:blipFill>
        <a:blip xmlns:r="http://schemas.openxmlformats.org/officeDocument/2006/relationships" r:embed="rId24"/>
        <a:stretch>
          <a:fillRect/>
        </a:stretch>
      </xdr:blipFill>
      <xdr:spPr>
        <a:xfrm>
          <a:off x="1209733" y="21569406"/>
          <a:ext cx="923810" cy="685714"/>
        </a:xfrm>
        <a:prstGeom prst="rect">
          <a:avLst/>
        </a:prstGeom>
      </xdr:spPr>
    </xdr:pic>
    <xdr:clientData/>
  </xdr:twoCellAnchor>
  <xdr:twoCellAnchor editAs="oneCell">
    <xdr:from>
      <xdr:col>2</xdr:col>
      <xdr:colOff>95308</xdr:colOff>
      <xdr:row>34</xdr:row>
      <xdr:rowOff>38143</xdr:rowOff>
    </xdr:from>
    <xdr:to>
      <xdr:col>2</xdr:col>
      <xdr:colOff>1019118</xdr:colOff>
      <xdr:row>34</xdr:row>
      <xdr:rowOff>723857</xdr:rowOff>
    </xdr:to>
    <xdr:pic>
      <xdr:nvPicPr>
        <xdr:cNvPr id="30" name="Picture 29">
          <a:extLst>
            <a:ext uri="{FF2B5EF4-FFF2-40B4-BE49-F238E27FC236}">
              <a16:creationId xmlns:a16="http://schemas.microsoft.com/office/drawing/2014/main" id="{040FD764-013B-40DA-8D2F-C127078BA68B}"/>
            </a:ext>
          </a:extLst>
        </xdr:cNvPr>
        <xdr:cNvPicPr>
          <a:picLocks noChangeAspect="1"/>
        </xdr:cNvPicPr>
      </xdr:nvPicPr>
      <xdr:blipFill>
        <a:blip xmlns:r="http://schemas.openxmlformats.org/officeDocument/2006/relationships" r:embed="rId25"/>
        <a:stretch>
          <a:fillRect/>
        </a:stretch>
      </xdr:blipFill>
      <xdr:spPr>
        <a:xfrm>
          <a:off x="1209733" y="22331406"/>
          <a:ext cx="923810" cy="685714"/>
        </a:xfrm>
        <a:prstGeom prst="rect">
          <a:avLst/>
        </a:prstGeom>
      </xdr:spPr>
    </xdr:pic>
    <xdr:clientData/>
  </xdr:twoCellAnchor>
  <xdr:twoCellAnchor editAs="oneCell">
    <xdr:from>
      <xdr:col>2</xdr:col>
      <xdr:colOff>95308</xdr:colOff>
      <xdr:row>35</xdr:row>
      <xdr:rowOff>38143</xdr:rowOff>
    </xdr:from>
    <xdr:to>
      <xdr:col>2</xdr:col>
      <xdr:colOff>1019118</xdr:colOff>
      <xdr:row>35</xdr:row>
      <xdr:rowOff>723857</xdr:rowOff>
    </xdr:to>
    <xdr:pic>
      <xdr:nvPicPr>
        <xdr:cNvPr id="31" name="Picture 30">
          <a:extLst>
            <a:ext uri="{FF2B5EF4-FFF2-40B4-BE49-F238E27FC236}">
              <a16:creationId xmlns:a16="http://schemas.microsoft.com/office/drawing/2014/main" id="{B92FD477-50CE-48B1-A102-B5E545BCA183}"/>
            </a:ext>
          </a:extLst>
        </xdr:cNvPr>
        <xdr:cNvPicPr>
          <a:picLocks noChangeAspect="1"/>
        </xdr:cNvPicPr>
      </xdr:nvPicPr>
      <xdr:blipFill>
        <a:blip xmlns:r="http://schemas.openxmlformats.org/officeDocument/2006/relationships" r:embed="rId26"/>
        <a:stretch>
          <a:fillRect/>
        </a:stretch>
      </xdr:blipFill>
      <xdr:spPr>
        <a:xfrm>
          <a:off x="1209733" y="23093406"/>
          <a:ext cx="923810" cy="685714"/>
        </a:xfrm>
        <a:prstGeom prst="rect">
          <a:avLst/>
        </a:prstGeom>
      </xdr:spPr>
    </xdr:pic>
    <xdr:clientData/>
  </xdr:twoCellAnchor>
  <xdr:twoCellAnchor editAs="oneCell">
    <xdr:from>
      <xdr:col>2</xdr:col>
      <xdr:colOff>95308</xdr:colOff>
      <xdr:row>36</xdr:row>
      <xdr:rowOff>38143</xdr:rowOff>
    </xdr:from>
    <xdr:to>
      <xdr:col>2</xdr:col>
      <xdr:colOff>1019118</xdr:colOff>
      <xdr:row>36</xdr:row>
      <xdr:rowOff>723857</xdr:rowOff>
    </xdr:to>
    <xdr:pic>
      <xdr:nvPicPr>
        <xdr:cNvPr id="32" name="Picture 31">
          <a:extLst>
            <a:ext uri="{FF2B5EF4-FFF2-40B4-BE49-F238E27FC236}">
              <a16:creationId xmlns:a16="http://schemas.microsoft.com/office/drawing/2014/main" id="{64B38063-026F-4F78-9AB6-92F170A9B99E}"/>
            </a:ext>
          </a:extLst>
        </xdr:cNvPr>
        <xdr:cNvPicPr>
          <a:picLocks noChangeAspect="1"/>
        </xdr:cNvPicPr>
      </xdr:nvPicPr>
      <xdr:blipFill>
        <a:blip xmlns:r="http://schemas.openxmlformats.org/officeDocument/2006/relationships" r:embed="rId27"/>
        <a:stretch>
          <a:fillRect/>
        </a:stretch>
      </xdr:blipFill>
      <xdr:spPr>
        <a:xfrm>
          <a:off x="1209733" y="23855406"/>
          <a:ext cx="923810" cy="685714"/>
        </a:xfrm>
        <a:prstGeom prst="rect">
          <a:avLst/>
        </a:prstGeom>
      </xdr:spPr>
    </xdr:pic>
    <xdr:clientData/>
  </xdr:twoCellAnchor>
  <xdr:twoCellAnchor editAs="oneCell">
    <xdr:from>
      <xdr:col>2</xdr:col>
      <xdr:colOff>95308</xdr:colOff>
      <xdr:row>37</xdr:row>
      <xdr:rowOff>38143</xdr:rowOff>
    </xdr:from>
    <xdr:to>
      <xdr:col>2</xdr:col>
      <xdr:colOff>1019118</xdr:colOff>
      <xdr:row>37</xdr:row>
      <xdr:rowOff>723857</xdr:rowOff>
    </xdr:to>
    <xdr:pic>
      <xdr:nvPicPr>
        <xdr:cNvPr id="33" name="Picture 32">
          <a:extLst>
            <a:ext uri="{FF2B5EF4-FFF2-40B4-BE49-F238E27FC236}">
              <a16:creationId xmlns:a16="http://schemas.microsoft.com/office/drawing/2014/main" id="{C0B3EC0D-E46E-4C04-BD3F-4ED5BDD4FD58}"/>
            </a:ext>
          </a:extLst>
        </xdr:cNvPr>
        <xdr:cNvPicPr>
          <a:picLocks noChangeAspect="1"/>
        </xdr:cNvPicPr>
      </xdr:nvPicPr>
      <xdr:blipFill>
        <a:blip xmlns:r="http://schemas.openxmlformats.org/officeDocument/2006/relationships" r:embed="rId28"/>
        <a:stretch>
          <a:fillRect/>
        </a:stretch>
      </xdr:blipFill>
      <xdr:spPr>
        <a:xfrm>
          <a:off x="1209733" y="24617406"/>
          <a:ext cx="923810" cy="685714"/>
        </a:xfrm>
        <a:prstGeom prst="rect">
          <a:avLst/>
        </a:prstGeom>
      </xdr:spPr>
    </xdr:pic>
    <xdr:clientData/>
  </xdr:twoCellAnchor>
  <xdr:twoCellAnchor editAs="oneCell">
    <xdr:from>
      <xdr:col>2</xdr:col>
      <xdr:colOff>95308</xdr:colOff>
      <xdr:row>38</xdr:row>
      <xdr:rowOff>38143</xdr:rowOff>
    </xdr:from>
    <xdr:to>
      <xdr:col>2</xdr:col>
      <xdr:colOff>1019118</xdr:colOff>
      <xdr:row>38</xdr:row>
      <xdr:rowOff>723857</xdr:rowOff>
    </xdr:to>
    <xdr:pic>
      <xdr:nvPicPr>
        <xdr:cNvPr id="34" name="Picture 33">
          <a:extLst>
            <a:ext uri="{FF2B5EF4-FFF2-40B4-BE49-F238E27FC236}">
              <a16:creationId xmlns:a16="http://schemas.microsoft.com/office/drawing/2014/main" id="{A7CE35A7-99A4-450B-80D8-C15DA883BBBC}"/>
            </a:ext>
          </a:extLst>
        </xdr:cNvPr>
        <xdr:cNvPicPr>
          <a:picLocks noChangeAspect="1"/>
        </xdr:cNvPicPr>
      </xdr:nvPicPr>
      <xdr:blipFill>
        <a:blip xmlns:r="http://schemas.openxmlformats.org/officeDocument/2006/relationships" r:embed="rId29"/>
        <a:stretch>
          <a:fillRect/>
        </a:stretch>
      </xdr:blipFill>
      <xdr:spPr>
        <a:xfrm>
          <a:off x="1209733" y="25379406"/>
          <a:ext cx="923810" cy="685714"/>
        </a:xfrm>
        <a:prstGeom prst="rect">
          <a:avLst/>
        </a:prstGeom>
      </xdr:spPr>
    </xdr:pic>
    <xdr:clientData/>
  </xdr:twoCellAnchor>
  <xdr:twoCellAnchor editAs="oneCell">
    <xdr:from>
      <xdr:col>2</xdr:col>
      <xdr:colOff>95308</xdr:colOff>
      <xdr:row>39</xdr:row>
      <xdr:rowOff>38143</xdr:rowOff>
    </xdr:from>
    <xdr:to>
      <xdr:col>2</xdr:col>
      <xdr:colOff>1019118</xdr:colOff>
      <xdr:row>39</xdr:row>
      <xdr:rowOff>723857</xdr:rowOff>
    </xdr:to>
    <xdr:pic>
      <xdr:nvPicPr>
        <xdr:cNvPr id="35" name="Picture 34">
          <a:extLst>
            <a:ext uri="{FF2B5EF4-FFF2-40B4-BE49-F238E27FC236}">
              <a16:creationId xmlns:a16="http://schemas.microsoft.com/office/drawing/2014/main" id="{98E7B652-1118-42A0-B48C-34B246E1718D}"/>
            </a:ext>
          </a:extLst>
        </xdr:cNvPr>
        <xdr:cNvPicPr>
          <a:picLocks noChangeAspect="1"/>
        </xdr:cNvPicPr>
      </xdr:nvPicPr>
      <xdr:blipFill>
        <a:blip xmlns:r="http://schemas.openxmlformats.org/officeDocument/2006/relationships" r:embed="rId30"/>
        <a:stretch>
          <a:fillRect/>
        </a:stretch>
      </xdr:blipFill>
      <xdr:spPr>
        <a:xfrm>
          <a:off x="1209733" y="26141406"/>
          <a:ext cx="923810" cy="685714"/>
        </a:xfrm>
        <a:prstGeom prst="rect">
          <a:avLst/>
        </a:prstGeom>
      </xdr:spPr>
    </xdr:pic>
    <xdr:clientData/>
  </xdr:twoCellAnchor>
  <xdr:twoCellAnchor editAs="oneCell">
    <xdr:from>
      <xdr:col>2</xdr:col>
      <xdr:colOff>95308</xdr:colOff>
      <xdr:row>40</xdr:row>
      <xdr:rowOff>38143</xdr:rowOff>
    </xdr:from>
    <xdr:to>
      <xdr:col>2</xdr:col>
      <xdr:colOff>1019118</xdr:colOff>
      <xdr:row>40</xdr:row>
      <xdr:rowOff>723857</xdr:rowOff>
    </xdr:to>
    <xdr:pic>
      <xdr:nvPicPr>
        <xdr:cNvPr id="36" name="Picture 35">
          <a:extLst>
            <a:ext uri="{FF2B5EF4-FFF2-40B4-BE49-F238E27FC236}">
              <a16:creationId xmlns:a16="http://schemas.microsoft.com/office/drawing/2014/main" id="{32E994A2-083D-43D7-904E-1107122DF0B6}"/>
            </a:ext>
          </a:extLst>
        </xdr:cNvPr>
        <xdr:cNvPicPr>
          <a:picLocks noChangeAspect="1"/>
        </xdr:cNvPicPr>
      </xdr:nvPicPr>
      <xdr:blipFill>
        <a:blip xmlns:r="http://schemas.openxmlformats.org/officeDocument/2006/relationships" r:embed="rId31"/>
        <a:stretch>
          <a:fillRect/>
        </a:stretch>
      </xdr:blipFill>
      <xdr:spPr>
        <a:xfrm>
          <a:off x="1209733" y="26903406"/>
          <a:ext cx="923810" cy="685714"/>
        </a:xfrm>
        <a:prstGeom prst="rect">
          <a:avLst/>
        </a:prstGeom>
      </xdr:spPr>
    </xdr:pic>
    <xdr:clientData/>
  </xdr:twoCellAnchor>
  <xdr:twoCellAnchor editAs="oneCell">
    <xdr:from>
      <xdr:col>2</xdr:col>
      <xdr:colOff>95308</xdr:colOff>
      <xdr:row>41</xdr:row>
      <xdr:rowOff>38143</xdr:rowOff>
    </xdr:from>
    <xdr:to>
      <xdr:col>2</xdr:col>
      <xdr:colOff>1019118</xdr:colOff>
      <xdr:row>41</xdr:row>
      <xdr:rowOff>723857</xdr:rowOff>
    </xdr:to>
    <xdr:pic>
      <xdr:nvPicPr>
        <xdr:cNvPr id="37" name="Picture 36">
          <a:extLst>
            <a:ext uri="{FF2B5EF4-FFF2-40B4-BE49-F238E27FC236}">
              <a16:creationId xmlns:a16="http://schemas.microsoft.com/office/drawing/2014/main" id="{8F01E18A-B488-4781-A778-9AACCE488D23}"/>
            </a:ext>
          </a:extLst>
        </xdr:cNvPr>
        <xdr:cNvPicPr>
          <a:picLocks noChangeAspect="1"/>
        </xdr:cNvPicPr>
      </xdr:nvPicPr>
      <xdr:blipFill>
        <a:blip xmlns:r="http://schemas.openxmlformats.org/officeDocument/2006/relationships" r:embed="rId32"/>
        <a:stretch>
          <a:fillRect/>
        </a:stretch>
      </xdr:blipFill>
      <xdr:spPr>
        <a:xfrm>
          <a:off x="1209733" y="27665406"/>
          <a:ext cx="923810" cy="685714"/>
        </a:xfrm>
        <a:prstGeom prst="rect">
          <a:avLst/>
        </a:prstGeom>
      </xdr:spPr>
    </xdr:pic>
    <xdr:clientData/>
  </xdr:twoCellAnchor>
  <xdr:twoCellAnchor editAs="oneCell">
    <xdr:from>
      <xdr:col>2</xdr:col>
      <xdr:colOff>95308</xdr:colOff>
      <xdr:row>42</xdr:row>
      <xdr:rowOff>38143</xdr:rowOff>
    </xdr:from>
    <xdr:to>
      <xdr:col>2</xdr:col>
      <xdr:colOff>1019118</xdr:colOff>
      <xdr:row>42</xdr:row>
      <xdr:rowOff>723857</xdr:rowOff>
    </xdr:to>
    <xdr:pic>
      <xdr:nvPicPr>
        <xdr:cNvPr id="38" name="Picture 37">
          <a:extLst>
            <a:ext uri="{FF2B5EF4-FFF2-40B4-BE49-F238E27FC236}">
              <a16:creationId xmlns:a16="http://schemas.microsoft.com/office/drawing/2014/main" id="{2B6126FA-B2E5-418E-ABA9-2116A9303663}"/>
            </a:ext>
          </a:extLst>
        </xdr:cNvPr>
        <xdr:cNvPicPr>
          <a:picLocks noChangeAspect="1"/>
        </xdr:cNvPicPr>
      </xdr:nvPicPr>
      <xdr:blipFill>
        <a:blip xmlns:r="http://schemas.openxmlformats.org/officeDocument/2006/relationships" r:embed="rId33"/>
        <a:stretch>
          <a:fillRect/>
        </a:stretch>
      </xdr:blipFill>
      <xdr:spPr>
        <a:xfrm>
          <a:off x="1209733" y="28427406"/>
          <a:ext cx="923810" cy="685714"/>
        </a:xfrm>
        <a:prstGeom prst="rect">
          <a:avLst/>
        </a:prstGeom>
      </xdr:spPr>
    </xdr:pic>
    <xdr:clientData/>
  </xdr:twoCellAnchor>
  <xdr:twoCellAnchor editAs="oneCell">
    <xdr:from>
      <xdr:col>2</xdr:col>
      <xdr:colOff>95308</xdr:colOff>
      <xdr:row>43</xdr:row>
      <xdr:rowOff>38143</xdr:rowOff>
    </xdr:from>
    <xdr:to>
      <xdr:col>2</xdr:col>
      <xdr:colOff>1019118</xdr:colOff>
      <xdr:row>43</xdr:row>
      <xdr:rowOff>723857</xdr:rowOff>
    </xdr:to>
    <xdr:pic>
      <xdr:nvPicPr>
        <xdr:cNvPr id="39" name="Picture 38">
          <a:extLst>
            <a:ext uri="{FF2B5EF4-FFF2-40B4-BE49-F238E27FC236}">
              <a16:creationId xmlns:a16="http://schemas.microsoft.com/office/drawing/2014/main" id="{636E3436-E0E5-41BA-8AE6-37869F642C5C}"/>
            </a:ext>
          </a:extLst>
        </xdr:cNvPr>
        <xdr:cNvPicPr>
          <a:picLocks noChangeAspect="1"/>
        </xdr:cNvPicPr>
      </xdr:nvPicPr>
      <xdr:blipFill>
        <a:blip xmlns:r="http://schemas.openxmlformats.org/officeDocument/2006/relationships" r:embed="rId34"/>
        <a:stretch>
          <a:fillRect/>
        </a:stretch>
      </xdr:blipFill>
      <xdr:spPr>
        <a:xfrm>
          <a:off x="1209733" y="29189406"/>
          <a:ext cx="923810" cy="685714"/>
        </a:xfrm>
        <a:prstGeom prst="rect">
          <a:avLst/>
        </a:prstGeom>
      </xdr:spPr>
    </xdr:pic>
    <xdr:clientData/>
  </xdr:twoCellAnchor>
  <xdr:twoCellAnchor editAs="oneCell">
    <xdr:from>
      <xdr:col>2</xdr:col>
      <xdr:colOff>95308</xdr:colOff>
      <xdr:row>44</xdr:row>
      <xdr:rowOff>38143</xdr:rowOff>
    </xdr:from>
    <xdr:to>
      <xdr:col>2</xdr:col>
      <xdr:colOff>1019118</xdr:colOff>
      <xdr:row>44</xdr:row>
      <xdr:rowOff>723857</xdr:rowOff>
    </xdr:to>
    <xdr:pic>
      <xdr:nvPicPr>
        <xdr:cNvPr id="40" name="Picture 39">
          <a:extLst>
            <a:ext uri="{FF2B5EF4-FFF2-40B4-BE49-F238E27FC236}">
              <a16:creationId xmlns:a16="http://schemas.microsoft.com/office/drawing/2014/main" id="{172A6F85-DB21-47E5-83CA-77336B3EE35B}"/>
            </a:ext>
          </a:extLst>
        </xdr:cNvPr>
        <xdr:cNvPicPr>
          <a:picLocks noChangeAspect="1"/>
        </xdr:cNvPicPr>
      </xdr:nvPicPr>
      <xdr:blipFill>
        <a:blip xmlns:r="http://schemas.openxmlformats.org/officeDocument/2006/relationships" r:embed="rId35"/>
        <a:stretch>
          <a:fillRect/>
        </a:stretch>
      </xdr:blipFill>
      <xdr:spPr>
        <a:xfrm>
          <a:off x="1209733" y="29951406"/>
          <a:ext cx="923810" cy="685714"/>
        </a:xfrm>
        <a:prstGeom prst="rect">
          <a:avLst/>
        </a:prstGeom>
      </xdr:spPr>
    </xdr:pic>
    <xdr:clientData/>
  </xdr:twoCellAnchor>
  <xdr:twoCellAnchor editAs="oneCell">
    <xdr:from>
      <xdr:col>2</xdr:col>
      <xdr:colOff>95308</xdr:colOff>
      <xdr:row>45</xdr:row>
      <xdr:rowOff>38143</xdr:rowOff>
    </xdr:from>
    <xdr:to>
      <xdr:col>2</xdr:col>
      <xdr:colOff>1019118</xdr:colOff>
      <xdr:row>45</xdr:row>
      <xdr:rowOff>723857</xdr:rowOff>
    </xdr:to>
    <xdr:pic>
      <xdr:nvPicPr>
        <xdr:cNvPr id="41" name="Picture 40">
          <a:extLst>
            <a:ext uri="{FF2B5EF4-FFF2-40B4-BE49-F238E27FC236}">
              <a16:creationId xmlns:a16="http://schemas.microsoft.com/office/drawing/2014/main" id="{EECF8B7F-82D2-44D6-8B2E-52330B70829E}"/>
            </a:ext>
          </a:extLst>
        </xdr:cNvPr>
        <xdr:cNvPicPr>
          <a:picLocks noChangeAspect="1"/>
        </xdr:cNvPicPr>
      </xdr:nvPicPr>
      <xdr:blipFill>
        <a:blip xmlns:r="http://schemas.openxmlformats.org/officeDocument/2006/relationships" r:embed="rId36"/>
        <a:stretch>
          <a:fillRect/>
        </a:stretch>
      </xdr:blipFill>
      <xdr:spPr>
        <a:xfrm>
          <a:off x="1209733" y="30713406"/>
          <a:ext cx="923810" cy="685714"/>
        </a:xfrm>
        <a:prstGeom prst="rect">
          <a:avLst/>
        </a:prstGeom>
      </xdr:spPr>
    </xdr:pic>
    <xdr:clientData/>
  </xdr:twoCellAnchor>
  <xdr:twoCellAnchor editAs="oneCell">
    <xdr:from>
      <xdr:col>2</xdr:col>
      <xdr:colOff>95308</xdr:colOff>
      <xdr:row>46</xdr:row>
      <xdr:rowOff>38143</xdr:rowOff>
    </xdr:from>
    <xdr:to>
      <xdr:col>2</xdr:col>
      <xdr:colOff>1019118</xdr:colOff>
      <xdr:row>46</xdr:row>
      <xdr:rowOff>723857</xdr:rowOff>
    </xdr:to>
    <xdr:pic>
      <xdr:nvPicPr>
        <xdr:cNvPr id="42" name="Picture 41">
          <a:extLst>
            <a:ext uri="{FF2B5EF4-FFF2-40B4-BE49-F238E27FC236}">
              <a16:creationId xmlns:a16="http://schemas.microsoft.com/office/drawing/2014/main" id="{1D04E170-16B2-46FF-83D7-9025AABF0B42}"/>
            </a:ext>
          </a:extLst>
        </xdr:cNvPr>
        <xdr:cNvPicPr>
          <a:picLocks noChangeAspect="1"/>
        </xdr:cNvPicPr>
      </xdr:nvPicPr>
      <xdr:blipFill>
        <a:blip xmlns:r="http://schemas.openxmlformats.org/officeDocument/2006/relationships" r:embed="rId37"/>
        <a:stretch>
          <a:fillRect/>
        </a:stretch>
      </xdr:blipFill>
      <xdr:spPr>
        <a:xfrm>
          <a:off x="1209733" y="31475406"/>
          <a:ext cx="923810" cy="685714"/>
        </a:xfrm>
        <a:prstGeom prst="rect">
          <a:avLst/>
        </a:prstGeom>
      </xdr:spPr>
    </xdr:pic>
    <xdr:clientData/>
  </xdr:twoCellAnchor>
  <xdr:twoCellAnchor editAs="oneCell">
    <xdr:from>
      <xdr:col>2</xdr:col>
      <xdr:colOff>95308</xdr:colOff>
      <xdr:row>47</xdr:row>
      <xdr:rowOff>38143</xdr:rowOff>
    </xdr:from>
    <xdr:to>
      <xdr:col>2</xdr:col>
      <xdr:colOff>1019118</xdr:colOff>
      <xdr:row>47</xdr:row>
      <xdr:rowOff>723857</xdr:rowOff>
    </xdr:to>
    <xdr:pic>
      <xdr:nvPicPr>
        <xdr:cNvPr id="43" name="Picture 42">
          <a:extLst>
            <a:ext uri="{FF2B5EF4-FFF2-40B4-BE49-F238E27FC236}">
              <a16:creationId xmlns:a16="http://schemas.microsoft.com/office/drawing/2014/main" id="{16B35F79-CB44-4AD2-8064-706625B2177B}"/>
            </a:ext>
          </a:extLst>
        </xdr:cNvPr>
        <xdr:cNvPicPr>
          <a:picLocks noChangeAspect="1"/>
        </xdr:cNvPicPr>
      </xdr:nvPicPr>
      <xdr:blipFill>
        <a:blip xmlns:r="http://schemas.openxmlformats.org/officeDocument/2006/relationships" r:embed="rId38"/>
        <a:stretch>
          <a:fillRect/>
        </a:stretch>
      </xdr:blipFill>
      <xdr:spPr>
        <a:xfrm>
          <a:off x="1209733" y="32237406"/>
          <a:ext cx="923810" cy="685714"/>
        </a:xfrm>
        <a:prstGeom prst="rect">
          <a:avLst/>
        </a:prstGeom>
      </xdr:spPr>
    </xdr:pic>
    <xdr:clientData/>
  </xdr:twoCellAnchor>
  <xdr:twoCellAnchor editAs="oneCell">
    <xdr:from>
      <xdr:col>2</xdr:col>
      <xdr:colOff>95308</xdr:colOff>
      <xdr:row>48</xdr:row>
      <xdr:rowOff>38143</xdr:rowOff>
    </xdr:from>
    <xdr:to>
      <xdr:col>2</xdr:col>
      <xdr:colOff>1019118</xdr:colOff>
      <xdr:row>48</xdr:row>
      <xdr:rowOff>723857</xdr:rowOff>
    </xdr:to>
    <xdr:pic>
      <xdr:nvPicPr>
        <xdr:cNvPr id="44" name="Picture 43">
          <a:extLst>
            <a:ext uri="{FF2B5EF4-FFF2-40B4-BE49-F238E27FC236}">
              <a16:creationId xmlns:a16="http://schemas.microsoft.com/office/drawing/2014/main" id="{977738EA-8671-42D4-A3C3-2C776E146AC9}"/>
            </a:ext>
          </a:extLst>
        </xdr:cNvPr>
        <xdr:cNvPicPr>
          <a:picLocks noChangeAspect="1"/>
        </xdr:cNvPicPr>
      </xdr:nvPicPr>
      <xdr:blipFill>
        <a:blip xmlns:r="http://schemas.openxmlformats.org/officeDocument/2006/relationships" r:embed="rId39"/>
        <a:stretch>
          <a:fillRect/>
        </a:stretch>
      </xdr:blipFill>
      <xdr:spPr>
        <a:xfrm>
          <a:off x="1209733" y="32999406"/>
          <a:ext cx="923810" cy="685714"/>
        </a:xfrm>
        <a:prstGeom prst="rect">
          <a:avLst/>
        </a:prstGeom>
      </xdr:spPr>
    </xdr:pic>
    <xdr:clientData/>
  </xdr:twoCellAnchor>
  <xdr:twoCellAnchor editAs="oneCell">
    <xdr:from>
      <xdr:col>2</xdr:col>
      <xdr:colOff>95308</xdr:colOff>
      <xdr:row>49</xdr:row>
      <xdr:rowOff>38143</xdr:rowOff>
    </xdr:from>
    <xdr:to>
      <xdr:col>2</xdr:col>
      <xdr:colOff>1019118</xdr:colOff>
      <xdr:row>49</xdr:row>
      <xdr:rowOff>723857</xdr:rowOff>
    </xdr:to>
    <xdr:pic>
      <xdr:nvPicPr>
        <xdr:cNvPr id="45" name="Picture 44">
          <a:extLst>
            <a:ext uri="{FF2B5EF4-FFF2-40B4-BE49-F238E27FC236}">
              <a16:creationId xmlns:a16="http://schemas.microsoft.com/office/drawing/2014/main" id="{983AF9D8-5199-450C-BEEB-DF1F6C88CA33}"/>
            </a:ext>
          </a:extLst>
        </xdr:cNvPr>
        <xdr:cNvPicPr>
          <a:picLocks noChangeAspect="1"/>
        </xdr:cNvPicPr>
      </xdr:nvPicPr>
      <xdr:blipFill>
        <a:blip xmlns:r="http://schemas.openxmlformats.org/officeDocument/2006/relationships" r:embed="rId40"/>
        <a:stretch>
          <a:fillRect/>
        </a:stretch>
      </xdr:blipFill>
      <xdr:spPr>
        <a:xfrm>
          <a:off x="1209733" y="33761406"/>
          <a:ext cx="923810" cy="685714"/>
        </a:xfrm>
        <a:prstGeom prst="rect">
          <a:avLst/>
        </a:prstGeom>
      </xdr:spPr>
    </xdr:pic>
    <xdr:clientData/>
  </xdr:twoCellAnchor>
  <xdr:twoCellAnchor editAs="oneCell">
    <xdr:from>
      <xdr:col>2</xdr:col>
      <xdr:colOff>95308</xdr:colOff>
      <xdr:row>50</xdr:row>
      <xdr:rowOff>38143</xdr:rowOff>
    </xdr:from>
    <xdr:to>
      <xdr:col>2</xdr:col>
      <xdr:colOff>1019118</xdr:colOff>
      <xdr:row>50</xdr:row>
      <xdr:rowOff>723857</xdr:rowOff>
    </xdr:to>
    <xdr:pic>
      <xdr:nvPicPr>
        <xdr:cNvPr id="46" name="Picture 45">
          <a:extLst>
            <a:ext uri="{FF2B5EF4-FFF2-40B4-BE49-F238E27FC236}">
              <a16:creationId xmlns:a16="http://schemas.microsoft.com/office/drawing/2014/main" id="{C1DC638C-F2A4-41DF-87AB-6C5C511510BA}"/>
            </a:ext>
          </a:extLst>
        </xdr:cNvPr>
        <xdr:cNvPicPr>
          <a:picLocks noChangeAspect="1"/>
        </xdr:cNvPicPr>
      </xdr:nvPicPr>
      <xdr:blipFill>
        <a:blip xmlns:r="http://schemas.openxmlformats.org/officeDocument/2006/relationships" r:embed="rId41"/>
        <a:stretch>
          <a:fillRect/>
        </a:stretch>
      </xdr:blipFill>
      <xdr:spPr>
        <a:xfrm>
          <a:off x="1209733" y="34523406"/>
          <a:ext cx="923810" cy="685714"/>
        </a:xfrm>
        <a:prstGeom prst="rect">
          <a:avLst/>
        </a:prstGeom>
      </xdr:spPr>
    </xdr:pic>
    <xdr:clientData/>
  </xdr:twoCellAnchor>
  <xdr:twoCellAnchor editAs="oneCell">
    <xdr:from>
      <xdr:col>2</xdr:col>
      <xdr:colOff>95308</xdr:colOff>
      <xdr:row>51</xdr:row>
      <xdr:rowOff>38143</xdr:rowOff>
    </xdr:from>
    <xdr:to>
      <xdr:col>2</xdr:col>
      <xdr:colOff>1019118</xdr:colOff>
      <xdr:row>51</xdr:row>
      <xdr:rowOff>723857</xdr:rowOff>
    </xdr:to>
    <xdr:pic>
      <xdr:nvPicPr>
        <xdr:cNvPr id="47" name="Picture 46">
          <a:extLst>
            <a:ext uri="{FF2B5EF4-FFF2-40B4-BE49-F238E27FC236}">
              <a16:creationId xmlns:a16="http://schemas.microsoft.com/office/drawing/2014/main" id="{C694A000-15F1-4897-A8A5-FA43866A5B36}"/>
            </a:ext>
          </a:extLst>
        </xdr:cNvPr>
        <xdr:cNvPicPr>
          <a:picLocks noChangeAspect="1"/>
        </xdr:cNvPicPr>
      </xdr:nvPicPr>
      <xdr:blipFill>
        <a:blip xmlns:r="http://schemas.openxmlformats.org/officeDocument/2006/relationships" r:embed="rId42"/>
        <a:stretch>
          <a:fillRect/>
        </a:stretch>
      </xdr:blipFill>
      <xdr:spPr>
        <a:xfrm>
          <a:off x="1209733" y="35285406"/>
          <a:ext cx="923810" cy="685714"/>
        </a:xfrm>
        <a:prstGeom prst="rect">
          <a:avLst/>
        </a:prstGeom>
      </xdr:spPr>
    </xdr:pic>
    <xdr:clientData/>
  </xdr:twoCellAnchor>
  <xdr:twoCellAnchor editAs="oneCell">
    <xdr:from>
      <xdr:col>2</xdr:col>
      <xdr:colOff>95308</xdr:colOff>
      <xdr:row>52</xdr:row>
      <xdr:rowOff>38143</xdr:rowOff>
    </xdr:from>
    <xdr:to>
      <xdr:col>2</xdr:col>
      <xdr:colOff>1019118</xdr:colOff>
      <xdr:row>52</xdr:row>
      <xdr:rowOff>723857</xdr:rowOff>
    </xdr:to>
    <xdr:pic>
      <xdr:nvPicPr>
        <xdr:cNvPr id="48" name="Picture 47">
          <a:extLst>
            <a:ext uri="{FF2B5EF4-FFF2-40B4-BE49-F238E27FC236}">
              <a16:creationId xmlns:a16="http://schemas.microsoft.com/office/drawing/2014/main" id="{8ED0B6CA-DA4C-462B-ACA1-20DAAB4F0A2E}"/>
            </a:ext>
          </a:extLst>
        </xdr:cNvPr>
        <xdr:cNvPicPr>
          <a:picLocks noChangeAspect="1"/>
        </xdr:cNvPicPr>
      </xdr:nvPicPr>
      <xdr:blipFill>
        <a:blip xmlns:r="http://schemas.openxmlformats.org/officeDocument/2006/relationships" r:embed="rId43"/>
        <a:stretch>
          <a:fillRect/>
        </a:stretch>
      </xdr:blipFill>
      <xdr:spPr>
        <a:xfrm>
          <a:off x="1209733" y="36047406"/>
          <a:ext cx="923810" cy="685714"/>
        </a:xfrm>
        <a:prstGeom prst="rect">
          <a:avLst/>
        </a:prstGeom>
      </xdr:spPr>
    </xdr:pic>
    <xdr:clientData/>
  </xdr:twoCellAnchor>
  <xdr:twoCellAnchor editAs="oneCell">
    <xdr:from>
      <xdr:col>2</xdr:col>
      <xdr:colOff>95308</xdr:colOff>
      <xdr:row>53</xdr:row>
      <xdr:rowOff>38143</xdr:rowOff>
    </xdr:from>
    <xdr:to>
      <xdr:col>2</xdr:col>
      <xdr:colOff>1019118</xdr:colOff>
      <xdr:row>53</xdr:row>
      <xdr:rowOff>723857</xdr:rowOff>
    </xdr:to>
    <xdr:pic>
      <xdr:nvPicPr>
        <xdr:cNvPr id="49" name="Picture 48">
          <a:extLst>
            <a:ext uri="{FF2B5EF4-FFF2-40B4-BE49-F238E27FC236}">
              <a16:creationId xmlns:a16="http://schemas.microsoft.com/office/drawing/2014/main" id="{DAFD793C-B864-4CDF-A905-8B46A9B7A902}"/>
            </a:ext>
          </a:extLst>
        </xdr:cNvPr>
        <xdr:cNvPicPr>
          <a:picLocks noChangeAspect="1"/>
        </xdr:cNvPicPr>
      </xdr:nvPicPr>
      <xdr:blipFill>
        <a:blip xmlns:r="http://schemas.openxmlformats.org/officeDocument/2006/relationships" r:embed="rId44"/>
        <a:stretch>
          <a:fillRect/>
        </a:stretch>
      </xdr:blipFill>
      <xdr:spPr>
        <a:xfrm>
          <a:off x="1209733" y="36809406"/>
          <a:ext cx="923810" cy="685714"/>
        </a:xfrm>
        <a:prstGeom prst="rect">
          <a:avLst/>
        </a:prstGeom>
      </xdr:spPr>
    </xdr:pic>
    <xdr:clientData/>
  </xdr:twoCellAnchor>
  <xdr:twoCellAnchor editAs="oneCell">
    <xdr:from>
      <xdr:col>2</xdr:col>
      <xdr:colOff>95308</xdr:colOff>
      <xdr:row>54</xdr:row>
      <xdr:rowOff>38143</xdr:rowOff>
    </xdr:from>
    <xdr:to>
      <xdr:col>2</xdr:col>
      <xdr:colOff>1019118</xdr:colOff>
      <xdr:row>54</xdr:row>
      <xdr:rowOff>723857</xdr:rowOff>
    </xdr:to>
    <xdr:pic>
      <xdr:nvPicPr>
        <xdr:cNvPr id="50" name="Picture 49">
          <a:extLst>
            <a:ext uri="{FF2B5EF4-FFF2-40B4-BE49-F238E27FC236}">
              <a16:creationId xmlns:a16="http://schemas.microsoft.com/office/drawing/2014/main" id="{903B78D2-D714-438D-80F4-A3D32416363B}"/>
            </a:ext>
          </a:extLst>
        </xdr:cNvPr>
        <xdr:cNvPicPr>
          <a:picLocks noChangeAspect="1"/>
        </xdr:cNvPicPr>
      </xdr:nvPicPr>
      <xdr:blipFill>
        <a:blip xmlns:r="http://schemas.openxmlformats.org/officeDocument/2006/relationships" r:embed="rId45"/>
        <a:stretch>
          <a:fillRect/>
        </a:stretch>
      </xdr:blipFill>
      <xdr:spPr>
        <a:xfrm>
          <a:off x="1209733" y="37571406"/>
          <a:ext cx="923810" cy="685714"/>
        </a:xfrm>
        <a:prstGeom prst="rect">
          <a:avLst/>
        </a:prstGeom>
      </xdr:spPr>
    </xdr:pic>
    <xdr:clientData/>
  </xdr:twoCellAnchor>
  <xdr:twoCellAnchor editAs="oneCell">
    <xdr:from>
      <xdr:col>2</xdr:col>
      <xdr:colOff>95308</xdr:colOff>
      <xdr:row>55</xdr:row>
      <xdr:rowOff>38143</xdr:rowOff>
    </xdr:from>
    <xdr:to>
      <xdr:col>2</xdr:col>
      <xdr:colOff>1019118</xdr:colOff>
      <xdr:row>55</xdr:row>
      <xdr:rowOff>723857</xdr:rowOff>
    </xdr:to>
    <xdr:pic>
      <xdr:nvPicPr>
        <xdr:cNvPr id="51" name="Picture 50">
          <a:extLst>
            <a:ext uri="{FF2B5EF4-FFF2-40B4-BE49-F238E27FC236}">
              <a16:creationId xmlns:a16="http://schemas.microsoft.com/office/drawing/2014/main" id="{EAFBD22D-C394-4D3C-AEF5-C208A6541744}"/>
            </a:ext>
          </a:extLst>
        </xdr:cNvPr>
        <xdr:cNvPicPr>
          <a:picLocks noChangeAspect="1"/>
        </xdr:cNvPicPr>
      </xdr:nvPicPr>
      <xdr:blipFill>
        <a:blip xmlns:r="http://schemas.openxmlformats.org/officeDocument/2006/relationships" r:embed="rId46"/>
        <a:stretch>
          <a:fillRect/>
        </a:stretch>
      </xdr:blipFill>
      <xdr:spPr>
        <a:xfrm>
          <a:off x="1209733" y="38333406"/>
          <a:ext cx="923810" cy="685714"/>
        </a:xfrm>
        <a:prstGeom prst="rect">
          <a:avLst/>
        </a:prstGeom>
      </xdr:spPr>
    </xdr:pic>
    <xdr:clientData/>
  </xdr:twoCellAnchor>
  <xdr:twoCellAnchor editAs="oneCell">
    <xdr:from>
      <xdr:col>2</xdr:col>
      <xdr:colOff>95308</xdr:colOff>
      <xdr:row>56</xdr:row>
      <xdr:rowOff>38143</xdr:rowOff>
    </xdr:from>
    <xdr:to>
      <xdr:col>2</xdr:col>
      <xdr:colOff>1019118</xdr:colOff>
      <xdr:row>56</xdr:row>
      <xdr:rowOff>723857</xdr:rowOff>
    </xdr:to>
    <xdr:pic>
      <xdr:nvPicPr>
        <xdr:cNvPr id="52" name="Picture 51">
          <a:extLst>
            <a:ext uri="{FF2B5EF4-FFF2-40B4-BE49-F238E27FC236}">
              <a16:creationId xmlns:a16="http://schemas.microsoft.com/office/drawing/2014/main" id="{4BA171F0-FE84-4885-B0AC-4800C713A226}"/>
            </a:ext>
          </a:extLst>
        </xdr:cNvPr>
        <xdr:cNvPicPr>
          <a:picLocks noChangeAspect="1"/>
        </xdr:cNvPicPr>
      </xdr:nvPicPr>
      <xdr:blipFill>
        <a:blip xmlns:r="http://schemas.openxmlformats.org/officeDocument/2006/relationships" r:embed="rId47"/>
        <a:stretch>
          <a:fillRect/>
        </a:stretch>
      </xdr:blipFill>
      <xdr:spPr>
        <a:xfrm>
          <a:off x="1209733" y="39095406"/>
          <a:ext cx="923810" cy="685714"/>
        </a:xfrm>
        <a:prstGeom prst="rect">
          <a:avLst/>
        </a:prstGeom>
      </xdr:spPr>
    </xdr:pic>
    <xdr:clientData/>
  </xdr:twoCellAnchor>
  <xdr:twoCellAnchor editAs="oneCell">
    <xdr:from>
      <xdr:col>2</xdr:col>
      <xdr:colOff>95308</xdr:colOff>
      <xdr:row>57</xdr:row>
      <xdr:rowOff>38143</xdr:rowOff>
    </xdr:from>
    <xdr:to>
      <xdr:col>2</xdr:col>
      <xdr:colOff>1019118</xdr:colOff>
      <xdr:row>57</xdr:row>
      <xdr:rowOff>723857</xdr:rowOff>
    </xdr:to>
    <xdr:pic>
      <xdr:nvPicPr>
        <xdr:cNvPr id="53" name="Picture 52">
          <a:extLst>
            <a:ext uri="{FF2B5EF4-FFF2-40B4-BE49-F238E27FC236}">
              <a16:creationId xmlns:a16="http://schemas.microsoft.com/office/drawing/2014/main" id="{75042C03-B603-47C9-AE13-56A7A3551BF1}"/>
            </a:ext>
          </a:extLst>
        </xdr:cNvPr>
        <xdr:cNvPicPr>
          <a:picLocks noChangeAspect="1"/>
        </xdr:cNvPicPr>
      </xdr:nvPicPr>
      <xdr:blipFill>
        <a:blip xmlns:r="http://schemas.openxmlformats.org/officeDocument/2006/relationships" r:embed="rId48"/>
        <a:stretch>
          <a:fillRect/>
        </a:stretch>
      </xdr:blipFill>
      <xdr:spPr>
        <a:xfrm>
          <a:off x="1209733" y="39857406"/>
          <a:ext cx="923810" cy="685714"/>
        </a:xfrm>
        <a:prstGeom prst="rect">
          <a:avLst/>
        </a:prstGeom>
      </xdr:spPr>
    </xdr:pic>
    <xdr:clientData/>
  </xdr:twoCellAnchor>
  <xdr:twoCellAnchor editAs="oneCell">
    <xdr:from>
      <xdr:col>2</xdr:col>
      <xdr:colOff>95308</xdr:colOff>
      <xdr:row>58</xdr:row>
      <xdr:rowOff>38143</xdr:rowOff>
    </xdr:from>
    <xdr:to>
      <xdr:col>2</xdr:col>
      <xdr:colOff>1019118</xdr:colOff>
      <xdr:row>58</xdr:row>
      <xdr:rowOff>723857</xdr:rowOff>
    </xdr:to>
    <xdr:pic>
      <xdr:nvPicPr>
        <xdr:cNvPr id="54" name="Picture 53">
          <a:extLst>
            <a:ext uri="{FF2B5EF4-FFF2-40B4-BE49-F238E27FC236}">
              <a16:creationId xmlns:a16="http://schemas.microsoft.com/office/drawing/2014/main" id="{E4B363EB-B9C7-4A8F-817D-76A669D3CE76}"/>
            </a:ext>
          </a:extLst>
        </xdr:cNvPr>
        <xdr:cNvPicPr>
          <a:picLocks noChangeAspect="1"/>
        </xdr:cNvPicPr>
      </xdr:nvPicPr>
      <xdr:blipFill>
        <a:blip xmlns:r="http://schemas.openxmlformats.org/officeDocument/2006/relationships" r:embed="rId49"/>
        <a:stretch>
          <a:fillRect/>
        </a:stretch>
      </xdr:blipFill>
      <xdr:spPr>
        <a:xfrm>
          <a:off x="1209733" y="40619406"/>
          <a:ext cx="923810" cy="685714"/>
        </a:xfrm>
        <a:prstGeom prst="rect">
          <a:avLst/>
        </a:prstGeom>
      </xdr:spPr>
    </xdr:pic>
    <xdr:clientData/>
  </xdr:twoCellAnchor>
  <xdr:twoCellAnchor editAs="oneCell">
    <xdr:from>
      <xdr:col>2</xdr:col>
      <xdr:colOff>95308</xdr:colOff>
      <xdr:row>59</xdr:row>
      <xdr:rowOff>38143</xdr:rowOff>
    </xdr:from>
    <xdr:to>
      <xdr:col>2</xdr:col>
      <xdr:colOff>1019118</xdr:colOff>
      <xdr:row>59</xdr:row>
      <xdr:rowOff>723857</xdr:rowOff>
    </xdr:to>
    <xdr:pic>
      <xdr:nvPicPr>
        <xdr:cNvPr id="55" name="Picture 54">
          <a:extLst>
            <a:ext uri="{FF2B5EF4-FFF2-40B4-BE49-F238E27FC236}">
              <a16:creationId xmlns:a16="http://schemas.microsoft.com/office/drawing/2014/main" id="{92CA4D09-4A98-4C3F-9D01-AFCE7145CB1A}"/>
            </a:ext>
          </a:extLst>
        </xdr:cNvPr>
        <xdr:cNvPicPr>
          <a:picLocks noChangeAspect="1"/>
        </xdr:cNvPicPr>
      </xdr:nvPicPr>
      <xdr:blipFill>
        <a:blip xmlns:r="http://schemas.openxmlformats.org/officeDocument/2006/relationships" r:embed="rId13"/>
        <a:stretch>
          <a:fillRect/>
        </a:stretch>
      </xdr:blipFill>
      <xdr:spPr>
        <a:xfrm>
          <a:off x="1209733" y="41381406"/>
          <a:ext cx="923810" cy="685714"/>
        </a:xfrm>
        <a:prstGeom prst="rect">
          <a:avLst/>
        </a:prstGeom>
      </xdr:spPr>
    </xdr:pic>
    <xdr:clientData/>
  </xdr:twoCellAnchor>
  <xdr:twoCellAnchor editAs="oneCell">
    <xdr:from>
      <xdr:col>2</xdr:col>
      <xdr:colOff>95308</xdr:colOff>
      <xdr:row>60</xdr:row>
      <xdr:rowOff>38143</xdr:rowOff>
    </xdr:from>
    <xdr:to>
      <xdr:col>2</xdr:col>
      <xdr:colOff>1019118</xdr:colOff>
      <xdr:row>60</xdr:row>
      <xdr:rowOff>723857</xdr:rowOff>
    </xdr:to>
    <xdr:pic>
      <xdr:nvPicPr>
        <xdr:cNvPr id="56" name="Picture 55">
          <a:extLst>
            <a:ext uri="{FF2B5EF4-FFF2-40B4-BE49-F238E27FC236}">
              <a16:creationId xmlns:a16="http://schemas.microsoft.com/office/drawing/2014/main" id="{7A05C5EC-DF37-4E5B-A35C-59A7DFC12041}"/>
            </a:ext>
          </a:extLst>
        </xdr:cNvPr>
        <xdr:cNvPicPr>
          <a:picLocks noChangeAspect="1"/>
        </xdr:cNvPicPr>
      </xdr:nvPicPr>
      <xdr:blipFill>
        <a:blip xmlns:r="http://schemas.openxmlformats.org/officeDocument/2006/relationships" r:embed="rId22"/>
        <a:stretch>
          <a:fillRect/>
        </a:stretch>
      </xdr:blipFill>
      <xdr:spPr>
        <a:xfrm>
          <a:off x="1209733" y="42143406"/>
          <a:ext cx="923810" cy="685714"/>
        </a:xfrm>
        <a:prstGeom prst="rect">
          <a:avLst/>
        </a:prstGeom>
      </xdr:spPr>
    </xdr:pic>
    <xdr:clientData/>
  </xdr:twoCellAnchor>
  <xdr:twoCellAnchor editAs="oneCell">
    <xdr:from>
      <xdr:col>2</xdr:col>
      <xdr:colOff>95308</xdr:colOff>
      <xdr:row>61</xdr:row>
      <xdr:rowOff>38143</xdr:rowOff>
    </xdr:from>
    <xdr:to>
      <xdr:col>2</xdr:col>
      <xdr:colOff>1019118</xdr:colOff>
      <xdr:row>61</xdr:row>
      <xdr:rowOff>723857</xdr:rowOff>
    </xdr:to>
    <xdr:pic>
      <xdr:nvPicPr>
        <xdr:cNvPr id="57" name="Picture 56">
          <a:extLst>
            <a:ext uri="{FF2B5EF4-FFF2-40B4-BE49-F238E27FC236}">
              <a16:creationId xmlns:a16="http://schemas.microsoft.com/office/drawing/2014/main" id="{C84D827F-CEE8-4B20-84F9-7CF9684AE8EB}"/>
            </a:ext>
          </a:extLst>
        </xdr:cNvPr>
        <xdr:cNvPicPr>
          <a:picLocks noChangeAspect="1"/>
        </xdr:cNvPicPr>
      </xdr:nvPicPr>
      <xdr:blipFill>
        <a:blip xmlns:r="http://schemas.openxmlformats.org/officeDocument/2006/relationships" r:embed="rId50"/>
        <a:stretch>
          <a:fillRect/>
        </a:stretch>
      </xdr:blipFill>
      <xdr:spPr>
        <a:xfrm>
          <a:off x="1209733" y="42905406"/>
          <a:ext cx="923810" cy="685714"/>
        </a:xfrm>
        <a:prstGeom prst="rect">
          <a:avLst/>
        </a:prstGeom>
      </xdr:spPr>
    </xdr:pic>
    <xdr:clientData/>
  </xdr:twoCellAnchor>
  <xdr:twoCellAnchor editAs="oneCell">
    <xdr:from>
      <xdr:col>2</xdr:col>
      <xdr:colOff>95308</xdr:colOff>
      <xdr:row>62</xdr:row>
      <xdr:rowOff>38143</xdr:rowOff>
    </xdr:from>
    <xdr:to>
      <xdr:col>2</xdr:col>
      <xdr:colOff>1019118</xdr:colOff>
      <xdr:row>62</xdr:row>
      <xdr:rowOff>723857</xdr:rowOff>
    </xdr:to>
    <xdr:pic>
      <xdr:nvPicPr>
        <xdr:cNvPr id="58" name="Picture 57">
          <a:extLst>
            <a:ext uri="{FF2B5EF4-FFF2-40B4-BE49-F238E27FC236}">
              <a16:creationId xmlns:a16="http://schemas.microsoft.com/office/drawing/2014/main" id="{0B422065-2803-444D-B84F-DFBAEEB0BC89}"/>
            </a:ext>
          </a:extLst>
        </xdr:cNvPr>
        <xdr:cNvPicPr>
          <a:picLocks noChangeAspect="1"/>
        </xdr:cNvPicPr>
      </xdr:nvPicPr>
      <xdr:blipFill>
        <a:blip xmlns:r="http://schemas.openxmlformats.org/officeDocument/2006/relationships" r:embed="rId51"/>
        <a:stretch>
          <a:fillRect/>
        </a:stretch>
      </xdr:blipFill>
      <xdr:spPr>
        <a:xfrm>
          <a:off x="1209733" y="43667406"/>
          <a:ext cx="923810" cy="685714"/>
        </a:xfrm>
        <a:prstGeom prst="rect">
          <a:avLst/>
        </a:prstGeom>
      </xdr:spPr>
    </xdr:pic>
    <xdr:clientData/>
  </xdr:twoCellAnchor>
  <xdr:twoCellAnchor editAs="oneCell">
    <xdr:from>
      <xdr:col>2</xdr:col>
      <xdr:colOff>95308</xdr:colOff>
      <xdr:row>63</xdr:row>
      <xdr:rowOff>38143</xdr:rowOff>
    </xdr:from>
    <xdr:to>
      <xdr:col>2</xdr:col>
      <xdr:colOff>1019118</xdr:colOff>
      <xdr:row>63</xdr:row>
      <xdr:rowOff>723857</xdr:rowOff>
    </xdr:to>
    <xdr:pic>
      <xdr:nvPicPr>
        <xdr:cNvPr id="59" name="Picture 58">
          <a:extLst>
            <a:ext uri="{FF2B5EF4-FFF2-40B4-BE49-F238E27FC236}">
              <a16:creationId xmlns:a16="http://schemas.microsoft.com/office/drawing/2014/main" id="{61FD55C3-DD04-4911-96A8-0216910FB7EE}"/>
            </a:ext>
          </a:extLst>
        </xdr:cNvPr>
        <xdr:cNvPicPr>
          <a:picLocks noChangeAspect="1"/>
        </xdr:cNvPicPr>
      </xdr:nvPicPr>
      <xdr:blipFill>
        <a:blip xmlns:r="http://schemas.openxmlformats.org/officeDocument/2006/relationships" r:embed="rId52"/>
        <a:stretch>
          <a:fillRect/>
        </a:stretch>
      </xdr:blipFill>
      <xdr:spPr>
        <a:xfrm>
          <a:off x="1209733" y="44429406"/>
          <a:ext cx="923810" cy="685714"/>
        </a:xfrm>
        <a:prstGeom prst="rect">
          <a:avLst/>
        </a:prstGeom>
      </xdr:spPr>
    </xdr:pic>
    <xdr:clientData/>
  </xdr:twoCellAnchor>
  <xdr:twoCellAnchor editAs="oneCell">
    <xdr:from>
      <xdr:col>2</xdr:col>
      <xdr:colOff>95308</xdr:colOff>
      <xdr:row>64</xdr:row>
      <xdr:rowOff>38143</xdr:rowOff>
    </xdr:from>
    <xdr:to>
      <xdr:col>2</xdr:col>
      <xdr:colOff>1019118</xdr:colOff>
      <xdr:row>64</xdr:row>
      <xdr:rowOff>723857</xdr:rowOff>
    </xdr:to>
    <xdr:pic>
      <xdr:nvPicPr>
        <xdr:cNvPr id="60" name="Picture 59">
          <a:extLst>
            <a:ext uri="{FF2B5EF4-FFF2-40B4-BE49-F238E27FC236}">
              <a16:creationId xmlns:a16="http://schemas.microsoft.com/office/drawing/2014/main" id="{567507B2-FB16-4420-A5DF-FE060D0DBFAA}"/>
            </a:ext>
          </a:extLst>
        </xdr:cNvPr>
        <xdr:cNvPicPr>
          <a:picLocks noChangeAspect="1"/>
        </xdr:cNvPicPr>
      </xdr:nvPicPr>
      <xdr:blipFill>
        <a:blip xmlns:r="http://schemas.openxmlformats.org/officeDocument/2006/relationships" r:embed="rId53"/>
        <a:stretch>
          <a:fillRect/>
        </a:stretch>
      </xdr:blipFill>
      <xdr:spPr>
        <a:xfrm>
          <a:off x="1209733" y="45191406"/>
          <a:ext cx="923810" cy="685714"/>
        </a:xfrm>
        <a:prstGeom prst="rect">
          <a:avLst/>
        </a:prstGeom>
      </xdr:spPr>
    </xdr:pic>
    <xdr:clientData/>
  </xdr:twoCellAnchor>
  <xdr:twoCellAnchor editAs="oneCell">
    <xdr:from>
      <xdr:col>2</xdr:col>
      <xdr:colOff>95308</xdr:colOff>
      <xdr:row>65</xdr:row>
      <xdr:rowOff>38143</xdr:rowOff>
    </xdr:from>
    <xdr:to>
      <xdr:col>2</xdr:col>
      <xdr:colOff>1019118</xdr:colOff>
      <xdr:row>65</xdr:row>
      <xdr:rowOff>723857</xdr:rowOff>
    </xdr:to>
    <xdr:pic>
      <xdr:nvPicPr>
        <xdr:cNvPr id="61" name="Picture 60">
          <a:extLst>
            <a:ext uri="{FF2B5EF4-FFF2-40B4-BE49-F238E27FC236}">
              <a16:creationId xmlns:a16="http://schemas.microsoft.com/office/drawing/2014/main" id="{809CBEDA-565B-4C5A-91CA-E8175547ADEB}"/>
            </a:ext>
          </a:extLst>
        </xdr:cNvPr>
        <xdr:cNvPicPr>
          <a:picLocks noChangeAspect="1"/>
        </xdr:cNvPicPr>
      </xdr:nvPicPr>
      <xdr:blipFill>
        <a:blip xmlns:r="http://schemas.openxmlformats.org/officeDocument/2006/relationships" r:embed="rId54"/>
        <a:stretch>
          <a:fillRect/>
        </a:stretch>
      </xdr:blipFill>
      <xdr:spPr>
        <a:xfrm>
          <a:off x="1209733" y="45953406"/>
          <a:ext cx="923810" cy="685714"/>
        </a:xfrm>
        <a:prstGeom prst="rect">
          <a:avLst/>
        </a:prstGeom>
      </xdr:spPr>
    </xdr:pic>
    <xdr:clientData/>
  </xdr:twoCellAnchor>
  <xdr:twoCellAnchor editAs="oneCell">
    <xdr:from>
      <xdr:col>2</xdr:col>
      <xdr:colOff>95308</xdr:colOff>
      <xdr:row>66</xdr:row>
      <xdr:rowOff>38143</xdr:rowOff>
    </xdr:from>
    <xdr:to>
      <xdr:col>2</xdr:col>
      <xdr:colOff>1019118</xdr:colOff>
      <xdr:row>66</xdr:row>
      <xdr:rowOff>723857</xdr:rowOff>
    </xdr:to>
    <xdr:pic>
      <xdr:nvPicPr>
        <xdr:cNvPr id="62" name="Picture 61">
          <a:extLst>
            <a:ext uri="{FF2B5EF4-FFF2-40B4-BE49-F238E27FC236}">
              <a16:creationId xmlns:a16="http://schemas.microsoft.com/office/drawing/2014/main" id="{1AA22AA9-F0EE-484A-BD35-524E915BBFEF}"/>
            </a:ext>
          </a:extLst>
        </xdr:cNvPr>
        <xdr:cNvPicPr>
          <a:picLocks noChangeAspect="1"/>
        </xdr:cNvPicPr>
      </xdr:nvPicPr>
      <xdr:blipFill>
        <a:blip xmlns:r="http://schemas.openxmlformats.org/officeDocument/2006/relationships" r:embed="rId55"/>
        <a:stretch>
          <a:fillRect/>
        </a:stretch>
      </xdr:blipFill>
      <xdr:spPr>
        <a:xfrm>
          <a:off x="1209733" y="46715406"/>
          <a:ext cx="923810" cy="685714"/>
        </a:xfrm>
        <a:prstGeom prst="rect">
          <a:avLst/>
        </a:prstGeom>
      </xdr:spPr>
    </xdr:pic>
    <xdr:clientData/>
  </xdr:twoCellAnchor>
  <xdr:twoCellAnchor editAs="oneCell">
    <xdr:from>
      <xdr:col>2</xdr:col>
      <xdr:colOff>95308</xdr:colOff>
      <xdr:row>67</xdr:row>
      <xdr:rowOff>38143</xdr:rowOff>
    </xdr:from>
    <xdr:to>
      <xdr:col>2</xdr:col>
      <xdr:colOff>1019118</xdr:colOff>
      <xdr:row>67</xdr:row>
      <xdr:rowOff>723857</xdr:rowOff>
    </xdr:to>
    <xdr:pic>
      <xdr:nvPicPr>
        <xdr:cNvPr id="63" name="Picture 62">
          <a:extLst>
            <a:ext uri="{FF2B5EF4-FFF2-40B4-BE49-F238E27FC236}">
              <a16:creationId xmlns:a16="http://schemas.microsoft.com/office/drawing/2014/main" id="{FDD518F3-3AB4-4528-BE16-FD31D3427797}"/>
            </a:ext>
          </a:extLst>
        </xdr:cNvPr>
        <xdr:cNvPicPr>
          <a:picLocks noChangeAspect="1"/>
        </xdr:cNvPicPr>
      </xdr:nvPicPr>
      <xdr:blipFill>
        <a:blip xmlns:r="http://schemas.openxmlformats.org/officeDocument/2006/relationships" r:embed="rId56"/>
        <a:stretch>
          <a:fillRect/>
        </a:stretch>
      </xdr:blipFill>
      <xdr:spPr>
        <a:xfrm>
          <a:off x="1209733" y="47477406"/>
          <a:ext cx="923810" cy="685714"/>
        </a:xfrm>
        <a:prstGeom prst="rect">
          <a:avLst/>
        </a:prstGeom>
      </xdr:spPr>
    </xdr:pic>
    <xdr:clientData/>
  </xdr:twoCellAnchor>
  <xdr:twoCellAnchor editAs="oneCell">
    <xdr:from>
      <xdr:col>2</xdr:col>
      <xdr:colOff>95308</xdr:colOff>
      <xdr:row>68</xdr:row>
      <xdr:rowOff>38143</xdr:rowOff>
    </xdr:from>
    <xdr:to>
      <xdr:col>2</xdr:col>
      <xdr:colOff>1019118</xdr:colOff>
      <xdr:row>68</xdr:row>
      <xdr:rowOff>723857</xdr:rowOff>
    </xdr:to>
    <xdr:pic>
      <xdr:nvPicPr>
        <xdr:cNvPr id="64" name="Picture 63">
          <a:extLst>
            <a:ext uri="{FF2B5EF4-FFF2-40B4-BE49-F238E27FC236}">
              <a16:creationId xmlns:a16="http://schemas.microsoft.com/office/drawing/2014/main" id="{1F4D13D7-ABAC-4DB3-A9F9-BFB739D3895F}"/>
            </a:ext>
          </a:extLst>
        </xdr:cNvPr>
        <xdr:cNvPicPr>
          <a:picLocks noChangeAspect="1"/>
        </xdr:cNvPicPr>
      </xdr:nvPicPr>
      <xdr:blipFill>
        <a:blip xmlns:r="http://schemas.openxmlformats.org/officeDocument/2006/relationships" r:embed="rId57"/>
        <a:stretch>
          <a:fillRect/>
        </a:stretch>
      </xdr:blipFill>
      <xdr:spPr>
        <a:xfrm>
          <a:off x="1209733" y="48239406"/>
          <a:ext cx="923810" cy="685714"/>
        </a:xfrm>
        <a:prstGeom prst="rect">
          <a:avLst/>
        </a:prstGeom>
      </xdr:spPr>
    </xdr:pic>
    <xdr:clientData/>
  </xdr:twoCellAnchor>
  <xdr:twoCellAnchor editAs="oneCell">
    <xdr:from>
      <xdr:col>2</xdr:col>
      <xdr:colOff>95308</xdr:colOff>
      <xdr:row>69</xdr:row>
      <xdr:rowOff>38143</xdr:rowOff>
    </xdr:from>
    <xdr:to>
      <xdr:col>2</xdr:col>
      <xdr:colOff>1019118</xdr:colOff>
      <xdr:row>69</xdr:row>
      <xdr:rowOff>723857</xdr:rowOff>
    </xdr:to>
    <xdr:pic>
      <xdr:nvPicPr>
        <xdr:cNvPr id="65" name="Picture 64">
          <a:extLst>
            <a:ext uri="{FF2B5EF4-FFF2-40B4-BE49-F238E27FC236}">
              <a16:creationId xmlns:a16="http://schemas.microsoft.com/office/drawing/2014/main" id="{A0F95958-1940-4491-8146-ECD9C06CF293}"/>
            </a:ext>
          </a:extLst>
        </xdr:cNvPr>
        <xdr:cNvPicPr>
          <a:picLocks noChangeAspect="1"/>
        </xdr:cNvPicPr>
      </xdr:nvPicPr>
      <xdr:blipFill>
        <a:blip xmlns:r="http://schemas.openxmlformats.org/officeDocument/2006/relationships" r:embed="rId58"/>
        <a:stretch>
          <a:fillRect/>
        </a:stretch>
      </xdr:blipFill>
      <xdr:spPr>
        <a:xfrm>
          <a:off x="1209733" y="49001406"/>
          <a:ext cx="923810" cy="685714"/>
        </a:xfrm>
        <a:prstGeom prst="rect">
          <a:avLst/>
        </a:prstGeom>
      </xdr:spPr>
    </xdr:pic>
    <xdr:clientData/>
  </xdr:twoCellAnchor>
  <xdr:twoCellAnchor editAs="oneCell">
    <xdr:from>
      <xdr:col>2</xdr:col>
      <xdr:colOff>95308</xdr:colOff>
      <xdr:row>70</xdr:row>
      <xdr:rowOff>38143</xdr:rowOff>
    </xdr:from>
    <xdr:to>
      <xdr:col>2</xdr:col>
      <xdr:colOff>1019118</xdr:colOff>
      <xdr:row>70</xdr:row>
      <xdr:rowOff>723857</xdr:rowOff>
    </xdr:to>
    <xdr:pic>
      <xdr:nvPicPr>
        <xdr:cNvPr id="66" name="Picture 65">
          <a:extLst>
            <a:ext uri="{FF2B5EF4-FFF2-40B4-BE49-F238E27FC236}">
              <a16:creationId xmlns:a16="http://schemas.microsoft.com/office/drawing/2014/main" id="{375A5364-B8FD-424A-8DDE-98842F73F503}"/>
            </a:ext>
          </a:extLst>
        </xdr:cNvPr>
        <xdr:cNvPicPr>
          <a:picLocks noChangeAspect="1"/>
        </xdr:cNvPicPr>
      </xdr:nvPicPr>
      <xdr:blipFill>
        <a:blip xmlns:r="http://schemas.openxmlformats.org/officeDocument/2006/relationships" r:embed="rId59"/>
        <a:stretch>
          <a:fillRect/>
        </a:stretch>
      </xdr:blipFill>
      <xdr:spPr>
        <a:xfrm>
          <a:off x="1209733" y="49763406"/>
          <a:ext cx="923810" cy="6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0</xdr:rowOff>
    </xdr:from>
    <xdr:to>
      <xdr:col>4</xdr:col>
      <xdr:colOff>781051</xdr:colOff>
      <xdr:row>14</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 y="0"/>
              <a:ext cx="4329113" cy="2590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xdr:colOff>
      <xdr:row>15</xdr:row>
      <xdr:rowOff>114300</xdr:rowOff>
    </xdr:from>
    <xdr:to>
      <xdr:col>4</xdr:col>
      <xdr:colOff>762001</xdr:colOff>
      <xdr:row>30</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 y="2828925"/>
              <a:ext cx="4310063"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590550</xdr:colOff>
      <xdr:row>10</xdr:row>
      <xdr:rowOff>20240</xdr:rowOff>
    </xdr:from>
    <xdr:to>
      <xdr:col>17</xdr:col>
      <xdr:colOff>252414</xdr:colOff>
      <xdr:row>22</xdr:row>
      <xdr:rowOff>58340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428626</xdr:colOff>
      <xdr:row>32</xdr:row>
      <xdr:rowOff>28575</xdr:rowOff>
    </xdr:from>
    <xdr:to>
      <xdr:col>6</xdr:col>
      <xdr:colOff>762001</xdr:colOff>
      <xdr:row>46</xdr:row>
      <xdr:rowOff>104775</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100</xdr:row>
      <xdr:rowOff>142875</xdr:rowOff>
    </xdr:from>
    <xdr:to>
      <xdr:col>7</xdr:col>
      <xdr:colOff>304800</xdr:colOff>
      <xdr:row>115</xdr:row>
      <xdr:rowOff>28575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18240375"/>
              <a:ext cx="9839325" cy="2600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117</xdr:row>
      <xdr:rowOff>0</xdr:rowOff>
    </xdr:from>
    <xdr:to>
      <xdr:col>7</xdr:col>
      <xdr:colOff>304800</xdr:colOff>
      <xdr:row>131</xdr:row>
      <xdr:rowOff>76200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21174075"/>
              <a:ext cx="98393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133</xdr:row>
      <xdr:rowOff>0</xdr:rowOff>
    </xdr:from>
    <xdr:to>
      <xdr:col>7</xdr:col>
      <xdr:colOff>304800</xdr:colOff>
      <xdr:row>147</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24069675"/>
              <a:ext cx="98393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148</xdr:row>
      <xdr:rowOff>0</xdr:rowOff>
    </xdr:from>
    <xdr:to>
      <xdr:col>7</xdr:col>
      <xdr:colOff>304800</xdr:colOff>
      <xdr:row>162</xdr:row>
      <xdr:rowOff>76200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26784300"/>
              <a:ext cx="98393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164</xdr:row>
      <xdr:rowOff>0</xdr:rowOff>
    </xdr:from>
    <xdr:to>
      <xdr:col>7</xdr:col>
      <xdr:colOff>304800</xdr:colOff>
      <xdr:row>178</xdr:row>
      <xdr:rowOff>76200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29679900"/>
              <a:ext cx="98393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180</xdr:row>
      <xdr:rowOff>0</xdr:rowOff>
    </xdr:from>
    <xdr:to>
      <xdr:col>7</xdr:col>
      <xdr:colOff>304800</xdr:colOff>
      <xdr:row>194</xdr:row>
      <xdr:rowOff>76200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32575500"/>
              <a:ext cx="98393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109537</xdr:colOff>
      <xdr:row>15</xdr:row>
      <xdr:rowOff>76200</xdr:rowOff>
    </xdr:from>
    <xdr:to>
      <xdr:col>7</xdr:col>
      <xdr:colOff>366712</xdr:colOff>
      <xdr:row>29</xdr:row>
      <xdr:rowOff>152400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476251</xdr:colOff>
      <xdr:row>50</xdr:row>
      <xdr:rowOff>28575</xdr:rowOff>
    </xdr:from>
    <xdr:to>
      <xdr:col>6</xdr:col>
      <xdr:colOff>257176</xdr:colOff>
      <xdr:row>64</xdr:row>
      <xdr:rowOff>104775</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304800</xdr:colOff>
      <xdr:row>0</xdr:row>
      <xdr:rowOff>47625</xdr:rowOff>
    </xdr:from>
    <xdr:to>
      <xdr:col>7</xdr:col>
      <xdr:colOff>285749</xdr:colOff>
      <xdr:row>14</xdr:row>
      <xdr:rowOff>104775</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0000000-0008-0000-0000-00001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362575" y="47625"/>
              <a:ext cx="4457699" cy="2590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404812</xdr:colOff>
      <xdr:row>65</xdr:row>
      <xdr:rowOff>85726</xdr:rowOff>
    </xdr:from>
    <xdr:to>
      <xdr:col>6</xdr:col>
      <xdr:colOff>476250</xdr:colOff>
      <xdr:row>80</xdr:row>
      <xdr:rowOff>9526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209551</xdr:colOff>
      <xdr:row>81</xdr:row>
      <xdr:rowOff>76200</xdr:rowOff>
    </xdr:from>
    <xdr:to>
      <xdr:col>6</xdr:col>
      <xdr:colOff>1724026</xdr:colOff>
      <xdr:row>95</xdr:row>
      <xdr:rowOff>152400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244076</xdr:colOff>
      <xdr:row>20</xdr:row>
      <xdr:rowOff>6548</xdr:rowOff>
    </xdr:from>
    <xdr:to>
      <xdr:col>12</xdr:col>
      <xdr:colOff>261936</xdr:colOff>
      <xdr:row>34</xdr:row>
      <xdr:rowOff>82748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83E39D0-77A0-4036-A8AE-382962F5A1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11789" y="3559373"/>
              <a:ext cx="4566047"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0</xdr:col>
      <xdr:colOff>66675</xdr:colOff>
      <xdr:row>5</xdr:row>
      <xdr:rowOff>85725</xdr:rowOff>
    </xdr:from>
    <xdr:ext cx="5140325" cy="3165475"/>
    <xdr:graphicFrame macro="">
      <xdr:nvGraphicFramePr>
        <xdr:cNvPr id="2" name="Chart 1">
          <a:extLst>
            <a:ext uri="{FF2B5EF4-FFF2-40B4-BE49-F238E27FC236}">
              <a16:creationId xmlns:a16="http://schemas.microsoft.com/office/drawing/2014/main" id="{563493B6-45DC-46E8-A7EC-10660ACF5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0</xdr:col>
      <xdr:colOff>12700</xdr:colOff>
      <xdr:row>27</xdr:row>
      <xdr:rowOff>0</xdr:rowOff>
    </xdr:from>
    <xdr:ext cx="5140325" cy="3175000"/>
    <xdr:graphicFrame macro="">
      <xdr:nvGraphicFramePr>
        <xdr:cNvPr id="3" name="Chart 2">
          <a:extLst>
            <a:ext uri="{FF2B5EF4-FFF2-40B4-BE49-F238E27FC236}">
              <a16:creationId xmlns:a16="http://schemas.microsoft.com/office/drawing/2014/main" id="{8D827525-6737-4685-8974-06D614618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oneCellAnchor>
    <xdr:from>
      <xdr:col>0</xdr:col>
      <xdr:colOff>12700</xdr:colOff>
      <xdr:row>50</xdr:row>
      <xdr:rowOff>0</xdr:rowOff>
    </xdr:from>
    <xdr:ext cx="5140325" cy="3175000"/>
    <xdr:graphicFrame macro="">
      <xdr:nvGraphicFramePr>
        <xdr:cNvPr id="4" name="Chart 3">
          <a:extLst>
            <a:ext uri="{FF2B5EF4-FFF2-40B4-BE49-F238E27FC236}">
              <a16:creationId xmlns:a16="http://schemas.microsoft.com/office/drawing/2014/main" id="{3E937F8E-2CF0-459D-93E7-68A94442A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oneCellAnchor>
  <xdr:oneCellAnchor>
    <xdr:from>
      <xdr:col>0</xdr:col>
      <xdr:colOff>12699</xdr:colOff>
      <xdr:row>73</xdr:row>
      <xdr:rowOff>0</xdr:rowOff>
    </xdr:from>
    <xdr:ext cx="5954713" cy="3276600"/>
    <xdr:graphicFrame macro="">
      <xdr:nvGraphicFramePr>
        <xdr:cNvPr id="5" name="Chart 4">
          <a:extLst>
            <a:ext uri="{FF2B5EF4-FFF2-40B4-BE49-F238E27FC236}">
              <a16:creationId xmlns:a16="http://schemas.microsoft.com/office/drawing/2014/main" id="{4A9373CA-F2C4-4030-9527-4891C8C0C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oneCellAnchor>
  <xdr:oneCellAnchor>
    <xdr:from>
      <xdr:col>0</xdr:col>
      <xdr:colOff>12700</xdr:colOff>
      <xdr:row>94</xdr:row>
      <xdr:rowOff>0</xdr:rowOff>
    </xdr:from>
    <xdr:ext cx="5140325" cy="3175000"/>
    <xdr:graphicFrame macro="">
      <xdr:nvGraphicFramePr>
        <xdr:cNvPr id="6" name="Chart 5">
          <a:extLst>
            <a:ext uri="{FF2B5EF4-FFF2-40B4-BE49-F238E27FC236}">
              <a16:creationId xmlns:a16="http://schemas.microsoft.com/office/drawing/2014/main" id="{52B81194-F52D-4219-B73F-8DD66F7FC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oneCellAnchor>
  <xdr:oneCellAnchor>
    <xdr:from>
      <xdr:col>0</xdr:col>
      <xdr:colOff>12700</xdr:colOff>
      <xdr:row>117</xdr:row>
      <xdr:rowOff>0</xdr:rowOff>
    </xdr:from>
    <xdr:ext cx="5140325" cy="3175000"/>
    <xdr:graphicFrame macro="">
      <xdr:nvGraphicFramePr>
        <xdr:cNvPr id="7" name="Chart 6">
          <a:extLst>
            <a:ext uri="{FF2B5EF4-FFF2-40B4-BE49-F238E27FC236}">
              <a16:creationId xmlns:a16="http://schemas.microsoft.com/office/drawing/2014/main" id="{4D1F132D-CBDC-4C23-8436-7B9F8D27C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oneCellAnchor>
  <xdr:oneCellAnchor>
    <xdr:from>
      <xdr:col>7</xdr:col>
      <xdr:colOff>831850</xdr:colOff>
      <xdr:row>5</xdr:row>
      <xdr:rowOff>104775</xdr:rowOff>
    </xdr:from>
    <xdr:ext cx="5197475" cy="3165475"/>
    <xdr:graphicFrame macro="">
      <xdr:nvGraphicFramePr>
        <xdr:cNvPr id="8" name="Chart 7">
          <a:extLst>
            <a:ext uri="{FF2B5EF4-FFF2-40B4-BE49-F238E27FC236}">
              <a16:creationId xmlns:a16="http://schemas.microsoft.com/office/drawing/2014/main" id="{766E1F06-E8FB-4D63-AD0E-23AA88E1B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oneCellAnchor>
  <xdr:oneCellAnchor>
    <xdr:from>
      <xdr:col>8</xdr:col>
      <xdr:colOff>222250</xdr:colOff>
      <xdr:row>30</xdr:row>
      <xdr:rowOff>104775</xdr:rowOff>
    </xdr:from>
    <xdr:ext cx="5135563" cy="3175000"/>
    <xdr:graphicFrame macro="">
      <xdr:nvGraphicFramePr>
        <xdr:cNvPr id="9" name="Chart 8">
          <a:extLst>
            <a:ext uri="{FF2B5EF4-FFF2-40B4-BE49-F238E27FC236}">
              <a16:creationId xmlns:a16="http://schemas.microsoft.com/office/drawing/2014/main" id="{80F455F3-D39A-4AE5-AE09-9C2D9B149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oneCellAnchor>
  <xdr:oneCellAnchor>
    <xdr:from>
      <xdr:col>8</xdr:col>
      <xdr:colOff>136525</xdr:colOff>
      <xdr:row>53</xdr:row>
      <xdr:rowOff>95250</xdr:rowOff>
    </xdr:from>
    <xdr:ext cx="5135563" cy="3175000"/>
    <xdr:graphicFrame macro="">
      <xdr:nvGraphicFramePr>
        <xdr:cNvPr id="10" name="Chart 9">
          <a:extLst>
            <a:ext uri="{FF2B5EF4-FFF2-40B4-BE49-F238E27FC236}">
              <a16:creationId xmlns:a16="http://schemas.microsoft.com/office/drawing/2014/main" id="{3F6FD5D7-05B4-4C47-9A6D-D21F3EAD3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oneCellAnchor>
  <xdr:oneCellAnchor>
    <xdr:from>
      <xdr:col>8</xdr:col>
      <xdr:colOff>146050</xdr:colOff>
      <xdr:row>76</xdr:row>
      <xdr:rowOff>114300</xdr:rowOff>
    </xdr:from>
    <xdr:ext cx="5135563" cy="3175000"/>
    <xdr:graphicFrame macro="">
      <xdr:nvGraphicFramePr>
        <xdr:cNvPr id="11" name="Chart 10">
          <a:extLst>
            <a:ext uri="{FF2B5EF4-FFF2-40B4-BE49-F238E27FC236}">
              <a16:creationId xmlns:a16="http://schemas.microsoft.com/office/drawing/2014/main" id="{629EA5E1-FB49-4671-886E-7C54AC034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oneCellAnchor>
  <xdr:oneCellAnchor>
    <xdr:from>
      <xdr:col>8</xdr:col>
      <xdr:colOff>155575</xdr:colOff>
      <xdr:row>99</xdr:row>
      <xdr:rowOff>152400</xdr:rowOff>
    </xdr:from>
    <xdr:ext cx="5135563" cy="3175000"/>
    <xdr:graphicFrame macro="">
      <xdr:nvGraphicFramePr>
        <xdr:cNvPr id="12" name="Chart 11">
          <a:extLst>
            <a:ext uri="{FF2B5EF4-FFF2-40B4-BE49-F238E27FC236}">
              <a16:creationId xmlns:a16="http://schemas.microsoft.com/office/drawing/2014/main" id="{6EFA0785-9F4A-44A5-9635-0AC0CF6AF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oneCellAnchor>
  <xdr:oneCellAnchor>
    <xdr:from>
      <xdr:col>8</xdr:col>
      <xdr:colOff>193675</xdr:colOff>
      <xdr:row>122</xdr:row>
      <xdr:rowOff>95250</xdr:rowOff>
    </xdr:from>
    <xdr:ext cx="5135563" cy="3175000"/>
    <xdr:graphicFrame macro="">
      <xdr:nvGraphicFramePr>
        <xdr:cNvPr id="13" name="Chart 12">
          <a:extLst>
            <a:ext uri="{FF2B5EF4-FFF2-40B4-BE49-F238E27FC236}">
              <a16:creationId xmlns:a16="http://schemas.microsoft.com/office/drawing/2014/main" id="{D2342EB4-C655-476D-836E-3BE2394FA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oneCellAnchor>
  <xdr:oneCellAnchor>
    <xdr:from>
      <xdr:col>8</xdr:col>
      <xdr:colOff>193675</xdr:colOff>
      <xdr:row>147</xdr:row>
      <xdr:rowOff>66675</xdr:rowOff>
    </xdr:from>
    <xdr:ext cx="5135563" cy="3165475"/>
    <xdr:graphicFrame macro="">
      <xdr:nvGraphicFramePr>
        <xdr:cNvPr id="14" name="Chart 13">
          <a:extLst>
            <a:ext uri="{FF2B5EF4-FFF2-40B4-BE49-F238E27FC236}">
              <a16:creationId xmlns:a16="http://schemas.microsoft.com/office/drawing/2014/main" id="{DB78BD19-FB5A-4335-B3CC-E29FA571E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oneCellAnchor>
  <xdr:oneCellAnchor>
    <xdr:from>
      <xdr:col>8</xdr:col>
      <xdr:colOff>174625</xdr:colOff>
      <xdr:row>173</xdr:row>
      <xdr:rowOff>95250</xdr:rowOff>
    </xdr:from>
    <xdr:ext cx="5135563" cy="3165475"/>
    <xdr:graphicFrame macro="">
      <xdr:nvGraphicFramePr>
        <xdr:cNvPr id="15" name="Chart 14">
          <a:extLst>
            <a:ext uri="{FF2B5EF4-FFF2-40B4-BE49-F238E27FC236}">
              <a16:creationId xmlns:a16="http://schemas.microsoft.com/office/drawing/2014/main" id="{A215F3C4-889F-468A-B510-211A42F12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oneCellAnchor>
  <xdr:twoCellAnchor editAs="oneCell">
    <xdr:from>
      <xdr:col>1</xdr:col>
      <xdr:colOff>0</xdr:colOff>
      <xdr:row>165</xdr:row>
      <xdr:rowOff>0</xdr:rowOff>
    </xdr:from>
    <xdr:to>
      <xdr:col>5</xdr:col>
      <xdr:colOff>730250</xdr:colOff>
      <xdr:row>181</xdr:row>
      <xdr:rowOff>165100</xdr:rowOff>
    </xdr:to>
    <xdr:graphicFrame macro="">
      <xdr:nvGraphicFramePr>
        <xdr:cNvPr id="16" name="Chart 15">
          <a:extLst>
            <a:ext uri="{FF2B5EF4-FFF2-40B4-BE49-F238E27FC236}">
              <a16:creationId xmlns:a16="http://schemas.microsoft.com/office/drawing/2014/main" id="{3F5AB17D-41B6-4CC7-A70D-27659516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223837</xdr:colOff>
      <xdr:row>184</xdr:row>
      <xdr:rowOff>61912</xdr:rowOff>
    </xdr:from>
    <xdr:to>
      <xdr:col>4</xdr:col>
      <xdr:colOff>415924</xdr:colOff>
      <xdr:row>201</xdr:row>
      <xdr:rowOff>46037</xdr:rowOff>
    </xdr:to>
    <xdr:graphicFrame macro="">
      <xdr:nvGraphicFramePr>
        <xdr:cNvPr id="17" name="Chart 16">
          <a:extLst>
            <a:ext uri="{FF2B5EF4-FFF2-40B4-BE49-F238E27FC236}">
              <a16:creationId xmlns:a16="http://schemas.microsoft.com/office/drawing/2014/main" id="{0710DEED-FD7A-4DFF-8FE7-C69D9A3E5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547688</xdr:colOff>
      <xdr:row>204</xdr:row>
      <xdr:rowOff>171449</xdr:rowOff>
    </xdr:from>
    <xdr:to>
      <xdr:col>4</xdr:col>
      <xdr:colOff>739775</xdr:colOff>
      <xdr:row>222</xdr:row>
      <xdr:rowOff>53181</xdr:rowOff>
    </xdr:to>
    <xdr:graphicFrame macro="">
      <xdr:nvGraphicFramePr>
        <xdr:cNvPr id="18" name="Chart 17">
          <a:extLst>
            <a:ext uri="{FF2B5EF4-FFF2-40B4-BE49-F238E27FC236}">
              <a16:creationId xmlns:a16="http://schemas.microsoft.com/office/drawing/2014/main" id="{CC2C7E99-1941-41C1-A77E-CA196D9E0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8</xdr:col>
      <xdr:colOff>73025</xdr:colOff>
      <xdr:row>193</xdr:row>
      <xdr:rowOff>185737</xdr:rowOff>
    </xdr:from>
    <xdr:to>
      <xdr:col>13</xdr:col>
      <xdr:colOff>374649</xdr:colOff>
      <xdr:row>211</xdr:row>
      <xdr:rowOff>74612</xdr:rowOff>
    </xdr:to>
    <xdr:graphicFrame macro="">
      <xdr:nvGraphicFramePr>
        <xdr:cNvPr id="19" name="Chart 18">
          <a:extLst>
            <a:ext uri="{FF2B5EF4-FFF2-40B4-BE49-F238E27FC236}">
              <a16:creationId xmlns:a16="http://schemas.microsoft.com/office/drawing/2014/main" id="{529C7F66-1AA6-4A9B-A760-94F64AE2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8</xdr:col>
      <xdr:colOff>152400</xdr:colOff>
      <xdr:row>214</xdr:row>
      <xdr:rowOff>52387</xdr:rowOff>
    </xdr:from>
    <xdr:to>
      <xdr:col>13</xdr:col>
      <xdr:colOff>454024</xdr:colOff>
      <xdr:row>231</xdr:row>
      <xdr:rowOff>117474</xdr:rowOff>
    </xdr:to>
    <xdr:graphicFrame macro="">
      <xdr:nvGraphicFramePr>
        <xdr:cNvPr id="20" name="Chart 19">
          <a:extLst>
            <a:ext uri="{FF2B5EF4-FFF2-40B4-BE49-F238E27FC236}">
              <a16:creationId xmlns:a16="http://schemas.microsoft.com/office/drawing/2014/main" id="{29C6C74A-1E5F-4962-ABE2-64009FDEE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12343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7.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32577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8.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14316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9.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18859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0.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28110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1.xml><?xml version="1.0" encoding="utf-8"?>
<c:userShapes xmlns:c="http://schemas.openxmlformats.org/drawingml/2006/chart">
  <cdr:relSizeAnchor xmlns:cdr="http://schemas.openxmlformats.org/drawingml/2006/chartDrawing">
    <cdr:from>
      <cdr:x>0.14087</cdr:x>
      <cdr:y>0.44129</cdr:y>
    </cdr:from>
    <cdr:to>
      <cdr:x>0.91842</cdr:x>
      <cdr:y>0.64129</cdr:y>
    </cdr:to>
    <cdr:sp macro="objClick" textlink="">
      <cdr:nvSpPr>
        <cdr:cNvPr id="2"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3"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4"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5"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6"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7"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8"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9"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0"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0.14087</cdr:x>
      <cdr:y>0.44129</cdr:y>
    </cdr:from>
    <cdr:to>
      <cdr:x>0.91842</cdr:x>
      <cdr:y>0.64129</cdr:y>
    </cdr:to>
    <cdr:sp macro="objClick" textlink="">
      <cdr:nvSpPr>
        <cdr:cNvPr id="11" name="gwm_6292 "/>
        <cdr:cNvSpPr txBox="1"/>
      </cdr:nvSpPr>
      <cdr:spPr>
        <a:xfrm xmlns:a="http://schemas.openxmlformats.org/drawingml/2006/main">
          <a:off x="679831" y="1401095"/>
          <a:ext cx="3752469"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2.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23935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3.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172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4.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1847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5.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12406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6.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32158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7.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13863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8.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28384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19.xml><?xml version="1.0" encoding="utf-8"?>
<c:userShapes xmlns:c="http://schemas.openxmlformats.org/drawingml/2006/chart">
  <cdr:relSizeAnchor xmlns:cdr="http://schemas.openxmlformats.org/drawingml/2006/chartDrawing">
    <cdr:from>
      <cdr:x>0.11517</cdr:x>
      <cdr:y>0.44129</cdr:y>
    </cdr:from>
    <cdr:to>
      <cdr:x>0.91842</cdr:x>
      <cdr:y>0.64129</cdr:y>
    </cdr:to>
    <cdr:sp macro="objClick" textlink="">
      <cdr:nvSpPr>
        <cdr:cNvPr id="2"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3"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4"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5"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6"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7"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8"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9"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0"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dr:relSizeAnchor xmlns:cdr="http://schemas.openxmlformats.org/drawingml/2006/chartDrawing">
    <cdr:from>
      <cdr:x>0.11517</cdr:x>
      <cdr:y>0.44129</cdr:y>
    </cdr:from>
    <cdr:to>
      <cdr:x>0.91842</cdr:x>
      <cdr:y>0.64129</cdr:y>
    </cdr:to>
    <cdr:sp macro="objClick" textlink="">
      <cdr:nvSpPr>
        <cdr:cNvPr id="11" name="gwm_23881 "/>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Course Version</a:t>
          </a:r>
        </a:p>
        <a:p xmlns:a="http://schemas.openxmlformats.org/drawingml/2006/main">
          <a:pPr algn="ctr"/>
          <a:r>
            <a:rPr lang="en-US" sz="1400" b="0" i="0">
              <a:solidFill>
                <a:srgbClr val="808080"/>
              </a:solidFill>
              <a:latin typeface="Arial" panose="020B0604020202020204" pitchFamily="34" charset="0"/>
            </a:rPr>
            <a:t>S</a:t>
          </a:r>
          <a:r>
            <a:rPr lang="en-US" sz="1000" b="0" i="0">
              <a:solidFill>
                <a:srgbClr val="808080"/>
              </a:solidFill>
              <a:latin typeface="Arial" panose="020B0604020202020204" pitchFamily="34" charset="0"/>
            </a:rPr>
            <a:t>yracuse University</a:t>
          </a:r>
        </a:p>
      </cdr:txBody>
    </cdr:sp>
  </cdr:relSizeAnchor>
</c:userShapes>
</file>

<file path=xl/drawings/drawing20.xml><?xml version="1.0" encoding="utf-8"?>
<c:userShapes xmlns:c="http://schemas.openxmlformats.org/drawingml/2006/chart">
  <cdr:relSizeAnchor xmlns:cdr="http://schemas.openxmlformats.org/drawingml/2006/chartDrawing">
    <cdr:from>
      <cdr:x>0.11517</cdr:x>
      <cdr:y>0.44129</cdr:y>
    </cdr:from>
    <cdr:to>
      <cdr:x>0.91842</cdr:x>
      <cdr:y>0.64129</cdr:y>
    </cdr:to>
    <cdr:sp macro="[3]!WatermarkMsg_Student" textlink="">
      <cdr:nvSpPr>
        <cdr:cNvPr id="2" name="gwm_21451          ">
          <a:extLst xmlns:a="http://schemas.openxmlformats.org/drawingml/2006/main">
            <a:ext uri="{FF2B5EF4-FFF2-40B4-BE49-F238E27FC236}">
              <a16:creationId xmlns:a16="http://schemas.microsoft.com/office/drawing/2014/main" id="{0D2158E3-921B-4ECC-A49D-B2CD4A533FAD}"/>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3" name="gwm_21451         ">
          <a:extLst xmlns:a="http://schemas.openxmlformats.org/drawingml/2006/main">
            <a:ext uri="{FF2B5EF4-FFF2-40B4-BE49-F238E27FC236}">
              <a16:creationId xmlns:a16="http://schemas.microsoft.com/office/drawing/2014/main" id="{1003B68B-F2A3-4CE1-9C50-4DC03BCAEDB3}"/>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4" name="gwm_21451        ">
          <a:extLst xmlns:a="http://schemas.openxmlformats.org/drawingml/2006/main">
            <a:ext uri="{FF2B5EF4-FFF2-40B4-BE49-F238E27FC236}">
              <a16:creationId xmlns:a16="http://schemas.microsoft.com/office/drawing/2014/main" id="{E0BCD218-6265-4802-B075-F3FDB6B9F241}"/>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5" name="gwm_21451       ">
          <a:extLst xmlns:a="http://schemas.openxmlformats.org/drawingml/2006/main">
            <a:ext uri="{FF2B5EF4-FFF2-40B4-BE49-F238E27FC236}">
              <a16:creationId xmlns:a16="http://schemas.microsoft.com/office/drawing/2014/main" id="{6B3F03C7-ECDE-403F-A705-AFC42CB8F5C8}"/>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6" name="gwm_21451      ">
          <a:extLst xmlns:a="http://schemas.openxmlformats.org/drawingml/2006/main">
            <a:ext uri="{FF2B5EF4-FFF2-40B4-BE49-F238E27FC236}">
              <a16:creationId xmlns:a16="http://schemas.microsoft.com/office/drawing/2014/main" id="{43DCCAC0-183A-425E-945A-609328C61003}"/>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7" name="gwm_21451     ">
          <a:extLst xmlns:a="http://schemas.openxmlformats.org/drawingml/2006/main">
            <a:ext uri="{FF2B5EF4-FFF2-40B4-BE49-F238E27FC236}">
              <a16:creationId xmlns:a16="http://schemas.microsoft.com/office/drawing/2014/main" id="{9FA548E7-25A6-41C0-A4F6-7C56C3ABCB04}"/>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8" name="gwm_21451    ">
          <a:extLst xmlns:a="http://schemas.openxmlformats.org/drawingml/2006/main">
            <a:ext uri="{FF2B5EF4-FFF2-40B4-BE49-F238E27FC236}">
              <a16:creationId xmlns:a16="http://schemas.microsoft.com/office/drawing/2014/main" id="{F4531CA8-54C2-4834-AFF5-F07BDDD54696}"/>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9" name="gwm_21451   ">
          <a:extLst xmlns:a="http://schemas.openxmlformats.org/drawingml/2006/main">
            <a:ext uri="{FF2B5EF4-FFF2-40B4-BE49-F238E27FC236}">
              <a16:creationId xmlns:a16="http://schemas.microsoft.com/office/drawing/2014/main" id="{41CFAE61-5DFA-436F-9625-891A5E4833A7}"/>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0" name="gwm_21451  ">
          <a:extLst xmlns:a="http://schemas.openxmlformats.org/drawingml/2006/main">
            <a:ext uri="{FF2B5EF4-FFF2-40B4-BE49-F238E27FC236}">
              <a16:creationId xmlns:a16="http://schemas.microsoft.com/office/drawing/2014/main" id="{1FE74C26-D0C5-4B37-AD44-B168E0B3029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1" name="gwm_21451 ">
          <a:extLst xmlns:a="http://schemas.openxmlformats.org/drawingml/2006/main">
            <a:ext uri="{FF2B5EF4-FFF2-40B4-BE49-F238E27FC236}">
              <a16:creationId xmlns:a16="http://schemas.microsoft.com/office/drawing/2014/main" id="{07DB6825-00B8-419C-B72A-1D6EA8AA44AE}"/>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userShapes>
</file>

<file path=xl/drawings/drawing21.xml><?xml version="1.0" encoding="utf-8"?>
<c:userShapes xmlns:c="http://schemas.openxmlformats.org/drawingml/2006/chart">
  <cdr:relSizeAnchor xmlns:cdr="http://schemas.openxmlformats.org/drawingml/2006/chartDrawing">
    <cdr:from>
      <cdr:x>0.11517</cdr:x>
      <cdr:y>0.44129</cdr:y>
    </cdr:from>
    <cdr:to>
      <cdr:x>0.91842</cdr:x>
      <cdr:y>0.64129</cdr:y>
    </cdr:to>
    <cdr:sp macro="[3]!WatermarkMsg_Student" textlink="">
      <cdr:nvSpPr>
        <cdr:cNvPr id="2" name="gwm_10883          ">
          <a:extLst xmlns:a="http://schemas.openxmlformats.org/drawingml/2006/main">
            <a:ext uri="{FF2B5EF4-FFF2-40B4-BE49-F238E27FC236}">
              <a16:creationId xmlns:a16="http://schemas.microsoft.com/office/drawing/2014/main" id="{6DF4DCA3-F3BF-4969-A962-EDC746A6BE4D}"/>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3" name="gwm_10883         ">
          <a:extLst xmlns:a="http://schemas.openxmlformats.org/drawingml/2006/main">
            <a:ext uri="{FF2B5EF4-FFF2-40B4-BE49-F238E27FC236}">
              <a16:creationId xmlns:a16="http://schemas.microsoft.com/office/drawing/2014/main" id="{B098F2F5-F40B-4585-A598-BDA88704DC92}"/>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4" name="gwm_10883        ">
          <a:extLst xmlns:a="http://schemas.openxmlformats.org/drawingml/2006/main">
            <a:ext uri="{FF2B5EF4-FFF2-40B4-BE49-F238E27FC236}">
              <a16:creationId xmlns:a16="http://schemas.microsoft.com/office/drawing/2014/main" id="{EEE558EC-C914-432E-A27D-4374736DD7E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5" name="gwm_10883       ">
          <a:extLst xmlns:a="http://schemas.openxmlformats.org/drawingml/2006/main">
            <a:ext uri="{FF2B5EF4-FFF2-40B4-BE49-F238E27FC236}">
              <a16:creationId xmlns:a16="http://schemas.microsoft.com/office/drawing/2014/main" id="{8FA8AA08-2D41-4548-910D-904CDD0D78CF}"/>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6" name="gwm_10883      ">
          <a:extLst xmlns:a="http://schemas.openxmlformats.org/drawingml/2006/main">
            <a:ext uri="{FF2B5EF4-FFF2-40B4-BE49-F238E27FC236}">
              <a16:creationId xmlns:a16="http://schemas.microsoft.com/office/drawing/2014/main" id="{10487E22-909E-49A1-933D-76B5DB80F76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7" name="gwm_10883     ">
          <a:extLst xmlns:a="http://schemas.openxmlformats.org/drawingml/2006/main">
            <a:ext uri="{FF2B5EF4-FFF2-40B4-BE49-F238E27FC236}">
              <a16:creationId xmlns:a16="http://schemas.microsoft.com/office/drawing/2014/main" id="{667BEAA3-BE1B-4CE9-8569-9A4FF13DDB2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8" name="gwm_10883    ">
          <a:extLst xmlns:a="http://schemas.openxmlformats.org/drawingml/2006/main">
            <a:ext uri="{FF2B5EF4-FFF2-40B4-BE49-F238E27FC236}">
              <a16:creationId xmlns:a16="http://schemas.microsoft.com/office/drawing/2014/main" id="{AAA9FD34-B02F-4E9F-A464-1BBFDA2C4B9E}"/>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9" name="gwm_10883   ">
          <a:extLst xmlns:a="http://schemas.openxmlformats.org/drawingml/2006/main">
            <a:ext uri="{FF2B5EF4-FFF2-40B4-BE49-F238E27FC236}">
              <a16:creationId xmlns:a16="http://schemas.microsoft.com/office/drawing/2014/main" id="{7DBE5B74-7004-449E-88FD-9554566E8EE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0" name="gwm_10883  ">
          <a:extLst xmlns:a="http://schemas.openxmlformats.org/drawingml/2006/main">
            <a:ext uri="{FF2B5EF4-FFF2-40B4-BE49-F238E27FC236}">
              <a16:creationId xmlns:a16="http://schemas.microsoft.com/office/drawing/2014/main" id="{06314FCB-9CC8-4FAC-930D-1EB832B552C7}"/>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1" name="gwm_10883 ">
          <a:extLst xmlns:a="http://schemas.openxmlformats.org/drawingml/2006/main">
            <a:ext uri="{FF2B5EF4-FFF2-40B4-BE49-F238E27FC236}">
              <a16:creationId xmlns:a16="http://schemas.microsoft.com/office/drawing/2014/main" id="{BDB42F4F-92A6-4A02-8C46-F59284ACDDDC}"/>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userShapes>
</file>

<file path=xl/drawings/drawing22.xml><?xml version="1.0" encoding="utf-8"?>
<c:userShapes xmlns:c="http://schemas.openxmlformats.org/drawingml/2006/chart">
  <cdr:relSizeAnchor xmlns:cdr="http://schemas.openxmlformats.org/drawingml/2006/chartDrawing">
    <cdr:from>
      <cdr:x>0.11517</cdr:x>
      <cdr:y>0.44129</cdr:y>
    </cdr:from>
    <cdr:to>
      <cdr:x>0.91842</cdr:x>
      <cdr:y>0.64129</cdr:y>
    </cdr:to>
    <cdr:sp macro="[3]!WatermarkMsg_Student" textlink="">
      <cdr:nvSpPr>
        <cdr:cNvPr id="2" name="gwm_7105          ">
          <a:extLst xmlns:a="http://schemas.openxmlformats.org/drawingml/2006/main">
            <a:ext uri="{FF2B5EF4-FFF2-40B4-BE49-F238E27FC236}">
              <a16:creationId xmlns:a16="http://schemas.microsoft.com/office/drawing/2014/main" id="{065F5E75-8FFF-4BE3-ACD2-450555169CD5}"/>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3" name="gwm_7105         ">
          <a:extLst xmlns:a="http://schemas.openxmlformats.org/drawingml/2006/main">
            <a:ext uri="{FF2B5EF4-FFF2-40B4-BE49-F238E27FC236}">
              <a16:creationId xmlns:a16="http://schemas.microsoft.com/office/drawing/2014/main" id="{870B499C-D925-4C00-B471-FF2F44CC8A28}"/>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4" name="gwm_7105        ">
          <a:extLst xmlns:a="http://schemas.openxmlformats.org/drawingml/2006/main">
            <a:ext uri="{FF2B5EF4-FFF2-40B4-BE49-F238E27FC236}">
              <a16:creationId xmlns:a16="http://schemas.microsoft.com/office/drawing/2014/main" id="{EA6FE806-D99A-41D9-8C1E-5974A9FA4014}"/>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5" name="gwm_7105       ">
          <a:extLst xmlns:a="http://schemas.openxmlformats.org/drawingml/2006/main">
            <a:ext uri="{FF2B5EF4-FFF2-40B4-BE49-F238E27FC236}">
              <a16:creationId xmlns:a16="http://schemas.microsoft.com/office/drawing/2014/main" id="{C0D5656E-15C5-4B6E-849D-3993746D2125}"/>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6" name="gwm_7105      ">
          <a:extLst xmlns:a="http://schemas.openxmlformats.org/drawingml/2006/main">
            <a:ext uri="{FF2B5EF4-FFF2-40B4-BE49-F238E27FC236}">
              <a16:creationId xmlns:a16="http://schemas.microsoft.com/office/drawing/2014/main" id="{15632B49-1677-4ADE-8AFF-4715D18ACD1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7" name="gwm_7105     ">
          <a:extLst xmlns:a="http://schemas.openxmlformats.org/drawingml/2006/main">
            <a:ext uri="{FF2B5EF4-FFF2-40B4-BE49-F238E27FC236}">
              <a16:creationId xmlns:a16="http://schemas.microsoft.com/office/drawing/2014/main" id="{A4780B6A-B9FB-4CBC-B6B8-010A76D4984E}"/>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8" name="gwm_7105    ">
          <a:extLst xmlns:a="http://schemas.openxmlformats.org/drawingml/2006/main">
            <a:ext uri="{FF2B5EF4-FFF2-40B4-BE49-F238E27FC236}">
              <a16:creationId xmlns:a16="http://schemas.microsoft.com/office/drawing/2014/main" id="{8BE5A374-804B-4101-9F64-AB5701DECBC7}"/>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9" name="gwm_7105   ">
          <a:extLst xmlns:a="http://schemas.openxmlformats.org/drawingml/2006/main">
            <a:ext uri="{FF2B5EF4-FFF2-40B4-BE49-F238E27FC236}">
              <a16:creationId xmlns:a16="http://schemas.microsoft.com/office/drawing/2014/main" id="{5EDF7AE8-19C0-4978-A451-FEF17BCA191C}"/>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0" name="gwm_7105  ">
          <a:extLst xmlns:a="http://schemas.openxmlformats.org/drawingml/2006/main">
            <a:ext uri="{FF2B5EF4-FFF2-40B4-BE49-F238E27FC236}">
              <a16:creationId xmlns:a16="http://schemas.microsoft.com/office/drawing/2014/main" id="{7F387488-550B-41A7-B2C9-5E2ADB3B2F8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1" name="gwm_7105 ">
          <a:extLst xmlns:a="http://schemas.openxmlformats.org/drawingml/2006/main">
            <a:ext uri="{FF2B5EF4-FFF2-40B4-BE49-F238E27FC236}">
              <a16:creationId xmlns:a16="http://schemas.microsoft.com/office/drawing/2014/main" id="{7D2F4F56-05BB-46DF-B65B-0068A19D9785}"/>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userShapes>
</file>

<file path=xl/drawings/drawing23.xml><?xml version="1.0" encoding="utf-8"?>
<c:userShapes xmlns:c="http://schemas.openxmlformats.org/drawingml/2006/chart">
  <cdr:relSizeAnchor xmlns:cdr="http://schemas.openxmlformats.org/drawingml/2006/chartDrawing">
    <cdr:from>
      <cdr:x>0.11517</cdr:x>
      <cdr:y>0.44129</cdr:y>
    </cdr:from>
    <cdr:to>
      <cdr:x>0.91842</cdr:x>
      <cdr:y>0.64129</cdr:y>
    </cdr:to>
    <cdr:sp macro="[3]!WatermarkMsg_Student" textlink="">
      <cdr:nvSpPr>
        <cdr:cNvPr id="2" name="gwm_4799          ">
          <a:extLst xmlns:a="http://schemas.openxmlformats.org/drawingml/2006/main">
            <a:ext uri="{FF2B5EF4-FFF2-40B4-BE49-F238E27FC236}">
              <a16:creationId xmlns:a16="http://schemas.microsoft.com/office/drawing/2014/main" id="{711EFC74-1135-4191-9A67-20777978B3FF}"/>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3" name="gwm_4799         ">
          <a:extLst xmlns:a="http://schemas.openxmlformats.org/drawingml/2006/main">
            <a:ext uri="{FF2B5EF4-FFF2-40B4-BE49-F238E27FC236}">
              <a16:creationId xmlns:a16="http://schemas.microsoft.com/office/drawing/2014/main" id="{DAB3834B-9CCF-4CE3-A61C-950B604EF26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4" name="gwm_4799        ">
          <a:extLst xmlns:a="http://schemas.openxmlformats.org/drawingml/2006/main">
            <a:ext uri="{FF2B5EF4-FFF2-40B4-BE49-F238E27FC236}">
              <a16:creationId xmlns:a16="http://schemas.microsoft.com/office/drawing/2014/main" id="{DAE64D5F-85D2-4EE5-8C9E-65137971CD3F}"/>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5" name="gwm_4799       ">
          <a:extLst xmlns:a="http://schemas.openxmlformats.org/drawingml/2006/main">
            <a:ext uri="{FF2B5EF4-FFF2-40B4-BE49-F238E27FC236}">
              <a16:creationId xmlns:a16="http://schemas.microsoft.com/office/drawing/2014/main" id="{C9560872-F1B8-4A53-B27B-03A3F1CF706D}"/>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6" name="gwm_4799      ">
          <a:extLst xmlns:a="http://schemas.openxmlformats.org/drawingml/2006/main">
            <a:ext uri="{FF2B5EF4-FFF2-40B4-BE49-F238E27FC236}">
              <a16:creationId xmlns:a16="http://schemas.microsoft.com/office/drawing/2014/main" id="{AD0439B2-09E6-4589-823A-CB2FDC98DC4D}"/>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7" name="gwm_4799     ">
          <a:extLst xmlns:a="http://schemas.openxmlformats.org/drawingml/2006/main">
            <a:ext uri="{FF2B5EF4-FFF2-40B4-BE49-F238E27FC236}">
              <a16:creationId xmlns:a16="http://schemas.microsoft.com/office/drawing/2014/main" id="{FA7AE0EC-D83F-457E-BC09-593BCAE81218}"/>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8" name="gwm_4799    ">
          <a:extLst xmlns:a="http://schemas.openxmlformats.org/drawingml/2006/main">
            <a:ext uri="{FF2B5EF4-FFF2-40B4-BE49-F238E27FC236}">
              <a16:creationId xmlns:a16="http://schemas.microsoft.com/office/drawing/2014/main" id="{6B089899-7A96-4997-85FA-380D53A14BF3}"/>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9" name="gwm_4799   ">
          <a:extLst xmlns:a="http://schemas.openxmlformats.org/drawingml/2006/main">
            <a:ext uri="{FF2B5EF4-FFF2-40B4-BE49-F238E27FC236}">
              <a16:creationId xmlns:a16="http://schemas.microsoft.com/office/drawing/2014/main" id="{A9B000C2-6FEE-4B5F-872F-7B7D0D9D5BAF}"/>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0" name="gwm_4799  ">
          <a:extLst xmlns:a="http://schemas.openxmlformats.org/drawingml/2006/main">
            <a:ext uri="{FF2B5EF4-FFF2-40B4-BE49-F238E27FC236}">
              <a16:creationId xmlns:a16="http://schemas.microsoft.com/office/drawing/2014/main" id="{6070946C-1F06-4343-97F7-F09A3C53DF32}"/>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1" name="gwm_4799 ">
          <a:extLst xmlns:a="http://schemas.openxmlformats.org/drawingml/2006/main">
            <a:ext uri="{FF2B5EF4-FFF2-40B4-BE49-F238E27FC236}">
              <a16:creationId xmlns:a16="http://schemas.microsoft.com/office/drawing/2014/main" id="{068B5907-8994-4BD6-B342-9F17D7D134F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userShapes>
</file>

<file path=xl/drawings/drawing24.xml><?xml version="1.0" encoding="utf-8"?>
<c:userShapes xmlns:c="http://schemas.openxmlformats.org/drawingml/2006/chart">
  <cdr:relSizeAnchor xmlns:cdr="http://schemas.openxmlformats.org/drawingml/2006/chartDrawing">
    <cdr:from>
      <cdr:x>0.11517</cdr:x>
      <cdr:y>0.44129</cdr:y>
    </cdr:from>
    <cdr:to>
      <cdr:x>0.91842</cdr:x>
      <cdr:y>0.64129</cdr:y>
    </cdr:to>
    <cdr:sp macro="[3]!WatermarkMsg_Student" textlink="">
      <cdr:nvSpPr>
        <cdr:cNvPr id="2" name="gwm_24210          ">
          <a:extLst xmlns:a="http://schemas.openxmlformats.org/drawingml/2006/main">
            <a:ext uri="{FF2B5EF4-FFF2-40B4-BE49-F238E27FC236}">
              <a16:creationId xmlns:a16="http://schemas.microsoft.com/office/drawing/2014/main" id="{9CA0EF6A-E9E1-40C4-8265-D23906949771}"/>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3" name="gwm_24210         ">
          <a:extLst xmlns:a="http://schemas.openxmlformats.org/drawingml/2006/main">
            <a:ext uri="{FF2B5EF4-FFF2-40B4-BE49-F238E27FC236}">
              <a16:creationId xmlns:a16="http://schemas.microsoft.com/office/drawing/2014/main" id="{2C5B64C4-5B49-4B18-AEE6-9E35AA850402}"/>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4" name="gwm_24210        ">
          <a:extLst xmlns:a="http://schemas.openxmlformats.org/drawingml/2006/main">
            <a:ext uri="{FF2B5EF4-FFF2-40B4-BE49-F238E27FC236}">
              <a16:creationId xmlns:a16="http://schemas.microsoft.com/office/drawing/2014/main" id="{D9D9F9CB-AF18-45DE-B047-DBBDBE5239E1}"/>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5" name="gwm_24210       ">
          <a:extLst xmlns:a="http://schemas.openxmlformats.org/drawingml/2006/main">
            <a:ext uri="{FF2B5EF4-FFF2-40B4-BE49-F238E27FC236}">
              <a16:creationId xmlns:a16="http://schemas.microsoft.com/office/drawing/2014/main" id="{C20DC63D-DA5C-4D06-A73A-E8A23DF02118}"/>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6" name="gwm_24210      ">
          <a:extLst xmlns:a="http://schemas.openxmlformats.org/drawingml/2006/main">
            <a:ext uri="{FF2B5EF4-FFF2-40B4-BE49-F238E27FC236}">
              <a16:creationId xmlns:a16="http://schemas.microsoft.com/office/drawing/2014/main" id="{F5AC4E23-D149-4D5C-865B-FCFE4CB828A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7" name="gwm_24210     ">
          <a:extLst xmlns:a="http://schemas.openxmlformats.org/drawingml/2006/main">
            <a:ext uri="{FF2B5EF4-FFF2-40B4-BE49-F238E27FC236}">
              <a16:creationId xmlns:a16="http://schemas.microsoft.com/office/drawing/2014/main" id="{1B3BA9C4-47F9-4C70-845B-5A08A71979FA}"/>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8" name="gwm_24210    ">
          <a:extLst xmlns:a="http://schemas.openxmlformats.org/drawingml/2006/main">
            <a:ext uri="{FF2B5EF4-FFF2-40B4-BE49-F238E27FC236}">
              <a16:creationId xmlns:a16="http://schemas.microsoft.com/office/drawing/2014/main" id="{A8772D91-2B21-4E85-B7DA-626526530E1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9" name="gwm_24210   ">
          <a:extLst xmlns:a="http://schemas.openxmlformats.org/drawingml/2006/main">
            <a:ext uri="{FF2B5EF4-FFF2-40B4-BE49-F238E27FC236}">
              <a16:creationId xmlns:a16="http://schemas.microsoft.com/office/drawing/2014/main" id="{06A342C6-AACF-44CB-948D-B15837B7D679}"/>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0" name="gwm_24210  ">
          <a:extLst xmlns:a="http://schemas.openxmlformats.org/drawingml/2006/main">
            <a:ext uri="{FF2B5EF4-FFF2-40B4-BE49-F238E27FC236}">
              <a16:creationId xmlns:a16="http://schemas.microsoft.com/office/drawing/2014/main" id="{8163E3E0-DCEB-4359-860B-D212B1C9F030}"/>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dr:relSizeAnchor xmlns:cdr="http://schemas.openxmlformats.org/drawingml/2006/chartDrawing">
    <cdr:from>
      <cdr:x>0.11517</cdr:x>
      <cdr:y>0.44129</cdr:y>
    </cdr:from>
    <cdr:to>
      <cdr:x>0.91842</cdr:x>
      <cdr:y>0.64129</cdr:y>
    </cdr:to>
    <cdr:sp macro="[3]!WatermarkMsg_Student" textlink="">
      <cdr:nvSpPr>
        <cdr:cNvPr id="11" name="gwm_24210 ">
          <a:extLst xmlns:a="http://schemas.openxmlformats.org/drawingml/2006/main">
            <a:ext uri="{FF2B5EF4-FFF2-40B4-BE49-F238E27FC236}">
              <a16:creationId xmlns:a16="http://schemas.microsoft.com/office/drawing/2014/main" id="{56F69F7F-B925-49AD-A006-7C207FA9941B}"/>
            </a:ext>
          </a:extLst>
        </cdr:cNvPr>
        <cdr:cNvSpPr txBox="1"/>
      </cdr:nvSpPr>
      <cdr:spPr>
        <a:xfrm xmlns:a="http://schemas.openxmlformats.org/drawingml/2006/main">
          <a:off x="555816" y="1401095"/>
          <a:ext cx="3876484" cy="635000"/>
        </a:xfrm>
        <a:prstGeom xmlns:a="http://schemas.openxmlformats.org/drawingml/2006/main" prst="rect">
          <a:avLst/>
        </a:prstGeom>
      </cdr:spPr>
      <cdr:txBody>
        <a:bodyPr xmlns:a="http://schemas.openxmlformats.org/drawingml/2006/main" vertOverflow="clip" vert="horz" wrap="square" rtlCol="0" anchor="ctr">
          <a:noAutofit/>
        </a:bodyPr>
        <a:lstStyle xmlns:a="http://schemas.openxmlformats.org/drawingml/2006/main"/>
        <a:p xmlns:a="http://schemas.openxmlformats.org/drawingml/2006/main">
          <a:pPr algn="ctr"/>
          <a:r>
            <a:rPr lang="en-US" sz="1400" b="0" i="0">
              <a:solidFill>
                <a:srgbClr val="808080"/>
              </a:solidFill>
              <a:latin typeface="Arial" panose="020B0604020202020204" pitchFamily="34" charset="0"/>
            </a:rPr>
            <a:t>StatTools Student Version</a:t>
          </a:r>
        </a:p>
        <a:p xmlns:a="http://schemas.openxmlformats.org/drawingml/2006/main">
          <a:pPr algn="ctr"/>
          <a:r>
            <a:rPr lang="en-US" sz="1400" b="0" i="0">
              <a:solidFill>
                <a:srgbClr val="808080"/>
              </a:solidFill>
              <a:latin typeface="Arial" panose="020B0604020202020204" pitchFamily="34" charset="0"/>
            </a:rPr>
            <a:t>F</a:t>
          </a:r>
          <a:r>
            <a:rPr lang="en-US" sz="1000" b="0" i="0">
              <a:solidFill>
                <a:srgbClr val="808080"/>
              </a:solidFill>
              <a:latin typeface="Arial" panose="020B0604020202020204" pitchFamily="34" charset="0"/>
            </a:rPr>
            <a:t>or Academic Use Only</a:t>
          </a:r>
        </a:p>
      </cdr:txBody>
    </cdr:sp>
  </cdr:relSizeAnchor>
</c:userShapes>
</file>

<file path=xl/drawings/drawing25.xml><?xml version="1.0" encoding="utf-8"?>
<xdr:wsDr xmlns:xdr="http://schemas.openxmlformats.org/drawingml/2006/spreadsheetDrawing" xmlns:a="http://schemas.openxmlformats.org/drawingml/2006/main">
  <xdr:twoCellAnchor>
    <xdr:from>
      <xdr:col>10</xdr:col>
      <xdr:colOff>100015</xdr:colOff>
      <xdr:row>4</xdr:row>
      <xdr:rowOff>100011</xdr:rowOff>
    </xdr:from>
    <xdr:to>
      <xdr:col>34</xdr:col>
      <xdr:colOff>9527</xdr:colOff>
      <xdr:row>33</xdr:row>
      <xdr:rowOff>100011</xdr:rowOff>
    </xdr:to>
    <xdr:graphicFrame macro="">
      <xdr:nvGraphicFramePr>
        <xdr:cNvPr id="3" name="Chart 2">
          <a:extLst>
            <a:ext uri="{FF2B5EF4-FFF2-40B4-BE49-F238E27FC236}">
              <a16:creationId xmlns:a16="http://schemas.microsoft.com/office/drawing/2014/main" id="{64313C39-3F6A-4F2C-9D58-EFF1D6BC9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238125</xdr:colOff>
      <xdr:row>36</xdr:row>
      <xdr:rowOff>114300</xdr:rowOff>
    </xdr:from>
    <xdr:to>
      <xdr:col>8</xdr:col>
      <xdr:colOff>47625</xdr:colOff>
      <xdr:row>45</xdr:row>
      <xdr:rowOff>90488</xdr:rowOff>
    </xdr:to>
    <xdr:sp macro="" textlink="">
      <xdr:nvSpPr>
        <xdr:cNvPr id="2" name="TextBox 1">
          <a:extLst>
            <a:ext uri="{FF2B5EF4-FFF2-40B4-BE49-F238E27FC236}">
              <a16:creationId xmlns:a16="http://schemas.microsoft.com/office/drawing/2014/main" id="{1053AF1A-7166-400C-8FA5-DF483905AC91}"/>
            </a:ext>
          </a:extLst>
        </xdr:cNvPr>
        <xdr:cNvSpPr txBox="1"/>
      </xdr:nvSpPr>
      <xdr:spPr>
        <a:xfrm>
          <a:off x="238125" y="6705600"/>
          <a:ext cx="9010650" cy="2147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u="sng">
              <a:solidFill>
                <a:schemeClr val="dk1"/>
              </a:solidFill>
              <a:effectLst/>
              <a:latin typeface="+mn-lt"/>
              <a:ea typeface="+mn-ea"/>
              <a:cs typeface="+mn-cs"/>
            </a:rPr>
            <a:t>Interpretation:</a:t>
          </a:r>
        </a:p>
        <a:p>
          <a:pPr rtl="0"/>
          <a:endParaRPr lang="en-US" b="0">
            <a:effectLst/>
          </a:endParaRPr>
        </a:p>
        <a:p>
          <a:pPr rtl="0" fontAlgn="base"/>
          <a:r>
            <a:rPr lang="en-US" sz="1100" b="0" i="0" u="none" strike="noStrike">
              <a:solidFill>
                <a:schemeClr val="dk1"/>
              </a:solidFill>
              <a:effectLst/>
              <a:latin typeface="+mn-lt"/>
              <a:ea typeface="+mn-ea"/>
              <a:cs typeface="+mn-cs"/>
            </a:rPr>
            <a:t>Holding all other variables constant,  every additional year of experience is predicted to increase HR department's employees' monthly income by approx. 166.20 USD, but increase R&amp;D employees’ monthly income 134.36 less than the HR department.</a:t>
          </a:r>
        </a:p>
        <a:p>
          <a:pPr rtl="0" fontAlgn="base"/>
          <a:endParaRPr lang="en-US" sz="1100" b="0" i="0" u="none" strike="noStrike">
            <a:solidFill>
              <a:schemeClr val="dk1"/>
            </a:solidFill>
            <a:effectLst/>
            <a:latin typeface="+mn-lt"/>
            <a:ea typeface="+mn-ea"/>
            <a:cs typeface="+mn-cs"/>
          </a:endParaRPr>
        </a:p>
        <a:p>
          <a:pPr rtl="0" fontAlgn="base"/>
          <a:r>
            <a:rPr lang="en-US" sz="1100" b="0" i="0" u="none" strike="noStrike">
              <a:solidFill>
                <a:schemeClr val="dk1"/>
              </a:solidFill>
              <a:effectLst/>
              <a:latin typeface="+mn-lt"/>
              <a:ea typeface="+mn-ea"/>
              <a:cs typeface="+mn-cs"/>
            </a:rPr>
            <a:t>Keeping everything constant, a manager with job level 3 in Sales department is predicted to be paid approx. 2824.01 USD more than a manager with job level 4 in Sales department.</a:t>
          </a:r>
        </a:p>
        <a:p>
          <a:pPr rtl="0" fontAlgn="base"/>
          <a:endParaRPr lang="en-US" sz="1100" b="0" i="0" u="none" strike="noStrike">
            <a:solidFill>
              <a:schemeClr val="dk1"/>
            </a:solidFill>
            <a:effectLst/>
            <a:latin typeface="+mn-lt"/>
            <a:ea typeface="+mn-ea"/>
            <a:cs typeface="+mn-cs"/>
          </a:endParaRPr>
        </a:p>
        <a:p>
          <a:pPr rtl="0" fontAlgn="base"/>
          <a:r>
            <a:rPr lang="en-US" sz="1100" b="0" i="0" u="none" strike="noStrike">
              <a:solidFill>
                <a:schemeClr val="dk1"/>
              </a:solidFill>
              <a:effectLst/>
              <a:latin typeface="+mn-lt"/>
              <a:ea typeface="+mn-ea"/>
              <a:cs typeface="+mn-cs"/>
            </a:rPr>
            <a:t>Keeping everything constant, a manager with level 3 in R&amp;D department earns approx. 1066 USD more than a manager with level 3 in Sales department.</a:t>
          </a:r>
        </a:p>
        <a:p>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700767</xdr:colOff>
      <xdr:row>36</xdr:row>
      <xdr:rowOff>77391</xdr:rowOff>
    </xdr:from>
    <xdr:to>
      <xdr:col>18</xdr:col>
      <xdr:colOff>232171</xdr:colOff>
      <xdr:row>55</xdr:row>
      <xdr:rowOff>61232</xdr:rowOff>
    </xdr:to>
    <xdr:sp macro="" textlink="">
      <xdr:nvSpPr>
        <xdr:cNvPr id="3" name="TextBox 2">
          <a:extLst>
            <a:ext uri="{FF2B5EF4-FFF2-40B4-BE49-F238E27FC236}">
              <a16:creationId xmlns:a16="http://schemas.microsoft.com/office/drawing/2014/main" id="{A792ED5D-ED09-47A6-8476-3623A9E7EF9D}"/>
            </a:ext>
          </a:extLst>
        </xdr:cNvPr>
        <xdr:cNvSpPr txBox="1"/>
      </xdr:nvSpPr>
      <xdr:spPr>
        <a:xfrm>
          <a:off x="5252357" y="6697267"/>
          <a:ext cx="12948047" cy="35421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u="none" strike="noStrike">
              <a:solidFill>
                <a:schemeClr val="dk1"/>
              </a:solidFill>
              <a:effectLst/>
              <a:latin typeface="+mn-lt"/>
              <a:ea typeface="+mn-ea"/>
              <a:cs typeface="+mn-cs"/>
            </a:rPr>
            <a:t>We used use a Logistic model  to model situations in which the dependent variable (Attrition) is categorical and may only take two values(Y and No). Predicting probability of attrition of a IBM(Y=1 if Person will leave the company, Y=0 if not). </a:t>
          </a:r>
          <a:endParaRPr lang="en-US" sz="1400" b="1" i="0" u="none" strike="noStrike">
            <a:solidFill>
              <a:schemeClr val="dk1"/>
            </a:solidFill>
            <a:effectLst/>
            <a:latin typeface="+mn-lt"/>
            <a:ea typeface="+mn-ea"/>
            <a:cs typeface="+mn-cs"/>
          </a:endParaRPr>
        </a:p>
        <a:p>
          <a:endParaRPr lang="en-US" sz="1400"/>
        </a:p>
        <a:p>
          <a:endParaRPr lang="en-US" sz="1400"/>
        </a:p>
        <a:p>
          <a:pPr rtl="0"/>
          <a:r>
            <a:rPr lang="en-US" sz="1400" b="1" i="0" u="sng">
              <a:solidFill>
                <a:schemeClr val="dk1"/>
              </a:solidFill>
              <a:effectLst/>
              <a:latin typeface="+mn-lt"/>
              <a:ea typeface="+mn-ea"/>
              <a:cs typeface="+mn-cs"/>
            </a:rPr>
            <a:t>Interpretations</a:t>
          </a:r>
          <a:r>
            <a:rPr lang="en-US" sz="1400" b="0" i="0" u="none" strike="noStrike">
              <a:solidFill>
                <a:schemeClr val="dk1"/>
              </a:solidFill>
              <a:effectLst/>
              <a:latin typeface="+mn-lt"/>
              <a:ea typeface="+mn-ea"/>
              <a:cs typeface="+mn-cs"/>
            </a:rPr>
            <a:t>:</a:t>
          </a:r>
          <a:endParaRPr lang="en-US" sz="1400" b="0">
            <a:effectLst/>
          </a:endParaRPr>
        </a:p>
        <a:p>
          <a:pPr rtl="0"/>
          <a:r>
            <a:rPr lang="en-US" sz="1400" b="0" i="0" u="none" strike="noStrike">
              <a:solidFill>
                <a:schemeClr val="dk1"/>
              </a:solidFill>
              <a:effectLst/>
              <a:latin typeface="+mn-lt"/>
              <a:ea typeface="+mn-ea"/>
              <a:cs typeface="+mn-cs"/>
            </a:rPr>
            <a:t>By choosing fix value for all other variables, our interpretations for the coefficient is:</a:t>
          </a:r>
          <a:endParaRPr lang="en-US" sz="1400" b="0">
            <a:effectLst/>
          </a:endParaRPr>
        </a:p>
        <a:p>
          <a:pPr rtl="0"/>
          <a:r>
            <a:rPr lang="en-US" sz="1400" b="0" i="0" u="none" strike="noStrike">
              <a:solidFill>
                <a:schemeClr val="dk1"/>
              </a:solidFill>
              <a:effectLst/>
              <a:latin typeface="+mn-lt"/>
              <a:ea typeface="+mn-ea"/>
              <a:cs typeface="+mn-cs"/>
            </a:rPr>
            <a:t>1) Holding everything else at constant , if a employee is subjected to overtime , the employee is predicted approx. 38% more likely to leave the company</a:t>
          </a:r>
          <a:endParaRPr lang="en-US" sz="1400" b="0">
            <a:effectLst/>
          </a:endParaRPr>
        </a:p>
        <a:p>
          <a:pPr rtl="0"/>
          <a:r>
            <a:rPr lang="en-US" sz="1400" b="0" i="0" u="none" strike="noStrike">
              <a:solidFill>
                <a:schemeClr val="dk1"/>
              </a:solidFill>
              <a:effectLst/>
              <a:latin typeface="+mn-lt"/>
              <a:ea typeface="+mn-ea"/>
              <a:cs typeface="+mn-cs"/>
            </a:rPr>
            <a:t>2) Holding all other variables constant , if the employee is not promoted for more than 9 years, the employee is predicted approx. 32% more likely to leave the firm.</a:t>
          </a:r>
          <a:endParaRPr lang="en-US" sz="1400" b="0">
            <a:effectLst/>
          </a:endParaRPr>
        </a:p>
        <a:p>
          <a:pPr rtl="0"/>
          <a:r>
            <a:rPr lang="en-US" sz="1400" b="0" i="0" u="none" strike="noStrike">
              <a:solidFill>
                <a:schemeClr val="dk1"/>
              </a:solidFill>
              <a:effectLst/>
              <a:latin typeface="+mn-lt"/>
              <a:ea typeface="+mn-ea"/>
              <a:cs typeface="+mn-cs"/>
            </a:rPr>
            <a:t>3) If we keep all other factors constant , if the employee is  less satisfied (environment level satisfaction = 1) with the environment at the office, the person is predicted  approx. 26% more likely to leave the company .</a:t>
          </a:r>
          <a:endParaRPr lang="en-US" sz="1400" b="0">
            <a:effectLst/>
          </a:endParaRPr>
        </a:p>
        <a:p>
          <a:r>
            <a:rPr lang="en-US" sz="1400" b="0" i="0" u="none" strike="noStrike">
              <a:solidFill>
                <a:schemeClr val="dk1"/>
              </a:solidFill>
              <a:effectLst/>
              <a:latin typeface="+mn-lt"/>
              <a:ea typeface="+mn-ea"/>
              <a:cs typeface="+mn-cs"/>
            </a:rPr>
            <a:t>4) If we keep all other factors constant , if the employee is  less satisfied (environment level satisfaction = 1) with his/her job at the office, the person is predicted  approx. 27% more likely to leave the company .</a:t>
          </a:r>
          <a:endParaRPr lang="en-US" sz="1400"/>
        </a:p>
        <a:p>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1338263</xdr:colOff>
      <xdr:row>16</xdr:row>
      <xdr:rowOff>100013</xdr:rowOff>
    </xdr:from>
    <xdr:to>
      <xdr:col>7</xdr:col>
      <xdr:colOff>585787</xdr:colOff>
      <xdr:row>26</xdr:row>
      <xdr:rowOff>133350</xdr:rowOff>
    </xdr:to>
    <xdr:sp macro="" textlink="">
      <xdr:nvSpPr>
        <xdr:cNvPr id="2" name="TextBox 1">
          <a:extLst>
            <a:ext uri="{FF2B5EF4-FFF2-40B4-BE49-F238E27FC236}">
              <a16:creationId xmlns:a16="http://schemas.microsoft.com/office/drawing/2014/main" id="{283F3526-71B7-40CE-940C-7DAD4C579C07}"/>
            </a:ext>
          </a:extLst>
        </xdr:cNvPr>
        <xdr:cNvSpPr txBox="1"/>
      </xdr:nvSpPr>
      <xdr:spPr>
        <a:xfrm>
          <a:off x="1338263" y="3128963"/>
          <a:ext cx="7920037" cy="18430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u="none" strike="noStrike">
              <a:solidFill>
                <a:schemeClr val="dk1"/>
              </a:solidFill>
              <a:effectLst/>
              <a:latin typeface="+mn-lt"/>
              <a:ea typeface="+mn-ea"/>
              <a:cs typeface="+mn-cs"/>
            </a:rPr>
            <a:t>•</a:t>
          </a:r>
          <a:r>
            <a:rPr lang="en-US" sz="1100" b="1" i="0" u="none" strike="noStrike">
              <a:solidFill>
                <a:schemeClr val="dk1"/>
              </a:solidFill>
              <a:effectLst/>
              <a:latin typeface="+mn-lt"/>
              <a:ea typeface="+mn-ea"/>
              <a:cs typeface="+mn-cs"/>
            </a:rPr>
            <a:t> Predictions/forecasting. :</a:t>
          </a:r>
          <a:r>
            <a:rPr lang="en-US" sz="1100" b="0" i="0" u="none" strike="noStrike">
              <a:solidFill>
                <a:schemeClr val="dk1"/>
              </a:solidFill>
              <a:effectLst/>
              <a:latin typeface="+mn-lt"/>
              <a:ea typeface="+mn-ea"/>
              <a:cs typeface="+mn-cs"/>
            </a:rPr>
            <a:t> Hypothesis Testing : Use information from an observed sample (sample mean) to make inference about a population parameter (</a:t>
          </a:r>
          <a:r>
            <a:rPr lang="el-GR" sz="1100" b="0" i="0" u="none" strike="noStrike">
              <a:solidFill>
                <a:schemeClr val="dk1"/>
              </a:solidFill>
              <a:effectLst/>
              <a:latin typeface="+mn-lt"/>
              <a:ea typeface="+mn-ea"/>
              <a:cs typeface="+mn-cs"/>
            </a:rPr>
            <a:t>μ). </a:t>
          </a:r>
          <a:r>
            <a:rPr lang="en-US" sz="1100" b="0" i="0" u="none" strike="noStrike">
              <a:solidFill>
                <a:schemeClr val="dk1"/>
              </a:solidFill>
              <a:effectLst/>
              <a:latin typeface="+mn-lt"/>
              <a:ea typeface="+mn-ea"/>
              <a:cs typeface="+mn-cs"/>
            </a:rPr>
            <a:t>We observe sample mean. We wish to estimate population mean that is unknown.</a:t>
          </a:r>
          <a:endParaRPr lang="en-US" b="0">
            <a:effectLst/>
          </a:endParaRPr>
        </a:p>
        <a:p>
          <a:pPr rtl="0"/>
          <a:r>
            <a:rPr lang="en-US" sz="1100" b="0" i="0" u="none" strike="noStrike">
              <a:solidFill>
                <a:schemeClr val="dk1"/>
              </a:solidFill>
              <a:effectLst/>
              <a:latin typeface="+mn-lt"/>
              <a:ea typeface="+mn-ea"/>
              <a:cs typeface="+mn-cs"/>
            </a:rPr>
            <a:t>Chart of variables and coefficient and P-value</a:t>
          </a:r>
          <a:endParaRPr lang="en-US" b="0">
            <a:effectLst/>
          </a:endParaRPr>
        </a:p>
        <a:p>
          <a:pPr rtl="0"/>
          <a:r>
            <a:rPr lang="en-US" sz="1100" b="0" i="0" u="none" strike="noStrike">
              <a:solidFill>
                <a:schemeClr val="dk1"/>
              </a:solidFill>
              <a:effectLst/>
              <a:latin typeface="+mn-lt"/>
              <a:ea typeface="+mn-ea"/>
              <a:cs typeface="+mn-cs"/>
            </a:rPr>
            <a:t>We assume the standard deviation of population equals to the sample standard deviation.</a:t>
          </a:r>
          <a:endParaRPr lang="en-US" b="0">
            <a:effectLst/>
          </a:endParaRPr>
        </a:p>
        <a:p>
          <a:pPr rtl="0"/>
          <a:r>
            <a:rPr lang="en-US" sz="1100" b="0" i="0" u="none" strike="noStrike">
              <a:solidFill>
                <a:schemeClr val="dk1"/>
              </a:solidFill>
              <a:effectLst/>
              <a:latin typeface="+mn-lt"/>
              <a:ea typeface="+mn-ea"/>
              <a:cs typeface="+mn-cs"/>
            </a:rPr>
            <a:t>Ho: Population Monthly Income &lt;6300</a:t>
          </a:r>
          <a:endParaRPr lang="en-US" b="0">
            <a:effectLst/>
          </a:endParaRPr>
        </a:p>
        <a:p>
          <a:pPr rtl="0"/>
          <a:r>
            <a:rPr lang="en-US" sz="1100" b="0" i="0" u="none" strike="noStrike">
              <a:solidFill>
                <a:schemeClr val="dk1"/>
              </a:solidFill>
              <a:effectLst/>
              <a:latin typeface="+mn-lt"/>
              <a:ea typeface="+mn-ea"/>
              <a:cs typeface="+mn-cs"/>
            </a:rPr>
            <a:t>Ha: Population Monthly Income &gt;6300</a:t>
          </a:r>
          <a:endParaRPr lang="en-US" b="0">
            <a:effectLst/>
          </a:endParaRPr>
        </a:p>
        <a:p>
          <a:pPr rtl="0"/>
          <a:r>
            <a:rPr lang="el-GR" sz="1100" b="0" i="0" u="none" strike="noStrike">
              <a:solidFill>
                <a:schemeClr val="dk1"/>
              </a:solidFill>
              <a:effectLst/>
              <a:latin typeface="+mn-lt"/>
              <a:ea typeface="+mn-ea"/>
              <a:cs typeface="+mn-cs"/>
            </a:rPr>
            <a:t>α = 0.05              </a:t>
          </a:r>
          <a:r>
            <a:rPr lang="en-US" sz="1100" b="0" i="0" u="none" strike="noStrike">
              <a:solidFill>
                <a:schemeClr val="dk1"/>
              </a:solidFill>
              <a:effectLst/>
              <a:latin typeface="+mn-lt"/>
              <a:ea typeface="+mn-ea"/>
              <a:cs typeface="+mn-cs"/>
            </a:rPr>
            <a:t>P-Value = 0.0493</a:t>
          </a:r>
          <a:endParaRPr lang="en-US" b="0">
            <a:effectLst/>
          </a:endParaRPr>
        </a:p>
        <a:p>
          <a:pPr rtl="0"/>
          <a:r>
            <a:rPr lang="en-US" sz="1100" b="0" i="0" u="none" strike="noStrike">
              <a:solidFill>
                <a:schemeClr val="dk1"/>
              </a:solidFill>
              <a:effectLst/>
              <a:latin typeface="+mn-lt"/>
              <a:ea typeface="+mn-ea"/>
              <a:cs typeface="+mn-cs"/>
            </a:rPr>
            <a:t>Ho is rejected.</a:t>
          </a:r>
          <a:endParaRPr lang="en-US" b="0">
            <a:effectLst/>
          </a:endParaRPr>
        </a:p>
        <a:p>
          <a:br>
            <a:rPr lang="en-US"/>
          </a:br>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214313</xdr:colOff>
      <xdr:row>1</xdr:row>
      <xdr:rowOff>52388</xdr:rowOff>
    </xdr:from>
    <xdr:to>
      <xdr:col>17</xdr:col>
      <xdr:colOff>309563</xdr:colOff>
      <xdr:row>26</xdr:row>
      <xdr:rowOff>138113</xdr:rowOff>
    </xdr:to>
    <xdr:sp macro="" textlink="">
      <xdr:nvSpPr>
        <xdr:cNvPr id="2" name="TextBox 1">
          <a:extLst>
            <a:ext uri="{FF2B5EF4-FFF2-40B4-BE49-F238E27FC236}">
              <a16:creationId xmlns:a16="http://schemas.microsoft.com/office/drawing/2014/main" id="{66C41D0E-FA3C-4C63-BB83-1F47BF22CCA5}"/>
            </a:ext>
          </a:extLst>
        </xdr:cNvPr>
        <xdr:cNvSpPr txBox="1"/>
      </xdr:nvSpPr>
      <xdr:spPr>
        <a:xfrm>
          <a:off x="214313" y="233363"/>
          <a:ext cx="1110615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u="none" strike="noStrike">
              <a:solidFill>
                <a:schemeClr val="dk1"/>
              </a:solidFill>
              <a:effectLst/>
              <a:latin typeface="+mn-lt"/>
              <a:ea typeface="+mn-ea"/>
              <a:cs typeface="+mn-cs"/>
            </a:rPr>
            <a:t>Summary and Conclusions: </a:t>
          </a:r>
        </a:p>
        <a:p>
          <a:pPr rtl="0"/>
          <a:r>
            <a:rPr lang="en-US" sz="1100" b="0" i="0" u="none" strike="noStrike">
              <a:solidFill>
                <a:schemeClr val="dk1"/>
              </a:solidFill>
              <a:effectLst/>
              <a:latin typeface="+mn-lt"/>
              <a:ea typeface="+mn-ea"/>
              <a:cs typeface="+mn-cs"/>
            </a:rPr>
            <a:t>IBM is an American multinational information technology company headquartered in New York, state. With operations in over 170 countries, the HR department is trying hard to keep their employees. In this project, we are using the IBM attrition and performance dataset to test out some potential factors for attrition </a:t>
          </a:r>
        </a:p>
        <a:p>
          <a:pPr rtl="0"/>
          <a:endParaRPr lang="en-US" sz="1100" b="0" i="0" u="none" strike="noStrike">
            <a:solidFill>
              <a:schemeClr val="dk1"/>
            </a:solidFill>
            <a:effectLst/>
            <a:latin typeface="+mn-lt"/>
            <a:ea typeface="+mn-ea"/>
            <a:cs typeface="+mn-cs"/>
          </a:endParaRPr>
        </a:p>
        <a:p>
          <a:pPr rtl="0"/>
          <a:endParaRPr lang="en-US" b="0">
            <a:effectLst/>
          </a:endParaRPr>
        </a:p>
        <a:p>
          <a:pPr rtl="0"/>
          <a:r>
            <a:rPr lang="en-US" sz="1100" b="1" i="0" u="none" strike="noStrike">
              <a:solidFill>
                <a:schemeClr val="dk1"/>
              </a:solidFill>
              <a:effectLst/>
              <a:latin typeface="+mn-lt"/>
              <a:ea typeface="+mn-ea"/>
              <a:cs typeface="+mn-cs"/>
            </a:rPr>
            <a:t>Findings :</a:t>
          </a:r>
          <a:endParaRPr lang="en-US" b="1">
            <a:effectLst/>
          </a:endParaRPr>
        </a:p>
        <a:p>
          <a:pPr rtl="0"/>
          <a:r>
            <a:rPr lang="en-US" sz="1100" b="0" i="0" u="none" strike="noStrike">
              <a:solidFill>
                <a:schemeClr val="dk1"/>
              </a:solidFill>
              <a:effectLst/>
              <a:latin typeface="+mn-lt"/>
              <a:ea typeface="+mn-ea"/>
              <a:cs typeface="+mn-cs"/>
            </a:rPr>
            <a:t>-Contrary to our expectations from graphical and numerical descriptive analysis, we didn’t Education and  stock options as statistically significant to predict monthly income.</a:t>
          </a:r>
          <a:endParaRPr lang="en-US" b="0">
            <a:effectLst/>
          </a:endParaRPr>
        </a:p>
        <a:p>
          <a:pPr rtl="0"/>
          <a:r>
            <a:rPr lang="en-US" sz="1100" b="0" i="0" u="none" strike="noStrike">
              <a:solidFill>
                <a:schemeClr val="dk1"/>
              </a:solidFill>
              <a:effectLst/>
              <a:latin typeface="+mn-lt"/>
              <a:ea typeface="+mn-ea"/>
              <a:cs typeface="+mn-cs"/>
            </a:rPr>
            <a:t>- In order for IBM to retain their employees , since ‘monthly salary’ positively drives the attrition rate significantly , the company must consider the employees’ total  work experience, their department, and their job role as important factors in deciding the salary ranges in which they pay their employees. </a:t>
          </a:r>
          <a:endParaRPr lang="en-US" b="0">
            <a:effectLst/>
          </a:endParaRPr>
        </a:p>
        <a:p>
          <a:pPr rtl="0"/>
          <a:r>
            <a:rPr lang="en-US" sz="1100" b="0" i="0" u="none" strike="noStrike">
              <a:solidFill>
                <a:schemeClr val="dk1"/>
              </a:solidFill>
              <a:effectLst/>
              <a:latin typeface="+mn-lt"/>
              <a:ea typeface="+mn-ea"/>
              <a:cs typeface="+mn-cs"/>
            </a:rPr>
            <a:t>- Next, to control attrition, IBM must ensure that they do not subject their employees to increased ‘overtime’ and ‘business travel’ which may negatively impact the employees’ work life balance , especially if they are married and hence this may negatively impact their decision to stay with the company. Such employees will hence rate less on ‘relationship’ and ‘environment’ satisfaction and are more likely to leave the company soon.</a:t>
          </a:r>
          <a:endParaRPr lang="en-US" b="0">
            <a:effectLst/>
          </a:endParaRPr>
        </a:p>
        <a:p>
          <a:pPr rtl="0" fontAlgn="base"/>
          <a:r>
            <a:rPr lang="en-US" sz="1100" b="0" i="0" u="none" strike="noStrike">
              <a:solidFill>
                <a:schemeClr val="dk1"/>
              </a:solidFill>
              <a:effectLst/>
              <a:latin typeface="+mn-lt"/>
              <a:ea typeface="+mn-ea"/>
              <a:cs typeface="+mn-cs"/>
            </a:rPr>
            <a:t>- We also infer that factors such as these and others such as if the company is not investing on their employees in terms of vocational trainings offered over the year and  their job involvement , the employees may feel dissatisfied and hence it may impact negatively on their job satisfaction levels</a:t>
          </a:r>
        </a:p>
        <a:p>
          <a:pPr rtl="0" fontAlgn="base"/>
          <a:r>
            <a:rPr lang="en-US" sz="1100" b="0" i="0" u="none" strike="noStrike">
              <a:solidFill>
                <a:schemeClr val="dk1"/>
              </a:solidFill>
              <a:effectLst/>
              <a:latin typeface="+mn-lt"/>
              <a:ea typeface="+mn-ea"/>
              <a:cs typeface="+mn-cs"/>
            </a:rPr>
            <a:t>- Lastly, the company must understand that if the employee has worked for a high number of companies in their past career, the employee might prefer to change their firm every few years and this might have nothing to do with IBM. Hence, it is important to understand that high no. of companies worked before will impact negatively on attrition rate as this is more about such employees stability than the firm itself.</a:t>
          </a:r>
        </a:p>
        <a:p>
          <a:pPr rtl="0" fontAlgn="base"/>
          <a:endParaRPr lang="en-US" sz="1100" b="1" i="0" u="none" strike="noStrike">
            <a:solidFill>
              <a:schemeClr val="dk1"/>
            </a:solidFill>
            <a:effectLst/>
            <a:latin typeface="+mn-lt"/>
            <a:ea typeface="+mn-ea"/>
            <a:cs typeface="+mn-cs"/>
          </a:endParaRPr>
        </a:p>
        <a:p>
          <a:pPr rtl="0"/>
          <a:r>
            <a:rPr lang="en-US" sz="1100" b="1" i="0" u="none" strike="noStrike">
              <a:solidFill>
                <a:schemeClr val="dk1"/>
              </a:solidFill>
              <a:effectLst/>
              <a:latin typeface="+mn-lt"/>
              <a:ea typeface="+mn-ea"/>
              <a:cs typeface="+mn-cs"/>
            </a:rPr>
            <a:t>Implications:</a:t>
          </a:r>
          <a:endParaRPr lang="en-US" b="1">
            <a:effectLst/>
          </a:endParaRPr>
        </a:p>
        <a:p>
          <a:pPr rtl="0" fontAlgn="base"/>
          <a:r>
            <a:rPr lang="en-US" sz="1100" b="0" i="0" u="none" strike="noStrike">
              <a:solidFill>
                <a:schemeClr val="dk1"/>
              </a:solidFill>
              <a:effectLst/>
              <a:latin typeface="+mn-lt"/>
              <a:ea typeface="+mn-ea"/>
              <a:cs typeface="+mn-cs"/>
            </a:rPr>
            <a:t>- HR Management at IBM can highly benefit from our findings to keep a check on the key variables that we have found to be statistically significant in impacting the attrition rate at IBM so that they don't have to go back to the talent pool in market to recover their lost employees</a:t>
          </a:r>
        </a:p>
        <a:p>
          <a:pPr rtl="0"/>
          <a:r>
            <a:rPr lang="en-US" sz="1100" b="0" i="0" u="none" strike="noStrike">
              <a:solidFill>
                <a:schemeClr val="dk1"/>
              </a:solidFill>
              <a:effectLst/>
              <a:latin typeface="+mn-lt"/>
              <a:ea typeface="+mn-ea"/>
              <a:cs typeface="+mn-cs"/>
            </a:rPr>
            <a:t>- Since this dataset is publically available on Kaggle , our analysis if made public can be used and applied to bigger sample datasets by more tech companies like IBM in order to uncover key drivers for employees leaving their firms.</a:t>
          </a:r>
          <a:endParaRPr lang="en-US" b="0">
            <a:effectLst/>
          </a:endParaRPr>
        </a:p>
        <a:p>
          <a:br>
            <a:rPr lang="en-US"/>
          </a:b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purva%20Sharma/Google%20Drive/MS%20IM%20+%20CAS%20DS%20@%20SU_/7)%20MBC%20638/MBC%20638%20Project/Original%20Data/Corrected%202_Final_ApurvaSharma_Nov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xcel%20updated%20with%20scatterplo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20(x86)/Palisade/StatTools7/StatTools.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Columns"/>
      <sheetName val="Apurva Selected Columns)"/>
      <sheetName val="_PalUtilTempWorksheet"/>
      <sheetName val="_Palisade_DataViewerSettings"/>
      <sheetName val="Linear"/>
      <sheetName val="Logistic"/>
      <sheetName val="Histograms"/>
      <sheetName val="Scatter Plots"/>
      <sheetName val="Correlation"/>
      <sheetName val="_STDS_DG49E6C18"/>
      <sheetName val="_STDS_DG15DED2B1"/>
    </sheetNames>
    <sheetDataSet>
      <sheetData sheetId="0"/>
      <sheetData sheetId="1"/>
      <sheetData sheetId="2"/>
      <sheetData sheetId="3"/>
      <sheetData sheetId="4">
        <row r="2">
          <cell r="A2">
            <v>41</v>
          </cell>
          <cell r="B2">
            <v>2</v>
          </cell>
          <cell r="C2">
            <v>3</v>
          </cell>
          <cell r="D2">
            <v>5993</v>
          </cell>
          <cell r="E2">
            <v>8</v>
          </cell>
          <cell r="F2">
            <v>11</v>
          </cell>
          <cell r="G2">
            <v>3</v>
          </cell>
          <cell r="H2">
            <v>0</v>
          </cell>
          <cell r="I2">
            <v>8</v>
          </cell>
          <cell r="J2">
            <v>0</v>
          </cell>
          <cell r="K2">
            <v>6</v>
          </cell>
          <cell r="L2">
            <v>4</v>
          </cell>
          <cell r="M2">
            <v>1</v>
          </cell>
          <cell r="N2">
            <v>1</v>
          </cell>
          <cell r="O2">
            <v>1</v>
          </cell>
          <cell r="P2">
            <v>0</v>
          </cell>
          <cell r="Q2">
            <v>0</v>
          </cell>
          <cell r="R2">
            <v>0</v>
          </cell>
          <cell r="S2">
            <v>0</v>
          </cell>
          <cell r="T2">
            <v>2</v>
          </cell>
          <cell r="U2">
            <v>0</v>
          </cell>
          <cell r="V2">
            <v>0</v>
          </cell>
          <cell r="W2">
            <v>0</v>
          </cell>
          <cell r="X2">
            <v>0</v>
          </cell>
          <cell r="Y2">
            <v>0</v>
          </cell>
          <cell r="Z2">
            <v>0</v>
          </cell>
          <cell r="AA2">
            <v>8</v>
          </cell>
          <cell r="AB2">
            <v>1</v>
          </cell>
          <cell r="AC2">
            <v>0.66666666666666663</v>
          </cell>
          <cell r="AD2">
            <v>8</v>
          </cell>
        </row>
        <row r="3">
          <cell r="A3">
            <v>49</v>
          </cell>
          <cell r="B3">
            <v>1</v>
          </cell>
          <cell r="C3">
            <v>2</v>
          </cell>
          <cell r="D3">
            <v>5130</v>
          </cell>
          <cell r="E3">
            <v>1</v>
          </cell>
          <cell r="F3">
            <v>23</v>
          </cell>
          <cell r="G3">
            <v>4</v>
          </cell>
          <cell r="H3">
            <v>1</v>
          </cell>
          <cell r="I3">
            <v>10</v>
          </cell>
          <cell r="J3">
            <v>3</v>
          </cell>
          <cell r="K3">
            <v>10</v>
          </cell>
          <cell r="L3">
            <v>7</v>
          </cell>
          <cell r="M3">
            <v>0</v>
          </cell>
          <cell r="N3">
            <v>0</v>
          </cell>
          <cell r="O3">
            <v>1</v>
          </cell>
          <cell r="P3">
            <v>0</v>
          </cell>
          <cell r="Q3">
            <v>0</v>
          </cell>
          <cell r="R3">
            <v>0</v>
          </cell>
          <cell r="S3">
            <v>0</v>
          </cell>
          <cell r="T3">
            <v>1</v>
          </cell>
          <cell r="U3">
            <v>0</v>
          </cell>
          <cell r="V3">
            <v>0</v>
          </cell>
          <cell r="W3">
            <v>0</v>
          </cell>
          <cell r="X3">
            <v>0</v>
          </cell>
          <cell r="Y3">
            <v>1</v>
          </cell>
          <cell r="Z3">
            <v>0</v>
          </cell>
          <cell r="AA3">
            <v>6</v>
          </cell>
          <cell r="AB3">
            <v>0.1</v>
          </cell>
          <cell r="AC3">
            <v>0.7</v>
          </cell>
          <cell r="AD3">
            <v>24</v>
          </cell>
        </row>
        <row r="4">
          <cell r="A4">
            <v>37</v>
          </cell>
          <cell r="B4">
            <v>2</v>
          </cell>
          <cell r="C4">
            <v>2</v>
          </cell>
          <cell r="D4">
            <v>2090</v>
          </cell>
          <cell r="E4">
            <v>6</v>
          </cell>
          <cell r="F4">
            <v>15</v>
          </cell>
          <cell r="G4">
            <v>3</v>
          </cell>
          <cell r="H4">
            <v>0</v>
          </cell>
          <cell r="I4">
            <v>7</v>
          </cell>
          <cell r="J4">
            <v>3</v>
          </cell>
          <cell r="K4">
            <v>0</v>
          </cell>
          <cell r="L4">
            <v>0</v>
          </cell>
          <cell r="M4">
            <v>1</v>
          </cell>
          <cell r="N4">
            <v>0</v>
          </cell>
          <cell r="O4">
            <v>0</v>
          </cell>
          <cell r="P4">
            <v>0</v>
          </cell>
          <cell r="Q4">
            <v>0</v>
          </cell>
          <cell r="R4">
            <v>1</v>
          </cell>
          <cell r="S4">
            <v>0</v>
          </cell>
          <cell r="T4">
            <v>0</v>
          </cell>
          <cell r="U4">
            <v>0</v>
          </cell>
          <cell r="V4">
            <v>0</v>
          </cell>
          <cell r="W4">
            <v>2</v>
          </cell>
          <cell r="X4">
            <v>0</v>
          </cell>
          <cell r="Y4">
            <v>0</v>
          </cell>
          <cell r="Z4">
            <v>0</v>
          </cell>
          <cell r="AA4">
            <v>12</v>
          </cell>
          <cell r="AB4">
            <v>0.8571428571428571</v>
          </cell>
          <cell r="AC4">
            <v>0</v>
          </cell>
          <cell r="AD4">
            <v>24</v>
          </cell>
        </row>
        <row r="5">
          <cell r="A5">
            <v>33</v>
          </cell>
          <cell r="B5">
            <v>4</v>
          </cell>
          <cell r="C5">
            <v>3</v>
          </cell>
          <cell r="D5">
            <v>2909</v>
          </cell>
          <cell r="E5">
            <v>1</v>
          </cell>
          <cell r="F5">
            <v>11</v>
          </cell>
          <cell r="G5">
            <v>3</v>
          </cell>
          <cell r="H5">
            <v>0</v>
          </cell>
          <cell r="I5">
            <v>8</v>
          </cell>
          <cell r="J5">
            <v>3</v>
          </cell>
          <cell r="K5">
            <v>8</v>
          </cell>
          <cell r="L5">
            <v>7</v>
          </cell>
          <cell r="M5">
            <v>1</v>
          </cell>
          <cell r="N5">
            <v>1</v>
          </cell>
          <cell r="O5">
            <v>1</v>
          </cell>
          <cell r="P5">
            <v>0</v>
          </cell>
          <cell r="Q5">
            <v>0</v>
          </cell>
          <cell r="R5">
            <v>0</v>
          </cell>
          <cell r="S5">
            <v>0</v>
          </cell>
          <cell r="T5">
            <v>4</v>
          </cell>
          <cell r="U5">
            <v>0</v>
          </cell>
          <cell r="V5">
            <v>0</v>
          </cell>
          <cell r="W5">
            <v>0</v>
          </cell>
          <cell r="X5">
            <v>0</v>
          </cell>
          <cell r="Y5">
            <v>1</v>
          </cell>
          <cell r="Z5">
            <v>1</v>
          </cell>
          <cell r="AA5">
            <v>12</v>
          </cell>
          <cell r="AB5">
            <v>0.125</v>
          </cell>
          <cell r="AC5">
            <v>0.875</v>
          </cell>
          <cell r="AD5">
            <v>36</v>
          </cell>
        </row>
        <row r="6">
          <cell r="A6">
            <v>27</v>
          </cell>
          <cell r="B6">
            <v>1</v>
          </cell>
          <cell r="C6">
            <v>3</v>
          </cell>
          <cell r="D6">
            <v>3468</v>
          </cell>
          <cell r="E6">
            <v>9</v>
          </cell>
          <cell r="F6">
            <v>12</v>
          </cell>
          <cell r="G6">
            <v>3</v>
          </cell>
          <cell r="H6">
            <v>1</v>
          </cell>
          <cell r="I6">
            <v>6</v>
          </cell>
          <cell r="J6">
            <v>3</v>
          </cell>
          <cell r="K6">
            <v>2</v>
          </cell>
          <cell r="L6">
            <v>2</v>
          </cell>
          <cell r="M6">
            <v>0</v>
          </cell>
          <cell r="N6">
            <v>0</v>
          </cell>
          <cell r="O6">
            <v>0</v>
          </cell>
          <cell r="P6">
            <v>0</v>
          </cell>
          <cell r="Q6">
            <v>1</v>
          </cell>
          <cell r="R6">
            <v>0</v>
          </cell>
          <cell r="S6">
            <v>0</v>
          </cell>
          <cell r="T6">
            <v>0</v>
          </cell>
          <cell r="U6">
            <v>0</v>
          </cell>
          <cell r="V6">
            <v>1</v>
          </cell>
          <cell r="W6">
            <v>0</v>
          </cell>
          <cell r="X6">
            <v>0</v>
          </cell>
          <cell r="Y6">
            <v>0</v>
          </cell>
          <cell r="Z6">
            <v>0</v>
          </cell>
          <cell r="AA6">
            <v>2</v>
          </cell>
          <cell r="AB6">
            <v>1.5</v>
          </cell>
          <cell r="AC6">
            <v>1</v>
          </cell>
          <cell r="AD6">
            <v>8</v>
          </cell>
        </row>
        <row r="7">
          <cell r="A7">
            <v>32</v>
          </cell>
          <cell r="B7">
            <v>2</v>
          </cell>
          <cell r="C7">
            <v>3</v>
          </cell>
          <cell r="D7">
            <v>3068</v>
          </cell>
          <cell r="E7">
            <v>0</v>
          </cell>
          <cell r="F7">
            <v>13</v>
          </cell>
          <cell r="G7">
            <v>3</v>
          </cell>
          <cell r="H7">
            <v>0</v>
          </cell>
          <cell r="I7">
            <v>8</v>
          </cell>
          <cell r="J7">
            <v>2</v>
          </cell>
          <cell r="K7">
            <v>7</v>
          </cell>
          <cell r="L7">
            <v>7</v>
          </cell>
          <cell r="M7">
            <v>0</v>
          </cell>
          <cell r="N7">
            <v>0</v>
          </cell>
          <cell r="O7">
            <v>1</v>
          </cell>
          <cell r="P7">
            <v>0</v>
          </cell>
          <cell r="Q7">
            <v>0</v>
          </cell>
          <cell r="R7">
            <v>0</v>
          </cell>
          <cell r="S7">
            <v>0</v>
          </cell>
          <cell r="T7">
            <v>2</v>
          </cell>
          <cell r="U7">
            <v>0</v>
          </cell>
          <cell r="V7">
            <v>0</v>
          </cell>
          <cell r="W7">
            <v>0</v>
          </cell>
          <cell r="X7">
            <v>0</v>
          </cell>
          <cell r="Y7">
            <v>0</v>
          </cell>
          <cell r="Z7">
            <v>0</v>
          </cell>
          <cell r="AA7">
            <v>16</v>
          </cell>
          <cell r="AB7">
            <v>0</v>
          </cell>
          <cell r="AC7">
            <v>1</v>
          </cell>
          <cell r="AD7">
            <v>48</v>
          </cell>
        </row>
        <row r="8">
          <cell r="A8">
            <v>59</v>
          </cell>
          <cell r="B8">
            <v>3</v>
          </cell>
          <cell r="C8">
            <v>4</v>
          </cell>
          <cell r="D8">
            <v>2670</v>
          </cell>
          <cell r="E8">
            <v>4</v>
          </cell>
          <cell r="F8">
            <v>20</v>
          </cell>
          <cell r="G8">
            <v>4</v>
          </cell>
          <cell r="H8">
            <v>3</v>
          </cell>
          <cell r="I8">
            <v>12</v>
          </cell>
          <cell r="J8">
            <v>3</v>
          </cell>
          <cell r="K8">
            <v>1</v>
          </cell>
          <cell r="L8">
            <v>0</v>
          </cell>
          <cell r="M8">
            <v>1</v>
          </cell>
          <cell r="N8">
            <v>1</v>
          </cell>
          <cell r="O8">
            <v>0</v>
          </cell>
          <cell r="P8">
            <v>0</v>
          </cell>
          <cell r="Q8">
            <v>1</v>
          </cell>
          <cell r="R8">
            <v>0</v>
          </cell>
          <cell r="S8">
            <v>0</v>
          </cell>
          <cell r="T8">
            <v>0</v>
          </cell>
          <cell r="U8">
            <v>0</v>
          </cell>
          <cell r="V8">
            <v>3</v>
          </cell>
          <cell r="W8">
            <v>0</v>
          </cell>
          <cell r="X8">
            <v>0</v>
          </cell>
          <cell r="Y8">
            <v>0</v>
          </cell>
          <cell r="Z8">
            <v>1</v>
          </cell>
          <cell r="AA8">
            <v>3</v>
          </cell>
          <cell r="AB8">
            <v>0.33333333333333331</v>
          </cell>
          <cell r="AC8">
            <v>0</v>
          </cell>
          <cell r="AD8">
            <v>3</v>
          </cell>
        </row>
        <row r="9">
          <cell r="A9">
            <v>30</v>
          </cell>
          <cell r="B9">
            <v>1</v>
          </cell>
          <cell r="C9">
            <v>3</v>
          </cell>
          <cell r="D9">
            <v>2693</v>
          </cell>
          <cell r="E9">
            <v>1</v>
          </cell>
          <cell r="F9">
            <v>22</v>
          </cell>
          <cell r="G9">
            <v>4</v>
          </cell>
          <cell r="H9">
            <v>1</v>
          </cell>
          <cell r="I9">
            <v>1</v>
          </cell>
          <cell r="J9">
            <v>2</v>
          </cell>
          <cell r="K9">
            <v>1</v>
          </cell>
          <cell r="L9">
            <v>0</v>
          </cell>
          <cell r="M9">
            <v>0</v>
          </cell>
          <cell r="N9">
            <v>0</v>
          </cell>
          <cell r="O9">
            <v>1</v>
          </cell>
          <cell r="P9">
            <v>0</v>
          </cell>
          <cell r="Q9">
            <v>0</v>
          </cell>
          <cell r="R9">
            <v>0</v>
          </cell>
          <cell r="S9">
            <v>0</v>
          </cell>
          <cell r="T9">
            <v>1</v>
          </cell>
          <cell r="U9">
            <v>0</v>
          </cell>
          <cell r="V9">
            <v>0</v>
          </cell>
          <cell r="W9">
            <v>0</v>
          </cell>
          <cell r="X9">
            <v>0</v>
          </cell>
          <cell r="Y9">
            <v>0</v>
          </cell>
          <cell r="Z9">
            <v>0</v>
          </cell>
          <cell r="AA9">
            <v>12</v>
          </cell>
          <cell r="AB9">
            <v>1</v>
          </cell>
          <cell r="AC9">
            <v>0</v>
          </cell>
          <cell r="AD9">
            <v>24</v>
          </cell>
        </row>
        <row r="10">
          <cell r="A10">
            <v>38</v>
          </cell>
          <cell r="B10">
            <v>3</v>
          </cell>
          <cell r="C10">
            <v>2</v>
          </cell>
          <cell r="D10">
            <v>9526</v>
          </cell>
          <cell r="E10">
            <v>0</v>
          </cell>
          <cell r="F10">
            <v>21</v>
          </cell>
          <cell r="G10">
            <v>4</v>
          </cell>
          <cell r="H10">
            <v>0</v>
          </cell>
          <cell r="I10">
            <v>10</v>
          </cell>
          <cell r="J10">
            <v>2</v>
          </cell>
          <cell r="K10">
            <v>9</v>
          </cell>
          <cell r="L10">
            <v>7</v>
          </cell>
          <cell r="M10">
            <v>0</v>
          </cell>
          <cell r="N10">
            <v>0</v>
          </cell>
          <cell r="O10">
            <v>1</v>
          </cell>
          <cell r="P10">
            <v>0</v>
          </cell>
          <cell r="Q10">
            <v>0</v>
          </cell>
          <cell r="R10">
            <v>0</v>
          </cell>
          <cell r="S10">
            <v>0</v>
          </cell>
          <cell r="T10">
            <v>3</v>
          </cell>
          <cell r="U10">
            <v>0</v>
          </cell>
          <cell r="V10">
            <v>0</v>
          </cell>
          <cell r="W10">
            <v>0</v>
          </cell>
          <cell r="X10">
            <v>0</v>
          </cell>
          <cell r="Y10">
            <v>0</v>
          </cell>
          <cell r="Z10">
            <v>0</v>
          </cell>
          <cell r="AA10">
            <v>12</v>
          </cell>
          <cell r="AB10">
            <v>0</v>
          </cell>
          <cell r="AC10">
            <v>0.77777777777777779</v>
          </cell>
          <cell r="AD10">
            <v>24</v>
          </cell>
        </row>
        <row r="11">
          <cell r="A11">
            <v>36</v>
          </cell>
          <cell r="B11">
            <v>3</v>
          </cell>
          <cell r="C11">
            <v>3</v>
          </cell>
          <cell r="D11">
            <v>5237</v>
          </cell>
          <cell r="E11">
            <v>6</v>
          </cell>
          <cell r="F11">
            <v>13</v>
          </cell>
          <cell r="G11">
            <v>3</v>
          </cell>
          <cell r="H11">
            <v>2</v>
          </cell>
          <cell r="I11">
            <v>17</v>
          </cell>
          <cell r="J11">
            <v>3</v>
          </cell>
          <cell r="K11">
            <v>7</v>
          </cell>
          <cell r="L11">
            <v>7</v>
          </cell>
          <cell r="M11">
            <v>0</v>
          </cell>
          <cell r="N11">
            <v>0</v>
          </cell>
          <cell r="O11">
            <v>0</v>
          </cell>
          <cell r="P11">
            <v>0</v>
          </cell>
          <cell r="Q11">
            <v>1</v>
          </cell>
          <cell r="R11">
            <v>0</v>
          </cell>
          <cell r="S11">
            <v>0</v>
          </cell>
          <cell r="T11">
            <v>0</v>
          </cell>
          <cell r="U11">
            <v>0</v>
          </cell>
          <cell r="V11">
            <v>3</v>
          </cell>
          <cell r="W11">
            <v>0</v>
          </cell>
          <cell r="X11">
            <v>0</v>
          </cell>
          <cell r="Y11">
            <v>0</v>
          </cell>
          <cell r="Z11">
            <v>0</v>
          </cell>
          <cell r="AA11">
            <v>9</v>
          </cell>
          <cell r="AB11">
            <v>0.35294117647058826</v>
          </cell>
          <cell r="AC11">
            <v>1</v>
          </cell>
          <cell r="AD11">
            <v>18</v>
          </cell>
        </row>
        <row r="12">
          <cell r="A12">
            <v>35</v>
          </cell>
          <cell r="B12">
            <v>3</v>
          </cell>
          <cell r="C12">
            <v>4</v>
          </cell>
          <cell r="D12">
            <v>2426</v>
          </cell>
          <cell r="E12">
            <v>0</v>
          </cell>
          <cell r="F12">
            <v>13</v>
          </cell>
          <cell r="G12">
            <v>3</v>
          </cell>
          <cell r="H12">
            <v>1</v>
          </cell>
          <cell r="I12">
            <v>6</v>
          </cell>
          <cell r="J12">
            <v>5</v>
          </cell>
          <cell r="K12">
            <v>5</v>
          </cell>
          <cell r="L12">
            <v>4</v>
          </cell>
          <cell r="M12">
            <v>0</v>
          </cell>
          <cell r="N12">
            <v>0</v>
          </cell>
          <cell r="O12">
            <v>0</v>
          </cell>
          <cell r="P12">
            <v>0</v>
          </cell>
          <cell r="Q12">
            <v>1</v>
          </cell>
          <cell r="R12">
            <v>0</v>
          </cell>
          <cell r="S12">
            <v>0</v>
          </cell>
          <cell r="T12">
            <v>0</v>
          </cell>
          <cell r="U12">
            <v>0</v>
          </cell>
          <cell r="V12">
            <v>3</v>
          </cell>
          <cell r="W12">
            <v>0</v>
          </cell>
          <cell r="X12">
            <v>0</v>
          </cell>
          <cell r="Y12">
            <v>0</v>
          </cell>
          <cell r="Z12">
            <v>0</v>
          </cell>
          <cell r="AA12">
            <v>2</v>
          </cell>
          <cell r="AB12">
            <v>0</v>
          </cell>
          <cell r="AC12">
            <v>0.8</v>
          </cell>
          <cell r="AD12">
            <v>6</v>
          </cell>
        </row>
        <row r="13">
          <cell r="A13">
            <v>29</v>
          </cell>
          <cell r="B13">
            <v>2</v>
          </cell>
          <cell r="C13">
            <v>2</v>
          </cell>
          <cell r="D13">
            <v>4193</v>
          </cell>
          <cell r="E13">
            <v>0</v>
          </cell>
          <cell r="F13">
            <v>12</v>
          </cell>
          <cell r="G13">
            <v>3</v>
          </cell>
          <cell r="H13">
            <v>0</v>
          </cell>
          <cell r="I13">
            <v>10</v>
          </cell>
          <cell r="J13">
            <v>3</v>
          </cell>
          <cell r="K13">
            <v>9</v>
          </cell>
          <cell r="L13">
            <v>5</v>
          </cell>
          <cell r="M13">
            <v>1</v>
          </cell>
          <cell r="N13">
            <v>1</v>
          </cell>
          <cell r="O13">
            <v>1</v>
          </cell>
          <cell r="P13">
            <v>0</v>
          </cell>
          <cell r="Q13">
            <v>0</v>
          </cell>
          <cell r="R13">
            <v>0</v>
          </cell>
          <cell r="S13">
            <v>0</v>
          </cell>
          <cell r="T13">
            <v>2</v>
          </cell>
          <cell r="U13">
            <v>0</v>
          </cell>
          <cell r="V13">
            <v>0</v>
          </cell>
          <cell r="W13">
            <v>0</v>
          </cell>
          <cell r="X13">
            <v>0</v>
          </cell>
          <cell r="Y13">
            <v>0</v>
          </cell>
          <cell r="Z13">
            <v>0</v>
          </cell>
          <cell r="AA13">
            <v>12</v>
          </cell>
          <cell r="AB13">
            <v>0</v>
          </cell>
          <cell r="AC13">
            <v>0.55555555555555558</v>
          </cell>
          <cell r="AD13">
            <v>48</v>
          </cell>
        </row>
        <row r="14">
          <cell r="A14">
            <v>31</v>
          </cell>
          <cell r="B14">
            <v>1</v>
          </cell>
          <cell r="C14">
            <v>3</v>
          </cell>
          <cell r="D14">
            <v>2911</v>
          </cell>
          <cell r="E14">
            <v>1</v>
          </cell>
          <cell r="F14">
            <v>17</v>
          </cell>
          <cell r="G14">
            <v>3</v>
          </cell>
          <cell r="H14">
            <v>1</v>
          </cell>
          <cell r="I14">
            <v>5</v>
          </cell>
          <cell r="J14">
            <v>1</v>
          </cell>
          <cell r="K14">
            <v>5</v>
          </cell>
          <cell r="L14">
            <v>2</v>
          </cell>
          <cell r="M14">
            <v>0</v>
          </cell>
          <cell r="N14">
            <v>0</v>
          </cell>
          <cell r="O14">
            <v>1</v>
          </cell>
          <cell r="P14">
            <v>0</v>
          </cell>
          <cell r="Q14">
            <v>0</v>
          </cell>
          <cell r="R14">
            <v>0</v>
          </cell>
          <cell r="S14">
            <v>0</v>
          </cell>
          <cell r="T14">
            <v>1</v>
          </cell>
          <cell r="U14">
            <v>0</v>
          </cell>
          <cell r="V14">
            <v>0</v>
          </cell>
          <cell r="W14">
            <v>0</v>
          </cell>
          <cell r="X14">
            <v>0</v>
          </cell>
          <cell r="Y14">
            <v>0</v>
          </cell>
          <cell r="Z14">
            <v>0</v>
          </cell>
          <cell r="AA14">
            <v>3</v>
          </cell>
          <cell r="AB14">
            <v>0.2</v>
          </cell>
          <cell r="AC14">
            <v>0.4</v>
          </cell>
          <cell r="AD14">
            <v>12</v>
          </cell>
        </row>
        <row r="15">
          <cell r="A15">
            <v>34</v>
          </cell>
          <cell r="B15">
            <v>2</v>
          </cell>
          <cell r="C15">
            <v>3</v>
          </cell>
          <cell r="D15">
            <v>2661</v>
          </cell>
          <cell r="E15">
            <v>0</v>
          </cell>
          <cell r="F15">
            <v>11</v>
          </cell>
          <cell r="G15">
            <v>3</v>
          </cell>
          <cell r="H15">
            <v>1</v>
          </cell>
          <cell r="I15">
            <v>3</v>
          </cell>
          <cell r="J15">
            <v>2</v>
          </cell>
          <cell r="K15">
            <v>2</v>
          </cell>
          <cell r="L15">
            <v>2</v>
          </cell>
          <cell r="M15">
            <v>0</v>
          </cell>
          <cell r="N15">
            <v>0</v>
          </cell>
          <cell r="O15">
            <v>0</v>
          </cell>
          <cell r="P15">
            <v>0</v>
          </cell>
          <cell r="Q15">
            <v>1</v>
          </cell>
          <cell r="R15">
            <v>0</v>
          </cell>
          <cell r="S15">
            <v>0</v>
          </cell>
          <cell r="T15">
            <v>0</v>
          </cell>
          <cell r="U15">
            <v>0</v>
          </cell>
          <cell r="V15">
            <v>2</v>
          </cell>
          <cell r="W15">
            <v>0</v>
          </cell>
          <cell r="X15">
            <v>0</v>
          </cell>
          <cell r="Y15">
            <v>0</v>
          </cell>
          <cell r="Z15">
            <v>0</v>
          </cell>
          <cell r="AA15">
            <v>8</v>
          </cell>
          <cell r="AB15">
            <v>0</v>
          </cell>
          <cell r="AC15">
            <v>1</v>
          </cell>
          <cell r="AD15">
            <v>24</v>
          </cell>
        </row>
        <row r="16">
          <cell r="A16">
            <v>28</v>
          </cell>
          <cell r="B16">
            <v>3</v>
          </cell>
          <cell r="C16">
            <v>2</v>
          </cell>
          <cell r="D16">
            <v>2028</v>
          </cell>
          <cell r="E16">
            <v>5</v>
          </cell>
          <cell r="F16">
            <v>14</v>
          </cell>
          <cell r="G16">
            <v>3</v>
          </cell>
          <cell r="H16">
            <v>0</v>
          </cell>
          <cell r="I16">
            <v>6</v>
          </cell>
          <cell r="J16">
            <v>4</v>
          </cell>
          <cell r="K16">
            <v>4</v>
          </cell>
          <cell r="L16">
            <v>2</v>
          </cell>
          <cell r="M16">
            <v>1</v>
          </cell>
          <cell r="N16">
            <v>0</v>
          </cell>
          <cell r="O16">
            <v>1</v>
          </cell>
          <cell r="P16">
            <v>0</v>
          </cell>
          <cell r="Q16">
            <v>0</v>
          </cell>
          <cell r="R16">
            <v>0</v>
          </cell>
          <cell r="S16">
            <v>0</v>
          </cell>
          <cell r="T16">
            <v>3</v>
          </cell>
          <cell r="U16">
            <v>0</v>
          </cell>
          <cell r="V16">
            <v>0</v>
          </cell>
          <cell r="W16">
            <v>0</v>
          </cell>
          <cell r="X16">
            <v>0</v>
          </cell>
          <cell r="Y16">
            <v>0</v>
          </cell>
          <cell r="Z16">
            <v>0</v>
          </cell>
          <cell r="AA16">
            <v>9</v>
          </cell>
          <cell r="AB16">
            <v>0.83333333333333337</v>
          </cell>
          <cell r="AC16">
            <v>0.5</v>
          </cell>
          <cell r="AD16">
            <v>18</v>
          </cell>
        </row>
        <row r="17">
          <cell r="A17">
            <v>29</v>
          </cell>
          <cell r="B17">
            <v>4</v>
          </cell>
          <cell r="C17">
            <v>4</v>
          </cell>
          <cell r="D17">
            <v>9980</v>
          </cell>
          <cell r="E17">
            <v>1</v>
          </cell>
          <cell r="F17">
            <v>11</v>
          </cell>
          <cell r="G17">
            <v>3</v>
          </cell>
          <cell r="H17">
            <v>1</v>
          </cell>
          <cell r="I17">
            <v>10</v>
          </cell>
          <cell r="J17">
            <v>1</v>
          </cell>
          <cell r="K17">
            <v>10</v>
          </cell>
          <cell r="L17">
            <v>9</v>
          </cell>
          <cell r="M17">
            <v>0</v>
          </cell>
          <cell r="N17">
            <v>1</v>
          </cell>
          <cell r="O17">
            <v>1</v>
          </cell>
          <cell r="P17">
            <v>0</v>
          </cell>
          <cell r="Q17">
            <v>0</v>
          </cell>
          <cell r="R17">
            <v>0</v>
          </cell>
          <cell r="S17">
            <v>0</v>
          </cell>
          <cell r="T17">
            <v>4</v>
          </cell>
          <cell r="U17">
            <v>0</v>
          </cell>
          <cell r="V17">
            <v>0</v>
          </cell>
          <cell r="W17">
            <v>0</v>
          </cell>
          <cell r="X17">
            <v>0</v>
          </cell>
          <cell r="Y17">
            <v>0</v>
          </cell>
          <cell r="Z17">
            <v>0</v>
          </cell>
          <cell r="AA17">
            <v>2</v>
          </cell>
          <cell r="AB17">
            <v>0.1</v>
          </cell>
          <cell r="AC17">
            <v>0.9</v>
          </cell>
          <cell r="AD17">
            <v>6</v>
          </cell>
        </row>
        <row r="18">
          <cell r="A18">
            <v>32</v>
          </cell>
          <cell r="B18">
            <v>2</v>
          </cell>
          <cell r="C18">
            <v>4</v>
          </cell>
          <cell r="D18">
            <v>3298</v>
          </cell>
          <cell r="E18">
            <v>0</v>
          </cell>
          <cell r="F18">
            <v>12</v>
          </cell>
          <cell r="G18">
            <v>3</v>
          </cell>
          <cell r="H18">
            <v>2</v>
          </cell>
          <cell r="I18">
            <v>7</v>
          </cell>
          <cell r="J18">
            <v>5</v>
          </cell>
          <cell r="K18">
            <v>6</v>
          </cell>
          <cell r="L18">
            <v>2</v>
          </cell>
          <cell r="M18">
            <v>1</v>
          </cell>
          <cell r="N18">
            <v>0</v>
          </cell>
          <cell r="O18">
            <v>1</v>
          </cell>
          <cell r="P18">
            <v>0</v>
          </cell>
          <cell r="Q18">
            <v>0</v>
          </cell>
          <cell r="R18">
            <v>0</v>
          </cell>
          <cell r="S18">
            <v>0</v>
          </cell>
          <cell r="T18">
            <v>2</v>
          </cell>
          <cell r="U18">
            <v>0</v>
          </cell>
          <cell r="V18">
            <v>0</v>
          </cell>
          <cell r="W18">
            <v>0</v>
          </cell>
          <cell r="X18">
            <v>0</v>
          </cell>
          <cell r="Y18">
            <v>0</v>
          </cell>
          <cell r="Z18">
            <v>0</v>
          </cell>
          <cell r="AA18">
            <v>2</v>
          </cell>
          <cell r="AB18">
            <v>0</v>
          </cell>
          <cell r="AC18">
            <v>0.33333333333333331</v>
          </cell>
          <cell r="AD18">
            <v>8</v>
          </cell>
        </row>
        <row r="19">
          <cell r="A19">
            <v>22</v>
          </cell>
          <cell r="B19">
            <v>2</v>
          </cell>
          <cell r="C19">
            <v>4</v>
          </cell>
          <cell r="D19">
            <v>2935</v>
          </cell>
          <cell r="E19">
            <v>1</v>
          </cell>
          <cell r="F19">
            <v>13</v>
          </cell>
          <cell r="G19">
            <v>3</v>
          </cell>
          <cell r="H19">
            <v>2</v>
          </cell>
          <cell r="I19">
            <v>1</v>
          </cell>
          <cell r="J19">
            <v>2</v>
          </cell>
          <cell r="K19">
            <v>1</v>
          </cell>
          <cell r="L19">
            <v>0</v>
          </cell>
          <cell r="M19">
            <v>1</v>
          </cell>
          <cell r="N19">
            <v>0</v>
          </cell>
          <cell r="O19">
            <v>0</v>
          </cell>
          <cell r="P19">
            <v>0</v>
          </cell>
          <cell r="Q19">
            <v>1</v>
          </cell>
          <cell r="R19">
            <v>0</v>
          </cell>
          <cell r="S19">
            <v>0</v>
          </cell>
          <cell r="T19">
            <v>0</v>
          </cell>
          <cell r="U19">
            <v>0</v>
          </cell>
          <cell r="V19">
            <v>2</v>
          </cell>
          <cell r="W19">
            <v>0</v>
          </cell>
          <cell r="X19">
            <v>0</v>
          </cell>
          <cell r="Y19">
            <v>0</v>
          </cell>
          <cell r="Z19">
            <v>0</v>
          </cell>
          <cell r="AA19">
            <v>16</v>
          </cell>
          <cell r="AB19">
            <v>1</v>
          </cell>
          <cell r="AC19">
            <v>0</v>
          </cell>
          <cell r="AD19">
            <v>32</v>
          </cell>
        </row>
        <row r="20">
          <cell r="A20">
            <v>53</v>
          </cell>
          <cell r="B20">
            <v>4</v>
          </cell>
          <cell r="C20">
            <v>2</v>
          </cell>
          <cell r="D20">
            <v>15427</v>
          </cell>
          <cell r="E20">
            <v>2</v>
          </cell>
          <cell r="F20">
            <v>16</v>
          </cell>
          <cell r="G20">
            <v>3</v>
          </cell>
          <cell r="H20">
            <v>0</v>
          </cell>
          <cell r="I20">
            <v>31</v>
          </cell>
          <cell r="J20">
            <v>3</v>
          </cell>
          <cell r="K20">
            <v>25</v>
          </cell>
          <cell r="L20">
            <v>8</v>
          </cell>
          <cell r="M20">
            <v>0</v>
          </cell>
          <cell r="N20">
            <v>1</v>
          </cell>
          <cell r="O20">
            <v>1</v>
          </cell>
          <cell r="P20">
            <v>0</v>
          </cell>
          <cell r="Q20">
            <v>0</v>
          </cell>
          <cell r="R20">
            <v>0</v>
          </cell>
          <cell r="S20">
            <v>0</v>
          </cell>
          <cell r="T20">
            <v>4</v>
          </cell>
          <cell r="U20">
            <v>0</v>
          </cell>
          <cell r="V20">
            <v>0</v>
          </cell>
          <cell r="W20">
            <v>0</v>
          </cell>
          <cell r="X20">
            <v>0</v>
          </cell>
          <cell r="Y20">
            <v>0</v>
          </cell>
          <cell r="Z20">
            <v>0</v>
          </cell>
          <cell r="AA20">
            <v>4</v>
          </cell>
          <cell r="AB20">
            <v>6.4516129032258063E-2</v>
          </cell>
          <cell r="AC20">
            <v>0.32</v>
          </cell>
          <cell r="AD20">
            <v>12</v>
          </cell>
        </row>
        <row r="21">
          <cell r="A21">
            <v>38</v>
          </cell>
          <cell r="B21">
            <v>3</v>
          </cell>
          <cell r="C21">
            <v>3</v>
          </cell>
          <cell r="D21">
            <v>3944</v>
          </cell>
          <cell r="E21">
            <v>5</v>
          </cell>
          <cell r="F21">
            <v>11</v>
          </cell>
          <cell r="G21">
            <v>3</v>
          </cell>
          <cell r="H21">
            <v>0</v>
          </cell>
          <cell r="I21">
            <v>6</v>
          </cell>
          <cell r="J21">
            <v>3</v>
          </cell>
          <cell r="K21">
            <v>3</v>
          </cell>
          <cell r="L21">
            <v>2</v>
          </cell>
          <cell r="M21">
            <v>1</v>
          </cell>
          <cell r="N21">
            <v>0</v>
          </cell>
          <cell r="O21">
            <v>1</v>
          </cell>
          <cell r="P21">
            <v>0</v>
          </cell>
          <cell r="Q21">
            <v>0</v>
          </cell>
          <cell r="R21">
            <v>0</v>
          </cell>
          <cell r="S21">
            <v>0</v>
          </cell>
          <cell r="T21">
            <v>3</v>
          </cell>
          <cell r="U21">
            <v>0</v>
          </cell>
          <cell r="V21">
            <v>0</v>
          </cell>
          <cell r="W21">
            <v>0</v>
          </cell>
          <cell r="X21">
            <v>0</v>
          </cell>
          <cell r="Y21">
            <v>0</v>
          </cell>
          <cell r="Z21">
            <v>0</v>
          </cell>
          <cell r="AA21">
            <v>16</v>
          </cell>
          <cell r="AB21">
            <v>0.83333333333333337</v>
          </cell>
          <cell r="AC21">
            <v>0.66666666666666663</v>
          </cell>
          <cell r="AD21">
            <v>48</v>
          </cell>
        </row>
        <row r="22">
          <cell r="A22">
            <v>24</v>
          </cell>
          <cell r="B22">
            <v>2</v>
          </cell>
          <cell r="C22">
            <v>4</v>
          </cell>
          <cell r="D22">
            <v>4011</v>
          </cell>
          <cell r="E22">
            <v>0</v>
          </cell>
          <cell r="F22">
            <v>18</v>
          </cell>
          <cell r="G22">
            <v>3</v>
          </cell>
          <cell r="H22">
            <v>1</v>
          </cell>
          <cell r="I22">
            <v>5</v>
          </cell>
          <cell r="J22">
            <v>5</v>
          </cell>
          <cell r="K22">
            <v>4</v>
          </cell>
          <cell r="L22">
            <v>2</v>
          </cell>
          <cell r="M22">
            <v>0</v>
          </cell>
          <cell r="N22">
            <v>1</v>
          </cell>
          <cell r="O22">
            <v>0</v>
          </cell>
          <cell r="P22">
            <v>0</v>
          </cell>
          <cell r="Q22">
            <v>0</v>
          </cell>
          <cell r="R22">
            <v>1</v>
          </cell>
          <cell r="S22">
            <v>0</v>
          </cell>
          <cell r="T22">
            <v>0</v>
          </cell>
          <cell r="U22">
            <v>0</v>
          </cell>
          <cell r="V22">
            <v>0</v>
          </cell>
          <cell r="W22">
            <v>2</v>
          </cell>
          <cell r="X22">
            <v>0</v>
          </cell>
          <cell r="Y22">
            <v>0</v>
          </cell>
          <cell r="Z22">
            <v>0</v>
          </cell>
          <cell r="AA22">
            <v>3</v>
          </cell>
          <cell r="AB22">
            <v>0</v>
          </cell>
          <cell r="AC22">
            <v>0.5</v>
          </cell>
          <cell r="AD22">
            <v>12</v>
          </cell>
        </row>
        <row r="23">
          <cell r="A23">
            <v>36</v>
          </cell>
          <cell r="B23">
            <v>4</v>
          </cell>
          <cell r="C23">
            <v>2</v>
          </cell>
          <cell r="D23">
            <v>3407</v>
          </cell>
          <cell r="E23">
            <v>7</v>
          </cell>
          <cell r="F23">
            <v>23</v>
          </cell>
          <cell r="G23">
            <v>4</v>
          </cell>
          <cell r="H23">
            <v>0</v>
          </cell>
          <cell r="I23">
            <v>10</v>
          </cell>
          <cell r="J23">
            <v>4</v>
          </cell>
          <cell r="K23">
            <v>5</v>
          </cell>
          <cell r="L23">
            <v>3</v>
          </cell>
          <cell r="M23">
            <v>0</v>
          </cell>
          <cell r="N23">
            <v>0</v>
          </cell>
          <cell r="O23">
            <v>1</v>
          </cell>
          <cell r="P23">
            <v>0</v>
          </cell>
          <cell r="Q23">
            <v>0</v>
          </cell>
          <cell r="R23">
            <v>0</v>
          </cell>
          <cell r="S23">
            <v>0</v>
          </cell>
          <cell r="T23">
            <v>4</v>
          </cell>
          <cell r="U23">
            <v>0</v>
          </cell>
          <cell r="V23">
            <v>0</v>
          </cell>
          <cell r="W23">
            <v>0</v>
          </cell>
          <cell r="X23">
            <v>0</v>
          </cell>
          <cell r="Y23">
            <v>0</v>
          </cell>
          <cell r="Z23">
            <v>0</v>
          </cell>
          <cell r="AA23">
            <v>3</v>
          </cell>
          <cell r="AB23">
            <v>0.7</v>
          </cell>
          <cell r="AC23">
            <v>0.6</v>
          </cell>
          <cell r="AD23">
            <v>6</v>
          </cell>
        </row>
        <row r="24">
          <cell r="A24">
            <v>34</v>
          </cell>
          <cell r="B24">
            <v>4</v>
          </cell>
          <cell r="C24">
            <v>3</v>
          </cell>
          <cell r="D24">
            <v>11994</v>
          </cell>
          <cell r="E24">
            <v>0</v>
          </cell>
          <cell r="F24">
            <v>11</v>
          </cell>
          <cell r="G24">
            <v>3</v>
          </cell>
          <cell r="H24">
            <v>0</v>
          </cell>
          <cell r="I24">
            <v>13</v>
          </cell>
          <cell r="J24">
            <v>4</v>
          </cell>
          <cell r="K24">
            <v>12</v>
          </cell>
          <cell r="L24">
            <v>6</v>
          </cell>
          <cell r="M24">
            <v>0</v>
          </cell>
          <cell r="N24">
            <v>1</v>
          </cell>
          <cell r="O24">
            <v>1</v>
          </cell>
          <cell r="P24">
            <v>0</v>
          </cell>
          <cell r="Q24">
            <v>0</v>
          </cell>
          <cell r="R24">
            <v>0</v>
          </cell>
          <cell r="S24">
            <v>0</v>
          </cell>
          <cell r="T24">
            <v>4</v>
          </cell>
          <cell r="U24">
            <v>0</v>
          </cell>
          <cell r="V24">
            <v>0</v>
          </cell>
          <cell r="W24">
            <v>0</v>
          </cell>
          <cell r="X24">
            <v>0</v>
          </cell>
          <cell r="Y24">
            <v>0</v>
          </cell>
          <cell r="Z24">
            <v>0</v>
          </cell>
          <cell r="AA24">
            <v>2</v>
          </cell>
          <cell r="AB24">
            <v>0</v>
          </cell>
          <cell r="AC24">
            <v>0.5</v>
          </cell>
          <cell r="AD24">
            <v>6</v>
          </cell>
        </row>
        <row r="25">
          <cell r="A25">
            <v>21</v>
          </cell>
          <cell r="B25">
            <v>2</v>
          </cell>
          <cell r="C25">
            <v>3</v>
          </cell>
          <cell r="D25">
            <v>1232</v>
          </cell>
          <cell r="E25">
            <v>1</v>
          </cell>
          <cell r="F25">
            <v>14</v>
          </cell>
          <cell r="G25">
            <v>3</v>
          </cell>
          <cell r="H25">
            <v>0</v>
          </cell>
          <cell r="I25">
            <v>0</v>
          </cell>
          <cell r="J25">
            <v>6</v>
          </cell>
          <cell r="K25">
            <v>0</v>
          </cell>
          <cell r="L25">
            <v>0</v>
          </cell>
          <cell r="M25">
            <v>0</v>
          </cell>
          <cell r="N25">
            <v>0</v>
          </cell>
          <cell r="O25">
            <v>1</v>
          </cell>
          <cell r="P25">
            <v>0</v>
          </cell>
          <cell r="Q25">
            <v>0</v>
          </cell>
          <cell r="R25">
            <v>0</v>
          </cell>
          <cell r="S25">
            <v>0</v>
          </cell>
          <cell r="T25">
            <v>2</v>
          </cell>
          <cell r="U25">
            <v>0</v>
          </cell>
          <cell r="V25">
            <v>0</v>
          </cell>
          <cell r="W25">
            <v>0</v>
          </cell>
          <cell r="X25">
            <v>0</v>
          </cell>
          <cell r="Y25">
            <v>0</v>
          </cell>
          <cell r="Z25">
            <v>0</v>
          </cell>
          <cell r="AA25">
            <v>12</v>
          </cell>
          <cell r="AB25">
            <v>0</v>
          </cell>
          <cell r="AC25">
            <v>0</v>
          </cell>
          <cell r="AD25">
            <v>48</v>
          </cell>
        </row>
        <row r="26">
          <cell r="A26">
            <v>34</v>
          </cell>
          <cell r="B26">
            <v>1</v>
          </cell>
          <cell r="C26">
            <v>3</v>
          </cell>
          <cell r="D26">
            <v>2960</v>
          </cell>
          <cell r="E26">
            <v>2</v>
          </cell>
          <cell r="F26">
            <v>11</v>
          </cell>
          <cell r="G26">
            <v>3</v>
          </cell>
          <cell r="H26">
            <v>0</v>
          </cell>
          <cell r="I26">
            <v>8</v>
          </cell>
          <cell r="J26">
            <v>2</v>
          </cell>
          <cell r="K26">
            <v>4</v>
          </cell>
          <cell r="L26">
            <v>2</v>
          </cell>
          <cell r="M26">
            <v>0</v>
          </cell>
          <cell r="N26">
            <v>0</v>
          </cell>
          <cell r="O26">
            <v>0</v>
          </cell>
          <cell r="P26">
            <v>0</v>
          </cell>
          <cell r="Q26">
            <v>1</v>
          </cell>
          <cell r="R26">
            <v>0</v>
          </cell>
          <cell r="S26">
            <v>0</v>
          </cell>
          <cell r="T26">
            <v>0</v>
          </cell>
          <cell r="U26">
            <v>0</v>
          </cell>
          <cell r="V26">
            <v>1</v>
          </cell>
          <cell r="W26">
            <v>0</v>
          </cell>
          <cell r="X26">
            <v>0</v>
          </cell>
          <cell r="Y26">
            <v>0</v>
          </cell>
          <cell r="Z26">
            <v>0</v>
          </cell>
          <cell r="AA26">
            <v>2</v>
          </cell>
          <cell r="AB26">
            <v>0.25</v>
          </cell>
          <cell r="AC26">
            <v>0.5</v>
          </cell>
          <cell r="AD26">
            <v>6</v>
          </cell>
        </row>
        <row r="27">
          <cell r="A27">
            <v>53</v>
          </cell>
          <cell r="B27">
            <v>3</v>
          </cell>
          <cell r="C27">
            <v>3</v>
          </cell>
          <cell r="D27">
            <v>19094</v>
          </cell>
          <cell r="E27">
            <v>4</v>
          </cell>
          <cell r="F27">
            <v>11</v>
          </cell>
          <cell r="G27">
            <v>3</v>
          </cell>
          <cell r="H27">
            <v>1</v>
          </cell>
          <cell r="I27">
            <v>26</v>
          </cell>
          <cell r="J27">
            <v>3</v>
          </cell>
          <cell r="K27">
            <v>14</v>
          </cell>
          <cell r="L27">
            <v>13</v>
          </cell>
          <cell r="M27">
            <v>0</v>
          </cell>
          <cell r="N27">
            <v>1</v>
          </cell>
          <cell r="O27">
            <v>0</v>
          </cell>
          <cell r="P27">
            <v>0</v>
          </cell>
          <cell r="Q27">
            <v>0</v>
          </cell>
          <cell r="R27">
            <v>1</v>
          </cell>
          <cell r="S27">
            <v>0</v>
          </cell>
          <cell r="T27">
            <v>0</v>
          </cell>
          <cell r="U27">
            <v>0</v>
          </cell>
          <cell r="V27">
            <v>0</v>
          </cell>
          <cell r="W27">
            <v>3</v>
          </cell>
          <cell r="X27">
            <v>0</v>
          </cell>
          <cell r="Y27">
            <v>0</v>
          </cell>
          <cell r="Z27">
            <v>0</v>
          </cell>
          <cell r="AA27">
            <v>9</v>
          </cell>
          <cell r="AB27">
            <v>0.15384615384615385</v>
          </cell>
          <cell r="AC27">
            <v>0.9285714285714286</v>
          </cell>
          <cell r="AD27">
            <v>36</v>
          </cell>
        </row>
        <row r="28">
          <cell r="A28">
            <v>32</v>
          </cell>
          <cell r="B28">
            <v>1</v>
          </cell>
          <cell r="C28">
            <v>1</v>
          </cell>
          <cell r="D28">
            <v>3919</v>
          </cell>
          <cell r="E28">
            <v>1</v>
          </cell>
          <cell r="F28">
            <v>22</v>
          </cell>
          <cell r="G28">
            <v>4</v>
          </cell>
          <cell r="H28">
            <v>0</v>
          </cell>
          <cell r="I28">
            <v>10</v>
          </cell>
          <cell r="J28">
            <v>5</v>
          </cell>
          <cell r="K28">
            <v>10</v>
          </cell>
          <cell r="L28">
            <v>2</v>
          </cell>
          <cell r="M28">
            <v>1</v>
          </cell>
          <cell r="N28">
            <v>1</v>
          </cell>
          <cell r="O28">
            <v>1</v>
          </cell>
          <cell r="P28">
            <v>0</v>
          </cell>
          <cell r="Q28">
            <v>0</v>
          </cell>
          <cell r="R28">
            <v>0</v>
          </cell>
          <cell r="S28">
            <v>0</v>
          </cell>
          <cell r="T28">
            <v>1</v>
          </cell>
          <cell r="U28">
            <v>0</v>
          </cell>
          <cell r="V28">
            <v>0</v>
          </cell>
          <cell r="W28">
            <v>0</v>
          </cell>
          <cell r="X28">
            <v>0</v>
          </cell>
          <cell r="Y28">
            <v>0</v>
          </cell>
          <cell r="Z28">
            <v>0</v>
          </cell>
          <cell r="AA28">
            <v>2</v>
          </cell>
          <cell r="AB28">
            <v>0.1</v>
          </cell>
          <cell r="AC28">
            <v>0.2</v>
          </cell>
          <cell r="AD28">
            <v>4</v>
          </cell>
        </row>
        <row r="29">
          <cell r="A29">
            <v>42</v>
          </cell>
          <cell r="B29">
            <v>4</v>
          </cell>
          <cell r="C29">
            <v>3</v>
          </cell>
          <cell r="D29">
            <v>6825</v>
          </cell>
          <cell r="E29">
            <v>0</v>
          </cell>
          <cell r="F29">
            <v>11</v>
          </cell>
          <cell r="G29">
            <v>3</v>
          </cell>
          <cell r="H29">
            <v>1</v>
          </cell>
          <cell r="I29">
            <v>10</v>
          </cell>
          <cell r="J29">
            <v>2</v>
          </cell>
          <cell r="K29">
            <v>9</v>
          </cell>
          <cell r="L29">
            <v>7</v>
          </cell>
          <cell r="M29">
            <v>0</v>
          </cell>
          <cell r="N29">
            <v>0</v>
          </cell>
          <cell r="O29">
            <v>0</v>
          </cell>
          <cell r="P29">
            <v>1</v>
          </cell>
          <cell r="Q29">
            <v>0</v>
          </cell>
          <cell r="R29">
            <v>0</v>
          </cell>
          <cell r="S29">
            <v>0</v>
          </cell>
          <cell r="T29">
            <v>0</v>
          </cell>
          <cell r="U29">
            <v>4</v>
          </cell>
          <cell r="V29">
            <v>0</v>
          </cell>
          <cell r="W29">
            <v>0</v>
          </cell>
          <cell r="X29">
            <v>0</v>
          </cell>
          <cell r="Y29">
            <v>0</v>
          </cell>
          <cell r="Z29">
            <v>0</v>
          </cell>
          <cell r="AA29">
            <v>6</v>
          </cell>
          <cell r="AB29">
            <v>0</v>
          </cell>
          <cell r="AC29">
            <v>0.77777777777777779</v>
          </cell>
          <cell r="AD29">
            <v>24</v>
          </cell>
        </row>
        <row r="30">
          <cell r="A30">
            <v>44</v>
          </cell>
          <cell r="B30">
            <v>4</v>
          </cell>
          <cell r="C30">
            <v>2</v>
          </cell>
          <cell r="D30">
            <v>10248</v>
          </cell>
          <cell r="E30">
            <v>3</v>
          </cell>
          <cell r="F30">
            <v>14</v>
          </cell>
          <cell r="G30">
            <v>3</v>
          </cell>
          <cell r="H30">
            <v>1</v>
          </cell>
          <cell r="I30">
            <v>24</v>
          </cell>
          <cell r="J30">
            <v>4</v>
          </cell>
          <cell r="K30">
            <v>22</v>
          </cell>
          <cell r="L30">
            <v>6</v>
          </cell>
          <cell r="M30">
            <v>0</v>
          </cell>
          <cell r="N30">
            <v>1</v>
          </cell>
          <cell r="O30">
            <v>0</v>
          </cell>
          <cell r="P30">
            <v>0</v>
          </cell>
          <cell r="Q30">
            <v>1</v>
          </cell>
          <cell r="R30">
            <v>0</v>
          </cell>
          <cell r="S30">
            <v>0</v>
          </cell>
          <cell r="T30">
            <v>0</v>
          </cell>
          <cell r="U30">
            <v>0</v>
          </cell>
          <cell r="V30">
            <v>4</v>
          </cell>
          <cell r="W30">
            <v>0</v>
          </cell>
          <cell r="X30">
            <v>0</v>
          </cell>
          <cell r="Y30">
            <v>0</v>
          </cell>
          <cell r="Z30">
            <v>0</v>
          </cell>
          <cell r="AA30">
            <v>4</v>
          </cell>
          <cell r="AB30">
            <v>0.125</v>
          </cell>
          <cell r="AC30">
            <v>0.27272727272727271</v>
          </cell>
          <cell r="AD30">
            <v>16</v>
          </cell>
        </row>
        <row r="31">
          <cell r="A31">
            <v>46</v>
          </cell>
          <cell r="B31">
            <v>4</v>
          </cell>
          <cell r="C31">
            <v>3</v>
          </cell>
          <cell r="D31">
            <v>18947</v>
          </cell>
          <cell r="E31">
            <v>3</v>
          </cell>
          <cell r="F31">
            <v>12</v>
          </cell>
          <cell r="G31">
            <v>3</v>
          </cell>
          <cell r="H31">
            <v>0</v>
          </cell>
          <cell r="I31">
            <v>22</v>
          </cell>
          <cell r="J31">
            <v>2</v>
          </cell>
          <cell r="K31">
            <v>2</v>
          </cell>
          <cell r="L31">
            <v>2</v>
          </cell>
          <cell r="M31">
            <v>0</v>
          </cell>
          <cell r="N31">
            <v>1</v>
          </cell>
          <cell r="O31">
            <v>0</v>
          </cell>
          <cell r="P31">
            <v>1</v>
          </cell>
          <cell r="Q31">
            <v>0</v>
          </cell>
          <cell r="R31">
            <v>0</v>
          </cell>
          <cell r="S31">
            <v>0</v>
          </cell>
          <cell r="T31">
            <v>0</v>
          </cell>
          <cell r="U31">
            <v>4</v>
          </cell>
          <cell r="V31">
            <v>0</v>
          </cell>
          <cell r="W31">
            <v>0</v>
          </cell>
          <cell r="X31">
            <v>0</v>
          </cell>
          <cell r="Y31">
            <v>0</v>
          </cell>
          <cell r="Z31">
            <v>0</v>
          </cell>
          <cell r="AA31">
            <v>2</v>
          </cell>
          <cell r="AB31">
            <v>0.13636363636363635</v>
          </cell>
          <cell r="AC31">
            <v>1</v>
          </cell>
          <cell r="AD31">
            <v>8</v>
          </cell>
        </row>
        <row r="32">
          <cell r="A32">
            <v>33</v>
          </cell>
          <cell r="B32">
            <v>3</v>
          </cell>
          <cell r="C32">
            <v>3</v>
          </cell>
          <cell r="D32">
            <v>2496</v>
          </cell>
          <cell r="E32">
            <v>4</v>
          </cell>
          <cell r="F32">
            <v>11</v>
          </cell>
          <cell r="G32">
            <v>3</v>
          </cell>
          <cell r="H32">
            <v>0</v>
          </cell>
          <cell r="I32">
            <v>7</v>
          </cell>
          <cell r="J32">
            <v>3</v>
          </cell>
          <cell r="K32">
            <v>1</v>
          </cell>
          <cell r="L32">
            <v>1</v>
          </cell>
          <cell r="M32">
            <v>0</v>
          </cell>
          <cell r="N32">
            <v>0</v>
          </cell>
          <cell r="O32">
            <v>0</v>
          </cell>
          <cell r="P32">
            <v>0</v>
          </cell>
          <cell r="Q32">
            <v>1</v>
          </cell>
          <cell r="R32">
            <v>0</v>
          </cell>
          <cell r="S32">
            <v>0</v>
          </cell>
          <cell r="T32">
            <v>0</v>
          </cell>
          <cell r="U32">
            <v>0</v>
          </cell>
          <cell r="V32">
            <v>3</v>
          </cell>
          <cell r="W32">
            <v>0</v>
          </cell>
          <cell r="X32">
            <v>0</v>
          </cell>
          <cell r="Y32">
            <v>0</v>
          </cell>
          <cell r="Z32">
            <v>0</v>
          </cell>
          <cell r="AA32">
            <v>12</v>
          </cell>
          <cell r="AB32">
            <v>0.5714285714285714</v>
          </cell>
          <cell r="AC32">
            <v>1</v>
          </cell>
          <cell r="AD32">
            <v>48</v>
          </cell>
        </row>
        <row r="33">
          <cell r="A33">
            <v>44</v>
          </cell>
          <cell r="B33">
            <v>4</v>
          </cell>
          <cell r="C33">
            <v>3</v>
          </cell>
          <cell r="D33">
            <v>6465</v>
          </cell>
          <cell r="E33">
            <v>2</v>
          </cell>
          <cell r="F33">
            <v>13</v>
          </cell>
          <cell r="G33">
            <v>3</v>
          </cell>
          <cell r="H33">
            <v>0</v>
          </cell>
          <cell r="I33">
            <v>9</v>
          </cell>
          <cell r="J33">
            <v>5</v>
          </cell>
          <cell r="K33">
            <v>4</v>
          </cell>
          <cell r="L33">
            <v>2</v>
          </cell>
          <cell r="M33">
            <v>1</v>
          </cell>
          <cell r="N33">
            <v>0</v>
          </cell>
          <cell r="O33">
            <v>0</v>
          </cell>
          <cell r="P33">
            <v>0</v>
          </cell>
          <cell r="Q33">
            <v>0</v>
          </cell>
          <cell r="R33">
            <v>1</v>
          </cell>
          <cell r="S33">
            <v>0</v>
          </cell>
          <cell r="T33">
            <v>0</v>
          </cell>
          <cell r="U33">
            <v>0</v>
          </cell>
          <cell r="V33">
            <v>0</v>
          </cell>
          <cell r="W33">
            <v>4</v>
          </cell>
          <cell r="X33">
            <v>0</v>
          </cell>
          <cell r="Y33">
            <v>0</v>
          </cell>
          <cell r="Z33">
            <v>1</v>
          </cell>
          <cell r="AA33">
            <v>16</v>
          </cell>
          <cell r="AB33">
            <v>0.22222222222222221</v>
          </cell>
          <cell r="AC33">
            <v>0.5</v>
          </cell>
          <cell r="AD33">
            <v>64</v>
          </cell>
        </row>
        <row r="34">
          <cell r="A34">
            <v>30</v>
          </cell>
          <cell r="B34">
            <v>2</v>
          </cell>
          <cell r="C34">
            <v>2</v>
          </cell>
          <cell r="D34">
            <v>2206</v>
          </cell>
          <cell r="E34">
            <v>1</v>
          </cell>
          <cell r="F34">
            <v>13</v>
          </cell>
          <cell r="G34">
            <v>3</v>
          </cell>
          <cell r="H34">
            <v>0</v>
          </cell>
          <cell r="I34">
            <v>10</v>
          </cell>
          <cell r="J34">
            <v>5</v>
          </cell>
          <cell r="K34">
            <v>10</v>
          </cell>
          <cell r="L34">
            <v>0</v>
          </cell>
          <cell r="M34">
            <v>0</v>
          </cell>
          <cell r="N34">
            <v>0</v>
          </cell>
          <cell r="O34">
            <v>0</v>
          </cell>
          <cell r="P34">
            <v>0</v>
          </cell>
          <cell r="Q34">
            <v>1</v>
          </cell>
          <cell r="R34">
            <v>0</v>
          </cell>
          <cell r="S34">
            <v>0</v>
          </cell>
          <cell r="T34">
            <v>0</v>
          </cell>
          <cell r="U34">
            <v>0</v>
          </cell>
          <cell r="V34">
            <v>2</v>
          </cell>
          <cell r="W34">
            <v>0</v>
          </cell>
          <cell r="X34">
            <v>0</v>
          </cell>
          <cell r="Y34">
            <v>0</v>
          </cell>
          <cell r="Z34">
            <v>0</v>
          </cell>
          <cell r="AA34">
            <v>12</v>
          </cell>
          <cell r="AB34">
            <v>0.1</v>
          </cell>
          <cell r="AC34">
            <v>0</v>
          </cell>
          <cell r="AD34">
            <v>12</v>
          </cell>
        </row>
        <row r="35">
          <cell r="A35">
            <v>39</v>
          </cell>
          <cell r="B35">
            <v>3</v>
          </cell>
          <cell r="C35">
            <v>3</v>
          </cell>
          <cell r="D35">
            <v>2086</v>
          </cell>
          <cell r="E35">
            <v>3</v>
          </cell>
          <cell r="F35">
            <v>14</v>
          </cell>
          <cell r="G35">
            <v>3</v>
          </cell>
          <cell r="H35">
            <v>1</v>
          </cell>
          <cell r="I35">
            <v>19</v>
          </cell>
          <cell r="J35">
            <v>6</v>
          </cell>
          <cell r="K35">
            <v>1</v>
          </cell>
          <cell r="L35">
            <v>0</v>
          </cell>
          <cell r="M35">
            <v>0</v>
          </cell>
          <cell r="N35">
            <v>0</v>
          </cell>
          <cell r="O35">
            <v>0</v>
          </cell>
          <cell r="P35">
            <v>0</v>
          </cell>
          <cell r="Q35">
            <v>0</v>
          </cell>
          <cell r="R35">
            <v>0</v>
          </cell>
          <cell r="S35">
            <v>1</v>
          </cell>
          <cell r="T35">
            <v>0</v>
          </cell>
          <cell r="U35">
            <v>0</v>
          </cell>
          <cell r="V35">
            <v>0</v>
          </cell>
          <cell r="W35">
            <v>0</v>
          </cell>
          <cell r="X35">
            <v>3</v>
          </cell>
          <cell r="Y35">
            <v>0</v>
          </cell>
          <cell r="Z35">
            <v>0</v>
          </cell>
          <cell r="AA35">
            <v>16</v>
          </cell>
          <cell r="AB35">
            <v>0.15789473684210525</v>
          </cell>
          <cell r="AC35">
            <v>0</v>
          </cell>
          <cell r="AD35">
            <v>48</v>
          </cell>
        </row>
        <row r="36">
          <cell r="A36">
            <v>24</v>
          </cell>
          <cell r="B36">
            <v>3</v>
          </cell>
          <cell r="C36">
            <v>3</v>
          </cell>
          <cell r="D36">
            <v>2293</v>
          </cell>
          <cell r="E36">
            <v>2</v>
          </cell>
          <cell r="F36">
            <v>16</v>
          </cell>
          <cell r="G36">
            <v>3</v>
          </cell>
          <cell r="H36">
            <v>1</v>
          </cell>
          <cell r="I36">
            <v>6</v>
          </cell>
          <cell r="J36">
            <v>2</v>
          </cell>
          <cell r="K36">
            <v>2</v>
          </cell>
          <cell r="L36">
            <v>0</v>
          </cell>
          <cell r="M36">
            <v>1</v>
          </cell>
          <cell r="N36">
            <v>0</v>
          </cell>
          <cell r="O36">
            <v>0</v>
          </cell>
          <cell r="P36">
            <v>0</v>
          </cell>
          <cell r="Q36">
            <v>1</v>
          </cell>
          <cell r="R36">
            <v>0</v>
          </cell>
          <cell r="S36">
            <v>0</v>
          </cell>
          <cell r="T36">
            <v>0</v>
          </cell>
          <cell r="U36">
            <v>0</v>
          </cell>
          <cell r="V36">
            <v>3</v>
          </cell>
          <cell r="W36">
            <v>0</v>
          </cell>
          <cell r="X36">
            <v>0</v>
          </cell>
          <cell r="Y36">
            <v>0</v>
          </cell>
          <cell r="Z36">
            <v>1</v>
          </cell>
          <cell r="AA36">
            <v>8</v>
          </cell>
          <cell r="AB36">
            <v>0.33333333333333331</v>
          </cell>
          <cell r="AC36">
            <v>0</v>
          </cell>
          <cell r="AD36">
            <v>8</v>
          </cell>
        </row>
        <row r="37">
          <cell r="A37">
            <v>43</v>
          </cell>
          <cell r="B37">
            <v>2</v>
          </cell>
          <cell r="C37">
            <v>4</v>
          </cell>
          <cell r="D37">
            <v>2645</v>
          </cell>
          <cell r="E37">
            <v>1</v>
          </cell>
          <cell r="F37">
            <v>12</v>
          </cell>
          <cell r="G37">
            <v>3</v>
          </cell>
          <cell r="H37">
            <v>2</v>
          </cell>
          <cell r="I37">
            <v>6</v>
          </cell>
          <cell r="J37">
            <v>3</v>
          </cell>
          <cell r="K37">
            <v>5</v>
          </cell>
          <cell r="L37">
            <v>3</v>
          </cell>
          <cell r="M37">
            <v>0</v>
          </cell>
          <cell r="N37">
            <v>1</v>
          </cell>
          <cell r="O37">
            <v>0</v>
          </cell>
          <cell r="P37">
            <v>0</v>
          </cell>
          <cell r="Q37">
            <v>1</v>
          </cell>
          <cell r="R37">
            <v>0</v>
          </cell>
          <cell r="S37">
            <v>0</v>
          </cell>
          <cell r="T37">
            <v>0</v>
          </cell>
          <cell r="U37">
            <v>0</v>
          </cell>
          <cell r="V37">
            <v>2</v>
          </cell>
          <cell r="W37">
            <v>0</v>
          </cell>
          <cell r="X37">
            <v>0</v>
          </cell>
          <cell r="Y37">
            <v>0</v>
          </cell>
          <cell r="Z37">
            <v>0</v>
          </cell>
          <cell r="AA37">
            <v>12</v>
          </cell>
          <cell r="AB37">
            <v>0.16666666666666666</v>
          </cell>
          <cell r="AC37">
            <v>0.6</v>
          </cell>
          <cell r="AD37">
            <v>48</v>
          </cell>
        </row>
        <row r="38">
          <cell r="A38">
            <v>50</v>
          </cell>
          <cell r="B38">
            <v>2</v>
          </cell>
          <cell r="C38">
            <v>2</v>
          </cell>
          <cell r="D38">
            <v>2683</v>
          </cell>
          <cell r="E38">
            <v>1</v>
          </cell>
          <cell r="F38">
            <v>14</v>
          </cell>
          <cell r="G38">
            <v>3</v>
          </cell>
          <cell r="H38">
            <v>0</v>
          </cell>
          <cell r="I38">
            <v>3</v>
          </cell>
          <cell r="J38">
            <v>2</v>
          </cell>
          <cell r="K38">
            <v>3</v>
          </cell>
          <cell r="L38">
            <v>2</v>
          </cell>
          <cell r="M38">
            <v>1</v>
          </cell>
          <cell r="N38">
            <v>0</v>
          </cell>
          <cell r="O38">
            <v>0</v>
          </cell>
          <cell r="P38">
            <v>1</v>
          </cell>
          <cell r="Q38">
            <v>0</v>
          </cell>
          <cell r="R38">
            <v>0</v>
          </cell>
          <cell r="S38">
            <v>0</v>
          </cell>
          <cell r="T38">
            <v>0</v>
          </cell>
          <cell r="U38">
            <v>2</v>
          </cell>
          <cell r="V38">
            <v>0</v>
          </cell>
          <cell r="W38">
            <v>0</v>
          </cell>
          <cell r="X38">
            <v>0</v>
          </cell>
          <cell r="Y38">
            <v>0</v>
          </cell>
          <cell r="Z38">
            <v>1</v>
          </cell>
          <cell r="AA38">
            <v>3</v>
          </cell>
          <cell r="AB38">
            <v>0.33333333333333331</v>
          </cell>
          <cell r="AC38">
            <v>0.66666666666666663</v>
          </cell>
          <cell r="AD38">
            <v>9</v>
          </cell>
        </row>
        <row r="39">
          <cell r="A39">
            <v>35</v>
          </cell>
          <cell r="B39">
            <v>3</v>
          </cell>
          <cell r="C39">
            <v>3</v>
          </cell>
          <cell r="D39">
            <v>2014</v>
          </cell>
          <cell r="E39">
            <v>1</v>
          </cell>
          <cell r="F39">
            <v>13</v>
          </cell>
          <cell r="G39">
            <v>3</v>
          </cell>
          <cell r="H39">
            <v>0</v>
          </cell>
          <cell r="I39">
            <v>2</v>
          </cell>
          <cell r="J39">
            <v>3</v>
          </cell>
          <cell r="K39">
            <v>2</v>
          </cell>
          <cell r="L39">
            <v>2</v>
          </cell>
          <cell r="M39">
            <v>0</v>
          </cell>
          <cell r="N39">
            <v>1</v>
          </cell>
          <cell r="O39">
            <v>0</v>
          </cell>
          <cell r="P39">
            <v>1</v>
          </cell>
          <cell r="Q39">
            <v>0</v>
          </cell>
          <cell r="R39">
            <v>0</v>
          </cell>
          <cell r="S39">
            <v>0</v>
          </cell>
          <cell r="T39">
            <v>0</v>
          </cell>
          <cell r="U39">
            <v>3</v>
          </cell>
          <cell r="V39">
            <v>0</v>
          </cell>
          <cell r="W39">
            <v>0</v>
          </cell>
          <cell r="X39">
            <v>0</v>
          </cell>
          <cell r="Y39">
            <v>0</v>
          </cell>
          <cell r="Z39">
            <v>0</v>
          </cell>
          <cell r="AA39">
            <v>16</v>
          </cell>
          <cell r="AB39">
            <v>0.5</v>
          </cell>
          <cell r="AC39">
            <v>1</v>
          </cell>
          <cell r="AD39">
            <v>16</v>
          </cell>
        </row>
        <row r="40">
          <cell r="A40">
            <v>36</v>
          </cell>
          <cell r="B40">
            <v>4</v>
          </cell>
          <cell r="C40">
            <v>2</v>
          </cell>
          <cell r="D40">
            <v>3419</v>
          </cell>
          <cell r="E40">
            <v>9</v>
          </cell>
          <cell r="F40">
            <v>14</v>
          </cell>
          <cell r="G40">
            <v>3</v>
          </cell>
          <cell r="H40">
            <v>1</v>
          </cell>
          <cell r="I40">
            <v>6</v>
          </cell>
          <cell r="J40">
            <v>3</v>
          </cell>
          <cell r="K40">
            <v>1</v>
          </cell>
          <cell r="L40">
            <v>1</v>
          </cell>
          <cell r="M40">
            <v>1</v>
          </cell>
          <cell r="N40">
            <v>1</v>
          </cell>
          <cell r="O40">
            <v>1</v>
          </cell>
          <cell r="P40">
            <v>0</v>
          </cell>
          <cell r="Q40">
            <v>0</v>
          </cell>
          <cell r="R40">
            <v>0</v>
          </cell>
          <cell r="S40">
            <v>0</v>
          </cell>
          <cell r="T40">
            <v>4</v>
          </cell>
          <cell r="U40">
            <v>0</v>
          </cell>
          <cell r="V40">
            <v>0</v>
          </cell>
          <cell r="W40">
            <v>0</v>
          </cell>
          <cell r="X40">
            <v>0</v>
          </cell>
          <cell r="Y40">
            <v>0</v>
          </cell>
          <cell r="Z40">
            <v>1</v>
          </cell>
          <cell r="AA40">
            <v>2</v>
          </cell>
          <cell r="AB40">
            <v>1.5</v>
          </cell>
          <cell r="AC40">
            <v>1</v>
          </cell>
          <cell r="AD40">
            <v>8</v>
          </cell>
        </row>
        <row r="41">
          <cell r="A41">
            <v>33</v>
          </cell>
          <cell r="B41">
            <v>3</v>
          </cell>
          <cell r="C41">
            <v>4</v>
          </cell>
          <cell r="D41">
            <v>5376</v>
          </cell>
          <cell r="E41">
            <v>2</v>
          </cell>
          <cell r="F41">
            <v>19</v>
          </cell>
          <cell r="G41">
            <v>3</v>
          </cell>
          <cell r="H41">
            <v>2</v>
          </cell>
          <cell r="I41">
            <v>10</v>
          </cell>
          <cell r="J41">
            <v>3</v>
          </cell>
          <cell r="K41">
            <v>5</v>
          </cell>
          <cell r="L41">
            <v>3</v>
          </cell>
          <cell r="M41">
            <v>0</v>
          </cell>
          <cell r="N41">
            <v>1</v>
          </cell>
          <cell r="O41">
            <v>1</v>
          </cell>
          <cell r="P41">
            <v>0</v>
          </cell>
          <cell r="Q41">
            <v>0</v>
          </cell>
          <cell r="R41">
            <v>0</v>
          </cell>
          <cell r="S41">
            <v>0</v>
          </cell>
          <cell r="T41">
            <v>3</v>
          </cell>
          <cell r="U41">
            <v>0</v>
          </cell>
          <cell r="V41">
            <v>0</v>
          </cell>
          <cell r="W41">
            <v>0</v>
          </cell>
          <cell r="X41">
            <v>0</v>
          </cell>
          <cell r="Y41">
            <v>1</v>
          </cell>
          <cell r="Z41">
            <v>0</v>
          </cell>
          <cell r="AA41">
            <v>3</v>
          </cell>
          <cell r="AB41">
            <v>0.2</v>
          </cell>
          <cell r="AC41">
            <v>0.6</v>
          </cell>
          <cell r="AD41">
            <v>3</v>
          </cell>
        </row>
        <row r="42">
          <cell r="A42">
            <v>35</v>
          </cell>
          <cell r="B42">
            <v>2</v>
          </cell>
          <cell r="C42">
            <v>3</v>
          </cell>
          <cell r="D42">
            <v>1951</v>
          </cell>
          <cell r="E42">
            <v>1</v>
          </cell>
          <cell r="F42">
            <v>12</v>
          </cell>
          <cell r="G42">
            <v>3</v>
          </cell>
          <cell r="H42">
            <v>1</v>
          </cell>
          <cell r="I42">
            <v>1</v>
          </cell>
          <cell r="J42">
            <v>3</v>
          </cell>
          <cell r="K42">
            <v>1</v>
          </cell>
          <cell r="L42">
            <v>0</v>
          </cell>
          <cell r="M42">
            <v>0</v>
          </cell>
          <cell r="N42">
            <v>0</v>
          </cell>
          <cell r="O42">
            <v>0</v>
          </cell>
          <cell r="P42">
            <v>0</v>
          </cell>
          <cell r="Q42">
            <v>0</v>
          </cell>
          <cell r="R42">
            <v>1</v>
          </cell>
          <cell r="S42">
            <v>0</v>
          </cell>
          <cell r="T42">
            <v>0</v>
          </cell>
          <cell r="U42">
            <v>0</v>
          </cell>
          <cell r="V42">
            <v>0</v>
          </cell>
          <cell r="W42">
            <v>2</v>
          </cell>
          <cell r="X42">
            <v>0</v>
          </cell>
          <cell r="Y42">
            <v>0</v>
          </cell>
          <cell r="Z42">
            <v>0</v>
          </cell>
          <cell r="AA42">
            <v>12</v>
          </cell>
          <cell r="AB42">
            <v>1</v>
          </cell>
          <cell r="AC42">
            <v>0</v>
          </cell>
          <cell r="AD42">
            <v>36</v>
          </cell>
        </row>
        <row r="43">
          <cell r="A43">
            <v>27</v>
          </cell>
          <cell r="B43">
            <v>4</v>
          </cell>
          <cell r="C43">
            <v>3</v>
          </cell>
          <cell r="D43">
            <v>2341</v>
          </cell>
          <cell r="E43">
            <v>1</v>
          </cell>
          <cell r="F43">
            <v>13</v>
          </cell>
          <cell r="G43">
            <v>3</v>
          </cell>
          <cell r="H43">
            <v>1</v>
          </cell>
          <cell r="I43">
            <v>1</v>
          </cell>
          <cell r="J43">
            <v>6</v>
          </cell>
          <cell r="K43">
            <v>1</v>
          </cell>
          <cell r="L43">
            <v>0</v>
          </cell>
          <cell r="M43">
            <v>0</v>
          </cell>
          <cell r="N43">
            <v>1</v>
          </cell>
          <cell r="O43">
            <v>1</v>
          </cell>
          <cell r="P43">
            <v>0</v>
          </cell>
          <cell r="Q43">
            <v>0</v>
          </cell>
          <cell r="R43">
            <v>0</v>
          </cell>
          <cell r="S43">
            <v>0</v>
          </cell>
          <cell r="T43">
            <v>4</v>
          </cell>
          <cell r="U43">
            <v>0</v>
          </cell>
          <cell r="V43">
            <v>0</v>
          </cell>
          <cell r="W43">
            <v>0</v>
          </cell>
          <cell r="X43">
            <v>0</v>
          </cell>
          <cell r="Y43">
            <v>0</v>
          </cell>
          <cell r="Z43">
            <v>0</v>
          </cell>
          <cell r="AA43">
            <v>4</v>
          </cell>
          <cell r="AB43">
            <v>1</v>
          </cell>
          <cell r="AC43">
            <v>0</v>
          </cell>
          <cell r="AD43">
            <v>16</v>
          </cell>
        </row>
        <row r="44">
          <cell r="A44">
            <v>26</v>
          </cell>
          <cell r="B44">
            <v>3</v>
          </cell>
          <cell r="C44">
            <v>1</v>
          </cell>
          <cell r="D44">
            <v>2293</v>
          </cell>
          <cell r="E44">
            <v>1</v>
          </cell>
          <cell r="F44">
            <v>12</v>
          </cell>
          <cell r="G44">
            <v>3</v>
          </cell>
          <cell r="H44">
            <v>0</v>
          </cell>
          <cell r="I44">
            <v>1</v>
          </cell>
          <cell r="J44">
            <v>2</v>
          </cell>
          <cell r="K44">
            <v>1</v>
          </cell>
          <cell r="L44">
            <v>0</v>
          </cell>
          <cell r="M44">
            <v>0</v>
          </cell>
          <cell r="N44">
            <v>0</v>
          </cell>
          <cell r="O44">
            <v>1</v>
          </cell>
          <cell r="P44">
            <v>0</v>
          </cell>
          <cell r="Q44">
            <v>0</v>
          </cell>
          <cell r="R44">
            <v>0</v>
          </cell>
          <cell r="S44">
            <v>0</v>
          </cell>
          <cell r="T44">
            <v>3</v>
          </cell>
          <cell r="U44">
            <v>0</v>
          </cell>
          <cell r="V44">
            <v>0</v>
          </cell>
          <cell r="W44">
            <v>0</v>
          </cell>
          <cell r="X44">
            <v>0</v>
          </cell>
          <cell r="Y44">
            <v>0</v>
          </cell>
          <cell r="Z44">
            <v>0</v>
          </cell>
          <cell r="AA44">
            <v>3</v>
          </cell>
          <cell r="AB44">
            <v>1</v>
          </cell>
          <cell r="AC44">
            <v>0</v>
          </cell>
          <cell r="AD44">
            <v>9</v>
          </cell>
        </row>
        <row r="45">
          <cell r="A45">
            <v>27</v>
          </cell>
          <cell r="B45">
            <v>3</v>
          </cell>
          <cell r="C45">
            <v>3</v>
          </cell>
          <cell r="D45">
            <v>8726</v>
          </cell>
          <cell r="E45">
            <v>1</v>
          </cell>
          <cell r="F45">
            <v>15</v>
          </cell>
          <cell r="G45">
            <v>3</v>
          </cell>
          <cell r="H45">
            <v>0</v>
          </cell>
          <cell r="I45">
            <v>9</v>
          </cell>
          <cell r="J45">
            <v>0</v>
          </cell>
          <cell r="K45">
            <v>9</v>
          </cell>
          <cell r="L45">
            <v>8</v>
          </cell>
          <cell r="M45">
            <v>0</v>
          </cell>
          <cell r="N45">
            <v>0</v>
          </cell>
          <cell r="O45">
            <v>1</v>
          </cell>
          <cell r="P45">
            <v>0</v>
          </cell>
          <cell r="Q45">
            <v>0</v>
          </cell>
          <cell r="R45">
            <v>0</v>
          </cell>
          <cell r="S45">
            <v>0</v>
          </cell>
          <cell r="T45">
            <v>3</v>
          </cell>
          <cell r="U45">
            <v>0</v>
          </cell>
          <cell r="V45">
            <v>0</v>
          </cell>
          <cell r="W45">
            <v>0</v>
          </cell>
          <cell r="X45">
            <v>0</v>
          </cell>
          <cell r="Y45">
            <v>0</v>
          </cell>
          <cell r="Z45">
            <v>0</v>
          </cell>
          <cell r="AA45">
            <v>12</v>
          </cell>
          <cell r="AB45">
            <v>0.1111111111111111</v>
          </cell>
          <cell r="AC45">
            <v>0.88888888888888884</v>
          </cell>
          <cell r="AD45">
            <v>48</v>
          </cell>
        </row>
        <row r="46">
          <cell r="A46">
            <v>30</v>
          </cell>
          <cell r="B46">
            <v>2</v>
          </cell>
          <cell r="C46">
            <v>3</v>
          </cell>
          <cell r="D46">
            <v>4011</v>
          </cell>
          <cell r="E46">
            <v>1</v>
          </cell>
          <cell r="F46">
            <v>23</v>
          </cell>
          <cell r="G46">
            <v>4</v>
          </cell>
          <cell r="H46">
            <v>0</v>
          </cell>
          <cell r="I46">
            <v>12</v>
          </cell>
          <cell r="J46">
            <v>2</v>
          </cell>
          <cell r="K46">
            <v>12</v>
          </cell>
          <cell r="L46">
            <v>8</v>
          </cell>
          <cell r="M46">
            <v>0</v>
          </cell>
          <cell r="N46">
            <v>1</v>
          </cell>
          <cell r="O46">
            <v>0</v>
          </cell>
          <cell r="P46">
            <v>0</v>
          </cell>
          <cell r="Q46">
            <v>1</v>
          </cell>
          <cell r="R46">
            <v>0</v>
          </cell>
          <cell r="S46">
            <v>0</v>
          </cell>
          <cell r="T46">
            <v>0</v>
          </cell>
          <cell r="U46">
            <v>0</v>
          </cell>
          <cell r="V46">
            <v>2</v>
          </cell>
          <cell r="W46">
            <v>0</v>
          </cell>
          <cell r="X46">
            <v>0</v>
          </cell>
          <cell r="Y46">
            <v>0</v>
          </cell>
          <cell r="Z46">
            <v>0</v>
          </cell>
          <cell r="AA46">
            <v>12</v>
          </cell>
          <cell r="AB46">
            <v>8.3333333333333329E-2</v>
          </cell>
          <cell r="AC46">
            <v>0.66666666666666663</v>
          </cell>
          <cell r="AD46">
            <v>48</v>
          </cell>
        </row>
        <row r="47">
          <cell r="A47">
            <v>41</v>
          </cell>
          <cell r="B47">
            <v>3</v>
          </cell>
          <cell r="C47">
            <v>3</v>
          </cell>
          <cell r="D47">
            <v>19545</v>
          </cell>
          <cell r="E47">
            <v>1</v>
          </cell>
          <cell r="F47">
            <v>12</v>
          </cell>
          <cell r="G47">
            <v>3</v>
          </cell>
          <cell r="H47">
            <v>0</v>
          </cell>
          <cell r="I47">
            <v>23</v>
          </cell>
          <cell r="J47">
            <v>0</v>
          </cell>
          <cell r="K47">
            <v>22</v>
          </cell>
          <cell r="L47">
            <v>15</v>
          </cell>
          <cell r="M47">
            <v>0</v>
          </cell>
          <cell r="N47">
            <v>1</v>
          </cell>
          <cell r="O47">
            <v>0</v>
          </cell>
          <cell r="P47">
            <v>0</v>
          </cell>
          <cell r="Q47">
            <v>0</v>
          </cell>
          <cell r="R47">
            <v>0</v>
          </cell>
          <cell r="S47">
            <v>1</v>
          </cell>
          <cell r="T47">
            <v>0</v>
          </cell>
          <cell r="U47">
            <v>0</v>
          </cell>
          <cell r="V47">
            <v>0</v>
          </cell>
          <cell r="W47">
            <v>0</v>
          </cell>
          <cell r="X47">
            <v>3</v>
          </cell>
          <cell r="Y47">
            <v>0</v>
          </cell>
          <cell r="Z47">
            <v>0</v>
          </cell>
          <cell r="AA47">
            <v>6</v>
          </cell>
          <cell r="AB47">
            <v>4.3478260869565216E-2</v>
          </cell>
          <cell r="AC47">
            <v>0.68181818181818177</v>
          </cell>
          <cell r="AD47">
            <v>24</v>
          </cell>
        </row>
        <row r="48">
          <cell r="A48">
            <v>34</v>
          </cell>
          <cell r="B48">
            <v>4</v>
          </cell>
          <cell r="C48">
            <v>3</v>
          </cell>
          <cell r="D48">
            <v>4568</v>
          </cell>
          <cell r="E48">
            <v>0</v>
          </cell>
          <cell r="F48">
            <v>20</v>
          </cell>
          <cell r="G48">
            <v>4</v>
          </cell>
          <cell r="H48">
            <v>0</v>
          </cell>
          <cell r="I48">
            <v>10</v>
          </cell>
          <cell r="J48">
            <v>2</v>
          </cell>
          <cell r="K48">
            <v>9</v>
          </cell>
          <cell r="L48">
            <v>5</v>
          </cell>
          <cell r="M48">
            <v>0</v>
          </cell>
          <cell r="N48">
            <v>0</v>
          </cell>
          <cell r="O48">
            <v>0</v>
          </cell>
          <cell r="P48">
            <v>1</v>
          </cell>
          <cell r="Q48">
            <v>0</v>
          </cell>
          <cell r="R48">
            <v>0</v>
          </cell>
          <cell r="S48">
            <v>0</v>
          </cell>
          <cell r="T48">
            <v>0</v>
          </cell>
          <cell r="U48">
            <v>4</v>
          </cell>
          <cell r="V48">
            <v>0</v>
          </cell>
          <cell r="W48">
            <v>0</v>
          </cell>
          <cell r="X48">
            <v>0</v>
          </cell>
          <cell r="Y48">
            <v>0</v>
          </cell>
          <cell r="Z48">
            <v>0</v>
          </cell>
          <cell r="AA48">
            <v>6</v>
          </cell>
          <cell r="AB48">
            <v>0</v>
          </cell>
          <cell r="AC48">
            <v>0.55555555555555558</v>
          </cell>
          <cell r="AD48">
            <v>18</v>
          </cell>
        </row>
        <row r="49">
          <cell r="A49">
            <v>37</v>
          </cell>
          <cell r="B49">
            <v>2</v>
          </cell>
          <cell r="C49">
            <v>3</v>
          </cell>
          <cell r="D49">
            <v>3022</v>
          </cell>
          <cell r="E49">
            <v>4</v>
          </cell>
          <cell r="F49">
            <v>21</v>
          </cell>
          <cell r="G49">
            <v>4</v>
          </cell>
          <cell r="H49">
            <v>0</v>
          </cell>
          <cell r="I49">
            <v>8</v>
          </cell>
          <cell r="J49">
            <v>1</v>
          </cell>
          <cell r="K49">
            <v>1</v>
          </cell>
          <cell r="L49">
            <v>0</v>
          </cell>
          <cell r="M49">
            <v>0</v>
          </cell>
          <cell r="N49">
            <v>0</v>
          </cell>
          <cell r="O49">
            <v>1</v>
          </cell>
          <cell r="P49">
            <v>0</v>
          </cell>
          <cell r="Q49">
            <v>0</v>
          </cell>
          <cell r="R49">
            <v>0</v>
          </cell>
          <cell r="S49">
            <v>0</v>
          </cell>
          <cell r="T49">
            <v>2</v>
          </cell>
          <cell r="U49">
            <v>0</v>
          </cell>
          <cell r="V49">
            <v>0</v>
          </cell>
          <cell r="W49">
            <v>0</v>
          </cell>
          <cell r="X49">
            <v>0</v>
          </cell>
          <cell r="Y49">
            <v>0</v>
          </cell>
          <cell r="Z49">
            <v>0</v>
          </cell>
          <cell r="AA49">
            <v>4</v>
          </cell>
          <cell r="AB49">
            <v>0.5</v>
          </cell>
          <cell r="AC49">
            <v>0</v>
          </cell>
          <cell r="AD49">
            <v>4</v>
          </cell>
        </row>
        <row r="50">
          <cell r="A50">
            <v>46</v>
          </cell>
          <cell r="B50">
            <v>4</v>
          </cell>
          <cell r="C50">
            <v>3</v>
          </cell>
          <cell r="D50">
            <v>5772</v>
          </cell>
          <cell r="E50">
            <v>4</v>
          </cell>
          <cell r="F50">
            <v>21</v>
          </cell>
          <cell r="G50">
            <v>4</v>
          </cell>
          <cell r="H50">
            <v>0</v>
          </cell>
          <cell r="I50">
            <v>14</v>
          </cell>
          <cell r="J50">
            <v>4</v>
          </cell>
          <cell r="K50">
            <v>9</v>
          </cell>
          <cell r="L50">
            <v>6</v>
          </cell>
          <cell r="M50">
            <v>1</v>
          </cell>
          <cell r="N50">
            <v>0</v>
          </cell>
          <cell r="O50">
            <v>0</v>
          </cell>
          <cell r="P50">
            <v>1</v>
          </cell>
          <cell r="Q50">
            <v>0</v>
          </cell>
          <cell r="R50">
            <v>0</v>
          </cell>
          <cell r="S50">
            <v>0</v>
          </cell>
          <cell r="T50">
            <v>0</v>
          </cell>
          <cell r="U50">
            <v>4</v>
          </cell>
          <cell r="V50">
            <v>0</v>
          </cell>
          <cell r="W50">
            <v>0</v>
          </cell>
          <cell r="X50">
            <v>0</v>
          </cell>
          <cell r="Y50">
            <v>0</v>
          </cell>
          <cell r="Z50">
            <v>0</v>
          </cell>
          <cell r="AA50">
            <v>4</v>
          </cell>
          <cell r="AB50">
            <v>0.2857142857142857</v>
          </cell>
          <cell r="AC50">
            <v>0.66666666666666663</v>
          </cell>
          <cell r="AD50">
            <v>12</v>
          </cell>
        </row>
        <row r="51">
          <cell r="A51">
            <v>35</v>
          </cell>
          <cell r="B51">
            <v>1</v>
          </cell>
          <cell r="C51">
            <v>4</v>
          </cell>
          <cell r="D51">
            <v>2269</v>
          </cell>
          <cell r="E51">
            <v>1</v>
          </cell>
          <cell r="F51">
            <v>19</v>
          </cell>
          <cell r="G51">
            <v>3</v>
          </cell>
          <cell r="H51">
            <v>0</v>
          </cell>
          <cell r="I51">
            <v>1</v>
          </cell>
          <cell r="J51">
            <v>2</v>
          </cell>
          <cell r="K51">
            <v>1</v>
          </cell>
          <cell r="L51">
            <v>0</v>
          </cell>
          <cell r="M51">
            <v>0</v>
          </cell>
          <cell r="N51">
            <v>0</v>
          </cell>
          <cell r="O51">
            <v>1</v>
          </cell>
          <cell r="P51">
            <v>0</v>
          </cell>
          <cell r="Q51">
            <v>0</v>
          </cell>
          <cell r="R51">
            <v>0</v>
          </cell>
          <cell r="S51">
            <v>0</v>
          </cell>
          <cell r="T51">
            <v>1</v>
          </cell>
          <cell r="U51">
            <v>0</v>
          </cell>
          <cell r="V51">
            <v>0</v>
          </cell>
          <cell r="W51">
            <v>0</v>
          </cell>
          <cell r="X51">
            <v>0</v>
          </cell>
          <cell r="Y51">
            <v>0</v>
          </cell>
          <cell r="Z51">
            <v>0</v>
          </cell>
          <cell r="AA51">
            <v>16</v>
          </cell>
          <cell r="AB51">
            <v>1</v>
          </cell>
          <cell r="AC51">
            <v>0</v>
          </cell>
          <cell r="AD51">
            <v>64</v>
          </cell>
        </row>
        <row r="52">
          <cell r="A52">
            <v>48</v>
          </cell>
          <cell r="B52">
            <v>2</v>
          </cell>
          <cell r="C52">
            <v>2</v>
          </cell>
          <cell r="D52">
            <v>5381</v>
          </cell>
          <cell r="E52">
            <v>9</v>
          </cell>
          <cell r="F52">
            <v>13</v>
          </cell>
          <cell r="G52">
            <v>3</v>
          </cell>
          <cell r="H52">
            <v>0</v>
          </cell>
          <cell r="I52">
            <v>23</v>
          </cell>
          <cell r="J52">
            <v>2</v>
          </cell>
          <cell r="K52">
            <v>1</v>
          </cell>
          <cell r="L52">
            <v>0</v>
          </cell>
          <cell r="M52">
            <v>1</v>
          </cell>
          <cell r="N52">
            <v>0</v>
          </cell>
          <cell r="O52">
            <v>1</v>
          </cell>
          <cell r="P52">
            <v>0</v>
          </cell>
          <cell r="Q52">
            <v>0</v>
          </cell>
          <cell r="R52">
            <v>0</v>
          </cell>
          <cell r="S52">
            <v>0</v>
          </cell>
          <cell r="T52">
            <v>2</v>
          </cell>
          <cell r="U52">
            <v>0</v>
          </cell>
          <cell r="V52">
            <v>0</v>
          </cell>
          <cell r="W52">
            <v>0</v>
          </cell>
          <cell r="X52">
            <v>0</v>
          </cell>
          <cell r="Y52">
            <v>0</v>
          </cell>
          <cell r="Z52">
            <v>0</v>
          </cell>
          <cell r="AA52">
            <v>3</v>
          </cell>
          <cell r="AB52">
            <v>0.39130434782608697</v>
          </cell>
          <cell r="AC52">
            <v>0</v>
          </cell>
          <cell r="AD52">
            <v>12</v>
          </cell>
        </row>
        <row r="53">
          <cell r="A53">
            <v>28</v>
          </cell>
          <cell r="B53">
            <v>4</v>
          </cell>
          <cell r="C53">
            <v>3</v>
          </cell>
          <cell r="D53">
            <v>3441</v>
          </cell>
          <cell r="E53">
            <v>1</v>
          </cell>
          <cell r="F53">
            <v>13</v>
          </cell>
          <cell r="G53">
            <v>3</v>
          </cell>
          <cell r="H53">
            <v>0</v>
          </cell>
          <cell r="I53">
            <v>2</v>
          </cell>
          <cell r="J53">
            <v>3</v>
          </cell>
          <cell r="K53">
            <v>2</v>
          </cell>
          <cell r="L53">
            <v>2</v>
          </cell>
          <cell r="M53">
            <v>1</v>
          </cell>
          <cell r="N53">
            <v>0</v>
          </cell>
          <cell r="O53">
            <v>0</v>
          </cell>
          <cell r="P53">
            <v>0</v>
          </cell>
          <cell r="Q53">
            <v>0</v>
          </cell>
          <cell r="R53">
            <v>0</v>
          </cell>
          <cell r="S53">
            <v>1</v>
          </cell>
          <cell r="T53">
            <v>0</v>
          </cell>
          <cell r="U53">
            <v>0</v>
          </cell>
          <cell r="V53">
            <v>0</v>
          </cell>
          <cell r="W53">
            <v>0</v>
          </cell>
          <cell r="X53">
            <v>4</v>
          </cell>
          <cell r="Y53">
            <v>0</v>
          </cell>
          <cell r="Z53">
            <v>0</v>
          </cell>
          <cell r="AA53">
            <v>9</v>
          </cell>
          <cell r="AB53">
            <v>0.5</v>
          </cell>
          <cell r="AC53">
            <v>1</v>
          </cell>
          <cell r="AD53">
            <v>27</v>
          </cell>
        </row>
        <row r="54">
          <cell r="A54">
            <v>44</v>
          </cell>
          <cell r="B54">
            <v>5</v>
          </cell>
          <cell r="C54">
            <v>3</v>
          </cell>
          <cell r="D54">
            <v>5454</v>
          </cell>
          <cell r="E54">
            <v>5</v>
          </cell>
          <cell r="F54">
            <v>21</v>
          </cell>
          <cell r="G54">
            <v>4</v>
          </cell>
          <cell r="H54">
            <v>1</v>
          </cell>
          <cell r="I54">
            <v>9</v>
          </cell>
          <cell r="J54">
            <v>2</v>
          </cell>
          <cell r="K54">
            <v>4</v>
          </cell>
          <cell r="L54">
            <v>3</v>
          </cell>
          <cell r="M54">
            <v>1</v>
          </cell>
          <cell r="N54">
            <v>1</v>
          </cell>
          <cell r="O54">
            <v>0</v>
          </cell>
          <cell r="P54">
            <v>1</v>
          </cell>
          <cell r="Q54">
            <v>0</v>
          </cell>
          <cell r="R54">
            <v>0</v>
          </cell>
          <cell r="S54">
            <v>0</v>
          </cell>
          <cell r="T54">
            <v>0</v>
          </cell>
          <cell r="U54">
            <v>5</v>
          </cell>
          <cell r="V54">
            <v>0</v>
          </cell>
          <cell r="W54">
            <v>0</v>
          </cell>
          <cell r="X54">
            <v>0</v>
          </cell>
          <cell r="Y54">
            <v>0</v>
          </cell>
          <cell r="Z54">
            <v>0</v>
          </cell>
          <cell r="AA54">
            <v>2</v>
          </cell>
          <cell r="AB54">
            <v>0.55555555555555558</v>
          </cell>
          <cell r="AC54">
            <v>0.75</v>
          </cell>
          <cell r="AD54">
            <v>6</v>
          </cell>
        </row>
        <row r="55">
          <cell r="A55">
            <v>35</v>
          </cell>
          <cell r="B55">
            <v>2</v>
          </cell>
          <cell r="C55">
            <v>2</v>
          </cell>
          <cell r="D55">
            <v>9884</v>
          </cell>
          <cell r="E55">
            <v>2</v>
          </cell>
          <cell r="F55">
            <v>13</v>
          </cell>
          <cell r="G55">
            <v>3</v>
          </cell>
          <cell r="H55">
            <v>1</v>
          </cell>
          <cell r="I55">
            <v>10</v>
          </cell>
          <cell r="J55">
            <v>3</v>
          </cell>
          <cell r="K55">
            <v>4</v>
          </cell>
          <cell r="L55">
            <v>0</v>
          </cell>
          <cell r="M55">
            <v>1</v>
          </cell>
          <cell r="N55">
            <v>0</v>
          </cell>
          <cell r="O55">
            <v>0</v>
          </cell>
          <cell r="P55">
            <v>0</v>
          </cell>
          <cell r="Q55">
            <v>1</v>
          </cell>
          <cell r="R55">
            <v>0</v>
          </cell>
          <cell r="S55">
            <v>0</v>
          </cell>
          <cell r="T55">
            <v>0</v>
          </cell>
          <cell r="U55">
            <v>0</v>
          </cell>
          <cell r="V55">
            <v>2</v>
          </cell>
          <cell r="W55">
            <v>0</v>
          </cell>
          <cell r="X55">
            <v>0</v>
          </cell>
          <cell r="Y55">
            <v>0</v>
          </cell>
          <cell r="Z55">
            <v>1</v>
          </cell>
          <cell r="AA55">
            <v>3</v>
          </cell>
          <cell r="AB55">
            <v>0.2</v>
          </cell>
          <cell r="AC55">
            <v>0</v>
          </cell>
          <cell r="AD55">
            <v>9</v>
          </cell>
        </row>
        <row r="56">
          <cell r="A56">
            <v>26</v>
          </cell>
          <cell r="B56">
            <v>3</v>
          </cell>
          <cell r="C56">
            <v>2</v>
          </cell>
          <cell r="D56">
            <v>4157</v>
          </cell>
          <cell r="E56">
            <v>7</v>
          </cell>
          <cell r="F56">
            <v>19</v>
          </cell>
          <cell r="G56">
            <v>3</v>
          </cell>
          <cell r="H56">
            <v>1</v>
          </cell>
          <cell r="I56">
            <v>5</v>
          </cell>
          <cell r="J56">
            <v>2</v>
          </cell>
          <cell r="K56">
            <v>2</v>
          </cell>
          <cell r="L56">
            <v>2</v>
          </cell>
          <cell r="M56">
            <v>1</v>
          </cell>
          <cell r="N56">
            <v>1</v>
          </cell>
          <cell r="O56">
            <v>0</v>
          </cell>
          <cell r="P56">
            <v>1</v>
          </cell>
          <cell r="Q56">
            <v>0</v>
          </cell>
          <cell r="R56">
            <v>0</v>
          </cell>
          <cell r="S56">
            <v>0</v>
          </cell>
          <cell r="T56">
            <v>0</v>
          </cell>
          <cell r="U56">
            <v>3</v>
          </cell>
          <cell r="V56">
            <v>0</v>
          </cell>
          <cell r="W56">
            <v>0</v>
          </cell>
          <cell r="X56">
            <v>0</v>
          </cell>
          <cell r="Y56">
            <v>0</v>
          </cell>
          <cell r="Z56">
            <v>1</v>
          </cell>
          <cell r="AA56">
            <v>12</v>
          </cell>
          <cell r="AB56">
            <v>1.4</v>
          </cell>
          <cell r="AC56">
            <v>1</v>
          </cell>
          <cell r="AD56">
            <v>36</v>
          </cell>
        </row>
        <row r="57">
          <cell r="A57">
            <v>33</v>
          </cell>
          <cell r="B57">
            <v>2</v>
          </cell>
          <cell r="C57">
            <v>3</v>
          </cell>
          <cell r="D57">
            <v>13458</v>
          </cell>
          <cell r="E57">
            <v>1</v>
          </cell>
          <cell r="F57">
            <v>12</v>
          </cell>
          <cell r="G57">
            <v>3</v>
          </cell>
          <cell r="H57">
            <v>0</v>
          </cell>
          <cell r="I57">
            <v>15</v>
          </cell>
          <cell r="J57">
            <v>1</v>
          </cell>
          <cell r="K57">
            <v>15</v>
          </cell>
          <cell r="L57">
            <v>14</v>
          </cell>
          <cell r="M57">
            <v>1</v>
          </cell>
          <cell r="N57">
            <v>1</v>
          </cell>
          <cell r="O57">
            <v>1</v>
          </cell>
          <cell r="P57">
            <v>0</v>
          </cell>
          <cell r="Q57">
            <v>0</v>
          </cell>
          <cell r="R57">
            <v>0</v>
          </cell>
          <cell r="S57">
            <v>0</v>
          </cell>
          <cell r="T57">
            <v>2</v>
          </cell>
          <cell r="U57">
            <v>0</v>
          </cell>
          <cell r="V57">
            <v>0</v>
          </cell>
          <cell r="W57">
            <v>0</v>
          </cell>
          <cell r="X57">
            <v>0</v>
          </cell>
          <cell r="Y57">
            <v>0</v>
          </cell>
          <cell r="Z57">
            <v>0</v>
          </cell>
          <cell r="AA57">
            <v>4</v>
          </cell>
          <cell r="AB57">
            <v>6.6666666666666666E-2</v>
          </cell>
          <cell r="AC57">
            <v>0.93333333333333335</v>
          </cell>
          <cell r="AD57">
            <v>12</v>
          </cell>
        </row>
        <row r="58">
          <cell r="A58">
            <v>35</v>
          </cell>
          <cell r="B58">
            <v>5</v>
          </cell>
          <cell r="C58">
            <v>3</v>
          </cell>
          <cell r="D58">
            <v>9069</v>
          </cell>
          <cell r="E58">
            <v>1</v>
          </cell>
          <cell r="F58">
            <v>22</v>
          </cell>
          <cell r="G58">
            <v>4</v>
          </cell>
          <cell r="H58">
            <v>1</v>
          </cell>
          <cell r="I58">
            <v>9</v>
          </cell>
          <cell r="J58">
            <v>3</v>
          </cell>
          <cell r="K58">
            <v>9</v>
          </cell>
          <cell r="L58">
            <v>8</v>
          </cell>
          <cell r="M58">
            <v>0</v>
          </cell>
          <cell r="N58">
            <v>0</v>
          </cell>
          <cell r="O58">
            <v>1</v>
          </cell>
          <cell r="P58">
            <v>0</v>
          </cell>
          <cell r="Q58">
            <v>0</v>
          </cell>
          <cell r="R58">
            <v>0</v>
          </cell>
          <cell r="S58">
            <v>0</v>
          </cell>
          <cell r="T58">
            <v>5</v>
          </cell>
          <cell r="U58">
            <v>0</v>
          </cell>
          <cell r="V58">
            <v>0</v>
          </cell>
          <cell r="W58">
            <v>0</v>
          </cell>
          <cell r="X58">
            <v>0</v>
          </cell>
          <cell r="Y58">
            <v>1</v>
          </cell>
          <cell r="Z58">
            <v>0</v>
          </cell>
          <cell r="AA58">
            <v>2</v>
          </cell>
          <cell r="AB58">
            <v>0.1111111111111111</v>
          </cell>
          <cell r="AC58">
            <v>0.88888888888888884</v>
          </cell>
          <cell r="AD58">
            <v>8</v>
          </cell>
        </row>
        <row r="59">
          <cell r="A59">
            <v>35</v>
          </cell>
          <cell r="B59">
            <v>4</v>
          </cell>
          <cell r="C59">
            <v>3</v>
          </cell>
          <cell r="D59">
            <v>4014</v>
          </cell>
          <cell r="E59">
            <v>3</v>
          </cell>
          <cell r="F59">
            <v>15</v>
          </cell>
          <cell r="G59">
            <v>3</v>
          </cell>
          <cell r="H59">
            <v>1</v>
          </cell>
          <cell r="I59">
            <v>4</v>
          </cell>
          <cell r="J59">
            <v>3</v>
          </cell>
          <cell r="K59">
            <v>2</v>
          </cell>
          <cell r="L59">
            <v>2</v>
          </cell>
          <cell r="M59">
            <v>1</v>
          </cell>
          <cell r="N59">
            <v>1</v>
          </cell>
          <cell r="O59">
            <v>0</v>
          </cell>
          <cell r="P59">
            <v>0</v>
          </cell>
          <cell r="Q59">
            <v>1</v>
          </cell>
          <cell r="R59">
            <v>0</v>
          </cell>
          <cell r="S59">
            <v>0</v>
          </cell>
          <cell r="T59">
            <v>0</v>
          </cell>
          <cell r="U59">
            <v>0</v>
          </cell>
          <cell r="V59">
            <v>4</v>
          </cell>
          <cell r="W59">
            <v>0</v>
          </cell>
          <cell r="X59">
            <v>0</v>
          </cell>
          <cell r="Y59">
            <v>0</v>
          </cell>
          <cell r="Z59">
            <v>1</v>
          </cell>
          <cell r="AA59">
            <v>3</v>
          </cell>
          <cell r="AB59">
            <v>0.75</v>
          </cell>
          <cell r="AC59">
            <v>1</v>
          </cell>
          <cell r="AD59">
            <v>9</v>
          </cell>
        </row>
        <row r="60">
          <cell r="A60">
            <v>31</v>
          </cell>
          <cell r="B60">
            <v>4</v>
          </cell>
          <cell r="C60">
            <v>3</v>
          </cell>
          <cell r="D60">
            <v>5915</v>
          </cell>
          <cell r="E60">
            <v>3</v>
          </cell>
          <cell r="F60">
            <v>22</v>
          </cell>
          <cell r="G60">
            <v>4</v>
          </cell>
          <cell r="H60">
            <v>1</v>
          </cell>
          <cell r="I60">
            <v>10</v>
          </cell>
          <cell r="J60">
            <v>3</v>
          </cell>
          <cell r="K60">
            <v>7</v>
          </cell>
          <cell r="L60">
            <v>7</v>
          </cell>
          <cell r="M60">
            <v>0</v>
          </cell>
          <cell r="N60">
            <v>0</v>
          </cell>
          <cell r="O60">
            <v>1</v>
          </cell>
          <cell r="P60">
            <v>0</v>
          </cell>
          <cell r="Q60">
            <v>0</v>
          </cell>
          <cell r="R60">
            <v>0</v>
          </cell>
          <cell r="S60">
            <v>0</v>
          </cell>
          <cell r="T60">
            <v>4</v>
          </cell>
          <cell r="U60">
            <v>0</v>
          </cell>
          <cell r="V60">
            <v>0</v>
          </cell>
          <cell r="W60">
            <v>0</v>
          </cell>
          <cell r="X60">
            <v>0</v>
          </cell>
          <cell r="Y60">
            <v>0</v>
          </cell>
          <cell r="Z60">
            <v>0</v>
          </cell>
          <cell r="AA60">
            <v>16</v>
          </cell>
          <cell r="AB60">
            <v>0.3</v>
          </cell>
          <cell r="AC60">
            <v>1</v>
          </cell>
          <cell r="AD60">
            <v>64</v>
          </cell>
        </row>
        <row r="61">
          <cell r="A61">
            <v>37</v>
          </cell>
          <cell r="B61">
            <v>4</v>
          </cell>
          <cell r="C61">
            <v>2</v>
          </cell>
          <cell r="D61">
            <v>5993</v>
          </cell>
          <cell r="E61">
            <v>1</v>
          </cell>
          <cell r="F61">
            <v>18</v>
          </cell>
          <cell r="G61">
            <v>3</v>
          </cell>
          <cell r="H61">
            <v>1</v>
          </cell>
          <cell r="I61">
            <v>7</v>
          </cell>
          <cell r="J61">
            <v>2</v>
          </cell>
          <cell r="K61">
            <v>7</v>
          </cell>
          <cell r="L61">
            <v>5</v>
          </cell>
          <cell r="M61">
            <v>0</v>
          </cell>
          <cell r="N61">
            <v>0</v>
          </cell>
          <cell r="O61">
            <v>1</v>
          </cell>
          <cell r="P61">
            <v>0</v>
          </cell>
          <cell r="Q61">
            <v>0</v>
          </cell>
          <cell r="R61">
            <v>0</v>
          </cell>
          <cell r="S61">
            <v>0</v>
          </cell>
          <cell r="T61">
            <v>4</v>
          </cell>
          <cell r="U61">
            <v>0</v>
          </cell>
          <cell r="V61">
            <v>0</v>
          </cell>
          <cell r="W61">
            <v>0</v>
          </cell>
          <cell r="X61">
            <v>0</v>
          </cell>
          <cell r="Y61">
            <v>0</v>
          </cell>
          <cell r="Z61">
            <v>0</v>
          </cell>
          <cell r="AA61">
            <v>3</v>
          </cell>
          <cell r="AB61">
            <v>0.14285714285714285</v>
          </cell>
          <cell r="AC61">
            <v>0.7142857142857143</v>
          </cell>
          <cell r="AD61">
            <v>9</v>
          </cell>
        </row>
        <row r="62">
          <cell r="A62">
            <v>32</v>
          </cell>
          <cell r="B62">
            <v>3</v>
          </cell>
          <cell r="C62">
            <v>3</v>
          </cell>
          <cell r="D62">
            <v>6162</v>
          </cell>
          <cell r="E62">
            <v>1</v>
          </cell>
          <cell r="F62">
            <v>22</v>
          </cell>
          <cell r="G62">
            <v>4</v>
          </cell>
          <cell r="H62">
            <v>1</v>
          </cell>
          <cell r="I62">
            <v>9</v>
          </cell>
          <cell r="J62">
            <v>3</v>
          </cell>
          <cell r="K62">
            <v>9</v>
          </cell>
          <cell r="L62">
            <v>8</v>
          </cell>
          <cell r="M62">
            <v>1</v>
          </cell>
          <cell r="N62">
            <v>0</v>
          </cell>
          <cell r="O62">
            <v>0</v>
          </cell>
          <cell r="P62">
            <v>0</v>
          </cell>
          <cell r="Q62">
            <v>1</v>
          </cell>
          <cell r="R62">
            <v>0</v>
          </cell>
          <cell r="S62">
            <v>0</v>
          </cell>
          <cell r="T62">
            <v>0</v>
          </cell>
          <cell r="U62">
            <v>0</v>
          </cell>
          <cell r="V62">
            <v>3</v>
          </cell>
          <cell r="W62">
            <v>0</v>
          </cell>
          <cell r="X62">
            <v>0</v>
          </cell>
          <cell r="Y62">
            <v>0</v>
          </cell>
          <cell r="Z62">
            <v>1</v>
          </cell>
          <cell r="AA62">
            <v>4</v>
          </cell>
          <cell r="AB62">
            <v>0.1111111111111111</v>
          </cell>
          <cell r="AC62">
            <v>0.88888888888888884</v>
          </cell>
          <cell r="AD62">
            <v>8</v>
          </cell>
        </row>
        <row r="63">
          <cell r="A63">
            <v>38</v>
          </cell>
          <cell r="B63">
            <v>5</v>
          </cell>
          <cell r="C63">
            <v>3</v>
          </cell>
          <cell r="D63">
            <v>2406</v>
          </cell>
          <cell r="E63">
            <v>1</v>
          </cell>
          <cell r="F63">
            <v>11</v>
          </cell>
          <cell r="G63">
            <v>3</v>
          </cell>
          <cell r="H63">
            <v>0</v>
          </cell>
          <cell r="I63">
            <v>10</v>
          </cell>
          <cell r="J63">
            <v>2</v>
          </cell>
          <cell r="K63">
            <v>10</v>
          </cell>
          <cell r="L63">
            <v>3</v>
          </cell>
          <cell r="M63">
            <v>0</v>
          </cell>
          <cell r="N63">
            <v>1</v>
          </cell>
          <cell r="O63">
            <v>1</v>
          </cell>
          <cell r="P63">
            <v>0</v>
          </cell>
          <cell r="Q63">
            <v>0</v>
          </cell>
          <cell r="R63">
            <v>0</v>
          </cell>
          <cell r="S63">
            <v>0</v>
          </cell>
          <cell r="T63">
            <v>5</v>
          </cell>
          <cell r="U63">
            <v>0</v>
          </cell>
          <cell r="V63">
            <v>0</v>
          </cell>
          <cell r="W63">
            <v>0</v>
          </cell>
          <cell r="X63">
            <v>0</v>
          </cell>
          <cell r="Y63">
            <v>0</v>
          </cell>
          <cell r="Z63">
            <v>0</v>
          </cell>
          <cell r="AA63">
            <v>16</v>
          </cell>
          <cell r="AB63">
            <v>0.1</v>
          </cell>
          <cell r="AC63">
            <v>0.3</v>
          </cell>
          <cell r="AD63">
            <v>64</v>
          </cell>
        </row>
        <row r="64">
          <cell r="A64">
            <v>50</v>
          </cell>
          <cell r="B64">
            <v>2</v>
          </cell>
          <cell r="C64">
            <v>2</v>
          </cell>
          <cell r="D64">
            <v>18740</v>
          </cell>
          <cell r="E64">
            <v>5</v>
          </cell>
          <cell r="F64">
            <v>12</v>
          </cell>
          <cell r="G64">
            <v>3</v>
          </cell>
          <cell r="H64">
            <v>1</v>
          </cell>
          <cell r="I64">
            <v>29</v>
          </cell>
          <cell r="J64">
            <v>2</v>
          </cell>
          <cell r="K64">
            <v>27</v>
          </cell>
          <cell r="L64">
            <v>3</v>
          </cell>
          <cell r="M64">
            <v>1</v>
          </cell>
          <cell r="N64">
            <v>1</v>
          </cell>
          <cell r="O64">
            <v>0</v>
          </cell>
          <cell r="P64">
            <v>0</v>
          </cell>
          <cell r="Q64">
            <v>1</v>
          </cell>
          <cell r="R64">
            <v>0</v>
          </cell>
          <cell r="S64">
            <v>0</v>
          </cell>
          <cell r="T64">
            <v>0</v>
          </cell>
          <cell r="U64">
            <v>0</v>
          </cell>
          <cell r="V64">
            <v>2</v>
          </cell>
          <cell r="W64">
            <v>0</v>
          </cell>
          <cell r="X64">
            <v>0</v>
          </cell>
          <cell r="Y64">
            <v>0</v>
          </cell>
          <cell r="Z64">
            <v>0</v>
          </cell>
          <cell r="AA64">
            <v>6</v>
          </cell>
          <cell r="AB64">
            <v>0.17241379310344829</v>
          </cell>
          <cell r="AC64">
            <v>0.1111111111111111</v>
          </cell>
          <cell r="AD64">
            <v>24</v>
          </cell>
        </row>
        <row r="65">
          <cell r="A65">
            <v>59</v>
          </cell>
          <cell r="B65">
            <v>3</v>
          </cell>
          <cell r="C65">
            <v>3</v>
          </cell>
          <cell r="D65">
            <v>7637</v>
          </cell>
          <cell r="E65">
            <v>7</v>
          </cell>
          <cell r="F65">
            <v>11</v>
          </cell>
          <cell r="G65">
            <v>3</v>
          </cell>
          <cell r="H65">
            <v>0</v>
          </cell>
          <cell r="I65">
            <v>28</v>
          </cell>
          <cell r="J65">
            <v>3</v>
          </cell>
          <cell r="K65">
            <v>21</v>
          </cell>
          <cell r="L65">
            <v>16</v>
          </cell>
          <cell r="M65">
            <v>0</v>
          </cell>
          <cell r="N65">
            <v>1</v>
          </cell>
          <cell r="O65">
            <v>1</v>
          </cell>
          <cell r="P65">
            <v>0</v>
          </cell>
          <cell r="Q65">
            <v>0</v>
          </cell>
          <cell r="R65">
            <v>0</v>
          </cell>
          <cell r="S65">
            <v>0</v>
          </cell>
          <cell r="T65">
            <v>3</v>
          </cell>
          <cell r="U65">
            <v>0</v>
          </cell>
          <cell r="V65">
            <v>0</v>
          </cell>
          <cell r="W65">
            <v>0</v>
          </cell>
          <cell r="X65">
            <v>0</v>
          </cell>
          <cell r="Y65">
            <v>0</v>
          </cell>
          <cell r="Z65">
            <v>0</v>
          </cell>
          <cell r="AA65">
            <v>1</v>
          </cell>
          <cell r="AB65">
            <v>0.25</v>
          </cell>
          <cell r="AC65">
            <v>0.76190476190476186</v>
          </cell>
          <cell r="AD65">
            <v>4</v>
          </cell>
        </row>
        <row r="66">
          <cell r="A66">
            <v>36</v>
          </cell>
          <cell r="B66">
            <v>3</v>
          </cell>
          <cell r="C66">
            <v>3</v>
          </cell>
          <cell r="D66">
            <v>10096</v>
          </cell>
          <cell r="E66">
            <v>1</v>
          </cell>
          <cell r="F66">
            <v>13</v>
          </cell>
          <cell r="G66">
            <v>3</v>
          </cell>
          <cell r="H66">
            <v>3</v>
          </cell>
          <cell r="I66">
            <v>17</v>
          </cell>
          <cell r="J66">
            <v>2</v>
          </cell>
          <cell r="K66">
            <v>17</v>
          </cell>
          <cell r="L66">
            <v>14</v>
          </cell>
          <cell r="M66">
            <v>0</v>
          </cell>
          <cell r="N66">
            <v>1</v>
          </cell>
          <cell r="O66">
            <v>0</v>
          </cell>
          <cell r="P66">
            <v>0</v>
          </cell>
          <cell r="Q66">
            <v>0</v>
          </cell>
          <cell r="R66">
            <v>0</v>
          </cell>
          <cell r="S66">
            <v>1</v>
          </cell>
          <cell r="T66">
            <v>0</v>
          </cell>
          <cell r="U66">
            <v>0</v>
          </cell>
          <cell r="V66">
            <v>0</v>
          </cell>
          <cell r="W66">
            <v>0</v>
          </cell>
          <cell r="X66">
            <v>3</v>
          </cell>
          <cell r="Y66">
            <v>0</v>
          </cell>
          <cell r="Z66">
            <v>0</v>
          </cell>
          <cell r="AA66">
            <v>9</v>
          </cell>
          <cell r="AB66">
            <v>5.8823529411764705E-2</v>
          </cell>
          <cell r="AC66">
            <v>0.82352941176470584</v>
          </cell>
          <cell r="AD66">
            <v>18</v>
          </cell>
        </row>
        <row r="67">
          <cell r="A67">
            <v>55</v>
          </cell>
          <cell r="B67">
            <v>3</v>
          </cell>
          <cell r="C67">
            <v>3</v>
          </cell>
          <cell r="D67">
            <v>14756</v>
          </cell>
          <cell r="E67">
            <v>2</v>
          </cell>
          <cell r="F67">
            <v>14</v>
          </cell>
          <cell r="G67">
            <v>3</v>
          </cell>
          <cell r="H67">
            <v>3</v>
          </cell>
          <cell r="I67">
            <v>21</v>
          </cell>
          <cell r="J67">
            <v>2</v>
          </cell>
          <cell r="K67">
            <v>5</v>
          </cell>
          <cell r="L67">
            <v>0</v>
          </cell>
          <cell r="M67">
            <v>1</v>
          </cell>
          <cell r="N67">
            <v>1</v>
          </cell>
          <cell r="O67">
            <v>0</v>
          </cell>
          <cell r="P67">
            <v>0</v>
          </cell>
          <cell r="Q67">
            <v>1</v>
          </cell>
          <cell r="R67">
            <v>0</v>
          </cell>
          <cell r="S67">
            <v>0</v>
          </cell>
          <cell r="T67">
            <v>0</v>
          </cell>
          <cell r="U67">
            <v>0</v>
          </cell>
          <cell r="V67">
            <v>3</v>
          </cell>
          <cell r="W67">
            <v>0</v>
          </cell>
          <cell r="X67">
            <v>0</v>
          </cell>
          <cell r="Y67">
            <v>0</v>
          </cell>
          <cell r="Z67">
            <v>0</v>
          </cell>
          <cell r="AA67">
            <v>12</v>
          </cell>
          <cell r="AB67">
            <v>9.5238095238095233E-2</v>
          </cell>
          <cell r="AC67">
            <v>0</v>
          </cell>
          <cell r="AD67">
            <v>36</v>
          </cell>
        </row>
        <row r="68">
          <cell r="A68">
            <v>36</v>
          </cell>
          <cell r="B68">
            <v>3</v>
          </cell>
          <cell r="C68">
            <v>2</v>
          </cell>
          <cell r="D68">
            <v>6499</v>
          </cell>
          <cell r="E68">
            <v>1</v>
          </cell>
          <cell r="F68">
            <v>13</v>
          </cell>
          <cell r="G68">
            <v>3</v>
          </cell>
          <cell r="H68">
            <v>0</v>
          </cell>
          <cell r="I68">
            <v>6</v>
          </cell>
          <cell r="J68">
            <v>3</v>
          </cell>
          <cell r="K68">
            <v>6</v>
          </cell>
          <cell r="L68">
            <v>5</v>
          </cell>
          <cell r="M68">
            <v>0</v>
          </cell>
          <cell r="N68">
            <v>0</v>
          </cell>
          <cell r="O68">
            <v>1</v>
          </cell>
          <cell r="P68">
            <v>0</v>
          </cell>
          <cell r="Q68">
            <v>0</v>
          </cell>
          <cell r="R68">
            <v>0</v>
          </cell>
          <cell r="S68">
            <v>0</v>
          </cell>
          <cell r="T68">
            <v>3</v>
          </cell>
          <cell r="U68">
            <v>0</v>
          </cell>
          <cell r="V68">
            <v>0</v>
          </cell>
          <cell r="W68">
            <v>0</v>
          </cell>
          <cell r="X68">
            <v>0</v>
          </cell>
          <cell r="Y68">
            <v>0</v>
          </cell>
          <cell r="Z68">
            <v>0</v>
          </cell>
          <cell r="AA68">
            <v>4</v>
          </cell>
          <cell r="AB68">
            <v>0.16666666666666666</v>
          </cell>
          <cell r="AC68">
            <v>0.83333333333333337</v>
          </cell>
          <cell r="AD68">
            <v>12</v>
          </cell>
        </row>
        <row r="69">
          <cell r="A69">
            <v>45</v>
          </cell>
          <cell r="B69">
            <v>3</v>
          </cell>
          <cell r="C69">
            <v>3</v>
          </cell>
          <cell r="D69">
            <v>9724</v>
          </cell>
          <cell r="E69">
            <v>2</v>
          </cell>
          <cell r="F69">
            <v>17</v>
          </cell>
          <cell r="G69">
            <v>3</v>
          </cell>
          <cell r="H69">
            <v>1</v>
          </cell>
          <cell r="I69">
            <v>25</v>
          </cell>
          <cell r="J69">
            <v>2</v>
          </cell>
          <cell r="K69">
            <v>1</v>
          </cell>
          <cell r="L69">
            <v>0</v>
          </cell>
          <cell r="M69">
            <v>0</v>
          </cell>
          <cell r="N69">
            <v>0</v>
          </cell>
          <cell r="O69">
            <v>1</v>
          </cell>
          <cell r="P69">
            <v>0</v>
          </cell>
          <cell r="Q69">
            <v>0</v>
          </cell>
          <cell r="R69">
            <v>0</v>
          </cell>
          <cell r="S69">
            <v>0</v>
          </cell>
          <cell r="T69">
            <v>3</v>
          </cell>
          <cell r="U69">
            <v>0</v>
          </cell>
          <cell r="V69">
            <v>0</v>
          </cell>
          <cell r="W69">
            <v>0</v>
          </cell>
          <cell r="X69">
            <v>0</v>
          </cell>
          <cell r="Y69">
            <v>0</v>
          </cell>
          <cell r="Z69">
            <v>0</v>
          </cell>
          <cell r="AA69">
            <v>2</v>
          </cell>
          <cell r="AB69">
            <v>0.08</v>
          </cell>
          <cell r="AC69">
            <v>0</v>
          </cell>
          <cell r="AD69">
            <v>6</v>
          </cell>
        </row>
        <row r="70">
          <cell r="A70">
            <v>35</v>
          </cell>
          <cell r="B70">
            <v>3</v>
          </cell>
          <cell r="C70">
            <v>3</v>
          </cell>
          <cell r="D70">
            <v>2194</v>
          </cell>
          <cell r="E70">
            <v>4</v>
          </cell>
          <cell r="F70">
            <v>13</v>
          </cell>
          <cell r="G70">
            <v>3</v>
          </cell>
          <cell r="H70">
            <v>1</v>
          </cell>
          <cell r="I70">
            <v>5</v>
          </cell>
          <cell r="J70">
            <v>2</v>
          </cell>
          <cell r="K70">
            <v>3</v>
          </cell>
          <cell r="L70">
            <v>2</v>
          </cell>
          <cell r="M70">
            <v>0</v>
          </cell>
          <cell r="N70">
            <v>0</v>
          </cell>
          <cell r="O70">
            <v>0</v>
          </cell>
          <cell r="P70">
            <v>0</v>
          </cell>
          <cell r="Q70">
            <v>1</v>
          </cell>
          <cell r="R70">
            <v>0</v>
          </cell>
          <cell r="S70">
            <v>0</v>
          </cell>
          <cell r="T70">
            <v>0</v>
          </cell>
          <cell r="U70">
            <v>0</v>
          </cell>
          <cell r="V70">
            <v>3</v>
          </cell>
          <cell r="W70">
            <v>0</v>
          </cell>
          <cell r="X70">
            <v>0</v>
          </cell>
          <cell r="Y70">
            <v>1</v>
          </cell>
          <cell r="Z70">
            <v>0</v>
          </cell>
          <cell r="AA70">
            <v>2</v>
          </cell>
          <cell r="AB70">
            <v>0.8</v>
          </cell>
          <cell r="AC70">
            <v>0.66666666666666663</v>
          </cell>
          <cell r="AD70">
            <v>8</v>
          </cell>
        </row>
        <row r="71">
          <cell r="A71">
            <v>36</v>
          </cell>
          <cell r="B71">
            <v>3</v>
          </cell>
          <cell r="C71">
            <v>2</v>
          </cell>
          <cell r="D71">
            <v>3388</v>
          </cell>
          <cell r="E71">
            <v>0</v>
          </cell>
          <cell r="F71">
            <v>17</v>
          </cell>
          <cell r="G71">
            <v>3</v>
          </cell>
          <cell r="H71">
            <v>1</v>
          </cell>
          <cell r="I71">
            <v>2</v>
          </cell>
          <cell r="J71">
            <v>0</v>
          </cell>
          <cell r="K71">
            <v>1</v>
          </cell>
          <cell r="L71">
            <v>0</v>
          </cell>
          <cell r="M71">
            <v>1</v>
          </cell>
          <cell r="N71">
            <v>0</v>
          </cell>
          <cell r="O71">
            <v>0</v>
          </cell>
          <cell r="P71">
            <v>0</v>
          </cell>
          <cell r="Q71">
            <v>1</v>
          </cell>
          <cell r="R71">
            <v>0</v>
          </cell>
          <cell r="S71">
            <v>0</v>
          </cell>
          <cell r="T71">
            <v>0</v>
          </cell>
          <cell r="U71">
            <v>0</v>
          </cell>
          <cell r="V71">
            <v>3</v>
          </cell>
          <cell r="W71">
            <v>0</v>
          </cell>
          <cell r="X71">
            <v>0</v>
          </cell>
          <cell r="Y71">
            <v>0</v>
          </cell>
          <cell r="Z71">
            <v>1</v>
          </cell>
          <cell r="AA71">
            <v>12</v>
          </cell>
          <cell r="AB71">
            <v>0</v>
          </cell>
          <cell r="AC71">
            <v>0</v>
          </cell>
          <cell r="AD71">
            <v>12</v>
          </cell>
        </row>
        <row r="72">
          <cell r="A72">
            <v>59</v>
          </cell>
          <cell r="B72">
            <v>1</v>
          </cell>
          <cell r="C72">
            <v>2</v>
          </cell>
          <cell r="D72">
            <v>5473</v>
          </cell>
          <cell r="E72">
            <v>7</v>
          </cell>
          <cell r="F72">
            <v>11</v>
          </cell>
          <cell r="G72">
            <v>3</v>
          </cell>
          <cell r="H72">
            <v>0</v>
          </cell>
          <cell r="I72">
            <v>20</v>
          </cell>
          <cell r="J72">
            <v>2</v>
          </cell>
          <cell r="K72">
            <v>4</v>
          </cell>
          <cell r="L72">
            <v>3</v>
          </cell>
          <cell r="M72">
            <v>0</v>
          </cell>
          <cell r="N72">
            <v>1</v>
          </cell>
          <cell r="O72">
            <v>1</v>
          </cell>
          <cell r="P72">
            <v>0</v>
          </cell>
          <cell r="Q72">
            <v>0</v>
          </cell>
          <cell r="R72">
            <v>0</v>
          </cell>
          <cell r="S72">
            <v>0</v>
          </cell>
          <cell r="T72">
            <v>1</v>
          </cell>
          <cell r="U72">
            <v>0</v>
          </cell>
          <cell r="V72">
            <v>0</v>
          </cell>
          <cell r="W72">
            <v>0</v>
          </cell>
          <cell r="X72">
            <v>0</v>
          </cell>
          <cell r="Y72">
            <v>0</v>
          </cell>
          <cell r="Z72">
            <v>0</v>
          </cell>
          <cell r="AA72">
            <v>3</v>
          </cell>
          <cell r="AB72">
            <v>0.35</v>
          </cell>
          <cell r="AC72">
            <v>0.75</v>
          </cell>
          <cell r="AD72">
            <v>12</v>
          </cell>
        </row>
        <row r="73">
          <cell r="A73">
            <v>29</v>
          </cell>
          <cell r="B73">
            <v>3</v>
          </cell>
          <cell r="C73">
            <v>3</v>
          </cell>
          <cell r="D73">
            <v>2703</v>
          </cell>
          <cell r="E73">
            <v>0</v>
          </cell>
          <cell r="F73">
            <v>23</v>
          </cell>
          <cell r="G73">
            <v>4</v>
          </cell>
          <cell r="H73">
            <v>1</v>
          </cell>
          <cell r="I73">
            <v>6</v>
          </cell>
          <cell r="J73">
            <v>3</v>
          </cell>
          <cell r="K73">
            <v>5</v>
          </cell>
          <cell r="L73">
            <v>4</v>
          </cell>
          <cell r="M73">
            <v>0</v>
          </cell>
          <cell r="N73">
            <v>0</v>
          </cell>
          <cell r="O73">
            <v>1</v>
          </cell>
          <cell r="P73">
            <v>0</v>
          </cell>
          <cell r="Q73">
            <v>0</v>
          </cell>
          <cell r="R73">
            <v>0</v>
          </cell>
          <cell r="S73">
            <v>0</v>
          </cell>
          <cell r="T73">
            <v>3</v>
          </cell>
          <cell r="U73">
            <v>0</v>
          </cell>
          <cell r="V73">
            <v>0</v>
          </cell>
          <cell r="W73">
            <v>0</v>
          </cell>
          <cell r="X73">
            <v>0</v>
          </cell>
          <cell r="Y73">
            <v>0</v>
          </cell>
          <cell r="Z73">
            <v>0</v>
          </cell>
          <cell r="AA73">
            <v>6</v>
          </cell>
          <cell r="AB73">
            <v>0</v>
          </cell>
          <cell r="AC73">
            <v>0.8</v>
          </cell>
          <cell r="AD73">
            <v>24</v>
          </cell>
        </row>
        <row r="74">
          <cell r="A74">
            <v>31</v>
          </cell>
          <cell r="B74">
            <v>4</v>
          </cell>
          <cell r="C74">
            <v>3</v>
          </cell>
          <cell r="D74">
            <v>2501</v>
          </cell>
          <cell r="E74">
            <v>1</v>
          </cell>
          <cell r="F74">
            <v>17</v>
          </cell>
          <cell r="G74">
            <v>3</v>
          </cell>
          <cell r="H74">
            <v>0</v>
          </cell>
          <cell r="I74">
            <v>1</v>
          </cell>
          <cell r="J74">
            <v>4</v>
          </cell>
          <cell r="K74">
            <v>1</v>
          </cell>
          <cell r="L74">
            <v>1</v>
          </cell>
          <cell r="M74">
            <v>0</v>
          </cell>
          <cell r="N74">
            <v>0</v>
          </cell>
          <cell r="O74">
            <v>0</v>
          </cell>
          <cell r="P74">
            <v>0</v>
          </cell>
          <cell r="Q74">
            <v>1</v>
          </cell>
          <cell r="R74">
            <v>0</v>
          </cell>
          <cell r="S74">
            <v>0</v>
          </cell>
          <cell r="T74">
            <v>0</v>
          </cell>
          <cell r="U74">
            <v>0</v>
          </cell>
          <cell r="V74">
            <v>4</v>
          </cell>
          <cell r="W74">
            <v>0</v>
          </cell>
          <cell r="X74">
            <v>0</v>
          </cell>
          <cell r="Y74">
            <v>0</v>
          </cell>
          <cell r="Z74">
            <v>0</v>
          </cell>
          <cell r="AA74">
            <v>6</v>
          </cell>
          <cell r="AB74">
            <v>1</v>
          </cell>
          <cell r="AC74">
            <v>1</v>
          </cell>
          <cell r="AD74">
            <v>12</v>
          </cell>
        </row>
        <row r="75">
          <cell r="A75">
            <v>32</v>
          </cell>
          <cell r="B75">
            <v>3</v>
          </cell>
          <cell r="C75">
            <v>3</v>
          </cell>
          <cell r="D75">
            <v>6220</v>
          </cell>
          <cell r="E75">
            <v>1</v>
          </cell>
          <cell r="F75">
            <v>17</v>
          </cell>
          <cell r="G75">
            <v>3</v>
          </cell>
          <cell r="H75">
            <v>2</v>
          </cell>
          <cell r="I75">
            <v>10</v>
          </cell>
          <cell r="J75">
            <v>3</v>
          </cell>
          <cell r="K75">
            <v>10</v>
          </cell>
          <cell r="L75">
            <v>4</v>
          </cell>
          <cell r="M75">
            <v>0</v>
          </cell>
          <cell r="N75">
            <v>0</v>
          </cell>
          <cell r="O75">
            <v>1</v>
          </cell>
          <cell r="P75">
            <v>0</v>
          </cell>
          <cell r="Q75">
            <v>0</v>
          </cell>
          <cell r="R75">
            <v>0</v>
          </cell>
          <cell r="S75">
            <v>0</v>
          </cell>
          <cell r="T75">
            <v>3</v>
          </cell>
          <cell r="U75">
            <v>0</v>
          </cell>
          <cell r="V75">
            <v>0</v>
          </cell>
          <cell r="W75">
            <v>0</v>
          </cell>
          <cell r="X75">
            <v>0</v>
          </cell>
          <cell r="Y75">
            <v>0</v>
          </cell>
          <cell r="Z75">
            <v>0</v>
          </cell>
          <cell r="AA75">
            <v>4</v>
          </cell>
          <cell r="AB75">
            <v>0.1</v>
          </cell>
          <cell r="AC75">
            <v>0.4</v>
          </cell>
          <cell r="AD75">
            <v>8</v>
          </cell>
        </row>
        <row r="76">
          <cell r="A76">
            <v>36</v>
          </cell>
          <cell r="B76">
            <v>3</v>
          </cell>
          <cell r="C76">
            <v>4</v>
          </cell>
          <cell r="D76">
            <v>3038</v>
          </cell>
          <cell r="E76">
            <v>3</v>
          </cell>
          <cell r="F76">
            <v>12</v>
          </cell>
          <cell r="G76">
            <v>3</v>
          </cell>
          <cell r="H76">
            <v>0</v>
          </cell>
          <cell r="I76">
            <v>5</v>
          </cell>
          <cell r="J76">
            <v>3</v>
          </cell>
          <cell r="K76">
            <v>1</v>
          </cell>
          <cell r="L76">
            <v>0</v>
          </cell>
          <cell r="M76">
            <v>0</v>
          </cell>
          <cell r="N76">
            <v>1</v>
          </cell>
          <cell r="O76">
            <v>1</v>
          </cell>
          <cell r="P76">
            <v>0</v>
          </cell>
          <cell r="Q76">
            <v>0</v>
          </cell>
          <cell r="R76">
            <v>0</v>
          </cell>
          <cell r="S76">
            <v>0</v>
          </cell>
          <cell r="T76">
            <v>3</v>
          </cell>
          <cell r="U76">
            <v>0</v>
          </cell>
          <cell r="V76">
            <v>0</v>
          </cell>
          <cell r="W76">
            <v>0</v>
          </cell>
          <cell r="X76">
            <v>0</v>
          </cell>
          <cell r="Y76">
            <v>0</v>
          </cell>
          <cell r="Z76">
            <v>0</v>
          </cell>
          <cell r="AA76">
            <v>8</v>
          </cell>
          <cell r="AB76">
            <v>0.6</v>
          </cell>
          <cell r="AC76">
            <v>0</v>
          </cell>
          <cell r="AD76">
            <v>16</v>
          </cell>
        </row>
        <row r="77">
          <cell r="A77">
            <v>31</v>
          </cell>
          <cell r="B77">
            <v>4</v>
          </cell>
          <cell r="C77">
            <v>3</v>
          </cell>
          <cell r="D77">
            <v>4424</v>
          </cell>
          <cell r="E77">
            <v>1</v>
          </cell>
          <cell r="F77">
            <v>23</v>
          </cell>
          <cell r="G77">
            <v>4</v>
          </cell>
          <cell r="H77">
            <v>0</v>
          </cell>
          <cell r="I77">
            <v>11</v>
          </cell>
          <cell r="J77">
            <v>2</v>
          </cell>
          <cell r="K77">
            <v>11</v>
          </cell>
          <cell r="L77">
            <v>7</v>
          </cell>
          <cell r="M77">
            <v>0</v>
          </cell>
          <cell r="N77">
            <v>1</v>
          </cell>
          <cell r="O77">
            <v>1</v>
          </cell>
          <cell r="P77">
            <v>0</v>
          </cell>
          <cell r="Q77">
            <v>0</v>
          </cell>
          <cell r="R77">
            <v>0</v>
          </cell>
          <cell r="S77">
            <v>0</v>
          </cell>
          <cell r="T77">
            <v>4</v>
          </cell>
          <cell r="U77">
            <v>0</v>
          </cell>
          <cell r="V77">
            <v>0</v>
          </cell>
          <cell r="W77">
            <v>0</v>
          </cell>
          <cell r="X77">
            <v>0</v>
          </cell>
          <cell r="Y77">
            <v>0</v>
          </cell>
          <cell r="Z77">
            <v>0</v>
          </cell>
          <cell r="AA77">
            <v>12</v>
          </cell>
          <cell r="AB77">
            <v>9.0909090909090912E-2</v>
          </cell>
          <cell r="AC77">
            <v>0.63636363636363635</v>
          </cell>
          <cell r="AD77">
            <v>48</v>
          </cell>
        </row>
        <row r="78">
          <cell r="A78">
            <v>35</v>
          </cell>
          <cell r="B78">
            <v>4</v>
          </cell>
          <cell r="C78">
            <v>2</v>
          </cell>
          <cell r="D78">
            <v>4312</v>
          </cell>
          <cell r="E78">
            <v>0</v>
          </cell>
          <cell r="F78">
            <v>14</v>
          </cell>
          <cell r="G78">
            <v>3</v>
          </cell>
          <cell r="H78">
            <v>0</v>
          </cell>
          <cell r="I78">
            <v>16</v>
          </cell>
          <cell r="J78">
            <v>2</v>
          </cell>
          <cell r="K78">
            <v>15</v>
          </cell>
          <cell r="L78">
            <v>13</v>
          </cell>
          <cell r="M78">
            <v>0</v>
          </cell>
          <cell r="N78">
            <v>0</v>
          </cell>
          <cell r="O78">
            <v>0</v>
          </cell>
          <cell r="P78">
            <v>1</v>
          </cell>
          <cell r="Q78">
            <v>0</v>
          </cell>
          <cell r="R78">
            <v>0</v>
          </cell>
          <cell r="S78">
            <v>0</v>
          </cell>
          <cell r="T78">
            <v>0</v>
          </cell>
          <cell r="U78">
            <v>4</v>
          </cell>
          <cell r="V78">
            <v>0</v>
          </cell>
          <cell r="W78">
            <v>0</v>
          </cell>
          <cell r="X78">
            <v>0</v>
          </cell>
          <cell r="Y78">
            <v>0</v>
          </cell>
          <cell r="Z78">
            <v>0</v>
          </cell>
          <cell r="AA78">
            <v>3</v>
          </cell>
          <cell r="AB78">
            <v>0</v>
          </cell>
          <cell r="AC78">
            <v>0.8666666666666667</v>
          </cell>
          <cell r="AD78">
            <v>6</v>
          </cell>
        </row>
        <row r="79">
          <cell r="A79">
            <v>45</v>
          </cell>
          <cell r="B79">
            <v>4</v>
          </cell>
          <cell r="C79">
            <v>3</v>
          </cell>
          <cell r="D79">
            <v>13245</v>
          </cell>
          <cell r="E79">
            <v>4</v>
          </cell>
          <cell r="F79">
            <v>14</v>
          </cell>
          <cell r="G79">
            <v>3</v>
          </cell>
          <cell r="H79">
            <v>0</v>
          </cell>
          <cell r="I79">
            <v>17</v>
          </cell>
          <cell r="J79">
            <v>3</v>
          </cell>
          <cell r="K79">
            <v>0</v>
          </cell>
          <cell r="L79">
            <v>0</v>
          </cell>
          <cell r="M79">
            <v>1</v>
          </cell>
          <cell r="N79">
            <v>0</v>
          </cell>
          <cell r="O79">
            <v>0</v>
          </cell>
          <cell r="P79">
            <v>0</v>
          </cell>
          <cell r="Q79">
            <v>0</v>
          </cell>
          <cell r="R79">
            <v>1</v>
          </cell>
          <cell r="S79">
            <v>0</v>
          </cell>
          <cell r="T79">
            <v>0</v>
          </cell>
          <cell r="U79">
            <v>0</v>
          </cell>
          <cell r="V79">
            <v>0</v>
          </cell>
          <cell r="W79">
            <v>4</v>
          </cell>
          <cell r="X79">
            <v>0</v>
          </cell>
          <cell r="Y79">
            <v>0</v>
          </cell>
          <cell r="Z79">
            <v>1</v>
          </cell>
          <cell r="AA79">
            <v>4</v>
          </cell>
          <cell r="AB79">
            <v>0.23529411764705882</v>
          </cell>
          <cell r="AC79">
            <v>0</v>
          </cell>
          <cell r="AD79">
            <v>8</v>
          </cell>
        </row>
        <row r="80">
          <cell r="A80">
            <v>37</v>
          </cell>
          <cell r="B80">
            <v>4</v>
          </cell>
          <cell r="C80">
            <v>3</v>
          </cell>
          <cell r="D80">
            <v>13664</v>
          </cell>
          <cell r="E80">
            <v>4</v>
          </cell>
          <cell r="F80">
            <v>13</v>
          </cell>
          <cell r="G80">
            <v>3</v>
          </cell>
          <cell r="H80">
            <v>0</v>
          </cell>
          <cell r="I80">
            <v>16</v>
          </cell>
          <cell r="J80">
            <v>3</v>
          </cell>
          <cell r="K80">
            <v>5</v>
          </cell>
          <cell r="L80">
            <v>2</v>
          </cell>
          <cell r="M80">
            <v>0</v>
          </cell>
          <cell r="N80">
            <v>0</v>
          </cell>
          <cell r="O80">
            <v>0</v>
          </cell>
          <cell r="P80">
            <v>0</v>
          </cell>
          <cell r="Q80">
            <v>1</v>
          </cell>
          <cell r="R80">
            <v>0</v>
          </cell>
          <cell r="S80">
            <v>0</v>
          </cell>
          <cell r="T80">
            <v>0</v>
          </cell>
          <cell r="U80">
            <v>0</v>
          </cell>
          <cell r="V80">
            <v>4</v>
          </cell>
          <cell r="W80">
            <v>0</v>
          </cell>
          <cell r="X80">
            <v>0</v>
          </cell>
          <cell r="Y80">
            <v>0</v>
          </cell>
          <cell r="Z80">
            <v>0</v>
          </cell>
          <cell r="AA80">
            <v>3</v>
          </cell>
          <cell r="AB80">
            <v>0.25</v>
          </cell>
          <cell r="AC80">
            <v>0.4</v>
          </cell>
          <cell r="AD80">
            <v>3</v>
          </cell>
        </row>
        <row r="81">
          <cell r="A81">
            <v>46</v>
          </cell>
          <cell r="B81">
            <v>2</v>
          </cell>
          <cell r="C81">
            <v>3</v>
          </cell>
          <cell r="D81">
            <v>5021</v>
          </cell>
          <cell r="E81">
            <v>8</v>
          </cell>
          <cell r="F81">
            <v>22</v>
          </cell>
          <cell r="G81">
            <v>4</v>
          </cell>
          <cell r="H81">
            <v>1</v>
          </cell>
          <cell r="I81">
            <v>16</v>
          </cell>
          <cell r="J81">
            <v>2</v>
          </cell>
          <cell r="K81">
            <v>4</v>
          </cell>
          <cell r="L81">
            <v>2</v>
          </cell>
          <cell r="M81">
            <v>1</v>
          </cell>
          <cell r="N81">
            <v>0</v>
          </cell>
          <cell r="O81">
            <v>0</v>
          </cell>
          <cell r="P81">
            <v>0</v>
          </cell>
          <cell r="Q81">
            <v>1</v>
          </cell>
          <cell r="R81">
            <v>0</v>
          </cell>
          <cell r="S81">
            <v>0</v>
          </cell>
          <cell r="T81">
            <v>0</v>
          </cell>
          <cell r="U81">
            <v>0</v>
          </cell>
          <cell r="V81">
            <v>2</v>
          </cell>
          <cell r="W81">
            <v>0</v>
          </cell>
          <cell r="X81">
            <v>0</v>
          </cell>
          <cell r="Y81">
            <v>0</v>
          </cell>
          <cell r="Z81">
            <v>0</v>
          </cell>
          <cell r="AA81">
            <v>4</v>
          </cell>
          <cell r="AB81">
            <v>0.5</v>
          </cell>
          <cell r="AC81">
            <v>0.5</v>
          </cell>
          <cell r="AD81">
            <v>16</v>
          </cell>
        </row>
        <row r="82">
          <cell r="A82">
            <v>30</v>
          </cell>
          <cell r="B82">
            <v>1</v>
          </cell>
          <cell r="C82">
            <v>2</v>
          </cell>
          <cell r="D82">
            <v>5126</v>
          </cell>
          <cell r="E82">
            <v>1</v>
          </cell>
          <cell r="F82">
            <v>12</v>
          </cell>
          <cell r="G82">
            <v>3</v>
          </cell>
          <cell r="H82">
            <v>2</v>
          </cell>
          <cell r="I82">
            <v>10</v>
          </cell>
          <cell r="J82">
            <v>1</v>
          </cell>
          <cell r="K82">
            <v>10</v>
          </cell>
          <cell r="L82">
            <v>8</v>
          </cell>
          <cell r="M82">
            <v>1</v>
          </cell>
          <cell r="N82">
            <v>0</v>
          </cell>
          <cell r="O82">
            <v>1</v>
          </cell>
          <cell r="P82">
            <v>0</v>
          </cell>
          <cell r="Q82">
            <v>0</v>
          </cell>
          <cell r="R82">
            <v>0</v>
          </cell>
          <cell r="S82">
            <v>0</v>
          </cell>
          <cell r="T82">
            <v>1</v>
          </cell>
          <cell r="U82">
            <v>0</v>
          </cell>
          <cell r="V82">
            <v>0</v>
          </cell>
          <cell r="W82">
            <v>0</v>
          </cell>
          <cell r="X82">
            <v>0</v>
          </cell>
          <cell r="Y82">
            <v>0</v>
          </cell>
          <cell r="Z82">
            <v>1</v>
          </cell>
          <cell r="AA82">
            <v>16</v>
          </cell>
          <cell r="AB82">
            <v>0.1</v>
          </cell>
          <cell r="AC82">
            <v>0.8</v>
          </cell>
          <cell r="AD82">
            <v>48</v>
          </cell>
        </row>
        <row r="83">
          <cell r="A83">
            <v>35</v>
          </cell>
          <cell r="B83">
            <v>3</v>
          </cell>
          <cell r="C83">
            <v>2</v>
          </cell>
          <cell r="D83">
            <v>2859</v>
          </cell>
          <cell r="E83">
            <v>1</v>
          </cell>
          <cell r="F83">
            <v>18</v>
          </cell>
          <cell r="G83">
            <v>3</v>
          </cell>
          <cell r="H83">
            <v>0</v>
          </cell>
          <cell r="I83">
            <v>6</v>
          </cell>
          <cell r="J83">
            <v>3</v>
          </cell>
          <cell r="K83">
            <v>6</v>
          </cell>
          <cell r="L83">
            <v>4</v>
          </cell>
          <cell r="M83">
            <v>0</v>
          </cell>
          <cell r="N83">
            <v>0</v>
          </cell>
          <cell r="O83">
            <v>0</v>
          </cell>
          <cell r="P83">
            <v>0</v>
          </cell>
          <cell r="Q83">
            <v>1</v>
          </cell>
          <cell r="R83">
            <v>0</v>
          </cell>
          <cell r="S83">
            <v>0</v>
          </cell>
          <cell r="T83">
            <v>0</v>
          </cell>
          <cell r="U83">
            <v>0</v>
          </cell>
          <cell r="V83">
            <v>3</v>
          </cell>
          <cell r="W83">
            <v>0</v>
          </cell>
          <cell r="X83">
            <v>0</v>
          </cell>
          <cell r="Y83">
            <v>0</v>
          </cell>
          <cell r="Z83">
            <v>0</v>
          </cell>
          <cell r="AA83">
            <v>6</v>
          </cell>
          <cell r="AB83">
            <v>0.16666666666666666</v>
          </cell>
          <cell r="AC83">
            <v>0.66666666666666663</v>
          </cell>
          <cell r="AD83">
            <v>6</v>
          </cell>
        </row>
        <row r="84">
          <cell r="A84">
            <v>55</v>
          </cell>
          <cell r="B84">
            <v>2</v>
          </cell>
          <cell r="C84">
            <v>3</v>
          </cell>
          <cell r="D84">
            <v>10239</v>
          </cell>
          <cell r="E84">
            <v>3</v>
          </cell>
          <cell r="F84">
            <v>14</v>
          </cell>
          <cell r="G84">
            <v>3</v>
          </cell>
          <cell r="H84">
            <v>1</v>
          </cell>
          <cell r="I84">
            <v>24</v>
          </cell>
          <cell r="J84">
            <v>4</v>
          </cell>
          <cell r="K84">
            <v>1</v>
          </cell>
          <cell r="L84">
            <v>0</v>
          </cell>
          <cell r="M84">
            <v>0</v>
          </cell>
          <cell r="N84">
            <v>0</v>
          </cell>
          <cell r="O84">
            <v>1</v>
          </cell>
          <cell r="P84">
            <v>0</v>
          </cell>
          <cell r="Q84">
            <v>0</v>
          </cell>
          <cell r="R84">
            <v>0</v>
          </cell>
          <cell r="S84">
            <v>0</v>
          </cell>
          <cell r="T84">
            <v>2</v>
          </cell>
          <cell r="U84">
            <v>0</v>
          </cell>
          <cell r="V84">
            <v>0</v>
          </cell>
          <cell r="W84">
            <v>0</v>
          </cell>
          <cell r="X84">
            <v>0</v>
          </cell>
          <cell r="Y84">
            <v>0</v>
          </cell>
          <cell r="Z84">
            <v>0</v>
          </cell>
          <cell r="AA84">
            <v>4</v>
          </cell>
          <cell r="AB84">
            <v>0.125</v>
          </cell>
          <cell r="AC84">
            <v>0</v>
          </cell>
          <cell r="AD84">
            <v>16</v>
          </cell>
        </row>
        <row r="85">
          <cell r="A85">
            <v>38</v>
          </cell>
          <cell r="B85">
            <v>3</v>
          </cell>
          <cell r="C85">
            <v>1</v>
          </cell>
          <cell r="D85">
            <v>5329</v>
          </cell>
          <cell r="E85">
            <v>7</v>
          </cell>
          <cell r="F85">
            <v>12</v>
          </cell>
          <cell r="G85">
            <v>3</v>
          </cell>
          <cell r="H85">
            <v>3</v>
          </cell>
          <cell r="I85">
            <v>17</v>
          </cell>
          <cell r="J85">
            <v>3</v>
          </cell>
          <cell r="K85">
            <v>13</v>
          </cell>
          <cell r="L85">
            <v>11</v>
          </cell>
          <cell r="M85">
            <v>1</v>
          </cell>
          <cell r="N85">
            <v>1</v>
          </cell>
          <cell r="O85">
            <v>0</v>
          </cell>
          <cell r="P85">
            <v>0</v>
          </cell>
          <cell r="Q85">
            <v>1</v>
          </cell>
          <cell r="R85">
            <v>0</v>
          </cell>
          <cell r="S85">
            <v>0</v>
          </cell>
          <cell r="T85">
            <v>0</v>
          </cell>
          <cell r="U85">
            <v>0</v>
          </cell>
          <cell r="V85">
            <v>3</v>
          </cell>
          <cell r="W85">
            <v>0</v>
          </cell>
          <cell r="X85">
            <v>0</v>
          </cell>
          <cell r="Y85">
            <v>0</v>
          </cell>
          <cell r="Z85">
            <v>0</v>
          </cell>
          <cell r="AA85">
            <v>8</v>
          </cell>
          <cell r="AB85">
            <v>0.41176470588235292</v>
          </cell>
          <cell r="AC85">
            <v>0.84615384615384615</v>
          </cell>
          <cell r="AD85">
            <v>32</v>
          </cell>
        </row>
        <row r="86">
          <cell r="A86">
            <v>34</v>
          </cell>
          <cell r="B86">
            <v>2</v>
          </cell>
          <cell r="C86">
            <v>3</v>
          </cell>
          <cell r="D86">
            <v>4325</v>
          </cell>
          <cell r="E86">
            <v>1</v>
          </cell>
          <cell r="F86">
            <v>15</v>
          </cell>
          <cell r="G86">
            <v>3</v>
          </cell>
          <cell r="H86">
            <v>0</v>
          </cell>
          <cell r="I86">
            <v>5</v>
          </cell>
          <cell r="J86">
            <v>2</v>
          </cell>
          <cell r="K86">
            <v>5</v>
          </cell>
          <cell r="L86">
            <v>2</v>
          </cell>
          <cell r="M86">
            <v>0</v>
          </cell>
          <cell r="N86">
            <v>0</v>
          </cell>
          <cell r="O86">
            <v>0</v>
          </cell>
          <cell r="P86">
            <v>0</v>
          </cell>
          <cell r="Q86">
            <v>1</v>
          </cell>
          <cell r="R86">
            <v>0</v>
          </cell>
          <cell r="S86">
            <v>0</v>
          </cell>
          <cell r="T86">
            <v>0</v>
          </cell>
          <cell r="U86">
            <v>0</v>
          </cell>
          <cell r="V86">
            <v>2</v>
          </cell>
          <cell r="W86">
            <v>0</v>
          </cell>
          <cell r="X86">
            <v>0</v>
          </cell>
          <cell r="Y86">
            <v>0</v>
          </cell>
          <cell r="Z86">
            <v>0</v>
          </cell>
          <cell r="AA86">
            <v>2</v>
          </cell>
          <cell r="AB86">
            <v>0.2</v>
          </cell>
          <cell r="AC86">
            <v>0.4</v>
          </cell>
          <cell r="AD86">
            <v>6</v>
          </cell>
        </row>
        <row r="87">
          <cell r="A87">
            <v>56</v>
          </cell>
          <cell r="B87">
            <v>3</v>
          </cell>
          <cell r="C87">
            <v>1</v>
          </cell>
          <cell r="D87">
            <v>7260</v>
          </cell>
          <cell r="E87">
            <v>4</v>
          </cell>
          <cell r="F87">
            <v>11</v>
          </cell>
          <cell r="G87">
            <v>3</v>
          </cell>
          <cell r="H87">
            <v>0</v>
          </cell>
          <cell r="I87">
            <v>37</v>
          </cell>
          <cell r="J87">
            <v>3</v>
          </cell>
          <cell r="K87">
            <v>6</v>
          </cell>
          <cell r="L87">
            <v>4</v>
          </cell>
          <cell r="M87">
            <v>0</v>
          </cell>
          <cell r="N87">
            <v>0</v>
          </cell>
          <cell r="O87">
            <v>1</v>
          </cell>
          <cell r="P87">
            <v>0</v>
          </cell>
          <cell r="Q87">
            <v>0</v>
          </cell>
          <cell r="R87">
            <v>0</v>
          </cell>
          <cell r="S87">
            <v>0</v>
          </cell>
          <cell r="T87">
            <v>3</v>
          </cell>
          <cell r="U87">
            <v>0</v>
          </cell>
          <cell r="V87">
            <v>0</v>
          </cell>
          <cell r="W87">
            <v>0</v>
          </cell>
          <cell r="X87">
            <v>0</v>
          </cell>
          <cell r="Y87">
            <v>0</v>
          </cell>
          <cell r="Z87">
            <v>0</v>
          </cell>
          <cell r="AA87">
            <v>16</v>
          </cell>
          <cell r="AB87">
            <v>0.10810810810810811</v>
          </cell>
          <cell r="AC87">
            <v>0.66666666666666663</v>
          </cell>
          <cell r="AD87">
            <v>16</v>
          </cell>
        </row>
        <row r="88">
          <cell r="A88">
            <v>23</v>
          </cell>
          <cell r="B88">
            <v>1</v>
          </cell>
          <cell r="C88">
            <v>3</v>
          </cell>
          <cell r="D88">
            <v>2322</v>
          </cell>
          <cell r="E88">
            <v>3</v>
          </cell>
          <cell r="F88">
            <v>13</v>
          </cell>
          <cell r="G88">
            <v>3</v>
          </cell>
          <cell r="H88">
            <v>1</v>
          </cell>
          <cell r="I88">
            <v>3</v>
          </cell>
          <cell r="J88">
            <v>3</v>
          </cell>
          <cell r="K88">
            <v>0</v>
          </cell>
          <cell r="L88">
            <v>0</v>
          </cell>
          <cell r="M88">
            <v>0</v>
          </cell>
          <cell r="N88">
            <v>0</v>
          </cell>
          <cell r="O88">
            <v>0</v>
          </cell>
          <cell r="P88">
            <v>0</v>
          </cell>
          <cell r="Q88">
            <v>0</v>
          </cell>
          <cell r="R88">
            <v>0</v>
          </cell>
          <cell r="S88">
            <v>1</v>
          </cell>
          <cell r="T88">
            <v>0</v>
          </cell>
          <cell r="U88">
            <v>0</v>
          </cell>
          <cell r="V88">
            <v>0</v>
          </cell>
          <cell r="W88">
            <v>0</v>
          </cell>
          <cell r="X88">
            <v>1</v>
          </cell>
          <cell r="Y88">
            <v>0</v>
          </cell>
          <cell r="Z88">
            <v>0</v>
          </cell>
          <cell r="AA88">
            <v>3</v>
          </cell>
          <cell r="AB88">
            <v>1</v>
          </cell>
          <cell r="AC88">
            <v>0</v>
          </cell>
          <cell r="AD88">
            <v>9</v>
          </cell>
        </row>
        <row r="89">
          <cell r="A89">
            <v>51</v>
          </cell>
          <cell r="B89">
            <v>4</v>
          </cell>
          <cell r="C89">
            <v>3</v>
          </cell>
          <cell r="D89">
            <v>2075</v>
          </cell>
          <cell r="E89">
            <v>3</v>
          </cell>
          <cell r="F89">
            <v>23</v>
          </cell>
          <cell r="G89">
            <v>4</v>
          </cell>
          <cell r="H89">
            <v>2</v>
          </cell>
          <cell r="I89">
            <v>10</v>
          </cell>
          <cell r="J89">
            <v>4</v>
          </cell>
          <cell r="K89">
            <v>4</v>
          </cell>
          <cell r="L89">
            <v>2</v>
          </cell>
          <cell r="M89">
            <v>0</v>
          </cell>
          <cell r="N89">
            <v>0</v>
          </cell>
          <cell r="O89">
            <v>1</v>
          </cell>
          <cell r="P89">
            <v>0</v>
          </cell>
          <cell r="Q89">
            <v>0</v>
          </cell>
          <cell r="R89">
            <v>0</v>
          </cell>
          <cell r="S89">
            <v>0</v>
          </cell>
          <cell r="T89">
            <v>4</v>
          </cell>
          <cell r="U89">
            <v>0</v>
          </cell>
          <cell r="V89">
            <v>0</v>
          </cell>
          <cell r="W89">
            <v>0</v>
          </cell>
          <cell r="X89">
            <v>0</v>
          </cell>
          <cell r="Y89">
            <v>0</v>
          </cell>
          <cell r="Z89">
            <v>0</v>
          </cell>
          <cell r="AA89">
            <v>16</v>
          </cell>
          <cell r="AB89">
            <v>0.3</v>
          </cell>
          <cell r="AC89">
            <v>0.5</v>
          </cell>
          <cell r="AD89">
            <v>32</v>
          </cell>
        </row>
        <row r="90">
          <cell r="A90">
            <v>30</v>
          </cell>
          <cell r="B90">
            <v>3</v>
          </cell>
          <cell r="C90">
            <v>2</v>
          </cell>
          <cell r="D90">
            <v>4152</v>
          </cell>
          <cell r="E90">
            <v>1</v>
          </cell>
          <cell r="F90">
            <v>19</v>
          </cell>
          <cell r="G90">
            <v>3</v>
          </cell>
          <cell r="H90">
            <v>3</v>
          </cell>
          <cell r="I90">
            <v>11</v>
          </cell>
          <cell r="J90">
            <v>3</v>
          </cell>
          <cell r="K90">
            <v>11</v>
          </cell>
          <cell r="L90">
            <v>10</v>
          </cell>
          <cell r="M90">
            <v>0</v>
          </cell>
          <cell r="N90">
            <v>0</v>
          </cell>
          <cell r="O90">
            <v>1</v>
          </cell>
          <cell r="P90">
            <v>0</v>
          </cell>
          <cell r="Q90">
            <v>0</v>
          </cell>
          <cell r="R90">
            <v>0</v>
          </cell>
          <cell r="S90">
            <v>0</v>
          </cell>
          <cell r="T90">
            <v>3</v>
          </cell>
          <cell r="U90">
            <v>0</v>
          </cell>
          <cell r="V90">
            <v>0</v>
          </cell>
          <cell r="W90">
            <v>0</v>
          </cell>
          <cell r="X90">
            <v>0</v>
          </cell>
          <cell r="Y90">
            <v>0</v>
          </cell>
          <cell r="Z90">
            <v>0</v>
          </cell>
          <cell r="AA90">
            <v>12</v>
          </cell>
          <cell r="AB90">
            <v>9.0909090909090912E-2</v>
          </cell>
          <cell r="AC90">
            <v>0.90909090909090906</v>
          </cell>
          <cell r="AD90">
            <v>12</v>
          </cell>
        </row>
        <row r="91">
          <cell r="A91">
            <v>46</v>
          </cell>
          <cell r="B91">
            <v>2</v>
          </cell>
          <cell r="C91">
            <v>2</v>
          </cell>
          <cell r="D91">
            <v>9619</v>
          </cell>
          <cell r="E91">
            <v>1</v>
          </cell>
          <cell r="F91">
            <v>16</v>
          </cell>
          <cell r="G91">
            <v>3</v>
          </cell>
          <cell r="H91">
            <v>0</v>
          </cell>
          <cell r="I91">
            <v>9</v>
          </cell>
          <cell r="J91">
            <v>3</v>
          </cell>
          <cell r="K91">
            <v>9</v>
          </cell>
          <cell r="L91">
            <v>8</v>
          </cell>
          <cell r="M91">
            <v>0</v>
          </cell>
          <cell r="N91">
            <v>0</v>
          </cell>
          <cell r="O91">
            <v>0</v>
          </cell>
          <cell r="P91">
            <v>0</v>
          </cell>
          <cell r="Q91">
            <v>1</v>
          </cell>
          <cell r="R91">
            <v>0</v>
          </cell>
          <cell r="S91">
            <v>0</v>
          </cell>
          <cell r="T91">
            <v>0</v>
          </cell>
          <cell r="U91">
            <v>0</v>
          </cell>
          <cell r="V91">
            <v>2</v>
          </cell>
          <cell r="W91">
            <v>0</v>
          </cell>
          <cell r="X91">
            <v>0</v>
          </cell>
          <cell r="Y91">
            <v>0</v>
          </cell>
          <cell r="Z91">
            <v>0</v>
          </cell>
          <cell r="AA91">
            <v>12</v>
          </cell>
          <cell r="AB91">
            <v>0.1111111111111111</v>
          </cell>
          <cell r="AC91">
            <v>0.88888888888888884</v>
          </cell>
          <cell r="AD91">
            <v>48</v>
          </cell>
        </row>
        <row r="92">
          <cell r="A92">
            <v>40</v>
          </cell>
          <cell r="B92">
            <v>4</v>
          </cell>
          <cell r="C92">
            <v>2</v>
          </cell>
          <cell r="D92">
            <v>13503</v>
          </cell>
          <cell r="E92">
            <v>1</v>
          </cell>
          <cell r="F92">
            <v>22</v>
          </cell>
          <cell r="G92">
            <v>4</v>
          </cell>
          <cell r="H92">
            <v>1</v>
          </cell>
          <cell r="I92">
            <v>22</v>
          </cell>
          <cell r="J92">
            <v>3</v>
          </cell>
          <cell r="K92">
            <v>22</v>
          </cell>
          <cell r="L92">
            <v>3</v>
          </cell>
          <cell r="M92">
            <v>0</v>
          </cell>
          <cell r="N92">
            <v>0</v>
          </cell>
          <cell r="O92">
            <v>1</v>
          </cell>
          <cell r="P92">
            <v>0</v>
          </cell>
          <cell r="Q92">
            <v>0</v>
          </cell>
          <cell r="R92">
            <v>0</v>
          </cell>
          <cell r="S92">
            <v>0</v>
          </cell>
          <cell r="T92">
            <v>4</v>
          </cell>
          <cell r="U92">
            <v>0</v>
          </cell>
          <cell r="V92">
            <v>0</v>
          </cell>
          <cell r="W92">
            <v>0</v>
          </cell>
          <cell r="X92">
            <v>0</v>
          </cell>
          <cell r="Y92">
            <v>1</v>
          </cell>
          <cell r="Z92">
            <v>0</v>
          </cell>
          <cell r="AA92">
            <v>6</v>
          </cell>
          <cell r="AB92">
            <v>4.5454545454545456E-2</v>
          </cell>
          <cell r="AC92">
            <v>0.13636363636363635</v>
          </cell>
          <cell r="AD92">
            <v>24</v>
          </cell>
        </row>
        <row r="93">
          <cell r="A93">
            <v>51</v>
          </cell>
          <cell r="B93">
            <v>4</v>
          </cell>
          <cell r="C93">
            <v>3</v>
          </cell>
          <cell r="D93">
            <v>5441</v>
          </cell>
          <cell r="E93">
            <v>0</v>
          </cell>
          <cell r="F93">
            <v>22</v>
          </cell>
          <cell r="G93">
            <v>4</v>
          </cell>
          <cell r="H93">
            <v>0</v>
          </cell>
          <cell r="I93">
            <v>11</v>
          </cell>
          <cell r="J93">
            <v>2</v>
          </cell>
          <cell r="K93">
            <v>10</v>
          </cell>
          <cell r="L93">
            <v>7</v>
          </cell>
          <cell r="M93">
            <v>1</v>
          </cell>
          <cell r="N93">
            <v>0</v>
          </cell>
          <cell r="O93">
            <v>0</v>
          </cell>
          <cell r="P93">
            <v>1</v>
          </cell>
          <cell r="Q93">
            <v>0</v>
          </cell>
          <cell r="R93">
            <v>0</v>
          </cell>
          <cell r="S93">
            <v>0</v>
          </cell>
          <cell r="T93">
            <v>0</v>
          </cell>
          <cell r="U93">
            <v>4</v>
          </cell>
          <cell r="V93">
            <v>0</v>
          </cell>
          <cell r="W93">
            <v>0</v>
          </cell>
          <cell r="X93">
            <v>0</v>
          </cell>
          <cell r="Y93">
            <v>0</v>
          </cell>
          <cell r="Z93">
            <v>0</v>
          </cell>
          <cell r="AA93">
            <v>12</v>
          </cell>
          <cell r="AB93">
            <v>0</v>
          </cell>
          <cell r="AC93">
            <v>0.7</v>
          </cell>
          <cell r="AD93">
            <v>48</v>
          </cell>
        </row>
        <row r="94">
          <cell r="A94">
            <v>30</v>
          </cell>
          <cell r="B94">
            <v>2</v>
          </cell>
          <cell r="C94">
            <v>2</v>
          </cell>
          <cell r="D94">
            <v>5209</v>
          </cell>
          <cell r="E94">
            <v>1</v>
          </cell>
          <cell r="F94">
            <v>12</v>
          </cell>
          <cell r="G94">
            <v>3</v>
          </cell>
          <cell r="H94">
            <v>3</v>
          </cell>
          <cell r="I94">
            <v>11</v>
          </cell>
          <cell r="J94">
            <v>4</v>
          </cell>
          <cell r="K94">
            <v>11</v>
          </cell>
          <cell r="L94">
            <v>8</v>
          </cell>
          <cell r="M94">
            <v>1</v>
          </cell>
          <cell r="N94">
            <v>1</v>
          </cell>
          <cell r="O94">
            <v>0</v>
          </cell>
          <cell r="P94">
            <v>0</v>
          </cell>
          <cell r="Q94">
            <v>1</v>
          </cell>
          <cell r="R94">
            <v>0</v>
          </cell>
          <cell r="S94">
            <v>0</v>
          </cell>
          <cell r="T94">
            <v>0</v>
          </cell>
          <cell r="U94">
            <v>0</v>
          </cell>
          <cell r="V94">
            <v>2</v>
          </cell>
          <cell r="W94">
            <v>0</v>
          </cell>
          <cell r="X94">
            <v>0</v>
          </cell>
          <cell r="Y94">
            <v>0</v>
          </cell>
          <cell r="Z94">
            <v>0</v>
          </cell>
          <cell r="AA94">
            <v>6</v>
          </cell>
          <cell r="AB94">
            <v>9.0909090909090912E-2</v>
          </cell>
          <cell r="AC94">
            <v>0.72727272727272729</v>
          </cell>
          <cell r="AD94">
            <v>12</v>
          </cell>
        </row>
        <row r="95">
          <cell r="A95">
            <v>46</v>
          </cell>
          <cell r="B95">
            <v>3</v>
          </cell>
          <cell r="C95">
            <v>2</v>
          </cell>
          <cell r="D95">
            <v>10673</v>
          </cell>
          <cell r="E95">
            <v>2</v>
          </cell>
          <cell r="F95">
            <v>13</v>
          </cell>
          <cell r="G95">
            <v>3</v>
          </cell>
          <cell r="H95">
            <v>1</v>
          </cell>
          <cell r="I95">
            <v>21</v>
          </cell>
          <cell r="J95">
            <v>5</v>
          </cell>
          <cell r="K95">
            <v>10</v>
          </cell>
          <cell r="L95">
            <v>9</v>
          </cell>
          <cell r="M95">
            <v>1</v>
          </cell>
          <cell r="N95">
            <v>0</v>
          </cell>
          <cell r="O95">
            <v>0</v>
          </cell>
          <cell r="P95">
            <v>0</v>
          </cell>
          <cell r="Q95">
            <v>1</v>
          </cell>
          <cell r="R95">
            <v>0</v>
          </cell>
          <cell r="S95">
            <v>0</v>
          </cell>
          <cell r="T95">
            <v>0</v>
          </cell>
          <cell r="U95">
            <v>0</v>
          </cell>
          <cell r="V95">
            <v>3</v>
          </cell>
          <cell r="W95">
            <v>0</v>
          </cell>
          <cell r="X95">
            <v>0</v>
          </cell>
          <cell r="Y95">
            <v>1</v>
          </cell>
          <cell r="Z95">
            <v>1</v>
          </cell>
          <cell r="AA95">
            <v>3</v>
          </cell>
          <cell r="AB95">
            <v>9.5238095238095233E-2</v>
          </cell>
          <cell r="AC95">
            <v>0.9</v>
          </cell>
          <cell r="AD95">
            <v>9</v>
          </cell>
        </row>
        <row r="96">
          <cell r="A96">
            <v>32</v>
          </cell>
          <cell r="B96">
            <v>4</v>
          </cell>
          <cell r="C96">
            <v>3</v>
          </cell>
          <cell r="D96">
            <v>5010</v>
          </cell>
          <cell r="E96">
            <v>1</v>
          </cell>
          <cell r="F96">
            <v>16</v>
          </cell>
          <cell r="G96">
            <v>3</v>
          </cell>
          <cell r="H96">
            <v>0</v>
          </cell>
          <cell r="I96">
            <v>12</v>
          </cell>
          <cell r="J96">
            <v>0</v>
          </cell>
          <cell r="K96">
            <v>11</v>
          </cell>
          <cell r="L96">
            <v>8</v>
          </cell>
          <cell r="M96">
            <v>0</v>
          </cell>
          <cell r="N96">
            <v>0</v>
          </cell>
          <cell r="O96">
            <v>0</v>
          </cell>
          <cell r="P96">
            <v>0</v>
          </cell>
          <cell r="Q96">
            <v>1</v>
          </cell>
          <cell r="R96">
            <v>0</v>
          </cell>
          <cell r="S96">
            <v>0</v>
          </cell>
          <cell r="T96">
            <v>0</v>
          </cell>
          <cell r="U96">
            <v>0</v>
          </cell>
          <cell r="V96">
            <v>4</v>
          </cell>
          <cell r="W96">
            <v>0</v>
          </cell>
          <cell r="X96">
            <v>0</v>
          </cell>
          <cell r="Y96">
            <v>0</v>
          </cell>
          <cell r="Z96">
            <v>0</v>
          </cell>
          <cell r="AA96">
            <v>6</v>
          </cell>
          <cell r="AB96">
            <v>8.3333333333333329E-2</v>
          </cell>
          <cell r="AC96">
            <v>0.72727272727272729</v>
          </cell>
          <cell r="AD96">
            <v>6</v>
          </cell>
        </row>
        <row r="97">
          <cell r="A97">
            <v>54</v>
          </cell>
          <cell r="B97">
            <v>4</v>
          </cell>
          <cell r="C97">
            <v>3</v>
          </cell>
          <cell r="D97">
            <v>13549</v>
          </cell>
          <cell r="E97">
            <v>9</v>
          </cell>
          <cell r="F97">
            <v>12</v>
          </cell>
          <cell r="G97">
            <v>3</v>
          </cell>
          <cell r="H97">
            <v>1</v>
          </cell>
          <cell r="I97">
            <v>16</v>
          </cell>
          <cell r="J97">
            <v>5</v>
          </cell>
          <cell r="K97">
            <v>4</v>
          </cell>
          <cell r="L97">
            <v>3</v>
          </cell>
          <cell r="M97">
            <v>0</v>
          </cell>
          <cell r="N97">
            <v>1</v>
          </cell>
          <cell r="O97">
            <v>0</v>
          </cell>
          <cell r="P97">
            <v>0</v>
          </cell>
          <cell r="Q97">
            <v>0</v>
          </cell>
          <cell r="R97">
            <v>0</v>
          </cell>
          <cell r="S97">
            <v>1</v>
          </cell>
          <cell r="T97">
            <v>0</v>
          </cell>
          <cell r="U97">
            <v>0</v>
          </cell>
          <cell r="V97">
            <v>0</v>
          </cell>
          <cell r="W97">
            <v>0</v>
          </cell>
          <cell r="X97">
            <v>4</v>
          </cell>
          <cell r="Y97">
            <v>0</v>
          </cell>
          <cell r="Z97">
            <v>0</v>
          </cell>
          <cell r="AA97">
            <v>3</v>
          </cell>
          <cell r="AB97">
            <v>0.5625</v>
          </cell>
          <cell r="AC97">
            <v>0.75</v>
          </cell>
          <cell r="AD97">
            <v>3</v>
          </cell>
        </row>
        <row r="98">
          <cell r="A98">
            <v>24</v>
          </cell>
          <cell r="B98">
            <v>2</v>
          </cell>
          <cell r="C98">
            <v>3</v>
          </cell>
          <cell r="D98">
            <v>4999</v>
          </cell>
          <cell r="E98">
            <v>0</v>
          </cell>
          <cell r="F98">
            <v>21</v>
          </cell>
          <cell r="G98">
            <v>4</v>
          </cell>
          <cell r="H98">
            <v>1</v>
          </cell>
          <cell r="I98">
            <v>4</v>
          </cell>
          <cell r="J98">
            <v>2</v>
          </cell>
          <cell r="K98">
            <v>3</v>
          </cell>
          <cell r="L98">
            <v>2</v>
          </cell>
          <cell r="M98">
            <v>0</v>
          </cell>
          <cell r="N98">
            <v>1</v>
          </cell>
          <cell r="O98">
            <v>0</v>
          </cell>
          <cell r="P98">
            <v>0</v>
          </cell>
          <cell r="Q98">
            <v>0</v>
          </cell>
          <cell r="R98">
            <v>1</v>
          </cell>
          <cell r="S98">
            <v>0</v>
          </cell>
          <cell r="T98">
            <v>0</v>
          </cell>
          <cell r="U98">
            <v>0</v>
          </cell>
          <cell r="V98">
            <v>0</v>
          </cell>
          <cell r="W98">
            <v>2</v>
          </cell>
          <cell r="X98">
            <v>0</v>
          </cell>
          <cell r="Y98">
            <v>0</v>
          </cell>
          <cell r="Z98">
            <v>0</v>
          </cell>
          <cell r="AA98">
            <v>3</v>
          </cell>
          <cell r="AB98">
            <v>0</v>
          </cell>
          <cell r="AC98">
            <v>0.66666666666666663</v>
          </cell>
          <cell r="AD98">
            <v>3</v>
          </cell>
        </row>
        <row r="99">
          <cell r="A99">
            <v>28</v>
          </cell>
          <cell r="B99">
            <v>3</v>
          </cell>
          <cell r="C99">
            <v>3</v>
          </cell>
          <cell r="D99">
            <v>4221</v>
          </cell>
          <cell r="E99">
            <v>1</v>
          </cell>
          <cell r="F99">
            <v>15</v>
          </cell>
          <cell r="G99">
            <v>3</v>
          </cell>
          <cell r="H99">
            <v>0</v>
          </cell>
          <cell r="I99">
            <v>5</v>
          </cell>
          <cell r="J99">
            <v>3</v>
          </cell>
          <cell r="K99">
            <v>5</v>
          </cell>
          <cell r="L99">
            <v>4</v>
          </cell>
          <cell r="M99">
            <v>0</v>
          </cell>
          <cell r="N99">
            <v>0</v>
          </cell>
          <cell r="O99">
            <v>0</v>
          </cell>
          <cell r="P99">
            <v>0</v>
          </cell>
          <cell r="Q99">
            <v>1</v>
          </cell>
          <cell r="R99">
            <v>0</v>
          </cell>
          <cell r="S99">
            <v>0</v>
          </cell>
          <cell r="T99">
            <v>0</v>
          </cell>
          <cell r="U99">
            <v>0</v>
          </cell>
          <cell r="V99">
            <v>3</v>
          </cell>
          <cell r="W99">
            <v>0</v>
          </cell>
          <cell r="X99">
            <v>0</v>
          </cell>
          <cell r="Y99">
            <v>0</v>
          </cell>
          <cell r="Z99">
            <v>0</v>
          </cell>
          <cell r="AA99">
            <v>6</v>
          </cell>
          <cell r="AB99">
            <v>0.2</v>
          </cell>
          <cell r="AC99">
            <v>0.8</v>
          </cell>
          <cell r="AD99">
            <v>12</v>
          </cell>
        </row>
        <row r="100">
          <cell r="A100">
            <v>58</v>
          </cell>
          <cell r="B100">
            <v>4</v>
          </cell>
          <cell r="C100">
            <v>3</v>
          </cell>
          <cell r="D100">
            <v>13872</v>
          </cell>
          <cell r="E100">
            <v>0</v>
          </cell>
          <cell r="F100">
            <v>13</v>
          </cell>
          <cell r="G100">
            <v>3</v>
          </cell>
          <cell r="H100">
            <v>0</v>
          </cell>
          <cell r="I100">
            <v>38</v>
          </cell>
          <cell r="J100">
            <v>1</v>
          </cell>
          <cell r="K100">
            <v>37</v>
          </cell>
          <cell r="L100">
            <v>10</v>
          </cell>
          <cell r="M100">
            <v>0</v>
          </cell>
          <cell r="N100">
            <v>0</v>
          </cell>
          <cell r="O100">
            <v>0</v>
          </cell>
          <cell r="P100">
            <v>0</v>
          </cell>
          <cell r="Q100">
            <v>1</v>
          </cell>
          <cell r="R100">
            <v>0</v>
          </cell>
          <cell r="S100">
            <v>0</v>
          </cell>
          <cell r="T100">
            <v>0</v>
          </cell>
          <cell r="U100">
            <v>0</v>
          </cell>
          <cell r="V100">
            <v>4</v>
          </cell>
          <cell r="W100">
            <v>0</v>
          </cell>
          <cell r="X100">
            <v>0</v>
          </cell>
          <cell r="Y100">
            <v>0</v>
          </cell>
          <cell r="Z100">
            <v>0</v>
          </cell>
          <cell r="AA100">
            <v>12</v>
          </cell>
          <cell r="AB100">
            <v>0</v>
          </cell>
          <cell r="AC100">
            <v>0.27027027027027029</v>
          </cell>
          <cell r="AD100">
            <v>36</v>
          </cell>
        </row>
        <row r="101">
          <cell r="A101">
            <v>44</v>
          </cell>
          <cell r="B101">
            <v>3</v>
          </cell>
          <cell r="C101">
            <v>3</v>
          </cell>
          <cell r="D101">
            <v>2042</v>
          </cell>
          <cell r="E101">
            <v>4</v>
          </cell>
          <cell r="F101">
            <v>12</v>
          </cell>
          <cell r="G101">
            <v>3</v>
          </cell>
          <cell r="H101">
            <v>1</v>
          </cell>
          <cell r="I101">
            <v>17</v>
          </cell>
          <cell r="J101">
            <v>3</v>
          </cell>
          <cell r="K101">
            <v>3</v>
          </cell>
          <cell r="L101">
            <v>2</v>
          </cell>
          <cell r="M101">
            <v>0</v>
          </cell>
          <cell r="N101">
            <v>0</v>
          </cell>
          <cell r="O101">
            <v>0</v>
          </cell>
          <cell r="P101">
            <v>0</v>
          </cell>
          <cell r="Q101">
            <v>1</v>
          </cell>
          <cell r="R101">
            <v>0</v>
          </cell>
          <cell r="S101">
            <v>0</v>
          </cell>
          <cell r="T101">
            <v>0</v>
          </cell>
          <cell r="U101">
            <v>0</v>
          </cell>
          <cell r="V101">
            <v>3</v>
          </cell>
          <cell r="W101">
            <v>0</v>
          </cell>
          <cell r="X101">
            <v>0</v>
          </cell>
          <cell r="Y101">
            <v>0</v>
          </cell>
          <cell r="Z101">
            <v>0</v>
          </cell>
          <cell r="AA101">
            <v>4</v>
          </cell>
          <cell r="AB101">
            <v>0.23529411764705882</v>
          </cell>
          <cell r="AC101">
            <v>0.66666666666666663</v>
          </cell>
          <cell r="AD101">
            <v>12</v>
          </cell>
        </row>
        <row r="102">
          <cell r="A102">
            <v>37</v>
          </cell>
          <cell r="B102">
            <v>4</v>
          </cell>
          <cell r="C102">
            <v>3</v>
          </cell>
          <cell r="D102">
            <v>2073</v>
          </cell>
          <cell r="E102">
            <v>4</v>
          </cell>
          <cell r="F102">
            <v>22</v>
          </cell>
          <cell r="G102">
            <v>4</v>
          </cell>
          <cell r="H102">
            <v>0</v>
          </cell>
          <cell r="I102">
            <v>7</v>
          </cell>
          <cell r="J102">
            <v>3</v>
          </cell>
          <cell r="K102">
            <v>3</v>
          </cell>
          <cell r="L102">
            <v>2</v>
          </cell>
          <cell r="M102">
            <v>1</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3</v>
          </cell>
          <cell r="AB102">
            <v>0.5714285714285714</v>
          </cell>
          <cell r="AC102">
            <v>0.66666666666666663</v>
          </cell>
          <cell r="AD102">
            <v>12</v>
          </cell>
        </row>
        <row r="103">
          <cell r="A103">
            <v>32</v>
          </cell>
          <cell r="B103">
            <v>1</v>
          </cell>
          <cell r="C103">
            <v>3</v>
          </cell>
          <cell r="D103">
            <v>2956</v>
          </cell>
          <cell r="E103">
            <v>1</v>
          </cell>
          <cell r="F103">
            <v>13</v>
          </cell>
          <cell r="G103">
            <v>3</v>
          </cell>
          <cell r="H103">
            <v>0</v>
          </cell>
          <cell r="I103">
            <v>1</v>
          </cell>
          <cell r="J103">
            <v>2</v>
          </cell>
          <cell r="K103">
            <v>1</v>
          </cell>
          <cell r="L103">
            <v>0</v>
          </cell>
          <cell r="M103">
            <v>0</v>
          </cell>
          <cell r="N103">
            <v>0</v>
          </cell>
          <cell r="O103">
            <v>1</v>
          </cell>
          <cell r="P103">
            <v>0</v>
          </cell>
          <cell r="Q103">
            <v>0</v>
          </cell>
          <cell r="R103">
            <v>0</v>
          </cell>
          <cell r="S103">
            <v>0</v>
          </cell>
          <cell r="T103">
            <v>1</v>
          </cell>
          <cell r="U103">
            <v>0</v>
          </cell>
          <cell r="V103">
            <v>0</v>
          </cell>
          <cell r="W103">
            <v>0</v>
          </cell>
          <cell r="X103">
            <v>0</v>
          </cell>
          <cell r="Y103">
            <v>0</v>
          </cell>
          <cell r="Z103">
            <v>0</v>
          </cell>
          <cell r="AA103">
            <v>4</v>
          </cell>
          <cell r="AB103">
            <v>1</v>
          </cell>
          <cell r="AC103">
            <v>0</v>
          </cell>
          <cell r="AD103">
            <v>16</v>
          </cell>
        </row>
        <row r="104">
          <cell r="A104">
            <v>20</v>
          </cell>
          <cell r="B104">
            <v>3</v>
          </cell>
          <cell r="C104">
            <v>2</v>
          </cell>
          <cell r="D104">
            <v>2926</v>
          </cell>
          <cell r="E104">
            <v>1</v>
          </cell>
          <cell r="F104">
            <v>18</v>
          </cell>
          <cell r="G104">
            <v>3</v>
          </cell>
          <cell r="H104">
            <v>0</v>
          </cell>
          <cell r="I104">
            <v>1</v>
          </cell>
          <cell r="J104">
            <v>5</v>
          </cell>
          <cell r="K104">
            <v>1</v>
          </cell>
          <cell r="L104">
            <v>0</v>
          </cell>
          <cell r="M104">
            <v>1</v>
          </cell>
          <cell r="N104">
            <v>1</v>
          </cell>
          <cell r="O104">
            <v>1</v>
          </cell>
          <cell r="P104">
            <v>0</v>
          </cell>
          <cell r="Q104">
            <v>0</v>
          </cell>
          <cell r="R104">
            <v>0</v>
          </cell>
          <cell r="S104">
            <v>0</v>
          </cell>
          <cell r="T104">
            <v>3</v>
          </cell>
          <cell r="U104">
            <v>0</v>
          </cell>
          <cell r="V104">
            <v>0</v>
          </cell>
          <cell r="W104">
            <v>0</v>
          </cell>
          <cell r="X104">
            <v>0</v>
          </cell>
          <cell r="Y104">
            <v>0</v>
          </cell>
          <cell r="Z104">
            <v>0</v>
          </cell>
          <cell r="AA104">
            <v>16</v>
          </cell>
          <cell r="AB104">
            <v>1</v>
          </cell>
          <cell r="AC104">
            <v>0</v>
          </cell>
          <cell r="AD104">
            <v>32</v>
          </cell>
        </row>
        <row r="105">
          <cell r="A105">
            <v>34</v>
          </cell>
          <cell r="B105">
            <v>4</v>
          </cell>
          <cell r="C105">
            <v>3</v>
          </cell>
          <cell r="D105">
            <v>4809</v>
          </cell>
          <cell r="E105">
            <v>1</v>
          </cell>
          <cell r="F105">
            <v>14</v>
          </cell>
          <cell r="G105">
            <v>3</v>
          </cell>
          <cell r="H105">
            <v>0</v>
          </cell>
          <cell r="I105">
            <v>16</v>
          </cell>
          <cell r="J105">
            <v>3</v>
          </cell>
          <cell r="K105">
            <v>16</v>
          </cell>
          <cell r="L105">
            <v>13</v>
          </cell>
          <cell r="M105">
            <v>0</v>
          </cell>
          <cell r="N105">
            <v>1</v>
          </cell>
          <cell r="O105">
            <v>0</v>
          </cell>
          <cell r="P105">
            <v>0</v>
          </cell>
          <cell r="Q105">
            <v>0</v>
          </cell>
          <cell r="R105">
            <v>1</v>
          </cell>
          <cell r="S105">
            <v>0</v>
          </cell>
          <cell r="T105">
            <v>0</v>
          </cell>
          <cell r="U105">
            <v>0</v>
          </cell>
          <cell r="V105">
            <v>0</v>
          </cell>
          <cell r="W105">
            <v>4</v>
          </cell>
          <cell r="X105">
            <v>0</v>
          </cell>
          <cell r="Y105">
            <v>0</v>
          </cell>
          <cell r="Z105">
            <v>0</v>
          </cell>
          <cell r="AA105">
            <v>3</v>
          </cell>
          <cell r="AB105">
            <v>6.25E-2</v>
          </cell>
          <cell r="AC105">
            <v>0.8125</v>
          </cell>
          <cell r="AD105">
            <v>9</v>
          </cell>
        </row>
        <row r="106">
          <cell r="A106">
            <v>37</v>
          </cell>
          <cell r="B106">
            <v>2</v>
          </cell>
          <cell r="C106">
            <v>2</v>
          </cell>
          <cell r="D106">
            <v>5163</v>
          </cell>
          <cell r="E106">
            <v>5</v>
          </cell>
          <cell r="F106">
            <v>14</v>
          </cell>
          <cell r="G106">
            <v>3</v>
          </cell>
          <cell r="H106">
            <v>1</v>
          </cell>
          <cell r="I106">
            <v>17</v>
          </cell>
          <cell r="J106">
            <v>2</v>
          </cell>
          <cell r="K106">
            <v>1</v>
          </cell>
          <cell r="L106">
            <v>0</v>
          </cell>
          <cell r="M106">
            <v>0</v>
          </cell>
          <cell r="N106">
            <v>0</v>
          </cell>
          <cell r="O106">
            <v>1</v>
          </cell>
          <cell r="P106">
            <v>0</v>
          </cell>
          <cell r="Q106">
            <v>0</v>
          </cell>
          <cell r="R106">
            <v>0</v>
          </cell>
          <cell r="S106">
            <v>0</v>
          </cell>
          <cell r="T106">
            <v>2</v>
          </cell>
          <cell r="U106">
            <v>0</v>
          </cell>
          <cell r="V106">
            <v>0</v>
          </cell>
          <cell r="W106">
            <v>0</v>
          </cell>
          <cell r="X106">
            <v>0</v>
          </cell>
          <cell r="Y106">
            <v>0</v>
          </cell>
          <cell r="Z106">
            <v>0</v>
          </cell>
          <cell r="AA106">
            <v>12</v>
          </cell>
          <cell r="AB106">
            <v>0.29411764705882354</v>
          </cell>
          <cell r="AC106">
            <v>0</v>
          </cell>
          <cell r="AD106">
            <v>48</v>
          </cell>
        </row>
        <row r="107">
          <cell r="A107">
            <v>59</v>
          </cell>
          <cell r="B107">
            <v>4</v>
          </cell>
          <cell r="C107">
            <v>2</v>
          </cell>
          <cell r="D107">
            <v>18844</v>
          </cell>
          <cell r="E107">
            <v>9</v>
          </cell>
          <cell r="F107">
            <v>21</v>
          </cell>
          <cell r="G107">
            <v>4</v>
          </cell>
          <cell r="H107">
            <v>1</v>
          </cell>
          <cell r="I107">
            <v>30</v>
          </cell>
          <cell r="J107">
            <v>3</v>
          </cell>
          <cell r="K107">
            <v>3</v>
          </cell>
          <cell r="L107">
            <v>2</v>
          </cell>
          <cell r="M107">
            <v>0</v>
          </cell>
          <cell r="N107">
            <v>1</v>
          </cell>
          <cell r="O107">
            <v>0</v>
          </cell>
          <cell r="P107">
            <v>0</v>
          </cell>
          <cell r="Q107">
            <v>0</v>
          </cell>
          <cell r="R107">
            <v>0</v>
          </cell>
          <cell r="S107">
            <v>0</v>
          </cell>
          <cell r="T107">
            <v>0</v>
          </cell>
          <cell r="U107">
            <v>0</v>
          </cell>
          <cell r="V107">
            <v>0</v>
          </cell>
          <cell r="W107">
            <v>0</v>
          </cell>
          <cell r="X107">
            <v>0</v>
          </cell>
          <cell r="Y107">
            <v>0</v>
          </cell>
          <cell r="Z107">
            <v>0</v>
          </cell>
          <cell r="AA107">
            <v>12</v>
          </cell>
          <cell r="AB107">
            <v>0.3</v>
          </cell>
          <cell r="AC107">
            <v>0.66666666666666663</v>
          </cell>
          <cell r="AD107">
            <v>48</v>
          </cell>
        </row>
        <row r="108">
          <cell r="A108">
            <v>50</v>
          </cell>
          <cell r="B108">
            <v>3</v>
          </cell>
          <cell r="C108">
            <v>3</v>
          </cell>
          <cell r="D108">
            <v>18172</v>
          </cell>
          <cell r="E108">
            <v>3</v>
          </cell>
          <cell r="F108">
            <v>19</v>
          </cell>
          <cell r="G108">
            <v>3</v>
          </cell>
          <cell r="H108">
            <v>0</v>
          </cell>
          <cell r="I108">
            <v>28</v>
          </cell>
          <cell r="J108">
            <v>1</v>
          </cell>
          <cell r="K108">
            <v>8</v>
          </cell>
          <cell r="L108">
            <v>3</v>
          </cell>
          <cell r="M108">
            <v>1</v>
          </cell>
          <cell r="N108">
            <v>1</v>
          </cell>
          <cell r="O108">
            <v>1</v>
          </cell>
          <cell r="P108">
            <v>0</v>
          </cell>
          <cell r="Q108">
            <v>0</v>
          </cell>
          <cell r="R108">
            <v>0</v>
          </cell>
          <cell r="S108">
            <v>0</v>
          </cell>
          <cell r="T108">
            <v>3</v>
          </cell>
          <cell r="U108">
            <v>0</v>
          </cell>
          <cell r="V108">
            <v>0</v>
          </cell>
          <cell r="W108">
            <v>0</v>
          </cell>
          <cell r="X108">
            <v>0</v>
          </cell>
          <cell r="Y108">
            <v>1</v>
          </cell>
          <cell r="Z108">
            <v>1</v>
          </cell>
          <cell r="AA108">
            <v>2</v>
          </cell>
          <cell r="AB108">
            <v>0.10714285714285714</v>
          </cell>
          <cell r="AC108">
            <v>0.375</v>
          </cell>
          <cell r="AD108">
            <v>2</v>
          </cell>
        </row>
        <row r="109">
          <cell r="A109">
            <v>25</v>
          </cell>
          <cell r="B109">
            <v>3</v>
          </cell>
          <cell r="C109">
            <v>2</v>
          </cell>
          <cell r="D109">
            <v>5744</v>
          </cell>
          <cell r="E109">
            <v>1</v>
          </cell>
          <cell r="F109">
            <v>11</v>
          </cell>
          <cell r="G109">
            <v>3</v>
          </cell>
          <cell r="H109">
            <v>0</v>
          </cell>
          <cell r="I109">
            <v>6</v>
          </cell>
          <cell r="J109">
            <v>1</v>
          </cell>
          <cell r="K109">
            <v>6</v>
          </cell>
          <cell r="L109">
            <v>4</v>
          </cell>
          <cell r="M109">
            <v>1</v>
          </cell>
          <cell r="N109">
            <v>0</v>
          </cell>
          <cell r="O109">
            <v>0</v>
          </cell>
          <cell r="P109">
            <v>1</v>
          </cell>
          <cell r="Q109">
            <v>0</v>
          </cell>
          <cell r="R109">
            <v>0</v>
          </cell>
          <cell r="S109">
            <v>0</v>
          </cell>
          <cell r="T109">
            <v>0</v>
          </cell>
          <cell r="U109">
            <v>3</v>
          </cell>
          <cell r="V109">
            <v>0</v>
          </cell>
          <cell r="W109">
            <v>0</v>
          </cell>
          <cell r="X109">
            <v>0</v>
          </cell>
          <cell r="Y109">
            <v>0</v>
          </cell>
          <cell r="Z109">
            <v>0</v>
          </cell>
          <cell r="AA109">
            <v>9</v>
          </cell>
          <cell r="AB109">
            <v>0.16666666666666666</v>
          </cell>
          <cell r="AC109">
            <v>0.66666666666666663</v>
          </cell>
          <cell r="AD109">
            <v>36</v>
          </cell>
        </row>
        <row r="110">
          <cell r="A110">
            <v>25</v>
          </cell>
          <cell r="B110">
            <v>1</v>
          </cell>
          <cell r="C110">
            <v>2</v>
          </cell>
          <cell r="D110">
            <v>2889</v>
          </cell>
          <cell r="E110">
            <v>1</v>
          </cell>
          <cell r="F110">
            <v>11</v>
          </cell>
          <cell r="G110">
            <v>3</v>
          </cell>
          <cell r="H110">
            <v>2</v>
          </cell>
          <cell r="I110">
            <v>2</v>
          </cell>
          <cell r="J110">
            <v>2</v>
          </cell>
          <cell r="K110">
            <v>2</v>
          </cell>
          <cell r="L110">
            <v>2</v>
          </cell>
          <cell r="M110">
            <v>0</v>
          </cell>
          <cell r="N110">
            <v>0</v>
          </cell>
          <cell r="O110">
            <v>0</v>
          </cell>
          <cell r="P110">
            <v>0</v>
          </cell>
          <cell r="Q110">
            <v>1</v>
          </cell>
          <cell r="R110">
            <v>0</v>
          </cell>
          <cell r="S110">
            <v>0</v>
          </cell>
          <cell r="T110">
            <v>0</v>
          </cell>
          <cell r="U110">
            <v>0</v>
          </cell>
          <cell r="V110">
            <v>1</v>
          </cell>
          <cell r="W110">
            <v>0</v>
          </cell>
          <cell r="X110">
            <v>0</v>
          </cell>
          <cell r="Y110">
            <v>0</v>
          </cell>
          <cell r="Z110">
            <v>0</v>
          </cell>
          <cell r="AA110">
            <v>16</v>
          </cell>
          <cell r="AB110">
            <v>0.5</v>
          </cell>
          <cell r="AC110">
            <v>1</v>
          </cell>
          <cell r="AD110">
            <v>48</v>
          </cell>
        </row>
        <row r="111">
          <cell r="A111">
            <v>22</v>
          </cell>
          <cell r="B111">
            <v>3</v>
          </cell>
          <cell r="C111">
            <v>3</v>
          </cell>
          <cell r="D111">
            <v>2871</v>
          </cell>
          <cell r="E111">
            <v>1</v>
          </cell>
          <cell r="F111">
            <v>15</v>
          </cell>
          <cell r="G111">
            <v>3</v>
          </cell>
          <cell r="H111">
            <v>0</v>
          </cell>
          <cell r="I111">
            <v>1</v>
          </cell>
          <cell r="J111">
            <v>5</v>
          </cell>
          <cell r="K111">
            <v>0</v>
          </cell>
          <cell r="L111">
            <v>0</v>
          </cell>
          <cell r="M111">
            <v>0</v>
          </cell>
          <cell r="N111">
            <v>1</v>
          </cell>
          <cell r="O111">
            <v>0</v>
          </cell>
          <cell r="P111">
            <v>0</v>
          </cell>
          <cell r="Q111">
            <v>1</v>
          </cell>
          <cell r="R111">
            <v>0</v>
          </cell>
          <cell r="S111">
            <v>0</v>
          </cell>
          <cell r="T111">
            <v>0</v>
          </cell>
          <cell r="U111">
            <v>0</v>
          </cell>
          <cell r="V111">
            <v>3</v>
          </cell>
          <cell r="W111">
            <v>0</v>
          </cell>
          <cell r="X111">
            <v>0</v>
          </cell>
          <cell r="Y111">
            <v>0</v>
          </cell>
          <cell r="Z111">
            <v>0</v>
          </cell>
          <cell r="AA111">
            <v>8</v>
          </cell>
          <cell r="AB111">
            <v>1</v>
          </cell>
          <cell r="AC111">
            <v>0</v>
          </cell>
          <cell r="AD111">
            <v>24</v>
          </cell>
        </row>
        <row r="112">
          <cell r="A112">
            <v>51</v>
          </cell>
          <cell r="B112">
            <v>4</v>
          </cell>
          <cell r="C112">
            <v>2</v>
          </cell>
          <cell r="D112">
            <v>7484</v>
          </cell>
          <cell r="E112">
            <v>3</v>
          </cell>
          <cell r="F112">
            <v>20</v>
          </cell>
          <cell r="G112">
            <v>4</v>
          </cell>
          <cell r="H112">
            <v>0</v>
          </cell>
          <cell r="I112">
            <v>23</v>
          </cell>
          <cell r="J112">
            <v>1</v>
          </cell>
          <cell r="K112">
            <v>13</v>
          </cell>
          <cell r="L112">
            <v>12</v>
          </cell>
          <cell r="M112">
            <v>0</v>
          </cell>
          <cell r="N112">
            <v>1</v>
          </cell>
          <cell r="O112">
            <v>0</v>
          </cell>
          <cell r="P112">
            <v>0</v>
          </cell>
          <cell r="Q112">
            <v>1</v>
          </cell>
          <cell r="R112">
            <v>0</v>
          </cell>
          <cell r="S112">
            <v>0</v>
          </cell>
          <cell r="T112">
            <v>0</v>
          </cell>
          <cell r="U112">
            <v>0</v>
          </cell>
          <cell r="V112">
            <v>4</v>
          </cell>
          <cell r="W112">
            <v>0</v>
          </cell>
          <cell r="X112">
            <v>0</v>
          </cell>
          <cell r="Y112">
            <v>0</v>
          </cell>
          <cell r="Z112">
            <v>0</v>
          </cell>
          <cell r="AA112">
            <v>1</v>
          </cell>
          <cell r="AB112">
            <v>0.13043478260869565</v>
          </cell>
          <cell r="AC112">
            <v>0.92307692307692313</v>
          </cell>
          <cell r="AD112">
            <v>3</v>
          </cell>
        </row>
        <row r="113">
          <cell r="A113">
            <v>34</v>
          </cell>
          <cell r="B113">
            <v>3</v>
          </cell>
          <cell r="C113">
            <v>1</v>
          </cell>
          <cell r="D113">
            <v>6074</v>
          </cell>
          <cell r="E113">
            <v>1</v>
          </cell>
          <cell r="F113">
            <v>24</v>
          </cell>
          <cell r="G113">
            <v>4</v>
          </cell>
          <cell r="H113">
            <v>0</v>
          </cell>
          <cell r="I113">
            <v>9</v>
          </cell>
          <cell r="J113">
            <v>3</v>
          </cell>
          <cell r="K113">
            <v>9</v>
          </cell>
          <cell r="L113">
            <v>7</v>
          </cell>
          <cell r="M113">
            <v>1</v>
          </cell>
          <cell r="N113">
            <v>0</v>
          </cell>
          <cell r="O113">
            <v>1</v>
          </cell>
          <cell r="P113">
            <v>0</v>
          </cell>
          <cell r="Q113">
            <v>0</v>
          </cell>
          <cell r="R113">
            <v>0</v>
          </cell>
          <cell r="S113">
            <v>0</v>
          </cell>
          <cell r="T113">
            <v>3</v>
          </cell>
          <cell r="U113">
            <v>0</v>
          </cell>
          <cell r="V113">
            <v>0</v>
          </cell>
          <cell r="W113">
            <v>0</v>
          </cell>
          <cell r="X113">
            <v>0</v>
          </cell>
          <cell r="Y113">
            <v>0</v>
          </cell>
          <cell r="Z113">
            <v>0</v>
          </cell>
          <cell r="AA113">
            <v>3</v>
          </cell>
          <cell r="AB113">
            <v>0.1111111111111111</v>
          </cell>
          <cell r="AC113">
            <v>0.77777777777777779</v>
          </cell>
          <cell r="AD113">
            <v>12</v>
          </cell>
        </row>
        <row r="114">
          <cell r="A114">
            <v>54</v>
          </cell>
          <cell r="B114">
            <v>3</v>
          </cell>
          <cell r="C114">
            <v>4</v>
          </cell>
          <cell r="D114">
            <v>17328</v>
          </cell>
          <cell r="E114">
            <v>2</v>
          </cell>
          <cell r="F114">
            <v>12</v>
          </cell>
          <cell r="G114">
            <v>3</v>
          </cell>
          <cell r="H114">
            <v>0</v>
          </cell>
          <cell r="I114">
            <v>23</v>
          </cell>
          <cell r="J114">
            <v>3</v>
          </cell>
          <cell r="K114">
            <v>5</v>
          </cell>
          <cell r="L114">
            <v>3</v>
          </cell>
          <cell r="M114">
            <v>1</v>
          </cell>
          <cell r="N114">
            <v>1</v>
          </cell>
          <cell r="O114">
            <v>0</v>
          </cell>
          <cell r="P114">
            <v>0</v>
          </cell>
          <cell r="Q114">
            <v>0</v>
          </cell>
          <cell r="R114">
            <v>0</v>
          </cell>
          <cell r="S114">
            <v>0</v>
          </cell>
          <cell r="T114">
            <v>0</v>
          </cell>
          <cell r="U114">
            <v>0</v>
          </cell>
          <cell r="V114">
            <v>0</v>
          </cell>
          <cell r="W114">
            <v>0</v>
          </cell>
          <cell r="X114">
            <v>0</v>
          </cell>
          <cell r="Y114">
            <v>0</v>
          </cell>
          <cell r="Z114">
            <v>0</v>
          </cell>
          <cell r="AA114">
            <v>16</v>
          </cell>
          <cell r="AB114">
            <v>8.6956521739130432E-2</v>
          </cell>
          <cell r="AC114">
            <v>0.6</v>
          </cell>
          <cell r="AD114">
            <v>48</v>
          </cell>
        </row>
        <row r="115">
          <cell r="A115">
            <v>24</v>
          </cell>
          <cell r="B115">
            <v>1</v>
          </cell>
          <cell r="C115">
            <v>3</v>
          </cell>
          <cell r="D115">
            <v>2774</v>
          </cell>
          <cell r="E115">
            <v>0</v>
          </cell>
          <cell r="F115">
            <v>12</v>
          </cell>
          <cell r="G115">
            <v>3</v>
          </cell>
          <cell r="H115">
            <v>1</v>
          </cell>
          <cell r="I115">
            <v>6</v>
          </cell>
          <cell r="J115">
            <v>2</v>
          </cell>
          <cell r="K115">
            <v>5</v>
          </cell>
          <cell r="L115">
            <v>3</v>
          </cell>
          <cell r="M115">
            <v>0</v>
          </cell>
          <cell r="N115">
            <v>0</v>
          </cell>
          <cell r="O115">
            <v>1</v>
          </cell>
          <cell r="P115">
            <v>0</v>
          </cell>
          <cell r="Q115">
            <v>0</v>
          </cell>
          <cell r="R115">
            <v>0</v>
          </cell>
          <cell r="S115">
            <v>0</v>
          </cell>
          <cell r="T115">
            <v>1</v>
          </cell>
          <cell r="U115">
            <v>0</v>
          </cell>
          <cell r="V115">
            <v>0</v>
          </cell>
          <cell r="W115">
            <v>0</v>
          </cell>
          <cell r="X115">
            <v>0</v>
          </cell>
          <cell r="Y115">
            <v>0</v>
          </cell>
          <cell r="Z115">
            <v>0</v>
          </cell>
          <cell r="AA115">
            <v>6</v>
          </cell>
          <cell r="AB115">
            <v>0</v>
          </cell>
          <cell r="AC115">
            <v>0.6</v>
          </cell>
          <cell r="AD115">
            <v>18</v>
          </cell>
        </row>
        <row r="116">
          <cell r="A116">
            <v>34</v>
          </cell>
          <cell r="B116">
            <v>4</v>
          </cell>
          <cell r="C116">
            <v>2</v>
          </cell>
          <cell r="D116">
            <v>4505</v>
          </cell>
          <cell r="E116">
            <v>6</v>
          </cell>
          <cell r="F116">
            <v>15</v>
          </cell>
          <cell r="G116">
            <v>3</v>
          </cell>
          <cell r="H116">
            <v>1</v>
          </cell>
          <cell r="I116">
            <v>12</v>
          </cell>
          <cell r="J116">
            <v>3</v>
          </cell>
          <cell r="K116">
            <v>1</v>
          </cell>
          <cell r="L116">
            <v>0</v>
          </cell>
          <cell r="M116">
            <v>0</v>
          </cell>
          <cell r="N116">
            <v>1</v>
          </cell>
          <cell r="O116">
            <v>1</v>
          </cell>
          <cell r="P116">
            <v>0</v>
          </cell>
          <cell r="Q116">
            <v>0</v>
          </cell>
          <cell r="R116">
            <v>0</v>
          </cell>
          <cell r="S116">
            <v>0</v>
          </cell>
          <cell r="T116">
            <v>4</v>
          </cell>
          <cell r="U116">
            <v>0</v>
          </cell>
          <cell r="V116">
            <v>0</v>
          </cell>
          <cell r="W116">
            <v>0</v>
          </cell>
          <cell r="X116">
            <v>0</v>
          </cell>
          <cell r="Y116">
            <v>0</v>
          </cell>
          <cell r="Z116">
            <v>0</v>
          </cell>
          <cell r="AA116">
            <v>6</v>
          </cell>
          <cell r="AB116">
            <v>0.5</v>
          </cell>
          <cell r="AC116">
            <v>0</v>
          </cell>
          <cell r="AD116">
            <v>18</v>
          </cell>
        </row>
        <row r="117">
          <cell r="A117">
            <v>37</v>
          </cell>
          <cell r="B117">
            <v>3</v>
          </cell>
          <cell r="C117">
            <v>3</v>
          </cell>
          <cell r="D117">
            <v>7428</v>
          </cell>
          <cell r="E117">
            <v>2</v>
          </cell>
          <cell r="F117">
            <v>12</v>
          </cell>
          <cell r="G117">
            <v>3</v>
          </cell>
          <cell r="H117">
            <v>0</v>
          </cell>
          <cell r="I117">
            <v>12</v>
          </cell>
          <cell r="J117">
            <v>3</v>
          </cell>
          <cell r="K117">
            <v>5</v>
          </cell>
          <cell r="L117">
            <v>3</v>
          </cell>
          <cell r="M117">
            <v>0</v>
          </cell>
          <cell r="N117">
            <v>0</v>
          </cell>
          <cell r="O117">
            <v>1</v>
          </cell>
          <cell r="P117">
            <v>0</v>
          </cell>
          <cell r="Q117">
            <v>0</v>
          </cell>
          <cell r="R117">
            <v>0</v>
          </cell>
          <cell r="S117">
            <v>0</v>
          </cell>
          <cell r="T117">
            <v>3</v>
          </cell>
          <cell r="U117">
            <v>0</v>
          </cell>
          <cell r="V117">
            <v>0</v>
          </cell>
          <cell r="W117">
            <v>0</v>
          </cell>
          <cell r="X117">
            <v>0</v>
          </cell>
          <cell r="Y117">
            <v>0</v>
          </cell>
          <cell r="Z117">
            <v>0</v>
          </cell>
          <cell r="AA117">
            <v>12</v>
          </cell>
          <cell r="AB117">
            <v>0.16666666666666666</v>
          </cell>
          <cell r="AC117">
            <v>0.6</v>
          </cell>
          <cell r="AD117">
            <v>12</v>
          </cell>
        </row>
        <row r="118">
          <cell r="A118">
            <v>34</v>
          </cell>
          <cell r="B118">
            <v>3</v>
          </cell>
          <cell r="C118">
            <v>2</v>
          </cell>
          <cell r="D118">
            <v>11631</v>
          </cell>
          <cell r="E118">
            <v>2</v>
          </cell>
          <cell r="F118">
            <v>12</v>
          </cell>
          <cell r="G118">
            <v>3</v>
          </cell>
          <cell r="H118">
            <v>0</v>
          </cell>
          <cell r="I118">
            <v>14</v>
          </cell>
          <cell r="J118">
            <v>6</v>
          </cell>
          <cell r="K118">
            <v>11</v>
          </cell>
          <cell r="L118">
            <v>10</v>
          </cell>
          <cell r="M118">
            <v>0</v>
          </cell>
          <cell r="N118">
            <v>1</v>
          </cell>
          <cell r="O118">
            <v>0</v>
          </cell>
          <cell r="P118">
            <v>0</v>
          </cell>
          <cell r="Q118">
            <v>1</v>
          </cell>
          <cell r="R118">
            <v>0</v>
          </cell>
          <cell r="S118">
            <v>0</v>
          </cell>
          <cell r="T118">
            <v>0</v>
          </cell>
          <cell r="U118">
            <v>0</v>
          </cell>
          <cell r="V118">
            <v>3</v>
          </cell>
          <cell r="W118">
            <v>0</v>
          </cell>
          <cell r="X118">
            <v>0</v>
          </cell>
          <cell r="Y118">
            <v>0</v>
          </cell>
          <cell r="Z118">
            <v>0</v>
          </cell>
          <cell r="AA118">
            <v>3</v>
          </cell>
          <cell r="AB118">
            <v>0.14285714285714285</v>
          </cell>
          <cell r="AC118">
            <v>0.90909090909090906</v>
          </cell>
          <cell r="AD118">
            <v>12</v>
          </cell>
        </row>
        <row r="119">
          <cell r="A119">
            <v>36</v>
          </cell>
          <cell r="B119">
            <v>2</v>
          </cell>
          <cell r="C119">
            <v>3</v>
          </cell>
          <cell r="D119">
            <v>9738</v>
          </cell>
          <cell r="E119">
            <v>0</v>
          </cell>
          <cell r="F119">
            <v>14</v>
          </cell>
          <cell r="G119">
            <v>3</v>
          </cell>
          <cell r="H119">
            <v>1</v>
          </cell>
          <cell r="I119">
            <v>10</v>
          </cell>
          <cell r="J119">
            <v>6</v>
          </cell>
          <cell r="K119">
            <v>9</v>
          </cell>
          <cell r="L119">
            <v>7</v>
          </cell>
          <cell r="M119">
            <v>0</v>
          </cell>
          <cell r="N119">
            <v>1</v>
          </cell>
          <cell r="O119">
            <v>0</v>
          </cell>
          <cell r="P119">
            <v>0</v>
          </cell>
          <cell r="Q119">
            <v>0</v>
          </cell>
          <cell r="R119">
            <v>0</v>
          </cell>
          <cell r="S119">
            <v>1</v>
          </cell>
          <cell r="T119">
            <v>0</v>
          </cell>
          <cell r="U119">
            <v>0</v>
          </cell>
          <cell r="V119">
            <v>0</v>
          </cell>
          <cell r="W119">
            <v>0</v>
          </cell>
          <cell r="X119">
            <v>2</v>
          </cell>
          <cell r="Y119">
            <v>1</v>
          </cell>
          <cell r="Z119">
            <v>0</v>
          </cell>
          <cell r="AA119">
            <v>8</v>
          </cell>
          <cell r="AB119">
            <v>0</v>
          </cell>
          <cell r="AC119">
            <v>0.77777777777777779</v>
          </cell>
          <cell r="AD119">
            <v>24</v>
          </cell>
        </row>
        <row r="120">
          <cell r="A120">
            <v>36</v>
          </cell>
          <cell r="B120">
            <v>2</v>
          </cell>
          <cell r="C120">
            <v>3</v>
          </cell>
          <cell r="D120">
            <v>2835</v>
          </cell>
          <cell r="E120">
            <v>5</v>
          </cell>
          <cell r="F120">
            <v>22</v>
          </cell>
          <cell r="G120">
            <v>4</v>
          </cell>
          <cell r="H120">
            <v>1</v>
          </cell>
          <cell r="I120">
            <v>7</v>
          </cell>
          <cell r="J120">
            <v>2</v>
          </cell>
          <cell r="K120">
            <v>1</v>
          </cell>
          <cell r="L120">
            <v>0</v>
          </cell>
          <cell r="M120">
            <v>0</v>
          </cell>
          <cell r="N120">
            <v>1</v>
          </cell>
          <cell r="O120">
            <v>1</v>
          </cell>
          <cell r="P120">
            <v>0</v>
          </cell>
          <cell r="Q120">
            <v>0</v>
          </cell>
          <cell r="R120">
            <v>0</v>
          </cell>
          <cell r="S120">
            <v>0</v>
          </cell>
          <cell r="T120">
            <v>2</v>
          </cell>
          <cell r="U120">
            <v>0</v>
          </cell>
          <cell r="V120">
            <v>0</v>
          </cell>
          <cell r="W120">
            <v>0</v>
          </cell>
          <cell r="X120">
            <v>0</v>
          </cell>
          <cell r="Y120">
            <v>0</v>
          </cell>
          <cell r="Z120">
            <v>0</v>
          </cell>
          <cell r="AA120">
            <v>4</v>
          </cell>
          <cell r="AB120">
            <v>0.7142857142857143</v>
          </cell>
          <cell r="AC120">
            <v>0</v>
          </cell>
          <cell r="AD120">
            <v>4</v>
          </cell>
        </row>
        <row r="121">
          <cell r="A121">
            <v>43</v>
          </cell>
          <cell r="B121">
            <v>2</v>
          </cell>
          <cell r="C121">
            <v>3</v>
          </cell>
          <cell r="D121">
            <v>16959</v>
          </cell>
          <cell r="E121">
            <v>1</v>
          </cell>
          <cell r="F121">
            <v>12</v>
          </cell>
          <cell r="G121">
            <v>3</v>
          </cell>
          <cell r="H121">
            <v>2</v>
          </cell>
          <cell r="I121">
            <v>25</v>
          </cell>
          <cell r="J121">
            <v>3</v>
          </cell>
          <cell r="K121">
            <v>25</v>
          </cell>
          <cell r="L121">
            <v>12</v>
          </cell>
          <cell r="M121">
            <v>1</v>
          </cell>
          <cell r="N121">
            <v>0</v>
          </cell>
          <cell r="O121">
            <v>1</v>
          </cell>
          <cell r="P121">
            <v>0</v>
          </cell>
          <cell r="Q121">
            <v>0</v>
          </cell>
          <cell r="R121">
            <v>0</v>
          </cell>
          <cell r="S121">
            <v>0</v>
          </cell>
          <cell r="T121">
            <v>2</v>
          </cell>
          <cell r="U121">
            <v>0</v>
          </cell>
          <cell r="V121">
            <v>0</v>
          </cell>
          <cell r="W121">
            <v>0</v>
          </cell>
          <cell r="X121">
            <v>0</v>
          </cell>
          <cell r="Y121">
            <v>1</v>
          </cell>
          <cell r="Z121">
            <v>1</v>
          </cell>
          <cell r="AA121">
            <v>12</v>
          </cell>
          <cell r="AB121">
            <v>0.04</v>
          </cell>
          <cell r="AC121">
            <v>0.48</v>
          </cell>
          <cell r="AD121">
            <v>48</v>
          </cell>
        </row>
        <row r="122">
          <cell r="A122">
            <v>30</v>
          </cell>
          <cell r="B122">
            <v>3</v>
          </cell>
          <cell r="C122">
            <v>1</v>
          </cell>
          <cell r="D122">
            <v>2613</v>
          </cell>
          <cell r="E122">
            <v>1</v>
          </cell>
          <cell r="F122">
            <v>25</v>
          </cell>
          <cell r="G122">
            <v>4</v>
          </cell>
          <cell r="H122">
            <v>3</v>
          </cell>
          <cell r="I122">
            <v>10</v>
          </cell>
          <cell r="J122">
            <v>2</v>
          </cell>
          <cell r="K122">
            <v>10</v>
          </cell>
          <cell r="L122">
            <v>7</v>
          </cell>
          <cell r="M122">
            <v>0</v>
          </cell>
          <cell r="N122">
            <v>0</v>
          </cell>
          <cell r="O122">
            <v>1</v>
          </cell>
          <cell r="P122">
            <v>0</v>
          </cell>
          <cell r="Q122">
            <v>0</v>
          </cell>
          <cell r="R122">
            <v>0</v>
          </cell>
          <cell r="S122">
            <v>0</v>
          </cell>
          <cell r="T122">
            <v>3</v>
          </cell>
          <cell r="U122">
            <v>0</v>
          </cell>
          <cell r="V122">
            <v>0</v>
          </cell>
          <cell r="W122">
            <v>0</v>
          </cell>
          <cell r="X122">
            <v>0</v>
          </cell>
          <cell r="Y122">
            <v>0</v>
          </cell>
          <cell r="Z122">
            <v>0</v>
          </cell>
          <cell r="AA122">
            <v>3</v>
          </cell>
          <cell r="AB122">
            <v>0.1</v>
          </cell>
          <cell r="AC122">
            <v>0.7</v>
          </cell>
          <cell r="AD122">
            <v>9</v>
          </cell>
        </row>
        <row r="123">
          <cell r="A123">
            <v>33</v>
          </cell>
          <cell r="B123">
            <v>2</v>
          </cell>
          <cell r="C123">
            <v>3</v>
          </cell>
          <cell r="D123">
            <v>6146</v>
          </cell>
          <cell r="E123">
            <v>0</v>
          </cell>
          <cell r="F123">
            <v>13</v>
          </cell>
          <cell r="G123">
            <v>3</v>
          </cell>
          <cell r="H123">
            <v>1</v>
          </cell>
          <cell r="I123">
            <v>8</v>
          </cell>
          <cell r="J123">
            <v>2</v>
          </cell>
          <cell r="K123">
            <v>7</v>
          </cell>
          <cell r="L123">
            <v>7</v>
          </cell>
          <cell r="M123">
            <v>0</v>
          </cell>
          <cell r="N123">
            <v>0</v>
          </cell>
          <cell r="O123">
            <v>0</v>
          </cell>
          <cell r="P123">
            <v>1</v>
          </cell>
          <cell r="Q123">
            <v>0</v>
          </cell>
          <cell r="R123">
            <v>0</v>
          </cell>
          <cell r="S123">
            <v>0</v>
          </cell>
          <cell r="T123">
            <v>0</v>
          </cell>
          <cell r="U123">
            <v>2</v>
          </cell>
          <cell r="V123">
            <v>0</v>
          </cell>
          <cell r="W123">
            <v>0</v>
          </cell>
          <cell r="X123">
            <v>0</v>
          </cell>
          <cell r="Y123">
            <v>0</v>
          </cell>
          <cell r="Z123">
            <v>0</v>
          </cell>
          <cell r="AA123">
            <v>6</v>
          </cell>
          <cell r="AB123">
            <v>0</v>
          </cell>
          <cell r="AC123">
            <v>1</v>
          </cell>
          <cell r="AD123">
            <v>6</v>
          </cell>
        </row>
        <row r="124">
          <cell r="A124">
            <v>56</v>
          </cell>
          <cell r="B124">
            <v>4</v>
          </cell>
          <cell r="C124">
            <v>3</v>
          </cell>
          <cell r="D124">
            <v>4963</v>
          </cell>
          <cell r="E124">
            <v>9</v>
          </cell>
          <cell r="F124">
            <v>18</v>
          </cell>
          <cell r="G124">
            <v>3</v>
          </cell>
          <cell r="H124">
            <v>3</v>
          </cell>
          <cell r="I124">
            <v>7</v>
          </cell>
          <cell r="J124">
            <v>2</v>
          </cell>
          <cell r="K124">
            <v>5</v>
          </cell>
          <cell r="L124">
            <v>4</v>
          </cell>
          <cell r="M124">
            <v>1</v>
          </cell>
          <cell r="N124">
            <v>1</v>
          </cell>
          <cell r="O124">
            <v>1</v>
          </cell>
          <cell r="P124">
            <v>0</v>
          </cell>
          <cell r="Q124">
            <v>0</v>
          </cell>
          <cell r="R124">
            <v>0</v>
          </cell>
          <cell r="S124">
            <v>0</v>
          </cell>
          <cell r="T124">
            <v>4</v>
          </cell>
          <cell r="U124">
            <v>0</v>
          </cell>
          <cell r="V124">
            <v>0</v>
          </cell>
          <cell r="W124">
            <v>0</v>
          </cell>
          <cell r="X124">
            <v>0</v>
          </cell>
          <cell r="Y124">
            <v>0</v>
          </cell>
          <cell r="Z124">
            <v>1</v>
          </cell>
          <cell r="AA124">
            <v>4</v>
          </cell>
          <cell r="AB124">
            <v>1.2857142857142858</v>
          </cell>
          <cell r="AC124">
            <v>0.8</v>
          </cell>
          <cell r="AD124">
            <v>4</v>
          </cell>
        </row>
        <row r="125">
          <cell r="A125">
            <v>51</v>
          </cell>
          <cell r="B125">
            <v>3</v>
          </cell>
          <cell r="C125">
            <v>3</v>
          </cell>
          <cell r="D125">
            <v>19537</v>
          </cell>
          <cell r="E125">
            <v>7</v>
          </cell>
          <cell r="F125">
            <v>13</v>
          </cell>
          <cell r="G125">
            <v>3</v>
          </cell>
          <cell r="H125">
            <v>0</v>
          </cell>
          <cell r="I125">
            <v>23</v>
          </cell>
          <cell r="J125">
            <v>5</v>
          </cell>
          <cell r="K125">
            <v>20</v>
          </cell>
          <cell r="L125">
            <v>18</v>
          </cell>
          <cell r="M125">
            <v>0</v>
          </cell>
          <cell r="N125">
            <v>0</v>
          </cell>
          <cell r="O125">
            <v>1</v>
          </cell>
          <cell r="P125">
            <v>0</v>
          </cell>
          <cell r="Q125">
            <v>0</v>
          </cell>
          <cell r="R125">
            <v>0</v>
          </cell>
          <cell r="S125">
            <v>0</v>
          </cell>
          <cell r="T125">
            <v>3</v>
          </cell>
          <cell r="U125">
            <v>0</v>
          </cell>
          <cell r="V125">
            <v>0</v>
          </cell>
          <cell r="W125">
            <v>0</v>
          </cell>
          <cell r="X125">
            <v>0</v>
          </cell>
          <cell r="Y125">
            <v>0</v>
          </cell>
          <cell r="Z125">
            <v>0</v>
          </cell>
          <cell r="AA125">
            <v>3</v>
          </cell>
          <cell r="AB125">
            <v>0.30434782608695654</v>
          </cell>
          <cell r="AC125">
            <v>0.9</v>
          </cell>
          <cell r="AD125">
            <v>9</v>
          </cell>
        </row>
        <row r="126">
          <cell r="A126">
            <v>31</v>
          </cell>
          <cell r="B126">
            <v>4</v>
          </cell>
          <cell r="C126">
            <v>1</v>
          </cell>
          <cell r="D126">
            <v>6172</v>
          </cell>
          <cell r="E126">
            <v>4</v>
          </cell>
          <cell r="F126">
            <v>18</v>
          </cell>
          <cell r="G126">
            <v>3</v>
          </cell>
          <cell r="H126">
            <v>0</v>
          </cell>
          <cell r="I126">
            <v>12</v>
          </cell>
          <cell r="J126">
            <v>3</v>
          </cell>
          <cell r="K126">
            <v>7</v>
          </cell>
          <cell r="L126">
            <v>7</v>
          </cell>
          <cell r="M126">
            <v>1</v>
          </cell>
          <cell r="N126">
            <v>0</v>
          </cell>
          <cell r="O126">
            <v>1</v>
          </cell>
          <cell r="P126">
            <v>0</v>
          </cell>
          <cell r="Q126">
            <v>0</v>
          </cell>
          <cell r="R126">
            <v>0</v>
          </cell>
          <cell r="S126">
            <v>0</v>
          </cell>
          <cell r="T126">
            <v>4</v>
          </cell>
          <cell r="U126">
            <v>0</v>
          </cell>
          <cell r="V126">
            <v>0</v>
          </cell>
          <cell r="W126">
            <v>0</v>
          </cell>
          <cell r="X126">
            <v>0</v>
          </cell>
          <cell r="Y126">
            <v>0</v>
          </cell>
          <cell r="Z126">
            <v>1</v>
          </cell>
          <cell r="AA126">
            <v>6</v>
          </cell>
          <cell r="AB126">
            <v>0.33333333333333331</v>
          </cell>
          <cell r="AC126">
            <v>1</v>
          </cell>
          <cell r="AD126">
            <v>12</v>
          </cell>
        </row>
        <row r="127">
          <cell r="A127">
            <v>26</v>
          </cell>
          <cell r="B127">
            <v>3</v>
          </cell>
          <cell r="C127">
            <v>2</v>
          </cell>
          <cell r="D127">
            <v>2368</v>
          </cell>
          <cell r="E127">
            <v>1</v>
          </cell>
          <cell r="F127">
            <v>19</v>
          </cell>
          <cell r="G127">
            <v>3</v>
          </cell>
          <cell r="H127">
            <v>0</v>
          </cell>
          <cell r="I127">
            <v>5</v>
          </cell>
          <cell r="J127">
            <v>3</v>
          </cell>
          <cell r="K127">
            <v>5</v>
          </cell>
          <cell r="L127">
            <v>4</v>
          </cell>
          <cell r="M127">
            <v>0</v>
          </cell>
          <cell r="N127">
            <v>1</v>
          </cell>
          <cell r="O127">
            <v>0</v>
          </cell>
          <cell r="P127">
            <v>0</v>
          </cell>
          <cell r="Q127">
            <v>0</v>
          </cell>
          <cell r="R127">
            <v>1</v>
          </cell>
          <cell r="S127">
            <v>0</v>
          </cell>
          <cell r="T127">
            <v>0</v>
          </cell>
          <cell r="U127">
            <v>0</v>
          </cell>
          <cell r="V127">
            <v>0</v>
          </cell>
          <cell r="W127">
            <v>3</v>
          </cell>
          <cell r="X127">
            <v>0</v>
          </cell>
          <cell r="Y127">
            <v>0</v>
          </cell>
          <cell r="Z127">
            <v>0</v>
          </cell>
          <cell r="AA127">
            <v>6</v>
          </cell>
          <cell r="AB127">
            <v>0.2</v>
          </cell>
          <cell r="AC127">
            <v>0.8</v>
          </cell>
          <cell r="AD127">
            <v>18</v>
          </cell>
        </row>
        <row r="128">
          <cell r="A128">
            <v>58</v>
          </cell>
          <cell r="B128">
            <v>4</v>
          </cell>
          <cell r="C128">
            <v>3</v>
          </cell>
          <cell r="D128">
            <v>10312</v>
          </cell>
          <cell r="E128">
            <v>1</v>
          </cell>
          <cell r="F128">
            <v>12</v>
          </cell>
          <cell r="G128">
            <v>3</v>
          </cell>
          <cell r="H128">
            <v>1</v>
          </cell>
          <cell r="I128">
            <v>40</v>
          </cell>
          <cell r="J128">
            <v>3</v>
          </cell>
          <cell r="K128">
            <v>40</v>
          </cell>
          <cell r="L128">
            <v>10</v>
          </cell>
          <cell r="M128">
            <v>0</v>
          </cell>
          <cell r="N128">
            <v>1</v>
          </cell>
          <cell r="O128">
            <v>0</v>
          </cell>
          <cell r="P128">
            <v>0</v>
          </cell>
          <cell r="Q128">
            <v>1</v>
          </cell>
          <cell r="R128">
            <v>0</v>
          </cell>
          <cell r="S128">
            <v>0</v>
          </cell>
          <cell r="T128">
            <v>0</v>
          </cell>
          <cell r="U128">
            <v>0</v>
          </cell>
          <cell r="V128">
            <v>4</v>
          </cell>
          <cell r="W128">
            <v>0</v>
          </cell>
          <cell r="X128">
            <v>0</v>
          </cell>
          <cell r="Y128">
            <v>0</v>
          </cell>
          <cell r="Z128">
            <v>0</v>
          </cell>
          <cell r="AA128">
            <v>16</v>
          </cell>
          <cell r="AB128">
            <v>2.5000000000000001E-2</v>
          </cell>
          <cell r="AC128">
            <v>0.25</v>
          </cell>
          <cell r="AD128">
            <v>64</v>
          </cell>
        </row>
        <row r="129">
          <cell r="A129">
            <v>19</v>
          </cell>
          <cell r="B129">
            <v>1</v>
          </cell>
          <cell r="C129">
            <v>3</v>
          </cell>
          <cell r="D129">
            <v>1675</v>
          </cell>
          <cell r="E129">
            <v>1</v>
          </cell>
          <cell r="F129">
            <v>19</v>
          </cell>
          <cell r="G129">
            <v>3</v>
          </cell>
          <cell r="H129">
            <v>0</v>
          </cell>
          <cell r="I129">
            <v>0</v>
          </cell>
          <cell r="J129">
            <v>2</v>
          </cell>
          <cell r="K129">
            <v>0</v>
          </cell>
          <cell r="L129">
            <v>0</v>
          </cell>
          <cell r="M129">
            <v>1</v>
          </cell>
          <cell r="N129">
            <v>0</v>
          </cell>
          <cell r="O129">
            <v>0</v>
          </cell>
          <cell r="P129">
            <v>1</v>
          </cell>
          <cell r="Q129">
            <v>0</v>
          </cell>
          <cell r="R129">
            <v>0</v>
          </cell>
          <cell r="S129">
            <v>0</v>
          </cell>
          <cell r="T129">
            <v>0</v>
          </cell>
          <cell r="U129">
            <v>1</v>
          </cell>
          <cell r="V129">
            <v>0</v>
          </cell>
          <cell r="W129">
            <v>0</v>
          </cell>
          <cell r="X129">
            <v>0</v>
          </cell>
          <cell r="Y129">
            <v>0</v>
          </cell>
          <cell r="Z129">
            <v>0</v>
          </cell>
          <cell r="AA129">
            <v>12</v>
          </cell>
          <cell r="AB129">
            <v>0</v>
          </cell>
          <cell r="AC129">
            <v>0</v>
          </cell>
          <cell r="AD129">
            <v>48</v>
          </cell>
        </row>
        <row r="130">
          <cell r="A130">
            <v>22</v>
          </cell>
          <cell r="B130">
            <v>1</v>
          </cell>
          <cell r="C130">
            <v>3</v>
          </cell>
          <cell r="D130">
            <v>2523</v>
          </cell>
          <cell r="E130">
            <v>0</v>
          </cell>
          <cell r="F130">
            <v>14</v>
          </cell>
          <cell r="G130">
            <v>3</v>
          </cell>
          <cell r="H130">
            <v>1</v>
          </cell>
          <cell r="I130">
            <v>3</v>
          </cell>
          <cell r="J130">
            <v>2</v>
          </cell>
          <cell r="K130">
            <v>2</v>
          </cell>
          <cell r="L130">
            <v>1</v>
          </cell>
          <cell r="M130">
            <v>0</v>
          </cell>
          <cell r="N130">
            <v>0</v>
          </cell>
          <cell r="O130">
            <v>0</v>
          </cell>
          <cell r="P130">
            <v>0</v>
          </cell>
          <cell r="Q130">
            <v>0</v>
          </cell>
          <cell r="R130">
            <v>0</v>
          </cell>
          <cell r="S130">
            <v>1</v>
          </cell>
          <cell r="T130">
            <v>0</v>
          </cell>
          <cell r="U130">
            <v>0</v>
          </cell>
          <cell r="V130">
            <v>0</v>
          </cell>
          <cell r="W130">
            <v>0</v>
          </cell>
          <cell r="X130">
            <v>1</v>
          </cell>
          <cell r="Y130">
            <v>0</v>
          </cell>
          <cell r="Z130">
            <v>0</v>
          </cell>
          <cell r="AA130">
            <v>12</v>
          </cell>
          <cell r="AB130">
            <v>0</v>
          </cell>
          <cell r="AC130">
            <v>0.5</v>
          </cell>
          <cell r="AD130">
            <v>36</v>
          </cell>
        </row>
        <row r="131">
          <cell r="A131">
            <v>49</v>
          </cell>
          <cell r="B131">
            <v>4</v>
          </cell>
          <cell r="C131">
            <v>3</v>
          </cell>
          <cell r="D131">
            <v>6567</v>
          </cell>
          <cell r="E131">
            <v>1</v>
          </cell>
          <cell r="F131">
            <v>14</v>
          </cell>
          <cell r="G131">
            <v>3</v>
          </cell>
          <cell r="H131">
            <v>0</v>
          </cell>
          <cell r="I131">
            <v>16</v>
          </cell>
          <cell r="J131">
            <v>2</v>
          </cell>
          <cell r="K131">
            <v>15</v>
          </cell>
          <cell r="L131">
            <v>11</v>
          </cell>
          <cell r="M131">
            <v>0</v>
          </cell>
          <cell r="N131">
            <v>1</v>
          </cell>
          <cell r="O131">
            <v>0</v>
          </cell>
          <cell r="P131">
            <v>0</v>
          </cell>
          <cell r="Q131">
            <v>1</v>
          </cell>
          <cell r="R131">
            <v>0</v>
          </cell>
          <cell r="S131">
            <v>0</v>
          </cell>
          <cell r="T131">
            <v>0</v>
          </cell>
          <cell r="U131">
            <v>0</v>
          </cell>
          <cell r="V131">
            <v>4</v>
          </cell>
          <cell r="W131">
            <v>0</v>
          </cell>
          <cell r="X131">
            <v>0</v>
          </cell>
          <cell r="Y131">
            <v>0</v>
          </cell>
          <cell r="Z131">
            <v>0</v>
          </cell>
          <cell r="AA131">
            <v>3</v>
          </cell>
          <cell r="AB131">
            <v>6.25E-2</v>
          </cell>
          <cell r="AC131">
            <v>0.73333333333333328</v>
          </cell>
          <cell r="AD131">
            <v>9</v>
          </cell>
        </row>
        <row r="132">
          <cell r="A132">
            <v>43</v>
          </cell>
          <cell r="B132">
            <v>3</v>
          </cell>
          <cell r="C132">
            <v>4</v>
          </cell>
          <cell r="D132">
            <v>4739</v>
          </cell>
          <cell r="E132">
            <v>4</v>
          </cell>
          <cell r="F132">
            <v>12</v>
          </cell>
          <cell r="G132">
            <v>3</v>
          </cell>
          <cell r="H132">
            <v>0</v>
          </cell>
          <cell r="I132">
            <v>18</v>
          </cell>
          <cell r="J132">
            <v>2</v>
          </cell>
          <cell r="K132">
            <v>3</v>
          </cell>
          <cell r="L132">
            <v>2</v>
          </cell>
          <cell r="M132">
            <v>0</v>
          </cell>
          <cell r="N132">
            <v>1</v>
          </cell>
          <cell r="O132">
            <v>0</v>
          </cell>
          <cell r="P132">
            <v>0</v>
          </cell>
          <cell r="Q132">
            <v>1</v>
          </cell>
          <cell r="R132">
            <v>0</v>
          </cell>
          <cell r="S132">
            <v>0</v>
          </cell>
          <cell r="T132">
            <v>0</v>
          </cell>
          <cell r="U132">
            <v>0</v>
          </cell>
          <cell r="V132">
            <v>3</v>
          </cell>
          <cell r="W132">
            <v>0</v>
          </cell>
          <cell r="X132">
            <v>0</v>
          </cell>
          <cell r="Y132">
            <v>0</v>
          </cell>
          <cell r="Z132">
            <v>0</v>
          </cell>
          <cell r="AA132">
            <v>6</v>
          </cell>
          <cell r="AB132">
            <v>0.22222222222222221</v>
          </cell>
          <cell r="AC132">
            <v>0.66666666666666663</v>
          </cell>
          <cell r="AD132">
            <v>24</v>
          </cell>
        </row>
        <row r="133">
          <cell r="A133">
            <v>50</v>
          </cell>
          <cell r="B133">
            <v>3</v>
          </cell>
          <cell r="C133">
            <v>3</v>
          </cell>
          <cell r="D133">
            <v>9208</v>
          </cell>
          <cell r="E133">
            <v>4</v>
          </cell>
          <cell r="F133">
            <v>11</v>
          </cell>
          <cell r="G133">
            <v>3</v>
          </cell>
          <cell r="H133">
            <v>0</v>
          </cell>
          <cell r="I133">
            <v>16</v>
          </cell>
          <cell r="J133">
            <v>3</v>
          </cell>
          <cell r="K133">
            <v>2</v>
          </cell>
          <cell r="L133">
            <v>2</v>
          </cell>
          <cell r="M133">
            <v>0</v>
          </cell>
          <cell r="N133">
            <v>1</v>
          </cell>
          <cell r="O133">
            <v>0</v>
          </cell>
          <cell r="P133">
            <v>1</v>
          </cell>
          <cell r="Q133">
            <v>0</v>
          </cell>
          <cell r="R133">
            <v>0</v>
          </cell>
          <cell r="S133">
            <v>0</v>
          </cell>
          <cell r="T133">
            <v>0</v>
          </cell>
          <cell r="U133">
            <v>3</v>
          </cell>
          <cell r="V133">
            <v>0</v>
          </cell>
          <cell r="W133">
            <v>0</v>
          </cell>
          <cell r="X133">
            <v>0</v>
          </cell>
          <cell r="Y133">
            <v>0</v>
          </cell>
          <cell r="Z133">
            <v>0</v>
          </cell>
          <cell r="AA133">
            <v>12</v>
          </cell>
          <cell r="AB133">
            <v>0.25</v>
          </cell>
          <cell r="AC133">
            <v>1</v>
          </cell>
          <cell r="AD133">
            <v>48</v>
          </cell>
        </row>
        <row r="134">
          <cell r="A134">
            <v>31</v>
          </cell>
          <cell r="B134">
            <v>3</v>
          </cell>
          <cell r="C134">
            <v>1</v>
          </cell>
          <cell r="D134">
            <v>4559</v>
          </cell>
          <cell r="E134">
            <v>3</v>
          </cell>
          <cell r="F134">
            <v>11</v>
          </cell>
          <cell r="G134">
            <v>3</v>
          </cell>
          <cell r="H134">
            <v>1</v>
          </cell>
          <cell r="I134">
            <v>4</v>
          </cell>
          <cell r="J134">
            <v>2</v>
          </cell>
          <cell r="K134">
            <v>2</v>
          </cell>
          <cell r="L134">
            <v>2</v>
          </cell>
          <cell r="M134">
            <v>1</v>
          </cell>
          <cell r="N134">
            <v>1</v>
          </cell>
          <cell r="O134">
            <v>1</v>
          </cell>
          <cell r="P134">
            <v>0</v>
          </cell>
          <cell r="Q134">
            <v>0</v>
          </cell>
          <cell r="R134">
            <v>0</v>
          </cell>
          <cell r="S134">
            <v>0</v>
          </cell>
          <cell r="T134">
            <v>3</v>
          </cell>
          <cell r="U134">
            <v>0</v>
          </cell>
          <cell r="V134">
            <v>0</v>
          </cell>
          <cell r="W134">
            <v>0</v>
          </cell>
          <cell r="X134">
            <v>0</v>
          </cell>
          <cell r="Y134">
            <v>0</v>
          </cell>
          <cell r="Z134">
            <v>1</v>
          </cell>
          <cell r="AA134">
            <v>6</v>
          </cell>
          <cell r="AB134">
            <v>0.75</v>
          </cell>
          <cell r="AC134">
            <v>1</v>
          </cell>
          <cell r="AD134">
            <v>18</v>
          </cell>
        </row>
        <row r="135">
          <cell r="A135">
            <v>41</v>
          </cell>
          <cell r="B135">
            <v>1</v>
          </cell>
          <cell r="C135">
            <v>3</v>
          </cell>
          <cell r="D135">
            <v>8189</v>
          </cell>
          <cell r="E135">
            <v>3</v>
          </cell>
          <cell r="F135">
            <v>13</v>
          </cell>
          <cell r="G135">
            <v>3</v>
          </cell>
          <cell r="H135">
            <v>1</v>
          </cell>
          <cell r="I135">
            <v>12</v>
          </cell>
          <cell r="J135">
            <v>2</v>
          </cell>
          <cell r="K135">
            <v>9</v>
          </cell>
          <cell r="L135">
            <v>7</v>
          </cell>
          <cell r="M135">
            <v>1</v>
          </cell>
          <cell r="N135">
            <v>0</v>
          </cell>
          <cell r="O135">
            <v>1</v>
          </cell>
          <cell r="P135">
            <v>0</v>
          </cell>
          <cell r="Q135">
            <v>0</v>
          </cell>
          <cell r="R135">
            <v>0</v>
          </cell>
          <cell r="S135">
            <v>0</v>
          </cell>
          <cell r="T135">
            <v>1</v>
          </cell>
          <cell r="U135">
            <v>0</v>
          </cell>
          <cell r="V135">
            <v>0</v>
          </cell>
          <cell r="W135">
            <v>0</v>
          </cell>
          <cell r="X135">
            <v>0</v>
          </cell>
          <cell r="Y135">
            <v>0</v>
          </cell>
          <cell r="Z135">
            <v>0</v>
          </cell>
          <cell r="AA135">
            <v>9</v>
          </cell>
          <cell r="AB135">
            <v>0.25</v>
          </cell>
          <cell r="AC135">
            <v>0.77777777777777779</v>
          </cell>
          <cell r="AD135">
            <v>27</v>
          </cell>
        </row>
        <row r="136">
          <cell r="A136">
            <v>26</v>
          </cell>
          <cell r="B136">
            <v>1</v>
          </cell>
          <cell r="C136">
            <v>3</v>
          </cell>
          <cell r="D136">
            <v>2942</v>
          </cell>
          <cell r="E136">
            <v>1</v>
          </cell>
          <cell r="F136">
            <v>23</v>
          </cell>
          <cell r="G136">
            <v>4</v>
          </cell>
          <cell r="H136">
            <v>1</v>
          </cell>
          <cell r="I136">
            <v>8</v>
          </cell>
          <cell r="J136">
            <v>3</v>
          </cell>
          <cell r="K136">
            <v>8</v>
          </cell>
          <cell r="L136">
            <v>7</v>
          </cell>
          <cell r="M136">
            <v>0</v>
          </cell>
          <cell r="N136">
            <v>1</v>
          </cell>
          <cell r="O136">
            <v>1</v>
          </cell>
          <cell r="P136">
            <v>0</v>
          </cell>
          <cell r="Q136">
            <v>0</v>
          </cell>
          <cell r="R136">
            <v>0</v>
          </cell>
          <cell r="S136">
            <v>0</v>
          </cell>
          <cell r="T136">
            <v>1</v>
          </cell>
          <cell r="U136">
            <v>0</v>
          </cell>
          <cell r="V136">
            <v>0</v>
          </cell>
          <cell r="W136">
            <v>0</v>
          </cell>
          <cell r="X136">
            <v>0</v>
          </cell>
          <cell r="Y136">
            <v>0</v>
          </cell>
          <cell r="Z136">
            <v>0</v>
          </cell>
          <cell r="AA136">
            <v>9</v>
          </cell>
          <cell r="AB136">
            <v>0.125</v>
          </cell>
          <cell r="AC136">
            <v>0.875</v>
          </cell>
          <cell r="AD136">
            <v>36</v>
          </cell>
        </row>
        <row r="137">
          <cell r="A137">
            <v>36</v>
          </cell>
          <cell r="B137">
            <v>2</v>
          </cell>
          <cell r="C137">
            <v>3</v>
          </cell>
          <cell r="D137">
            <v>4941</v>
          </cell>
          <cell r="E137">
            <v>6</v>
          </cell>
          <cell r="F137">
            <v>20</v>
          </cell>
          <cell r="G137">
            <v>4</v>
          </cell>
          <cell r="H137">
            <v>2</v>
          </cell>
          <cell r="I137">
            <v>7</v>
          </cell>
          <cell r="J137">
            <v>0</v>
          </cell>
          <cell r="K137">
            <v>3</v>
          </cell>
          <cell r="L137">
            <v>2</v>
          </cell>
          <cell r="M137">
            <v>0</v>
          </cell>
          <cell r="N137">
            <v>0</v>
          </cell>
          <cell r="O137">
            <v>0</v>
          </cell>
          <cell r="P137">
            <v>0</v>
          </cell>
          <cell r="Q137">
            <v>1</v>
          </cell>
          <cell r="R137">
            <v>0</v>
          </cell>
          <cell r="S137">
            <v>0</v>
          </cell>
          <cell r="T137">
            <v>0</v>
          </cell>
          <cell r="U137">
            <v>0</v>
          </cell>
          <cell r="V137">
            <v>2</v>
          </cell>
          <cell r="W137">
            <v>0</v>
          </cell>
          <cell r="X137">
            <v>0</v>
          </cell>
          <cell r="Y137">
            <v>0</v>
          </cell>
          <cell r="Z137">
            <v>0</v>
          </cell>
          <cell r="AA137">
            <v>4</v>
          </cell>
          <cell r="AB137">
            <v>0.8571428571428571</v>
          </cell>
          <cell r="AC137">
            <v>0.66666666666666663</v>
          </cell>
          <cell r="AD137">
            <v>16</v>
          </cell>
        </row>
        <row r="138">
          <cell r="A138">
            <v>51</v>
          </cell>
          <cell r="B138">
            <v>4</v>
          </cell>
          <cell r="C138">
            <v>1</v>
          </cell>
          <cell r="D138">
            <v>10650</v>
          </cell>
          <cell r="E138">
            <v>2</v>
          </cell>
          <cell r="F138">
            <v>15</v>
          </cell>
          <cell r="G138">
            <v>3</v>
          </cell>
          <cell r="H138">
            <v>0</v>
          </cell>
          <cell r="I138">
            <v>18</v>
          </cell>
          <cell r="J138">
            <v>2</v>
          </cell>
          <cell r="K138">
            <v>4</v>
          </cell>
          <cell r="L138">
            <v>2</v>
          </cell>
          <cell r="M138">
            <v>0</v>
          </cell>
          <cell r="N138">
            <v>0</v>
          </cell>
          <cell r="O138">
            <v>1</v>
          </cell>
          <cell r="P138">
            <v>0</v>
          </cell>
          <cell r="Q138">
            <v>0</v>
          </cell>
          <cell r="R138">
            <v>0</v>
          </cell>
          <cell r="S138">
            <v>0</v>
          </cell>
          <cell r="T138">
            <v>4</v>
          </cell>
          <cell r="U138">
            <v>0</v>
          </cell>
          <cell r="V138">
            <v>0</v>
          </cell>
          <cell r="W138">
            <v>0</v>
          </cell>
          <cell r="X138">
            <v>0</v>
          </cell>
          <cell r="Y138">
            <v>0</v>
          </cell>
          <cell r="Z138">
            <v>0</v>
          </cell>
          <cell r="AA138">
            <v>4</v>
          </cell>
          <cell r="AB138">
            <v>0.1111111111111111</v>
          </cell>
          <cell r="AC138">
            <v>0.5</v>
          </cell>
          <cell r="AD138">
            <v>16</v>
          </cell>
        </row>
        <row r="139">
          <cell r="A139">
            <v>39</v>
          </cell>
          <cell r="B139">
            <v>4</v>
          </cell>
          <cell r="C139">
            <v>2</v>
          </cell>
          <cell r="D139">
            <v>5902</v>
          </cell>
          <cell r="E139">
            <v>4</v>
          </cell>
          <cell r="F139">
            <v>14</v>
          </cell>
          <cell r="G139">
            <v>3</v>
          </cell>
          <cell r="H139">
            <v>1</v>
          </cell>
          <cell r="I139">
            <v>17</v>
          </cell>
          <cell r="J139">
            <v>1</v>
          </cell>
          <cell r="K139">
            <v>15</v>
          </cell>
          <cell r="L139">
            <v>11</v>
          </cell>
          <cell r="M139">
            <v>0</v>
          </cell>
          <cell r="N139">
            <v>1</v>
          </cell>
          <cell r="O139">
            <v>1</v>
          </cell>
          <cell r="P139">
            <v>0</v>
          </cell>
          <cell r="Q139">
            <v>0</v>
          </cell>
          <cell r="R139">
            <v>0</v>
          </cell>
          <cell r="S139">
            <v>0</v>
          </cell>
          <cell r="T139">
            <v>4</v>
          </cell>
          <cell r="U139">
            <v>0</v>
          </cell>
          <cell r="V139">
            <v>0</v>
          </cell>
          <cell r="W139">
            <v>0</v>
          </cell>
          <cell r="X139">
            <v>0</v>
          </cell>
          <cell r="Y139">
            <v>0</v>
          </cell>
          <cell r="Z139">
            <v>0</v>
          </cell>
          <cell r="AA139">
            <v>12</v>
          </cell>
          <cell r="AB139">
            <v>0.23529411764705882</v>
          </cell>
          <cell r="AC139">
            <v>0.73333333333333328</v>
          </cell>
          <cell r="AD139">
            <v>36</v>
          </cell>
        </row>
        <row r="140">
          <cell r="A140">
            <v>25</v>
          </cell>
          <cell r="B140">
            <v>3</v>
          </cell>
          <cell r="C140">
            <v>2</v>
          </cell>
          <cell r="D140">
            <v>8639</v>
          </cell>
          <cell r="E140">
            <v>2</v>
          </cell>
          <cell r="F140">
            <v>18</v>
          </cell>
          <cell r="G140">
            <v>3</v>
          </cell>
          <cell r="H140">
            <v>0</v>
          </cell>
          <cell r="I140">
            <v>6</v>
          </cell>
          <cell r="J140">
            <v>3</v>
          </cell>
          <cell r="K140">
            <v>2</v>
          </cell>
          <cell r="L140">
            <v>2</v>
          </cell>
          <cell r="M140">
            <v>0</v>
          </cell>
          <cell r="N140">
            <v>0</v>
          </cell>
          <cell r="O140">
            <v>1</v>
          </cell>
          <cell r="P140">
            <v>0</v>
          </cell>
          <cell r="Q140">
            <v>0</v>
          </cell>
          <cell r="R140">
            <v>0</v>
          </cell>
          <cell r="S140">
            <v>0</v>
          </cell>
          <cell r="T140">
            <v>3</v>
          </cell>
          <cell r="U140">
            <v>0</v>
          </cell>
          <cell r="V140">
            <v>0</v>
          </cell>
          <cell r="W140">
            <v>0</v>
          </cell>
          <cell r="X140">
            <v>0</v>
          </cell>
          <cell r="Y140">
            <v>0</v>
          </cell>
          <cell r="Z140">
            <v>0</v>
          </cell>
          <cell r="AA140">
            <v>3</v>
          </cell>
          <cell r="AB140">
            <v>0.33333333333333331</v>
          </cell>
          <cell r="AC140">
            <v>1</v>
          </cell>
          <cell r="AD140">
            <v>12</v>
          </cell>
        </row>
        <row r="141">
          <cell r="A141">
            <v>30</v>
          </cell>
          <cell r="B141">
            <v>3</v>
          </cell>
          <cell r="C141">
            <v>3</v>
          </cell>
          <cell r="D141">
            <v>6347</v>
          </cell>
          <cell r="E141">
            <v>0</v>
          </cell>
          <cell r="F141">
            <v>19</v>
          </cell>
          <cell r="G141">
            <v>3</v>
          </cell>
          <cell r="H141">
            <v>0</v>
          </cell>
          <cell r="I141">
            <v>12</v>
          </cell>
          <cell r="J141">
            <v>2</v>
          </cell>
          <cell r="K141">
            <v>11</v>
          </cell>
          <cell r="L141">
            <v>9</v>
          </cell>
          <cell r="M141">
            <v>1</v>
          </cell>
          <cell r="N141">
            <v>0</v>
          </cell>
          <cell r="O141">
            <v>0</v>
          </cell>
          <cell r="P141">
            <v>0</v>
          </cell>
          <cell r="Q141">
            <v>0</v>
          </cell>
          <cell r="R141">
            <v>0</v>
          </cell>
          <cell r="S141">
            <v>0</v>
          </cell>
          <cell r="T141">
            <v>0</v>
          </cell>
          <cell r="U141">
            <v>0</v>
          </cell>
          <cell r="V141">
            <v>0</v>
          </cell>
          <cell r="W141">
            <v>0</v>
          </cell>
          <cell r="X141">
            <v>0</v>
          </cell>
          <cell r="Y141">
            <v>0</v>
          </cell>
          <cell r="Z141">
            <v>1</v>
          </cell>
          <cell r="AA141">
            <v>12</v>
          </cell>
          <cell r="AB141">
            <v>0</v>
          </cell>
          <cell r="AC141">
            <v>0.81818181818181823</v>
          </cell>
          <cell r="AD141">
            <v>48</v>
          </cell>
        </row>
        <row r="142">
          <cell r="A142">
            <v>32</v>
          </cell>
          <cell r="B142">
            <v>3</v>
          </cell>
          <cell r="C142">
            <v>3</v>
          </cell>
          <cell r="D142">
            <v>4200</v>
          </cell>
          <cell r="E142">
            <v>7</v>
          </cell>
          <cell r="F142">
            <v>22</v>
          </cell>
          <cell r="G142">
            <v>4</v>
          </cell>
          <cell r="H142">
            <v>0</v>
          </cell>
          <cell r="I142">
            <v>10</v>
          </cell>
          <cell r="J142">
            <v>2</v>
          </cell>
          <cell r="K142">
            <v>5</v>
          </cell>
          <cell r="L142">
            <v>4</v>
          </cell>
          <cell r="M142">
            <v>0</v>
          </cell>
          <cell r="N142">
            <v>1</v>
          </cell>
          <cell r="O142">
            <v>0</v>
          </cell>
          <cell r="P142">
            <v>0</v>
          </cell>
          <cell r="Q142">
            <v>1</v>
          </cell>
          <cell r="R142">
            <v>0</v>
          </cell>
          <cell r="S142">
            <v>0</v>
          </cell>
          <cell r="T142">
            <v>0</v>
          </cell>
          <cell r="U142">
            <v>0</v>
          </cell>
          <cell r="V142">
            <v>3</v>
          </cell>
          <cell r="W142">
            <v>0</v>
          </cell>
          <cell r="X142">
            <v>0</v>
          </cell>
          <cell r="Y142">
            <v>0</v>
          </cell>
          <cell r="Z142">
            <v>0</v>
          </cell>
          <cell r="AA142">
            <v>1</v>
          </cell>
          <cell r="AB142">
            <v>0.7</v>
          </cell>
          <cell r="AC142">
            <v>0.8</v>
          </cell>
          <cell r="AD142">
            <v>1</v>
          </cell>
        </row>
        <row r="143">
          <cell r="A143">
            <v>45</v>
          </cell>
          <cell r="B143">
            <v>3</v>
          </cell>
          <cell r="C143">
            <v>3</v>
          </cell>
          <cell r="D143">
            <v>3452</v>
          </cell>
          <cell r="E143">
            <v>5</v>
          </cell>
          <cell r="F143">
            <v>13</v>
          </cell>
          <cell r="G143">
            <v>3</v>
          </cell>
          <cell r="H143">
            <v>0</v>
          </cell>
          <cell r="I143">
            <v>9</v>
          </cell>
          <cell r="J143">
            <v>2</v>
          </cell>
          <cell r="K143">
            <v>6</v>
          </cell>
          <cell r="L143">
            <v>5</v>
          </cell>
          <cell r="M143">
            <v>0</v>
          </cell>
          <cell r="N143">
            <v>0</v>
          </cell>
          <cell r="O143">
            <v>0</v>
          </cell>
          <cell r="P143">
            <v>0</v>
          </cell>
          <cell r="Q143">
            <v>1</v>
          </cell>
          <cell r="R143">
            <v>0</v>
          </cell>
          <cell r="S143">
            <v>0</v>
          </cell>
          <cell r="T143">
            <v>0</v>
          </cell>
          <cell r="U143">
            <v>0</v>
          </cell>
          <cell r="V143">
            <v>3</v>
          </cell>
          <cell r="W143">
            <v>0</v>
          </cell>
          <cell r="X143">
            <v>0</v>
          </cell>
          <cell r="Y143">
            <v>0</v>
          </cell>
          <cell r="Z143">
            <v>0</v>
          </cell>
          <cell r="AA143">
            <v>12</v>
          </cell>
          <cell r="AB143">
            <v>0.55555555555555558</v>
          </cell>
          <cell r="AC143">
            <v>0.83333333333333337</v>
          </cell>
          <cell r="AD143">
            <v>24</v>
          </cell>
        </row>
        <row r="144">
          <cell r="A144">
            <v>38</v>
          </cell>
          <cell r="B144">
            <v>5</v>
          </cell>
          <cell r="C144">
            <v>3</v>
          </cell>
          <cell r="D144">
            <v>4317</v>
          </cell>
          <cell r="E144">
            <v>3</v>
          </cell>
          <cell r="F144">
            <v>20</v>
          </cell>
          <cell r="G144">
            <v>4</v>
          </cell>
          <cell r="H144">
            <v>0</v>
          </cell>
          <cell r="I144">
            <v>19</v>
          </cell>
          <cell r="J144">
            <v>2</v>
          </cell>
          <cell r="K144">
            <v>3</v>
          </cell>
          <cell r="L144">
            <v>2</v>
          </cell>
          <cell r="M144">
            <v>1</v>
          </cell>
          <cell r="N144">
            <v>1</v>
          </cell>
          <cell r="O144">
            <v>0</v>
          </cell>
          <cell r="P144">
            <v>0</v>
          </cell>
          <cell r="Q144">
            <v>0</v>
          </cell>
          <cell r="R144">
            <v>0</v>
          </cell>
          <cell r="S144">
            <v>1</v>
          </cell>
          <cell r="T144">
            <v>0</v>
          </cell>
          <cell r="U144">
            <v>0</v>
          </cell>
          <cell r="V144">
            <v>0</v>
          </cell>
          <cell r="W144">
            <v>0</v>
          </cell>
          <cell r="X144">
            <v>5</v>
          </cell>
          <cell r="Y144">
            <v>0</v>
          </cell>
          <cell r="Z144">
            <v>0</v>
          </cell>
          <cell r="AA144">
            <v>12</v>
          </cell>
          <cell r="AB144">
            <v>0.15789473684210525</v>
          </cell>
          <cell r="AC144">
            <v>0.66666666666666663</v>
          </cell>
          <cell r="AD144">
            <v>24</v>
          </cell>
        </row>
        <row r="145">
          <cell r="A145">
            <v>30</v>
          </cell>
          <cell r="B145">
            <v>3</v>
          </cell>
          <cell r="C145">
            <v>3</v>
          </cell>
          <cell r="D145">
            <v>2632</v>
          </cell>
          <cell r="E145">
            <v>1</v>
          </cell>
          <cell r="F145">
            <v>14</v>
          </cell>
          <cell r="G145">
            <v>3</v>
          </cell>
          <cell r="H145">
            <v>0</v>
          </cell>
          <cell r="I145">
            <v>5</v>
          </cell>
          <cell r="J145">
            <v>4</v>
          </cell>
          <cell r="K145">
            <v>5</v>
          </cell>
          <cell r="L145">
            <v>4</v>
          </cell>
          <cell r="M145">
            <v>0</v>
          </cell>
          <cell r="N145">
            <v>1</v>
          </cell>
          <cell r="O145">
            <v>1</v>
          </cell>
          <cell r="P145">
            <v>0</v>
          </cell>
          <cell r="Q145">
            <v>0</v>
          </cell>
          <cell r="R145">
            <v>0</v>
          </cell>
          <cell r="S145">
            <v>0</v>
          </cell>
          <cell r="T145">
            <v>3</v>
          </cell>
          <cell r="U145">
            <v>0</v>
          </cell>
          <cell r="V145">
            <v>0</v>
          </cell>
          <cell r="W145">
            <v>0</v>
          </cell>
          <cell r="X145">
            <v>0</v>
          </cell>
          <cell r="Y145">
            <v>0</v>
          </cell>
          <cell r="Z145">
            <v>0</v>
          </cell>
          <cell r="AA145">
            <v>3</v>
          </cell>
          <cell r="AB145">
            <v>0.2</v>
          </cell>
          <cell r="AC145">
            <v>0.8</v>
          </cell>
          <cell r="AD145">
            <v>9</v>
          </cell>
        </row>
        <row r="146">
          <cell r="A146">
            <v>32</v>
          </cell>
          <cell r="B146">
            <v>2</v>
          </cell>
          <cell r="C146">
            <v>1</v>
          </cell>
          <cell r="D146">
            <v>4668</v>
          </cell>
          <cell r="E146">
            <v>0</v>
          </cell>
          <cell r="F146">
            <v>17</v>
          </cell>
          <cell r="G146">
            <v>3</v>
          </cell>
          <cell r="H146">
            <v>3</v>
          </cell>
          <cell r="I146">
            <v>9</v>
          </cell>
          <cell r="J146">
            <v>2</v>
          </cell>
          <cell r="K146">
            <v>8</v>
          </cell>
          <cell r="L146">
            <v>7</v>
          </cell>
          <cell r="M146">
            <v>0</v>
          </cell>
          <cell r="N146">
            <v>0</v>
          </cell>
          <cell r="O146">
            <v>0</v>
          </cell>
          <cell r="P146">
            <v>0</v>
          </cell>
          <cell r="Q146">
            <v>1</v>
          </cell>
          <cell r="R146">
            <v>0</v>
          </cell>
          <cell r="S146">
            <v>0</v>
          </cell>
          <cell r="T146">
            <v>0</v>
          </cell>
          <cell r="U146">
            <v>0</v>
          </cell>
          <cell r="V146">
            <v>2</v>
          </cell>
          <cell r="W146">
            <v>0</v>
          </cell>
          <cell r="X146">
            <v>0</v>
          </cell>
          <cell r="Y146">
            <v>0</v>
          </cell>
          <cell r="Z146">
            <v>0</v>
          </cell>
          <cell r="AA146">
            <v>16</v>
          </cell>
          <cell r="AB146">
            <v>0</v>
          </cell>
          <cell r="AC146">
            <v>0.875</v>
          </cell>
          <cell r="AD146">
            <v>64</v>
          </cell>
        </row>
        <row r="147">
          <cell r="A147">
            <v>30</v>
          </cell>
          <cell r="B147">
            <v>3</v>
          </cell>
          <cell r="C147">
            <v>3</v>
          </cell>
          <cell r="D147">
            <v>3204</v>
          </cell>
          <cell r="E147">
            <v>5</v>
          </cell>
          <cell r="F147">
            <v>14</v>
          </cell>
          <cell r="G147">
            <v>3</v>
          </cell>
          <cell r="H147">
            <v>1</v>
          </cell>
          <cell r="I147">
            <v>8</v>
          </cell>
          <cell r="J147">
            <v>3</v>
          </cell>
          <cell r="K147">
            <v>3</v>
          </cell>
          <cell r="L147">
            <v>2</v>
          </cell>
          <cell r="M147">
            <v>0</v>
          </cell>
          <cell r="N147">
            <v>1</v>
          </cell>
          <cell r="O147">
            <v>0</v>
          </cell>
          <cell r="P147">
            <v>0</v>
          </cell>
          <cell r="Q147">
            <v>0</v>
          </cell>
          <cell r="R147">
            <v>0</v>
          </cell>
          <cell r="S147">
            <v>1</v>
          </cell>
          <cell r="T147">
            <v>0</v>
          </cell>
          <cell r="U147">
            <v>0</v>
          </cell>
          <cell r="V147">
            <v>0</v>
          </cell>
          <cell r="W147">
            <v>0</v>
          </cell>
          <cell r="X147">
            <v>3</v>
          </cell>
          <cell r="Y147">
            <v>0</v>
          </cell>
          <cell r="Z147">
            <v>0</v>
          </cell>
          <cell r="AA147">
            <v>4</v>
          </cell>
          <cell r="AB147">
            <v>0.625</v>
          </cell>
          <cell r="AC147">
            <v>0.66666666666666663</v>
          </cell>
          <cell r="AD147">
            <v>16</v>
          </cell>
        </row>
        <row r="148">
          <cell r="A148">
            <v>30</v>
          </cell>
          <cell r="B148">
            <v>1</v>
          </cell>
          <cell r="C148">
            <v>2</v>
          </cell>
          <cell r="D148">
            <v>2720</v>
          </cell>
          <cell r="E148">
            <v>0</v>
          </cell>
          <cell r="F148">
            <v>13</v>
          </cell>
          <cell r="G148">
            <v>3</v>
          </cell>
          <cell r="H148">
            <v>0</v>
          </cell>
          <cell r="I148">
            <v>6</v>
          </cell>
          <cell r="J148">
            <v>3</v>
          </cell>
          <cell r="K148">
            <v>5</v>
          </cell>
          <cell r="L148">
            <v>3</v>
          </cell>
          <cell r="M148">
            <v>0</v>
          </cell>
          <cell r="N148">
            <v>0</v>
          </cell>
          <cell r="O148">
            <v>0</v>
          </cell>
          <cell r="P148">
            <v>0</v>
          </cell>
          <cell r="Q148">
            <v>1</v>
          </cell>
          <cell r="R148">
            <v>0</v>
          </cell>
          <cell r="S148">
            <v>0</v>
          </cell>
          <cell r="T148">
            <v>0</v>
          </cell>
          <cell r="U148">
            <v>0</v>
          </cell>
          <cell r="V148">
            <v>1</v>
          </cell>
          <cell r="W148">
            <v>0</v>
          </cell>
          <cell r="X148">
            <v>0</v>
          </cell>
          <cell r="Y148">
            <v>0</v>
          </cell>
          <cell r="Z148">
            <v>0</v>
          </cell>
          <cell r="AA148">
            <v>8</v>
          </cell>
          <cell r="AB148">
            <v>0</v>
          </cell>
          <cell r="AC148">
            <v>0.6</v>
          </cell>
          <cell r="AD148">
            <v>32</v>
          </cell>
        </row>
        <row r="149">
          <cell r="A149">
            <v>41</v>
          </cell>
          <cell r="B149">
            <v>3</v>
          </cell>
          <cell r="C149">
            <v>2</v>
          </cell>
          <cell r="D149">
            <v>17181</v>
          </cell>
          <cell r="E149">
            <v>4</v>
          </cell>
          <cell r="F149">
            <v>13</v>
          </cell>
          <cell r="G149">
            <v>3</v>
          </cell>
          <cell r="H149">
            <v>1</v>
          </cell>
          <cell r="I149">
            <v>21</v>
          </cell>
          <cell r="J149">
            <v>2</v>
          </cell>
          <cell r="K149">
            <v>7</v>
          </cell>
          <cell r="L149">
            <v>6</v>
          </cell>
          <cell r="M149">
            <v>0</v>
          </cell>
          <cell r="N149">
            <v>0</v>
          </cell>
          <cell r="O149">
            <v>1</v>
          </cell>
          <cell r="P149">
            <v>0</v>
          </cell>
          <cell r="Q149">
            <v>0</v>
          </cell>
          <cell r="R149">
            <v>0</v>
          </cell>
          <cell r="S149">
            <v>0</v>
          </cell>
          <cell r="T149">
            <v>3</v>
          </cell>
          <cell r="U149">
            <v>0</v>
          </cell>
          <cell r="V149">
            <v>0</v>
          </cell>
          <cell r="W149">
            <v>0</v>
          </cell>
          <cell r="X149">
            <v>0</v>
          </cell>
          <cell r="Y149">
            <v>0</v>
          </cell>
          <cell r="Z149">
            <v>0</v>
          </cell>
          <cell r="AA149">
            <v>4</v>
          </cell>
          <cell r="AB149">
            <v>0.19047619047619047</v>
          </cell>
          <cell r="AC149">
            <v>0.8571428571428571</v>
          </cell>
          <cell r="AD149">
            <v>8</v>
          </cell>
        </row>
        <row r="150">
          <cell r="A150">
            <v>41</v>
          </cell>
          <cell r="B150">
            <v>4</v>
          </cell>
          <cell r="C150">
            <v>3</v>
          </cell>
          <cell r="D150">
            <v>2238</v>
          </cell>
          <cell r="E150">
            <v>2</v>
          </cell>
          <cell r="F150">
            <v>21</v>
          </cell>
          <cell r="G150">
            <v>4</v>
          </cell>
          <cell r="H150">
            <v>1</v>
          </cell>
          <cell r="I150">
            <v>7</v>
          </cell>
          <cell r="J150">
            <v>2</v>
          </cell>
          <cell r="K150">
            <v>5</v>
          </cell>
          <cell r="L150">
            <v>0</v>
          </cell>
          <cell r="M150">
            <v>0</v>
          </cell>
          <cell r="N150">
            <v>0</v>
          </cell>
          <cell r="O150">
            <v>1</v>
          </cell>
          <cell r="P150">
            <v>0</v>
          </cell>
          <cell r="Q150">
            <v>0</v>
          </cell>
          <cell r="R150">
            <v>0</v>
          </cell>
          <cell r="S150">
            <v>0</v>
          </cell>
          <cell r="T150">
            <v>4</v>
          </cell>
          <cell r="U150">
            <v>0</v>
          </cell>
          <cell r="V150">
            <v>0</v>
          </cell>
          <cell r="W150">
            <v>0</v>
          </cell>
          <cell r="X150">
            <v>0</v>
          </cell>
          <cell r="Y150">
            <v>0</v>
          </cell>
          <cell r="Z150">
            <v>0</v>
          </cell>
          <cell r="AA150">
            <v>3</v>
          </cell>
          <cell r="AB150">
            <v>0.2857142857142857</v>
          </cell>
          <cell r="AC150">
            <v>0</v>
          </cell>
          <cell r="AD150">
            <v>12</v>
          </cell>
        </row>
        <row r="151">
          <cell r="A151">
            <v>19</v>
          </cell>
          <cell r="B151">
            <v>1</v>
          </cell>
          <cell r="C151">
            <v>3</v>
          </cell>
          <cell r="D151">
            <v>1483</v>
          </cell>
          <cell r="E151">
            <v>1</v>
          </cell>
          <cell r="F151">
            <v>14</v>
          </cell>
          <cell r="G151">
            <v>3</v>
          </cell>
          <cell r="H151">
            <v>0</v>
          </cell>
          <cell r="I151">
            <v>1</v>
          </cell>
          <cell r="J151">
            <v>3</v>
          </cell>
          <cell r="K151">
            <v>1</v>
          </cell>
          <cell r="L151">
            <v>0</v>
          </cell>
          <cell r="M151">
            <v>0</v>
          </cell>
          <cell r="N151">
            <v>1</v>
          </cell>
          <cell r="O151">
            <v>0</v>
          </cell>
          <cell r="P151">
            <v>0</v>
          </cell>
          <cell r="Q151">
            <v>1</v>
          </cell>
          <cell r="R151">
            <v>0</v>
          </cell>
          <cell r="S151">
            <v>0</v>
          </cell>
          <cell r="T151">
            <v>0</v>
          </cell>
          <cell r="U151">
            <v>0</v>
          </cell>
          <cell r="V151">
            <v>1</v>
          </cell>
          <cell r="W151">
            <v>0</v>
          </cell>
          <cell r="X151">
            <v>0</v>
          </cell>
          <cell r="Y151">
            <v>0</v>
          </cell>
          <cell r="Z151">
            <v>0</v>
          </cell>
          <cell r="AA151">
            <v>4</v>
          </cell>
          <cell r="AB151">
            <v>1</v>
          </cell>
          <cell r="AC151">
            <v>0</v>
          </cell>
          <cell r="AD151">
            <v>16</v>
          </cell>
        </row>
        <row r="152">
          <cell r="A152">
            <v>40</v>
          </cell>
          <cell r="B152">
            <v>3</v>
          </cell>
          <cell r="C152">
            <v>3</v>
          </cell>
          <cell r="D152">
            <v>5605</v>
          </cell>
          <cell r="E152">
            <v>1</v>
          </cell>
          <cell r="F152">
            <v>11</v>
          </cell>
          <cell r="G152">
            <v>3</v>
          </cell>
          <cell r="H152">
            <v>1</v>
          </cell>
          <cell r="I152">
            <v>20</v>
          </cell>
          <cell r="J152">
            <v>2</v>
          </cell>
          <cell r="K152">
            <v>20</v>
          </cell>
          <cell r="L152">
            <v>7</v>
          </cell>
          <cell r="M152">
            <v>0</v>
          </cell>
          <cell r="N152">
            <v>1</v>
          </cell>
          <cell r="O152">
            <v>0</v>
          </cell>
          <cell r="P152">
            <v>0</v>
          </cell>
          <cell r="Q152">
            <v>1</v>
          </cell>
          <cell r="R152">
            <v>0</v>
          </cell>
          <cell r="S152">
            <v>0</v>
          </cell>
          <cell r="T152">
            <v>0</v>
          </cell>
          <cell r="U152">
            <v>0</v>
          </cell>
          <cell r="V152">
            <v>3</v>
          </cell>
          <cell r="W152">
            <v>0</v>
          </cell>
          <cell r="X152">
            <v>0</v>
          </cell>
          <cell r="Y152">
            <v>0</v>
          </cell>
          <cell r="Z152">
            <v>0</v>
          </cell>
          <cell r="AA152">
            <v>4</v>
          </cell>
          <cell r="AB152">
            <v>0.05</v>
          </cell>
          <cell r="AC152">
            <v>0.35</v>
          </cell>
          <cell r="AD152">
            <v>4</v>
          </cell>
        </row>
        <row r="153">
          <cell r="A153">
            <v>35</v>
          </cell>
          <cell r="B153">
            <v>5</v>
          </cell>
          <cell r="C153">
            <v>3</v>
          </cell>
          <cell r="D153">
            <v>7295</v>
          </cell>
          <cell r="E153">
            <v>1</v>
          </cell>
          <cell r="F153">
            <v>13</v>
          </cell>
          <cell r="G153">
            <v>3</v>
          </cell>
          <cell r="H153">
            <v>2</v>
          </cell>
          <cell r="I153">
            <v>10</v>
          </cell>
          <cell r="J153">
            <v>3</v>
          </cell>
          <cell r="K153">
            <v>10</v>
          </cell>
          <cell r="L153">
            <v>8</v>
          </cell>
          <cell r="M153">
            <v>0</v>
          </cell>
          <cell r="N153">
            <v>0</v>
          </cell>
          <cell r="O153">
            <v>0</v>
          </cell>
          <cell r="P153">
            <v>1</v>
          </cell>
          <cell r="Q153">
            <v>0</v>
          </cell>
          <cell r="R153">
            <v>0</v>
          </cell>
          <cell r="S153">
            <v>0</v>
          </cell>
          <cell r="T153">
            <v>0</v>
          </cell>
          <cell r="U153">
            <v>5</v>
          </cell>
          <cell r="V153">
            <v>0</v>
          </cell>
          <cell r="W153">
            <v>0</v>
          </cell>
          <cell r="X153">
            <v>0</v>
          </cell>
          <cell r="Y153">
            <v>0</v>
          </cell>
          <cell r="Z153">
            <v>0</v>
          </cell>
          <cell r="AA153">
            <v>6</v>
          </cell>
          <cell r="AB153">
            <v>0.1</v>
          </cell>
          <cell r="AC153">
            <v>0.8</v>
          </cell>
          <cell r="AD153">
            <v>6</v>
          </cell>
        </row>
        <row r="154">
          <cell r="A154">
            <v>53</v>
          </cell>
          <cell r="B154">
            <v>2</v>
          </cell>
          <cell r="C154">
            <v>3</v>
          </cell>
          <cell r="D154">
            <v>2306</v>
          </cell>
          <cell r="E154">
            <v>2</v>
          </cell>
          <cell r="F154">
            <v>20</v>
          </cell>
          <cell r="G154">
            <v>4</v>
          </cell>
          <cell r="H154">
            <v>1</v>
          </cell>
          <cell r="I154">
            <v>13</v>
          </cell>
          <cell r="J154">
            <v>3</v>
          </cell>
          <cell r="K154">
            <v>7</v>
          </cell>
          <cell r="L154">
            <v>7</v>
          </cell>
          <cell r="M154">
            <v>1</v>
          </cell>
          <cell r="N154">
            <v>0</v>
          </cell>
          <cell r="O154">
            <v>0</v>
          </cell>
          <cell r="P154">
            <v>1</v>
          </cell>
          <cell r="Q154">
            <v>0</v>
          </cell>
          <cell r="R154">
            <v>0</v>
          </cell>
          <cell r="S154">
            <v>0</v>
          </cell>
          <cell r="T154">
            <v>0</v>
          </cell>
          <cell r="U154">
            <v>2</v>
          </cell>
          <cell r="V154">
            <v>0</v>
          </cell>
          <cell r="W154">
            <v>0</v>
          </cell>
          <cell r="X154">
            <v>0</v>
          </cell>
          <cell r="Y154">
            <v>0</v>
          </cell>
          <cell r="Z154">
            <v>1</v>
          </cell>
          <cell r="AA154">
            <v>6</v>
          </cell>
          <cell r="AB154">
            <v>0.15384615384615385</v>
          </cell>
          <cell r="AC154">
            <v>1</v>
          </cell>
          <cell r="AD154">
            <v>24</v>
          </cell>
        </row>
        <row r="155">
          <cell r="A155">
            <v>45</v>
          </cell>
          <cell r="B155">
            <v>3</v>
          </cell>
          <cell r="C155">
            <v>3</v>
          </cell>
          <cell r="D155">
            <v>2348</v>
          </cell>
          <cell r="E155">
            <v>8</v>
          </cell>
          <cell r="F155">
            <v>18</v>
          </cell>
          <cell r="G155">
            <v>3</v>
          </cell>
          <cell r="H155">
            <v>1</v>
          </cell>
          <cell r="I155">
            <v>20</v>
          </cell>
          <cell r="J155">
            <v>2</v>
          </cell>
          <cell r="K155">
            <v>17</v>
          </cell>
          <cell r="L155">
            <v>9</v>
          </cell>
          <cell r="M155">
            <v>0</v>
          </cell>
          <cell r="N155">
            <v>0</v>
          </cell>
          <cell r="O155">
            <v>1</v>
          </cell>
          <cell r="P155">
            <v>0</v>
          </cell>
          <cell r="Q155">
            <v>0</v>
          </cell>
          <cell r="R155">
            <v>0</v>
          </cell>
          <cell r="S155">
            <v>0</v>
          </cell>
          <cell r="T155">
            <v>3</v>
          </cell>
          <cell r="U155">
            <v>0</v>
          </cell>
          <cell r="V155">
            <v>0</v>
          </cell>
          <cell r="W155">
            <v>0</v>
          </cell>
          <cell r="X155">
            <v>0</v>
          </cell>
          <cell r="Y155">
            <v>0</v>
          </cell>
          <cell r="Z155">
            <v>0</v>
          </cell>
          <cell r="AA155">
            <v>4</v>
          </cell>
          <cell r="AB155">
            <v>0.4</v>
          </cell>
          <cell r="AC155">
            <v>0.52941176470588236</v>
          </cell>
          <cell r="AD155">
            <v>12</v>
          </cell>
        </row>
        <row r="156">
          <cell r="A156">
            <v>32</v>
          </cell>
          <cell r="B156">
            <v>3</v>
          </cell>
          <cell r="C156">
            <v>3</v>
          </cell>
          <cell r="D156">
            <v>8998</v>
          </cell>
          <cell r="E156">
            <v>1</v>
          </cell>
          <cell r="F156">
            <v>14</v>
          </cell>
          <cell r="G156">
            <v>3</v>
          </cell>
          <cell r="H156">
            <v>0</v>
          </cell>
          <cell r="I156">
            <v>9</v>
          </cell>
          <cell r="J156">
            <v>2</v>
          </cell>
          <cell r="K156">
            <v>9</v>
          </cell>
          <cell r="L156">
            <v>8</v>
          </cell>
          <cell r="M156">
            <v>0</v>
          </cell>
          <cell r="N156">
            <v>1</v>
          </cell>
          <cell r="O156">
            <v>0</v>
          </cell>
          <cell r="P156">
            <v>1</v>
          </cell>
          <cell r="Q156">
            <v>0</v>
          </cell>
          <cell r="R156">
            <v>0</v>
          </cell>
          <cell r="S156">
            <v>0</v>
          </cell>
          <cell r="T156">
            <v>0</v>
          </cell>
          <cell r="U156">
            <v>3</v>
          </cell>
          <cell r="V156">
            <v>0</v>
          </cell>
          <cell r="W156">
            <v>0</v>
          </cell>
          <cell r="X156">
            <v>0</v>
          </cell>
          <cell r="Y156">
            <v>0</v>
          </cell>
          <cell r="Z156">
            <v>0</v>
          </cell>
          <cell r="AA156">
            <v>8</v>
          </cell>
          <cell r="AB156">
            <v>0.1111111111111111</v>
          </cell>
          <cell r="AC156">
            <v>0.88888888888888884</v>
          </cell>
          <cell r="AD156">
            <v>32</v>
          </cell>
        </row>
        <row r="157">
          <cell r="A157">
            <v>29</v>
          </cell>
          <cell r="B157">
            <v>1</v>
          </cell>
          <cell r="C157">
            <v>3</v>
          </cell>
          <cell r="D157">
            <v>4319</v>
          </cell>
          <cell r="E157">
            <v>1</v>
          </cell>
          <cell r="F157">
            <v>13</v>
          </cell>
          <cell r="G157">
            <v>3</v>
          </cell>
          <cell r="H157">
            <v>1</v>
          </cell>
          <cell r="I157">
            <v>10</v>
          </cell>
          <cell r="J157">
            <v>1</v>
          </cell>
          <cell r="K157">
            <v>10</v>
          </cell>
          <cell r="L157">
            <v>7</v>
          </cell>
          <cell r="M157">
            <v>0</v>
          </cell>
          <cell r="N157">
            <v>0</v>
          </cell>
          <cell r="O157">
            <v>0</v>
          </cell>
          <cell r="P157">
            <v>0</v>
          </cell>
          <cell r="Q157">
            <v>0</v>
          </cell>
          <cell r="R157">
            <v>0</v>
          </cell>
          <cell r="S157">
            <v>1</v>
          </cell>
          <cell r="T157">
            <v>0</v>
          </cell>
          <cell r="U157">
            <v>0</v>
          </cell>
          <cell r="V157">
            <v>0</v>
          </cell>
          <cell r="W157">
            <v>0</v>
          </cell>
          <cell r="X157">
            <v>1</v>
          </cell>
          <cell r="Y157">
            <v>0</v>
          </cell>
          <cell r="Z157">
            <v>0</v>
          </cell>
          <cell r="AA157">
            <v>12</v>
          </cell>
          <cell r="AB157">
            <v>0.1</v>
          </cell>
          <cell r="AC157">
            <v>0.7</v>
          </cell>
          <cell r="AD157">
            <v>12</v>
          </cell>
        </row>
        <row r="158">
          <cell r="A158">
            <v>51</v>
          </cell>
          <cell r="B158">
            <v>4</v>
          </cell>
          <cell r="C158">
            <v>2</v>
          </cell>
          <cell r="D158">
            <v>6132</v>
          </cell>
          <cell r="E158">
            <v>2</v>
          </cell>
          <cell r="F158">
            <v>17</v>
          </cell>
          <cell r="G158">
            <v>3</v>
          </cell>
          <cell r="H158">
            <v>0</v>
          </cell>
          <cell r="I158">
            <v>10</v>
          </cell>
          <cell r="J158">
            <v>2</v>
          </cell>
          <cell r="K158">
            <v>1</v>
          </cell>
          <cell r="L158">
            <v>0</v>
          </cell>
          <cell r="M158">
            <v>0</v>
          </cell>
          <cell r="N158">
            <v>0</v>
          </cell>
          <cell r="O158">
            <v>0</v>
          </cell>
          <cell r="P158">
            <v>0</v>
          </cell>
          <cell r="Q158">
            <v>1</v>
          </cell>
          <cell r="R158">
            <v>0</v>
          </cell>
          <cell r="S158">
            <v>0</v>
          </cell>
          <cell r="T158">
            <v>0</v>
          </cell>
          <cell r="U158">
            <v>0</v>
          </cell>
          <cell r="V158">
            <v>4</v>
          </cell>
          <cell r="W158">
            <v>0</v>
          </cell>
          <cell r="X158">
            <v>0</v>
          </cell>
          <cell r="Y158">
            <v>0</v>
          </cell>
          <cell r="Z158">
            <v>0</v>
          </cell>
          <cell r="AA158">
            <v>6</v>
          </cell>
          <cell r="AB158">
            <v>0.2</v>
          </cell>
          <cell r="AC158">
            <v>0</v>
          </cell>
          <cell r="AD158">
            <v>18</v>
          </cell>
        </row>
        <row r="159">
          <cell r="A159">
            <v>58</v>
          </cell>
          <cell r="B159">
            <v>3</v>
          </cell>
          <cell r="C159">
            <v>2</v>
          </cell>
          <cell r="D159">
            <v>3346</v>
          </cell>
          <cell r="E159">
            <v>4</v>
          </cell>
          <cell r="F159">
            <v>20</v>
          </cell>
          <cell r="G159">
            <v>4</v>
          </cell>
          <cell r="H159">
            <v>1</v>
          </cell>
          <cell r="I159">
            <v>9</v>
          </cell>
          <cell r="J159">
            <v>3</v>
          </cell>
          <cell r="K159">
            <v>1</v>
          </cell>
          <cell r="L159">
            <v>0</v>
          </cell>
          <cell r="M159">
            <v>1</v>
          </cell>
          <cell r="N159">
            <v>1</v>
          </cell>
          <cell r="O159">
            <v>0</v>
          </cell>
          <cell r="P159">
            <v>0</v>
          </cell>
          <cell r="Q159">
            <v>1</v>
          </cell>
          <cell r="R159">
            <v>0</v>
          </cell>
          <cell r="S159">
            <v>0</v>
          </cell>
          <cell r="T159">
            <v>0</v>
          </cell>
          <cell r="U159">
            <v>0</v>
          </cell>
          <cell r="V159">
            <v>3</v>
          </cell>
          <cell r="W159">
            <v>0</v>
          </cell>
          <cell r="X159">
            <v>0</v>
          </cell>
          <cell r="Y159">
            <v>0</v>
          </cell>
          <cell r="Z159">
            <v>1</v>
          </cell>
          <cell r="AA159">
            <v>4</v>
          </cell>
          <cell r="AB159">
            <v>0.44444444444444442</v>
          </cell>
          <cell r="AC159">
            <v>0</v>
          </cell>
          <cell r="AD159">
            <v>8</v>
          </cell>
        </row>
        <row r="160">
          <cell r="A160">
            <v>40</v>
          </cell>
          <cell r="B160">
            <v>4</v>
          </cell>
          <cell r="C160">
            <v>2</v>
          </cell>
          <cell r="D160">
            <v>10855</v>
          </cell>
          <cell r="E160">
            <v>7</v>
          </cell>
          <cell r="F160">
            <v>11</v>
          </cell>
          <cell r="G160">
            <v>3</v>
          </cell>
          <cell r="H160">
            <v>1</v>
          </cell>
          <cell r="I160">
            <v>15</v>
          </cell>
          <cell r="J160">
            <v>2</v>
          </cell>
          <cell r="K160">
            <v>12</v>
          </cell>
          <cell r="L160">
            <v>11</v>
          </cell>
          <cell r="M160">
            <v>0</v>
          </cell>
          <cell r="N160">
            <v>0</v>
          </cell>
          <cell r="O160">
            <v>0</v>
          </cell>
          <cell r="P160">
            <v>1</v>
          </cell>
          <cell r="Q160">
            <v>0</v>
          </cell>
          <cell r="R160">
            <v>0</v>
          </cell>
          <cell r="S160">
            <v>0</v>
          </cell>
          <cell r="T160">
            <v>0</v>
          </cell>
          <cell r="U160">
            <v>4</v>
          </cell>
          <cell r="V160">
            <v>0</v>
          </cell>
          <cell r="W160">
            <v>0</v>
          </cell>
          <cell r="X160">
            <v>0</v>
          </cell>
          <cell r="Y160">
            <v>0</v>
          </cell>
          <cell r="Z160">
            <v>0</v>
          </cell>
          <cell r="AA160">
            <v>12</v>
          </cell>
          <cell r="AB160">
            <v>0.46666666666666667</v>
          </cell>
          <cell r="AC160">
            <v>0.91666666666666663</v>
          </cell>
          <cell r="AD160">
            <v>12</v>
          </cell>
        </row>
        <row r="161">
          <cell r="A161">
            <v>34</v>
          </cell>
          <cell r="B161">
            <v>4</v>
          </cell>
          <cell r="C161">
            <v>3</v>
          </cell>
          <cell r="D161">
            <v>2231</v>
          </cell>
          <cell r="E161">
            <v>6</v>
          </cell>
          <cell r="F161">
            <v>18</v>
          </cell>
          <cell r="G161">
            <v>3</v>
          </cell>
          <cell r="H161">
            <v>1</v>
          </cell>
          <cell r="I161">
            <v>6</v>
          </cell>
          <cell r="J161">
            <v>3</v>
          </cell>
          <cell r="K161">
            <v>4</v>
          </cell>
          <cell r="L161">
            <v>3</v>
          </cell>
          <cell r="M161">
            <v>0</v>
          </cell>
          <cell r="N161">
            <v>1</v>
          </cell>
          <cell r="O161">
            <v>0</v>
          </cell>
          <cell r="P161">
            <v>1</v>
          </cell>
          <cell r="Q161">
            <v>0</v>
          </cell>
          <cell r="R161">
            <v>0</v>
          </cell>
          <cell r="S161">
            <v>0</v>
          </cell>
          <cell r="T161">
            <v>0</v>
          </cell>
          <cell r="U161">
            <v>4</v>
          </cell>
          <cell r="V161">
            <v>0</v>
          </cell>
          <cell r="W161">
            <v>0</v>
          </cell>
          <cell r="X161">
            <v>0</v>
          </cell>
          <cell r="Y161">
            <v>1</v>
          </cell>
          <cell r="Z161">
            <v>0</v>
          </cell>
          <cell r="AA161">
            <v>9</v>
          </cell>
          <cell r="AB161">
            <v>1</v>
          </cell>
          <cell r="AC161">
            <v>0.75</v>
          </cell>
          <cell r="AD161">
            <v>36</v>
          </cell>
        </row>
        <row r="162">
          <cell r="A162">
            <v>22</v>
          </cell>
          <cell r="B162">
            <v>1</v>
          </cell>
          <cell r="C162">
            <v>3</v>
          </cell>
          <cell r="D162">
            <v>2323</v>
          </cell>
          <cell r="E162">
            <v>1</v>
          </cell>
          <cell r="F162">
            <v>24</v>
          </cell>
          <cell r="G162">
            <v>4</v>
          </cell>
          <cell r="H162">
            <v>2</v>
          </cell>
          <cell r="I162">
            <v>2</v>
          </cell>
          <cell r="J162">
            <v>6</v>
          </cell>
          <cell r="K162">
            <v>2</v>
          </cell>
          <cell r="L162">
            <v>2</v>
          </cell>
          <cell r="M162">
            <v>0</v>
          </cell>
          <cell r="N162">
            <v>0</v>
          </cell>
          <cell r="O162">
            <v>0</v>
          </cell>
          <cell r="P162">
            <v>0</v>
          </cell>
          <cell r="Q162">
            <v>1</v>
          </cell>
          <cell r="R162">
            <v>0</v>
          </cell>
          <cell r="S162">
            <v>0</v>
          </cell>
          <cell r="T162">
            <v>0</v>
          </cell>
          <cell r="U162">
            <v>0</v>
          </cell>
          <cell r="V162">
            <v>1</v>
          </cell>
          <cell r="W162">
            <v>0</v>
          </cell>
          <cell r="X162">
            <v>0</v>
          </cell>
          <cell r="Y162">
            <v>0</v>
          </cell>
          <cell r="Z162">
            <v>0</v>
          </cell>
          <cell r="AA162">
            <v>12</v>
          </cell>
          <cell r="AB162">
            <v>0.5</v>
          </cell>
          <cell r="AC162">
            <v>1</v>
          </cell>
          <cell r="AD162">
            <v>12</v>
          </cell>
        </row>
        <row r="163">
          <cell r="A163">
            <v>27</v>
          </cell>
          <cell r="B163">
            <v>3</v>
          </cell>
          <cell r="C163">
            <v>3</v>
          </cell>
          <cell r="D163">
            <v>2024</v>
          </cell>
          <cell r="E163">
            <v>6</v>
          </cell>
          <cell r="F163">
            <v>18</v>
          </cell>
          <cell r="G163">
            <v>3</v>
          </cell>
          <cell r="H163">
            <v>1</v>
          </cell>
          <cell r="I163">
            <v>6</v>
          </cell>
          <cell r="J163">
            <v>1</v>
          </cell>
          <cell r="K163">
            <v>2</v>
          </cell>
          <cell r="L163">
            <v>2</v>
          </cell>
          <cell r="M163">
            <v>0</v>
          </cell>
          <cell r="N163">
            <v>0</v>
          </cell>
          <cell r="O163">
            <v>0</v>
          </cell>
          <cell r="P163">
            <v>0</v>
          </cell>
          <cell r="Q163">
            <v>1</v>
          </cell>
          <cell r="R163">
            <v>0</v>
          </cell>
          <cell r="S163">
            <v>0</v>
          </cell>
          <cell r="T163">
            <v>0</v>
          </cell>
          <cell r="U163">
            <v>0</v>
          </cell>
          <cell r="V163">
            <v>3</v>
          </cell>
          <cell r="W163">
            <v>0</v>
          </cell>
          <cell r="X163">
            <v>0</v>
          </cell>
          <cell r="Y163">
            <v>0</v>
          </cell>
          <cell r="Z163">
            <v>0</v>
          </cell>
          <cell r="AA163">
            <v>8</v>
          </cell>
          <cell r="AB163">
            <v>1</v>
          </cell>
          <cell r="AC163">
            <v>1</v>
          </cell>
          <cell r="AD163">
            <v>32</v>
          </cell>
        </row>
        <row r="164">
          <cell r="A164">
            <v>28</v>
          </cell>
          <cell r="B164">
            <v>3</v>
          </cell>
          <cell r="C164">
            <v>3</v>
          </cell>
          <cell r="D164">
            <v>2713</v>
          </cell>
          <cell r="E164">
            <v>1</v>
          </cell>
          <cell r="F164">
            <v>11</v>
          </cell>
          <cell r="G164">
            <v>3</v>
          </cell>
          <cell r="H164">
            <v>1</v>
          </cell>
          <cell r="I164">
            <v>5</v>
          </cell>
          <cell r="J164">
            <v>2</v>
          </cell>
          <cell r="K164">
            <v>5</v>
          </cell>
          <cell r="L164">
            <v>2</v>
          </cell>
          <cell r="M164">
            <v>0</v>
          </cell>
          <cell r="N164">
            <v>0</v>
          </cell>
          <cell r="O164">
            <v>0</v>
          </cell>
          <cell r="P164">
            <v>0</v>
          </cell>
          <cell r="Q164">
            <v>1</v>
          </cell>
          <cell r="R164">
            <v>0</v>
          </cell>
          <cell r="S164">
            <v>0</v>
          </cell>
          <cell r="T164">
            <v>0</v>
          </cell>
          <cell r="U164">
            <v>0</v>
          </cell>
          <cell r="V164">
            <v>3</v>
          </cell>
          <cell r="W164">
            <v>0</v>
          </cell>
          <cell r="X164">
            <v>0</v>
          </cell>
          <cell r="Y164">
            <v>0</v>
          </cell>
          <cell r="Z164">
            <v>0</v>
          </cell>
          <cell r="AA164">
            <v>12</v>
          </cell>
          <cell r="AB164">
            <v>0.2</v>
          </cell>
          <cell r="AC164">
            <v>0.4</v>
          </cell>
          <cell r="AD164">
            <v>36</v>
          </cell>
        </row>
        <row r="165">
          <cell r="A165">
            <v>57</v>
          </cell>
          <cell r="B165">
            <v>2</v>
          </cell>
          <cell r="C165">
            <v>4</v>
          </cell>
          <cell r="D165">
            <v>9439</v>
          </cell>
          <cell r="E165">
            <v>3</v>
          </cell>
          <cell r="F165">
            <v>16</v>
          </cell>
          <cell r="G165">
            <v>3</v>
          </cell>
          <cell r="H165">
            <v>1</v>
          </cell>
          <cell r="I165">
            <v>12</v>
          </cell>
          <cell r="J165">
            <v>2</v>
          </cell>
          <cell r="K165">
            <v>5</v>
          </cell>
          <cell r="L165">
            <v>3</v>
          </cell>
          <cell r="M165">
            <v>1</v>
          </cell>
          <cell r="N165">
            <v>0</v>
          </cell>
          <cell r="O165">
            <v>1</v>
          </cell>
          <cell r="P165">
            <v>0</v>
          </cell>
          <cell r="Q165">
            <v>0</v>
          </cell>
          <cell r="R165">
            <v>0</v>
          </cell>
          <cell r="S165">
            <v>0</v>
          </cell>
          <cell r="T165">
            <v>2</v>
          </cell>
          <cell r="U165">
            <v>0</v>
          </cell>
          <cell r="V165">
            <v>0</v>
          </cell>
          <cell r="W165">
            <v>0</v>
          </cell>
          <cell r="X165">
            <v>0</v>
          </cell>
          <cell r="Y165">
            <v>0</v>
          </cell>
          <cell r="Z165">
            <v>0</v>
          </cell>
          <cell r="AA165">
            <v>12</v>
          </cell>
          <cell r="AB165">
            <v>0.25</v>
          </cell>
          <cell r="AC165">
            <v>0.6</v>
          </cell>
          <cell r="AD165">
            <v>24</v>
          </cell>
        </row>
        <row r="166">
          <cell r="A166">
            <v>27</v>
          </cell>
          <cell r="B166">
            <v>3</v>
          </cell>
          <cell r="C166">
            <v>2</v>
          </cell>
          <cell r="D166">
            <v>2566</v>
          </cell>
          <cell r="E166">
            <v>1</v>
          </cell>
          <cell r="F166">
            <v>15</v>
          </cell>
          <cell r="G166">
            <v>3</v>
          </cell>
          <cell r="H166">
            <v>1</v>
          </cell>
          <cell r="I166">
            <v>1</v>
          </cell>
          <cell r="J166">
            <v>2</v>
          </cell>
          <cell r="K166">
            <v>1</v>
          </cell>
          <cell r="L166">
            <v>1</v>
          </cell>
          <cell r="M166">
            <v>1</v>
          </cell>
          <cell r="N166">
            <v>0</v>
          </cell>
          <cell r="O166">
            <v>0</v>
          </cell>
          <cell r="P166">
            <v>0</v>
          </cell>
          <cell r="Q166">
            <v>1</v>
          </cell>
          <cell r="R166">
            <v>0</v>
          </cell>
          <cell r="S166">
            <v>0</v>
          </cell>
          <cell r="T166">
            <v>0</v>
          </cell>
          <cell r="U166">
            <v>0</v>
          </cell>
          <cell r="V166">
            <v>3</v>
          </cell>
          <cell r="W166">
            <v>0</v>
          </cell>
          <cell r="X166">
            <v>0</v>
          </cell>
          <cell r="Y166">
            <v>0</v>
          </cell>
          <cell r="Z166">
            <v>0</v>
          </cell>
          <cell r="AA166">
            <v>9</v>
          </cell>
          <cell r="AB166">
            <v>1</v>
          </cell>
          <cell r="AC166">
            <v>1</v>
          </cell>
          <cell r="AD166">
            <v>36</v>
          </cell>
        </row>
        <row r="167">
          <cell r="A167">
            <v>50</v>
          </cell>
          <cell r="B167">
            <v>3</v>
          </cell>
          <cell r="C167">
            <v>3</v>
          </cell>
          <cell r="D167">
            <v>19926</v>
          </cell>
          <cell r="E167">
            <v>3</v>
          </cell>
          <cell r="F167">
            <v>15</v>
          </cell>
          <cell r="G167">
            <v>3</v>
          </cell>
          <cell r="H167">
            <v>0</v>
          </cell>
          <cell r="I167">
            <v>21</v>
          </cell>
          <cell r="J167">
            <v>5</v>
          </cell>
          <cell r="K167">
            <v>5</v>
          </cell>
          <cell r="L167">
            <v>4</v>
          </cell>
          <cell r="M167">
            <v>0</v>
          </cell>
          <cell r="N167">
            <v>1</v>
          </cell>
          <cell r="O167">
            <v>1</v>
          </cell>
          <cell r="P167">
            <v>0</v>
          </cell>
          <cell r="Q167">
            <v>0</v>
          </cell>
          <cell r="R167">
            <v>0</v>
          </cell>
          <cell r="S167">
            <v>0</v>
          </cell>
          <cell r="T167">
            <v>3</v>
          </cell>
          <cell r="U167">
            <v>0</v>
          </cell>
          <cell r="V167">
            <v>0</v>
          </cell>
          <cell r="W167">
            <v>0</v>
          </cell>
          <cell r="X167">
            <v>0</v>
          </cell>
          <cell r="Y167">
            <v>0</v>
          </cell>
          <cell r="Z167">
            <v>0</v>
          </cell>
          <cell r="AA167">
            <v>6</v>
          </cell>
          <cell r="AB167">
            <v>0.14285714285714285</v>
          </cell>
          <cell r="AC167">
            <v>0.8</v>
          </cell>
          <cell r="AD167">
            <v>12</v>
          </cell>
        </row>
        <row r="168">
          <cell r="A168">
            <v>41</v>
          </cell>
          <cell r="B168">
            <v>3</v>
          </cell>
          <cell r="C168">
            <v>3</v>
          </cell>
          <cell r="D168">
            <v>2451</v>
          </cell>
          <cell r="E168">
            <v>4</v>
          </cell>
          <cell r="F168">
            <v>12</v>
          </cell>
          <cell r="G168">
            <v>3</v>
          </cell>
          <cell r="H168">
            <v>1</v>
          </cell>
          <cell r="I168">
            <v>13</v>
          </cell>
          <cell r="J168">
            <v>2</v>
          </cell>
          <cell r="K168">
            <v>9</v>
          </cell>
          <cell r="L168">
            <v>8</v>
          </cell>
          <cell r="M168">
            <v>0</v>
          </cell>
          <cell r="N168">
            <v>0</v>
          </cell>
          <cell r="O168">
            <v>1</v>
          </cell>
          <cell r="P168">
            <v>0</v>
          </cell>
          <cell r="Q168">
            <v>0</v>
          </cell>
          <cell r="R168">
            <v>0</v>
          </cell>
          <cell r="S168">
            <v>0</v>
          </cell>
          <cell r="T168">
            <v>3</v>
          </cell>
          <cell r="U168">
            <v>0</v>
          </cell>
          <cell r="V168">
            <v>0</v>
          </cell>
          <cell r="W168">
            <v>0</v>
          </cell>
          <cell r="X168">
            <v>0</v>
          </cell>
          <cell r="Y168">
            <v>0</v>
          </cell>
          <cell r="Z168">
            <v>0</v>
          </cell>
          <cell r="AA168">
            <v>3</v>
          </cell>
          <cell r="AB168">
            <v>0.30769230769230771</v>
          </cell>
          <cell r="AC168">
            <v>0.88888888888888884</v>
          </cell>
          <cell r="AD168">
            <v>3</v>
          </cell>
        </row>
        <row r="169">
          <cell r="A169">
            <v>30</v>
          </cell>
          <cell r="B169">
            <v>3</v>
          </cell>
          <cell r="C169">
            <v>3</v>
          </cell>
          <cell r="D169">
            <v>9419</v>
          </cell>
          <cell r="E169">
            <v>2</v>
          </cell>
          <cell r="F169">
            <v>12</v>
          </cell>
          <cell r="G169">
            <v>3</v>
          </cell>
          <cell r="H169">
            <v>1</v>
          </cell>
          <cell r="I169">
            <v>12</v>
          </cell>
          <cell r="J169">
            <v>2</v>
          </cell>
          <cell r="K169">
            <v>10</v>
          </cell>
          <cell r="L169">
            <v>9</v>
          </cell>
          <cell r="M169">
            <v>0</v>
          </cell>
          <cell r="N169">
            <v>1</v>
          </cell>
          <cell r="O169">
            <v>1</v>
          </cell>
          <cell r="P169">
            <v>0</v>
          </cell>
          <cell r="Q169">
            <v>0</v>
          </cell>
          <cell r="R169">
            <v>0</v>
          </cell>
          <cell r="S169">
            <v>0</v>
          </cell>
          <cell r="T169">
            <v>3</v>
          </cell>
          <cell r="U169">
            <v>0</v>
          </cell>
          <cell r="V169">
            <v>0</v>
          </cell>
          <cell r="W169">
            <v>0</v>
          </cell>
          <cell r="X169">
            <v>0</v>
          </cell>
          <cell r="Y169">
            <v>0</v>
          </cell>
          <cell r="Z169">
            <v>0</v>
          </cell>
          <cell r="AA169">
            <v>8</v>
          </cell>
          <cell r="AB169">
            <v>0.16666666666666666</v>
          </cell>
          <cell r="AC169">
            <v>0.9</v>
          </cell>
          <cell r="AD169">
            <v>24</v>
          </cell>
        </row>
        <row r="170">
          <cell r="A170">
            <v>38</v>
          </cell>
          <cell r="B170">
            <v>4</v>
          </cell>
          <cell r="C170">
            <v>2</v>
          </cell>
          <cell r="D170">
            <v>8686</v>
          </cell>
          <cell r="E170">
            <v>4</v>
          </cell>
          <cell r="F170">
            <v>22</v>
          </cell>
          <cell r="G170">
            <v>4</v>
          </cell>
          <cell r="H170">
            <v>0</v>
          </cell>
          <cell r="I170">
            <v>12</v>
          </cell>
          <cell r="J170">
            <v>2</v>
          </cell>
          <cell r="K170">
            <v>8</v>
          </cell>
          <cell r="L170">
            <v>3</v>
          </cell>
          <cell r="M170">
            <v>0</v>
          </cell>
          <cell r="N170">
            <v>1</v>
          </cell>
          <cell r="O170">
            <v>1</v>
          </cell>
          <cell r="P170">
            <v>0</v>
          </cell>
          <cell r="Q170">
            <v>0</v>
          </cell>
          <cell r="R170">
            <v>0</v>
          </cell>
          <cell r="S170">
            <v>0</v>
          </cell>
          <cell r="T170">
            <v>4</v>
          </cell>
          <cell r="U170">
            <v>0</v>
          </cell>
          <cell r="V170">
            <v>0</v>
          </cell>
          <cell r="W170">
            <v>0</v>
          </cell>
          <cell r="X170">
            <v>0</v>
          </cell>
          <cell r="Y170">
            <v>0</v>
          </cell>
          <cell r="Z170">
            <v>0</v>
          </cell>
          <cell r="AA170">
            <v>4</v>
          </cell>
          <cell r="AB170">
            <v>0.33333333333333331</v>
          </cell>
          <cell r="AC170">
            <v>0.375</v>
          </cell>
          <cell r="AD170">
            <v>12</v>
          </cell>
        </row>
        <row r="171">
          <cell r="A171">
            <v>32</v>
          </cell>
          <cell r="B171">
            <v>5</v>
          </cell>
          <cell r="C171">
            <v>3</v>
          </cell>
          <cell r="D171">
            <v>3038</v>
          </cell>
          <cell r="E171">
            <v>3</v>
          </cell>
          <cell r="F171">
            <v>20</v>
          </cell>
          <cell r="G171">
            <v>4</v>
          </cell>
          <cell r="H171">
            <v>0</v>
          </cell>
          <cell r="I171">
            <v>8</v>
          </cell>
          <cell r="J171">
            <v>2</v>
          </cell>
          <cell r="K171">
            <v>5</v>
          </cell>
          <cell r="L171">
            <v>4</v>
          </cell>
          <cell r="M171">
            <v>0</v>
          </cell>
          <cell r="N171">
            <v>0</v>
          </cell>
          <cell r="O171">
            <v>1</v>
          </cell>
          <cell r="P171">
            <v>0</v>
          </cell>
          <cell r="Q171">
            <v>0</v>
          </cell>
          <cell r="R171">
            <v>0</v>
          </cell>
          <cell r="S171">
            <v>0</v>
          </cell>
          <cell r="T171">
            <v>5</v>
          </cell>
          <cell r="U171">
            <v>0</v>
          </cell>
          <cell r="V171">
            <v>0</v>
          </cell>
          <cell r="W171">
            <v>0</v>
          </cell>
          <cell r="X171">
            <v>0</v>
          </cell>
          <cell r="Y171">
            <v>0</v>
          </cell>
          <cell r="Z171">
            <v>0</v>
          </cell>
          <cell r="AA171">
            <v>9</v>
          </cell>
          <cell r="AB171">
            <v>0.375</v>
          </cell>
          <cell r="AC171">
            <v>0.8</v>
          </cell>
          <cell r="AD171">
            <v>9</v>
          </cell>
        </row>
        <row r="172">
          <cell r="A172">
            <v>27</v>
          </cell>
          <cell r="B172">
            <v>3</v>
          </cell>
          <cell r="C172">
            <v>3</v>
          </cell>
          <cell r="D172">
            <v>3058</v>
          </cell>
          <cell r="E172">
            <v>0</v>
          </cell>
          <cell r="F172">
            <v>16</v>
          </cell>
          <cell r="G172">
            <v>3</v>
          </cell>
          <cell r="H172">
            <v>1</v>
          </cell>
          <cell r="I172">
            <v>6</v>
          </cell>
          <cell r="J172">
            <v>3</v>
          </cell>
          <cell r="K172">
            <v>5</v>
          </cell>
          <cell r="L172">
            <v>2</v>
          </cell>
          <cell r="M172">
            <v>1</v>
          </cell>
          <cell r="N172">
            <v>0</v>
          </cell>
          <cell r="O172">
            <v>0</v>
          </cell>
          <cell r="P172">
            <v>0</v>
          </cell>
          <cell r="Q172">
            <v>0</v>
          </cell>
          <cell r="R172">
            <v>0</v>
          </cell>
          <cell r="S172">
            <v>1</v>
          </cell>
          <cell r="T172">
            <v>0</v>
          </cell>
          <cell r="U172">
            <v>0</v>
          </cell>
          <cell r="V172">
            <v>0</v>
          </cell>
          <cell r="W172">
            <v>0</v>
          </cell>
          <cell r="X172">
            <v>3</v>
          </cell>
          <cell r="Y172">
            <v>0</v>
          </cell>
          <cell r="Z172">
            <v>1</v>
          </cell>
          <cell r="AA172">
            <v>6</v>
          </cell>
          <cell r="AB172">
            <v>0</v>
          </cell>
          <cell r="AC172">
            <v>0.4</v>
          </cell>
          <cell r="AD172">
            <v>24</v>
          </cell>
        </row>
        <row r="173">
          <cell r="A173">
            <v>19</v>
          </cell>
          <cell r="B173">
            <v>1</v>
          </cell>
          <cell r="C173">
            <v>1</v>
          </cell>
          <cell r="D173">
            <v>2325</v>
          </cell>
          <cell r="E173">
            <v>0</v>
          </cell>
          <cell r="F173">
            <v>21</v>
          </cell>
          <cell r="G173">
            <v>4</v>
          </cell>
          <cell r="H173">
            <v>0</v>
          </cell>
          <cell r="I173">
            <v>1</v>
          </cell>
          <cell r="J173">
            <v>5</v>
          </cell>
          <cell r="K173">
            <v>0</v>
          </cell>
          <cell r="L173">
            <v>0</v>
          </cell>
          <cell r="M173">
            <v>0</v>
          </cell>
          <cell r="N173">
            <v>1</v>
          </cell>
          <cell r="O173">
            <v>0</v>
          </cell>
          <cell r="P173">
            <v>0</v>
          </cell>
          <cell r="Q173">
            <v>0</v>
          </cell>
          <cell r="R173">
            <v>0</v>
          </cell>
          <cell r="S173">
            <v>1</v>
          </cell>
          <cell r="T173">
            <v>0</v>
          </cell>
          <cell r="U173">
            <v>0</v>
          </cell>
          <cell r="V173">
            <v>0</v>
          </cell>
          <cell r="W173">
            <v>0</v>
          </cell>
          <cell r="X173">
            <v>1</v>
          </cell>
          <cell r="Y173">
            <v>0</v>
          </cell>
          <cell r="Z173">
            <v>0</v>
          </cell>
          <cell r="AA173">
            <v>3</v>
          </cell>
          <cell r="AB173">
            <v>0</v>
          </cell>
          <cell r="AC173">
            <v>0</v>
          </cell>
          <cell r="AD173">
            <v>3</v>
          </cell>
        </row>
        <row r="174">
          <cell r="A174">
            <v>36</v>
          </cell>
          <cell r="B174">
            <v>2</v>
          </cell>
          <cell r="C174">
            <v>3</v>
          </cell>
          <cell r="D174">
            <v>2088</v>
          </cell>
          <cell r="E174">
            <v>4</v>
          </cell>
          <cell r="F174">
            <v>12</v>
          </cell>
          <cell r="G174">
            <v>3</v>
          </cell>
          <cell r="H174">
            <v>0</v>
          </cell>
          <cell r="I174">
            <v>13</v>
          </cell>
          <cell r="J174">
            <v>3</v>
          </cell>
          <cell r="K174">
            <v>8</v>
          </cell>
          <cell r="L174">
            <v>7</v>
          </cell>
          <cell r="M174">
            <v>0</v>
          </cell>
          <cell r="N174">
            <v>0</v>
          </cell>
          <cell r="O174">
            <v>0</v>
          </cell>
          <cell r="P174">
            <v>0</v>
          </cell>
          <cell r="Q174">
            <v>1</v>
          </cell>
          <cell r="R174">
            <v>0</v>
          </cell>
          <cell r="S174">
            <v>0</v>
          </cell>
          <cell r="T174">
            <v>0</v>
          </cell>
          <cell r="U174">
            <v>0</v>
          </cell>
          <cell r="V174">
            <v>2</v>
          </cell>
          <cell r="W174">
            <v>0</v>
          </cell>
          <cell r="X174">
            <v>0</v>
          </cell>
          <cell r="Y174">
            <v>0</v>
          </cell>
          <cell r="Z174">
            <v>0</v>
          </cell>
          <cell r="AA174">
            <v>8</v>
          </cell>
          <cell r="AB174">
            <v>0.30769230769230771</v>
          </cell>
          <cell r="AC174">
            <v>0.875</v>
          </cell>
          <cell r="AD174">
            <v>24</v>
          </cell>
        </row>
        <row r="175">
          <cell r="A175">
            <v>30</v>
          </cell>
          <cell r="B175">
            <v>3</v>
          </cell>
          <cell r="C175">
            <v>3</v>
          </cell>
          <cell r="D175">
            <v>3072</v>
          </cell>
          <cell r="E175">
            <v>1</v>
          </cell>
          <cell r="F175">
            <v>11</v>
          </cell>
          <cell r="G175">
            <v>3</v>
          </cell>
          <cell r="H175">
            <v>2</v>
          </cell>
          <cell r="I175">
            <v>12</v>
          </cell>
          <cell r="J175">
            <v>4</v>
          </cell>
          <cell r="K175">
            <v>12</v>
          </cell>
          <cell r="L175">
            <v>9</v>
          </cell>
          <cell r="M175">
            <v>0</v>
          </cell>
          <cell r="N175">
            <v>0</v>
          </cell>
          <cell r="O175">
            <v>0</v>
          </cell>
          <cell r="P175">
            <v>0</v>
          </cell>
          <cell r="Q175">
            <v>1</v>
          </cell>
          <cell r="R175">
            <v>0</v>
          </cell>
          <cell r="S175">
            <v>0</v>
          </cell>
          <cell r="T175">
            <v>0</v>
          </cell>
          <cell r="U175">
            <v>0</v>
          </cell>
          <cell r="V175">
            <v>3</v>
          </cell>
          <cell r="W175">
            <v>0</v>
          </cell>
          <cell r="X175">
            <v>0</v>
          </cell>
          <cell r="Y175">
            <v>0</v>
          </cell>
          <cell r="Z175">
            <v>0</v>
          </cell>
          <cell r="AA175">
            <v>3</v>
          </cell>
          <cell r="AB175">
            <v>8.3333333333333329E-2</v>
          </cell>
          <cell r="AC175">
            <v>0.75</v>
          </cell>
          <cell r="AD175">
            <v>9</v>
          </cell>
        </row>
        <row r="176">
          <cell r="A176">
            <v>45</v>
          </cell>
          <cell r="B176">
            <v>2</v>
          </cell>
          <cell r="C176">
            <v>3</v>
          </cell>
          <cell r="D176">
            <v>5006</v>
          </cell>
          <cell r="E176">
            <v>4</v>
          </cell>
          <cell r="F176">
            <v>11</v>
          </cell>
          <cell r="G176">
            <v>3</v>
          </cell>
          <cell r="H176">
            <v>1</v>
          </cell>
          <cell r="I176">
            <v>9</v>
          </cell>
          <cell r="J176">
            <v>3</v>
          </cell>
          <cell r="K176">
            <v>5</v>
          </cell>
          <cell r="L176">
            <v>4</v>
          </cell>
          <cell r="M176">
            <v>1</v>
          </cell>
          <cell r="N176">
            <v>1</v>
          </cell>
          <cell r="O176">
            <v>1</v>
          </cell>
          <cell r="P176">
            <v>0</v>
          </cell>
          <cell r="Q176">
            <v>0</v>
          </cell>
          <cell r="R176">
            <v>0</v>
          </cell>
          <cell r="S176">
            <v>0</v>
          </cell>
          <cell r="T176">
            <v>2</v>
          </cell>
          <cell r="U176">
            <v>0</v>
          </cell>
          <cell r="V176">
            <v>0</v>
          </cell>
          <cell r="W176">
            <v>0</v>
          </cell>
          <cell r="X176">
            <v>0</v>
          </cell>
          <cell r="Y176">
            <v>0</v>
          </cell>
          <cell r="Z176">
            <v>0</v>
          </cell>
          <cell r="AA176">
            <v>3</v>
          </cell>
          <cell r="AB176">
            <v>0.44444444444444442</v>
          </cell>
          <cell r="AC176">
            <v>0.8</v>
          </cell>
          <cell r="AD176">
            <v>3</v>
          </cell>
        </row>
        <row r="177">
          <cell r="A177">
            <v>56</v>
          </cell>
          <cell r="B177">
            <v>3</v>
          </cell>
          <cell r="C177">
            <v>3</v>
          </cell>
          <cell r="D177">
            <v>4257</v>
          </cell>
          <cell r="E177">
            <v>4</v>
          </cell>
          <cell r="F177">
            <v>18</v>
          </cell>
          <cell r="G177">
            <v>3</v>
          </cell>
          <cell r="H177">
            <v>1</v>
          </cell>
          <cell r="I177">
            <v>19</v>
          </cell>
          <cell r="J177">
            <v>3</v>
          </cell>
          <cell r="K177">
            <v>2</v>
          </cell>
          <cell r="L177">
            <v>2</v>
          </cell>
          <cell r="M177">
            <v>1</v>
          </cell>
          <cell r="N177">
            <v>1</v>
          </cell>
          <cell r="O177">
            <v>1</v>
          </cell>
          <cell r="P177">
            <v>0</v>
          </cell>
          <cell r="Q177">
            <v>0</v>
          </cell>
          <cell r="R177">
            <v>0</v>
          </cell>
          <cell r="S177">
            <v>0</v>
          </cell>
          <cell r="T177">
            <v>3</v>
          </cell>
          <cell r="U177">
            <v>0</v>
          </cell>
          <cell r="V177">
            <v>0</v>
          </cell>
          <cell r="W177">
            <v>0</v>
          </cell>
          <cell r="X177">
            <v>0</v>
          </cell>
          <cell r="Y177">
            <v>0</v>
          </cell>
          <cell r="Z177">
            <v>0</v>
          </cell>
          <cell r="AA177">
            <v>3</v>
          </cell>
          <cell r="AB177">
            <v>0.21052631578947367</v>
          </cell>
          <cell r="AC177">
            <v>1</v>
          </cell>
          <cell r="AD177">
            <v>9</v>
          </cell>
        </row>
        <row r="178">
          <cell r="A178">
            <v>33</v>
          </cell>
          <cell r="B178">
            <v>3</v>
          </cell>
          <cell r="C178">
            <v>3</v>
          </cell>
          <cell r="D178">
            <v>2500</v>
          </cell>
          <cell r="E178">
            <v>0</v>
          </cell>
          <cell r="F178">
            <v>14</v>
          </cell>
          <cell r="G178">
            <v>3</v>
          </cell>
          <cell r="H178">
            <v>0</v>
          </cell>
          <cell r="I178">
            <v>4</v>
          </cell>
          <cell r="J178">
            <v>2</v>
          </cell>
          <cell r="K178">
            <v>3</v>
          </cell>
          <cell r="L178">
            <v>1</v>
          </cell>
          <cell r="M178">
            <v>0</v>
          </cell>
          <cell r="N178">
            <v>0</v>
          </cell>
          <cell r="O178">
            <v>1</v>
          </cell>
          <cell r="P178">
            <v>0</v>
          </cell>
          <cell r="Q178">
            <v>0</v>
          </cell>
          <cell r="R178">
            <v>0</v>
          </cell>
          <cell r="S178">
            <v>0</v>
          </cell>
          <cell r="T178">
            <v>3</v>
          </cell>
          <cell r="U178">
            <v>0</v>
          </cell>
          <cell r="V178">
            <v>0</v>
          </cell>
          <cell r="W178">
            <v>0</v>
          </cell>
          <cell r="X178">
            <v>0</v>
          </cell>
          <cell r="Y178">
            <v>0</v>
          </cell>
          <cell r="Z178">
            <v>0</v>
          </cell>
          <cell r="AA178">
            <v>12</v>
          </cell>
          <cell r="AB178">
            <v>0</v>
          </cell>
          <cell r="AC178">
            <v>0.33333333333333331</v>
          </cell>
          <cell r="AD178">
            <v>12</v>
          </cell>
        </row>
        <row r="179">
          <cell r="A179">
            <v>19</v>
          </cell>
          <cell r="B179">
            <v>3</v>
          </cell>
          <cell r="C179">
            <v>2</v>
          </cell>
          <cell r="D179">
            <v>1102</v>
          </cell>
          <cell r="E179">
            <v>1</v>
          </cell>
          <cell r="F179">
            <v>22</v>
          </cell>
          <cell r="G179">
            <v>4</v>
          </cell>
          <cell r="H179">
            <v>0</v>
          </cell>
          <cell r="I179">
            <v>1</v>
          </cell>
          <cell r="J179">
            <v>3</v>
          </cell>
          <cell r="K179">
            <v>1</v>
          </cell>
          <cell r="L179">
            <v>0</v>
          </cell>
          <cell r="M179">
            <v>0</v>
          </cell>
          <cell r="N179">
            <v>0</v>
          </cell>
          <cell r="O179">
            <v>1</v>
          </cell>
          <cell r="P179">
            <v>0</v>
          </cell>
          <cell r="Q179">
            <v>0</v>
          </cell>
          <cell r="R179">
            <v>0</v>
          </cell>
          <cell r="S179">
            <v>0</v>
          </cell>
          <cell r="T179">
            <v>3</v>
          </cell>
          <cell r="U179">
            <v>0</v>
          </cell>
          <cell r="V179">
            <v>0</v>
          </cell>
          <cell r="W179">
            <v>0</v>
          </cell>
          <cell r="X179">
            <v>0</v>
          </cell>
          <cell r="Y179">
            <v>0</v>
          </cell>
          <cell r="Z179">
            <v>0</v>
          </cell>
          <cell r="AA179">
            <v>8</v>
          </cell>
          <cell r="AB179">
            <v>1</v>
          </cell>
          <cell r="AC179">
            <v>0</v>
          </cell>
          <cell r="AD179">
            <v>24</v>
          </cell>
        </row>
        <row r="180">
          <cell r="A180">
            <v>46</v>
          </cell>
          <cell r="B180">
            <v>2</v>
          </cell>
          <cell r="C180">
            <v>3</v>
          </cell>
          <cell r="D180">
            <v>10453</v>
          </cell>
          <cell r="E180">
            <v>1</v>
          </cell>
          <cell r="F180">
            <v>25</v>
          </cell>
          <cell r="G180">
            <v>4</v>
          </cell>
          <cell r="H180">
            <v>3</v>
          </cell>
          <cell r="I180">
            <v>24</v>
          </cell>
          <cell r="J180">
            <v>2</v>
          </cell>
          <cell r="K180">
            <v>24</v>
          </cell>
          <cell r="L180">
            <v>13</v>
          </cell>
          <cell r="M180">
            <v>0</v>
          </cell>
          <cell r="N180">
            <v>1</v>
          </cell>
          <cell r="O180">
            <v>0</v>
          </cell>
          <cell r="P180">
            <v>1</v>
          </cell>
          <cell r="Q180">
            <v>0</v>
          </cell>
          <cell r="R180">
            <v>0</v>
          </cell>
          <cell r="S180">
            <v>0</v>
          </cell>
          <cell r="T180">
            <v>0</v>
          </cell>
          <cell r="U180">
            <v>2</v>
          </cell>
          <cell r="V180">
            <v>0</v>
          </cell>
          <cell r="W180">
            <v>0</v>
          </cell>
          <cell r="X180">
            <v>0</v>
          </cell>
          <cell r="Y180">
            <v>0</v>
          </cell>
          <cell r="Z180">
            <v>0</v>
          </cell>
          <cell r="AA180">
            <v>2</v>
          </cell>
          <cell r="AB180">
            <v>4.1666666666666664E-2</v>
          </cell>
          <cell r="AC180">
            <v>0.54166666666666663</v>
          </cell>
          <cell r="AD180">
            <v>6</v>
          </cell>
        </row>
        <row r="181">
          <cell r="A181">
            <v>38</v>
          </cell>
          <cell r="B181">
            <v>2</v>
          </cell>
          <cell r="C181">
            <v>3</v>
          </cell>
          <cell r="D181">
            <v>2288</v>
          </cell>
          <cell r="E181">
            <v>1</v>
          </cell>
          <cell r="F181">
            <v>12</v>
          </cell>
          <cell r="G181">
            <v>3</v>
          </cell>
          <cell r="H181">
            <v>0</v>
          </cell>
          <cell r="I181">
            <v>2</v>
          </cell>
          <cell r="J181">
            <v>3</v>
          </cell>
          <cell r="K181">
            <v>2</v>
          </cell>
          <cell r="L181">
            <v>2</v>
          </cell>
          <cell r="M181">
            <v>0</v>
          </cell>
          <cell r="N181">
            <v>1</v>
          </cell>
          <cell r="O181">
            <v>1</v>
          </cell>
          <cell r="P181">
            <v>0</v>
          </cell>
          <cell r="Q181">
            <v>0</v>
          </cell>
          <cell r="R181">
            <v>0</v>
          </cell>
          <cell r="S181">
            <v>0</v>
          </cell>
          <cell r="T181">
            <v>2</v>
          </cell>
          <cell r="U181">
            <v>0</v>
          </cell>
          <cell r="V181">
            <v>0</v>
          </cell>
          <cell r="W181">
            <v>0</v>
          </cell>
          <cell r="X181">
            <v>0</v>
          </cell>
          <cell r="Y181">
            <v>0</v>
          </cell>
          <cell r="Z181">
            <v>0</v>
          </cell>
          <cell r="AA181">
            <v>12</v>
          </cell>
          <cell r="AB181">
            <v>0.5</v>
          </cell>
          <cell r="AC181">
            <v>1</v>
          </cell>
          <cell r="AD181">
            <v>36</v>
          </cell>
        </row>
        <row r="182">
          <cell r="A182">
            <v>31</v>
          </cell>
          <cell r="B182">
            <v>1</v>
          </cell>
          <cell r="C182">
            <v>3</v>
          </cell>
          <cell r="D182">
            <v>3929</v>
          </cell>
          <cell r="E182">
            <v>8</v>
          </cell>
          <cell r="F182">
            <v>23</v>
          </cell>
          <cell r="G182">
            <v>4</v>
          </cell>
          <cell r="H182">
            <v>1</v>
          </cell>
          <cell r="I182">
            <v>7</v>
          </cell>
          <cell r="J182">
            <v>0</v>
          </cell>
          <cell r="K182">
            <v>4</v>
          </cell>
          <cell r="L182">
            <v>2</v>
          </cell>
          <cell r="M182">
            <v>1</v>
          </cell>
          <cell r="N182">
            <v>1</v>
          </cell>
          <cell r="O182">
            <v>0</v>
          </cell>
          <cell r="P182">
            <v>0</v>
          </cell>
          <cell r="Q182">
            <v>1</v>
          </cell>
          <cell r="R182">
            <v>0</v>
          </cell>
          <cell r="S182">
            <v>0</v>
          </cell>
          <cell r="T182">
            <v>0</v>
          </cell>
          <cell r="U182">
            <v>0</v>
          </cell>
          <cell r="V182">
            <v>1</v>
          </cell>
          <cell r="W182">
            <v>0</v>
          </cell>
          <cell r="X182">
            <v>0</v>
          </cell>
          <cell r="Y182">
            <v>0</v>
          </cell>
          <cell r="Z182">
            <v>1</v>
          </cell>
          <cell r="AA182">
            <v>12</v>
          </cell>
          <cell r="AB182">
            <v>1.1428571428571428</v>
          </cell>
          <cell r="AC182">
            <v>0.5</v>
          </cell>
          <cell r="AD182">
            <v>36</v>
          </cell>
        </row>
        <row r="183">
          <cell r="A183">
            <v>34</v>
          </cell>
          <cell r="B183">
            <v>2</v>
          </cell>
          <cell r="C183">
            <v>3</v>
          </cell>
          <cell r="D183">
            <v>2311</v>
          </cell>
          <cell r="E183">
            <v>2</v>
          </cell>
          <cell r="F183">
            <v>15</v>
          </cell>
          <cell r="G183">
            <v>3</v>
          </cell>
          <cell r="H183">
            <v>0</v>
          </cell>
          <cell r="I183">
            <v>9</v>
          </cell>
          <cell r="J183">
            <v>3</v>
          </cell>
          <cell r="K183">
            <v>3</v>
          </cell>
          <cell r="L183">
            <v>2</v>
          </cell>
          <cell r="M183">
            <v>0</v>
          </cell>
          <cell r="N183">
            <v>1</v>
          </cell>
          <cell r="O183">
            <v>0</v>
          </cell>
          <cell r="P183">
            <v>0</v>
          </cell>
          <cell r="Q183">
            <v>1</v>
          </cell>
          <cell r="R183">
            <v>0</v>
          </cell>
          <cell r="S183">
            <v>0</v>
          </cell>
          <cell r="T183">
            <v>0</v>
          </cell>
          <cell r="U183">
            <v>0</v>
          </cell>
          <cell r="V183">
            <v>2</v>
          </cell>
          <cell r="W183">
            <v>0</v>
          </cell>
          <cell r="X183">
            <v>0</v>
          </cell>
          <cell r="Y183">
            <v>0</v>
          </cell>
          <cell r="Z183">
            <v>0</v>
          </cell>
          <cell r="AA183">
            <v>8</v>
          </cell>
          <cell r="AB183">
            <v>0.22222222222222221</v>
          </cell>
          <cell r="AC183">
            <v>0.66666666666666663</v>
          </cell>
          <cell r="AD183">
            <v>32</v>
          </cell>
        </row>
        <row r="184">
          <cell r="A184">
            <v>41</v>
          </cell>
          <cell r="B184">
            <v>2</v>
          </cell>
          <cell r="C184">
            <v>3</v>
          </cell>
          <cell r="D184">
            <v>3140</v>
          </cell>
          <cell r="E184">
            <v>1</v>
          </cell>
          <cell r="F184">
            <v>22</v>
          </cell>
          <cell r="G184">
            <v>4</v>
          </cell>
          <cell r="H184">
            <v>0</v>
          </cell>
          <cell r="I184">
            <v>4</v>
          </cell>
          <cell r="J184">
            <v>5</v>
          </cell>
          <cell r="K184">
            <v>4</v>
          </cell>
          <cell r="L184">
            <v>3</v>
          </cell>
          <cell r="M184">
            <v>1</v>
          </cell>
          <cell r="N184">
            <v>1</v>
          </cell>
          <cell r="O184">
            <v>0</v>
          </cell>
          <cell r="P184">
            <v>1</v>
          </cell>
          <cell r="Q184">
            <v>0</v>
          </cell>
          <cell r="R184">
            <v>0</v>
          </cell>
          <cell r="S184">
            <v>0</v>
          </cell>
          <cell r="T184">
            <v>0</v>
          </cell>
          <cell r="U184">
            <v>2</v>
          </cell>
          <cell r="V184">
            <v>0</v>
          </cell>
          <cell r="W184">
            <v>0</v>
          </cell>
          <cell r="X184">
            <v>0</v>
          </cell>
          <cell r="Y184">
            <v>0</v>
          </cell>
          <cell r="Z184">
            <v>0</v>
          </cell>
          <cell r="AA184">
            <v>4</v>
          </cell>
          <cell r="AB184">
            <v>0.25</v>
          </cell>
          <cell r="AC184">
            <v>0.75</v>
          </cell>
          <cell r="AD184">
            <v>16</v>
          </cell>
        </row>
        <row r="185">
          <cell r="A185">
            <v>50</v>
          </cell>
          <cell r="B185">
            <v>3</v>
          </cell>
          <cell r="C185">
            <v>2</v>
          </cell>
          <cell r="D185">
            <v>3690</v>
          </cell>
          <cell r="E185">
            <v>2</v>
          </cell>
          <cell r="F185">
            <v>15</v>
          </cell>
          <cell r="G185">
            <v>3</v>
          </cell>
          <cell r="H185">
            <v>1</v>
          </cell>
          <cell r="I185">
            <v>5</v>
          </cell>
          <cell r="J185">
            <v>2</v>
          </cell>
          <cell r="K185">
            <v>3</v>
          </cell>
          <cell r="L185">
            <v>2</v>
          </cell>
          <cell r="M185">
            <v>0</v>
          </cell>
          <cell r="N185">
            <v>0</v>
          </cell>
          <cell r="O185">
            <v>0</v>
          </cell>
          <cell r="P185">
            <v>0</v>
          </cell>
          <cell r="Q185">
            <v>1</v>
          </cell>
          <cell r="R185">
            <v>0</v>
          </cell>
          <cell r="S185">
            <v>0</v>
          </cell>
          <cell r="T185">
            <v>0</v>
          </cell>
          <cell r="U185">
            <v>0</v>
          </cell>
          <cell r="V185">
            <v>3</v>
          </cell>
          <cell r="W185">
            <v>0</v>
          </cell>
          <cell r="X185">
            <v>0</v>
          </cell>
          <cell r="Y185">
            <v>0</v>
          </cell>
          <cell r="Z185">
            <v>0</v>
          </cell>
          <cell r="AA185">
            <v>9</v>
          </cell>
          <cell r="AB185">
            <v>0.4</v>
          </cell>
          <cell r="AC185">
            <v>0.66666666666666663</v>
          </cell>
          <cell r="AD185">
            <v>36</v>
          </cell>
        </row>
        <row r="186">
          <cell r="A186">
            <v>53</v>
          </cell>
          <cell r="B186">
            <v>2</v>
          </cell>
          <cell r="C186">
            <v>4</v>
          </cell>
          <cell r="D186">
            <v>4450</v>
          </cell>
          <cell r="E186">
            <v>1</v>
          </cell>
          <cell r="F186">
            <v>11</v>
          </cell>
          <cell r="G186">
            <v>3</v>
          </cell>
          <cell r="H186">
            <v>2</v>
          </cell>
          <cell r="I186">
            <v>5</v>
          </cell>
          <cell r="J186">
            <v>3</v>
          </cell>
          <cell r="K186">
            <v>4</v>
          </cell>
          <cell r="L186">
            <v>2</v>
          </cell>
          <cell r="M186">
            <v>0</v>
          </cell>
          <cell r="N186">
            <v>1</v>
          </cell>
          <cell r="O186">
            <v>0</v>
          </cell>
          <cell r="P186">
            <v>0</v>
          </cell>
          <cell r="Q186">
            <v>1</v>
          </cell>
          <cell r="R186">
            <v>0</v>
          </cell>
          <cell r="S186">
            <v>0</v>
          </cell>
          <cell r="T186">
            <v>0</v>
          </cell>
          <cell r="U186">
            <v>0</v>
          </cell>
          <cell r="V186">
            <v>2</v>
          </cell>
          <cell r="W186">
            <v>0</v>
          </cell>
          <cell r="X186">
            <v>0</v>
          </cell>
          <cell r="Y186">
            <v>0</v>
          </cell>
          <cell r="Z186">
            <v>0</v>
          </cell>
          <cell r="AA186">
            <v>4</v>
          </cell>
          <cell r="AB186">
            <v>0.2</v>
          </cell>
          <cell r="AC186">
            <v>0.5</v>
          </cell>
          <cell r="AD186">
            <v>12</v>
          </cell>
        </row>
        <row r="187">
          <cell r="A187">
            <v>33</v>
          </cell>
          <cell r="B187">
            <v>3</v>
          </cell>
          <cell r="C187">
            <v>3</v>
          </cell>
          <cell r="D187">
            <v>2756</v>
          </cell>
          <cell r="E187">
            <v>1</v>
          </cell>
          <cell r="F187">
            <v>13</v>
          </cell>
          <cell r="G187">
            <v>3</v>
          </cell>
          <cell r="H187">
            <v>1</v>
          </cell>
          <cell r="I187">
            <v>8</v>
          </cell>
          <cell r="J187">
            <v>5</v>
          </cell>
          <cell r="K187">
            <v>8</v>
          </cell>
          <cell r="L187">
            <v>7</v>
          </cell>
          <cell r="M187">
            <v>0</v>
          </cell>
          <cell r="N187">
            <v>1</v>
          </cell>
          <cell r="O187">
            <v>0</v>
          </cell>
          <cell r="P187">
            <v>0</v>
          </cell>
          <cell r="Q187">
            <v>1</v>
          </cell>
          <cell r="R187">
            <v>0</v>
          </cell>
          <cell r="S187">
            <v>0</v>
          </cell>
          <cell r="T187">
            <v>0</v>
          </cell>
          <cell r="U187">
            <v>0</v>
          </cell>
          <cell r="V187">
            <v>3</v>
          </cell>
          <cell r="W187">
            <v>0</v>
          </cell>
          <cell r="X187">
            <v>0</v>
          </cell>
          <cell r="Y187">
            <v>0</v>
          </cell>
          <cell r="Z187">
            <v>0</v>
          </cell>
          <cell r="AA187">
            <v>8</v>
          </cell>
          <cell r="AB187">
            <v>0.125</v>
          </cell>
          <cell r="AC187">
            <v>0.875</v>
          </cell>
          <cell r="AD187">
            <v>32</v>
          </cell>
        </row>
        <row r="188">
          <cell r="A188">
            <v>40</v>
          </cell>
          <cell r="B188">
            <v>1</v>
          </cell>
          <cell r="C188">
            <v>3</v>
          </cell>
          <cell r="D188">
            <v>19033</v>
          </cell>
          <cell r="E188">
            <v>1</v>
          </cell>
          <cell r="F188">
            <v>14</v>
          </cell>
          <cell r="G188">
            <v>3</v>
          </cell>
          <cell r="H188">
            <v>1</v>
          </cell>
          <cell r="I188">
            <v>21</v>
          </cell>
          <cell r="J188">
            <v>2</v>
          </cell>
          <cell r="K188">
            <v>20</v>
          </cell>
          <cell r="L188">
            <v>8</v>
          </cell>
          <cell r="M188">
            <v>0</v>
          </cell>
          <cell r="N188">
            <v>1</v>
          </cell>
          <cell r="O188">
            <v>0</v>
          </cell>
          <cell r="P188">
            <v>0</v>
          </cell>
          <cell r="Q188">
            <v>1</v>
          </cell>
          <cell r="R188">
            <v>0</v>
          </cell>
          <cell r="S188">
            <v>0</v>
          </cell>
          <cell r="T188">
            <v>0</v>
          </cell>
          <cell r="U188">
            <v>0</v>
          </cell>
          <cell r="V188">
            <v>1</v>
          </cell>
          <cell r="W188">
            <v>0</v>
          </cell>
          <cell r="X188">
            <v>0</v>
          </cell>
          <cell r="Y188">
            <v>0</v>
          </cell>
          <cell r="Z188">
            <v>0</v>
          </cell>
          <cell r="AA188">
            <v>12</v>
          </cell>
          <cell r="AB188">
            <v>4.7619047619047616E-2</v>
          </cell>
          <cell r="AC188">
            <v>0.4</v>
          </cell>
          <cell r="AD188">
            <v>24</v>
          </cell>
        </row>
        <row r="189">
          <cell r="A189">
            <v>55</v>
          </cell>
          <cell r="B189">
            <v>4</v>
          </cell>
          <cell r="C189">
            <v>4</v>
          </cell>
          <cell r="D189">
            <v>18722</v>
          </cell>
          <cell r="E189">
            <v>8</v>
          </cell>
          <cell r="F189">
            <v>11</v>
          </cell>
          <cell r="G189">
            <v>3</v>
          </cell>
          <cell r="H189">
            <v>0</v>
          </cell>
          <cell r="I189">
            <v>36</v>
          </cell>
          <cell r="J189">
            <v>3</v>
          </cell>
          <cell r="K189">
            <v>24</v>
          </cell>
          <cell r="L189">
            <v>15</v>
          </cell>
          <cell r="M189">
            <v>0</v>
          </cell>
          <cell r="N189">
            <v>0</v>
          </cell>
          <cell r="O189">
            <v>0</v>
          </cell>
          <cell r="P189">
            <v>0</v>
          </cell>
          <cell r="Q189">
            <v>1</v>
          </cell>
          <cell r="R189">
            <v>0</v>
          </cell>
          <cell r="S189">
            <v>0</v>
          </cell>
          <cell r="T189">
            <v>0</v>
          </cell>
          <cell r="U189">
            <v>0</v>
          </cell>
          <cell r="V189">
            <v>4</v>
          </cell>
          <cell r="W189">
            <v>0</v>
          </cell>
          <cell r="X189">
            <v>0</v>
          </cell>
          <cell r="Y189">
            <v>0</v>
          </cell>
          <cell r="Z189">
            <v>0</v>
          </cell>
          <cell r="AA189">
            <v>6</v>
          </cell>
          <cell r="AB189">
            <v>0.22222222222222221</v>
          </cell>
          <cell r="AC189">
            <v>0.625</v>
          </cell>
          <cell r="AD189">
            <v>24</v>
          </cell>
        </row>
        <row r="190">
          <cell r="A190">
            <v>34</v>
          </cell>
          <cell r="B190">
            <v>1</v>
          </cell>
          <cell r="C190">
            <v>2</v>
          </cell>
          <cell r="D190">
            <v>9547</v>
          </cell>
          <cell r="E190">
            <v>1</v>
          </cell>
          <cell r="F190">
            <v>17</v>
          </cell>
          <cell r="G190">
            <v>3</v>
          </cell>
          <cell r="H190">
            <v>0</v>
          </cell>
          <cell r="I190">
            <v>10</v>
          </cell>
          <cell r="J190">
            <v>2</v>
          </cell>
          <cell r="K190">
            <v>10</v>
          </cell>
          <cell r="L190">
            <v>9</v>
          </cell>
          <cell r="M190">
            <v>0</v>
          </cell>
          <cell r="N190">
            <v>0</v>
          </cell>
          <cell r="O190">
            <v>1</v>
          </cell>
          <cell r="P190">
            <v>0</v>
          </cell>
          <cell r="Q190">
            <v>0</v>
          </cell>
          <cell r="R190">
            <v>0</v>
          </cell>
          <cell r="S190">
            <v>0</v>
          </cell>
          <cell r="T190">
            <v>1</v>
          </cell>
          <cell r="U190">
            <v>0</v>
          </cell>
          <cell r="V190">
            <v>0</v>
          </cell>
          <cell r="W190">
            <v>0</v>
          </cell>
          <cell r="X190">
            <v>0</v>
          </cell>
          <cell r="Y190">
            <v>1</v>
          </cell>
          <cell r="Z190">
            <v>0</v>
          </cell>
          <cell r="AA190">
            <v>12</v>
          </cell>
          <cell r="AB190">
            <v>0.1</v>
          </cell>
          <cell r="AC190">
            <v>0.9</v>
          </cell>
          <cell r="AD190">
            <v>36</v>
          </cell>
        </row>
        <row r="191">
          <cell r="A191">
            <v>51</v>
          </cell>
          <cell r="B191">
            <v>3</v>
          </cell>
          <cell r="C191">
            <v>3</v>
          </cell>
          <cell r="D191">
            <v>13734</v>
          </cell>
          <cell r="E191">
            <v>3</v>
          </cell>
          <cell r="F191">
            <v>18</v>
          </cell>
          <cell r="G191">
            <v>3</v>
          </cell>
          <cell r="H191">
            <v>0</v>
          </cell>
          <cell r="I191">
            <v>21</v>
          </cell>
          <cell r="J191">
            <v>6</v>
          </cell>
          <cell r="K191">
            <v>7</v>
          </cell>
          <cell r="L191">
            <v>7</v>
          </cell>
          <cell r="M191">
            <v>0</v>
          </cell>
          <cell r="N191">
            <v>1</v>
          </cell>
          <cell r="O191">
            <v>0</v>
          </cell>
          <cell r="P191">
            <v>0</v>
          </cell>
          <cell r="Q191">
            <v>1</v>
          </cell>
          <cell r="R191">
            <v>0</v>
          </cell>
          <cell r="S191">
            <v>0</v>
          </cell>
          <cell r="T191">
            <v>0</v>
          </cell>
          <cell r="U191">
            <v>0</v>
          </cell>
          <cell r="V191">
            <v>3</v>
          </cell>
          <cell r="W191">
            <v>0</v>
          </cell>
          <cell r="X191">
            <v>0</v>
          </cell>
          <cell r="Y191">
            <v>0</v>
          </cell>
          <cell r="Z191">
            <v>0</v>
          </cell>
          <cell r="AA191">
            <v>8</v>
          </cell>
          <cell r="AB191">
            <v>0.14285714285714285</v>
          </cell>
          <cell r="AC191">
            <v>1</v>
          </cell>
          <cell r="AD191">
            <v>24</v>
          </cell>
        </row>
        <row r="192">
          <cell r="A192">
            <v>52</v>
          </cell>
          <cell r="B192">
            <v>4</v>
          </cell>
          <cell r="C192">
            <v>2</v>
          </cell>
          <cell r="D192">
            <v>19999</v>
          </cell>
          <cell r="E192">
            <v>0</v>
          </cell>
          <cell r="F192">
            <v>14</v>
          </cell>
          <cell r="G192">
            <v>3</v>
          </cell>
          <cell r="H192">
            <v>1</v>
          </cell>
          <cell r="I192">
            <v>34</v>
          </cell>
          <cell r="J192">
            <v>5</v>
          </cell>
          <cell r="K192">
            <v>33</v>
          </cell>
          <cell r="L192">
            <v>18</v>
          </cell>
          <cell r="M192">
            <v>0</v>
          </cell>
          <cell r="N192">
            <v>0</v>
          </cell>
          <cell r="O192">
            <v>1</v>
          </cell>
          <cell r="P192">
            <v>0</v>
          </cell>
          <cell r="Q192">
            <v>0</v>
          </cell>
          <cell r="R192">
            <v>0</v>
          </cell>
          <cell r="S192">
            <v>0</v>
          </cell>
          <cell r="T192">
            <v>4</v>
          </cell>
          <cell r="U192">
            <v>0</v>
          </cell>
          <cell r="V192">
            <v>0</v>
          </cell>
          <cell r="W192">
            <v>0</v>
          </cell>
          <cell r="X192">
            <v>0</v>
          </cell>
          <cell r="Y192">
            <v>0</v>
          </cell>
          <cell r="Z192">
            <v>0</v>
          </cell>
          <cell r="AA192">
            <v>9</v>
          </cell>
          <cell r="AB192">
            <v>0</v>
          </cell>
          <cell r="AC192">
            <v>0.54545454545454541</v>
          </cell>
          <cell r="AD192">
            <v>9</v>
          </cell>
        </row>
        <row r="193">
          <cell r="A193">
            <v>27</v>
          </cell>
          <cell r="B193">
            <v>3</v>
          </cell>
          <cell r="C193">
            <v>3</v>
          </cell>
          <cell r="D193">
            <v>2279</v>
          </cell>
          <cell r="E193">
            <v>1</v>
          </cell>
          <cell r="F193">
            <v>16</v>
          </cell>
          <cell r="G193">
            <v>3</v>
          </cell>
          <cell r="H193">
            <v>0</v>
          </cell>
          <cell r="I193">
            <v>7</v>
          </cell>
          <cell r="J193">
            <v>2</v>
          </cell>
          <cell r="K193">
            <v>7</v>
          </cell>
          <cell r="L193">
            <v>7</v>
          </cell>
          <cell r="M193">
            <v>0</v>
          </cell>
          <cell r="N193">
            <v>1</v>
          </cell>
          <cell r="O193">
            <v>0</v>
          </cell>
          <cell r="P193">
            <v>0</v>
          </cell>
          <cell r="Q193">
            <v>1</v>
          </cell>
          <cell r="R193">
            <v>0</v>
          </cell>
          <cell r="S193">
            <v>0</v>
          </cell>
          <cell r="T193">
            <v>0</v>
          </cell>
          <cell r="U193">
            <v>0</v>
          </cell>
          <cell r="V193">
            <v>3</v>
          </cell>
          <cell r="W193">
            <v>0</v>
          </cell>
          <cell r="X193">
            <v>0</v>
          </cell>
          <cell r="Y193">
            <v>0</v>
          </cell>
          <cell r="Z193">
            <v>0</v>
          </cell>
          <cell r="AA193">
            <v>8</v>
          </cell>
          <cell r="AB193">
            <v>0.14285714285714285</v>
          </cell>
          <cell r="AC193">
            <v>1</v>
          </cell>
          <cell r="AD193">
            <v>32</v>
          </cell>
        </row>
        <row r="194">
          <cell r="A194">
            <v>35</v>
          </cell>
          <cell r="B194">
            <v>2</v>
          </cell>
          <cell r="C194">
            <v>2</v>
          </cell>
          <cell r="D194">
            <v>5916</v>
          </cell>
          <cell r="E194">
            <v>3</v>
          </cell>
          <cell r="F194">
            <v>13</v>
          </cell>
          <cell r="G194">
            <v>3</v>
          </cell>
          <cell r="H194">
            <v>0</v>
          </cell>
          <cell r="I194">
            <v>8</v>
          </cell>
          <cell r="J194">
            <v>1</v>
          </cell>
          <cell r="K194">
            <v>1</v>
          </cell>
          <cell r="L194">
            <v>0</v>
          </cell>
          <cell r="M194">
            <v>1</v>
          </cell>
          <cell r="N194">
            <v>0</v>
          </cell>
          <cell r="O194">
            <v>1</v>
          </cell>
          <cell r="P194">
            <v>0</v>
          </cell>
          <cell r="Q194">
            <v>0</v>
          </cell>
          <cell r="R194">
            <v>0</v>
          </cell>
          <cell r="S194">
            <v>0</v>
          </cell>
          <cell r="T194">
            <v>2</v>
          </cell>
          <cell r="U194">
            <v>0</v>
          </cell>
          <cell r="V194">
            <v>0</v>
          </cell>
          <cell r="W194">
            <v>0</v>
          </cell>
          <cell r="X194">
            <v>0</v>
          </cell>
          <cell r="Y194">
            <v>0</v>
          </cell>
          <cell r="Z194">
            <v>1</v>
          </cell>
          <cell r="AA194">
            <v>6</v>
          </cell>
          <cell r="AB194">
            <v>0.375</v>
          </cell>
          <cell r="AC194">
            <v>0</v>
          </cell>
          <cell r="AD194">
            <v>6</v>
          </cell>
        </row>
        <row r="195">
          <cell r="A195">
            <v>43</v>
          </cell>
          <cell r="B195">
            <v>3</v>
          </cell>
          <cell r="C195">
            <v>4</v>
          </cell>
          <cell r="D195">
            <v>2089</v>
          </cell>
          <cell r="E195">
            <v>4</v>
          </cell>
          <cell r="F195">
            <v>14</v>
          </cell>
          <cell r="G195">
            <v>3</v>
          </cell>
          <cell r="H195">
            <v>3</v>
          </cell>
          <cell r="I195">
            <v>7</v>
          </cell>
          <cell r="J195">
            <v>3</v>
          </cell>
          <cell r="K195">
            <v>5</v>
          </cell>
          <cell r="L195">
            <v>4</v>
          </cell>
          <cell r="M195">
            <v>0</v>
          </cell>
          <cell r="N195">
            <v>0</v>
          </cell>
          <cell r="O195">
            <v>0</v>
          </cell>
          <cell r="P195">
            <v>0</v>
          </cell>
          <cell r="Q195">
            <v>1</v>
          </cell>
          <cell r="R195">
            <v>0</v>
          </cell>
          <cell r="S195">
            <v>0</v>
          </cell>
          <cell r="T195">
            <v>0</v>
          </cell>
          <cell r="U195">
            <v>0</v>
          </cell>
          <cell r="V195">
            <v>3</v>
          </cell>
          <cell r="W195">
            <v>0</v>
          </cell>
          <cell r="X195">
            <v>0</v>
          </cell>
          <cell r="Y195">
            <v>0</v>
          </cell>
          <cell r="Z195">
            <v>0</v>
          </cell>
          <cell r="AA195">
            <v>16</v>
          </cell>
          <cell r="AB195">
            <v>0.5714285714285714</v>
          </cell>
          <cell r="AC195">
            <v>0.8</v>
          </cell>
          <cell r="AD195">
            <v>64</v>
          </cell>
        </row>
        <row r="196">
          <cell r="A196">
            <v>45</v>
          </cell>
          <cell r="B196">
            <v>2</v>
          </cell>
          <cell r="C196">
            <v>2</v>
          </cell>
          <cell r="D196">
            <v>16792</v>
          </cell>
          <cell r="E196">
            <v>9</v>
          </cell>
          <cell r="F196">
            <v>23</v>
          </cell>
          <cell r="G196">
            <v>4</v>
          </cell>
          <cell r="H196">
            <v>1</v>
          </cell>
          <cell r="I196">
            <v>22</v>
          </cell>
          <cell r="J196">
            <v>1</v>
          </cell>
          <cell r="K196">
            <v>20</v>
          </cell>
          <cell r="L196">
            <v>8</v>
          </cell>
          <cell r="M196">
            <v>0</v>
          </cell>
          <cell r="N196">
            <v>0</v>
          </cell>
          <cell r="O196">
            <v>0</v>
          </cell>
          <cell r="P196">
            <v>0</v>
          </cell>
          <cell r="Q196">
            <v>1</v>
          </cell>
          <cell r="R196">
            <v>0</v>
          </cell>
          <cell r="S196">
            <v>0</v>
          </cell>
          <cell r="T196">
            <v>0</v>
          </cell>
          <cell r="U196">
            <v>0</v>
          </cell>
          <cell r="V196">
            <v>2</v>
          </cell>
          <cell r="W196">
            <v>0</v>
          </cell>
          <cell r="X196">
            <v>0</v>
          </cell>
          <cell r="Y196">
            <v>0</v>
          </cell>
          <cell r="Z196">
            <v>0</v>
          </cell>
          <cell r="AA196">
            <v>4</v>
          </cell>
          <cell r="AB196">
            <v>0.40909090909090912</v>
          </cell>
          <cell r="AC196">
            <v>0.4</v>
          </cell>
          <cell r="AD196">
            <v>16</v>
          </cell>
        </row>
        <row r="197">
          <cell r="A197">
            <v>37</v>
          </cell>
          <cell r="B197">
            <v>3</v>
          </cell>
          <cell r="C197">
            <v>4</v>
          </cell>
          <cell r="D197">
            <v>3564</v>
          </cell>
          <cell r="E197">
            <v>1</v>
          </cell>
          <cell r="F197">
            <v>12</v>
          </cell>
          <cell r="G197">
            <v>3</v>
          </cell>
          <cell r="H197">
            <v>1</v>
          </cell>
          <cell r="I197">
            <v>8</v>
          </cell>
          <cell r="J197">
            <v>3</v>
          </cell>
          <cell r="K197">
            <v>8</v>
          </cell>
          <cell r="L197">
            <v>7</v>
          </cell>
          <cell r="M197">
            <v>1</v>
          </cell>
          <cell r="N197">
            <v>0</v>
          </cell>
          <cell r="O197">
            <v>1</v>
          </cell>
          <cell r="P197">
            <v>0</v>
          </cell>
          <cell r="Q197">
            <v>0</v>
          </cell>
          <cell r="R197">
            <v>0</v>
          </cell>
          <cell r="S197">
            <v>0</v>
          </cell>
          <cell r="T197">
            <v>3</v>
          </cell>
          <cell r="U197">
            <v>0</v>
          </cell>
          <cell r="V197">
            <v>0</v>
          </cell>
          <cell r="W197">
            <v>0</v>
          </cell>
          <cell r="X197">
            <v>0</v>
          </cell>
          <cell r="Y197">
            <v>0</v>
          </cell>
          <cell r="Z197">
            <v>1</v>
          </cell>
          <cell r="AA197">
            <v>2</v>
          </cell>
          <cell r="AB197">
            <v>0.125</v>
          </cell>
          <cell r="AC197">
            <v>0.875</v>
          </cell>
          <cell r="AD197">
            <v>2</v>
          </cell>
        </row>
        <row r="198">
          <cell r="A198">
            <v>35</v>
          </cell>
          <cell r="B198">
            <v>3</v>
          </cell>
          <cell r="C198">
            <v>3</v>
          </cell>
          <cell r="D198">
            <v>4425</v>
          </cell>
          <cell r="E198">
            <v>5</v>
          </cell>
          <cell r="F198">
            <v>11</v>
          </cell>
          <cell r="G198">
            <v>3</v>
          </cell>
          <cell r="H198">
            <v>0</v>
          </cell>
          <cell r="I198">
            <v>10</v>
          </cell>
          <cell r="J198">
            <v>5</v>
          </cell>
          <cell r="K198">
            <v>6</v>
          </cell>
          <cell r="L198">
            <v>2</v>
          </cell>
          <cell r="M198">
            <v>0</v>
          </cell>
          <cell r="N198">
            <v>1</v>
          </cell>
          <cell r="O198">
            <v>0</v>
          </cell>
          <cell r="P198">
            <v>0</v>
          </cell>
          <cell r="Q198">
            <v>1</v>
          </cell>
          <cell r="R198">
            <v>0</v>
          </cell>
          <cell r="S198">
            <v>0</v>
          </cell>
          <cell r="T198">
            <v>0</v>
          </cell>
          <cell r="U198">
            <v>0</v>
          </cell>
          <cell r="V198">
            <v>3</v>
          </cell>
          <cell r="W198">
            <v>0</v>
          </cell>
          <cell r="X198">
            <v>0</v>
          </cell>
          <cell r="Y198">
            <v>0</v>
          </cell>
          <cell r="Z198">
            <v>0</v>
          </cell>
          <cell r="AA198">
            <v>4</v>
          </cell>
          <cell r="AB198">
            <v>0.5</v>
          </cell>
          <cell r="AC198">
            <v>0.33333333333333331</v>
          </cell>
          <cell r="AD198">
            <v>16</v>
          </cell>
        </row>
        <row r="199">
          <cell r="A199">
            <v>42</v>
          </cell>
          <cell r="B199">
            <v>2</v>
          </cell>
          <cell r="C199">
            <v>3</v>
          </cell>
          <cell r="D199">
            <v>5265</v>
          </cell>
          <cell r="E199">
            <v>2</v>
          </cell>
          <cell r="F199">
            <v>16</v>
          </cell>
          <cell r="G199">
            <v>3</v>
          </cell>
          <cell r="H199">
            <v>1</v>
          </cell>
          <cell r="I199">
            <v>11</v>
          </cell>
          <cell r="J199">
            <v>5</v>
          </cell>
          <cell r="K199">
            <v>5</v>
          </cell>
          <cell r="L199">
            <v>3</v>
          </cell>
          <cell r="M199">
            <v>0</v>
          </cell>
          <cell r="N199">
            <v>1</v>
          </cell>
          <cell r="O199">
            <v>0</v>
          </cell>
          <cell r="P199">
            <v>0</v>
          </cell>
          <cell r="Q199">
            <v>1</v>
          </cell>
          <cell r="R199">
            <v>0</v>
          </cell>
          <cell r="S199">
            <v>0</v>
          </cell>
          <cell r="T199">
            <v>0</v>
          </cell>
          <cell r="U199">
            <v>0</v>
          </cell>
          <cell r="V199">
            <v>2</v>
          </cell>
          <cell r="W199">
            <v>0</v>
          </cell>
          <cell r="X199">
            <v>0</v>
          </cell>
          <cell r="Y199">
            <v>0</v>
          </cell>
          <cell r="Z199">
            <v>0</v>
          </cell>
          <cell r="AA199">
            <v>9</v>
          </cell>
          <cell r="AB199">
            <v>0.18181818181818182</v>
          </cell>
          <cell r="AC199">
            <v>0.6</v>
          </cell>
          <cell r="AD199">
            <v>18</v>
          </cell>
        </row>
        <row r="200">
          <cell r="A200">
            <v>38</v>
          </cell>
          <cell r="B200">
            <v>4</v>
          </cell>
          <cell r="C200">
            <v>3</v>
          </cell>
          <cell r="D200">
            <v>6553</v>
          </cell>
          <cell r="E200">
            <v>9</v>
          </cell>
          <cell r="F200">
            <v>14</v>
          </cell>
          <cell r="G200">
            <v>3</v>
          </cell>
          <cell r="H200">
            <v>0</v>
          </cell>
          <cell r="I200">
            <v>14</v>
          </cell>
          <cell r="J200">
            <v>3</v>
          </cell>
          <cell r="K200">
            <v>1</v>
          </cell>
          <cell r="L200">
            <v>0</v>
          </cell>
          <cell r="M200">
            <v>0</v>
          </cell>
          <cell r="N200">
            <v>0</v>
          </cell>
          <cell r="O200">
            <v>1</v>
          </cell>
          <cell r="P200">
            <v>0</v>
          </cell>
          <cell r="Q200">
            <v>0</v>
          </cell>
          <cell r="R200">
            <v>0</v>
          </cell>
          <cell r="S200">
            <v>0</v>
          </cell>
          <cell r="T200">
            <v>4</v>
          </cell>
          <cell r="U200">
            <v>0</v>
          </cell>
          <cell r="V200">
            <v>0</v>
          </cell>
          <cell r="W200">
            <v>0</v>
          </cell>
          <cell r="X200">
            <v>0</v>
          </cell>
          <cell r="Y200">
            <v>0</v>
          </cell>
          <cell r="Z200">
            <v>0</v>
          </cell>
          <cell r="AA200">
            <v>12</v>
          </cell>
          <cell r="AB200">
            <v>0.6428571428571429</v>
          </cell>
          <cell r="AC200">
            <v>0</v>
          </cell>
          <cell r="AD200">
            <v>24</v>
          </cell>
        </row>
        <row r="201">
          <cell r="A201">
            <v>38</v>
          </cell>
          <cell r="B201">
            <v>3</v>
          </cell>
          <cell r="C201">
            <v>3</v>
          </cell>
          <cell r="D201">
            <v>6261</v>
          </cell>
          <cell r="E201">
            <v>3</v>
          </cell>
          <cell r="F201">
            <v>18</v>
          </cell>
          <cell r="G201">
            <v>3</v>
          </cell>
          <cell r="H201">
            <v>1</v>
          </cell>
          <cell r="I201">
            <v>9</v>
          </cell>
          <cell r="J201">
            <v>3</v>
          </cell>
          <cell r="K201">
            <v>7</v>
          </cell>
          <cell r="L201">
            <v>7</v>
          </cell>
          <cell r="M201">
            <v>0</v>
          </cell>
          <cell r="N201">
            <v>0</v>
          </cell>
          <cell r="O201">
            <v>0</v>
          </cell>
          <cell r="P201">
            <v>0</v>
          </cell>
          <cell r="Q201">
            <v>0</v>
          </cell>
          <cell r="R201">
            <v>0</v>
          </cell>
          <cell r="S201">
            <v>1</v>
          </cell>
          <cell r="T201">
            <v>0</v>
          </cell>
          <cell r="U201">
            <v>0</v>
          </cell>
          <cell r="V201">
            <v>0</v>
          </cell>
          <cell r="W201">
            <v>0</v>
          </cell>
          <cell r="X201">
            <v>3</v>
          </cell>
          <cell r="Y201">
            <v>0</v>
          </cell>
          <cell r="Z201">
            <v>0</v>
          </cell>
          <cell r="AA201">
            <v>16</v>
          </cell>
          <cell r="AB201">
            <v>0.33333333333333331</v>
          </cell>
          <cell r="AC201">
            <v>1</v>
          </cell>
          <cell r="AD201">
            <v>16</v>
          </cell>
        </row>
        <row r="202">
          <cell r="A202">
            <v>27</v>
          </cell>
          <cell r="B202">
            <v>1</v>
          </cell>
          <cell r="C202">
            <v>2</v>
          </cell>
          <cell r="D202">
            <v>4298</v>
          </cell>
          <cell r="E202">
            <v>5</v>
          </cell>
          <cell r="F202">
            <v>19</v>
          </cell>
          <cell r="G202">
            <v>3</v>
          </cell>
          <cell r="H202">
            <v>1</v>
          </cell>
          <cell r="I202">
            <v>6</v>
          </cell>
          <cell r="J202">
            <v>1</v>
          </cell>
          <cell r="K202">
            <v>2</v>
          </cell>
          <cell r="L202">
            <v>2</v>
          </cell>
          <cell r="M202">
            <v>0</v>
          </cell>
          <cell r="N202">
            <v>0</v>
          </cell>
          <cell r="O202">
            <v>0</v>
          </cell>
          <cell r="P202">
            <v>0</v>
          </cell>
          <cell r="Q202">
            <v>0</v>
          </cell>
          <cell r="R202">
            <v>0</v>
          </cell>
          <cell r="S202">
            <v>1</v>
          </cell>
          <cell r="T202">
            <v>0</v>
          </cell>
          <cell r="U202">
            <v>0</v>
          </cell>
          <cell r="V202">
            <v>0</v>
          </cell>
          <cell r="W202">
            <v>0</v>
          </cell>
          <cell r="X202">
            <v>1</v>
          </cell>
          <cell r="Y202">
            <v>1</v>
          </cell>
          <cell r="Z202">
            <v>0</v>
          </cell>
          <cell r="AA202">
            <v>3</v>
          </cell>
          <cell r="AB202">
            <v>0.83333333333333337</v>
          </cell>
          <cell r="AC202">
            <v>1</v>
          </cell>
          <cell r="AD202">
            <v>9</v>
          </cell>
        </row>
        <row r="203">
          <cell r="A203">
            <v>49</v>
          </cell>
          <cell r="B203">
            <v>4</v>
          </cell>
          <cell r="C203">
            <v>3</v>
          </cell>
          <cell r="D203">
            <v>6804</v>
          </cell>
          <cell r="E203">
            <v>1</v>
          </cell>
          <cell r="F203">
            <v>15</v>
          </cell>
          <cell r="G203">
            <v>3</v>
          </cell>
          <cell r="H203">
            <v>2</v>
          </cell>
          <cell r="I203">
            <v>7</v>
          </cell>
          <cell r="J203">
            <v>0</v>
          </cell>
          <cell r="K203">
            <v>7</v>
          </cell>
          <cell r="L203">
            <v>7</v>
          </cell>
          <cell r="M203">
            <v>1</v>
          </cell>
          <cell r="N203">
            <v>0</v>
          </cell>
          <cell r="O203">
            <v>1</v>
          </cell>
          <cell r="P203">
            <v>0</v>
          </cell>
          <cell r="Q203">
            <v>0</v>
          </cell>
          <cell r="R203">
            <v>0</v>
          </cell>
          <cell r="S203">
            <v>0</v>
          </cell>
          <cell r="T203">
            <v>4</v>
          </cell>
          <cell r="U203">
            <v>0</v>
          </cell>
          <cell r="V203">
            <v>0</v>
          </cell>
          <cell r="W203">
            <v>0</v>
          </cell>
          <cell r="X203">
            <v>0</v>
          </cell>
          <cell r="Y203">
            <v>0</v>
          </cell>
          <cell r="Z203">
            <v>0</v>
          </cell>
          <cell r="AA203">
            <v>16</v>
          </cell>
          <cell r="AB203">
            <v>0.14285714285714285</v>
          </cell>
          <cell r="AC203">
            <v>1</v>
          </cell>
          <cell r="AD203">
            <v>16</v>
          </cell>
        </row>
        <row r="204">
          <cell r="A204">
            <v>34</v>
          </cell>
          <cell r="B204">
            <v>4</v>
          </cell>
          <cell r="C204">
            <v>3</v>
          </cell>
          <cell r="D204">
            <v>3815</v>
          </cell>
          <cell r="E204">
            <v>1</v>
          </cell>
          <cell r="F204">
            <v>17</v>
          </cell>
          <cell r="G204">
            <v>3</v>
          </cell>
          <cell r="H204">
            <v>1</v>
          </cell>
          <cell r="I204">
            <v>5</v>
          </cell>
          <cell r="J204">
            <v>4</v>
          </cell>
          <cell r="K204">
            <v>5</v>
          </cell>
          <cell r="L204">
            <v>3</v>
          </cell>
          <cell r="M204">
            <v>1</v>
          </cell>
          <cell r="N204">
            <v>0</v>
          </cell>
          <cell r="O204">
            <v>0</v>
          </cell>
          <cell r="P204">
            <v>0</v>
          </cell>
          <cell r="Q204">
            <v>1</v>
          </cell>
          <cell r="R204">
            <v>0</v>
          </cell>
          <cell r="S204">
            <v>0</v>
          </cell>
          <cell r="T204">
            <v>0</v>
          </cell>
          <cell r="U204">
            <v>0</v>
          </cell>
          <cell r="V204">
            <v>4</v>
          </cell>
          <cell r="W204">
            <v>0</v>
          </cell>
          <cell r="X204">
            <v>0</v>
          </cell>
          <cell r="Y204">
            <v>0</v>
          </cell>
          <cell r="Z204">
            <v>0</v>
          </cell>
          <cell r="AA204">
            <v>12</v>
          </cell>
          <cell r="AB204">
            <v>0.2</v>
          </cell>
          <cell r="AC204">
            <v>0.6</v>
          </cell>
          <cell r="AD204">
            <v>48</v>
          </cell>
        </row>
        <row r="205">
          <cell r="A205">
            <v>40</v>
          </cell>
          <cell r="B205">
            <v>2</v>
          </cell>
          <cell r="C205">
            <v>3</v>
          </cell>
          <cell r="D205">
            <v>2741</v>
          </cell>
          <cell r="E205">
            <v>8</v>
          </cell>
          <cell r="F205">
            <v>15</v>
          </cell>
          <cell r="G205">
            <v>3</v>
          </cell>
          <cell r="H205">
            <v>1</v>
          </cell>
          <cell r="I205">
            <v>15</v>
          </cell>
          <cell r="J205">
            <v>2</v>
          </cell>
          <cell r="K205">
            <v>7</v>
          </cell>
          <cell r="L205">
            <v>2</v>
          </cell>
          <cell r="M205">
            <v>1</v>
          </cell>
          <cell r="N205">
            <v>0</v>
          </cell>
          <cell r="O205">
            <v>0</v>
          </cell>
          <cell r="P205">
            <v>0</v>
          </cell>
          <cell r="Q205">
            <v>1</v>
          </cell>
          <cell r="R205">
            <v>0</v>
          </cell>
          <cell r="S205">
            <v>0</v>
          </cell>
          <cell r="T205">
            <v>0</v>
          </cell>
          <cell r="U205">
            <v>0</v>
          </cell>
          <cell r="V205">
            <v>2</v>
          </cell>
          <cell r="W205">
            <v>0</v>
          </cell>
          <cell r="X205">
            <v>0</v>
          </cell>
          <cell r="Y205">
            <v>0</v>
          </cell>
          <cell r="Z205">
            <v>1</v>
          </cell>
          <cell r="AA205">
            <v>12</v>
          </cell>
          <cell r="AB205">
            <v>0.53333333333333333</v>
          </cell>
          <cell r="AC205">
            <v>0.2857142857142857</v>
          </cell>
          <cell r="AD205">
            <v>36</v>
          </cell>
        </row>
        <row r="206">
          <cell r="A206">
            <v>38</v>
          </cell>
          <cell r="B206">
            <v>1</v>
          </cell>
          <cell r="C206">
            <v>3</v>
          </cell>
          <cell r="D206">
            <v>6673</v>
          </cell>
          <cell r="E206">
            <v>7</v>
          </cell>
          <cell r="F206">
            <v>19</v>
          </cell>
          <cell r="G206">
            <v>3</v>
          </cell>
          <cell r="H206">
            <v>0</v>
          </cell>
          <cell r="I206">
            <v>17</v>
          </cell>
          <cell r="J206">
            <v>2</v>
          </cell>
          <cell r="K206">
            <v>1</v>
          </cell>
          <cell r="L206">
            <v>0</v>
          </cell>
          <cell r="M206">
            <v>1</v>
          </cell>
          <cell r="N206">
            <v>0</v>
          </cell>
          <cell r="O206">
            <v>0</v>
          </cell>
          <cell r="P206">
            <v>0</v>
          </cell>
          <cell r="Q206">
            <v>1</v>
          </cell>
          <cell r="R206">
            <v>0</v>
          </cell>
          <cell r="S206">
            <v>0</v>
          </cell>
          <cell r="T206">
            <v>0</v>
          </cell>
          <cell r="U206">
            <v>0</v>
          </cell>
          <cell r="V206">
            <v>1</v>
          </cell>
          <cell r="W206">
            <v>0</v>
          </cell>
          <cell r="X206">
            <v>0</v>
          </cell>
          <cell r="Y206">
            <v>0</v>
          </cell>
          <cell r="Z206">
            <v>1</v>
          </cell>
          <cell r="AA206">
            <v>2</v>
          </cell>
          <cell r="AB206">
            <v>0.41176470588235292</v>
          </cell>
          <cell r="AC206">
            <v>0</v>
          </cell>
          <cell r="AD206">
            <v>4</v>
          </cell>
        </row>
        <row r="207">
          <cell r="A207">
            <v>29</v>
          </cell>
          <cell r="B207">
            <v>3</v>
          </cell>
          <cell r="C207">
            <v>3</v>
          </cell>
          <cell r="D207">
            <v>7639</v>
          </cell>
          <cell r="E207">
            <v>1</v>
          </cell>
          <cell r="F207">
            <v>22</v>
          </cell>
          <cell r="G207">
            <v>4</v>
          </cell>
          <cell r="H207">
            <v>3</v>
          </cell>
          <cell r="I207">
            <v>10</v>
          </cell>
          <cell r="J207">
            <v>3</v>
          </cell>
          <cell r="K207">
            <v>10</v>
          </cell>
          <cell r="L207">
            <v>4</v>
          </cell>
          <cell r="M207">
            <v>0</v>
          </cell>
          <cell r="N207">
            <v>1</v>
          </cell>
          <cell r="O207">
            <v>0</v>
          </cell>
          <cell r="P207">
            <v>1</v>
          </cell>
          <cell r="Q207">
            <v>0</v>
          </cell>
          <cell r="R207">
            <v>0</v>
          </cell>
          <cell r="S207">
            <v>0</v>
          </cell>
          <cell r="T207">
            <v>0</v>
          </cell>
          <cell r="U207">
            <v>3</v>
          </cell>
          <cell r="V207">
            <v>0</v>
          </cell>
          <cell r="W207">
            <v>0</v>
          </cell>
          <cell r="X207">
            <v>0</v>
          </cell>
          <cell r="Y207">
            <v>0</v>
          </cell>
          <cell r="Z207">
            <v>0</v>
          </cell>
          <cell r="AA207">
            <v>8</v>
          </cell>
          <cell r="AB207">
            <v>0.1</v>
          </cell>
          <cell r="AC207">
            <v>0.4</v>
          </cell>
          <cell r="AD207">
            <v>32</v>
          </cell>
        </row>
        <row r="208">
          <cell r="A208">
            <v>22</v>
          </cell>
          <cell r="B208">
            <v>3</v>
          </cell>
          <cell r="C208">
            <v>4</v>
          </cell>
          <cell r="D208">
            <v>2328</v>
          </cell>
          <cell r="E208">
            <v>1</v>
          </cell>
          <cell r="F208">
            <v>16</v>
          </cell>
          <cell r="G208">
            <v>3</v>
          </cell>
          <cell r="H208">
            <v>1</v>
          </cell>
          <cell r="I208">
            <v>4</v>
          </cell>
          <cell r="J208">
            <v>2</v>
          </cell>
          <cell r="K208">
            <v>4</v>
          </cell>
          <cell r="L208">
            <v>2</v>
          </cell>
          <cell r="M208">
            <v>1</v>
          </cell>
          <cell r="N208">
            <v>0</v>
          </cell>
          <cell r="O208">
            <v>1</v>
          </cell>
          <cell r="P208">
            <v>0</v>
          </cell>
          <cell r="Q208">
            <v>0</v>
          </cell>
          <cell r="R208">
            <v>0</v>
          </cell>
          <cell r="S208">
            <v>0</v>
          </cell>
          <cell r="T208">
            <v>3</v>
          </cell>
          <cell r="U208">
            <v>0</v>
          </cell>
          <cell r="V208">
            <v>0</v>
          </cell>
          <cell r="W208">
            <v>0</v>
          </cell>
          <cell r="X208">
            <v>0</v>
          </cell>
          <cell r="Y208">
            <v>0</v>
          </cell>
          <cell r="Z208">
            <v>0</v>
          </cell>
          <cell r="AA208">
            <v>8</v>
          </cell>
          <cell r="AB208">
            <v>0.25</v>
          </cell>
          <cell r="AC208">
            <v>0.5</v>
          </cell>
          <cell r="AD208">
            <v>8</v>
          </cell>
        </row>
        <row r="209">
          <cell r="A209">
            <v>36</v>
          </cell>
          <cell r="B209">
            <v>1</v>
          </cell>
          <cell r="C209">
            <v>3</v>
          </cell>
          <cell r="D209">
            <v>2153</v>
          </cell>
          <cell r="E209">
            <v>1</v>
          </cell>
          <cell r="F209">
            <v>13</v>
          </cell>
          <cell r="G209">
            <v>3</v>
          </cell>
          <cell r="H209">
            <v>0</v>
          </cell>
          <cell r="I209">
            <v>8</v>
          </cell>
          <cell r="J209">
            <v>2</v>
          </cell>
          <cell r="K209">
            <v>8</v>
          </cell>
          <cell r="L209">
            <v>1</v>
          </cell>
          <cell r="M209">
            <v>0</v>
          </cell>
          <cell r="N209">
            <v>1</v>
          </cell>
          <cell r="O209">
            <v>0</v>
          </cell>
          <cell r="P209">
            <v>0</v>
          </cell>
          <cell r="Q209">
            <v>1</v>
          </cell>
          <cell r="R209">
            <v>0</v>
          </cell>
          <cell r="S209">
            <v>0</v>
          </cell>
          <cell r="T209">
            <v>0</v>
          </cell>
          <cell r="U209">
            <v>0</v>
          </cell>
          <cell r="V209">
            <v>1</v>
          </cell>
          <cell r="W209">
            <v>0</v>
          </cell>
          <cell r="X209">
            <v>0</v>
          </cell>
          <cell r="Y209">
            <v>0</v>
          </cell>
          <cell r="Z209">
            <v>0</v>
          </cell>
          <cell r="AA209">
            <v>8</v>
          </cell>
          <cell r="AB209">
            <v>0.125</v>
          </cell>
          <cell r="AC209">
            <v>0.125</v>
          </cell>
          <cell r="AD209">
            <v>8</v>
          </cell>
        </row>
        <row r="210">
          <cell r="A210">
            <v>40</v>
          </cell>
          <cell r="B210">
            <v>5</v>
          </cell>
          <cell r="C210">
            <v>2</v>
          </cell>
          <cell r="D210">
            <v>4876</v>
          </cell>
          <cell r="E210">
            <v>9</v>
          </cell>
          <cell r="F210">
            <v>14</v>
          </cell>
          <cell r="G210">
            <v>3</v>
          </cell>
          <cell r="H210">
            <v>1</v>
          </cell>
          <cell r="I210">
            <v>5</v>
          </cell>
          <cell r="J210">
            <v>5</v>
          </cell>
          <cell r="K210">
            <v>3</v>
          </cell>
          <cell r="L210">
            <v>2</v>
          </cell>
          <cell r="M210">
            <v>0</v>
          </cell>
          <cell r="N210">
            <v>0</v>
          </cell>
          <cell r="O210">
            <v>1</v>
          </cell>
          <cell r="P210">
            <v>0</v>
          </cell>
          <cell r="Q210">
            <v>0</v>
          </cell>
          <cell r="R210">
            <v>0</v>
          </cell>
          <cell r="S210">
            <v>0</v>
          </cell>
          <cell r="T210">
            <v>5</v>
          </cell>
          <cell r="U210">
            <v>0</v>
          </cell>
          <cell r="V210">
            <v>0</v>
          </cell>
          <cell r="W210">
            <v>0</v>
          </cell>
          <cell r="X210">
            <v>0</v>
          </cell>
          <cell r="Y210">
            <v>0</v>
          </cell>
          <cell r="Z210">
            <v>0</v>
          </cell>
          <cell r="AA210">
            <v>16</v>
          </cell>
          <cell r="AB210">
            <v>1.8</v>
          </cell>
          <cell r="AC210">
            <v>0.66666666666666663</v>
          </cell>
          <cell r="AD210">
            <v>64</v>
          </cell>
        </row>
        <row r="211">
          <cell r="A211">
            <v>46</v>
          </cell>
          <cell r="B211">
            <v>4</v>
          </cell>
          <cell r="C211">
            <v>3</v>
          </cell>
          <cell r="D211">
            <v>9396</v>
          </cell>
          <cell r="E211">
            <v>7</v>
          </cell>
          <cell r="F211">
            <v>16</v>
          </cell>
          <cell r="G211">
            <v>3</v>
          </cell>
          <cell r="H211">
            <v>1</v>
          </cell>
          <cell r="I211">
            <v>17</v>
          </cell>
          <cell r="J211">
            <v>3</v>
          </cell>
          <cell r="K211">
            <v>4</v>
          </cell>
          <cell r="L211">
            <v>2</v>
          </cell>
          <cell r="M211">
            <v>0</v>
          </cell>
          <cell r="N211">
            <v>0</v>
          </cell>
          <cell r="O211">
            <v>0</v>
          </cell>
          <cell r="P211">
            <v>0</v>
          </cell>
          <cell r="Q211">
            <v>1</v>
          </cell>
          <cell r="R211">
            <v>0</v>
          </cell>
          <cell r="S211">
            <v>0</v>
          </cell>
          <cell r="T211">
            <v>0</v>
          </cell>
          <cell r="U211">
            <v>0</v>
          </cell>
          <cell r="V211">
            <v>4</v>
          </cell>
          <cell r="W211">
            <v>0</v>
          </cell>
          <cell r="X211">
            <v>0</v>
          </cell>
          <cell r="Y211">
            <v>0</v>
          </cell>
          <cell r="Z211">
            <v>0</v>
          </cell>
          <cell r="AA211">
            <v>4</v>
          </cell>
          <cell r="AB211">
            <v>0.41176470588235292</v>
          </cell>
          <cell r="AC211">
            <v>0.5</v>
          </cell>
          <cell r="AD211">
            <v>12</v>
          </cell>
        </row>
        <row r="212">
          <cell r="A212">
            <v>32</v>
          </cell>
          <cell r="B212">
            <v>4</v>
          </cell>
          <cell r="C212">
            <v>1</v>
          </cell>
          <cell r="D212">
            <v>10400</v>
          </cell>
          <cell r="E212">
            <v>1</v>
          </cell>
          <cell r="F212">
            <v>11</v>
          </cell>
          <cell r="G212">
            <v>3</v>
          </cell>
          <cell r="H212">
            <v>0</v>
          </cell>
          <cell r="I212">
            <v>14</v>
          </cell>
          <cell r="J212">
            <v>2</v>
          </cell>
          <cell r="K212">
            <v>14</v>
          </cell>
          <cell r="L212">
            <v>8</v>
          </cell>
          <cell r="M212">
            <v>0</v>
          </cell>
          <cell r="N212">
            <v>0</v>
          </cell>
          <cell r="O212">
            <v>0</v>
          </cell>
          <cell r="P212">
            <v>0</v>
          </cell>
          <cell r="Q212">
            <v>1</v>
          </cell>
          <cell r="R212">
            <v>0</v>
          </cell>
          <cell r="S212">
            <v>0</v>
          </cell>
          <cell r="T212">
            <v>0</v>
          </cell>
          <cell r="U212">
            <v>0</v>
          </cell>
          <cell r="V212">
            <v>4</v>
          </cell>
          <cell r="W212">
            <v>0</v>
          </cell>
          <cell r="X212">
            <v>0</v>
          </cell>
          <cell r="Y212">
            <v>0</v>
          </cell>
          <cell r="Z212">
            <v>0</v>
          </cell>
          <cell r="AA212">
            <v>16</v>
          </cell>
          <cell r="AB212">
            <v>7.1428571428571425E-2</v>
          </cell>
          <cell r="AC212">
            <v>0.5714285714285714</v>
          </cell>
          <cell r="AD212">
            <v>48</v>
          </cell>
        </row>
        <row r="213">
          <cell r="A213">
            <v>30</v>
          </cell>
          <cell r="B213">
            <v>1</v>
          </cell>
          <cell r="C213">
            <v>2</v>
          </cell>
          <cell r="D213">
            <v>8474</v>
          </cell>
          <cell r="E213">
            <v>1</v>
          </cell>
          <cell r="F213">
            <v>22</v>
          </cell>
          <cell r="G213">
            <v>4</v>
          </cell>
          <cell r="H213">
            <v>0</v>
          </cell>
          <cell r="I213">
            <v>12</v>
          </cell>
          <cell r="J213">
            <v>2</v>
          </cell>
          <cell r="K213">
            <v>11</v>
          </cell>
          <cell r="L213">
            <v>8</v>
          </cell>
          <cell r="M213">
            <v>0</v>
          </cell>
          <cell r="N213">
            <v>0</v>
          </cell>
          <cell r="O213">
            <v>1</v>
          </cell>
          <cell r="P213">
            <v>0</v>
          </cell>
          <cell r="Q213">
            <v>0</v>
          </cell>
          <cell r="R213">
            <v>0</v>
          </cell>
          <cell r="S213">
            <v>0</v>
          </cell>
          <cell r="T213">
            <v>1</v>
          </cell>
          <cell r="U213">
            <v>0</v>
          </cell>
          <cell r="V213">
            <v>0</v>
          </cell>
          <cell r="W213">
            <v>0</v>
          </cell>
          <cell r="X213">
            <v>0</v>
          </cell>
          <cell r="Y213">
            <v>0</v>
          </cell>
          <cell r="Z213">
            <v>0</v>
          </cell>
          <cell r="AA213">
            <v>9</v>
          </cell>
          <cell r="AB213">
            <v>8.3333333333333329E-2</v>
          </cell>
          <cell r="AC213">
            <v>0.72727272727272729</v>
          </cell>
          <cell r="AD213">
            <v>27</v>
          </cell>
        </row>
        <row r="214">
          <cell r="A214">
            <v>27</v>
          </cell>
          <cell r="B214">
            <v>3</v>
          </cell>
          <cell r="C214">
            <v>3</v>
          </cell>
          <cell r="D214">
            <v>9981</v>
          </cell>
          <cell r="E214">
            <v>1</v>
          </cell>
          <cell r="F214">
            <v>14</v>
          </cell>
          <cell r="G214">
            <v>3</v>
          </cell>
          <cell r="H214">
            <v>0</v>
          </cell>
          <cell r="I214">
            <v>7</v>
          </cell>
          <cell r="J214">
            <v>2</v>
          </cell>
          <cell r="K214">
            <v>7</v>
          </cell>
          <cell r="L214">
            <v>7</v>
          </cell>
          <cell r="M214">
            <v>0</v>
          </cell>
          <cell r="N214">
            <v>1</v>
          </cell>
          <cell r="O214">
            <v>1</v>
          </cell>
          <cell r="P214">
            <v>0</v>
          </cell>
          <cell r="Q214">
            <v>0</v>
          </cell>
          <cell r="R214">
            <v>0</v>
          </cell>
          <cell r="S214">
            <v>0</v>
          </cell>
          <cell r="T214">
            <v>3</v>
          </cell>
          <cell r="U214">
            <v>0</v>
          </cell>
          <cell r="V214">
            <v>0</v>
          </cell>
          <cell r="W214">
            <v>0</v>
          </cell>
          <cell r="X214">
            <v>0</v>
          </cell>
          <cell r="Y214">
            <v>0</v>
          </cell>
          <cell r="Z214">
            <v>0</v>
          </cell>
          <cell r="AA214">
            <v>12</v>
          </cell>
          <cell r="AB214">
            <v>0.14285714285714285</v>
          </cell>
          <cell r="AC214">
            <v>1</v>
          </cell>
          <cell r="AD214">
            <v>48</v>
          </cell>
        </row>
        <row r="215">
          <cell r="A215">
            <v>51</v>
          </cell>
          <cell r="B215">
            <v>4</v>
          </cell>
          <cell r="C215">
            <v>2</v>
          </cell>
          <cell r="D215">
            <v>12490</v>
          </cell>
          <cell r="E215">
            <v>5</v>
          </cell>
          <cell r="F215">
            <v>16</v>
          </cell>
          <cell r="G215">
            <v>3</v>
          </cell>
          <cell r="H215">
            <v>2</v>
          </cell>
          <cell r="I215">
            <v>16</v>
          </cell>
          <cell r="J215">
            <v>5</v>
          </cell>
          <cell r="K215">
            <v>10</v>
          </cell>
          <cell r="L215">
            <v>9</v>
          </cell>
          <cell r="M215">
            <v>0</v>
          </cell>
          <cell r="N215">
            <v>0</v>
          </cell>
          <cell r="O215">
            <v>1</v>
          </cell>
          <cell r="P215">
            <v>0</v>
          </cell>
          <cell r="Q215">
            <v>0</v>
          </cell>
          <cell r="R215">
            <v>0</v>
          </cell>
          <cell r="S215">
            <v>0</v>
          </cell>
          <cell r="T215">
            <v>4</v>
          </cell>
          <cell r="U215">
            <v>0</v>
          </cell>
          <cell r="V215">
            <v>0</v>
          </cell>
          <cell r="W215">
            <v>0</v>
          </cell>
          <cell r="X215">
            <v>0</v>
          </cell>
          <cell r="Y215">
            <v>0</v>
          </cell>
          <cell r="Z215">
            <v>0</v>
          </cell>
          <cell r="AA215">
            <v>4</v>
          </cell>
          <cell r="AB215">
            <v>0.3125</v>
          </cell>
          <cell r="AC215">
            <v>0.9</v>
          </cell>
          <cell r="AD215">
            <v>16</v>
          </cell>
        </row>
        <row r="216">
          <cell r="A216">
            <v>30</v>
          </cell>
          <cell r="B216">
            <v>3</v>
          </cell>
          <cell r="C216">
            <v>3</v>
          </cell>
          <cell r="D216">
            <v>2657</v>
          </cell>
          <cell r="E216">
            <v>5</v>
          </cell>
          <cell r="F216">
            <v>11</v>
          </cell>
          <cell r="G216">
            <v>3</v>
          </cell>
          <cell r="H216">
            <v>0</v>
          </cell>
          <cell r="I216">
            <v>8</v>
          </cell>
          <cell r="J216">
            <v>5</v>
          </cell>
          <cell r="K216">
            <v>5</v>
          </cell>
          <cell r="L216">
            <v>2</v>
          </cell>
          <cell r="M216">
            <v>1</v>
          </cell>
          <cell r="N216">
            <v>1</v>
          </cell>
          <cell r="O216">
            <v>0</v>
          </cell>
          <cell r="P216">
            <v>0</v>
          </cell>
          <cell r="Q216">
            <v>0</v>
          </cell>
          <cell r="R216">
            <v>0</v>
          </cell>
          <cell r="S216">
            <v>1</v>
          </cell>
          <cell r="T216">
            <v>0</v>
          </cell>
          <cell r="U216">
            <v>0</v>
          </cell>
          <cell r="V216">
            <v>0</v>
          </cell>
          <cell r="W216">
            <v>0</v>
          </cell>
          <cell r="X216">
            <v>3</v>
          </cell>
          <cell r="Y216">
            <v>0</v>
          </cell>
          <cell r="Z216">
            <v>0</v>
          </cell>
          <cell r="AA216">
            <v>4</v>
          </cell>
          <cell r="AB216">
            <v>0.625</v>
          </cell>
          <cell r="AC216">
            <v>0.4</v>
          </cell>
          <cell r="AD216">
            <v>12</v>
          </cell>
        </row>
        <row r="217">
          <cell r="A217">
            <v>41</v>
          </cell>
          <cell r="B217">
            <v>3</v>
          </cell>
          <cell r="C217">
            <v>3</v>
          </cell>
          <cell r="D217">
            <v>13591</v>
          </cell>
          <cell r="E217">
            <v>3</v>
          </cell>
          <cell r="F217">
            <v>18</v>
          </cell>
          <cell r="G217">
            <v>3</v>
          </cell>
          <cell r="H217">
            <v>0</v>
          </cell>
          <cell r="I217">
            <v>16</v>
          </cell>
          <cell r="J217">
            <v>3</v>
          </cell>
          <cell r="K217">
            <v>1</v>
          </cell>
          <cell r="L217">
            <v>0</v>
          </cell>
          <cell r="M217">
            <v>1</v>
          </cell>
          <cell r="N217">
            <v>1</v>
          </cell>
          <cell r="O217">
            <v>1</v>
          </cell>
          <cell r="P217">
            <v>0</v>
          </cell>
          <cell r="Q217">
            <v>0</v>
          </cell>
          <cell r="R217">
            <v>0</v>
          </cell>
          <cell r="S217">
            <v>0</v>
          </cell>
          <cell r="T217">
            <v>3</v>
          </cell>
          <cell r="U217">
            <v>0</v>
          </cell>
          <cell r="V217">
            <v>0</v>
          </cell>
          <cell r="W217">
            <v>0</v>
          </cell>
          <cell r="X217">
            <v>0</v>
          </cell>
          <cell r="Y217">
            <v>0</v>
          </cell>
          <cell r="Z217">
            <v>0</v>
          </cell>
          <cell r="AA217">
            <v>16</v>
          </cell>
          <cell r="AB217">
            <v>0.1875</v>
          </cell>
          <cell r="AC217">
            <v>0</v>
          </cell>
          <cell r="AD217">
            <v>48</v>
          </cell>
        </row>
        <row r="218">
          <cell r="A218">
            <v>30</v>
          </cell>
          <cell r="B218">
            <v>4</v>
          </cell>
          <cell r="C218">
            <v>2</v>
          </cell>
          <cell r="D218">
            <v>6696</v>
          </cell>
          <cell r="E218">
            <v>5</v>
          </cell>
          <cell r="F218">
            <v>15</v>
          </cell>
          <cell r="G218">
            <v>3</v>
          </cell>
          <cell r="H218">
            <v>0</v>
          </cell>
          <cell r="I218">
            <v>9</v>
          </cell>
          <cell r="J218">
            <v>5</v>
          </cell>
          <cell r="K218">
            <v>6</v>
          </cell>
          <cell r="L218">
            <v>3</v>
          </cell>
          <cell r="M218">
            <v>0</v>
          </cell>
          <cell r="N218">
            <v>1</v>
          </cell>
          <cell r="O218">
            <v>0</v>
          </cell>
          <cell r="P218">
            <v>1</v>
          </cell>
          <cell r="Q218">
            <v>0</v>
          </cell>
          <cell r="R218">
            <v>0</v>
          </cell>
          <cell r="S218">
            <v>0</v>
          </cell>
          <cell r="T218">
            <v>0</v>
          </cell>
          <cell r="U218">
            <v>4</v>
          </cell>
          <cell r="V218">
            <v>0</v>
          </cell>
          <cell r="W218">
            <v>0</v>
          </cell>
          <cell r="X218">
            <v>0</v>
          </cell>
          <cell r="Y218">
            <v>0</v>
          </cell>
          <cell r="Z218">
            <v>0</v>
          </cell>
          <cell r="AA218">
            <v>3</v>
          </cell>
          <cell r="AB218">
            <v>0.55555555555555558</v>
          </cell>
          <cell r="AC218">
            <v>0.5</v>
          </cell>
          <cell r="AD218">
            <v>9</v>
          </cell>
        </row>
        <row r="219">
          <cell r="A219">
            <v>29</v>
          </cell>
          <cell r="B219">
            <v>3</v>
          </cell>
          <cell r="C219">
            <v>3</v>
          </cell>
          <cell r="D219">
            <v>2058</v>
          </cell>
          <cell r="E219">
            <v>0</v>
          </cell>
          <cell r="F219">
            <v>14</v>
          </cell>
          <cell r="G219">
            <v>3</v>
          </cell>
          <cell r="H219">
            <v>0</v>
          </cell>
          <cell r="I219">
            <v>7</v>
          </cell>
          <cell r="J219">
            <v>1</v>
          </cell>
          <cell r="K219">
            <v>6</v>
          </cell>
          <cell r="L219">
            <v>2</v>
          </cell>
          <cell r="M219">
            <v>0</v>
          </cell>
          <cell r="N219">
            <v>0</v>
          </cell>
          <cell r="O219">
            <v>0</v>
          </cell>
          <cell r="P219">
            <v>0</v>
          </cell>
          <cell r="Q219">
            <v>0</v>
          </cell>
          <cell r="R219">
            <v>0</v>
          </cell>
          <cell r="S219">
            <v>1</v>
          </cell>
          <cell r="T219">
            <v>0</v>
          </cell>
          <cell r="U219">
            <v>0</v>
          </cell>
          <cell r="V219">
            <v>0</v>
          </cell>
          <cell r="W219">
            <v>0</v>
          </cell>
          <cell r="X219">
            <v>3</v>
          </cell>
          <cell r="Y219">
            <v>0</v>
          </cell>
          <cell r="Z219">
            <v>0</v>
          </cell>
          <cell r="AA219">
            <v>9</v>
          </cell>
          <cell r="AB219">
            <v>0</v>
          </cell>
          <cell r="AC219">
            <v>0.33333333333333331</v>
          </cell>
          <cell r="AD219">
            <v>36</v>
          </cell>
        </row>
        <row r="220">
          <cell r="A220">
            <v>45</v>
          </cell>
          <cell r="B220">
            <v>3</v>
          </cell>
          <cell r="C220">
            <v>2</v>
          </cell>
          <cell r="D220">
            <v>8865</v>
          </cell>
          <cell r="E220">
            <v>6</v>
          </cell>
          <cell r="F220">
            <v>12</v>
          </cell>
          <cell r="G220">
            <v>3</v>
          </cell>
          <cell r="H220">
            <v>0</v>
          </cell>
          <cell r="I220">
            <v>23</v>
          </cell>
          <cell r="J220">
            <v>2</v>
          </cell>
          <cell r="K220">
            <v>19</v>
          </cell>
          <cell r="L220">
            <v>7</v>
          </cell>
          <cell r="M220">
            <v>0</v>
          </cell>
          <cell r="N220">
            <v>1</v>
          </cell>
          <cell r="O220">
            <v>0</v>
          </cell>
          <cell r="P220">
            <v>0</v>
          </cell>
          <cell r="Q220">
            <v>1</v>
          </cell>
          <cell r="R220">
            <v>0</v>
          </cell>
          <cell r="S220">
            <v>0</v>
          </cell>
          <cell r="T220">
            <v>0</v>
          </cell>
          <cell r="U220">
            <v>0</v>
          </cell>
          <cell r="V220">
            <v>3</v>
          </cell>
          <cell r="W220">
            <v>0</v>
          </cell>
          <cell r="X220">
            <v>0</v>
          </cell>
          <cell r="Y220">
            <v>0</v>
          </cell>
          <cell r="Z220">
            <v>0</v>
          </cell>
          <cell r="AA220">
            <v>16</v>
          </cell>
          <cell r="AB220">
            <v>0.2608695652173913</v>
          </cell>
          <cell r="AC220">
            <v>0.36842105263157893</v>
          </cell>
          <cell r="AD220">
            <v>64</v>
          </cell>
        </row>
        <row r="221">
          <cell r="A221">
            <v>54</v>
          </cell>
          <cell r="B221">
            <v>3</v>
          </cell>
          <cell r="C221">
            <v>3</v>
          </cell>
          <cell r="D221">
            <v>5940</v>
          </cell>
          <cell r="E221">
            <v>2</v>
          </cell>
          <cell r="F221">
            <v>14</v>
          </cell>
          <cell r="G221">
            <v>3</v>
          </cell>
          <cell r="H221">
            <v>1</v>
          </cell>
          <cell r="I221">
            <v>16</v>
          </cell>
          <cell r="J221">
            <v>4</v>
          </cell>
          <cell r="K221">
            <v>6</v>
          </cell>
          <cell r="L221">
            <v>2</v>
          </cell>
          <cell r="M221">
            <v>0</v>
          </cell>
          <cell r="N221">
            <v>1</v>
          </cell>
          <cell r="O221">
            <v>0</v>
          </cell>
          <cell r="P221">
            <v>1</v>
          </cell>
          <cell r="Q221">
            <v>0</v>
          </cell>
          <cell r="R221">
            <v>0</v>
          </cell>
          <cell r="S221">
            <v>0</v>
          </cell>
          <cell r="T221">
            <v>0</v>
          </cell>
          <cell r="U221">
            <v>3</v>
          </cell>
          <cell r="V221">
            <v>0</v>
          </cell>
          <cell r="W221">
            <v>0</v>
          </cell>
          <cell r="X221">
            <v>0</v>
          </cell>
          <cell r="Y221">
            <v>0</v>
          </cell>
          <cell r="Z221">
            <v>0</v>
          </cell>
          <cell r="AA221">
            <v>4</v>
          </cell>
          <cell r="AB221">
            <v>0.125</v>
          </cell>
          <cell r="AC221">
            <v>0.33333333333333331</v>
          </cell>
          <cell r="AD221">
            <v>16</v>
          </cell>
        </row>
        <row r="222">
          <cell r="A222">
            <v>36</v>
          </cell>
          <cell r="B222">
            <v>2</v>
          </cell>
          <cell r="C222">
            <v>3</v>
          </cell>
          <cell r="D222">
            <v>5914</v>
          </cell>
          <cell r="E222">
            <v>8</v>
          </cell>
          <cell r="F222">
            <v>16</v>
          </cell>
          <cell r="G222">
            <v>3</v>
          </cell>
          <cell r="H222">
            <v>0</v>
          </cell>
          <cell r="I222">
            <v>16</v>
          </cell>
          <cell r="J222">
            <v>3</v>
          </cell>
          <cell r="K222">
            <v>13</v>
          </cell>
          <cell r="L222">
            <v>11</v>
          </cell>
          <cell r="M222">
            <v>0</v>
          </cell>
          <cell r="N222">
            <v>0</v>
          </cell>
          <cell r="O222">
            <v>1</v>
          </cell>
          <cell r="P222">
            <v>0</v>
          </cell>
          <cell r="Q222">
            <v>0</v>
          </cell>
          <cell r="R222">
            <v>0</v>
          </cell>
          <cell r="S222">
            <v>0</v>
          </cell>
          <cell r="T222">
            <v>2</v>
          </cell>
          <cell r="U222">
            <v>0</v>
          </cell>
          <cell r="V222">
            <v>0</v>
          </cell>
          <cell r="W222">
            <v>0</v>
          </cell>
          <cell r="X222">
            <v>0</v>
          </cell>
          <cell r="Y222">
            <v>0</v>
          </cell>
          <cell r="Z222">
            <v>0</v>
          </cell>
          <cell r="AA222">
            <v>8</v>
          </cell>
          <cell r="AB222">
            <v>0.5</v>
          </cell>
          <cell r="AC222">
            <v>0.84615384615384615</v>
          </cell>
          <cell r="AD222">
            <v>32</v>
          </cell>
        </row>
        <row r="223">
          <cell r="A223">
            <v>33</v>
          </cell>
          <cell r="B223">
            <v>4</v>
          </cell>
          <cell r="C223">
            <v>2</v>
          </cell>
          <cell r="D223">
            <v>2622</v>
          </cell>
          <cell r="E223">
            <v>6</v>
          </cell>
          <cell r="F223">
            <v>21</v>
          </cell>
          <cell r="G223">
            <v>4</v>
          </cell>
          <cell r="H223">
            <v>0</v>
          </cell>
          <cell r="I223">
            <v>7</v>
          </cell>
          <cell r="J223">
            <v>3</v>
          </cell>
          <cell r="K223">
            <v>3</v>
          </cell>
          <cell r="L223">
            <v>2</v>
          </cell>
          <cell r="M223">
            <v>0</v>
          </cell>
          <cell r="N223">
            <v>1</v>
          </cell>
          <cell r="O223">
            <v>0</v>
          </cell>
          <cell r="P223">
            <v>0</v>
          </cell>
          <cell r="Q223">
            <v>1</v>
          </cell>
          <cell r="R223">
            <v>0</v>
          </cell>
          <cell r="S223">
            <v>0</v>
          </cell>
          <cell r="T223">
            <v>0</v>
          </cell>
          <cell r="U223">
            <v>0</v>
          </cell>
          <cell r="V223">
            <v>4</v>
          </cell>
          <cell r="W223">
            <v>0</v>
          </cell>
          <cell r="X223">
            <v>0</v>
          </cell>
          <cell r="Y223">
            <v>0</v>
          </cell>
          <cell r="Z223">
            <v>0</v>
          </cell>
          <cell r="AA223">
            <v>6</v>
          </cell>
          <cell r="AB223">
            <v>0.8571428571428571</v>
          </cell>
          <cell r="AC223">
            <v>0.66666666666666663</v>
          </cell>
          <cell r="AD223">
            <v>24</v>
          </cell>
        </row>
        <row r="224">
          <cell r="A224">
            <v>37</v>
          </cell>
          <cell r="B224">
            <v>3</v>
          </cell>
          <cell r="C224">
            <v>3</v>
          </cell>
          <cell r="D224">
            <v>12185</v>
          </cell>
          <cell r="E224">
            <v>1</v>
          </cell>
          <cell r="F224">
            <v>14</v>
          </cell>
          <cell r="G224">
            <v>3</v>
          </cell>
          <cell r="H224">
            <v>3</v>
          </cell>
          <cell r="I224">
            <v>10</v>
          </cell>
          <cell r="J224">
            <v>1</v>
          </cell>
          <cell r="K224">
            <v>10</v>
          </cell>
          <cell r="L224">
            <v>8</v>
          </cell>
          <cell r="M224">
            <v>1</v>
          </cell>
          <cell r="N224">
            <v>0</v>
          </cell>
          <cell r="O224">
            <v>0</v>
          </cell>
          <cell r="P224">
            <v>0</v>
          </cell>
          <cell r="Q224">
            <v>0</v>
          </cell>
          <cell r="R224">
            <v>1</v>
          </cell>
          <cell r="S224">
            <v>0</v>
          </cell>
          <cell r="T224">
            <v>0</v>
          </cell>
          <cell r="U224">
            <v>0</v>
          </cell>
          <cell r="V224">
            <v>0</v>
          </cell>
          <cell r="W224">
            <v>3</v>
          </cell>
          <cell r="X224">
            <v>0</v>
          </cell>
          <cell r="Y224">
            <v>0</v>
          </cell>
          <cell r="Z224">
            <v>0</v>
          </cell>
          <cell r="AA224">
            <v>8</v>
          </cell>
          <cell r="AB224">
            <v>0.1</v>
          </cell>
          <cell r="AC224">
            <v>0.8</v>
          </cell>
          <cell r="AD224">
            <v>24</v>
          </cell>
        </row>
        <row r="225">
          <cell r="A225">
            <v>38</v>
          </cell>
          <cell r="B225">
            <v>3</v>
          </cell>
          <cell r="C225">
            <v>3</v>
          </cell>
          <cell r="D225">
            <v>10609</v>
          </cell>
          <cell r="E225">
            <v>0</v>
          </cell>
          <cell r="F225">
            <v>12</v>
          </cell>
          <cell r="G225">
            <v>3</v>
          </cell>
          <cell r="H225">
            <v>2</v>
          </cell>
          <cell r="I225">
            <v>17</v>
          </cell>
          <cell r="J225">
            <v>6</v>
          </cell>
          <cell r="K225">
            <v>16</v>
          </cell>
          <cell r="L225">
            <v>10</v>
          </cell>
          <cell r="M225">
            <v>0</v>
          </cell>
          <cell r="N225">
            <v>0</v>
          </cell>
          <cell r="O225">
            <v>1</v>
          </cell>
          <cell r="P225">
            <v>0</v>
          </cell>
          <cell r="Q225">
            <v>0</v>
          </cell>
          <cell r="R225">
            <v>0</v>
          </cell>
          <cell r="S225">
            <v>0</v>
          </cell>
          <cell r="T225">
            <v>3</v>
          </cell>
          <cell r="U225">
            <v>0</v>
          </cell>
          <cell r="V225">
            <v>0</v>
          </cell>
          <cell r="W225">
            <v>0</v>
          </cell>
          <cell r="X225">
            <v>0</v>
          </cell>
          <cell r="Y225">
            <v>0</v>
          </cell>
          <cell r="Z225">
            <v>0</v>
          </cell>
          <cell r="AA225">
            <v>3</v>
          </cell>
          <cell r="AB225">
            <v>0</v>
          </cell>
          <cell r="AC225">
            <v>0.625</v>
          </cell>
          <cell r="AD225">
            <v>9</v>
          </cell>
        </row>
        <row r="226">
          <cell r="A226">
            <v>31</v>
          </cell>
          <cell r="B226">
            <v>4</v>
          </cell>
          <cell r="C226">
            <v>1</v>
          </cell>
          <cell r="D226">
            <v>4345</v>
          </cell>
          <cell r="E226">
            <v>0</v>
          </cell>
          <cell r="F226">
            <v>12</v>
          </cell>
          <cell r="G226">
            <v>3</v>
          </cell>
          <cell r="H226">
            <v>1</v>
          </cell>
          <cell r="I226">
            <v>6</v>
          </cell>
          <cell r="J226">
            <v>2</v>
          </cell>
          <cell r="K226">
            <v>5</v>
          </cell>
          <cell r="L226">
            <v>4</v>
          </cell>
          <cell r="M226">
            <v>0</v>
          </cell>
          <cell r="N226">
            <v>0</v>
          </cell>
          <cell r="O226">
            <v>0</v>
          </cell>
          <cell r="P226">
            <v>0</v>
          </cell>
          <cell r="Q226">
            <v>1</v>
          </cell>
          <cell r="R226">
            <v>0</v>
          </cell>
          <cell r="S226">
            <v>0</v>
          </cell>
          <cell r="T226">
            <v>0</v>
          </cell>
          <cell r="U226">
            <v>0</v>
          </cell>
          <cell r="V226">
            <v>4</v>
          </cell>
          <cell r="W226">
            <v>0</v>
          </cell>
          <cell r="X226">
            <v>0</v>
          </cell>
          <cell r="Y226">
            <v>0</v>
          </cell>
          <cell r="Z226">
            <v>0</v>
          </cell>
          <cell r="AA226">
            <v>9</v>
          </cell>
          <cell r="AB226">
            <v>0</v>
          </cell>
          <cell r="AC226">
            <v>0.8</v>
          </cell>
          <cell r="AD226">
            <v>36</v>
          </cell>
        </row>
        <row r="227">
          <cell r="A227">
            <v>59</v>
          </cell>
          <cell r="B227">
            <v>3</v>
          </cell>
          <cell r="C227">
            <v>2</v>
          </cell>
          <cell r="D227">
            <v>2177</v>
          </cell>
          <cell r="E227">
            <v>3</v>
          </cell>
          <cell r="F227">
            <v>17</v>
          </cell>
          <cell r="G227">
            <v>3</v>
          </cell>
          <cell r="H227">
            <v>1</v>
          </cell>
          <cell r="I227">
            <v>7</v>
          </cell>
          <cell r="J227">
            <v>6</v>
          </cell>
          <cell r="K227">
            <v>1</v>
          </cell>
          <cell r="L227">
            <v>0</v>
          </cell>
          <cell r="M227">
            <v>0</v>
          </cell>
          <cell r="N227">
            <v>0</v>
          </cell>
          <cell r="O227">
            <v>1</v>
          </cell>
          <cell r="P227">
            <v>0</v>
          </cell>
          <cell r="Q227">
            <v>0</v>
          </cell>
          <cell r="R227">
            <v>0</v>
          </cell>
          <cell r="S227">
            <v>0</v>
          </cell>
          <cell r="T227">
            <v>3</v>
          </cell>
          <cell r="U227">
            <v>0</v>
          </cell>
          <cell r="V227">
            <v>0</v>
          </cell>
          <cell r="W227">
            <v>0</v>
          </cell>
          <cell r="X227">
            <v>0</v>
          </cell>
          <cell r="Y227">
            <v>0</v>
          </cell>
          <cell r="Z227">
            <v>0</v>
          </cell>
          <cell r="AA227">
            <v>12</v>
          </cell>
          <cell r="AB227">
            <v>0.42857142857142855</v>
          </cell>
          <cell r="AC227">
            <v>0</v>
          </cell>
          <cell r="AD227">
            <v>12</v>
          </cell>
        </row>
        <row r="228">
          <cell r="A228">
            <v>37</v>
          </cell>
          <cell r="B228">
            <v>4</v>
          </cell>
          <cell r="C228">
            <v>3</v>
          </cell>
          <cell r="D228">
            <v>2793</v>
          </cell>
          <cell r="E228">
            <v>4</v>
          </cell>
          <cell r="F228">
            <v>17</v>
          </cell>
          <cell r="G228">
            <v>3</v>
          </cell>
          <cell r="H228">
            <v>1</v>
          </cell>
          <cell r="I228">
            <v>13</v>
          </cell>
          <cell r="J228">
            <v>2</v>
          </cell>
          <cell r="K228">
            <v>9</v>
          </cell>
          <cell r="L228">
            <v>8</v>
          </cell>
          <cell r="M228">
            <v>0</v>
          </cell>
          <cell r="N228">
            <v>0</v>
          </cell>
          <cell r="O228">
            <v>0</v>
          </cell>
          <cell r="P228">
            <v>1</v>
          </cell>
          <cell r="Q228">
            <v>0</v>
          </cell>
          <cell r="R228">
            <v>0</v>
          </cell>
          <cell r="S228">
            <v>0</v>
          </cell>
          <cell r="T228">
            <v>0</v>
          </cell>
          <cell r="U228">
            <v>4</v>
          </cell>
          <cell r="V228">
            <v>0</v>
          </cell>
          <cell r="W228">
            <v>0</v>
          </cell>
          <cell r="X228">
            <v>0</v>
          </cell>
          <cell r="Y228">
            <v>0</v>
          </cell>
          <cell r="Z228">
            <v>0</v>
          </cell>
          <cell r="AA228">
            <v>4</v>
          </cell>
          <cell r="AB228">
            <v>0.30769230769230771</v>
          </cell>
          <cell r="AC228">
            <v>0.88888888888888884</v>
          </cell>
          <cell r="AD228">
            <v>12</v>
          </cell>
        </row>
        <row r="229">
          <cell r="A229">
            <v>29</v>
          </cell>
          <cell r="B229">
            <v>1</v>
          </cell>
          <cell r="C229">
            <v>3</v>
          </cell>
          <cell r="D229">
            <v>7918</v>
          </cell>
          <cell r="E229">
            <v>1</v>
          </cell>
          <cell r="F229">
            <v>14</v>
          </cell>
          <cell r="G229">
            <v>3</v>
          </cell>
          <cell r="H229">
            <v>1</v>
          </cell>
          <cell r="I229">
            <v>11</v>
          </cell>
          <cell r="J229">
            <v>5</v>
          </cell>
          <cell r="K229">
            <v>11</v>
          </cell>
          <cell r="L229">
            <v>10</v>
          </cell>
          <cell r="M229">
            <v>0</v>
          </cell>
          <cell r="N229">
            <v>1</v>
          </cell>
          <cell r="O229">
            <v>0</v>
          </cell>
          <cell r="P229">
            <v>0</v>
          </cell>
          <cell r="Q229">
            <v>1</v>
          </cell>
          <cell r="R229">
            <v>0</v>
          </cell>
          <cell r="S229">
            <v>0</v>
          </cell>
          <cell r="T229">
            <v>0</v>
          </cell>
          <cell r="U229">
            <v>0</v>
          </cell>
          <cell r="V229">
            <v>1</v>
          </cell>
          <cell r="W229">
            <v>0</v>
          </cell>
          <cell r="X229">
            <v>0</v>
          </cell>
          <cell r="Y229">
            <v>1</v>
          </cell>
          <cell r="Z229">
            <v>0</v>
          </cell>
          <cell r="AA229">
            <v>8</v>
          </cell>
          <cell r="AB229">
            <v>9.0909090909090912E-2</v>
          </cell>
          <cell r="AC229">
            <v>0.90909090909090906</v>
          </cell>
          <cell r="AD229">
            <v>32</v>
          </cell>
        </row>
        <row r="230">
          <cell r="A230">
            <v>35</v>
          </cell>
          <cell r="B230">
            <v>3</v>
          </cell>
          <cell r="C230">
            <v>3</v>
          </cell>
          <cell r="D230">
            <v>8789</v>
          </cell>
          <cell r="E230">
            <v>1</v>
          </cell>
          <cell r="F230">
            <v>14</v>
          </cell>
          <cell r="G230">
            <v>3</v>
          </cell>
          <cell r="H230">
            <v>0</v>
          </cell>
          <cell r="I230">
            <v>10</v>
          </cell>
          <cell r="J230">
            <v>3</v>
          </cell>
          <cell r="K230">
            <v>10</v>
          </cell>
          <cell r="L230">
            <v>7</v>
          </cell>
          <cell r="M230">
            <v>0</v>
          </cell>
          <cell r="N230">
            <v>1</v>
          </cell>
          <cell r="O230">
            <v>0</v>
          </cell>
          <cell r="P230">
            <v>1</v>
          </cell>
          <cell r="Q230">
            <v>0</v>
          </cell>
          <cell r="R230">
            <v>0</v>
          </cell>
          <cell r="S230">
            <v>0</v>
          </cell>
          <cell r="T230">
            <v>0</v>
          </cell>
          <cell r="U230">
            <v>3</v>
          </cell>
          <cell r="V230">
            <v>0</v>
          </cell>
          <cell r="W230">
            <v>0</v>
          </cell>
          <cell r="X230">
            <v>0</v>
          </cell>
          <cell r="Y230">
            <v>0</v>
          </cell>
          <cell r="Z230">
            <v>0</v>
          </cell>
          <cell r="AA230">
            <v>9</v>
          </cell>
          <cell r="AB230">
            <v>0.1</v>
          </cell>
          <cell r="AC230">
            <v>0.7</v>
          </cell>
          <cell r="AD230">
            <v>9</v>
          </cell>
        </row>
        <row r="231">
          <cell r="A231">
            <v>29</v>
          </cell>
          <cell r="B231">
            <v>1</v>
          </cell>
          <cell r="C231">
            <v>2</v>
          </cell>
          <cell r="D231">
            <v>2389</v>
          </cell>
          <cell r="E231">
            <v>1</v>
          </cell>
          <cell r="F231">
            <v>13</v>
          </cell>
          <cell r="G231">
            <v>3</v>
          </cell>
          <cell r="H231">
            <v>0</v>
          </cell>
          <cell r="I231">
            <v>4</v>
          </cell>
          <cell r="J231">
            <v>3</v>
          </cell>
          <cell r="K231">
            <v>4</v>
          </cell>
          <cell r="L231">
            <v>3</v>
          </cell>
          <cell r="M231">
            <v>1</v>
          </cell>
          <cell r="N231">
            <v>0</v>
          </cell>
          <cell r="O231">
            <v>0</v>
          </cell>
          <cell r="P231">
            <v>0</v>
          </cell>
          <cell r="Q231">
            <v>1</v>
          </cell>
          <cell r="R231">
            <v>0</v>
          </cell>
          <cell r="S231">
            <v>0</v>
          </cell>
          <cell r="T231">
            <v>0</v>
          </cell>
          <cell r="U231">
            <v>0</v>
          </cell>
          <cell r="V231">
            <v>1</v>
          </cell>
          <cell r="W231">
            <v>0</v>
          </cell>
          <cell r="X231">
            <v>0</v>
          </cell>
          <cell r="Y231">
            <v>0</v>
          </cell>
          <cell r="Z231">
            <v>0</v>
          </cell>
          <cell r="AA231">
            <v>12</v>
          </cell>
          <cell r="AB231">
            <v>0.25</v>
          </cell>
          <cell r="AC231">
            <v>0.75</v>
          </cell>
          <cell r="AD231">
            <v>36</v>
          </cell>
        </row>
        <row r="232">
          <cell r="A232">
            <v>52</v>
          </cell>
          <cell r="B232">
            <v>3</v>
          </cell>
          <cell r="C232">
            <v>2</v>
          </cell>
          <cell r="D232">
            <v>3212</v>
          </cell>
          <cell r="E232">
            <v>7</v>
          </cell>
          <cell r="F232">
            <v>15</v>
          </cell>
          <cell r="G232">
            <v>3</v>
          </cell>
          <cell r="H232">
            <v>0</v>
          </cell>
          <cell r="I232">
            <v>6</v>
          </cell>
          <cell r="J232">
            <v>3</v>
          </cell>
          <cell r="K232">
            <v>2</v>
          </cell>
          <cell r="L232">
            <v>2</v>
          </cell>
          <cell r="M232">
            <v>0</v>
          </cell>
          <cell r="N232">
            <v>1</v>
          </cell>
          <cell r="O232">
            <v>1</v>
          </cell>
          <cell r="P232">
            <v>0</v>
          </cell>
          <cell r="Q232">
            <v>0</v>
          </cell>
          <cell r="R232">
            <v>0</v>
          </cell>
          <cell r="S232">
            <v>0</v>
          </cell>
          <cell r="T232">
            <v>3</v>
          </cell>
          <cell r="U232">
            <v>0</v>
          </cell>
          <cell r="V232">
            <v>0</v>
          </cell>
          <cell r="W232">
            <v>0</v>
          </cell>
          <cell r="X232">
            <v>0</v>
          </cell>
          <cell r="Y232">
            <v>0</v>
          </cell>
          <cell r="Z232">
            <v>0</v>
          </cell>
          <cell r="AA232">
            <v>12</v>
          </cell>
          <cell r="AB232">
            <v>1.1666666666666667</v>
          </cell>
          <cell r="AC232">
            <v>1</v>
          </cell>
          <cell r="AD232">
            <v>24</v>
          </cell>
        </row>
        <row r="233">
          <cell r="A233">
            <v>42</v>
          </cell>
          <cell r="B233">
            <v>2</v>
          </cell>
          <cell r="C233">
            <v>3</v>
          </cell>
          <cell r="D233">
            <v>19232</v>
          </cell>
          <cell r="E233">
            <v>1</v>
          </cell>
          <cell r="F233">
            <v>11</v>
          </cell>
          <cell r="G233">
            <v>3</v>
          </cell>
          <cell r="H233">
            <v>0</v>
          </cell>
          <cell r="I233">
            <v>22</v>
          </cell>
          <cell r="J233">
            <v>3</v>
          </cell>
          <cell r="K233">
            <v>22</v>
          </cell>
          <cell r="L233">
            <v>17</v>
          </cell>
          <cell r="M233">
            <v>0</v>
          </cell>
          <cell r="N233">
            <v>0</v>
          </cell>
          <cell r="O233">
            <v>0</v>
          </cell>
          <cell r="P233">
            <v>0</v>
          </cell>
          <cell r="Q233">
            <v>0</v>
          </cell>
          <cell r="R233">
            <v>0</v>
          </cell>
          <cell r="S233">
            <v>1</v>
          </cell>
          <cell r="T233">
            <v>0</v>
          </cell>
          <cell r="U233">
            <v>0</v>
          </cell>
          <cell r="V233">
            <v>0</v>
          </cell>
          <cell r="W233">
            <v>0</v>
          </cell>
          <cell r="X233">
            <v>2</v>
          </cell>
          <cell r="Y233">
            <v>0</v>
          </cell>
          <cell r="Z233">
            <v>0</v>
          </cell>
          <cell r="AA233">
            <v>12</v>
          </cell>
          <cell r="AB233">
            <v>4.5454545454545456E-2</v>
          </cell>
          <cell r="AC233">
            <v>0.77272727272727271</v>
          </cell>
          <cell r="AD233">
            <v>48</v>
          </cell>
        </row>
        <row r="234">
          <cell r="A234">
            <v>59</v>
          </cell>
          <cell r="B234">
            <v>2</v>
          </cell>
          <cell r="C234">
            <v>3</v>
          </cell>
          <cell r="D234">
            <v>2267</v>
          </cell>
          <cell r="E234">
            <v>8</v>
          </cell>
          <cell r="F234">
            <v>17</v>
          </cell>
          <cell r="G234">
            <v>3</v>
          </cell>
          <cell r="H234">
            <v>0</v>
          </cell>
          <cell r="I234">
            <v>7</v>
          </cell>
          <cell r="J234">
            <v>2</v>
          </cell>
          <cell r="K234">
            <v>2</v>
          </cell>
          <cell r="L234">
            <v>2</v>
          </cell>
          <cell r="M234">
            <v>0</v>
          </cell>
          <cell r="N234">
            <v>0</v>
          </cell>
          <cell r="O234">
            <v>0</v>
          </cell>
          <cell r="P234">
            <v>0</v>
          </cell>
          <cell r="Q234">
            <v>1</v>
          </cell>
          <cell r="R234">
            <v>0</v>
          </cell>
          <cell r="S234">
            <v>0</v>
          </cell>
          <cell r="T234">
            <v>0</v>
          </cell>
          <cell r="U234">
            <v>0</v>
          </cell>
          <cell r="V234">
            <v>2</v>
          </cell>
          <cell r="W234">
            <v>0</v>
          </cell>
          <cell r="X234">
            <v>0</v>
          </cell>
          <cell r="Y234">
            <v>0</v>
          </cell>
          <cell r="Z234">
            <v>0</v>
          </cell>
          <cell r="AA234">
            <v>6</v>
          </cell>
          <cell r="AB234">
            <v>1.1428571428571428</v>
          </cell>
          <cell r="AC234">
            <v>1</v>
          </cell>
          <cell r="AD234">
            <v>24</v>
          </cell>
        </row>
        <row r="235">
          <cell r="A235">
            <v>50</v>
          </cell>
          <cell r="B235">
            <v>4</v>
          </cell>
          <cell r="C235">
            <v>3</v>
          </cell>
          <cell r="D235">
            <v>19517</v>
          </cell>
          <cell r="E235">
            <v>3</v>
          </cell>
          <cell r="F235">
            <v>11</v>
          </cell>
          <cell r="G235">
            <v>3</v>
          </cell>
          <cell r="H235">
            <v>1</v>
          </cell>
          <cell r="I235">
            <v>32</v>
          </cell>
          <cell r="J235">
            <v>3</v>
          </cell>
          <cell r="K235">
            <v>7</v>
          </cell>
          <cell r="L235">
            <v>0</v>
          </cell>
          <cell r="M235">
            <v>0</v>
          </cell>
          <cell r="N235">
            <v>1</v>
          </cell>
          <cell r="O235">
            <v>0</v>
          </cell>
          <cell r="P235">
            <v>0</v>
          </cell>
          <cell r="Q235">
            <v>1</v>
          </cell>
          <cell r="R235">
            <v>0</v>
          </cell>
          <cell r="S235">
            <v>0</v>
          </cell>
          <cell r="T235">
            <v>0</v>
          </cell>
          <cell r="U235">
            <v>0</v>
          </cell>
          <cell r="V235">
            <v>4</v>
          </cell>
          <cell r="W235">
            <v>0</v>
          </cell>
          <cell r="X235">
            <v>0</v>
          </cell>
          <cell r="Y235">
            <v>0</v>
          </cell>
          <cell r="Z235">
            <v>0</v>
          </cell>
          <cell r="AA235">
            <v>16</v>
          </cell>
          <cell r="AB235">
            <v>9.375E-2</v>
          </cell>
          <cell r="AC235">
            <v>0</v>
          </cell>
          <cell r="AD235">
            <v>48</v>
          </cell>
        </row>
        <row r="236">
          <cell r="A236">
            <v>33</v>
          </cell>
          <cell r="B236">
            <v>3</v>
          </cell>
          <cell r="C236">
            <v>3</v>
          </cell>
          <cell r="D236">
            <v>2436</v>
          </cell>
          <cell r="E236">
            <v>5</v>
          </cell>
          <cell r="F236">
            <v>13</v>
          </cell>
          <cell r="G236">
            <v>3</v>
          </cell>
          <cell r="H236">
            <v>1</v>
          </cell>
          <cell r="I236">
            <v>8</v>
          </cell>
          <cell r="J236">
            <v>2</v>
          </cell>
          <cell r="K236">
            <v>5</v>
          </cell>
          <cell r="L236">
            <v>4</v>
          </cell>
          <cell r="M236">
            <v>1</v>
          </cell>
          <cell r="N236">
            <v>0</v>
          </cell>
          <cell r="O236">
            <v>0</v>
          </cell>
          <cell r="P236">
            <v>0</v>
          </cell>
          <cell r="Q236">
            <v>1</v>
          </cell>
          <cell r="R236">
            <v>0</v>
          </cell>
          <cell r="S236">
            <v>0</v>
          </cell>
          <cell r="T236">
            <v>0</v>
          </cell>
          <cell r="U236">
            <v>0</v>
          </cell>
          <cell r="V236">
            <v>3</v>
          </cell>
          <cell r="W236">
            <v>0</v>
          </cell>
          <cell r="X236">
            <v>0</v>
          </cell>
          <cell r="Y236">
            <v>0</v>
          </cell>
          <cell r="Z236">
            <v>1</v>
          </cell>
          <cell r="AA236">
            <v>12</v>
          </cell>
          <cell r="AB236">
            <v>0.625</v>
          </cell>
          <cell r="AC236">
            <v>0.8</v>
          </cell>
          <cell r="AD236">
            <v>36</v>
          </cell>
        </row>
        <row r="237">
          <cell r="A237">
            <v>43</v>
          </cell>
          <cell r="B237">
            <v>3</v>
          </cell>
          <cell r="C237">
            <v>3</v>
          </cell>
          <cell r="D237">
            <v>16064</v>
          </cell>
          <cell r="E237">
            <v>5</v>
          </cell>
          <cell r="F237">
            <v>22</v>
          </cell>
          <cell r="G237">
            <v>4</v>
          </cell>
          <cell r="H237">
            <v>1</v>
          </cell>
          <cell r="I237">
            <v>22</v>
          </cell>
          <cell r="J237">
            <v>3</v>
          </cell>
          <cell r="K237">
            <v>17</v>
          </cell>
          <cell r="L237">
            <v>13</v>
          </cell>
          <cell r="M237">
            <v>1</v>
          </cell>
          <cell r="N237">
            <v>1</v>
          </cell>
          <cell r="O237">
            <v>0</v>
          </cell>
          <cell r="P237">
            <v>1</v>
          </cell>
          <cell r="Q237">
            <v>0</v>
          </cell>
          <cell r="R237">
            <v>0</v>
          </cell>
          <cell r="S237">
            <v>0</v>
          </cell>
          <cell r="T237">
            <v>0</v>
          </cell>
          <cell r="U237">
            <v>3</v>
          </cell>
          <cell r="V237">
            <v>0</v>
          </cell>
          <cell r="W237">
            <v>0</v>
          </cell>
          <cell r="X237">
            <v>0</v>
          </cell>
          <cell r="Y237">
            <v>0</v>
          </cell>
          <cell r="Z237">
            <v>1</v>
          </cell>
          <cell r="AA237">
            <v>16</v>
          </cell>
          <cell r="AB237">
            <v>0.22727272727272727</v>
          </cell>
          <cell r="AC237">
            <v>0.76470588235294112</v>
          </cell>
          <cell r="AD237">
            <v>48</v>
          </cell>
        </row>
        <row r="238">
          <cell r="A238">
            <v>33</v>
          </cell>
          <cell r="B238">
            <v>2</v>
          </cell>
          <cell r="C238">
            <v>3</v>
          </cell>
          <cell r="D238">
            <v>2707</v>
          </cell>
          <cell r="E238">
            <v>7</v>
          </cell>
          <cell r="F238">
            <v>20</v>
          </cell>
          <cell r="G238">
            <v>4</v>
          </cell>
          <cell r="H238">
            <v>0</v>
          </cell>
          <cell r="I238">
            <v>13</v>
          </cell>
          <cell r="J238">
            <v>3</v>
          </cell>
          <cell r="K238">
            <v>9</v>
          </cell>
          <cell r="L238">
            <v>7</v>
          </cell>
          <cell r="M238">
            <v>0</v>
          </cell>
          <cell r="N238">
            <v>1</v>
          </cell>
          <cell r="O238">
            <v>1</v>
          </cell>
          <cell r="P238">
            <v>0</v>
          </cell>
          <cell r="Q238">
            <v>0</v>
          </cell>
          <cell r="R238">
            <v>0</v>
          </cell>
          <cell r="S238">
            <v>0</v>
          </cell>
          <cell r="T238">
            <v>2</v>
          </cell>
          <cell r="U238">
            <v>0</v>
          </cell>
          <cell r="V238">
            <v>0</v>
          </cell>
          <cell r="W238">
            <v>0</v>
          </cell>
          <cell r="X238">
            <v>0</v>
          </cell>
          <cell r="Y238">
            <v>0</v>
          </cell>
          <cell r="Z238">
            <v>0</v>
          </cell>
          <cell r="AA238">
            <v>1</v>
          </cell>
          <cell r="AB238">
            <v>0.53846153846153844</v>
          </cell>
          <cell r="AC238">
            <v>0.77777777777777779</v>
          </cell>
          <cell r="AD238">
            <v>1</v>
          </cell>
        </row>
        <row r="239">
          <cell r="A239">
            <v>52</v>
          </cell>
          <cell r="B239">
            <v>4</v>
          </cell>
          <cell r="C239">
            <v>2</v>
          </cell>
          <cell r="D239">
            <v>19068</v>
          </cell>
          <cell r="E239">
            <v>1</v>
          </cell>
          <cell r="F239">
            <v>18</v>
          </cell>
          <cell r="G239">
            <v>3</v>
          </cell>
          <cell r="H239">
            <v>0</v>
          </cell>
          <cell r="I239">
            <v>33</v>
          </cell>
          <cell r="J239">
            <v>2</v>
          </cell>
          <cell r="K239">
            <v>33</v>
          </cell>
          <cell r="L239">
            <v>7</v>
          </cell>
          <cell r="M239">
            <v>1</v>
          </cell>
          <cell r="N239">
            <v>0</v>
          </cell>
          <cell r="O239">
            <v>1</v>
          </cell>
          <cell r="P239">
            <v>0</v>
          </cell>
          <cell r="Q239">
            <v>0</v>
          </cell>
          <cell r="R239">
            <v>0</v>
          </cell>
          <cell r="S239">
            <v>0</v>
          </cell>
          <cell r="T239">
            <v>4</v>
          </cell>
          <cell r="U239">
            <v>0</v>
          </cell>
          <cell r="V239">
            <v>0</v>
          </cell>
          <cell r="W239">
            <v>0</v>
          </cell>
          <cell r="X239">
            <v>0</v>
          </cell>
          <cell r="Y239">
            <v>0</v>
          </cell>
          <cell r="Z239">
            <v>0</v>
          </cell>
          <cell r="AA239">
            <v>3</v>
          </cell>
          <cell r="AB239">
            <v>3.0303030303030304E-2</v>
          </cell>
          <cell r="AC239">
            <v>0.21212121212121213</v>
          </cell>
          <cell r="AD239">
            <v>12</v>
          </cell>
        </row>
        <row r="240">
          <cell r="A240">
            <v>32</v>
          </cell>
          <cell r="B240">
            <v>2</v>
          </cell>
          <cell r="C240">
            <v>3</v>
          </cell>
          <cell r="D240">
            <v>3931</v>
          </cell>
          <cell r="E240">
            <v>2</v>
          </cell>
          <cell r="F240">
            <v>11</v>
          </cell>
          <cell r="G240">
            <v>3</v>
          </cell>
          <cell r="H240">
            <v>1</v>
          </cell>
          <cell r="I240">
            <v>6</v>
          </cell>
          <cell r="J240">
            <v>5</v>
          </cell>
          <cell r="K240">
            <v>4</v>
          </cell>
          <cell r="L240">
            <v>3</v>
          </cell>
          <cell r="M240">
            <v>0</v>
          </cell>
          <cell r="N240">
            <v>1</v>
          </cell>
          <cell r="O240">
            <v>1</v>
          </cell>
          <cell r="P240">
            <v>0</v>
          </cell>
          <cell r="Q240">
            <v>0</v>
          </cell>
          <cell r="R240">
            <v>0</v>
          </cell>
          <cell r="S240">
            <v>0</v>
          </cell>
          <cell r="T240">
            <v>2</v>
          </cell>
          <cell r="U240">
            <v>0</v>
          </cell>
          <cell r="V240">
            <v>0</v>
          </cell>
          <cell r="W240">
            <v>0</v>
          </cell>
          <cell r="X240">
            <v>0</v>
          </cell>
          <cell r="Y240">
            <v>0</v>
          </cell>
          <cell r="Z240">
            <v>0</v>
          </cell>
          <cell r="AA240">
            <v>6</v>
          </cell>
          <cell r="AB240">
            <v>0.33333333333333331</v>
          </cell>
          <cell r="AC240">
            <v>0.75</v>
          </cell>
          <cell r="AD240">
            <v>6</v>
          </cell>
        </row>
        <row r="241">
          <cell r="A241">
            <v>32</v>
          </cell>
          <cell r="B241">
            <v>3</v>
          </cell>
          <cell r="C241">
            <v>2</v>
          </cell>
          <cell r="D241">
            <v>3730</v>
          </cell>
          <cell r="E241">
            <v>0</v>
          </cell>
          <cell r="F241">
            <v>14</v>
          </cell>
          <cell r="G241">
            <v>3</v>
          </cell>
          <cell r="H241">
            <v>0</v>
          </cell>
          <cell r="I241">
            <v>4</v>
          </cell>
          <cell r="J241">
            <v>2</v>
          </cell>
          <cell r="K241">
            <v>3</v>
          </cell>
          <cell r="L241">
            <v>2</v>
          </cell>
          <cell r="M241">
            <v>1</v>
          </cell>
          <cell r="N241">
            <v>0</v>
          </cell>
          <cell r="O241">
            <v>1</v>
          </cell>
          <cell r="P241">
            <v>0</v>
          </cell>
          <cell r="Q241">
            <v>0</v>
          </cell>
          <cell r="R241">
            <v>0</v>
          </cell>
          <cell r="S241">
            <v>0</v>
          </cell>
          <cell r="T241">
            <v>3</v>
          </cell>
          <cell r="U241">
            <v>0</v>
          </cell>
          <cell r="V241">
            <v>0</v>
          </cell>
          <cell r="W241">
            <v>0</v>
          </cell>
          <cell r="X241">
            <v>0</v>
          </cell>
          <cell r="Y241">
            <v>0</v>
          </cell>
          <cell r="Z241">
            <v>0</v>
          </cell>
          <cell r="AA241">
            <v>12</v>
          </cell>
          <cell r="AB241">
            <v>0</v>
          </cell>
          <cell r="AC241">
            <v>0.66666666666666663</v>
          </cell>
          <cell r="AD241">
            <v>48</v>
          </cell>
        </row>
        <row r="242">
          <cell r="A242">
            <v>39</v>
          </cell>
          <cell r="B242">
            <v>4</v>
          </cell>
          <cell r="C242">
            <v>3</v>
          </cell>
          <cell r="D242">
            <v>2232</v>
          </cell>
          <cell r="E242">
            <v>7</v>
          </cell>
          <cell r="F242">
            <v>14</v>
          </cell>
          <cell r="G242">
            <v>3</v>
          </cell>
          <cell r="H242">
            <v>3</v>
          </cell>
          <cell r="I242">
            <v>7</v>
          </cell>
          <cell r="J242">
            <v>1</v>
          </cell>
          <cell r="K242">
            <v>3</v>
          </cell>
          <cell r="L242">
            <v>2</v>
          </cell>
          <cell r="M242">
            <v>0</v>
          </cell>
          <cell r="N242">
            <v>1</v>
          </cell>
          <cell r="O242">
            <v>0</v>
          </cell>
          <cell r="P242">
            <v>0</v>
          </cell>
          <cell r="Q242">
            <v>1</v>
          </cell>
          <cell r="R242">
            <v>0</v>
          </cell>
          <cell r="S242">
            <v>0</v>
          </cell>
          <cell r="T242">
            <v>0</v>
          </cell>
          <cell r="U242">
            <v>0</v>
          </cell>
          <cell r="V242">
            <v>4</v>
          </cell>
          <cell r="W242">
            <v>0</v>
          </cell>
          <cell r="X242">
            <v>0</v>
          </cell>
          <cell r="Y242">
            <v>0</v>
          </cell>
          <cell r="Z242">
            <v>0</v>
          </cell>
          <cell r="AA242">
            <v>9</v>
          </cell>
          <cell r="AB242">
            <v>1</v>
          </cell>
          <cell r="AC242">
            <v>0.66666666666666663</v>
          </cell>
          <cell r="AD242">
            <v>27</v>
          </cell>
        </row>
        <row r="243">
          <cell r="A243">
            <v>32</v>
          </cell>
          <cell r="B243">
            <v>4</v>
          </cell>
          <cell r="C243">
            <v>3</v>
          </cell>
          <cell r="D243">
            <v>4465</v>
          </cell>
          <cell r="E243">
            <v>0</v>
          </cell>
          <cell r="F243">
            <v>18</v>
          </cell>
          <cell r="G243">
            <v>3</v>
          </cell>
          <cell r="H243">
            <v>0</v>
          </cell>
          <cell r="I243">
            <v>4</v>
          </cell>
          <cell r="J243">
            <v>2</v>
          </cell>
          <cell r="K243">
            <v>3</v>
          </cell>
          <cell r="L243">
            <v>2</v>
          </cell>
          <cell r="M243">
            <v>0</v>
          </cell>
          <cell r="N243">
            <v>0</v>
          </cell>
          <cell r="O243">
            <v>0</v>
          </cell>
          <cell r="P243">
            <v>1</v>
          </cell>
          <cell r="Q243">
            <v>0</v>
          </cell>
          <cell r="R243">
            <v>0</v>
          </cell>
          <cell r="S243">
            <v>0</v>
          </cell>
          <cell r="T243">
            <v>0</v>
          </cell>
          <cell r="U243">
            <v>4</v>
          </cell>
          <cell r="V243">
            <v>0</v>
          </cell>
          <cell r="W243">
            <v>0</v>
          </cell>
          <cell r="X243">
            <v>0</v>
          </cell>
          <cell r="Y243">
            <v>0</v>
          </cell>
          <cell r="Z243">
            <v>0</v>
          </cell>
          <cell r="AA243">
            <v>12</v>
          </cell>
          <cell r="AB243">
            <v>0</v>
          </cell>
          <cell r="AC243">
            <v>0.66666666666666663</v>
          </cell>
          <cell r="AD243">
            <v>12</v>
          </cell>
        </row>
        <row r="244">
          <cell r="A244">
            <v>41</v>
          </cell>
          <cell r="B244">
            <v>2</v>
          </cell>
          <cell r="C244">
            <v>3</v>
          </cell>
          <cell r="D244">
            <v>3072</v>
          </cell>
          <cell r="E244">
            <v>2</v>
          </cell>
          <cell r="F244">
            <v>16</v>
          </cell>
          <cell r="G244">
            <v>3</v>
          </cell>
          <cell r="H244">
            <v>2</v>
          </cell>
          <cell r="I244">
            <v>17</v>
          </cell>
          <cell r="J244">
            <v>2</v>
          </cell>
          <cell r="K244">
            <v>1</v>
          </cell>
          <cell r="L244">
            <v>0</v>
          </cell>
          <cell r="M244">
            <v>0</v>
          </cell>
          <cell r="N244">
            <v>0</v>
          </cell>
          <cell r="O244">
            <v>1</v>
          </cell>
          <cell r="P244">
            <v>0</v>
          </cell>
          <cell r="Q244">
            <v>0</v>
          </cell>
          <cell r="R244">
            <v>0</v>
          </cell>
          <cell r="S244">
            <v>0</v>
          </cell>
          <cell r="T244">
            <v>2</v>
          </cell>
          <cell r="U244">
            <v>0</v>
          </cell>
          <cell r="V244">
            <v>0</v>
          </cell>
          <cell r="W244">
            <v>0</v>
          </cell>
          <cell r="X244">
            <v>0</v>
          </cell>
          <cell r="Y244">
            <v>0</v>
          </cell>
          <cell r="Z244">
            <v>0</v>
          </cell>
          <cell r="AA244">
            <v>3</v>
          </cell>
          <cell r="AB244">
            <v>0.11764705882352941</v>
          </cell>
          <cell r="AC244">
            <v>0</v>
          </cell>
          <cell r="AD244">
            <v>3</v>
          </cell>
        </row>
        <row r="245">
          <cell r="A245">
            <v>40</v>
          </cell>
          <cell r="B245">
            <v>2</v>
          </cell>
          <cell r="C245">
            <v>3</v>
          </cell>
          <cell r="D245">
            <v>3319</v>
          </cell>
          <cell r="E245">
            <v>1</v>
          </cell>
          <cell r="F245">
            <v>17</v>
          </cell>
          <cell r="G245">
            <v>3</v>
          </cell>
          <cell r="H245">
            <v>2</v>
          </cell>
          <cell r="I245">
            <v>9</v>
          </cell>
          <cell r="J245">
            <v>3</v>
          </cell>
          <cell r="K245">
            <v>9</v>
          </cell>
          <cell r="L245">
            <v>8</v>
          </cell>
          <cell r="M245">
            <v>0</v>
          </cell>
          <cell r="N245">
            <v>0</v>
          </cell>
          <cell r="O245">
            <v>0</v>
          </cell>
          <cell r="P245">
            <v>0</v>
          </cell>
          <cell r="Q245">
            <v>0</v>
          </cell>
          <cell r="R245">
            <v>0</v>
          </cell>
          <cell r="S245">
            <v>1</v>
          </cell>
          <cell r="T245">
            <v>0</v>
          </cell>
          <cell r="U245">
            <v>0</v>
          </cell>
          <cell r="V245">
            <v>0</v>
          </cell>
          <cell r="W245">
            <v>0</v>
          </cell>
          <cell r="X245">
            <v>2</v>
          </cell>
          <cell r="Y245">
            <v>0</v>
          </cell>
          <cell r="Z245">
            <v>0</v>
          </cell>
          <cell r="AA245">
            <v>4</v>
          </cell>
          <cell r="AB245">
            <v>0.1111111111111111</v>
          </cell>
          <cell r="AC245">
            <v>0.88888888888888884</v>
          </cell>
          <cell r="AD245">
            <v>4</v>
          </cell>
        </row>
        <row r="246">
          <cell r="A246">
            <v>45</v>
          </cell>
          <cell r="B246">
            <v>3</v>
          </cell>
          <cell r="C246">
            <v>4</v>
          </cell>
          <cell r="D246">
            <v>19202</v>
          </cell>
          <cell r="E246">
            <v>0</v>
          </cell>
          <cell r="F246">
            <v>11</v>
          </cell>
          <cell r="G246">
            <v>3</v>
          </cell>
          <cell r="H246">
            <v>1</v>
          </cell>
          <cell r="I246">
            <v>25</v>
          </cell>
          <cell r="J246">
            <v>2</v>
          </cell>
          <cell r="K246">
            <v>24</v>
          </cell>
          <cell r="L246">
            <v>0</v>
          </cell>
          <cell r="M246">
            <v>0</v>
          </cell>
          <cell r="N246">
            <v>0</v>
          </cell>
          <cell r="O246">
            <v>0</v>
          </cell>
          <cell r="P246">
            <v>0</v>
          </cell>
          <cell r="Q246">
            <v>0</v>
          </cell>
          <cell r="R246">
            <v>1</v>
          </cell>
          <cell r="S246">
            <v>0</v>
          </cell>
          <cell r="T246">
            <v>0</v>
          </cell>
          <cell r="U246">
            <v>0</v>
          </cell>
          <cell r="V246">
            <v>0</v>
          </cell>
          <cell r="W246">
            <v>3</v>
          </cell>
          <cell r="X246">
            <v>0</v>
          </cell>
          <cell r="Y246">
            <v>0</v>
          </cell>
          <cell r="Z246">
            <v>0</v>
          </cell>
          <cell r="AA246">
            <v>12</v>
          </cell>
          <cell r="AB246">
            <v>0</v>
          </cell>
          <cell r="AC246">
            <v>0</v>
          </cell>
          <cell r="AD246">
            <v>36</v>
          </cell>
        </row>
        <row r="247">
          <cell r="A247">
            <v>31</v>
          </cell>
          <cell r="B247">
            <v>4</v>
          </cell>
          <cell r="C247">
            <v>3</v>
          </cell>
          <cell r="D247">
            <v>13675</v>
          </cell>
          <cell r="E247">
            <v>9</v>
          </cell>
          <cell r="F247">
            <v>12</v>
          </cell>
          <cell r="G247">
            <v>3</v>
          </cell>
          <cell r="H247">
            <v>1</v>
          </cell>
          <cell r="I247">
            <v>9</v>
          </cell>
          <cell r="J247">
            <v>3</v>
          </cell>
          <cell r="K247">
            <v>2</v>
          </cell>
          <cell r="L247">
            <v>2</v>
          </cell>
          <cell r="M247">
            <v>0</v>
          </cell>
          <cell r="N247">
            <v>0</v>
          </cell>
          <cell r="O247">
            <v>0</v>
          </cell>
          <cell r="P247">
            <v>0</v>
          </cell>
          <cell r="Q247">
            <v>1</v>
          </cell>
          <cell r="R247">
            <v>0</v>
          </cell>
          <cell r="S247">
            <v>0</v>
          </cell>
          <cell r="T247">
            <v>0</v>
          </cell>
          <cell r="U247">
            <v>0</v>
          </cell>
          <cell r="V247">
            <v>4</v>
          </cell>
          <cell r="W247">
            <v>0</v>
          </cell>
          <cell r="X247">
            <v>0</v>
          </cell>
          <cell r="Y247">
            <v>0</v>
          </cell>
          <cell r="Z247">
            <v>0</v>
          </cell>
          <cell r="AA247">
            <v>6</v>
          </cell>
          <cell r="AB247">
            <v>1</v>
          </cell>
          <cell r="AC247">
            <v>1</v>
          </cell>
          <cell r="AD247">
            <v>6</v>
          </cell>
        </row>
        <row r="248">
          <cell r="A248">
            <v>33</v>
          </cell>
          <cell r="B248">
            <v>4</v>
          </cell>
          <cell r="C248">
            <v>2</v>
          </cell>
          <cell r="D248">
            <v>2911</v>
          </cell>
          <cell r="E248">
            <v>1</v>
          </cell>
          <cell r="F248">
            <v>13</v>
          </cell>
          <cell r="G248">
            <v>3</v>
          </cell>
          <cell r="H248">
            <v>1</v>
          </cell>
          <cell r="I248">
            <v>2</v>
          </cell>
          <cell r="J248">
            <v>2</v>
          </cell>
          <cell r="K248">
            <v>2</v>
          </cell>
          <cell r="L248">
            <v>2</v>
          </cell>
          <cell r="M248">
            <v>0</v>
          </cell>
          <cell r="N248">
            <v>1</v>
          </cell>
          <cell r="O248">
            <v>1</v>
          </cell>
          <cell r="P248">
            <v>0</v>
          </cell>
          <cell r="Q248">
            <v>0</v>
          </cell>
          <cell r="R248">
            <v>0</v>
          </cell>
          <cell r="S248">
            <v>0</v>
          </cell>
          <cell r="T248">
            <v>4</v>
          </cell>
          <cell r="U248">
            <v>0</v>
          </cell>
          <cell r="V248">
            <v>0</v>
          </cell>
          <cell r="W248">
            <v>0</v>
          </cell>
          <cell r="X248">
            <v>0</v>
          </cell>
          <cell r="Y248">
            <v>0</v>
          </cell>
          <cell r="Z248">
            <v>0</v>
          </cell>
          <cell r="AA248">
            <v>12</v>
          </cell>
          <cell r="AB248">
            <v>0.5</v>
          </cell>
          <cell r="AC248">
            <v>1</v>
          </cell>
          <cell r="AD248">
            <v>36</v>
          </cell>
        </row>
        <row r="249">
          <cell r="A249">
            <v>34</v>
          </cell>
          <cell r="B249">
            <v>4</v>
          </cell>
          <cell r="C249">
            <v>2</v>
          </cell>
          <cell r="D249">
            <v>5957</v>
          </cell>
          <cell r="E249">
            <v>6</v>
          </cell>
          <cell r="F249">
            <v>13</v>
          </cell>
          <cell r="G249">
            <v>3</v>
          </cell>
          <cell r="H249">
            <v>1</v>
          </cell>
          <cell r="I249">
            <v>13</v>
          </cell>
          <cell r="J249">
            <v>3</v>
          </cell>
          <cell r="K249">
            <v>11</v>
          </cell>
          <cell r="L249">
            <v>9</v>
          </cell>
          <cell r="M249">
            <v>0</v>
          </cell>
          <cell r="N249">
            <v>0</v>
          </cell>
          <cell r="O249">
            <v>1</v>
          </cell>
          <cell r="P249">
            <v>0</v>
          </cell>
          <cell r="Q249">
            <v>0</v>
          </cell>
          <cell r="R249">
            <v>0</v>
          </cell>
          <cell r="S249">
            <v>0</v>
          </cell>
          <cell r="T249">
            <v>4</v>
          </cell>
          <cell r="U249">
            <v>0</v>
          </cell>
          <cell r="V249">
            <v>0</v>
          </cell>
          <cell r="W249">
            <v>0</v>
          </cell>
          <cell r="X249">
            <v>0</v>
          </cell>
          <cell r="Y249">
            <v>0</v>
          </cell>
          <cell r="Z249">
            <v>0</v>
          </cell>
          <cell r="AA249">
            <v>4</v>
          </cell>
          <cell r="AB249">
            <v>0.46153846153846156</v>
          </cell>
          <cell r="AC249">
            <v>0.81818181818181823</v>
          </cell>
          <cell r="AD249">
            <v>8</v>
          </cell>
        </row>
        <row r="250">
          <cell r="A250">
            <v>37</v>
          </cell>
          <cell r="B250">
            <v>2</v>
          </cell>
          <cell r="C250">
            <v>2</v>
          </cell>
          <cell r="D250">
            <v>3920</v>
          </cell>
          <cell r="E250">
            <v>2</v>
          </cell>
          <cell r="F250">
            <v>14</v>
          </cell>
          <cell r="G250">
            <v>3</v>
          </cell>
          <cell r="H250">
            <v>1</v>
          </cell>
          <cell r="I250">
            <v>17</v>
          </cell>
          <cell r="J250">
            <v>2</v>
          </cell>
          <cell r="K250">
            <v>3</v>
          </cell>
          <cell r="L250">
            <v>1</v>
          </cell>
          <cell r="M250">
            <v>0</v>
          </cell>
          <cell r="N250">
            <v>1</v>
          </cell>
          <cell r="O250">
            <v>0</v>
          </cell>
          <cell r="P250">
            <v>0</v>
          </cell>
          <cell r="Q250">
            <v>1</v>
          </cell>
          <cell r="R250">
            <v>0</v>
          </cell>
          <cell r="S250">
            <v>0</v>
          </cell>
          <cell r="T250">
            <v>0</v>
          </cell>
          <cell r="U250">
            <v>0</v>
          </cell>
          <cell r="V250">
            <v>2</v>
          </cell>
          <cell r="W250">
            <v>0</v>
          </cell>
          <cell r="X250">
            <v>0</v>
          </cell>
          <cell r="Y250">
            <v>0</v>
          </cell>
          <cell r="Z250">
            <v>0</v>
          </cell>
          <cell r="AA250">
            <v>3</v>
          </cell>
          <cell r="AB250">
            <v>0.11764705882352941</v>
          </cell>
          <cell r="AC250">
            <v>0.33333333333333331</v>
          </cell>
          <cell r="AD250">
            <v>3</v>
          </cell>
        </row>
        <row r="251">
          <cell r="A251">
            <v>45</v>
          </cell>
          <cell r="B251">
            <v>4</v>
          </cell>
          <cell r="C251">
            <v>4</v>
          </cell>
          <cell r="D251">
            <v>6434</v>
          </cell>
          <cell r="E251">
            <v>4</v>
          </cell>
          <cell r="F251">
            <v>17</v>
          </cell>
          <cell r="G251">
            <v>3</v>
          </cell>
          <cell r="H251">
            <v>1</v>
          </cell>
          <cell r="I251">
            <v>9</v>
          </cell>
          <cell r="J251">
            <v>1</v>
          </cell>
          <cell r="K251">
            <v>3</v>
          </cell>
          <cell r="L251">
            <v>2</v>
          </cell>
          <cell r="M251">
            <v>0</v>
          </cell>
          <cell r="N251">
            <v>0</v>
          </cell>
          <cell r="O251">
            <v>1</v>
          </cell>
          <cell r="P251">
            <v>0</v>
          </cell>
          <cell r="Q251">
            <v>0</v>
          </cell>
          <cell r="R251">
            <v>0</v>
          </cell>
          <cell r="S251">
            <v>0</v>
          </cell>
          <cell r="T251">
            <v>4</v>
          </cell>
          <cell r="U251">
            <v>0</v>
          </cell>
          <cell r="V251">
            <v>0</v>
          </cell>
          <cell r="W251">
            <v>0</v>
          </cell>
          <cell r="X251">
            <v>0</v>
          </cell>
          <cell r="Y251">
            <v>1</v>
          </cell>
          <cell r="Z251">
            <v>0</v>
          </cell>
          <cell r="AA251">
            <v>3</v>
          </cell>
          <cell r="AB251">
            <v>0.44444444444444442</v>
          </cell>
          <cell r="AC251">
            <v>0.66666666666666663</v>
          </cell>
          <cell r="AD251">
            <v>12</v>
          </cell>
        </row>
        <row r="252">
          <cell r="A252">
            <v>37</v>
          </cell>
          <cell r="B252">
            <v>3</v>
          </cell>
          <cell r="C252">
            <v>3</v>
          </cell>
          <cell r="D252">
            <v>10048</v>
          </cell>
          <cell r="E252">
            <v>6</v>
          </cell>
          <cell r="F252">
            <v>11</v>
          </cell>
          <cell r="G252">
            <v>3</v>
          </cell>
          <cell r="H252">
            <v>2</v>
          </cell>
          <cell r="I252">
            <v>17</v>
          </cell>
          <cell r="J252">
            <v>5</v>
          </cell>
          <cell r="K252">
            <v>1</v>
          </cell>
          <cell r="L252">
            <v>0</v>
          </cell>
          <cell r="M252">
            <v>0</v>
          </cell>
          <cell r="N252">
            <v>0</v>
          </cell>
          <cell r="O252">
            <v>0</v>
          </cell>
          <cell r="P252">
            <v>0</v>
          </cell>
          <cell r="Q252">
            <v>1</v>
          </cell>
          <cell r="R252">
            <v>0</v>
          </cell>
          <cell r="S252">
            <v>0</v>
          </cell>
          <cell r="T252">
            <v>0</v>
          </cell>
          <cell r="U252">
            <v>0</v>
          </cell>
          <cell r="V252">
            <v>3</v>
          </cell>
          <cell r="W252">
            <v>0</v>
          </cell>
          <cell r="X252">
            <v>0</v>
          </cell>
          <cell r="Y252">
            <v>0</v>
          </cell>
          <cell r="Z252">
            <v>0</v>
          </cell>
          <cell r="AA252">
            <v>3</v>
          </cell>
          <cell r="AB252">
            <v>0.35294117647058826</v>
          </cell>
          <cell r="AC252">
            <v>0</v>
          </cell>
          <cell r="AD252">
            <v>6</v>
          </cell>
        </row>
        <row r="253">
          <cell r="A253">
            <v>39</v>
          </cell>
          <cell r="B253">
            <v>4</v>
          </cell>
          <cell r="C253">
            <v>3</v>
          </cell>
          <cell r="D253">
            <v>10938</v>
          </cell>
          <cell r="E253">
            <v>0</v>
          </cell>
          <cell r="F253">
            <v>25</v>
          </cell>
          <cell r="G253">
            <v>4</v>
          </cell>
          <cell r="H253">
            <v>0</v>
          </cell>
          <cell r="I253">
            <v>20</v>
          </cell>
          <cell r="J253">
            <v>1</v>
          </cell>
          <cell r="K253">
            <v>19</v>
          </cell>
          <cell r="L253">
            <v>6</v>
          </cell>
          <cell r="M253">
            <v>0</v>
          </cell>
          <cell r="N253">
            <v>1</v>
          </cell>
          <cell r="O253">
            <v>0</v>
          </cell>
          <cell r="P253">
            <v>0</v>
          </cell>
          <cell r="Q253">
            <v>0</v>
          </cell>
          <cell r="R253">
            <v>0</v>
          </cell>
          <cell r="S253">
            <v>1</v>
          </cell>
          <cell r="T253">
            <v>0</v>
          </cell>
          <cell r="U253">
            <v>0</v>
          </cell>
          <cell r="V253">
            <v>0</v>
          </cell>
          <cell r="W253">
            <v>0</v>
          </cell>
          <cell r="X253">
            <v>4</v>
          </cell>
          <cell r="Y253">
            <v>0</v>
          </cell>
          <cell r="Z253">
            <v>0</v>
          </cell>
          <cell r="AA253">
            <v>9</v>
          </cell>
          <cell r="AB253">
            <v>0</v>
          </cell>
          <cell r="AC253">
            <v>0.31578947368421051</v>
          </cell>
          <cell r="AD253">
            <v>36</v>
          </cell>
        </row>
        <row r="254">
          <cell r="A254">
            <v>29</v>
          </cell>
          <cell r="B254">
            <v>3</v>
          </cell>
          <cell r="C254">
            <v>3</v>
          </cell>
          <cell r="D254">
            <v>2340</v>
          </cell>
          <cell r="E254">
            <v>1</v>
          </cell>
          <cell r="F254">
            <v>19</v>
          </cell>
          <cell r="G254">
            <v>3</v>
          </cell>
          <cell r="H254">
            <v>0</v>
          </cell>
          <cell r="I254">
            <v>6</v>
          </cell>
          <cell r="J254">
            <v>1</v>
          </cell>
          <cell r="K254">
            <v>6</v>
          </cell>
          <cell r="L254">
            <v>5</v>
          </cell>
          <cell r="M254">
            <v>0</v>
          </cell>
          <cell r="N254">
            <v>0</v>
          </cell>
          <cell r="O254">
            <v>1</v>
          </cell>
          <cell r="P254">
            <v>0</v>
          </cell>
          <cell r="Q254">
            <v>0</v>
          </cell>
          <cell r="R254">
            <v>0</v>
          </cell>
          <cell r="S254">
            <v>0</v>
          </cell>
          <cell r="T254">
            <v>3</v>
          </cell>
          <cell r="U254">
            <v>0</v>
          </cell>
          <cell r="V254">
            <v>0</v>
          </cell>
          <cell r="W254">
            <v>0</v>
          </cell>
          <cell r="X254">
            <v>0</v>
          </cell>
          <cell r="Y254">
            <v>0</v>
          </cell>
          <cell r="Z254">
            <v>0</v>
          </cell>
          <cell r="AA254">
            <v>12</v>
          </cell>
          <cell r="AB254">
            <v>0.16666666666666666</v>
          </cell>
          <cell r="AC254">
            <v>0.83333333333333337</v>
          </cell>
          <cell r="AD254">
            <v>12</v>
          </cell>
        </row>
        <row r="255">
          <cell r="A255">
            <v>42</v>
          </cell>
          <cell r="B255">
            <v>2</v>
          </cell>
          <cell r="C255">
            <v>4</v>
          </cell>
          <cell r="D255">
            <v>6545</v>
          </cell>
          <cell r="E255">
            <v>3</v>
          </cell>
          <cell r="F255">
            <v>13</v>
          </cell>
          <cell r="G255">
            <v>3</v>
          </cell>
          <cell r="H255">
            <v>0</v>
          </cell>
          <cell r="I255">
            <v>10</v>
          </cell>
          <cell r="J255">
            <v>1</v>
          </cell>
          <cell r="K255">
            <v>3</v>
          </cell>
          <cell r="L255">
            <v>2</v>
          </cell>
          <cell r="M255">
            <v>1</v>
          </cell>
          <cell r="N255">
            <v>1</v>
          </cell>
          <cell r="O255">
            <v>1</v>
          </cell>
          <cell r="P255">
            <v>0</v>
          </cell>
          <cell r="Q255">
            <v>0</v>
          </cell>
          <cell r="R255">
            <v>0</v>
          </cell>
          <cell r="S255">
            <v>0</v>
          </cell>
          <cell r="T255">
            <v>2</v>
          </cell>
          <cell r="U255">
            <v>0</v>
          </cell>
          <cell r="V255">
            <v>0</v>
          </cell>
          <cell r="W255">
            <v>0</v>
          </cell>
          <cell r="X255">
            <v>0</v>
          </cell>
          <cell r="Y255">
            <v>0</v>
          </cell>
          <cell r="Z255">
            <v>0</v>
          </cell>
          <cell r="AA255">
            <v>4</v>
          </cell>
          <cell r="AB255">
            <v>0.3</v>
          </cell>
          <cell r="AC255">
            <v>0.66666666666666663</v>
          </cell>
          <cell r="AD255">
            <v>12</v>
          </cell>
        </row>
        <row r="256">
          <cell r="A256">
            <v>29</v>
          </cell>
          <cell r="B256">
            <v>2</v>
          </cell>
          <cell r="C256">
            <v>3</v>
          </cell>
          <cell r="D256">
            <v>6931</v>
          </cell>
          <cell r="E256">
            <v>2</v>
          </cell>
          <cell r="F256">
            <v>14</v>
          </cell>
          <cell r="G256">
            <v>3</v>
          </cell>
          <cell r="H256">
            <v>1</v>
          </cell>
          <cell r="I256">
            <v>10</v>
          </cell>
          <cell r="J256">
            <v>2</v>
          </cell>
          <cell r="K256">
            <v>3</v>
          </cell>
          <cell r="L256">
            <v>2</v>
          </cell>
          <cell r="M256">
            <v>0</v>
          </cell>
          <cell r="N256">
            <v>0</v>
          </cell>
          <cell r="O256">
            <v>0</v>
          </cell>
          <cell r="P256">
            <v>1</v>
          </cell>
          <cell r="Q256">
            <v>0</v>
          </cell>
          <cell r="R256">
            <v>0</v>
          </cell>
          <cell r="S256">
            <v>0</v>
          </cell>
          <cell r="T256">
            <v>0</v>
          </cell>
          <cell r="U256">
            <v>2</v>
          </cell>
          <cell r="V256">
            <v>0</v>
          </cell>
          <cell r="W256">
            <v>0</v>
          </cell>
          <cell r="X256">
            <v>0</v>
          </cell>
          <cell r="Y256">
            <v>0</v>
          </cell>
          <cell r="Z256">
            <v>0</v>
          </cell>
          <cell r="AA256">
            <v>16</v>
          </cell>
          <cell r="AB256">
            <v>0.2</v>
          </cell>
          <cell r="AC256">
            <v>0.66666666666666663</v>
          </cell>
          <cell r="AD256">
            <v>64</v>
          </cell>
        </row>
        <row r="257">
          <cell r="A257">
            <v>25</v>
          </cell>
          <cell r="B257">
            <v>3</v>
          </cell>
          <cell r="C257">
            <v>3</v>
          </cell>
          <cell r="D257">
            <v>4898</v>
          </cell>
          <cell r="E257">
            <v>0</v>
          </cell>
          <cell r="F257">
            <v>12</v>
          </cell>
          <cell r="G257">
            <v>3</v>
          </cell>
          <cell r="H257">
            <v>2</v>
          </cell>
          <cell r="I257">
            <v>5</v>
          </cell>
          <cell r="J257">
            <v>3</v>
          </cell>
          <cell r="K257">
            <v>4</v>
          </cell>
          <cell r="L257">
            <v>2</v>
          </cell>
          <cell r="M257">
            <v>0</v>
          </cell>
          <cell r="N257">
            <v>1</v>
          </cell>
          <cell r="O257">
            <v>1</v>
          </cell>
          <cell r="P257">
            <v>0</v>
          </cell>
          <cell r="Q257">
            <v>0</v>
          </cell>
          <cell r="R257">
            <v>0</v>
          </cell>
          <cell r="S257">
            <v>0</v>
          </cell>
          <cell r="T257">
            <v>3</v>
          </cell>
          <cell r="U257">
            <v>0</v>
          </cell>
          <cell r="V257">
            <v>0</v>
          </cell>
          <cell r="W257">
            <v>0</v>
          </cell>
          <cell r="X257">
            <v>0</v>
          </cell>
          <cell r="Y257">
            <v>0</v>
          </cell>
          <cell r="Z257">
            <v>0</v>
          </cell>
          <cell r="AA257">
            <v>3</v>
          </cell>
          <cell r="AB257">
            <v>0</v>
          </cell>
          <cell r="AC257">
            <v>0.5</v>
          </cell>
          <cell r="AD257">
            <v>12</v>
          </cell>
        </row>
        <row r="258">
          <cell r="A258">
            <v>42</v>
          </cell>
          <cell r="B258">
            <v>3</v>
          </cell>
          <cell r="C258">
            <v>2</v>
          </cell>
          <cell r="D258">
            <v>2593</v>
          </cell>
          <cell r="E258">
            <v>0</v>
          </cell>
          <cell r="F258">
            <v>11</v>
          </cell>
          <cell r="G258">
            <v>3</v>
          </cell>
          <cell r="H258">
            <v>1</v>
          </cell>
          <cell r="I258">
            <v>10</v>
          </cell>
          <cell r="J258">
            <v>4</v>
          </cell>
          <cell r="K258">
            <v>9</v>
          </cell>
          <cell r="L258">
            <v>6</v>
          </cell>
          <cell r="M258">
            <v>1</v>
          </cell>
          <cell r="N258">
            <v>1</v>
          </cell>
          <cell r="O258">
            <v>0</v>
          </cell>
          <cell r="P258">
            <v>0</v>
          </cell>
          <cell r="Q258">
            <v>1</v>
          </cell>
          <cell r="R258">
            <v>0</v>
          </cell>
          <cell r="S258">
            <v>0</v>
          </cell>
          <cell r="T258">
            <v>0</v>
          </cell>
          <cell r="U258">
            <v>0</v>
          </cell>
          <cell r="V258">
            <v>3</v>
          </cell>
          <cell r="W258">
            <v>0</v>
          </cell>
          <cell r="X258">
            <v>0</v>
          </cell>
          <cell r="Y258">
            <v>0</v>
          </cell>
          <cell r="Z258">
            <v>0</v>
          </cell>
          <cell r="AA258">
            <v>4</v>
          </cell>
          <cell r="AB258">
            <v>0</v>
          </cell>
          <cell r="AC258">
            <v>0.66666666666666663</v>
          </cell>
          <cell r="AD258">
            <v>12</v>
          </cell>
        </row>
        <row r="259">
          <cell r="A259">
            <v>40</v>
          </cell>
          <cell r="B259">
            <v>2</v>
          </cell>
          <cell r="C259">
            <v>3</v>
          </cell>
          <cell r="D259">
            <v>19436</v>
          </cell>
          <cell r="E259">
            <v>0</v>
          </cell>
          <cell r="F259">
            <v>19</v>
          </cell>
          <cell r="G259">
            <v>3</v>
          </cell>
          <cell r="H259">
            <v>1</v>
          </cell>
          <cell r="I259">
            <v>22</v>
          </cell>
          <cell r="J259">
            <v>5</v>
          </cell>
          <cell r="K259">
            <v>21</v>
          </cell>
          <cell r="L259">
            <v>7</v>
          </cell>
          <cell r="M259">
            <v>0</v>
          </cell>
          <cell r="N259">
            <v>0</v>
          </cell>
          <cell r="O259">
            <v>0</v>
          </cell>
          <cell r="P259">
            <v>0</v>
          </cell>
          <cell r="Q259">
            <v>1</v>
          </cell>
          <cell r="R259">
            <v>0</v>
          </cell>
          <cell r="S259">
            <v>0</v>
          </cell>
          <cell r="T259">
            <v>0</v>
          </cell>
          <cell r="U259">
            <v>0</v>
          </cell>
          <cell r="V259">
            <v>2</v>
          </cell>
          <cell r="W259">
            <v>0</v>
          </cell>
          <cell r="X259">
            <v>0</v>
          </cell>
          <cell r="Y259">
            <v>0</v>
          </cell>
          <cell r="Z259">
            <v>0</v>
          </cell>
          <cell r="AA259">
            <v>3</v>
          </cell>
          <cell r="AB259">
            <v>0</v>
          </cell>
          <cell r="AC259">
            <v>0.33333333333333331</v>
          </cell>
          <cell r="AD259">
            <v>12</v>
          </cell>
        </row>
        <row r="260">
          <cell r="A260">
            <v>51</v>
          </cell>
          <cell r="B260">
            <v>3</v>
          </cell>
          <cell r="C260">
            <v>3</v>
          </cell>
          <cell r="D260">
            <v>2723</v>
          </cell>
          <cell r="E260">
            <v>1</v>
          </cell>
          <cell r="F260">
            <v>11</v>
          </cell>
          <cell r="G260">
            <v>3</v>
          </cell>
          <cell r="H260">
            <v>0</v>
          </cell>
          <cell r="I260">
            <v>1</v>
          </cell>
          <cell r="J260">
            <v>0</v>
          </cell>
          <cell r="K260">
            <v>1</v>
          </cell>
          <cell r="L260">
            <v>0</v>
          </cell>
          <cell r="M260">
            <v>0</v>
          </cell>
          <cell r="N260">
            <v>0</v>
          </cell>
          <cell r="O260">
            <v>1</v>
          </cell>
          <cell r="P260">
            <v>0</v>
          </cell>
          <cell r="Q260">
            <v>0</v>
          </cell>
          <cell r="R260">
            <v>0</v>
          </cell>
          <cell r="S260">
            <v>0</v>
          </cell>
          <cell r="T260">
            <v>3</v>
          </cell>
          <cell r="U260">
            <v>0</v>
          </cell>
          <cell r="V260">
            <v>0</v>
          </cell>
          <cell r="W260">
            <v>0</v>
          </cell>
          <cell r="X260">
            <v>0</v>
          </cell>
          <cell r="Y260">
            <v>0</v>
          </cell>
          <cell r="Z260">
            <v>0</v>
          </cell>
          <cell r="AA260">
            <v>12</v>
          </cell>
          <cell r="AB260">
            <v>1</v>
          </cell>
          <cell r="AC260">
            <v>0</v>
          </cell>
          <cell r="AD260">
            <v>24</v>
          </cell>
        </row>
        <row r="261">
          <cell r="A261">
            <v>31</v>
          </cell>
          <cell r="B261">
            <v>2</v>
          </cell>
          <cell r="C261">
            <v>2</v>
          </cell>
          <cell r="D261">
            <v>3479</v>
          </cell>
          <cell r="E261">
            <v>0</v>
          </cell>
          <cell r="F261">
            <v>11</v>
          </cell>
          <cell r="G261">
            <v>3</v>
          </cell>
          <cell r="H261">
            <v>0</v>
          </cell>
          <cell r="I261">
            <v>6</v>
          </cell>
          <cell r="J261">
            <v>2</v>
          </cell>
          <cell r="K261">
            <v>5</v>
          </cell>
          <cell r="L261">
            <v>4</v>
          </cell>
          <cell r="M261">
            <v>0</v>
          </cell>
          <cell r="N261">
            <v>0</v>
          </cell>
          <cell r="O261">
            <v>0</v>
          </cell>
          <cell r="P261">
            <v>0</v>
          </cell>
          <cell r="Q261">
            <v>1</v>
          </cell>
          <cell r="R261">
            <v>0</v>
          </cell>
          <cell r="S261">
            <v>0</v>
          </cell>
          <cell r="T261">
            <v>0</v>
          </cell>
          <cell r="U261">
            <v>0</v>
          </cell>
          <cell r="V261">
            <v>2</v>
          </cell>
          <cell r="W261">
            <v>0</v>
          </cell>
          <cell r="X261">
            <v>0</v>
          </cell>
          <cell r="Y261">
            <v>0</v>
          </cell>
          <cell r="Z261">
            <v>0</v>
          </cell>
          <cell r="AA261">
            <v>6</v>
          </cell>
          <cell r="AB261">
            <v>0</v>
          </cell>
          <cell r="AC261">
            <v>0.8</v>
          </cell>
          <cell r="AD261">
            <v>12</v>
          </cell>
        </row>
        <row r="262">
          <cell r="A262">
            <v>32</v>
          </cell>
          <cell r="B262">
            <v>3</v>
          </cell>
          <cell r="C262">
            <v>4</v>
          </cell>
          <cell r="D262">
            <v>2794</v>
          </cell>
          <cell r="E262">
            <v>1</v>
          </cell>
          <cell r="F262">
            <v>20</v>
          </cell>
          <cell r="G262">
            <v>4</v>
          </cell>
          <cell r="H262">
            <v>0</v>
          </cell>
          <cell r="I262">
            <v>5</v>
          </cell>
          <cell r="J262">
            <v>3</v>
          </cell>
          <cell r="K262">
            <v>5</v>
          </cell>
          <cell r="L262">
            <v>1</v>
          </cell>
          <cell r="M262">
            <v>0</v>
          </cell>
          <cell r="N262">
            <v>0</v>
          </cell>
          <cell r="O262">
            <v>1</v>
          </cell>
          <cell r="P262">
            <v>0</v>
          </cell>
          <cell r="Q262">
            <v>0</v>
          </cell>
          <cell r="R262">
            <v>0</v>
          </cell>
          <cell r="S262">
            <v>0</v>
          </cell>
          <cell r="T262">
            <v>3</v>
          </cell>
          <cell r="U262">
            <v>0</v>
          </cell>
          <cell r="V262">
            <v>0</v>
          </cell>
          <cell r="W262">
            <v>0</v>
          </cell>
          <cell r="X262">
            <v>0</v>
          </cell>
          <cell r="Y262">
            <v>1</v>
          </cell>
          <cell r="Z262">
            <v>0</v>
          </cell>
          <cell r="AA262">
            <v>4</v>
          </cell>
          <cell r="AB262">
            <v>0.2</v>
          </cell>
          <cell r="AC262">
            <v>0.2</v>
          </cell>
          <cell r="AD262">
            <v>12</v>
          </cell>
        </row>
        <row r="263">
          <cell r="A263">
            <v>38</v>
          </cell>
          <cell r="B263">
            <v>2</v>
          </cell>
          <cell r="C263">
            <v>2</v>
          </cell>
          <cell r="D263">
            <v>5249</v>
          </cell>
          <cell r="E263">
            <v>3</v>
          </cell>
          <cell r="F263">
            <v>18</v>
          </cell>
          <cell r="G263">
            <v>3</v>
          </cell>
          <cell r="H263">
            <v>1</v>
          </cell>
          <cell r="I263">
            <v>13</v>
          </cell>
          <cell r="J263">
            <v>0</v>
          </cell>
          <cell r="K263">
            <v>8</v>
          </cell>
          <cell r="L263">
            <v>7</v>
          </cell>
          <cell r="M263">
            <v>0</v>
          </cell>
          <cell r="N263">
            <v>0</v>
          </cell>
          <cell r="O263">
            <v>1</v>
          </cell>
          <cell r="P263">
            <v>0</v>
          </cell>
          <cell r="Q263">
            <v>0</v>
          </cell>
          <cell r="R263">
            <v>0</v>
          </cell>
          <cell r="S263">
            <v>0</v>
          </cell>
          <cell r="T263">
            <v>2</v>
          </cell>
          <cell r="U263">
            <v>0</v>
          </cell>
          <cell r="V263">
            <v>0</v>
          </cell>
          <cell r="W263">
            <v>0</v>
          </cell>
          <cell r="X263">
            <v>0</v>
          </cell>
          <cell r="Y263">
            <v>0</v>
          </cell>
          <cell r="Z263">
            <v>0</v>
          </cell>
          <cell r="AA263">
            <v>16</v>
          </cell>
          <cell r="AB263">
            <v>0.23076923076923078</v>
          </cell>
          <cell r="AC263">
            <v>0.875</v>
          </cell>
          <cell r="AD263">
            <v>64</v>
          </cell>
        </row>
        <row r="264">
          <cell r="A264">
            <v>32</v>
          </cell>
          <cell r="B264">
            <v>1</v>
          </cell>
          <cell r="C264">
            <v>2</v>
          </cell>
          <cell r="D264">
            <v>2176</v>
          </cell>
          <cell r="E264">
            <v>4</v>
          </cell>
          <cell r="F264">
            <v>13</v>
          </cell>
          <cell r="G264">
            <v>3</v>
          </cell>
          <cell r="H264">
            <v>0</v>
          </cell>
          <cell r="I264">
            <v>9</v>
          </cell>
          <cell r="J264">
            <v>5</v>
          </cell>
          <cell r="K264">
            <v>6</v>
          </cell>
          <cell r="L264">
            <v>2</v>
          </cell>
          <cell r="M264">
            <v>0</v>
          </cell>
          <cell r="N264">
            <v>0</v>
          </cell>
          <cell r="O264">
            <v>0</v>
          </cell>
          <cell r="P264">
            <v>0</v>
          </cell>
          <cell r="Q264">
            <v>0</v>
          </cell>
          <cell r="R264">
            <v>0</v>
          </cell>
          <cell r="S264">
            <v>1</v>
          </cell>
          <cell r="T264">
            <v>0</v>
          </cell>
          <cell r="U264">
            <v>0</v>
          </cell>
          <cell r="V264">
            <v>0</v>
          </cell>
          <cell r="W264">
            <v>0</v>
          </cell>
          <cell r="X264">
            <v>1</v>
          </cell>
          <cell r="Y264">
            <v>0</v>
          </cell>
          <cell r="Z264">
            <v>0</v>
          </cell>
          <cell r="AA264">
            <v>4</v>
          </cell>
          <cell r="AB264">
            <v>0.44444444444444442</v>
          </cell>
          <cell r="AC264">
            <v>0.33333333333333331</v>
          </cell>
          <cell r="AD264">
            <v>16</v>
          </cell>
        </row>
        <row r="265">
          <cell r="A265">
            <v>46</v>
          </cell>
          <cell r="B265">
            <v>3</v>
          </cell>
          <cell r="C265">
            <v>1</v>
          </cell>
          <cell r="D265">
            <v>16872</v>
          </cell>
          <cell r="E265">
            <v>3</v>
          </cell>
          <cell r="F265">
            <v>12</v>
          </cell>
          <cell r="G265">
            <v>3</v>
          </cell>
          <cell r="H265">
            <v>1</v>
          </cell>
          <cell r="I265">
            <v>28</v>
          </cell>
          <cell r="J265">
            <v>2</v>
          </cell>
          <cell r="K265">
            <v>7</v>
          </cell>
          <cell r="L265">
            <v>7</v>
          </cell>
          <cell r="M265">
            <v>1</v>
          </cell>
          <cell r="N265">
            <v>1</v>
          </cell>
          <cell r="O265">
            <v>0</v>
          </cell>
          <cell r="P265">
            <v>0</v>
          </cell>
          <cell r="Q265">
            <v>0</v>
          </cell>
          <cell r="R265">
            <v>0</v>
          </cell>
          <cell r="S265">
            <v>1</v>
          </cell>
          <cell r="T265">
            <v>0</v>
          </cell>
          <cell r="U265">
            <v>0</v>
          </cell>
          <cell r="V265">
            <v>0</v>
          </cell>
          <cell r="W265">
            <v>0</v>
          </cell>
          <cell r="X265">
            <v>3</v>
          </cell>
          <cell r="Y265">
            <v>0</v>
          </cell>
          <cell r="Z265">
            <v>1</v>
          </cell>
          <cell r="AA265">
            <v>6</v>
          </cell>
          <cell r="AB265">
            <v>0.10714285714285714</v>
          </cell>
          <cell r="AC265">
            <v>1</v>
          </cell>
          <cell r="AD265">
            <v>12</v>
          </cell>
        </row>
        <row r="266">
          <cell r="A266">
            <v>28</v>
          </cell>
          <cell r="B266">
            <v>4</v>
          </cell>
          <cell r="C266">
            <v>3</v>
          </cell>
          <cell r="D266">
            <v>3485</v>
          </cell>
          <cell r="E266">
            <v>2</v>
          </cell>
          <cell r="F266">
            <v>11</v>
          </cell>
          <cell r="G266">
            <v>3</v>
          </cell>
          <cell r="H266">
            <v>0</v>
          </cell>
          <cell r="I266">
            <v>5</v>
          </cell>
          <cell r="J266">
            <v>5</v>
          </cell>
          <cell r="K266">
            <v>0</v>
          </cell>
          <cell r="L266">
            <v>0</v>
          </cell>
          <cell r="M266">
            <v>0</v>
          </cell>
          <cell r="N266">
            <v>0</v>
          </cell>
          <cell r="O266">
            <v>1</v>
          </cell>
          <cell r="P266">
            <v>0</v>
          </cell>
          <cell r="Q266">
            <v>0</v>
          </cell>
          <cell r="R266">
            <v>0</v>
          </cell>
          <cell r="S266">
            <v>0</v>
          </cell>
          <cell r="T266">
            <v>4</v>
          </cell>
          <cell r="U266">
            <v>0</v>
          </cell>
          <cell r="V266">
            <v>0</v>
          </cell>
          <cell r="W266">
            <v>0</v>
          </cell>
          <cell r="X266">
            <v>0</v>
          </cell>
          <cell r="Y266">
            <v>0</v>
          </cell>
          <cell r="Z266">
            <v>0</v>
          </cell>
          <cell r="AA266">
            <v>3</v>
          </cell>
          <cell r="AB266">
            <v>0.4</v>
          </cell>
          <cell r="AC266">
            <v>0</v>
          </cell>
          <cell r="AD266">
            <v>9</v>
          </cell>
        </row>
        <row r="267">
          <cell r="A267">
            <v>29</v>
          </cell>
          <cell r="B267">
            <v>3</v>
          </cell>
          <cell r="C267">
            <v>2</v>
          </cell>
          <cell r="D267">
            <v>6644</v>
          </cell>
          <cell r="E267">
            <v>2</v>
          </cell>
          <cell r="F267">
            <v>19</v>
          </cell>
          <cell r="G267">
            <v>3</v>
          </cell>
          <cell r="H267">
            <v>2</v>
          </cell>
          <cell r="I267">
            <v>10</v>
          </cell>
          <cell r="J267">
            <v>2</v>
          </cell>
          <cell r="K267">
            <v>0</v>
          </cell>
          <cell r="L267">
            <v>0</v>
          </cell>
          <cell r="M267">
            <v>0</v>
          </cell>
          <cell r="N267">
            <v>0</v>
          </cell>
          <cell r="O267">
            <v>0</v>
          </cell>
          <cell r="P267">
            <v>0</v>
          </cell>
          <cell r="Q267">
            <v>1</v>
          </cell>
          <cell r="R267">
            <v>0</v>
          </cell>
          <cell r="S267">
            <v>0</v>
          </cell>
          <cell r="T267">
            <v>0</v>
          </cell>
          <cell r="U267">
            <v>0</v>
          </cell>
          <cell r="V267">
            <v>3</v>
          </cell>
          <cell r="W267">
            <v>0</v>
          </cell>
          <cell r="X267">
            <v>0</v>
          </cell>
          <cell r="Y267">
            <v>0</v>
          </cell>
          <cell r="Z267">
            <v>0</v>
          </cell>
          <cell r="AA267">
            <v>2</v>
          </cell>
          <cell r="AB267">
            <v>0.2</v>
          </cell>
          <cell r="AC267">
            <v>0</v>
          </cell>
          <cell r="AD267">
            <v>4</v>
          </cell>
        </row>
        <row r="268">
          <cell r="A268">
            <v>31</v>
          </cell>
          <cell r="B268">
            <v>3</v>
          </cell>
          <cell r="C268">
            <v>2</v>
          </cell>
          <cell r="D268">
            <v>5582</v>
          </cell>
          <cell r="E268">
            <v>0</v>
          </cell>
          <cell r="F268">
            <v>21</v>
          </cell>
          <cell r="G268">
            <v>4</v>
          </cell>
          <cell r="H268">
            <v>1</v>
          </cell>
          <cell r="I268">
            <v>10</v>
          </cell>
          <cell r="J268">
            <v>2</v>
          </cell>
          <cell r="K268">
            <v>9</v>
          </cell>
          <cell r="L268">
            <v>0</v>
          </cell>
          <cell r="M268">
            <v>0</v>
          </cell>
          <cell r="N268">
            <v>0</v>
          </cell>
          <cell r="O268">
            <v>0</v>
          </cell>
          <cell r="P268">
            <v>0</v>
          </cell>
          <cell r="Q268">
            <v>1</v>
          </cell>
          <cell r="R268">
            <v>0</v>
          </cell>
          <cell r="S268">
            <v>0</v>
          </cell>
          <cell r="T268">
            <v>0</v>
          </cell>
          <cell r="U268">
            <v>0</v>
          </cell>
          <cell r="V268">
            <v>3</v>
          </cell>
          <cell r="W268">
            <v>0</v>
          </cell>
          <cell r="X268">
            <v>0</v>
          </cell>
          <cell r="Y268">
            <v>0</v>
          </cell>
          <cell r="Z268">
            <v>0</v>
          </cell>
          <cell r="AA268">
            <v>8</v>
          </cell>
          <cell r="AB268">
            <v>0</v>
          </cell>
          <cell r="AC268">
            <v>0</v>
          </cell>
          <cell r="AD268">
            <v>16</v>
          </cell>
        </row>
        <row r="269">
          <cell r="A269">
            <v>25</v>
          </cell>
          <cell r="B269">
            <v>2</v>
          </cell>
          <cell r="C269">
            <v>4</v>
          </cell>
          <cell r="D269">
            <v>4000</v>
          </cell>
          <cell r="E269">
            <v>1</v>
          </cell>
          <cell r="F269">
            <v>12</v>
          </cell>
          <cell r="G269">
            <v>3</v>
          </cell>
          <cell r="H269">
            <v>2</v>
          </cell>
          <cell r="I269">
            <v>6</v>
          </cell>
          <cell r="J269">
            <v>2</v>
          </cell>
          <cell r="K269">
            <v>6</v>
          </cell>
          <cell r="L269">
            <v>3</v>
          </cell>
          <cell r="M269">
            <v>0</v>
          </cell>
          <cell r="N269">
            <v>0</v>
          </cell>
          <cell r="O269">
            <v>1</v>
          </cell>
          <cell r="P269">
            <v>0</v>
          </cell>
          <cell r="Q269">
            <v>0</v>
          </cell>
          <cell r="R269">
            <v>0</v>
          </cell>
          <cell r="S269">
            <v>0</v>
          </cell>
          <cell r="T269">
            <v>2</v>
          </cell>
          <cell r="U269">
            <v>0</v>
          </cell>
          <cell r="V269">
            <v>0</v>
          </cell>
          <cell r="W269">
            <v>0</v>
          </cell>
          <cell r="X269">
            <v>0</v>
          </cell>
          <cell r="Y269">
            <v>0</v>
          </cell>
          <cell r="Z269">
            <v>0</v>
          </cell>
          <cell r="AA269">
            <v>2</v>
          </cell>
          <cell r="AB269">
            <v>0.16666666666666666</v>
          </cell>
          <cell r="AC269">
            <v>0.5</v>
          </cell>
          <cell r="AD269">
            <v>8</v>
          </cell>
        </row>
        <row r="270">
          <cell r="A270">
            <v>45</v>
          </cell>
          <cell r="B270">
            <v>2</v>
          </cell>
          <cell r="C270">
            <v>3</v>
          </cell>
          <cell r="D270">
            <v>13496</v>
          </cell>
          <cell r="E270">
            <v>0</v>
          </cell>
          <cell r="F270">
            <v>14</v>
          </cell>
          <cell r="G270">
            <v>3</v>
          </cell>
          <cell r="H270">
            <v>0</v>
          </cell>
          <cell r="I270">
            <v>21</v>
          </cell>
          <cell r="J270">
            <v>2</v>
          </cell>
          <cell r="K270">
            <v>20</v>
          </cell>
          <cell r="L270">
            <v>7</v>
          </cell>
          <cell r="M270">
            <v>1</v>
          </cell>
          <cell r="N270">
            <v>0</v>
          </cell>
          <cell r="O270">
            <v>0</v>
          </cell>
          <cell r="P270">
            <v>0</v>
          </cell>
          <cell r="Q270">
            <v>1</v>
          </cell>
          <cell r="R270">
            <v>0</v>
          </cell>
          <cell r="S270">
            <v>0</v>
          </cell>
          <cell r="T270">
            <v>0</v>
          </cell>
          <cell r="U270">
            <v>0</v>
          </cell>
          <cell r="V270">
            <v>2</v>
          </cell>
          <cell r="W270">
            <v>0</v>
          </cell>
          <cell r="X270">
            <v>0</v>
          </cell>
          <cell r="Y270">
            <v>0</v>
          </cell>
          <cell r="Z270">
            <v>1</v>
          </cell>
          <cell r="AA270">
            <v>12</v>
          </cell>
          <cell r="AB270">
            <v>0</v>
          </cell>
          <cell r="AC270">
            <v>0.35</v>
          </cell>
          <cell r="AD270">
            <v>24</v>
          </cell>
        </row>
        <row r="271">
          <cell r="A271">
            <v>36</v>
          </cell>
          <cell r="B271">
            <v>3</v>
          </cell>
          <cell r="C271">
            <v>3</v>
          </cell>
          <cell r="D271">
            <v>3210</v>
          </cell>
          <cell r="E271">
            <v>0</v>
          </cell>
          <cell r="F271">
            <v>11</v>
          </cell>
          <cell r="G271">
            <v>3</v>
          </cell>
          <cell r="H271">
            <v>1</v>
          </cell>
          <cell r="I271">
            <v>16</v>
          </cell>
          <cell r="J271">
            <v>4</v>
          </cell>
          <cell r="K271">
            <v>15</v>
          </cell>
          <cell r="L271">
            <v>13</v>
          </cell>
          <cell r="M271">
            <v>0</v>
          </cell>
          <cell r="N271">
            <v>0</v>
          </cell>
          <cell r="O271">
            <v>1</v>
          </cell>
          <cell r="P271">
            <v>0</v>
          </cell>
          <cell r="Q271">
            <v>0</v>
          </cell>
          <cell r="R271">
            <v>0</v>
          </cell>
          <cell r="S271">
            <v>0</v>
          </cell>
          <cell r="T271">
            <v>3</v>
          </cell>
          <cell r="U271">
            <v>0</v>
          </cell>
          <cell r="V271">
            <v>0</v>
          </cell>
          <cell r="W271">
            <v>0</v>
          </cell>
          <cell r="X271">
            <v>0</v>
          </cell>
          <cell r="Y271">
            <v>0</v>
          </cell>
          <cell r="Z271">
            <v>0</v>
          </cell>
          <cell r="AA271">
            <v>16</v>
          </cell>
          <cell r="AB271">
            <v>0</v>
          </cell>
          <cell r="AC271">
            <v>0.8666666666666667</v>
          </cell>
          <cell r="AD271">
            <v>48</v>
          </cell>
        </row>
        <row r="272">
          <cell r="A272">
            <v>55</v>
          </cell>
          <cell r="B272">
            <v>3</v>
          </cell>
          <cell r="C272">
            <v>3</v>
          </cell>
          <cell r="D272">
            <v>19045</v>
          </cell>
          <cell r="E272">
            <v>0</v>
          </cell>
          <cell r="F272">
            <v>14</v>
          </cell>
          <cell r="G272">
            <v>3</v>
          </cell>
          <cell r="H272">
            <v>0</v>
          </cell>
          <cell r="I272">
            <v>37</v>
          </cell>
          <cell r="J272">
            <v>2</v>
          </cell>
          <cell r="K272">
            <v>36</v>
          </cell>
          <cell r="L272">
            <v>10</v>
          </cell>
          <cell r="M272">
            <v>1</v>
          </cell>
          <cell r="N272">
            <v>0</v>
          </cell>
          <cell r="O272">
            <v>0</v>
          </cell>
          <cell r="P272">
            <v>0</v>
          </cell>
          <cell r="Q272">
            <v>1</v>
          </cell>
          <cell r="R272">
            <v>0</v>
          </cell>
          <cell r="S272">
            <v>0</v>
          </cell>
          <cell r="T272">
            <v>0</v>
          </cell>
          <cell r="U272">
            <v>0</v>
          </cell>
          <cell r="V272">
            <v>3</v>
          </cell>
          <cell r="W272">
            <v>0</v>
          </cell>
          <cell r="X272">
            <v>0</v>
          </cell>
          <cell r="Y272">
            <v>0</v>
          </cell>
          <cell r="Z272">
            <v>0</v>
          </cell>
          <cell r="AA272">
            <v>4</v>
          </cell>
          <cell r="AB272">
            <v>0</v>
          </cell>
          <cell r="AC272">
            <v>0.27777777777777779</v>
          </cell>
          <cell r="AD272">
            <v>12</v>
          </cell>
        </row>
        <row r="273">
          <cell r="A273">
            <v>47</v>
          </cell>
          <cell r="B273">
            <v>4</v>
          </cell>
          <cell r="C273">
            <v>3</v>
          </cell>
          <cell r="D273">
            <v>11849</v>
          </cell>
          <cell r="E273">
            <v>1</v>
          </cell>
          <cell r="F273">
            <v>12</v>
          </cell>
          <cell r="G273">
            <v>3</v>
          </cell>
          <cell r="H273">
            <v>1</v>
          </cell>
          <cell r="I273">
            <v>10</v>
          </cell>
          <cell r="J273">
            <v>2</v>
          </cell>
          <cell r="K273">
            <v>10</v>
          </cell>
          <cell r="L273">
            <v>7</v>
          </cell>
          <cell r="M273">
            <v>1</v>
          </cell>
          <cell r="N273">
            <v>0</v>
          </cell>
          <cell r="O273">
            <v>1</v>
          </cell>
          <cell r="P273">
            <v>0</v>
          </cell>
          <cell r="Q273">
            <v>0</v>
          </cell>
          <cell r="R273">
            <v>0</v>
          </cell>
          <cell r="S273">
            <v>0</v>
          </cell>
          <cell r="T273">
            <v>4</v>
          </cell>
          <cell r="U273">
            <v>0</v>
          </cell>
          <cell r="V273">
            <v>0</v>
          </cell>
          <cell r="W273">
            <v>0</v>
          </cell>
          <cell r="X273">
            <v>0</v>
          </cell>
          <cell r="Y273">
            <v>0</v>
          </cell>
          <cell r="Z273">
            <v>1</v>
          </cell>
          <cell r="AA273">
            <v>2</v>
          </cell>
          <cell r="AB273">
            <v>0.1</v>
          </cell>
          <cell r="AC273">
            <v>0.7</v>
          </cell>
          <cell r="AD273">
            <v>8</v>
          </cell>
        </row>
        <row r="274">
          <cell r="A274">
            <v>28</v>
          </cell>
          <cell r="B274">
            <v>3</v>
          </cell>
          <cell r="C274">
            <v>3</v>
          </cell>
          <cell r="D274">
            <v>2070</v>
          </cell>
          <cell r="E274">
            <v>1</v>
          </cell>
          <cell r="F274">
            <v>23</v>
          </cell>
          <cell r="G274">
            <v>4</v>
          </cell>
          <cell r="H274">
            <v>1</v>
          </cell>
          <cell r="I274">
            <v>5</v>
          </cell>
          <cell r="J274">
            <v>3</v>
          </cell>
          <cell r="K274">
            <v>5</v>
          </cell>
          <cell r="L274">
            <v>2</v>
          </cell>
          <cell r="M274">
            <v>0</v>
          </cell>
          <cell r="N274">
            <v>0</v>
          </cell>
          <cell r="O274">
            <v>0</v>
          </cell>
          <cell r="P274">
            <v>0</v>
          </cell>
          <cell r="Q274">
            <v>1</v>
          </cell>
          <cell r="R274">
            <v>0</v>
          </cell>
          <cell r="S274">
            <v>0</v>
          </cell>
          <cell r="T274">
            <v>0</v>
          </cell>
          <cell r="U274">
            <v>0</v>
          </cell>
          <cell r="V274">
            <v>3</v>
          </cell>
          <cell r="W274">
            <v>0</v>
          </cell>
          <cell r="X274">
            <v>0</v>
          </cell>
          <cell r="Y274">
            <v>0</v>
          </cell>
          <cell r="Z274">
            <v>0</v>
          </cell>
          <cell r="AA274">
            <v>16</v>
          </cell>
          <cell r="AB274">
            <v>0.2</v>
          </cell>
          <cell r="AC274">
            <v>0.4</v>
          </cell>
          <cell r="AD274">
            <v>64</v>
          </cell>
        </row>
        <row r="275">
          <cell r="A275">
            <v>37</v>
          </cell>
          <cell r="B275">
            <v>4</v>
          </cell>
          <cell r="C275">
            <v>3</v>
          </cell>
          <cell r="D275">
            <v>6502</v>
          </cell>
          <cell r="E275">
            <v>4</v>
          </cell>
          <cell r="F275">
            <v>14</v>
          </cell>
          <cell r="G275">
            <v>3</v>
          </cell>
          <cell r="H275">
            <v>1</v>
          </cell>
          <cell r="I275">
            <v>7</v>
          </cell>
          <cell r="J275">
            <v>5</v>
          </cell>
          <cell r="K275">
            <v>5</v>
          </cell>
          <cell r="L275">
            <v>4</v>
          </cell>
          <cell r="M275">
            <v>0</v>
          </cell>
          <cell r="N275">
            <v>0</v>
          </cell>
          <cell r="O275">
            <v>0</v>
          </cell>
          <cell r="P275">
            <v>0</v>
          </cell>
          <cell r="Q275">
            <v>1</v>
          </cell>
          <cell r="R275">
            <v>0</v>
          </cell>
          <cell r="S275">
            <v>0</v>
          </cell>
          <cell r="T275">
            <v>0</v>
          </cell>
          <cell r="U275">
            <v>0</v>
          </cell>
          <cell r="V275">
            <v>4</v>
          </cell>
          <cell r="W275">
            <v>0</v>
          </cell>
          <cell r="X275">
            <v>0</v>
          </cell>
          <cell r="Y275">
            <v>0</v>
          </cell>
          <cell r="Z275">
            <v>0</v>
          </cell>
          <cell r="AA275">
            <v>12</v>
          </cell>
          <cell r="AB275">
            <v>0.5714285714285714</v>
          </cell>
          <cell r="AC275">
            <v>0.8</v>
          </cell>
          <cell r="AD275">
            <v>24</v>
          </cell>
        </row>
        <row r="276">
          <cell r="A276">
            <v>21</v>
          </cell>
          <cell r="B276">
            <v>2</v>
          </cell>
          <cell r="C276">
            <v>2</v>
          </cell>
          <cell r="D276">
            <v>3230</v>
          </cell>
          <cell r="E276">
            <v>1</v>
          </cell>
          <cell r="F276">
            <v>17</v>
          </cell>
          <cell r="G276">
            <v>3</v>
          </cell>
          <cell r="H276">
            <v>0</v>
          </cell>
          <cell r="I276">
            <v>3</v>
          </cell>
          <cell r="J276">
            <v>4</v>
          </cell>
          <cell r="K276">
            <v>3</v>
          </cell>
          <cell r="L276">
            <v>2</v>
          </cell>
          <cell r="M276">
            <v>0</v>
          </cell>
          <cell r="N276">
            <v>0</v>
          </cell>
          <cell r="O276">
            <v>0</v>
          </cell>
          <cell r="P276">
            <v>0</v>
          </cell>
          <cell r="Q276">
            <v>1</v>
          </cell>
          <cell r="R276">
            <v>0</v>
          </cell>
          <cell r="S276">
            <v>0</v>
          </cell>
          <cell r="T276">
            <v>0</v>
          </cell>
          <cell r="U276">
            <v>0</v>
          </cell>
          <cell r="V276">
            <v>2</v>
          </cell>
          <cell r="W276">
            <v>0</v>
          </cell>
          <cell r="X276">
            <v>0</v>
          </cell>
          <cell r="Y276">
            <v>0</v>
          </cell>
          <cell r="Z276">
            <v>0</v>
          </cell>
          <cell r="AA276">
            <v>12</v>
          </cell>
          <cell r="AB276">
            <v>0.33333333333333331</v>
          </cell>
          <cell r="AC276">
            <v>0.66666666666666663</v>
          </cell>
          <cell r="AD276">
            <v>12</v>
          </cell>
        </row>
        <row r="277">
          <cell r="A277">
            <v>37</v>
          </cell>
          <cell r="B277">
            <v>4</v>
          </cell>
          <cell r="C277">
            <v>3</v>
          </cell>
          <cell r="D277">
            <v>13603</v>
          </cell>
          <cell r="E277">
            <v>2</v>
          </cell>
          <cell r="F277">
            <v>18</v>
          </cell>
          <cell r="G277">
            <v>3</v>
          </cell>
          <cell r="H277">
            <v>2</v>
          </cell>
          <cell r="I277">
            <v>15</v>
          </cell>
          <cell r="J277">
            <v>2</v>
          </cell>
          <cell r="K277">
            <v>5</v>
          </cell>
          <cell r="L277">
            <v>2</v>
          </cell>
          <cell r="M277">
            <v>1</v>
          </cell>
          <cell r="N277">
            <v>1</v>
          </cell>
          <cell r="O277">
            <v>0</v>
          </cell>
          <cell r="P277">
            <v>0</v>
          </cell>
          <cell r="Q277">
            <v>1</v>
          </cell>
          <cell r="R277">
            <v>0</v>
          </cell>
          <cell r="S277">
            <v>0</v>
          </cell>
          <cell r="T277">
            <v>0</v>
          </cell>
          <cell r="U277">
            <v>0</v>
          </cell>
          <cell r="V277">
            <v>4</v>
          </cell>
          <cell r="W277">
            <v>0</v>
          </cell>
          <cell r="X277">
            <v>0</v>
          </cell>
          <cell r="Y277">
            <v>0</v>
          </cell>
          <cell r="Z277">
            <v>0</v>
          </cell>
          <cell r="AA277">
            <v>4</v>
          </cell>
          <cell r="AB277">
            <v>0.13333333333333333</v>
          </cell>
          <cell r="AC277">
            <v>0.4</v>
          </cell>
          <cell r="AD277">
            <v>4</v>
          </cell>
        </row>
        <row r="278">
          <cell r="A278">
            <v>35</v>
          </cell>
          <cell r="B278">
            <v>3</v>
          </cell>
          <cell r="C278">
            <v>4</v>
          </cell>
          <cell r="D278">
            <v>11996</v>
          </cell>
          <cell r="E278">
            <v>7</v>
          </cell>
          <cell r="F278">
            <v>18</v>
          </cell>
          <cell r="G278">
            <v>3</v>
          </cell>
          <cell r="H278">
            <v>1</v>
          </cell>
          <cell r="I278">
            <v>10</v>
          </cell>
          <cell r="J278">
            <v>6</v>
          </cell>
          <cell r="K278">
            <v>7</v>
          </cell>
          <cell r="L278">
            <v>7</v>
          </cell>
          <cell r="M278">
            <v>0</v>
          </cell>
          <cell r="N278">
            <v>1</v>
          </cell>
          <cell r="O278">
            <v>1</v>
          </cell>
          <cell r="P278">
            <v>0</v>
          </cell>
          <cell r="Q278">
            <v>0</v>
          </cell>
          <cell r="R278">
            <v>0</v>
          </cell>
          <cell r="S278">
            <v>0</v>
          </cell>
          <cell r="T278">
            <v>3</v>
          </cell>
          <cell r="U278">
            <v>0</v>
          </cell>
          <cell r="V278">
            <v>0</v>
          </cell>
          <cell r="W278">
            <v>0</v>
          </cell>
          <cell r="X278">
            <v>0</v>
          </cell>
          <cell r="Y278">
            <v>0</v>
          </cell>
          <cell r="Z278">
            <v>0</v>
          </cell>
          <cell r="AA278">
            <v>4</v>
          </cell>
          <cell r="AB278">
            <v>0.7</v>
          </cell>
          <cell r="AC278">
            <v>1</v>
          </cell>
          <cell r="AD278">
            <v>8</v>
          </cell>
        </row>
        <row r="279">
          <cell r="A279">
            <v>38</v>
          </cell>
          <cell r="B279">
            <v>2</v>
          </cell>
          <cell r="C279">
            <v>4</v>
          </cell>
          <cell r="D279">
            <v>5605</v>
          </cell>
          <cell r="E279">
            <v>1</v>
          </cell>
          <cell r="F279">
            <v>24</v>
          </cell>
          <cell r="G279">
            <v>4</v>
          </cell>
          <cell r="H279">
            <v>1</v>
          </cell>
          <cell r="I279">
            <v>8</v>
          </cell>
          <cell r="J279">
            <v>3</v>
          </cell>
          <cell r="K279">
            <v>8</v>
          </cell>
          <cell r="L279">
            <v>0</v>
          </cell>
          <cell r="M279">
            <v>1</v>
          </cell>
          <cell r="N279">
            <v>1</v>
          </cell>
          <cell r="O279">
            <v>0</v>
          </cell>
          <cell r="P279">
            <v>0</v>
          </cell>
          <cell r="Q279">
            <v>1</v>
          </cell>
          <cell r="R279">
            <v>0</v>
          </cell>
          <cell r="S279">
            <v>0</v>
          </cell>
          <cell r="T279">
            <v>0</v>
          </cell>
          <cell r="U279">
            <v>0</v>
          </cell>
          <cell r="V279">
            <v>2</v>
          </cell>
          <cell r="W279">
            <v>0</v>
          </cell>
          <cell r="X279">
            <v>0</v>
          </cell>
          <cell r="Y279">
            <v>0</v>
          </cell>
          <cell r="Z279">
            <v>0</v>
          </cell>
          <cell r="AA279">
            <v>1</v>
          </cell>
          <cell r="AB279">
            <v>0.125</v>
          </cell>
          <cell r="AC279">
            <v>0</v>
          </cell>
          <cell r="AD279">
            <v>3</v>
          </cell>
        </row>
        <row r="280">
          <cell r="A280">
            <v>26</v>
          </cell>
          <cell r="B280">
            <v>3</v>
          </cell>
          <cell r="C280">
            <v>3</v>
          </cell>
          <cell r="D280">
            <v>6397</v>
          </cell>
          <cell r="E280">
            <v>1</v>
          </cell>
          <cell r="F280">
            <v>20</v>
          </cell>
          <cell r="G280">
            <v>4</v>
          </cell>
          <cell r="H280">
            <v>1</v>
          </cell>
          <cell r="I280">
            <v>6</v>
          </cell>
          <cell r="J280">
            <v>6</v>
          </cell>
          <cell r="K280">
            <v>6</v>
          </cell>
          <cell r="L280">
            <v>5</v>
          </cell>
          <cell r="M280">
            <v>0</v>
          </cell>
          <cell r="N280">
            <v>1</v>
          </cell>
          <cell r="O280">
            <v>1</v>
          </cell>
          <cell r="P280">
            <v>0</v>
          </cell>
          <cell r="Q280">
            <v>0</v>
          </cell>
          <cell r="R280">
            <v>0</v>
          </cell>
          <cell r="S280">
            <v>0</v>
          </cell>
          <cell r="T280">
            <v>3</v>
          </cell>
          <cell r="U280">
            <v>0</v>
          </cell>
          <cell r="V280">
            <v>0</v>
          </cell>
          <cell r="W280">
            <v>0</v>
          </cell>
          <cell r="X280">
            <v>0</v>
          </cell>
          <cell r="Y280">
            <v>0</v>
          </cell>
          <cell r="Z280">
            <v>0</v>
          </cell>
          <cell r="AA280">
            <v>6</v>
          </cell>
          <cell r="AB280">
            <v>0.16666666666666666</v>
          </cell>
          <cell r="AC280">
            <v>0.83333333333333337</v>
          </cell>
          <cell r="AD280">
            <v>6</v>
          </cell>
        </row>
        <row r="281">
          <cell r="A281">
            <v>50</v>
          </cell>
          <cell r="B281">
            <v>1</v>
          </cell>
          <cell r="C281">
            <v>3</v>
          </cell>
          <cell r="D281">
            <v>19144</v>
          </cell>
          <cell r="E281">
            <v>3</v>
          </cell>
          <cell r="F281">
            <v>14</v>
          </cell>
          <cell r="G281">
            <v>3</v>
          </cell>
          <cell r="H281">
            <v>2</v>
          </cell>
          <cell r="I281">
            <v>28</v>
          </cell>
          <cell r="J281">
            <v>4</v>
          </cell>
          <cell r="K281">
            <v>10</v>
          </cell>
          <cell r="L281">
            <v>4</v>
          </cell>
          <cell r="M281">
            <v>0</v>
          </cell>
          <cell r="N281">
            <v>0</v>
          </cell>
          <cell r="O281">
            <v>1</v>
          </cell>
          <cell r="P281">
            <v>0</v>
          </cell>
          <cell r="Q281">
            <v>0</v>
          </cell>
          <cell r="R281">
            <v>0</v>
          </cell>
          <cell r="S281">
            <v>0</v>
          </cell>
          <cell r="T281">
            <v>1</v>
          </cell>
          <cell r="U281">
            <v>0</v>
          </cell>
          <cell r="V281">
            <v>0</v>
          </cell>
          <cell r="W281">
            <v>0</v>
          </cell>
          <cell r="X281">
            <v>0</v>
          </cell>
          <cell r="Y281">
            <v>0</v>
          </cell>
          <cell r="Z281">
            <v>0</v>
          </cell>
          <cell r="AA281">
            <v>2</v>
          </cell>
          <cell r="AB281">
            <v>0.10714285714285714</v>
          </cell>
          <cell r="AC281">
            <v>0.4</v>
          </cell>
          <cell r="AD281">
            <v>2</v>
          </cell>
        </row>
        <row r="282">
          <cell r="A282">
            <v>53</v>
          </cell>
          <cell r="B282">
            <v>4</v>
          </cell>
          <cell r="C282">
            <v>3</v>
          </cell>
          <cell r="D282">
            <v>17584</v>
          </cell>
          <cell r="E282">
            <v>3</v>
          </cell>
          <cell r="F282">
            <v>16</v>
          </cell>
          <cell r="G282">
            <v>3</v>
          </cell>
          <cell r="H282">
            <v>3</v>
          </cell>
          <cell r="I282">
            <v>21</v>
          </cell>
          <cell r="J282">
            <v>5</v>
          </cell>
          <cell r="K282">
            <v>5</v>
          </cell>
          <cell r="L282">
            <v>3</v>
          </cell>
          <cell r="M282">
            <v>1</v>
          </cell>
          <cell r="N282">
            <v>0</v>
          </cell>
          <cell r="O282">
            <v>0</v>
          </cell>
          <cell r="P282">
            <v>0</v>
          </cell>
          <cell r="Q282">
            <v>1</v>
          </cell>
          <cell r="R282">
            <v>0</v>
          </cell>
          <cell r="S282">
            <v>0</v>
          </cell>
          <cell r="T282">
            <v>0</v>
          </cell>
          <cell r="U282">
            <v>0</v>
          </cell>
          <cell r="V282">
            <v>4</v>
          </cell>
          <cell r="W282">
            <v>0</v>
          </cell>
          <cell r="X282">
            <v>0</v>
          </cell>
          <cell r="Y282">
            <v>0</v>
          </cell>
          <cell r="Z282">
            <v>1</v>
          </cell>
          <cell r="AA282">
            <v>9</v>
          </cell>
          <cell r="AB282">
            <v>0.14285714285714285</v>
          </cell>
          <cell r="AC282">
            <v>0.6</v>
          </cell>
          <cell r="AD282">
            <v>36</v>
          </cell>
        </row>
        <row r="283">
          <cell r="A283">
            <v>42</v>
          </cell>
          <cell r="B283">
            <v>1</v>
          </cell>
          <cell r="C283">
            <v>3</v>
          </cell>
          <cell r="D283">
            <v>4907</v>
          </cell>
          <cell r="E283">
            <v>1</v>
          </cell>
          <cell r="F283">
            <v>25</v>
          </cell>
          <cell r="G283">
            <v>4</v>
          </cell>
          <cell r="H283">
            <v>0</v>
          </cell>
          <cell r="I283">
            <v>20</v>
          </cell>
          <cell r="J283">
            <v>3</v>
          </cell>
          <cell r="K283">
            <v>20</v>
          </cell>
          <cell r="L283">
            <v>16</v>
          </cell>
          <cell r="M283">
            <v>0</v>
          </cell>
          <cell r="N283">
            <v>0</v>
          </cell>
          <cell r="O283">
            <v>1</v>
          </cell>
          <cell r="P283">
            <v>0</v>
          </cell>
          <cell r="Q283">
            <v>0</v>
          </cell>
          <cell r="R283">
            <v>0</v>
          </cell>
          <cell r="S283">
            <v>0</v>
          </cell>
          <cell r="T283">
            <v>1</v>
          </cell>
          <cell r="U283">
            <v>0</v>
          </cell>
          <cell r="V283">
            <v>0</v>
          </cell>
          <cell r="W283">
            <v>0</v>
          </cell>
          <cell r="X283">
            <v>0</v>
          </cell>
          <cell r="Y283">
            <v>0</v>
          </cell>
          <cell r="Z283">
            <v>0</v>
          </cell>
          <cell r="AA283">
            <v>6</v>
          </cell>
          <cell r="AB283">
            <v>0.05</v>
          </cell>
          <cell r="AC283">
            <v>0.8</v>
          </cell>
          <cell r="AD283">
            <v>18</v>
          </cell>
        </row>
        <row r="284">
          <cell r="A284">
            <v>29</v>
          </cell>
          <cell r="B284">
            <v>2</v>
          </cell>
          <cell r="C284">
            <v>3</v>
          </cell>
          <cell r="D284">
            <v>4554</v>
          </cell>
          <cell r="E284">
            <v>1</v>
          </cell>
          <cell r="F284">
            <v>18</v>
          </cell>
          <cell r="G284">
            <v>3</v>
          </cell>
          <cell r="H284">
            <v>0</v>
          </cell>
          <cell r="I284">
            <v>10</v>
          </cell>
          <cell r="J284">
            <v>3</v>
          </cell>
          <cell r="K284">
            <v>10</v>
          </cell>
          <cell r="L284">
            <v>7</v>
          </cell>
          <cell r="M284">
            <v>0</v>
          </cell>
          <cell r="N284">
            <v>0</v>
          </cell>
          <cell r="O284">
            <v>1</v>
          </cell>
          <cell r="P284">
            <v>0</v>
          </cell>
          <cell r="Q284">
            <v>0</v>
          </cell>
          <cell r="R284">
            <v>0</v>
          </cell>
          <cell r="S284">
            <v>0</v>
          </cell>
          <cell r="T284">
            <v>2</v>
          </cell>
          <cell r="U284">
            <v>0</v>
          </cell>
          <cell r="V284">
            <v>0</v>
          </cell>
          <cell r="W284">
            <v>0</v>
          </cell>
          <cell r="X284">
            <v>0</v>
          </cell>
          <cell r="Y284">
            <v>0</v>
          </cell>
          <cell r="Z284">
            <v>0</v>
          </cell>
          <cell r="AA284">
            <v>8</v>
          </cell>
          <cell r="AB284">
            <v>0.1</v>
          </cell>
          <cell r="AC284">
            <v>0.7</v>
          </cell>
          <cell r="AD284">
            <v>8</v>
          </cell>
        </row>
        <row r="285">
          <cell r="A285">
            <v>55</v>
          </cell>
          <cell r="B285">
            <v>2</v>
          </cell>
          <cell r="C285">
            <v>3</v>
          </cell>
          <cell r="D285">
            <v>5415</v>
          </cell>
          <cell r="E285">
            <v>3</v>
          </cell>
          <cell r="F285">
            <v>19</v>
          </cell>
          <cell r="G285">
            <v>3</v>
          </cell>
          <cell r="H285">
            <v>1</v>
          </cell>
          <cell r="I285">
            <v>12</v>
          </cell>
          <cell r="J285">
            <v>4</v>
          </cell>
          <cell r="K285">
            <v>10</v>
          </cell>
          <cell r="L285">
            <v>7</v>
          </cell>
          <cell r="M285">
            <v>1</v>
          </cell>
          <cell r="N285">
            <v>0</v>
          </cell>
          <cell r="O285">
            <v>0</v>
          </cell>
          <cell r="P285">
            <v>0</v>
          </cell>
          <cell r="Q285">
            <v>0</v>
          </cell>
          <cell r="R285">
            <v>0</v>
          </cell>
          <cell r="S285">
            <v>1</v>
          </cell>
          <cell r="T285">
            <v>0</v>
          </cell>
          <cell r="U285">
            <v>0</v>
          </cell>
          <cell r="V285">
            <v>0</v>
          </cell>
          <cell r="W285">
            <v>0</v>
          </cell>
          <cell r="X285">
            <v>2</v>
          </cell>
          <cell r="Y285">
            <v>0</v>
          </cell>
          <cell r="Z285">
            <v>1</v>
          </cell>
          <cell r="AA285">
            <v>8</v>
          </cell>
          <cell r="AB285">
            <v>0.25</v>
          </cell>
          <cell r="AC285">
            <v>0.7</v>
          </cell>
          <cell r="AD285">
            <v>32</v>
          </cell>
        </row>
        <row r="286">
          <cell r="A286">
            <v>26</v>
          </cell>
          <cell r="B286">
            <v>2</v>
          </cell>
          <cell r="C286">
            <v>3</v>
          </cell>
          <cell r="D286">
            <v>4741</v>
          </cell>
          <cell r="E286">
            <v>1</v>
          </cell>
          <cell r="F286">
            <v>13</v>
          </cell>
          <cell r="G286">
            <v>3</v>
          </cell>
          <cell r="H286">
            <v>1</v>
          </cell>
          <cell r="I286">
            <v>5</v>
          </cell>
          <cell r="J286">
            <v>3</v>
          </cell>
          <cell r="K286">
            <v>5</v>
          </cell>
          <cell r="L286">
            <v>3</v>
          </cell>
          <cell r="M286">
            <v>1</v>
          </cell>
          <cell r="N286">
            <v>0</v>
          </cell>
          <cell r="O286">
            <v>0</v>
          </cell>
          <cell r="P286">
            <v>0</v>
          </cell>
          <cell r="Q286">
            <v>1</v>
          </cell>
          <cell r="R286">
            <v>0</v>
          </cell>
          <cell r="S286">
            <v>0</v>
          </cell>
          <cell r="T286">
            <v>0</v>
          </cell>
          <cell r="U286">
            <v>0</v>
          </cell>
          <cell r="V286">
            <v>2</v>
          </cell>
          <cell r="W286">
            <v>0</v>
          </cell>
          <cell r="X286">
            <v>0</v>
          </cell>
          <cell r="Y286">
            <v>1</v>
          </cell>
          <cell r="Z286">
            <v>1</v>
          </cell>
          <cell r="AA286">
            <v>1</v>
          </cell>
          <cell r="AB286">
            <v>0.2</v>
          </cell>
          <cell r="AC286">
            <v>0.6</v>
          </cell>
          <cell r="AD286">
            <v>3</v>
          </cell>
        </row>
        <row r="287">
          <cell r="A287">
            <v>37</v>
          </cell>
          <cell r="B287">
            <v>3</v>
          </cell>
          <cell r="C287">
            <v>3</v>
          </cell>
          <cell r="D287">
            <v>2115</v>
          </cell>
          <cell r="E287">
            <v>1</v>
          </cell>
          <cell r="F287">
            <v>12</v>
          </cell>
          <cell r="G287">
            <v>3</v>
          </cell>
          <cell r="H287">
            <v>0</v>
          </cell>
          <cell r="I287">
            <v>17</v>
          </cell>
          <cell r="J287">
            <v>3</v>
          </cell>
          <cell r="K287">
            <v>17</v>
          </cell>
          <cell r="L287">
            <v>12</v>
          </cell>
          <cell r="M287">
            <v>0</v>
          </cell>
          <cell r="N287">
            <v>1</v>
          </cell>
          <cell r="O287">
            <v>1</v>
          </cell>
          <cell r="P287">
            <v>0</v>
          </cell>
          <cell r="Q287">
            <v>0</v>
          </cell>
          <cell r="R287">
            <v>0</v>
          </cell>
          <cell r="S287">
            <v>0</v>
          </cell>
          <cell r="T287">
            <v>3</v>
          </cell>
          <cell r="U287">
            <v>0</v>
          </cell>
          <cell r="V287">
            <v>0</v>
          </cell>
          <cell r="W287">
            <v>0</v>
          </cell>
          <cell r="X287">
            <v>0</v>
          </cell>
          <cell r="Y287">
            <v>0</v>
          </cell>
          <cell r="Z287">
            <v>0</v>
          </cell>
          <cell r="AA287">
            <v>16</v>
          </cell>
          <cell r="AB287">
            <v>5.8823529411764705E-2</v>
          </cell>
          <cell r="AC287">
            <v>0.70588235294117652</v>
          </cell>
          <cell r="AD287">
            <v>32</v>
          </cell>
        </row>
        <row r="288">
          <cell r="A288">
            <v>44</v>
          </cell>
          <cell r="B288">
            <v>3</v>
          </cell>
          <cell r="C288">
            <v>3</v>
          </cell>
          <cell r="D288">
            <v>3161</v>
          </cell>
          <cell r="E288">
            <v>3</v>
          </cell>
          <cell r="F288">
            <v>22</v>
          </cell>
          <cell r="G288">
            <v>4</v>
          </cell>
          <cell r="H288">
            <v>1</v>
          </cell>
          <cell r="I288">
            <v>19</v>
          </cell>
          <cell r="J288">
            <v>0</v>
          </cell>
          <cell r="K288">
            <v>1</v>
          </cell>
          <cell r="L288">
            <v>0</v>
          </cell>
          <cell r="M288">
            <v>1</v>
          </cell>
          <cell r="N288">
            <v>0</v>
          </cell>
          <cell r="O288">
            <v>1</v>
          </cell>
          <cell r="P288">
            <v>0</v>
          </cell>
          <cell r="Q288">
            <v>0</v>
          </cell>
          <cell r="R288">
            <v>0</v>
          </cell>
          <cell r="S288">
            <v>0</v>
          </cell>
          <cell r="T288">
            <v>3</v>
          </cell>
          <cell r="U288">
            <v>0</v>
          </cell>
          <cell r="V288">
            <v>0</v>
          </cell>
          <cell r="W288">
            <v>0</v>
          </cell>
          <cell r="X288">
            <v>0</v>
          </cell>
          <cell r="Y288">
            <v>0</v>
          </cell>
          <cell r="Z288">
            <v>0</v>
          </cell>
          <cell r="AA288">
            <v>12</v>
          </cell>
          <cell r="AB288">
            <v>0.15789473684210525</v>
          </cell>
          <cell r="AC288">
            <v>0</v>
          </cell>
          <cell r="AD288">
            <v>48</v>
          </cell>
        </row>
        <row r="289">
          <cell r="A289">
            <v>38</v>
          </cell>
          <cell r="B289">
            <v>4</v>
          </cell>
          <cell r="C289">
            <v>3</v>
          </cell>
          <cell r="D289">
            <v>5745</v>
          </cell>
          <cell r="E289">
            <v>9</v>
          </cell>
          <cell r="F289">
            <v>14</v>
          </cell>
          <cell r="G289">
            <v>3</v>
          </cell>
          <cell r="H289">
            <v>1</v>
          </cell>
          <cell r="I289">
            <v>10</v>
          </cell>
          <cell r="J289">
            <v>2</v>
          </cell>
          <cell r="K289">
            <v>2</v>
          </cell>
          <cell r="L289">
            <v>2</v>
          </cell>
          <cell r="M289">
            <v>0</v>
          </cell>
          <cell r="N289">
            <v>0</v>
          </cell>
          <cell r="O289">
            <v>1</v>
          </cell>
          <cell r="P289">
            <v>0</v>
          </cell>
          <cell r="Q289">
            <v>0</v>
          </cell>
          <cell r="R289">
            <v>0</v>
          </cell>
          <cell r="S289">
            <v>0</v>
          </cell>
          <cell r="T289">
            <v>4</v>
          </cell>
          <cell r="U289">
            <v>0</v>
          </cell>
          <cell r="V289">
            <v>0</v>
          </cell>
          <cell r="W289">
            <v>0</v>
          </cell>
          <cell r="X289">
            <v>0</v>
          </cell>
          <cell r="Y289">
            <v>0</v>
          </cell>
          <cell r="Z289">
            <v>0</v>
          </cell>
          <cell r="AA289">
            <v>16</v>
          </cell>
          <cell r="AB289">
            <v>0.9</v>
          </cell>
          <cell r="AC289">
            <v>1</v>
          </cell>
          <cell r="AD289">
            <v>32</v>
          </cell>
        </row>
        <row r="290">
          <cell r="A290">
            <v>26</v>
          </cell>
          <cell r="B290">
            <v>4</v>
          </cell>
          <cell r="C290">
            <v>3</v>
          </cell>
          <cell r="D290">
            <v>2373</v>
          </cell>
          <cell r="E290">
            <v>2</v>
          </cell>
          <cell r="F290">
            <v>13</v>
          </cell>
          <cell r="G290">
            <v>3</v>
          </cell>
          <cell r="H290">
            <v>1</v>
          </cell>
          <cell r="I290">
            <v>5</v>
          </cell>
          <cell r="J290">
            <v>2</v>
          </cell>
          <cell r="K290">
            <v>3</v>
          </cell>
          <cell r="L290">
            <v>2</v>
          </cell>
          <cell r="M290">
            <v>1</v>
          </cell>
          <cell r="N290">
            <v>0</v>
          </cell>
          <cell r="O290">
            <v>0</v>
          </cell>
          <cell r="P290">
            <v>0</v>
          </cell>
          <cell r="Q290">
            <v>1</v>
          </cell>
          <cell r="R290">
            <v>0</v>
          </cell>
          <cell r="S290">
            <v>0</v>
          </cell>
          <cell r="T290">
            <v>0</v>
          </cell>
          <cell r="U290">
            <v>0</v>
          </cell>
          <cell r="V290">
            <v>4</v>
          </cell>
          <cell r="W290">
            <v>0</v>
          </cell>
          <cell r="X290">
            <v>0</v>
          </cell>
          <cell r="Y290">
            <v>0</v>
          </cell>
          <cell r="Z290">
            <v>0</v>
          </cell>
          <cell r="AA290">
            <v>2</v>
          </cell>
          <cell r="AB290">
            <v>0.4</v>
          </cell>
          <cell r="AC290">
            <v>0.66666666666666663</v>
          </cell>
          <cell r="AD290">
            <v>8</v>
          </cell>
        </row>
        <row r="291">
          <cell r="A291">
            <v>28</v>
          </cell>
          <cell r="B291">
            <v>2</v>
          </cell>
          <cell r="C291">
            <v>3</v>
          </cell>
          <cell r="D291">
            <v>3310</v>
          </cell>
          <cell r="E291">
            <v>1</v>
          </cell>
          <cell r="F291">
            <v>21</v>
          </cell>
          <cell r="G291">
            <v>4</v>
          </cell>
          <cell r="H291">
            <v>0</v>
          </cell>
          <cell r="I291">
            <v>5</v>
          </cell>
          <cell r="J291">
            <v>3</v>
          </cell>
          <cell r="K291">
            <v>5</v>
          </cell>
          <cell r="L291">
            <v>3</v>
          </cell>
          <cell r="M291">
            <v>0</v>
          </cell>
          <cell r="N291">
            <v>1</v>
          </cell>
          <cell r="O291">
            <v>1</v>
          </cell>
          <cell r="P291">
            <v>0</v>
          </cell>
          <cell r="Q291">
            <v>0</v>
          </cell>
          <cell r="R291">
            <v>0</v>
          </cell>
          <cell r="S291">
            <v>0</v>
          </cell>
          <cell r="T291">
            <v>2</v>
          </cell>
          <cell r="U291">
            <v>0</v>
          </cell>
          <cell r="V291">
            <v>0</v>
          </cell>
          <cell r="W291">
            <v>0</v>
          </cell>
          <cell r="X291">
            <v>0</v>
          </cell>
          <cell r="Y291">
            <v>0</v>
          </cell>
          <cell r="Z291">
            <v>0</v>
          </cell>
          <cell r="AA291">
            <v>16</v>
          </cell>
          <cell r="AB291">
            <v>0.2</v>
          </cell>
          <cell r="AC291">
            <v>0.6</v>
          </cell>
          <cell r="AD291">
            <v>64</v>
          </cell>
        </row>
        <row r="292">
          <cell r="A292">
            <v>49</v>
          </cell>
          <cell r="B292">
            <v>4</v>
          </cell>
          <cell r="C292">
            <v>3</v>
          </cell>
          <cell r="D292">
            <v>18665</v>
          </cell>
          <cell r="E292">
            <v>9</v>
          </cell>
          <cell r="F292">
            <v>11</v>
          </cell>
          <cell r="G292">
            <v>3</v>
          </cell>
          <cell r="H292">
            <v>0</v>
          </cell>
          <cell r="I292">
            <v>22</v>
          </cell>
          <cell r="J292">
            <v>4</v>
          </cell>
          <cell r="K292">
            <v>3</v>
          </cell>
          <cell r="L292">
            <v>2</v>
          </cell>
          <cell r="M292">
            <v>1</v>
          </cell>
          <cell r="N292">
            <v>1</v>
          </cell>
          <cell r="O292">
            <v>1</v>
          </cell>
          <cell r="P292">
            <v>0</v>
          </cell>
          <cell r="Q292">
            <v>0</v>
          </cell>
          <cell r="R292">
            <v>0</v>
          </cell>
          <cell r="S292">
            <v>0</v>
          </cell>
          <cell r="T292">
            <v>4</v>
          </cell>
          <cell r="U292">
            <v>0</v>
          </cell>
          <cell r="V292">
            <v>0</v>
          </cell>
          <cell r="W292">
            <v>0</v>
          </cell>
          <cell r="X292">
            <v>0</v>
          </cell>
          <cell r="Y292">
            <v>0</v>
          </cell>
          <cell r="Z292">
            <v>0</v>
          </cell>
          <cell r="AA292">
            <v>3</v>
          </cell>
          <cell r="AB292">
            <v>0.40909090909090912</v>
          </cell>
          <cell r="AC292">
            <v>0.66666666666666663</v>
          </cell>
          <cell r="AD292">
            <v>12</v>
          </cell>
        </row>
        <row r="293">
          <cell r="A293">
            <v>36</v>
          </cell>
          <cell r="B293">
            <v>3</v>
          </cell>
          <cell r="C293">
            <v>3</v>
          </cell>
          <cell r="D293">
            <v>4485</v>
          </cell>
          <cell r="E293">
            <v>4</v>
          </cell>
          <cell r="F293">
            <v>12</v>
          </cell>
          <cell r="G293">
            <v>3</v>
          </cell>
          <cell r="H293">
            <v>0</v>
          </cell>
          <cell r="I293">
            <v>10</v>
          </cell>
          <cell r="J293">
            <v>2</v>
          </cell>
          <cell r="K293">
            <v>8</v>
          </cell>
          <cell r="L293">
            <v>0</v>
          </cell>
          <cell r="M293">
            <v>0</v>
          </cell>
          <cell r="N293">
            <v>0</v>
          </cell>
          <cell r="O293">
            <v>0</v>
          </cell>
          <cell r="P293">
            <v>0</v>
          </cell>
          <cell r="Q293">
            <v>0</v>
          </cell>
          <cell r="R293">
            <v>0</v>
          </cell>
          <cell r="S293">
            <v>1</v>
          </cell>
          <cell r="T293">
            <v>0</v>
          </cell>
          <cell r="U293">
            <v>0</v>
          </cell>
          <cell r="V293">
            <v>0</v>
          </cell>
          <cell r="W293">
            <v>0</v>
          </cell>
          <cell r="X293">
            <v>3</v>
          </cell>
          <cell r="Y293">
            <v>0</v>
          </cell>
          <cell r="Z293">
            <v>0</v>
          </cell>
          <cell r="AA293">
            <v>6</v>
          </cell>
          <cell r="AB293">
            <v>0.4</v>
          </cell>
          <cell r="AC293">
            <v>0</v>
          </cell>
          <cell r="AD293">
            <v>24</v>
          </cell>
        </row>
        <row r="294">
          <cell r="A294">
            <v>31</v>
          </cell>
          <cell r="B294">
            <v>3</v>
          </cell>
          <cell r="C294">
            <v>3</v>
          </cell>
          <cell r="D294">
            <v>2789</v>
          </cell>
          <cell r="E294">
            <v>1</v>
          </cell>
          <cell r="F294">
            <v>11</v>
          </cell>
          <cell r="G294">
            <v>3</v>
          </cell>
          <cell r="H294">
            <v>1</v>
          </cell>
          <cell r="I294">
            <v>2</v>
          </cell>
          <cell r="J294">
            <v>5</v>
          </cell>
          <cell r="K294">
            <v>2</v>
          </cell>
          <cell r="L294">
            <v>2</v>
          </cell>
          <cell r="M294">
            <v>0</v>
          </cell>
          <cell r="N294">
            <v>1</v>
          </cell>
          <cell r="O294">
            <v>0</v>
          </cell>
          <cell r="P294">
            <v>1</v>
          </cell>
          <cell r="Q294">
            <v>0</v>
          </cell>
          <cell r="R294">
            <v>0</v>
          </cell>
          <cell r="S294">
            <v>0</v>
          </cell>
          <cell r="T294">
            <v>0</v>
          </cell>
          <cell r="U294">
            <v>3</v>
          </cell>
          <cell r="V294">
            <v>0</v>
          </cell>
          <cell r="W294">
            <v>0</v>
          </cell>
          <cell r="X294">
            <v>0</v>
          </cell>
          <cell r="Y294">
            <v>0</v>
          </cell>
          <cell r="Z294">
            <v>0</v>
          </cell>
          <cell r="AA294">
            <v>8</v>
          </cell>
          <cell r="AB294">
            <v>0.5</v>
          </cell>
          <cell r="AC294">
            <v>1</v>
          </cell>
          <cell r="AD294">
            <v>24</v>
          </cell>
        </row>
        <row r="295">
          <cell r="A295">
            <v>26</v>
          </cell>
          <cell r="B295">
            <v>4</v>
          </cell>
          <cell r="C295">
            <v>2</v>
          </cell>
          <cell r="D295">
            <v>5828</v>
          </cell>
          <cell r="E295">
            <v>1</v>
          </cell>
          <cell r="F295">
            <v>12</v>
          </cell>
          <cell r="G295">
            <v>3</v>
          </cell>
          <cell r="H295">
            <v>0</v>
          </cell>
          <cell r="I295">
            <v>8</v>
          </cell>
          <cell r="J295">
            <v>0</v>
          </cell>
          <cell r="K295">
            <v>8</v>
          </cell>
          <cell r="L295">
            <v>7</v>
          </cell>
          <cell r="M295">
            <v>1</v>
          </cell>
          <cell r="N295">
            <v>0</v>
          </cell>
          <cell r="O295">
            <v>0</v>
          </cell>
          <cell r="P295">
            <v>1</v>
          </cell>
          <cell r="Q295">
            <v>0</v>
          </cell>
          <cell r="R295">
            <v>0</v>
          </cell>
          <cell r="S295">
            <v>0</v>
          </cell>
          <cell r="T295">
            <v>0</v>
          </cell>
          <cell r="U295">
            <v>4</v>
          </cell>
          <cell r="V295">
            <v>0</v>
          </cell>
          <cell r="W295">
            <v>0</v>
          </cell>
          <cell r="X295">
            <v>0</v>
          </cell>
          <cell r="Y295">
            <v>0</v>
          </cell>
          <cell r="Z295">
            <v>0</v>
          </cell>
          <cell r="AA295">
            <v>16</v>
          </cell>
          <cell r="AB295">
            <v>0.125</v>
          </cell>
          <cell r="AC295">
            <v>0.875</v>
          </cell>
          <cell r="AD295">
            <v>32</v>
          </cell>
        </row>
        <row r="296">
          <cell r="A296">
            <v>37</v>
          </cell>
          <cell r="B296">
            <v>3</v>
          </cell>
          <cell r="C296">
            <v>3</v>
          </cell>
          <cell r="D296">
            <v>2326</v>
          </cell>
          <cell r="E296">
            <v>1</v>
          </cell>
          <cell r="F296">
            <v>12</v>
          </cell>
          <cell r="G296">
            <v>3</v>
          </cell>
          <cell r="H296">
            <v>3</v>
          </cell>
          <cell r="I296">
            <v>4</v>
          </cell>
          <cell r="J296">
            <v>3</v>
          </cell>
          <cell r="K296">
            <v>4</v>
          </cell>
          <cell r="L296">
            <v>2</v>
          </cell>
          <cell r="M296">
            <v>1</v>
          </cell>
          <cell r="N296">
            <v>0</v>
          </cell>
          <cell r="O296">
            <v>0</v>
          </cell>
          <cell r="P296">
            <v>0</v>
          </cell>
          <cell r="Q296">
            <v>1</v>
          </cell>
          <cell r="R296">
            <v>0</v>
          </cell>
          <cell r="S296">
            <v>0</v>
          </cell>
          <cell r="T296">
            <v>0</v>
          </cell>
          <cell r="U296">
            <v>0</v>
          </cell>
          <cell r="V296">
            <v>3</v>
          </cell>
          <cell r="W296">
            <v>0</v>
          </cell>
          <cell r="X296">
            <v>0</v>
          </cell>
          <cell r="Y296">
            <v>1</v>
          </cell>
          <cell r="Z296">
            <v>1</v>
          </cell>
          <cell r="AA296">
            <v>8</v>
          </cell>
          <cell r="AB296">
            <v>0.25</v>
          </cell>
          <cell r="AC296">
            <v>0.5</v>
          </cell>
          <cell r="AD296">
            <v>24</v>
          </cell>
        </row>
        <row r="297">
          <cell r="A297">
            <v>42</v>
          </cell>
          <cell r="B297">
            <v>3</v>
          </cell>
          <cell r="C297">
            <v>3</v>
          </cell>
          <cell r="D297">
            <v>13525</v>
          </cell>
          <cell r="E297">
            <v>5</v>
          </cell>
          <cell r="F297">
            <v>14</v>
          </cell>
          <cell r="G297">
            <v>3</v>
          </cell>
          <cell r="H297">
            <v>1</v>
          </cell>
          <cell r="I297">
            <v>23</v>
          </cell>
          <cell r="J297">
            <v>2</v>
          </cell>
          <cell r="K297">
            <v>20</v>
          </cell>
          <cell r="L297">
            <v>4</v>
          </cell>
          <cell r="M297">
            <v>0</v>
          </cell>
          <cell r="N297">
            <v>1</v>
          </cell>
          <cell r="O297">
            <v>0</v>
          </cell>
          <cell r="P297">
            <v>1</v>
          </cell>
          <cell r="Q297">
            <v>0</v>
          </cell>
          <cell r="R297">
            <v>0</v>
          </cell>
          <cell r="S297">
            <v>0</v>
          </cell>
          <cell r="T297">
            <v>0</v>
          </cell>
          <cell r="U297">
            <v>3</v>
          </cell>
          <cell r="V297">
            <v>0</v>
          </cell>
          <cell r="W297">
            <v>0</v>
          </cell>
          <cell r="X297">
            <v>0</v>
          </cell>
          <cell r="Y297">
            <v>1</v>
          </cell>
          <cell r="Z297">
            <v>0</v>
          </cell>
          <cell r="AA297">
            <v>6</v>
          </cell>
          <cell r="AB297">
            <v>0.21739130434782608</v>
          </cell>
          <cell r="AC297">
            <v>0.2</v>
          </cell>
          <cell r="AD297">
            <v>24</v>
          </cell>
        </row>
        <row r="298">
          <cell r="A298">
            <v>18</v>
          </cell>
          <cell r="B298">
            <v>3</v>
          </cell>
          <cell r="C298">
            <v>3</v>
          </cell>
          <cell r="D298">
            <v>1420</v>
          </cell>
          <cell r="E298">
            <v>1</v>
          </cell>
          <cell r="F298">
            <v>13</v>
          </cell>
          <cell r="G298">
            <v>3</v>
          </cell>
          <cell r="H298">
            <v>0</v>
          </cell>
          <cell r="I298">
            <v>0</v>
          </cell>
          <cell r="J298">
            <v>2</v>
          </cell>
          <cell r="K298">
            <v>0</v>
          </cell>
          <cell r="L298">
            <v>0</v>
          </cell>
          <cell r="M298">
            <v>0</v>
          </cell>
          <cell r="N298">
            <v>0</v>
          </cell>
          <cell r="O298">
            <v>1</v>
          </cell>
          <cell r="P298">
            <v>0</v>
          </cell>
          <cell r="Q298">
            <v>0</v>
          </cell>
          <cell r="R298">
            <v>0</v>
          </cell>
          <cell r="S298">
            <v>0</v>
          </cell>
          <cell r="T298">
            <v>3</v>
          </cell>
          <cell r="U298">
            <v>0</v>
          </cell>
          <cell r="V298">
            <v>0</v>
          </cell>
          <cell r="W298">
            <v>0</v>
          </cell>
          <cell r="X298">
            <v>0</v>
          </cell>
          <cell r="Y298">
            <v>0</v>
          </cell>
          <cell r="Z298">
            <v>0</v>
          </cell>
          <cell r="AA298">
            <v>9</v>
          </cell>
          <cell r="AB298">
            <v>0</v>
          </cell>
          <cell r="AC298">
            <v>0</v>
          </cell>
          <cell r="AD298">
            <v>27</v>
          </cell>
        </row>
        <row r="299">
          <cell r="A299">
            <v>35</v>
          </cell>
          <cell r="B299">
            <v>3</v>
          </cell>
          <cell r="C299">
            <v>3</v>
          </cell>
          <cell r="D299">
            <v>8020</v>
          </cell>
          <cell r="E299">
            <v>0</v>
          </cell>
          <cell r="F299">
            <v>15</v>
          </cell>
          <cell r="G299">
            <v>3</v>
          </cell>
          <cell r="H299">
            <v>2</v>
          </cell>
          <cell r="I299">
            <v>12</v>
          </cell>
          <cell r="J299">
            <v>3</v>
          </cell>
          <cell r="K299">
            <v>11</v>
          </cell>
          <cell r="L299">
            <v>9</v>
          </cell>
          <cell r="M299">
            <v>0</v>
          </cell>
          <cell r="N299">
            <v>0</v>
          </cell>
          <cell r="O299">
            <v>0</v>
          </cell>
          <cell r="P299">
            <v>1</v>
          </cell>
          <cell r="Q299">
            <v>0</v>
          </cell>
          <cell r="R299">
            <v>0</v>
          </cell>
          <cell r="S299">
            <v>0</v>
          </cell>
          <cell r="T299">
            <v>0</v>
          </cell>
          <cell r="U299">
            <v>3</v>
          </cell>
          <cell r="V299">
            <v>0</v>
          </cell>
          <cell r="W299">
            <v>0</v>
          </cell>
          <cell r="X299">
            <v>0</v>
          </cell>
          <cell r="Y299">
            <v>0</v>
          </cell>
          <cell r="Z299">
            <v>0</v>
          </cell>
          <cell r="AA299">
            <v>6</v>
          </cell>
          <cell r="AB299">
            <v>0</v>
          </cell>
          <cell r="AC299">
            <v>0.81818181818181823</v>
          </cell>
          <cell r="AD299">
            <v>18</v>
          </cell>
        </row>
        <row r="300">
          <cell r="A300">
            <v>36</v>
          </cell>
          <cell r="B300">
            <v>4</v>
          </cell>
          <cell r="C300">
            <v>4</v>
          </cell>
          <cell r="D300">
            <v>3688</v>
          </cell>
          <cell r="E300">
            <v>4</v>
          </cell>
          <cell r="F300">
            <v>18</v>
          </cell>
          <cell r="G300">
            <v>3</v>
          </cell>
          <cell r="H300">
            <v>2</v>
          </cell>
          <cell r="I300">
            <v>4</v>
          </cell>
          <cell r="J300">
            <v>2</v>
          </cell>
          <cell r="K300">
            <v>1</v>
          </cell>
          <cell r="L300">
            <v>0</v>
          </cell>
          <cell r="M300">
            <v>0</v>
          </cell>
          <cell r="N300">
            <v>0</v>
          </cell>
          <cell r="O300">
            <v>1</v>
          </cell>
          <cell r="P300">
            <v>0</v>
          </cell>
          <cell r="Q300">
            <v>0</v>
          </cell>
          <cell r="R300">
            <v>0</v>
          </cell>
          <cell r="S300">
            <v>0</v>
          </cell>
          <cell r="T300">
            <v>4</v>
          </cell>
          <cell r="U300">
            <v>0</v>
          </cell>
          <cell r="V300">
            <v>0</v>
          </cell>
          <cell r="W300">
            <v>0</v>
          </cell>
          <cell r="X300">
            <v>0</v>
          </cell>
          <cell r="Y300">
            <v>1</v>
          </cell>
          <cell r="Z300">
            <v>0</v>
          </cell>
          <cell r="AA300">
            <v>12</v>
          </cell>
          <cell r="AB300">
            <v>1</v>
          </cell>
          <cell r="AC300">
            <v>0</v>
          </cell>
          <cell r="AD300">
            <v>48</v>
          </cell>
        </row>
        <row r="301">
          <cell r="A301">
            <v>51</v>
          </cell>
          <cell r="B301">
            <v>3</v>
          </cell>
          <cell r="C301">
            <v>1</v>
          </cell>
          <cell r="D301">
            <v>5482</v>
          </cell>
          <cell r="E301">
            <v>5</v>
          </cell>
          <cell r="F301">
            <v>18</v>
          </cell>
          <cell r="G301">
            <v>3</v>
          </cell>
          <cell r="H301">
            <v>1</v>
          </cell>
          <cell r="I301">
            <v>13</v>
          </cell>
          <cell r="J301">
            <v>3</v>
          </cell>
          <cell r="K301">
            <v>4</v>
          </cell>
          <cell r="L301">
            <v>1</v>
          </cell>
          <cell r="M301">
            <v>0</v>
          </cell>
          <cell r="N301">
            <v>0</v>
          </cell>
          <cell r="O301">
            <v>0</v>
          </cell>
          <cell r="P301">
            <v>0</v>
          </cell>
          <cell r="Q301">
            <v>1</v>
          </cell>
          <cell r="R301">
            <v>0</v>
          </cell>
          <cell r="S301">
            <v>0</v>
          </cell>
          <cell r="T301">
            <v>0</v>
          </cell>
          <cell r="U301">
            <v>0</v>
          </cell>
          <cell r="V301">
            <v>3</v>
          </cell>
          <cell r="W301">
            <v>0</v>
          </cell>
          <cell r="X301">
            <v>0</v>
          </cell>
          <cell r="Y301">
            <v>0</v>
          </cell>
          <cell r="Z301">
            <v>0</v>
          </cell>
          <cell r="AA301">
            <v>8</v>
          </cell>
          <cell r="AB301">
            <v>0.38461538461538464</v>
          </cell>
          <cell r="AC301">
            <v>0.25</v>
          </cell>
          <cell r="AD301">
            <v>32</v>
          </cell>
        </row>
        <row r="302">
          <cell r="A302">
            <v>41</v>
          </cell>
          <cell r="B302">
            <v>4</v>
          </cell>
          <cell r="C302">
            <v>3</v>
          </cell>
          <cell r="D302">
            <v>16015</v>
          </cell>
          <cell r="E302">
            <v>1</v>
          </cell>
          <cell r="F302">
            <v>19</v>
          </cell>
          <cell r="G302">
            <v>3</v>
          </cell>
          <cell r="H302">
            <v>0</v>
          </cell>
          <cell r="I302">
            <v>22</v>
          </cell>
          <cell r="J302">
            <v>2</v>
          </cell>
          <cell r="K302">
            <v>22</v>
          </cell>
          <cell r="L302">
            <v>10</v>
          </cell>
          <cell r="M302">
            <v>0</v>
          </cell>
          <cell r="N302">
            <v>0</v>
          </cell>
          <cell r="O302">
            <v>1</v>
          </cell>
          <cell r="P302">
            <v>0</v>
          </cell>
          <cell r="Q302">
            <v>0</v>
          </cell>
          <cell r="R302">
            <v>0</v>
          </cell>
          <cell r="S302">
            <v>0</v>
          </cell>
          <cell r="T302">
            <v>4</v>
          </cell>
          <cell r="U302">
            <v>0</v>
          </cell>
          <cell r="V302">
            <v>0</v>
          </cell>
          <cell r="W302">
            <v>0</v>
          </cell>
          <cell r="X302">
            <v>0</v>
          </cell>
          <cell r="Y302">
            <v>0</v>
          </cell>
          <cell r="Z302">
            <v>0</v>
          </cell>
          <cell r="AA302">
            <v>8</v>
          </cell>
          <cell r="AB302">
            <v>4.5454545454545456E-2</v>
          </cell>
          <cell r="AC302">
            <v>0.45454545454545453</v>
          </cell>
          <cell r="AD302">
            <v>16</v>
          </cell>
        </row>
        <row r="303">
          <cell r="A303">
            <v>18</v>
          </cell>
          <cell r="B303">
            <v>3</v>
          </cell>
          <cell r="C303">
            <v>2</v>
          </cell>
          <cell r="D303">
            <v>1200</v>
          </cell>
          <cell r="E303">
            <v>1</v>
          </cell>
          <cell r="F303">
            <v>12</v>
          </cell>
          <cell r="G303">
            <v>3</v>
          </cell>
          <cell r="H303">
            <v>0</v>
          </cell>
          <cell r="I303">
            <v>0</v>
          </cell>
          <cell r="J303">
            <v>2</v>
          </cell>
          <cell r="K303">
            <v>0</v>
          </cell>
          <cell r="L303">
            <v>0</v>
          </cell>
          <cell r="M303">
            <v>0</v>
          </cell>
          <cell r="N303">
            <v>1</v>
          </cell>
          <cell r="O303">
            <v>0</v>
          </cell>
          <cell r="P303">
            <v>0</v>
          </cell>
          <cell r="Q303">
            <v>1</v>
          </cell>
          <cell r="R303">
            <v>0</v>
          </cell>
          <cell r="S303">
            <v>0</v>
          </cell>
          <cell r="T303">
            <v>0</v>
          </cell>
          <cell r="U303">
            <v>0</v>
          </cell>
          <cell r="V303">
            <v>3</v>
          </cell>
          <cell r="W303">
            <v>0</v>
          </cell>
          <cell r="X303">
            <v>0</v>
          </cell>
          <cell r="Y303">
            <v>0</v>
          </cell>
          <cell r="Z303">
            <v>0</v>
          </cell>
          <cell r="AA303">
            <v>12</v>
          </cell>
          <cell r="AB303">
            <v>0</v>
          </cell>
          <cell r="AC303">
            <v>0</v>
          </cell>
          <cell r="AD303">
            <v>12</v>
          </cell>
        </row>
        <row r="304">
          <cell r="A304">
            <v>28</v>
          </cell>
          <cell r="B304">
            <v>2</v>
          </cell>
          <cell r="C304">
            <v>4</v>
          </cell>
          <cell r="D304">
            <v>5661</v>
          </cell>
          <cell r="E304">
            <v>0</v>
          </cell>
          <cell r="F304">
            <v>19</v>
          </cell>
          <cell r="G304">
            <v>3</v>
          </cell>
          <cell r="H304">
            <v>0</v>
          </cell>
          <cell r="I304">
            <v>9</v>
          </cell>
          <cell r="J304">
            <v>2</v>
          </cell>
          <cell r="K304">
            <v>8</v>
          </cell>
          <cell r="L304">
            <v>3</v>
          </cell>
          <cell r="M304">
            <v>0</v>
          </cell>
          <cell r="N304">
            <v>0</v>
          </cell>
          <cell r="O304">
            <v>0</v>
          </cell>
          <cell r="P304">
            <v>0</v>
          </cell>
          <cell r="Q304">
            <v>1</v>
          </cell>
          <cell r="R304">
            <v>0</v>
          </cell>
          <cell r="S304">
            <v>0</v>
          </cell>
          <cell r="T304">
            <v>0</v>
          </cell>
          <cell r="U304">
            <v>0</v>
          </cell>
          <cell r="V304">
            <v>2</v>
          </cell>
          <cell r="W304">
            <v>0</v>
          </cell>
          <cell r="X304">
            <v>0</v>
          </cell>
          <cell r="Y304">
            <v>0</v>
          </cell>
          <cell r="Z304">
            <v>0</v>
          </cell>
          <cell r="AA304">
            <v>2</v>
          </cell>
          <cell r="AB304">
            <v>0</v>
          </cell>
          <cell r="AC304">
            <v>0.375</v>
          </cell>
          <cell r="AD304">
            <v>6</v>
          </cell>
        </row>
        <row r="305">
          <cell r="A305">
            <v>31</v>
          </cell>
          <cell r="B305">
            <v>3</v>
          </cell>
          <cell r="C305">
            <v>4</v>
          </cell>
          <cell r="D305">
            <v>6929</v>
          </cell>
          <cell r="E305">
            <v>4</v>
          </cell>
          <cell r="F305">
            <v>11</v>
          </cell>
          <cell r="G305">
            <v>3</v>
          </cell>
          <cell r="H305">
            <v>1</v>
          </cell>
          <cell r="I305">
            <v>10</v>
          </cell>
          <cell r="J305">
            <v>3</v>
          </cell>
          <cell r="K305">
            <v>8</v>
          </cell>
          <cell r="L305">
            <v>7</v>
          </cell>
          <cell r="M305">
            <v>0</v>
          </cell>
          <cell r="N305">
            <v>0</v>
          </cell>
          <cell r="O305">
            <v>0</v>
          </cell>
          <cell r="P305">
            <v>0</v>
          </cell>
          <cell r="Q305">
            <v>0</v>
          </cell>
          <cell r="R305">
            <v>0</v>
          </cell>
          <cell r="S305">
            <v>1</v>
          </cell>
          <cell r="T305">
            <v>0</v>
          </cell>
          <cell r="U305">
            <v>0</v>
          </cell>
          <cell r="V305">
            <v>0</v>
          </cell>
          <cell r="W305">
            <v>0</v>
          </cell>
          <cell r="X305">
            <v>3</v>
          </cell>
          <cell r="Y305">
            <v>0</v>
          </cell>
          <cell r="Z305">
            <v>0</v>
          </cell>
          <cell r="AA305">
            <v>8</v>
          </cell>
          <cell r="AB305">
            <v>0.4</v>
          </cell>
          <cell r="AC305">
            <v>0.875</v>
          </cell>
          <cell r="AD305">
            <v>16</v>
          </cell>
        </row>
        <row r="306">
          <cell r="A306">
            <v>39</v>
          </cell>
          <cell r="B306">
            <v>3</v>
          </cell>
          <cell r="C306">
            <v>4</v>
          </cell>
          <cell r="D306">
            <v>9613</v>
          </cell>
          <cell r="E306">
            <v>0</v>
          </cell>
          <cell r="F306">
            <v>17</v>
          </cell>
          <cell r="G306">
            <v>3</v>
          </cell>
          <cell r="H306">
            <v>3</v>
          </cell>
          <cell r="I306">
            <v>19</v>
          </cell>
          <cell r="J306">
            <v>5</v>
          </cell>
          <cell r="K306">
            <v>18</v>
          </cell>
          <cell r="L306">
            <v>10</v>
          </cell>
          <cell r="M306">
            <v>0</v>
          </cell>
          <cell r="N306">
            <v>0</v>
          </cell>
          <cell r="O306">
            <v>0</v>
          </cell>
          <cell r="P306">
            <v>0</v>
          </cell>
          <cell r="Q306">
            <v>1</v>
          </cell>
          <cell r="R306">
            <v>0</v>
          </cell>
          <cell r="S306">
            <v>0</v>
          </cell>
          <cell r="T306">
            <v>0</v>
          </cell>
          <cell r="U306">
            <v>0</v>
          </cell>
          <cell r="V306">
            <v>3</v>
          </cell>
          <cell r="W306">
            <v>0</v>
          </cell>
          <cell r="X306">
            <v>0</v>
          </cell>
          <cell r="Y306">
            <v>0</v>
          </cell>
          <cell r="Z306">
            <v>0</v>
          </cell>
          <cell r="AA306">
            <v>12</v>
          </cell>
          <cell r="AB306">
            <v>0</v>
          </cell>
          <cell r="AC306">
            <v>0.55555555555555558</v>
          </cell>
          <cell r="AD306">
            <v>12</v>
          </cell>
        </row>
        <row r="307">
          <cell r="A307">
            <v>36</v>
          </cell>
          <cell r="B307">
            <v>4</v>
          </cell>
          <cell r="C307">
            <v>3</v>
          </cell>
          <cell r="D307">
            <v>5674</v>
          </cell>
          <cell r="E307">
            <v>7</v>
          </cell>
          <cell r="F307">
            <v>15</v>
          </cell>
          <cell r="G307">
            <v>3</v>
          </cell>
          <cell r="H307">
            <v>1</v>
          </cell>
          <cell r="I307">
            <v>11</v>
          </cell>
          <cell r="J307">
            <v>3</v>
          </cell>
          <cell r="K307">
            <v>9</v>
          </cell>
          <cell r="L307">
            <v>8</v>
          </cell>
          <cell r="M307">
            <v>0</v>
          </cell>
          <cell r="N307">
            <v>1</v>
          </cell>
          <cell r="O307">
            <v>1</v>
          </cell>
          <cell r="P307">
            <v>0</v>
          </cell>
          <cell r="Q307">
            <v>0</v>
          </cell>
          <cell r="R307">
            <v>0</v>
          </cell>
          <cell r="S307">
            <v>0</v>
          </cell>
          <cell r="T307">
            <v>4</v>
          </cell>
          <cell r="U307">
            <v>0</v>
          </cell>
          <cell r="V307">
            <v>0</v>
          </cell>
          <cell r="W307">
            <v>0</v>
          </cell>
          <cell r="X307">
            <v>0</v>
          </cell>
          <cell r="Y307">
            <v>0</v>
          </cell>
          <cell r="Z307">
            <v>0</v>
          </cell>
          <cell r="AA307">
            <v>4</v>
          </cell>
          <cell r="AB307">
            <v>0.63636363636363635</v>
          </cell>
          <cell r="AC307">
            <v>0.88888888888888884</v>
          </cell>
          <cell r="AD307">
            <v>12</v>
          </cell>
        </row>
        <row r="308">
          <cell r="A308">
            <v>32</v>
          </cell>
          <cell r="B308">
            <v>3</v>
          </cell>
          <cell r="C308">
            <v>2</v>
          </cell>
          <cell r="D308">
            <v>5484</v>
          </cell>
          <cell r="E308">
            <v>1</v>
          </cell>
          <cell r="F308">
            <v>14</v>
          </cell>
          <cell r="G308">
            <v>3</v>
          </cell>
          <cell r="H308">
            <v>1</v>
          </cell>
          <cell r="I308">
            <v>13</v>
          </cell>
          <cell r="J308">
            <v>3</v>
          </cell>
          <cell r="K308">
            <v>13</v>
          </cell>
          <cell r="L308">
            <v>8</v>
          </cell>
          <cell r="M308">
            <v>0</v>
          </cell>
          <cell r="N308">
            <v>0</v>
          </cell>
          <cell r="O308">
            <v>1</v>
          </cell>
          <cell r="P308">
            <v>0</v>
          </cell>
          <cell r="Q308">
            <v>0</v>
          </cell>
          <cell r="R308">
            <v>0</v>
          </cell>
          <cell r="S308">
            <v>0</v>
          </cell>
          <cell r="T308">
            <v>3</v>
          </cell>
          <cell r="U308">
            <v>0</v>
          </cell>
          <cell r="V308">
            <v>0</v>
          </cell>
          <cell r="W308">
            <v>0</v>
          </cell>
          <cell r="X308">
            <v>0</v>
          </cell>
          <cell r="Y308">
            <v>0</v>
          </cell>
          <cell r="Z308">
            <v>0</v>
          </cell>
          <cell r="AA308">
            <v>12</v>
          </cell>
          <cell r="AB308">
            <v>7.6923076923076927E-2</v>
          </cell>
          <cell r="AC308">
            <v>0.61538461538461542</v>
          </cell>
          <cell r="AD308">
            <v>36</v>
          </cell>
        </row>
        <row r="309">
          <cell r="A309">
            <v>38</v>
          </cell>
          <cell r="B309">
            <v>2</v>
          </cell>
          <cell r="C309">
            <v>2</v>
          </cell>
          <cell r="D309">
            <v>12061</v>
          </cell>
          <cell r="E309">
            <v>3</v>
          </cell>
          <cell r="F309">
            <v>17</v>
          </cell>
          <cell r="G309">
            <v>3</v>
          </cell>
          <cell r="H309">
            <v>1</v>
          </cell>
          <cell r="I309">
            <v>19</v>
          </cell>
          <cell r="J309">
            <v>2</v>
          </cell>
          <cell r="K309">
            <v>10</v>
          </cell>
          <cell r="L309">
            <v>8</v>
          </cell>
          <cell r="M309">
            <v>0</v>
          </cell>
          <cell r="N309">
            <v>1</v>
          </cell>
          <cell r="O309">
            <v>1</v>
          </cell>
          <cell r="P309">
            <v>0</v>
          </cell>
          <cell r="Q309">
            <v>0</v>
          </cell>
          <cell r="R309">
            <v>0</v>
          </cell>
          <cell r="S309">
            <v>0</v>
          </cell>
          <cell r="T309">
            <v>2</v>
          </cell>
          <cell r="U309">
            <v>0</v>
          </cell>
          <cell r="V309">
            <v>0</v>
          </cell>
          <cell r="W309">
            <v>0</v>
          </cell>
          <cell r="X309">
            <v>0</v>
          </cell>
          <cell r="Y309">
            <v>0</v>
          </cell>
          <cell r="Z309">
            <v>0</v>
          </cell>
          <cell r="AA309">
            <v>2</v>
          </cell>
          <cell r="AB309">
            <v>0.15789473684210525</v>
          </cell>
          <cell r="AC309">
            <v>0.8</v>
          </cell>
          <cell r="AD309">
            <v>6</v>
          </cell>
        </row>
        <row r="310">
          <cell r="A310">
            <v>58</v>
          </cell>
          <cell r="B310">
            <v>4</v>
          </cell>
          <cell r="C310">
            <v>1</v>
          </cell>
          <cell r="D310">
            <v>5660</v>
          </cell>
          <cell r="E310">
            <v>2</v>
          </cell>
          <cell r="F310">
            <v>13</v>
          </cell>
          <cell r="G310">
            <v>3</v>
          </cell>
          <cell r="H310">
            <v>1</v>
          </cell>
          <cell r="I310">
            <v>12</v>
          </cell>
          <cell r="J310">
            <v>2</v>
          </cell>
          <cell r="K310">
            <v>5</v>
          </cell>
          <cell r="L310">
            <v>3</v>
          </cell>
          <cell r="M310">
            <v>1</v>
          </cell>
          <cell r="N310">
            <v>0</v>
          </cell>
          <cell r="O310">
            <v>1</v>
          </cell>
          <cell r="P310">
            <v>0</v>
          </cell>
          <cell r="Q310">
            <v>0</v>
          </cell>
          <cell r="R310">
            <v>0</v>
          </cell>
          <cell r="S310">
            <v>0</v>
          </cell>
          <cell r="T310">
            <v>4</v>
          </cell>
          <cell r="U310">
            <v>0</v>
          </cell>
          <cell r="V310">
            <v>0</v>
          </cell>
          <cell r="W310">
            <v>0</v>
          </cell>
          <cell r="X310">
            <v>0</v>
          </cell>
          <cell r="Y310">
            <v>0</v>
          </cell>
          <cell r="Z310">
            <v>0</v>
          </cell>
          <cell r="AA310">
            <v>12</v>
          </cell>
          <cell r="AB310">
            <v>0.16666666666666666</v>
          </cell>
          <cell r="AC310">
            <v>0.6</v>
          </cell>
          <cell r="AD310">
            <v>48</v>
          </cell>
        </row>
        <row r="311">
          <cell r="A311">
            <v>31</v>
          </cell>
          <cell r="B311">
            <v>4</v>
          </cell>
          <cell r="C311">
            <v>3</v>
          </cell>
          <cell r="D311">
            <v>4821</v>
          </cell>
          <cell r="E311">
            <v>0</v>
          </cell>
          <cell r="F311">
            <v>12</v>
          </cell>
          <cell r="G311">
            <v>3</v>
          </cell>
          <cell r="H311">
            <v>1</v>
          </cell>
          <cell r="I311">
            <v>6</v>
          </cell>
          <cell r="J311">
            <v>4</v>
          </cell>
          <cell r="K311">
            <v>5</v>
          </cell>
          <cell r="L311">
            <v>2</v>
          </cell>
          <cell r="M311">
            <v>1</v>
          </cell>
          <cell r="N311">
            <v>0</v>
          </cell>
          <cell r="O311">
            <v>0</v>
          </cell>
          <cell r="P311">
            <v>0</v>
          </cell>
          <cell r="Q311">
            <v>0</v>
          </cell>
          <cell r="R311">
            <v>0</v>
          </cell>
          <cell r="S311">
            <v>1</v>
          </cell>
          <cell r="T311">
            <v>0</v>
          </cell>
          <cell r="U311">
            <v>0</v>
          </cell>
          <cell r="V311">
            <v>0</v>
          </cell>
          <cell r="W311">
            <v>0</v>
          </cell>
          <cell r="X311">
            <v>4</v>
          </cell>
          <cell r="Y311">
            <v>0</v>
          </cell>
          <cell r="Z311">
            <v>1</v>
          </cell>
          <cell r="AA311">
            <v>12</v>
          </cell>
          <cell r="AB311">
            <v>0</v>
          </cell>
          <cell r="AC311">
            <v>0.4</v>
          </cell>
          <cell r="AD311">
            <v>36</v>
          </cell>
        </row>
        <row r="312">
          <cell r="A312">
            <v>31</v>
          </cell>
          <cell r="B312">
            <v>3</v>
          </cell>
          <cell r="C312">
            <v>2</v>
          </cell>
          <cell r="D312">
            <v>6410</v>
          </cell>
          <cell r="E312">
            <v>3</v>
          </cell>
          <cell r="F312">
            <v>12</v>
          </cell>
          <cell r="G312">
            <v>3</v>
          </cell>
          <cell r="H312">
            <v>0</v>
          </cell>
          <cell r="I312">
            <v>9</v>
          </cell>
          <cell r="J312">
            <v>1</v>
          </cell>
          <cell r="K312">
            <v>2</v>
          </cell>
          <cell r="L312">
            <v>2</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1</v>
          </cell>
          <cell r="AB312">
            <v>0.33333333333333331</v>
          </cell>
          <cell r="AC312">
            <v>1</v>
          </cell>
          <cell r="AD312">
            <v>4</v>
          </cell>
        </row>
        <row r="313">
          <cell r="A313">
            <v>45</v>
          </cell>
          <cell r="B313">
            <v>3</v>
          </cell>
          <cell r="C313">
            <v>3</v>
          </cell>
          <cell r="D313">
            <v>5210</v>
          </cell>
          <cell r="E313">
            <v>1</v>
          </cell>
          <cell r="F313">
            <v>18</v>
          </cell>
          <cell r="G313">
            <v>3</v>
          </cell>
          <cell r="H313">
            <v>1</v>
          </cell>
          <cell r="I313">
            <v>24</v>
          </cell>
          <cell r="J313">
            <v>2</v>
          </cell>
          <cell r="K313">
            <v>24</v>
          </cell>
          <cell r="L313">
            <v>9</v>
          </cell>
          <cell r="M313">
            <v>0</v>
          </cell>
          <cell r="N313">
            <v>0</v>
          </cell>
          <cell r="O313">
            <v>1</v>
          </cell>
          <cell r="P313">
            <v>0</v>
          </cell>
          <cell r="Q313">
            <v>0</v>
          </cell>
          <cell r="R313">
            <v>0</v>
          </cell>
          <cell r="S313">
            <v>0</v>
          </cell>
          <cell r="T313">
            <v>3</v>
          </cell>
          <cell r="U313">
            <v>0</v>
          </cell>
          <cell r="V313">
            <v>0</v>
          </cell>
          <cell r="W313">
            <v>0</v>
          </cell>
          <cell r="X313">
            <v>0</v>
          </cell>
          <cell r="Y313">
            <v>0</v>
          </cell>
          <cell r="Z313">
            <v>0</v>
          </cell>
          <cell r="AA313">
            <v>1</v>
          </cell>
          <cell r="AB313">
            <v>4.1666666666666664E-2</v>
          </cell>
          <cell r="AC313">
            <v>0.375</v>
          </cell>
          <cell r="AD313">
            <v>1</v>
          </cell>
        </row>
        <row r="314">
          <cell r="A314">
            <v>31</v>
          </cell>
          <cell r="B314">
            <v>4</v>
          </cell>
          <cell r="C314">
            <v>3</v>
          </cell>
          <cell r="D314">
            <v>2695</v>
          </cell>
          <cell r="E314">
            <v>0</v>
          </cell>
          <cell r="F314">
            <v>18</v>
          </cell>
          <cell r="G314">
            <v>3</v>
          </cell>
          <cell r="H314">
            <v>1</v>
          </cell>
          <cell r="I314">
            <v>3</v>
          </cell>
          <cell r="J314">
            <v>2</v>
          </cell>
          <cell r="K314">
            <v>2</v>
          </cell>
          <cell r="L314">
            <v>2</v>
          </cell>
          <cell r="M314">
            <v>1</v>
          </cell>
          <cell r="N314">
            <v>0</v>
          </cell>
          <cell r="O314">
            <v>1</v>
          </cell>
          <cell r="P314">
            <v>0</v>
          </cell>
          <cell r="Q314">
            <v>0</v>
          </cell>
          <cell r="R314">
            <v>0</v>
          </cell>
          <cell r="S314">
            <v>0</v>
          </cell>
          <cell r="T314">
            <v>4</v>
          </cell>
          <cell r="U314">
            <v>0</v>
          </cell>
          <cell r="V314">
            <v>0</v>
          </cell>
          <cell r="W314">
            <v>0</v>
          </cell>
          <cell r="X314">
            <v>0</v>
          </cell>
          <cell r="Y314">
            <v>0</v>
          </cell>
          <cell r="Z314">
            <v>0</v>
          </cell>
          <cell r="AA314">
            <v>12</v>
          </cell>
          <cell r="AB314">
            <v>0</v>
          </cell>
          <cell r="AC314">
            <v>1</v>
          </cell>
          <cell r="AD314">
            <v>24</v>
          </cell>
        </row>
        <row r="315">
          <cell r="A315">
            <v>33</v>
          </cell>
          <cell r="B315">
            <v>4</v>
          </cell>
          <cell r="C315">
            <v>3</v>
          </cell>
          <cell r="D315">
            <v>11878</v>
          </cell>
          <cell r="E315">
            <v>6</v>
          </cell>
          <cell r="F315">
            <v>11</v>
          </cell>
          <cell r="G315">
            <v>3</v>
          </cell>
          <cell r="H315">
            <v>2</v>
          </cell>
          <cell r="I315">
            <v>12</v>
          </cell>
          <cell r="J315">
            <v>2</v>
          </cell>
          <cell r="K315">
            <v>10</v>
          </cell>
          <cell r="L315">
            <v>6</v>
          </cell>
          <cell r="M315">
            <v>0</v>
          </cell>
          <cell r="N315">
            <v>1</v>
          </cell>
          <cell r="O315">
            <v>1</v>
          </cell>
          <cell r="P315">
            <v>0</v>
          </cell>
          <cell r="Q315">
            <v>0</v>
          </cell>
          <cell r="R315">
            <v>0</v>
          </cell>
          <cell r="S315">
            <v>0</v>
          </cell>
          <cell r="T315">
            <v>4</v>
          </cell>
          <cell r="U315">
            <v>0</v>
          </cell>
          <cell r="V315">
            <v>0</v>
          </cell>
          <cell r="W315">
            <v>0</v>
          </cell>
          <cell r="X315">
            <v>0</v>
          </cell>
          <cell r="Y315">
            <v>1</v>
          </cell>
          <cell r="Z315">
            <v>0</v>
          </cell>
          <cell r="AA315">
            <v>8</v>
          </cell>
          <cell r="AB315">
            <v>0.5</v>
          </cell>
          <cell r="AC315">
            <v>0.6</v>
          </cell>
          <cell r="AD315">
            <v>16</v>
          </cell>
        </row>
        <row r="316">
          <cell r="A316">
            <v>39</v>
          </cell>
          <cell r="B316">
            <v>1</v>
          </cell>
          <cell r="C316">
            <v>3</v>
          </cell>
          <cell r="D316">
            <v>17068</v>
          </cell>
          <cell r="E316">
            <v>1</v>
          </cell>
          <cell r="F316">
            <v>14</v>
          </cell>
          <cell r="G316">
            <v>3</v>
          </cell>
          <cell r="H316">
            <v>0</v>
          </cell>
          <cell r="I316">
            <v>21</v>
          </cell>
          <cell r="J316">
            <v>3</v>
          </cell>
          <cell r="K316">
            <v>21</v>
          </cell>
          <cell r="L316">
            <v>9</v>
          </cell>
          <cell r="M316">
            <v>1</v>
          </cell>
          <cell r="N316">
            <v>0</v>
          </cell>
          <cell r="O316">
            <v>0</v>
          </cell>
          <cell r="P316">
            <v>0</v>
          </cell>
          <cell r="Q316">
            <v>1</v>
          </cell>
          <cell r="R316">
            <v>0</v>
          </cell>
          <cell r="S316">
            <v>0</v>
          </cell>
          <cell r="T316">
            <v>0</v>
          </cell>
          <cell r="U316">
            <v>0</v>
          </cell>
          <cell r="V316">
            <v>1</v>
          </cell>
          <cell r="W316">
            <v>0</v>
          </cell>
          <cell r="X316">
            <v>0</v>
          </cell>
          <cell r="Y316">
            <v>0</v>
          </cell>
          <cell r="Z316">
            <v>1</v>
          </cell>
          <cell r="AA316">
            <v>3</v>
          </cell>
          <cell r="AB316">
            <v>4.7619047619047616E-2</v>
          </cell>
          <cell r="AC316">
            <v>0.42857142857142855</v>
          </cell>
          <cell r="AD316">
            <v>12</v>
          </cell>
        </row>
        <row r="317">
          <cell r="A317">
            <v>43</v>
          </cell>
          <cell r="B317">
            <v>4</v>
          </cell>
          <cell r="C317">
            <v>3</v>
          </cell>
          <cell r="D317">
            <v>2455</v>
          </cell>
          <cell r="E317">
            <v>0</v>
          </cell>
          <cell r="F317">
            <v>19</v>
          </cell>
          <cell r="G317">
            <v>3</v>
          </cell>
          <cell r="H317">
            <v>0</v>
          </cell>
          <cell r="I317">
            <v>9</v>
          </cell>
          <cell r="J317">
            <v>5</v>
          </cell>
          <cell r="K317">
            <v>8</v>
          </cell>
          <cell r="L317">
            <v>7</v>
          </cell>
          <cell r="M317">
            <v>0</v>
          </cell>
          <cell r="N317">
            <v>1</v>
          </cell>
          <cell r="O317">
            <v>1</v>
          </cell>
          <cell r="P317">
            <v>0</v>
          </cell>
          <cell r="Q317">
            <v>0</v>
          </cell>
          <cell r="R317">
            <v>0</v>
          </cell>
          <cell r="S317">
            <v>0</v>
          </cell>
          <cell r="T317">
            <v>4</v>
          </cell>
          <cell r="U317">
            <v>0</v>
          </cell>
          <cell r="V317">
            <v>0</v>
          </cell>
          <cell r="W317">
            <v>0</v>
          </cell>
          <cell r="X317">
            <v>0</v>
          </cell>
          <cell r="Y317">
            <v>0</v>
          </cell>
          <cell r="Z317">
            <v>0</v>
          </cell>
          <cell r="AA317">
            <v>12</v>
          </cell>
          <cell r="AB317">
            <v>0</v>
          </cell>
          <cell r="AC317">
            <v>0.875</v>
          </cell>
          <cell r="AD317">
            <v>12</v>
          </cell>
        </row>
        <row r="318">
          <cell r="A318">
            <v>49</v>
          </cell>
          <cell r="B318">
            <v>2</v>
          </cell>
          <cell r="C318">
            <v>2</v>
          </cell>
          <cell r="D318">
            <v>13964</v>
          </cell>
          <cell r="E318">
            <v>7</v>
          </cell>
          <cell r="F318">
            <v>12</v>
          </cell>
          <cell r="G318">
            <v>3</v>
          </cell>
          <cell r="H318">
            <v>0</v>
          </cell>
          <cell r="I318">
            <v>25</v>
          </cell>
          <cell r="J318">
            <v>2</v>
          </cell>
          <cell r="K318">
            <v>7</v>
          </cell>
          <cell r="L318">
            <v>1</v>
          </cell>
          <cell r="M318">
            <v>1</v>
          </cell>
          <cell r="N318">
            <v>1</v>
          </cell>
          <cell r="O318">
            <v>0</v>
          </cell>
          <cell r="P318">
            <v>0</v>
          </cell>
          <cell r="Q318">
            <v>0</v>
          </cell>
          <cell r="R318">
            <v>0</v>
          </cell>
          <cell r="S318">
            <v>1</v>
          </cell>
          <cell r="T318">
            <v>0</v>
          </cell>
          <cell r="U318">
            <v>0</v>
          </cell>
          <cell r="V318">
            <v>0</v>
          </cell>
          <cell r="W318">
            <v>0</v>
          </cell>
          <cell r="X318">
            <v>2</v>
          </cell>
          <cell r="Y318">
            <v>0</v>
          </cell>
          <cell r="Z318">
            <v>0</v>
          </cell>
          <cell r="AA318">
            <v>9</v>
          </cell>
          <cell r="AB318">
            <v>0.28000000000000003</v>
          </cell>
          <cell r="AC318">
            <v>0.14285714285714285</v>
          </cell>
          <cell r="AD318">
            <v>36</v>
          </cell>
        </row>
        <row r="319">
          <cell r="A319">
            <v>52</v>
          </cell>
          <cell r="B319">
            <v>4</v>
          </cell>
          <cell r="C319">
            <v>2</v>
          </cell>
          <cell r="D319">
            <v>4941</v>
          </cell>
          <cell r="E319">
            <v>2</v>
          </cell>
          <cell r="F319">
            <v>15</v>
          </cell>
          <cell r="G319">
            <v>3</v>
          </cell>
          <cell r="H319">
            <v>0</v>
          </cell>
          <cell r="I319">
            <v>11</v>
          </cell>
          <cell r="J319">
            <v>3</v>
          </cell>
          <cell r="K319">
            <v>8</v>
          </cell>
          <cell r="L319">
            <v>2</v>
          </cell>
          <cell r="M319">
            <v>0</v>
          </cell>
          <cell r="N319">
            <v>0</v>
          </cell>
          <cell r="O319">
            <v>0</v>
          </cell>
          <cell r="P319">
            <v>0</v>
          </cell>
          <cell r="Q319">
            <v>1</v>
          </cell>
          <cell r="R319">
            <v>0</v>
          </cell>
          <cell r="S319">
            <v>0</v>
          </cell>
          <cell r="T319">
            <v>0</v>
          </cell>
          <cell r="U319">
            <v>0</v>
          </cell>
          <cell r="V319">
            <v>4</v>
          </cell>
          <cell r="W319">
            <v>0</v>
          </cell>
          <cell r="X319">
            <v>0</v>
          </cell>
          <cell r="Y319">
            <v>0</v>
          </cell>
          <cell r="Z319">
            <v>0</v>
          </cell>
          <cell r="AA319">
            <v>6</v>
          </cell>
          <cell r="AB319">
            <v>0.18181818181818182</v>
          </cell>
          <cell r="AC319">
            <v>0.25</v>
          </cell>
          <cell r="AD319">
            <v>6</v>
          </cell>
        </row>
        <row r="320">
          <cell r="A320">
            <v>27</v>
          </cell>
          <cell r="B320">
            <v>3</v>
          </cell>
          <cell r="C320">
            <v>3</v>
          </cell>
          <cell r="D320">
            <v>2478</v>
          </cell>
          <cell r="E320">
            <v>1</v>
          </cell>
          <cell r="F320">
            <v>12</v>
          </cell>
          <cell r="G320">
            <v>3</v>
          </cell>
          <cell r="H320">
            <v>0</v>
          </cell>
          <cell r="I320">
            <v>4</v>
          </cell>
          <cell r="J320">
            <v>2</v>
          </cell>
          <cell r="K320">
            <v>4</v>
          </cell>
          <cell r="L320">
            <v>3</v>
          </cell>
          <cell r="M320">
            <v>1</v>
          </cell>
          <cell r="N320">
            <v>1</v>
          </cell>
          <cell r="O320">
            <v>1</v>
          </cell>
          <cell r="P320">
            <v>0</v>
          </cell>
          <cell r="Q320">
            <v>0</v>
          </cell>
          <cell r="R320">
            <v>0</v>
          </cell>
          <cell r="S320">
            <v>0</v>
          </cell>
          <cell r="T320">
            <v>3</v>
          </cell>
          <cell r="U320">
            <v>0</v>
          </cell>
          <cell r="V320">
            <v>0</v>
          </cell>
          <cell r="W320">
            <v>0</v>
          </cell>
          <cell r="X320">
            <v>0</v>
          </cell>
          <cell r="Y320">
            <v>0</v>
          </cell>
          <cell r="Z320">
            <v>0</v>
          </cell>
          <cell r="AA320">
            <v>6</v>
          </cell>
          <cell r="AB320">
            <v>0.25</v>
          </cell>
          <cell r="AC320">
            <v>0.75</v>
          </cell>
          <cell r="AD320">
            <v>12</v>
          </cell>
        </row>
        <row r="321">
          <cell r="A321">
            <v>32</v>
          </cell>
          <cell r="B321">
            <v>2</v>
          </cell>
          <cell r="C321">
            <v>2</v>
          </cell>
          <cell r="D321">
            <v>5228</v>
          </cell>
          <cell r="E321">
            <v>1</v>
          </cell>
          <cell r="F321">
            <v>11</v>
          </cell>
          <cell r="G321">
            <v>3</v>
          </cell>
          <cell r="H321">
            <v>0</v>
          </cell>
          <cell r="I321">
            <v>13</v>
          </cell>
          <cell r="J321">
            <v>2</v>
          </cell>
          <cell r="K321">
            <v>13</v>
          </cell>
          <cell r="L321">
            <v>12</v>
          </cell>
          <cell r="M321">
            <v>1</v>
          </cell>
          <cell r="N321">
            <v>1</v>
          </cell>
          <cell r="O321">
            <v>0</v>
          </cell>
          <cell r="P321">
            <v>0</v>
          </cell>
          <cell r="Q321">
            <v>0</v>
          </cell>
          <cell r="R321">
            <v>0</v>
          </cell>
          <cell r="S321">
            <v>1</v>
          </cell>
          <cell r="T321">
            <v>0</v>
          </cell>
          <cell r="U321">
            <v>0</v>
          </cell>
          <cell r="V321">
            <v>0</v>
          </cell>
          <cell r="W321">
            <v>0</v>
          </cell>
          <cell r="X321">
            <v>2</v>
          </cell>
          <cell r="Y321">
            <v>0</v>
          </cell>
          <cell r="Z321">
            <v>1</v>
          </cell>
          <cell r="AA321">
            <v>6</v>
          </cell>
          <cell r="AB321">
            <v>7.6923076923076927E-2</v>
          </cell>
          <cell r="AC321">
            <v>0.92307692307692313</v>
          </cell>
          <cell r="AD321">
            <v>24</v>
          </cell>
        </row>
        <row r="322">
          <cell r="A322">
            <v>27</v>
          </cell>
          <cell r="B322">
            <v>3</v>
          </cell>
          <cell r="C322">
            <v>3</v>
          </cell>
          <cell r="D322">
            <v>4478</v>
          </cell>
          <cell r="E322">
            <v>1</v>
          </cell>
          <cell r="F322">
            <v>11</v>
          </cell>
          <cell r="G322">
            <v>3</v>
          </cell>
          <cell r="H322">
            <v>0</v>
          </cell>
          <cell r="I322">
            <v>5</v>
          </cell>
          <cell r="J322">
            <v>3</v>
          </cell>
          <cell r="K322">
            <v>5</v>
          </cell>
          <cell r="L322">
            <v>4</v>
          </cell>
          <cell r="M322">
            <v>1</v>
          </cell>
          <cell r="N322">
            <v>0</v>
          </cell>
          <cell r="O322">
            <v>1</v>
          </cell>
          <cell r="P322">
            <v>0</v>
          </cell>
          <cell r="Q322">
            <v>0</v>
          </cell>
          <cell r="R322">
            <v>0</v>
          </cell>
          <cell r="S322">
            <v>0</v>
          </cell>
          <cell r="T322">
            <v>3</v>
          </cell>
          <cell r="U322">
            <v>0</v>
          </cell>
          <cell r="V322">
            <v>0</v>
          </cell>
          <cell r="W322">
            <v>0</v>
          </cell>
          <cell r="X322">
            <v>0</v>
          </cell>
          <cell r="Y322">
            <v>0</v>
          </cell>
          <cell r="Z322">
            <v>0</v>
          </cell>
          <cell r="AA322">
            <v>12</v>
          </cell>
          <cell r="AB322">
            <v>0.2</v>
          </cell>
          <cell r="AC322">
            <v>0.8</v>
          </cell>
          <cell r="AD322">
            <v>12</v>
          </cell>
        </row>
        <row r="323">
          <cell r="A323">
            <v>31</v>
          </cell>
          <cell r="B323">
            <v>3</v>
          </cell>
          <cell r="C323">
            <v>3</v>
          </cell>
          <cell r="D323">
            <v>7547</v>
          </cell>
          <cell r="E323">
            <v>4</v>
          </cell>
          <cell r="F323">
            <v>12</v>
          </cell>
          <cell r="G323">
            <v>3</v>
          </cell>
          <cell r="H323">
            <v>3</v>
          </cell>
          <cell r="I323">
            <v>13</v>
          </cell>
          <cell r="J323">
            <v>3</v>
          </cell>
          <cell r="K323">
            <v>7</v>
          </cell>
          <cell r="L323">
            <v>7</v>
          </cell>
          <cell r="M323">
            <v>0</v>
          </cell>
          <cell r="N323">
            <v>0</v>
          </cell>
          <cell r="O323">
            <v>0</v>
          </cell>
          <cell r="P323">
            <v>1</v>
          </cell>
          <cell r="Q323">
            <v>0</v>
          </cell>
          <cell r="R323">
            <v>0</v>
          </cell>
          <cell r="S323">
            <v>0</v>
          </cell>
          <cell r="T323">
            <v>0</v>
          </cell>
          <cell r="U323">
            <v>3</v>
          </cell>
          <cell r="V323">
            <v>0</v>
          </cell>
          <cell r="W323">
            <v>0</v>
          </cell>
          <cell r="X323">
            <v>0</v>
          </cell>
          <cell r="Y323">
            <v>0</v>
          </cell>
          <cell r="Z323">
            <v>0</v>
          </cell>
          <cell r="AA323">
            <v>16</v>
          </cell>
          <cell r="AB323">
            <v>0.30769230769230771</v>
          </cell>
          <cell r="AC323">
            <v>1</v>
          </cell>
          <cell r="AD323">
            <v>64</v>
          </cell>
        </row>
        <row r="324">
          <cell r="A324">
            <v>32</v>
          </cell>
          <cell r="B324">
            <v>4</v>
          </cell>
          <cell r="C324">
            <v>4</v>
          </cell>
          <cell r="D324">
            <v>5055</v>
          </cell>
          <cell r="E324">
            <v>7</v>
          </cell>
          <cell r="F324">
            <v>16</v>
          </cell>
          <cell r="G324">
            <v>3</v>
          </cell>
          <cell r="H324">
            <v>0</v>
          </cell>
          <cell r="I324">
            <v>10</v>
          </cell>
          <cell r="J324">
            <v>0</v>
          </cell>
          <cell r="K324">
            <v>7</v>
          </cell>
          <cell r="L324">
            <v>7</v>
          </cell>
          <cell r="M324">
            <v>0</v>
          </cell>
          <cell r="N324">
            <v>1</v>
          </cell>
          <cell r="O324">
            <v>0</v>
          </cell>
          <cell r="P324">
            <v>0</v>
          </cell>
          <cell r="Q324">
            <v>1</v>
          </cell>
          <cell r="R324">
            <v>0</v>
          </cell>
          <cell r="S324">
            <v>0</v>
          </cell>
          <cell r="T324">
            <v>0</v>
          </cell>
          <cell r="U324">
            <v>0</v>
          </cell>
          <cell r="V324">
            <v>4</v>
          </cell>
          <cell r="W324">
            <v>0</v>
          </cell>
          <cell r="X324">
            <v>0</v>
          </cell>
          <cell r="Y324">
            <v>0</v>
          </cell>
          <cell r="Z324">
            <v>0</v>
          </cell>
          <cell r="AA324">
            <v>4</v>
          </cell>
          <cell r="AB324">
            <v>0.7</v>
          </cell>
          <cell r="AC324">
            <v>1</v>
          </cell>
          <cell r="AD324">
            <v>12</v>
          </cell>
        </row>
        <row r="325">
          <cell r="A325">
            <v>28</v>
          </cell>
          <cell r="B325">
            <v>4</v>
          </cell>
          <cell r="C325">
            <v>1</v>
          </cell>
          <cell r="D325">
            <v>3464</v>
          </cell>
          <cell r="E325">
            <v>5</v>
          </cell>
          <cell r="F325">
            <v>13</v>
          </cell>
          <cell r="G325">
            <v>3</v>
          </cell>
          <cell r="H325">
            <v>0</v>
          </cell>
          <cell r="I325">
            <v>5</v>
          </cell>
          <cell r="J325">
            <v>4</v>
          </cell>
          <cell r="K325">
            <v>3</v>
          </cell>
          <cell r="L325">
            <v>2</v>
          </cell>
          <cell r="M325">
            <v>1</v>
          </cell>
          <cell r="N325">
            <v>0</v>
          </cell>
          <cell r="O325">
            <v>0</v>
          </cell>
          <cell r="P325">
            <v>0</v>
          </cell>
          <cell r="Q325">
            <v>1</v>
          </cell>
          <cell r="R325">
            <v>0</v>
          </cell>
          <cell r="S325">
            <v>0</v>
          </cell>
          <cell r="T325">
            <v>0</v>
          </cell>
          <cell r="U325">
            <v>0</v>
          </cell>
          <cell r="V325">
            <v>4</v>
          </cell>
          <cell r="W325">
            <v>0</v>
          </cell>
          <cell r="X325">
            <v>0</v>
          </cell>
          <cell r="Y325">
            <v>0</v>
          </cell>
          <cell r="Z325">
            <v>1</v>
          </cell>
          <cell r="AA325">
            <v>4</v>
          </cell>
          <cell r="AB325">
            <v>1</v>
          </cell>
          <cell r="AC325">
            <v>0.66666666666666663</v>
          </cell>
          <cell r="AD325">
            <v>16</v>
          </cell>
        </row>
        <row r="326">
          <cell r="A326">
            <v>30</v>
          </cell>
          <cell r="B326">
            <v>2</v>
          </cell>
          <cell r="C326">
            <v>3</v>
          </cell>
          <cell r="D326">
            <v>5775</v>
          </cell>
          <cell r="E326">
            <v>1</v>
          </cell>
          <cell r="F326">
            <v>13</v>
          </cell>
          <cell r="G326">
            <v>3</v>
          </cell>
          <cell r="H326">
            <v>2</v>
          </cell>
          <cell r="I326">
            <v>11</v>
          </cell>
          <cell r="J326">
            <v>2</v>
          </cell>
          <cell r="K326">
            <v>10</v>
          </cell>
          <cell r="L326">
            <v>8</v>
          </cell>
          <cell r="M326">
            <v>0</v>
          </cell>
          <cell r="N326">
            <v>1</v>
          </cell>
          <cell r="O326">
            <v>0</v>
          </cell>
          <cell r="P326">
            <v>0</v>
          </cell>
          <cell r="Q326">
            <v>1</v>
          </cell>
          <cell r="R326">
            <v>0</v>
          </cell>
          <cell r="S326">
            <v>0</v>
          </cell>
          <cell r="T326">
            <v>0</v>
          </cell>
          <cell r="U326">
            <v>0</v>
          </cell>
          <cell r="V326">
            <v>2</v>
          </cell>
          <cell r="W326">
            <v>0</v>
          </cell>
          <cell r="X326">
            <v>0</v>
          </cell>
          <cell r="Y326">
            <v>0</v>
          </cell>
          <cell r="Z326">
            <v>0</v>
          </cell>
          <cell r="AA326">
            <v>16</v>
          </cell>
          <cell r="AB326">
            <v>9.0909090909090912E-2</v>
          </cell>
          <cell r="AC326">
            <v>0.8</v>
          </cell>
          <cell r="AD326">
            <v>64</v>
          </cell>
        </row>
        <row r="327">
          <cell r="A327">
            <v>31</v>
          </cell>
          <cell r="B327">
            <v>2</v>
          </cell>
          <cell r="C327">
            <v>2</v>
          </cell>
          <cell r="D327">
            <v>8943</v>
          </cell>
          <cell r="E327">
            <v>1</v>
          </cell>
          <cell r="F327">
            <v>24</v>
          </cell>
          <cell r="G327">
            <v>4</v>
          </cell>
          <cell r="H327">
            <v>1</v>
          </cell>
          <cell r="I327">
            <v>10</v>
          </cell>
          <cell r="J327">
            <v>2</v>
          </cell>
          <cell r="K327">
            <v>10</v>
          </cell>
          <cell r="L327">
            <v>9</v>
          </cell>
          <cell r="M327">
            <v>0</v>
          </cell>
          <cell r="N327">
            <v>1</v>
          </cell>
          <cell r="O327">
            <v>1</v>
          </cell>
          <cell r="P327">
            <v>0</v>
          </cell>
          <cell r="Q327">
            <v>0</v>
          </cell>
          <cell r="R327">
            <v>0</v>
          </cell>
          <cell r="S327">
            <v>0</v>
          </cell>
          <cell r="T327">
            <v>2</v>
          </cell>
          <cell r="U327">
            <v>0</v>
          </cell>
          <cell r="V327">
            <v>0</v>
          </cell>
          <cell r="W327">
            <v>0</v>
          </cell>
          <cell r="X327">
            <v>0</v>
          </cell>
          <cell r="Y327">
            <v>1</v>
          </cell>
          <cell r="Z327">
            <v>0</v>
          </cell>
          <cell r="AA327">
            <v>9</v>
          </cell>
          <cell r="AB327">
            <v>0.1</v>
          </cell>
          <cell r="AC327">
            <v>0.9</v>
          </cell>
          <cell r="AD327">
            <v>9</v>
          </cell>
        </row>
        <row r="328">
          <cell r="A328">
            <v>39</v>
          </cell>
          <cell r="B328">
            <v>2</v>
          </cell>
          <cell r="C328">
            <v>2</v>
          </cell>
          <cell r="D328">
            <v>19272</v>
          </cell>
          <cell r="E328">
            <v>1</v>
          </cell>
          <cell r="F328">
            <v>15</v>
          </cell>
          <cell r="G328">
            <v>3</v>
          </cell>
          <cell r="H328">
            <v>1</v>
          </cell>
          <cell r="I328">
            <v>21</v>
          </cell>
          <cell r="J328">
            <v>2</v>
          </cell>
          <cell r="K328">
            <v>21</v>
          </cell>
          <cell r="L328">
            <v>9</v>
          </cell>
          <cell r="M328">
            <v>0</v>
          </cell>
          <cell r="N328">
            <v>0</v>
          </cell>
          <cell r="O328">
            <v>0</v>
          </cell>
          <cell r="P328">
            <v>0</v>
          </cell>
          <cell r="Q328">
            <v>1</v>
          </cell>
          <cell r="R328">
            <v>0</v>
          </cell>
          <cell r="S328">
            <v>0</v>
          </cell>
          <cell r="T328">
            <v>0</v>
          </cell>
          <cell r="U328">
            <v>0</v>
          </cell>
          <cell r="V328">
            <v>2</v>
          </cell>
          <cell r="W328">
            <v>0</v>
          </cell>
          <cell r="X328">
            <v>0</v>
          </cell>
          <cell r="Y328">
            <v>1</v>
          </cell>
          <cell r="Z328">
            <v>0</v>
          </cell>
          <cell r="AA328">
            <v>12</v>
          </cell>
          <cell r="AB328">
            <v>4.7619047619047616E-2</v>
          </cell>
          <cell r="AC328">
            <v>0.42857142857142855</v>
          </cell>
          <cell r="AD328">
            <v>12</v>
          </cell>
        </row>
        <row r="329">
          <cell r="A329">
            <v>39</v>
          </cell>
          <cell r="B329">
            <v>2</v>
          </cell>
          <cell r="C329">
            <v>3</v>
          </cell>
          <cell r="D329">
            <v>5238</v>
          </cell>
          <cell r="E329">
            <v>4</v>
          </cell>
          <cell r="F329">
            <v>18</v>
          </cell>
          <cell r="G329">
            <v>3</v>
          </cell>
          <cell r="H329">
            <v>0</v>
          </cell>
          <cell r="I329">
            <v>12</v>
          </cell>
          <cell r="J329">
            <v>3</v>
          </cell>
          <cell r="K329">
            <v>1</v>
          </cell>
          <cell r="L329">
            <v>0</v>
          </cell>
          <cell r="M329">
            <v>1</v>
          </cell>
          <cell r="N329">
            <v>1</v>
          </cell>
          <cell r="O329">
            <v>0</v>
          </cell>
          <cell r="P329">
            <v>0</v>
          </cell>
          <cell r="Q329">
            <v>1</v>
          </cell>
          <cell r="R329">
            <v>0</v>
          </cell>
          <cell r="S329">
            <v>0</v>
          </cell>
          <cell r="T329">
            <v>0</v>
          </cell>
          <cell r="U329">
            <v>0</v>
          </cell>
          <cell r="V329">
            <v>2</v>
          </cell>
          <cell r="W329">
            <v>0</v>
          </cell>
          <cell r="X329">
            <v>0</v>
          </cell>
          <cell r="Y329">
            <v>0</v>
          </cell>
          <cell r="Z329">
            <v>1</v>
          </cell>
          <cell r="AA329">
            <v>12</v>
          </cell>
          <cell r="AB329">
            <v>0.33333333333333331</v>
          </cell>
          <cell r="AC329">
            <v>0</v>
          </cell>
          <cell r="AD329">
            <v>12</v>
          </cell>
        </row>
        <row r="330">
          <cell r="A330">
            <v>33</v>
          </cell>
          <cell r="B330">
            <v>3</v>
          </cell>
          <cell r="C330">
            <v>2</v>
          </cell>
          <cell r="D330">
            <v>4682</v>
          </cell>
          <cell r="E330">
            <v>3</v>
          </cell>
          <cell r="F330">
            <v>14</v>
          </cell>
          <cell r="G330">
            <v>3</v>
          </cell>
          <cell r="H330">
            <v>0</v>
          </cell>
          <cell r="I330">
            <v>9</v>
          </cell>
          <cell r="J330">
            <v>6</v>
          </cell>
          <cell r="K330">
            <v>7</v>
          </cell>
          <cell r="L330">
            <v>7</v>
          </cell>
          <cell r="M330">
            <v>0</v>
          </cell>
          <cell r="N330">
            <v>0</v>
          </cell>
          <cell r="O330">
            <v>0</v>
          </cell>
          <cell r="P330">
            <v>1</v>
          </cell>
          <cell r="Q330">
            <v>0</v>
          </cell>
          <cell r="R330">
            <v>0</v>
          </cell>
          <cell r="S330">
            <v>0</v>
          </cell>
          <cell r="T330">
            <v>0</v>
          </cell>
          <cell r="U330">
            <v>3</v>
          </cell>
          <cell r="V330">
            <v>0</v>
          </cell>
          <cell r="W330">
            <v>0</v>
          </cell>
          <cell r="X330">
            <v>0</v>
          </cell>
          <cell r="Y330">
            <v>0</v>
          </cell>
          <cell r="Z330">
            <v>0</v>
          </cell>
          <cell r="AA330">
            <v>8</v>
          </cell>
          <cell r="AB330">
            <v>0.33333333333333331</v>
          </cell>
          <cell r="AC330">
            <v>1</v>
          </cell>
          <cell r="AD330">
            <v>24</v>
          </cell>
        </row>
        <row r="331">
          <cell r="A331">
            <v>47</v>
          </cell>
          <cell r="B331">
            <v>5</v>
          </cell>
          <cell r="C331">
            <v>3</v>
          </cell>
          <cell r="D331">
            <v>18300</v>
          </cell>
          <cell r="E331">
            <v>4</v>
          </cell>
          <cell r="F331">
            <v>11</v>
          </cell>
          <cell r="G331">
            <v>3</v>
          </cell>
          <cell r="H331">
            <v>1</v>
          </cell>
          <cell r="I331">
            <v>21</v>
          </cell>
          <cell r="J331">
            <v>2</v>
          </cell>
          <cell r="K331">
            <v>3</v>
          </cell>
          <cell r="L331">
            <v>2</v>
          </cell>
          <cell r="M331">
            <v>0</v>
          </cell>
          <cell r="N331">
            <v>0</v>
          </cell>
          <cell r="O331">
            <v>1</v>
          </cell>
          <cell r="P331">
            <v>0</v>
          </cell>
          <cell r="Q331">
            <v>0</v>
          </cell>
          <cell r="R331">
            <v>0</v>
          </cell>
          <cell r="S331">
            <v>0</v>
          </cell>
          <cell r="T331">
            <v>5</v>
          </cell>
          <cell r="U331">
            <v>0</v>
          </cell>
          <cell r="V331">
            <v>0</v>
          </cell>
          <cell r="W331">
            <v>0</v>
          </cell>
          <cell r="X331">
            <v>0</v>
          </cell>
          <cell r="Y331">
            <v>0</v>
          </cell>
          <cell r="Z331">
            <v>0</v>
          </cell>
          <cell r="AA331">
            <v>12</v>
          </cell>
          <cell r="AB331">
            <v>0.19047619047619047</v>
          </cell>
          <cell r="AC331">
            <v>0.66666666666666663</v>
          </cell>
          <cell r="AD331">
            <v>24</v>
          </cell>
        </row>
        <row r="332">
          <cell r="A332">
            <v>43</v>
          </cell>
          <cell r="B332">
            <v>4</v>
          </cell>
          <cell r="C332">
            <v>2</v>
          </cell>
          <cell r="D332">
            <v>5257</v>
          </cell>
          <cell r="E332">
            <v>1</v>
          </cell>
          <cell r="F332">
            <v>11</v>
          </cell>
          <cell r="G332">
            <v>3</v>
          </cell>
          <cell r="H332">
            <v>1</v>
          </cell>
          <cell r="I332">
            <v>9</v>
          </cell>
          <cell r="J332">
            <v>3</v>
          </cell>
          <cell r="K332">
            <v>9</v>
          </cell>
          <cell r="L332">
            <v>7</v>
          </cell>
          <cell r="M332">
            <v>0</v>
          </cell>
          <cell r="N332">
            <v>1</v>
          </cell>
          <cell r="O332">
            <v>1</v>
          </cell>
          <cell r="P332">
            <v>0</v>
          </cell>
          <cell r="Q332">
            <v>0</v>
          </cell>
          <cell r="R332">
            <v>0</v>
          </cell>
          <cell r="S332">
            <v>0</v>
          </cell>
          <cell r="T332">
            <v>4</v>
          </cell>
          <cell r="U332">
            <v>0</v>
          </cell>
          <cell r="V332">
            <v>0</v>
          </cell>
          <cell r="W332">
            <v>0</v>
          </cell>
          <cell r="X332">
            <v>0</v>
          </cell>
          <cell r="Y332">
            <v>0</v>
          </cell>
          <cell r="Z332">
            <v>0</v>
          </cell>
          <cell r="AA332">
            <v>9</v>
          </cell>
          <cell r="AB332">
            <v>0.1111111111111111</v>
          </cell>
          <cell r="AC332">
            <v>0.77777777777777779</v>
          </cell>
          <cell r="AD332">
            <v>18</v>
          </cell>
        </row>
        <row r="333">
          <cell r="A333">
            <v>27</v>
          </cell>
          <cell r="B333">
            <v>1</v>
          </cell>
          <cell r="C333">
            <v>3</v>
          </cell>
          <cell r="D333">
            <v>6349</v>
          </cell>
          <cell r="E333">
            <v>0</v>
          </cell>
          <cell r="F333">
            <v>13</v>
          </cell>
          <cell r="G333">
            <v>3</v>
          </cell>
          <cell r="H333">
            <v>1</v>
          </cell>
          <cell r="I333">
            <v>6</v>
          </cell>
          <cell r="J333">
            <v>0</v>
          </cell>
          <cell r="K333">
            <v>5</v>
          </cell>
          <cell r="L333">
            <v>4</v>
          </cell>
          <cell r="M333">
            <v>1</v>
          </cell>
          <cell r="N333">
            <v>0</v>
          </cell>
          <cell r="O333">
            <v>0</v>
          </cell>
          <cell r="P333">
            <v>1</v>
          </cell>
          <cell r="Q333">
            <v>0</v>
          </cell>
          <cell r="R333">
            <v>0</v>
          </cell>
          <cell r="S333">
            <v>0</v>
          </cell>
          <cell r="T333">
            <v>0</v>
          </cell>
          <cell r="U333">
            <v>1</v>
          </cell>
          <cell r="V333">
            <v>0</v>
          </cell>
          <cell r="W333">
            <v>0</v>
          </cell>
          <cell r="X333">
            <v>0</v>
          </cell>
          <cell r="Y333">
            <v>0</v>
          </cell>
          <cell r="Z333">
            <v>1</v>
          </cell>
          <cell r="AA333">
            <v>6</v>
          </cell>
          <cell r="AB333">
            <v>0</v>
          </cell>
          <cell r="AC333">
            <v>0.8</v>
          </cell>
          <cell r="AD333">
            <v>24</v>
          </cell>
        </row>
        <row r="334">
          <cell r="A334">
            <v>54</v>
          </cell>
          <cell r="B334">
            <v>4</v>
          </cell>
          <cell r="C334">
            <v>3</v>
          </cell>
          <cell r="D334">
            <v>4869</v>
          </cell>
          <cell r="E334">
            <v>3</v>
          </cell>
          <cell r="F334">
            <v>12</v>
          </cell>
          <cell r="G334">
            <v>3</v>
          </cell>
          <cell r="H334">
            <v>0</v>
          </cell>
          <cell r="I334">
            <v>20</v>
          </cell>
          <cell r="J334">
            <v>4</v>
          </cell>
          <cell r="K334">
            <v>4</v>
          </cell>
          <cell r="L334">
            <v>3</v>
          </cell>
          <cell r="M334">
            <v>0</v>
          </cell>
          <cell r="N334">
            <v>1</v>
          </cell>
          <cell r="O334">
            <v>1</v>
          </cell>
          <cell r="P334">
            <v>0</v>
          </cell>
          <cell r="Q334">
            <v>0</v>
          </cell>
          <cell r="R334">
            <v>0</v>
          </cell>
          <cell r="S334">
            <v>0</v>
          </cell>
          <cell r="T334">
            <v>4</v>
          </cell>
          <cell r="U334">
            <v>0</v>
          </cell>
          <cell r="V334">
            <v>0</v>
          </cell>
          <cell r="W334">
            <v>0</v>
          </cell>
          <cell r="X334">
            <v>0</v>
          </cell>
          <cell r="Y334">
            <v>0</v>
          </cell>
          <cell r="Z334">
            <v>0</v>
          </cell>
          <cell r="AA334">
            <v>12</v>
          </cell>
          <cell r="AB334">
            <v>0.15</v>
          </cell>
          <cell r="AC334">
            <v>0.75</v>
          </cell>
          <cell r="AD334">
            <v>48</v>
          </cell>
        </row>
        <row r="335">
          <cell r="A335">
            <v>43</v>
          </cell>
          <cell r="B335">
            <v>3</v>
          </cell>
          <cell r="C335">
            <v>3</v>
          </cell>
          <cell r="D335">
            <v>9985</v>
          </cell>
          <cell r="E335">
            <v>8</v>
          </cell>
          <cell r="F335">
            <v>16</v>
          </cell>
          <cell r="G335">
            <v>3</v>
          </cell>
          <cell r="H335">
            <v>1</v>
          </cell>
          <cell r="I335">
            <v>10</v>
          </cell>
          <cell r="J335">
            <v>1</v>
          </cell>
          <cell r="K335">
            <v>1</v>
          </cell>
          <cell r="L335">
            <v>0</v>
          </cell>
          <cell r="M335">
            <v>0</v>
          </cell>
          <cell r="N335">
            <v>1</v>
          </cell>
          <cell r="O335">
            <v>1</v>
          </cell>
          <cell r="P335">
            <v>0</v>
          </cell>
          <cell r="Q335">
            <v>0</v>
          </cell>
          <cell r="R335">
            <v>0</v>
          </cell>
          <cell r="S335">
            <v>0</v>
          </cell>
          <cell r="T335">
            <v>3</v>
          </cell>
          <cell r="U335">
            <v>0</v>
          </cell>
          <cell r="V335">
            <v>0</v>
          </cell>
          <cell r="W335">
            <v>0</v>
          </cell>
          <cell r="X335">
            <v>0</v>
          </cell>
          <cell r="Y335">
            <v>0</v>
          </cell>
          <cell r="Z335">
            <v>0</v>
          </cell>
          <cell r="AA335">
            <v>3</v>
          </cell>
          <cell r="AB335">
            <v>0.8</v>
          </cell>
          <cell r="AC335">
            <v>0</v>
          </cell>
          <cell r="AD335">
            <v>3</v>
          </cell>
        </row>
        <row r="336">
          <cell r="A336">
            <v>45</v>
          </cell>
          <cell r="B336">
            <v>4</v>
          </cell>
          <cell r="C336">
            <v>3</v>
          </cell>
          <cell r="D336">
            <v>3697</v>
          </cell>
          <cell r="E336">
            <v>9</v>
          </cell>
          <cell r="F336">
            <v>14</v>
          </cell>
          <cell r="G336">
            <v>3</v>
          </cell>
          <cell r="H336">
            <v>2</v>
          </cell>
          <cell r="I336">
            <v>12</v>
          </cell>
          <cell r="J336">
            <v>3</v>
          </cell>
          <cell r="K336">
            <v>10</v>
          </cell>
          <cell r="L336">
            <v>9</v>
          </cell>
          <cell r="M336">
            <v>0</v>
          </cell>
          <cell r="N336">
            <v>0</v>
          </cell>
          <cell r="O336">
            <v>0</v>
          </cell>
          <cell r="P336">
            <v>0</v>
          </cell>
          <cell r="Q336">
            <v>0</v>
          </cell>
          <cell r="R336">
            <v>1</v>
          </cell>
          <cell r="S336">
            <v>0</v>
          </cell>
          <cell r="T336">
            <v>0</v>
          </cell>
          <cell r="U336">
            <v>0</v>
          </cell>
          <cell r="V336">
            <v>0</v>
          </cell>
          <cell r="W336">
            <v>4</v>
          </cell>
          <cell r="X336">
            <v>0</v>
          </cell>
          <cell r="Y336">
            <v>0</v>
          </cell>
          <cell r="Z336">
            <v>0</v>
          </cell>
          <cell r="AA336">
            <v>16</v>
          </cell>
          <cell r="AB336">
            <v>0.75</v>
          </cell>
          <cell r="AC336">
            <v>0.9</v>
          </cell>
          <cell r="AD336">
            <v>16</v>
          </cell>
        </row>
        <row r="337">
          <cell r="A337">
            <v>40</v>
          </cell>
          <cell r="B337">
            <v>2</v>
          </cell>
          <cell r="C337">
            <v>1</v>
          </cell>
          <cell r="D337">
            <v>7457</v>
          </cell>
          <cell r="E337">
            <v>2</v>
          </cell>
          <cell r="F337">
            <v>22</v>
          </cell>
          <cell r="G337">
            <v>4</v>
          </cell>
          <cell r="H337">
            <v>3</v>
          </cell>
          <cell r="I337">
            <v>6</v>
          </cell>
          <cell r="J337">
            <v>2</v>
          </cell>
          <cell r="K337">
            <v>4</v>
          </cell>
          <cell r="L337">
            <v>3</v>
          </cell>
          <cell r="M337">
            <v>1</v>
          </cell>
          <cell r="N337">
            <v>0</v>
          </cell>
          <cell r="O337">
            <v>0</v>
          </cell>
          <cell r="P337">
            <v>0</v>
          </cell>
          <cell r="Q337">
            <v>1</v>
          </cell>
          <cell r="R337">
            <v>0</v>
          </cell>
          <cell r="S337">
            <v>0</v>
          </cell>
          <cell r="T337">
            <v>0</v>
          </cell>
          <cell r="U337">
            <v>0</v>
          </cell>
          <cell r="V337">
            <v>2</v>
          </cell>
          <cell r="W337">
            <v>0</v>
          </cell>
          <cell r="X337">
            <v>0</v>
          </cell>
          <cell r="Y337">
            <v>0</v>
          </cell>
          <cell r="Z337">
            <v>1</v>
          </cell>
          <cell r="AA337">
            <v>8</v>
          </cell>
          <cell r="AB337">
            <v>0.33333333333333331</v>
          </cell>
          <cell r="AC337">
            <v>0.75</v>
          </cell>
          <cell r="AD337">
            <v>24</v>
          </cell>
        </row>
        <row r="338">
          <cell r="A338">
            <v>29</v>
          </cell>
          <cell r="B338">
            <v>4</v>
          </cell>
          <cell r="C338">
            <v>1</v>
          </cell>
          <cell r="D338">
            <v>2119</v>
          </cell>
          <cell r="E338">
            <v>1</v>
          </cell>
          <cell r="F338">
            <v>11</v>
          </cell>
          <cell r="G338">
            <v>3</v>
          </cell>
          <cell r="H338">
            <v>0</v>
          </cell>
          <cell r="I338">
            <v>7</v>
          </cell>
          <cell r="J338">
            <v>4</v>
          </cell>
          <cell r="K338">
            <v>7</v>
          </cell>
          <cell r="L338">
            <v>7</v>
          </cell>
          <cell r="M338">
            <v>1</v>
          </cell>
          <cell r="N338">
            <v>0</v>
          </cell>
          <cell r="O338">
            <v>0</v>
          </cell>
          <cell r="P338">
            <v>0</v>
          </cell>
          <cell r="Q338">
            <v>0</v>
          </cell>
          <cell r="R338">
            <v>1</v>
          </cell>
          <cell r="S338">
            <v>0</v>
          </cell>
          <cell r="T338">
            <v>0</v>
          </cell>
          <cell r="U338">
            <v>0</v>
          </cell>
          <cell r="V338">
            <v>0</v>
          </cell>
          <cell r="W338">
            <v>4</v>
          </cell>
          <cell r="X338">
            <v>0</v>
          </cell>
          <cell r="Y338">
            <v>0</v>
          </cell>
          <cell r="Z338">
            <v>1</v>
          </cell>
          <cell r="AA338">
            <v>2</v>
          </cell>
          <cell r="AB338">
            <v>0.14285714285714285</v>
          </cell>
          <cell r="AC338">
            <v>1</v>
          </cell>
          <cell r="AD338">
            <v>8</v>
          </cell>
        </row>
        <row r="339">
          <cell r="A339">
            <v>29</v>
          </cell>
          <cell r="B339">
            <v>5</v>
          </cell>
          <cell r="C339">
            <v>2</v>
          </cell>
          <cell r="D339">
            <v>3983</v>
          </cell>
          <cell r="E339">
            <v>0</v>
          </cell>
          <cell r="F339">
            <v>17</v>
          </cell>
          <cell r="G339">
            <v>3</v>
          </cell>
          <cell r="H339">
            <v>0</v>
          </cell>
          <cell r="I339">
            <v>4</v>
          </cell>
          <cell r="J339">
            <v>2</v>
          </cell>
          <cell r="K339">
            <v>3</v>
          </cell>
          <cell r="L339">
            <v>2</v>
          </cell>
          <cell r="M339">
            <v>0</v>
          </cell>
          <cell r="N339">
            <v>0</v>
          </cell>
          <cell r="O339">
            <v>0</v>
          </cell>
          <cell r="P339">
            <v>0</v>
          </cell>
          <cell r="Q339">
            <v>0</v>
          </cell>
          <cell r="R339">
            <v>1</v>
          </cell>
          <cell r="S339">
            <v>0</v>
          </cell>
          <cell r="T339">
            <v>0</v>
          </cell>
          <cell r="U339">
            <v>0</v>
          </cell>
          <cell r="V339">
            <v>0</v>
          </cell>
          <cell r="W339">
            <v>5</v>
          </cell>
          <cell r="X339">
            <v>0</v>
          </cell>
          <cell r="Y339">
            <v>0</v>
          </cell>
          <cell r="Z339">
            <v>0</v>
          </cell>
          <cell r="AA339">
            <v>8</v>
          </cell>
          <cell r="AB339">
            <v>0</v>
          </cell>
          <cell r="AC339">
            <v>0.66666666666666663</v>
          </cell>
          <cell r="AD339">
            <v>24</v>
          </cell>
        </row>
        <row r="340">
          <cell r="A340">
            <v>30</v>
          </cell>
          <cell r="B340">
            <v>3</v>
          </cell>
          <cell r="C340">
            <v>2</v>
          </cell>
          <cell r="D340">
            <v>6118</v>
          </cell>
          <cell r="E340">
            <v>1</v>
          </cell>
          <cell r="F340">
            <v>13</v>
          </cell>
          <cell r="G340">
            <v>3</v>
          </cell>
          <cell r="H340">
            <v>3</v>
          </cell>
          <cell r="I340">
            <v>10</v>
          </cell>
          <cell r="J340">
            <v>2</v>
          </cell>
          <cell r="K340">
            <v>10</v>
          </cell>
          <cell r="L340">
            <v>9</v>
          </cell>
          <cell r="M340">
            <v>0</v>
          </cell>
          <cell r="N340">
            <v>1</v>
          </cell>
          <cell r="O340">
            <v>0</v>
          </cell>
          <cell r="P340">
            <v>1</v>
          </cell>
          <cell r="Q340">
            <v>0</v>
          </cell>
          <cell r="R340">
            <v>0</v>
          </cell>
          <cell r="S340">
            <v>0</v>
          </cell>
          <cell r="T340">
            <v>0</v>
          </cell>
          <cell r="U340">
            <v>3</v>
          </cell>
          <cell r="V340">
            <v>0</v>
          </cell>
          <cell r="W340">
            <v>0</v>
          </cell>
          <cell r="X340">
            <v>0</v>
          </cell>
          <cell r="Y340">
            <v>0</v>
          </cell>
          <cell r="Z340">
            <v>0</v>
          </cell>
          <cell r="AA340">
            <v>12</v>
          </cell>
          <cell r="AB340">
            <v>0.1</v>
          </cell>
          <cell r="AC340">
            <v>0.9</v>
          </cell>
          <cell r="AD340">
            <v>36</v>
          </cell>
        </row>
        <row r="341">
          <cell r="A341">
            <v>27</v>
          </cell>
          <cell r="B341">
            <v>4</v>
          </cell>
          <cell r="C341">
            <v>3</v>
          </cell>
          <cell r="D341">
            <v>6214</v>
          </cell>
          <cell r="E341">
            <v>1</v>
          </cell>
          <cell r="F341">
            <v>18</v>
          </cell>
          <cell r="G341">
            <v>3</v>
          </cell>
          <cell r="H341">
            <v>1</v>
          </cell>
          <cell r="I341">
            <v>8</v>
          </cell>
          <cell r="J341">
            <v>3</v>
          </cell>
          <cell r="K341">
            <v>8</v>
          </cell>
          <cell r="L341">
            <v>7</v>
          </cell>
          <cell r="M341">
            <v>0</v>
          </cell>
          <cell r="N341">
            <v>1</v>
          </cell>
          <cell r="O341">
            <v>0</v>
          </cell>
          <cell r="P341">
            <v>1</v>
          </cell>
          <cell r="Q341">
            <v>0</v>
          </cell>
          <cell r="R341">
            <v>0</v>
          </cell>
          <cell r="S341">
            <v>0</v>
          </cell>
          <cell r="T341">
            <v>0</v>
          </cell>
          <cell r="U341">
            <v>4</v>
          </cell>
          <cell r="V341">
            <v>0</v>
          </cell>
          <cell r="W341">
            <v>0</v>
          </cell>
          <cell r="X341">
            <v>0</v>
          </cell>
          <cell r="Y341">
            <v>0</v>
          </cell>
          <cell r="Z341">
            <v>0</v>
          </cell>
          <cell r="AA341">
            <v>4</v>
          </cell>
          <cell r="AB341">
            <v>0.125</v>
          </cell>
          <cell r="AC341">
            <v>0.875</v>
          </cell>
          <cell r="AD341">
            <v>4</v>
          </cell>
        </row>
        <row r="342">
          <cell r="A342">
            <v>37</v>
          </cell>
          <cell r="B342">
            <v>2</v>
          </cell>
          <cell r="C342">
            <v>3</v>
          </cell>
          <cell r="D342">
            <v>6347</v>
          </cell>
          <cell r="E342">
            <v>7</v>
          </cell>
          <cell r="F342">
            <v>16</v>
          </cell>
          <cell r="G342">
            <v>3</v>
          </cell>
          <cell r="H342">
            <v>2</v>
          </cell>
          <cell r="I342">
            <v>8</v>
          </cell>
          <cell r="J342">
            <v>2</v>
          </cell>
          <cell r="K342">
            <v>6</v>
          </cell>
          <cell r="L342">
            <v>2</v>
          </cell>
          <cell r="M342">
            <v>0</v>
          </cell>
          <cell r="N342">
            <v>0</v>
          </cell>
          <cell r="O342">
            <v>0</v>
          </cell>
          <cell r="P342">
            <v>0</v>
          </cell>
          <cell r="Q342">
            <v>1</v>
          </cell>
          <cell r="R342">
            <v>0</v>
          </cell>
          <cell r="S342">
            <v>0</v>
          </cell>
          <cell r="T342">
            <v>0</v>
          </cell>
          <cell r="U342">
            <v>0</v>
          </cell>
          <cell r="V342">
            <v>2</v>
          </cell>
          <cell r="W342">
            <v>0</v>
          </cell>
          <cell r="X342">
            <v>0</v>
          </cell>
          <cell r="Y342">
            <v>0</v>
          </cell>
          <cell r="Z342">
            <v>0</v>
          </cell>
          <cell r="AA342">
            <v>16</v>
          </cell>
          <cell r="AB342">
            <v>0.875</v>
          </cell>
          <cell r="AC342">
            <v>0.33333333333333331</v>
          </cell>
          <cell r="AD342">
            <v>48</v>
          </cell>
        </row>
        <row r="343">
          <cell r="A343">
            <v>38</v>
          </cell>
          <cell r="B343">
            <v>2</v>
          </cell>
          <cell r="C343">
            <v>2</v>
          </cell>
          <cell r="D343">
            <v>11510</v>
          </cell>
          <cell r="E343">
            <v>0</v>
          </cell>
          <cell r="F343">
            <v>14</v>
          </cell>
          <cell r="G343">
            <v>3</v>
          </cell>
          <cell r="H343">
            <v>1</v>
          </cell>
          <cell r="I343">
            <v>12</v>
          </cell>
          <cell r="J343">
            <v>3</v>
          </cell>
          <cell r="K343">
            <v>11</v>
          </cell>
          <cell r="L343">
            <v>10</v>
          </cell>
          <cell r="M343">
            <v>1</v>
          </cell>
          <cell r="N343">
            <v>0</v>
          </cell>
          <cell r="O343">
            <v>1</v>
          </cell>
          <cell r="P343">
            <v>0</v>
          </cell>
          <cell r="Q343">
            <v>0</v>
          </cell>
          <cell r="R343">
            <v>0</v>
          </cell>
          <cell r="S343">
            <v>0</v>
          </cell>
          <cell r="T343">
            <v>2</v>
          </cell>
          <cell r="U343">
            <v>0</v>
          </cell>
          <cell r="V343">
            <v>0</v>
          </cell>
          <cell r="W343">
            <v>0</v>
          </cell>
          <cell r="X343">
            <v>0</v>
          </cell>
          <cell r="Y343">
            <v>0</v>
          </cell>
          <cell r="Z343">
            <v>0</v>
          </cell>
          <cell r="AA343">
            <v>12</v>
          </cell>
          <cell r="AB343">
            <v>0</v>
          </cell>
          <cell r="AC343">
            <v>0.90909090909090906</v>
          </cell>
          <cell r="AD343">
            <v>24</v>
          </cell>
        </row>
        <row r="344">
          <cell r="A344">
            <v>31</v>
          </cell>
          <cell r="B344">
            <v>4</v>
          </cell>
          <cell r="C344">
            <v>3</v>
          </cell>
          <cell r="D344">
            <v>7143</v>
          </cell>
          <cell r="E344">
            <v>1</v>
          </cell>
          <cell r="F344">
            <v>14</v>
          </cell>
          <cell r="G344">
            <v>3</v>
          </cell>
          <cell r="H344">
            <v>0</v>
          </cell>
          <cell r="I344">
            <v>11</v>
          </cell>
          <cell r="J344">
            <v>2</v>
          </cell>
          <cell r="K344">
            <v>11</v>
          </cell>
          <cell r="L344">
            <v>9</v>
          </cell>
          <cell r="M344">
            <v>1</v>
          </cell>
          <cell r="N344">
            <v>1</v>
          </cell>
          <cell r="O344">
            <v>0</v>
          </cell>
          <cell r="P344">
            <v>0</v>
          </cell>
          <cell r="Q344">
            <v>1</v>
          </cell>
          <cell r="R344">
            <v>0</v>
          </cell>
          <cell r="S344">
            <v>0</v>
          </cell>
          <cell r="T344">
            <v>0</v>
          </cell>
          <cell r="U344">
            <v>0</v>
          </cell>
          <cell r="V344">
            <v>4</v>
          </cell>
          <cell r="W344">
            <v>0</v>
          </cell>
          <cell r="X344">
            <v>0</v>
          </cell>
          <cell r="Y344">
            <v>0</v>
          </cell>
          <cell r="Z344">
            <v>0</v>
          </cell>
          <cell r="AA344">
            <v>12</v>
          </cell>
          <cell r="AB344">
            <v>9.0909090909090912E-2</v>
          </cell>
          <cell r="AC344">
            <v>0.81818181818181823</v>
          </cell>
          <cell r="AD344">
            <v>36</v>
          </cell>
        </row>
        <row r="345">
          <cell r="A345">
            <v>29</v>
          </cell>
          <cell r="B345">
            <v>1</v>
          </cell>
          <cell r="C345">
            <v>2</v>
          </cell>
          <cell r="D345">
            <v>8268</v>
          </cell>
          <cell r="E345">
            <v>1</v>
          </cell>
          <cell r="F345">
            <v>14</v>
          </cell>
          <cell r="G345">
            <v>3</v>
          </cell>
          <cell r="H345">
            <v>2</v>
          </cell>
          <cell r="I345">
            <v>7</v>
          </cell>
          <cell r="J345">
            <v>2</v>
          </cell>
          <cell r="K345">
            <v>7</v>
          </cell>
          <cell r="L345">
            <v>7</v>
          </cell>
          <cell r="M345">
            <v>1</v>
          </cell>
          <cell r="N345">
            <v>1</v>
          </cell>
          <cell r="O345">
            <v>0</v>
          </cell>
          <cell r="P345">
            <v>1</v>
          </cell>
          <cell r="Q345">
            <v>0</v>
          </cell>
          <cell r="R345">
            <v>0</v>
          </cell>
          <cell r="S345">
            <v>0</v>
          </cell>
          <cell r="T345">
            <v>0</v>
          </cell>
          <cell r="U345">
            <v>1</v>
          </cell>
          <cell r="V345">
            <v>0</v>
          </cell>
          <cell r="W345">
            <v>0</v>
          </cell>
          <cell r="X345">
            <v>0</v>
          </cell>
          <cell r="Y345">
            <v>0</v>
          </cell>
          <cell r="Z345">
            <v>0</v>
          </cell>
          <cell r="AA345">
            <v>8</v>
          </cell>
          <cell r="AB345">
            <v>0.14285714285714285</v>
          </cell>
          <cell r="AC345">
            <v>1</v>
          </cell>
          <cell r="AD345">
            <v>8</v>
          </cell>
        </row>
        <row r="346">
          <cell r="A346">
            <v>35</v>
          </cell>
          <cell r="B346">
            <v>4</v>
          </cell>
          <cell r="C346">
            <v>3</v>
          </cell>
          <cell r="D346">
            <v>8095</v>
          </cell>
          <cell r="E346">
            <v>0</v>
          </cell>
          <cell r="F346">
            <v>13</v>
          </cell>
          <cell r="G346">
            <v>3</v>
          </cell>
          <cell r="H346">
            <v>0</v>
          </cell>
          <cell r="I346">
            <v>17</v>
          </cell>
          <cell r="J346">
            <v>5</v>
          </cell>
          <cell r="K346">
            <v>16</v>
          </cell>
          <cell r="L346">
            <v>6</v>
          </cell>
          <cell r="M346">
            <v>0</v>
          </cell>
          <cell r="N346">
            <v>0</v>
          </cell>
          <cell r="O346">
            <v>0</v>
          </cell>
          <cell r="P346">
            <v>0</v>
          </cell>
          <cell r="Q346">
            <v>0</v>
          </cell>
          <cell r="R346">
            <v>0</v>
          </cell>
          <cell r="S346">
            <v>1</v>
          </cell>
          <cell r="T346">
            <v>0</v>
          </cell>
          <cell r="U346">
            <v>0</v>
          </cell>
          <cell r="V346">
            <v>0</v>
          </cell>
          <cell r="W346">
            <v>0</v>
          </cell>
          <cell r="X346">
            <v>4</v>
          </cell>
          <cell r="Y346">
            <v>0</v>
          </cell>
          <cell r="Z346">
            <v>0</v>
          </cell>
          <cell r="AA346">
            <v>6</v>
          </cell>
          <cell r="AB346">
            <v>0</v>
          </cell>
          <cell r="AC346">
            <v>0.375</v>
          </cell>
          <cell r="AD346">
            <v>24</v>
          </cell>
        </row>
        <row r="347">
          <cell r="A347">
            <v>23</v>
          </cell>
          <cell r="B347">
            <v>1</v>
          </cell>
          <cell r="C347">
            <v>3</v>
          </cell>
          <cell r="D347">
            <v>2904</v>
          </cell>
          <cell r="E347">
            <v>1</v>
          </cell>
          <cell r="F347">
            <v>12</v>
          </cell>
          <cell r="G347">
            <v>3</v>
          </cell>
          <cell r="H347">
            <v>2</v>
          </cell>
          <cell r="I347">
            <v>4</v>
          </cell>
          <cell r="J347">
            <v>2</v>
          </cell>
          <cell r="K347">
            <v>4</v>
          </cell>
          <cell r="L347">
            <v>2</v>
          </cell>
          <cell r="M347">
            <v>0</v>
          </cell>
          <cell r="N347">
            <v>0</v>
          </cell>
          <cell r="O347">
            <v>1</v>
          </cell>
          <cell r="P347">
            <v>0</v>
          </cell>
          <cell r="Q347">
            <v>0</v>
          </cell>
          <cell r="R347">
            <v>0</v>
          </cell>
          <cell r="S347">
            <v>0</v>
          </cell>
          <cell r="T347">
            <v>1</v>
          </cell>
          <cell r="U347">
            <v>0</v>
          </cell>
          <cell r="V347">
            <v>0</v>
          </cell>
          <cell r="W347">
            <v>0</v>
          </cell>
          <cell r="X347">
            <v>0</v>
          </cell>
          <cell r="Y347">
            <v>0</v>
          </cell>
          <cell r="Z347">
            <v>0</v>
          </cell>
          <cell r="AA347">
            <v>12</v>
          </cell>
          <cell r="AB347">
            <v>0.25</v>
          </cell>
          <cell r="AC347">
            <v>0.5</v>
          </cell>
          <cell r="AD347">
            <v>36</v>
          </cell>
        </row>
        <row r="348">
          <cell r="A348">
            <v>41</v>
          </cell>
          <cell r="B348">
            <v>3</v>
          </cell>
          <cell r="C348">
            <v>2</v>
          </cell>
          <cell r="D348">
            <v>6032</v>
          </cell>
          <cell r="E348">
            <v>6</v>
          </cell>
          <cell r="F348">
            <v>15</v>
          </cell>
          <cell r="G348">
            <v>3</v>
          </cell>
          <cell r="H348">
            <v>0</v>
          </cell>
          <cell r="I348">
            <v>8</v>
          </cell>
          <cell r="J348">
            <v>3</v>
          </cell>
          <cell r="K348">
            <v>5</v>
          </cell>
          <cell r="L348">
            <v>4</v>
          </cell>
          <cell r="M348">
            <v>1</v>
          </cell>
          <cell r="N348">
            <v>0</v>
          </cell>
          <cell r="O348">
            <v>0</v>
          </cell>
          <cell r="P348">
            <v>0</v>
          </cell>
          <cell r="Q348">
            <v>1</v>
          </cell>
          <cell r="R348">
            <v>0</v>
          </cell>
          <cell r="S348">
            <v>0</v>
          </cell>
          <cell r="T348">
            <v>0</v>
          </cell>
          <cell r="U348">
            <v>0</v>
          </cell>
          <cell r="V348">
            <v>3</v>
          </cell>
          <cell r="W348">
            <v>0</v>
          </cell>
          <cell r="X348">
            <v>0</v>
          </cell>
          <cell r="Y348">
            <v>0</v>
          </cell>
          <cell r="Z348">
            <v>0</v>
          </cell>
          <cell r="AA348">
            <v>8</v>
          </cell>
          <cell r="AB348">
            <v>0.75</v>
          </cell>
          <cell r="AC348">
            <v>0.8</v>
          </cell>
          <cell r="AD348">
            <v>32</v>
          </cell>
        </row>
        <row r="349">
          <cell r="A349">
            <v>47</v>
          </cell>
          <cell r="B349">
            <v>1</v>
          </cell>
          <cell r="C349">
            <v>3</v>
          </cell>
          <cell r="D349">
            <v>2976</v>
          </cell>
          <cell r="E349">
            <v>3</v>
          </cell>
          <cell r="F349">
            <v>19</v>
          </cell>
          <cell r="G349">
            <v>3</v>
          </cell>
          <cell r="H349">
            <v>0</v>
          </cell>
          <cell r="I349">
            <v>5</v>
          </cell>
          <cell r="J349">
            <v>3</v>
          </cell>
          <cell r="K349">
            <v>0</v>
          </cell>
          <cell r="L349">
            <v>0</v>
          </cell>
          <cell r="M349">
            <v>0</v>
          </cell>
          <cell r="N349">
            <v>0</v>
          </cell>
          <cell r="O349">
            <v>0</v>
          </cell>
          <cell r="P349">
            <v>0</v>
          </cell>
          <cell r="Q349">
            <v>1</v>
          </cell>
          <cell r="R349">
            <v>0</v>
          </cell>
          <cell r="S349">
            <v>0</v>
          </cell>
          <cell r="T349">
            <v>0</v>
          </cell>
          <cell r="U349">
            <v>0</v>
          </cell>
          <cell r="V349">
            <v>1</v>
          </cell>
          <cell r="W349">
            <v>0</v>
          </cell>
          <cell r="X349">
            <v>0</v>
          </cell>
          <cell r="Y349">
            <v>0</v>
          </cell>
          <cell r="Z349">
            <v>0</v>
          </cell>
          <cell r="AA349">
            <v>6</v>
          </cell>
          <cell r="AB349">
            <v>0.6</v>
          </cell>
          <cell r="AC349">
            <v>0</v>
          </cell>
          <cell r="AD349">
            <v>6</v>
          </cell>
        </row>
        <row r="350">
          <cell r="A350">
            <v>42</v>
          </cell>
          <cell r="B350">
            <v>5</v>
          </cell>
          <cell r="C350">
            <v>3</v>
          </cell>
          <cell r="D350">
            <v>15992</v>
          </cell>
          <cell r="E350">
            <v>2</v>
          </cell>
          <cell r="F350">
            <v>14</v>
          </cell>
          <cell r="G350">
            <v>3</v>
          </cell>
          <cell r="H350">
            <v>0</v>
          </cell>
          <cell r="I350">
            <v>16</v>
          </cell>
          <cell r="J350">
            <v>2</v>
          </cell>
          <cell r="K350">
            <v>1</v>
          </cell>
          <cell r="L350">
            <v>0</v>
          </cell>
          <cell r="M350">
            <v>0</v>
          </cell>
          <cell r="N350">
            <v>1</v>
          </cell>
          <cell r="O350">
            <v>1</v>
          </cell>
          <cell r="P350">
            <v>0</v>
          </cell>
          <cell r="Q350">
            <v>0</v>
          </cell>
          <cell r="R350">
            <v>0</v>
          </cell>
          <cell r="S350">
            <v>0</v>
          </cell>
          <cell r="T350">
            <v>5</v>
          </cell>
          <cell r="U350">
            <v>0</v>
          </cell>
          <cell r="V350">
            <v>0</v>
          </cell>
          <cell r="W350">
            <v>0</v>
          </cell>
          <cell r="X350">
            <v>0</v>
          </cell>
          <cell r="Y350">
            <v>0</v>
          </cell>
          <cell r="Z350">
            <v>0</v>
          </cell>
          <cell r="AA350">
            <v>4</v>
          </cell>
          <cell r="AB350">
            <v>0.125</v>
          </cell>
          <cell r="AC350">
            <v>0</v>
          </cell>
          <cell r="AD350">
            <v>8</v>
          </cell>
        </row>
        <row r="351">
          <cell r="A351">
            <v>29</v>
          </cell>
          <cell r="B351">
            <v>3</v>
          </cell>
          <cell r="C351">
            <v>3</v>
          </cell>
          <cell r="D351">
            <v>4649</v>
          </cell>
          <cell r="E351">
            <v>1</v>
          </cell>
          <cell r="F351">
            <v>14</v>
          </cell>
          <cell r="G351">
            <v>3</v>
          </cell>
          <cell r="H351">
            <v>1</v>
          </cell>
          <cell r="I351">
            <v>4</v>
          </cell>
          <cell r="J351">
            <v>3</v>
          </cell>
          <cell r="K351">
            <v>4</v>
          </cell>
          <cell r="L351">
            <v>3</v>
          </cell>
          <cell r="M351">
            <v>0</v>
          </cell>
          <cell r="N351">
            <v>0</v>
          </cell>
          <cell r="O351">
            <v>1</v>
          </cell>
          <cell r="P351">
            <v>0</v>
          </cell>
          <cell r="Q351">
            <v>0</v>
          </cell>
          <cell r="R351">
            <v>0</v>
          </cell>
          <cell r="S351">
            <v>0</v>
          </cell>
          <cell r="T351">
            <v>3</v>
          </cell>
          <cell r="U351">
            <v>0</v>
          </cell>
          <cell r="V351">
            <v>0</v>
          </cell>
          <cell r="W351">
            <v>0</v>
          </cell>
          <cell r="X351">
            <v>0</v>
          </cell>
          <cell r="Y351">
            <v>0</v>
          </cell>
          <cell r="Z351">
            <v>0</v>
          </cell>
          <cell r="AA351">
            <v>12</v>
          </cell>
          <cell r="AB351">
            <v>0.25</v>
          </cell>
          <cell r="AC351">
            <v>0.75</v>
          </cell>
          <cell r="AD351">
            <v>12</v>
          </cell>
        </row>
        <row r="352">
          <cell r="A352">
            <v>42</v>
          </cell>
          <cell r="B352">
            <v>1</v>
          </cell>
          <cell r="C352">
            <v>3</v>
          </cell>
          <cell r="D352">
            <v>2696</v>
          </cell>
          <cell r="E352">
            <v>0</v>
          </cell>
          <cell r="F352">
            <v>11</v>
          </cell>
          <cell r="G352">
            <v>3</v>
          </cell>
          <cell r="H352">
            <v>1</v>
          </cell>
          <cell r="I352">
            <v>4</v>
          </cell>
          <cell r="J352">
            <v>5</v>
          </cell>
          <cell r="K352">
            <v>3</v>
          </cell>
          <cell r="L352">
            <v>2</v>
          </cell>
          <cell r="M352">
            <v>1</v>
          </cell>
          <cell r="N352">
            <v>0</v>
          </cell>
          <cell r="O352">
            <v>0</v>
          </cell>
          <cell r="P352">
            <v>0</v>
          </cell>
          <cell r="Q352">
            <v>0</v>
          </cell>
          <cell r="R352">
            <v>0</v>
          </cell>
          <cell r="S352">
            <v>1</v>
          </cell>
          <cell r="T352">
            <v>0</v>
          </cell>
          <cell r="U352">
            <v>0</v>
          </cell>
          <cell r="V352">
            <v>0</v>
          </cell>
          <cell r="W352">
            <v>0</v>
          </cell>
          <cell r="X352">
            <v>1</v>
          </cell>
          <cell r="Y352">
            <v>0</v>
          </cell>
          <cell r="Z352">
            <v>0</v>
          </cell>
          <cell r="AA352">
            <v>9</v>
          </cell>
          <cell r="AB352">
            <v>0</v>
          </cell>
          <cell r="AC352">
            <v>0.66666666666666663</v>
          </cell>
          <cell r="AD352">
            <v>27</v>
          </cell>
        </row>
        <row r="353">
          <cell r="A353">
            <v>32</v>
          </cell>
          <cell r="B353">
            <v>3</v>
          </cell>
          <cell r="C353">
            <v>3</v>
          </cell>
          <cell r="D353">
            <v>2370</v>
          </cell>
          <cell r="E353">
            <v>1</v>
          </cell>
          <cell r="F353">
            <v>13</v>
          </cell>
          <cell r="G353">
            <v>3</v>
          </cell>
          <cell r="H353">
            <v>1</v>
          </cell>
          <cell r="I353">
            <v>8</v>
          </cell>
          <cell r="J353">
            <v>4</v>
          </cell>
          <cell r="K353">
            <v>8</v>
          </cell>
          <cell r="L353">
            <v>0</v>
          </cell>
          <cell r="M353">
            <v>0</v>
          </cell>
          <cell r="N353">
            <v>1</v>
          </cell>
          <cell r="O353">
            <v>0</v>
          </cell>
          <cell r="P353">
            <v>0</v>
          </cell>
          <cell r="Q353">
            <v>1</v>
          </cell>
          <cell r="R353">
            <v>0</v>
          </cell>
          <cell r="S353">
            <v>0</v>
          </cell>
          <cell r="T353">
            <v>0</v>
          </cell>
          <cell r="U353">
            <v>0</v>
          </cell>
          <cell r="V353">
            <v>3</v>
          </cell>
          <cell r="W353">
            <v>0</v>
          </cell>
          <cell r="X353">
            <v>0</v>
          </cell>
          <cell r="Y353">
            <v>0</v>
          </cell>
          <cell r="Z353">
            <v>0</v>
          </cell>
          <cell r="AA353">
            <v>6</v>
          </cell>
          <cell r="AB353">
            <v>0.125</v>
          </cell>
          <cell r="AC353">
            <v>0</v>
          </cell>
          <cell r="AD353">
            <v>18</v>
          </cell>
        </row>
        <row r="354">
          <cell r="A354">
            <v>48</v>
          </cell>
          <cell r="B354">
            <v>1</v>
          </cell>
          <cell r="C354">
            <v>3</v>
          </cell>
          <cell r="D354">
            <v>12504</v>
          </cell>
          <cell r="E354">
            <v>3</v>
          </cell>
          <cell r="F354">
            <v>21</v>
          </cell>
          <cell r="G354">
            <v>4</v>
          </cell>
          <cell r="H354">
            <v>1</v>
          </cell>
          <cell r="I354">
            <v>15</v>
          </cell>
          <cell r="J354">
            <v>3</v>
          </cell>
          <cell r="K354">
            <v>0</v>
          </cell>
          <cell r="L354">
            <v>0</v>
          </cell>
          <cell r="M354">
            <v>0</v>
          </cell>
          <cell r="N354">
            <v>1</v>
          </cell>
          <cell r="O354">
            <v>0</v>
          </cell>
          <cell r="P354">
            <v>0</v>
          </cell>
          <cell r="Q354">
            <v>1</v>
          </cell>
          <cell r="R354">
            <v>0</v>
          </cell>
          <cell r="S354">
            <v>0</v>
          </cell>
          <cell r="T354">
            <v>0</v>
          </cell>
          <cell r="U354">
            <v>0</v>
          </cell>
          <cell r="V354">
            <v>1</v>
          </cell>
          <cell r="W354">
            <v>0</v>
          </cell>
          <cell r="X354">
            <v>0</v>
          </cell>
          <cell r="Y354">
            <v>0</v>
          </cell>
          <cell r="Z354">
            <v>0</v>
          </cell>
          <cell r="AA354">
            <v>3</v>
          </cell>
          <cell r="AB354">
            <v>0.2</v>
          </cell>
          <cell r="AC354">
            <v>0</v>
          </cell>
          <cell r="AD354">
            <v>6</v>
          </cell>
        </row>
        <row r="355">
          <cell r="A355">
            <v>37</v>
          </cell>
          <cell r="B355">
            <v>3</v>
          </cell>
          <cell r="C355">
            <v>4</v>
          </cell>
          <cell r="D355">
            <v>5974</v>
          </cell>
          <cell r="E355">
            <v>4</v>
          </cell>
          <cell r="F355">
            <v>13</v>
          </cell>
          <cell r="G355">
            <v>3</v>
          </cell>
          <cell r="H355">
            <v>2</v>
          </cell>
          <cell r="I355">
            <v>13</v>
          </cell>
          <cell r="J355">
            <v>2</v>
          </cell>
          <cell r="K355">
            <v>7</v>
          </cell>
          <cell r="L355">
            <v>7</v>
          </cell>
          <cell r="M355">
            <v>1</v>
          </cell>
          <cell r="N355">
            <v>0</v>
          </cell>
          <cell r="O355">
            <v>0</v>
          </cell>
          <cell r="P355">
            <v>0</v>
          </cell>
          <cell r="Q355">
            <v>1</v>
          </cell>
          <cell r="R355">
            <v>0</v>
          </cell>
          <cell r="S355">
            <v>0</v>
          </cell>
          <cell r="T355">
            <v>0</v>
          </cell>
          <cell r="U355">
            <v>0</v>
          </cell>
          <cell r="V355">
            <v>3</v>
          </cell>
          <cell r="W355">
            <v>0</v>
          </cell>
          <cell r="X355">
            <v>0</v>
          </cell>
          <cell r="Y355">
            <v>0</v>
          </cell>
          <cell r="Z355">
            <v>0</v>
          </cell>
          <cell r="AA355">
            <v>3</v>
          </cell>
          <cell r="AB355">
            <v>0.30769230769230771</v>
          </cell>
          <cell r="AC355">
            <v>1</v>
          </cell>
          <cell r="AD355">
            <v>3</v>
          </cell>
        </row>
        <row r="356">
          <cell r="A356">
            <v>30</v>
          </cell>
          <cell r="B356">
            <v>2</v>
          </cell>
          <cell r="C356">
            <v>3</v>
          </cell>
          <cell r="D356">
            <v>4736</v>
          </cell>
          <cell r="E356">
            <v>7</v>
          </cell>
          <cell r="F356">
            <v>12</v>
          </cell>
          <cell r="G356">
            <v>3</v>
          </cell>
          <cell r="H356">
            <v>1</v>
          </cell>
          <cell r="I356">
            <v>4</v>
          </cell>
          <cell r="J356">
            <v>2</v>
          </cell>
          <cell r="K356">
            <v>2</v>
          </cell>
          <cell r="L356">
            <v>2</v>
          </cell>
          <cell r="M356">
            <v>1</v>
          </cell>
          <cell r="N356">
            <v>1</v>
          </cell>
          <cell r="O356">
            <v>0</v>
          </cell>
          <cell r="P356">
            <v>0</v>
          </cell>
          <cell r="Q356">
            <v>0</v>
          </cell>
          <cell r="R356">
            <v>0</v>
          </cell>
          <cell r="S356">
            <v>1</v>
          </cell>
          <cell r="T356">
            <v>0</v>
          </cell>
          <cell r="U356">
            <v>0</v>
          </cell>
          <cell r="V356">
            <v>0</v>
          </cell>
          <cell r="W356">
            <v>0</v>
          </cell>
          <cell r="X356">
            <v>2</v>
          </cell>
          <cell r="Y356">
            <v>0</v>
          </cell>
          <cell r="Z356">
            <v>1</v>
          </cell>
          <cell r="AA356">
            <v>12</v>
          </cell>
          <cell r="AB356">
            <v>1.75</v>
          </cell>
          <cell r="AC356">
            <v>1</v>
          </cell>
          <cell r="AD356">
            <v>24</v>
          </cell>
        </row>
        <row r="357">
          <cell r="A357">
            <v>26</v>
          </cell>
          <cell r="B357">
            <v>3</v>
          </cell>
          <cell r="C357">
            <v>3</v>
          </cell>
          <cell r="D357">
            <v>5296</v>
          </cell>
          <cell r="E357">
            <v>1</v>
          </cell>
          <cell r="F357">
            <v>17</v>
          </cell>
          <cell r="G357">
            <v>3</v>
          </cell>
          <cell r="H357">
            <v>1</v>
          </cell>
          <cell r="I357">
            <v>8</v>
          </cell>
          <cell r="J357">
            <v>3</v>
          </cell>
          <cell r="K357">
            <v>8</v>
          </cell>
          <cell r="L357">
            <v>7</v>
          </cell>
          <cell r="M357">
            <v>0</v>
          </cell>
          <cell r="N357">
            <v>0</v>
          </cell>
          <cell r="O357">
            <v>1</v>
          </cell>
          <cell r="P357">
            <v>0</v>
          </cell>
          <cell r="Q357">
            <v>0</v>
          </cell>
          <cell r="R357">
            <v>0</v>
          </cell>
          <cell r="S357">
            <v>0</v>
          </cell>
          <cell r="T357">
            <v>3</v>
          </cell>
          <cell r="U357">
            <v>0</v>
          </cell>
          <cell r="V357">
            <v>0</v>
          </cell>
          <cell r="W357">
            <v>0</v>
          </cell>
          <cell r="X357">
            <v>0</v>
          </cell>
          <cell r="Y357">
            <v>0</v>
          </cell>
          <cell r="Z357">
            <v>0</v>
          </cell>
          <cell r="AA357">
            <v>9</v>
          </cell>
          <cell r="AB357">
            <v>0.125</v>
          </cell>
          <cell r="AC357">
            <v>0.875</v>
          </cell>
          <cell r="AD357">
            <v>18</v>
          </cell>
        </row>
        <row r="358">
          <cell r="A358">
            <v>42</v>
          </cell>
          <cell r="B358">
            <v>4</v>
          </cell>
          <cell r="C358">
            <v>2</v>
          </cell>
          <cell r="D358">
            <v>6781</v>
          </cell>
          <cell r="E358">
            <v>3</v>
          </cell>
          <cell r="F358">
            <v>23</v>
          </cell>
          <cell r="G358">
            <v>4</v>
          </cell>
          <cell r="H358">
            <v>0</v>
          </cell>
          <cell r="I358">
            <v>14</v>
          </cell>
          <cell r="J358">
            <v>6</v>
          </cell>
          <cell r="K358">
            <v>1</v>
          </cell>
          <cell r="L358">
            <v>0</v>
          </cell>
          <cell r="M358">
            <v>0</v>
          </cell>
          <cell r="N358">
            <v>0</v>
          </cell>
          <cell r="O358">
            <v>0</v>
          </cell>
          <cell r="P358">
            <v>0</v>
          </cell>
          <cell r="Q358">
            <v>0</v>
          </cell>
          <cell r="R358">
            <v>1</v>
          </cell>
          <cell r="S358">
            <v>0</v>
          </cell>
          <cell r="T358">
            <v>0</v>
          </cell>
          <cell r="U358">
            <v>0</v>
          </cell>
          <cell r="V358">
            <v>0</v>
          </cell>
          <cell r="W358">
            <v>4</v>
          </cell>
          <cell r="X358">
            <v>0</v>
          </cell>
          <cell r="Y358">
            <v>0</v>
          </cell>
          <cell r="Z358">
            <v>0</v>
          </cell>
          <cell r="AA358">
            <v>4</v>
          </cell>
          <cell r="AB358">
            <v>0.21428571428571427</v>
          </cell>
          <cell r="AC358">
            <v>0</v>
          </cell>
          <cell r="AD358">
            <v>8</v>
          </cell>
        </row>
        <row r="359">
          <cell r="A359">
            <v>21</v>
          </cell>
          <cell r="B359">
            <v>1</v>
          </cell>
          <cell r="C359">
            <v>2</v>
          </cell>
          <cell r="D359">
            <v>2174</v>
          </cell>
          <cell r="E359">
            <v>1</v>
          </cell>
          <cell r="F359">
            <v>11</v>
          </cell>
          <cell r="G359">
            <v>3</v>
          </cell>
          <cell r="H359">
            <v>0</v>
          </cell>
          <cell r="I359">
            <v>3</v>
          </cell>
          <cell r="J359">
            <v>3</v>
          </cell>
          <cell r="K359">
            <v>3</v>
          </cell>
          <cell r="L359">
            <v>2</v>
          </cell>
          <cell r="M359">
            <v>1</v>
          </cell>
          <cell r="N359">
            <v>1</v>
          </cell>
          <cell r="O359">
            <v>0</v>
          </cell>
          <cell r="P359">
            <v>0</v>
          </cell>
          <cell r="Q359">
            <v>0</v>
          </cell>
          <cell r="R359">
            <v>0</v>
          </cell>
          <cell r="S359">
            <v>1</v>
          </cell>
          <cell r="T359">
            <v>0</v>
          </cell>
          <cell r="U359">
            <v>0</v>
          </cell>
          <cell r="V359">
            <v>0</v>
          </cell>
          <cell r="W359">
            <v>0</v>
          </cell>
          <cell r="X359">
            <v>1</v>
          </cell>
          <cell r="Y359">
            <v>0</v>
          </cell>
          <cell r="Z359">
            <v>0</v>
          </cell>
          <cell r="AA359">
            <v>2</v>
          </cell>
          <cell r="AB359">
            <v>0.33333333333333331</v>
          </cell>
          <cell r="AC359">
            <v>0.66666666666666663</v>
          </cell>
          <cell r="AD359">
            <v>6</v>
          </cell>
        </row>
        <row r="360">
          <cell r="A360">
            <v>36</v>
          </cell>
          <cell r="B360">
            <v>5</v>
          </cell>
          <cell r="C360">
            <v>3</v>
          </cell>
          <cell r="D360">
            <v>6653</v>
          </cell>
          <cell r="E360">
            <v>4</v>
          </cell>
          <cell r="F360">
            <v>15</v>
          </cell>
          <cell r="G360">
            <v>3</v>
          </cell>
          <cell r="H360">
            <v>0</v>
          </cell>
          <cell r="I360">
            <v>7</v>
          </cell>
          <cell r="J360">
            <v>6</v>
          </cell>
          <cell r="K360">
            <v>1</v>
          </cell>
          <cell r="L360">
            <v>0</v>
          </cell>
          <cell r="M360">
            <v>0</v>
          </cell>
          <cell r="N360">
            <v>1</v>
          </cell>
          <cell r="O360">
            <v>0</v>
          </cell>
          <cell r="P360">
            <v>0</v>
          </cell>
          <cell r="Q360">
            <v>1</v>
          </cell>
          <cell r="R360">
            <v>0</v>
          </cell>
          <cell r="S360">
            <v>0</v>
          </cell>
          <cell r="T360">
            <v>0</v>
          </cell>
          <cell r="U360">
            <v>0</v>
          </cell>
          <cell r="V360">
            <v>5</v>
          </cell>
          <cell r="W360">
            <v>0</v>
          </cell>
          <cell r="X360">
            <v>0</v>
          </cell>
          <cell r="Y360">
            <v>0</v>
          </cell>
          <cell r="Z360">
            <v>0</v>
          </cell>
          <cell r="AA360">
            <v>16</v>
          </cell>
          <cell r="AB360">
            <v>0.5714285714285714</v>
          </cell>
          <cell r="AC360">
            <v>0</v>
          </cell>
          <cell r="AD360">
            <v>32</v>
          </cell>
        </row>
        <row r="361">
          <cell r="A361">
            <v>36</v>
          </cell>
          <cell r="B361">
            <v>4</v>
          </cell>
          <cell r="C361">
            <v>2</v>
          </cell>
          <cell r="D361">
            <v>9699</v>
          </cell>
          <cell r="E361">
            <v>4</v>
          </cell>
          <cell r="F361">
            <v>11</v>
          </cell>
          <cell r="G361">
            <v>3</v>
          </cell>
          <cell r="H361">
            <v>1</v>
          </cell>
          <cell r="I361">
            <v>16</v>
          </cell>
          <cell r="J361">
            <v>2</v>
          </cell>
          <cell r="K361">
            <v>13</v>
          </cell>
          <cell r="L361">
            <v>9</v>
          </cell>
          <cell r="M361">
            <v>0</v>
          </cell>
          <cell r="N361">
            <v>0</v>
          </cell>
          <cell r="O361">
            <v>0</v>
          </cell>
          <cell r="P361">
            <v>0</v>
          </cell>
          <cell r="Q361">
            <v>1</v>
          </cell>
          <cell r="R361">
            <v>0</v>
          </cell>
          <cell r="S361">
            <v>0</v>
          </cell>
          <cell r="T361">
            <v>0</v>
          </cell>
          <cell r="U361">
            <v>0</v>
          </cell>
          <cell r="V361">
            <v>4</v>
          </cell>
          <cell r="W361">
            <v>0</v>
          </cell>
          <cell r="X361">
            <v>0</v>
          </cell>
          <cell r="Y361">
            <v>1</v>
          </cell>
          <cell r="Z361">
            <v>0</v>
          </cell>
          <cell r="AA361">
            <v>4</v>
          </cell>
          <cell r="AB361">
            <v>0.25</v>
          </cell>
          <cell r="AC361">
            <v>0.69230769230769229</v>
          </cell>
          <cell r="AD361">
            <v>4</v>
          </cell>
        </row>
        <row r="362">
          <cell r="A362">
            <v>57</v>
          </cell>
          <cell r="B362">
            <v>4</v>
          </cell>
          <cell r="C362">
            <v>3</v>
          </cell>
          <cell r="D362">
            <v>6755</v>
          </cell>
          <cell r="E362">
            <v>2</v>
          </cell>
          <cell r="F362">
            <v>11</v>
          </cell>
          <cell r="G362">
            <v>3</v>
          </cell>
          <cell r="H362">
            <v>0</v>
          </cell>
          <cell r="I362">
            <v>15</v>
          </cell>
          <cell r="J362">
            <v>2</v>
          </cell>
          <cell r="K362">
            <v>3</v>
          </cell>
          <cell r="L362">
            <v>2</v>
          </cell>
          <cell r="M362">
            <v>0</v>
          </cell>
          <cell r="N362">
            <v>0</v>
          </cell>
          <cell r="O362">
            <v>0</v>
          </cell>
          <cell r="P362">
            <v>0</v>
          </cell>
          <cell r="Q362">
            <v>1</v>
          </cell>
          <cell r="R362">
            <v>0</v>
          </cell>
          <cell r="S362">
            <v>0</v>
          </cell>
          <cell r="T362">
            <v>0</v>
          </cell>
          <cell r="U362">
            <v>0</v>
          </cell>
          <cell r="V362">
            <v>4</v>
          </cell>
          <cell r="W362">
            <v>0</v>
          </cell>
          <cell r="X362">
            <v>0</v>
          </cell>
          <cell r="Y362">
            <v>0</v>
          </cell>
          <cell r="Z362">
            <v>0</v>
          </cell>
          <cell r="AA362">
            <v>12</v>
          </cell>
          <cell r="AB362">
            <v>0.13333333333333333</v>
          </cell>
          <cell r="AC362">
            <v>0.66666666666666663</v>
          </cell>
          <cell r="AD362">
            <v>36</v>
          </cell>
        </row>
        <row r="363">
          <cell r="A363">
            <v>40</v>
          </cell>
          <cell r="B363">
            <v>4</v>
          </cell>
          <cell r="C363">
            <v>4</v>
          </cell>
          <cell r="D363">
            <v>2213</v>
          </cell>
          <cell r="E363">
            <v>3</v>
          </cell>
          <cell r="F363">
            <v>13</v>
          </cell>
          <cell r="G363">
            <v>3</v>
          </cell>
          <cell r="H363">
            <v>1</v>
          </cell>
          <cell r="I363">
            <v>10</v>
          </cell>
          <cell r="J363">
            <v>3</v>
          </cell>
          <cell r="K363">
            <v>7</v>
          </cell>
          <cell r="L363">
            <v>7</v>
          </cell>
          <cell r="M363">
            <v>1</v>
          </cell>
          <cell r="N363">
            <v>1</v>
          </cell>
          <cell r="O363">
            <v>1</v>
          </cell>
          <cell r="P363">
            <v>0</v>
          </cell>
          <cell r="Q363">
            <v>0</v>
          </cell>
          <cell r="R363">
            <v>0</v>
          </cell>
          <cell r="S363">
            <v>0</v>
          </cell>
          <cell r="T363">
            <v>4</v>
          </cell>
          <cell r="U363">
            <v>0</v>
          </cell>
          <cell r="V363">
            <v>0</v>
          </cell>
          <cell r="W363">
            <v>0</v>
          </cell>
          <cell r="X363">
            <v>0</v>
          </cell>
          <cell r="Y363">
            <v>0</v>
          </cell>
          <cell r="Z363">
            <v>1</v>
          </cell>
          <cell r="AA363">
            <v>12</v>
          </cell>
          <cell r="AB363">
            <v>0.3</v>
          </cell>
          <cell r="AC363">
            <v>1</v>
          </cell>
          <cell r="AD363">
            <v>36</v>
          </cell>
        </row>
        <row r="364">
          <cell r="A364">
            <v>21</v>
          </cell>
          <cell r="B364">
            <v>2</v>
          </cell>
          <cell r="C364">
            <v>3</v>
          </cell>
          <cell r="D364">
            <v>2610</v>
          </cell>
          <cell r="E364">
            <v>1</v>
          </cell>
          <cell r="F364">
            <v>24</v>
          </cell>
          <cell r="G364">
            <v>4</v>
          </cell>
          <cell r="H364">
            <v>0</v>
          </cell>
          <cell r="I364">
            <v>3</v>
          </cell>
          <cell r="J364">
            <v>3</v>
          </cell>
          <cell r="K364">
            <v>3</v>
          </cell>
          <cell r="L364">
            <v>2</v>
          </cell>
          <cell r="M364">
            <v>0</v>
          </cell>
          <cell r="N364">
            <v>0</v>
          </cell>
          <cell r="O364">
            <v>0</v>
          </cell>
          <cell r="P364">
            <v>0</v>
          </cell>
          <cell r="Q364">
            <v>1</v>
          </cell>
          <cell r="R364">
            <v>0</v>
          </cell>
          <cell r="S364">
            <v>0</v>
          </cell>
          <cell r="T364">
            <v>0</v>
          </cell>
          <cell r="U364">
            <v>0</v>
          </cell>
          <cell r="V364">
            <v>2</v>
          </cell>
          <cell r="W364">
            <v>0</v>
          </cell>
          <cell r="X364">
            <v>0</v>
          </cell>
          <cell r="Y364">
            <v>0</v>
          </cell>
          <cell r="Z364">
            <v>0</v>
          </cell>
          <cell r="AA364">
            <v>4</v>
          </cell>
          <cell r="AB364">
            <v>0.33333333333333331</v>
          </cell>
          <cell r="AC364">
            <v>0.66666666666666663</v>
          </cell>
          <cell r="AD364">
            <v>12</v>
          </cell>
        </row>
        <row r="365">
          <cell r="A365">
            <v>33</v>
          </cell>
          <cell r="B365">
            <v>3</v>
          </cell>
          <cell r="C365">
            <v>3</v>
          </cell>
          <cell r="D365">
            <v>2851</v>
          </cell>
          <cell r="E365">
            <v>1</v>
          </cell>
          <cell r="F365">
            <v>13</v>
          </cell>
          <cell r="G365">
            <v>3</v>
          </cell>
          <cell r="H365">
            <v>0</v>
          </cell>
          <cell r="I365">
            <v>1</v>
          </cell>
          <cell r="J365">
            <v>2</v>
          </cell>
          <cell r="K365">
            <v>1</v>
          </cell>
          <cell r="L365">
            <v>0</v>
          </cell>
          <cell r="M365">
            <v>1</v>
          </cell>
          <cell r="N365">
            <v>1</v>
          </cell>
          <cell r="O365">
            <v>0</v>
          </cell>
          <cell r="P365">
            <v>1</v>
          </cell>
          <cell r="Q365">
            <v>0</v>
          </cell>
          <cell r="R365">
            <v>0</v>
          </cell>
          <cell r="S365">
            <v>0</v>
          </cell>
          <cell r="T365">
            <v>0</v>
          </cell>
          <cell r="U365">
            <v>3</v>
          </cell>
          <cell r="V365">
            <v>0</v>
          </cell>
          <cell r="W365">
            <v>0</v>
          </cell>
          <cell r="X365">
            <v>0</v>
          </cell>
          <cell r="Y365">
            <v>0</v>
          </cell>
          <cell r="Z365">
            <v>0</v>
          </cell>
          <cell r="AA365">
            <v>12</v>
          </cell>
          <cell r="AB365">
            <v>1</v>
          </cell>
          <cell r="AC365">
            <v>0</v>
          </cell>
          <cell r="AD365">
            <v>24</v>
          </cell>
        </row>
        <row r="366">
          <cell r="A366">
            <v>37</v>
          </cell>
          <cell r="B366">
            <v>3</v>
          </cell>
          <cell r="C366">
            <v>3</v>
          </cell>
          <cell r="D366">
            <v>3452</v>
          </cell>
          <cell r="E366">
            <v>6</v>
          </cell>
          <cell r="F366">
            <v>20</v>
          </cell>
          <cell r="G366">
            <v>4</v>
          </cell>
          <cell r="H366">
            <v>1</v>
          </cell>
          <cell r="I366">
            <v>17</v>
          </cell>
          <cell r="J366">
            <v>3</v>
          </cell>
          <cell r="K366">
            <v>5</v>
          </cell>
          <cell r="L366">
            <v>4</v>
          </cell>
          <cell r="M366">
            <v>0</v>
          </cell>
          <cell r="N366">
            <v>1</v>
          </cell>
          <cell r="O366">
            <v>0</v>
          </cell>
          <cell r="P366">
            <v>0</v>
          </cell>
          <cell r="Q366">
            <v>1</v>
          </cell>
          <cell r="R366">
            <v>0</v>
          </cell>
          <cell r="S366">
            <v>0</v>
          </cell>
          <cell r="T366">
            <v>0</v>
          </cell>
          <cell r="U366">
            <v>0</v>
          </cell>
          <cell r="V366">
            <v>3</v>
          </cell>
          <cell r="W366">
            <v>0</v>
          </cell>
          <cell r="X366">
            <v>0</v>
          </cell>
          <cell r="Y366">
            <v>0</v>
          </cell>
          <cell r="Z366">
            <v>0</v>
          </cell>
          <cell r="AA366">
            <v>3</v>
          </cell>
          <cell r="AB366">
            <v>0.35294117647058826</v>
          </cell>
          <cell r="AC366">
            <v>0.8</v>
          </cell>
          <cell r="AD366">
            <v>6</v>
          </cell>
        </row>
        <row r="367">
          <cell r="A367">
            <v>46</v>
          </cell>
          <cell r="B367">
            <v>4</v>
          </cell>
          <cell r="C367">
            <v>3</v>
          </cell>
          <cell r="D367">
            <v>5258</v>
          </cell>
          <cell r="E367">
            <v>2</v>
          </cell>
          <cell r="F367">
            <v>14</v>
          </cell>
          <cell r="G367">
            <v>3</v>
          </cell>
          <cell r="H367">
            <v>0</v>
          </cell>
          <cell r="I367">
            <v>7</v>
          </cell>
          <cell r="J367">
            <v>2</v>
          </cell>
          <cell r="K367">
            <v>1</v>
          </cell>
          <cell r="L367">
            <v>0</v>
          </cell>
          <cell r="M367">
            <v>0</v>
          </cell>
          <cell r="N367">
            <v>1</v>
          </cell>
          <cell r="O367">
            <v>0</v>
          </cell>
          <cell r="P367">
            <v>0</v>
          </cell>
          <cell r="Q367">
            <v>1</v>
          </cell>
          <cell r="R367">
            <v>0</v>
          </cell>
          <cell r="S367">
            <v>0</v>
          </cell>
          <cell r="T367">
            <v>0</v>
          </cell>
          <cell r="U367">
            <v>0</v>
          </cell>
          <cell r="V367">
            <v>4</v>
          </cell>
          <cell r="W367">
            <v>0</v>
          </cell>
          <cell r="X367">
            <v>0</v>
          </cell>
          <cell r="Y367">
            <v>0</v>
          </cell>
          <cell r="Z367">
            <v>0</v>
          </cell>
          <cell r="AA367">
            <v>9</v>
          </cell>
          <cell r="AB367">
            <v>0.2857142857142857</v>
          </cell>
          <cell r="AC367">
            <v>0</v>
          </cell>
          <cell r="AD367">
            <v>27</v>
          </cell>
        </row>
        <row r="368">
          <cell r="A368">
            <v>41</v>
          </cell>
          <cell r="B368">
            <v>3</v>
          </cell>
          <cell r="C368">
            <v>3</v>
          </cell>
          <cell r="D368">
            <v>9355</v>
          </cell>
          <cell r="E368">
            <v>1</v>
          </cell>
          <cell r="F368">
            <v>18</v>
          </cell>
          <cell r="G368">
            <v>3</v>
          </cell>
          <cell r="H368">
            <v>0</v>
          </cell>
          <cell r="I368">
            <v>8</v>
          </cell>
          <cell r="J368">
            <v>5</v>
          </cell>
          <cell r="K368">
            <v>8</v>
          </cell>
          <cell r="L368">
            <v>7</v>
          </cell>
          <cell r="M368">
            <v>0</v>
          </cell>
          <cell r="N368">
            <v>0</v>
          </cell>
          <cell r="O368">
            <v>0</v>
          </cell>
          <cell r="P368">
            <v>1</v>
          </cell>
          <cell r="Q368">
            <v>0</v>
          </cell>
          <cell r="R368">
            <v>0</v>
          </cell>
          <cell r="S368">
            <v>0</v>
          </cell>
          <cell r="T368">
            <v>0</v>
          </cell>
          <cell r="U368">
            <v>3</v>
          </cell>
          <cell r="V368">
            <v>0</v>
          </cell>
          <cell r="W368">
            <v>0</v>
          </cell>
          <cell r="X368">
            <v>0</v>
          </cell>
          <cell r="Y368">
            <v>0</v>
          </cell>
          <cell r="Z368">
            <v>0</v>
          </cell>
          <cell r="AA368">
            <v>2</v>
          </cell>
          <cell r="AB368">
            <v>0.125</v>
          </cell>
          <cell r="AC368">
            <v>0.875</v>
          </cell>
          <cell r="AD368">
            <v>6</v>
          </cell>
        </row>
        <row r="369">
          <cell r="A369">
            <v>50</v>
          </cell>
          <cell r="B369">
            <v>3</v>
          </cell>
          <cell r="C369">
            <v>2</v>
          </cell>
          <cell r="D369">
            <v>10496</v>
          </cell>
          <cell r="E369">
            <v>6</v>
          </cell>
          <cell r="F369">
            <v>15</v>
          </cell>
          <cell r="G369">
            <v>3</v>
          </cell>
          <cell r="H369">
            <v>0</v>
          </cell>
          <cell r="I369">
            <v>20</v>
          </cell>
          <cell r="J369">
            <v>2</v>
          </cell>
          <cell r="K369">
            <v>4</v>
          </cell>
          <cell r="L369">
            <v>3</v>
          </cell>
          <cell r="M369">
            <v>0</v>
          </cell>
          <cell r="N369">
            <v>0</v>
          </cell>
          <cell r="O369">
            <v>0</v>
          </cell>
          <cell r="P369">
            <v>0</v>
          </cell>
          <cell r="Q369">
            <v>0</v>
          </cell>
          <cell r="R369">
            <v>0</v>
          </cell>
          <cell r="S369">
            <v>1</v>
          </cell>
          <cell r="T369">
            <v>0</v>
          </cell>
          <cell r="U369">
            <v>0</v>
          </cell>
          <cell r="V369">
            <v>0</v>
          </cell>
          <cell r="W369">
            <v>0</v>
          </cell>
          <cell r="X369">
            <v>3</v>
          </cell>
          <cell r="Y369">
            <v>0</v>
          </cell>
          <cell r="Z369">
            <v>0</v>
          </cell>
          <cell r="AA369">
            <v>16</v>
          </cell>
          <cell r="AB369">
            <v>0.3</v>
          </cell>
          <cell r="AC369">
            <v>0.75</v>
          </cell>
          <cell r="AD369">
            <v>64</v>
          </cell>
        </row>
        <row r="370">
          <cell r="A370">
            <v>40</v>
          </cell>
          <cell r="B370">
            <v>2</v>
          </cell>
          <cell r="C370">
            <v>2</v>
          </cell>
          <cell r="D370">
            <v>6380</v>
          </cell>
          <cell r="E370">
            <v>2</v>
          </cell>
          <cell r="F370">
            <v>12</v>
          </cell>
          <cell r="G370">
            <v>3</v>
          </cell>
          <cell r="H370">
            <v>2</v>
          </cell>
          <cell r="I370">
            <v>8</v>
          </cell>
          <cell r="J370">
            <v>6</v>
          </cell>
          <cell r="K370">
            <v>6</v>
          </cell>
          <cell r="L370">
            <v>4</v>
          </cell>
          <cell r="M370">
            <v>1</v>
          </cell>
          <cell r="N370">
            <v>0</v>
          </cell>
          <cell r="O370">
            <v>0</v>
          </cell>
          <cell r="P370">
            <v>1</v>
          </cell>
          <cell r="Q370">
            <v>0</v>
          </cell>
          <cell r="R370">
            <v>0</v>
          </cell>
          <cell r="S370">
            <v>0</v>
          </cell>
          <cell r="T370">
            <v>0</v>
          </cell>
          <cell r="U370">
            <v>2</v>
          </cell>
          <cell r="V370">
            <v>0</v>
          </cell>
          <cell r="W370">
            <v>0</v>
          </cell>
          <cell r="X370">
            <v>0</v>
          </cell>
          <cell r="Y370">
            <v>0</v>
          </cell>
          <cell r="Z370">
            <v>1</v>
          </cell>
          <cell r="AA370">
            <v>9</v>
          </cell>
          <cell r="AB370">
            <v>0.25</v>
          </cell>
          <cell r="AC370">
            <v>0.66666666666666663</v>
          </cell>
          <cell r="AD370">
            <v>9</v>
          </cell>
        </row>
        <row r="371">
          <cell r="A371">
            <v>31</v>
          </cell>
          <cell r="B371">
            <v>4</v>
          </cell>
          <cell r="C371">
            <v>2</v>
          </cell>
          <cell r="D371">
            <v>2657</v>
          </cell>
          <cell r="E371">
            <v>0</v>
          </cell>
          <cell r="F371">
            <v>16</v>
          </cell>
          <cell r="G371">
            <v>3</v>
          </cell>
          <cell r="H371">
            <v>0</v>
          </cell>
          <cell r="I371">
            <v>3</v>
          </cell>
          <cell r="J371">
            <v>5</v>
          </cell>
          <cell r="K371">
            <v>2</v>
          </cell>
          <cell r="L371">
            <v>2</v>
          </cell>
          <cell r="M371">
            <v>1</v>
          </cell>
          <cell r="N371">
            <v>0</v>
          </cell>
          <cell r="O371">
            <v>1</v>
          </cell>
          <cell r="P371">
            <v>0</v>
          </cell>
          <cell r="Q371">
            <v>0</v>
          </cell>
          <cell r="R371">
            <v>0</v>
          </cell>
          <cell r="S371">
            <v>0</v>
          </cell>
          <cell r="T371">
            <v>4</v>
          </cell>
          <cell r="U371">
            <v>0</v>
          </cell>
          <cell r="V371">
            <v>0</v>
          </cell>
          <cell r="W371">
            <v>0</v>
          </cell>
          <cell r="X371">
            <v>0</v>
          </cell>
          <cell r="Y371">
            <v>0</v>
          </cell>
          <cell r="Z371">
            <v>0</v>
          </cell>
          <cell r="AA371">
            <v>6</v>
          </cell>
          <cell r="AB371">
            <v>0</v>
          </cell>
          <cell r="AC371">
            <v>1</v>
          </cell>
          <cell r="AD371">
            <v>24</v>
          </cell>
        </row>
        <row r="372">
          <cell r="A372">
            <v>21</v>
          </cell>
          <cell r="B372">
            <v>3</v>
          </cell>
          <cell r="C372">
            <v>4</v>
          </cell>
          <cell r="D372">
            <v>2716</v>
          </cell>
          <cell r="E372">
            <v>1</v>
          </cell>
          <cell r="F372">
            <v>15</v>
          </cell>
          <cell r="G372">
            <v>3</v>
          </cell>
          <cell r="H372">
            <v>0</v>
          </cell>
          <cell r="I372">
            <v>1</v>
          </cell>
          <cell r="J372">
            <v>0</v>
          </cell>
          <cell r="K372">
            <v>1</v>
          </cell>
          <cell r="L372">
            <v>0</v>
          </cell>
          <cell r="M372">
            <v>0</v>
          </cell>
          <cell r="N372">
            <v>1</v>
          </cell>
          <cell r="O372">
            <v>1</v>
          </cell>
          <cell r="P372">
            <v>0</v>
          </cell>
          <cell r="Q372">
            <v>0</v>
          </cell>
          <cell r="R372">
            <v>0</v>
          </cell>
          <cell r="S372">
            <v>0</v>
          </cell>
          <cell r="T372">
            <v>3</v>
          </cell>
          <cell r="U372">
            <v>0</v>
          </cell>
          <cell r="V372">
            <v>0</v>
          </cell>
          <cell r="W372">
            <v>0</v>
          </cell>
          <cell r="X372">
            <v>0</v>
          </cell>
          <cell r="Y372">
            <v>0</v>
          </cell>
          <cell r="Z372">
            <v>0</v>
          </cell>
          <cell r="AA372">
            <v>6</v>
          </cell>
          <cell r="AB372">
            <v>1</v>
          </cell>
          <cell r="AC372">
            <v>0</v>
          </cell>
          <cell r="AD372">
            <v>24</v>
          </cell>
        </row>
        <row r="373">
          <cell r="A373">
            <v>29</v>
          </cell>
          <cell r="B373">
            <v>3</v>
          </cell>
          <cell r="C373">
            <v>3</v>
          </cell>
          <cell r="D373">
            <v>2201</v>
          </cell>
          <cell r="E373">
            <v>9</v>
          </cell>
          <cell r="F373">
            <v>16</v>
          </cell>
          <cell r="G373">
            <v>3</v>
          </cell>
          <cell r="H373">
            <v>0</v>
          </cell>
          <cell r="I373">
            <v>6</v>
          </cell>
          <cell r="J373">
            <v>4</v>
          </cell>
          <cell r="K373">
            <v>3</v>
          </cell>
          <cell r="L373">
            <v>2</v>
          </cell>
          <cell r="M373">
            <v>0</v>
          </cell>
          <cell r="N373">
            <v>0</v>
          </cell>
          <cell r="O373">
            <v>1</v>
          </cell>
          <cell r="P373">
            <v>0</v>
          </cell>
          <cell r="Q373">
            <v>0</v>
          </cell>
          <cell r="R373">
            <v>0</v>
          </cell>
          <cell r="S373">
            <v>0</v>
          </cell>
          <cell r="T373">
            <v>3</v>
          </cell>
          <cell r="U373">
            <v>0</v>
          </cell>
          <cell r="V373">
            <v>0</v>
          </cell>
          <cell r="W373">
            <v>0</v>
          </cell>
          <cell r="X373">
            <v>0</v>
          </cell>
          <cell r="Y373">
            <v>0</v>
          </cell>
          <cell r="Z373">
            <v>0</v>
          </cell>
          <cell r="AA373">
            <v>16</v>
          </cell>
          <cell r="AB373">
            <v>1.5</v>
          </cell>
          <cell r="AC373">
            <v>0.66666666666666663</v>
          </cell>
          <cell r="AD373">
            <v>64</v>
          </cell>
        </row>
        <row r="374">
          <cell r="A374">
            <v>35</v>
          </cell>
          <cell r="B374">
            <v>4</v>
          </cell>
          <cell r="C374">
            <v>2</v>
          </cell>
          <cell r="D374">
            <v>6540</v>
          </cell>
          <cell r="E374">
            <v>9</v>
          </cell>
          <cell r="F374">
            <v>19</v>
          </cell>
          <cell r="G374">
            <v>3</v>
          </cell>
          <cell r="H374">
            <v>0</v>
          </cell>
          <cell r="I374">
            <v>10</v>
          </cell>
          <cell r="J374">
            <v>5</v>
          </cell>
          <cell r="K374">
            <v>1</v>
          </cell>
          <cell r="L374">
            <v>1</v>
          </cell>
          <cell r="M374">
            <v>0</v>
          </cell>
          <cell r="N374">
            <v>0</v>
          </cell>
          <cell r="O374">
            <v>1</v>
          </cell>
          <cell r="P374">
            <v>0</v>
          </cell>
          <cell r="Q374">
            <v>0</v>
          </cell>
          <cell r="R374">
            <v>0</v>
          </cell>
          <cell r="S374">
            <v>0</v>
          </cell>
          <cell r="T374">
            <v>4</v>
          </cell>
          <cell r="U374">
            <v>0</v>
          </cell>
          <cell r="V374">
            <v>0</v>
          </cell>
          <cell r="W374">
            <v>0</v>
          </cell>
          <cell r="X374">
            <v>0</v>
          </cell>
          <cell r="Y374">
            <v>0</v>
          </cell>
          <cell r="Z374">
            <v>0</v>
          </cell>
          <cell r="AA374">
            <v>6</v>
          </cell>
          <cell r="AB374">
            <v>0.9</v>
          </cell>
          <cell r="AC374">
            <v>1</v>
          </cell>
          <cell r="AD374">
            <v>18</v>
          </cell>
        </row>
        <row r="375">
          <cell r="A375">
            <v>27</v>
          </cell>
          <cell r="B375">
            <v>2</v>
          </cell>
          <cell r="C375">
            <v>3</v>
          </cell>
          <cell r="D375">
            <v>3816</v>
          </cell>
          <cell r="E375">
            <v>1</v>
          </cell>
          <cell r="F375">
            <v>11</v>
          </cell>
          <cell r="G375">
            <v>3</v>
          </cell>
          <cell r="H375">
            <v>1</v>
          </cell>
          <cell r="I375">
            <v>5</v>
          </cell>
          <cell r="J375">
            <v>2</v>
          </cell>
          <cell r="K375">
            <v>5</v>
          </cell>
          <cell r="L375">
            <v>2</v>
          </cell>
          <cell r="M375">
            <v>0</v>
          </cell>
          <cell r="N375">
            <v>0</v>
          </cell>
          <cell r="O375">
            <v>0</v>
          </cell>
          <cell r="P375">
            <v>0</v>
          </cell>
          <cell r="Q375">
            <v>1</v>
          </cell>
          <cell r="R375">
            <v>0</v>
          </cell>
          <cell r="S375">
            <v>0</v>
          </cell>
          <cell r="T375">
            <v>0</v>
          </cell>
          <cell r="U375">
            <v>0</v>
          </cell>
          <cell r="V375">
            <v>2</v>
          </cell>
          <cell r="W375">
            <v>0</v>
          </cell>
          <cell r="X375">
            <v>0</v>
          </cell>
          <cell r="Y375">
            <v>0</v>
          </cell>
          <cell r="Z375">
            <v>0</v>
          </cell>
          <cell r="AA375">
            <v>8</v>
          </cell>
          <cell r="AB375">
            <v>0.2</v>
          </cell>
          <cell r="AC375">
            <v>0.4</v>
          </cell>
          <cell r="AD375">
            <v>16</v>
          </cell>
        </row>
        <row r="376">
          <cell r="A376">
            <v>28</v>
          </cell>
          <cell r="B376">
            <v>4</v>
          </cell>
          <cell r="C376">
            <v>3</v>
          </cell>
          <cell r="D376">
            <v>5253</v>
          </cell>
          <cell r="E376">
            <v>1</v>
          </cell>
          <cell r="F376">
            <v>16</v>
          </cell>
          <cell r="G376">
            <v>3</v>
          </cell>
          <cell r="H376">
            <v>0</v>
          </cell>
          <cell r="I376">
            <v>7</v>
          </cell>
          <cell r="J376">
            <v>1</v>
          </cell>
          <cell r="K376">
            <v>7</v>
          </cell>
          <cell r="L376">
            <v>5</v>
          </cell>
          <cell r="M376">
            <v>0</v>
          </cell>
          <cell r="N376">
            <v>0</v>
          </cell>
          <cell r="O376">
            <v>1</v>
          </cell>
          <cell r="P376">
            <v>0</v>
          </cell>
          <cell r="Q376">
            <v>0</v>
          </cell>
          <cell r="R376">
            <v>0</v>
          </cell>
          <cell r="S376">
            <v>0</v>
          </cell>
          <cell r="T376">
            <v>4</v>
          </cell>
          <cell r="U376">
            <v>0</v>
          </cell>
          <cell r="V376">
            <v>0</v>
          </cell>
          <cell r="W376">
            <v>0</v>
          </cell>
          <cell r="X376">
            <v>0</v>
          </cell>
          <cell r="Y376">
            <v>0</v>
          </cell>
          <cell r="Z376">
            <v>0</v>
          </cell>
          <cell r="AA376">
            <v>8</v>
          </cell>
          <cell r="AB376">
            <v>0.14285714285714285</v>
          </cell>
          <cell r="AC376">
            <v>0.7142857142857143</v>
          </cell>
          <cell r="AD376">
            <v>32</v>
          </cell>
        </row>
        <row r="377">
          <cell r="A377">
            <v>49</v>
          </cell>
          <cell r="B377">
            <v>3</v>
          </cell>
          <cell r="C377">
            <v>2</v>
          </cell>
          <cell r="D377">
            <v>10965</v>
          </cell>
          <cell r="E377">
            <v>8</v>
          </cell>
          <cell r="F377">
            <v>24</v>
          </cell>
          <cell r="G377">
            <v>4</v>
          </cell>
          <cell r="H377">
            <v>0</v>
          </cell>
          <cell r="I377">
            <v>26</v>
          </cell>
          <cell r="J377">
            <v>2</v>
          </cell>
          <cell r="K377">
            <v>5</v>
          </cell>
          <cell r="L377">
            <v>2</v>
          </cell>
          <cell r="M377">
            <v>0</v>
          </cell>
          <cell r="N377">
            <v>0</v>
          </cell>
          <cell r="O377">
            <v>0</v>
          </cell>
          <cell r="P377">
            <v>0</v>
          </cell>
          <cell r="Q377">
            <v>0</v>
          </cell>
          <cell r="R377">
            <v>1</v>
          </cell>
          <cell r="S377">
            <v>0</v>
          </cell>
          <cell r="T377">
            <v>0</v>
          </cell>
          <cell r="U377">
            <v>0</v>
          </cell>
          <cell r="V377">
            <v>0</v>
          </cell>
          <cell r="W377">
            <v>3</v>
          </cell>
          <cell r="X377">
            <v>0</v>
          </cell>
          <cell r="Y377">
            <v>0</v>
          </cell>
          <cell r="Z377">
            <v>0</v>
          </cell>
          <cell r="AA377">
            <v>6</v>
          </cell>
          <cell r="AB377">
            <v>0.30769230769230771</v>
          </cell>
          <cell r="AC377">
            <v>0.4</v>
          </cell>
          <cell r="AD377">
            <v>18</v>
          </cell>
        </row>
        <row r="378">
          <cell r="A378">
            <v>51</v>
          </cell>
          <cell r="B378">
            <v>2</v>
          </cell>
          <cell r="C378">
            <v>3</v>
          </cell>
          <cell r="D378">
            <v>4936</v>
          </cell>
          <cell r="E378">
            <v>4</v>
          </cell>
          <cell r="F378">
            <v>11</v>
          </cell>
          <cell r="G378">
            <v>3</v>
          </cell>
          <cell r="H378">
            <v>1</v>
          </cell>
          <cell r="I378">
            <v>18</v>
          </cell>
          <cell r="J378">
            <v>2</v>
          </cell>
          <cell r="K378">
            <v>7</v>
          </cell>
          <cell r="L378">
            <v>7</v>
          </cell>
          <cell r="M378">
            <v>0</v>
          </cell>
          <cell r="N378">
            <v>1</v>
          </cell>
          <cell r="O378">
            <v>1</v>
          </cell>
          <cell r="P378">
            <v>0</v>
          </cell>
          <cell r="Q378">
            <v>0</v>
          </cell>
          <cell r="R378">
            <v>0</v>
          </cell>
          <cell r="S378">
            <v>0</v>
          </cell>
          <cell r="T378">
            <v>2</v>
          </cell>
          <cell r="U378">
            <v>0</v>
          </cell>
          <cell r="V378">
            <v>0</v>
          </cell>
          <cell r="W378">
            <v>0</v>
          </cell>
          <cell r="X378">
            <v>0</v>
          </cell>
          <cell r="Y378">
            <v>0</v>
          </cell>
          <cell r="Z378">
            <v>0</v>
          </cell>
          <cell r="AA378">
            <v>12</v>
          </cell>
          <cell r="AB378">
            <v>0.22222222222222221</v>
          </cell>
          <cell r="AC378">
            <v>1</v>
          </cell>
          <cell r="AD378">
            <v>36</v>
          </cell>
        </row>
        <row r="379">
          <cell r="A379">
            <v>36</v>
          </cell>
          <cell r="B379">
            <v>3</v>
          </cell>
          <cell r="C379">
            <v>3</v>
          </cell>
          <cell r="D379">
            <v>2543</v>
          </cell>
          <cell r="E379">
            <v>4</v>
          </cell>
          <cell r="F379">
            <v>13</v>
          </cell>
          <cell r="G379">
            <v>3</v>
          </cell>
          <cell r="H379">
            <v>1</v>
          </cell>
          <cell r="I379">
            <v>6</v>
          </cell>
          <cell r="J379">
            <v>3</v>
          </cell>
          <cell r="K379">
            <v>2</v>
          </cell>
          <cell r="L379">
            <v>2</v>
          </cell>
          <cell r="M379">
            <v>0</v>
          </cell>
          <cell r="N379">
            <v>1</v>
          </cell>
          <cell r="O379">
            <v>1</v>
          </cell>
          <cell r="P379">
            <v>0</v>
          </cell>
          <cell r="Q379">
            <v>0</v>
          </cell>
          <cell r="R379">
            <v>0</v>
          </cell>
          <cell r="S379">
            <v>0</v>
          </cell>
          <cell r="T379">
            <v>3</v>
          </cell>
          <cell r="U379">
            <v>0</v>
          </cell>
          <cell r="V379">
            <v>0</v>
          </cell>
          <cell r="W379">
            <v>0</v>
          </cell>
          <cell r="X379">
            <v>0</v>
          </cell>
          <cell r="Y379">
            <v>0</v>
          </cell>
          <cell r="Z379">
            <v>0</v>
          </cell>
          <cell r="AA379">
            <v>12</v>
          </cell>
          <cell r="AB379">
            <v>0.66666666666666663</v>
          </cell>
          <cell r="AC379">
            <v>1</v>
          </cell>
          <cell r="AD379">
            <v>24</v>
          </cell>
        </row>
        <row r="380">
          <cell r="A380">
            <v>34</v>
          </cell>
          <cell r="B380">
            <v>3</v>
          </cell>
          <cell r="C380">
            <v>4</v>
          </cell>
          <cell r="D380">
            <v>5304</v>
          </cell>
          <cell r="E380">
            <v>8</v>
          </cell>
          <cell r="F380">
            <v>13</v>
          </cell>
          <cell r="G380">
            <v>3</v>
          </cell>
          <cell r="H380">
            <v>0</v>
          </cell>
          <cell r="I380">
            <v>9</v>
          </cell>
          <cell r="J380">
            <v>3</v>
          </cell>
          <cell r="K380">
            <v>5</v>
          </cell>
          <cell r="L380">
            <v>2</v>
          </cell>
          <cell r="M380">
            <v>1</v>
          </cell>
          <cell r="N380">
            <v>0</v>
          </cell>
          <cell r="O380">
            <v>0</v>
          </cell>
          <cell r="P380">
            <v>1</v>
          </cell>
          <cell r="Q380">
            <v>0</v>
          </cell>
          <cell r="R380">
            <v>0</v>
          </cell>
          <cell r="S380">
            <v>0</v>
          </cell>
          <cell r="T380">
            <v>0</v>
          </cell>
          <cell r="U380">
            <v>3</v>
          </cell>
          <cell r="V380">
            <v>0</v>
          </cell>
          <cell r="W380">
            <v>0</v>
          </cell>
          <cell r="X380">
            <v>0</v>
          </cell>
          <cell r="Y380">
            <v>0</v>
          </cell>
          <cell r="Z380">
            <v>0</v>
          </cell>
          <cell r="AA380">
            <v>4</v>
          </cell>
          <cell r="AB380">
            <v>0.88888888888888884</v>
          </cell>
          <cell r="AC380">
            <v>0.4</v>
          </cell>
          <cell r="AD380">
            <v>8</v>
          </cell>
        </row>
        <row r="381">
          <cell r="A381">
            <v>55</v>
          </cell>
          <cell r="B381">
            <v>3</v>
          </cell>
          <cell r="C381">
            <v>3</v>
          </cell>
          <cell r="D381">
            <v>16659</v>
          </cell>
          <cell r="E381">
            <v>2</v>
          </cell>
          <cell r="F381">
            <v>13</v>
          </cell>
          <cell r="G381">
            <v>3</v>
          </cell>
          <cell r="H381">
            <v>0</v>
          </cell>
          <cell r="I381">
            <v>30</v>
          </cell>
          <cell r="J381">
            <v>2</v>
          </cell>
          <cell r="K381">
            <v>5</v>
          </cell>
          <cell r="L381">
            <v>4</v>
          </cell>
          <cell r="M381">
            <v>1</v>
          </cell>
          <cell r="N381">
            <v>1</v>
          </cell>
          <cell r="O381">
            <v>1</v>
          </cell>
          <cell r="P381">
            <v>0</v>
          </cell>
          <cell r="Q381">
            <v>0</v>
          </cell>
          <cell r="R381">
            <v>0</v>
          </cell>
          <cell r="S381">
            <v>0</v>
          </cell>
          <cell r="T381">
            <v>3</v>
          </cell>
          <cell r="U381">
            <v>0</v>
          </cell>
          <cell r="V381">
            <v>0</v>
          </cell>
          <cell r="W381">
            <v>0</v>
          </cell>
          <cell r="X381">
            <v>0</v>
          </cell>
          <cell r="Y381">
            <v>0</v>
          </cell>
          <cell r="Z381">
            <v>0</v>
          </cell>
          <cell r="AA381">
            <v>12</v>
          </cell>
          <cell r="AB381">
            <v>6.6666666666666666E-2</v>
          </cell>
          <cell r="AC381">
            <v>0.8</v>
          </cell>
          <cell r="AD381">
            <v>36</v>
          </cell>
        </row>
        <row r="382">
          <cell r="A382">
            <v>24</v>
          </cell>
          <cell r="B382">
            <v>4</v>
          </cell>
          <cell r="C382">
            <v>3</v>
          </cell>
          <cell r="D382">
            <v>4260</v>
          </cell>
          <cell r="E382">
            <v>1</v>
          </cell>
          <cell r="F382">
            <v>12</v>
          </cell>
          <cell r="G382">
            <v>3</v>
          </cell>
          <cell r="H382">
            <v>1</v>
          </cell>
          <cell r="I382">
            <v>5</v>
          </cell>
          <cell r="J382">
            <v>2</v>
          </cell>
          <cell r="K382">
            <v>5</v>
          </cell>
          <cell r="L382">
            <v>2</v>
          </cell>
          <cell r="M382">
            <v>1</v>
          </cell>
          <cell r="N382">
            <v>1</v>
          </cell>
          <cell r="O382">
            <v>0</v>
          </cell>
          <cell r="P382">
            <v>1</v>
          </cell>
          <cell r="Q382">
            <v>0</v>
          </cell>
          <cell r="R382">
            <v>0</v>
          </cell>
          <cell r="S382">
            <v>0</v>
          </cell>
          <cell r="T382">
            <v>0</v>
          </cell>
          <cell r="U382">
            <v>4</v>
          </cell>
          <cell r="V382">
            <v>0</v>
          </cell>
          <cell r="W382">
            <v>0</v>
          </cell>
          <cell r="X382">
            <v>0</v>
          </cell>
          <cell r="Y382">
            <v>0</v>
          </cell>
          <cell r="Z382">
            <v>0</v>
          </cell>
          <cell r="AA382">
            <v>12</v>
          </cell>
          <cell r="AB382">
            <v>0.2</v>
          </cell>
          <cell r="AC382">
            <v>0.4</v>
          </cell>
          <cell r="AD382">
            <v>48</v>
          </cell>
        </row>
        <row r="383">
          <cell r="A383">
            <v>30</v>
          </cell>
          <cell r="B383">
            <v>1</v>
          </cell>
          <cell r="C383">
            <v>3</v>
          </cell>
          <cell r="D383">
            <v>2476</v>
          </cell>
          <cell r="E383">
            <v>1</v>
          </cell>
          <cell r="F383">
            <v>18</v>
          </cell>
          <cell r="G383">
            <v>3</v>
          </cell>
          <cell r="H383">
            <v>1</v>
          </cell>
          <cell r="I383">
            <v>1</v>
          </cell>
          <cell r="J383">
            <v>3</v>
          </cell>
          <cell r="K383">
            <v>1</v>
          </cell>
          <cell r="L383">
            <v>0</v>
          </cell>
          <cell r="M383">
            <v>0</v>
          </cell>
          <cell r="N383">
            <v>0</v>
          </cell>
          <cell r="O383">
            <v>0</v>
          </cell>
          <cell r="P383">
            <v>0</v>
          </cell>
          <cell r="Q383">
            <v>0</v>
          </cell>
          <cell r="R383">
            <v>0</v>
          </cell>
          <cell r="S383">
            <v>1</v>
          </cell>
          <cell r="T383">
            <v>0</v>
          </cell>
          <cell r="U383">
            <v>0</v>
          </cell>
          <cell r="V383">
            <v>0</v>
          </cell>
          <cell r="W383">
            <v>0</v>
          </cell>
          <cell r="X383">
            <v>1</v>
          </cell>
          <cell r="Y383">
            <v>0</v>
          </cell>
          <cell r="Z383">
            <v>0</v>
          </cell>
          <cell r="AA383">
            <v>6</v>
          </cell>
          <cell r="AB383">
            <v>1</v>
          </cell>
          <cell r="AC383">
            <v>0</v>
          </cell>
          <cell r="AD383">
            <v>6</v>
          </cell>
        </row>
        <row r="384">
          <cell r="A384">
            <v>26</v>
          </cell>
          <cell r="B384">
            <v>1</v>
          </cell>
          <cell r="C384">
            <v>3</v>
          </cell>
          <cell r="D384">
            <v>3102</v>
          </cell>
          <cell r="E384">
            <v>0</v>
          </cell>
          <cell r="F384">
            <v>22</v>
          </cell>
          <cell r="G384">
            <v>4</v>
          </cell>
          <cell r="H384">
            <v>0</v>
          </cell>
          <cell r="I384">
            <v>7</v>
          </cell>
          <cell r="J384">
            <v>2</v>
          </cell>
          <cell r="K384">
            <v>6</v>
          </cell>
          <cell r="L384">
            <v>4</v>
          </cell>
          <cell r="M384">
            <v>0</v>
          </cell>
          <cell r="N384">
            <v>0</v>
          </cell>
          <cell r="O384">
            <v>0</v>
          </cell>
          <cell r="P384">
            <v>0</v>
          </cell>
          <cell r="Q384">
            <v>0</v>
          </cell>
          <cell r="R384">
            <v>0</v>
          </cell>
          <cell r="S384">
            <v>1</v>
          </cell>
          <cell r="T384">
            <v>0</v>
          </cell>
          <cell r="U384">
            <v>0</v>
          </cell>
          <cell r="V384">
            <v>0</v>
          </cell>
          <cell r="W384">
            <v>0</v>
          </cell>
          <cell r="X384">
            <v>1</v>
          </cell>
          <cell r="Y384">
            <v>0</v>
          </cell>
          <cell r="Z384">
            <v>0</v>
          </cell>
          <cell r="AA384">
            <v>3</v>
          </cell>
          <cell r="AB384">
            <v>0</v>
          </cell>
          <cell r="AC384">
            <v>0.66666666666666663</v>
          </cell>
          <cell r="AD384">
            <v>9</v>
          </cell>
        </row>
        <row r="385">
          <cell r="A385">
            <v>22</v>
          </cell>
          <cell r="B385">
            <v>3</v>
          </cell>
          <cell r="C385">
            <v>3</v>
          </cell>
          <cell r="D385">
            <v>2244</v>
          </cell>
          <cell r="E385">
            <v>1</v>
          </cell>
          <cell r="F385">
            <v>13</v>
          </cell>
          <cell r="G385">
            <v>3</v>
          </cell>
          <cell r="H385">
            <v>1</v>
          </cell>
          <cell r="I385">
            <v>2</v>
          </cell>
          <cell r="J385">
            <v>1</v>
          </cell>
          <cell r="K385">
            <v>2</v>
          </cell>
          <cell r="L385">
            <v>1</v>
          </cell>
          <cell r="M385">
            <v>0</v>
          </cell>
          <cell r="N385">
            <v>1</v>
          </cell>
          <cell r="O385">
            <v>0</v>
          </cell>
          <cell r="P385">
            <v>0</v>
          </cell>
          <cell r="Q385">
            <v>1</v>
          </cell>
          <cell r="R385">
            <v>0</v>
          </cell>
          <cell r="S385">
            <v>0</v>
          </cell>
          <cell r="T385">
            <v>0</v>
          </cell>
          <cell r="U385">
            <v>0</v>
          </cell>
          <cell r="V385">
            <v>3</v>
          </cell>
          <cell r="W385">
            <v>0</v>
          </cell>
          <cell r="X385">
            <v>0</v>
          </cell>
          <cell r="Y385">
            <v>0</v>
          </cell>
          <cell r="Z385">
            <v>0</v>
          </cell>
          <cell r="AA385">
            <v>2</v>
          </cell>
          <cell r="AB385">
            <v>0.5</v>
          </cell>
          <cell r="AC385">
            <v>0.5</v>
          </cell>
          <cell r="AD385">
            <v>8</v>
          </cell>
        </row>
        <row r="386">
          <cell r="A386">
            <v>36</v>
          </cell>
          <cell r="B386">
            <v>2</v>
          </cell>
          <cell r="C386">
            <v>2</v>
          </cell>
          <cell r="D386">
            <v>7596</v>
          </cell>
          <cell r="E386">
            <v>1</v>
          </cell>
          <cell r="F386">
            <v>13</v>
          </cell>
          <cell r="G386">
            <v>3</v>
          </cell>
          <cell r="H386">
            <v>2</v>
          </cell>
          <cell r="I386">
            <v>10</v>
          </cell>
          <cell r="J386">
            <v>2</v>
          </cell>
          <cell r="K386">
            <v>10</v>
          </cell>
          <cell r="L386">
            <v>9</v>
          </cell>
          <cell r="M386">
            <v>0</v>
          </cell>
          <cell r="N386">
            <v>0</v>
          </cell>
          <cell r="O386">
            <v>0</v>
          </cell>
          <cell r="P386">
            <v>0</v>
          </cell>
          <cell r="Q386">
            <v>1</v>
          </cell>
          <cell r="R386">
            <v>0</v>
          </cell>
          <cell r="S386">
            <v>0</v>
          </cell>
          <cell r="T386">
            <v>0</v>
          </cell>
          <cell r="U386">
            <v>0</v>
          </cell>
          <cell r="V386">
            <v>2</v>
          </cell>
          <cell r="W386">
            <v>0</v>
          </cell>
          <cell r="X386">
            <v>0</v>
          </cell>
          <cell r="Y386">
            <v>0</v>
          </cell>
          <cell r="Z386">
            <v>0</v>
          </cell>
          <cell r="AA386">
            <v>6</v>
          </cell>
          <cell r="AB386">
            <v>0.1</v>
          </cell>
          <cell r="AC386">
            <v>0.9</v>
          </cell>
          <cell r="AD386">
            <v>12</v>
          </cell>
        </row>
        <row r="387">
          <cell r="A387">
            <v>30</v>
          </cell>
          <cell r="B387">
            <v>3</v>
          </cell>
          <cell r="C387">
            <v>3</v>
          </cell>
          <cell r="D387">
            <v>2285</v>
          </cell>
          <cell r="E387">
            <v>9</v>
          </cell>
          <cell r="F387">
            <v>23</v>
          </cell>
          <cell r="G387">
            <v>4</v>
          </cell>
          <cell r="H387">
            <v>0</v>
          </cell>
          <cell r="I387">
            <v>3</v>
          </cell>
          <cell r="J387">
            <v>4</v>
          </cell>
          <cell r="K387">
            <v>1</v>
          </cell>
          <cell r="L387">
            <v>0</v>
          </cell>
          <cell r="M387">
            <v>1</v>
          </cell>
          <cell r="N387">
            <v>0</v>
          </cell>
          <cell r="O387">
            <v>0</v>
          </cell>
          <cell r="P387">
            <v>0</v>
          </cell>
          <cell r="Q387">
            <v>0</v>
          </cell>
          <cell r="R387">
            <v>0</v>
          </cell>
          <cell r="S387">
            <v>1</v>
          </cell>
          <cell r="T387">
            <v>0</v>
          </cell>
          <cell r="U387">
            <v>0</v>
          </cell>
          <cell r="V387">
            <v>0</v>
          </cell>
          <cell r="W387">
            <v>0</v>
          </cell>
          <cell r="X387">
            <v>3</v>
          </cell>
          <cell r="Y387">
            <v>0</v>
          </cell>
          <cell r="Z387">
            <v>0</v>
          </cell>
          <cell r="AA387">
            <v>12</v>
          </cell>
          <cell r="AB387">
            <v>3</v>
          </cell>
          <cell r="AC387">
            <v>0</v>
          </cell>
          <cell r="AD387">
            <v>36</v>
          </cell>
        </row>
        <row r="388">
          <cell r="A388">
            <v>37</v>
          </cell>
          <cell r="B388">
            <v>3</v>
          </cell>
          <cell r="C388">
            <v>3</v>
          </cell>
          <cell r="D388">
            <v>3034</v>
          </cell>
          <cell r="E388">
            <v>1</v>
          </cell>
          <cell r="F388">
            <v>12</v>
          </cell>
          <cell r="G388">
            <v>3</v>
          </cell>
          <cell r="H388">
            <v>1</v>
          </cell>
          <cell r="I388">
            <v>18</v>
          </cell>
          <cell r="J388">
            <v>2</v>
          </cell>
          <cell r="K388">
            <v>18</v>
          </cell>
          <cell r="L388">
            <v>7</v>
          </cell>
          <cell r="M388">
            <v>0</v>
          </cell>
          <cell r="N388">
            <v>1</v>
          </cell>
          <cell r="O388">
            <v>1</v>
          </cell>
          <cell r="P388">
            <v>0</v>
          </cell>
          <cell r="Q388">
            <v>0</v>
          </cell>
          <cell r="R388">
            <v>0</v>
          </cell>
          <cell r="S388">
            <v>0</v>
          </cell>
          <cell r="T388">
            <v>3</v>
          </cell>
          <cell r="U388">
            <v>0</v>
          </cell>
          <cell r="V388">
            <v>0</v>
          </cell>
          <cell r="W388">
            <v>0</v>
          </cell>
          <cell r="X388">
            <v>0</v>
          </cell>
          <cell r="Y388">
            <v>0</v>
          </cell>
          <cell r="Z388">
            <v>0</v>
          </cell>
          <cell r="AA388">
            <v>4</v>
          </cell>
          <cell r="AB388">
            <v>5.5555555555555552E-2</v>
          </cell>
          <cell r="AC388">
            <v>0.3888888888888889</v>
          </cell>
          <cell r="AD388">
            <v>12</v>
          </cell>
        </row>
        <row r="389">
          <cell r="A389">
            <v>40</v>
          </cell>
          <cell r="B389">
            <v>2</v>
          </cell>
          <cell r="C389">
            <v>3</v>
          </cell>
          <cell r="D389">
            <v>5715</v>
          </cell>
          <cell r="E389">
            <v>7</v>
          </cell>
          <cell r="F389">
            <v>12</v>
          </cell>
          <cell r="G389">
            <v>3</v>
          </cell>
          <cell r="H389">
            <v>2</v>
          </cell>
          <cell r="I389">
            <v>8</v>
          </cell>
          <cell r="J389">
            <v>5</v>
          </cell>
          <cell r="K389">
            <v>5</v>
          </cell>
          <cell r="L389">
            <v>4</v>
          </cell>
          <cell r="M389">
            <v>0</v>
          </cell>
          <cell r="N389">
            <v>1</v>
          </cell>
          <cell r="O389">
            <v>0</v>
          </cell>
          <cell r="P389">
            <v>1</v>
          </cell>
          <cell r="Q389">
            <v>0</v>
          </cell>
          <cell r="R389">
            <v>0</v>
          </cell>
          <cell r="S389">
            <v>0</v>
          </cell>
          <cell r="T389">
            <v>0</v>
          </cell>
          <cell r="U389">
            <v>2</v>
          </cell>
          <cell r="V389">
            <v>0</v>
          </cell>
          <cell r="W389">
            <v>0</v>
          </cell>
          <cell r="X389">
            <v>0</v>
          </cell>
          <cell r="Y389">
            <v>0</v>
          </cell>
          <cell r="Z389">
            <v>0</v>
          </cell>
          <cell r="AA389">
            <v>8</v>
          </cell>
          <cell r="AB389">
            <v>0.875</v>
          </cell>
          <cell r="AC389">
            <v>0.8</v>
          </cell>
          <cell r="AD389">
            <v>24</v>
          </cell>
        </row>
        <row r="390">
          <cell r="A390">
            <v>42</v>
          </cell>
          <cell r="B390">
            <v>4</v>
          </cell>
          <cell r="C390">
            <v>3</v>
          </cell>
          <cell r="D390">
            <v>2576</v>
          </cell>
          <cell r="E390">
            <v>3</v>
          </cell>
          <cell r="F390">
            <v>16</v>
          </cell>
          <cell r="G390">
            <v>3</v>
          </cell>
          <cell r="H390">
            <v>1</v>
          </cell>
          <cell r="I390">
            <v>8</v>
          </cell>
          <cell r="J390">
            <v>5</v>
          </cell>
          <cell r="K390">
            <v>5</v>
          </cell>
          <cell r="L390">
            <v>2</v>
          </cell>
          <cell r="M390">
            <v>0</v>
          </cell>
          <cell r="N390">
            <v>1</v>
          </cell>
          <cell r="O390">
            <v>1</v>
          </cell>
          <cell r="P390">
            <v>0</v>
          </cell>
          <cell r="Q390">
            <v>0</v>
          </cell>
          <cell r="R390">
            <v>0</v>
          </cell>
          <cell r="S390">
            <v>0</v>
          </cell>
          <cell r="T390">
            <v>4</v>
          </cell>
          <cell r="U390">
            <v>0</v>
          </cell>
          <cell r="V390">
            <v>0</v>
          </cell>
          <cell r="W390">
            <v>0</v>
          </cell>
          <cell r="X390">
            <v>0</v>
          </cell>
          <cell r="Y390">
            <v>0</v>
          </cell>
          <cell r="Z390">
            <v>0</v>
          </cell>
          <cell r="AA390">
            <v>2</v>
          </cell>
          <cell r="AB390">
            <v>0.375</v>
          </cell>
          <cell r="AC390">
            <v>0.4</v>
          </cell>
          <cell r="AD390">
            <v>4</v>
          </cell>
        </row>
        <row r="391">
          <cell r="A391">
            <v>37</v>
          </cell>
          <cell r="B391">
            <v>4</v>
          </cell>
          <cell r="C391">
            <v>3</v>
          </cell>
          <cell r="D391">
            <v>4197</v>
          </cell>
          <cell r="E391">
            <v>2</v>
          </cell>
          <cell r="F391">
            <v>12</v>
          </cell>
          <cell r="G391">
            <v>3</v>
          </cell>
          <cell r="H391">
            <v>0</v>
          </cell>
          <cell r="I391">
            <v>18</v>
          </cell>
          <cell r="J391">
            <v>2</v>
          </cell>
          <cell r="K391">
            <v>1</v>
          </cell>
          <cell r="L391">
            <v>0</v>
          </cell>
          <cell r="M391">
            <v>1</v>
          </cell>
          <cell r="N391">
            <v>0</v>
          </cell>
          <cell r="O391">
            <v>1</v>
          </cell>
          <cell r="P391">
            <v>0</v>
          </cell>
          <cell r="Q391">
            <v>0</v>
          </cell>
          <cell r="R391">
            <v>0</v>
          </cell>
          <cell r="S391">
            <v>0</v>
          </cell>
          <cell r="T391">
            <v>4</v>
          </cell>
          <cell r="U391">
            <v>0</v>
          </cell>
          <cell r="V391">
            <v>0</v>
          </cell>
          <cell r="W391">
            <v>0</v>
          </cell>
          <cell r="X391">
            <v>0</v>
          </cell>
          <cell r="Y391">
            <v>0</v>
          </cell>
          <cell r="Z391">
            <v>0</v>
          </cell>
          <cell r="AA391">
            <v>6</v>
          </cell>
          <cell r="AB391">
            <v>0.1111111111111111</v>
          </cell>
          <cell r="AC391">
            <v>0</v>
          </cell>
          <cell r="AD391">
            <v>24</v>
          </cell>
        </row>
        <row r="392">
          <cell r="A392">
            <v>43</v>
          </cell>
          <cell r="B392">
            <v>3</v>
          </cell>
          <cell r="C392">
            <v>2</v>
          </cell>
          <cell r="D392">
            <v>14336</v>
          </cell>
          <cell r="E392">
            <v>1</v>
          </cell>
          <cell r="F392">
            <v>11</v>
          </cell>
          <cell r="G392">
            <v>3</v>
          </cell>
          <cell r="H392">
            <v>1</v>
          </cell>
          <cell r="I392">
            <v>25</v>
          </cell>
          <cell r="J392">
            <v>3</v>
          </cell>
          <cell r="K392">
            <v>25</v>
          </cell>
          <cell r="L392">
            <v>10</v>
          </cell>
          <cell r="M392">
            <v>0</v>
          </cell>
          <cell r="N392">
            <v>0</v>
          </cell>
          <cell r="O392">
            <v>1</v>
          </cell>
          <cell r="P392">
            <v>0</v>
          </cell>
          <cell r="Q392">
            <v>0</v>
          </cell>
          <cell r="R392">
            <v>0</v>
          </cell>
          <cell r="S392">
            <v>0</v>
          </cell>
          <cell r="T392">
            <v>3</v>
          </cell>
          <cell r="U392">
            <v>0</v>
          </cell>
          <cell r="V392">
            <v>0</v>
          </cell>
          <cell r="W392">
            <v>0</v>
          </cell>
          <cell r="X392">
            <v>0</v>
          </cell>
          <cell r="Y392">
            <v>0</v>
          </cell>
          <cell r="Z392">
            <v>0</v>
          </cell>
          <cell r="AA392">
            <v>2</v>
          </cell>
          <cell r="AB392">
            <v>0.04</v>
          </cell>
          <cell r="AC392">
            <v>0.4</v>
          </cell>
          <cell r="AD392">
            <v>6</v>
          </cell>
        </row>
        <row r="393">
          <cell r="A393">
            <v>40</v>
          </cell>
          <cell r="B393">
            <v>3</v>
          </cell>
          <cell r="C393">
            <v>2</v>
          </cell>
          <cell r="D393">
            <v>3448</v>
          </cell>
          <cell r="E393">
            <v>6</v>
          </cell>
          <cell r="F393">
            <v>22</v>
          </cell>
          <cell r="G393">
            <v>4</v>
          </cell>
          <cell r="H393">
            <v>1</v>
          </cell>
          <cell r="I393">
            <v>20</v>
          </cell>
          <cell r="J393">
            <v>3</v>
          </cell>
          <cell r="K393">
            <v>1</v>
          </cell>
          <cell r="L393">
            <v>0</v>
          </cell>
          <cell r="M393">
            <v>0</v>
          </cell>
          <cell r="N393">
            <v>1</v>
          </cell>
          <cell r="O393">
            <v>0</v>
          </cell>
          <cell r="P393">
            <v>0</v>
          </cell>
          <cell r="Q393">
            <v>1</v>
          </cell>
          <cell r="R393">
            <v>0</v>
          </cell>
          <cell r="S393">
            <v>0</v>
          </cell>
          <cell r="T393">
            <v>0</v>
          </cell>
          <cell r="U393">
            <v>0</v>
          </cell>
          <cell r="V393">
            <v>3</v>
          </cell>
          <cell r="W393">
            <v>0</v>
          </cell>
          <cell r="X393">
            <v>0</v>
          </cell>
          <cell r="Y393">
            <v>0</v>
          </cell>
          <cell r="Z393">
            <v>0</v>
          </cell>
          <cell r="AA393">
            <v>6</v>
          </cell>
          <cell r="AB393">
            <v>0.3</v>
          </cell>
          <cell r="AC393">
            <v>0</v>
          </cell>
          <cell r="AD393">
            <v>12</v>
          </cell>
        </row>
        <row r="394">
          <cell r="A394">
            <v>54</v>
          </cell>
          <cell r="B394">
            <v>2</v>
          </cell>
          <cell r="C394">
            <v>3</v>
          </cell>
          <cell r="D394">
            <v>19406</v>
          </cell>
          <cell r="E394">
            <v>4</v>
          </cell>
          <cell r="F394">
            <v>11</v>
          </cell>
          <cell r="G394">
            <v>3</v>
          </cell>
          <cell r="H394">
            <v>1</v>
          </cell>
          <cell r="I394">
            <v>24</v>
          </cell>
          <cell r="J394">
            <v>4</v>
          </cell>
          <cell r="K394">
            <v>4</v>
          </cell>
          <cell r="L394">
            <v>2</v>
          </cell>
          <cell r="M394">
            <v>0</v>
          </cell>
          <cell r="N394">
            <v>0</v>
          </cell>
          <cell r="O394">
            <v>0</v>
          </cell>
          <cell r="P394">
            <v>0</v>
          </cell>
          <cell r="Q394">
            <v>1</v>
          </cell>
          <cell r="R394">
            <v>0</v>
          </cell>
          <cell r="S394">
            <v>0</v>
          </cell>
          <cell r="T394">
            <v>0</v>
          </cell>
          <cell r="U394">
            <v>0</v>
          </cell>
          <cell r="V394">
            <v>2</v>
          </cell>
          <cell r="W394">
            <v>0</v>
          </cell>
          <cell r="X394">
            <v>0</v>
          </cell>
          <cell r="Y394">
            <v>0</v>
          </cell>
          <cell r="Z394">
            <v>0</v>
          </cell>
          <cell r="AA394">
            <v>1</v>
          </cell>
          <cell r="AB394">
            <v>0.16666666666666666</v>
          </cell>
          <cell r="AC394">
            <v>0.5</v>
          </cell>
          <cell r="AD394">
            <v>3</v>
          </cell>
        </row>
        <row r="395">
          <cell r="A395">
            <v>34</v>
          </cell>
          <cell r="B395">
            <v>4</v>
          </cell>
          <cell r="C395">
            <v>3</v>
          </cell>
          <cell r="D395">
            <v>6538</v>
          </cell>
          <cell r="E395">
            <v>9</v>
          </cell>
          <cell r="F395">
            <v>15</v>
          </cell>
          <cell r="G395">
            <v>3</v>
          </cell>
          <cell r="H395">
            <v>1</v>
          </cell>
          <cell r="I395">
            <v>6</v>
          </cell>
          <cell r="J395">
            <v>3</v>
          </cell>
          <cell r="K395">
            <v>3</v>
          </cell>
          <cell r="L395">
            <v>2</v>
          </cell>
          <cell r="M395">
            <v>0</v>
          </cell>
          <cell r="N395">
            <v>1</v>
          </cell>
          <cell r="O395">
            <v>0</v>
          </cell>
          <cell r="P395">
            <v>1</v>
          </cell>
          <cell r="Q395">
            <v>0</v>
          </cell>
          <cell r="R395">
            <v>0</v>
          </cell>
          <cell r="S395">
            <v>0</v>
          </cell>
          <cell r="T395">
            <v>0</v>
          </cell>
          <cell r="U395">
            <v>4</v>
          </cell>
          <cell r="V395">
            <v>0</v>
          </cell>
          <cell r="W395">
            <v>0</v>
          </cell>
          <cell r="X395">
            <v>0</v>
          </cell>
          <cell r="Y395">
            <v>0</v>
          </cell>
          <cell r="Z395">
            <v>0</v>
          </cell>
          <cell r="AA395">
            <v>9</v>
          </cell>
          <cell r="AB395">
            <v>1.5</v>
          </cell>
          <cell r="AC395">
            <v>0.66666666666666663</v>
          </cell>
          <cell r="AD395">
            <v>9</v>
          </cell>
        </row>
        <row r="396">
          <cell r="A396">
            <v>31</v>
          </cell>
          <cell r="B396">
            <v>2</v>
          </cell>
          <cell r="C396">
            <v>3</v>
          </cell>
          <cell r="D396">
            <v>4306</v>
          </cell>
          <cell r="E396">
            <v>1</v>
          </cell>
          <cell r="F396">
            <v>12</v>
          </cell>
          <cell r="G396">
            <v>3</v>
          </cell>
          <cell r="H396">
            <v>1</v>
          </cell>
          <cell r="I396">
            <v>13</v>
          </cell>
          <cell r="J396">
            <v>5</v>
          </cell>
          <cell r="K396">
            <v>13</v>
          </cell>
          <cell r="L396">
            <v>10</v>
          </cell>
          <cell r="M396">
            <v>0</v>
          </cell>
          <cell r="N396">
            <v>1</v>
          </cell>
          <cell r="O396">
            <v>0</v>
          </cell>
          <cell r="P396">
            <v>0</v>
          </cell>
          <cell r="Q396">
            <v>1</v>
          </cell>
          <cell r="R396">
            <v>0</v>
          </cell>
          <cell r="S396">
            <v>0</v>
          </cell>
          <cell r="T396">
            <v>0</v>
          </cell>
          <cell r="U396">
            <v>0</v>
          </cell>
          <cell r="V396">
            <v>2</v>
          </cell>
          <cell r="W396">
            <v>0</v>
          </cell>
          <cell r="X396">
            <v>0</v>
          </cell>
          <cell r="Y396">
            <v>0</v>
          </cell>
          <cell r="Z396">
            <v>0</v>
          </cell>
          <cell r="AA396">
            <v>2</v>
          </cell>
          <cell r="AB396">
            <v>7.6923076923076927E-2</v>
          </cell>
          <cell r="AC396">
            <v>0.76923076923076927</v>
          </cell>
          <cell r="AD396">
            <v>4</v>
          </cell>
        </row>
        <row r="397">
          <cell r="A397">
            <v>43</v>
          </cell>
          <cell r="B397">
            <v>3</v>
          </cell>
          <cell r="C397">
            <v>3</v>
          </cell>
          <cell r="D397">
            <v>2258</v>
          </cell>
          <cell r="E397">
            <v>7</v>
          </cell>
          <cell r="F397">
            <v>20</v>
          </cell>
          <cell r="G397">
            <v>4</v>
          </cell>
          <cell r="H397">
            <v>1</v>
          </cell>
          <cell r="I397">
            <v>8</v>
          </cell>
          <cell r="J397">
            <v>1</v>
          </cell>
          <cell r="K397">
            <v>3</v>
          </cell>
          <cell r="L397">
            <v>2</v>
          </cell>
          <cell r="M397">
            <v>0</v>
          </cell>
          <cell r="N397">
            <v>0</v>
          </cell>
          <cell r="O397">
            <v>0</v>
          </cell>
          <cell r="P397">
            <v>0</v>
          </cell>
          <cell r="Q397">
            <v>1</v>
          </cell>
          <cell r="R397">
            <v>0</v>
          </cell>
          <cell r="S397">
            <v>0</v>
          </cell>
          <cell r="T397">
            <v>0</v>
          </cell>
          <cell r="U397">
            <v>0</v>
          </cell>
          <cell r="V397">
            <v>3</v>
          </cell>
          <cell r="W397">
            <v>0</v>
          </cell>
          <cell r="X397">
            <v>0</v>
          </cell>
          <cell r="Y397">
            <v>1</v>
          </cell>
          <cell r="Z397">
            <v>0</v>
          </cell>
          <cell r="AA397">
            <v>16</v>
          </cell>
          <cell r="AB397">
            <v>0.875</v>
          </cell>
          <cell r="AC397">
            <v>0.66666666666666663</v>
          </cell>
          <cell r="AD397">
            <v>16</v>
          </cell>
        </row>
        <row r="398">
          <cell r="A398">
            <v>43</v>
          </cell>
          <cell r="B398">
            <v>4</v>
          </cell>
          <cell r="C398">
            <v>3</v>
          </cell>
          <cell r="D398">
            <v>4522</v>
          </cell>
          <cell r="E398">
            <v>4</v>
          </cell>
          <cell r="F398">
            <v>14</v>
          </cell>
          <cell r="G398">
            <v>3</v>
          </cell>
          <cell r="H398">
            <v>0</v>
          </cell>
          <cell r="I398">
            <v>8</v>
          </cell>
          <cell r="J398">
            <v>3</v>
          </cell>
          <cell r="K398">
            <v>5</v>
          </cell>
          <cell r="L398">
            <v>2</v>
          </cell>
          <cell r="M398">
            <v>1</v>
          </cell>
          <cell r="N398">
            <v>1</v>
          </cell>
          <cell r="O398">
            <v>0</v>
          </cell>
          <cell r="P398">
            <v>0</v>
          </cell>
          <cell r="Q398">
            <v>0</v>
          </cell>
          <cell r="R398">
            <v>1</v>
          </cell>
          <cell r="S398">
            <v>0</v>
          </cell>
          <cell r="T398">
            <v>0</v>
          </cell>
          <cell r="U398">
            <v>0</v>
          </cell>
          <cell r="V398">
            <v>0</v>
          </cell>
          <cell r="W398">
            <v>4</v>
          </cell>
          <cell r="X398">
            <v>0</v>
          </cell>
          <cell r="Y398">
            <v>0</v>
          </cell>
          <cell r="Z398">
            <v>0</v>
          </cell>
          <cell r="AA398">
            <v>9</v>
          </cell>
          <cell r="AB398">
            <v>0.5</v>
          </cell>
          <cell r="AC398">
            <v>0.4</v>
          </cell>
          <cell r="AD398">
            <v>36</v>
          </cell>
        </row>
        <row r="399">
          <cell r="A399">
            <v>25</v>
          </cell>
          <cell r="B399">
            <v>2</v>
          </cell>
          <cell r="C399">
            <v>2</v>
          </cell>
          <cell r="D399">
            <v>4487</v>
          </cell>
          <cell r="E399">
            <v>1</v>
          </cell>
          <cell r="F399">
            <v>11</v>
          </cell>
          <cell r="G399">
            <v>3</v>
          </cell>
          <cell r="H399">
            <v>0</v>
          </cell>
          <cell r="I399">
            <v>5</v>
          </cell>
          <cell r="J399">
            <v>3</v>
          </cell>
          <cell r="K399">
            <v>5</v>
          </cell>
          <cell r="L399">
            <v>4</v>
          </cell>
          <cell r="M399">
            <v>1</v>
          </cell>
          <cell r="N399">
            <v>1</v>
          </cell>
          <cell r="O399">
            <v>1</v>
          </cell>
          <cell r="P399">
            <v>0</v>
          </cell>
          <cell r="Q399">
            <v>0</v>
          </cell>
          <cell r="R399">
            <v>0</v>
          </cell>
          <cell r="S399">
            <v>0</v>
          </cell>
          <cell r="T399">
            <v>2</v>
          </cell>
          <cell r="U399">
            <v>0</v>
          </cell>
          <cell r="V399">
            <v>0</v>
          </cell>
          <cell r="W399">
            <v>0</v>
          </cell>
          <cell r="X399">
            <v>0</v>
          </cell>
          <cell r="Y399">
            <v>0</v>
          </cell>
          <cell r="Z399">
            <v>0</v>
          </cell>
          <cell r="AA399">
            <v>8</v>
          </cell>
          <cell r="AB399">
            <v>0.2</v>
          </cell>
          <cell r="AC399">
            <v>0.8</v>
          </cell>
          <cell r="AD399">
            <v>16</v>
          </cell>
        </row>
        <row r="400">
          <cell r="A400">
            <v>37</v>
          </cell>
          <cell r="B400">
            <v>5</v>
          </cell>
          <cell r="C400">
            <v>3</v>
          </cell>
          <cell r="D400">
            <v>4449</v>
          </cell>
          <cell r="E400">
            <v>3</v>
          </cell>
          <cell r="F400">
            <v>15</v>
          </cell>
          <cell r="G400">
            <v>3</v>
          </cell>
          <cell r="H400">
            <v>2</v>
          </cell>
          <cell r="I400">
            <v>15</v>
          </cell>
          <cell r="J400">
            <v>2</v>
          </cell>
          <cell r="K400">
            <v>13</v>
          </cell>
          <cell r="L400">
            <v>11</v>
          </cell>
          <cell r="M400">
            <v>1</v>
          </cell>
          <cell r="N400">
            <v>1</v>
          </cell>
          <cell r="O400">
            <v>0</v>
          </cell>
          <cell r="P400">
            <v>0</v>
          </cell>
          <cell r="Q400">
            <v>1</v>
          </cell>
          <cell r="R400">
            <v>0</v>
          </cell>
          <cell r="S400">
            <v>0</v>
          </cell>
          <cell r="T400">
            <v>0</v>
          </cell>
          <cell r="U400">
            <v>0</v>
          </cell>
          <cell r="V400">
            <v>5</v>
          </cell>
          <cell r="W400">
            <v>0</v>
          </cell>
          <cell r="X400">
            <v>0</v>
          </cell>
          <cell r="Y400">
            <v>0</v>
          </cell>
          <cell r="Z400">
            <v>1</v>
          </cell>
          <cell r="AA400">
            <v>6</v>
          </cell>
          <cell r="AB400">
            <v>0.2</v>
          </cell>
          <cell r="AC400">
            <v>0.84615384615384615</v>
          </cell>
          <cell r="AD400">
            <v>6</v>
          </cell>
        </row>
        <row r="401">
          <cell r="A401">
            <v>31</v>
          </cell>
          <cell r="B401">
            <v>2</v>
          </cell>
          <cell r="C401">
            <v>2</v>
          </cell>
          <cell r="D401">
            <v>2218</v>
          </cell>
          <cell r="E401">
            <v>1</v>
          </cell>
          <cell r="F401">
            <v>12</v>
          </cell>
          <cell r="G401">
            <v>3</v>
          </cell>
          <cell r="H401">
            <v>1</v>
          </cell>
          <cell r="I401">
            <v>4</v>
          </cell>
          <cell r="J401">
            <v>3</v>
          </cell>
          <cell r="K401">
            <v>4</v>
          </cell>
          <cell r="L401">
            <v>2</v>
          </cell>
          <cell r="M401">
            <v>0</v>
          </cell>
          <cell r="N401">
            <v>0</v>
          </cell>
          <cell r="O401">
            <v>1</v>
          </cell>
          <cell r="P401">
            <v>0</v>
          </cell>
          <cell r="Q401">
            <v>0</v>
          </cell>
          <cell r="R401">
            <v>0</v>
          </cell>
          <cell r="S401">
            <v>0</v>
          </cell>
          <cell r="T401">
            <v>2</v>
          </cell>
          <cell r="U401">
            <v>0</v>
          </cell>
          <cell r="V401">
            <v>0</v>
          </cell>
          <cell r="W401">
            <v>0</v>
          </cell>
          <cell r="X401">
            <v>0</v>
          </cell>
          <cell r="Y401">
            <v>0</v>
          </cell>
          <cell r="Z401">
            <v>0</v>
          </cell>
          <cell r="AA401">
            <v>4</v>
          </cell>
          <cell r="AB401">
            <v>0.25</v>
          </cell>
          <cell r="AC401">
            <v>0.5</v>
          </cell>
          <cell r="AD401">
            <v>12</v>
          </cell>
        </row>
        <row r="402">
          <cell r="A402">
            <v>39</v>
          </cell>
          <cell r="B402">
            <v>1</v>
          </cell>
          <cell r="C402">
            <v>3</v>
          </cell>
          <cell r="D402">
            <v>19197</v>
          </cell>
          <cell r="E402">
            <v>1</v>
          </cell>
          <cell r="F402">
            <v>14</v>
          </cell>
          <cell r="G402">
            <v>3</v>
          </cell>
          <cell r="H402">
            <v>1</v>
          </cell>
          <cell r="I402">
            <v>21</v>
          </cell>
          <cell r="J402">
            <v>3</v>
          </cell>
          <cell r="K402">
            <v>21</v>
          </cell>
          <cell r="L402">
            <v>8</v>
          </cell>
          <cell r="M402">
            <v>1</v>
          </cell>
          <cell r="N402">
            <v>0</v>
          </cell>
          <cell r="O402">
            <v>1</v>
          </cell>
          <cell r="P402">
            <v>0</v>
          </cell>
          <cell r="Q402">
            <v>0</v>
          </cell>
          <cell r="R402">
            <v>0</v>
          </cell>
          <cell r="S402">
            <v>0</v>
          </cell>
          <cell r="T402">
            <v>1</v>
          </cell>
          <cell r="U402">
            <v>0</v>
          </cell>
          <cell r="V402">
            <v>0</v>
          </cell>
          <cell r="W402">
            <v>0</v>
          </cell>
          <cell r="X402">
            <v>0</v>
          </cell>
          <cell r="Y402">
            <v>0</v>
          </cell>
          <cell r="Z402">
            <v>0</v>
          </cell>
          <cell r="AA402">
            <v>6</v>
          </cell>
          <cell r="AB402">
            <v>4.7619047619047616E-2</v>
          </cell>
          <cell r="AC402">
            <v>0.38095238095238093</v>
          </cell>
          <cell r="AD402">
            <v>18</v>
          </cell>
        </row>
        <row r="403">
          <cell r="A403">
            <v>56</v>
          </cell>
          <cell r="B403">
            <v>3</v>
          </cell>
          <cell r="C403">
            <v>4</v>
          </cell>
          <cell r="D403">
            <v>13212</v>
          </cell>
          <cell r="E403">
            <v>9</v>
          </cell>
          <cell r="F403">
            <v>11</v>
          </cell>
          <cell r="G403">
            <v>3</v>
          </cell>
          <cell r="H403">
            <v>3</v>
          </cell>
          <cell r="I403">
            <v>36</v>
          </cell>
          <cell r="J403">
            <v>0</v>
          </cell>
          <cell r="K403">
            <v>7</v>
          </cell>
          <cell r="L403">
            <v>7</v>
          </cell>
          <cell r="M403">
            <v>0</v>
          </cell>
          <cell r="N403">
            <v>1</v>
          </cell>
          <cell r="O403">
            <v>1</v>
          </cell>
          <cell r="P403">
            <v>0</v>
          </cell>
          <cell r="Q403">
            <v>0</v>
          </cell>
          <cell r="R403">
            <v>0</v>
          </cell>
          <cell r="S403">
            <v>0</v>
          </cell>
          <cell r="T403">
            <v>3</v>
          </cell>
          <cell r="U403">
            <v>0</v>
          </cell>
          <cell r="V403">
            <v>0</v>
          </cell>
          <cell r="W403">
            <v>0</v>
          </cell>
          <cell r="X403">
            <v>0</v>
          </cell>
          <cell r="Y403">
            <v>1</v>
          </cell>
          <cell r="Z403">
            <v>0</v>
          </cell>
          <cell r="AA403">
            <v>3</v>
          </cell>
          <cell r="AB403">
            <v>0.25</v>
          </cell>
          <cell r="AC403">
            <v>1</v>
          </cell>
          <cell r="AD403">
            <v>12</v>
          </cell>
        </row>
        <row r="404">
          <cell r="A404">
            <v>30</v>
          </cell>
          <cell r="B404">
            <v>3</v>
          </cell>
          <cell r="C404">
            <v>3</v>
          </cell>
          <cell r="D404">
            <v>6577</v>
          </cell>
          <cell r="E404">
            <v>0</v>
          </cell>
          <cell r="F404">
            <v>11</v>
          </cell>
          <cell r="G404">
            <v>3</v>
          </cell>
          <cell r="H404">
            <v>0</v>
          </cell>
          <cell r="I404">
            <v>6</v>
          </cell>
          <cell r="J404">
            <v>6</v>
          </cell>
          <cell r="K404">
            <v>5</v>
          </cell>
          <cell r="L404">
            <v>4</v>
          </cell>
          <cell r="M404">
            <v>0</v>
          </cell>
          <cell r="N404">
            <v>1</v>
          </cell>
          <cell r="O404">
            <v>0</v>
          </cell>
          <cell r="P404">
            <v>0</v>
          </cell>
          <cell r="Q404">
            <v>0</v>
          </cell>
          <cell r="R404">
            <v>0</v>
          </cell>
          <cell r="S404">
            <v>1</v>
          </cell>
          <cell r="T404">
            <v>0</v>
          </cell>
          <cell r="U404">
            <v>0</v>
          </cell>
          <cell r="V404">
            <v>0</v>
          </cell>
          <cell r="W404">
            <v>0</v>
          </cell>
          <cell r="X404">
            <v>3</v>
          </cell>
          <cell r="Y404">
            <v>0</v>
          </cell>
          <cell r="Z404">
            <v>0</v>
          </cell>
          <cell r="AA404">
            <v>6</v>
          </cell>
          <cell r="AB404">
            <v>0</v>
          </cell>
          <cell r="AC404">
            <v>0.8</v>
          </cell>
          <cell r="AD404">
            <v>12</v>
          </cell>
        </row>
        <row r="405">
          <cell r="A405">
            <v>41</v>
          </cell>
          <cell r="B405">
            <v>3</v>
          </cell>
          <cell r="C405">
            <v>4</v>
          </cell>
          <cell r="D405">
            <v>8392</v>
          </cell>
          <cell r="E405">
            <v>1</v>
          </cell>
          <cell r="F405">
            <v>16</v>
          </cell>
          <cell r="G405">
            <v>3</v>
          </cell>
          <cell r="H405">
            <v>1</v>
          </cell>
          <cell r="I405">
            <v>10</v>
          </cell>
          <cell r="J405">
            <v>2</v>
          </cell>
          <cell r="K405">
            <v>10</v>
          </cell>
          <cell r="L405">
            <v>7</v>
          </cell>
          <cell r="M405">
            <v>0</v>
          </cell>
          <cell r="N405">
            <v>0</v>
          </cell>
          <cell r="O405">
            <v>0</v>
          </cell>
          <cell r="P405">
            <v>1</v>
          </cell>
          <cell r="Q405">
            <v>0</v>
          </cell>
          <cell r="R405">
            <v>0</v>
          </cell>
          <cell r="S405">
            <v>0</v>
          </cell>
          <cell r="T405">
            <v>0</v>
          </cell>
          <cell r="U405">
            <v>3</v>
          </cell>
          <cell r="V405">
            <v>0</v>
          </cell>
          <cell r="W405">
            <v>0</v>
          </cell>
          <cell r="X405">
            <v>0</v>
          </cell>
          <cell r="Y405">
            <v>0</v>
          </cell>
          <cell r="Z405">
            <v>0</v>
          </cell>
          <cell r="AA405">
            <v>2</v>
          </cell>
          <cell r="AB405">
            <v>0.1</v>
          </cell>
          <cell r="AC405">
            <v>0.7</v>
          </cell>
          <cell r="AD405">
            <v>6</v>
          </cell>
        </row>
        <row r="406">
          <cell r="A406">
            <v>28</v>
          </cell>
          <cell r="B406">
            <v>2</v>
          </cell>
          <cell r="C406">
            <v>3</v>
          </cell>
          <cell r="D406">
            <v>4558</v>
          </cell>
          <cell r="E406">
            <v>1</v>
          </cell>
          <cell r="F406">
            <v>12</v>
          </cell>
          <cell r="G406">
            <v>3</v>
          </cell>
          <cell r="H406">
            <v>1</v>
          </cell>
          <cell r="I406">
            <v>10</v>
          </cell>
          <cell r="J406">
            <v>2</v>
          </cell>
          <cell r="K406">
            <v>10</v>
          </cell>
          <cell r="L406">
            <v>0</v>
          </cell>
          <cell r="M406">
            <v>0</v>
          </cell>
          <cell r="N406">
            <v>0</v>
          </cell>
          <cell r="O406">
            <v>0</v>
          </cell>
          <cell r="P406">
            <v>0</v>
          </cell>
          <cell r="Q406">
            <v>1</v>
          </cell>
          <cell r="R406">
            <v>0</v>
          </cell>
          <cell r="S406">
            <v>0</v>
          </cell>
          <cell r="T406">
            <v>0</v>
          </cell>
          <cell r="U406">
            <v>0</v>
          </cell>
          <cell r="V406">
            <v>2</v>
          </cell>
          <cell r="W406">
            <v>0</v>
          </cell>
          <cell r="X406">
            <v>0</v>
          </cell>
          <cell r="Y406">
            <v>0</v>
          </cell>
          <cell r="Z406">
            <v>0</v>
          </cell>
          <cell r="AA406">
            <v>3</v>
          </cell>
          <cell r="AB406">
            <v>0.1</v>
          </cell>
          <cell r="AC406">
            <v>0</v>
          </cell>
          <cell r="AD406">
            <v>12</v>
          </cell>
        </row>
        <row r="407">
          <cell r="A407">
            <v>25</v>
          </cell>
          <cell r="B407">
            <v>3</v>
          </cell>
          <cell r="C407">
            <v>3</v>
          </cell>
          <cell r="D407">
            <v>4031</v>
          </cell>
          <cell r="E407">
            <v>5</v>
          </cell>
          <cell r="F407">
            <v>13</v>
          </cell>
          <cell r="G407">
            <v>3</v>
          </cell>
          <cell r="H407">
            <v>1</v>
          </cell>
          <cell r="I407">
            <v>6</v>
          </cell>
          <cell r="J407">
            <v>5</v>
          </cell>
          <cell r="K407">
            <v>2</v>
          </cell>
          <cell r="L407">
            <v>2</v>
          </cell>
          <cell r="M407">
            <v>0</v>
          </cell>
          <cell r="N407">
            <v>0</v>
          </cell>
          <cell r="O407">
            <v>0</v>
          </cell>
          <cell r="P407">
            <v>0</v>
          </cell>
          <cell r="Q407">
            <v>1</v>
          </cell>
          <cell r="R407">
            <v>0</v>
          </cell>
          <cell r="S407">
            <v>0</v>
          </cell>
          <cell r="T407">
            <v>0</v>
          </cell>
          <cell r="U407">
            <v>0</v>
          </cell>
          <cell r="V407">
            <v>3</v>
          </cell>
          <cell r="W407">
            <v>0</v>
          </cell>
          <cell r="X407">
            <v>0</v>
          </cell>
          <cell r="Y407">
            <v>0</v>
          </cell>
          <cell r="Z407">
            <v>0</v>
          </cell>
          <cell r="AA407">
            <v>1</v>
          </cell>
          <cell r="AB407">
            <v>0.83333333333333337</v>
          </cell>
          <cell r="AC407">
            <v>1</v>
          </cell>
          <cell r="AD407">
            <v>3</v>
          </cell>
        </row>
        <row r="408">
          <cell r="A408">
            <v>52</v>
          </cell>
          <cell r="B408">
            <v>3</v>
          </cell>
          <cell r="C408">
            <v>2</v>
          </cell>
          <cell r="D408">
            <v>7969</v>
          </cell>
          <cell r="E408">
            <v>2</v>
          </cell>
          <cell r="F408">
            <v>14</v>
          </cell>
          <cell r="G408">
            <v>3</v>
          </cell>
          <cell r="H408">
            <v>0</v>
          </cell>
          <cell r="I408">
            <v>28</v>
          </cell>
          <cell r="J408">
            <v>4</v>
          </cell>
          <cell r="K408">
            <v>5</v>
          </cell>
          <cell r="L408">
            <v>4</v>
          </cell>
          <cell r="M408">
            <v>1</v>
          </cell>
          <cell r="N408">
            <v>0</v>
          </cell>
          <cell r="O408">
            <v>0</v>
          </cell>
          <cell r="P408">
            <v>0</v>
          </cell>
          <cell r="Q408">
            <v>1</v>
          </cell>
          <cell r="R408">
            <v>0</v>
          </cell>
          <cell r="S408">
            <v>0</v>
          </cell>
          <cell r="T408">
            <v>0</v>
          </cell>
          <cell r="U408">
            <v>0</v>
          </cell>
          <cell r="V408">
            <v>3</v>
          </cell>
          <cell r="W408">
            <v>0</v>
          </cell>
          <cell r="X408">
            <v>0</v>
          </cell>
          <cell r="Y408">
            <v>0</v>
          </cell>
          <cell r="Z408">
            <v>1</v>
          </cell>
          <cell r="AA408">
            <v>12</v>
          </cell>
          <cell r="AB408">
            <v>7.1428571428571425E-2</v>
          </cell>
          <cell r="AC408">
            <v>0.8</v>
          </cell>
          <cell r="AD408">
            <v>36</v>
          </cell>
        </row>
        <row r="409">
          <cell r="A409">
            <v>45</v>
          </cell>
          <cell r="B409">
            <v>2</v>
          </cell>
          <cell r="C409">
            <v>3</v>
          </cell>
          <cell r="D409">
            <v>2654</v>
          </cell>
          <cell r="E409">
            <v>3</v>
          </cell>
          <cell r="F409">
            <v>21</v>
          </cell>
          <cell r="G409">
            <v>4</v>
          </cell>
          <cell r="H409">
            <v>2</v>
          </cell>
          <cell r="I409">
            <v>8</v>
          </cell>
          <cell r="J409">
            <v>3</v>
          </cell>
          <cell r="K409">
            <v>2</v>
          </cell>
          <cell r="L409">
            <v>2</v>
          </cell>
          <cell r="M409">
            <v>0</v>
          </cell>
          <cell r="N409">
            <v>0</v>
          </cell>
          <cell r="O409">
            <v>1</v>
          </cell>
          <cell r="P409">
            <v>0</v>
          </cell>
          <cell r="Q409">
            <v>0</v>
          </cell>
          <cell r="R409">
            <v>0</v>
          </cell>
          <cell r="S409">
            <v>0</v>
          </cell>
          <cell r="T409">
            <v>2</v>
          </cell>
          <cell r="U409">
            <v>0</v>
          </cell>
          <cell r="V409">
            <v>0</v>
          </cell>
          <cell r="W409">
            <v>0</v>
          </cell>
          <cell r="X409">
            <v>0</v>
          </cell>
          <cell r="Y409">
            <v>0</v>
          </cell>
          <cell r="Z409">
            <v>0</v>
          </cell>
          <cell r="AA409">
            <v>4</v>
          </cell>
          <cell r="AB409">
            <v>0.375</v>
          </cell>
          <cell r="AC409">
            <v>1</v>
          </cell>
          <cell r="AD409">
            <v>16</v>
          </cell>
        </row>
        <row r="410">
          <cell r="A410">
            <v>52</v>
          </cell>
          <cell r="B410">
            <v>2</v>
          </cell>
          <cell r="C410">
            <v>3</v>
          </cell>
          <cell r="D410">
            <v>16555</v>
          </cell>
          <cell r="E410">
            <v>2</v>
          </cell>
          <cell r="F410">
            <v>13</v>
          </cell>
          <cell r="G410">
            <v>3</v>
          </cell>
          <cell r="H410">
            <v>0</v>
          </cell>
          <cell r="I410">
            <v>31</v>
          </cell>
          <cell r="J410">
            <v>2</v>
          </cell>
          <cell r="K410">
            <v>5</v>
          </cell>
          <cell r="L410">
            <v>2</v>
          </cell>
          <cell r="M410">
            <v>0</v>
          </cell>
          <cell r="N410">
            <v>1</v>
          </cell>
          <cell r="O410">
            <v>1</v>
          </cell>
          <cell r="P410">
            <v>0</v>
          </cell>
          <cell r="Q410">
            <v>0</v>
          </cell>
          <cell r="R410">
            <v>0</v>
          </cell>
          <cell r="S410">
            <v>0</v>
          </cell>
          <cell r="T410">
            <v>2</v>
          </cell>
          <cell r="U410">
            <v>0</v>
          </cell>
          <cell r="V410">
            <v>0</v>
          </cell>
          <cell r="W410">
            <v>0</v>
          </cell>
          <cell r="X410">
            <v>0</v>
          </cell>
          <cell r="Y410">
            <v>0</v>
          </cell>
          <cell r="Z410">
            <v>0</v>
          </cell>
          <cell r="AA410">
            <v>16</v>
          </cell>
          <cell r="AB410">
            <v>6.4516129032258063E-2</v>
          </cell>
          <cell r="AC410">
            <v>0.4</v>
          </cell>
          <cell r="AD410">
            <v>64</v>
          </cell>
        </row>
        <row r="411">
          <cell r="A411">
            <v>42</v>
          </cell>
          <cell r="B411">
            <v>2</v>
          </cell>
          <cell r="C411">
            <v>3</v>
          </cell>
          <cell r="D411">
            <v>4556</v>
          </cell>
          <cell r="E411">
            <v>2</v>
          </cell>
          <cell r="F411">
            <v>11</v>
          </cell>
          <cell r="G411">
            <v>3</v>
          </cell>
          <cell r="H411">
            <v>1</v>
          </cell>
          <cell r="I411">
            <v>19</v>
          </cell>
          <cell r="J411">
            <v>3</v>
          </cell>
          <cell r="K411">
            <v>5</v>
          </cell>
          <cell r="L411">
            <v>4</v>
          </cell>
          <cell r="M411">
            <v>0</v>
          </cell>
          <cell r="N411">
            <v>1</v>
          </cell>
          <cell r="O411">
            <v>1</v>
          </cell>
          <cell r="P411">
            <v>0</v>
          </cell>
          <cell r="Q411">
            <v>0</v>
          </cell>
          <cell r="R411">
            <v>0</v>
          </cell>
          <cell r="S411">
            <v>0</v>
          </cell>
          <cell r="T411">
            <v>2</v>
          </cell>
          <cell r="U411">
            <v>0</v>
          </cell>
          <cell r="V411">
            <v>0</v>
          </cell>
          <cell r="W411">
            <v>0</v>
          </cell>
          <cell r="X411">
            <v>0</v>
          </cell>
          <cell r="Y411">
            <v>0</v>
          </cell>
          <cell r="Z411">
            <v>0</v>
          </cell>
          <cell r="AA411">
            <v>3</v>
          </cell>
          <cell r="AB411">
            <v>0.10526315789473684</v>
          </cell>
          <cell r="AC411">
            <v>0.8</v>
          </cell>
          <cell r="AD411">
            <v>6</v>
          </cell>
        </row>
        <row r="412">
          <cell r="A412">
            <v>30</v>
          </cell>
          <cell r="B412">
            <v>3</v>
          </cell>
          <cell r="C412">
            <v>1</v>
          </cell>
          <cell r="D412">
            <v>6091</v>
          </cell>
          <cell r="E412">
            <v>2</v>
          </cell>
          <cell r="F412">
            <v>20</v>
          </cell>
          <cell r="G412">
            <v>4</v>
          </cell>
          <cell r="H412">
            <v>0</v>
          </cell>
          <cell r="I412">
            <v>11</v>
          </cell>
          <cell r="J412">
            <v>2</v>
          </cell>
          <cell r="K412">
            <v>5</v>
          </cell>
          <cell r="L412">
            <v>4</v>
          </cell>
          <cell r="M412">
            <v>0</v>
          </cell>
          <cell r="N412">
            <v>1</v>
          </cell>
          <cell r="O412">
            <v>1</v>
          </cell>
          <cell r="P412">
            <v>0</v>
          </cell>
          <cell r="Q412">
            <v>0</v>
          </cell>
          <cell r="R412">
            <v>0</v>
          </cell>
          <cell r="S412">
            <v>0</v>
          </cell>
          <cell r="T412">
            <v>3</v>
          </cell>
          <cell r="U412">
            <v>0</v>
          </cell>
          <cell r="V412">
            <v>0</v>
          </cell>
          <cell r="W412">
            <v>0</v>
          </cell>
          <cell r="X412">
            <v>0</v>
          </cell>
          <cell r="Y412">
            <v>0</v>
          </cell>
          <cell r="Z412">
            <v>0</v>
          </cell>
          <cell r="AA412">
            <v>12</v>
          </cell>
          <cell r="AB412">
            <v>0.18181818181818182</v>
          </cell>
          <cell r="AC412">
            <v>0.8</v>
          </cell>
          <cell r="AD412">
            <v>36</v>
          </cell>
        </row>
        <row r="413">
          <cell r="A413">
            <v>60</v>
          </cell>
          <cell r="B413">
            <v>3</v>
          </cell>
          <cell r="C413">
            <v>3</v>
          </cell>
          <cell r="D413">
            <v>19566</v>
          </cell>
          <cell r="E413">
            <v>5</v>
          </cell>
          <cell r="F413">
            <v>11</v>
          </cell>
          <cell r="G413">
            <v>3</v>
          </cell>
          <cell r="H413">
            <v>0</v>
          </cell>
          <cell r="I413">
            <v>33</v>
          </cell>
          <cell r="J413">
            <v>5</v>
          </cell>
          <cell r="K413">
            <v>29</v>
          </cell>
          <cell r="L413">
            <v>8</v>
          </cell>
          <cell r="M413">
            <v>0</v>
          </cell>
          <cell r="N413">
            <v>1</v>
          </cell>
          <cell r="O413">
            <v>1</v>
          </cell>
          <cell r="P413">
            <v>0</v>
          </cell>
          <cell r="Q413">
            <v>0</v>
          </cell>
          <cell r="R413">
            <v>0</v>
          </cell>
          <cell r="S413">
            <v>0</v>
          </cell>
          <cell r="T413">
            <v>3</v>
          </cell>
          <cell r="U413">
            <v>0</v>
          </cell>
          <cell r="V413">
            <v>0</v>
          </cell>
          <cell r="W413">
            <v>0</v>
          </cell>
          <cell r="X413">
            <v>0</v>
          </cell>
          <cell r="Y413">
            <v>0</v>
          </cell>
          <cell r="Z413">
            <v>0</v>
          </cell>
          <cell r="AA413">
            <v>1</v>
          </cell>
          <cell r="AB413">
            <v>0.15151515151515152</v>
          </cell>
          <cell r="AC413">
            <v>0.27586206896551724</v>
          </cell>
          <cell r="AD413">
            <v>4</v>
          </cell>
        </row>
        <row r="414">
          <cell r="A414">
            <v>46</v>
          </cell>
          <cell r="B414">
            <v>3</v>
          </cell>
          <cell r="C414">
            <v>3</v>
          </cell>
          <cell r="D414">
            <v>4810</v>
          </cell>
          <cell r="E414">
            <v>2</v>
          </cell>
          <cell r="F414">
            <v>14</v>
          </cell>
          <cell r="G414">
            <v>3</v>
          </cell>
          <cell r="H414">
            <v>1</v>
          </cell>
          <cell r="I414">
            <v>19</v>
          </cell>
          <cell r="J414">
            <v>5</v>
          </cell>
          <cell r="K414">
            <v>10</v>
          </cell>
          <cell r="L414">
            <v>7</v>
          </cell>
          <cell r="M414">
            <v>0</v>
          </cell>
          <cell r="N414">
            <v>1</v>
          </cell>
          <cell r="O414">
            <v>0</v>
          </cell>
          <cell r="P414">
            <v>0</v>
          </cell>
          <cell r="Q414">
            <v>1</v>
          </cell>
          <cell r="R414">
            <v>0</v>
          </cell>
          <cell r="S414">
            <v>0</v>
          </cell>
          <cell r="T414">
            <v>0</v>
          </cell>
          <cell r="U414">
            <v>0</v>
          </cell>
          <cell r="V414">
            <v>3</v>
          </cell>
          <cell r="W414">
            <v>0</v>
          </cell>
          <cell r="X414">
            <v>0</v>
          </cell>
          <cell r="Y414">
            <v>0</v>
          </cell>
          <cell r="Z414">
            <v>0</v>
          </cell>
          <cell r="AA414">
            <v>9</v>
          </cell>
          <cell r="AB414">
            <v>0.10526315789473684</v>
          </cell>
          <cell r="AC414">
            <v>0.7</v>
          </cell>
          <cell r="AD414">
            <v>27</v>
          </cell>
        </row>
        <row r="415">
          <cell r="A415">
            <v>42</v>
          </cell>
          <cell r="B415">
            <v>4</v>
          </cell>
          <cell r="C415">
            <v>2</v>
          </cell>
          <cell r="D415">
            <v>4523</v>
          </cell>
          <cell r="E415">
            <v>0</v>
          </cell>
          <cell r="F415">
            <v>11</v>
          </cell>
          <cell r="G415">
            <v>3</v>
          </cell>
          <cell r="H415">
            <v>3</v>
          </cell>
          <cell r="I415">
            <v>7</v>
          </cell>
          <cell r="J415">
            <v>4</v>
          </cell>
          <cell r="K415">
            <v>6</v>
          </cell>
          <cell r="L415">
            <v>5</v>
          </cell>
          <cell r="M415">
            <v>0</v>
          </cell>
          <cell r="N415">
            <v>1</v>
          </cell>
          <cell r="O415">
            <v>0</v>
          </cell>
          <cell r="P415">
            <v>0</v>
          </cell>
          <cell r="Q415">
            <v>0</v>
          </cell>
          <cell r="R415">
            <v>0</v>
          </cell>
          <cell r="S415">
            <v>1</v>
          </cell>
          <cell r="T415">
            <v>0</v>
          </cell>
          <cell r="U415">
            <v>0</v>
          </cell>
          <cell r="V415">
            <v>0</v>
          </cell>
          <cell r="W415">
            <v>0</v>
          </cell>
          <cell r="X415">
            <v>4</v>
          </cell>
          <cell r="Y415">
            <v>1</v>
          </cell>
          <cell r="Z415">
            <v>0</v>
          </cell>
          <cell r="AA415">
            <v>16</v>
          </cell>
          <cell r="AB415">
            <v>0</v>
          </cell>
          <cell r="AC415">
            <v>0.83333333333333337</v>
          </cell>
          <cell r="AD415">
            <v>64</v>
          </cell>
        </row>
        <row r="416">
          <cell r="A416">
            <v>24</v>
          </cell>
          <cell r="B416">
            <v>1</v>
          </cell>
          <cell r="C416">
            <v>3</v>
          </cell>
          <cell r="D416">
            <v>3202</v>
          </cell>
          <cell r="E416">
            <v>1</v>
          </cell>
          <cell r="F416">
            <v>16</v>
          </cell>
          <cell r="G416">
            <v>3</v>
          </cell>
          <cell r="H416">
            <v>0</v>
          </cell>
          <cell r="I416">
            <v>6</v>
          </cell>
          <cell r="J416">
            <v>4</v>
          </cell>
          <cell r="K416">
            <v>5</v>
          </cell>
          <cell r="L416">
            <v>3</v>
          </cell>
          <cell r="M416">
            <v>1</v>
          </cell>
          <cell r="N416">
            <v>1</v>
          </cell>
          <cell r="O416">
            <v>0</v>
          </cell>
          <cell r="P416">
            <v>0</v>
          </cell>
          <cell r="Q416">
            <v>0</v>
          </cell>
          <cell r="R416">
            <v>0</v>
          </cell>
          <cell r="S416">
            <v>1</v>
          </cell>
          <cell r="T416">
            <v>0</v>
          </cell>
          <cell r="U416">
            <v>0</v>
          </cell>
          <cell r="V416">
            <v>0</v>
          </cell>
          <cell r="W416">
            <v>0</v>
          </cell>
          <cell r="X416">
            <v>1</v>
          </cell>
          <cell r="Y416">
            <v>0</v>
          </cell>
          <cell r="Z416">
            <v>0</v>
          </cell>
          <cell r="AA416">
            <v>2</v>
          </cell>
          <cell r="AB416">
            <v>0.16666666666666666</v>
          </cell>
          <cell r="AC416">
            <v>0.6</v>
          </cell>
          <cell r="AD416">
            <v>4</v>
          </cell>
        </row>
        <row r="417">
          <cell r="A417">
            <v>34</v>
          </cell>
          <cell r="B417">
            <v>2</v>
          </cell>
          <cell r="C417">
            <v>1</v>
          </cell>
          <cell r="D417">
            <v>2351</v>
          </cell>
          <cell r="E417">
            <v>0</v>
          </cell>
          <cell r="F417">
            <v>16</v>
          </cell>
          <cell r="G417">
            <v>3</v>
          </cell>
          <cell r="H417">
            <v>1</v>
          </cell>
          <cell r="I417">
            <v>3</v>
          </cell>
          <cell r="J417">
            <v>3</v>
          </cell>
          <cell r="K417">
            <v>2</v>
          </cell>
          <cell r="L417">
            <v>2</v>
          </cell>
          <cell r="M417">
            <v>0</v>
          </cell>
          <cell r="N417">
            <v>1</v>
          </cell>
          <cell r="O417">
            <v>0</v>
          </cell>
          <cell r="P417">
            <v>1</v>
          </cell>
          <cell r="Q417">
            <v>0</v>
          </cell>
          <cell r="R417">
            <v>0</v>
          </cell>
          <cell r="S417">
            <v>0</v>
          </cell>
          <cell r="T417">
            <v>0</v>
          </cell>
          <cell r="U417">
            <v>2</v>
          </cell>
          <cell r="V417">
            <v>0</v>
          </cell>
          <cell r="W417">
            <v>0</v>
          </cell>
          <cell r="X417">
            <v>0</v>
          </cell>
          <cell r="Y417">
            <v>0</v>
          </cell>
          <cell r="Z417">
            <v>0</v>
          </cell>
          <cell r="AA417">
            <v>12</v>
          </cell>
          <cell r="AB417">
            <v>0</v>
          </cell>
          <cell r="AC417">
            <v>1</v>
          </cell>
          <cell r="AD417">
            <v>48</v>
          </cell>
        </row>
        <row r="418">
          <cell r="A418">
            <v>38</v>
          </cell>
          <cell r="B418">
            <v>2</v>
          </cell>
          <cell r="C418">
            <v>3</v>
          </cell>
          <cell r="D418">
            <v>1702</v>
          </cell>
          <cell r="E418">
            <v>1</v>
          </cell>
          <cell r="F418">
            <v>23</v>
          </cell>
          <cell r="G418">
            <v>4</v>
          </cell>
          <cell r="H418">
            <v>1</v>
          </cell>
          <cell r="I418">
            <v>1</v>
          </cell>
          <cell r="J418">
            <v>3</v>
          </cell>
          <cell r="K418">
            <v>1</v>
          </cell>
          <cell r="L418">
            <v>0</v>
          </cell>
          <cell r="M418">
            <v>1</v>
          </cell>
          <cell r="N418">
            <v>0</v>
          </cell>
          <cell r="O418">
            <v>1</v>
          </cell>
          <cell r="P418">
            <v>0</v>
          </cell>
          <cell r="Q418">
            <v>0</v>
          </cell>
          <cell r="R418">
            <v>0</v>
          </cell>
          <cell r="S418">
            <v>0</v>
          </cell>
          <cell r="T418">
            <v>2</v>
          </cell>
          <cell r="U418">
            <v>0</v>
          </cell>
          <cell r="V418">
            <v>0</v>
          </cell>
          <cell r="W418">
            <v>0</v>
          </cell>
          <cell r="X418">
            <v>0</v>
          </cell>
          <cell r="Y418">
            <v>1</v>
          </cell>
          <cell r="Z418">
            <v>1</v>
          </cell>
          <cell r="AA418">
            <v>16</v>
          </cell>
          <cell r="AB418">
            <v>1</v>
          </cell>
          <cell r="AC418">
            <v>0</v>
          </cell>
          <cell r="AD418">
            <v>48</v>
          </cell>
        </row>
        <row r="419">
          <cell r="A419">
            <v>40</v>
          </cell>
          <cell r="B419">
            <v>4</v>
          </cell>
          <cell r="C419">
            <v>3</v>
          </cell>
          <cell r="D419">
            <v>18041</v>
          </cell>
          <cell r="E419">
            <v>0</v>
          </cell>
          <cell r="F419">
            <v>14</v>
          </cell>
          <cell r="G419">
            <v>3</v>
          </cell>
          <cell r="H419">
            <v>0</v>
          </cell>
          <cell r="I419">
            <v>21</v>
          </cell>
          <cell r="J419">
            <v>2</v>
          </cell>
          <cell r="K419">
            <v>20</v>
          </cell>
          <cell r="L419">
            <v>15</v>
          </cell>
          <cell r="M419">
            <v>0</v>
          </cell>
          <cell r="N419">
            <v>1</v>
          </cell>
          <cell r="O419">
            <v>1</v>
          </cell>
          <cell r="P419">
            <v>0</v>
          </cell>
          <cell r="Q419">
            <v>0</v>
          </cell>
          <cell r="R419">
            <v>0</v>
          </cell>
          <cell r="S419">
            <v>0</v>
          </cell>
          <cell r="T419">
            <v>4</v>
          </cell>
          <cell r="U419">
            <v>0</v>
          </cell>
          <cell r="V419">
            <v>0</v>
          </cell>
          <cell r="W419">
            <v>0</v>
          </cell>
          <cell r="X419">
            <v>0</v>
          </cell>
          <cell r="Y419">
            <v>0</v>
          </cell>
          <cell r="Z419">
            <v>0</v>
          </cell>
          <cell r="AA419">
            <v>9</v>
          </cell>
          <cell r="AB419">
            <v>0</v>
          </cell>
          <cell r="AC419">
            <v>0.75</v>
          </cell>
          <cell r="AD419">
            <v>36</v>
          </cell>
        </row>
        <row r="420">
          <cell r="A420">
            <v>26</v>
          </cell>
          <cell r="B420">
            <v>3</v>
          </cell>
          <cell r="C420">
            <v>3</v>
          </cell>
          <cell r="D420">
            <v>2886</v>
          </cell>
          <cell r="E420">
            <v>1</v>
          </cell>
          <cell r="F420">
            <v>22</v>
          </cell>
          <cell r="G420">
            <v>4</v>
          </cell>
          <cell r="H420">
            <v>2</v>
          </cell>
          <cell r="I420">
            <v>3</v>
          </cell>
          <cell r="J420">
            <v>3</v>
          </cell>
          <cell r="K420">
            <v>3</v>
          </cell>
          <cell r="L420">
            <v>2</v>
          </cell>
          <cell r="M420">
            <v>0</v>
          </cell>
          <cell r="N420">
            <v>1</v>
          </cell>
          <cell r="O420">
            <v>1</v>
          </cell>
          <cell r="P420">
            <v>0</v>
          </cell>
          <cell r="Q420">
            <v>0</v>
          </cell>
          <cell r="R420">
            <v>0</v>
          </cell>
          <cell r="S420">
            <v>0</v>
          </cell>
          <cell r="T420">
            <v>3</v>
          </cell>
          <cell r="U420">
            <v>0</v>
          </cell>
          <cell r="V420">
            <v>0</v>
          </cell>
          <cell r="W420">
            <v>0</v>
          </cell>
          <cell r="X420">
            <v>0</v>
          </cell>
          <cell r="Y420">
            <v>0</v>
          </cell>
          <cell r="Z420">
            <v>0</v>
          </cell>
          <cell r="AA420">
            <v>4</v>
          </cell>
          <cell r="AB420">
            <v>0.33333333333333331</v>
          </cell>
          <cell r="AC420">
            <v>0.66666666666666663</v>
          </cell>
          <cell r="AD420">
            <v>8</v>
          </cell>
        </row>
        <row r="421">
          <cell r="A421">
            <v>30</v>
          </cell>
          <cell r="B421">
            <v>3</v>
          </cell>
          <cell r="C421">
            <v>3</v>
          </cell>
          <cell r="D421">
            <v>2097</v>
          </cell>
          <cell r="E421">
            <v>4</v>
          </cell>
          <cell r="F421">
            <v>15</v>
          </cell>
          <cell r="G421">
            <v>3</v>
          </cell>
          <cell r="H421">
            <v>1</v>
          </cell>
          <cell r="I421">
            <v>9</v>
          </cell>
          <cell r="J421">
            <v>3</v>
          </cell>
          <cell r="K421">
            <v>5</v>
          </cell>
          <cell r="L421">
            <v>3</v>
          </cell>
          <cell r="M421">
            <v>0</v>
          </cell>
          <cell r="N421">
            <v>0</v>
          </cell>
          <cell r="O421">
            <v>1</v>
          </cell>
          <cell r="P421">
            <v>0</v>
          </cell>
          <cell r="Q421">
            <v>0</v>
          </cell>
          <cell r="R421">
            <v>0</v>
          </cell>
          <cell r="S421">
            <v>0</v>
          </cell>
          <cell r="T421">
            <v>3</v>
          </cell>
          <cell r="U421">
            <v>0</v>
          </cell>
          <cell r="V421">
            <v>0</v>
          </cell>
          <cell r="W421">
            <v>0</v>
          </cell>
          <cell r="X421">
            <v>0</v>
          </cell>
          <cell r="Y421">
            <v>0</v>
          </cell>
          <cell r="Z421">
            <v>0</v>
          </cell>
          <cell r="AA421">
            <v>12</v>
          </cell>
          <cell r="AB421">
            <v>0.44444444444444442</v>
          </cell>
          <cell r="AC421">
            <v>0.6</v>
          </cell>
          <cell r="AD421">
            <v>36</v>
          </cell>
        </row>
        <row r="422">
          <cell r="A422">
            <v>29</v>
          </cell>
          <cell r="B422">
            <v>4</v>
          </cell>
          <cell r="C422">
            <v>2</v>
          </cell>
          <cell r="D422">
            <v>11935</v>
          </cell>
          <cell r="E422">
            <v>1</v>
          </cell>
          <cell r="F422">
            <v>18</v>
          </cell>
          <cell r="G422">
            <v>3</v>
          </cell>
          <cell r="H422">
            <v>0</v>
          </cell>
          <cell r="I422">
            <v>10</v>
          </cell>
          <cell r="J422">
            <v>2</v>
          </cell>
          <cell r="K422">
            <v>10</v>
          </cell>
          <cell r="L422">
            <v>2</v>
          </cell>
          <cell r="M422">
            <v>0</v>
          </cell>
          <cell r="N422">
            <v>0</v>
          </cell>
          <cell r="O422">
            <v>0</v>
          </cell>
          <cell r="P422">
            <v>0</v>
          </cell>
          <cell r="Q422">
            <v>1</v>
          </cell>
          <cell r="R422">
            <v>0</v>
          </cell>
          <cell r="S422">
            <v>0</v>
          </cell>
          <cell r="T422">
            <v>0</v>
          </cell>
          <cell r="U422">
            <v>0</v>
          </cell>
          <cell r="V422">
            <v>4</v>
          </cell>
          <cell r="W422">
            <v>0</v>
          </cell>
          <cell r="X422">
            <v>0</v>
          </cell>
          <cell r="Y422">
            <v>0</v>
          </cell>
          <cell r="Z422">
            <v>0</v>
          </cell>
          <cell r="AA422">
            <v>6</v>
          </cell>
          <cell r="AB422">
            <v>0.1</v>
          </cell>
          <cell r="AC422">
            <v>0.2</v>
          </cell>
          <cell r="AD422">
            <v>18</v>
          </cell>
        </row>
        <row r="423">
          <cell r="A423">
            <v>29</v>
          </cell>
          <cell r="B423">
            <v>5</v>
          </cell>
          <cell r="C423">
            <v>2</v>
          </cell>
          <cell r="D423">
            <v>2546</v>
          </cell>
          <cell r="E423">
            <v>5</v>
          </cell>
          <cell r="F423">
            <v>16</v>
          </cell>
          <cell r="G423">
            <v>3</v>
          </cell>
          <cell r="H423">
            <v>0</v>
          </cell>
          <cell r="I423">
            <v>6</v>
          </cell>
          <cell r="J423">
            <v>2</v>
          </cell>
          <cell r="K423">
            <v>2</v>
          </cell>
          <cell r="L423">
            <v>2</v>
          </cell>
          <cell r="M423">
            <v>0</v>
          </cell>
          <cell r="N423">
            <v>1</v>
          </cell>
          <cell r="O423">
            <v>0</v>
          </cell>
          <cell r="P423">
            <v>0</v>
          </cell>
          <cell r="Q423">
            <v>0</v>
          </cell>
          <cell r="R423">
            <v>0</v>
          </cell>
          <cell r="S423">
            <v>1</v>
          </cell>
          <cell r="T423">
            <v>0</v>
          </cell>
          <cell r="U423">
            <v>0</v>
          </cell>
          <cell r="V423">
            <v>0</v>
          </cell>
          <cell r="W423">
            <v>0</v>
          </cell>
          <cell r="X423">
            <v>5</v>
          </cell>
          <cell r="Y423">
            <v>0</v>
          </cell>
          <cell r="Z423">
            <v>0</v>
          </cell>
          <cell r="AA423">
            <v>6</v>
          </cell>
          <cell r="AB423">
            <v>0.83333333333333337</v>
          </cell>
          <cell r="AC423">
            <v>1</v>
          </cell>
          <cell r="AD423">
            <v>12</v>
          </cell>
        </row>
        <row r="424">
          <cell r="A424">
            <v>19</v>
          </cell>
          <cell r="B424">
            <v>2</v>
          </cell>
          <cell r="C424">
            <v>2</v>
          </cell>
          <cell r="D424">
            <v>2564</v>
          </cell>
          <cell r="E424">
            <v>1</v>
          </cell>
          <cell r="F424">
            <v>12</v>
          </cell>
          <cell r="G424">
            <v>3</v>
          </cell>
          <cell r="H424">
            <v>0</v>
          </cell>
          <cell r="I424">
            <v>1</v>
          </cell>
          <cell r="J424">
            <v>3</v>
          </cell>
          <cell r="K424">
            <v>1</v>
          </cell>
          <cell r="L424">
            <v>0</v>
          </cell>
          <cell r="M424">
            <v>0</v>
          </cell>
          <cell r="N424">
            <v>0</v>
          </cell>
          <cell r="O424">
            <v>0</v>
          </cell>
          <cell r="P424">
            <v>0</v>
          </cell>
          <cell r="Q424">
            <v>0</v>
          </cell>
          <cell r="R424">
            <v>0</v>
          </cell>
          <cell r="S424">
            <v>1</v>
          </cell>
          <cell r="T424">
            <v>0</v>
          </cell>
          <cell r="U424">
            <v>0</v>
          </cell>
          <cell r="V424">
            <v>0</v>
          </cell>
          <cell r="W424">
            <v>0</v>
          </cell>
          <cell r="X424">
            <v>2</v>
          </cell>
          <cell r="Y424">
            <v>0</v>
          </cell>
          <cell r="Z424">
            <v>0</v>
          </cell>
          <cell r="AA424">
            <v>4</v>
          </cell>
          <cell r="AB424">
            <v>1</v>
          </cell>
          <cell r="AC424">
            <v>0</v>
          </cell>
          <cell r="AD424">
            <v>12</v>
          </cell>
        </row>
        <row r="425">
          <cell r="A425">
            <v>30</v>
          </cell>
          <cell r="B425">
            <v>4</v>
          </cell>
          <cell r="C425">
            <v>3</v>
          </cell>
          <cell r="D425">
            <v>8412</v>
          </cell>
          <cell r="E425">
            <v>0</v>
          </cell>
          <cell r="F425">
            <v>11</v>
          </cell>
          <cell r="G425">
            <v>3</v>
          </cell>
          <cell r="H425">
            <v>0</v>
          </cell>
          <cell r="I425">
            <v>10</v>
          </cell>
          <cell r="J425">
            <v>3</v>
          </cell>
          <cell r="K425">
            <v>9</v>
          </cell>
          <cell r="L425">
            <v>8</v>
          </cell>
          <cell r="M425">
            <v>0</v>
          </cell>
          <cell r="N425">
            <v>1</v>
          </cell>
          <cell r="O425">
            <v>0</v>
          </cell>
          <cell r="P425">
            <v>0</v>
          </cell>
          <cell r="Q425">
            <v>0</v>
          </cell>
          <cell r="R425">
            <v>1</v>
          </cell>
          <cell r="S425">
            <v>0</v>
          </cell>
          <cell r="T425">
            <v>0</v>
          </cell>
          <cell r="U425">
            <v>0</v>
          </cell>
          <cell r="V425">
            <v>0</v>
          </cell>
          <cell r="W425">
            <v>4</v>
          </cell>
          <cell r="X425">
            <v>0</v>
          </cell>
          <cell r="Y425">
            <v>0</v>
          </cell>
          <cell r="Z425">
            <v>0</v>
          </cell>
          <cell r="AA425">
            <v>3</v>
          </cell>
          <cell r="AB425">
            <v>0</v>
          </cell>
          <cell r="AC425">
            <v>0.88888888888888884</v>
          </cell>
          <cell r="AD425">
            <v>9</v>
          </cell>
        </row>
        <row r="426">
          <cell r="A426">
            <v>57</v>
          </cell>
          <cell r="B426">
            <v>3</v>
          </cell>
          <cell r="C426">
            <v>2</v>
          </cell>
          <cell r="D426">
            <v>14118</v>
          </cell>
          <cell r="E426">
            <v>3</v>
          </cell>
          <cell r="F426">
            <v>12</v>
          </cell>
          <cell r="G426">
            <v>3</v>
          </cell>
          <cell r="H426">
            <v>1</v>
          </cell>
          <cell r="I426">
            <v>32</v>
          </cell>
          <cell r="J426">
            <v>3</v>
          </cell>
          <cell r="K426">
            <v>1</v>
          </cell>
          <cell r="L426">
            <v>0</v>
          </cell>
          <cell r="M426">
            <v>0</v>
          </cell>
          <cell r="N426">
            <v>0</v>
          </cell>
          <cell r="O426">
            <v>0</v>
          </cell>
          <cell r="P426">
            <v>1</v>
          </cell>
          <cell r="Q426">
            <v>0</v>
          </cell>
          <cell r="R426">
            <v>0</v>
          </cell>
          <cell r="S426">
            <v>0</v>
          </cell>
          <cell r="T426">
            <v>0</v>
          </cell>
          <cell r="U426">
            <v>3</v>
          </cell>
          <cell r="V426">
            <v>0</v>
          </cell>
          <cell r="W426">
            <v>0</v>
          </cell>
          <cell r="X426">
            <v>0</v>
          </cell>
          <cell r="Y426">
            <v>0</v>
          </cell>
          <cell r="Z426">
            <v>0</v>
          </cell>
          <cell r="AA426">
            <v>4</v>
          </cell>
          <cell r="AB426">
            <v>9.375E-2</v>
          </cell>
          <cell r="AC426">
            <v>0</v>
          </cell>
          <cell r="AD426">
            <v>12</v>
          </cell>
        </row>
        <row r="427">
          <cell r="A427">
            <v>50</v>
          </cell>
          <cell r="B427">
            <v>4</v>
          </cell>
          <cell r="C427">
            <v>2</v>
          </cell>
          <cell r="D427">
            <v>17046</v>
          </cell>
          <cell r="E427">
            <v>0</v>
          </cell>
          <cell r="F427">
            <v>15</v>
          </cell>
          <cell r="G427">
            <v>3</v>
          </cell>
          <cell r="H427">
            <v>1</v>
          </cell>
          <cell r="I427">
            <v>28</v>
          </cell>
          <cell r="J427">
            <v>2</v>
          </cell>
          <cell r="K427">
            <v>27</v>
          </cell>
          <cell r="L427">
            <v>10</v>
          </cell>
          <cell r="M427">
            <v>0</v>
          </cell>
          <cell r="N427">
            <v>0</v>
          </cell>
          <cell r="O427">
            <v>1</v>
          </cell>
          <cell r="P427">
            <v>0</v>
          </cell>
          <cell r="Q427">
            <v>0</v>
          </cell>
          <cell r="R427">
            <v>0</v>
          </cell>
          <cell r="S427">
            <v>0</v>
          </cell>
          <cell r="T427">
            <v>4</v>
          </cell>
          <cell r="U427">
            <v>0</v>
          </cell>
          <cell r="V427">
            <v>0</v>
          </cell>
          <cell r="W427">
            <v>0</v>
          </cell>
          <cell r="X427">
            <v>0</v>
          </cell>
          <cell r="Y427">
            <v>0</v>
          </cell>
          <cell r="Z427">
            <v>0</v>
          </cell>
          <cell r="AA427">
            <v>6</v>
          </cell>
          <cell r="AB427">
            <v>0</v>
          </cell>
          <cell r="AC427">
            <v>0.37037037037037035</v>
          </cell>
          <cell r="AD427">
            <v>12</v>
          </cell>
        </row>
        <row r="428">
          <cell r="A428">
            <v>30</v>
          </cell>
          <cell r="B428">
            <v>3</v>
          </cell>
          <cell r="C428">
            <v>3</v>
          </cell>
          <cell r="D428">
            <v>2564</v>
          </cell>
          <cell r="E428">
            <v>0</v>
          </cell>
          <cell r="F428">
            <v>14</v>
          </cell>
          <cell r="G428">
            <v>3</v>
          </cell>
          <cell r="H428">
            <v>0</v>
          </cell>
          <cell r="I428">
            <v>12</v>
          </cell>
          <cell r="J428">
            <v>2</v>
          </cell>
          <cell r="K428">
            <v>11</v>
          </cell>
          <cell r="L428">
            <v>7</v>
          </cell>
          <cell r="M428">
            <v>0</v>
          </cell>
          <cell r="N428">
            <v>1</v>
          </cell>
          <cell r="O428">
            <v>0</v>
          </cell>
          <cell r="P428">
            <v>0</v>
          </cell>
          <cell r="Q428">
            <v>1</v>
          </cell>
          <cell r="R428">
            <v>0</v>
          </cell>
          <cell r="S428">
            <v>0</v>
          </cell>
          <cell r="T428">
            <v>0</v>
          </cell>
          <cell r="U428">
            <v>0</v>
          </cell>
          <cell r="V428">
            <v>3</v>
          </cell>
          <cell r="W428">
            <v>0</v>
          </cell>
          <cell r="X428">
            <v>0</v>
          </cell>
          <cell r="Y428">
            <v>0</v>
          </cell>
          <cell r="Z428">
            <v>0</v>
          </cell>
          <cell r="AA428">
            <v>12</v>
          </cell>
          <cell r="AB428">
            <v>0</v>
          </cell>
          <cell r="AC428">
            <v>0.63636363636363635</v>
          </cell>
          <cell r="AD428">
            <v>36</v>
          </cell>
        </row>
        <row r="429">
          <cell r="A429">
            <v>60</v>
          </cell>
          <cell r="B429">
            <v>3</v>
          </cell>
          <cell r="C429">
            <v>2</v>
          </cell>
          <cell r="D429">
            <v>10266</v>
          </cell>
          <cell r="E429">
            <v>4</v>
          </cell>
          <cell r="F429">
            <v>19</v>
          </cell>
          <cell r="G429">
            <v>3</v>
          </cell>
          <cell r="H429">
            <v>0</v>
          </cell>
          <cell r="I429">
            <v>22</v>
          </cell>
          <cell r="J429">
            <v>5</v>
          </cell>
          <cell r="K429">
            <v>18</v>
          </cell>
          <cell r="L429">
            <v>13</v>
          </cell>
          <cell r="M429">
            <v>0</v>
          </cell>
          <cell r="N429">
            <v>1</v>
          </cell>
          <cell r="O429">
            <v>0</v>
          </cell>
          <cell r="P429">
            <v>1</v>
          </cell>
          <cell r="Q429">
            <v>0</v>
          </cell>
          <cell r="R429">
            <v>0</v>
          </cell>
          <cell r="S429">
            <v>0</v>
          </cell>
          <cell r="T429">
            <v>0</v>
          </cell>
          <cell r="U429">
            <v>3</v>
          </cell>
          <cell r="V429">
            <v>0</v>
          </cell>
          <cell r="W429">
            <v>0</v>
          </cell>
          <cell r="X429">
            <v>0</v>
          </cell>
          <cell r="Y429">
            <v>1</v>
          </cell>
          <cell r="Z429">
            <v>0</v>
          </cell>
          <cell r="AA429">
            <v>3</v>
          </cell>
          <cell r="AB429">
            <v>0.18181818181818182</v>
          </cell>
          <cell r="AC429">
            <v>0.72222222222222221</v>
          </cell>
          <cell r="AD429">
            <v>12</v>
          </cell>
        </row>
        <row r="430">
          <cell r="A430">
            <v>47</v>
          </cell>
          <cell r="B430">
            <v>2</v>
          </cell>
          <cell r="C430">
            <v>3</v>
          </cell>
          <cell r="D430">
            <v>5070</v>
          </cell>
          <cell r="E430">
            <v>5</v>
          </cell>
          <cell r="F430">
            <v>13</v>
          </cell>
          <cell r="G430">
            <v>3</v>
          </cell>
          <cell r="H430">
            <v>3</v>
          </cell>
          <cell r="I430">
            <v>20</v>
          </cell>
          <cell r="J430">
            <v>2</v>
          </cell>
          <cell r="K430">
            <v>5</v>
          </cell>
          <cell r="L430">
            <v>0</v>
          </cell>
          <cell r="M430">
            <v>0</v>
          </cell>
          <cell r="N430">
            <v>1</v>
          </cell>
          <cell r="O430">
            <v>0</v>
          </cell>
          <cell r="P430">
            <v>0</v>
          </cell>
          <cell r="Q430">
            <v>1</v>
          </cell>
          <cell r="R430">
            <v>0</v>
          </cell>
          <cell r="S430">
            <v>0</v>
          </cell>
          <cell r="T430">
            <v>0</v>
          </cell>
          <cell r="U430">
            <v>0</v>
          </cell>
          <cell r="V430">
            <v>2</v>
          </cell>
          <cell r="W430">
            <v>0</v>
          </cell>
          <cell r="X430">
            <v>0</v>
          </cell>
          <cell r="Y430">
            <v>0</v>
          </cell>
          <cell r="Z430">
            <v>0</v>
          </cell>
          <cell r="AA430">
            <v>4</v>
          </cell>
          <cell r="AB430">
            <v>0.25</v>
          </cell>
          <cell r="AC430">
            <v>0</v>
          </cell>
          <cell r="AD430">
            <v>12</v>
          </cell>
        </row>
        <row r="431">
          <cell r="A431">
            <v>46</v>
          </cell>
          <cell r="B431">
            <v>3</v>
          </cell>
          <cell r="C431">
            <v>3</v>
          </cell>
          <cell r="D431">
            <v>17861</v>
          </cell>
          <cell r="E431">
            <v>6</v>
          </cell>
          <cell r="F431">
            <v>13</v>
          </cell>
          <cell r="G431">
            <v>3</v>
          </cell>
          <cell r="H431">
            <v>0</v>
          </cell>
          <cell r="I431">
            <v>26</v>
          </cell>
          <cell r="J431">
            <v>2</v>
          </cell>
          <cell r="K431">
            <v>3</v>
          </cell>
          <cell r="L431">
            <v>2</v>
          </cell>
          <cell r="M431">
            <v>0</v>
          </cell>
          <cell r="N431">
            <v>0</v>
          </cell>
          <cell r="O431">
            <v>1</v>
          </cell>
          <cell r="P431">
            <v>0</v>
          </cell>
          <cell r="Q431">
            <v>0</v>
          </cell>
          <cell r="R431">
            <v>0</v>
          </cell>
          <cell r="S431">
            <v>0</v>
          </cell>
          <cell r="T431">
            <v>3</v>
          </cell>
          <cell r="U431">
            <v>0</v>
          </cell>
          <cell r="V431">
            <v>0</v>
          </cell>
          <cell r="W431">
            <v>0</v>
          </cell>
          <cell r="X431">
            <v>0</v>
          </cell>
          <cell r="Y431">
            <v>0</v>
          </cell>
          <cell r="Z431">
            <v>0</v>
          </cell>
          <cell r="AA431">
            <v>3</v>
          </cell>
          <cell r="AB431">
            <v>0.23076923076923078</v>
          </cell>
          <cell r="AC431">
            <v>0.66666666666666663</v>
          </cell>
          <cell r="AD431">
            <v>9</v>
          </cell>
        </row>
        <row r="432">
          <cell r="A432">
            <v>35</v>
          </cell>
          <cell r="B432">
            <v>3</v>
          </cell>
          <cell r="C432">
            <v>1</v>
          </cell>
          <cell r="D432">
            <v>4230</v>
          </cell>
          <cell r="E432">
            <v>0</v>
          </cell>
          <cell r="F432">
            <v>15</v>
          </cell>
          <cell r="G432">
            <v>3</v>
          </cell>
          <cell r="H432">
            <v>0</v>
          </cell>
          <cell r="I432">
            <v>6</v>
          </cell>
          <cell r="J432">
            <v>2</v>
          </cell>
          <cell r="K432">
            <v>5</v>
          </cell>
          <cell r="L432">
            <v>4</v>
          </cell>
          <cell r="M432">
            <v>0</v>
          </cell>
          <cell r="N432">
            <v>0</v>
          </cell>
          <cell r="O432">
            <v>1</v>
          </cell>
          <cell r="P432">
            <v>0</v>
          </cell>
          <cell r="Q432">
            <v>0</v>
          </cell>
          <cell r="R432">
            <v>0</v>
          </cell>
          <cell r="S432">
            <v>0</v>
          </cell>
          <cell r="T432">
            <v>3</v>
          </cell>
          <cell r="U432">
            <v>0</v>
          </cell>
          <cell r="V432">
            <v>0</v>
          </cell>
          <cell r="W432">
            <v>0</v>
          </cell>
          <cell r="X432">
            <v>0</v>
          </cell>
          <cell r="Y432">
            <v>0</v>
          </cell>
          <cell r="Z432">
            <v>0</v>
          </cell>
          <cell r="AA432">
            <v>12</v>
          </cell>
          <cell r="AB432">
            <v>0</v>
          </cell>
          <cell r="AC432">
            <v>0.8</v>
          </cell>
          <cell r="AD432">
            <v>36</v>
          </cell>
        </row>
        <row r="433">
          <cell r="A433">
            <v>54</v>
          </cell>
          <cell r="B433">
            <v>4</v>
          </cell>
          <cell r="C433">
            <v>3</v>
          </cell>
          <cell r="D433">
            <v>3780</v>
          </cell>
          <cell r="E433">
            <v>7</v>
          </cell>
          <cell r="F433">
            <v>11</v>
          </cell>
          <cell r="G433">
            <v>3</v>
          </cell>
          <cell r="H433">
            <v>0</v>
          </cell>
          <cell r="I433">
            <v>19</v>
          </cell>
          <cell r="J433">
            <v>3</v>
          </cell>
          <cell r="K433">
            <v>1</v>
          </cell>
          <cell r="L433">
            <v>0</v>
          </cell>
          <cell r="M433">
            <v>0</v>
          </cell>
          <cell r="N433">
            <v>1</v>
          </cell>
          <cell r="O433">
            <v>1</v>
          </cell>
          <cell r="P433">
            <v>0</v>
          </cell>
          <cell r="Q433">
            <v>0</v>
          </cell>
          <cell r="R433">
            <v>0</v>
          </cell>
          <cell r="S433">
            <v>0</v>
          </cell>
          <cell r="T433">
            <v>4</v>
          </cell>
          <cell r="U433">
            <v>0</v>
          </cell>
          <cell r="V433">
            <v>0</v>
          </cell>
          <cell r="W433">
            <v>0</v>
          </cell>
          <cell r="X433">
            <v>0</v>
          </cell>
          <cell r="Y433">
            <v>0</v>
          </cell>
          <cell r="Z433">
            <v>0</v>
          </cell>
          <cell r="AA433">
            <v>9</v>
          </cell>
          <cell r="AB433">
            <v>0.36842105263157893</v>
          </cell>
          <cell r="AC433">
            <v>0</v>
          </cell>
          <cell r="AD433">
            <v>27</v>
          </cell>
        </row>
        <row r="434">
          <cell r="A434">
            <v>34</v>
          </cell>
          <cell r="B434">
            <v>4</v>
          </cell>
          <cell r="C434">
            <v>2</v>
          </cell>
          <cell r="D434">
            <v>2768</v>
          </cell>
          <cell r="E434">
            <v>3</v>
          </cell>
          <cell r="F434">
            <v>12</v>
          </cell>
          <cell r="G434">
            <v>3</v>
          </cell>
          <cell r="H434">
            <v>1</v>
          </cell>
          <cell r="I434">
            <v>14</v>
          </cell>
          <cell r="J434">
            <v>3</v>
          </cell>
          <cell r="K434">
            <v>7</v>
          </cell>
          <cell r="L434">
            <v>3</v>
          </cell>
          <cell r="M434">
            <v>0</v>
          </cell>
          <cell r="N434">
            <v>0</v>
          </cell>
          <cell r="O434">
            <v>1</v>
          </cell>
          <cell r="P434">
            <v>0</v>
          </cell>
          <cell r="Q434">
            <v>0</v>
          </cell>
          <cell r="R434">
            <v>0</v>
          </cell>
          <cell r="S434">
            <v>0</v>
          </cell>
          <cell r="T434">
            <v>4</v>
          </cell>
          <cell r="U434">
            <v>0</v>
          </cell>
          <cell r="V434">
            <v>0</v>
          </cell>
          <cell r="W434">
            <v>0</v>
          </cell>
          <cell r="X434">
            <v>0</v>
          </cell>
          <cell r="Y434">
            <v>0</v>
          </cell>
          <cell r="Z434">
            <v>0</v>
          </cell>
          <cell r="AA434">
            <v>12</v>
          </cell>
          <cell r="AB434">
            <v>0.21428571428571427</v>
          </cell>
          <cell r="AC434">
            <v>0.42857142857142855</v>
          </cell>
          <cell r="AD434">
            <v>36</v>
          </cell>
        </row>
        <row r="435">
          <cell r="A435">
            <v>46</v>
          </cell>
          <cell r="B435">
            <v>3</v>
          </cell>
          <cell r="C435">
            <v>2</v>
          </cell>
          <cell r="D435">
            <v>9071</v>
          </cell>
          <cell r="E435">
            <v>2</v>
          </cell>
          <cell r="F435">
            <v>19</v>
          </cell>
          <cell r="G435">
            <v>3</v>
          </cell>
          <cell r="H435">
            <v>1</v>
          </cell>
          <cell r="I435">
            <v>15</v>
          </cell>
          <cell r="J435">
            <v>3</v>
          </cell>
          <cell r="K435">
            <v>3</v>
          </cell>
          <cell r="L435">
            <v>2</v>
          </cell>
          <cell r="M435">
            <v>1</v>
          </cell>
          <cell r="N435">
            <v>1</v>
          </cell>
          <cell r="O435">
            <v>0</v>
          </cell>
          <cell r="P435">
            <v>1</v>
          </cell>
          <cell r="Q435">
            <v>0</v>
          </cell>
          <cell r="R435">
            <v>0</v>
          </cell>
          <cell r="S435">
            <v>0</v>
          </cell>
          <cell r="T435">
            <v>0</v>
          </cell>
          <cell r="U435">
            <v>3</v>
          </cell>
          <cell r="V435">
            <v>0</v>
          </cell>
          <cell r="W435">
            <v>0</v>
          </cell>
          <cell r="X435">
            <v>0</v>
          </cell>
          <cell r="Y435">
            <v>0</v>
          </cell>
          <cell r="Z435">
            <v>1</v>
          </cell>
          <cell r="AA435">
            <v>12</v>
          </cell>
          <cell r="AB435">
            <v>0.13333333333333333</v>
          </cell>
          <cell r="AC435">
            <v>0.66666666666666663</v>
          </cell>
          <cell r="AD435">
            <v>36</v>
          </cell>
        </row>
        <row r="436">
          <cell r="A436">
            <v>31</v>
          </cell>
          <cell r="B436">
            <v>1</v>
          </cell>
          <cell r="C436">
            <v>3</v>
          </cell>
          <cell r="D436">
            <v>10648</v>
          </cell>
          <cell r="E436">
            <v>1</v>
          </cell>
          <cell r="F436">
            <v>25</v>
          </cell>
          <cell r="G436">
            <v>4</v>
          </cell>
          <cell r="H436">
            <v>1</v>
          </cell>
          <cell r="I436">
            <v>13</v>
          </cell>
          <cell r="J436">
            <v>6</v>
          </cell>
          <cell r="K436">
            <v>13</v>
          </cell>
          <cell r="L436">
            <v>8</v>
          </cell>
          <cell r="M436">
            <v>0</v>
          </cell>
          <cell r="N436">
            <v>0</v>
          </cell>
          <cell r="O436">
            <v>1</v>
          </cell>
          <cell r="P436">
            <v>0</v>
          </cell>
          <cell r="Q436">
            <v>0</v>
          </cell>
          <cell r="R436">
            <v>0</v>
          </cell>
          <cell r="S436">
            <v>0</v>
          </cell>
          <cell r="T436">
            <v>1</v>
          </cell>
          <cell r="U436">
            <v>0</v>
          </cell>
          <cell r="V436">
            <v>0</v>
          </cell>
          <cell r="W436">
            <v>0</v>
          </cell>
          <cell r="X436">
            <v>0</v>
          </cell>
          <cell r="Y436">
            <v>0</v>
          </cell>
          <cell r="Z436">
            <v>0</v>
          </cell>
          <cell r="AA436">
            <v>6</v>
          </cell>
          <cell r="AB436">
            <v>7.6923076923076927E-2</v>
          </cell>
          <cell r="AC436">
            <v>0.61538461538461542</v>
          </cell>
          <cell r="AD436">
            <v>24</v>
          </cell>
        </row>
        <row r="437">
          <cell r="A437">
            <v>33</v>
          </cell>
          <cell r="B437">
            <v>1</v>
          </cell>
          <cell r="C437">
            <v>3</v>
          </cell>
          <cell r="D437">
            <v>13610</v>
          </cell>
          <cell r="E437">
            <v>7</v>
          </cell>
          <cell r="F437">
            <v>12</v>
          </cell>
          <cell r="G437">
            <v>3</v>
          </cell>
          <cell r="H437">
            <v>0</v>
          </cell>
          <cell r="I437">
            <v>15</v>
          </cell>
          <cell r="J437">
            <v>2</v>
          </cell>
          <cell r="K437">
            <v>7</v>
          </cell>
          <cell r="L437">
            <v>6</v>
          </cell>
          <cell r="M437">
            <v>1</v>
          </cell>
          <cell r="N437">
            <v>0</v>
          </cell>
          <cell r="O437">
            <v>0</v>
          </cell>
          <cell r="P437">
            <v>0</v>
          </cell>
          <cell r="Q437">
            <v>1</v>
          </cell>
          <cell r="R437">
            <v>0</v>
          </cell>
          <cell r="S437">
            <v>0</v>
          </cell>
          <cell r="T437">
            <v>0</v>
          </cell>
          <cell r="U437">
            <v>0</v>
          </cell>
          <cell r="V437">
            <v>1</v>
          </cell>
          <cell r="W437">
            <v>0</v>
          </cell>
          <cell r="X437">
            <v>0</v>
          </cell>
          <cell r="Y437">
            <v>0</v>
          </cell>
          <cell r="Z437">
            <v>1</v>
          </cell>
          <cell r="AA437">
            <v>6</v>
          </cell>
          <cell r="AB437">
            <v>0.46666666666666667</v>
          </cell>
          <cell r="AC437">
            <v>0.8571428571428571</v>
          </cell>
          <cell r="AD437">
            <v>24</v>
          </cell>
        </row>
        <row r="438">
          <cell r="A438">
            <v>33</v>
          </cell>
          <cell r="B438">
            <v>1</v>
          </cell>
          <cell r="C438">
            <v>1</v>
          </cell>
          <cell r="D438">
            <v>3408</v>
          </cell>
          <cell r="E438">
            <v>7</v>
          </cell>
          <cell r="F438">
            <v>13</v>
          </cell>
          <cell r="G438">
            <v>3</v>
          </cell>
          <cell r="H438">
            <v>3</v>
          </cell>
          <cell r="I438">
            <v>8</v>
          </cell>
          <cell r="J438">
            <v>2</v>
          </cell>
          <cell r="K438">
            <v>4</v>
          </cell>
          <cell r="L438">
            <v>3</v>
          </cell>
          <cell r="M438">
            <v>0</v>
          </cell>
          <cell r="N438">
            <v>0</v>
          </cell>
          <cell r="O438">
            <v>0</v>
          </cell>
          <cell r="P438">
            <v>0</v>
          </cell>
          <cell r="Q438">
            <v>1</v>
          </cell>
          <cell r="R438">
            <v>0</v>
          </cell>
          <cell r="S438">
            <v>0</v>
          </cell>
          <cell r="T438">
            <v>0</v>
          </cell>
          <cell r="U438">
            <v>0</v>
          </cell>
          <cell r="V438">
            <v>1</v>
          </cell>
          <cell r="W438">
            <v>0</v>
          </cell>
          <cell r="X438">
            <v>0</v>
          </cell>
          <cell r="Y438">
            <v>0</v>
          </cell>
          <cell r="Z438">
            <v>0</v>
          </cell>
          <cell r="AA438">
            <v>4</v>
          </cell>
          <cell r="AB438">
            <v>0.875</v>
          </cell>
          <cell r="AC438">
            <v>0.75</v>
          </cell>
          <cell r="AD438">
            <v>4</v>
          </cell>
        </row>
        <row r="439">
          <cell r="A439">
            <v>30</v>
          </cell>
          <cell r="B439">
            <v>1</v>
          </cell>
          <cell r="C439">
            <v>3</v>
          </cell>
          <cell r="D439">
            <v>2983</v>
          </cell>
          <cell r="E439">
            <v>0</v>
          </cell>
          <cell r="F439">
            <v>14</v>
          </cell>
          <cell r="G439">
            <v>3</v>
          </cell>
          <cell r="H439">
            <v>0</v>
          </cell>
          <cell r="I439">
            <v>4</v>
          </cell>
          <cell r="J439">
            <v>3</v>
          </cell>
          <cell r="K439">
            <v>3</v>
          </cell>
          <cell r="L439">
            <v>2</v>
          </cell>
          <cell r="M439">
            <v>0</v>
          </cell>
          <cell r="N439">
            <v>0</v>
          </cell>
          <cell r="O439">
            <v>0</v>
          </cell>
          <cell r="P439">
            <v>1</v>
          </cell>
          <cell r="Q439">
            <v>0</v>
          </cell>
          <cell r="R439">
            <v>0</v>
          </cell>
          <cell r="S439">
            <v>0</v>
          </cell>
          <cell r="T439">
            <v>0</v>
          </cell>
          <cell r="U439">
            <v>1</v>
          </cell>
          <cell r="V439">
            <v>0</v>
          </cell>
          <cell r="W439">
            <v>0</v>
          </cell>
          <cell r="X439">
            <v>0</v>
          </cell>
          <cell r="Y439">
            <v>0</v>
          </cell>
          <cell r="Z439">
            <v>0</v>
          </cell>
          <cell r="AA439">
            <v>8</v>
          </cell>
          <cell r="AB439">
            <v>0</v>
          </cell>
          <cell r="AC439">
            <v>0.66666666666666663</v>
          </cell>
          <cell r="AD439">
            <v>8</v>
          </cell>
        </row>
        <row r="440">
          <cell r="A440">
            <v>35</v>
          </cell>
          <cell r="B440">
            <v>3</v>
          </cell>
          <cell r="C440">
            <v>3</v>
          </cell>
          <cell r="D440">
            <v>7632</v>
          </cell>
          <cell r="E440">
            <v>4</v>
          </cell>
          <cell r="F440">
            <v>12</v>
          </cell>
          <cell r="G440">
            <v>3</v>
          </cell>
          <cell r="H440">
            <v>0</v>
          </cell>
          <cell r="I440">
            <v>10</v>
          </cell>
          <cell r="J440">
            <v>2</v>
          </cell>
          <cell r="K440">
            <v>8</v>
          </cell>
          <cell r="L440">
            <v>7</v>
          </cell>
          <cell r="M440">
            <v>1</v>
          </cell>
          <cell r="N440">
            <v>0</v>
          </cell>
          <cell r="O440">
            <v>1</v>
          </cell>
          <cell r="P440">
            <v>0</v>
          </cell>
          <cell r="Q440">
            <v>0</v>
          </cell>
          <cell r="R440">
            <v>0</v>
          </cell>
          <cell r="S440">
            <v>0</v>
          </cell>
          <cell r="T440">
            <v>3</v>
          </cell>
          <cell r="U440">
            <v>0</v>
          </cell>
          <cell r="V440">
            <v>0</v>
          </cell>
          <cell r="W440">
            <v>0</v>
          </cell>
          <cell r="X440">
            <v>0</v>
          </cell>
          <cell r="Y440">
            <v>0</v>
          </cell>
          <cell r="Z440">
            <v>1</v>
          </cell>
          <cell r="AA440">
            <v>12</v>
          </cell>
          <cell r="AB440">
            <v>0.4</v>
          </cell>
          <cell r="AC440">
            <v>0.875</v>
          </cell>
          <cell r="AD440">
            <v>36</v>
          </cell>
        </row>
        <row r="441">
          <cell r="A441">
            <v>31</v>
          </cell>
          <cell r="B441">
            <v>3</v>
          </cell>
          <cell r="C441">
            <v>3</v>
          </cell>
          <cell r="D441">
            <v>9824</v>
          </cell>
          <cell r="E441">
            <v>3</v>
          </cell>
          <cell r="F441">
            <v>12</v>
          </cell>
          <cell r="G441">
            <v>3</v>
          </cell>
          <cell r="H441">
            <v>0</v>
          </cell>
          <cell r="I441">
            <v>12</v>
          </cell>
          <cell r="J441">
            <v>2</v>
          </cell>
          <cell r="K441">
            <v>1</v>
          </cell>
          <cell r="L441">
            <v>0</v>
          </cell>
          <cell r="M441">
            <v>0</v>
          </cell>
          <cell r="N441">
            <v>0</v>
          </cell>
          <cell r="O441">
            <v>1</v>
          </cell>
          <cell r="P441">
            <v>0</v>
          </cell>
          <cell r="Q441">
            <v>0</v>
          </cell>
          <cell r="R441">
            <v>0</v>
          </cell>
          <cell r="S441">
            <v>0</v>
          </cell>
          <cell r="T441">
            <v>3</v>
          </cell>
          <cell r="U441">
            <v>0</v>
          </cell>
          <cell r="V441">
            <v>0</v>
          </cell>
          <cell r="W441">
            <v>0</v>
          </cell>
          <cell r="X441">
            <v>0</v>
          </cell>
          <cell r="Y441">
            <v>1</v>
          </cell>
          <cell r="Z441">
            <v>0</v>
          </cell>
          <cell r="AA441">
            <v>3</v>
          </cell>
          <cell r="AB441">
            <v>0.25</v>
          </cell>
          <cell r="AC441">
            <v>0</v>
          </cell>
          <cell r="AD441">
            <v>3</v>
          </cell>
        </row>
        <row r="442">
          <cell r="A442">
            <v>34</v>
          </cell>
          <cell r="B442">
            <v>3</v>
          </cell>
          <cell r="C442">
            <v>3</v>
          </cell>
          <cell r="D442">
            <v>9950</v>
          </cell>
          <cell r="E442">
            <v>9</v>
          </cell>
          <cell r="F442">
            <v>15</v>
          </cell>
          <cell r="G442">
            <v>3</v>
          </cell>
          <cell r="H442">
            <v>3</v>
          </cell>
          <cell r="I442">
            <v>11</v>
          </cell>
          <cell r="J442">
            <v>2</v>
          </cell>
          <cell r="K442">
            <v>3</v>
          </cell>
          <cell r="L442">
            <v>2</v>
          </cell>
          <cell r="M442">
            <v>1</v>
          </cell>
          <cell r="N442">
            <v>1</v>
          </cell>
          <cell r="O442">
            <v>0</v>
          </cell>
          <cell r="P442">
            <v>0</v>
          </cell>
          <cell r="Q442">
            <v>0</v>
          </cell>
          <cell r="R442">
            <v>0</v>
          </cell>
          <cell r="S442">
            <v>0</v>
          </cell>
          <cell r="T442">
            <v>0</v>
          </cell>
          <cell r="U442">
            <v>0</v>
          </cell>
          <cell r="V442">
            <v>0</v>
          </cell>
          <cell r="W442">
            <v>0</v>
          </cell>
          <cell r="X442">
            <v>0</v>
          </cell>
          <cell r="Y442">
            <v>0</v>
          </cell>
          <cell r="Z442">
            <v>0</v>
          </cell>
          <cell r="AA442">
            <v>2</v>
          </cell>
          <cell r="AB442">
            <v>0.81818181818181823</v>
          </cell>
          <cell r="AC442">
            <v>0.66666666666666663</v>
          </cell>
          <cell r="AD442">
            <v>6</v>
          </cell>
        </row>
        <row r="443">
          <cell r="A443">
            <v>42</v>
          </cell>
          <cell r="B443">
            <v>2</v>
          </cell>
          <cell r="C443">
            <v>3</v>
          </cell>
          <cell r="D443">
            <v>2093</v>
          </cell>
          <cell r="E443">
            <v>4</v>
          </cell>
          <cell r="F443">
            <v>17</v>
          </cell>
          <cell r="G443">
            <v>3</v>
          </cell>
          <cell r="H443">
            <v>1</v>
          </cell>
          <cell r="I443">
            <v>8</v>
          </cell>
          <cell r="J443">
            <v>4</v>
          </cell>
          <cell r="K443">
            <v>2</v>
          </cell>
          <cell r="L443">
            <v>2</v>
          </cell>
          <cell r="M443">
            <v>0</v>
          </cell>
          <cell r="N443">
            <v>0</v>
          </cell>
          <cell r="O443">
            <v>0</v>
          </cell>
          <cell r="P443">
            <v>0</v>
          </cell>
          <cell r="Q443">
            <v>0</v>
          </cell>
          <cell r="R443">
            <v>1</v>
          </cell>
          <cell r="S443">
            <v>0</v>
          </cell>
          <cell r="T443">
            <v>0</v>
          </cell>
          <cell r="U443">
            <v>0</v>
          </cell>
          <cell r="V443">
            <v>0</v>
          </cell>
          <cell r="W443">
            <v>2</v>
          </cell>
          <cell r="X443">
            <v>0</v>
          </cell>
          <cell r="Y443">
            <v>1</v>
          </cell>
          <cell r="Z443">
            <v>0</v>
          </cell>
          <cell r="AA443">
            <v>6</v>
          </cell>
          <cell r="AB443">
            <v>0.5</v>
          </cell>
          <cell r="AC443">
            <v>1</v>
          </cell>
          <cell r="AD443">
            <v>24</v>
          </cell>
        </row>
        <row r="444">
          <cell r="A444">
            <v>36</v>
          </cell>
          <cell r="B444">
            <v>4</v>
          </cell>
          <cell r="C444">
            <v>3</v>
          </cell>
          <cell r="D444">
            <v>9980</v>
          </cell>
          <cell r="E444">
            <v>1</v>
          </cell>
          <cell r="F444">
            <v>14</v>
          </cell>
          <cell r="G444">
            <v>3</v>
          </cell>
          <cell r="H444">
            <v>0</v>
          </cell>
          <cell r="I444">
            <v>10</v>
          </cell>
          <cell r="J444">
            <v>3</v>
          </cell>
          <cell r="K444">
            <v>10</v>
          </cell>
          <cell r="L444">
            <v>3</v>
          </cell>
          <cell r="M444">
            <v>0</v>
          </cell>
          <cell r="N444">
            <v>0</v>
          </cell>
          <cell r="O444">
            <v>0</v>
          </cell>
          <cell r="P444">
            <v>0</v>
          </cell>
          <cell r="Q444">
            <v>1</v>
          </cell>
          <cell r="R444">
            <v>0</v>
          </cell>
          <cell r="S444">
            <v>0</v>
          </cell>
          <cell r="T444">
            <v>0</v>
          </cell>
          <cell r="U444">
            <v>0</v>
          </cell>
          <cell r="V444">
            <v>4</v>
          </cell>
          <cell r="W444">
            <v>0</v>
          </cell>
          <cell r="X444">
            <v>0</v>
          </cell>
          <cell r="Y444">
            <v>0</v>
          </cell>
          <cell r="Z444">
            <v>0</v>
          </cell>
          <cell r="AA444">
            <v>8</v>
          </cell>
          <cell r="AB444">
            <v>0.1</v>
          </cell>
          <cell r="AC444">
            <v>0.3</v>
          </cell>
          <cell r="AD444">
            <v>32</v>
          </cell>
        </row>
        <row r="445">
          <cell r="A445">
            <v>22</v>
          </cell>
          <cell r="B445">
            <v>1</v>
          </cell>
          <cell r="C445">
            <v>2</v>
          </cell>
          <cell r="D445">
            <v>3894</v>
          </cell>
          <cell r="E445">
            <v>5</v>
          </cell>
          <cell r="F445">
            <v>16</v>
          </cell>
          <cell r="G445">
            <v>3</v>
          </cell>
          <cell r="H445">
            <v>0</v>
          </cell>
          <cell r="I445">
            <v>4</v>
          </cell>
          <cell r="J445">
            <v>3</v>
          </cell>
          <cell r="K445">
            <v>2</v>
          </cell>
          <cell r="L445">
            <v>2</v>
          </cell>
          <cell r="M445">
            <v>0</v>
          </cell>
          <cell r="N445">
            <v>0</v>
          </cell>
          <cell r="O445">
            <v>0</v>
          </cell>
          <cell r="P445">
            <v>0</v>
          </cell>
          <cell r="Q445">
            <v>0</v>
          </cell>
          <cell r="R445">
            <v>0</v>
          </cell>
          <cell r="S445">
            <v>1</v>
          </cell>
          <cell r="T445">
            <v>0</v>
          </cell>
          <cell r="U445">
            <v>0</v>
          </cell>
          <cell r="V445">
            <v>0</v>
          </cell>
          <cell r="W445">
            <v>0</v>
          </cell>
          <cell r="X445">
            <v>1</v>
          </cell>
          <cell r="Y445">
            <v>0</v>
          </cell>
          <cell r="Z445">
            <v>0</v>
          </cell>
          <cell r="AA445">
            <v>9</v>
          </cell>
          <cell r="AB445">
            <v>1.25</v>
          </cell>
          <cell r="AC445">
            <v>1</v>
          </cell>
          <cell r="AD445">
            <v>27</v>
          </cell>
        </row>
        <row r="446">
          <cell r="A446">
            <v>48</v>
          </cell>
          <cell r="B446">
            <v>5</v>
          </cell>
          <cell r="C446">
            <v>3</v>
          </cell>
          <cell r="D446">
            <v>4051</v>
          </cell>
          <cell r="E446">
            <v>2</v>
          </cell>
          <cell r="F446">
            <v>14</v>
          </cell>
          <cell r="G446">
            <v>3</v>
          </cell>
          <cell r="H446">
            <v>1</v>
          </cell>
          <cell r="I446">
            <v>14</v>
          </cell>
          <cell r="J446">
            <v>2</v>
          </cell>
          <cell r="K446">
            <v>9</v>
          </cell>
          <cell r="L446">
            <v>7</v>
          </cell>
          <cell r="M446">
            <v>0</v>
          </cell>
          <cell r="N446">
            <v>1</v>
          </cell>
          <cell r="O446">
            <v>0</v>
          </cell>
          <cell r="P446">
            <v>1</v>
          </cell>
          <cell r="Q446">
            <v>0</v>
          </cell>
          <cell r="R446">
            <v>0</v>
          </cell>
          <cell r="S446">
            <v>0</v>
          </cell>
          <cell r="T446">
            <v>0</v>
          </cell>
          <cell r="U446">
            <v>5</v>
          </cell>
          <cell r="V446">
            <v>0</v>
          </cell>
          <cell r="W446">
            <v>0</v>
          </cell>
          <cell r="X446">
            <v>0</v>
          </cell>
          <cell r="Y446">
            <v>0</v>
          </cell>
          <cell r="Z446">
            <v>0</v>
          </cell>
          <cell r="AA446">
            <v>8</v>
          </cell>
          <cell r="AB446">
            <v>0.14285714285714285</v>
          </cell>
          <cell r="AC446">
            <v>0.77777777777777779</v>
          </cell>
          <cell r="AD446">
            <v>8</v>
          </cell>
        </row>
        <row r="447">
          <cell r="A447">
            <v>55</v>
          </cell>
          <cell r="B447">
            <v>5</v>
          </cell>
          <cell r="C447">
            <v>3</v>
          </cell>
          <cell r="D447">
            <v>16835</v>
          </cell>
          <cell r="E447">
            <v>3</v>
          </cell>
          <cell r="F447">
            <v>23</v>
          </cell>
          <cell r="G447">
            <v>4</v>
          </cell>
          <cell r="H447">
            <v>0</v>
          </cell>
          <cell r="I447">
            <v>37</v>
          </cell>
          <cell r="J447">
            <v>2</v>
          </cell>
          <cell r="K447">
            <v>10</v>
          </cell>
          <cell r="L447">
            <v>9</v>
          </cell>
          <cell r="M447">
            <v>0</v>
          </cell>
          <cell r="N447">
            <v>1</v>
          </cell>
          <cell r="O447">
            <v>1</v>
          </cell>
          <cell r="P447">
            <v>0</v>
          </cell>
          <cell r="Q447">
            <v>0</v>
          </cell>
          <cell r="R447">
            <v>0</v>
          </cell>
          <cell r="S447">
            <v>0</v>
          </cell>
          <cell r="T447">
            <v>5</v>
          </cell>
          <cell r="U447">
            <v>0</v>
          </cell>
          <cell r="V447">
            <v>0</v>
          </cell>
          <cell r="W447">
            <v>0</v>
          </cell>
          <cell r="X447">
            <v>0</v>
          </cell>
          <cell r="Y447">
            <v>0</v>
          </cell>
          <cell r="Z447">
            <v>0</v>
          </cell>
          <cell r="AA447">
            <v>2</v>
          </cell>
          <cell r="AB447">
            <v>8.1081081081081086E-2</v>
          </cell>
          <cell r="AC447">
            <v>0.9</v>
          </cell>
          <cell r="AD447">
            <v>8</v>
          </cell>
        </row>
        <row r="448">
          <cell r="A448">
            <v>41</v>
          </cell>
          <cell r="B448">
            <v>2</v>
          </cell>
          <cell r="C448">
            <v>3</v>
          </cell>
          <cell r="D448">
            <v>6230</v>
          </cell>
          <cell r="E448">
            <v>7</v>
          </cell>
          <cell r="F448">
            <v>14</v>
          </cell>
          <cell r="G448">
            <v>3</v>
          </cell>
          <cell r="H448">
            <v>0</v>
          </cell>
          <cell r="I448">
            <v>16</v>
          </cell>
          <cell r="J448">
            <v>3</v>
          </cell>
          <cell r="K448">
            <v>14</v>
          </cell>
          <cell r="L448">
            <v>3</v>
          </cell>
          <cell r="M448">
            <v>0</v>
          </cell>
          <cell r="N448">
            <v>0</v>
          </cell>
          <cell r="O448">
            <v>1</v>
          </cell>
          <cell r="P448">
            <v>0</v>
          </cell>
          <cell r="Q448">
            <v>0</v>
          </cell>
          <cell r="R448">
            <v>0</v>
          </cell>
          <cell r="S448">
            <v>0</v>
          </cell>
          <cell r="T448">
            <v>2</v>
          </cell>
          <cell r="U448">
            <v>0</v>
          </cell>
          <cell r="V448">
            <v>0</v>
          </cell>
          <cell r="W448">
            <v>0</v>
          </cell>
          <cell r="X448">
            <v>0</v>
          </cell>
          <cell r="Y448">
            <v>0</v>
          </cell>
          <cell r="Z448">
            <v>0</v>
          </cell>
          <cell r="AA448">
            <v>16</v>
          </cell>
          <cell r="AB448">
            <v>0.4375</v>
          </cell>
          <cell r="AC448">
            <v>0.21428571428571427</v>
          </cell>
          <cell r="AD448">
            <v>64</v>
          </cell>
        </row>
        <row r="449">
          <cell r="A449">
            <v>35</v>
          </cell>
          <cell r="B449">
            <v>3</v>
          </cell>
          <cell r="C449">
            <v>3</v>
          </cell>
          <cell r="D449">
            <v>4717</v>
          </cell>
          <cell r="E449">
            <v>9</v>
          </cell>
          <cell r="F449">
            <v>11</v>
          </cell>
          <cell r="G449">
            <v>3</v>
          </cell>
          <cell r="H449">
            <v>0</v>
          </cell>
          <cell r="I449">
            <v>15</v>
          </cell>
          <cell r="J449">
            <v>2</v>
          </cell>
          <cell r="K449">
            <v>11</v>
          </cell>
          <cell r="L449">
            <v>9</v>
          </cell>
          <cell r="M449">
            <v>0</v>
          </cell>
          <cell r="N449">
            <v>0</v>
          </cell>
          <cell r="O449">
            <v>0</v>
          </cell>
          <cell r="P449">
            <v>1</v>
          </cell>
          <cell r="Q449">
            <v>0</v>
          </cell>
          <cell r="R449">
            <v>0</v>
          </cell>
          <cell r="S449">
            <v>0</v>
          </cell>
          <cell r="T449">
            <v>0</v>
          </cell>
          <cell r="U449">
            <v>3</v>
          </cell>
          <cell r="V449">
            <v>0</v>
          </cell>
          <cell r="W449">
            <v>0</v>
          </cell>
          <cell r="X449">
            <v>0</v>
          </cell>
          <cell r="Y449">
            <v>0</v>
          </cell>
          <cell r="Z449">
            <v>0</v>
          </cell>
          <cell r="AA449">
            <v>6</v>
          </cell>
          <cell r="AB449">
            <v>0.6</v>
          </cell>
          <cell r="AC449">
            <v>0.81818181818181823</v>
          </cell>
          <cell r="AD449">
            <v>18</v>
          </cell>
        </row>
        <row r="450">
          <cell r="A450">
            <v>40</v>
          </cell>
          <cell r="B450">
            <v>3</v>
          </cell>
          <cell r="C450">
            <v>3</v>
          </cell>
          <cell r="D450">
            <v>13237</v>
          </cell>
          <cell r="E450">
            <v>7</v>
          </cell>
          <cell r="F450">
            <v>15</v>
          </cell>
          <cell r="G450">
            <v>3</v>
          </cell>
          <cell r="H450">
            <v>0</v>
          </cell>
          <cell r="I450">
            <v>22</v>
          </cell>
          <cell r="J450">
            <v>3</v>
          </cell>
          <cell r="K450">
            <v>20</v>
          </cell>
          <cell r="L450">
            <v>6</v>
          </cell>
          <cell r="M450">
            <v>0</v>
          </cell>
          <cell r="N450">
            <v>1</v>
          </cell>
          <cell r="O450">
            <v>1</v>
          </cell>
          <cell r="P450">
            <v>0</v>
          </cell>
          <cell r="Q450">
            <v>0</v>
          </cell>
          <cell r="R450">
            <v>0</v>
          </cell>
          <cell r="S450">
            <v>0</v>
          </cell>
          <cell r="T450">
            <v>3</v>
          </cell>
          <cell r="U450">
            <v>0</v>
          </cell>
          <cell r="V450">
            <v>0</v>
          </cell>
          <cell r="W450">
            <v>0</v>
          </cell>
          <cell r="X450">
            <v>0</v>
          </cell>
          <cell r="Y450">
            <v>0</v>
          </cell>
          <cell r="Z450">
            <v>0</v>
          </cell>
          <cell r="AA450">
            <v>6</v>
          </cell>
          <cell r="AB450">
            <v>0.31818181818181818</v>
          </cell>
          <cell r="AC450">
            <v>0.3</v>
          </cell>
          <cell r="AD450">
            <v>18</v>
          </cell>
        </row>
        <row r="451">
          <cell r="A451">
            <v>39</v>
          </cell>
          <cell r="B451">
            <v>1</v>
          </cell>
          <cell r="C451">
            <v>3</v>
          </cell>
          <cell r="D451">
            <v>3755</v>
          </cell>
          <cell r="E451">
            <v>1</v>
          </cell>
          <cell r="F451">
            <v>11</v>
          </cell>
          <cell r="G451">
            <v>3</v>
          </cell>
          <cell r="H451">
            <v>1</v>
          </cell>
          <cell r="I451">
            <v>8</v>
          </cell>
          <cell r="J451">
            <v>3</v>
          </cell>
          <cell r="K451">
            <v>8</v>
          </cell>
          <cell r="L451">
            <v>3</v>
          </cell>
          <cell r="M451">
            <v>0</v>
          </cell>
          <cell r="N451">
            <v>1</v>
          </cell>
          <cell r="O451">
            <v>1</v>
          </cell>
          <cell r="P451">
            <v>0</v>
          </cell>
          <cell r="Q451">
            <v>0</v>
          </cell>
          <cell r="R451">
            <v>0</v>
          </cell>
          <cell r="S451">
            <v>0</v>
          </cell>
          <cell r="T451">
            <v>1</v>
          </cell>
          <cell r="U451">
            <v>0</v>
          </cell>
          <cell r="V451">
            <v>0</v>
          </cell>
          <cell r="W451">
            <v>0</v>
          </cell>
          <cell r="X451">
            <v>0</v>
          </cell>
          <cell r="Y451">
            <v>1</v>
          </cell>
          <cell r="Z451">
            <v>0</v>
          </cell>
          <cell r="AA451">
            <v>9</v>
          </cell>
          <cell r="AB451">
            <v>0.125</v>
          </cell>
          <cell r="AC451">
            <v>0.375</v>
          </cell>
          <cell r="AD451">
            <v>9</v>
          </cell>
        </row>
        <row r="452">
          <cell r="A452">
            <v>31</v>
          </cell>
          <cell r="B452">
            <v>1</v>
          </cell>
          <cell r="C452">
            <v>3</v>
          </cell>
          <cell r="D452">
            <v>6582</v>
          </cell>
          <cell r="E452">
            <v>4</v>
          </cell>
          <cell r="F452">
            <v>13</v>
          </cell>
          <cell r="G452">
            <v>3</v>
          </cell>
          <cell r="H452">
            <v>0</v>
          </cell>
          <cell r="I452">
            <v>10</v>
          </cell>
          <cell r="J452">
            <v>2</v>
          </cell>
          <cell r="K452">
            <v>6</v>
          </cell>
          <cell r="L452">
            <v>5</v>
          </cell>
          <cell r="M452">
            <v>1</v>
          </cell>
          <cell r="N452">
            <v>0</v>
          </cell>
          <cell r="O452">
            <v>1</v>
          </cell>
          <cell r="P452">
            <v>0</v>
          </cell>
          <cell r="Q452">
            <v>0</v>
          </cell>
          <cell r="R452">
            <v>0</v>
          </cell>
          <cell r="S452">
            <v>0</v>
          </cell>
          <cell r="T452">
            <v>1</v>
          </cell>
          <cell r="U452">
            <v>0</v>
          </cell>
          <cell r="V452">
            <v>0</v>
          </cell>
          <cell r="W452">
            <v>0</v>
          </cell>
          <cell r="X452">
            <v>0</v>
          </cell>
          <cell r="Y452">
            <v>0</v>
          </cell>
          <cell r="Z452">
            <v>0</v>
          </cell>
          <cell r="AA452">
            <v>8</v>
          </cell>
          <cell r="AB452">
            <v>0.4</v>
          </cell>
          <cell r="AC452">
            <v>0.83333333333333337</v>
          </cell>
          <cell r="AD452">
            <v>24</v>
          </cell>
        </row>
        <row r="453">
          <cell r="A453">
            <v>42</v>
          </cell>
          <cell r="B453">
            <v>3</v>
          </cell>
          <cell r="C453">
            <v>3</v>
          </cell>
          <cell r="D453">
            <v>7406</v>
          </cell>
          <cell r="E453">
            <v>1</v>
          </cell>
          <cell r="F453">
            <v>21</v>
          </cell>
          <cell r="G453">
            <v>4</v>
          </cell>
          <cell r="H453">
            <v>1</v>
          </cell>
          <cell r="I453">
            <v>10</v>
          </cell>
          <cell r="J453">
            <v>5</v>
          </cell>
          <cell r="K453">
            <v>10</v>
          </cell>
          <cell r="L453">
            <v>9</v>
          </cell>
          <cell r="M453">
            <v>1</v>
          </cell>
          <cell r="N453">
            <v>0</v>
          </cell>
          <cell r="O453">
            <v>0</v>
          </cell>
          <cell r="P453">
            <v>0</v>
          </cell>
          <cell r="Q453">
            <v>1</v>
          </cell>
          <cell r="R453">
            <v>0</v>
          </cell>
          <cell r="S453">
            <v>0</v>
          </cell>
          <cell r="T453">
            <v>0</v>
          </cell>
          <cell r="U453">
            <v>0</v>
          </cell>
          <cell r="V453">
            <v>3</v>
          </cell>
          <cell r="W453">
            <v>0</v>
          </cell>
          <cell r="X453">
            <v>0</v>
          </cell>
          <cell r="Y453">
            <v>0</v>
          </cell>
          <cell r="Z453">
            <v>1</v>
          </cell>
          <cell r="AA453">
            <v>4</v>
          </cell>
          <cell r="AB453">
            <v>0.1</v>
          </cell>
          <cell r="AC453">
            <v>0.9</v>
          </cell>
          <cell r="AD453">
            <v>16</v>
          </cell>
        </row>
        <row r="454">
          <cell r="A454">
            <v>45</v>
          </cell>
          <cell r="B454">
            <v>3</v>
          </cell>
          <cell r="C454">
            <v>3</v>
          </cell>
          <cell r="D454">
            <v>4805</v>
          </cell>
          <cell r="E454">
            <v>0</v>
          </cell>
          <cell r="F454">
            <v>19</v>
          </cell>
          <cell r="G454">
            <v>3</v>
          </cell>
          <cell r="H454">
            <v>1</v>
          </cell>
          <cell r="I454">
            <v>9</v>
          </cell>
          <cell r="J454">
            <v>3</v>
          </cell>
          <cell r="K454">
            <v>8</v>
          </cell>
          <cell r="L454">
            <v>7</v>
          </cell>
          <cell r="M454">
            <v>0</v>
          </cell>
          <cell r="N454">
            <v>0</v>
          </cell>
          <cell r="O454">
            <v>0</v>
          </cell>
          <cell r="P454">
            <v>0</v>
          </cell>
          <cell r="Q454">
            <v>0</v>
          </cell>
          <cell r="R454">
            <v>1</v>
          </cell>
          <cell r="S454">
            <v>0</v>
          </cell>
          <cell r="T454">
            <v>0</v>
          </cell>
          <cell r="U454">
            <v>0</v>
          </cell>
          <cell r="V454">
            <v>0</v>
          </cell>
          <cell r="W454">
            <v>3</v>
          </cell>
          <cell r="X454">
            <v>0</v>
          </cell>
          <cell r="Y454">
            <v>0</v>
          </cell>
          <cell r="Z454">
            <v>0</v>
          </cell>
          <cell r="AA454">
            <v>8</v>
          </cell>
          <cell r="AB454">
            <v>0</v>
          </cell>
          <cell r="AC454">
            <v>0.875</v>
          </cell>
          <cell r="AD454">
            <v>16</v>
          </cell>
        </row>
        <row r="455">
          <cell r="A455">
            <v>26</v>
          </cell>
          <cell r="B455">
            <v>4</v>
          </cell>
          <cell r="C455">
            <v>3</v>
          </cell>
          <cell r="D455">
            <v>2741</v>
          </cell>
          <cell r="E455">
            <v>0</v>
          </cell>
          <cell r="F455">
            <v>11</v>
          </cell>
          <cell r="G455">
            <v>3</v>
          </cell>
          <cell r="H455">
            <v>1</v>
          </cell>
          <cell r="I455">
            <v>8</v>
          </cell>
          <cell r="J455">
            <v>2</v>
          </cell>
          <cell r="K455">
            <v>7</v>
          </cell>
          <cell r="L455">
            <v>7</v>
          </cell>
          <cell r="M455">
            <v>1</v>
          </cell>
          <cell r="N455">
            <v>1</v>
          </cell>
          <cell r="O455">
            <v>1</v>
          </cell>
          <cell r="P455">
            <v>0</v>
          </cell>
          <cell r="Q455">
            <v>0</v>
          </cell>
          <cell r="R455">
            <v>0</v>
          </cell>
          <cell r="S455">
            <v>0</v>
          </cell>
          <cell r="T455">
            <v>4</v>
          </cell>
          <cell r="U455">
            <v>0</v>
          </cell>
          <cell r="V455">
            <v>0</v>
          </cell>
          <cell r="W455">
            <v>0</v>
          </cell>
          <cell r="X455">
            <v>0</v>
          </cell>
          <cell r="Y455">
            <v>0</v>
          </cell>
          <cell r="Z455">
            <v>0</v>
          </cell>
          <cell r="AA455">
            <v>6</v>
          </cell>
          <cell r="AB455">
            <v>0</v>
          </cell>
          <cell r="AC455">
            <v>1</v>
          </cell>
          <cell r="AD455">
            <v>12</v>
          </cell>
        </row>
        <row r="456">
          <cell r="A456">
            <v>29</v>
          </cell>
          <cell r="B456">
            <v>3</v>
          </cell>
          <cell r="C456">
            <v>3</v>
          </cell>
          <cell r="D456">
            <v>4262</v>
          </cell>
          <cell r="E456">
            <v>4</v>
          </cell>
          <cell r="F456">
            <v>12</v>
          </cell>
          <cell r="G456">
            <v>3</v>
          </cell>
          <cell r="H456">
            <v>2</v>
          </cell>
          <cell r="I456">
            <v>8</v>
          </cell>
          <cell r="J456">
            <v>2</v>
          </cell>
          <cell r="K456">
            <v>3</v>
          </cell>
          <cell r="L456">
            <v>2</v>
          </cell>
          <cell r="M456">
            <v>0</v>
          </cell>
          <cell r="N456">
            <v>0</v>
          </cell>
          <cell r="O456">
            <v>0</v>
          </cell>
          <cell r="P456">
            <v>0</v>
          </cell>
          <cell r="Q456">
            <v>0</v>
          </cell>
          <cell r="R456">
            <v>0</v>
          </cell>
          <cell r="S456">
            <v>1</v>
          </cell>
          <cell r="T456">
            <v>0</v>
          </cell>
          <cell r="U456">
            <v>0</v>
          </cell>
          <cell r="V456">
            <v>0</v>
          </cell>
          <cell r="W456">
            <v>0</v>
          </cell>
          <cell r="X456">
            <v>3</v>
          </cell>
          <cell r="Y456">
            <v>0</v>
          </cell>
          <cell r="Z456">
            <v>0</v>
          </cell>
          <cell r="AA456">
            <v>16</v>
          </cell>
          <cell r="AB456">
            <v>0.5</v>
          </cell>
          <cell r="AC456">
            <v>0.66666666666666663</v>
          </cell>
          <cell r="AD456">
            <v>32</v>
          </cell>
        </row>
        <row r="457">
          <cell r="A457">
            <v>33</v>
          </cell>
          <cell r="B457">
            <v>5</v>
          </cell>
          <cell r="C457">
            <v>4</v>
          </cell>
          <cell r="D457">
            <v>16184</v>
          </cell>
          <cell r="E457">
            <v>4</v>
          </cell>
          <cell r="F457">
            <v>19</v>
          </cell>
          <cell r="G457">
            <v>3</v>
          </cell>
          <cell r="H457">
            <v>1</v>
          </cell>
          <cell r="I457">
            <v>10</v>
          </cell>
          <cell r="J457">
            <v>2</v>
          </cell>
          <cell r="K457">
            <v>6</v>
          </cell>
          <cell r="L457">
            <v>1</v>
          </cell>
          <cell r="M457">
            <v>0</v>
          </cell>
          <cell r="N457">
            <v>1</v>
          </cell>
          <cell r="O457">
            <v>0</v>
          </cell>
          <cell r="P457">
            <v>0</v>
          </cell>
          <cell r="Q457">
            <v>1</v>
          </cell>
          <cell r="R457">
            <v>0</v>
          </cell>
          <cell r="S457">
            <v>0</v>
          </cell>
          <cell r="T457">
            <v>0</v>
          </cell>
          <cell r="U457">
            <v>0</v>
          </cell>
          <cell r="V457">
            <v>5</v>
          </cell>
          <cell r="W457">
            <v>0</v>
          </cell>
          <cell r="X457">
            <v>0</v>
          </cell>
          <cell r="Y457">
            <v>0</v>
          </cell>
          <cell r="Z457">
            <v>0</v>
          </cell>
          <cell r="AA457">
            <v>3</v>
          </cell>
          <cell r="AB457">
            <v>0.4</v>
          </cell>
          <cell r="AC457">
            <v>0.16666666666666666</v>
          </cell>
          <cell r="AD457">
            <v>9</v>
          </cell>
        </row>
        <row r="458">
          <cell r="A458">
            <v>31</v>
          </cell>
          <cell r="B458">
            <v>3</v>
          </cell>
          <cell r="C458">
            <v>2</v>
          </cell>
          <cell r="D458">
            <v>11557</v>
          </cell>
          <cell r="E458">
            <v>9</v>
          </cell>
          <cell r="F458">
            <v>21</v>
          </cell>
          <cell r="G458">
            <v>4</v>
          </cell>
          <cell r="H458">
            <v>1</v>
          </cell>
          <cell r="I458">
            <v>10</v>
          </cell>
          <cell r="J458">
            <v>3</v>
          </cell>
          <cell r="K458">
            <v>5</v>
          </cell>
          <cell r="L458">
            <v>4</v>
          </cell>
          <cell r="M458">
            <v>0</v>
          </cell>
          <cell r="N458">
            <v>0</v>
          </cell>
          <cell r="O458">
            <v>1</v>
          </cell>
          <cell r="P458">
            <v>0</v>
          </cell>
          <cell r="Q458">
            <v>0</v>
          </cell>
          <cell r="R458">
            <v>0</v>
          </cell>
          <cell r="S458">
            <v>0</v>
          </cell>
          <cell r="T458">
            <v>3</v>
          </cell>
          <cell r="U458">
            <v>0</v>
          </cell>
          <cell r="V458">
            <v>0</v>
          </cell>
          <cell r="W458">
            <v>0</v>
          </cell>
          <cell r="X458">
            <v>0</v>
          </cell>
          <cell r="Y458">
            <v>0</v>
          </cell>
          <cell r="Z458">
            <v>0</v>
          </cell>
          <cell r="AA458">
            <v>12</v>
          </cell>
          <cell r="AB458">
            <v>0.9</v>
          </cell>
          <cell r="AC458">
            <v>0.8</v>
          </cell>
          <cell r="AD458">
            <v>36</v>
          </cell>
        </row>
        <row r="459">
          <cell r="A459">
            <v>18</v>
          </cell>
          <cell r="B459">
            <v>3</v>
          </cell>
          <cell r="C459">
            <v>3</v>
          </cell>
          <cell r="D459">
            <v>1878</v>
          </cell>
          <cell r="E459">
            <v>1</v>
          </cell>
          <cell r="F459">
            <v>14</v>
          </cell>
          <cell r="G459">
            <v>3</v>
          </cell>
          <cell r="H459">
            <v>0</v>
          </cell>
          <cell r="I459">
            <v>0</v>
          </cell>
          <cell r="J459">
            <v>3</v>
          </cell>
          <cell r="K459">
            <v>0</v>
          </cell>
          <cell r="L459">
            <v>0</v>
          </cell>
          <cell r="M459">
            <v>1</v>
          </cell>
          <cell r="N459">
            <v>0</v>
          </cell>
          <cell r="O459">
            <v>0</v>
          </cell>
          <cell r="P459">
            <v>1</v>
          </cell>
          <cell r="Q459">
            <v>0</v>
          </cell>
          <cell r="R459">
            <v>0</v>
          </cell>
          <cell r="S459">
            <v>0</v>
          </cell>
          <cell r="T459">
            <v>0</v>
          </cell>
          <cell r="U459">
            <v>3</v>
          </cell>
          <cell r="V459">
            <v>0</v>
          </cell>
          <cell r="W459">
            <v>0</v>
          </cell>
          <cell r="X459">
            <v>0</v>
          </cell>
          <cell r="Y459">
            <v>0</v>
          </cell>
          <cell r="Z459">
            <v>0</v>
          </cell>
          <cell r="AA459">
            <v>4</v>
          </cell>
          <cell r="AB459">
            <v>0</v>
          </cell>
          <cell r="AC459">
            <v>0</v>
          </cell>
          <cell r="AD459">
            <v>16</v>
          </cell>
        </row>
        <row r="460">
          <cell r="A460">
            <v>40</v>
          </cell>
          <cell r="B460">
            <v>3</v>
          </cell>
          <cell r="C460">
            <v>1</v>
          </cell>
          <cell r="D460">
            <v>10932</v>
          </cell>
          <cell r="E460">
            <v>3</v>
          </cell>
          <cell r="F460">
            <v>15</v>
          </cell>
          <cell r="G460">
            <v>3</v>
          </cell>
          <cell r="H460">
            <v>1</v>
          </cell>
          <cell r="I460">
            <v>20</v>
          </cell>
          <cell r="J460">
            <v>2</v>
          </cell>
          <cell r="K460">
            <v>1</v>
          </cell>
          <cell r="L460">
            <v>0</v>
          </cell>
          <cell r="M460">
            <v>0</v>
          </cell>
          <cell r="N460">
            <v>0</v>
          </cell>
          <cell r="O460">
            <v>0</v>
          </cell>
          <cell r="P460">
            <v>0</v>
          </cell>
          <cell r="Q460">
            <v>0</v>
          </cell>
          <cell r="R460">
            <v>1</v>
          </cell>
          <cell r="S460">
            <v>0</v>
          </cell>
          <cell r="T460">
            <v>0</v>
          </cell>
          <cell r="U460">
            <v>0</v>
          </cell>
          <cell r="V460">
            <v>0</v>
          </cell>
          <cell r="W460">
            <v>3</v>
          </cell>
          <cell r="X460">
            <v>0</v>
          </cell>
          <cell r="Y460">
            <v>0</v>
          </cell>
          <cell r="Z460">
            <v>0</v>
          </cell>
          <cell r="AA460">
            <v>3</v>
          </cell>
          <cell r="AB460">
            <v>0.15</v>
          </cell>
          <cell r="AC460">
            <v>0</v>
          </cell>
          <cell r="AD460">
            <v>9</v>
          </cell>
        </row>
        <row r="461">
          <cell r="A461">
            <v>41</v>
          </cell>
          <cell r="B461">
            <v>4</v>
          </cell>
          <cell r="C461">
            <v>2</v>
          </cell>
          <cell r="D461">
            <v>6811</v>
          </cell>
          <cell r="E461">
            <v>2</v>
          </cell>
          <cell r="F461">
            <v>17</v>
          </cell>
          <cell r="G461">
            <v>3</v>
          </cell>
          <cell r="H461">
            <v>0</v>
          </cell>
          <cell r="I461">
            <v>10</v>
          </cell>
          <cell r="J461">
            <v>3</v>
          </cell>
          <cell r="K461">
            <v>8</v>
          </cell>
          <cell r="L461">
            <v>7</v>
          </cell>
          <cell r="M461">
            <v>1</v>
          </cell>
          <cell r="N461">
            <v>1</v>
          </cell>
          <cell r="O461">
            <v>0</v>
          </cell>
          <cell r="P461">
            <v>0</v>
          </cell>
          <cell r="Q461">
            <v>0</v>
          </cell>
          <cell r="R461">
            <v>1</v>
          </cell>
          <cell r="S461">
            <v>0</v>
          </cell>
          <cell r="T461">
            <v>0</v>
          </cell>
          <cell r="U461">
            <v>0</v>
          </cell>
          <cell r="V461">
            <v>0</v>
          </cell>
          <cell r="W461">
            <v>4</v>
          </cell>
          <cell r="X461">
            <v>0</v>
          </cell>
          <cell r="Y461">
            <v>0</v>
          </cell>
          <cell r="Z461">
            <v>0</v>
          </cell>
          <cell r="AA461">
            <v>3</v>
          </cell>
          <cell r="AB461">
            <v>0.2</v>
          </cell>
          <cell r="AC461">
            <v>0.875</v>
          </cell>
          <cell r="AD461">
            <v>3</v>
          </cell>
        </row>
        <row r="462">
          <cell r="A462">
            <v>26</v>
          </cell>
          <cell r="B462">
            <v>2</v>
          </cell>
          <cell r="C462">
            <v>3</v>
          </cell>
          <cell r="D462">
            <v>4306</v>
          </cell>
          <cell r="E462">
            <v>5</v>
          </cell>
          <cell r="F462">
            <v>12</v>
          </cell>
          <cell r="G462">
            <v>3</v>
          </cell>
          <cell r="H462">
            <v>2</v>
          </cell>
          <cell r="I462">
            <v>8</v>
          </cell>
          <cell r="J462">
            <v>5</v>
          </cell>
          <cell r="K462">
            <v>0</v>
          </cell>
          <cell r="L462">
            <v>0</v>
          </cell>
          <cell r="M462">
            <v>0</v>
          </cell>
          <cell r="N462">
            <v>0</v>
          </cell>
          <cell r="O462">
            <v>0</v>
          </cell>
          <cell r="P462">
            <v>0</v>
          </cell>
          <cell r="Q462">
            <v>1</v>
          </cell>
          <cell r="R462">
            <v>0</v>
          </cell>
          <cell r="S462">
            <v>0</v>
          </cell>
          <cell r="T462">
            <v>0</v>
          </cell>
          <cell r="U462">
            <v>0</v>
          </cell>
          <cell r="V462">
            <v>2</v>
          </cell>
          <cell r="W462">
            <v>0</v>
          </cell>
          <cell r="X462">
            <v>0</v>
          </cell>
          <cell r="Y462">
            <v>0</v>
          </cell>
          <cell r="Z462">
            <v>0</v>
          </cell>
          <cell r="AA462">
            <v>3</v>
          </cell>
          <cell r="AB462">
            <v>0.625</v>
          </cell>
          <cell r="AC462">
            <v>0</v>
          </cell>
          <cell r="AD462">
            <v>3</v>
          </cell>
        </row>
        <row r="463">
          <cell r="A463">
            <v>35</v>
          </cell>
          <cell r="B463">
            <v>3</v>
          </cell>
          <cell r="C463">
            <v>3</v>
          </cell>
          <cell r="D463">
            <v>4859</v>
          </cell>
          <cell r="E463">
            <v>1</v>
          </cell>
          <cell r="F463">
            <v>16</v>
          </cell>
          <cell r="G463">
            <v>3</v>
          </cell>
          <cell r="H463">
            <v>0</v>
          </cell>
          <cell r="I463">
            <v>5</v>
          </cell>
          <cell r="J463">
            <v>3</v>
          </cell>
          <cell r="K463">
            <v>5</v>
          </cell>
          <cell r="L463">
            <v>4</v>
          </cell>
          <cell r="M463">
            <v>0</v>
          </cell>
          <cell r="N463">
            <v>1</v>
          </cell>
          <cell r="O463">
            <v>0</v>
          </cell>
          <cell r="P463">
            <v>0</v>
          </cell>
          <cell r="Q463">
            <v>1</v>
          </cell>
          <cell r="R463">
            <v>0</v>
          </cell>
          <cell r="S463">
            <v>0</v>
          </cell>
          <cell r="T463">
            <v>0</v>
          </cell>
          <cell r="U463">
            <v>0</v>
          </cell>
          <cell r="V463">
            <v>3</v>
          </cell>
          <cell r="W463">
            <v>0</v>
          </cell>
          <cell r="X463">
            <v>0</v>
          </cell>
          <cell r="Y463">
            <v>0</v>
          </cell>
          <cell r="Z463">
            <v>0</v>
          </cell>
          <cell r="AA463">
            <v>3</v>
          </cell>
          <cell r="AB463">
            <v>0.2</v>
          </cell>
          <cell r="AC463">
            <v>0.8</v>
          </cell>
          <cell r="AD463">
            <v>12</v>
          </cell>
        </row>
        <row r="464">
          <cell r="A464">
            <v>34</v>
          </cell>
          <cell r="B464">
            <v>4</v>
          </cell>
          <cell r="C464">
            <v>4</v>
          </cell>
          <cell r="D464">
            <v>5337</v>
          </cell>
          <cell r="E464">
            <v>1</v>
          </cell>
          <cell r="F464">
            <v>12</v>
          </cell>
          <cell r="G464">
            <v>3</v>
          </cell>
          <cell r="H464">
            <v>0</v>
          </cell>
          <cell r="I464">
            <v>10</v>
          </cell>
          <cell r="J464">
            <v>3</v>
          </cell>
          <cell r="K464">
            <v>10</v>
          </cell>
          <cell r="L464">
            <v>7</v>
          </cell>
          <cell r="M464">
            <v>0</v>
          </cell>
          <cell r="N464">
            <v>0</v>
          </cell>
          <cell r="O464">
            <v>1</v>
          </cell>
          <cell r="P464">
            <v>0</v>
          </cell>
          <cell r="Q464">
            <v>0</v>
          </cell>
          <cell r="R464">
            <v>0</v>
          </cell>
          <cell r="S464">
            <v>0</v>
          </cell>
          <cell r="T464">
            <v>4</v>
          </cell>
          <cell r="U464">
            <v>0</v>
          </cell>
          <cell r="V464">
            <v>0</v>
          </cell>
          <cell r="W464">
            <v>0</v>
          </cell>
          <cell r="X464">
            <v>0</v>
          </cell>
          <cell r="Y464">
            <v>0</v>
          </cell>
          <cell r="Z464">
            <v>0</v>
          </cell>
          <cell r="AA464">
            <v>16</v>
          </cell>
          <cell r="AB464">
            <v>0.1</v>
          </cell>
          <cell r="AC464">
            <v>0.7</v>
          </cell>
          <cell r="AD464">
            <v>64</v>
          </cell>
        </row>
        <row r="465">
          <cell r="A465">
            <v>26</v>
          </cell>
          <cell r="B465">
            <v>3</v>
          </cell>
          <cell r="C465">
            <v>1</v>
          </cell>
          <cell r="D465">
            <v>2340</v>
          </cell>
          <cell r="E465">
            <v>1</v>
          </cell>
          <cell r="F465">
            <v>18</v>
          </cell>
          <cell r="G465">
            <v>3</v>
          </cell>
          <cell r="H465">
            <v>0</v>
          </cell>
          <cell r="I465">
            <v>1</v>
          </cell>
          <cell r="J465">
            <v>3</v>
          </cell>
          <cell r="K465">
            <v>1</v>
          </cell>
          <cell r="L465">
            <v>0</v>
          </cell>
          <cell r="M465">
            <v>1</v>
          </cell>
          <cell r="N465">
            <v>0</v>
          </cell>
          <cell r="O465">
            <v>0</v>
          </cell>
          <cell r="P465">
            <v>0</v>
          </cell>
          <cell r="Q465">
            <v>0</v>
          </cell>
          <cell r="R465">
            <v>0</v>
          </cell>
          <cell r="S465">
            <v>1</v>
          </cell>
          <cell r="T465">
            <v>0</v>
          </cell>
          <cell r="U465">
            <v>0</v>
          </cell>
          <cell r="V465">
            <v>0</v>
          </cell>
          <cell r="W465">
            <v>0</v>
          </cell>
          <cell r="X465">
            <v>3</v>
          </cell>
          <cell r="Y465">
            <v>0</v>
          </cell>
          <cell r="Z465">
            <v>0</v>
          </cell>
          <cell r="AA465">
            <v>12</v>
          </cell>
          <cell r="AB465">
            <v>1</v>
          </cell>
          <cell r="AC465">
            <v>0</v>
          </cell>
          <cell r="AD465">
            <v>24</v>
          </cell>
        </row>
        <row r="466">
          <cell r="A466">
            <v>37</v>
          </cell>
          <cell r="B466">
            <v>3</v>
          </cell>
          <cell r="C466">
            <v>3</v>
          </cell>
          <cell r="D466">
            <v>7491</v>
          </cell>
          <cell r="E466">
            <v>4</v>
          </cell>
          <cell r="F466">
            <v>17</v>
          </cell>
          <cell r="G466">
            <v>3</v>
          </cell>
          <cell r="H466">
            <v>0</v>
          </cell>
          <cell r="I466">
            <v>12</v>
          </cell>
          <cell r="J466">
            <v>3</v>
          </cell>
          <cell r="K466">
            <v>6</v>
          </cell>
          <cell r="L466">
            <v>5</v>
          </cell>
          <cell r="M466">
            <v>0</v>
          </cell>
          <cell r="N466">
            <v>1</v>
          </cell>
          <cell r="O466">
            <v>0</v>
          </cell>
          <cell r="P466">
            <v>0</v>
          </cell>
          <cell r="Q466">
            <v>0</v>
          </cell>
          <cell r="R466">
            <v>0</v>
          </cell>
          <cell r="S466">
            <v>1</v>
          </cell>
          <cell r="T466">
            <v>0</v>
          </cell>
          <cell r="U466">
            <v>0</v>
          </cell>
          <cell r="V466">
            <v>0</v>
          </cell>
          <cell r="W466">
            <v>0</v>
          </cell>
          <cell r="X466">
            <v>3</v>
          </cell>
          <cell r="Y466">
            <v>0</v>
          </cell>
          <cell r="Z466">
            <v>0</v>
          </cell>
          <cell r="AA466">
            <v>8</v>
          </cell>
          <cell r="AB466">
            <v>0.33333333333333331</v>
          </cell>
          <cell r="AC466">
            <v>0.83333333333333337</v>
          </cell>
          <cell r="AD466">
            <v>32</v>
          </cell>
        </row>
        <row r="467">
          <cell r="A467">
            <v>46</v>
          </cell>
          <cell r="B467">
            <v>1</v>
          </cell>
          <cell r="C467">
            <v>3</v>
          </cell>
          <cell r="D467">
            <v>10527</v>
          </cell>
          <cell r="E467">
            <v>5</v>
          </cell>
          <cell r="F467">
            <v>11</v>
          </cell>
          <cell r="G467">
            <v>3</v>
          </cell>
          <cell r="H467">
            <v>0</v>
          </cell>
          <cell r="I467">
            <v>28</v>
          </cell>
          <cell r="J467">
            <v>3</v>
          </cell>
          <cell r="K467">
            <v>2</v>
          </cell>
          <cell r="L467">
            <v>2</v>
          </cell>
          <cell r="M467">
            <v>0</v>
          </cell>
          <cell r="N467">
            <v>1</v>
          </cell>
          <cell r="O467">
            <v>0</v>
          </cell>
          <cell r="P467">
            <v>0</v>
          </cell>
          <cell r="Q467">
            <v>1</v>
          </cell>
          <cell r="R467">
            <v>0</v>
          </cell>
          <cell r="S467">
            <v>0</v>
          </cell>
          <cell r="T467">
            <v>0</v>
          </cell>
          <cell r="U467">
            <v>0</v>
          </cell>
          <cell r="V467">
            <v>1</v>
          </cell>
          <cell r="W467">
            <v>0</v>
          </cell>
          <cell r="X467">
            <v>0</v>
          </cell>
          <cell r="Y467">
            <v>1</v>
          </cell>
          <cell r="Z467">
            <v>0</v>
          </cell>
          <cell r="AA467">
            <v>3</v>
          </cell>
          <cell r="AB467">
            <v>0.17857142857142858</v>
          </cell>
          <cell r="AC467">
            <v>1</v>
          </cell>
          <cell r="AD467">
            <v>12</v>
          </cell>
        </row>
        <row r="468">
          <cell r="A468">
            <v>41</v>
          </cell>
          <cell r="B468">
            <v>5</v>
          </cell>
          <cell r="C468">
            <v>3</v>
          </cell>
          <cell r="D468">
            <v>16595</v>
          </cell>
          <cell r="E468">
            <v>7</v>
          </cell>
          <cell r="F468">
            <v>16</v>
          </cell>
          <cell r="G468">
            <v>3</v>
          </cell>
          <cell r="H468">
            <v>1</v>
          </cell>
          <cell r="I468">
            <v>22</v>
          </cell>
          <cell r="J468">
            <v>2</v>
          </cell>
          <cell r="K468">
            <v>18</v>
          </cell>
          <cell r="L468">
            <v>16</v>
          </cell>
          <cell r="M468">
            <v>0</v>
          </cell>
          <cell r="N468">
            <v>1</v>
          </cell>
          <cell r="O468">
            <v>1</v>
          </cell>
          <cell r="P468">
            <v>0</v>
          </cell>
          <cell r="Q468">
            <v>0</v>
          </cell>
          <cell r="R468">
            <v>0</v>
          </cell>
          <cell r="S468">
            <v>0</v>
          </cell>
          <cell r="T468">
            <v>5</v>
          </cell>
          <cell r="U468">
            <v>0</v>
          </cell>
          <cell r="V468">
            <v>0</v>
          </cell>
          <cell r="W468">
            <v>0</v>
          </cell>
          <cell r="X468">
            <v>0</v>
          </cell>
          <cell r="Y468">
            <v>0</v>
          </cell>
          <cell r="Z468">
            <v>0</v>
          </cell>
          <cell r="AA468">
            <v>2</v>
          </cell>
          <cell r="AB468">
            <v>0.31818181818181818</v>
          </cell>
          <cell r="AC468">
            <v>0.88888888888888884</v>
          </cell>
          <cell r="AD468">
            <v>4</v>
          </cell>
        </row>
        <row r="469">
          <cell r="A469">
            <v>37</v>
          </cell>
          <cell r="B469">
            <v>4</v>
          </cell>
          <cell r="C469">
            <v>3</v>
          </cell>
          <cell r="D469">
            <v>8834</v>
          </cell>
          <cell r="E469">
            <v>1</v>
          </cell>
          <cell r="F469">
            <v>13</v>
          </cell>
          <cell r="G469">
            <v>3</v>
          </cell>
          <cell r="H469">
            <v>1</v>
          </cell>
          <cell r="I469">
            <v>9</v>
          </cell>
          <cell r="J469">
            <v>6</v>
          </cell>
          <cell r="K469">
            <v>9</v>
          </cell>
          <cell r="L469">
            <v>5</v>
          </cell>
          <cell r="M469">
            <v>0</v>
          </cell>
          <cell r="N469">
            <v>0</v>
          </cell>
          <cell r="O469">
            <v>0</v>
          </cell>
          <cell r="P469">
            <v>0</v>
          </cell>
          <cell r="Q469">
            <v>1</v>
          </cell>
          <cell r="R469">
            <v>0</v>
          </cell>
          <cell r="S469">
            <v>0</v>
          </cell>
          <cell r="T469">
            <v>0</v>
          </cell>
          <cell r="U469">
            <v>0</v>
          </cell>
          <cell r="V469">
            <v>4</v>
          </cell>
          <cell r="W469">
            <v>0</v>
          </cell>
          <cell r="X469">
            <v>0</v>
          </cell>
          <cell r="Y469">
            <v>0</v>
          </cell>
          <cell r="Z469">
            <v>0</v>
          </cell>
          <cell r="AA469">
            <v>2</v>
          </cell>
          <cell r="AB469">
            <v>0.1111111111111111</v>
          </cell>
          <cell r="AC469">
            <v>0.55555555555555558</v>
          </cell>
          <cell r="AD469">
            <v>8</v>
          </cell>
        </row>
        <row r="470">
          <cell r="A470">
            <v>52</v>
          </cell>
          <cell r="B470">
            <v>2</v>
          </cell>
          <cell r="C470">
            <v>3</v>
          </cell>
          <cell r="D470">
            <v>5577</v>
          </cell>
          <cell r="E470">
            <v>3</v>
          </cell>
          <cell r="F470">
            <v>12</v>
          </cell>
          <cell r="G470">
            <v>3</v>
          </cell>
          <cell r="H470">
            <v>2</v>
          </cell>
          <cell r="I470">
            <v>18</v>
          </cell>
          <cell r="J470">
            <v>3</v>
          </cell>
          <cell r="K470">
            <v>10</v>
          </cell>
          <cell r="L470">
            <v>9</v>
          </cell>
          <cell r="M470">
            <v>1</v>
          </cell>
          <cell r="N470">
            <v>0</v>
          </cell>
          <cell r="O470">
            <v>0</v>
          </cell>
          <cell r="P470">
            <v>0</v>
          </cell>
          <cell r="Q470">
            <v>0</v>
          </cell>
          <cell r="R470">
            <v>0</v>
          </cell>
          <cell r="S470">
            <v>1</v>
          </cell>
          <cell r="T470">
            <v>0</v>
          </cell>
          <cell r="U470">
            <v>0</v>
          </cell>
          <cell r="V470">
            <v>0</v>
          </cell>
          <cell r="W470">
            <v>0</v>
          </cell>
          <cell r="X470">
            <v>2</v>
          </cell>
          <cell r="Y470">
            <v>0</v>
          </cell>
          <cell r="Z470">
            <v>0</v>
          </cell>
          <cell r="AA470">
            <v>4</v>
          </cell>
          <cell r="AB470">
            <v>0.16666666666666666</v>
          </cell>
          <cell r="AC470">
            <v>0.9</v>
          </cell>
          <cell r="AD470">
            <v>8</v>
          </cell>
        </row>
        <row r="471">
          <cell r="A471">
            <v>32</v>
          </cell>
          <cell r="B471">
            <v>4</v>
          </cell>
          <cell r="C471">
            <v>4</v>
          </cell>
          <cell r="D471">
            <v>4707</v>
          </cell>
          <cell r="E471">
            <v>8</v>
          </cell>
          <cell r="F471">
            <v>12</v>
          </cell>
          <cell r="G471">
            <v>3</v>
          </cell>
          <cell r="H471">
            <v>0</v>
          </cell>
          <cell r="I471">
            <v>6</v>
          </cell>
          <cell r="J471">
            <v>2</v>
          </cell>
          <cell r="K471">
            <v>4</v>
          </cell>
          <cell r="L471">
            <v>2</v>
          </cell>
          <cell r="M471">
            <v>0</v>
          </cell>
          <cell r="N471">
            <v>0</v>
          </cell>
          <cell r="O471">
            <v>0</v>
          </cell>
          <cell r="P471">
            <v>0</v>
          </cell>
          <cell r="Q471">
            <v>0</v>
          </cell>
          <cell r="R471">
            <v>1</v>
          </cell>
          <cell r="S471">
            <v>0</v>
          </cell>
          <cell r="T471">
            <v>0</v>
          </cell>
          <cell r="U471">
            <v>0</v>
          </cell>
          <cell r="V471">
            <v>0</v>
          </cell>
          <cell r="W471">
            <v>4</v>
          </cell>
          <cell r="X471">
            <v>0</v>
          </cell>
          <cell r="Y471">
            <v>0</v>
          </cell>
          <cell r="Z471">
            <v>0</v>
          </cell>
          <cell r="AA471">
            <v>12</v>
          </cell>
          <cell r="AB471">
            <v>1.3333333333333333</v>
          </cell>
          <cell r="AC471">
            <v>0.5</v>
          </cell>
          <cell r="AD471">
            <v>48</v>
          </cell>
        </row>
        <row r="472">
          <cell r="A472">
            <v>24</v>
          </cell>
          <cell r="B472">
            <v>3</v>
          </cell>
          <cell r="C472">
            <v>3</v>
          </cell>
          <cell r="D472">
            <v>2400</v>
          </cell>
          <cell r="E472">
            <v>0</v>
          </cell>
          <cell r="F472">
            <v>13</v>
          </cell>
          <cell r="G472">
            <v>3</v>
          </cell>
          <cell r="H472">
            <v>2</v>
          </cell>
          <cell r="I472">
            <v>3</v>
          </cell>
          <cell r="J472">
            <v>3</v>
          </cell>
          <cell r="K472">
            <v>2</v>
          </cell>
          <cell r="L472">
            <v>2</v>
          </cell>
          <cell r="M472">
            <v>0</v>
          </cell>
          <cell r="N472">
            <v>0</v>
          </cell>
          <cell r="O472">
            <v>0</v>
          </cell>
          <cell r="P472">
            <v>0</v>
          </cell>
          <cell r="Q472">
            <v>1</v>
          </cell>
          <cell r="R472">
            <v>0</v>
          </cell>
          <cell r="S472">
            <v>0</v>
          </cell>
          <cell r="T472">
            <v>0</v>
          </cell>
          <cell r="U472">
            <v>0</v>
          </cell>
          <cell r="V472">
            <v>3</v>
          </cell>
          <cell r="W472">
            <v>0</v>
          </cell>
          <cell r="X472">
            <v>0</v>
          </cell>
          <cell r="Y472">
            <v>1</v>
          </cell>
          <cell r="Z472">
            <v>0</v>
          </cell>
          <cell r="AA472">
            <v>16</v>
          </cell>
          <cell r="AB472">
            <v>0</v>
          </cell>
          <cell r="AC472">
            <v>1</v>
          </cell>
          <cell r="AD472">
            <v>48</v>
          </cell>
        </row>
        <row r="473">
          <cell r="A473">
            <v>38</v>
          </cell>
          <cell r="B473">
            <v>3</v>
          </cell>
          <cell r="C473">
            <v>3</v>
          </cell>
          <cell r="D473">
            <v>9824</v>
          </cell>
          <cell r="E473">
            <v>3</v>
          </cell>
          <cell r="F473">
            <v>19</v>
          </cell>
          <cell r="G473">
            <v>3</v>
          </cell>
          <cell r="H473">
            <v>1</v>
          </cell>
          <cell r="I473">
            <v>18</v>
          </cell>
          <cell r="J473">
            <v>4</v>
          </cell>
          <cell r="K473">
            <v>1</v>
          </cell>
          <cell r="L473">
            <v>0</v>
          </cell>
          <cell r="M473">
            <v>0</v>
          </cell>
          <cell r="N473">
            <v>1</v>
          </cell>
          <cell r="O473">
            <v>0</v>
          </cell>
          <cell r="P473">
            <v>0</v>
          </cell>
          <cell r="Q473">
            <v>1</v>
          </cell>
          <cell r="R473">
            <v>0</v>
          </cell>
          <cell r="S473">
            <v>0</v>
          </cell>
          <cell r="T473">
            <v>0</v>
          </cell>
          <cell r="U473">
            <v>0</v>
          </cell>
          <cell r="V473">
            <v>3</v>
          </cell>
          <cell r="W473">
            <v>0</v>
          </cell>
          <cell r="X473">
            <v>0</v>
          </cell>
          <cell r="Y473">
            <v>0</v>
          </cell>
          <cell r="Z473">
            <v>0</v>
          </cell>
          <cell r="AA473">
            <v>9</v>
          </cell>
          <cell r="AB473">
            <v>0.16666666666666666</v>
          </cell>
          <cell r="AC473">
            <v>0</v>
          </cell>
          <cell r="AD473">
            <v>27</v>
          </cell>
        </row>
        <row r="474">
          <cell r="A474">
            <v>37</v>
          </cell>
          <cell r="B474">
            <v>4</v>
          </cell>
          <cell r="C474">
            <v>3</v>
          </cell>
          <cell r="D474">
            <v>6447</v>
          </cell>
          <cell r="E474">
            <v>6</v>
          </cell>
          <cell r="F474">
            <v>12</v>
          </cell>
          <cell r="G474">
            <v>3</v>
          </cell>
          <cell r="H474">
            <v>1</v>
          </cell>
          <cell r="I474">
            <v>8</v>
          </cell>
          <cell r="J474">
            <v>2</v>
          </cell>
          <cell r="K474">
            <v>6</v>
          </cell>
          <cell r="L474">
            <v>5</v>
          </cell>
          <cell r="M474">
            <v>0</v>
          </cell>
          <cell r="N474">
            <v>1</v>
          </cell>
          <cell r="O474">
            <v>1</v>
          </cell>
          <cell r="P474">
            <v>0</v>
          </cell>
          <cell r="Q474">
            <v>0</v>
          </cell>
          <cell r="R474">
            <v>0</v>
          </cell>
          <cell r="S474">
            <v>0</v>
          </cell>
          <cell r="T474">
            <v>4</v>
          </cell>
          <cell r="U474">
            <v>0</v>
          </cell>
          <cell r="V474">
            <v>0</v>
          </cell>
          <cell r="W474">
            <v>0</v>
          </cell>
          <cell r="X474">
            <v>0</v>
          </cell>
          <cell r="Y474">
            <v>0</v>
          </cell>
          <cell r="Z474">
            <v>0</v>
          </cell>
          <cell r="AA474">
            <v>4</v>
          </cell>
          <cell r="AB474">
            <v>0.75</v>
          </cell>
          <cell r="AC474">
            <v>0.83333333333333337</v>
          </cell>
          <cell r="AD474">
            <v>8</v>
          </cell>
        </row>
        <row r="475">
          <cell r="A475">
            <v>49</v>
          </cell>
          <cell r="B475">
            <v>4</v>
          </cell>
          <cell r="C475">
            <v>2</v>
          </cell>
          <cell r="D475">
            <v>19502</v>
          </cell>
          <cell r="E475">
            <v>1</v>
          </cell>
          <cell r="F475">
            <v>17</v>
          </cell>
          <cell r="G475">
            <v>3</v>
          </cell>
          <cell r="H475">
            <v>1</v>
          </cell>
          <cell r="I475">
            <v>31</v>
          </cell>
          <cell r="J475">
            <v>5</v>
          </cell>
          <cell r="K475">
            <v>31</v>
          </cell>
          <cell r="L475">
            <v>9</v>
          </cell>
          <cell r="M475">
            <v>1</v>
          </cell>
          <cell r="N475">
            <v>0</v>
          </cell>
          <cell r="O475">
            <v>1</v>
          </cell>
          <cell r="P475">
            <v>0</v>
          </cell>
          <cell r="Q475">
            <v>0</v>
          </cell>
          <cell r="R475">
            <v>0</v>
          </cell>
          <cell r="S475">
            <v>0</v>
          </cell>
          <cell r="T475">
            <v>4</v>
          </cell>
          <cell r="U475">
            <v>0</v>
          </cell>
          <cell r="V475">
            <v>0</v>
          </cell>
          <cell r="W475">
            <v>0</v>
          </cell>
          <cell r="X475">
            <v>0</v>
          </cell>
          <cell r="Y475">
            <v>0</v>
          </cell>
          <cell r="Z475">
            <v>0</v>
          </cell>
          <cell r="AA475">
            <v>12</v>
          </cell>
          <cell r="AB475">
            <v>3.2258064516129031E-2</v>
          </cell>
          <cell r="AC475">
            <v>0.29032258064516131</v>
          </cell>
          <cell r="AD475">
            <v>36</v>
          </cell>
        </row>
        <row r="476">
          <cell r="A476">
            <v>24</v>
          </cell>
          <cell r="B476">
            <v>3</v>
          </cell>
          <cell r="C476">
            <v>4</v>
          </cell>
          <cell r="D476">
            <v>2725</v>
          </cell>
          <cell r="E476">
            <v>1</v>
          </cell>
          <cell r="F476">
            <v>11</v>
          </cell>
          <cell r="G476">
            <v>3</v>
          </cell>
          <cell r="H476">
            <v>2</v>
          </cell>
          <cell r="I476">
            <v>6</v>
          </cell>
          <cell r="J476">
            <v>3</v>
          </cell>
          <cell r="K476">
            <v>6</v>
          </cell>
          <cell r="L476">
            <v>5</v>
          </cell>
          <cell r="M476">
            <v>1</v>
          </cell>
          <cell r="N476">
            <v>0</v>
          </cell>
          <cell r="O476">
            <v>0</v>
          </cell>
          <cell r="P476">
            <v>0</v>
          </cell>
          <cell r="Q476">
            <v>1</v>
          </cell>
          <cell r="R476">
            <v>0</v>
          </cell>
          <cell r="S476">
            <v>0</v>
          </cell>
          <cell r="T476">
            <v>0</v>
          </cell>
          <cell r="U476">
            <v>0</v>
          </cell>
          <cell r="V476">
            <v>3</v>
          </cell>
          <cell r="W476">
            <v>0</v>
          </cell>
          <cell r="X476">
            <v>0</v>
          </cell>
          <cell r="Y476">
            <v>0</v>
          </cell>
          <cell r="Z476">
            <v>1</v>
          </cell>
          <cell r="AA476">
            <v>8</v>
          </cell>
          <cell r="AB476">
            <v>0.16666666666666666</v>
          </cell>
          <cell r="AC476">
            <v>0.83333333333333337</v>
          </cell>
          <cell r="AD476">
            <v>16</v>
          </cell>
        </row>
        <row r="477">
          <cell r="A477">
            <v>26</v>
          </cell>
          <cell r="B477">
            <v>2</v>
          </cell>
          <cell r="C477">
            <v>3</v>
          </cell>
          <cell r="D477">
            <v>6272</v>
          </cell>
          <cell r="E477">
            <v>1</v>
          </cell>
          <cell r="F477">
            <v>20</v>
          </cell>
          <cell r="G477">
            <v>4</v>
          </cell>
          <cell r="H477">
            <v>2</v>
          </cell>
          <cell r="I477">
            <v>6</v>
          </cell>
          <cell r="J477">
            <v>5</v>
          </cell>
          <cell r="K477">
            <v>5</v>
          </cell>
          <cell r="L477">
            <v>3</v>
          </cell>
          <cell r="M477">
            <v>0</v>
          </cell>
          <cell r="N477">
            <v>0</v>
          </cell>
          <cell r="O477">
            <v>0</v>
          </cell>
          <cell r="P477">
            <v>1</v>
          </cell>
          <cell r="Q477">
            <v>0</v>
          </cell>
          <cell r="R477">
            <v>0</v>
          </cell>
          <cell r="S477">
            <v>0</v>
          </cell>
          <cell r="T477">
            <v>0</v>
          </cell>
          <cell r="U477">
            <v>2</v>
          </cell>
          <cell r="V477">
            <v>0</v>
          </cell>
          <cell r="W477">
            <v>0</v>
          </cell>
          <cell r="X477">
            <v>0</v>
          </cell>
          <cell r="Y477">
            <v>0</v>
          </cell>
          <cell r="Z477">
            <v>0</v>
          </cell>
          <cell r="AA477">
            <v>2</v>
          </cell>
          <cell r="AB477">
            <v>0.16666666666666666</v>
          </cell>
          <cell r="AC477">
            <v>0.6</v>
          </cell>
          <cell r="AD477">
            <v>8</v>
          </cell>
        </row>
        <row r="478">
          <cell r="A478">
            <v>24</v>
          </cell>
          <cell r="B478">
            <v>2</v>
          </cell>
          <cell r="C478">
            <v>2</v>
          </cell>
          <cell r="D478">
            <v>2127</v>
          </cell>
          <cell r="E478">
            <v>1</v>
          </cell>
          <cell r="F478">
            <v>21</v>
          </cell>
          <cell r="G478">
            <v>4</v>
          </cell>
          <cell r="H478">
            <v>1</v>
          </cell>
          <cell r="I478">
            <v>1</v>
          </cell>
          <cell r="J478">
            <v>2</v>
          </cell>
          <cell r="K478">
            <v>1</v>
          </cell>
          <cell r="L478">
            <v>0</v>
          </cell>
          <cell r="M478">
            <v>0</v>
          </cell>
          <cell r="N478">
            <v>0</v>
          </cell>
          <cell r="O478">
            <v>0</v>
          </cell>
          <cell r="P478">
            <v>0</v>
          </cell>
          <cell r="Q478">
            <v>0</v>
          </cell>
          <cell r="R478">
            <v>1</v>
          </cell>
          <cell r="S478">
            <v>0</v>
          </cell>
          <cell r="T478">
            <v>0</v>
          </cell>
          <cell r="U478">
            <v>0</v>
          </cell>
          <cell r="V478">
            <v>0</v>
          </cell>
          <cell r="W478">
            <v>2</v>
          </cell>
          <cell r="X478">
            <v>0</v>
          </cell>
          <cell r="Y478">
            <v>0</v>
          </cell>
          <cell r="Z478">
            <v>0</v>
          </cell>
          <cell r="AA478">
            <v>8</v>
          </cell>
          <cell r="AB478">
            <v>1</v>
          </cell>
          <cell r="AC478">
            <v>0</v>
          </cell>
          <cell r="AD478">
            <v>32</v>
          </cell>
        </row>
        <row r="479">
          <cell r="A479">
            <v>50</v>
          </cell>
          <cell r="B479">
            <v>3</v>
          </cell>
          <cell r="C479">
            <v>3</v>
          </cell>
          <cell r="D479">
            <v>18200</v>
          </cell>
          <cell r="E479">
            <v>1</v>
          </cell>
          <cell r="F479">
            <v>11</v>
          </cell>
          <cell r="G479">
            <v>3</v>
          </cell>
          <cell r="H479">
            <v>1</v>
          </cell>
          <cell r="I479">
            <v>32</v>
          </cell>
          <cell r="J479">
            <v>2</v>
          </cell>
          <cell r="K479">
            <v>32</v>
          </cell>
          <cell r="L479">
            <v>5</v>
          </cell>
          <cell r="M479">
            <v>0</v>
          </cell>
          <cell r="N479">
            <v>0</v>
          </cell>
          <cell r="O479">
            <v>0</v>
          </cell>
          <cell r="P479">
            <v>0</v>
          </cell>
          <cell r="Q479">
            <v>1</v>
          </cell>
          <cell r="R479">
            <v>0</v>
          </cell>
          <cell r="S479">
            <v>0</v>
          </cell>
          <cell r="T479">
            <v>0</v>
          </cell>
          <cell r="U479">
            <v>0</v>
          </cell>
          <cell r="V479">
            <v>3</v>
          </cell>
          <cell r="W479">
            <v>0</v>
          </cell>
          <cell r="X479">
            <v>0</v>
          </cell>
          <cell r="Y479">
            <v>1</v>
          </cell>
          <cell r="Z479">
            <v>0</v>
          </cell>
          <cell r="AA479">
            <v>2</v>
          </cell>
          <cell r="AB479">
            <v>3.125E-2</v>
          </cell>
          <cell r="AC479">
            <v>0.15625</v>
          </cell>
          <cell r="AD479">
            <v>6</v>
          </cell>
        </row>
        <row r="480">
          <cell r="A480">
            <v>25</v>
          </cell>
          <cell r="B480">
            <v>1</v>
          </cell>
          <cell r="C480">
            <v>3</v>
          </cell>
          <cell r="D480">
            <v>2096</v>
          </cell>
          <cell r="E480">
            <v>1</v>
          </cell>
          <cell r="F480">
            <v>11</v>
          </cell>
          <cell r="G480">
            <v>3</v>
          </cell>
          <cell r="H480">
            <v>0</v>
          </cell>
          <cell r="I480">
            <v>7</v>
          </cell>
          <cell r="J480">
            <v>1</v>
          </cell>
          <cell r="K480">
            <v>7</v>
          </cell>
          <cell r="L480">
            <v>4</v>
          </cell>
          <cell r="M480">
            <v>0</v>
          </cell>
          <cell r="N480">
            <v>0</v>
          </cell>
          <cell r="O480">
            <v>0</v>
          </cell>
          <cell r="P480">
            <v>0</v>
          </cell>
          <cell r="Q480">
            <v>1</v>
          </cell>
          <cell r="R480">
            <v>0</v>
          </cell>
          <cell r="S480">
            <v>0</v>
          </cell>
          <cell r="T480">
            <v>0</v>
          </cell>
          <cell r="U480">
            <v>0</v>
          </cell>
          <cell r="V480">
            <v>1</v>
          </cell>
          <cell r="W480">
            <v>0</v>
          </cell>
          <cell r="X480">
            <v>0</v>
          </cell>
          <cell r="Y480">
            <v>0</v>
          </cell>
          <cell r="Z480">
            <v>0</v>
          </cell>
          <cell r="AA480">
            <v>6</v>
          </cell>
          <cell r="AB480">
            <v>0.14285714285714285</v>
          </cell>
          <cell r="AC480">
            <v>0.5714285714285714</v>
          </cell>
          <cell r="AD480">
            <v>18</v>
          </cell>
        </row>
        <row r="481">
          <cell r="A481">
            <v>24</v>
          </cell>
          <cell r="B481">
            <v>3</v>
          </cell>
          <cell r="C481">
            <v>3</v>
          </cell>
          <cell r="D481">
            <v>2886</v>
          </cell>
          <cell r="E481">
            <v>1</v>
          </cell>
          <cell r="F481">
            <v>16</v>
          </cell>
          <cell r="G481">
            <v>3</v>
          </cell>
          <cell r="H481">
            <v>1</v>
          </cell>
          <cell r="I481">
            <v>6</v>
          </cell>
          <cell r="J481">
            <v>4</v>
          </cell>
          <cell r="K481">
            <v>6</v>
          </cell>
          <cell r="L481">
            <v>3</v>
          </cell>
          <cell r="M481">
            <v>1</v>
          </cell>
          <cell r="N481">
            <v>1</v>
          </cell>
          <cell r="O481">
            <v>1</v>
          </cell>
          <cell r="P481">
            <v>0</v>
          </cell>
          <cell r="Q481">
            <v>0</v>
          </cell>
          <cell r="R481">
            <v>0</v>
          </cell>
          <cell r="S481">
            <v>0</v>
          </cell>
          <cell r="T481">
            <v>3</v>
          </cell>
          <cell r="U481">
            <v>0</v>
          </cell>
          <cell r="V481">
            <v>0</v>
          </cell>
          <cell r="W481">
            <v>0</v>
          </cell>
          <cell r="X481">
            <v>0</v>
          </cell>
          <cell r="Y481">
            <v>1</v>
          </cell>
          <cell r="Z481">
            <v>1</v>
          </cell>
          <cell r="AA481">
            <v>3</v>
          </cell>
          <cell r="AB481">
            <v>0.16666666666666666</v>
          </cell>
          <cell r="AC481">
            <v>0.5</v>
          </cell>
          <cell r="AD481">
            <v>12</v>
          </cell>
        </row>
        <row r="482">
          <cell r="A482">
            <v>30</v>
          </cell>
          <cell r="B482">
            <v>4</v>
          </cell>
          <cell r="C482">
            <v>2</v>
          </cell>
          <cell r="D482">
            <v>2033</v>
          </cell>
          <cell r="E482">
            <v>1</v>
          </cell>
          <cell r="F482">
            <v>18</v>
          </cell>
          <cell r="G482">
            <v>3</v>
          </cell>
          <cell r="H482">
            <v>1</v>
          </cell>
          <cell r="I482">
            <v>1</v>
          </cell>
          <cell r="J482">
            <v>2</v>
          </cell>
          <cell r="K482">
            <v>1</v>
          </cell>
          <cell r="L482">
            <v>0</v>
          </cell>
          <cell r="M482">
            <v>0</v>
          </cell>
          <cell r="N482">
            <v>0</v>
          </cell>
          <cell r="O482">
            <v>1</v>
          </cell>
          <cell r="P482">
            <v>0</v>
          </cell>
          <cell r="Q482">
            <v>0</v>
          </cell>
          <cell r="R482">
            <v>0</v>
          </cell>
          <cell r="S482">
            <v>0</v>
          </cell>
          <cell r="T482">
            <v>4</v>
          </cell>
          <cell r="U482">
            <v>0</v>
          </cell>
          <cell r="V482">
            <v>0</v>
          </cell>
          <cell r="W482">
            <v>0</v>
          </cell>
          <cell r="X482">
            <v>0</v>
          </cell>
          <cell r="Y482">
            <v>1</v>
          </cell>
          <cell r="Z482">
            <v>0</v>
          </cell>
          <cell r="AA482">
            <v>2</v>
          </cell>
          <cell r="AB482">
            <v>1</v>
          </cell>
          <cell r="AC482">
            <v>0</v>
          </cell>
          <cell r="AD482">
            <v>6</v>
          </cell>
        </row>
        <row r="483">
          <cell r="A483">
            <v>34</v>
          </cell>
          <cell r="B483">
            <v>2</v>
          </cell>
          <cell r="C483">
            <v>2</v>
          </cell>
          <cell r="D483">
            <v>3622</v>
          </cell>
          <cell r="E483">
            <v>1</v>
          </cell>
          <cell r="F483">
            <v>13</v>
          </cell>
          <cell r="G483">
            <v>3</v>
          </cell>
          <cell r="H483">
            <v>1</v>
          </cell>
          <cell r="I483">
            <v>6</v>
          </cell>
          <cell r="J483">
            <v>3</v>
          </cell>
          <cell r="K483">
            <v>6</v>
          </cell>
          <cell r="L483">
            <v>5</v>
          </cell>
          <cell r="M483">
            <v>1</v>
          </cell>
          <cell r="N483">
            <v>0</v>
          </cell>
          <cell r="O483">
            <v>1</v>
          </cell>
          <cell r="P483">
            <v>0</v>
          </cell>
          <cell r="Q483">
            <v>0</v>
          </cell>
          <cell r="R483">
            <v>0</v>
          </cell>
          <cell r="S483">
            <v>0</v>
          </cell>
          <cell r="T483">
            <v>2</v>
          </cell>
          <cell r="U483">
            <v>0</v>
          </cell>
          <cell r="V483">
            <v>0</v>
          </cell>
          <cell r="W483">
            <v>0</v>
          </cell>
          <cell r="X483">
            <v>0</v>
          </cell>
          <cell r="Y483">
            <v>0</v>
          </cell>
          <cell r="Z483">
            <v>1</v>
          </cell>
          <cell r="AA483">
            <v>8</v>
          </cell>
          <cell r="AB483">
            <v>0.16666666666666666</v>
          </cell>
          <cell r="AC483">
            <v>0.83333333333333337</v>
          </cell>
          <cell r="AD483">
            <v>32</v>
          </cell>
        </row>
        <row r="484">
          <cell r="A484">
            <v>31</v>
          </cell>
          <cell r="B484">
            <v>4</v>
          </cell>
          <cell r="C484">
            <v>3</v>
          </cell>
          <cell r="D484">
            <v>4233</v>
          </cell>
          <cell r="E484">
            <v>2</v>
          </cell>
          <cell r="F484">
            <v>17</v>
          </cell>
          <cell r="G484">
            <v>3</v>
          </cell>
          <cell r="H484">
            <v>0</v>
          </cell>
          <cell r="I484">
            <v>9</v>
          </cell>
          <cell r="J484">
            <v>2</v>
          </cell>
          <cell r="K484">
            <v>3</v>
          </cell>
          <cell r="L484">
            <v>1</v>
          </cell>
          <cell r="M484">
            <v>0</v>
          </cell>
          <cell r="N484">
            <v>0</v>
          </cell>
          <cell r="O484">
            <v>0</v>
          </cell>
          <cell r="P484">
            <v>0</v>
          </cell>
          <cell r="Q484">
            <v>1</v>
          </cell>
          <cell r="R484">
            <v>0</v>
          </cell>
          <cell r="S484">
            <v>0</v>
          </cell>
          <cell r="T484">
            <v>0</v>
          </cell>
          <cell r="U484">
            <v>0</v>
          </cell>
          <cell r="V484">
            <v>4</v>
          </cell>
          <cell r="W484">
            <v>0</v>
          </cell>
          <cell r="X484">
            <v>0</v>
          </cell>
          <cell r="Y484">
            <v>0</v>
          </cell>
          <cell r="Z484">
            <v>0</v>
          </cell>
          <cell r="AA484">
            <v>2</v>
          </cell>
          <cell r="AB484">
            <v>0.22222222222222221</v>
          </cell>
          <cell r="AC484">
            <v>0.33333333333333331</v>
          </cell>
          <cell r="AD484">
            <v>6</v>
          </cell>
        </row>
        <row r="485">
          <cell r="A485">
            <v>35</v>
          </cell>
          <cell r="B485">
            <v>2</v>
          </cell>
          <cell r="C485">
            <v>2</v>
          </cell>
          <cell r="D485">
            <v>3681</v>
          </cell>
          <cell r="E485">
            <v>4</v>
          </cell>
          <cell r="F485">
            <v>14</v>
          </cell>
          <cell r="G485">
            <v>3</v>
          </cell>
          <cell r="H485">
            <v>0</v>
          </cell>
          <cell r="I485">
            <v>9</v>
          </cell>
          <cell r="J485">
            <v>3</v>
          </cell>
          <cell r="K485">
            <v>3</v>
          </cell>
          <cell r="L485">
            <v>2</v>
          </cell>
          <cell r="M485">
            <v>0</v>
          </cell>
          <cell r="N485">
            <v>0</v>
          </cell>
          <cell r="O485">
            <v>0</v>
          </cell>
          <cell r="P485">
            <v>0</v>
          </cell>
          <cell r="Q485">
            <v>0</v>
          </cell>
          <cell r="R485">
            <v>1</v>
          </cell>
          <cell r="S485">
            <v>0</v>
          </cell>
          <cell r="T485">
            <v>0</v>
          </cell>
          <cell r="U485">
            <v>0</v>
          </cell>
          <cell r="V485">
            <v>0</v>
          </cell>
          <cell r="W485">
            <v>2</v>
          </cell>
          <cell r="X485">
            <v>0</v>
          </cell>
          <cell r="Y485">
            <v>0</v>
          </cell>
          <cell r="Z485">
            <v>0</v>
          </cell>
          <cell r="AA485">
            <v>4</v>
          </cell>
          <cell r="AB485">
            <v>0.44444444444444442</v>
          </cell>
          <cell r="AC485">
            <v>0.66666666666666663</v>
          </cell>
          <cell r="AD485">
            <v>16</v>
          </cell>
        </row>
        <row r="486">
          <cell r="A486">
            <v>31</v>
          </cell>
          <cell r="B486">
            <v>4</v>
          </cell>
          <cell r="C486">
            <v>4</v>
          </cell>
          <cell r="D486">
            <v>5460</v>
          </cell>
          <cell r="E486">
            <v>4</v>
          </cell>
          <cell r="F486">
            <v>22</v>
          </cell>
          <cell r="G486">
            <v>4</v>
          </cell>
          <cell r="H486">
            <v>2</v>
          </cell>
          <cell r="I486">
            <v>13</v>
          </cell>
          <cell r="J486">
            <v>4</v>
          </cell>
          <cell r="K486">
            <v>7</v>
          </cell>
          <cell r="L486">
            <v>7</v>
          </cell>
          <cell r="M486">
            <v>0</v>
          </cell>
          <cell r="N486">
            <v>0</v>
          </cell>
          <cell r="O486">
            <v>0</v>
          </cell>
          <cell r="P486">
            <v>0</v>
          </cell>
          <cell r="Q486">
            <v>1</v>
          </cell>
          <cell r="R486">
            <v>0</v>
          </cell>
          <cell r="S486">
            <v>0</v>
          </cell>
          <cell r="T486">
            <v>0</v>
          </cell>
          <cell r="U486">
            <v>0</v>
          </cell>
          <cell r="V486">
            <v>4</v>
          </cell>
          <cell r="W486">
            <v>0</v>
          </cell>
          <cell r="X486">
            <v>0</v>
          </cell>
          <cell r="Y486">
            <v>0</v>
          </cell>
          <cell r="Z486">
            <v>0</v>
          </cell>
          <cell r="AA486">
            <v>4</v>
          </cell>
          <cell r="AB486">
            <v>0.30769230769230771</v>
          </cell>
          <cell r="AC486">
            <v>1</v>
          </cell>
          <cell r="AD486">
            <v>16</v>
          </cell>
        </row>
        <row r="487">
          <cell r="A487">
            <v>27</v>
          </cell>
          <cell r="B487">
            <v>4</v>
          </cell>
          <cell r="C487">
            <v>2</v>
          </cell>
          <cell r="D487">
            <v>2187</v>
          </cell>
          <cell r="E487">
            <v>0</v>
          </cell>
          <cell r="F487">
            <v>12</v>
          </cell>
          <cell r="G487">
            <v>3</v>
          </cell>
          <cell r="H487">
            <v>2</v>
          </cell>
          <cell r="I487">
            <v>6</v>
          </cell>
          <cell r="J487">
            <v>5</v>
          </cell>
          <cell r="K487">
            <v>5</v>
          </cell>
          <cell r="L487">
            <v>3</v>
          </cell>
          <cell r="M487">
            <v>0</v>
          </cell>
          <cell r="N487">
            <v>1</v>
          </cell>
          <cell r="O487">
            <v>0</v>
          </cell>
          <cell r="P487">
            <v>0</v>
          </cell>
          <cell r="Q487">
            <v>1</v>
          </cell>
          <cell r="R487">
            <v>0</v>
          </cell>
          <cell r="S487">
            <v>0</v>
          </cell>
          <cell r="T487">
            <v>0</v>
          </cell>
          <cell r="U487">
            <v>0</v>
          </cell>
          <cell r="V487">
            <v>4</v>
          </cell>
          <cell r="W487">
            <v>0</v>
          </cell>
          <cell r="X487">
            <v>0</v>
          </cell>
          <cell r="Y487">
            <v>0</v>
          </cell>
          <cell r="Z487">
            <v>0</v>
          </cell>
          <cell r="AA487">
            <v>3</v>
          </cell>
          <cell r="AB487">
            <v>0</v>
          </cell>
          <cell r="AC487">
            <v>0.6</v>
          </cell>
          <cell r="AD487">
            <v>9</v>
          </cell>
        </row>
        <row r="488">
          <cell r="A488">
            <v>37</v>
          </cell>
          <cell r="B488">
            <v>3</v>
          </cell>
          <cell r="C488">
            <v>3</v>
          </cell>
          <cell r="D488">
            <v>9602</v>
          </cell>
          <cell r="E488">
            <v>4</v>
          </cell>
          <cell r="F488">
            <v>11</v>
          </cell>
          <cell r="G488">
            <v>3</v>
          </cell>
          <cell r="H488">
            <v>1</v>
          </cell>
          <cell r="I488">
            <v>17</v>
          </cell>
          <cell r="J488">
            <v>3</v>
          </cell>
          <cell r="K488">
            <v>3</v>
          </cell>
          <cell r="L488">
            <v>0</v>
          </cell>
          <cell r="M488">
            <v>1</v>
          </cell>
          <cell r="N488">
            <v>0</v>
          </cell>
          <cell r="O488">
            <v>0</v>
          </cell>
          <cell r="P488">
            <v>1</v>
          </cell>
          <cell r="Q488">
            <v>0</v>
          </cell>
          <cell r="R488">
            <v>0</v>
          </cell>
          <cell r="S488">
            <v>0</v>
          </cell>
          <cell r="T488">
            <v>0</v>
          </cell>
          <cell r="U488">
            <v>3</v>
          </cell>
          <cell r="V488">
            <v>0</v>
          </cell>
          <cell r="W488">
            <v>0</v>
          </cell>
          <cell r="X488">
            <v>0</v>
          </cell>
          <cell r="Y488">
            <v>0</v>
          </cell>
          <cell r="Z488">
            <v>1</v>
          </cell>
          <cell r="AA488">
            <v>12</v>
          </cell>
          <cell r="AB488">
            <v>0.23529411764705882</v>
          </cell>
          <cell r="AC488">
            <v>0</v>
          </cell>
          <cell r="AD488">
            <v>36</v>
          </cell>
        </row>
        <row r="489">
          <cell r="A489">
            <v>20</v>
          </cell>
          <cell r="B489">
            <v>3</v>
          </cell>
          <cell r="C489">
            <v>2</v>
          </cell>
          <cell r="D489">
            <v>2836</v>
          </cell>
          <cell r="E489">
            <v>1</v>
          </cell>
          <cell r="F489">
            <v>13</v>
          </cell>
          <cell r="G489">
            <v>3</v>
          </cell>
          <cell r="H489">
            <v>0</v>
          </cell>
          <cell r="I489">
            <v>1</v>
          </cell>
          <cell r="J489">
            <v>0</v>
          </cell>
          <cell r="K489">
            <v>1</v>
          </cell>
          <cell r="L489">
            <v>0</v>
          </cell>
          <cell r="M489">
            <v>0</v>
          </cell>
          <cell r="N489">
            <v>1</v>
          </cell>
          <cell r="O489">
            <v>1</v>
          </cell>
          <cell r="P489">
            <v>0</v>
          </cell>
          <cell r="Q489">
            <v>0</v>
          </cell>
          <cell r="R489">
            <v>0</v>
          </cell>
          <cell r="S489">
            <v>0</v>
          </cell>
          <cell r="T489">
            <v>3</v>
          </cell>
          <cell r="U489">
            <v>0</v>
          </cell>
          <cell r="V489">
            <v>0</v>
          </cell>
          <cell r="W489">
            <v>0</v>
          </cell>
          <cell r="X489">
            <v>0</v>
          </cell>
          <cell r="Y489">
            <v>0</v>
          </cell>
          <cell r="Z489">
            <v>0</v>
          </cell>
          <cell r="AA489">
            <v>8</v>
          </cell>
          <cell r="AB489">
            <v>1</v>
          </cell>
          <cell r="AC489">
            <v>0</v>
          </cell>
          <cell r="AD489">
            <v>32</v>
          </cell>
        </row>
        <row r="490">
          <cell r="A490">
            <v>42</v>
          </cell>
          <cell r="B490">
            <v>4</v>
          </cell>
          <cell r="C490">
            <v>3</v>
          </cell>
          <cell r="D490">
            <v>4089</v>
          </cell>
          <cell r="E490">
            <v>1</v>
          </cell>
          <cell r="F490">
            <v>13</v>
          </cell>
          <cell r="G490">
            <v>3</v>
          </cell>
          <cell r="H490">
            <v>2</v>
          </cell>
          <cell r="I490">
            <v>10</v>
          </cell>
          <cell r="J490">
            <v>4</v>
          </cell>
          <cell r="K490">
            <v>10</v>
          </cell>
          <cell r="L490">
            <v>2</v>
          </cell>
          <cell r="M490">
            <v>0</v>
          </cell>
          <cell r="N490">
            <v>1</v>
          </cell>
          <cell r="O490">
            <v>1</v>
          </cell>
          <cell r="P490">
            <v>0</v>
          </cell>
          <cell r="Q490">
            <v>0</v>
          </cell>
          <cell r="R490">
            <v>0</v>
          </cell>
          <cell r="S490">
            <v>0</v>
          </cell>
          <cell r="T490">
            <v>4</v>
          </cell>
          <cell r="U490">
            <v>0</v>
          </cell>
          <cell r="V490">
            <v>0</v>
          </cell>
          <cell r="W490">
            <v>0</v>
          </cell>
          <cell r="X490">
            <v>0</v>
          </cell>
          <cell r="Y490">
            <v>0</v>
          </cell>
          <cell r="Z490">
            <v>0</v>
          </cell>
          <cell r="AA490">
            <v>12</v>
          </cell>
          <cell r="AB490">
            <v>0.1</v>
          </cell>
          <cell r="AC490">
            <v>0.2</v>
          </cell>
          <cell r="AD490">
            <v>24</v>
          </cell>
        </row>
        <row r="491">
          <cell r="A491">
            <v>43</v>
          </cell>
          <cell r="B491">
            <v>4</v>
          </cell>
          <cell r="C491">
            <v>2</v>
          </cell>
          <cell r="D491">
            <v>16627</v>
          </cell>
          <cell r="E491">
            <v>4</v>
          </cell>
          <cell r="F491">
            <v>14</v>
          </cell>
          <cell r="G491">
            <v>3</v>
          </cell>
          <cell r="H491">
            <v>1</v>
          </cell>
          <cell r="I491">
            <v>21</v>
          </cell>
          <cell r="J491">
            <v>3</v>
          </cell>
          <cell r="K491">
            <v>1</v>
          </cell>
          <cell r="L491">
            <v>0</v>
          </cell>
          <cell r="M491">
            <v>1</v>
          </cell>
          <cell r="N491">
            <v>0</v>
          </cell>
          <cell r="O491">
            <v>0</v>
          </cell>
          <cell r="P491">
            <v>0</v>
          </cell>
          <cell r="Q491">
            <v>0</v>
          </cell>
          <cell r="R491">
            <v>1</v>
          </cell>
          <cell r="S491">
            <v>0</v>
          </cell>
          <cell r="T491">
            <v>0</v>
          </cell>
          <cell r="U491">
            <v>0</v>
          </cell>
          <cell r="V491">
            <v>0</v>
          </cell>
          <cell r="W491">
            <v>4</v>
          </cell>
          <cell r="X491">
            <v>0</v>
          </cell>
          <cell r="Y491">
            <v>0</v>
          </cell>
          <cell r="Z491">
            <v>0</v>
          </cell>
          <cell r="AA491">
            <v>8</v>
          </cell>
          <cell r="AB491">
            <v>0.19047619047619047</v>
          </cell>
          <cell r="AC491">
            <v>0</v>
          </cell>
          <cell r="AD491">
            <v>24</v>
          </cell>
        </row>
        <row r="492">
          <cell r="A492">
            <v>38</v>
          </cell>
          <cell r="B492">
            <v>1</v>
          </cell>
          <cell r="C492">
            <v>3</v>
          </cell>
          <cell r="D492">
            <v>2619</v>
          </cell>
          <cell r="E492">
            <v>3</v>
          </cell>
          <cell r="F492">
            <v>17</v>
          </cell>
          <cell r="G492">
            <v>3</v>
          </cell>
          <cell r="H492">
            <v>0</v>
          </cell>
          <cell r="I492">
            <v>8</v>
          </cell>
          <cell r="J492">
            <v>3</v>
          </cell>
          <cell r="K492">
            <v>0</v>
          </cell>
          <cell r="L492">
            <v>0</v>
          </cell>
          <cell r="M492">
            <v>0</v>
          </cell>
          <cell r="N492">
            <v>1</v>
          </cell>
          <cell r="O492">
            <v>1</v>
          </cell>
          <cell r="P492">
            <v>0</v>
          </cell>
          <cell r="Q492">
            <v>0</v>
          </cell>
          <cell r="R492">
            <v>0</v>
          </cell>
          <cell r="S492">
            <v>0</v>
          </cell>
          <cell r="T492">
            <v>1</v>
          </cell>
          <cell r="U492">
            <v>0</v>
          </cell>
          <cell r="V492">
            <v>0</v>
          </cell>
          <cell r="W492">
            <v>0</v>
          </cell>
          <cell r="X492">
            <v>0</v>
          </cell>
          <cell r="Y492">
            <v>0</v>
          </cell>
          <cell r="Z492">
            <v>0</v>
          </cell>
          <cell r="AA492">
            <v>3</v>
          </cell>
          <cell r="AB492">
            <v>0.375</v>
          </cell>
          <cell r="AC492">
            <v>0</v>
          </cell>
          <cell r="AD492">
            <v>12</v>
          </cell>
        </row>
        <row r="493">
          <cell r="A493">
            <v>43</v>
          </cell>
          <cell r="B493">
            <v>5</v>
          </cell>
          <cell r="C493">
            <v>3</v>
          </cell>
          <cell r="D493">
            <v>5679</v>
          </cell>
          <cell r="E493">
            <v>3</v>
          </cell>
          <cell r="F493">
            <v>13</v>
          </cell>
          <cell r="G493">
            <v>3</v>
          </cell>
          <cell r="H493">
            <v>1</v>
          </cell>
          <cell r="I493">
            <v>10</v>
          </cell>
          <cell r="J493">
            <v>3</v>
          </cell>
          <cell r="K493">
            <v>8</v>
          </cell>
          <cell r="L493">
            <v>7</v>
          </cell>
          <cell r="M493">
            <v>1</v>
          </cell>
          <cell r="N493">
            <v>0</v>
          </cell>
          <cell r="O493">
            <v>0</v>
          </cell>
          <cell r="P493">
            <v>0</v>
          </cell>
          <cell r="Q493">
            <v>1</v>
          </cell>
          <cell r="R493">
            <v>0</v>
          </cell>
          <cell r="S493">
            <v>0</v>
          </cell>
          <cell r="T493">
            <v>0</v>
          </cell>
          <cell r="U493">
            <v>0</v>
          </cell>
          <cell r="V493">
            <v>5</v>
          </cell>
          <cell r="W493">
            <v>0</v>
          </cell>
          <cell r="X493">
            <v>0</v>
          </cell>
          <cell r="Y493">
            <v>0</v>
          </cell>
          <cell r="Z493">
            <v>0</v>
          </cell>
          <cell r="AA493">
            <v>12</v>
          </cell>
          <cell r="AB493">
            <v>0.3</v>
          </cell>
          <cell r="AC493">
            <v>0.875</v>
          </cell>
          <cell r="AD493">
            <v>24</v>
          </cell>
        </row>
        <row r="494">
          <cell r="A494">
            <v>48</v>
          </cell>
          <cell r="B494">
            <v>4</v>
          </cell>
          <cell r="C494">
            <v>2</v>
          </cell>
          <cell r="D494">
            <v>15402</v>
          </cell>
          <cell r="E494">
            <v>7</v>
          </cell>
          <cell r="F494">
            <v>11</v>
          </cell>
          <cell r="G494">
            <v>3</v>
          </cell>
          <cell r="H494">
            <v>1</v>
          </cell>
          <cell r="I494">
            <v>21</v>
          </cell>
          <cell r="J494">
            <v>3</v>
          </cell>
          <cell r="K494">
            <v>3</v>
          </cell>
          <cell r="L494">
            <v>2</v>
          </cell>
          <cell r="M494">
            <v>0</v>
          </cell>
          <cell r="N494">
            <v>1</v>
          </cell>
          <cell r="O494">
            <v>1</v>
          </cell>
          <cell r="P494">
            <v>0</v>
          </cell>
          <cell r="Q494">
            <v>0</v>
          </cell>
          <cell r="R494">
            <v>0</v>
          </cell>
          <cell r="S494">
            <v>0</v>
          </cell>
          <cell r="T494">
            <v>4</v>
          </cell>
          <cell r="U494">
            <v>0</v>
          </cell>
          <cell r="V494">
            <v>0</v>
          </cell>
          <cell r="W494">
            <v>0</v>
          </cell>
          <cell r="X494">
            <v>0</v>
          </cell>
          <cell r="Y494">
            <v>0</v>
          </cell>
          <cell r="Z494">
            <v>0</v>
          </cell>
          <cell r="AA494">
            <v>4</v>
          </cell>
          <cell r="AB494">
            <v>0.33333333333333331</v>
          </cell>
          <cell r="AC494">
            <v>0.66666666666666663</v>
          </cell>
          <cell r="AD494">
            <v>4</v>
          </cell>
        </row>
        <row r="495">
          <cell r="A495">
            <v>44</v>
          </cell>
          <cell r="B495">
            <v>4</v>
          </cell>
          <cell r="C495">
            <v>2</v>
          </cell>
          <cell r="D495">
            <v>5985</v>
          </cell>
          <cell r="E495">
            <v>4</v>
          </cell>
          <cell r="F495">
            <v>11</v>
          </cell>
          <cell r="G495">
            <v>3</v>
          </cell>
          <cell r="H495">
            <v>0</v>
          </cell>
          <cell r="I495">
            <v>10</v>
          </cell>
          <cell r="J495">
            <v>1</v>
          </cell>
          <cell r="K495">
            <v>2</v>
          </cell>
          <cell r="L495">
            <v>2</v>
          </cell>
          <cell r="M495">
            <v>0</v>
          </cell>
          <cell r="N495">
            <v>1</v>
          </cell>
          <cell r="O495">
            <v>1</v>
          </cell>
          <cell r="P495">
            <v>0</v>
          </cell>
          <cell r="Q495">
            <v>0</v>
          </cell>
          <cell r="R495">
            <v>0</v>
          </cell>
          <cell r="S495">
            <v>0</v>
          </cell>
          <cell r="T495">
            <v>4</v>
          </cell>
          <cell r="U495">
            <v>0</v>
          </cell>
          <cell r="V495">
            <v>0</v>
          </cell>
          <cell r="W495">
            <v>0</v>
          </cell>
          <cell r="X495">
            <v>0</v>
          </cell>
          <cell r="Y495">
            <v>0</v>
          </cell>
          <cell r="Z495">
            <v>0</v>
          </cell>
          <cell r="AA495">
            <v>3</v>
          </cell>
          <cell r="AB495">
            <v>0.4</v>
          </cell>
          <cell r="AC495">
            <v>1</v>
          </cell>
          <cell r="AD495">
            <v>6</v>
          </cell>
        </row>
        <row r="496">
          <cell r="A496">
            <v>34</v>
          </cell>
          <cell r="B496">
            <v>3</v>
          </cell>
          <cell r="C496">
            <v>3</v>
          </cell>
          <cell r="D496">
            <v>2579</v>
          </cell>
          <cell r="E496">
            <v>1</v>
          </cell>
          <cell r="F496">
            <v>18</v>
          </cell>
          <cell r="G496">
            <v>3</v>
          </cell>
          <cell r="H496">
            <v>2</v>
          </cell>
          <cell r="I496">
            <v>8</v>
          </cell>
          <cell r="J496">
            <v>3</v>
          </cell>
          <cell r="K496">
            <v>8</v>
          </cell>
          <cell r="L496">
            <v>2</v>
          </cell>
          <cell r="M496">
            <v>1</v>
          </cell>
          <cell r="N496">
            <v>1</v>
          </cell>
          <cell r="O496">
            <v>0</v>
          </cell>
          <cell r="P496">
            <v>0</v>
          </cell>
          <cell r="Q496">
            <v>0</v>
          </cell>
          <cell r="R496">
            <v>0</v>
          </cell>
          <cell r="S496">
            <v>1</v>
          </cell>
          <cell r="T496">
            <v>0</v>
          </cell>
          <cell r="U496">
            <v>0</v>
          </cell>
          <cell r="V496">
            <v>0</v>
          </cell>
          <cell r="W496">
            <v>0</v>
          </cell>
          <cell r="X496">
            <v>3</v>
          </cell>
          <cell r="Y496">
            <v>0</v>
          </cell>
          <cell r="Z496">
            <v>0</v>
          </cell>
          <cell r="AA496">
            <v>9</v>
          </cell>
          <cell r="AB496">
            <v>0.125</v>
          </cell>
          <cell r="AC496">
            <v>0.25</v>
          </cell>
          <cell r="AD496">
            <v>36</v>
          </cell>
        </row>
        <row r="497">
          <cell r="A497">
            <v>27</v>
          </cell>
          <cell r="B497">
            <v>1</v>
          </cell>
          <cell r="C497">
            <v>3</v>
          </cell>
          <cell r="D497">
            <v>3041</v>
          </cell>
          <cell r="E497">
            <v>0</v>
          </cell>
          <cell r="F497">
            <v>11</v>
          </cell>
          <cell r="G497">
            <v>3</v>
          </cell>
          <cell r="H497">
            <v>1</v>
          </cell>
          <cell r="I497">
            <v>5</v>
          </cell>
          <cell r="J497">
            <v>3</v>
          </cell>
          <cell r="K497">
            <v>4</v>
          </cell>
          <cell r="L497">
            <v>3</v>
          </cell>
          <cell r="M497">
            <v>0</v>
          </cell>
          <cell r="N497">
            <v>0</v>
          </cell>
          <cell r="O497">
            <v>0</v>
          </cell>
          <cell r="P497">
            <v>1</v>
          </cell>
          <cell r="Q497">
            <v>0</v>
          </cell>
          <cell r="R497">
            <v>0</v>
          </cell>
          <cell r="S497">
            <v>0</v>
          </cell>
          <cell r="T497">
            <v>0</v>
          </cell>
          <cell r="U497">
            <v>1</v>
          </cell>
          <cell r="V497">
            <v>0</v>
          </cell>
          <cell r="W497">
            <v>0</v>
          </cell>
          <cell r="X497">
            <v>0</v>
          </cell>
          <cell r="Y497">
            <v>0</v>
          </cell>
          <cell r="Z497">
            <v>0</v>
          </cell>
          <cell r="AA497">
            <v>3</v>
          </cell>
          <cell r="AB497">
            <v>0</v>
          </cell>
          <cell r="AC497">
            <v>0.75</v>
          </cell>
          <cell r="AD497">
            <v>6</v>
          </cell>
        </row>
        <row r="498">
          <cell r="A498">
            <v>21</v>
          </cell>
          <cell r="B498">
            <v>1</v>
          </cell>
          <cell r="C498">
            <v>3</v>
          </cell>
          <cell r="D498">
            <v>3447</v>
          </cell>
          <cell r="E498">
            <v>1</v>
          </cell>
          <cell r="F498">
            <v>11</v>
          </cell>
          <cell r="G498">
            <v>3</v>
          </cell>
          <cell r="H498">
            <v>0</v>
          </cell>
          <cell r="I498">
            <v>3</v>
          </cell>
          <cell r="J498">
            <v>2</v>
          </cell>
          <cell r="K498">
            <v>3</v>
          </cell>
          <cell r="L498">
            <v>2</v>
          </cell>
          <cell r="M498">
            <v>0</v>
          </cell>
          <cell r="N498">
            <v>0</v>
          </cell>
          <cell r="O498">
            <v>0</v>
          </cell>
          <cell r="P498">
            <v>0</v>
          </cell>
          <cell r="Q498">
            <v>0</v>
          </cell>
          <cell r="R498">
            <v>0</v>
          </cell>
          <cell r="S498">
            <v>1</v>
          </cell>
          <cell r="T498">
            <v>0</v>
          </cell>
          <cell r="U498">
            <v>0</v>
          </cell>
          <cell r="V498">
            <v>0</v>
          </cell>
          <cell r="W498">
            <v>0</v>
          </cell>
          <cell r="X498">
            <v>1</v>
          </cell>
          <cell r="Y498">
            <v>0</v>
          </cell>
          <cell r="Z498">
            <v>0</v>
          </cell>
          <cell r="AA498">
            <v>9</v>
          </cell>
          <cell r="AB498">
            <v>0.33333333333333331</v>
          </cell>
          <cell r="AC498">
            <v>0.66666666666666663</v>
          </cell>
          <cell r="AD498">
            <v>27</v>
          </cell>
        </row>
        <row r="499">
          <cell r="A499">
            <v>44</v>
          </cell>
          <cell r="B499">
            <v>4</v>
          </cell>
          <cell r="C499">
            <v>3</v>
          </cell>
          <cell r="D499">
            <v>19513</v>
          </cell>
          <cell r="E499">
            <v>4</v>
          </cell>
          <cell r="F499">
            <v>12</v>
          </cell>
          <cell r="G499">
            <v>3</v>
          </cell>
          <cell r="H499">
            <v>1</v>
          </cell>
          <cell r="I499">
            <v>26</v>
          </cell>
          <cell r="J499">
            <v>2</v>
          </cell>
          <cell r="K499">
            <v>2</v>
          </cell>
          <cell r="L499">
            <v>2</v>
          </cell>
          <cell r="M499">
            <v>1</v>
          </cell>
          <cell r="N499">
            <v>0</v>
          </cell>
          <cell r="O499">
            <v>0</v>
          </cell>
          <cell r="P499">
            <v>0</v>
          </cell>
          <cell r="Q499">
            <v>0</v>
          </cell>
          <cell r="R499">
            <v>1</v>
          </cell>
          <cell r="S499">
            <v>0</v>
          </cell>
          <cell r="T499">
            <v>0</v>
          </cell>
          <cell r="U499">
            <v>0</v>
          </cell>
          <cell r="V499">
            <v>0</v>
          </cell>
          <cell r="W499">
            <v>4</v>
          </cell>
          <cell r="X499">
            <v>0</v>
          </cell>
          <cell r="Y499">
            <v>0</v>
          </cell>
          <cell r="Z499">
            <v>1</v>
          </cell>
          <cell r="AA499">
            <v>16</v>
          </cell>
          <cell r="AB499">
            <v>0.15384615384615385</v>
          </cell>
          <cell r="AC499">
            <v>1</v>
          </cell>
          <cell r="AD499">
            <v>16</v>
          </cell>
        </row>
        <row r="500">
          <cell r="A500">
            <v>22</v>
          </cell>
          <cell r="B500">
            <v>1</v>
          </cell>
          <cell r="C500">
            <v>3</v>
          </cell>
          <cell r="D500">
            <v>2773</v>
          </cell>
          <cell r="E500">
            <v>0</v>
          </cell>
          <cell r="F500">
            <v>20</v>
          </cell>
          <cell r="G500">
            <v>4</v>
          </cell>
          <cell r="H500">
            <v>0</v>
          </cell>
          <cell r="I500">
            <v>3</v>
          </cell>
          <cell r="J500">
            <v>3</v>
          </cell>
          <cell r="K500">
            <v>2</v>
          </cell>
          <cell r="L500">
            <v>2</v>
          </cell>
          <cell r="M500">
            <v>0</v>
          </cell>
          <cell r="N500">
            <v>0</v>
          </cell>
          <cell r="O500">
            <v>0</v>
          </cell>
          <cell r="P500">
            <v>0</v>
          </cell>
          <cell r="Q500">
            <v>1</v>
          </cell>
          <cell r="R500">
            <v>0</v>
          </cell>
          <cell r="S500">
            <v>0</v>
          </cell>
          <cell r="T500">
            <v>0</v>
          </cell>
          <cell r="U500">
            <v>0</v>
          </cell>
          <cell r="V500">
            <v>1</v>
          </cell>
          <cell r="W500">
            <v>0</v>
          </cell>
          <cell r="X500">
            <v>0</v>
          </cell>
          <cell r="Y500">
            <v>0</v>
          </cell>
          <cell r="Z500">
            <v>0</v>
          </cell>
          <cell r="AA500">
            <v>3</v>
          </cell>
          <cell r="AB500">
            <v>0</v>
          </cell>
          <cell r="AC500">
            <v>1</v>
          </cell>
          <cell r="AD500">
            <v>12</v>
          </cell>
        </row>
        <row r="501">
          <cell r="A501">
            <v>33</v>
          </cell>
          <cell r="B501">
            <v>4</v>
          </cell>
          <cell r="C501">
            <v>3</v>
          </cell>
          <cell r="D501">
            <v>7104</v>
          </cell>
          <cell r="E501">
            <v>0</v>
          </cell>
          <cell r="F501">
            <v>12</v>
          </cell>
          <cell r="G501">
            <v>3</v>
          </cell>
          <cell r="H501">
            <v>0</v>
          </cell>
          <cell r="I501">
            <v>6</v>
          </cell>
          <cell r="J501">
            <v>3</v>
          </cell>
          <cell r="K501">
            <v>5</v>
          </cell>
          <cell r="L501">
            <v>0</v>
          </cell>
          <cell r="M501">
            <v>0</v>
          </cell>
          <cell r="N501">
            <v>0</v>
          </cell>
          <cell r="O501">
            <v>0</v>
          </cell>
          <cell r="P501">
            <v>1</v>
          </cell>
          <cell r="Q501">
            <v>0</v>
          </cell>
          <cell r="R501">
            <v>0</v>
          </cell>
          <cell r="S501">
            <v>0</v>
          </cell>
          <cell r="T501">
            <v>0</v>
          </cell>
          <cell r="U501">
            <v>4</v>
          </cell>
          <cell r="V501">
            <v>0</v>
          </cell>
          <cell r="W501">
            <v>0</v>
          </cell>
          <cell r="X501">
            <v>0</v>
          </cell>
          <cell r="Y501">
            <v>0</v>
          </cell>
          <cell r="Z501">
            <v>0</v>
          </cell>
          <cell r="AA501">
            <v>9</v>
          </cell>
          <cell r="AB501">
            <v>0</v>
          </cell>
          <cell r="AC501">
            <v>0</v>
          </cell>
          <cell r="AD501">
            <v>36</v>
          </cell>
        </row>
        <row r="502">
          <cell r="A502">
            <v>32</v>
          </cell>
          <cell r="B502">
            <v>4</v>
          </cell>
          <cell r="C502">
            <v>3</v>
          </cell>
          <cell r="D502">
            <v>6322</v>
          </cell>
          <cell r="E502">
            <v>1</v>
          </cell>
          <cell r="F502">
            <v>12</v>
          </cell>
          <cell r="G502">
            <v>3</v>
          </cell>
          <cell r="H502">
            <v>1</v>
          </cell>
          <cell r="I502">
            <v>6</v>
          </cell>
          <cell r="J502">
            <v>2</v>
          </cell>
          <cell r="K502">
            <v>6</v>
          </cell>
          <cell r="L502">
            <v>4</v>
          </cell>
          <cell r="M502">
            <v>1</v>
          </cell>
          <cell r="N502">
            <v>1</v>
          </cell>
          <cell r="O502">
            <v>1</v>
          </cell>
          <cell r="P502">
            <v>0</v>
          </cell>
          <cell r="Q502">
            <v>0</v>
          </cell>
          <cell r="R502">
            <v>0</v>
          </cell>
          <cell r="S502">
            <v>0</v>
          </cell>
          <cell r="T502">
            <v>4</v>
          </cell>
          <cell r="U502">
            <v>0</v>
          </cell>
          <cell r="V502">
            <v>0</v>
          </cell>
          <cell r="W502">
            <v>0</v>
          </cell>
          <cell r="X502">
            <v>0</v>
          </cell>
          <cell r="Y502">
            <v>0</v>
          </cell>
          <cell r="Z502">
            <v>1</v>
          </cell>
          <cell r="AA502">
            <v>4</v>
          </cell>
          <cell r="AB502">
            <v>0.16666666666666666</v>
          </cell>
          <cell r="AC502">
            <v>0.66666666666666663</v>
          </cell>
          <cell r="AD502">
            <v>16</v>
          </cell>
        </row>
        <row r="503">
          <cell r="A503">
            <v>30</v>
          </cell>
          <cell r="B503">
            <v>3</v>
          </cell>
          <cell r="C503">
            <v>3</v>
          </cell>
          <cell r="D503">
            <v>2083</v>
          </cell>
          <cell r="E503">
            <v>1</v>
          </cell>
          <cell r="F503">
            <v>20</v>
          </cell>
          <cell r="G503">
            <v>4</v>
          </cell>
          <cell r="H503">
            <v>1</v>
          </cell>
          <cell r="I503">
            <v>1</v>
          </cell>
          <cell r="J503">
            <v>2</v>
          </cell>
          <cell r="K503">
            <v>1</v>
          </cell>
          <cell r="L503">
            <v>0</v>
          </cell>
          <cell r="M503">
            <v>0</v>
          </cell>
          <cell r="N503">
            <v>1</v>
          </cell>
          <cell r="O503">
            <v>0</v>
          </cell>
          <cell r="P503">
            <v>0</v>
          </cell>
          <cell r="Q503">
            <v>1</v>
          </cell>
          <cell r="R503">
            <v>0</v>
          </cell>
          <cell r="S503">
            <v>0</v>
          </cell>
          <cell r="T503">
            <v>0</v>
          </cell>
          <cell r="U503">
            <v>0</v>
          </cell>
          <cell r="V503">
            <v>3</v>
          </cell>
          <cell r="W503">
            <v>0</v>
          </cell>
          <cell r="X503">
            <v>0</v>
          </cell>
          <cell r="Y503">
            <v>0</v>
          </cell>
          <cell r="Z503">
            <v>0</v>
          </cell>
          <cell r="AA503">
            <v>9</v>
          </cell>
          <cell r="AB503">
            <v>1</v>
          </cell>
          <cell r="AC503">
            <v>0</v>
          </cell>
          <cell r="AD503">
            <v>27</v>
          </cell>
        </row>
        <row r="504">
          <cell r="A504">
            <v>53</v>
          </cell>
          <cell r="B504">
            <v>1</v>
          </cell>
          <cell r="C504">
            <v>3</v>
          </cell>
          <cell r="D504">
            <v>8381</v>
          </cell>
          <cell r="E504">
            <v>7</v>
          </cell>
          <cell r="F504">
            <v>20</v>
          </cell>
          <cell r="G504">
            <v>4</v>
          </cell>
          <cell r="H504">
            <v>0</v>
          </cell>
          <cell r="I504">
            <v>18</v>
          </cell>
          <cell r="J504">
            <v>2</v>
          </cell>
          <cell r="K504">
            <v>14</v>
          </cell>
          <cell r="L504">
            <v>7</v>
          </cell>
          <cell r="M504">
            <v>0</v>
          </cell>
          <cell r="N504">
            <v>1</v>
          </cell>
          <cell r="O504">
            <v>0</v>
          </cell>
          <cell r="P504">
            <v>0</v>
          </cell>
          <cell r="Q504">
            <v>1</v>
          </cell>
          <cell r="R504">
            <v>0</v>
          </cell>
          <cell r="S504">
            <v>0</v>
          </cell>
          <cell r="T504">
            <v>0</v>
          </cell>
          <cell r="U504">
            <v>0</v>
          </cell>
          <cell r="V504">
            <v>1</v>
          </cell>
          <cell r="W504">
            <v>0</v>
          </cell>
          <cell r="X504">
            <v>0</v>
          </cell>
          <cell r="Y504">
            <v>0</v>
          </cell>
          <cell r="Z504">
            <v>0</v>
          </cell>
          <cell r="AA504">
            <v>4</v>
          </cell>
          <cell r="AB504">
            <v>0.3888888888888889</v>
          </cell>
          <cell r="AC504">
            <v>0.5</v>
          </cell>
          <cell r="AD504">
            <v>16</v>
          </cell>
        </row>
        <row r="505">
          <cell r="A505">
            <v>34</v>
          </cell>
          <cell r="B505">
            <v>5</v>
          </cell>
          <cell r="C505">
            <v>3</v>
          </cell>
          <cell r="D505">
            <v>2691</v>
          </cell>
          <cell r="E505">
            <v>1</v>
          </cell>
          <cell r="F505">
            <v>12</v>
          </cell>
          <cell r="G505">
            <v>3</v>
          </cell>
          <cell r="H505">
            <v>1</v>
          </cell>
          <cell r="I505">
            <v>10</v>
          </cell>
          <cell r="J505">
            <v>4</v>
          </cell>
          <cell r="K505">
            <v>10</v>
          </cell>
          <cell r="L505">
            <v>9</v>
          </cell>
          <cell r="M505">
            <v>0</v>
          </cell>
          <cell r="N505">
            <v>0</v>
          </cell>
          <cell r="O505">
            <v>1</v>
          </cell>
          <cell r="P505">
            <v>0</v>
          </cell>
          <cell r="Q505">
            <v>0</v>
          </cell>
          <cell r="R505">
            <v>0</v>
          </cell>
          <cell r="S505">
            <v>0</v>
          </cell>
          <cell r="T505">
            <v>5</v>
          </cell>
          <cell r="U505">
            <v>0</v>
          </cell>
          <cell r="V505">
            <v>0</v>
          </cell>
          <cell r="W505">
            <v>0</v>
          </cell>
          <cell r="X505">
            <v>0</v>
          </cell>
          <cell r="Y505">
            <v>0</v>
          </cell>
          <cell r="Z505">
            <v>0</v>
          </cell>
          <cell r="AA505">
            <v>8</v>
          </cell>
          <cell r="AB505">
            <v>0.1</v>
          </cell>
          <cell r="AC505">
            <v>0.9</v>
          </cell>
          <cell r="AD505">
            <v>32</v>
          </cell>
        </row>
        <row r="506">
          <cell r="A506">
            <v>45</v>
          </cell>
          <cell r="B506">
            <v>4</v>
          </cell>
          <cell r="C506">
            <v>3</v>
          </cell>
          <cell r="D506">
            <v>4286</v>
          </cell>
          <cell r="E506">
            <v>2</v>
          </cell>
          <cell r="F506">
            <v>14</v>
          </cell>
          <cell r="G506">
            <v>3</v>
          </cell>
          <cell r="H506">
            <v>2</v>
          </cell>
          <cell r="I506">
            <v>5</v>
          </cell>
          <cell r="J506">
            <v>4</v>
          </cell>
          <cell r="K506">
            <v>1</v>
          </cell>
          <cell r="L506">
            <v>1</v>
          </cell>
          <cell r="M506">
            <v>0</v>
          </cell>
          <cell r="N506">
            <v>1</v>
          </cell>
          <cell r="O506">
            <v>1</v>
          </cell>
          <cell r="P506">
            <v>0</v>
          </cell>
          <cell r="Q506">
            <v>0</v>
          </cell>
          <cell r="R506">
            <v>0</v>
          </cell>
          <cell r="S506">
            <v>0</v>
          </cell>
          <cell r="T506">
            <v>4</v>
          </cell>
          <cell r="U506">
            <v>0</v>
          </cell>
          <cell r="V506">
            <v>0</v>
          </cell>
          <cell r="W506">
            <v>0</v>
          </cell>
          <cell r="X506">
            <v>0</v>
          </cell>
          <cell r="Y506">
            <v>1</v>
          </cell>
          <cell r="Z506">
            <v>0</v>
          </cell>
          <cell r="AA506">
            <v>1</v>
          </cell>
          <cell r="AB506">
            <v>0.4</v>
          </cell>
          <cell r="AC506">
            <v>1</v>
          </cell>
          <cell r="AD506">
            <v>4</v>
          </cell>
        </row>
        <row r="507">
          <cell r="A507">
            <v>26</v>
          </cell>
          <cell r="B507">
            <v>3</v>
          </cell>
          <cell r="C507">
            <v>3</v>
          </cell>
          <cell r="D507">
            <v>2659</v>
          </cell>
          <cell r="E507">
            <v>1</v>
          </cell>
          <cell r="F507">
            <v>13</v>
          </cell>
          <cell r="G507">
            <v>3</v>
          </cell>
          <cell r="H507">
            <v>1</v>
          </cell>
          <cell r="I507">
            <v>3</v>
          </cell>
          <cell r="J507">
            <v>2</v>
          </cell>
          <cell r="K507">
            <v>3</v>
          </cell>
          <cell r="L507">
            <v>2</v>
          </cell>
          <cell r="M507">
            <v>1</v>
          </cell>
          <cell r="N507">
            <v>1</v>
          </cell>
          <cell r="O507">
            <v>1</v>
          </cell>
          <cell r="P507">
            <v>0</v>
          </cell>
          <cell r="Q507">
            <v>0</v>
          </cell>
          <cell r="R507">
            <v>0</v>
          </cell>
          <cell r="S507">
            <v>0</v>
          </cell>
          <cell r="T507">
            <v>3</v>
          </cell>
          <cell r="U507">
            <v>0</v>
          </cell>
          <cell r="V507">
            <v>0</v>
          </cell>
          <cell r="W507">
            <v>0</v>
          </cell>
          <cell r="X507">
            <v>0</v>
          </cell>
          <cell r="Y507">
            <v>0</v>
          </cell>
          <cell r="Z507">
            <v>1</v>
          </cell>
          <cell r="AA507">
            <v>12</v>
          </cell>
          <cell r="AB507">
            <v>0.33333333333333331</v>
          </cell>
          <cell r="AC507">
            <v>0.66666666666666663</v>
          </cell>
          <cell r="AD507">
            <v>36</v>
          </cell>
        </row>
        <row r="508">
          <cell r="A508">
            <v>37</v>
          </cell>
          <cell r="B508">
            <v>3</v>
          </cell>
          <cell r="C508">
            <v>3</v>
          </cell>
          <cell r="D508">
            <v>9434</v>
          </cell>
          <cell r="E508">
            <v>1</v>
          </cell>
          <cell r="F508">
            <v>15</v>
          </cell>
          <cell r="G508">
            <v>3</v>
          </cell>
          <cell r="H508">
            <v>1</v>
          </cell>
          <cell r="I508">
            <v>10</v>
          </cell>
          <cell r="J508">
            <v>2</v>
          </cell>
          <cell r="K508">
            <v>10</v>
          </cell>
          <cell r="L508">
            <v>7</v>
          </cell>
          <cell r="M508">
            <v>0</v>
          </cell>
          <cell r="N508">
            <v>0</v>
          </cell>
          <cell r="O508">
            <v>0</v>
          </cell>
          <cell r="P508">
            <v>0</v>
          </cell>
          <cell r="Q508">
            <v>0</v>
          </cell>
          <cell r="R508">
            <v>1</v>
          </cell>
          <cell r="S508">
            <v>0</v>
          </cell>
          <cell r="T508">
            <v>0</v>
          </cell>
          <cell r="U508">
            <v>0</v>
          </cell>
          <cell r="V508">
            <v>0</v>
          </cell>
          <cell r="W508">
            <v>3</v>
          </cell>
          <cell r="X508">
            <v>0</v>
          </cell>
          <cell r="Y508">
            <v>0</v>
          </cell>
          <cell r="Z508">
            <v>0</v>
          </cell>
          <cell r="AA508">
            <v>9</v>
          </cell>
          <cell r="AB508">
            <v>0.1</v>
          </cell>
          <cell r="AC508">
            <v>0.7</v>
          </cell>
          <cell r="AD508">
            <v>27</v>
          </cell>
        </row>
        <row r="509">
          <cell r="A509">
            <v>29</v>
          </cell>
          <cell r="B509">
            <v>2</v>
          </cell>
          <cell r="C509">
            <v>3</v>
          </cell>
          <cell r="D509">
            <v>5561</v>
          </cell>
          <cell r="E509">
            <v>1</v>
          </cell>
          <cell r="F509">
            <v>14</v>
          </cell>
          <cell r="G509">
            <v>3</v>
          </cell>
          <cell r="H509">
            <v>1</v>
          </cell>
          <cell r="I509">
            <v>6</v>
          </cell>
          <cell r="J509">
            <v>5</v>
          </cell>
          <cell r="K509">
            <v>6</v>
          </cell>
          <cell r="L509">
            <v>0</v>
          </cell>
          <cell r="M509">
            <v>0</v>
          </cell>
          <cell r="N509">
            <v>1</v>
          </cell>
          <cell r="O509">
            <v>0</v>
          </cell>
          <cell r="P509">
            <v>0</v>
          </cell>
          <cell r="Q509">
            <v>1</v>
          </cell>
          <cell r="R509">
            <v>0</v>
          </cell>
          <cell r="S509">
            <v>0</v>
          </cell>
          <cell r="T509">
            <v>0</v>
          </cell>
          <cell r="U509">
            <v>0</v>
          </cell>
          <cell r="V509">
            <v>2</v>
          </cell>
          <cell r="W509">
            <v>0</v>
          </cell>
          <cell r="X509">
            <v>0</v>
          </cell>
          <cell r="Y509">
            <v>0</v>
          </cell>
          <cell r="Z509">
            <v>0</v>
          </cell>
          <cell r="AA509">
            <v>6</v>
          </cell>
          <cell r="AB509">
            <v>0.16666666666666666</v>
          </cell>
          <cell r="AC509">
            <v>0</v>
          </cell>
          <cell r="AD509">
            <v>6</v>
          </cell>
        </row>
        <row r="510">
          <cell r="A510">
            <v>35</v>
          </cell>
          <cell r="B510">
            <v>4</v>
          </cell>
          <cell r="C510">
            <v>1</v>
          </cell>
          <cell r="D510">
            <v>6646</v>
          </cell>
          <cell r="E510">
            <v>1</v>
          </cell>
          <cell r="F510">
            <v>13</v>
          </cell>
          <cell r="G510">
            <v>3</v>
          </cell>
          <cell r="H510">
            <v>0</v>
          </cell>
          <cell r="I510">
            <v>17</v>
          </cell>
          <cell r="J510">
            <v>3</v>
          </cell>
          <cell r="K510">
            <v>17</v>
          </cell>
          <cell r="L510">
            <v>11</v>
          </cell>
          <cell r="M510">
            <v>0</v>
          </cell>
          <cell r="N510">
            <v>0</v>
          </cell>
          <cell r="O510">
            <v>1</v>
          </cell>
          <cell r="P510">
            <v>0</v>
          </cell>
          <cell r="Q510">
            <v>0</v>
          </cell>
          <cell r="R510">
            <v>0</v>
          </cell>
          <cell r="S510">
            <v>0</v>
          </cell>
          <cell r="T510">
            <v>4</v>
          </cell>
          <cell r="U510">
            <v>0</v>
          </cell>
          <cell r="V510">
            <v>0</v>
          </cell>
          <cell r="W510">
            <v>0</v>
          </cell>
          <cell r="X510">
            <v>0</v>
          </cell>
          <cell r="Y510">
            <v>0</v>
          </cell>
          <cell r="Z510">
            <v>0</v>
          </cell>
          <cell r="AA510">
            <v>8</v>
          </cell>
          <cell r="AB510">
            <v>5.8823529411764705E-2</v>
          </cell>
          <cell r="AC510">
            <v>0.6470588235294118</v>
          </cell>
          <cell r="AD510">
            <v>16</v>
          </cell>
        </row>
        <row r="511">
          <cell r="A511">
            <v>33</v>
          </cell>
          <cell r="B511">
            <v>3</v>
          </cell>
          <cell r="C511">
            <v>3</v>
          </cell>
          <cell r="D511">
            <v>7725</v>
          </cell>
          <cell r="E511">
            <v>3</v>
          </cell>
          <cell r="F511">
            <v>23</v>
          </cell>
          <cell r="G511">
            <v>4</v>
          </cell>
          <cell r="H511">
            <v>1</v>
          </cell>
          <cell r="I511">
            <v>15</v>
          </cell>
          <cell r="J511">
            <v>2</v>
          </cell>
          <cell r="K511">
            <v>13</v>
          </cell>
          <cell r="L511">
            <v>11</v>
          </cell>
          <cell r="M511">
            <v>0</v>
          </cell>
          <cell r="N511">
            <v>0</v>
          </cell>
          <cell r="O511">
            <v>1</v>
          </cell>
          <cell r="P511">
            <v>0</v>
          </cell>
          <cell r="Q511">
            <v>0</v>
          </cell>
          <cell r="R511">
            <v>0</v>
          </cell>
          <cell r="S511">
            <v>0</v>
          </cell>
          <cell r="T511">
            <v>3</v>
          </cell>
          <cell r="U511">
            <v>0</v>
          </cell>
          <cell r="V511">
            <v>0</v>
          </cell>
          <cell r="W511">
            <v>0</v>
          </cell>
          <cell r="X511">
            <v>0</v>
          </cell>
          <cell r="Y511">
            <v>0</v>
          </cell>
          <cell r="Z511">
            <v>0</v>
          </cell>
          <cell r="AA511">
            <v>12</v>
          </cell>
          <cell r="AB511">
            <v>0.2</v>
          </cell>
          <cell r="AC511">
            <v>0.84615384615384615</v>
          </cell>
          <cell r="AD511">
            <v>36</v>
          </cell>
        </row>
        <row r="512">
          <cell r="A512">
            <v>54</v>
          </cell>
          <cell r="B512">
            <v>4</v>
          </cell>
          <cell r="C512">
            <v>3</v>
          </cell>
          <cell r="D512">
            <v>10725</v>
          </cell>
          <cell r="E512">
            <v>2</v>
          </cell>
          <cell r="F512">
            <v>15</v>
          </cell>
          <cell r="G512">
            <v>3</v>
          </cell>
          <cell r="H512">
            <v>1</v>
          </cell>
          <cell r="I512">
            <v>16</v>
          </cell>
          <cell r="J512">
            <v>1</v>
          </cell>
          <cell r="K512">
            <v>9</v>
          </cell>
          <cell r="L512">
            <v>7</v>
          </cell>
          <cell r="M512">
            <v>0</v>
          </cell>
          <cell r="N512">
            <v>0</v>
          </cell>
          <cell r="O512">
            <v>0</v>
          </cell>
          <cell r="P512">
            <v>0</v>
          </cell>
          <cell r="Q512">
            <v>1</v>
          </cell>
          <cell r="R512">
            <v>0</v>
          </cell>
          <cell r="S512">
            <v>0</v>
          </cell>
          <cell r="T512">
            <v>0</v>
          </cell>
          <cell r="U512">
            <v>0</v>
          </cell>
          <cell r="V512">
            <v>4</v>
          </cell>
          <cell r="W512">
            <v>0</v>
          </cell>
          <cell r="X512">
            <v>0</v>
          </cell>
          <cell r="Y512">
            <v>0</v>
          </cell>
          <cell r="Z512">
            <v>0</v>
          </cell>
          <cell r="AA512">
            <v>6</v>
          </cell>
          <cell r="AB512">
            <v>0.125</v>
          </cell>
          <cell r="AC512">
            <v>0.77777777777777779</v>
          </cell>
          <cell r="AD512">
            <v>18</v>
          </cell>
        </row>
        <row r="513">
          <cell r="A513">
            <v>36</v>
          </cell>
          <cell r="B513">
            <v>2</v>
          </cell>
          <cell r="C513">
            <v>2</v>
          </cell>
          <cell r="D513">
            <v>8847</v>
          </cell>
          <cell r="E513">
            <v>2</v>
          </cell>
          <cell r="F513">
            <v>11</v>
          </cell>
          <cell r="G513">
            <v>3</v>
          </cell>
          <cell r="H513">
            <v>1</v>
          </cell>
          <cell r="I513">
            <v>13</v>
          </cell>
          <cell r="J513">
            <v>2</v>
          </cell>
          <cell r="K513">
            <v>3</v>
          </cell>
          <cell r="L513">
            <v>2</v>
          </cell>
          <cell r="M513">
            <v>1</v>
          </cell>
          <cell r="N513">
            <v>0</v>
          </cell>
          <cell r="O513">
            <v>0</v>
          </cell>
          <cell r="P513">
            <v>0</v>
          </cell>
          <cell r="Q513">
            <v>1</v>
          </cell>
          <cell r="R513">
            <v>0</v>
          </cell>
          <cell r="S513">
            <v>0</v>
          </cell>
          <cell r="T513">
            <v>0</v>
          </cell>
          <cell r="U513">
            <v>0</v>
          </cell>
          <cell r="V513">
            <v>2</v>
          </cell>
          <cell r="W513">
            <v>0</v>
          </cell>
          <cell r="X513">
            <v>0</v>
          </cell>
          <cell r="Y513">
            <v>0</v>
          </cell>
          <cell r="Z513">
            <v>0</v>
          </cell>
          <cell r="AA513">
            <v>4</v>
          </cell>
          <cell r="AB513">
            <v>0.15384615384615385</v>
          </cell>
          <cell r="AC513">
            <v>0.66666666666666663</v>
          </cell>
          <cell r="AD513">
            <v>12</v>
          </cell>
        </row>
        <row r="514">
          <cell r="A514">
            <v>27</v>
          </cell>
          <cell r="B514">
            <v>4</v>
          </cell>
          <cell r="C514">
            <v>2</v>
          </cell>
          <cell r="D514">
            <v>2045</v>
          </cell>
          <cell r="E514">
            <v>0</v>
          </cell>
          <cell r="F514">
            <v>13</v>
          </cell>
          <cell r="G514">
            <v>3</v>
          </cell>
          <cell r="H514">
            <v>0</v>
          </cell>
          <cell r="I514">
            <v>5</v>
          </cell>
          <cell r="J514">
            <v>0</v>
          </cell>
          <cell r="K514">
            <v>4</v>
          </cell>
          <cell r="L514">
            <v>2</v>
          </cell>
          <cell r="M514">
            <v>0</v>
          </cell>
          <cell r="N514">
            <v>0</v>
          </cell>
          <cell r="O514">
            <v>0</v>
          </cell>
          <cell r="P514">
            <v>0</v>
          </cell>
          <cell r="Q514">
            <v>1</v>
          </cell>
          <cell r="R514">
            <v>0</v>
          </cell>
          <cell r="S514">
            <v>0</v>
          </cell>
          <cell r="T514">
            <v>0</v>
          </cell>
          <cell r="U514">
            <v>0</v>
          </cell>
          <cell r="V514">
            <v>4</v>
          </cell>
          <cell r="W514">
            <v>0</v>
          </cell>
          <cell r="X514">
            <v>0</v>
          </cell>
          <cell r="Y514">
            <v>0</v>
          </cell>
          <cell r="Z514">
            <v>0</v>
          </cell>
          <cell r="AA514">
            <v>4</v>
          </cell>
          <cell r="AB514">
            <v>0</v>
          </cell>
          <cell r="AC514">
            <v>0.5</v>
          </cell>
          <cell r="AD514">
            <v>16</v>
          </cell>
        </row>
        <row r="515">
          <cell r="A515">
            <v>20</v>
          </cell>
          <cell r="B515">
            <v>1</v>
          </cell>
          <cell r="C515">
            <v>3</v>
          </cell>
          <cell r="D515">
            <v>1009</v>
          </cell>
          <cell r="E515">
            <v>1</v>
          </cell>
          <cell r="F515">
            <v>11</v>
          </cell>
          <cell r="G515">
            <v>3</v>
          </cell>
          <cell r="H515">
            <v>0</v>
          </cell>
          <cell r="I515">
            <v>1</v>
          </cell>
          <cell r="J515">
            <v>5</v>
          </cell>
          <cell r="K515">
            <v>1</v>
          </cell>
          <cell r="L515">
            <v>0</v>
          </cell>
          <cell r="M515">
            <v>1</v>
          </cell>
          <cell r="N515">
            <v>0</v>
          </cell>
          <cell r="O515">
            <v>0</v>
          </cell>
          <cell r="P515">
            <v>0</v>
          </cell>
          <cell r="Q515">
            <v>1</v>
          </cell>
          <cell r="R515">
            <v>0</v>
          </cell>
          <cell r="S515">
            <v>0</v>
          </cell>
          <cell r="T515">
            <v>0</v>
          </cell>
          <cell r="U515">
            <v>0</v>
          </cell>
          <cell r="V515">
            <v>1</v>
          </cell>
          <cell r="W515">
            <v>0</v>
          </cell>
          <cell r="X515">
            <v>0</v>
          </cell>
          <cell r="Y515">
            <v>0</v>
          </cell>
          <cell r="Z515">
            <v>0</v>
          </cell>
          <cell r="AA515">
            <v>12</v>
          </cell>
          <cell r="AB515">
            <v>1</v>
          </cell>
          <cell r="AC515">
            <v>0</v>
          </cell>
          <cell r="AD515">
            <v>48</v>
          </cell>
        </row>
        <row r="516">
          <cell r="A516">
            <v>33</v>
          </cell>
          <cell r="B516">
            <v>3</v>
          </cell>
          <cell r="C516">
            <v>3</v>
          </cell>
          <cell r="D516">
            <v>3348</v>
          </cell>
          <cell r="E516">
            <v>1</v>
          </cell>
          <cell r="F516">
            <v>11</v>
          </cell>
          <cell r="G516">
            <v>3</v>
          </cell>
          <cell r="H516">
            <v>0</v>
          </cell>
          <cell r="I516">
            <v>10</v>
          </cell>
          <cell r="J516">
            <v>3</v>
          </cell>
          <cell r="K516">
            <v>10</v>
          </cell>
          <cell r="L516">
            <v>8</v>
          </cell>
          <cell r="M516">
            <v>1</v>
          </cell>
          <cell r="N516">
            <v>0</v>
          </cell>
          <cell r="O516">
            <v>1</v>
          </cell>
          <cell r="P516">
            <v>0</v>
          </cell>
          <cell r="Q516">
            <v>0</v>
          </cell>
          <cell r="R516">
            <v>0</v>
          </cell>
          <cell r="S516">
            <v>0</v>
          </cell>
          <cell r="T516">
            <v>3</v>
          </cell>
          <cell r="U516">
            <v>0</v>
          </cell>
          <cell r="V516">
            <v>0</v>
          </cell>
          <cell r="W516">
            <v>0</v>
          </cell>
          <cell r="X516">
            <v>0</v>
          </cell>
          <cell r="Y516">
            <v>0</v>
          </cell>
          <cell r="Z516">
            <v>0</v>
          </cell>
          <cell r="AA516">
            <v>1</v>
          </cell>
          <cell r="AB516">
            <v>0.1</v>
          </cell>
          <cell r="AC516">
            <v>0.8</v>
          </cell>
          <cell r="AD516">
            <v>1</v>
          </cell>
        </row>
        <row r="517">
          <cell r="A517">
            <v>35</v>
          </cell>
          <cell r="B517">
            <v>3</v>
          </cell>
          <cell r="C517">
            <v>2</v>
          </cell>
          <cell r="D517">
            <v>1281</v>
          </cell>
          <cell r="E517">
            <v>1</v>
          </cell>
          <cell r="F517">
            <v>18</v>
          </cell>
          <cell r="G517">
            <v>3</v>
          </cell>
          <cell r="H517">
            <v>2</v>
          </cell>
          <cell r="I517">
            <v>1</v>
          </cell>
          <cell r="J517">
            <v>3</v>
          </cell>
          <cell r="K517">
            <v>1</v>
          </cell>
          <cell r="L517">
            <v>0</v>
          </cell>
          <cell r="M517">
            <v>0</v>
          </cell>
          <cell r="N517">
            <v>0</v>
          </cell>
          <cell r="O517">
            <v>1</v>
          </cell>
          <cell r="P517">
            <v>0</v>
          </cell>
          <cell r="Q517">
            <v>0</v>
          </cell>
          <cell r="R517">
            <v>0</v>
          </cell>
          <cell r="S517">
            <v>0</v>
          </cell>
          <cell r="T517">
            <v>3</v>
          </cell>
          <cell r="U517">
            <v>0</v>
          </cell>
          <cell r="V517">
            <v>0</v>
          </cell>
          <cell r="W517">
            <v>0</v>
          </cell>
          <cell r="X517">
            <v>0</v>
          </cell>
          <cell r="Y517">
            <v>0</v>
          </cell>
          <cell r="Z517">
            <v>0</v>
          </cell>
          <cell r="AA517">
            <v>9</v>
          </cell>
          <cell r="AB517">
            <v>1</v>
          </cell>
          <cell r="AC517">
            <v>0</v>
          </cell>
          <cell r="AD517">
            <v>27</v>
          </cell>
        </row>
        <row r="518">
          <cell r="A518">
            <v>23</v>
          </cell>
          <cell r="B518">
            <v>3</v>
          </cell>
          <cell r="C518">
            <v>4</v>
          </cell>
          <cell r="D518">
            <v>2819</v>
          </cell>
          <cell r="E518">
            <v>2</v>
          </cell>
          <cell r="F518">
            <v>16</v>
          </cell>
          <cell r="G518">
            <v>3</v>
          </cell>
          <cell r="H518">
            <v>1</v>
          </cell>
          <cell r="I518">
            <v>5</v>
          </cell>
          <cell r="J518">
            <v>3</v>
          </cell>
          <cell r="K518">
            <v>3</v>
          </cell>
          <cell r="L518">
            <v>2</v>
          </cell>
          <cell r="M518">
            <v>0</v>
          </cell>
          <cell r="N518">
            <v>0</v>
          </cell>
          <cell r="O518">
            <v>0</v>
          </cell>
          <cell r="P518">
            <v>0</v>
          </cell>
          <cell r="Q518">
            <v>1</v>
          </cell>
          <cell r="R518">
            <v>0</v>
          </cell>
          <cell r="S518">
            <v>0</v>
          </cell>
          <cell r="T518">
            <v>0</v>
          </cell>
          <cell r="U518">
            <v>0</v>
          </cell>
          <cell r="V518">
            <v>3</v>
          </cell>
          <cell r="W518">
            <v>0</v>
          </cell>
          <cell r="X518">
            <v>0</v>
          </cell>
          <cell r="Y518">
            <v>0</v>
          </cell>
          <cell r="Z518">
            <v>0</v>
          </cell>
          <cell r="AA518">
            <v>1</v>
          </cell>
          <cell r="AB518">
            <v>0.4</v>
          </cell>
          <cell r="AC518">
            <v>0.66666666666666663</v>
          </cell>
          <cell r="AD518">
            <v>1</v>
          </cell>
        </row>
        <row r="519">
          <cell r="A519">
            <v>25</v>
          </cell>
          <cell r="B519">
            <v>3</v>
          </cell>
          <cell r="C519">
            <v>4</v>
          </cell>
          <cell r="D519">
            <v>4851</v>
          </cell>
          <cell r="E519">
            <v>0</v>
          </cell>
          <cell r="F519">
            <v>22</v>
          </cell>
          <cell r="G519">
            <v>4</v>
          </cell>
          <cell r="H519">
            <v>1</v>
          </cell>
          <cell r="I519">
            <v>4</v>
          </cell>
          <cell r="J519">
            <v>4</v>
          </cell>
          <cell r="K519">
            <v>3</v>
          </cell>
          <cell r="L519">
            <v>2</v>
          </cell>
          <cell r="M519">
            <v>0</v>
          </cell>
          <cell r="N519">
            <v>0</v>
          </cell>
          <cell r="O519">
            <v>1</v>
          </cell>
          <cell r="P519">
            <v>0</v>
          </cell>
          <cell r="Q519">
            <v>0</v>
          </cell>
          <cell r="R519">
            <v>0</v>
          </cell>
          <cell r="S519">
            <v>0</v>
          </cell>
          <cell r="T519">
            <v>3</v>
          </cell>
          <cell r="U519">
            <v>0</v>
          </cell>
          <cell r="V519">
            <v>0</v>
          </cell>
          <cell r="W519">
            <v>0</v>
          </cell>
          <cell r="X519">
            <v>0</v>
          </cell>
          <cell r="Y519">
            <v>0</v>
          </cell>
          <cell r="Z519">
            <v>0</v>
          </cell>
          <cell r="AA519">
            <v>8</v>
          </cell>
          <cell r="AB519">
            <v>0</v>
          </cell>
          <cell r="AC519">
            <v>0.66666666666666663</v>
          </cell>
          <cell r="AD519">
            <v>24</v>
          </cell>
        </row>
        <row r="520">
          <cell r="A520">
            <v>38</v>
          </cell>
          <cell r="B520">
            <v>4</v>
          </cell>
          <cell r="C520">
            <v>2</v>
          </cell>
          <cell r="D520">
            <v>4028</v>
          </cell>
          <cell r="E520">
            <v>0</v>
          </cell>
          <cell r="F520">
            <v>20</v>
          </cell>
          <cell r="G520">
            <v>4</v>
          </cell>
          <cell r="H520">
            <v>0</v>
          </cell>
          <cell r="I520">
            <v>8</v>
          </cell>
          <cell r="J520">
            <v>2</v>
          </cell>
          <cell r="K520">
            <v>7</v>
          </cell>
          <cell r="L520">
            <v>7</v>
          </cell>
          <cell r="M520">
            <v>0</v>
          </cell>
          <cell r="N520">
            <v>1</v>
          </cell>
          <cell r="O520">
            <v>0</v>
          </cell>
          <cell r="P520">
            <v>1</v>
          </cell>
          <cell r="Q520">
            <v>0</v>
          </cell>
          <cell r="R520">
            <v>0</v>
          </cell>
          <cell r="S520">
            <v>0</v>
          </cell>
          <cell r="T520">
            <v>0</v>
          </cell>
          <cell r="U520">
            <v>4</v>
          </cell>
          <cell r="V520">
            <v>0</v>
          </cell>
          <cell r="W520">
            <v>0</v>
          </cell>
          <cell r="X520">
            <v>0</v>
          </cell>
          <cell r="Y520">
            <v>0</v>
          </cell>
          <cell r="Z520">
            <v>0</v>
          </cell>
          <cell r="AA520">
            <v>16</v>
          </cell>
          <cell r="AB520">
            <v>0</v>
          </cell>
          <cell r="AC520">
            <v>1</v>
          </cell>
          <cell r="AD520">
            <v>16</v>
          </cell>
        </row>
        <row r="521">
          <cell r="A521">
            <v>29</v>
          </cell>
          <cell r="B521">
            <v>4</v>
          </cell>
          <cell r="C521">
            <v>1</v>
          </cell>
          <cell r="D521">
            <v>2720</v>
          </cell>
          <cell r="E521">
            <v>1</v>
          </cell>
          <cell r="F521">
            <v>18</v>
          </cell>
          <cell r="G521">
            <v>3</v>
          </cell>
          <cell r="H521">
            <v>1</v>
          </cell>
          <cell r="I521">
            <v>10</v>
          </cell>
          <cell r="J521">
            <v>5</v>
          </cell>
          <cell r="K521">
            <v>10</v>
          </cell>
          <cell r="L521">
            <v>7</v>
          </cell>
          <cell r="M521">
            <v>0</v>
          </cell>
          <cell r="N521">
            <v>0</v>
          </cell>
          <cell r="O521">
            <v>1</v>
          </cell>
          <cell r="P521">
            <v>0</v>
          </cell>
          <cell r="Q521">
            <v>0</v>
          </cell>
          <cell r="R521">
            <v>0</v>
          </cell>
          <cell r="S521">
            <v>0</v>
          </cell>
          <cell r="T521">
            <v>4</v>
          </cell>
          <cell r="U521">
            <v>0</v>
          </cell>
          <cell r="V521">
            <v>0</v>
          </cell>
          <cell r="W521">
            <v>0</v>
          </cell>
          <cell r="X521">
            <v>0</v>
          </cell>
          <cell r="Y521">
            <v>0</v>
          </cell>
          <cell r="Z521">
            <v>0</v>
          </cell>
          <cell r="AA521">
            <v>8</v>
          </cell>
          <cell r="AB521">
            <v>0.1</v>
          </cell>
          <cell r="AC521">
            <v>0.7</v>
          </cell>
          <cell r="AD521">
            <v>32</v>
          </cell>
        </row>
        <row r="522">
          <cell r="A522">
            <v>48</v>
          </cell>
          <cell r="B522">
            <v>1</v>
          </cell>
          <cell r="C522">
            <v>4</v>
          </cell>
          <cell r="D522">
            <v>8120</v>
          </cell>
          <cell r="E522">
            <v>3</v>
          </cell>
          <cell r="F522">
            <v>12</v>
          </cell>
          <cell r="G522">
            <v>3</v>
          </cell>
          <cell r="H522">
            <v>0</v>
          </cell>
          <cell r="I522">
            <v>12</v>
          </cell>
          <cell r="J522">
            <v>3</v>
          </cell>
          <cell r="K522">
            <v>2</v>
          </cell>
          <cell r="L522">
            <v>2</v>
          </cell>
          <cell r="M522">
            <v>0</v>
          </cell>
          <cell r="N522">
            <v>0</v>
          </cell>
          <cell r="O522">
            <v>0</v>
          </cell>
          <cell r="P522">
            <v>1</v>
          </cell>
          <cell r="Q522">
            <v>0</v>
          </cell>
          <cell r="R522">
            <v>0</v>
          </cell>
          <cell r="S522">
            <v>0</v>
          </cell>
          <cell r="T522">
            <v>0</v>
          </cell>
          <cell r="U522">
            <v>1</v>
          </cell>
          <cell r="V522">
            <v>0</v>
          </cell>
          <cell r="W522">
            <v>0</v>
          </cell>
          <cell r="X522">
            <v>0</v>
          </cell>
          <cell r="Y522">
            <v>0</v>
          </cell>
          <cell r="Z522">
            <v>0</v>
          </cell>
          <cell r="AA522">
            <v>4</v>
          </cell>
          <cell r="AB522">
            <v>0.25</v>
          </cell>
          <cell r="AC522">
            <v>1</v>
          </cell>
          <cell r="AD522">
            <v>16</v>
          </cell>
        </row>
        <row r="523">
          <cell r="A523">
            <v>27</v>
          </cell>
          <cell r="B523">
            <v>1</v>
          </cell>
          <cell r="C523">
            <v>4</v>
          </cell>
          <cell r="D523">
            <v>4647</v>
          </cell>
          <cell r="E523">
            <v>1</v>
          </cell>
          <cell r="F523">
            <v>20</v>
          </cell>
          <cell r="G523">
            <v>4</v>
          </cell>
          <cell r="H523">
            <v>2</v>
          </cell>
          <cell r="I523">
            <v>6</v>
          </cell>
          <cell r="J523">
            <v>3</v>
          </cell>
          <cell r="K523">
            <v>6</v>
          </cell>
          <cell r="L523">
            <v>5</v>
          </cell>
          <cell r="M523">
            <v>1</v>
          </cell>
          <cell r="N523">
            <v>1</v>
          </cell>
          <cell r="O523">
            <v>0</v>
          </cell>
          <cell r="P523">
            <v>0</v>
          </cell>
          <cell r="Q523">
            <v>1</v>
          </cell>
          <cell r="R523">
            <v>0</v>
          </cell>
          <cell r="S523">
            <v>0</v>
          </cell>
          <cell r="T523">
            <v>0</v>
          </cell>
          <cell r="U523">
            <v>0</v>
          </cell>
          <cell r="V523">
            <v>1</v>
          </cell>
          <cell r="W523">
            <v>0</v>
          </cell>
          <cell r="X523">
            <v>0</v>
          </cell>
          <cell r="Y523">
            <v>0</v>
          </cell>
          <cell r="Z523">
            <v>0</v>
          </cell>
          <cell r="AA523">
            <v>16</v>
          </cell>
          <cell r="AB523">
            <v>0.16666666666666666</v>
          </cell>
          <cell r="AC523">
            <v>0.83333333333333337</v>
          </cell>
          <cell r="AD523">
            <v>32</v>
          </cell>
        </row>
        <row r="524">
          <cell r="A524">
            <v>37</v>
          </cell>
          <cell r="B524">
            <v>2</v>
          </cell>
          <cell r="C524">
            <v>4</v>
          </cell>
          <cell r="D524">
            <v>4680</v>
          </cell>
          <cell r="E524">
            <v>3</v>
          </cell>
          <cell r="F524">
            <v>17</v>
          </cell>
          <cell r="G524">
            <v>3</v>
          </cell>
          <cell r="H524">
            <v>0</v>
          </cell>
          <cell r="I524">
            <v>4</v>
          </cell>
          <cell r="J524">
            <v>2</v>
          </cell>
          <cell r="K524">
            <v>1</v>
          </cell>
          <cell r="L524">
            <v>0</v>
          </cell>
          <cell r="M524">
            <v>0</v>
          </cell>
          <cell r="N524">
            <v>0</v>
          </cell>
          <cell r="O524">
            <v>1</v>
          </cell>
          <cell r="P524">
            <v>0</v>
          </cell>
          <cell r="Q524">
            <v>0</v>
          </cell>
          <cell r="R524">
            <v>0</v>
          </cell>
          <cell r="S524">
            <v>0</v>
          </cell>
          <cell r="T524">
            <v>2</v>
          </cell>
          <cell r="U524">
            <v>0</v>
          </cell>
          <cell r="V524">
            <v>0</v>
          </cell>
          <cell r="W524">
            <v>0</v>
          </cell>
          <cell r="X524">
            <v>0</v>
          </cell>
          <cell r="Y524">
            <v>0</v>
          </cell>
          <cell r="Z524">
            <v>0</v>
          </cell>
          <cell r="AA524">
            <v>16</v>
          </cell>
          <cell r="AB524">
            <v>0.75</v>
          </cell>
          <cell r="AC524">
            <v>0</v>
          </cell>
          <cell r="AD524">
            <v>16</v>
          </cell>
        </row>
        <row r="525">
          <cell r="A525">
            <v>50</v>
          </cell>
          <cell r="B525">
            <v>1</v>
          </cell>
          <cell r="C525">
            <v>4</v>
          </cell>
          <cell r="D525">
            <v>3221</v>
          </cell>
          <cell r="E525">
            <v>1</v>
          </cell>
          <cell r="F525">
            <v>11</v>
          </cell>
          <cell r="G525">
            <v>3</v>
          </cell>
          <cell r="H525">
            <v>3</v>
          </cell>
          <cell r="I525">
            <v>20</v>
          </cell>
          <cell r="J525">
            <v>3</v>
          </cell>
          <cell r="K525">
            <v>20</v>
          </cell>
          <cell r="L525">
            <v>8</v>
          </cell>
          <cell r="M525">
            <v>1</v>
          </cell>
          <cell r="N525">
            <v>0</v>
          </cell>
          <cell r="O525">
            <v>0</v>
          </cell>
          <cell r="P525">
            <v>0</v>
          </cell>
          <cell r="Q525">
            <v>1</v>
          </cell>
          <cell r="R525">
            <v>0</v>
          </cell>
          <cell r="S525">
            <v>0</v>
          </cell>
          <cell r="T525">
            <v>0</v>
          </cell>
          <cell r="U525">
            <v>0</v>
          </cell>
          <cell r="V525">
            <v>1</v>
          </cell>
          <cell r="W525">
            <v>0</v>
          </cell>
          <cell r="X525">
            <v>0</v>
          </cell>
          <cell r="Y525">
            <v>0</v>
          </cell>
          <cell r="Z525">
            <v>1</v>
          </cell>
          <cell r="AA525">
            <v>12</v>
          </cell>
          <cell r="AB525">
            <v>0.05</v>
          </cell>
          <cell r="AC525">
            <v>0.4</v>
          </cell>
          <cell r="AD525">
            <v>36</v>
          </cell>
        </row>
        <row r="526">
          <cell r="A526">
            <v>34</v>
          </cell>
          <cell r="B526">
            <v>3</v>
          </cell>
          <cell r="C526">
            <v>2</v>
          </cell>
          <cell r="D526">
            <v>8621</v>
          </cell>
          <cell r="E526">
            <v>1</v>
          </cell>
          <cell r="F526">
            <v>14</v>
          </cell>
          <cell r="G526">
            <v>3</v>
          </cell>
          <cell r="H526">
            <v>0</v>
          </cell>
          <cell r="I526">
            <v>9</v>
          </cell>
          <cell r="J526">
            <v>3</v>
          </cell>
          <cell r="K526">
            <v>8</v>
          </cell>
          <cell r="L526">
            <v>7</v>
          </cell>
          <cell r="M526">
            <v>0</v>
          </cell>
          <cell r="N526">
            <v>1</v>
          </cell>
          <cell r="O526">
            <v>0</v>
          </cell>
          <cell r="P526">
            <v>0</v>
          </cell>
          <cell r="Q526">
            <v>1</v>
          </cell>
          <cell r="R526">
            <v>0</v>
          </cell>
          <cell r="S526">
            <v>0</v>
          </cell>
          <cell r="T526">
            <v>0</v>
          </cell>
          <cell r="U526">
            <v>0</v>
          </cell>
          <cell r="V526">
            <v>3</v>
          </cell>
          <cell r="W526">
            <v>0</v>
          </cell>
          <cell r="X526">
            <v>0</v>
          </cell>
          <cell r="Y526">
            <v>0</v>
          </cell>
          <cell r="Z526">
            <v>0</v>
          </cell>
          <cell r="AA526">
            <v>8</v>
          </cell>
          <cell r="AB526">
            <v>0.1111111111111111</v>
          </cell>
          <cell r="AC526">
            <v>0.875</v>
          </cell>
          <cell r="AD526">
            <v>16</v>
          </cell>
        </row>
        <row r="527">
          <cell r="A527">
            <v>24</v>
          </cell>
          <cell r="B527">
            <v>2</v>
          </cell>
          <cell r="C527">
            <v>3</v>
          </cell>
          <cell r="D527">
            <v>4577</v>
          </cell>
          <cell r="E527">
            <v>9</v>
          </cell>
          <cell r="F527">
            <v>14</v>
          </cell>
          <cell r="G527">
            <v>3</v>
          </cell>
          <cell r="H527">
            <v>0</v>
          </cell>
          <cell r="I527">
            <v>4</v>
          </cell>
          <cell r="J527">
            <v>3</v>
          </cell>
          <cell r="K527">
            <v>2</v>
          </cell>
          <cell r="L527">
            <v>2</v>
          </cell>
          <cell r="M527">
            <v>0</v>
          </cell>
          <cell r="N527">
            <v>1</v>
          </cell>
          <cell r="O527">
            <v>1</v>
          </cell>
          <cell r="P527">
            <v>0</v>
          </cell>
          <cell r="Q527">
            <v>0</v>
          </cell>
          <cell r="R527">
            <v>0</v>
          </cell>
          <cell r="S527">
            <v>0</v>
          </cell>
          <cell r="T527">
            <v>2</v>
          </cell>
          <cell r="U527">
            <v>0</v>
          </cell>
          <cell r="V527">
            <v>0</v>
          </cell>
          <cell r="W527">
            <v>0</v>
          </cell>
          <cell r="X527">
            <v>0</v>
          </cell>
          <cell r="Y527">
            <v>0</v>
          </cell>
          <cell r="Z527">
            <v>0</v>
          </cell>
          <cell r="AA527">
            <v>3</v>
          </cell>
          <cell r="AB527">
            <v>2.25</v>
          </cell>
          <cell r="AC527">
            <v>1</v>
          </cell>
          <cell r="AD527">
            <v>3</v>
          </cell>
        </row>
        <row r="528">
          <cell r="A528">
            <v>39</v>
          </cell>
          <cell r="B528">
            <v>4</v>
          </cell>
          <cell r="C528">
            <v>2</v>
          </cell>
          <cell r="D528">
            <v>4553</v>
          </cell>
          <cell r="E528">
            <v>1</v>
          </cell>
          <cell r="F528">
            <v>11</v>
          </cell>
          <cell r="G528">
            <v>3</v>
          </cell>
          <cell r="H528">
            <v>0</v>
          </cell>
          <cell r="I528">
            <v>20</v>
          </cell>
          <cell r="J528">
            <v>4</v>
          </cell>
          <cell r="K528">
            <v>20</v>
          </cell>
          <cell r="L528">
            <v>7</v>
          </cell>
          <cell r="M528">
            <v>0</v>
          </cell>
          <cell r="N528">
            <v>1</v>
          </cell>
          <cell r="O528">
            <v>0</v>
          </cell>
          <cell r="P528">
            <v>0</v>
          </cell>
          <cell r="Q528">
            <v>0</v>
          </cell>
          <cell r="R528">
            <v>0</v>
          </cell>
          <cell r="S528">
            <v>1</v>
          </cell>
          <cell r="T528">
            <v>0</v>
          </cell>
          <cell r="U528">
            <v>0</v>
          </cell>
          <cell r="V528">
            <v>0</v>
          </cell>
          <cell r="W528">
            <v>0</v>
          </cell>
          <cell r="X528">
            <v>4</v>
          </cell>
          <cell r="Y528">
            <v>0</v>
          </cell>
          <cell r="Z528">
            <v>0</v>
          </cell>
          <cell r="AA528">
            <v>12</v>
          </cell>
          <cell r="AB528">
            <v>0.05</v>
          </cell>
          <cell r="AC528">
            <v>0.35</v>
          </cell>
          <cell r="AD528">
            <v>12</v>
          </cell>
        </row>
        <row r="529">
          <cell r="A529">
            <v>32</v>
          </cell>
          <cell r="B529">
            <v>3</v>
          </cell>
          <cell r="C529">
            <v>3</v>
          </cell>
          <cell r="D529">
            <v>5396</v>
          </cell>
          <cell r="E529">
            <v>1</v>
          </cell>
          <cell r="F529">
            <v>12</v>
          </cell>
          <cell r="G529">
            <v>3</v>
          </cell>
          <cell r="H529">
            <v>0</v>
          </cell>
          <cell r="I529">
            <v>10</v>
          </cell>
          <cell r="J529">
            <v>2</v>
          </cell>
          <cell r="K529">
            <v>10</v>
          </cell>
          <cell r="L529">
            <v>7</v>
          </cell>
          <cell r="M529">
            <v>0</v>
          </cell>
          <cell r="N529">
            <v>0</v>
          </cell>
          <cell r="O529">
            <v>0</v>
          </cell>
          <cell r="P529">
            <v>1</v>
          </cell>
          <cell r="Q529">
            <v>0</v>
          </cell>
          <cell r="R529">
            <v>0</v>
          </cell>
          <cell r="S529">
            <v>0</v>
          </cell>
          <cell r="T529">
            <v>0</v>
          </cell>
          <cell r="U529">
            <v>3</v>
          </cell>
          <cell r="V529">
            <v>0</v>
          </cell>
          <cell r="W529">
            <v>0</v>
          </cell>
          <cell r="X529">
            <v>0</v>
          </cell>
          <cell r="Y529">
            <v>0</v>
          </cell>
          <cell r="Z529">
            <v>0</v>
          </cell>
          <cell r="AA529">
            <v>16</v>
          </cell>
          <cell r="AB529">
            <v>0.1</v>
          </cell>
          <cell r="AC529">
            <v>0.7</v>
          </cell>
          <cell r="AD529">
            <v>64</v>
          </cell>
        </row>
        <row r="530">
          <cell r="A530">
            <v>50</v>
          </cell>
          <cell r="B530">
            <v>2</v>
          </cell>
          <cell r="C530">
            <v>3</v>
          </cell>
          <cell r="D530">
            <v>6796</v>
          </cell>
          <cell r="E530">
            <v>3</v>
          </cell>
          <cell r="F530">
            <v>14</v>
          </cell>
          <cell r="G530">
            <v>3</v>
          </cell>
          <cell r="H530">
            <v>1</v>
          </cell>
          <cell r="I530">
            <v>18</v>
          </cell>
          <cell r="J530">
            <v>4</v>
          </cell>
          <cell r="K530">
            <v>4</v>
          </cell>
          <cell r="L530">
            <v>3</v>
          </cell>
          <cell r="M530">
            <v>1</v>
          </cell>
          <cell r="N530">
            <v>0</v>
          </cell>
          <cell r="O530">
            <v>0</v>
          </cell>
          <cell r="P530">
            <v>0</v>
          </cell>
          <cell r="Q530">
            <v>0</v>
          </cell>
          <cell r="R530">
            <v>0</v>
          </cell>
          <cell r="S530">
            <v>1</v>
          </cell>
          <cell r="T530">
            <v>0</v>
          </cell>
          <cell r="U530">
            <v>0</v>
          </cell>
          <cell r="V530">
            <v>0</v>
          </cell>
          <cell r="W530">
            <v>0</v>
          </cell>
          <cell r="X530">
            <v>2</v>
          </cell>
          <cell r="Y530">
            <v>1</v>
          </cell>
          <cell r="Z530">
            <v>1</v>
          </cell>
          <cell r="AA530">
            <v>6</v>
          </cell>
          <cell r="AB530">
            <v>0.16666666666666666</v>
          </cell>
          <cell r="AC530">
            <v>0.75</v>
          </cell>
          <cell r="AD530">
            <v>6</v>
          </cell>
        </row>
        <row r="531">
          <cell r="A531">
            <v>38</v>
          </cell>
          <cell r="B531">
            <v>4</v>
          </cell>
          <cell r="C531">
            <v>4</v>
          </cell>
          <cell r="D531">
            <v>7625</v>
          </cell>
          <cell r="E531">
            <v>0</v>
          </cell>
          <cell r="F531">
            <v>13</v>
          </cell>
          <cell r="G531">
            <v>3</v>
          </cell>
          <cell r="H531">
            <v>0</v>
          </cell>
          <cell r="I531">
            <v>10</v>
          </cell>
          <cell r="J531">
            <v>4</v>
          </cell>
          <cell r="K531">
            <v>9</v>
          </cell>
          <cell r="L531">
            <v>7</v>
          </cell>
          <cell r="M531">
            <v>0</v>
          </cell>
          <cell r="N531">
            <v>1</v>
          </cell>
          <cell r="O531">
            <v>1</v>
          </cell>
          <cell r="P531">
            <v>0</v>
          </cell>
          <cell r="Q531">
            <v>0</v>
          </cell>
          <cell r="R531">
            <v>0</v>
          </cell>
          <cell r="S531">
            <v>0</v>
          </cell>
          <cell r="T531">
            <v>4</v>
          </cell>
          <cell r="U531">
            <v>0</v>
          </cell>
          <cell r="V531">
            <v>0</v>
          </cell>
          <cell r="W531">
            <v>0</v>
          </cell>
          <cell r="X531">
            <v>0</v>
          </cell>
          <cell r="Y531">
            <v>0</v>
          </cell>
          <cell r="Z531">
            <v>0</v>
          </cell>
          <cell r="AA531">
            <v>8</v>
          </cell>
          <cell r="AB531">
            <v>0</v>
          </cell>
          <cell r="AC531">
            <v>0.77777777777777779</v>
          </cell>
          <cell r="AD531">
            <v>24</v>
          </cell>
        </row>
        <row r="532">
          <cell r="A532">
            <v>27</v>
          </cell>
          <cell r="B532">
            <v>2</v>
          </cell>
          <cell r="C532">
            <v>3</v>
          </cell>
          <cell r="D532">
            <v>7412</v>
          </cell>
          <cell r="E532">
            <v>1</v>
          </cell>
          <cell r="F532">
            <v>11</v>
          </cell>
          <cell r="G532">
            <v>3</v>
          </cell>
          <cell r="H532">
            <v>0</v>
          </cell>
          <cell r="I532">
            <v>9</v>
          </cell>
          <cell r="J532">
            <v>3</v>
          </cell>
          <cell r="K532">
            <v>9</v>
          </cell>
          <cell r="L532">
            <v>7</v>
          </cell>
          <cell r="M532">
            <v>0</v>
          </cell>
          <cell r="N532">
            <v>1</v>
          </cell>
          <cell r="O532">
            <v>1</v>
          </cell>
          <cell r="P532">
            <v>0</v>
          </cell>
          <cell r="Q532">
            <v>0</v>
          </cell>
          <cell r="R532">
            <v>0</v>
          </cell>
          <cell r="S532">
            <v>0</v>
          </cell>
          <cell r="T532">
            <v>2</v>
          </cell>
          <cell r="U532">
            <v>0</v>
          </cell>
          <cell r="V532">
            <v>0</v>
          </cell>
          <cell r="W532">
            <v>0</v>
          </cell>
          <cell r="X532">
            <v>0</v>
          </cell>
          <cell r="Y532">
            <v>0</v>
          </cell>
          <cell r="Z532">
            <v>0</v>
          </cell>
          <cell r="AA532">
            <v>3</v>
          </cell>
          <cell r="AB532">
            <v>0.1111111111111111</v>
          </cell>
          <cell r="AC532">
            <v>0.77777777777777779</v>
          </cell>
          <cell r="AD532">
            <v>12</v>
          </cell>
        </row>
        <row r="533">
          <cell r="A533">
            <v>32</v>
          </cell>
          <cell r="B533">
            <v>2</v>
          </cell>
          <cell r="C533">
            <v>3</v>
          </cell>
          <cell r="D533">
            <v>11159</v>
          </cell>
          <cell r="E533">
            <v>3</v>
          </cell>
          <cell r="F533">
            <v>15</v>
          </cell>
          <cell r="G533">
            <v>3</v>
          </cell>
          <cell r="H533">
            <v>0</v>
          </cell>
          <cell r="I533">
            <v>10</v>
          </cell>
          <cell r="J533">
            <v>6</v>
          </cell>
          <cell r="K533">
            <v>7</v>
          </cell>
          <cell r="L533">
            <v>7</v>
          </cell>
          <cell r="M533">
            <v>0</v>
          </cell>
          <cell r="N533">
            <v>1</v>
          </cell>
          <cell r="O533">
            <v>1</v>
          </cell>
          <cell r="P533">
            <v>0</v>
          </cell>
          <cell r="Q533">
            <v>0</v>
          </cell>
          <cell r="R533">
            <v>0</v>
          </cell>
          <cell r="S533">
            <v>0</v>
          </cell>
          <cell r="T533">
            <v>2</v>
          </cell>
          <cell r="U533">
            <v>0</v>
          </cell>
          <cell r="V533">
            <v>0</v>
          </cell>
          <cell r="W533">
            <v>0</v>
          </cell>
          <cell r="X533">
            <v>0</v>
          </cell>
          <cell r="Y533">
            <v>0</v>
          </cell>
          <cell r="Z533">
            <v>0</v>
          </cell>
          <cell r="AA533">
            <v>12</v>
          </cell>
          <cell r="AB533">
            <v>0.3</v>
          </cell>
          <cell r="AC533">
            <v>1</v>
          </cell>
          <cell r="AD533">
            <v>48</v>
          </cell>
        </row>
        <row r="534">
          <cell r="A534">
            <v>47</v>
          </cell>
          <cell r="B534">
            <v>4</v>
          </cell>
          <cell r="C534">
            <v>3</v>
          </cell>
          <cell r="D534">
            <v>4960</v>
          </cell>
          <cell r="E534">
            <v>2</v>
          </cell>
          <cell r="F534">
            <v>12</v>
          </cell>
          <cell r="G534">
            <v>3</v>
          </cell>
          <cell r="H534">
            <v>0</v>
          </cell>
          <cell r="I534">
            <v>20</v>
          </cell>
          <cell r="J534">
            <v>2</v>
          </cell>
          <cell r="K534">
            <v>7</v>
          </cell>
          <cell r="L534">
            <v>7</v>
          </cell>
          <cell r="M534">
            <v>0</v>
          </cell>
          <cell r="N534">
            <v>0</v>
          </cell>
          <cell r="O534">
            <v>0</v>
          </cell>
          <cell r="P534">
            <v>1</v>
          </cell>
          <cell r="Q534">
            <v>0</v>
          </cell>
          <cell r="R534">
            <v>0</v>
          </cell>
          <cell r="S534">
            <v>0</v>
          </cell>
          <cell r="T534">
            <v>0</v>
          </cell>
          <cell r="U534">
            <v>4</v>
          </cell>
          <cell r="V534">
            <v>0</v>
          </cell>
          <cell r="W534">
            <v>0</v>
          </cell>
          <cell r="X534">
            <v>0</v>
          </cell>
          <cell r="Y534">
            <v>0</v>
          </cell>
          <cell r="Z534">
            <v>0</v>
          </cell>
          <cell r="AA534">
            <v>4</v>
          </cell>
          <cell r="AB534">
            <v>0.1</v>
          </cell>
          <cell r="AC534">
            <v>1</v>
          </cell>
          <cell r="AD534">
            <v>16</v>
          </cell>
        </row>
        <row r="535">
          <cell r="A535">
            <v>40</v>
          </cell>
          <cell r="B535">
            <v>4</v>
          </cell>
          <cell r="C535">
            <v>2</v>
          </cell>
          <cell r="D535">
            <v>10475</v>
          </cell>
          <cell r="E535">
            <v>5</v>
          </cell>
          <cell r="F535">
            <v>21</v>
          </cell>
          <cell r="G535">
            <v>4</v>
          </cell>
          <cell r="H535">
            <v>1</v>
          </cell>
          <cell r="I535">
            <v>20</v>
          </cell>
          <cell r="J535">
            <v>2</v>
          </cell>
          <cell r="K535">
            <v>18</v>
          </cell>
          <cell r="L535">
            <v>13</v>
          </cell>
          <cell r="M535">
            <v>1</v>
          </cell>
          <cell r="N535">
            <v>0</v>
          </cell>
          <cell r="O535">
            <v>1</v>
          </cell>
          <cell r="P535">
            <v>0</v>
          </cell>
          <cell r="Q535">
            <v>0</v>
          </cell>
          <cell r="R535">
            <v>0</v>
          </cell>
          <cell r="S535">
            <v>0</v>
          </cell>
          <cell r="T535">
            <v>4</v>
          </cell>
          <cell r="U535">
            <v>0</v>
          </cell>
          <cell r="V535">
            <v>0</v>
          </cell>
          <cell r="W535">
            <v>0</v>
          </cell>
          <cell r="X535">
            <v>0</v>
          </cell>
          <cell r="Y535">
            <v>1</v>
          </cell>
          <cell r="Z535">
            <v>1</v>
          </cell>
          <cell r="AA535">
            <v>4</v>
          </cell>
          <cell r="AB535">
            <v>0.25</v>
          </cell>
          <cell r="AC535">
            <v>0.72222222222222221</v>
          </cell>
          <cell r="AD535">
            <v>12</v>
          </cell>
        </row>
        <row r="536">
          <cell r="A536">
            <v>53</v>
          </cell>
          <cell r="B536">
            <v>3</v>
          </cell>
          <cell r="C536">
            <v>4</v>
          </cell>
          <cell r="D536">
            <v>14814</v>
          </cell>
          <cell r="E536">
            <v>3</v>
          </cell>
          <cell r="F536">
            <v>19</v>
          </cell>
          <cell r="G536">
            <v>3</v>
          </cell>
          <cell r="H536">
            <v>0</v>
          </cell>
          <cell r="I536">
            <v>32</v>
          </cell>
          <cell r="J536">
            <v>3</v>
          </cell>
          <cell r="K536">
            <v>5</v>
          </cell>
          <cell r="L536">
            <v>1</v>
          </cell>
          <cell r="M536">
            <v>0</v>
          </cell>
          <cell r="N536">
            <v>0</v>
          </cell>
          <cell r="O536">
            <v>1</v>
          </cell>
          <cell r="P536">
            <v>0</v>
          </cell>
          <cell r="Q536">
            <v>0</v>
          </cell>
          <cell r="R536">
            <v>0</v>
          </cell>
          <cell r="S536">
            <v>0</v>
          </cell>
          <cell r="T536">
            <v>3</v>
          </cell>
          <cell r="U536">
            <v>0</v>
          </cell>
          <cell r="V536">
            <v>0</v>
          </cell>
          <cell r="W536">
            <v>0</v>
          </cell>
          <cell r="X536">
            <v>0</v>
          </cell>
          <cell r="Y536">
            <v>0</v>
          </cell>
          <cell r="Z536">
            <v>0</v>
          </cell>
          <cell r="AA536">
            <v>9</v>
          </cell>
          <cell r="AB536">
            <v>9.375E-2</v>
          </cell>
          <cell r="AC536">
            <v>0.2</v>
          </cell>
          <cell r="AD536">
            <v>27</v>
          </cell>
        </row>
        <row r="537">
          <cell r="A537">
            <v>41</v>
          </cell>
          <cell r="B537">
            <v>4</v>
          </cell>
          <cell r="C537">
            <v>2</v>
          </cell>
          <cell r="D537">
            <v>19141</v>
          </cell>
          <cell r="E537">
            <v>3</v>
          </cell>
          <cell r="F537">
            <v>15</v>
          </cell>
          <cell r="G537">
            <v>3</v>
          </cell>
          <cell r="H537">
            <v>3</v>
          </cell>
          <cell r="I537">
            <v>23</v>
          </cell>
          <cell r="J537">
            <v>2</v>
          </cell>
          <cell r="K537">
            <v>21</v>
          </cell>
          <cell r="L537">
            <v>6</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8</v>
          </cell>
          <cell r="AB537">
            <v>0.13043478260869565</v>
          </cell>
          <cell r="AC537">
            <v>0.2857142857142857</v>
          </cell>
          <cell r="AD537">
            <v>16</v>
          </cell>
        </row>
        <row r="538">
          <cell r="A538">
            <v>60</v>
          </cell>
          <cell r="B538">
            <v>4</v>
          </cell>
          <cell r="C538">
            <v>3</v>
          </cell>
          <cell r="D538">
            <v>5405</v>
          </cell>
          <cell r="E538">
            <v>8</v>
          </cell>
          <cell r="F538">
            <v>14</v>
          </cell>
          <cell r="G538">
            <v>3</v>
          </cell>
          <cell r="H538">
            <v>0</v>
          </cell>
          <cell r="I538">
            <v>10</v>
          </cell>
          <cell r="J538">
            <v>1</v>
          </cell>
          <cell r="K538">
            <v>2</v>
          </cell>
          <cell r="L538">
            <v>2</v>
          </cell>
          <cell r="M538">
            <v>0</v>
          </cell>
          <cell r="N538">
            <v>0</v>
          </cell>
          <cell r="O538">
            <v>0</v>
          </cell>
          <cell r="P538">
            <v>1</v>
          </cell>
          <cell r="Q538">
            <v>0</v>
          </cell>
          <cell r="R538">
            <v>0</v>
          </cell>
          <cell r="S538">
            <v>0</v>
          </cell>
          <cell r="T538">
            <v>0</v>
          </cell>
          <cell r="U538">
            <v>4</v>
          </cell>
          <cell r="V538">
            <v>0</v>
          </cell>
          <cell r="W538">
            <v>0</v>
          </cell>
          <cell r="X538">
            <v>0</v>
          </cell>
          <cell r="Y538">
            <v>0</v>
          </cell>
          <cell r="Z538">
            <v>0</v>
          </cell>
          <cell r="AA538">
            <v>1</v>
          </cell>
          <cell r="AB538">
            <v>0.8</v>
          </cell>
          <cell r="AC538">
            <v>1</v>
          </cell>
          <cell r="AD538">
            <v>4</v>
          </cell>
        </row>
        <row r="539">
          <cell r="A539">
            <v>27</v>
          </cell>
          <cell r="B539">
            <v>2</v>
          </cell>
          <cell r="C539">
            <v>3</v>
          </cell>
          <cell r="D539">
            <v>8793</v>
          </cell>
          <cell r="E539">
            <v>1</v>
          </cell>
          <cell r="F539">
            <v>21</v>
          </cell>
          <cell r="G539">
            <v>4</v>
          </cell>
          <cell r="H539">
            <v>2</v>
          </cell>
          <cell r="I539">
            <v>9</v>
          </cell>
          <cell r="J539">
            <v>4</v>
          </cell>
          <cell r="K539">
            <v>9</v>
          </cell>
          <cell r="L539">
            <v>7</v>
          </cell>
          <cell r="M539">
            <v>0</v>
          </cell>
          <cell r="N539">
            <v>0</v>
          </cell>
          <cell r="O539">
            <v>1</v>
          </cell>
          <cell r="P539">
            <v>0</v>
          </cell>
          <cell r="Q539">
            <v>0</v>
          </cell>
          <cell r="R539">
            <v>0</v>
          </cell>
          <cell r="S539">
            <v>0</v>
          </cell>
          <cell r="T539">
            <v>2</v>
          </cell>
          <cell r="U539">
            <v>0</v>
          </cell>
          <cell r="V539">
            <v>0</v>
          </cell>
          <cell r="W539">
            <v>0</v>
          </cell>
          <cell r="X539">
            <v>0</v>
          </cell>
          <cell r="Y539">
            <v>0</v>
          </cell>
          <cell r="Z539">
            <v>0</v>
          </cell>
          <cell r="AA539">
            <v>4</v>
          </cell>
          <cell r="AB539">
            <v>0.1111111111111111</v>
          </cell>
          <cell r="AC539">
            <v>0.77777777777777779</v>
          </cell>
          <cell r="AD539">
            <v>12</v>
          </cell>
        </row>
        <row r="540">
          <cell r="A540">
            <v>41</v>
          </cell>
          <cell r="B540">
            <v>3</v>
          </cell>
          <cell r="C540">
            <v>2</v>
          </cell>
          <cell r="D540">
            <v>19189</v>
          </cell>
          <cell r="E540">
            <v>1</v>
          </cell>
          <cell r="F540">
            <v>12</v>
          </cell>
          <cell r="G540">
            <v>3</v>
          </cell>
          <cell r="H540">
            <v>1</v>
          </cell>
          <cell r="I540">
            <v>22</v>
          </cell>
          <cell r="J540">
            <v>3</v>
          </cell>
          <cell r="K540">
            <v>22</v>
          </cell>
          <cell r="L540">
            <v>7</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12</v>
          </cell>
          <cell r="AB540">
            <v>4.5454545454545456E-2</v>
          </cell>
          <cell r="AC540">
            <v>0.31818181818181818</v>
          </cell>
          <cell r="AD540">
            <v>24</v>
          </cell>
        </row>
        <row r="541">
          <cell r="A541">
            <v>50</v>
          </cell>
          <cell r="B541">
            <v>4</v>
          </cell>
          <cell r="C541">
            <v>3</v>
          </cell>
          <cell r="D541">
            <v>3875</v>
          </cell>
          <cell r="E541">
            <v>7</v>
          </cell>
          <cell r="F541">
            <v>15</v>
          </cell>
          <cell r="G541">
            <v>3</v>
          </cell>
          <cell r="H541">
            <v>1</v>
          </cell>
          <cell r="I541">
            <v>4</v>
          </cell>
          <cell r="J541">
            <v>2</v>
          </cell>
          <cell r="K541">
            <v>2</v>
          </cell>
          <cell r="L541">
            <v>2</v>
          </cell>
          <cell r="M541">
            <v>0</v>
          </cell>
          <cell r="N541">
            <v>0</v>
          </cell>
          <cell r="O541">
            <v>0</v>
          </cell>
          <cell r="P541">
            <v>1</v>
          </cell>
          <cell r="Q541">
            <v>0</v>
          </cell>
          <cell r="R541">
            <v>0</v>
          </cell>
          <cell r="S541">
            <v>0</v>
          </cell>
          <cell r="T541">
            <v>0</v>
          </cell>
          <cell r="U541">
            <v>4</v>
          </cell>
          <cell r="V541">
            <v>0</v>
          </cell>
          <cell r="W541">
            <v>0</v>
          </cell>
          <cell r="X541">
            <v>0</v>
          </cell>
          <cell r="Y541">
            <v>0</v>
          </cell>
          <cell r="Z541">
            <v>0</v>
          </cell>
          <cell r="AA541">
            <v>8</v>
          </cell>
          <cell r="AB541">
            <v>1.75</v>
          </cell>
          <cell r="AC541">
            <v>1</v>
          </cell>
          <cell r="AD541">
            <v>32</v>
          </cell>
        </row>
        <row r="542">
          <cell r="A542">
            <v>28</v>
          </cell>
          <cell r="B542">
            <v>2</v>
          </cell>
          <cell r="C542">
            <v>1</v>
          </cell>
          <cell r="D542">
            <v>2216</v>
          </cell>
          <cell r="E542">
            <v>7</v>
          </cell>
          <cell r="F542">
            <v>13</v>
          </cell>
          <cell r="G542">
            <v>3</v>
          </cell>
          <cell r="H542">
            <v>0</v>
          </cell>
          <cell r="I542">
            <v>10</v>
          </cell>
          <cell r="J542">
            <v>4</v>
          </cell>
          <cell r="K542">
            <v>7</v>
          </cell>
          <cell r="L542">
            <v>7</v>
          </cell>
          <cell r="M542">
            <v>1</v>
          </cell>
          <cell r="N542">
            <v>1</v>
          </cell>
          <cell r="O542">
            <v>1</v>
          </cell>
          <cell r="P542">
            <v>0</v>
          </cell>
          <cell r="Q542">
            <v>0</v>
          </cell>
          <cell r="R542">
            <v>0</v>
          </cell>
          <cell r="S542">
            <v>0</v>
          </cell>
          <cell r="T542">
            <v>2</v>
          </cell>
          <cell r="U542">
            <v>0</v>
          </cell>
          <cell r="V542">
            <v>0</v>
          </cell>
          <cell r="W542">
            <v>0</v>
          </cell>
          <cell r="X542">
            <v>0</v>
          </cell>
          <cell r="Y542">
            <v>0</v>
          </cell>
          <cell r="Z542">
            <v>0</v>
          </cell>
          <cell r="AA542">
            <v>2</v>
          </cell>
          <cell r="AB542">
            <v>0.7</v>
          </cell>
          <cell r="AC542">
            <v>1</v>
          </cell>
          <cell r="AD542">
            <v>8</v>
          </cell>
        </row>
        <row r="543">
          <cell r="A543">
            <v>36</v>
          </cell>
          <cell r="B543">
            <v>3</v>
          </cell>
          <cell r="C543">
            <v>4</v>
          </cell>
          <cell r="D543">
            <v>11713</v>
          </cell>
          <cell r="E543">
            <v>9</v>
          </cell>
          <cell r="F543">
            <v>14</v>
          </cell>
          <cell r="G543">
            <v>3</v>
          </cell>
          <cell r="H543">
            <v>1</v>
          </cell>
          <cell r="I543">
            <v>10</v>
          </cell>
          <cell r="J543">
            <v>2</v>
          </cell>
          <cell r="K543">
            <v>8</v>
          </cell>
          <cell r="L543">
            <v>7</v>
          </cell>
          <cell r="M543">
            <v>0</v>
          </cell>
          <cell r="N543">
            <v>1</v>
          </cell>
          <cell r="O543">
            <v>1</v>
          </cell>
          <cell r="P543">
            <v>0</v>
          </cell>
          <cell r="Q543">
            <v>0</v>
          </cell>
          <cell r="R543">
            <v>0</v>
          </cell>
          <cell r="S543">
            <v>0</v>
          </cell>
          <cell r="T543">
            <v>3</v>
          </cell>
          <cell r="U543">
            <v>0</v>
          </cell>
          <cell r="V543">
            <v>0</v>
          </cell>
          <cell r="W543">
            <v>0</v>
          </cell>
          <cell r="X543">
            <v>0</v>
          </cell>
          <cell r="Y543">
            <v>0</v>
          </cell>
          <cell r="Z543">
            <v>0</v>
          </cell>
          <cell r="AA543">
            <v>1</v>
          </cell>
          <cell r="AB543">
            <v>0.9</v>
          </cell>
          <cell r="AC543">
            <v>0.875</v>
          </cell>
          <cell r="AD543">
            <v>1</v>
          </cell>
        </row>
        <row r="544">
          <cell r="A544">
            <v>38</v>
          </cell>
          <cell r="B544">
            <v>3</v>
          </cell>
          <cell r="C544">
            <v>3</v>
          </cell>
          <cell r="D544">
            <v>7861</v>
          </cell>
          <cell r="E544">
            <v>4</v>
          </cell>
          <cell r="F544">
            <v>14</v>
          </cell>
          <cell r="G544">
            <v>3</v>
          </cell>
          <cell r="H544">
            <v>0</v>
          </cell>
          <cell r="I544">
            <v>10</v>
          </cell>
          <cell r="J544">
            <v>4</v>
          </cell>
          <cell r="K544">
            <v>1</v>
          </cell>
          <cell r="L544">
            <v>0</v>
          </cell>
          <cell r="M544">
            <v>1</v>
          </cell>
          <cell r="N544">
            <v>1</v>
          </cell>
          <cell r="O544">
            <v>1</v>
          </cell>
          <cell r="P544">
            <v>0</v>
          </cell>
          <cell r="Q544">
            <v>0</v>
          </cell>
          <cell r="R544">
            <v>0</v>
          </cell>
          <cell r="S544">
            <v>0</v>
          </cell>
          <cell r="T544">
            <v>3</v>
          </cell>
          <cell r="U544">
            <v>0</v>
          </cell>
          <cell r="V544">
            <v>0</v>
          </cell>
          <cell r="W544">
            <v>0</v>
          </cell>
          <cell r="X544">
            <v>0</v>
          </cell>
          <cell r="Y544">
            <v>0</v>
          </cell>
          <cell r="Z544">
            <v>0</v>
          </cell>
          <cell r="AA544">
            <v>9</v>
          </cell>
          <cell r="AB544">
            <v>0.4</v>
          </cell>
          <cell r="AC544">
            <v>0</v>
          </cell>
          <cell r="AD544">
            <v>36</v>
          </cell>
        </row>
        <row r="545">
          <cell r="A545">
            <v>44</v>
          </cell>
          <cell r="B545">
            <v>3</v>
          </cell>
          <cell r="C545">
            <v>1</v>
          </cell>
          <cell r="D545">
            <v>3708</v>
          </cell>
          <cell r="E545">
            <v>2</v>
          </cell>
          <cell r="F545">
            <v>14</v>
          </cell>
          <cell r="G545">
            <v>3</v>
          </cell>
          <cell r="H545">
            <v>0</v>
          </cell>
          <cell r="I545">
            <v>9</v>
          </cell>
          <cell r="J545">
            <v>5</v>
          </cell>
          <cell r="K545">
            <v>5</v>
          </cell>
          <cell r="L545">
            <v>2</v>
          </cell>
          <cell r="M545">
            <v>0</v>
          </cell>
          <cell r="N545">
            <v>0</v>
          </cell>
          <cell r="O545">
            <v>0</v>
          </cell>
          <cell r="P545">
            <v>0</v>
          </cell>
          <cell r="Q545">
            <v>1</v>
          </cell>
          <cell r="R545">
            <v>0</v>
          </cell>
          <cell r="S545">
            <v>0</v>
          </cell>
          <cell r="T545">
            <v>0</v>
          </cell>
          <cell r="U545">
            <v>0</v>
          </cell>
          <cell r="V545">
            <v>3</v>
          </cell>
          <cell r="W545">
            <v>0</v>
          </cell>
          <cell r="X545">
            <v>0</v>
          </cell>
          <cell r="Y545">
            <v>0</v>
          </cell>
          <cell r="Z545">
            <v>0</v>
          </cell>
          <cell r="AA545">
            <v>3</v>
          </cell>
          <cell r="AB545">
            <v>0.22222222222222221</v>
          </cell>
          <cell r="AC545">
            <v>0.4</v>
          </cell>
          <cell r="AD545">
            <v>9</v>
          </cell>
        </row>
        <row r="546">
          <cell r="A546">
            <v>47</v>
          </cell>
          <cell r="B546">
            <v>3</v>
          </cell>
          <cell r="C546">
            <v>3</v>
          </cell>
          <cell r="D546">
            <v>13770</v>
          </cell>
          <cell r="E546">
            <v>9</v>
          </cell>
          <cell r="F546">
            <v>12</v>
          </cell>
          <cell r="G546">
            <v>3</v>
          </cell>
          <cell r="H546">
            <v>2</v>
          </cell>
          <cell r="I546">
            <v>28</v>
          </cell>
          <cell r="J546">
            <v>2</v>
          </cell>
          <cell r="K546">
            <v>22</v>
          </cell>
          <cell r="L546">
            <v>2</v>
          </cell>
          <cell r="M546">
            <v>1</v>
          </cell>
          <cell r="N546">
            <v>1</v>
          </cell>
          <cell r="O546">
            <v>0</v>
          </cell>
          <cell r="P546">
            <v>0</v>
          </cell>
          <cell r="Q546">
            <v>1</v>
          </cell>
          <cell r="R546">
            <v>0</v>
          </cell>
          <cell r="S546">
            <v>0</v>
          </cell>
          <cell r="T546">
            <v>0</v>
          </cell>
          <cell r="U546">
            <v>0</v>
          </cell>
          <cell r="V546">
            <v>3</v>
          </cell>
          <cell r="W546">
            <v>0</v>
          </cell>
          <cell r="X546">
            <v>0</v>
          </cell>
          <cell r="Y546">
            <v>0</v>
          </cell>
          <cell r="Z546">
            <v>0</v>
          </cell>
          <cell r="AA546">
            <v>12</v>
          </cell>
          <cell r="AB546">
            <v>0.32142857142857145</v>
          </cell>
          <cell r="AC546">
            <v>9.0909090909090912E-2</v>
          </cell>
          <cell r="AD546">
            <v>48</v>
          </cell>
        </row>
        <row r="547">
          <cell r="A547">
            <v>30</v>
          </cell>
          <cell r="B547">
            <v>5</v>
          </cell>
          <cell r="C547">
            <v>3</v>
          </cell>
          <cell r="D547">
            <v>5304</v>
          </cell>
          <cell r="E547">
            <v>7</v>
          </cell>
          <cell r="F547">
            <v>23</v>
          </cell>
          <cell r="G547">
            <v>4</v>
          </cell>
          <cell r="H547">
            <v>1</v>
          </cell>
          <cell r="I547">
            <v>10</v>
          </cell>
          <cell r="J547">
            <v>2</v>
          </cell>
          <cell r="K547">
            <v>8</v>
          </cell>
          <cell r="L547">
            <v>7</v>
          </cell>
          <cell r="M547">
            <v>0</v>
          </cell>
          <cell r="N547">
            <v>0</v>
          </cell>
          <cell r="O547">
            <v>0</v>
          </cell>
          <cell r="P547">
            <v>1</v>
          </cell>
          <cell r="Q547">
            <v>0</v>
          </cell>
          <cell r="R547">
            <v>0</v>
          </cell>
          <cell r="S547">
            <v>0</v>
          </cell>
          <cell r="T547">
            <v>0</v>
          </cell>
          <cell r="U547">
            <v>5</v>
          </cell>
          <cell r="V547">
            <v>0</v>
          </cell>
          <cell r="W547">
            <v>0</v>
          </cell>
          <cell r="X547">
            <v>0</v>
          </cell>
          <cell r="Y547">
            <v>0</v>
          </cell>
          <cell r="Z547">
            <v>0</v>
          </cell>
          <cell r="AA547">
            <v>12</v>
          </cell>
          <cell r="AB547">
            <v>0.7</v>
          </cell>
          <cell r="AC547">
            <v>0.875</v>
          </cell>
          <cell r="AD547">
            <v>48</v>
          </cell>
        </row>
        <row r="548">
          <cell r="A548">
            <v>29</v>
          </cell>
          <cell r="B548">
            <v>3</v>
          </cell>
          <cell r="C548">
            <v>3</v>
          </cell>
          <cell r="D548">
            <v>2642</v>
          </cell>
          <cell r="E548">
            <v>1</v>
          </cell>
          <cell r="F548">
            <v>11</v>
          </cell>
          <cell r="G548">
            <v>3</v>
          </cell>
          <cell r="H548">
            <v>0</v>
          </cell>
          <cell r="I548">
            <v>1</v>
          </cell>
          <cell r="J548">
            <v>6</v>
          </cell>
          <cell r="K548">
            <v>1</v>
          </cell>
          <cell r="L548">
            <v>0</v>
          </cell>
          <cell r="M548">
            <v>0</v>
          </cell>
          <cell r="N548">
            <v>0</v>
          </cell>
          <cell r="O548">
            <v>1</v>
          </cell>
          <cell r="P548">
            <v>0</v>
          </cell>
          <cell r="Q548">
            <v>0</v>
          </cell>
          <cell r="R548">
            <v>0</v>
          </cell>
          <cell r="S548">
            <v>0</v>
          </cell>
          <cell r="T548">
            <v>3</v>
          </cell>
          <cell r="U548">
            <v>0</v>
          </cell>
          <cell r="V548">
            <v>0</v>
          </cell>
          <cell r="W548">
            <v>0</v>
          </cell>
          <cell r="X548">
            <v>0</v>
          </cell>
          <cell r="Y548">
            <v>0</v>
          </cell>
          <cell r="Z548">
            <v>0</v>
          </cell>
          <cell r="AA548">
            <v>9</v>
          </cell>
          <cell r="AB548">
            <v>1</v>
          </cell>
          <cell r="AC548">
            <v>0</v>
          </cell>
          <cell r="AD548">
            <v>27</v>
          </cell>
        </row>
        <row r="549">
          <cell r="A549">
            <v>42</v>
          </cell>
          <cell r="B549">
            <v>3</v>
          </cell>
          <cell r="C549">
            <v>4</v>
          </cell>
          <cell r="D549">
            <v>2759</v>
          </cell>
          <cell r="E549">
            <v>6</v>
          </cell>
          <cell r="F549">
            <v>12</v>
          </cell>
          <cell r="G549">
            <v>3</v>
          </cell>
          <cell r="H549">
            <v>0</v>
          </cell>
          <cell r="I549">
            <v>7</v>
          </cell>
          <cell r="J549">
            <v>2</v>
          </cell>
          <cell r="K549">
            <v>2</v>
          </cell>
          <cell r="L549">
            <v>2</v>
          </cell>
          <cell r="M549">
            <v>1</v>
          </cell>
          <cell r="N549">
            <v>0</v>
          </cell>
          <cell r="O549">
            <v>0</v>
          </cell>
          <cell r="P549">
            <v>0</v>
          </cell>
          <cell r="Q549">
            <v>1</v>
          </cell>
          <cell r="R549">
            <v>0</v>
          </cell>
          <cell r="S549">
            <v>0</v>
          </cell>
          <cell r="T549">
            <v>0</v>
          </cell>
          <cell r="U549">
            <v>0</v>
          </cell>
          <cell r="V549">
            <v>3</v>
          </cell>
          <cell r="W549">
            <v>0</v>
          </cell>
          <cell r="X549">
            <v>0</v>
          </cell>
          <cell r="Y549">
            <v>0</v>
          </cell>
          <cell r="Z549">
            <v>0</v>
          </cell>
          <cell r="AA549">
            <v>9</v>
          </cell>
          <cell r="AB549">
            <v>0.8571428571428571</v>
          </cell>
          <cell r="AC549">
            <v>1</v>
          </cell>
          <cell r="AD549">
            <v>36</v>
          </cell>
        </row>
        <row r="550">
          <cell r="A550">
            <v>43</v>
          </cell>
          <cell r="B550">
            <v>3</v>
          </cell>
          <cell r="C550">
            <v>2</v>
          </cell>
          <cell r="D550">
            <v>6804</v>
          </cell>
          <cell r="E550">
            <v>3</v>
          </cell>
          <cell r="F550">
            <v>18</v>
          </cell>
          <cell r="G550">
            <v>3</v>
          </cell>
          <cell r="H550">
            <v>1</v>
          </cell>
          <cell r="I550">
            <v>7</v>
          </cell>
          <cell r="J550">
            <v>5</v>
          </cell>
          <cell r="K550">
            <v>2</v>
          </cell>
          <cell r="L550">
            <v>2</v>
          </cell>
          <cell r="M550">
            <v>0</v>
          </cell>
          <cell r="N550">
            <v>0</v>
          </cell>
          <cell r="O550">
            <v>1</v>
          </cell>
          <cell r="P550">
            <v>0</v>
          </cell>
          <cell r="Q550">
            <v>0</v>
          </cell>
          <cell r="R550">
            <v>0</v>
          </cell>
          <cell r="S550">
            <v>0</v>
          </cell>
          <cell r="T550">
            <v>3</v>
          </cell>
          <cell r="U550">
            <v>0</v>
          </cell>
          <cell r="V550">
            <v>0</v>
          </cell>
          <cell r="W550">
            <v>0</v>
          </cell>
          <cell r="X550">
            <v>0</v>
          </cell>
          <cell r="Y550">
            <v>1</v>
          </cell>
          <cell r="Z550">
            <v>0</v>
          </cell>
          <cell r="AA550">
            <v>16</v>
          </cell>
          <cell r="AB550">
            <v>0.42857142857142855</v>
          </cell>
          <cell r="AC550">
            <v>1</v>
          </cell>
          <cell r="AD550">
            <v>48</v>
          </cell>
        </row>
        <row r="551">
          <cell r="A551">
            <v>34</v>
          </cell>
          <cell r="B551">
            <v>2</v>
          </cell>
          <cell r="C551">
            <v>3</v>
          </cell>
          <cell r="D551">
            <v>6142</v>
          </cell>
          <cell r="E551">
            <v>3</v>
          </cell>
          <cell r="F551">
            <v>11</v>
          </cell>
          <cell r="G551">
            <v>3</v>
          </cell>
          <cell r="H551">
            <v>0</v>
          </cell>
          <cell r="I551">
            <v>10</v>
          </cell>
          <cell r="J551">
            <v>2</v>
          </cell>
          <cell r="K551">
            <v>5</v>
          </cell>
          <cell r="L551">
            <v>1</v>
          </cell>
          <cell r="M551">
            <v>0</v>
          </cell>
          <cell r="N551">
            <v>1</v>
          </cell>
          <cell r="O551">
            <v>0</v>
          </cell>
          <cell r="P551">
            <v>0</v>
          </cell>
          <cell r="Q551">
            <v>1</v>
          </cell>
          <cell r="R551">
            <v>0</v>
          </cell>
          <cell r="S551">
            <v>0</v>
          </cell>
          <cell r="T551">
            <v>0</v>
          </cell>
          <cell r="U551">
            <v>0</v>
          </cell>
          <cell r="V551">
            <v>2</v>
          </cell>
          <cell r="W551">
            <v>0</v>
          </cell>
          <cell r="X551">
            <v>0</v>
          </cell>
          <cell r="Y551">
            <v>0</v>
          </cell>
          <cell r="Z551">
            <v>0</v>
          </cell>
          <cell r="AA551">
            <v>6</v>
          </cell>
          <cell r="AB551">
            <v>0.3</v>
          </cell>
          <cell r="AC551">
            <v>0.2</v>
          </cell>
          <cell r="AD551">
            <v>24</v>
          </cell>
        </row>
        <row r="552">
          <cell r="A552">
            <v>23</v>
          </cell>
          <cell r="B552">
            <v>1</v>
          </cell>
          <cell r="C552">
            <v>3</v>
          </cell>
          <cell r="D552">
            <v>2500</v>
          </cell>
          <cell r="E552">
            <v>1</v>
          </cell>
          <cell r="F552">
            <v>14</v>
          </cell>
          <cell r="G552">
            <v>3</v>
          </cell>
          <cell r="H552">
            <v>1</v>
          </cell>
          <cell r="I552">
            <v>5</v>
          </cell>
          <cell r="J552">
            <v>2</v>
          </cell>
          <cell r="K552">
            <v>4</v>
          </cell>
          <cell r="L552">
            <v>3</v>
          </cell>
          <cell r="M552">
            <v>0</v>
          </cell>
          <cell r="N552">
            <v>0</v>
          </cell>
          <cell r="O552">
            <v>0</v>
          </cell>
          <cell r="P552">
            <v>0</v>
          </cell>
          <cell r="Q552">
            <v>1</v>
          </cell>
          <cell r="R552">
            <v>0</v>
          </cell>
          <cell r="S552">
            <v>0</v>
          </cell>
          <cell r="T552">
            <v>0</v>
          </cell>
          <cell r="U552">
            <v>0</v>
          </cell>
          <cell r="V552">
            <v>1</v>
          </cell>
          <cell r="W552">
            <v>0</v>
          </cell>
          <cell r="X552">
            <v>0</v>
          </cell>
          <cell r="Y552">
            <v>0</v>
          </cell>
          <cell r="Z552">
            <v>0</v>
          </cell>
          <cell r="AA552">
            <v>2</v>
          </cell>
          <cell r="AB552">
            <v>0.2</v>
          </cell>
          <cell r="AC552">
            <v>0.75</v>
          </cell>
          <cell r="AD552">
            <v>8</v>
          </cell>
        </row>
        <row r="553">
          <cell r="A553">
            <v>39</v>
          </cell>
          <cell r="B553">
            <v>3</v>
          </cell>
          <cell r="C553">
            <v>4</v>
          </cell>
          <cell r="D553">
            <v>6389</v>
          </cell>
          <cell r="E553">
            <v>9</v>
          </cell>
          <cell r="F553">
            <v>15</v>
          </cell>
          <cell r="G553">
            <v>3</v>
          </cell>
          <cell r="H553">
            <v>1</v>
          </cell>
          <cell r="I553">
            <v>12</v>
          </cell>
          <cell r="J553">
            <v>3</v>
          </cell>
          <cell r="K553">
            <v>8</v>
          </cell>
          <cell r="L553">
            <v>3</v>
          </cell>
          <cell r="M553">
            <v>0</v>
          </cell>
          <cell r="N553">
            <v>1</v>
          </cell>
          <cell r="O553">
            <v>0</v>
          </cell>
          <cell r="P553">
            <v>0</v>
          </cell>
          <cell r="Q553">
            <v>0</v>
          </cell>
          <cell r="R553">
            <v>0</v>
          </cell>
          <cell r="S553">
            <v>0</v>
          </cell>
          <cell r="T553">
            <v>0</v>
          </cell>
          <cell r="U553">
            <v>0</v>
          </cell>
          <cell r="V553">
            <v>0</v>
          </cell>
          <cell r="W553">
            <v>0</v>
          </cell>
          <cell r="X553">
            <v>0</v>
          </cell>
          <cell r="Y553">
            <v>0</v>
          </cell>
          <cell r="Z553">
            <v>0</v>
          </cell>
          <cell r="AA553">
            <v>6</v>
          </cell>
          <cell r="AB553">
            <v>0.75</v>
          </cell>
          <cell r="AC553">
            <v>0.375</v>
          </cell>
          <cell r="AD553">
            <v>18</v>
          </cell>
        </row>
        <row r="554">
          <cell r="A554">
            <v>56</v>
          </cell>
          <cell r="B554">
            <v>3</v>
          </cell>
          <cell r="C554">
            <v>3</v>
          </cell>
          <cell r="D554">
            <v>11103</v>
          </cell>
          <cell r="E554">
            <v>7</v>
          </cell>
          <cell r="F554">
            <v>11</v>
          </cell>
          <cell r="G554">
            <v>3</v>
          </cell>
          <cell r="H554">
            <v>0</v>
          </cell>
          <cell r="I554">
            <v>30</v>
          </cell>
          <cell r="J554">
            <v>1</v>
          </cell>
          <cell r="K554">
            <v>10</v>
          </cell>
          <cell r="L554">
            <v>7</v>
          </cell>
          <cell r="M554">
            <v>0</v>
          </cell>
          <cell r="N554">
            <v>0</v>
          </cell>
          <cell r="O554">
            <v>0</v>
          </cell>
          <cell r="P554">
            <v>0</v>
          </cell>
          <cell r="Q554">
            <v>1</v>
          </cell>
          <cell r="R554">
            <v>0</v>
          </cell>
          <cell r="S554">
            <v>0</v>
          </cell>
          <cell r="T554">
            <v>0</v>
          </cell>
          <cell r="U554">
            <v>0</v>
          </cell>
          <cell r="V554">
            <v>3</v>
          </cell>
          <cell r="W554">
            <v>0</v>
          </cell>
          <cell r="X554">
            <v>0</v>
          </cell>
          <cell r="Y554">
            <v>0</v>
          </cell>
          <cell r="Z554">
            <v>0</v>
          </cell>
          <cell r="AA554">
            <v>12</v>
          </cell>
          <cell r="AB554">
            <v>0.23333333333333334</v>
          </cell>
          <cell r="AC554">
            <v>0.7</v>
          </cell>
          <cell r="AD554">
            <v>36</v>
          </cell>
        </row>
        <row r="555">
          <cell r="A555">
            <v>40</v>
          </cell>
          <cell r="B555">
            <v>1</v>
          </cell>
          <cell r="C555">
            <v>2</v>
          </cell>
          <cell r="D555">
            <v>2342</v>
          </cell>
          <cell r="E555">
            <v>0</v>
          </cell>
          <cell r="F555">
            <v>20</v>
          </cell>
          <cell r="G555">
            <v>4</v>
          </cell>
          <cell r="H555">
            <v>0</v>
          </cell>
          <cell r="I555">
            <v>5</v>
          </cell>
          <cell r="J555">
            <v>2</v>
          </cell>
          <cell r="K555">
            <v>4</v>
          </cell>
          <cell r="L555">
            <v>2</v>
          </cell>
          <cell r="M555">
            <v>1</v>
          </cell>
          <cell r="N555">
            <v>1</v>
          </cell>
          <cell r="O555">
            <v>0</v>
          </cell>
          <cell r="P555">
            <v>0</v>
          </cell>
          <cell r="Q555">
            <v>1</v>
          </cell>
          <cell r="R555">
            <v>0</v>
          </cell>
          <cell r="S555">
            <v>0</v>
          </cell>
          <cell r="T555">
            <v>0</v>
          </cell>
          <cell r="U555">
            <v>0</v>
          </cell>
          <cell r="V555">
            <v>1</v>
          </cell>
          <cell r="W555">
            <v>0</v>
          </cell>
          <cell r="X555">
            <v>0</v>
          </cell>
          <cell r="Y555">
            <v>0</v>
          </cell>
          <cell r="Z555">
            <v>0</v>
          </cell>
          <cell r="AA555">
            <v>16</v>
          </cell>
          <cell r="AB555">
            <v>0</v>
          </cell>
          <cell r="AC555">
            <v>0.5</v>
          </cell>
          <cell r="AD555">
            <v>64</v>
          </cell>
        </row>
        <row r="556">
          <cell r="A556">
            <v>27</v>
          </cell>
          <cell r="B556">
            <v>3</v>
          </cell>
          <cell r="C556">
            <v>2</v>
          </cell>
          <cell r="D556">
            <v>6811</v>
          </cell>
          <cell r="E556">
            <v>8</v>
          </cell>
          <cell r="F556">
            <v>19</v>
          </cell>
          <cell r="G556">
            <v>3</v>
          </cell>
          <cell r="H556">
            <v>0</v>
          </cell>
          <cell r="I556">
            <v>9</v>
          </cell>
          <cell r="J556">
            <v>2</v>
          </cell>
          <cell r="K556">
            <v>7</v>
          </cell>
          <cell r="L556">
            <v>6</v>
          </cell>
          <cell r="M556">
            <v>0</v>
          </cell>
          <cell r="N556">
            <v>1</v>
          </cell>
          <cell r="O556">
            <v>0</v>
          </cell>
          <cell r="P556">
            <v>0</v>
          </cell>
          <cell r="Q556">
            <v>1</v>
          </cell>
          <cell r="R556">
            <v>0</v>
          </cell>
          <cell r="S556">
            <v>0</v>
          </cell>
          <cell r="T556">
            <v>0</v>
          </cell>
          <cell r="U556">
            <v>0</v>
          </cell>
          <cell r="V556">
            <v>3</v>
          </cell>
          <cell r="W556">
            <v>0</v>
          </cell>
          <cell r="X556">
            <v>0</v>
          </cell>
          <cell r="Y556">
            <v>0</v>
          </cell>
          <cell r="Z556">
            <v>0</v>
          </cell>
          <cell r="AA556">
            <v>4</v>
          </cell>
          <cell r="AB556">
            <v>0.88888888888888884</v>
          </cell>
          <cell r="AC556">
            <v>0.8571428571428571</v>
          </cell>
          <cell r="AD556">
            <v>4</v>
          </cell>
        </row>
        <row r="557">
          <cell r="A557">
            <v>29</v>
          </cell>
          <cell r="B557">
            <v>3</v>
          </cell>
          <cell r="C557">
            <v>3</v>
          </cell>
          <cell r="D557">
            <v>2297</v>
          </cell>
          <cell r="E557">
            <v>1</v>
          </cell>
          <cell r="F557">
            <v>14</v>
          </cell>
          <cell r="G557">
            <v>3</v>
          </cell>
          <cell r="H557">
            <v>2</v>
          </cell>
          <cell r="I557">
            <v>2</v>
          </cell>
          <cell r="J557">
            <v>2</v>
          </cell>
          <cell r="K557">
            <v>2</v>
          </cell>
          <cell r="L557">
            <v>2</v>
          </cell>
          <cell r="M557">
            <v>0</v>
          </cell>
          <cell r="N557">
            <v>0</v>
          </cell>
          <cell r="O557">
            <v>0</v>
          </cell>
          <cell r="P557">
            <v>1</v>
          </cell>
          <cell r="Q557">
            <v>0</v>
          </cell>
          <cell r="R557">
            <v>0</v>
          </cell>
          <cell r="S557">
            <v>0</v>
          </cell>
          <cell r="T557">
            <v>0</v>
          </cell>
          <cell r="U557">
            <v>3</v>
          </cell>
          <cell r="V557">
            <v>0</v>
          </cell>
          <cell r="W557">
            <v>0</v>
          </cell>
          <cell r="X557">
            <v>0</v>
          </cell>
          <cell r="Y557">
            <v>0</v>
          </cell>
          <cell r="Z557">
            <v>0</v>
          </cell>
          <cell r="AA557">
            <v>8</v>
          </cell>
          <cell r="AB557">
            <v>0.5</v>
          </cell>
          <cell r="AC557">
            <v>1</v>
          </cell>
          <cell r="AD557">
            <v>32</v>
          </cell>
        </row>
        <row r="558">
          <cell r="A558">
            <v>53</v>
          </cell>
          <cell r="B558">
            <v>3</v>
          </cell>
          <cell r="C558">
            <v>3</v>
          </cell>
          <cell r="D558">
            <v>2450</v>
          </cell>
          <cell r="E558">
            <v>2</v>
          </cell>
          <cell r="F558">
            <v>17</v>
          </cell>
          <cell r="G558">
            <v>3</v>
          </cell>
          <cell r="H558">
            <v>0</v>
          </cell>
          <cell r="I558">
            <v>19</v>
          </cell>
          <cell r="J558">
            <v>4</v>
          </cell>
          <cell r="K558">
            <v>2</v>
          </cell>
          <cell r="L558">
            <v>2</v>
          </cell>
          <cell r="M558">
            <v>0</v>
          </cell>
          <cell r="N558">
            <v>0</v>
          </cell>
          <cell r="O558">
            <v>1</v>
          </cell>
          <cell r="P558">
            <v>0</v>
          </cell>
          <cell r="Q558">
            <v>0</v>
          </cell>
          <cell r="R558">
            <v>0</v>
          </cell>
          <cell r="S558">
            <v>0</v>
          </cell>
          <cell r="T558">
            <v>3</v>
          </cell>
          <cell r="U558">
            <v>0</v>
          </cell>
          <cell r="V558">
            <v>0</v>
          </cell>
          <cell r="W558">
            <v>0</v>
          </cell>
          <cell r="X558">
            <v>0</v>
          </cell>
          <cell r="Y558">
            <v>0</v>
          </cell>
          <cell r="Z558">
            <v>0</v>
          </cell>
          <cell r="AA558">
            <v>16</v>
          </cell>
          <cell r="AB558">
            <v>0.10526315789473684</v>
          </cell>
          <cell r="AC558">
            <v>1</v>
          </cell>
          <cell r="AD558">
            <v>64</v>
          </cell>
        </row>
        <row r="559">
          <cell r="A559">
            <v>35</v>
          </cell>
          <cell r="B559">
            <v>4</v>
          </cell>
          <cell r="C559">
            <v>3</v>
          </cell>
          <cell r="D559">
            <v>5093</v>
          </cell>
          <cell r="E559">
            <v>2</v>
          </cell>
          <cell r="F559">
            <v>11</v>
          </cell>
          <cell r="G559">
            <v>3</v>
          </cell>
          <cell r="H559">
            <v>1</v>
          </cell>
          <cell r="I559">
            <v>16</v>
          </cell>
          <cell r="J559">
            <v>2</v>
          </cell>
          <cell r="K559">
            <v>1</v>
          </cell>
          <cell r="L559">
            <v>0</v>
          </cell>
          <cell r="M559">
            <v>0</v>
          </cell>
          <cell r="N559">
            <v>1</v>
          </cell>
          <cell r="O559">
            <v>1</v>
          </cell>
          <cell r="P559">
            <v>0</v>
          </cell>
          <cell r="Q559">
            <v>0</v>
          </cell>
          <cell r="R559">
            <v>0</v>
          </cell>
          <cell r="S559">
            <v>0</v>
          </cell>
          <cell r="T559">
            <v>4</v>
          </cell>
          <cell r="U559">
            <v>0</v>
          </cell>
          <cell r="V559">
            <v>0</v>
          </cell>
          <cell r="W559">
            <v>0</v>
          </cell>
          <cell r="X559">
            <v>0</v>
          </cell>
          <cell r="Y559">
            <v>0</v>
          </cell>
          <cell r="Z559">
            <v>0</v>
          </cell>
          <cell r="AA559">
            <v>4</v>
          </cell>
          <cell r="AB559">
            <v>0.125</v>
          </cell>
          <cell r="AC559">
            <v>0</v>
          </cell>
          <cell r="AD559">
            <v>4</v>
          </cell>
        </row>
        <row r="560">
          <cell r="A560">
            <v>32</v>
          </cell>
          <cell r="B560">
            <v>4</v>
          </cell>
          <cell r="C560">
            <v>3</v>
          </cell>
          <cell r="D560">
            <v>5309</v>
          </cell>
          <cell r="E560">
            <v>1</v>
          </cell>
          <cell r="F560">
            <v>15</v>
          </cell>
          <cell r="G560">
            <v>3</v>
          </cell>
          <cell r="H560">
            <v>2</v>
          </cell>
          <cell r="I560">
            <v>10</v>
          </cell>
          <cell r="J560">
            <v>2</v>
          </cell>
          <cell r="K560">
            <v>10</v>
          </cell>
          <cell r="L560">
            <v>8</v>
          </cell>
          <cell r="M560">
            <v>0</v>
          </cell>
          <cell r="N560">
            <v>0</v>
          </cell>
          <cell r="O560">
            <v>1</v>
          </cell>
          <cell r="P560">
            <v>0</v>
          </cell>
          <cell r="Q560">
            <v>0</v>
          </cell>
          <cell r="R560">
            <v>0</v>
          </cell>
          <cell r="S560">
            <v>0</v>
          </cell>
          <cell r="T560">
            <v>4</v>
          </cell>
          <cell r="U560">
            <v>0</v>
          </cell>
          <cell r="V560">
            <v>0</v>
          </cell>
          <cell r="W560">
            <v>0</v>
          </cell>
          <cell r="X560">
            <v>0</v>
          </cell>
          <cell r="Y560">
            <v>1</v>
          </cell>
          <cell r="Z560">
            <v>0</v>
          </cell>
          <cell r="AA560">
            <v>4</v>
          </cell>
          <cell r="AB560">
            <v>0.1</v>
          </cell>
          <cell r="AC560">
            <v>0.8</v>
          </cell>
          <cell r="AD560">
            <v>16</v>
          </cell>
        </row>
        <row r="561">
          <cell r="A561">
            <v>38</v>
          </cell>
          <cell r="B561">
            <v>5</v>
          </cell>
          <cell r="C561">
            <v>3</v>
          </cell>
          <cell r="D561">
            <v>3057</v>
          </cell>
          <cell r="E561">
            <v>6</v>
          </cell>
          <cell r="F561">
            <v>13</v>
          </cell>
          <cell r="G561">
            <v>3</v>
          </cell>
          <cell r="H561">
            <v>1</v>
          </cell>
          <cell r="I561">
            <v>6</v>
          </cell>
          <cell r="J561">
            <v>0</v>
          </cell>
          <cell r="K561">
            <v>1</v>
          </cell>
          <cell r="L561">
            <v>0</v>
          </cell>
          <cell r="M561">
            <v>1</v>
          </cell>
          <cell r="N561">
            <v>0</v>
          </cell>
          <cell r="O561">
            <v>0</v>
          </cell>
          <cell r="P561">
            <v>0</v>
          </cell>
          <cell r="Q561">
            <v>1</v>
          </cell>
          <cell r="R561">
            <v>0</v>
          </cell>
          <cell r="S561">
            <v>0</v>
          </cell>
          <cell r="T561">
            <v>0</v>
          </cell>
          <cell r="U561">
            <v>0</v>
          </cell>
          <cell r="V561">
            <v>5</v>
          </cell>
          <cell r="W561">
            <v>0</v>
          </cell>
          <cell r="X561">
            <v>0</v>
          </cell>
          <cell r="Y561">
            <v>0</v>
          </cell>
          <cell r="Z561">
            <v>1</v>
          </cell>
          <cell r="AA561">
            <v>12</v>
          </cell>
          <cell r="AB561">
            <v>1</v>
          </cell>
          <cell r="AC561">
            <v>0</v>
          </cell>
          <cell r="AD561">
            <v>24</v>
          </cell>
        </row>
        <row r="562">
          <cell r="A562">
            <v>34</v>
          </cell>
          <cell r="B562">
            <v>5</v>
          </cell>
          <cell r="C562">
            <v>3</v>
          </cell>
          <cell r="D562">
            <v>5121</v>
          </cell>
          <cell r="E562">
            <v>3</v>
          </cell>
          <cell r="F562">
            <v>14</v>
          </cell>
          <cell r="G562">
            <v>3</v>
          </cell>
          <cell r="H562">
            <v>1</v>
          </cell>
          <cell r="I562">
            <v>7</v>
          </cell>
          <cell r="J562">
            <v>3</v>
          </cell>
          <cell r="K562">
            <v>0</v>
          </cell>
          <cell r="L562">
            <v>0</v>
          </cell>
          <cell r="M562">
            <v>0</v>
          </cell>
          <cell r="N562">
            <v>1</v>
          </cell>
          <cell r="O562">
            <v>1</v>
          </cell>
          <cell r="P562">
            <v>0</v>
          </cell>
          <cell r="Q562">
            <v>0</v>
          </cell>
          <cell r="R562">
            <v>0</v>
          </cell>
          <cell r="S562">
            <v>0</v>
          </cell>
          <cell r="T562">
            <v>5</v>
          </cell>
          <cell r="U562">
            <v>0</v>
          </cell>
          <cell r="V562">
            <v>0</v>
          </cell>
          <cell r="W562">
            <v>0</v>
          </cell>
          <cell r="X562">
            <v>0</v>
          </cell>
          <cell r="Y562">
            <v>0</v>
          </cell>
          <cell r="Z562">
            <v>0</v>
          </cell>
          <cell r="AA562">
            <v>2</v>
          </cell>
          <cell r="AB562">
            <v>0.42857142857142855</v>
          </cell>
          <cell r="AC562">
            <v>0</v>
          </cell>
          <cell r="AD562">
            <v>6</v>
          </cell>
        </row>
        <row r="563">
          <cell r="A563">
            <v>52</v>
          </cell>
          <cell r="B563">
            <v>4</v>
          </cell>
          <cell r="C563">
            <v>2</v>
          </cell>
          <cell r="D563">
            <v>16856</v>
          </cell>
          <cell r="E563">
            <v>1</v>
          </cell>
          <cell r="F563">
            <v>11</v>
          </cell>
          <cell r="G563">
            <v>3</v>
          </cell>
          <cell r="H563">
            <v>0</v>
          </cell>
          <cell r="I563">
            <v>34</v>
          </cell>
          <cell r="J563">
            <v>3</v>
          </cell>
          <cell r="K563">
            <v>34</v>
          </cell>
          <cell r="L563">
            <v>6</v>
          </cell>
          <cell r="M563">
            <v>0</v>
          </cell>
          <cell r="N563">
            <v>0</v>
          </cell>
          <cell r="O563">
            <v>0</v>
          </cell>
          <cell r="P563">
            <v>1</v>
          </cell>
          <cell r="Q563">
            <v>0</v>
          </cell>
          <cell r="R563">
            <v>0</v>
          </cell>
          <cell r="S563">
            <v>0</v>
          </cell>
          <cell r="T563">
            <v>0</v>
          </cell>
          <cell r="U563">
            <v>4</v>
          </cell>
          <cell r="V563">
            <v>0</v>
          </cell>
          <cell r="W563">
            <v>0</v>
          </cell>
          <cell r="X563">
            <v>0</v>
          </cell>
          <cell r="Y563">
            <v>0</v>
          </cell>
          <cell r="Z563">
            <v>0</v>
          </cell>
          <cell r="AA563">
            <v>3</v>
          </cell>
          <cell r="AB563">
            <v>2.9411764705882353E-2</v>
          </cell>
          <cell r="AC563">
            <v>0.17647058823529413</v>
          </cell>
          <cell r="AD563">
            <v>3</v>
          </cell>
        </row>
        <row r="564">
          <cell r="A564">
            <v>33</v>
          </cell>
          <cell r="B564">
            <v>4</v>
          </cell>
          <cell r="C564">
            <v>3</v>
          </cell>
          <cell r="D564">
            <v>2686</v>
          </cell>
          <cell r="E564">
            <v>1</v>
          </cell>
          <cell r="F564">
            <v>13</v>
          </cell>
          <cell r="G564">
            <v>3</v>
          </cell>
          <cell r="H564">
            <v>0</v>
          </cell>
          <cell r="I564">
            <v>10</v>
          </cell>
          <cell r="J564">
            <v>2</v>
          </cell>
          <cell r="K564">
            <v>10</v>
          </cell>
          <cell r="L564">
            <v>9</v>
          </cell>
          <cell r="M564">
            <v>1</v>
          </cell>
          <cell r="N564">
            <v>0</v>
          </cell>
          <cell r="O564">
            <v>0</v>
          </cell>
          <cell r="P564">
            <v>0</v>
          </cell>
          <cell r="Q564">
            <v>0</v>
          </cell>
          <cell r="R564">
            <v>1</v>
          </cell>
          <cell r="S564">
            <v>0</v>
          </cell>
          <cell r="T564">
            <v>0</v>
          </cell>
          <cell r="U564">
            <v>0</v>
          </cell>
          <cell r="V564">
            <v>0</v>
          </cell>
          <cell r="W564">
            <v>4</v>
          </cell>
          <cell r="X564">
            <v>0</v>
          </cell>
          <cell r="Y564">
            <v>0</v>
          </cell>
          <cell r="Z564">
            <v>0</v>
          </cell>
          <cell r="AA564">
            <v>16</v>
          </cell>
          <cell r="AB564">
            <v>0.1</v>
          </cell>
          <cell r="AC564">
            <v>0.9</v>
          </cell>
          <cell r="AD564">
            <v>48</v>
          </cell>
        </row>
        <row r="565">
          <cell r="A565">
            <v>25</v>
          </cell>
          <cell r="B565">
            <v>1</v>
          </cell>
          <cell r="C565">
            <v>3</v>
          </cell>
          <cell r="D565">
            <v>6180</v>
          </cell>
          <cell r="E565">
            <v>1</v>
          </cell>
          <cell r="F565">
            <v>23</v>
          </cell>
          <cell r="G565">
            <v>4</v>
          </cell>
          <cell r="H565">
            <v>0</v>
          </cell>
          <cell r="I565">
            <v>6</v>
          </cell>
          <cell r="J565">
            <v>5</v>
          </cell>
          <cell r="K565">
            <v>6</v>
          </cell>
          <cell r="L565">
            <v>5</v>
          </cell>
          <cell r="M565">
            <v>0</v>
          </cell>
          <cell r="N565">
            <v>1</v>
          </cell>
          <cell r="O565">
            <v>0</v>
          </cell>
          <cell r="P565">
            <v>0</v>
          </cell>
          <cell r="Q565">
            <v>1</v>
          </cell>
          <cell r="R565">
            <v>0</v>
          </cell>
          <cell r="S565">
            <v>0</v>
          </cell>
          <cell r="T565">
            <v>0</v>
          </cell>
          <cell r="U565">
            <v>0</v>
          </cell>
          <cell r="V565">
            <v>1</v>
          </cell>
          <cell r="W565">
            <v>0</v>
          </cell>
          <cell r="X565">
            <v>0</v>
          </cell>
          <cell r="Y565">
            <v>0</v>
          </cell>
          <cell r="Z565">
            <v>0</v>
          </cell>
          <cell r="AA565">
            <v>12</v>
          </cell>
          <cell r="AB565">
            <v>0.16666666666666666</v>
          </cell>
          <cell r="AC565">
            <v>0.83333333333333337</v>
          </cell>
          <cell r="AD565">
            <v>24</v>
          </cell>
        </row>
        <row r="566">
          <cell r="A566">
            <v>45</v>
          </cell>
          <cell r="B566">
            <v>2</v>
          </cell>
          <cell r="C566">
            <v>1</v>
          </cell>
          <cell r="D566">
            <v>6632</v>
          </cell>
          <cell r="E566">
            <v>0</v>
          </cell>
          <cell r="F566">
            <v>13</v>
          </cell>
          <cell r="G566">
            <v>3</v>
          </cell>
          <cell r="H566">
            <v>0</v>
          </cell>
          <cell r="I566">
            <v>9</v>
          </cell>
          <cell r="J566">
            <v>3</v>
          </cell>
          <cell r="K566">
            <v>8</v>
          </cell>
          <cell r="L566">
            <v>7</v>
          </cell>
          <cell r="M566">
            <v>0</v>
          </cell>
          <cell r="N566">
            <v>0</v>
          </cell>
          <cell r="O566">
            <v>0</v>
          </cell>
          <cell r="P566">
            <v>0</v>
          </cell>
          <cell r="Q566">
            <v>0</v>
          </cell>
          <cell r="R566">
            <v>0</v>
          </cell>
          <cell r="S566">
            <v>1</v>
          </cell>
          <cell r="T566">
            <v>0</v>
          </cell>
          <cell r="U566">
            <v>0</v>
          </cell>
          <cell r="V566">
            <v>0</v>
          </cell>
          <cell r="W566">
            <v>0</v>
          </cell>
          <cell r="X566">
            <v>2</v>
          </cell>
          <cell r="Y566">
            <v>0</v>
          </cell>
          <cell r="Z566">
            <v>0</v>
          </cell>
          <cell r="AA566">
            <v>6</v>
          </cell>
          <cell r="AB566">
            <v>0</v>
          </cell>
          <cell r="AC566">
            <v>0.875</v>
          </cell>
          <cell r="AD566">
            <v>6</v>
          </cell>
        </row>
        <row r="567">
          <cell r="A567">
            <v>23</v>
          </cell>
          <cell r="B567">
            <v>1</v>
          </cell>
          <cell r="C567">
            <v>4</v>
          </cell>
          <cell r="D567">
            <v>3505</v>
          </cell>
          <cell r="E567">
            <v>1</v>
          </cell>
          <cell r="F567">
            <v>18</v>
          </cell>
          <cell r="G567">
            <v>3</v>
          </cell>
          <cell r="H567">
            <v>0</v>
          </cell>
          <cell r="I567">
            <v>2</v>
          </cell>
          <cell r="J567">
            <v>3</v>
          </cell>
          <cell r="K567">
            <v>2</v>
          </cell>
          <cell r="L567">
            <v>2</v>
          </cell>
          <cell r="M567">
            <v>0</v>
          </cell>
          <cell r="N567">
            <v>0</v>
          </cell>
          <cell r="O567">
            <v>0</v>
          </cell>
          <cell r="P567">
            <v>0</v>
          </cell>
          <cell r="Q567">
            <v>1</v>
          </cell>
          <cell r="R567">
            <v>0</v>
          </cell>
          <cell r="S567">
            <v>0</v>
          </cell>
          <cell r="T567">
            <v>0</v>
          </cell>
          <cell r="U567">
            <v>0</v>
          </cell>
          <cell r="V567">
            <v>1</v>
          </cell>
          <cell r="W567">
            <v>0</v>
          </cell>
          <cell r="X567">
            <v>0</v>
          </cell>
          <cell r="Y567">
            <v>0</v>
          </cell>
          <cell r="Z567">
            <v>0</v>
          </cell>
          <cell r="AA567">
            <v>3</v>
          </cell>
          <cell r="AB567">
            <v>0.5</v>
          </cell>
          <cell r="AC567">
            <v>1</v>
          </cell>
          <cell r="AD567">
            <v>12</v>
          </cell>
        </row>
        <row r="568">
          <cell r="A568">
            <v>47</v>
          </cell>
          <cell r="B568">
            <v>2</v>
          </cell>
          <cell r="C568">
            <v>4</v>
          </cell>
          <cell r="D568">
            <v>6397</v>
          </cell>
          <cell r="E568">
            <v>4</v>
          </cell>
          <cell r="F568">
            <v>12</v>
          </cell>
          <cell r="G568">
            <v>3</v>
          </cell>
          <cell r="H568">
            <v>0</v>
          </cell>
          <cell r="I568">
            <v>8</v>
          </cell>
          <cell r="J568">
            <v>2</v>
          </cell>
          <cell r="K568">
            <v>5</v>
          </cell>
          <cell r="L568">
            <v>4</v>
          </cell>
          <cell r="M568">
            <v>1</v>
          </cell>
          <cell r="N568">
            <v>1</v>
          </cell>
          <cell r="O568">
            <v>1</v>
          </cell>
          <cell r="P568">
            <v>0</v>
          </cell>
          <cell r="Q568">
            <v>0</v>
          </cell>
          <cell r="R568">
            <v>0</v>
          </cell>
          <cell r="S568">
            <v>0</v>
          </cell>
          <cell r="T568">
            <v>2</v>
          </cell>
          <cell r="U568">
            <v>0</v>
          </cell>
          <cell r="V568">
            <v>0</v>
          </cell>
          <cell r="W568">
            <v>0</v>
          </cell>
          <cell r="X568">
            <v>0</v>
          </cell>
          <cell r="Y568">
            <v>0</v>
          </cell>
          <cell r="Z568">
            <v>0</v>
          </cell>
          <cell r="AA568">
            <v>6</v>
          </cell>
          <cell r="AB568">
            <v>0.5</v>
          </cell>
          <cell r="AC568">
            <v>0.8</v>
          </cell>
          <cell r="AD568">
            <v>24</v>
          </cell>
        </row>
        <row r="569">
          <cell r="A569">
            <v>34</v>
          </cell>
          <cell r="B569">
            <v>3</v>
          </cell>
          <cell r="C569">
            <v>3</v>
          </cell>
          <cell r="D569">
            <v>6274</v>
          </cell>
          <cell r="E569">
            <v>1</v>
          </cell>
          <cell r="F569">
            <v>22</v>
          </cell>
          <cell r="G569">
            <v>4</v>
          </cell>
          <cell r="H569">
            <v>0</v>
          </cell>
          <cell r="I569">
            <v>6</v>
          </cell>
          <cell r="J569">
            <v>5</v>
          </cell>
          <cell r="K569">
            <v>6</v>
          </cell>
          <cell r="L569">
            <v>5</v>
          </cell>
          <cell r="M569">
            <v>0</v>
          </cell>
          <cell r="N569">
            <v>0</v>
          </cell>
          <cell r="O569">
            <v>0</v>
          </cell>
          <cell r="P569">
            <v>0</v>
          </cell>
          <cell r="Q569">
            <v>0</v>
          </cell>
          <cell r="R569">
            <v>1</v>
          </cell>
          <cell r="S569">
            <v>0</v>
          </cell>
          <cell r="T569">
            <v>0</v>
          </cell>
          <cell r="U569">
            <v>0</v>
          </cell>
          <cell r="V569">
            <v>0</v>
          </cell>
          <cell r="W569">
            <v>3</v>
          </cell>
          <cell r="X569">
            <v>0</v>
          </cell>
          <cell r="Y569">
            <v>0</v>
          </cell>
          <cell r="Z569">
            <v>0</v>
          </cell>
          <cell r="AA569">
            <v>16</v>
          </cell>
          <cell r="AB569">
            <v>0.16666666666666666</v>
          </cell>
          <cell r="AC569">
            <v>0.83333333333333337</v>
          </cell>
          <cell r="AD569">
            <v>48</v>
          </cell>
        </row>
        <row r="570">
          <cell r="A570">
            <v>55</v>
          </cell>
          <cell r="B570">
            <v>3</v>
          </cell>
          <cell r="C570">
            <v>3</v>
          </cell>
          <cell r="D570">
            <v>19859</v>
          </cell>
          <cell r="E570">
            <v>5</v>
          </cell>
          <cell r="F570">
            <v>13</v>
          </cell>
          <cell r="G570">
            <v>3</v>
          </cell>
          <cell r="H570">
            <v>1</v>
          </cell>
          <cell r="I570">
            <v>24</v>
          </cell>
          <cell r="J570">
            <v>2</v>
          </cell>
          <cell r="K570">
            <v>5</v>
          </cell>
          <cell r="L570">
            <v>2</v>
          </cell>
          <cell r="M570">
            <v>1</v>
          </cell>
          <cell r="N570">
            <v>0</v>
          </cell>
          <cell r="O570">
            <v>0</v>
          </cell>
          <cell r="P570">
            <v>0</v>
          </cell>
          <cell r="Q570">
            <v>1</v>
          </cell>
          <cell r="R570">
            <v>0</v>
          </cell>
          <cell r="S570">
            <v>0</v>
          </cell>
          <cell r="T570">
            <v>0</v>
          </cell>
          <cell r="U570">
            <v>0</v>
          </cell>
          <cell r="V570">
            <v>3</v>
          </cell>
          <cell r="W570">
            <v>0</v>
          </cell>
          <cell r="X570">
            <v>0</v>
          </cell>
          <cell r="Y570">
            <v>0</v>
          </cell>
          <cell r="Z570">
            <v>1</v>
          </cell>
          <cell r="AA570">
            <v>4</v>
          </cell>
          <cell r="AB570">
            <v>0.20833333333333334</v>
          </cell>
          <cell r="AC570">
            <v>0.4</v>
          </cell>
          <cell r="AD570">
            <v>16</v>
          </cell>
        </row>
        <row r="571">
          <cell r="A571">
            <v>36</v>
          </cell>
          <cell r="B571">
            <v>4</v>
          </cell>
          <cell r="C571">
            <v>2</v>
          </cell>
          <cell r="D571">
            <v>7587</v>
          </cell>
          <cell r="E571">
            <v>1</v>
          </cell>
          <cell r="F571">
            <v>15</v>
          </cell>
          <cell r="G571">
            <v>3</v>
          </cell>
          <cell r="H571">
            <v>0</v>
          </cell>
          <cell r="I571">
            <v>10</v>
          </cell>
          <cell r="J571">
            <v>1</v>
          </cell>
          <cell r="K571">
            <v>10</v>
          </cell>
          <cell r="L571">
            <v>7</v>
          </cell>
          <cell r="M571">
            <v>0</v>
          </cell>
          <cell r="N571">
            <v>0</v>
          </cell>
          <cell r="O571">
            <v>1</v>
          </cell>
          <cell r="P571">
            <v>0</v>
          </cell>
          <cell r="Q571">
            <v>0</v>
          </cell>
          <cell r="R571">
            <v>0</v>
          </cell>
          <cell r="S571">
            <v>0</v>
          </cell>
          <cell r="T571">
            <v>4</v>
          </cell>
          <cell r="U571">
            <v>0</v>
          </cell>
          <cell r="V571">
            <v>0</v>
          </cell>
          <cell r="W571">
            <v>0</v>
          </cell>
          <cell r="X571">
            <v>0</v>
          </cell>
          <cell r="Y571">
            <v>0</v>
          </cell>
          <cell r="Z571">
            <v>0</v>
          </cell>
          <cell r="AA571">
            <v>1</v>
          </cell>
          <cell r="AB571">
            <v>0.1</v>
          </cell>
          <cell r="AC571">
            <v>0.7</v>
          </cell>
          <cell r="AD571">
            <v>2</v>
          </cell>
        </row>
        <row r="572">
          <cell r="A572">
            <v>52</v>
          </cell>
          <cell r="B572">
            <v>4</v>
          </cell>
          <cell r="C572">
            <v>3</v>
          </cell>
          <cell r="D572">
            <v>4258</v>
          </cell>
          <cell r="E572">
            <v>0</v>
          </cell>
          <cell r="F572">
            <v>18</v>
          </cell>
          <cell r="G572">
            <v>3</v>
          </cell>
          <cell r="H572">
            <v>1</v>
          </cell>
          <cell r="I572">
            <v>5</v>
          </cell>
          <cell r="J572">
            <v>3</v>
          </cell>
          <cell r="K572">
            <v>4</v>
          </cell>
          <cell r="L572">
            <v>3</v>
          </cell>
          <cell r="M572">
            <v>0</v>
          </cell>
          <cell r="N572">
            <v>0</v>
          </cell>
          <cell r="O572">
            <v>0</v>
          </cell>
          <cell r="P572">
            <v>0</v>
          </cell>
          <cell r="Q572">
            <v>1</v>
          </cell>
          <cell r="R572">
            <v>0</v>
          </cell>
          <cell r="S572">
            <v>0</v>
          </cell>
          <cell r="T572">
            <v>0</v>
          </cell>
          <cell r="U572">
            <v>0</v>
          </cell>
          <cell r="V572">
            <v>4</v>
          </cell>
          <cell r="W572">
            <v>0</v>
          </cell>
          <cell r="X572">
            <v>0</v>
          </cell>
          <cell r="Y572">
            <v>0</v>
          </cell>
          <cell r="Z572">
            <v>0</v>
          </cell>
          <cell r="AA572">
            <v>16</v>
          </cell>
          <cell r="AB572">
            <v>0</v>
          </cell>
          <cell r="AC572">
            <v>0.75</v>
          </cell>
          <cell r="AD572">
            <v>16</v>
          </cell>
        </row>
        <row r="573">
          <cell r="A573">
            <v>26</v>
          </cell>
          <cell r="B573">
            <v>2</v>
          </cell>
          <cell r="C573">
            <v>1</v>
          </cell>
          <cell r="D573">
            <v>4364</v>
          </cell>
          <cell r="E573">
            <v>3</v>
          </cell>
          <cell r="F573">
            <v>14</v>
          </cell>
          <cell r="G573">
            <v>3</v>
          </cell>
          <cell r="H573">
            <v>1</v>
          </cell>
          <cell r="I573">
            <v>5</v>
          </cell>
          <cell r="J573">
            <v>2</v>
          </cell>
          <cell r="K573">
            <v>2</v>
          </cell>
          <cell r="L573">
            <v>2</v>
          </cell>
          <cell r="M573">
            <v>0</v>
          </cell>
          <cell r="N573">
            <v>1</v>
          </cell>
          <cell r="O573">
            <v>1</v>
          </cell>
          <cell r="P573">
            <v>0</v>
          </cell>
          <cell r="Q573">
            <v>0</v>
          </cell>
          <cell r="R573">
            <v>0</v>
          </cell>
          <cell r="S573">
            <v>0</v>
          </cell>
          <cell r="T573">
            <v>2</v>
          </cell>
          <cell r="U573">
            <v>0</v>
          </cell>
          <cell r="V573">
            <v>0</v>
          </cell>
          <cell r="W573">
            <v>0</v>
          </cell>
          <cell r="X573">
            <v>0</v>
          </cell>
          <cell r="Y573">
            <v>0</v>
          </cell>
          <cell r="Z573">
            <v>0</v>
          </cell>
          <cell r="AA573">
            <v>4</v>
          </cell>
          <cell r="AB573">
            <v>0.6</v>
          </cell>
          <cell r="AC573">
            <v>1</v>
          </cell>
          <cell r="AD573">
            <v>4</v>
          </cell>
        </row>
        <row r="574">
          <cell r="A574">
            <v>29</v>
          </cell>
          <cell r="B574">
            <v>3</v>
          </cell>
          <cell r="C574">
            <v>3</v>
          </cell>
          <cell r="D574">
            <v>4335</v>
          </cell>
          <cell r="E574">
            <v>4</v>
          </cell>
          <cell r="F574">
            <v>12</v>
          </cell>
          <cell r="G574">
            <v>3</v>
          </cell>
          <cell r="H574">
            <v>1</v>
          </cell>
          <cell r="I574">
            <v>11</v>
          </cell>
          <cell r="J574">
            <v>3</v>
          </cell>
          <cell r="K574">
            <v>8</v>
          </cell>
          <cell r="L574">
            <v>7</v>
          </cell>
          <cell r="M574">
            <v>0</v>
          </cell>
          <cell r="N574">
            <v>1</v>
          </cell>
          <cell r="O574">
            <v>0</v>
          </cell>
          <cell r="P574">
            <v>0</v>
          </cell>
          <cell r="Q574">
            <v>1</v>
          </cell>
          <cell r="R574">
            <v>0</v>
          </cell>
          <cell r="S574">
            <v>0</v>
          </cell>
          <cell r="T574">
            <v>0</v>
          </cell>
          <cell r="U574">
            <v>0</v>
          </cell>
          <cell r="V574">
            <v>3</v>
          </cell>
          <cell r="W574">
            <v>0</v>
          </cell>
          <cell r="X574">
            <v>0</v>
          </cell>
          <cell r="Y574">
            <v>0</v>
          </cell>
          <cell r="Z574">
            <v>0</v>
          </cell>
          <cell r="AA574">
            <v>6</v>
          </cell>
          <cell r="AB574">
            <v>0.36363636363636365</v>
          </cell>
          <cell r="AC574">
            <v>0.875</v>
          </cell>
          <cell r="AD574">
            <v>6</v>
          </cell>
        </row>
        <row r="575">
          <cell r="A575">
            <v>26</v>
          </cell>
          <cell r="B575">
            <v>3</v>
          </cell>
          <cell r="C575">
            <v>2</v>
          </cell>
          <cell r="D575">
            <v>5326</v>
          </cell>
          <cell r="E575">
            <v>6</v>
          </cell>
          <cell r="F575">
            <v>17</v>
          </cell>
          <cell r="G575">
            <v>3</v>
          </cell>
          <cell r="H575">
            <v>0</v>
          </cell>
          <cell r="I575">
            <v>6</v>
          </cell>
          <cell r="J575">
            <v>2</v>
          </cell>
          <cell r="K575">
            <v>4</v>
          </cell>
          <cell r="L575">
            <v>3</v>
          </cell>
          <cell r="M575">
            <v>0</v>
          </cell>
          <cell r="N575">
            <v>0</v>
          </cell>
          <cell r="O575">
            <v>0</v>
          </cell>
          <cell r="P575">
            <v>0</v>
          </cell>
          <cell r="Q575">
            <v>0</v>
          </cell>
          <cell r="R575">
            <v>0</v>
          </cell>
          <cell r="S575">
            <v>1</v>
          </cell>
          <cell r="T575">
            <v>0</v>
          </cell>
          <cell r="U575">
            <v>0</v>
          </cell>
          <cell r="V575">
            <v>0</v>
          </cell>
          <cell r="W575">
            <v>0</v>
          </cell>
          <cell r="X575">
            <v>3</v>
          </cell>
          <cell r="Y575">
            <v>0</v>
          </cell>
          <cell r="Z575">
            <v>0</v>
          </cell>
          <cell r="AA575">
            <v>4</v>
          </cell>
          <cell r="AB575">
            <v>1</v>
          </cell>
          <cell r="AC575">
            <v>0.75</v>
          </cell>
          <cell r="AD575">
            <v>12</v>
          </cell>
        </row>
        <row r="576">
          <cell r="A576">
            <v>34</v>
          </cell>
          <cell r="B576">
            <v>4</v>
          </cell>
          <cell r="C576">
            <v>4</v>
          </cell>
          <cell r="D576">
            <v>3280</v>
          </cell>
          <cell r="E576">
            <v>2</v>
          </cell>
          <cell r="F576">
            <v>16</v>
          </cell>
          <cell r="G576">
            <v>3</v>
          </cell>
          <cell r="H576">
            <v>0</v>
          </cell>
          <cell r="I576">
            <v>10</v>
          </cell>
          <cell r="J576">
            <v>2</v>
          </cell>
          <cell r="K576">
            <v>4</v>
          </cell>
          <cell r="L576">
            <v>2</v>
          </cell>
          <cell r="M576">
            <v>0</v>
          </cell>
          <cell r="N576">
            <v>1</v>
          </cell>
          <cell r="O576">
            <v>1</v>
          </cell>
          <cell r="P576">
            <v>0</v>
          </cell>
          <cell r="Q576">
            <v>0</v>
          </cell>
          <cell r="R576">
            <v>0</v>
          </cell>
          <cell r="S576">
            <v>0</v>
          </cell>
          <cell r="T576">
            <v>4</v>
          </cell>
          <cell r="U576">
            <v>0</v>
          </cell>
          <cell r="V576">
            <v>0</v>
          </cell>
          <cell r="W576">
            <v>0</v>
          </cell>
          <cell r="X576">
            <v>0</v>
          </cell>
          <cell r="Y576">
            <v>0</v>
          </cell>
          <cell r="Z576">
            <v>0</v>
          </cell>
          <cell r="AA576">
            <v>8</v>
          </cell>
          <cell r="AB576">
            <v>0.2</v>
          </cell>
          <cell r="AC576">
            <v>0.5</v>
          </cell>
          <cell r="AD576">
            <v>24</v>
          </cell>
        </row>
        <row r="577">
          <cell r="A577">
            <v>54</v>
          </cell>
          <cell r="B577">
            <v>4</v>
          </cell>
          <cell r="C577">
            <v>3</v>
          </cell>
          <cell r="D577">
            <v>5485</v>
          </cell>
          <cell r="E577">
            <v>9</v>
          </cell>
          <cell r="F577">
            <v>11</v>
          </cell>
          <cell r="G577">
            <v>3</v>
          </cell>
          <cell r="H577">
            <v>2</v>
          </cell>
          <cell r="I577">
            <v>9</v>
          </cell>
          <cell r="J577">
            <v>4</v>
          </cell>
          <cell r="K577">
            <v>5</v>
          </cell>
          <cell r="L577">
            <v>3</v>
          </cell>
          <cell r="M577">
            <v>1</v>
          </cell>
          <cell r="N577">
            <v>1</v>
          </cell>
          <cell r="O577">
            <v>0</v>
          </cell>
          <cell r="P577">
            <v>0</v>
          </cell>
          <cell r="Q577">
            <v>1</v>
          </cell>
          <cell r="R577">
            <v>0</v>
          </cell>
          <cell r="S577">
            <v>0</v>
          </cell>
          <cell r="T577">
            <v>0</v>
          </cell>
          <cell r="U577">
            <v>0</v>
          </cell>
          <cell r="V577">
            <v>4</v>
          </cell>
          <cell r="W577">
            <v>0</v>
          </cell>
          <cell r="X577">
            <v>0</v>
          </cell>
          <cell r="Y577">
            <v>0</v>
          </cell>
          <cell r="Z577">
            <v>0</v>
          </cell>
          <cell r="AA577">
            <v>4</v>
          </cell>
          <cell r="AB577">
            <v>1</v>
          </cell>
          <cell r="AC577">
            <v>0.6</v>
          </cell>
          <cell r="AD577">
            <v>8</v>
          </cell>
        </row>
        <row r="578">
          <cell r="A578">
            <v>27</v>
          </cell>
          <cell r="B578">
            <v>1</v>
          </cell>
          <cell r="C578">
            <v>3</v>
          </cell>
          <cell r="D578">
            <v>4342</v>
          </cell>
          <cell r="E578">
            <v>0</v>
          </cell>
          <cell r="F578">
            <v>19</v>
          </cell>
          <cell r="G578">
            <v>3</v>
          </cell>
          <cell r="H578">
            <v>1</v>
          </cell>
          <cell r="I578">
            <v>5</v>
          </cell>
          <cell r="J578">
            <v>3</v>
          </cell>
          <cell r="K578">
            <v>4</v>
          </cell>
          <cell r="L578">
            <v>2</v>
          </cell>
          <cell r="M578">
            <v>0</v>
          </cell>
          <cell r="N578">
            <v>0</v>
          </cell>
          <cell r="O578">
            <v>0</v>
          </cell>
          <cell r="P578">
            <v>1</v>
          </cell>
          <cell r="Q578">
            <v>0</v>
          </cell>
          <cell r="R578">
            <v>0</v>
          </cell>
          <cell r="S578">
            <v>0</v>
          </cell>
          <cell r="T578">
            <v>0</v>
          </cell>
          <cell r="U578">
            <v>1</v>
          </cell>
          <cell r="V578">
            <v>0</v>
          </cell>
          <cell r="W578">
            <v>0</v>
          </cell>
          <cell r="X578">
            <v>0</v>
          </cell>
          <cell r="Y578">
            <v>1</v>
          </cell>
          <cell r="Z578">
            <v>0</v>
          </cell>
          <cell r="AA578">
            <v>12</v>
          </cell>
          <cell r="AB578">
            <v>0</v>
          </cell>
          <cell r="AC578">
            <v>0.5</v>
          </cell>
          <cell r="AD578">
            <v>24</v>
          </cell>
        </row>
        <row r="579">
          <cell r="A579">
            <v>37</v>
          </cell>
          <cell r="B579">
            <v>1</v>
          </cell>
          <cell r="C579">
            <v>3</v>
          </cell>
          <cell r="D579">
            <v>2782</v>
          </cell>
          <cell r="E579">
            <v>0</v>
          </cell>
          <cell r="F579">
            <v>13</v>
          </cell>
          <cell r="G579">
            <v>3</v>
          </cell>
          <cell r="H579">
            <v>2</v>
          </cell>
          <cell r="I579">
            <v>6</v>
          </cell>
          <cell r="J579">
            <v>3</v>
          </cell>
          <cell r="K579">
            <v>5</v>
          </cell>
          <cell r="L579">
            <v>3</v>
          </cell>
          <cell r="M579">
            <v>1</v>
          </cell>
          <cell r="N579">
            <v>1</v>
          </cell>
          <cell r="O579">
            <v>1</v>
          </cell>
          <cell r="P579">
            <v>0</v>
          </cell>
          <cell r="Q579">
            <v>0</v>
          </cell>
          <cell r="R579">
            <v>0</v>
          </cell>
          <cell r="S579">
            <v>0</v>
          </cell>
          <cell r="T579">
            <v>1</v>
          </cell>
          <cell r="U579">
            <v>0</v>
          </cell>
          <cell r="V579">
            <v>0</v>
          </cell>
          <cell r="W579">
            <v>0</v>
          </cell>
          <cell r="X579">
            <v>0</v>
          </cell>
          <cell r="Y579">
            <v>0</v>
          </cell>
          <cell r="Z579">
            <v>0</v>
          </cell>
          <cell r="AA579">
            <v>4</v>
          </cell>
          <cell r="AB579">
            <v>0</v>
          </cell>
          <cell r="AC579">
            <v>0.6</v>
          </cell>
          <cell r="AD579">
            <v>8</v>
          </cell>
        </row>
        <row r="580">
          <cell r="A580">
            <v>38</v>
          </cell>
          <cell r="B580">
            <v>4</v>
          </cell>
          <cell r="C580">
            <v>4</v>
          </cell>
          <cell r="D580">
            <v>5980</v>
          </cell>
          <cell r="E580">
            <v>6</v>
          </cell>
          <cell r="F580">
            <v>12</v>
          </cell>
          <cell r="G580">
            <v>3</v>
          </cell>
          <cell r="H580">
            <v>0</v>
          </cell>
          <cell r="I580">
            <v>17</v>
          </cell>
          <cell r="J580">
            <v>2</v>
          </cell>
          <cell r="K580">
            <v>15</v>
          </cell>
          <cell r="L580">
            <v>7</v>
          </cell>
          <cell r="M580">
            <v>1</v>
          </cell>
          <cell r="N580">
            <v>1</v>
          </cell>
          <cell r="O580">
            <v>1</v>
          </cell>
          <cell r="P580">
            <v>0</v>
          </cell>
          <cell r="Q580">
            <v>0</v>
          </cell>
          <cell r="R580">
            <v>0</v>
          </cell>
          <cell r="S580">
            <v>0</v>
          </cell>
          <cell r="T580">
            <v>4</v>
          </cell>
          <cell r="U580">
            <v>0</v>
          </cell>
          <cell r="V580">
            <v>0</v>
          </cell>
          <cell r="W580">
            <v>0</v>
          </cell>
          <cell r="X580">
            <v>0</v>
          </cell>
          <cell r="Y580">
            <v>0</v>
          </cell>
          <cell r="Z580">
            <v>0</v>
          </cell>
          <cell r="AA580">
            <v>1</v>
          </cell>
          <cell r="AB580">
            <v>0.35294117647058826</v>
          </cell>
          <cell r="AC580">
            <v>0.46666666666666667</v>
          </cell>
          <cell r="AD580">
            <v>4</v>
          </cell>
        </row>
        <row r="581">
          <cell r="A581">
            <v>34</v>
          </cell>
          <cell r="B581">
            <v>4</v>
          </cell>
          <cell r="C581">
            <v>2</v>
          </cell>
          <cell r="D581">
            <v>4381</v>
          </cell>
          <cell r="E581">
            <v>1</v>
          </cell>
          <cell r="F581">
            <v>11</v>
          </cell>
          <cell r="G581">
            <v>3</v>
          </cell>
          <cell r="H581">
            <v>0</v>
          </cell>
          <cell r="I581">
            <v>6</v>
          </cell>
          <cell r="J581">
            <v>3</v>
          </cell>
          <cell r="K581">
            <v>6</v>
          </cell>
          <cell r="L581">
            <v>5</v>
          </cell>
          <cell r="M581">
            <v>0</v>
          </cell>
          <cell r="N581">
            <v>1</v>
          </cell>
          <cell r="O581">
            <v>0</v>
          </cell>
          <cell r="P581">
            <v>0</v>
          </cell>
          <cell r="Q581">
            <v>1</v>
          </cell>
          <cell r="R581">
            <v>0</v>
          </cell>
          <cell r="S581">
            <v>0</v>
          </cell>
          <cell r="T581">
            <v>0</v>
          </cell>
          <cell r="U581">
            <v>0</v>
          </cell>
          <cell r="V581">
            <v>4</v>
          </cell>
          <cell r="W581">
            <v>0</v>
          </cell>
          <cell r="X581">
            <v>0</v>
          </cell>
          <cell r="Y581">
            <v>0</v>
          </cell>
          <cell r="Z581">
            <v>0</v>
          </cell>
          <cell r="AA581">
            <v>3</v>
          </cell>
          <cell r="AB581">
            <v>0.16666666666666666</v>
          </cell>
          <cell r="AC581">
            <v>0.83333333333333337</v>
          </cell>
          <cell r="AD581">
            <v>9</v>
          </cell>
        </row>
        <row r="582">
          <cell r="A582">
            <v>35</v>
          </cell>
          <cell r="B582">
            <v>4</v>
          </cell>
          <cell r="C582">
            <v>3</v>
          </cell>
          <cell r="D582">
            <v>2572</v>
          </cell>
          <cell r="E582">
            <v>1</v>
          </cell>
          <cell r="F582">
            <v>16</v>
          </cell>
          <cell r="G582">
            <v>3</v>
          </cell>
          <cell r="H582">
            <v>1</v>
          </cell>
          <cell r="I582">
            <v>3</v>
          </cell>
          <cell r="J582">
            <v>1</v>
          </cell>
          <cell r="K582">
            <v>3</v>
          </cell>
          <cell r="L582">
            <v>2</v>
          </cell>
          <cell r="M582">
            <v>0</v>
          </cell>
          <cell r="N582">
            <v>1</v>
          </cell>
          <cell r="O582">
            <v>1</v>
          </cell>
          <cell r="P582">
            <v>0</v>
          </cell>
          <cell r="Q582">
            <v>0</v>
          </cell>
          <cell r="R582">
            <v>0</v>
          </cell>
          <cell r="S582">
            <v>0</v>
          </cell>
          <cell r="T582">
            <v>4</v>
          </cell>
          <cell r="U582">
            <v>0</v>
          </cell>
          <cell r="V582">
            <v>0</v>
          </cell>
          <cell r="W582">
            <v>0</v>
          </cell>
          <cell r="X582">
            <v>0</v>
          </cell>
          <cell r="Y582">
            <v>0</v>
          </cell>
          <cell r="Z582">
            <v>0</v>
          </cell>
          <cell r="AA582">
            <v>4</v>
          </cell>
          <cell r="AB582">
            <v>0.33333333333333331</v>
          </cell>
          <cell r="AC582">
            <v>0.66666666666666663</v>
          </cell>
          <cell r="AD582">
            <v>8</v>
          </cell>
        </row>
        <row r="583">
          <cell r="A583">
            <v>30</v>
          </cell>
          <cell r="B583">
            <v>3</v>
          </cell>
          <cell r="C583">
            <v>1</v>
          </cell>
          <cell r="D583">
            <v>3833</v>
          </cell>
          <cell r="E583">
            <v>3</v>
          </cell>
          <cell r="F583">
            <v>21</v>
          </cell>
          <cell r="G583">
            <v>4</v>
          </cell>
          <cell r="H583">
            <v>2</v>
          </cell>
          <cell r="I583">
            <v>7</v>
          </cell>
          <cell r="J583">
            <v>2</v>
          </cell>
          <cell r="K583">
            <v>2</v>
          </cell>
          <cell r="L583">
            <v>2</v>
          </cell>
          <cell r="M583">
            <v>0</v>
          </cell>
          <cell r="N583">
            <v>0</v>
          </cell>
          <cell r="O583">
            <v>1</v>
          </cell>
          <cell r="P583">
            <v>0</v>
          </cell>
          <cell r="Q583">
            <v>0</v>
          </cell>
          <cell r="R583">
            <v>0</v>
          </cell>
          <cell r="S583">
            <v>0</v>
          </cell>
          <cell r="T583">
            <v>3</v>
          </cell>
          <cell r="U583">
            <v>0</v>
          </cell>
          <cell r="V583">
            <v>0</v>
          </cell>
          <cell r="W583">
            <v>0</v>
          </cell>
          <cell r="X583">
            <v>0</v>
          </cell>
          <cell r="Y583">
            <v>0</v>
          </cell>
          <cell r="Z583">
            <v>0</v>
          </cell>
          <cell r="AA583">
            <v>12</v>
          </cell>
          <cell r="AB583">
            <v>0.42857142857142855</v>
          </cell>
          <cell r="AC583">
            <v>1</v>
          </cell>
          <cell r="AD583">
            <v>36</v>
          </cell>
        </row>
        <row r="584">
          <cell r="A584">
            <v>40</v>
          </cell>
          <cell r="B584">
            <v>2</v>
          </cell>
          <cell r="C584">
            <v>4</v>
          </cell>
          <cell r="D584">
            <v>4244</v>
          </cell>
          <cell r="E584">
            <v>1</v>
          </cell>
          <cell r="F584">
            <v>24</v>
          </cell>
          <cell r="G584">
            <v>4</v>
          </cell>
          <cell r="H584">
            <v>1</v>
          </cell>
          <cell r="I584">
            <v>8</v>
          </cell>
          <cell r="J584">
            <v>2</v>
          </cell>
          <cell r="K584">
            <v>8</v>
          </cell>
          <cell r="L584">
            <v>7</v>
          </cell>
          <cell r="M584">
            <v>0</v>
          </cell>
          <cell r="N584">
            <v>1</v>
          </cell>
          <cell r="O584">
            <v>0</v>
          </cell>
          <cell r="P584">
            <v>0</v>
          </cell>
          <cell r="Q584">
            <v>1</v>
          </cell>
          <cell r="R584">
            <v>0</v>
          </cell>
          <cell r="S584">
            <v>0</v>
          </cell>
          <cell r="T584">
            <v>0</v>
          </cell>
          <cell r="U584">
            <v>0</v>
          </cell>
          <cell r="V584">
            <v>2</v>
          </cell>
          <cell r="W584">
            <v>0</v>
          </cell>
          <cell r="X584">
            <v>0</v>
          </cell>
          <cell r="Y584">
            <v>1</v>
          </cell>
          <cell r="Z584">
            <v>0</v>
          </cell>
          <cell r="AA584">
            <v>6</v>
          </cell>
          <cell r="AB584">
            <v>0.125</v>
          </cell>
          <cell r="AC584">
            <v>0.875</v>
          </cell>
          <cell r="AD584">
            <v>24</v>
          </cell>
        </row>
        <row r="585">
          <cell r="A585">
            <v>34</v>
          </cell>
          <cell r="B585">
            <v>2</v>
          </cell>
          <cell r="C585">
            <v>3</v>
          </cell>
          <cell r="D585">
            <v>6500</v>
          </cell>
          <cell r="E585">
            <v>5</v>
          </cell>
          <cell r="F585">
            <v>17</v>
          </cell>
          <cell r="G585">
            <v>3</v>
          </cell>
          <cell r="H585">
            <v>1</v>
          </cell>
          <cell r="I585">
            <v>6</v>
          </cell>
          <cell r="J585">
            <v>1</v>
          </cell>
          <cell r="K585">
            <v>3</v>
          </cell>
          <cell r="L585">
            <v>2</v>
          </cell>
          <cell r="M585">
            <v>0</v>
          </cell>
          <cell r="N585">
            <v>1</v>
          </cell>
          <cell r="O585">
            <v>1</v>
          </cell>
          <cell r="P585">
            <v>0</v>
          </cell>
          <cell r="Q585">
            <v>0</v>
          </cell>
          <cell r="R585">
            <v>0</v>
          </cell>
          <cell r="S585">
            <v>0</v>
          </cell>
          <cell r="T585">
            <v>2</v>
          </cell>
          <cell r="U585">
            <v>0</v>
          </cell>
          <cell r="V585">
            <v>0</v>
          </cell>
          <cell r="W585">
            <v>0</v>
          </cell>
          <cell r="X585">
            <v>0</v>
          </cell>
          <cell r="Y585">
            <v>0</v>
          </cell>
          <cell r="Z585">
            <v>0</v>
          </cell>
          <cell r="AA585">
            <v>3</v>
          </cell>
          <cell r="AB585">
            <v>0.83333333333333337</v>
          </cell>
          <cell r="AC585">
            <v>0.66666666666666663</v>
          </cell>
          <cell r="AD585">
            <v>6</v>
          </cell>
        </row>
        <row r="586">
          <cell r="A586">
            <v>42</v>
          </cell>
          <cell r="B586">
            <v>3</v>
          </cell>
          <cell r="C586">
            <v>3</v>
          </cell>
          <cell r="D586">
            <v>18430</v>
          </cell>
          <cell r="E586">
            <v>1</v>
          </cell>
          <cell r="F586">
            <v>13</v>
          </cell>
          <cell r="G586">
            <v>3</v>
          </cell>
          <cell r="H586">
            <v>1</v>
          </cell>
          <cell r="I586">
            <v>24</v>
          </cell>
          <cell r="J586">
            <v>4</v>
          </cell>
          <cell r="K586">
            <v>24</v>
          </cell>
          <cell r="L586">
            <v>7</v>
          </cell>
          <cell r="M586">
            <v>0</v>
          </cell>
          <cell r="N586">
            <v>0</v>
          </cell>
          <cell r="O586">
            <v>1</v>
          </cell>
          <cell r="P586">
            <v>0</v>
          </cell>
          <cell r="Q586">
            <v>0</v>
          </cell>
          <cell r="R586">
            <v>0</v>
          </cell>
          <cell r="S586">
            <v>0</v>
          </cell>
          <cell r="T586">
            <v>3</v>
          </cell>
          <cell r="U586">
            <v>0</v>
          </cell>
          <cell r="V586">
            <v>0</v>
          </cell>
          <cell r="W586">
            <v>0</v>
          </cell>
          <cell r="X586">
            <v>0</v>
          </cell>
          <cell r="Y586">
            <v>0</v>
          </cell>
          <cell r="Z586">
            <v>0</v>
          </cell>
          <cell r="AA586">
            <v>8</v>
          </cell>
          <cell r="AB586">
            <v>4.1666666666666664E-2</v>
          </cell>
          <cell r="AC586">
            <v>0.29166666666666669</v>
          </cell>
          <cell r="AD586">
            <v>16</v>
          </cell>
        </row>
        <row r="587">
          <cell r="A587">
            <v>23</v>
          </cell>
          <cell r="B587">
            <v>3</v>
          </cell>
          <cell r="C587">
            <v>4</v>
          </cell>
          <cell r="D587">
            <v>1601</v>
          </cell>
          <cell r="E587">
            <v>1</v>
          </cell>
          <cell r="F587">
            <v>21</v>
          </cell>
          <cell r="G587">
            <v>4</v>
          </cell>
          <cell r="H587">
            <v>2</v>
          </cell>
          <cell r="I587">
            <v>1</v>
          </cell>
          <cell r="J587">
            <v>2</v>
          </cell>
          <cell r="K587">
            <v>0</v>
          </cell>
          <cell r="L587">
            <v>0</v>
          </cell>
          <cell r="M587">
            <v>1</v>
          </cell>
          <cell r="N587">
            <v>0</v>
          </cell>
          <cell r="O587">
            <v>1</v>
          </cell>
          <cell r="P587">
            <v>0</v>
          </cell>
          <cell r="Q587">
            <v>0</v>
          </cell>
          <cell r="R587">
            <v>0</v>
          </cell>
          <cell r="S587">
            <v>0</v>
          </cell>
          <cell r="T587">
            <v>3</v>
          </cell>
          <cell r="U587">
            <v>0</v>
          </cell>
          <cell r="V587">
            <v>0</v>
          </cell>
          <cell r="W587">
            <v>0</v>
          </cell>
          <cell r="X587">
            <v>0</v>
          </cell>
          <cell r="Y587">
            <v>0</v>
          </cell>
          <cell r="Z587">
            <v>1</v>
          </cell>
          <cell r="AA587">
            <v>3</v>
          </cell>
          <cell r="AB587">
            <v>1</v>
          </cell>
          <cell r="AC587">
            <v>0</v>
          </cell>
          <cell r="AD587">
            <v>9</v>
          </cell>
        </row>
        <row r="588">
          <cell r="A588">
            <v>24</v>
          </cell>
          <cell r="B588">
            <v>3</v>
          </cell>
          <cell r="C588">
            <v>2</v>
          </cell>
          <cell r="D588">
            <v>2694</v>
          </cell>
          <cell r="E588">
            <v>1</v>
          </cell>
          <cell r="F588">
            <v>11</v>
          </cell>
          <cell r="G588">
            <v>3</v>
          </cell>
          <cell r="H588">
            <v>3</v>
          </cell>
          <cell r="I588">
            <v>1</v>
          </cell>
          <cell r="J588">
            <v>4</v>
          </cell>
          <cell r="K588">
            <v>1</v>
          </cell>
          <cell r="L588">
            <v>0</v>
          </cell>
          <cell r="M588">
            <v>0</v>
          </cell>
          <cell r="N588">
            <v>0</v>
          </cell>
          <cell r="O588">
            <v>1</v>
          </cell>
          <cell r="P588">
            <v>0</v>
          </cell>
          <cell r="Q588">
            <v>0</v>
          </cell>
          <cell r="R588">
            <v>0</v>
          </cell>
          <cell r="S588">
            <v>0</v>
          </cell>
          <cell r="T588">
            <v>3</v>
          </cell>
          <cell r="U588">
            <v>0</v>
          </cell>
          <cell r="V588">
            <v>0</v>
          </cell>
          <cell r="W588">
            <v>0</v>
          </cell>
          <cell r="X588">
            <v>0</v>
          </cell>
          <cell r="Y588">
            <v>0</v>
          </cell>
          <cell r="Z588">
            <v>0</v>
          </cell>
          <cell r="AA588">
            <v>6</v>
          </cell>
          <cell r="AB588">
            <v>1</v>
          </cell>
          <cell r="AC588">
            <v>0</v>
          </cell>
          <cell r="AD588">
            <v>18</v>
          </cell>
        </row>
        <row r="589">
          <cell r="A589">
            <v>52</v>
          </cell>
          <cell r="B589">
            <v>4</v>
          </cell>
          <cell r="C589">
            <v>3</v>
          </cell>
          <cell r="D589">
            <v>3149</v>
          </cell>
          <cell r="E589">
            <v>8</v>
          </cell>
          <cell r="F589">
            <v>20</v>
          </cell>
          <cell r="G589">
            <v>4</v>
          </cell>
          <cell r="H589">
            <v>1</v>
          </cell>
          <cell r="I589">
            <v>9</v>
          </cell>
          <cell r="J589">
            <v>3</v>
          </cell>
          <cell r="K589">
            <v>5</v>
          </cell>
          <cell r="L589">
            <v>2</v>
          </cell>
          <cell r="M589">
            <v>0</v>
          </cell>
          <cell r="N589">
            <v>1</v>
          </cell>
          <cell r="O589">
            <v>1</v>
          </cell>
          <cell r="P589">
            <v>0</v>
          </cell>
          <cell r="Q589">
            <v>0</v>
          </cell>
          <cell r="R589">
            <v>0</v>
          </cell>
          <cell r="S589">
            <v>0</v>
          </cell>
          <cell r="T589">
            <v>4</v>
          </cell>
          <cell r="U589">
            <v>0</v>
          </cell>
          <cell r="V589">
            <v>0</v>
          </cell>
          <cell r="W589">
            <v>0</v>
          </cell>
          <cell r="X589">
            <v>0</v>
          </cell>
          <cell r="Y589">
            <v>0</v>
          </cell>
          <cell r="Z589">
            <v>0</v>
          </cell>
          <cell r="AA589">
            <v>12</v>
          </cell>
          <cell r="AB589">
            <v>0.88888888888888884</v>
          </cell>
          <cell r="AC589">
            <v>0.4</v>
          </cell>
          <cell r="AD589">
            <v>24</v>
          </cell>
        </row>
        <row r="590">
          <cell r="A590">
            <v>50</v>
          </cell>
          <cell r="B590">
            <v>3</v>
          </cell>
          <cell r="C590">
            <v>3</v>
          </cell>
          <cell r="D590">
            <v>17639</v>
          </cell>
          <cell r="E590">
            <v>5</v>
          </cell>
          <cell r="F590">
            <v>16</v>
          </cell>
          <cell r="G590">
            <v>3</v>
          </cell>
          <cell r="H590">
            <v>0</v>
          </cell>
          <cell r="I590">
            <v>30</v>
          </cell>
          <cell r="J590">
            <v>3</v>
          </cell>
          <cell r="K590">
            <v>4</v>
          </cell>
          <cell r="L590">
            <v>3</v>
          </cell>
          <cell r="M590">
            <v>0</v>
          </cell>
          <cell r="N590">
            <v>0</v>
          </cell>
          <cell r="O590">
            <v>0</v>
          </cell>
          <cell r="P590">
            <v>0</v>
          </cell>
          <cell r="Q590">
            <v>1</v>
          </cell>
          <cell r="R590">
            <v>0</v>
          </cell>
          <cell r="S590">
            <v>0</v>
          </cell>
          <cell r="T590">
            <v>0</v>
          </cell>
          <cell r="U590">
            <v>0</v>
          </cell>
          <cell r="V590">
            <v>3</v>
          </cell>
          <cell r="W590">
            <v>0</v>
          </cell>
          <cell r="X590">
            <v>0</v>
          </cell>
          <cell r="Y590">
            <v>0</v>
          </cell>
          <cell r="Z590">
            <v>0</v>
          </cell>
          <cell r="AA590">
            <v>9</v>
          </cell>
          <cell r="AB590">
            <v>0.16666666666666666</v>
          </cell>
          <cell r="AC590">
            <v>0.75</v>
          </cell>
          <cell r="AD590">
            <v>36</v>
          </cell>
        </row>
        <row r="591">
          <cell r="A591">
            <v>29</v>
          </cell>
          <cell r="B591">
            <v>2</v>
          </cell>
          <cell r="C591">
            <v>2</v>
          </cell>
          <cell r="D591">
            <v>2319</v>
          </cell>
          <cell r="E591">
            <v>1</v>
          </cell>
          <cell r="F591">
            <v>11</v>
          </cell>
          <cell r="G591">
            <v>3</v>
          </cell>
          <cell r="H591">
            <v>1</v>
          </cell>
          <cell r="I591">
            <v>1</v>
          </cell>
          <cell r="J591">
            <v>1</v>
          </cell>
          <cell r="K591">
            <v>1</v>
          </cell>
          <cell r="L591">
            <v>0</v>
          </cell>
          <cell r="M591">
            <v>1</v>
          </cell>
          <cell r="N591">
            <v>1</v>
          </cell>
          <cell r="O591">
            <v>1</v>
          </cell>
          <cell r="P591">
            <v>0</v>
          </cell>
          <cell r="Q591">
            <v>0</v>
          </cell>
          <cell r="R591">
            <v>0</v>
          </cell>
          <cell r="S591">
            <v>0</v>
          </cell>
          <cell r="T591">
            <v>2</v>
          </cell>
          <cell r="U591">
            <v>0</v>
          </cell>
          <cell r="V591">
            <v>0</v>
          </cell>
          <cell r="W591">
            <v>0</v>
          </cell>
          <cell r="X591">
            <v>0</v>
          </cell>
          <cell r="Y591">
            <v>0</v>
          </cell>
          <cell r="Z591">
            <v>1</v>
          </cell>
          <cell r="AA591">
            <v>2</v>
          </cell>
          <cell r="AB591">
            <v>1</v>
          </cell>
          <cell r="AC591">
            <v>0</v>
          </cell>
          <cell r="AD591">
            <v>8</v>
          </cell>
        </row>
        <row r="592">
          <cell r="A592">
            <v>33</v>
          </cell>
          <cell r="B592">
            <v>3</v>
          </cell>
          <cell r="C592">
            <v>3</v>
          </cell>
          <cell r="D592">
            <v>11691</v>
          </cell>
          <cell r="E592">
            <v>0</v>
          </cell>
          <cell r="F592">
            <v>11</v>
          </cell>
          <cell r="G592">
            <v>3</v>
          </cell>
          <cell r="H592">
            <v>0</v>
          </cell>
          <cell r="I592">
            <v>14</v>
          </cell>
          <cell r="J592">
            <v>3</v>
          </cell>
          <cell r="K592">
            <v>13</v>
          </cell>
          <cell r="L592">
            <v>9</v>
          </cell>
          <cell r="M592">
            <v>0</v>
          </cell>
          <cell r="N592">
            <v>0</v>
          </cell>
          <cell r="O592">
            <v>0</v>
          </cell>
          <cell r="P592">
            <v>0</v>
          </cell>
          <cell r="Q592">
            <v>1</v>
          </cell>
          <cell r="R592">
            <v>0</v>
          </cell>
          <cell r="S592">
            <v>0</v>
          </cell>
          <cell r="T592">
            <v>0</v>
          </cell>
          <cell r="U592">
            <v>0</v>
          </cell>
          <cell r="V592">
            <v>3</v>
          </cell>
          <cell r="W592">
            <v>0</v>
          </cell>
          <cell r="X592">
            <v>0</v>
          </cell>
          <cell r="Y592">
            <v>0</v>
          </cell>
          <cell r="Z592">
            <v>0</v>
          </cell>
          <cell r="AA592">
            <v>9</v>
          </cell>
          <cell r="AB592">
            <v>0</v>
          </cell>
          <cell r="AC592">
            <v>0.69230769230769229</v>
          </cell>
          <cell r="AD592">
            <v>36</v>
          </cell>
        </row>
        <row r="593">
          <cell r="A593">
            <v>33</v>
          </cell>
          <cell r="B593">
            <v>3</v>
          </cell>
          <cell r="C593">
            <v>3</v>
          </cell>
          <cell r="D593">
            <v>5324</v>
          </cell>
          <cell r="E593">
            <v>5</v>
          </cell>
          <cell r="F593">
            <v>15</v>
          </cell>
          <cell r="G593">
            <v>3</v>
          </cell>
          <cell r="H593">
            <v>0</v>
          </cell>
          <cell r="I593">
            <v>6</v>
          </cell>
          <cell r="J593">
            <v>3</v>
          </cell>
          <cell r="K593">
            <v>3</v>
          </cell>
          <cell r="L593">
            <v>2</v>
          </cell>
          <cell r="M593">
            <v>0</v>
          </cell>
          <cell r="N593">
            <v>1</v>
          </cell>
          <cell r="O593">
            <v>0</v>
          </cell>
          <cell r="P593">
            <v>1</v>
          </cell>
          <cell r="Q593">
            <v>0</v>
          </cell>
          <cell r="R593">
            <v>0</v>
          </cell>
          <cell r="S593">
            <v>0</v>
          </cell>
          <cell r="T593">
            <v>0</v>
          </cell>
          <cell r="U593">
            <v>3</v>
          </cell>
          <cell r="V593">
            <v>0</v>
          </cell>
          <cell r="W593">
            <v>0</v>
          </cell>
          <cell r="X593">
            <v>0</v>
          </cell>
          <cell r="Y593">
            <v>0</v>
          </cell>
          <cell r="Z593">
            <v>0</v>
          </cell>
          <cell r="AA593">
            <v>1</v>
          </cell>
          <cell r="AB593">
            <v>0.83333333333333337</v>
          </cell>
          <cell r="AC593">
            <v>0.66666666666666663</v>
          </cell>
          <cell r="AD593">
            <v>3</v>
          </cell>
        </row>
        <row r="594">
          <cell r="A594">
            <v>47</v>
          </cell>
          <cell r="B594">
            <v>2</v>
          </cell>
          <cell r="C594">
            <v>3</v>
          </cell>
          <cell r="D594">
            <v>16752</v>
          </cell>
          <cell r="E594">
            <v>1</v>
          </cell>
          <cell r="F594">
            <v>11</v>
          </cell>
          <cell r="G594">
            <v>3</v>
          </cell>
          <cell r="H594">
            <v>1</v>
          </cell>
          <cell r="I594">
            <v>26</v>
          </cell>
          <cell r="J594">
            <v>3</v>
          </cell>
          <cell r="K594">
            <v>26</v>
          </cell>
          <cell r="L594">
            <v>14</v>
          </cell>
          <cell r="M594">
            <v>1</v>
          </cell>
          <cell r="N594">
            <v>1</v>
          </cell>
          <cell r="O594">
            <v>0</v>
          </cell>
          <cell r="P594">
            <v>0</v>
          </cell>
          <cell r="Q594">
            <v>0</v>
          </cell>
          <cell r="R594">
            <v>1</v>
          </cell>
          <cell r="S594">
            <v>0</v>
          </cell>
          <cell r="T594">
            <v>0</v>
          </cell>
          <cell r="U594">
            <v>0</v>
          </cell>
          <cell r="V594">
            <v>0</v>
          </cell>
          <cell r="W594">
            <v>2</v>
          </cell>
          <cell r="X594">
            <v>0</v>
          </cell>
          <cell r="Y594">
            <v>0</v>
          </cell>
          <cell r="Z594">
            <v>1</v>
          </cell>
          <cell r="AA594">
            <v>12</v>
          </cell>
          <cell r="AB594">
            <v>3.8461538461538464E-2</v>
          </cell>
          <cell r="AC594">
            <v>0.53846153846153844</v>
          </cell>
          <cell r="AD594">
            <v>36</v>
          </cell>
        </row>
        <row r="595">
          <cell r="A595">
            <v>36</v>
          </cell>
          <cell r="B595">
            <v>3</v>
          </cell>
          <cell r="C595">
            <v>3</v>
          </cell>
          <cell r="D595">
            <v>5228</v>
          </cell>
          <cell r="E595">
            <v>0</v>
          </cell>
          <cell r="F595">
            <v>15</v>
          </cell>
          <cell r="G595">
            <v>3</v>
          </cell>
          <cell r="H595">
            <v>1</v>
          </cell>
          <cell r="I595">
            <v>10</v>
          </cell>
          <cell r="J595">
            <v>2</v>
          </cell>
          <cell r="K595">
            <v>9</v>
          </cell>
          <cell r="L595">
            <v>7</v>
          </cell>
          <cell r="M595">
            <v>0</v>
          </cell>
          <cell r="N595">
            <v>1</v>
          </cell>
          <cell r="O595">
            <v>0</v>
          </cell>
          <cell r="P595">
            <v>0</v>
          </cell>
          <cell r="Q595">
            <v>0</v>
          </cell>
          <cell r="R595">
            <v>1</v>
          </cell>
          <cell r="S595">
            <v>0</v>
          </cell>
          <cell r="T595">
            <v>0</v>
          </cell>
          <cell r="U595">
            <v>0</v>
          </cell>
          <cell r="V595">
            <v>0</v>
          </cell>
          <cell r="W595">
            <v>3</v>
          </cell>
          <cell r="X595">
            <v>0</v>
          </cell>
          <cell r="Y595">
            <v>0</v>
          </cell>
          <cell r="Z595">
            <v>0</v>
          </cell>
          <cell r="AA595">
            <v>6</v>
          </cell>
          <cell r="AB595">
            <v>0</v>
          </cell>
          <cell r="AC595">
            <v>0.77777777777777779</v>
          </cell>
          <cell r="AD595">
            <v>6</v>
          </cell>
        </row>
        <row r="596">
          <cell r="A596">
            <v>29</v>
          </cell>
          <cell r="B596">
            <v>2</v>
          </cell>
          <cell r="C596">
            <v>4</v>
          </cell>
          <cell r="D596">
            <v>2700</v>
          </cell>
          <cell r="E596">
            <v>1</v>
          </cell>
          <cell r="F596">
            <v>24</v>
          </cell>
          <cell r="G596">
            <v>4</v>
          </cell>
          <cell r="H596">
            <v>1</v>
          </cell>
          <cell r="I596">
            <v>10</v>
          </cell>
          <cell r="J596">
            <v>3</v>
          </cell>
          <cell r="K596">
            <v>10</v>
          </cell>
          <cell r="L596">
            <v>7</v>
          </cell>
          <cell r="M596">
            <v>0</v>
          </cell>
          <cell r="N596">
            <v>0</v>
          </cell>
          <cell r="O596">
            <v>1</v>
          </cell>
          <cell r="P596">
            <v>0</v>
          </cell>
          <cell r="Q596">
            <v>0</v>
          </cell>
          <cell r="R596">
            <v>0</v>
          </cell>
          <cell r="S596">
            <v>0</v>
          </cell>
          <cell r="T596">
            <v>2</v>
          </cell>
          <cell r="U596">
            <v>0</v>
          </cell>
          <cell r="V596">
            <v>0</v>
          </cell>
          <cell r="W596">
            <v>0</v>
          </cell>
          <cell r="X596">
            <v>0</v>
          </cell>
          <cell r="Y596">
            <v>0</v>
          </cell>
          <cell r="Z596">
            <v>0</v>
          </cell>
          <cell r="AA596">
            <v>9</v>
          </cell>
          <cell r="AB596">
            <v>0.1</v>
          </cell>
          <cell r="AC596">
            <v>0.7</v>
          </cell>
          <cell r="AD596">
            <v>27</v>
          </cell>
        </row>
        <row r="597">
          <cell r="A597">
            <v>58</v>
          </cell>
          <cell r="B597">
            <v>4</v>
          </cell>
          <cell r="C597">
            <v>3</v>
          </cell>
          <cell r="D597">
            <v>19246</v>
          </cell>
          <cell r="E597">
            <v>7</v>
          </cell>
          <cell r="F597">
            <v>12</v>
          </cell>
          <cell r="G597">
            <v>3</v>
          </cell>
          <cell r="H597">
            <v>0</v>
          </cell>
          <cell r="I597">
            <v>40</v>
          </cell>
          <cell r="J597">
            <v>2</v>
          </cell>
          <cell r="K597">
            <v>31</v>
          </cell>
          <cell r="L597">
            <v>15</v>
          </cell>
          <cell r="M597">
            <v>1</v>
          </cell>
          <cell r="N597">
            <v>0</v>
          </cell>
          <cell r="O597">
            <v>1</v>
          </cell>
          <cell r="P597">
            <v>0</v>
          </cell>
          <cell r="Q597">
            <v>0</v>
          </cell>
          <cell r="R597">
            <v>0</v>
          </cell>
          <cell r="S597">
            <v>0</v>
          </cell>
          <cell r="T597">
            <v>4</v>
          </cell>
          <cell r="U597">
            <v>0</v>
          </cell>
          <cell r="V597">
            <v>0</v>
          </cell>
          <cell r="W597">
            <v>0</v>
          </cell>
          <cell r="X597">
            <v>0</v>
          </cell>
          <cell r="Y597">
            <v>0</v>
          </cell>
          <cell r="Z597">
            <v>0</v>
          </cell>
          <cell r="AA597">
            <v>8</v>
          </cell>
          <cell r="AB597">
            <v>0.17499999999999999</v>
          </cell>
          <cell r="AC597">
            <v>0.4838709677419355</v>
          </cell>
          <cell r="AD597">
            <v>32</v>
          </cell>
        </row>
        <row r="598">
          <cell r="A598">
            <v>35</v>
          </cell>
          <cell r="B598">
            <v>4</v>
          </cell>
          <cell r="C598">
            <v>4</v>
          </cell>
          <cell r="D598">
            <v>2506</v>
          </cell>
          <cell r="E598">
            <v>3</v>
          </cell>
          <cell r="F598">
            <v>13</v>
          </cell>
          <cell r="G598">
            <v>3</v>
          </cell>
          <cell r="H598">
            <v>0</v>
          </cell>
          <cell r="I598">
            <v>7</v>
          </cell>
          <cell r="J598">
            <v>0</v>
          </cell>
          <cell r="K598">
            <v>2</v>
          </cell>
          <cell r="L598">
            <v>2</v>
          </cell>
          <cell r="M598">
            <v>0</v>
          </cell>
          <cell r="N598">
            <v>1</v>
          </cell>
          <cell r="O598">
            <v>1</v>
          </cell>
          <cell r="P598">
            <v>0</v>
          </cell>
          <cell r="Q598">
            <v>0</v>
          </cell>
          <cell r="R598">
            <v>0</v>
          </cell>
          <cell r="S598">
            <v>0</v>
          </cell>
          <cell r="T598">
            <v>4</v>
          </cell>
          <cell r="U598">
            <v>0</v>
          </cell>
          <cell r="V598">
            <v>0</v>
          </cell>
          <cell r="W598">
            <v>0</v>
          </cell>
          <cell r="X598">
            <v>0</v>
          </cell>
          <cell r="Y598">
            <v>0</v>
          </cell>
          <cell r="Z598">
            <v>0</v>
          </cell>
          <cell r="AA598">
            <v>12</v>
          </cell>
          <cell r="AB598">
            <v>0.42857142857142855</v>
          </cell>
          <cell r="AC598">
            <v>1</v>
          </cell>
          <cell r="AD598">
            <v>36</v>
          </cell>
        </row>
        <row r="599">
          <cell r="A599">
            <v>42</v>
          </cell>
          <cell r="B599">
            <v>2</v>
          </cell>
          <cell r="C599">
            <v>2</v>
          </cell>
          <cell r="D599">
            <v>6062</v>
          </cell>
          <cell r="E599">
            <v>9</v>
          </cell>
          <cell r="F599">
            <v>13</v>
          </cell>
          <cell r="G599">
            <v>3</v>
          </cell>
          <cell r="H599">
            <v>1</v>
          </cell>
          <cell r="I599">
            <v>8</v>
          </cell>
          <cell r="J599">
            <v>4</v>
          </cell>
          <cell r="K599">
            <v>4</v>
          </cell>
          <cell r="L599">
            <v>3</v>
          </cell>
          <cell r="M599">
            <v>1</v>
          </cell>
          <cell r="N599">
            <v>1</v>
          </cell>
          <cell r="O599">
            <v>1</v>
          </cell>
          <cell r="P599">
            <v>0</v>
          </cell>
          <cell r="Q599">
            <v>0</v>
          </cell>
          <cell r="R599">
            <v>0</v>
          </cell>
          <cell r="S599">
            <v>0</v>
          </cell>
          <cell r="T599">
            <v>2</v>
          </cell>
          <cell r="U599">
            <v>0</v>
          </cell>
          <cell r="V599">
            <v>0</v>
          </cell>
          <cell r="W599">
            <v>0</v>
          </cell>
          <cell r="X599">
            <v>0</v>
          </cell>
          <cell r="Y599">
            <v>0</v>
          </cell>
          <cell r="Z599">
            <v>1</v>
          </cell>
          <cell r="AA599">
            <v>16</v>
          </cell>
          <cell r="AB599">
            <v>1.125</v>
          </cell>
          <cell r="AC599">
            <v>0.75</v>
          </cell>
          <cell r="AD599">
            <v>64</v>
          </cell>
        </row>
        <row r="600">
          <cell r="A600">
            <v>28</v>
          </cell>
          <cell r="B600">
            <v>4</v>
          </cell>
          <cell r="C600">
            <v>3</v>
          </cell>
          <cell r="D600">
            <v>4382</v>
          </cell>
          <cell r="E600">
            <v>6</v>
          </cell>
          <cell r="F600">
            <v>17</v>
          </cell>
          <cell r="G600">
            <v>3</v>
          </cell>
          <cell r="H600">
            <v>0</v>
          </cell>
          <cell r="I600">
            <v>5</v>
          </cell>
          <cell r="J600">
            <v>3</v>
          </cell>
          <cell r="K600">
            <v>2</v>
          </cell>
          <cell r="L600">
            <v>2</v>
          </cell>
          <cell r="M600">
            <v>0</v>
          </cell>
          <cell r="N600">
            <v>0</v>
          </cell>
          <cell r="O600">
            <v>0</v>
          </cell>
          <cell r="P600">
            <v>0</v>
          </cell>
          <cell r="Q600">
            <v>1</v>
          </cell>
          <cell r="R600">
            <v>0</v>
          </cell>
          <cell r="S600">
            <v>0</v>
          </cell>
          <cell r="T600">
            <v>0</v>
          </cell>
          <cell r="U600">
            <v>0</v>
          </cell>
          <cell r="V600">
            <v>4</v>
          </cell>
          <cell r="W600">
            <v>0</v>
          </cell>
          <cell r="X600">
            <v>0</v>
          </cell>
          <cell r="Y600">
            <v>0</v>
          </cell>
          <cell r="Z600">
            <v>0</v>
          </cell>
          <cell r="AA600">
            <v>9</v>
          </cell>
          <cell r="AB600">
            <v>1.2</v>
          </cell>
          <cell r="AC600">
            <v>1</v>
          </cell>
          <cell r="AD600">
            <v>36</v>
          </cell>
        </row>
        <row r="601">
          <cell r="A601">
            <v>36</v>
          </cell>
          <cell r="B601">
            <v>3</v>
          </cell>
          <cell r="C601">
            <v>3</v>
          </cell>
          <cell r="D601">
            <v>2143</v>
          </cell>
          <cell r="E601">
            <v>4</v>
          </cell>
          <cell r="F601">
            <v>13</v>
          </cell>
          <cell r="G601">
            <v>3</v>
          </cell>
          <cell r="H601">
            <v>1</v>
          </cell>
          <cell r="I601">
            <v>8</v>
          </cell>
          <cell r="J601">
            <v>2</v>
          </cell>
          <cell r="K601">
            <v>5</v>
          </cell>
          <cell r="L601">
            <v>2</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6</v>
          </cell>
          <cell r="AB601">
            <v>0.5</v>
          </cell>
          <cell r="AC601">
            <v>0.4</v>
          </cell>
          <cell r="AD601">
            <v>12</v>
          </cell>
        </row>
        <row r="602">
          <cell r="A602">
            <v>32</v>
          </cell>
          <cell r="B602">
            <v>3</v>
          </cell>
          <cell r="C602">
            <v>2</v>
          </cell>
          <cell r="D602">
            <v>6162</v>
          </cell>
          <cell r="E602">
            <v>1</v>
          </cell>
          <cell r="F602">
            <v>12</v>
          </cell>
          <cell r="G602">
            <v>3</v>
          </cell>
          <cell r="H602">
            <v>1</v>
          </cell>
          <cell r="I602">
            <v>14</v>
          </cell>
          <cell r="J602">
            <v>3</v>
          </cell>
          <cell r="K602">
            <v>14</v>
          </cell>
          <cell r="L602">
            <v>13</v>
          </cell>
          <cell r="M602">
            <v>0</v>
          </cell>
          <cell r="N602">
            <v>1</v>
          </cell>
          <cell r="O602">
            <v>1</v>
          </cell>
          <cell r="P602">
            <v>0</v>
          </cell>
          <cell r="Q602">
            <v>0</v>
          </cell>
          <cell r="R602">
            <v>0</v>
          </cell>
          <cell r="S602">
            <v>0</v>
          </cell>
          <cell r="T602">
            <v>3</v>
          </cell>
          <cell r="U602">
            <v>0</v>
          </cell>
          <cell r="V602">
            <v>0</v>
          </cell>
          <cell r="W602">
            <v>0</v>
          </cell>
          <cell r="X602">
            <v>0</v>
          </cell>
          <cell r="Y602">
            <v>0</v>
          </cell>
          <cell r="Z602">
            <v>0</v>
          </cell>
          <cell r="AA602">
            <v>9</v>
          </cell>
          <cell r="AB602">
            <v>7.1428571428571425E-2</v>
          </cell>
          <cell r="AC602">
            <v>0.9285714285714286</v>
          </cell>
          <cell r="AD602">
            <v>27</v>
          </cell>
        </row>
        <row r="603">
          <cell r="A603">
            <v>40</v>
          </cell>
          <cell r="B603">
            <v>4</v>
          </cell>
          <cell r="C603">
            <v>2</v>
          </cell>
          <cell r="D603">
            <v>5094</v>
          </cell>
          <cell r="E603">
            <v>6</v>
          </cell>
          <cell r="F603">
            <v>14</v>
          </cell>
          <cell r="G603">
            <v>3</v>
          </cell>
          <cell r="H603">
            <v>0</v>
          </cell>
          <cell r="I603">
            <v>10</v>
          </cell>
          <cell r="J603">
            <v>6</v>
          </cell>
          <cell r="K603">
            <v>1</v>
          </cell>
          <cell r="L603">
            <v>0</v>
          </cell>
          <cell r="M603">
            <v>0</v>
          </cell>
          <cell r="N603">
            <v>0</v>
          </cell>
          <cell r="O603">
            <v>0</v>
          </cell>
          <cell r="P603">
            <v>0</v>
          </cell>
          <cell r="Q603">
            <v>1</v>
          </cell>
          <cell r="R603">
            <v>0</v>
          </cell>
          <cell r="S603">
            <v>0</v>
          </cell>
          <cell r="T603">
            <v>0</v>
          </cell>
          <cell r="U603">
            <v>0</v>
          </cell>
          <cell r="V603">
            <v>4</v>
          </cell>
          <cell r="W603">
            <v>0</v>
          </cell>
          <cell r="X603">
            <v>0</v>
          </cell>
          <cell r="Y603">
            <v>0</v>
          </cell>
          <cell r="Z603">
            <v>0</v>
          </cell>
          <cell r="AA603">
            <v>3</v>
          </cell>
          <cell r="AB603">
            <v>0.6</v>
          </cell>
          <cell r="AC603">
            <v>0</v>
          </cell>
          <cell r="AD603">
            <v>12</v>
          </cell>
        </row>
        <row r="604">
          <cell r="A604">
            <v>30</v>
          </cell>
          <cell r="B604">
            <v>3</v>
          </cell>
          <cell r="C604">
            <v>2</v>
          </cell>
          <cell r="D604">
            <v>6877</v>
          </cell>
          <cell r="E604">
            <v>5</v>
          </cell>
          <cell r="F604">
            <v>24</v>
          </cell>
          <cell r="G604">
            <v>4</v>
          </cell>
          <cell r="H604">
            <v>0</v>
          </cell>
          <cell r="I604">
            <v>12</v>
          </cell>
          <cell r="J604">
            <v>4</v>
          </cell>
          <cell r="K604">
            <v>0</v>
          </cell>
          <cell r="L604">
            <v>0</v>
          </cell>
          <cell r="M604">
            <v>1</v>
          </cell>
          <cell r="N604">
            <v>1</v>
          </cell>
          <cell r="O604">
            <v>0</v>
          </cell>
          <cell r="P604">
            <v>0</v>
          </cell>
          <cell r="Q604">
            <v>1</v>
          </cell>
          <cell r="R604">
            <v>0</v>
          </cell>
          <cell r="S604">
            <v>0</v>
          </cell>
          <cell r="T604">
            <v>0</v>
          </cell>
          <cell r="U604">
            <v>0</v>
          </cell>
          <cell r="V604">
            <v>3</v>
          </cell>
          <cell r="W604">
            <v>0</v>
          </cell>
          <cell r="X604">
            <v>0</v>
          </cell>
          <cell r="Y604">
            <v>0</v>
          </cell>
          <cell r="Z604">
            <v>0</v>
          </cell>
          <cell r="AA604">
            <v>12</v>
          </cell>
          <cell r="AB604">
            <v>0.41666666666666669</v>
          </cell>
          <cell r="AC604">
            <v>0</v>
          </cell>
          <cell r="AD604">
            <v>24</v>
          </cell>
        </row>
        <row r="605">
          <cell r="A605">
            <v>45</v>
          </cell>
          <cell r="B605">
            <v>3</v>
          </cell>
          <cell r="C605">
            <v>2</v>
          </cell>
          <cell r="D605">
            <v>2274</v>
          </cell>
          <cell r="E605">
            <v>1</v>
          </cell>
          <cell r="F605">
            <v>14</v>
          </cell>
          <cell r="G605">
            <v>3</v>
          </cell>
          <cell r="H605">
            <v>0</v>
          </cell>
          <cell r="I605">
            <v>1</v>
          </cell>
          <cell r="J605">
            <v>3</v>
          </cell>
          <cell r="K605">
            <v>1</v>
          </cell>
          <cell r="L605">
            <v>0</v>
          </cell>
          <cell r="M605">
            <v>0</v>
          </cell>
          <cell r="N605">
            <v>1</v>
          </cell>
          <cell r="O605">
            <v>1</v>
          </cell>
          <cell r="P605">
            <v>0</v>
          </cell>
          <cell r="Q605">
            <v>0</v>
          </cell>
          <cell r="R605">
            <v>0</v>
          </cell>
          <cell r="S605">
            <v>0</v>
          </cell>
          <cell r="T605">
            <v>3</v>
          </cell>
          <cell r="U605">
            <v>0</v>
          </cell>
          <cell r="V605">
            <v>0</v>
          </cell>
          <cell r="W605">
            <v>0</v>
          </cell>
          <cell r="X605">
            <v>0</v>
          </cell>
          <cell r="Y605">
            <v>0</v>
          </cell>
          <cell r="Z605">
            <v>0</v>
          </cell>
          <cell r="AA605">
            <v>6</v>
          </cell>
          <cell r="AB605">
            <v>1</v>
          </cell>
          <cell r="AC605">
            <v>0</v>
          </cell>
          <cell r="AD605">
            <v>24</v>
          </cell>
        </row>
        <row r="606">
          <cell r="A606">
            <v>42</v>
          </cell>
          <cell r="B606">
            <v>3</v>
          </cell>
          <cell r="C606">
            <v>3</v>
          </cell>
          <cell r="D606">
            <v>4434</v>
          </cell>
          <cell r="E606">
            <v>1</v>
          </cell>
          <cell r="F606">
            <v>13</v>
          </cell>
          <cell r="G606">
            <v>3</v>
          </cell>
          <cell r="H606">
            <v>1</v>
          </cell>
          <cell r="I606">
            <v>10</v>
          </cell>
          <cell r="J606">
            <v>3</v>
          </cell>
          <cell r="K606">
            <v>9</v>
          </cell>
          <cell r="L606">
            <v>8</v>
          </cell>
          <cell r="M606">
            <v>0</v>
          </cell>
          <cell r="N606">
            <v>0</v>
          </cell>
          <cell r="O606">
            <v>1</v>
          </cell>
          <cell r="P606">
            <v>0</v>
          </cell>
          <cell r="Q606">
            <v>0</v>
          </cell>
          <cell r="R606">
            <v>0</v>
          </cell>
          <cell r="S606">
            <v>0</v>
          </cell>
          <cell r="T606">
            <v>3</v>
          </cell>
          <cell r="U606">
            <v>0</v>
          </cell>
          <cell r="V606">
            <v>0</v>
          </cell>
          <cell r="W606">
            <v>0</v>
          </cell>
          <cell r="X606">
            <v>0</v>
          </cell>
          <cell r="Y606">
            <v>0</v>
          </cell>
          <cell r="Z606">
            <v>0</v>
          </cell>
          <cell r="AA606">
            <v>4</v>
          </cell>
          <cell r="AB606">
            <v>0.1</v>
          </cell>
          <cell r="AC606">
            <v>0.88888888888888884</v>
          </cell>
          <cell r="AD606">
            <v>16</v>
          </cell>
        </row>
        <row r="607">
          <cell r="A607">
            <v>38</v>
          </cell>
          <cell r="B607">
            <v>3</v>
          </cell>
          <cell r="C607">
            <v>2</v>
          </cell>
          <cell r="D607">
            <v>6288</v>
          </cell>
          <cell r="E607">
            <v>2</v>
          </cell>
          <cell r="F607">
            <v>15</v>
          </cell>
          <cell r="G607">
            <v>3</v>
          </cell>
          <cell r="H607">
            <v>1</v>
          </cell>
          <cell r="I607">
            <v>13</v>
          </cell>
          <cell r="J607">
            <v>3</v>
          </cell>
          <cell r="K607">
            <v>4</v>
          </cell>
          <cell r="L607">
            <v>3</v>
          </cell>
          <cell r="M607">
            <v>0</v>
          </cell>
          <cell r="N607">
            <v>0</v>
          </cell>
          <cell r="O607">
            <v>1</v>
          </cell>
          <cell r="P607">
            <v>0</v>
          </cell>
          <cell r="Q607">
            <v>0</v>
          </cell>
          <cell r="R607">
            <v>0</v>
          </cell>
          <cell r="S607">
            <v>0</v>
          </cell>
          <cell r="T607">
            <v>3</v>
          </cell>
          <cell r="U607">
            <v>0</v>
          </cell>
          <cell r="V607">
            <v>0</v>
          </cell>
          <cell r="W607">
            <v>0</v>
          </cell>
          <cell r="X607">
            <v>0</v>
          </cell>
          <cell r="Y607">
            <v>0</v>
          </cell>
          <cell r="Z607">
            <v>0</v>
          </cell>
          <cell r="AA607">
            <v>1</v>
          </cell>
          <cell r="AB607">
            <v>0.15384615384615385</v>
          </cell>
          <cell r="AC607">
            <v>0.75</v>
          </cell>
          <cell r="AD607">
            <v>3</v>
          </cell>
        </row>
        <row r="608">
          <cell r="A608">
            <v>34</v>
          </cell>
          <cell r="B608">
            <v>4</v>
          </cell>
          <cell r="C608">
            <v>2</v>
          </cell>
          <cell r="D608">
            <v>2553</v>
          </cell>
          <cell r="E608">
            <v>1</v>
          </cell>
          <cell r="F608">
            <v>16</v>
          </cell>
          <cell r="G608">
            <v>3</v>
          </cell>
          <cell r="H608">
            <v>0</v>
          </cell>
          <cell r="I608">
            <v>6</v>
          </cell>
          <cell r="J608">
            <v>3</v>
          </cell>
          <cell r="K608">
            <v>5</v>
          </cell>
          <cell r="L608">
            <v>2</v>
          </cell>
          <cell r="M608">
            <v>0</v>
          </cell>
          <cell r="N608">
            <v>1</v>
          </cell>
          <cell r="O608">
            <v>1</v>
          </cell>
          <cell r="P608">
            <v>0</v>
          </cell>
          <cell r="Q608">
            <v>0</v>
          </cell>
          <cell r="R608">
            <v>0</v>
          </cell>
          <cell r="S608">
            <v>0</v>
          </cell>
          <cell r="T608">
            <v>4</v>
          </cell>
          <cell r="U608">
            <v>0</v>
          </cell>
          <cell r="V608">
            <v>0</v>
          </cell>
          <cell r="W608">
            <v>0</v>
          </cell>
          <cell r="X608">
            <v>0</v>
          </cell>
          <cell r="Y608">
            <v>0</v>
          </cell>
          <cell r="Z608">
            <v>0</v>
          </cell>
          <cell r="AA608">
            <v>12</v>
          </cell>
          <cell r="AB608">
            <v>0.16666666666666666</v>
          </cell>
          <cell r="AC608">
            <v>0.4</v>
          </cell>
          <cell r="AD608">
            <v>36</v>
          </cell>
        </row>
        <row r="609">
          <cell r="A609">
            <v>49</v>
          </cell>
          <cell r="B609">
            <v>3</v>
          </cell>
          <cell r="C609">
            <v>3</v>
          </cell>
          <cell r="D609">
            <v>7654</v>
          </cell>
          <cell r="E609">
            <v>1</v>
          </cell>
          <cell r="F609">
            <v>18</v>
          </cell>
          <cell r="G609">
            <v>3</v>
          </cell>
          <cell r="H609">
            <v>2</v>
          </cell>
          <cell r="I609">
            <v>9</v>
          </cell>
          <cell r="J609">
            <v>3</v>
          </cell>
          <cell r="K609">
            <v>9</v>
          </cell>
          <cell r="L609">
            <v>8</v>
          </cell>
          <cell r="M609">
            <v>0</v>
          </cell>
          <cell r="N609">
            <v>1</v>
          </cell>
          <cell r="O609">
            <v>0</v>
          </cell>
          <cell r="P609">
            <v>1</v>
          </cell>
          <cell r="Q609">
            <v>0</v>
          </cell>
          <cell r="R609">
            <v>0</v>
          </cell>
          <cell r="S609">
            <v>0</v>
          </cell>
          <cell r="T609">
            <v>0</v>
          </cell>
          <cell r="U609">
            <v>3</v>
          </cell>
          <cell r="V609">
            <v>0</v>
          </cell>
          <cell r="W609">
            <v>0</v>
          </cell>
          <cell r="X609">
            <v>0</v>
          </cell>
          <cell r="Y609">
            <v>0</v>
          </cell>
          <cell r="Z609">
            <v>0</v>
          </cell>
          <cell r="AA609">
            <v>12</v>
          </cell>
          <cell r="AB609">
            <v>0.1111111111111111</v>
          </cell>
          <cell r="AC609">
            <v>0.88888888888888884</v>
          </cell>
          <cell r="AD609">
            <v>12</v>
          </cell>
        </row>
        <row r="610">
          <cell r="A610">
            <v>55</v>
          </cell>
          <cell r="B610">
            <v>1</v>
          </cell>
          <cell r="C610">
            <v>3</v>
          </cell>
          <cell r="D610">
            <v>5160</v>
          </cell>
          <cell r="E610">
            <v>4</v>
          </cell>
          <cell r="F610">
            <v>16</v>
          </cell>
          <cell r="G610">
            <v>3</v>
          </cell>
          <cell r="H610">
            <v>0</v>
          </cell>
          <cell r="I610">
            <v>12</v>
          </cell>
          <cell r="J610">
            <v>3</v>
          </cell>
          <cell r="K610">
            <v>9</v>
          </cell>
          <cell r="L610">
            <v>7</v>
          </cell>
          <cell r="M610">
            <v>0</v>
          </cell>
          <cell r="N610">
            <v>0</v>
          </cell>
          <cell r="O610">
            <v>0</v>
          </cell>
          <cell r="P610">
            <v>0</v>
          </cell>
          <cell r="Q610">
            <v>1</v>
          </cell>
          <cell r="R610">
            <v>0</v>
          </cell>
          <cell r="S610">
            <v>0</v>
          </cell>
          <cell r="T610">
            <v>0</v>
          </cell>
          <cell r="U610">
            <v>0</v>
          </cell>
          <cell r="V610">
            <v>1</v>
          </cell>
          <cell r="W610">
            <v>0</v>
          </cell>
          <cell r="X610">
            <v>0</v>
          </cell>
          <cell r="Y610">
            <v>0</v>
          </cell>
          <cell r="Z610">
            <v>0</v>
          </cell>
          <cell r="AA610">
            <v>12</v>
          </cell>
          <cell r="AB610">
            <v>0.33333333333333331</v>
          </cell>
          <cell r="AC610">
            <v>0.77777777777777779</v>
          </cell>
          <cell r="AD610">
            <v>36</v>
          </cell>
        </row>
        <row r="611">
          <cell r="A611">
            <v>43</v>
          </cell>
          <cell r="B611">
            <v>2</v>
          </cell>
          <cell r="C611">
            <v>3</v>
          </cell>
          <cell r="D611">
            <v>17159</v>
          </cell>
          <cell r="E611">
            <v>6</v>
          </cell>
          <cell r="F611">
            <v>24</v>
          </cell>
          <cell r="G611">
            <v>4</v>
          </cell>
          <cell r="H611">
            <v>1</v>
          </cell>
          <cell r="I611">
            <v>22</v>
          </cell>
          <cell r="J611">
            <v>3</v>
          </cell>
          <cell r="K611">
            <v>4</v>
          </cell>
          <cell r="L611">
            <v>1</v>
          </cell>
          <cell r="M611">
            <v>0</v>
          </cell>
          <cell r="N611">
            <v>0</v>
          </cell>
          <cell r="O611">
            <v>1</v>
          </cell>
          <cell r="P611">
            <v>0</v>
          </cell>
          <cell r="Q611">
            <v>0</v>
          </cell>
          <cell r="R611">
            <v>0</v>
          </cell>
          <cell r="S611">
            <v>0</v>
          </cell>
          <cell r="T611">
            <v>2</v>
          </cell>
          <cell r="U611">
            <v>0</v>
          </cell>
          <cell r="V611">
            <v>0</v>
          </cell>
          <cell r="W611">
            <v>0</v>
          </cell>
          <cell r="X611">
            <v>0</v>
          </cell>
          <cell r="Y611">
            <v>0</v>
          </cell>
          <cell r="Z611">
            <v>0</v>
          </cell>
          <cell r="AA611">
            <v>2</v>
          </cell>
          <cell r="AB611">
            <v>0.27272727272727271</v>
          </cell>
          <cell r="AC611">
            <v>0.25</v>
          </cell>
          <cell r="AD611">
            <v>6</v>
          </cell>
        </row>
        <row r="612">
          <cell r="A612">
            <v>27</v>
          </cell>
          <cell r="B612">
            <v>1</v>
          </cell>
          <cell r="C612">
            <v>2</v>
          </cell>
          <cell r="D612">
            <v>12808</v>
          </cell>
          <cell r="E612">
            <v>1</v>
          </cell>
          <cell r="F612">
            <v>16</v>
          </cell>
          <cell r="G612">
            <v>3</v>
          </cell>
          <cell r="H612">
            <v>1</v>
          </cell>
          <cell r="I612">
            <v>9</v>
          </cell>
          <cell r="J612">
            <v>3</v>
          </cell>
          <cell r="K612">
            <v>9</v>
          </cell>
          <cell r="L612">
            <v>8</v>
          </cell>
          <cell r="M612">
            <v>1</v>
          </cell>
          <cell r="N612">
            <v>0</v>
          </cell>
          <cell r="O612">
            <v>0</v>
          </cell>
          <cell r="P612">
            <v>0</v>
          </cell>
          <cell r="Q612">
            <v>0</v>
          </cell>
          <cell r="R612">
            <v>0</v>
          </cell>
          <cell r="S612">
            <v>1</v>
          </cell>
          <cell r="T612">
            <v>0</v>
          </cell>
          <cell r="U612">
            <v>0</v>
          </cell>
          <cell r="V612">
            <v>0</v>
          </cell>
          <cell r="W612">
            <v>0</v>
          </cell>
          <cell r="X612">
            <v>1</v>
          </cell>
          <cell r="Y612">
            <v>0</v>
          </cell>
          <cell r="Z612">
            <v>0</v>
          </cell>
          <cell r="AA612">
            <v>12</v>
          </cell>
          <cell r="AB612">
            <v>0.1111111111111111</v>
          </cell>
          <cell r="AC612">
            <v>0.88888888888888884</v>
          </cell>
          <cell r="AD612">
            <v>24</v>
          </cell>
        </row>
        <row r="613">
          <cell r="A613">
            <v>35</v>
          </cell>
          <cell r="B613">
            <v>3</v>
          </cell>
          <cell r="C613">
            <v>3</v>
          </cell>
          <cell r="D613">
            <v>10221</v>
          </cell>
          <cell r="E613">
            <v>3</v>
          </cell>
          <cell r="F613">
            <v>21</v>
          </cell>
          <cell r="G613">
            <v>4</v>
          </cell>
          <cell r="H613">
            <v>0</v>
          </cell>
          <cell r="I613">
            <v>17</v>
          </cell>
          <cell r="J613">
            <v>3</v>
          </cell>
          <cell r="K613">
            <v>8</v>
          </cell>
          <cell r="L613">
            <v>5</v>
          </cell>
          <cell r="M613">
            <v>0</v>
          </cell>
          <cell r="N613">
            <v>0</v>
          </cell>
          <cell r="O613">
            <v>0</v>
          </cell>
          <cell r="P613">
            <v>0</v>
          </cell>
          <cell r="Q613">
            <v>0</v>
          </cell>
          <cell r="R613">
            <v>1</v>
          </cell>
          <cell r="S613">
            <v>0</v>
          </cell>
          <cell r="T613">
            <v>0</v>
          </cell>
          <cell r="U613">
            <v>0</v>
          </cell>
          <cell r="V613">
            <v>0</v>
          </cell>
          <cell r="W613">
            <v>3</v>
          </cell>
          <cell r="X613">
            <v>0</v>
          </cell>
          <cell r="Y613">
            <v>0</v>
          </cell>
          <cell r="Z613">
            <v>0</v>
          </cell>
          <cell r="AA613">
            <v>9</v>
          </cell>
          <cell r="AB613">
            <v>0.17647058823529413</v>
          </cell>
          <cell r="AC613">
            <v>0.625</v>
          </cell>
          <cell r="AD613">
            <v>18</v>
          </cell>
        </row>
        <row r="614">
          <cell r="A614">
            <v>28</v>
          </cell>
          <cell r="B614">
            <v>4</v>
          </cell>
          <cell r="C614">
            <v>3</v>
          </cell>
          <cell r="D614">
            <v>4779</v>
          </cell>
          <cell r="E614">
            <v>1</v>
          </cell>
          <cell r="F614">
            <v>20</v>
          </cell>
          <cell r="G614">
            <v>4</v>
          </cell>
          <cell r="H614">
            <v>0</v>
          </cell>
          <cell r="I614">
            <v>8</v>
          </cell>
          <cell r="J614">
            <v>2</v>
          </cell>
          <cell r="K614">
            <v>8</v>
          </cell>
          <cell r="L614">
            <v>7</v>
          </cell>
          <cell r="M614">
            <v>1</v>
          </cell>
          <cell r="N614">
            <v>1</v>
          </cell>
          <cell r="O614">
            <v>0</v>
          </cell>
          <cell r="P614">
            <v>1</v>
          </cell>
          <cell r="Q614">
            <v>0</v>
          </cell>
          <cell r="R614">
            <v>0</v>
          </cell>
          <cell r="S614">
            <v>0</v>
          </cell>
          <cell r="T614">
            <v>0</v>
          </cell>
          <cell r="U614">
            <v>4</v>
          </cell>
          <cell r="V614">
            <v>0</v>
          </cell>
          <cell r="W614">
            <v>0</v>
          </cell>
          <cell r="X614">
            <v>0</v>
          </cell>
          <cell r="Y614">
            <v>0</v>
          </cell>
          <cell r="Z614">
            <v>1</v>
          </cell>
          <cell r="AA614">
            <v>4</v>
          </cell>
          <cell r="AB614">
            <v>0.125</v>
          </cell>
          <cell r="AC614">
            <v>0.875</v>
          </cell>
          <cell r="AD614">
            <v>4</v>
          </cell>
        </row>
        <row r="615">
          <cell r="A615">
            <v>34</v>
          </cell>
          <cell r="B615">
            <v>2</v>
          </cell>
          <cell r="C615">
            <v>3</v>
          </cell>
          <cell r="D615">
            <v>3737</v>
          </cell>
          <cell r="E615">
            <v>0</v>
          </cell>
          <cell r="F615">
            <v>19</v>
          </cell>
          <cell r="G615">
            <v>3</v>
          </cell>
          <cell r="H615">
            <v>1</v>
          </cell>
          <cell r="I615">
            <v>4</v>
          </cell>
          <cell r="J615">
            <v>1</v>
          </cell>
          <cell r="K615">
            <v>3</v>
          </cell>
          <cell r="L615">
            <v>2</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12</v>
          </cell>
          <cell r="AB615">
            <v>0</v>
          </cell>
          <cell r="AC615">
            <v>0.66666666666666663</v>
          </cell>
          <cell r="AD615">
            <v>36</v>
          </cell>
        </row>
        <row r="616">
          <cell r="A616">
            <v>26</v>
          </cell>
          <cell r="B616">
            <v>2</v>
          </cell>
          <cell r="C616">
            <v>2</v>
          </cell>
          <cell r="D616">
            <v>2366</v>
          </cell>
          <cell r="E616">
            <v>1</v>
          </cell>
          <cell r="F616">
            <v>14</v>
          </cell>
          <cell r="G616">
            <v>3</v>
          </cell>
          <cell r="H616">
            <v>1</v>
          </cell>
          <cell r="I616">
            <v>8</v>
          </cell>
          <cell r="J616">
            <v>2</v>
          </cell>
          <cell r="K616">
            <v>8</v>
          </cell>
          <cell r="L616">
            <v>7</v>
          </cell>
          <cell r="M616">
            <v>1</v>
          </cell>
          <cell r="N616">
            <v>1</v>
          </cell>
          <cell r="O616">
            <v>0</v>
          </cell>
          <cell r="P616">
            <v>0</v>
          </cell>
          <cell r="Q616">
            <v>1</v>
          </cell>
          <cell r="R616">
            <v>0</v>
          </cell>
          <cell r="S616">
            <v>0</v>
          </cell>
          <cell r="T616">
            <v>0</v>
          </cell>
          <cell r="U616">
            <v>0</v>
          </cell>
          <cell r="V616">
            <v>2</v>
          </cell>
          <cell r="W616">
            <v>0</v>
          </cell>
          <cell r="X616">
            <v>0</v>
          </cell>
          <cell r="Y616">
            <v>1</v>
          </cell>
          <cell r="Z616">
            <v>1</v>
          </cell>
          <cell r="AA616">
            <v>9</v>
          </cell>
          <cell r="AB616">
            <v>0.125</v>
          </cell>
          <cell r="AC616">
            <v>0.875</v>
          </cell>
          <cell r="AD616">
            <v>9</v>
          </cell>
        </row>
        <row r="617">
          <cell r="A617">
            <v>27</v>
          </cell>
          <cell r="B617">
            <v>3</v>
          </cell>
          <cell r="C617">
            <v>3</v>
          </cell>
          <cell r="D617">
            <v>1706</v>
          </cell>
          <cell r="E617">
            <v>1</v>
          </cell>
          <cell r="F617">
            <v>11</v>
          </cell>
          <cell r="G617">
            <v>3</v>
          </cell>
          <cell r="H617">
            <v>3</v>
          </cell>
          <cell r="I617">
            <v>0</v>
          </cell>
          <cell r="J617">
            <v>6</v>
          </cell>
          <cell r="K617">
            <v>0</v>
          </cell>
          <cell r="L617">
            <v>0</v>
          </cell>
          <cell r="M617">
            <v>0</v>
          </cell>
          <cell r="N617">
            <v>0</v>
          </cell>
          <cell r="O617">
            <v>0</v>
          </cell>
          <cell r="P617">
            <v>0</v>
          </cell>
          <cell r="Q617">
            <v>1</v>
          </cell>
          <cell r="R617">
            <v>0</v>
          </cell>
          <cell r="S617">
            <v>0</v>
          </cell>
          <cell r="T617">
            <v>0</v>
          </cell>
          <cell r="U617">
            <v>0</v>
          </cell>
          <cell r="V617">
            <v>3</v>
          </cell>
          <cell r="W617">
            <v>0</v>
          </cell>
          <cell r="X617">
            <v>0</v>
          </cell>
          <cell r="Y617">
            <v>0</v>
          </cell>
          <cell r="Z617">
            <v>0</v>
          </cell>
          <cell r="AA617">
            <v>16</v>
          </cell>
          <cell r="AB617">
            <v>0</v>
          </cell>
          <cell r="AC617">
            <v>0</v>
          </cell>
          <cell r="AD617">
            <v>48</v>
          </cell>
        </row>
        <row r="618">
          <cell r="A618">
            <v>51</v>
          </cell>
          <cell r="B618">
            <v>4</v>
          </cell>
          <cell r="C618">
            <v>3</v>
          </cell>
          <cell r="D618">
            <v>16307</v>
          </cell>
          <cell r="E618">
            <v>2</v>
          </cell>
          <cell r="F618">
            <v>14</v>
          </cell>
          <cell r="G618">
            <v>3</v>
          </cell>
          <cell r="H618">
            <v>1</v>
          </cell>
          <cell r="I618">
            <v>29</v>
          </cell>
          <cell r="J618">
            <v>2</v>
          </cell>
          <cell r="K618">
            <v>20</v>
          </cell>
          <cell r="L618">
            <v>6</v>
          </cell>
          <cell r="M618">
            <v>0</v>
          </cell>
          <cell r="N618">
            <v>1</v>
          </cell>
          <cell r="O618">
            <v>0</v>
          </cell>
          <cell r="P618">
            <v>1</v>
          </cell>
          <cell r="Q618">
            <v>0</v>
          </cell>
          <cell r="R618">
            <v>0</v>
          </cell>
          <cell r="S618">
            <v>0</v>
          </cell>
          <cell r="T618">
            <v>0</v>
          </cell>
          <cell r="U618">
            <v>4</v>
          </cell>
          <cell r="V618">
            <v>0</v>
          </cell>
          <cell r="W618">
            <v>0</v>
          </cell>
          <cell r="X618">
            <v>0</v>
          </cell>
          <cell r="Y618">
            <v>0</v>
          </cell>
          <cell r="Z618">
            <v>0</v>
          </cell>
          <cell r="AA618">
            <v>3</v>
          </cell>
          <cell r="AB618">
            <v>6.8965517241379309E-2</v>
          </cell>
          <cell r="AC618">
            <v>0.3</v>
          </cell>
          <cell r="AD618">
            <v>9</v>
          </cell>
        </row>
        <row r="619">
          <cell r="A619">
            <v>44</v>
          </cell>
          <cell r="B619">
            <v>3</v>
          </cell>
          <cell r="C619">
            <v>3</v>
          </cell>
          <cell r="D619">
            <v>5933</v>
          </cell>
          <cell r="E619">
            <v>9</v>
          </cell>
          <cell r="F619">
            <v>12</v>
          </cell>
          <cell r="G619">
            <v>3</v>
          </cell>
          <cell r="H619">
            <v>0</v>
          </cell>
          <cell r="I619">
            <v>10</v>
          </cell>
          <cell r="J619">
            <v>2</v>
          </cell>
          <cell r="K619">
            <v>5</v>
          </cell>
          <cell r="L619">
            <v>2</v>
          </cell>
          <cell r="M619">
            <v>0</v>
          </cell>
          <cell r="N619">
            <v>0</v>
          </cell>
          <cell r="O619">
            <v>0</v>
          </cell>
          <cell r="P619">
            <v>0</v>
          </cell>
          <cell r="Q619">
            <v>1</v>
          </cell>
          <cell r="R619">
            <v>0</v>
          </cell>
          <cell r="S619">
            <v>0</v>
          </cell>
          <cell r="T619">
            <v>0</v>
          </cell>
          <cell r="U619">
            <v>0</v>
          </cell>
          <cell r="V619">
            <v>3</v>
          </cell>
          <cell r="W619">
            <v>0</v>
          </cell>
          <cell r="X619">
            <v>0</v>
          </cell>
          <cell r="Y619">
            <v>0</v>
          </cell>
          <cell r="Z619">
            <v>0</v>
          </cell>
          <cell r="AA619">
            <v>8</v>
          </cell>
          <cell r="AB619">
            <v>0.9</v>
          </cell>
          <cell r="AC619">
            <v>0.4</v>
          </cell>
          <cell r="AD619">
            <v>32</v>
          </cell>
        </row>
        <row r="620">
          <cell r="A620">
            <v>25</v>
          </cell>
          <cell r="B620">
            <v>1</v>
          </cell>
          <cell r="C620">
            <v>4</v>
          </cell>
          <cell r="D620">
            <v>3424</v>
          </cell>
          <cell r="E620">
            <v>7</v>
          </cell>
          <cell r="F620">
            <v>13</v>
          </cell>
          <cell r="G620">
            <v>3</v>
          </cell>
          <cell r="H620">
            <v>0</v>
          </cell>
          <cell r="I620">
            <v>6</v>
          </cell>
          <cell r="J620">
            <v>3</v>
          </cell>
          <cell r="K620">
            <v>4</v>
          </cell>
          <cell r="L620">
            <v>3</v>
          </cell>
          <cell r="M620">
            <v>0</v>
          </cell>
          <cell r="N620">
            <v>0</v>
          </cell>
          <cell r="O620">
            <v>0</v>
          </cell>
          <cell r="P620">
            <v>0</v>
          </cell>
          <cell r="Q620">
            <v>1</v>
          </cell>
          <cell r="R620">
            <v>0</v>
          </cell>
          <cell r="S620">
            <v>0</v>
          </cell>
          <cell r="T620">
            <v>0</v>
          </cell>
          <cell r="U620">
            <v>0</v>
          </cell>
          <cell r="V620">
            <v>1</v>
          </cell>
          <cell r="W620">
            <v>0</v>
          </cell>
          <cell r="X620">
            <v>0</v>
          </cell>
          <cell r="Y620">
            <v>0</v>
          </cell>
          <cell r="Z620">
            <v>0</v>
          </cell>
          <cell r="AA620">
            <v>1</v>
          </cell>
          <cell r="AB620">
            <v>1.1666666666666667</v>
          </cell>
          <cell r="AC620">
            <v>0.75</v>
          </cell>
          <cell r="AD620">
            <v>3</v>
          </cell>
        </row>
        <row r="621">
          <cell r="A621">
            <v>33</v>
          </cell>
          <cell r="B621">
            <v>3</v>
          </cell>
          <cell r="C621">
            <v>4</v>
          </cell>
          <cell r="D621">
            <v>4037</v>
          </cell>
          <cell r="E621">
            <v>1</v>
          </cell>
          <cell r="F621">
            <v>22</v>
          </cell>
          <cell r="G621">
            <v>4</v>
          </cell>
          <cell r="H621">
            <v>1</v>
          </cell>
          <cell r="I621">
            <v>9</v>
          </cell>
          <cell r="J621">
            <v>5</v>
          </cell>
          <cell r="K621">
            <v>9</v>
          </cell>
          <cell r="L621">
            <v>8</v>
          </cell>
          <cell r="M621">
            <v>0</v>
          </cell>
          <cell r="N621">
            <v>0</v>
          </cell>
          <cell r="O621">
            <v>0</v>
          </cell>
          <cell r="P621">
            <v>0</v>
          </cell>
          <cell r="Q621">
            <v>1</v>
          </cell>
          <cell r="R621">
            <v>0</v>
          </cell>
          <cell r="S621">
            <v>0</v>
          </cell>
          <cell r="T621">
            <v>0</v>
          </cell>
          <cell r="U621">
            <v>0</v>
          </cell>
          <cell r="V621">
            <v>3</v>
          </cell>
          <cell r="W621">
            <v>0</v>
          </cell>
          <cell r="X621">
            <v>0</v>
          </cell>
          <cell r="Y621">
            <v>0</v>
          </cell>
          <cell r="Z621">
            <v>0</v>
          </cell>
          <cell r="AA621">
            <v>1</v>
          </cell>
          <cell r="AB621">
            <v>0.1111111111111111</v>
          </cell>
          <cell r="AC621">
            <v>0.88888888888888884</v>
          </cell>
          <cell r="AD621">
            <v>1</v>
          </cell>
        </row>
        <row r="622">
          <cell r="A622">
            <v>35</v>
          </cell>
          <cell r="B622">
            <v>1</v>
          </cell>
          <cell r="C622">
            <v>2</v>
          </cell>
          <cell r="D622">
            <v>2559</v>
          </cell>
          <cell r="E622">
            <v>1</v>
          </cell>
          <cell r="F622">
            <v>11</v>
          </cell>
          <cell r="G622">
            <v>3</v>
          </cell>
          <cell r="H622">
            <v>0</v>
          </cell>
          <cell r="I622">
            <v>6</v>
          </cell>
          <cell r="J622">
            <v>3</v>
          </cell>
          <cell r="K622">
            <v>6</v>
          </cell>
          <cell r="L622">
            <v>5</v>
          </cell>
          <cell r="M622">
            <v>0</v>
          </cell>
          <cell r="N622">
            <v>1</v>
          </cell>
          <cell r="O622">
            <v>0</v>
          </cell>
          <cell r="P622">
            <v>0</v>
          </cell>
          <cell r="Q622">
            <v>1</v>
          </cell>
          <cell r="R622">
            <v>0</v>
          </cell>
          <cell r="S622">
            <v>0</v>
          </cell>
          <cell r="T622">
            <v>0</v>
          </cell>
          <cell r="U622">
            <v>0</v>
          </cell>
          <cell r="V622">
            <v>1</v>
          </cell>
          <cell r="W622">
            <v>0</v>
          </cell>
          <cell r="X622">
            <v>0</v>
          </cell>
          <cell r="Y622">
            <v>0</v>
          </cell>
          <cell r="Z622">
            <v>0</v>
          </cell>
          <cell r="AA622">
            <v>3</v>
          </cell>
          <cell r="AB622">
            <v>0.16666666666666666</v>
          </cell>
          <cell r="AC622">
            <v>0.83333333333333337</v>
          </cell>
          <cell r="AD622">
            <v>12</v>
          </cell>
        </row>
        <row r="623">
          <cell r="A623">
            <v>36</v>
          </cell>
          <cell r="B623">
            <v>2</v>
          </cell>
          <cell r="C623">
            <v>3</v>
          </cell>
          <cell r="D623">
            <v>6201</v>
          </cell>
          <cell r="E623">
            <v>1</v>
          </cell>
          <cell r="F623">
            <v>14</v>
          </cell>
          <cell r="G623">
            <v>3</v>
          </cell>
          <cell r="H623">
            <v>1</v>
          </cell>
          <cell r="I623">
            <v>18</v>
          </cell>
          <cell r="J623">
            <v>1</v>
          </cell>
          <cell r="K623">
            <v>18</v>
          </cell>
          <cell r="L623">
            <v>14</v>
          </cell>
          <cell r="M623">
            <v>1</v>
          </cell>
          <cell r="N623">
            <v>0</v>
          </cell>
          <cell r="O623">
            <v>1</v>
          </cell>
          <cell r="P623">
            <v>0</v>
          </cell>
          <cell r="Q623">
            <v>0</v>
          </cell>
          <cell r="R623">
            <v>0</v>
          </cell>
          <cell r="S623">
            <v>0</v>
          </cell>
          <cell r="T623">
            <v>2</v>
          </cell>
          <cell r="U623">
            <v>0</v>
          </cell>
          <cell r="V623">
            <v>0</v>
          </cell>
          <cell r="W623">
            <v>0</v>
          </cell>
          <cell r="X623">
            <v>0</v>
          </cell>
          <cell r="Y623">
            <v>0</v>
          </cell>
          <cell r="Z623">
            <v>1</v>
          </cell>
          <cell r="AA623">
            <v>8</v>
          </cell>
          <cell r="AB623">
            <v>5.5555555555555552E-2</v>
          </cell>
          <cell r="AC623">
            <v>0.77777777777777779</v>
          </cell>
          <cell r="AD623">
            <v>32</v>
          </cell>
        </row>
        <row r="624">
          <cell r="A624">
            <v>32</v>
          </cell>
          <cell r="B624">
            <v>4</v>
          </cell>
          <cell r="C624">
            <v>3</v>
          </cell>
          <cell r="D624">
            <v>4403</v>
          </cell>
          <cell r="E624">
            <v>2</v>
          </cell>
          <cell r="F624">
            <v>11</v>
          </cell>
          <cell r="G624">
            <v>3</v>
          </cell>
          <cell r="H624">
            <v>1</v>
          </cell>
          <cell r="I624">
            <v>8</v>
          </cell>
          <cell r="J624">
            <v>3</v>
          </cell>
          <cell r="K624">
            <v>5</v>
          </cell>
          <cell r="L624">
            <v>2</v>
          </cell>
          <cell r="M624">
            <v>0</v>
          </cell>
          <cell r="N624">
            <v>0</v>
          </cell>
          <cell r="O624">
            <v>1</v>
          </cell>
          <cell r="P624">
            <v>0</v>
          </cell>
          <cell r="Q624">
            <v>0</v>
          </cell>
          <cell r="R624">
            <v>0</v>
          </cell>
          <cell r="S624">
            <v>0</v>
          </cell>
          <cell r="T624">
            <v>4</v>
          </cell>
          <cell r="U624">
            <v>0</v>
          </cell>
          <cell r="V624">
            <v>0</v>
          </cell>
          <cell r="W624">
            <v>0</v>
          </cell>
          <cell r="X624">
            <v>0</v>
          </cell>
          <cell r="Y624">
            <v>0</v>
          </cell>
          <cell r="Z624">
            <v>0</v>
          </cell>
          <cell r="AA624">
            <v>8</v>
          </cell>
          <cell r="AB624">
            <v>0.25</v>
          </cell>
          <cell r="AC624">
            <v>0.4</v>
          </cell>
          <cell r="AD624">
            <v>24</v>
          </cell>
        </row>
        <row r="625">
          <cell r="A625">
            <v>30</v>
          </cell>
          <cell r="B625">
            <v>4</v>
          </cell>
          <cell r="C625">
            <v>2</v>
          </cell>
          <cell r="D625">
            <v>3761</v>
          </cell>
          <cell r="E625">
            <v>9</v>
          </cell>
          <cell r="F625">
            <v>12</v>
          </cell>
          <cell r="G625">
            <v>3</v>
          </cell>
          <cell r="H625">
            <v>1</v>
          </cell>
          <cell r="I625">
            <v>10</v>
          </cell>
          <cell r="J625">
            <v>3</v>
          </cell>
          <cell r="K625">
            <v>5</v>
          </cell>
          <cell r="L625">
            <v>4</v>
          </cell>
          <cell r="M625">
            <v>0</v>
          </cell>
          <cell r="N625">
            <v>0</v>
          </cell>
          <cell r="O625">
            <v>1</v>
          </cell>
          <cell r="P625">
            <v>0</v>
          </cell>
          <cell r="Q625">
            <v>0</v>
          </cell>
          <cell r="R625">
            <v>0</v>
          </cell>
          <cell r="S625">
            <v>0</v>
          </cell>
          <cell r="T625">
            <v>4</v>
          </cell>
          <cell r="U625">
            <v>0</v>
          </cell>
          <cell r="V625">
            <v>0</v>
          </cell>
          <cell r="W625">
            <v>0</v>
          </cell>
          <cell r="X625">
            <v>0</v>
          </cell>
          <cell r="Y625">
            <v>0</v>
          </cell>
          <cell r="Z625">
            <v>0</v>
          </cell>
          <cell r="AA625">
            <v>8</v>
          </cell>
          <cell r="AB625">
            <v>0.9</v>
          </cell>
          <cell r="AC625">
            <v>0.8</v>
          </cell>
          <cell r="AD625">
            <v>16</v>
          </cell>
        </row>
        <row r="626">
          <cell r="A626">
            <v>53</v>
          </cell>
          <cell r="B626">
            <v>2</v>
          </cell>
          <cell r="C626">
            <v>2</v>
          </cell>
          <cell r="D626">
            <v>10934</v>
          </cell>
          <cell r="E626">
            <v>7</v>
          </cell>
          <cell r="F626">
            <v>18</v>
          </cell>
          <cell r="G626">
            <v>3</v>
          </cell>
          <cell r="H626">
            <v>1</v>
          </cell>
          <cell r="I626">
            <v>35</v>
          </cell>
          <cell r="J626">
            <v>3</v>
          </cell>
          <cell r="K626">
            <v>5</v>
          </cell>
          <cell r="L626">
            <v>2</v>
          </cell>
          <cell r="M626">
            <v>1</v>
          </cell>
          <cell r="N626">
            <v>1</v>
          </cell>
          <cell r="O626">
            <v>0</v>
          </cell>
          <cell r="P626">
            <v>1</v>
          </cell>
          <cell r="Q626">
            <v>0</v>
          </cell>
          <cell r="R626">
            <v>0</v>
          </cell>
          <cell r="S626">
            <v>0</v>
          </cell>
          <cell r="T626">
            <v>0</v>
          </cell>
          <cell r="U626">
            <v>2</v>
          </cell>
          <cell r="V626">
            <v>0</v>
          </cell>
          <cell r="W626">
            <v>0</v>
          </cell>
          <cell r="X626">
            <v>0</v>
          </cell>
          <cell r="Y626">
            <v>0</v>
          </cell>
          <cell r="Z626">
            <v>1</v>
          </cell>
          <cell r="AA626">
            <v>4</v>
          </cell>
          <cell r="AB626">
            <v>0.2</v>
          </cell>
          <cell r="AC626">
            <v>0.4</v>
          </cell>
          <cell r="AD626">
            <v>16</v>
          </cell>
        </row>
        <row r="627">
          <cell r="A627">
            <v>45</v>
          </cell>
          <cell r="B627">
            <v>3</v>
          </cell>
          <cell r="C627">
            <v>3</v>
          </cell>
          <cell r="D627">
            <v>10761</v>
          </cell>
          <cell r="E627">
            <v>4</v>
          </cell>
          <cell r="F627">
            <v>12</v>
          </cell>
          <cell r="G627">
            <v>3</v>
          </cell>
          <cell r="H627">
            <v>1</v>
          </cell>
          <cell r="I627">
            <v>18</v>
          </cell>
          <cell r="J627">
            <v>2</v>
          </cell>
          <cell r="K627">
            <v>5</v>
          </cell>
          <cell r="L627">
            <v>4</v>
          </cell>
          <cell r="M627">
            <v>1</v>
          </cell>
          <cell r="N627">
            <v>0</v>
          </cell>
          <cell r="O627">
            <v>0</v>
          </cell>
          <cell r="P627">
            <v>1</v>
          </cell>
          <cell r="Q627">
            <v>0</v>
          </cell>
          <cell r="R627">
            <v>0</v>
          </cell>
          <cell r="S627">
            <v>0</v>
          </cell>
          <cell r="T627">
            <v>0</v>
          </cell>
          <cell r="U627">
            <v>3</v>
          </cell>
          <cell r="V627">
            <v>0</v>
          </cell>
          <cell r="W627">
            <v>0</v>
          </cell>
          <cell r="X627">
            <v>0</v>
          </cell>
          <cell r="Y627">
            <v>0</v>
          </cell>
          <cell r="Z627">
            <v>0</v>
          </cell>
          <cell r="AA627">
            <v>4</v>
          </cell>
          <cell r="AB627">
            <v>0.22222222222222221</v>
          </cell>
          <cell r="AC627">
            <v>0.8</v>
          </cell>
          <cell r="AD627">
            <v>12</v>
          </cell>
        </row>
        <row r="628">
          <cell r="A628">
            <v>32</v>
          </cell>
          <cell r="B628">
            <v>2</v>
          </cell>
          <cell r="C628">
            <v>4</v>
          </cell>
          <cell r="D628">
            <v>5175</v>
          </cell>
          <cell r="E628">
            <v>5</v>
          </cell>
          <cell r="F628">
            <v>12</v>
          </cell>
          <cell r="G628">
            <v>3</v>
          </cell>
          <cell r="H628">
            <v>1</v>
          </cell>
          <cell r="I628">
            <v>9</v>
          </cell>
          <cell r="J628">
            <v>3</v>
          </cell>
          <cell r="K628">
            <v>5</v>
          </cell>
          <cell r="L628">
            <v>3</v>
          </cell>
          <cell r="M628">
            <v>0</v>
          </cell>
          <cell r="N628">
            <v>1</v>
          </cell>
          <cell r="O628">
            <v>0</v>
          </cell>
          <cell r="P628">
            <v>0</v>
          </cell>
          <cell r="Q628">
            <v>1</v>
          </cell>
          <cell r="R628">
            <v>0</v>
          </cell>
          <cell r="S628">
            <v>0</v>
          </cell>
          <cell r="T628">
            <v>0</v>
          </cell>
          <cell r="U628">
            <v>0</v>
          </cell>
          <cell r="V628">
            <v>2</v>
          </cell>
          <cell r="W628">
            <v>0</v>
          </cell>
          <cell r="X628">
            <v>0</v>
          </cell>
          <cell r="Y628">
            <v>0</v>
          </cell>
          <cell r="Z628">
            <v>0</v>
          </cell>
          <cell r="AA628">
            <v>9</v>
          </cell>
          <cell r="AB628">
            <v>0.55555555555555558</v>
          </cell>
          <cell r="AC628">
            <v>0.6</v>
          </cell>
          <cell r="AD628">
            <v>27</v>
          </cell>
        </row>
        <row r="629">
          <cell r="A629">
            <v>52</v>
          </cell>
          <cell r="B629">
            <v>4</v>
          </cell>
          <cell r="C629">
            <v>2</v>
          </cell>
          <cell r="D629">
            <v>13826</v>
          </cell>
          <cell r="E629">
            <v>3</v>
          </cell>
          <cell r="F629">
            <v>22</v>
          </cell>
          <cell r="G629">
            <v>4</v>
          </cell>
          <cell r="H629">
            <v>0</v>
          </cell>
          <cell r="I629">
            <v>31</v>
          </cell>
          <cell r="J629">
            <v>3</v>
          </cell>
          <cell r="K629">
            <v>9</v>
          </cell>
          <cell r="L629">
            <v>8</v>
          </cell>
          <cell r="M629">
            <v>0</v>
          </cell>
          <cell r="N629">
            <v>1</v>
          </cell>
          <cell r="O629">
            <v>0</v>
          </cell>
          <cell r="P629">
            <v>0</v>
          </cell>
          <cell r="Q629">
            <v>1</v>
          </cell>
          <cell r="R629">
            <v>0</v>
          </cell>
          <cell r="S629">
            <v>0</v>
          </cell>
          <cell r="T629">
            <v>0</v>
          </cell>
          <cell r="U629">
            <v>0</v>
          </cell>
          <cell r="V629">
            <v>4</v>
          </cell>
          <cell r="W629">
            <v>0</v>
          </cell>
          <cell r="X629">
            <v>0</v>
          </cell>
          <cell r="Y629">
            <v>1</v>
          </cell>
          <cell r="Z629">
            <v>0</v>
          </cell>
          <cell r="AA629">
            <v>12</v>
          </cell>
          <cell r="AB629">
            <v>9.6774193548387094E-2</v>
          </cell>
          <cell r="AC629">
            <v>0.88888888888888884</v>
          </cell>
          <cell r="AD629">
            <v>36</v>
          </cell>
        </row>
        <row r="630">
          <cell r="A630">
            <v>37</v>
          </cell>
          <cell r="B630">
            <v>4</v>
          </cell>
          <cell r="C630">
            <v>2</v>
          </cell>
          <cell r="D630">
            <v>6334</v>
          </cell>
          <cell r="E630">
            <v>4</v>
          </cell>
          <cell r="F630">
            <v>19</v>
          </cell>
          <cell r="G630">
            <v>3</v>
          </cell>
          <cell r="H630">
            <v>2</v>
          </cell>
          <cell r="I630">
            <v>9</v>
          </cell>
          <cell r="J630">
            <v>2</v>
          </cell>
          <cell r="K630">
            <v>1</v>
          </cell>
          <cell r="L630">
            <v>0</v>
          </cell>
          <cell r="M630">
            <v>0</v>
          </cell>
          <cell r="N630">
            <v>0</v>
          </cell>
          <cell r="O630">
            <v>0</v>
          </cell>
          <cell r="P630">
            <v>1</v>
          </cell>
          <cell r="Q630">
            <v>0</v>
          </cell>
          <cell r="R630">
            <v>0</v>
          </cell>
          <cell r="S630">
            <v>0</v>
          </cell>
          <cell r="T630">
            <v>0</v>
          </cell>
          <cell r="U630">
            <v>4</v>
          </cell>
          <cell r="V630">
            <v>0</v>
          </cell>
          <cell r="W630">
            <v>0</v>
          </cell>
          <cell r="X630">
            <v>0</v>
          </cell>
          <cell r="Y630">
            <v>0</v>
          </cell>
          <cell r="Z630">
            <v>0</v>
          </cell>
          <cell r="AA630">
            <v>12</v>
          </cell>
          <cell r="AB630">
            <v>0.44444444444444442</v>
          </cell>
          <cell r="AC630">
            <v>0</v>
          </cell>
          <cell r="AD630">
            <v>48</v>
          </cell>
        </row>
        <row r="631">
          <cell r="A631">
            <v>28</v>
          </cell>
          <cell r="B631">
            <v>2</v>
          </cell>
          <cell r="C631">
            <v>2</v>
          </cell>
          <cell r="D631">
            <v>4936</v>
          </cell>
          <cell r="E631">
            <v>1</v>
          </cell>
          <cell r="F631">
            <v>13</v>
          </cell>
          <cell r="G631">
            <v>3</v>
          </cell>
          <cell r="H631">
            <v>1</v>
          </cell>
          <cell r="I631">
            <v>6</v>
          </cell>
          <cell r="J631">
            <v>6</v>
          </cell>
          <cell r="K631">
            <v>5</v>
          </cell>
          <cell r="L631">
            <v>1</v>
          </cell>
          <cell r="M631">
            <v>0</v>
          </cell>
          <cell r="N631">
            <v>0</v>
          </cell>
          <cell r="O631">
            <v>0</v>
          </cell>
          <cell r="P631">
            <v>0</v>
          </cell>
          <cell r="Q631">
            <v>1</v>
          </cell>
          <cell r="R631">
            <v>0</v>
          </cell>
          <cell r="S631">
            <v>0</v>
          </cell>
          <cell r="T631">
            <v>0</v>
          </cell>
          <cell r="U631">
            <v>0</v>
          </cell>
          <cell r="V631">
            <v>2</v>
          </cell>
          <cell r="W631">
            <v>0</v>
          </cell>
          <cell r="X631">
            <v>0</v>
          </cell>
          <cell r="Y631">
            <v>0</v>
          </cell>
          <cell r="Z631">
            <v>0</v>
          </cell>
          <cell r="AA631">
            <v>8</v>
          </cell>
          <cell r="AB631">
            <v>0.16666666666666666</v>
          </cell>
          <cell r="AC631">
            <v>0.2</v>
          </cell>
          <cell r="AD631">
            <v>32</v>
          </cell>
        </row>
        <row r="632">
          <cell r="A632">
            <v>22</v>
          </cell>
          <cell r="B632">
            <v>2</v>
          </cell>
          <cell r="C632">
            <v>2</v>
          </cell>
          <cell r="D632">
            <v>4775</v>
          </cell>
          <cell r="E632">
            <v>6</v>
          </cell>
          <cell r="F632">
            <v>22</v>
          </cell>
          <cell r="G632">
            <v>4</v>
          </cell>
          <cell r="H632">
            <v>2</v>
          </cell>
          <cell r="I632">
            <v>4</v>
          </cell>
          <cell r="J632">
            <v>2</v>
          </cell>
          <cell r="K632">
            <v>2</v>
          </cell>
          <cell r="L632">
            <v>2</v>
          </cell>
          <cell r="M632">
            <v>0</v>
          </cell>
          <cell r="N632">
            <v>0</v>
          </cell>
          <cell r="O632">
            <v>1</v>
          </cell>
          <cell r="P632">
            <v>0</v>
          </cell>
          <cell r="Q632">
            <v>0</v>
          </cell>
          <cell r="R632">
            <v>0</v>
          </cell>
          <cell r="S632">
            <v>0</v>
          </cell>
          <cell r="T632">
            <v>2</v>
          </cell>
          <cell r="U632">
            <v>0</v>
          </cell>
          <cell r="V632">
            <v>0</v>
          </cell>
          <cell r="W632">
            <v>0</v>
          </cell>
          <cell r="X632">
            <v>0</v>
          </cell>
          <cell r="Y632">
            <v>0</v>
          </cell>
          <cell r="Z632">
            <v>0</v>
          </cell>
          <cell r="AA632">
            <v>16</v>
          </cell>
          <cell r="AB632">
            <v>1.5</v>
          </cell>
          <cell r="AC632">
            <v>1</v>
          </cell>
          <cell r="AD632">
            <v>16</v>
          </cell>
        </row>
        <row r="633">
          <cell r="A633">
            <v>44</v>
          </cell>
          <cell r="B633">
            <v>4</v>
          </cell>
          <cell r="C633">
            <v>4</v>
          </cell>
          <cell r="D633">
            <v>2818</v>
          </cell>
          <cell r="E633">
            <v>2</v>
          </cell>
          <cell r="F633">
            <v>24</v>
          </cell>
          <cell r="G633">
            <v>4</v>
          </cell>
          <cell r="H633">
            <v>1</v>
          </cell>
          <cell r="I633">
            <v>10</v>
          </cell>
          <cell r="J633">
            <v>2</v>
          </cell>
          <cell r="K633">
            <v>3</v>
          </cell>
          <cell r="L633">
            <v>2</v>
          </cell>
          <cell r="M633">
            <v>1</v>
          </cell>
          <cell r="N633">
            <v>0</v>
          </cell>
          <cell r="O633">
            <v>1</v>
          </cell>
          <cell r="P633">
            <v>0</v>
          </cell>
          <cell r="Q633">
            <v>0</v>
          </cell>
          <cell r="R633">
            <v>0</v>
          </cell>
          <cell r="S633">
            <v>0</v>
          </cell>
          <cell r="T633">
            <v>4</v>
          </cell>
          <cell r="U633">
            <v>0</v>
          </cell>
          <cell r="V633">
            <v>0</v>
          </cell>
          <cell r="W633">
            <v>0</v>
          </cell>
          <cell r="X633">
            <v>0</v>
          </cell>
          <cell r="Y633">
            <v>0</v>
          </cell>
          <cell r="Z633">
            <v>1</v>
          </cell>
          <cell r="AA633">
            <v>4</v>
          </cell>
          <cell r="AB633">
            <v>0.2</v>
          </cell>
          <cell r="AC633">
            <v>0.66666666666666663</v>
          </cell>
          <cell r="AD633">
            <v>12</v>
          </cell>
        </row>
        <row r="634">
          <cell r="A634">
            <v>42</v>
          </cell>
          <cell r="B634">
            <v>1</v>
          </cell>
          <cell r="C634">
            <v>3</v>
          </cell>
          <cell r="D634">
            <v>2515</v>
          </cell>
          <cell r="E634">
            <v>5</v>
          </cell>
          <cell r="F634">
            <v>14</v>
          </cell>
          <cell r="G634">
            <v>3</v>
          </cell>
          <cell r="H634">
            <v>0</v>
          </cell>
          <cell r="I634">
            <v>8</v>
          </cell>
          <cell r="J634">
            <v>2</v>
          </cell>
          <cell r="K634">
            <v>2</v>
          </cell>
          <cell r="L634">
            <v>1</v>
          </cell>
          <cell r="M634">
            <v>1</v>
          </cell>
          <cell r="N634">
            <v>0</v>
          </cell>
          <cell r="O634">
            <v>0</v>
          </cell>
          <cell r="P634">
            <v>0</v>
          </cell>
          <cell r="Q634">
            <v>1</v>
          </cell>
          <cell r="R634">
            <v>0</v>
          </cell>
          <cell r="S634">
            <v>0</v>
          </cell>
          <cell r="T634">
            <v>0</v>
          </cell>
          <cell r="U634">
            <v>0</v>
          </cell>
          <cell r="V634">
            <v>1</v>
          </cell>
          <cell r="W634">
            <v>0</v>
          </cell>
          <cell r="X634">
            <v>0</v>
          </cell>
          <cell r="Y634">
            <v>0</v>
          </cell>
          <cell r="Z634">
            <v>0</v>
          </cell>
          <cell r="AA634">
            <v>8</v>
          </cell>
          <cell r="AB634">
            <v>0.625</v>
          </cell>
          <cell r="AC634">
            <v>0.5</v>
          </cell>
          <cell r="AD634">
            <v>32</v>
          </cell>
        </row>
        <row r="635">
          <cell r="A635">
            <v>36</v>
          </cell>
          <cell r="B635">
            <v>3</v>
          </cell>
          <cell r="C635">
            <v>2</v>
          </cell>
          <cell r="D635">
            <v>2342</v>
          </cell>
          <cell r="E635">
            <v>0</v>
          </cell>
          <cell r="F635">
            <v>21</v>
          </cell>
          <cell r="G635">
            <v>4</v>
          </cell>
          <cell r="H635">
            <v>0</v>
          </cell>
          <cell r="I635">
            <v>6</v>
          </cell>
          <cell r="J635">
            <v>3</v>
          </cell>
          <cell r="K635">
            <v>5</v>
          </cell>
          <cell r="L635">
            <v>4</v>
          </cell>
          <cell r="M635">
            <v>0</v>
          </cell>
          <cell r="N635">
            <v>0</v>
          </cell>
          <cell r="O635">
            <v>1</v>
          </cell>
          <cell r="P635">
            <v>0</v>
          </cell>
          <cell r="Q635">
            <v>0</v>
          </cell>
          <cell r="R635">
            <v>0</v>
          </cell>
          <cell r="S635">
            <v>0</v>
          </cell>
          <cell r="T635">
            <v>3</v>
          </cell>
          <cell r="U635">
            <v>0</v>
          </cell>
          <cell r="V635">
            <v>0</v>
          </cell>
          <cell r="W635">
            <v>0</v>
          </cell>
          <cell r="X635">
            <v>0</v>
          </cell>
          <cell r="Y635">
            <v>0</v>
          </cell>
          <cell r="Z635">
            <v>0</v>
          </cell>
          <cell r="AA635">
            <v>1</v>
          </cell>
          <cell r="AB635">
            <v>0</v>
          </cell>
          <cell r="AC635">
            <v>0.8</v>
          </cell>
          <cell r="AD635">
            <v>3</v>
          </cell>
        </row>
        <row r="636">
          <cell r="A636">
            <v>25</v>
          </cell>
          <cell r="B636">
            <v>1</v>
          </cell>
          <cell r="C636">
            <v>3</v>
          </cell>
          <cell r="D636">
            <v>4194</v>
          </cell>
          <cell r="E636">
            <v>1</v>
          </cell>
          <cell r="F636">
            <v>18</v>
          </cell>
          <cell r="G636">
            <v>3</v>
          </cell>
          <cell r="H636">
            <v>0</v>
          </cell>
          <cell r="I636">
            <v>5</v>
          </cell>
          <cell r="J636">
            <v>3</v>
          </cell>
          <cell r="K636">
            <v>5</v>
          </cell>
          <cell r="L636">
            <v>3</v>
          </cell>
          <cell r="M636">
            <v>1</v>
          </cell>
          <cell r="N636">
            <v>0</v>
          </cell>
          <cell r="O636">
            <v>0</v>
          </cell>
          <cell r="P636">
            <v>0</v>
          </cell>
          <cell r="Q636">
            <v>0</v>
          </cell>
          <cell r="R636">
            <v>1</v>
          </cell>
          <cell r="S636">
            <v>0</v>
          </cell>
          <cell r="T636">
            <v>0</v>
          </cell>
          <cell r="U636">
            <v>0</v>
          </cell>
          <cell r="V636">
            <v>0</v>
          </cell>
          <cell r="W636">
            <v>1</v>
          </cell>
          <cell r="X636">
            <v>0</v>
          </cell>
          <cell r="Y636">
            <v>0</v>
          </cell>
          <cell r="Z636">
            <v>1</v>
          </cell>
          <cell r="AA636">
            <v>3</v>
          </cell>
          <cell r="AB636">
            <v>0.2</v>
          </cell>
          <cell r="AC636">
            <v>0.6</v>
          </cell>
          <cell r="AD636">
            <v>12</v>
          </cell>
        </row>
        <row r="637">
          <cell r="A637">
            <v>35</v>
          </cell>
          <cell r="B637">
            <v>3</v>
          </cell>
          <cell r="C637">
            <v>2</v>
          </cell>
          <cell r="D637">
            <v>10685</v>
          </cell>
          <cell r="E637">
            <v>1</v>
          </cell>
          <cell r="F637">
            <v>20</v>
          </cell>
          <cell r="G637">
            <v>4</v>
          </cell>
          <cell r="H637">
            <v>1</v>
          </cell>
          <cell r="I637">
            <v>17</v>
          </cell>
          <cell r="J637">
            <v>2</v>
          </cell>
          <cell r="K637">
            <v>17</v>
          </cell>
          <cell r="L637">
            <v>14</v>
          </cell>
          <cell r="M637">
            <v>1</v>
          </cell>
          <cell r="N637">
            <v>1</v>
          </cell>
          <cell r="O637">
            <v>1</v>
          </cell>
          <cell r="P637">
            <v>0</v>
          </cell>
          <cell r="Q637">
            <v>0</v>
          </cell>
          <cell r="R637">
            <v>0</v>
          </cell>
          <cell r="S637">
            <v>0</v>
          </cell>
          <cell r="T637">
            <v>3</v>
          </cell>
          <cell r="U637">
            <v>0</v>
          </cell>
          <cell r="V637">
            <v>0</v>
          </cell>
          <cell r="W637">
            <v>0</v>
          </cell>
          <cell r="X637">
            <v>0</v>
          </cell>
          <cell r="Y637">
            <v>0</v>
          </cell>
          <cell r="Z637">
            <v>1</v>
          </cell>
          <cell r="AA637">
            <v>12</v>
          </cell>
          <cell r="AB637">
            <v>5.8823529411764705E-2</v>
          </cell>
          <cell r="AC637">
            <v>0.82352941176470584</v>
          </cell>
          <cell r="AD637">
            <v>24</v>
          </cell>
        </row>
        <row r="638">
          <cell r="A638">
            <v>35</v>
          </cell>
          <cell r="B638">
            <v>4</v>
          </cell>
          <cell r="C638">
            <v>3</v>
          </cell>
          <cell r="D638">
            <v>2022</v>
          </cell>
          <cell r="E638">
            <v>1</v>
          </cell>
          <cell r="F638">
            <v>19</v>
          </cell>
          <cell r="G638">
            <v>3</v>
          </cell>
          <cell r="H638">
            <v>1</v>
          </cell>
          <cell r="I638">
            <v>10</v>
          </cell>
          <cell r="J638">
            <v>3</v>
          </cell>
          <cell r="K638">
            <v>10</v>
          </cell>
          <cell r="L638">
            <v>2</v>
          </cell>
          <cell r="M638">
            <v>1</v>
          </cell>
          <cell r="N638">
            <v>1</v>
          </cell>
          <cell r="O638">
            <v>1</v>
          </cell>
          <cell r="P638">
            <v>0</v>
          </cell>
          <cell r="Q638">
            <v>0</v>
          </cell>
          <cell r="R638">
            <v>0</v>
          </cell>
          <cell r="S638">
            <v>0</v>
          </cell>
          <cell r="T638">
            <v>4</v>
          </cell>
          <cell r="U638">
            <v>0</v>
          </cell>
          <cell r="V638">
            <v>0</v>
          </cell>
          <cell r="W638">
            <v>0</v>
          </cell>
          <cell r="X638">
            <v>0</v>
          </cell>
          <cell r="Y638">
            <v>0</v>
          </cell>
          <cell r="Z638">
            <v>0</v>
          </cell>
          <cell r="AA638">
            <v>8</v>
          </cell>
          <cell r="AB638">
            <v>0.1</v>
          </cell>
          <cell r="AC638">
            <v>0.2</v>
          </cell>
          <cell r="AD638">
            <v>8</v>
          </cell>
        </row>
        <row r="639">
          <cell r="A639">
            <v>32</v>
          </cell>
          <cell r="B639">
            <v>3</v>
          </cell>
          <cell r="C639">
            <v>3</v>
          </cell>
          <cell r="D639">
            <v>2314</v>
          </cell>
          <cell r="E639">
            <v>0</v>
          </cell>
          <cell r="F639">
            <v>12</v>
          </cell>
          <cell r="G639">
            <v>3</v>
          </cell>
          <cell r="H639">
            <v>1</v>
          </cell>
          <cell r="I639">
            <v>4</v>
          </cell>
          <cell r="J639">
            <v>2</v>
          </cell>
          <cell r="K639">
            <v>3</v>
          </cell>
          <cell r="L639">
            <v>0</v>
          </cell>
          <cell r="M639">
            <v>0</v>
          </cell>
          <cell r="N639">
            <v>0</v>
          </cell>
          <cell r="O639">
            <v>1</v>
          </cell>
          <cell r="P639">
            <v>0</v>
          </cell>
          <cell r="Q639">
            <v>0</v>
          </cell>
          <cell r="R639">
            <v>0</v>
          </cell>
          <cell r="S639">
            <v>0</v>
          </cell>
          <cell r="T639">
            <v>3</v>
          </cell>
          <cell r="U639">
            <v>0</v>
          </cell>
          <cell r="V639">
            <v>0</v>
          </cell>
          <cell r="W639">
            <v>0</v>
          </cell>
          <cell r="X639">
            <v>0</v>
          </cell>
          <cell r="Y639">
            <v>0</v>
          </cell>
          <cell r="Z639">
            <v>0</v>
          </cell>
          <cell r="AA639">
            <v>16</v>
          </cell>
          <cell r="AB639">
            <v>0</v>
          </cell>
          <cell r="AC639">
            <v>0</v>
          </cell>
          <cell r="AD639">
            <v>32</v>
          </cell>
        </row>
        <row r="640">
          <cell r="A640">
            <v>25</v>
          </cell>
          <cell r="B640">
            <v>1</v>
          </cell>
          <cell r="C640">
            <v>2</v>
          </cell>
          <cell r="D640">
            <v>4256</v>
          </cell>
          <cell r="E640">
            <v>1</v>
          </cell>
          <cell r="F640">
            <v>12</v>
          </cell>
          <cell r="G640">
            <v>3</v>
          </cell>
          <cell r="H640">
            <v>0</v>
          </cell>
          <cell r="I640">
            <v>5</v>
          </cell>
          <cell r="J640">
            <v>1</v>
          </cell>
          <cell r="K640">
            <v>5</v>
          </cell>
          <cell r="L640">
            <v>2</v>
          </cell>
          <cell r="M640">
            <v>0</v>
          </cell>
          <cell r="N640">
            <v>0</v>
          </cell>
          <cell r="O640">
            <v>0</v>
          </cell>
          <cell r="P640">
            <v>1</v>
          </cell>
          <cell r="Q640">
            <v>0</v>
          </cell>
          <cell r="R640">
            <v>0</v>
          </cell>
          <cell r="S640">
            <v>0</v>
          </cell>
          <cell r="T640">
            <v>0</v>
          </cell>
          <cell r="U640">
            <v>1</v>
          </cell>
          <cell r="V640">
            <v>0</v>
          </cell>
          <cell r="W640">
            <v>0</v>
          </cell>
          <cell r="X640">
            <v>0</v>
          </cell>
          <cell r="Y640">
            <v>0</v>
          </cell>
          <cell r="Z640">
            <v>0</v>
          </cell>
          <cell r="AA640">
            <v>3</v>
          </cell>
          <cell r="AB640">
            <v>0.2</v>
          </cell>
          <cell r="AC640">
            <v>0.4</v>
          </cell>
          <cell r="AD640">
            <v>3</v>
          </cell>
        </row>
        <row r="641">
          <cell r="A641">
            <v>49</v>
          </cell>
          <cell r="B641">
            <v>3</v>
          </cell>
          <cell r="C641">
            <v>3</v>
          </cell>
          <cell r="D641">
            <v>3580</v>
          </cell>
          <cell r="E641">
            <v>2</v>
          </cell>
          <cell r="F641">
            <v>16</v>
          </cell>
          <cell r="G641">
            <v>3</v>
          </cell>
          <cell r="H641">
            <v>1</v>
          </cell>
          <cell r="I641">
            <v>7</v>
          </cell>
          <cell r="J641">
            <v>2</v>
          </cell>
          <cell r="K641">
            <v>4</v>
          </cell>
          <cell r="L641">
            <v>2</v>
          </cell>
          <cell r="M641">
            <v>0</v>
          </cell>
          <cell r="N641">
            <v>1</v>
          </cell>
          <cell r="O641">
            <v>0</v>
          </cell>
          <cell r="P641">
            <v>0</v>
          </cell>
          <cell r="Q641">
            <v>0</v>
          </cell>
          <cell r="R641">
            <v>0</v>
          </cell>
          <cell r="S641">
            <v>1</v>
          </cell>
          <cell r="T641">
            <v>0</v>
          </cell>
          <cell r="U641">
            <v>0</v>
          </cell>
          <cell r="V641">
            <v>0</v>
          </cell>
          <cell r="W641">
            <v>0</v>
          </cell>
          <cell r="X641">
            <v>3</v>
          </cell>
          <cell r="Y641">
            <v>0</v>
          </cell>
          <cell r="Z641">
            <v>0</v>
          </cell>
          <cell r="AA641">
            <v>3</v>
          </cell>
          <cell r="AB641">
            <v>0.2857142857142857</v>
          </cell>
          <cell r="AC641">
            <v>0.5</v>
          </cell>
          <cell r="AD641">
            <v>6</v>
          </cell>
        </row>
        <row r="642">
          <cell r="A642">
            <v>24</v>
          </cell>
          <cell r="B642">
            <v>1</v>
          </cell>
          <cell r="C642">
            <v>2</v>
          </cell>
          <cell r="D642">
            <v>3162</v>
          </cell>
          <cell r="E642">
            <v>0</v>
          </cell>
          <cell r="F642">
            <v>17</v>
          </cell>
          <cell r="G642">
            <v>3</v>
          </cell>
          <cell r="H642">
            <v>0</v>
          </cell>
          <cell r="I642">
            <v>6</v>
          </cell>
          <cell r="J642">
            <v>2</v>
          </cell>
          <cell r="K642">
            <v>5</v>
          </cell>
          <cell r="L642">
            <v>2</v>
          </cell>
          <cell r="M642">
            <v>0</v>
          </cell>
          <cell r="N642">
            <v>0</v>
          </cell>
          <cell r="O642">
            <v>1</v>
          </cell>
          <cell r="P642">
            <v>0</v>
          </cell>
          <cell r="Q642">
            <v>0</v>
          </cell>
          <cell r="R642">
            <v>0</v>
          </cell>
          <cell r="S642">
            <v>0</v>
          </cell>
          <cell r="T642">
            <v>1</v>
          </cell>
          <cell r="U642">
            <v>0</v>
          </cell>
          <cell r="V642">
            <v>0</v>
          </cell>
          <cell r="W642">
            <v>0</v>
          </cell>
          <cell r="X642">
            <v>0</v>
          </cell>
          <cell r="Y642">
            <v>0</v>
          </cell>
          <cell r="Z642">
            <v>0</v>
          </cell>
          <cell r="AA642">
            <v>4</v>
          </cell>
          <cell r="AB642">
            <v>0</v>
          </cell>
          <cell r="AC642">
            <v>0.4</v>
          </cell>
          <cell r="AD642">
            <v>16</v>
          </cell>
        </row>
        <row r="643">
          <cell r="A643">
            <v>32</v>
          </cell>
          <cell r="B643">
            <v>2</v>
          </cell>
          <cell r="C643">
            <v>3</v>
          </cell>
          <cell r="D643">
            <v>6524</v>
          </cell>
          <cell r="E643">
            <v>1</v>
          </cell>
          <cell r="F643">
            <v>14</v>
          </cell>
          <cell r="G643">
            <v>3</v>
          </cell>
          <cell r="H643">
            <v>1</v>
          </cell>
          <cell r="I643">
            <v>10</v>
          </cell>
          <cell r="J643">
            <v>3</v>
          </cell>
          <cell r="K643">
            <v>10</v>
          </cell>
          <cell r="L643">
            <v>8</v>
          </cell>
          <cell r="M643">
            <v>0</v>
          </cell>
          <cell r="N643">
            <v>0</v>
          </cell>
          <cell r="O643">
            <v>1</v>
          </cell>
          <cell r="P643">
            <v>0</v>
          </cell>
          <cell r="Q643">
            <v>0</v>
          </cell>
          <cell r="R643">
            <v>0</v>
          </cell>
          <cell r="S643">
            <v>0</v>
          </cell>
          <cell r="T643">
            <v>2</v>
          </cell>
          <cell r="U643">
            <v>0</v>
          </cell>
          <cell r="V643">
            <v>0</v>
          </cell>
          <cell r="W643">
            <v>0</v>
          </cell>
          <cell r="X643">
            <v>0</v>
          </cell>
          <cell r="Y643">
            <v>1</v>
          </cell>
          <cell r="Z643">
            <v>0</v>
          </cell>
          <cell r="AA643">
            <v>4</v>
          </cell>
          <cell r="AB643">
            <v>0.1</v>
          </cell>
          <cell r="AC643">
            <v>0.8</v>
          </cell>
          <cell r="AD643">
            <v>16</v>
          </cell>
        </row>
        <row r="644">
          <cell r="A644">
            <v>38</v>
          </cell>
          <cell r="B644">
            <v>3</v>
          </cell>
          <cell r="C644">
            <v>2</v>
          </cell>
          <cell r="D644">
            <v>2899</v>
          </cell>
          <cell r="E644">
            <v>0</v>
          </cell>
          <cell r="F644">
            <v>19</v>
          </cell>
          <cell r="G644">
            <v>3</v>
          </cell>
          <cell r="H644">
            <v>1</v>
          </cell>
          <cell r="I644">
            <v>3</v>
          </cell>
          <cell r="J644">
            <v>3</v>
          </cell>
          <cell r="K644">
            <v>2</v>
          </cell>
          <cell r="L644">
            <v>2</v>
          </cell>
          <cell r="M644">
            <v>0</v>
          </cell>
          <cell r="N644">
            <v>0</v>
          </cell>
          <cell r="O644">
            <v>0</v>
          </cell>
          <cell r="P644">
            <v>1</v>
          </cell>
          <cell r="Q644">
            <v>0</v>
          </cell>
          <cell r="R644">
            <v>0</v>
          </cell>
          <cell r="S644">
            <v>0</v>
          </cell>
          <cell r="T644">
            <v>0</v>
          </cell>
          <cell r="U644">
            <v>3</v>
          </cell>
          <cell r="V644">
            <v>0</v>
          </cell>
          <cell r="W644">
            <v>0</v>
          </cell>
          <cell r="X644">
            <v>0</v>
          </cell>
          <cell r="Y644">
            <v>0</v>
          </cell>
          <cell r="Z644">
            <v>0</v>
          </cell>
          <cell r="AA644">
            <v>4</v>
          </cell>
          <cell r="AB644">
            <v>0</v>
          </cell>
          <cell r="AC644">
            <v>1</v>
          </cell>
          <cell r="AD644">
            <v>16</v>
          </cell>
        </row>
        <row r="645">
          <cell r="A645">
            <v>42</v>
          </cell>
          <cell r="B645">
            <v>3</v>
          </cell>
          <cell r="C645">
            <v>4</v>
          </cell>
          <cell r="D645">
            <v>5231</v>
          </cell>
          <cell r="E645">
            <v>2</v>
          </cell>
          <cell r="F645">
            <v>13</v>
          </cell>
          <cell r="G645">
            <v>3</v>
          </cell>
          <cell r="H645">
            <v>1</v>
          </cell>
          <cell r="I645">
            <v>17</v>
          </cell>
          <cell r="J645">
            <v>1</v>
          </cell>
          <cell r="K645">
            <v>5</v>
          </cell>
          <cell r="L645">
            <v>3</v>
          </cell>
          <cell r="M645">
            <v>1</v>
          </cell>
          <cell r="N645">
            <v>1</v>
          </cell>
          <cell r="O645">
            <v>1</v>
          </cell>
          <cell r="P645">
            <v>0</v>
          </cell>
          <cell r="Q645">
            <v>0</v>
          </cell>
          <cell r="R645">
            <v>0</v>
          </cell>
          <cell r="S645">
            <v>0</v>
          </cell>
          <cell r="T645">
            <v>3</v>
          </cell>
          <cell r="U645">
            <v>0</v>
          </cell>
          <cell r="V645">
            <v>0</v>
          </cell>
          <cell r="W645">
            <v>0</v>
          </cell>
          <cell r="X645">
            <v>0</v>
          </cell>
          <cell r="Y645">
            <v>0</v>
          </cell>
          <cell r="Z645">
            <v>1</v>
          </cell>
          <cell r="AA645">
            <v>12</v>
          </cell>
          <cell r="AB645">
            <v>0.11764705882352941</v>
          </cell>
          <cell r="AC645">
            <v>0.6</v>
          </cell>
          <cell r="AD645">
            <v>24</v>
          </cell>
        </row>
        <row r="646">
          <cell r="A646">
            <v>31</v>
          </cell>
          <cell r="B646">
            <v>4</v>
          </cell>
          <cell r="C646">
            <v>3</v>
          </cell>
          <cell r="D646">
            <v>2356</v>
          </cell>
          <cell r="E646">
            <v>3</v>
          </cell>
          <cell r="F646">
            <v>19</v>
          </cell>
          <cell r="G646">
            <v>3</v>
          </cell>
          <cell r="H646">
            <v>1</v>
          </cell>
          <cell r="I646">
            <v>8</v>
          </cell>
          <cell r="J646">
            <v>2</v>
          </cell>
          <cell r="K646">
            <v>6</v>
          </cell>
          <cell r="L646">
            <v>4</v>
          </cell>
          <cell r="M646">
            <v>1</v>
          </cell>
          <cell r="N646">
            <v>0</v>
          </cell>
          <cell r="O646">
            <v>1</v>
          </cell>
          <cell r="P646">
            <v>0</v>
          </cell>
          <cell r="Q646">
            <v>0</v>
          </cell>
          <cell r="R646">
            <v>0</v>
          </cell>
          <cell r="S646">
            <v>0</v>
          </cell>
          <cell r="T646">
            <v>4</v>
          </cell>
          <cell r="U646">
            <v>0</v>
          </cell>
          <cell r="V646">
            <v>0</v>
          </cell>
          <cell r="W646">
            <v>0</v>
          </cell>
          <cell r="X646">
            <v>0</v>
          </cell>
          <cell r="Y646">
            <v>0</v>
          </cell>
          <cell r="Z646">
            <v>1</v>
          </cell>
          <cell r="AA646">
            <v>16</v>
          </cell>
          <cell r="AB646">
            <v>0.375</v>
          </cell>
          <cell r="AC646">
            <v>0.66666666666666663</v>
          </cell>
          <cell r="AD646">
            <v>32</v>
          </cell>
        </row>
        <row r="647">
          <cell r="A647">
            <v>29</v>
          </cell>
          <cell r="B647">
            <v>3</v>
          </cell>
          <cell r="C647">
            <v>2</v>
          </cell>
          <cell r="D647">
            <v>2800</v>
          </cell>
          <cell r="E647">
            <v>6</v>
          </cell>
          <cell r="F647">
            <v>19</v>
          </cell>
          <cell r="G647">
            <v>3</v>
          </cell>
          <cell r="H647">
            <v>3</v>
          </cell>
          <cell r="I647">
            <v>5</v>
          </cell>
          <cell r="J647">
            <v>3</v>
          </cell>
          <cell r="K647">
            <v>3</v>
          </cell>
          <cell r="L647">
            <v>2</v>
          </cell>
          <cell r="M647">
            <v>1</v>
          </cell>
          <cell r="N647">
            <v>1</v>
          </cell>
          <cell r="O647">
            <v>0</v>
          </cell>
          <cell r="P647">
            <v>0</v>
          </cell>
          <cell r="Q647">
            <v>1</v>
          </cell>
          <cell r="R647">
            <v>0</v>
          </cell>
          <cell r="S647">
            <v>0</v>
          </cell>
          <cell r="T647">
            <v>0</v>
          </cell>
          <cell r="U647">
            <v>0</v>
          </cell>
          <cell r="V647">
            <v>3</v>
          </cell>
          <cell r="W647">
            <v>0</v>
          </cell>
          <cell r="X647">
            <v>0</v>
          </cell>
          <cell r="Y647">
            <v>0</v>
          </cell>
          <cell r="Z647">
            <v>0</v>
          </cell>
          <cell r="AA647">
            <v>6</v>
          </cell>
          <cell r="AB647">
            <v>1.2</v>
          </cell>
          <cell r="AC647">
            <v>0.66666666666666663</v>
          </cell>
          <cell r="AD647">
            <v>18</v>
          </cell>
        </row>
        <row r="648">
          <cell r="A648">
            <v>53</v>
          </cell>
          <cell r="B648">
            <v>3</v>
          </cell>
          <cell r="C648">
            <v>3</v>
          </cell>
          <cell r="D648">
            <v>11836</v>
          </cell>
          <cell r="E648">
            <v>5</v>
          </cell>
          <cell r="F648">
            <v>14</v>
          </cell>
          <cell r="G648">
            <v>3</v>
          </cell>
          <cell r="H648">
            <v>1</v>
          </cell>
          <cell r="I648">
            <v>28</v>
          </cell>
          <cell r="J648">
            <v>3</v>
          </cell>
          <cell r="K648">
            <v>2</v>
          </cell>
          <cell r="L648">
            <v>0</v>
          </cell>
          <cell r="M648">
            <v>0</v>
          </cell>
          <cell r="N648">
            <v>0</v>
          </cell>
          <cell r="O648">
            <v>0</v>
          </cell>
          <cell r="P648">
            <v>1</v>
          </cell>
          <cell r="Q648">
            <v>0</v>
          </cell>
          <cell r="R648">
            <v>0</v>
          </cell>
          <cell r="S648">
            <v>0</v>
          </cell>
          <cell r="T648">
            <v>0</v>
          </cell>
          <cell r="U648">
            <v>3</v>
          </cell>
          <cell r="V648">
            <v>0</v>
          </cell>
          <cell r="W648">
            <v>0</v>
          </cell>
          <cell r="X648">
            <v>0</v>
          </cell>
          <cell r="Y648">
            <v>0</v>
          </cell>
          <cell r="Z648">
            <v>0</v>
          </cell>
          <cell r="AA648">
            <v>4</v>
          </cell>
          <cell r="AB648">
            <v>0.17857142857142858</v>
          </cell>
          <cell r="AC648">
            <v>0</v>
          </cell>
          <cell r="AD648">
            <v>12</v>
          </cell>
        </row>
        <row r="649">
          <cell r="A649">
            <v>35</v>
          </cell>
          <cell r="B649">
            <v>3</v>
          </cell>
          <cell r="C649">
            <v>2</v>
          </cell>
          <cell r="D649">
            <v>10903</v>
          </cell>
          <cell r="E649">
            <v>3</v>
          </cell>
          <cell r="F649">
            <v>16</v>
          </cell>
          <cell r="G649">
            <v>3</v>
          </cell>
          <cell r="H649">
            <v>0</v>
          </cell>
          <cell r="I649">
            <v>16</v>
          </cell>
          <cell r="J649">
            <v>2</v>
          </cell>
          <cell r="K649">
            <v>13</v>
          </cell>
          <cell r="L649">
            <v>10</v>
          </cell>
          <cell r="M649">
            <v>0</v>
          </cell>
          <cell r="N649">
            <v>0</v>
          </cell>
          <cell r="O649">
            <v>0</v>
          </cell>
          <cell r="P649">
            <v>0</v>
          </cell>
          <cell r="Q649">
            <v>0</v>
          </cell>
          <cell r="R649">
            <v>0</v>
          </cell>
          <cell r="S649">
            <v>1</v>
          </cell>
          <cell r="T649">
            <v>0</v>
          </cell>
          <cell r="U649">
            <v>0</v>
          </cell>
          <cell r="V649">
            <v>0</v>
          </cell>
          <cell r="W649">
            <v>0</v>
          </cell>
          <cell r="X649">
            <v>3</v>
          </cell>
          <cell r="Y649">
            <v>0</v>
          </cell>
          <cell r="Z649">
            <v>0</v>
          </cell>
          <cell r="AA649">
            <v>8</v>
          </cell>
          <cell r="AB649">
            <v>0.1875</v>
          </cell>
          <cell r="AC649">
            <v>0.76923076923076927</v>
          </cell>
          <cell r="AD649">
            <v>8</v>
          </cell>
        </row>
        <row r="650">
          <cell r="A650">
            <v>37</v>
          </cell>
          <cell r="B650">
            <v>2</v>
          </cell>
          <cell r="C650">
            <v>3</v>
          </cell>
          <cell r="D650">
            <v>2973</v>
          </cell>
          <cell r="E650">
            <v>5</v>
          </cell>
          <cell r="F650">
            <v>15</v>
          </cell>
          <cell r="G650">
            <v>3</v>
          </cell>
          <cell r="H650">
            <v>1</v>
          </cell>
          <cell r="I650">
            <v>10</v>
          </cell>
          <cell r="J650">
            <v>3</v>
          </cell>
          <cell r="K650">
            <v>5</v>
          </cell>
          <cell r="L650">
            <v>4</v>
          </cell>
          <cell r="M650">
            <v>0</v>
          </cell>
          <cell r="N650">
            <v>1</v>
          </cell>
          <cell r="O650">
            <v>0</v>
          </cell>
          <cell r="P650">
            <v>0</v>
          </cell>
          <cell r="Q650">
            <v>1</v>
          </cell>
          <cell r="R650">
            <v>0</v>
          </cell>
          <cell r="S650">
            <v>0</v>
          </cell>
          <cell r="T650">
            <v>0</v>
          </cell>
          <cell r="U650">
            <v>0</v>
          </cell>
          <cell r="V650">
            <v>2</v>
          </cell>
          <cell r="W650">
            <v>0</v>
          </cell>
          <cell r="X650">
            <v>0</v>
          </cell>
          <cell r="Y650">
            <v>1</v>
          </cell>
          <cell r="Z650">
            <v>0</v>
          </cell>
          <cell r="AA650">
            <v>12</v>
          </cell>
          <cell r="AB650">
            <v>0.5</v>
          </cell>
          <cell r="AC650">
            <v>0.8</v>
          </cell>
          <cell r="AD650">
            <v>24</v>
          </cell>
        </row>
        <row r="651">
          <cell r="A651">
            <v>53</v>
          </cell>
          <cell r="B651">
            <v>4</v>
          </cell>
          <cell r="C651">
            <v>3</v>
          </cell>
          <cell r="D651">
            <v>14275</v>
          </cell>
          <cell r="E651">
            <v>6</v>
          </cell>
          <cell r="F651">
            <v>18</v>
          </cell>
          <cell r="G651">
            <v>3</v>
          </cell>
          <cell r="H651">
            <v>0</v>
          </cell>
          <cell r="I651">
            <v>33</v>
          </cell>
          <cell r="J651">
            <v>0</v>
          </cell>
          <cell r="K651">
            <v>12</v>
          </cell>
          <cell r="L651">
            <v>9</v>
          </cell>
          <cell r="M651">
            <v>0</v>
          </cell>
          <cell r="N651">
            <v>1</v>
          </cell>
          <cell r="O651">
            <v>1</v>
          </cell>
          <cell r="P651">
            <v>0</v>
          </cell>
          <cell r="Q651">
            <v>0</v>
          </cell>
          <cell r="R651">
            <v>0</v>
          </cell>
          <cell r="S651">
            <v>0</v>
          </cell>
          <cell r="T651">
            <v>4</v>
          </cell>
          <cell r="U651">
            <v>0</v>
          </cell>
          <cell r="V651">
            <v>0</v>
          </cell>
          <cell r="W651">
            <v>0</v>
          </cell>
          <cell r="X651">
            <v>0</v>
          </cell>
          <cell r="Y651">
            <v>0</v>
          </cell>
          <cell r="Z651">
            <v>0</v>
          </cell>
          <cell r="AA651">
            <v>16</v>
          </cell>
          <cell r="AB651">
            <v>0.18181818181818182</v>
          </cell>
          <cell r="AC651">
            <v>0.75</v>
          </cell>
          <cell r="AD651">
            <v>48</v>
          </cell>
        </row>
        <row r="652">
          <cell r="A652">
            <v>43</v>
          </cell>
          <cell r="B652">
            <v>3</v>
          </cell>
          <cell r="C652">
            <v>3</v>
          </cell>
          <cell r="D652">
            <v>5562</v>
          </cell>
          <cell r="E652">
            <v>4</v>
          </cell>
          <cell r="F652">
            <v>13</v>
          </cell>
          <cell r="G652">
            <v>3</v>
          </cell>
          <cell r="H652">
            <v>1</v>
          </cell>
          <cell r="I652">
            <v>12</v>
          </cell>
          <cell r="J652">
            <v>2</v>
          </cell>
          <cell r="K652">
            <v>5</v>
          </cell>
          <cell r="L652">
            <v>2</v>
          </cell>
          <cell r="M652">
            <v>0</v>
          </cell>
          <cell r="N652">
            <v>1</v>
          </cell>
          <cell r="O652">
            <v>1</v>
          </cell>
          <cell r="P652">
            <v>0</v>
          </cell>
          <cell r="Q652">
            <v>0</v>
          </cell>
          <cell r="R652">
            <v>0</v>
          </cell>
          <cell r="S652">
            <v>0</v>
          </cell>
          <cell r="T652">
            <v>3</v>
          </cell>
          <cell r="U652">
            <v>0</v>
          </cell>
          <cell r="V652">
            <v>0</v>
          </cell>
          <cell r="W652">
            <v>0</v>
          </cell>
          <cell r="X652">
            <v>0</v>
          </cell>
          <cell r="Y652">
            <v>1</v>
          </cell>
          <cell r="Z652">
            <v>0</v>
          </cell>
          <cell r="AA652">
            <v>16</v>
          </cell>
          <cell r="AB652">
            <v>0.33333333333333331</v>
          </cell>
          <cell r="AC652">
            <v>0.4</v>
          </cell>
          <cell r="AD652">
            <v>32</v>
          </cell>
        </row>
        <row r="653">
          <cell r="A653">
            <v>47</v>
          </cell>
          <cell r="B653">
            <v>2</v>
          </cell>
          <cell r="C653">
            <v>3</v>
          </cell>
          <cell r="D653">
            <v>4537</v>
          </cell>
          <cell r="E653">
            <v>0</v>
          </cell>
          <cell r="F653">
            <v>22</v>
          </cell>
          <cell r="G653">
            <v>4</v>
          </cell>
          <cell r="H653">
            <v>1</v>
          </cell>
          <cell r="I653">
            <v>8</v>
          </cell>
          <cell r="J653">
            <v>2</v>
          </cell>
          <cell r="K653">
            <v>7</v>
          </cell>
          <cell r="L653">
            <v>6</v>
          </cell>
          <cell r="M653">
            <v>1</v>
          </cell>
          <cell r="N653">
            <v>1</v>
          </cell>
          <cell r="O653">
            <v>0</v>
          </cell>
          <cell r="P653">
            <v>1</v>
          </cell>
          <cell r="Q653">
            <v>0</v>
          </cell>
          <cell r="R653">
            <v>0</v>
          </cell>
          <cell r="S653">
            <v>0</v>
          </cell>
          <cell r="T653">
            <v>0</v>
          </cell>
          <cell r="U653">
            <v>2</v>
          </cell>
          <cell r="V653">
            <v>0</v>
          </cell>
          <cell r="W653">
            <v>0</v>
          </cell>
          <cell r="X653">
            <v>0</v>
          </cell>
          <cell r="Y653">
            <v>0</v>
          </cell>
          <cell r="Z653">
            <v>1</v>
          </cell>
          <cell r="AA653">
            <v>12</v>
          </cell>
          <cell r="AB653">
            <v>0</v>
          </cell>
          <cell r="AC653">
            <v>0.8571428571428571</v>
          </cell>
          <cell r="AD653">
            <v>12</v>
          </cell>
        </row>
        <row r="654">
          <cell r="A654">
            <v>37</v>
          </cell>
          <cell r="B654">
            <v>2</v>
          </cell>
          <cell r="C654">
            <v>3</v>
          </cell>
          <cell r="D654">
            <v>7642</v>
          </cell>
          <cell r="E654">
            <v>1</v>
          </cell>
          <cell r="F654">
            <v>13</v>
          </cell>
          <cell r="G654">
            <v>3</v>
          </cell>
          <cell r="H654">
            <v>0</v>
          </cell>
          <cell r="I654">
            <v>10</v>
          </cell>
          <cell r="J654">
            <v>2</v>
          </cell>
          <cell r="K654">
            <v>10</v>
          </cell>
          <cell r="L654">
            <v>0</v>
          </cell>
          <cell r="M654">
            <v>1</v>
          </cell>
          <cell r="N654">
            <v>0</v>
          </cell>
          <cell r="O654">
            <v>0</v>
          </cell>
          <cell r="P654">
            <v>0</v>
          </cell>
          <cell r="Q654">
            <v>1</v>
          </cell>
          <cell r="R654">
            <v>0</v>
          </cell>
          <cell r="S654">
            <v>0</v>
          </cell>
          <cell r="T654">
            <v>0</v>
          </cell>
          <cell r="U654">
            <v>0</v>
          </cell>
          <cell r="V654">
            <v>2</v>
          </cell>
          <cell r="W654">
            <v>0</v>
          </cell>
          <cell r="X654">
            <v>0</v>
          </cell>
          <cell r="Y654">
            <v>0</v>
          </cell>
          <cell r="Z654">
            <v>0</v>
          </cell>
          <cell r="AA654">
            <v>2</v>
          </cell>
          <cell r="AB654">
            <v>0.1</v>
          </cell>
          <cell r="AC654">
            <v>0</v>
          </cell>
          <cell r="AD654">
            <v>8</v>
          </cell>
        </row>
        <row r="655">
          <cell r="A655">
            <v>50</v>
          </cell>
          <cell r="B655">
            <v>4</v>
          </cell>
          <cell r="C655">
            <v>3</v>
          </cell>
          <cell r="D655">
            <v>17924</v>
          </cell>
          <cell r="E655">
            <v>1</v>
          </cell>
          <cell r="F655">
            <v>11</v>
          </cell>
          <cell r="G655">
            <v>3</v>
          </cell>
          <cell r="H655">
            <v>1</v>
          </cell>
          <cell r="I655">
            <v>31</v>
          </cell>
          <cell r="J655">
            <v>3</v>
          </cell>
          <cell r="K655">
            <v>31</v>
          </cell>
          <cell r="L655">
            <v>6</v>
          </cell>
          <cell r="M655">
            <v>0</v>
          </cell>
          <cell r="N655">
            <v>0</v>
          </cell>
          <cell r="O655">
            <v>1</v>
          </cell>
          <cell r="P655">
            <v>0</v>
          </cell>
          <cell r="Q655">
            <v>0</v>
          </cell>
          <cell r="R655">
            <v>0</v>
          </cell>
          <cell r="S655">
            <v>0</v>
          </cell>
          <cell r="T655">
            <v>4</v>
          </cell>
          <cell r="U655">
            <v>0</v>
          </cell>
          <cell r="V655">
            <v>0</v>
          </cell>
          <cell r="W655">
            <v>0</v>
          </cell>
          <cell r="X655">
            <v>0</v>
          </cell>
          <cell r="Y655">
            <v>0</v>
          </cell>
          <cell r="Z655">
            <v>0</v>
          </cell>
          <cell r="AA655">
            <v>1</v>
          </cell>
          <cell r="AB655">
            <v>3.2258064516129031E-2</v>
          </cell>
          <cell r="AC655">
            <v>0.19354838709677419</v>
          </cell>
          <cell r="AD655">
            <v>4</v>
          </cell>
        </row>
        <row r="656">
          <cell r="A656">
            <v>39</v>
          </cell>
          <cell r="B656">
            <v>3</v>
          </cell>
          <cell r="C656">
            <v>2</v>
          </cell>
          <cell r="D656">
            <v>5204</v>
          </cell>
          <cell r="E656">
            <v>8</v>
          </cell>
          <cell r="F656">
            <v>11</v>
          </cell>
          <cell r="G656">
            <v>3</v>
          </cell>
          <cell r="H656">
            <v>2</v>
          </cell>
          <cell r="I656">
            <v>13</v>
          </cell>
          <cell r="J656">
            <v>2</v>
          </cell>
          <cell r="K656">
            <v>5</v>
          </cell>
          <cell r="L656">
            <v>4</v>
          </cell>
          <cell r="M656">
            <v>0</v>
          </cell>
          <cell r="N656">
            <v>1</v>
          </cell>
          <cell r="O656">
            <v>1</v>
          </cell>
          <cell r="P656">
            <v>0</v>
          </cell>
          <cell r="Q656">
            <v>0</v>
          </cell>
          <cell r="R656">
            <v>0</v>
          </cell>
          <cell r="S656">
            <v>0</v>
          </cell>
          <cell r="T656">
            <v>3</v>
          </cell>
          <cell r="U656">
            <v>0</v>
          </cell>
          <cell r="V656">
            <v>0</v>
          </cell>
          <cell r="W656">
            <v>0</v>
          </cell>
          <cell r="X656">
            <v>0</v>
          </cell>
          <cell r="Y656">
            <v>0</v>
          </cell>
          <cell r="Z656">
            <v>0</v>
          </cell>
          <cell r="AA656">
            <v>16</v>
          </cell>
          <cell r="AB656">
            <v>0.61538461538461542</v>
          </cell>
          <cell r="AC656">
            <v>0.8</v>
          </cell>
          <cell r="AD656">
            <v>48</v>
          </cell>
        </row>
        <row r="657">
          <cell r="A657">
            <v>33</v>
          </cell>
          <cell r="B657">
            <v>2</v>
          </cell>
          <cell r="C657">
            <v>3</v>
          </cell>
          <cell r="D657">
            <v>2277</v>
          </cell>
          <cell r="E657">
            <v>3</v>
          </cell>
          <cell r="F657">
            <v>11</v>
          </cell>
          <cell r="G657">
            <v>3</v>
          </cell>
          <cell r="H657">
            <v>1</v>
          </cell>
          <cell r="I657">
            <v>7</v>
          </cell>
          <cell r="J657">
            <v>4</v>
          </cell>
          <cell r="K657">
            <v>4</v>
          </cell>
          <cell r="L657">
            <v>3</v>
          </cell>
          <cell r="M657">
            <v>1</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8</v>
          </cell>
          <cell r="AB657">
            <v>0.42857142857142855</v>
          </cell>
          <cell r="AC657">
            <v>0.75</v>
          </cell>
          <cell r="AD657">
            <v>24</v>
          </cell>
        </row>
        <row r="658">
          <cell r="A658">
            <v>32</v>
          </cell>
          <cell r="B658">
            <v>4</v>
          </cell>
          <cell r="C658">
            <v>3</v>
          </cell>
          <cell r="D658">
            <v>2795</v>
          </cell>
          <cell r="E658">
            <v>1</v>
          </cell>
          <cell r="F658">
            <v>24</v>
          </cell>
          <cell r="G658">
            <v>4</v>
          </cell>
          <cell r="H658">
            <v>0</v>
          </cell>
          <cell r="I658">
            <v>1</v>
          </cell>
          <cell r="J658">
            <v>2</v>
          </cell>
          <cell r="K658">
            <v>1</v>
          </cell>
          <cell r="L658">
            <v>0</v>
          </cell>
          <cell r="M658">
            <v>1</v>
          </cell>
          <cell r="N658">
            <v>0</v>
          </cell>
          <cell r="O658">
            <v>1</v>
          </cell>
          <cell r="P658">
            <v>0</v>
          </cell>
          <cell r="Q658">
            <v>0</v>
          </cell>
          <cell r="R658">
            <v>0</v>
          </cell>
          <cell r="S658">
            <v>0</v>
          </cell>
          <cell r="T658">
            <v>4</v>
          </cell>
          <cell r="U658">
            <v>0</v>
          </cell>
          <cell r="V658">
            <v>0</v>
          </cell>
          <cell r="W658">
            <v>0</v>
          </cell>
          <cell r="X658">
            <v>0</v>
          </cell>
          <cell r="Y658">
            <v>0</v>
          </cell>
          <cell r="Z658">
            <v>0</v>
          </cell>
          <cell r="AA658">
            <v>4</v>
          </cell>
          <cell r="AB658">
            <v>1</v>
          </cell>
          <cell r="AC658">
            <v>0</v>
          </cell>
          <cell r="AD658">
            <v>12</v>
          </cell>
        </row>
        <row r="659">
          <cell r="A659">
            <v>29</v>
          </cell>
          <cell r="B659">
            <v>1</v>
          </cell>
          <cell r="C659">
            <v>2</v>
          </cell>
          <cell r="D659">
            <v>2532</v>
          </cell>
          <cell r="E659">
            <v>6</v>
          </cell>
          <cell r="F659">
            <v>14</v>
          </cell>
          <cell r="G659">
            <v>3</v>
          </cell>
          <cell r="H659">
            <v>3</v>
          </cell>
          <cell r="I659">
            <v>8</v>
          </cell>
          <cell r="J659">
            <v>5</v>
          </cell>
          <cell r="K659">
            <v>4</v>
          </cell>
          <cell r="L659">
            <v>3</v>
          </cell>
          <cell r="M659">
            <v>0</v>
          </cell>
          <cell r="N659">
            <v>1</v>
          </cell>
          <cell r="O659">
            <v>0</v>
          </cell>
          <cell r="P659">
            <v>0</v>
          </cell>
          <cell r="Q659">
            <v>1</v>
          </cell>
          <cell r="R659">
            <v>0</v>
          </cell>
          <cell r="S659">
            <v>0</v>
          </cell>
          <cell r="T659">
            <v>0</v>
          </cell>
          <cell r="U659">
            <v>0</v>
          </cell>
          <cell r="V659">
            <v>1</v>
          </cell>
          <cell r="W659">
            <v>0</v>
          </cell>
          <cell r="X659">
            <v>0</v>
          </cell>
          <cell r="Y659">
            <v>0</v>
          </cell>
          <cell r="Z659">
            <v>0</v>
          </cell>
          <cell r="AA659">
            <v>4</v>
          </cell>
          <cell r="AB659">
            <v>0.75</v>
          </cell>
          <cell r="AC659">
            <v>0.75</v>
          </cell>
          <cell r="AD659">
            <v>12</v>
          </cell>
        </row>
        <row r="660">
          <cell r="A660">
            <v>44</v>
          </cell>
          <cell r="B660">
            <v>2</v>
          </cell>
          <cell r="C660">
            <v>3</v>
          </cell>
          <cell r="D660">
            <v>2559</v>
          </cell>
          <cell r="E660">
            <v>1</v>
          </cell>
          <cell r="F660">
            <v>13</v>
          </cell>
          <cell r="G660">
            <v>3</v>
          </cell>
          <cell r="H660">
            <v>0</v>
          </cell>
          <cell r="I660">
            <v>8</v>
          </cell>
          <cell r="J660">
            <v>0</v>
          </cell>
          <cell r="K660">
            <v>8</v>
          </cell>
          <cell r="L660">
            <v>7</v>
          </cell>
          <cell r="M660">
            <v>1</v>
          </cell>
          <cell r="N660">
            <v>0</v>
          </cell>
          <cell r="O660">
            <v>1</v>
          </cell>
          <cell r="P660">
            <v>0</v>
          </cell>
          <cell r="Q660">
            <v>0</v>
          </cell>
          <cell r="R660">
            <v>0</v>
          </cell>
          <cell r="S660">
            <v>0</v>
          </cell>
          <cell r="T660">
            <v>2</v>
          </cell>
          <cell r="U660">
            <v>0</v>
          </cell>
          <cell r="V660">
            <v>0</v>
          </cell>
          <cell r="W660">
            <v>0</v>
          </cell>
          <cell r="X660">
            <v>0</v>
          </cell>
          <cell r="Y660">
            <v>0</v>
          </cell>
          <cell r="Z660">
            <v>1</v>
          </cell>
          <cell r="AA660">
            <v>2</v>
          </cell>
          <cell r="AB660">
            <v>0.125</v>
          </cell>
          <cell r="AC660">
            <v>0.875</v>
          </cell>
          <cell r="AD660">
            <v>8</v>
          </cell>
        </row>
        <row r="661">
          <cell r="A661">
            <v>28</v>
          </cell>
          <cell r="B661">
            <v>4</v>
          </cell>
          <cell r="C661">
            <v>3</v>
          </cell>
          <cell r="D661">
            <v>4908</v>
          </cell>
          <cell r="E661">
            <v>1</v>
          </cell>
          <cell r="F661">
            <v>14</v>
          </cell>
          <cell r="G661">
            <v>3</v>
          </cell>
          <cell r="H661">
            <v>0</v>
          </cell>
          <cell r="I661">
            <v>4</v>
          </cell>
          <cell r="J661">
            <v>3</v>
          </cell>
          <cell r="K661">
            <v>4</v>
          </cell>
          <cell r="L661">
            <v>2</v>
          </cell>
          <cell r="M661">
            <v>0</v>
          </cell>
          <cell r="N661">
            <v>0</v>
          </cell>
          <cell r="O661">
            <v>0</v>
          </cell>
          <cell r="P661">
            <v>0</v>
          </cell>
          <cell r="Q661">
            <v>1</v>
          </cell>
          <cell r="R661">
            <v>0</v>
          </cell>
          <cell r="S661">
            <v>0</v>
          </cell>
          <cell r="T661">
            <v>0</v>
          </cell>
          <cell r="U661">
            <v>0</v>
          </cell>
          <cell r="V661">
            <v>4</v>
          </cell>
          <cell r="W661">
            <v>0</v>
          </cell>
          <cell r="X661">
            <v>0</v>
          </cell>
          <cell r="Y661">
            <v>0</v>
          </cell>
          <cell r="Z661">
            <v>0</v>
          </cell>
          <cell r="AA661">
            <v>4</v>
          </cell>
          <cell r="AB661">
            <v>0.25</v>
          </cell>
          <cell r="AC661">
            <v>0.5</v>
          </cell>
          <cell r="AD661">
            <v>8</v>
          </cell>
        </row>
        <row r="662">
          <cell r="A662">
            <v>58</v>
          </cell>
          <cell r="B662">
            <v>1</v>
          </cell>
          <cell r="C662">
            <v>2</v>
          </cell>
          <cell r="D662">
            <v>2380</v>
          </cell>
          <cell r="E662">
            <v>9</v>
          </cell>
          <cell r="F662">
            <v>14</v>
          </cell>
          <cell r="G662">
            <v>3</v>
          </cell>
          <cell r="H662">
            <v>1</v>
          </cell>
          <cell r="I662">
            <v>3</v>
          </cell>
          <cell r="J662">
            <v>3</v>
          </cell>
          <cell r="K662">
            <v>1</v>
          </cell>
          <cell r="L662">
            <v>0</v>
          </cell>
          <cell r="M662">
            <v>1</v>
          </cell>
          <cell r="N662">
            <v>0</v>
          </cell>
          <cell r="O662">
            <v>1</v>
          </cell>
          <cell r="P662">
            <v>0</v>
          </cell>
          <cell r="Q662">
            <v>0</v>
          </cell>
          <cell r="R662">
            <v>0</v>
          </cell>
          <cell r="S662">
            <v>0</v>
          </cell>
          <cell r="T662">
            <v>1</v>
          </cell>
          <cell r="U662">
            <v>0</v>
          </cell>
          <cell r="V662">
            <v>0</v>
          </cell>
          <cell r="W662">
            <v>0</v>
          </cell>
          <cell r="X662">
            <v>0</v>
          </cell>
          <cell r="Y662">
            <v>0</v>
          </cell>
          <cell r="Z662">
            <v>0</v>
          </cell>
          <cell r="AA662">
            <v>16</v>
          </cell>
          <cell r="AB662">
            <v>3</v>
          </cell>
          <cell r="AC662">
            <v>0</v>
          </cell>
          <cell r="AD662">
            <v>64</v>
          </cell>
        </row>
        <row r="663">
          <cell r="A663">
            <v>43</v>
          </cell>
          <cell r="B663">
            <v>3</v>
          </cell>
          <cell r="C663">
            <v>3</v>
          </cell>
          <cell r="D663">
            <v>4765</v>
          </cell>
          <cell r="E663">
            <v>4</v>
          </cell>
          <cell r="F663">
            <v>21</v>
          </cell>
          <cell r="G663">
            <v>4</v>
          </cell>
          <cell r="H663">
            <v>1</v>
          </cell>
          <cell r="I663">
            <v>4</v>
          </cell>
          <cell r="J663">
            <v>2</v>
          </cell>
          <cell r="K663">
            <v>1</v>
          </cell>
          <cell r="L663">
            <v>0</v>
          </cell>
          <cell r="M663">
            <v>0</v>
          </cell>
          <cell r="N663">
            <v>1</v>
          </cell>
          <cell r="O663">
            <v>1</v>
          </cell>
          <cell r="P663">
            <v>0</v>
          </cell>
          <cell r="Q663">
            <v>0</v>
          </cell>
          <cell r="R663">
            <v>0</v>
          </cell>
          <cell r="S663">
            <v>0</v>
          </cell>
          <cell r="T663">
            <v>3</v>
          </cell>
          <cell r="U663">
            <v>0</v>
          </cell>
          <cell r="V663">
            <v>0</v>
          </cell>
          <cell r="W663">
            <v>0</v>
          </cell>
          <cell r="X663">
            <v>0</v>
          </cell>
          <cell r="Y663">
            <v>0</v>
          </cell>
          <cell r="Z663">
            <v>0</v>
          </cell>
          <cell r="AA663">
            <v>2</v>
          </cell>
          <cell r="AB663">
            <v>1</v>
          </cell>
          <cell r="AC663">
            <v>0</v>
          </cell>
          <cell r="AD663">
            <v>6</v>
          </cell>
        </row>
        <row r="664">
          <cell r="A664">
            <v>20</v>
          </cell>
          <cell r="B664">
            <v>3</v>
          </cell>
          <cell r="C664">
            <v>2</v>
          </cell>
          <cell r="D664">
            <v>2044</v>
          </cell>
          <cell r="E664">
            <v>1</v>
          </cell>
          <cell r="F664">
            <v>13</v>
          </cell>
          <cell r="G664">
            <v>3</v>
          </cell>
          <cell r="H664">
            <v>0</v>
          </cell>
          <cell r="I664">
            <v>2</v>
          </cell>
          <cell r="J664">
            <v>3</v>
          </cell>
          <cell r="K664">
            <v>2</v>
          </cell>
          <cell r="L664">
            <v>2</v>
          </cell>
          <cell r="M664">
            <v>0</v>
          </cell>
          <cell r="N664">
            <v>1</v>
          </cell>
          <cell r="O664">
            <v>0</v>
          </cell>
          <cell r="P664">
            <v>0</v>
          </cell>
          <cell r="Q664">
            <v>1</v>
          </cell>
          <cell r="R664">
            <v>0</v>
          </cell>
          <cell r="S664">
            <v>0</v>
          </cell>
          <cell r="T664">
            <v>0</v>
          </cell>
          <cell r="U664">
            <v>0</v>
          </cell>
          <cell r="V664">
            <v>3</v>
          </cell>
          <cell r="W664">
            <v>0</v>
          </cell>
          <cell r="X664">
            <v>0</v>
          </cell>
          <cell r="Y664">
            <v>0</v>
          </cell>
          <cell r="Z664">
            <v>0</v>
          </cell>
          <cell r="AA664">
            <v>9</v>
          </cell>
          <cell r="AB664">
            <v>0.5</v>
          </cell>
          <cell r="AC664">
            <v>1</v>
          </cell>
          <cell r="AD664">
            <v>36</v>
          </cell>
        </row>
        <row r="665">
          <cell r="A665">
            <v>21</v>
          </cell>
          <cell r="B665">
            <v>1</v>
          </cell>
          <cell r="C665">
            <v>3</v>
          </cell>
          <cell r="D665">
            <v>2693</v>
          </cell>
          <cell r="E665">
            <v>1</v>
          </cell>
          <cell r="F665">
            <v>19</v>
          </cell>
          <cell r="G665">
            <v>3</v>
          </cell>
          <cell r="H665">
            <v>0</v>
          </cell>
          <cell r="I665">
            <v>1</v>
          </cell>
          <cell r="J665">
            <v>3</v>
          </cell>
          <cell r="K665">
            <v>1</v>
          </cell>
          <cell r="L665">
            <v>0</v>
          </cell>
          <cell r="M665">
            <v>0</v>
          </cell>
          <cell r="N665">
            <v>1</v>
          </cell>
          <cell r="O665">
            <v>0</v>
          </cell>
          <cell r="P665">
            <v>0</v>
          </cell>
          <cell r="Q665">
            <v>0</v>
          </cell>
          <cell r="R665">
            <v>1</v>
          </cell>
          <cell r="S665">
            <v>0</v>
          </cell>
          <cell r="T665">
            <v>0</v>
          </cell>
          <cell r="U665">
            <v>0</v>
          </cell>
          <cell r="V665">
            <v>0</v>
          </cell>
          <cell r="W665">
            <v>1</v>
          </cell>
          <cell r="X665">
            <v>0</v>
          </cell>
          <cell r="Y665">
            <v>0</v>
          </cell>
          <cell r="Z665">
            <v>0</v>
          </cell>
          <cell r="AA665">
            <v>16</v>
          </cell>
          <cell r="AB665">
            <v>1</v>
          </cell>
          <cell r="AC665">
            <v>0</v>
          </cell>
          <cell r="AD665">
            <v>16</v>
          </cell>
        </row>
        <row r="666">
          <cell r="A666">
            <v>36</v>
          </cell>
          <cell r="B666">
            <v>1</v>
          </cell>
          <cell r="C666">
            <v>3</v>
          </cell>
          <cell r="D666">
            <v>6586</v>
          </cell>
          <cell r="E666">
            <v>0</v>
          </cell>
          <cell r="F666">
            <v>17</v>
          </cell>
          <cell r="G666">
            <v>3</v>
          </cell>
          <cell r="H666">
            <v>1</v>
          </cell>
          <cell r="I666">
            <v>17</v>
          </cell>
          <cell r="J666">
            <v>2</v>
          </cell>
          <cell r="K666">
            <v>16</v>
          </cell>
          <cell r="L666">
            <v>8</v>
          </cell>
          <cell r="M666">
            <v>1</v>
          </cell>
          <cell r="N666">
            <v>0</v>
          </cell>
          <cell r="O666">
            <v>1</v>
          </cell>
          <cell r="P666">
            <v>0</v>
          </cell>
          <cell r="Q666">
            <v>0</v>
          </cell>
          <cell r="R666">
            <v>0</v>
          </cell>
          <cell r="S666">
            <v>0</v>
          </cell>
          <cell r="T666">
            <v>1</v>
          </cell>
          <cell r="U666">
            <v>0</v>
          </cell>
          <cell r="V666">
            <v>0</v>
          </cell>
          <cell r="W666">
            <v>0</v>
          </cell>
          <cell r="X666">
            <v>0</v>
          </cell>
          <cell r="Y666">
            <v>0</v>
          </cell>
          <cell r="Z666">
            <v>1</v>
          </cell>
          <cell r="AA666">
            <v>12</v>
          </cell>
          <cell r="AB666">
            <v>0</v>
          </cell>
          <cell r="AC666">
            <v>0.5</v>
          </cell>
          <cell r="AD666">
            <v>12</v>
          </cell>
        </row>
        <row r="667">
          <cell r="A667">
            <v>47</v>
          </cell>
          <cell r="B667">
            <v>4</v>
          </cell>
          <cell r="C667">
            <v>2</v>
          </cell>
          <cell r="D667">
            <v>3294</v>
          </cell>
          <cell r="E667">
            <v>1</v>
          </cell>
          <cell r="F667">
            <v>18</v>
          </cell>
          <cell r="G667">
            <v>3</v>
          </cell>
          <cell r="H667">
            <v>0</v>
          </cell>
          <cell r="I667">
            <v>3</v>
          </cell>
          <cell r="J667">
            <v>3</v>
          </cell>
          <cell r="K667">
            <v>3</v>
          </cell>
          <cell r="L667">
            <v>2</v>
          </cell>
          <cell r="M667">
            <v>1</v>
          </cell>
          <cell r="N667">
            <v>1</v>
          </cell>
          <cell r="O667">
            <v>1</v>
          </cell>
          <cell r="P667">
            <v>0</v>
          </cell>
          <cell r="Q667">
            <v>0</v>
          </cell>
          <cell r="R667">
            <v>0</v>
          </cell>
          <cell r="S667">
            <v>0</v>
          </cell>
          <cell r="T667">
            <v>4</v>
          </cell>
          <cell r="U667">
            <v>0</v>
          </cell>
          <cell r="V667">
            <v>0</v>
          </cell>
          <cell r="W667">
            <v>0</v>
          </cell>
          <cell r="X667">
            <v>0</v>
          </cell>
          <cell r="Y667">
            <v>0</v>
          </cell>
          <cell r="Z667">
            <v>0</v>
          </cell>
          <cell r="AA667">
            <v>16</v>
          </cell>
          <cell r="AB667">
            <v>0.33333333333333331</v>
          </cell>
          <cell r="AC667">
            <v>0.66666666666666663</v>
          </cell>
          <cell r="AD667">
            <v>16</v>
          </cell>
        </row>
        <row r="668">
          <cell r="A668">
            <v>22</v>
          </cell>
          <cell r="B668">
            <v>1</v>
          </cell>
          <cell r="C668">
            <v>3</v>
          </cell>
          <cell r="D668">
            <v>4171</v>
          </cell>
          <cell r="E668">
            <v>0</v>
          </cell>
          <cell r="F668">
            <v>19</v>
          </cell>
          <cell r="G668">
            <v>3</v>
          </cell>
          <cell r="H668">
            <v>1</v>
          </cell>
          <cell r="I668">
            <v>4</v>
          </cell>
          <cell r="J668">
            <v>3</v>
          </cell>
          <cell r="K668">
            <v>3</v>
          </cell>
          <cell r="L668">
            <v>2</v>
          </cell>
          <cell r="M668">
            <v>1</v>
          </cell>
          <cell r="N668">
            <v>1</v>
          </cell>
          <cell r="O668">
            <v>1</v>
          </cell>
          <cell r="P668">
            <v>0</v>
          </cell>
          <cell r="Q668">
            <v>0</v>
          </cell>
          <cell r="R668">
            <v>0</v>
          </cell>
          <cell r="S668">
            <v>0</v>
          </cell>
          <cell r="T668">
            <v>1</v>
          </cell>
          <cell r="U668">
            <v>0</v>
          </cell>
          <cell r="V668">
            <v>0</v>
          </cell>
          <cell r="W668">
            <v>0</v>
          </cell>
          <cell r="X668">
            <v>0</v>
          </cell>
          <cell r="Y668">
            <v>0</v>
          </cell>
          <cell r="Z668">
            <v>1</v>
          </cell>
          <cell r="AA668">
            <v>6</v>
          </cell>
          <cell r="AB668">
            <v>0</v>
          </cell>
          <cell r="AC668">
            <v>0.66666666666666663</v>
          </cell>
          <cell r="AD668">
            <v>6</v>
          </cell>
        </row>
        <row r="669">
          <cell r="A669">
            <v>41</v>
          </cell>
          <cell r="B669">
            <v>4</v>
          </cell>
          <cell r="C669">
            <v>1</v>
          </cell>
          <cell r="D669">
            <v>2778</v>
          </cell>
          <cell r="E669">
            <v>4</v>
          </cell>
          <cell r="F669">
            <v>13</v>
          </cell>
          <cell r="G669">
            <v>3</v>
          </cell>
          <cell r="H669">
            <v>1</v>
          </cell>
          <cell r="I669">
            <v>10</v>
          </cell>
          <cell r="J669">
            <v>1</v>
          </cell>
          <cell r="K669">
            <v>7</v>
          </cell>
          <cell r="L669">
            <v>7</v>
          </cell>
          <cell r="M669">
            <v>1</v>
          </cell>
          <cell r="N669">
            <v>1</v>
          </cell>
          <cell r="O669">
            <v>1</v>
          </cell>
          <cell r="P669">
            <v>0</v>
          </cell>
          <cell r="Q669">
            <v>0</v>
          </cell>
          <cell r="R669">
            <v>0</v>
          </cell>
          <cell r="S669">
            <v>0</v>
          </cell>
          <cell r="T669">
            <v>4</v>
          </cell>
          <cell r="U669">
            <v>0</v>
          </cell>
          <cell r="V669">
            <v>0</v>
          </cell>
          <cell r="W669">
            <v>0</v>
          </cell>
          <cell r="X669">
            <v>0</v>
          </cell>
          <cell r="Y669">
            <v>0</v>
          </cell>
          <cell r="Z669">
            <v>0</v>
          </cell>
          <cell r="AA669">
            <v>8</v>
          </cell>
          <cell r="AB669">
            <v>0.4</v>
          </cell>
          <cell r="AC669">
            <v>1</v>
          </cell>
          <cell r="AD669">
            <v>24</v>
          </cell>
        </row>
        <row r="670">
          <cell r="A670">
            <v>28</v>
          </cell>
          <cell r="B670">
            <v>3</v>
          </cell>
          <cell r="C670">
            <v>3</v>
          </cell>
          <cell r="D670">
            <v>2377</v>
          </cell>
          <cell r="E670">
            <v>5</v>
          </cell>
          <cell r="F670">
            <v>18</v>
          </cell>
          <cell r="G670">
            <v>3</v>
          </cell>
          <cell r="H670">
            <v>1</v>
          </cell>
          <cell r="I670">
            <v>6</v>
          </cell>
          <cell r="J670">
            <v>2</v>
          </cell>
          <cell r="K670">
            <v>2</v>
          </cell>
          <cell r="L670">
            <v>2</v>
          </cell>
          <cell r="M670">
            <v>0</v>
          </cell>
          <cell r="N670">
            <v>1</v>
          </cell>
          <cell r="O670">
            <v>0</v>
          </cell>
          <cell r="P670">
            <v>0</v>
          </cell>
          <cell r="Q670">
            <v>1</v>
          </cell>
          <cell r="R670">
            <v>0</v>
          </cell>
          <cell r="S670">
            <v>0</v>
          </cell>
          <cell r="T670">
            <v>0</v>
          </cell>
          <cell r="U670">
            <v>0</v>
          </cell>
          <cell r="V670">
            <v>3</v>
          </cell>
          <cell r="W670">
            <v>0</v>
          </cell>
          <cell r="X670">
            <v>0</v>
          </cell>
          <cell r="Y670">
            <v>0</v>
          </cell>
          <cell r="Z670">
            <v>0</v>
          </cell>
          <cell r="AA670">
            <v>9</v>
          </cell>
          <cell r="AB670">
            <v>0.83333333333333337</v>
          </cell>
          <cell r="AC670">
            <v>1</v>
          </cell>
          <cell r="AD670">
            <v>18</v>
          </cell>
        </row>
        <row r="671">
          <cell r="A671">
            <v>39</v>
          </cell>
          <cell r="B671">
            <v>3</v>
          </cell>
          <cell r="C671">
            <v>3</v>
          </cell>
          <cell r="D671">
            <v>2404</v>
          </cell>
          <cell r="E671">
            <v>7</v>
          </cell>
          <cell r="F671">
            <v>21</v>
          </cell>
          <cell r="G671">
            <v>4</v>
          </cell>
          <cell r="H671">
            <v>0</v>
          </cell>
          <cell r="I671">
            <v>8</v>
          </cell>
          <cell r="J671">
            <v>2</v>
          </cell>
          <cell r="K671">
            <v>2</v>
          </cell>
          <cell r="L671">
            <v>2</v>
          </cell>
          <cell r="M671">
            <v>1</v>
          </cell>
          <cell r="N671">
            <v>0</v>
          </cell>
          <cell r="O671">
            <v>0</v>
          </cell>
          <cell r="P671">
            <v>0</v>
          </cell>
          <cell r="Q671">
            <v>1</v>
          </cell>
          <cell r="R671">
            <v>0</v>
          </cell>
          <cell r="S671">
            <v>0</v>
          </cell>
          <cell r="T671">
            <v>0</v>
          </cell>
          <cell r="U671">
            <v>0</v>
          </cell>
          <cell r="V671">
            <v>3</v>
          </cell>
          <cell r="W671">
            <v>0</v>
          </cell>
          <cell r="X671">
            <v>0</v>
          </cell>
          <cell r="Y671">
            <v>0</v>
          </cell>
          <cell r="Z671">
            <v>1</v>
          </cell>
          <cell r="AA671">
            <v>4</v>
          </cell>
          <cell r="AB671">
            <v>0.875</v>
          </cell>
          <cell r="AC671">
            <v>1</v>
          </cell>
          <cell r="AD671">
            <v>16</v>
          </cell>
        </row>
        <row r="672">
          <cell r="A672">
            <v>27</v>
          </cell>
          <cell r="B672">
            <v>3</v>
          </cell>
          <cell r="C672">
            <v>3</v>
          </cell>
          <cell r="D672">
            <v>2318</v>
          </cell>
          <cell r="E672">
            <v>1</v>
          </cell>
          <cell r="F672">
            <v>19</v>
          </cell>
          <cell r="G672">
            <v>3</v>
          </cell>
          <cell r="H672">
            <v>0</v>
          </cell>
          <cell r="I672">
            <v>1</v>
          </cell>
          <cell r="J672">
            <v>2</v>
          </cell>
          <cell r="K672">
            <v>1</v>
          </cell>
          <cell r="L672">
            <v>1</v>
          </cell>
          <cell r="M672">
            <v>0</v>
          </cell>
          <cell r="N672">
            <v>1</v>
          </cell>
          <cell r="O672">
            <v>1</v>
          </cell>
          <cell r="P672">
            <v>0</v>
          </cell>
          <cell r="Q672">
            <v>0</v>
          </cell>
          <cell r="R672">
            <v>0</v>
          </cell>
          <cell r="S672">
            <v>0</v>
          </cell>
          <cell r="T672">
            <v>3</v>
          </cell>
          <cell r="U672">
            <v>0</v>
          </cell>
          <cell r="V672">
            <v>0</v>
          </cell>
          <cell r="W672">
            <v>0</v>
          </cell>
          <cell r="X672">
            <v>0</v>
          </cell>
          <cell r="Y672">
            <v>0</v>
          </cell>
          <cell r="Z672">
            <v>0</v>
          </cell>
          <cell r="AA672">
            <v>6</v>
          </cell>
          <cell r="AB672">
            <v>1</v>
          </cell>
          <cell r="AC672">
            <v>1</v>
          </cell>
          <cell r="AD672">
            <v>18</v>
          </cell>
        </row>
        <row r="673">
          <cell r="A673">
            <v>34</v>
          </cell>
          <cell r="B673">
            <v>3</v>
          </cell>
          <cell r="C673">
            <v>3</v>
          </cell>
          <cell r="D673">
            <v>2008</v>
          </cell>
          <cell r="E673">
            <v>1</v>
          </cell>
          <cell r="F673">
            <v>14</v>
          </cell>
          <cell r="G673">
            <v>3</v>
          </cell>
          <cell r="H673">
            <v>2</v>
          </cell>
          <cell r="I673">
            <v>1</v>
          </cell>
          <cell r="J673">
            <v>3</v>
          </cell>
          <cell r="K673">
            <v>1</v>
          </cell>
          <cell r="L673">
            <v>0</v>
          </cell>
          <cell r="M673">
            <v>0</v>
          </cell>
          <cell r="N673">
            <v>0</v>
          </cell>
          <cell r="O673">
            <v>1</v>
          </cell>
          <cell r="P673">
            <v>0</v>
          </cell>
          <cell r="Q673">
            <v>0</v>
          </cell>
          <cell r="R673">
            <v>0</v>
          </cell>
          <cell r="S673">
            <v>0</v>
          </cell>
          <cell r="T673">
            <v>3</v>
          </cell>
          <cell r="U673">
            <v>0</v>
          </cell>
          <cell r="V673">
            <v>0</v>
          </cell>
          <cell r="W673">
            <v>0</v>
          </cell>
          <cell r="X673">
            <v>0</v>
          </cell>
          <cell r="Y673">
            <v>0</v>
          </cell>
          <cell r="Z673">
            <v>0</v>
          </cell>
          <cell r="AA673">
            <v>4</v>
          </cell>
          <cell r="AB673">
            <v>1</v>
          </cell>
          <cell r="AC673">
            <v>0</v>
          </cell>
          <cell r="AD673">
            <v>8</v>
          </cell>
        </row>
        <row r="674">
          <cell r="A674">
            <v>42</v>
          </cell>
          <cell r="B674">
            <v>2</v>
          </cell>
          <cell r="C674">
            <v>2</v>
          </cell>
          <cell r="D674">
            <v>6244</v>
          </cell>
          <cell r="E674">
            <v>7</v>
          </cell>
          <cell r="F674">
            <v>17</v>
          </cell>
          <cell r="G674">
            <v>3</v>
          </cell>
          <cell r="H674">
            <v>0</v>
          </cell>
          <cell r="I674">
            <v>10</v>
          </cell>
          <cell r="J674">
            <v>6</v>
          </cell>
          <cell r="K674">
            <v>5</v>
          </cell>
          <cell r="L674">
            <v>4</v>
          </cell>
          <cell r="M674">
            <v>0</v>
          </cell>
          <cell r="N674">
            <v>1</v>
          </cell>
          <cell r="O674">
            <v>0</v>
          </cell>
          <cell r="P674">
            <v>0</v>
          </cell>
          <cell r="Q674">
            <v>1</v>
          </cell>
          <cell r="R674">
            <v>0</v>
          </cell>
          <cell r="S674">
            <v>0</v>
          </cell>
          <cell r="T674">
            <v>0</v>
          </cell>
          <cell r="U674">
            <v>0</v>
          </cell>
          <cell r="V674">
            <v>2</v>
          </cell>
          <cell r="W674">
            <v>0</v>
          </cell>
          <cell r="X674">
            <v>0</v>
          </cell>
          <cell r="Y674">
            <v>0</v>
          </cell>
          <cell r="Z674">
            <v>0</v>
          </cell>
          <cell r="AA674">
            <v>9</v>
          </cell>
          <cell r="AB674">
            <v>0.7</v>
          </cell>
          <cell r="AC674">
            <v>0.8</v>
          </cell>
          <cell r="AD674">
            <v>9</v>
          </cell>
        </row>
        <row r="675">
          <cell r="A675">
            <v>33</v>
          </cell>
          <cell r="B675">
            <v>4</v>
          </cell>
          <cell r="C675">
            <v>2</v>
          </cell>
          <cell r="D675">
            <v>2799</v>
          </cell>
          <cell r="E675">
            <v>3</v>
          </cell>
          <cell r="F675">
            <v>11</v>
          </cell>
          <cell r="G675">
            <v>3</v>
          </cell>
          <cell r="H675">
            <v>0</v>
          </cell>
          <cell r="I675">
            <v>6</v>
          </cell>
          <cell r="J675">
            <v>1</v>
          </cell>
          <cell r="K675">
            <v>3</v>
          </cell>
          <cell r="L675">
            <v>2</v>
          </cell>
          <cell r="M675">
            <v>1</v>
          </cell>
          <cell r="N675">
            <v>0</v>
          </cell>
          <cell r="O675">
            <v>0</v>
          </cell>
          <cell r="P675">
            <v>0</v>
          </cell>
          <cell r="Q675">
            <v>0</v>
          </cell>
          <cell r="R675">
            <v>1</v>
          </cell>
          <cell r="S675">
            <v>0</v>
          </cell>
          <cell r="T675">
            <v>0</v>
          </cell>
          <cell r="U675">
            <v>0</v>
          </cell>
          <cell r="V675">
            <v>0</v>
          </cell>
          <cell r="W675">
            <v>4</v>
          </cell>
          <cell r="X675">
            <v>0</v>
          </cell>
          <cell r="Y675">
            <v>0</v>
          </cell>
          <cell r="Z675">
            <v>0</v>
          </cell>
          <cell r="AA675">
            <v>3</v>
          </cell>
          <cell r="AB675">
            <v>0.5</v>
          </cell>
          <cell r="AC675">
            <v>0.66666666666666663</v>
          </cell>
          <cell r="AD675">
            <v>6</v>
          </cell>
        </row>
        <row r="676">
          <cell r="A676">
            <v>58</v>
          </cell>
          <cell r="B676">
            <v>3</v>
          </cell>
          <cell r="C676">
            <v>2</v>
          </cell>
          <cell r="D676">
            <v>10552</v>
          </cell>
          <cell r="E676">
            <v>2</v>
          </cell>
          <cell r="F676">
            <v>13</v>
          </cell>
          <cell r="G676">
            <v>3</v>
          </cell>
          <cell r="H676">
            <v>1</v>
          </cell>
          <cell r="I676">
            <v>24</v>
          </cell>
          <cell r="J676">
            <v>3</v>
          </cell>
          <cell r="K676">
            <v>6</v>
          </cell>
          <cell r="L676">
            <v>0</v>
          </cell>
          <cell r="M676">
            <v>1</v>
          </cell>
          <cell r="N676">
            <v>1</v>
          </cell>
          <cell r="O676">
            <v>0</v>
          </cell>
          <cell r="P676">
            <v>0</v>
          </cell>
          <cell r="Q676">
            <v>0</v>
          </cell>
          <cell r="R676">
            <v>0</v>
          </cell>
          <cell r="S676">
            <v>1</v>
          </cell>
          <cell r="T676">
            <v>0</v>
          </cell>
          <cell r="U676">
            <v>0</v>
          </cell>
          <cell r="V676">
            <v>0</v>
          </cell>
          <cell r="W676">
            <v>0</v>
          </cell>
          <cell r="X676">
            <v>3</v>
          </cell>
          <cell r="Y676">
            <v>0</v>
          </cell>
          <cell r="Z676">
            <v>0</v>
          </cell>
          <cell r="AA676">
            <v>6</v>
          </cell>
          <cell r="AB676">
            <v>8.3333333333333329E-2</v>
          </cell>
          <cell r="AC676">
            <v>0</v>
          </cell>
          <cell r="AD676">
            <v>24</v>
          </cell>
        </row>
        <row r="677">
          <cell r="A677">
            <v>31</v>
          </cell>
          <cell r="B677">
            <v>4</v>
          </cell>
          <cell r="C677">
            <v>2</v>
          </cell>
          <cell r="D677">
            <v>2329</v>
          </cell>
          <cell r="E677">
            <v>3</v>
          </cell>
          <cell r="F677">
            <v>15</v>
          </cell>
          <cell r="G677">
            <v>3</v>
          </cell>
          <cell r="H677">
            <v>0</v>
          </cell>
          <cell r="I677">
            <v>13</v>
          </cell>
          <cell r="J677">
            <v>2</v>
          </cell>
          <cell r="K677">
            <v>7</v>
          </cell>
          <cell r="L677">
            <v>7</v>
          </cell>
          <cell r="M677">
            <v>0</v>
          </cell>
          <cell r="N677">
            <v>0</v>
          </cell>
          <cell r="O677">
            <v>1</v>
          </cell>
          <cell r="P677">
            <v>0</v>
          </cell>
          <cell r="Q677">
            <v>0</v>
          </cell>
          <cell r="R677">
            <v>0</v>
          </cell>
          <cell r="S677">
            <v>0</v>
          </cell>
          <cell r="T677">
            <v>4</v>
          </cell>
          <cell r="U677">
            <v>0</v>
          </cell>
          <cell r="V677">
            <v>0</v>
          </cell>
          <cell r="W677">
            <v>0</v>
          </cell>
          <cell r="X677">
            <v>0</v>
          </cell>
          <cell r="Y677">
            <v>0</v>
          </cell>
          <cell r="Z677">
            <v>0</v>
          </cell>
          <cell r="AA677">
            <v>6</v>
          </cell>
          <cell r="AB677">
            <v>0.23076923076923078</v>
          </cell>
          <cell r="AC677">
            <v>1</v>
          </cell>
          <cell r="AD677">
            <v>12</v>
          </cell>
        </row>
        <row r="678">
          <cell r="A678">
            <v>35</v>
          </cell>
          <cell r="B678">
            <v>1</v>
          </cell>
          <cell r="C678">
            <v>3</v>
          </cell>
          <cell r="D678">
            <v>4014</v>
          </cell>
          <cell r="E678">
            <v>1</v>
          </cell>
          <cell r="F678">
            <v>25</v>
          </cell>
          <cell r="G678">
            <v>4</v>
          </cell>
          <cell r="H678">
            <v>1</v>
          </cell>
          <cell r="I678">
            <v>10</v>
          </cell>
          <cell r="J678">
            <v>2</v>
          </cell>
          <cell r="K678">
            <v>10</v>
          </cell>
          <cell r="L678">
            <v>6</v>
          </cell>
          <cell r="M678">
            <v>1</v>
          </cell>
          <cell r="N678">
            <v>1</v>
          </cell>
          <cell r="O678">
            <v>1</v>
          </cell>
          <cell r="P678">
            <v>0</v>
          </cell>
          <cell r="Q678">
            <v>0</v>
          </cell>
          <cell r="R678">
            <v>0</v>
          </cell>
          <cell r="S678">
            <v>0</v>
          </cell>
          <cell r="T678">
            <v>1</v>
          </cell>
          <cell r="U678">
            <v>0</v>
          </cell>
          <cell r="V678">
            <v>0</v>
          </cell>
          <cell r="W678">
            <v>0</v>
          </cell>
          <cell r="X678">
            <v>0</v>
          </cell>
          <cell r="Y678">
            <v>0</v>
          </cell>
          <cell r="Z678">
            <v>1</v>
          </cell>
          <cell r="AA678">
            <v>16</v>
          </cell>
          <cell r="AB678">
            <v>0.1</v>
          </cell>
          <cell r="AC678">
            <v>0.6</v>
          </cell>
          <cell r="AD678">
            <v>64</v>
          </cell>
        </row>
        <row r="679">
          <cell r="A679">
            <v>49</v>
          </cell>
          <cell r="B679">
            <v>2</v>
          </cell>
          <cell r="C679">
            <v>3</v>
          </cell>
          <cell r="D679">
            <v>7403</v>
          </cell>
          <cell r="E679">
            <v>4</v>
          </cell>
          <cell r="F679">
            <v>11</v>
          </cell>
          <cell r="G679">
            <v>3</v>
          </cell>
          <cell r="H679">
            <v>1</v>
          </cell>
          <cell r="I679">
            <v>29</v>
          </cell>
          <cell r="J679">
            <v>3</v>
          </cell>
          <cell r="K679">
            <v>26</v>
          </cell>
          <cell r="L679">
            <v>9</v>
          </cell>
          <cell r="M679">
            <v>0</v>
          </cell>
          <cell r="N679">
            <v>1</v>
          </cell>
          <cell r="O679">
            <v>0</v>
          </cell>
          <cell r="P679">
            <v>0</v>
          </cell>
          <cell r="Q679">
            <v>0</v>
          </cell>
          <cell r="R679">
            <v>1</v>
          </cell>
          <cell r="S679">
            <v>0</v>
          </cell>
          <cell r="T679">
            <v>0</v>
          </cell>
          <cell r="U679">
            <v>0</v>
          </cell>
          <cell r="V679">
            <v>0</v>
          </cell>
          <cell r="W679">
            <v>2</v>
          </cell>
          <cell r="X679">
            <v>0</v>
          </cell>
          <cell r="Y679">
            <v>0</v>
          </cell>
          <cell r="Z679">
            <v>0</v>
          </cell>
          <cell r="AA679">
            <v>2</v>
          </cell>
          <cell r="AB679">
            <v>0.13793103448275862</v>
          </cell>
          <cell r="AC679">
            <v>0.34615384615384615</v>
          </cell>
          <cell r="AD679">
            <v>6</v>
          </cell>
        </row>
        <row r="680">
          <cell r="A680">
            <v>48</v>
          </cell>
          <cell r="B680">
            <v>4</v>
          </cell>
          <cell r="C680">
            <v>3</v>
          </cell>
          <cell r="D680">
            <v>2259</v>
          </cell>
          <cell r="E680">
            <v>4</v>
          </cell>
          <cell r="F680">
            <v>17</v>
          </cell>
          <cell r="G680">
            <v>3</v>
          </cell>
          <cell r="H680">
            <v>2</v>
          </cell>
          <cell r="I680">
            <v>13</v>
          </cell>
          <cell r="J680">
            <v>2</v>
          </cell>
          <cell r="K680">
            <v>0</v>
          </cell>
          <cell r="L680">
            <v>0</v>
          </cell>
          <cell r="M680">
            <v>0</v>
          </cell>
          <cell r="N680">
            <v>0</v>
          </cell>
          <cell r="O680">
            <v>0</v>
          </cell>
          <cell r="P680">
            <v>0</v>
          </cell>
          <cell r="Q680">
            <v>1</v>
          </cell>
          <cell r="R680">
            <v>0</v>
          </cell>
          <cell r="S680">
            <v>0</v>
          </cell>
          <cell r="T680">
            <v>0</v>
          </cell>
          <cell r="U680">
            <v>0</v>
          </cell>
          <cell r="V680">
            <v>4</v>
          </cell>
          <cell r="W680">
            <v>0</v>
          </cell>
          <cell r="X680">
            <v>0</v>
          </cell>
          <cell r="Y680">
            <v>0</v>
          </cell>
          <cell r="Z680">
            <v>0</v>
          </cell>
          <cell r="AA680">
            <v>12</v>
          </cell>
          <cell r="AB680">
            <v>0.30769230769230771</v>
          </cell>
          <cell r="AC680">
            <v>0</v>
          </cell>
          <cell r="AD680">
            <v>12</v>
          </cell>
        </row>
        <row r="681">
          <cell r="A681">
            <v>31</v>
          </cell>
          <cell r="B681">
            <v>2</v>
          </cell>
          <cell r="C681">
            <v>3</v>
          </cell>
          <cell r="D681">
            <v>6932</v>
          </cell>
          <cell r="E681">
            <v>1</v>
          </cell>
          <cell r="F681">
            <v>13</v>
          </cell>
          <cell r="G681">
            <v>3</v>
          </cell>
          <cell r="H681">
            <v>1</v>
          </cell>
          <cell r="I681">
            <v>9</v>
          </cell>
          <cell r="J681">
            <v>2</v>
          </cell>
          <cell r="K681">
            <v>9</v>
          </cell>
          <cell r="L681">
            <v>8</v>
          </cell>
          <cell r="M681">
            <v>0</v>
          </cell>
          <cell r="N681">
            <v>1</v>
          </cell>
          <cell r="O681">
            <v>0</v>
          </cell>
          <cell r="P681">
            <v>1</v>
          </cell>
          <cell r="Q681">
            <v>0</v>
          </cell>
          <cell r="R681">
            <v>0</v>
          </cell>
          <cell r="S681">
            <v>0</v>
          </cell>
          <cell r="T681">
            <v>0</v>
          </cell>
          <cell r="U681">
            <v>2</v>
          </cell>
          <cell r="V681">
            <v>0</v>
          </cell>
          <cell r="W681">
            <v>0</v>
          </cell>
          <cell r="X681">
            <v>0</v>
          </cell>
          <cell r="Y681">
            <v>0</v>
          </cell>
          <cell r="Z681">
            <v>0</v>
          </cell>
          <cell r="AA681">
            <v>12</v>
          </cell>
          <cell r="AB681">
            <v>0.1111111111111111</v>
          </cell>
          <cell r="AC681">
            <v>0.88888888888888884</v>
          </cell>
          <cell r="AD681">
            <v>48</v>
          </cell>
        </row>
        <row r="682">
          <cell r="A682">
            <v>36</v>
          </cell>
          <cell r="B682">
            <v>4</v>
          </cell>
          <cell r="C682">
            <v>3</v>
          </cell>
          <cell r="D682">
            <v>4678</v>
          </cell>
          <cell r="E682">
            <v>2</v>
          </cell>
          <cell r="F682">
            <v>18</v>
          </cell>
          <cell r="G682">
            <v>3</v>
          </cell>
          <cell r="H682">
            <v>0</v>
          </cell>
          <cell r="I682">
            <v>8</v>
          </cell>
          <cell r="J682">
            <v>6</v>
          </cell>
          <cell r="K682">
            <v>6</v>
          </cell>
          <cell r="L682">
            <v>2</v>
          </cell>
          <cell r="M682">
            <v>0</v>
          </cell>
          <cell r="N682">
            <v>0</v>
          </cell>
          <cell r="O682">
            <v>0</v>
          </cell>
          <cell r="P682">
            <v>0</v>
          </cell>
          <cell r="Q682">
            <v>0</v>
          </cell>
          <cell r="R682">
            <v>1</v>
          </cell>
          <cell r="S682">
            <v>0</v>
          </cell>
          <cell r="T682">
            <v>0</v>
          </cell>
          <cell r="U682">
            <v>0</v>
          </cell>
          <cell r="V682">
            <v>0</v>
          </cell>
          <cell r="W682">
            <v>4</v>
          </cell>
          <cell r="X682">
            <v>0</v>
          </cell>
          <cell r="Y682">
            <v>0</v>
          </cell>
          <cell r="Z682">
            <v>0</v>
          </cell>
          <cell r="AA682">
            <v>8</v>
          </cell>
          <cell r="AB682">
            <v>0.25</v>
          </cell>
          <cell r="AC682">
            <v>0.33333333333333331</v>
          </cell>
          <cell r="AD682">
            <v>24</v>
          </cell>
        </row>
        <row r="683">
          <cell r="A683">
            <v>38</v>
          </cell>
          <cell r="B683">
            <v>3</v>
          </cell>
          <cell r="C683">
            <v>3</v>
          </cell>
          <cell r="D683">
            <v>13582</v>
          </cell>
          <cell r="E683">
            <v>1</v>
          </cell>
          <cell r="F683">
            <v>13</v>
          </cell>
          <cell r="G683">
            <v>3</v>
          </cell>
          <cell r="H683">
            <v>1</v>
          </cell>
          <cell r="I683">
            <v>15</v>
          </cell>
          <cell r="J683">
            <v>3</v>
          </cell>
          <cell r="K683">
            <v>15</v>
          </cell>
          <cell r="L683">
            <v>12</v>
          </cell>
          <cell r="M683">
            <v>0</v>
          </cell>
          <cell r="N683">
            <v>1</v>
          </cell>
          <cell r="O683">
            <v>0</v>
          </cell>
          <cell r="P683">
            <v>0</v>
          </cell>
          <cell r="Q683">
            <v>0</v>
          </cell>
          <cell r="R683">
            <v>0</v>
          </cell>
          <cell r="S683">
            <v>1</v>
          </cell>
          <cell r="T683">
            <v>0</v>
          </cell>
          <cell r="U683">
            <v>0</v>
          </cell>
          <cell r="V683">
            <v>0</v>
          </cell>
          <cell r="W683">
            <v>0</v>
          </cell>
          <cell r="X683">
            <v>3</v>
          </cell>
          <cell r="Y683">
            <v>0</v>
          </cell>
          <cell r="Z683">
            <v>0</v>
          </cell>
          <cell r="AA683">
            <v>4</v>
          </cell>
          <cell r="AB683">
            <v>6.6666666666666666E-2</v>
          </cell>
          <cell r="AC683">
            <v>0.8</v>
          </cell>
          <cell r="AD683">
            <v>8</v>
          </cell>
        </row>
        <row r="684">
          <cell r="A684">
            <v>32</v>
          </cell>
          <cell r="B684">
            <v>3</v>
          </cell>
          <cell r="C684">
            <v>2</v>
          </cell>
          <cell r="D684">
            <v>2332</v>
          </cell>
          <cell r="E684">
            <v>6</v>
          </cell>
          <cell r="F684">
            <v>20</v>
          </cell>
          <cell r="G684">
            <v>4</v>
          </cell>
          <cell r="H684">
            <v>0</v>
          </cell>
          <cell r="I684">
            <v>5</v>
          </cell>
          <cell r="J684">
            <v>3</v>
          </cell>
          <cell r="K684">
            <v>3</v>
          </cell>
          <cell r="L684">
            <v>0</v>
          </cell>
          <cell r="M684">
            <v>0</v>
          </cell>
          <cell r="N684">
            <v>1</v>
          </cell>
          <cell r="O684">
            <v>1</v>
          </cell>
          <cell r="P684">
            <v>0</v>
          </cell>
          <cell r="Q684">
            <v>0</v>
          </cell>
          <cell r="R684">
            <v>0</v>
          </cell>
          <cell r="S684">
            <v>0</v>
          </cell>
          <cell r="T684">
            <v>3</v>
          </cell>
          <cell r="U684">
            <v>0</v>
          </cell>
          <cell r="V684">
            <v>0</v>
          </cell>
          <cell r="W684">
            <v>0</v>
          </cell>
          <cell r="X684">
            <v>0</v>
          </cell>
          <cell r="Y684">
            <v>0</v>
          </cell>
          <cell r="Z684">
            <v>0</v>
          </cell>
          <cell r="AA684">
            <v>6</v>
          </cell>
          <cell r="AB684">
            <v>1.2</v>
          </cell>
          <cell r="AC684">
            <v>0</v>
          </cell>
          <cell r="AD684">
            <v>18</v>
          </cell>
        </row>
        <row r="685">
          <cell r="A685">
            <v>25</v>
          </cell>
          <cell r="B685">
            <v>2</v>
          </cell>
          <cell r="C685">
            <v>2</v>
          </cell>
          <cell r="D685">
            <v>2413</v>
          </cell>
          <cell r="E685">
            <v>1</v>
          </cell>
          <cell r="F685">
            <v>18</v>
          </cell>
          <cell r="G685">
            <v>3</v>
          </cell>
          <cell r="H685">
            <v>3</v>
          </cell>
          <cell r="I685">
            <v>1</v>
          </cell>
          <cell r="J685">
            <v>2</v>
          </cell>
          <cell r="K685">
            <v>1</v>
          </cell>
          <cell r="L685">
            <v>0</v>
          </cell>
          <cell r="M685">
            <v>1</v>
          </cell>
          <cell r="N685">
            <v>0</v>
          </cell>
          <cell r="O685">
            <v>0</v>
          </cell>
          <cell r="P685">
            <v>1</v>
          </cell>
          <cell r="Q685">
            <v>0</v>
          </cell>
          <cell r="R685">
            <v>0</v>
          </cell>
          <cell r="S685">
            <v>0</v>
          </cell>
          <cell r="T685">
            <v>0</v>
          </cell>
          <cell r="U685">
            <v>2</v>
          </cell>
          <cell r="V685">
            <v>0</v>
          </cell>
          <cell r="W685">
            <v>0</v>
          </cell>
          <cell r="X685">
            <v>0</v>
          </cell>
          <cell r="Y685">
            <v>0</v>
          </cell>
          <cell r="Z685">
            <v>1</v>
          </cell>
          <cell r="AA685">
            <v>6</v>
          </cell>
          <cell r="AB685">
            <v>1</v>
          </cell>
          <cell r="AC685">
            <v>0</v>
          </cell>
          <cell r="AD685">
            <v>18</v>
          </cell>
        </row>
        <row r="686">
          <cell r="A686">
            <v>40</v>
          </cell>
          <cell r="B686">
            <v>4</v>
          </cell>
          <cell r="C686">
            <v>2</v>
          </cell>
          <cell r="D686">
            <v>9705</v>
          </cell>
          <cell r="E686">
            <v>2</v>
          </cell>
          <cell r="F686">
            <v>12</v>
          </cell>
          <cell r="G686">
            <v>3</v>
          </cell>
          <cell r="H686">
            <v>1</v>
          </cell>
          <cell r="I686">
            <v>11</v>
          </cell>
          <cell r="J686">
            <v>2</v>
          </cell>
          <cell r="K686">
            <v>1</v>
          </cell>
          <cell r="L686">
            <v>0</v>
          </cell>
          <cell r="M686">
            <v>0</v>
          </cell>
          <cell r="N686">
            <v>0</v>
          </cell>
          <cell r="O686">
            <v>0</v>
          </cell>
          <cell r="P686">
            <v>1</v>
          </cell>
          <cell r="Q686">
            <v>0</v>
          </cell>
          <cell r="R686">
            <v>0</v>
          </cell>
          <cell r="S686">
            <v>0</v>
          </cell>
          <cell r="T686">
            <v>0</v>
          </cell>
          <cell r="U686">
            <v>4</v>
          </cell>
          <cell r="V686">
            <v>0</v>
          </cell>
          <cell r="W686">
            <v>0</v>
          </cell>
          <cell r="X686">
            <v>0</v>
          </cell>
          <cell r="Y686">
            <v>0</v>
          </cell>
          <cell r="Z686">
            <v>0</v>
          </cell>
          <cell r="AA686">
            <v>2</v>
          </cell>
          <cell r="AB686">
            <v>0.18181818181818182</v>
          </cell>
          <cell r="AC686">
            <v>0</v>
          </cell>
          <cell r="AD686">
            <v>4</v>
          </cell>
        </row>
        <row r="687">
          <cell r="A687">
            <v>26</v>
          </cell>
          <cell r="B687">
            <v>3</v>
          </cell>
          <cell r="C687">
            <v>2</v>
          </cell>
          <cell r="D687">
            <v>4294</v>
          </cell>
          <cell r="E687">
            <v>1</v>
          </cell>
          <cell r="F687">
            <v>12</v>
          </cell>
          <cell r="G687">
            <v>3</v>
          </cell>
          <cell r="H687">
            <v>0</v>
          </cell>
          <cell r="I687">
            <v>7</v>
          </cell>
          <cell r="J687">
            <v>2</v>
          </cell>
          <cell r="K687">
            <v>7</v>
          </cell>
          <cell r="L687">
            <v>7</v>
          </cell>
          <cell r="M687">
            <v>0</v>
          </cell>
          <cell r="N687">
            <v>0</v>
          </cell>
          <cell r="O687">
            <v>0</v>
          </cell>
          <cell r="P687">
            <v>0</v>
          </cell>
          <cell r="Q687">
            <v>1</v>
          </cell>
          <cell r="R687">
            <v>0</v>
          </cell>
          <cell r="S687">
            <v>0</v>
          </cell>
          <cell r="T687">
            <v>0</v>
          </cell>
          <cell r="U687">
            <v>0</v>
          </cell>
          <cell r="V687">
            <v>3</v>
          </cell>
          <cell r="W687">
            <v>0</v>
          </cell>
          <cell r="X687">
            <v>0</v>
          </cell>
          <cell r="Y687">
            <v>0</v>
          </cell>
          <cell r="Z687">
            <v>0</v>
          </cell>
          <cell r="AA687">
            <v>3</v>
          </cell>
          <cell r="AB687">
            <v>0.14285714285714285</v>
          </cell>
          <cell r="AC687">
            <v>1</v>
          </cell>
          <cell r="AD687">
            <v>6</v>
          </cell>
        </row>
        <row r="688">
          <cell r="A688">
            <v>41</v>
          </cell>
          <cell r="B688">
            <v>3</v>
          </cell>
          <cell r="C688">
            <v>3</v>
          </cell>
          <cell r="D688">
            <v>4721</v>
          </cell>
          <cell r="E688">
            <v>2</v>
          </cell>
          <cell r="F688">
            <v>13</v>
          </cell>
          <cell r="G688">
            <v>3</v>
          </cell>
          <cell r="H688">
            <v>0</v>
          </cell>
          <cell r="I688">
            <v>20</v>
          </cell>
          <cell r="J688">
            <v>3</v>
          </cell>
          <cell r="K688">
            <v>18</v>
          </cell>
          <cell r="L688">
            <v>13</v>
          </cell>
          <cell r="M688">
            <v>1</v>
          </cell>
          <cell r="N688">
            <v>0</v>
          </cell>
          <cell r="O688">
            <v>0</v>
          </cell>
          <cell r="P688">
            <v>0</v>
          </cell>
          <cell r="Q688">
            <v>1</v>
          </cell>
          <cell r="R688">
            <v>0</v>
          </cell>
          <cell r="S688">
            <v>0</v>
          </cell>
          <cell r="T688">
            <v>0</v>
          </cell>
          <cell r="U688">
            <v>0</v>
          </cell>
          <cell r="V688">
            <v>3</v>
          </cell>
          <cell r="W688">
            <v>0</v>
          </cell>
          <cell r="X688">
            <v>0</v>
          </cell>
          <cell r="Y688">
            <v>0</v>
          </cell>
          <cell r="Z688">
            <v>0</v>
          </cell>
          <cell r="AA688">
            <v>4</v>
          </cell>
          <cell r="AB688">
            <v>0.1</v>
          </cell>
          <cell r="AC688">
            <v>0.72222222222222221</v>
          </cell>
          <cell r="AD688">
            <v>12</v>
          </cell>
        </row>
        <row r="689">
          <cell r="A689">
            <v>36</v>
          </cell>
          <cell r="B689">
            <v>4</v>
          </cell>
          <cell r="C689">
            <v>3</v>
          </cell>
          <cell r="D689">
            <v>2519</v>
          </cell>
          <cell r="E689">
            <v>4</v>
          </cell>
          <cell r="F689">
            <v>21</v>
          </cell>
          <cell r="G689">
            <v>4</v>
          </cell>
          <cell r="H689">
            <v>0</v>
          </cell>
          <cell r="I689">
            <v>16</v>
          </cell>
          <cell r="J689">
            <v>6</v>
          </cell>
          <cell r="K689">
            <v>11</v>
          </cell>
          <cell r="L689">
            <v>8</v>
          </cell>
          <cell r="M689">
            <v>0</v>
          </cell>
          <cell r="N689">
            <v>0</v>
          </cell>
          <cell r="O689">
            <v>0</v>
          </cell>
          <cell r="P689">
            <v>0</v>
          </cell>
          <cell r="Q689">
            <v>1</v>
          </cell>
          <cell r="R689">
            <v>0</v>
          </cell>
          <cell r="S689">
            <v>0</v>
          </cell>
          <cell r="T689">
            <v>0</v>
          </cell>
          <cell r="U689">
            <v>0</v>
          </cell>
          <cell r="V689">
            <v>4</v>
          </cell>
          <cell r="W689">
            <v>0</v>
          </cell>
          <cell r="X689">
            <v>0</v>
          </cell>
          <cell r="Y689">
            <v>0</v>
          </cell>
          <cell r="Z689">
            <v>0</v>
          </cell>
          <cell r="AA689">
            <v>9</v>
          </cell>
          <cell r="AB689">
            <v>0.25</v>
          </cell>
          <cell r="AC689">
            <v>0.72727272727272729</v>
          </cell>
          <cell r="AD689">
            <v>27</v>
          </cell>
        </row>
        <row r="690">
          <cell r="A690">
            <v>19</v>
          </cell>
          <cell r="B690">
            <v>3</v>
          </cell>
          <cell r="C690">
            <v>2</v>
          </cell>
          <cell r="D690">
            <v>2121</v>
          </cell>
          <cell r="E690">
            <v>1</v>
          </cell>
          <cell r="F690">
            <v>13</v>
          </cell>
          <cell r="G690">
            <v>3</v>
          </cell>
          <cell r="H690">
            <v>0</v>
          </cell>
          <cell r="I690">
            <v>1</v>
          </cell>
          <cell r="J690">
            <v>3</v>
          </cell>
          <cell r="K690">
            <v>1</v>
          </cell>
          <cell r="L690">
            <v>0</v>
          </cell>
          <cell r="M690">
            <v>1</v>
          </cell>
          <cell r="N690">
            <v>0</v>
          </cell>
          <cell r="O690">
            <v>0</v>
          </cell>
          <cell r="P690">
            <v>0</v>
          </cell>
          <cell r="Q690">
            <v>0</v>
          </cell>
          <cell r="R690">
            <v>1</v>
          </cell>
          <cell r="S690">
            <v>0</v>
          </cell>
          <cell r="T690">
            <v>0</v>
          </cell>
          <cell r="U690">
            <v>0</v>
          </cell>
          <cell r="V690">
            <v>0</v>
          </cell>
          <cell r="W690">
            <v>3</v>
          </cell>
          <cell r="X690">
            <v>0</v>
          </cell>
          <cell r="Y690">
            <v>0</v>
          </cell>
          <cell r="Z690">
            <v>0</v>
          </cell>
          <cell r="AA690">
            <v>8</v>
          </cell>
          <cell r="AB690">
            <v>1</v>
          </cell>
          <cell r="AC690">
            <v>0</v>
          </cell>
          <cell r="AD690">
            <v>16</v>
          </cell>
        </row>
        <row r="691">
          <cell r="A691">
            <v>20</v>
          </cell>
          <cell r="B691">
            <v>3</v>
          </cell>
          <cell r="C691">
            <v>3</v>
          </cell>
          <cell r="D691">
            <v>2973</v>
          </cell>
          <cell r="E691">
            <v>1</v>
          </cell>
          <cell r="F691">
            <v>19</v>
          </cell>
          <cell r="G691">
            <v>3</v>
          </cell>
          <cell r="H691">
            <v>0</v>
          </cell>
          <cell r="I691">
            <v>1</v>
          </cell>
          <cell r="J691">
            <v>2</v>
          </cell>
          <cell r="K691">
            <v>1</v>
          </cell>
          <cell r="L691">
            <v>0</v>
          </cell>
          <cell r="M691">
            <v>0</v>
          </cell>
          <cell r="N691">
            <v>0</v>
          </cell>
          <cell r="O691">
            <v>0</v>
          </cell>
          <cell r="P691">
            <v>0</v>
          </cell>
          <cell r="Q691">
            <v>0</v>
          </cell>
          <cell r="R691">
            <v>0</v>
          </cell>
          <cell r="S691">
            <v>1</v>
          </cell>
          <cell r="T691">
            <v>0</v>
          </cell>
          <cell r="U691">
            <v>0</v>
          </cell>
          <cell r="V691">
            <v>0</v>
          </cell>
          <cell r="W691">
            <v>0</v>
          </cell>
          <cell r="X691">
            <v>3</v>
          </cell>
          <cell r="Y691">
            <v>0</v>
          </cell>
          <cell r="Z691">
            <v>0</v>
          </cell>
          <cell r="AA691">
            <v>1</v>
          </cell>
          <cell r="AB691">
            <v>1</v>
          </cell>
          <cell r="AC691">
            <v>0</v>
          </cell>
          <cell r="AD691">
            <v>2</v>
          </cell>
        </row>
        <row r="692">
          <cell r="A692">
            <v>31</v>
          </cell>
          <cell r="B692">
            <v>3</v>
          </cell>
          <cell r="C692">
            <v>3</v>
          </cell>
          <cell r="D692">
            <v>5855</v>
          </cell>
          <cell r="E692">
            <v>0</v>
          </cell>
          <cell r="F692">
            <v>11</v>
          </cell>
          <cell r="G692">
            <v>3</v>
          </cell>
          <cell r="H692">
            <v>2</v>
          </cell>
          <cell r="I692">
            <v>10</v>
          </cell>
          <cell r="J692">
            <v>2</v>
          </cell>
          <cell r="K692">
            <v>9</v>
          </cell>
          <cell r="L692">
            <v>7</v>
          </cell>
          <cell r="M692">
            <v>1</v>
          </cell>
          <cell r="N692">
            <v>1</v>
          </cell>
          <cell r="O692">
            <v>0</v>
          </cell>
          <cell r="P692">
            <v>0</v>
          </cell>
          <cell r="Q692">
            <v>1</v>
          </cell>
          <cell r="R692">
            <v>0</v>
          </cell>
          <cell r="S692">
            <v>0</v>
          </cell>
          <cell r="T692">
            <v>0</v>
          </cell>
          <cell r="U692">
            <v>0</v>
          </cell>
          <cell r="V692">
            <v>3</v>
          </cell>
          <cell r="W692">
            <v>0</v>
          </cell>
          <cell r="X692">
            <v>0</v>
          </cell>
          <cell r="Y692">
            <v>0</v>
          </cell>
          <cell r="Z692">
            <v>1</v>
          </cell>
          <cell r="AA692">
            <v>16</v>
          </cell>
          <cell r="AB692">
            <v>0</v>
          </cell>
          <cell r="AC692">
            <v>0.77777777777777779</v>
          </cell>
          <cell r="AD692">
            <v>48</v>
          </cell>
        </row>
        <row r="693">
          <cell r="A693">
            <v>40</v>
          </cell>
          <cell r="B693">
            <v>4</v>
          </cell>
          <cell r="C693">
            <v>3</v>
          </cell>
          <cell r="D693">
            <v>3617</v>
          </cell>
          <cell r="E693">
            <v>8</v>
          </cell>
          <cell r="F693">
            <v>14</v>
          </cell>
          <cell r="G693">
            <v>3</v>
          </cell>
          <cell r="H693">
            <v>1</v>
          </cell>
          <cell r="I693">
            <v>3</v>
          </cell>
          <cell r="J693">
            <v>2</v>
          </cell>
          <cell r="K693">
            <v>1</v>
          </cell>
          <cell r="L693">
            <v>1</v>
          </cell>
          <cell r="M693">
            <v>1</v>
          </cell>
          <cell r="N693">
            <v>0</v>
          </cell>
          <cell r="O693">
            <v>0</v>
          </cell>
          <cell r="P693">
            <v>0</v>
          </cell>
          <cell r="Q693">
            <v>1</v>
          </cell>
          <cell r="R693">
            <v>0</v>
          </cell>
          <cell r="S693">
            <v>0</v>
          </cell>
          <cell r="T693">
            <v>0</v>
          </cell>
          <cell r="U693">
            <v>0</v>
          </cell>
          <cell r="V693">
            <v>4</v>
          </cell>
          <cell r="W693">
            <v>0</v>
          </cell>
          <cell r="X693">
            <v>0</v>
          </cell>
          <cell r="Y693">
            <v>0</v>
          </cell>
          <cell r="Z693">
            <v>0</v>
          </cell>
          <cell r="AA693">
            <v>8</v>
          </cell>
          <cell r="AB693">
            <v>2.6666666666666665</v>
          </cell>
          <cell r="AC693">
            <v>1</v>
          </cell>
          <cell r="AD693">
            <v>32</v>
          </cell>
        </row>
        <row r="694">
          <cell r="A694">
            <v>32</v>
          </cell>
          <cell r="B694">
            <v>4</v>
          </cell>
          <cell r="C694">
            <v>3</v>
          </cell>
          <cell r="D694">
            <v>6725</v>
          </cell>
          <cell r="E694">
            <v>1</v>
          </cell>
          <cell r="F694">
            <v>12</v>
          </cell>
          <cell r="G694">
            <v>3</v>
          </cell>
          <cell r="H694">
            <v>1</v>
          </cell>
          <cell r="I694">
            <v>8</v>
          </cell>
          <cell r="J694">
            <v>2</v>
          </cell>
          <cell r="K694">
            <v>8</v>
          </cell>
          <cell r="L694">
            <v>7</v>
          </cell>
          <cell r="M694">
            <v>0</v>
          </cell>
          <cell r="N694">
            <v>1</v>
          </cell>
          <cell r="O694">
            <v>0</v>
          </cell>
          <cell r="P694">
            <v>0</v>
          </cell>
          <cell r="Q694">
            <v>1</v>
          </cell>
          <cell r="R694">
            <v>0</v>
          </cell>
          <cell r="S694">
            <v>0</v>
          </cell>
          <cell r="T694">
            <v>0</v>
          </cell>
          <cell r="U694">
            <v>0</v>
          </cell>
          <cell r="V694">
            <v>4</v>
          </cell>
          <cell r="W694">
            <v>0</v>
          </cell>
          <cell r="X694">
            <v>0</v>
          </cell>
          <cell r="Y694">
            <v>0</v>
          </cell>
          <cell r="Z694">
            <v>0</v>
          </cell>
          <cell r="AA694">
            <v>3</v>
          </cell>
          <cell r="AB694">
            <v>0.125</v>
          </cell>
          <cell r="AC694">
            <v>0.875</v>
          </cell>
          <cell r="AD694">
            <v>9</v>
          </cell>
        </row>
        <row r="695">
          <cell r="A695">
            <v>36</v>
          </cell>
          <cell r="B695">
            <v>1</v>
          </cell>
          <cell r="C695">
            <v>2</v>
          </cell>
          <cell r="D695">
            <v>10325</v>
          </cell>
          <cell r="E695">
            <v>1</v>
          </cell>
          <cell r="F695">
            <v>11</v>
          </cell>
          <cell r="G695">
            <v>3</v>
          </cell>
          <cell r="H695">
            <v>1</v>
          </cell>
          <cell r="I695">
            <v>16</v>
          </cell>
          <cell r="J695">
            <v>6</v>
          </cell>
          <cell r="K695">
            <v>16</v>
          </cell>
          <cell r="L695">
            <v>7</v>
          </cell>
          <cell r="M695">
            <v>1</v>
          </cell>
          <cell r="N695">
            <v>0</v>
          </cell>
          <cell r="O695">
            <v>1</v>
          </cell>
          <cell r="P695">
            <v>0</v>
          </cell>
          <cell r="Q695">
            <v>0</v>
          </cell>
          <cell r="R695">
            <v>0</v>
          </cell>
          <cell r="S695">
            <v>0</v>
          </cell>
          <cell r="T695">
            <v>1</v>
          </cell>
          <cell r="U695">
            <v>0</v>
          </cell>
          <cell r="V695">
            <v>0</v>
          </cell>
          <cell r="W695">
            <v>0</v>
          </cell>
          <cell r="X695">
            <v>0</v>
          </cell>
          <cell r="Y695">
            <v>0</v>
          </cell>
          <cell r="Z695">
            <v>1</v>
          </cell>
          <cell r="AA695">
            <v>12</v>
          </cell>
          <cell r="AB695">
            <v>6.25E-2</v>
          </cell>
          <cell r="AC695">
            <v>0.4375</v>
          </cell>
          <cell r="AD695">
            <v>12</v>
          </cell>
        </row>
        <row r="696">
          <cell r="A696">
            <v>33</v>
          </cell>
          <cell r="B696">
            <v>3</v>
          </cell>
          <cell r="C696">
            <v>2</v>
          </cell>
          <cell r="D696">
            <v>6949</v>
          </cell>
          <cell r="E696">
            <v>0</v>
          </cell>
          <cell r="F696">
            <v>14</v>
          </cell>
          <cell r="G696">
            <v>3</v>
          </cell>
          <cell r="H696">
            <v>0</v>
          </cell>
          <cell r="I696">
            <v>6</v>
          </cell>
          <cell r="J696">
            <v>3</v>
          </cell>
          <cell r="K696">
            <v>5</v>
          </cell>
          <cell r="L696">
            <v>0</v>
          </cell>
          <cell r="M696">
            <v>0</v>
          </cell>
          <cell r="N696">
            <v>1</v>
          </cell>
          <cell r="O696">
            <v>1</v>
          </cell>
          <cell r="P696">
            <v>0</v>
          </cell>
          <cell r="Q696">
            <v>0</v>
          </cell>
          <cell r="R696">
            <v>0</v>
          </cell>
          <cell r="S696">
            <v>0</v>
          </cell>
          <cell r="T696">
            <v>3</v>
          </cell>
          <cell r="U696">
            <v>0</v>
          </cell>
          <cell r="V696">
            <v>0</v>
          </cell>
          <cell r="W696">
            <v>0</v>
          </cell>
          <cell r="X696">
            <v>0</v>
          </cell>
          <cell r="Y696">
            <v>0</v>
          </cell>
          <cell r="Z696">
            <v>0</v>
          </cell>
          <cell r="AA696">
            <v>8</v>
          </cell>
          <cell r="AB696">
            <v>0</v>
          </cell>
          <cell r="AC696">
            <v>0</v>
          </cell>
          <cell r="AD696">
            <v>8</v>
          </cell>
        </row>
        <row r="697">
          <cell r="A697">
            <v>37</v>
          </cell>
          <cell r="B697">
            <v>4</v>
          </cell>
          <cell r="C697">
            <v>2</v>
          </cell>
          <cell r="D697">
            <v>10609</v>
          </cell>
          <cell r="E697">
            <v>5</v>
          </cell>
          <cell r="F697">
            <v>11</v>
          </cell>
          <cell r="G697">
            <v>3</v>
          </cell>
          <cell r="H697">
            <v>0</v>
          </cell>
          <cell r="I697">
            <v>17</v>
          </cell>
          <cell r="J697">
            <v>2</v>
          </cell>
          <cell r="K697">
            <v>14</v>
          </cell>
          <cell r="L697">
            <v>1</v>
          </cell>
          <cell r="M697">
            <v>0</v>
          </cell>
          <cell r="N697">
            <v>0</v>
          </cell>
          <cell r="O697">
            <v>1</v>
          </cell>
          <cell r="P697">
            <v>0</v>
          </cell>
          <cell r="Q697">
            <v>0</v>
          </cell>
          <cell r="R697">
            <v>0</v>
          </cell>
          <cell r="S697">
            <v>0</v>
          </cell>
          <cell r="T697">
            <v>4</v>
          </cell>
          <cell r="U697">
            <v>0</v>
          </cell>
          <cell r="V697">
            <v>0</v>
          </cell>
          <cell r="W697">
            <v>0</v>
          </cell>
          <cell r="X697">
            <v>0</v>
          </cell>
          <cell r="Y697">
            <v>0</v>
          </cell>
          <cell r="Z697">
            <v>0</v>
          </cell>
          <cell r="AA697">
            <v>3</v>
          </cell>
          <cell r="AB697">
            <v>0.29411764705882354</v>
          </cell>
          <cell r="AC697">
            <v>7.1428571428571425E-2</v>
          </cell>
          <cell r="AD697">
            <v>9</v>
          </cell>
        </row>
        <row r="698">
          <cell r="A698">
            <v>45</v>
          </cell>
          <cell r="B698">
            <v>2</v>
          </cell>
          <cell r="C698">
            <v>3</v>
          </cell>
          <cell r="D698">
            <v>4447</v>
          </cell>
          <cell r="E698">
            <v>1</v>
          </cell>
          <cell r="F698">
            <v>12</v>
          </cell>
          <cell r="G698">
            <v>3</v>
          </cell>
          <cell r="H698">
            <v>0</v>
          </cell>
          <cell r="I698">
            <v>9</v>
          </cell>
          <cell r="J698">
            <v>5</v>
          </cell>
          <cell r="K698">
            <v>9</v>
          </cell>
          <cell r="L698">
            <v>7</v>
          </cell>
          <cell r="M698">
            <v>0</v>
          </cell>
          <cell r="N698">
            <v>0</v>
          </cell>
          <cell r="O698">
            <v>1</v>
          </cell>
          <cell r="P698">
            <v>0</v>
          </cell>
          <cell r="Q698">
            <v>0</v>
          </cell>
          <cell r="R698">
            <v>0</v>
          </cell>
          <cell r="S698">
            <v>0</v>
          </cell>
          <cell r="T698">
            <v>2</v>
          </cell>
          <cell r="U698">
            <v>0</v>
          </cell>
          <cell r="V698">
            <v>0</v>
          </cell>
          <cell r="W698">
            <v>0</v>
          </cell>
          <cell r="X698">
            <v>0</v>
          </cell>
          <cell r="Y698">
            <v>0</v>
          </cell>
          <cell r="Z698">
            <v>0</v>
          </cell>
          <cell r="AA698">
            <v>6</v>
          </cell>
          <cell r="AB698">
            <v>0.1111111111111111</v>
          </cell>
          <cell r="AC698">
            <v>0.77777777777777779</v>
          </cell>
          <cell r="AD698">
            <v>12</v>
          </cell>
        </row>
        <row r="699">
          <cell r="A699">
            <v>29</v>
          </cell>
          <cell r="B699">
            <v>3</v>
          </cell>
          <cell r="C699">
            <v>3</v>
          </cell>
          <cell r="D699">
            <v>2157</v>
          </cell>
          <cell r="E699">
            <v>1</v>
          </cell>
          <cell r="F699">
            <v>15</v>
          </cell>
          <cell r="G699">
            <v>3</v>
          </cell>
          <cell r="H699">
            <v>1</v>
          </cell>
          <cell r="I699">
            <v>3</v>
          </cell>
          <cell r="J699">
            <v>5</v>
          </cell>
          <cell r="K699">
            <v>3</v>
          </cell>
          <cell r="L699">
            <v>1</v>
          </cell>
          <cell r="M699">
            <v>0</v>
          </cell>
          <cell r="N699">
            <v>1</v>
          </cell>
          <cell r="O699">
            <v>0</v>
          </cell>
          <cell r="P699">
            <v>0</v>
          </cell>
          <cell r="Q699">
            <v>0</v>
          </cell>
          <cell r="R699">
            <v>0</v>
          </cell>
          <cell r="S699">
            <v>1</v>
          </cell>
          <cell r="T699">
            <v>0</v>
          </cell>
          <cell r="U699">
            <v>0</v>
          </cell>
          <cell r="V699">
            <v>0</v>
          </cell>
          <cell r="W699">
            <v>0</v>
          </cell>
          <cell r="X699">
            <v>3</v>
          </cell>
          <cell r="Y699">
            <v>1</v>
          </cell>
          <cell r="Z699">
            <v>0</v>
          </cell>
          <cell r="AA699">
            <v>12</v>
          </cell>
          <cell r="AB699">
            <v>0.33333333333333331</v>
          </cell>
          <cell r="AC699">
            <v>0.33333333333333331</v>
          </cell>
          <cell r="AD699">
            <v>24</v>
          </cell>
        </row>
        <row r="700">
          <cell r="A700">
            <v>35</v>
          </cell>
          <cell r="B700">
            <v>3</v>
          </cell>
          <cell r="C700">
            <v>3</v>
          </cell>
          <cell r="D700">
            <v>4601</v>
          </cell>
          <cell r="E700">
            <v>1</v>
          </cell>
          <cell r="F700">
            <v>16</v>
          </cell>
          <cell r="G700">
            <v>3</v>
          </cell>
          <cell r="H700">
            <v>0</v>
          </cell>
          <cell r="I700">
            <v>5</v>
          </cell>
          <cell r="J700">
            <v>3</v>
          </cell>
          <cell r="K700">
            <v>5</v>
          </cell>
          <cell r="L700">
            <v>2</v>
          </cell>
          <cell r="M700">
            <v>0</v>
          </cell>
          <cell r="N700">
            <v>1</v>
          </cell>
          <cell r="O700">
            <v>0</v>
          </cell>
          <cell r="P700">
            <v>0</v>
          </cell>
          <cell r="Q700">
            <v>1</v>
          </cell>
          <cell r="R700">
            <v>0</v>
          </cell>
          <cell r="S700">
            <v>0</v>
          </cell>
          <cell r="T700">
            <v>0</v>
          </cell>
          <cell r="U700">
            <v>0</v>
          </cell>
          <cell r="V700">
            <v>3</v>
          </cell>
          <cell r="W700">
            <v>0</v>
          </cell>
          <cell r="X700">
            <v>0</v>
          </cell>
          <cell r="Y700">
            <v>0</v>
          </cell>
          <cell r="Z700">
            <v>0</v>
          </cell>
          <cell r="AA700">
            <v>9</v>
          </cell>
          <cell r="AB700">
            <v>0.2</v>
          </cell>
          <cell r="AC700">
            <v>0.4</v>
          </cell>
          <cell r="AD700">
            <v>18</v>
          </cell>
        </row>
        <row r="701">
          <cell r="A701">
            <v>52</v>
          </cell>
          <cell r="B701">
            <v>2</v>
          </cell>
          <cell r="C701">
            <v>3</v>
          </cell>
          <cell r="D701">
            <v>17099</v>
          </cell>
          <cell r="E701">
            <v>2</v>
          </cell>
          <cell r="F701">
            <v>15</v>
          </cell>
          <cell r="G701">
            <v>3</v>
          </cell>
          <cell r="H701">
            <v>1</v>
          </cell>
          <cell r="I701">
            <v>26</v>
          </cell>
          <cell r="J701">
            <v>2</v>
          </cell>
          <cell r="K701">
            <v>9</v>
          </cell>
          <cell r="L701">
            <v>8</v>
          </cell>
          <cell r="M701">
            <v>0</v>
          </cell>
          <cell r="N701">
            <v>0</v>
          </cell>
          <cell r="O701">
            <v>1</v>
          </cell>
          <cell r="P701">
            <v>0</v>
          </cell>
          <cell r="Q701">
            <v>0</v>
          </cell>
          <cell r="R701">
            <v>0</v>
          </cell>
          <cell r="S701">
            <v>0</v>
          </cell>
          <cell r="T701">
            <v>2</v>
          </cell>
          <cell r="U701">
            <v>0</v>
          </cell>
          <cell r="V701">
            <v>0</v>
          </cell>
          <cell r="W701">
            <v>0</v>
          </cell>
          <cell r="X701">
            <v>0</v>
          </cell>
          <cell r="Y701">
            <v>0</v>
          </cell>
          <cell r="Z701">
            <v>0</v>
          </cell>
          <cell r="AA701">
            <v>16</v>
          </cell>
          <cell r="AB701">
            <v>7.6923076923076927E-2</v>
          </cell>
          <cell r="AC701">
            <v>0.88888888888888884</v>
          </cell>
          <cell r="AD701">
            <v>32</v>
          </cell>
        </row>
        <row r="702">
          <cell r="A702">
            <v>58</v>
          </cell>
          <cell r="B702">
            <v>3</v>
          </cell>
          <cell r="C702">
            <v>3</v>
          </cell>
          <cell r="D702">
            <v>2479</v>
          </cell>
          <cell r="E702">
            <v>4</v>
          </cell>
          <cell r="F702">
            <v>24</v>
          </cell>
          <cell r="G702">
            <v>4</v>
          </cell>
          <cell r="H702">
            <v>0</v>
          </cell>
          <cell r="I702">
            <v>7</v>
          </cell>
          <cell r="J702">
            <v>4</v>
          </cell>
          <cell r="K702">
            <v>1</v>
          </cell>
          <cell r="L702">
            <v>0</v>
          </cell>
          <cell r="M702">
            <v>0</v>
          </cell>
          <cell r="N702">
            <v>0</v>
          </cell>
          <cell r="O702">
            <v>0</v>
          </cell>
          <cell r="P702">
            <v>0</v>
          </cell>
          <cell r="Q702">
            <v>0</v>
          </cell>
          <cell r="R702">
            <v>0</v>
          </cell>
          <cell r="S702">
            <v>1</v>
          </cell>
          <cell r="T702">
            <v>0</v>
          </cell>
          <cell r="U702">
            <v>0</v>
          </cell>
          <cell r="V702">
            <v>0</v>
          </cell>
          <cell r="W702">
            <v>0</v>
          </cell>
          <cell r="X702">
            <v>3</v>
          </cell>
          <cell r="Y702">
            <v>0</v>
          </cell>
          <cell r="Z702">
            <v>0</v>
          </cell>
          <cell r="AA702">
            <v>12</v>
          </cell>
          <cell r="AB702">
            <v>0.5714285714285714</v>
          </cell>
          <cell r="AC702">
            <v>0</v>
          </cell>
          <cell r="AD702">
            <v>12</v>
          </cell>
        </row>
        <row r="703">
          <cell r="A703">
            <v>53</v>
          </cell>
          <cell r="B703">
            <v>2</v>
          </cell>
          <cell r="C703">
            <v>3</v>
          </cell>
          <cell r="D703">
            <v>14852</v>
          </cell>
          <cell r="E703">
            <v>6</v>
          </cell>
          <cell r="F703">
            <v>13</v>
          </cell>
          <cell r="G703">
            <v>3</v>
          </cell>
          <cell r="H703">
            <v>1</v>
          </cell>
          <cell r="I703">
            <v>22</v>
          </cell>
          <cell r="J703">
            <v>3</v>
          </cell>
          <cell r="K703">
            <v>17</v>
          </cell>
          <cell r="L703">
            <v>13</v>
          </cell>
          <cell r="M703">
            <v>0</v>
          </cell>
          <cell r="N703">
            <v>0</v>
          </cell>
          <cell r="O703">
            <v>0</v>
          </cell>
          <cell r="P703">
            <v>0</v>
          </cell>
          <cell r="Q703">
            <v>1</v>
          </cell>
          <cell r="R703">
            <v>0</v>
          </cell>
          <cell r="S703">
            <v>0</v>
          </cell>
          <cell r="T703">
            <v>0</v>
          </cell>
          <cell r="U703">
            <v>0</v>
          </cell>
          <cell r="V703">
            <v>2</v>
          </cell>
          <cell r="W703">
            <v>0</v>
          </cell>
          <cell r="X703">
            <v>0</v>
          </cell>
          <cell r="Y703">
            <v>0</v>
          </cell>
          <cell r="Z703">
            <v>0</v>
          </cell>
          <cell r="AA703">
            <v>9</v>
          </cell>
          <cell r="AB703">
            <v>0.27272727272727271</v>
          </cell>
          <cell r="AC703">
            <v>0.76470588235294112</v>
          </cell>
          <cell r="AD703">
            <v>27</v>
          </cell>
        </row>
        <row r="704">
          <cell r="A704">
            <v>30</v>
          </cell>
          <cell r="B704">
            <v>2</v>
          </cell>
          <cell r="C704">
            <v>3</v>
          </cell>
          <cell r="D704">
            <v>7264</v>
          </cell>
          <cell r="E704">
            <v>5</v>
          </cell>
          <cell r="F704">
            <v>11</v>
          </cell>
          <cell r="G704">
            <v>3</v>
          </cell>
          <cell r="H704">
            <v>1</v>
          </cell>
          <cell r="I704">
            <v>10</v>
          </cell>
          <cell r="J704">
            <v>2</v>
          </cell>
          <cell r="K704">
            <v>8</v>
          </cell>
          <cell r="L704">
            <v>4</v>
          </cell>
          <cell r="M704">
            <v>0</v>
          </cell>
          <cell r="N704">
            <v>0</v>
          </cell>
          <cell r="O704">
            <v>0</v>
          </cell>
          <cell r="P704">
            <v>0</v>
          </cell>
          <cell r="Q704">
            <v>0</v>
          </cell>
          <cell r="R704">
            <v>1</v>
          </cell>
          <cell r="S704">
            <v>0</v>
          </cell>
          <cell r="T704">
            <v>0</v>
          </cell>
          <cell r="U704">
            <v>0</v>
          </cell>
          <cell r="V704">
            <v>0</v>
          </cell>
          <cell r="W704">
            <v>2</v>
          </cell>
          <cell r="X704">
            <v>0</v>
          </cell>
          <cell r="Y704">
            <v>0</v>
          </cell>
          <cell r="Z704">
            <v>0</v>
          </cell>
          <cell r="AA704">
            <v>9</v>
          </cell>
          <cell r="AB704">
            <v>0.5</v>
          </cell>
          <cell r="AC704">
            <v>0.5</v>
          </cell>
          <cell r="AD704">
            <v>9</v>
          </cell>
        </row>
        <row r="705">
          <cell r="A705">
            <v>38</v>
          </cell>
          <cell r="B705">
            <v>3</v>
          </cell>
          <cell r="C705">
            <v>3</v>
          </cell>
          <cell r="D705">
            <v>5666</v>
          </cell>
          <cell r="E705">
            <v>1</v>
          </cell>
          <cell r="F705">
            <v>13</v>
          </cell>
          <cell r="G705">
            <v>3</v>
          </cell>
          <cell r="H705">
            <v>0</v>
          </cell>
          <cell r="I705">
            <v>6</v>
          </cell>
          <cell r="J705">
            <v>1</v>
          </cell>
          <cell r="K705">
            <v>5</v>
          </cell>
          <cell r="L705">
            <v>3</v>
          </cell>
          <cell r="M705">
            <v>1</v>
          </cell>
          <cell r="N705">
            <v>1</v>
          </cell>
          <cell r="O705">
            <v>0</v>
          </cell>
          <cell r="P705">
            <v>0</v>
          </cell>
          <cell r="Q705">
            <v>0</v>
          </cell>
          <cell r="R705">
            <v>0</v>
          </cell>
          <cell r="S705">
            <v>1</v>
          </cell>
          <cell r="T705">
            <v>0</v>
          </cell>
          <cell r="U705">
            <v>0</v>
          </cell>
          <cell r="V705">
            <v>0</v>
          </cell>
          <cell r="W705">
            <v>0</v>
          </cell>
          <cell r="X705">
            <v>3</v>
          </cell>
          <cell r="Y705">
            <v>0</v>
          </cell>
          <cell r="Z705">
            <v>0</v>
          </cell>
          <cell r="AA705">
            <v>12</v>
          </cell>
          <cell r="AB705">
            <v>0.16666666666666666</v>
          </cell>
          <cell r="AC705">
            <v>0.6</v>
          </cell>
          <cell r="AD705">
            <v>24</v>
          </cell>
        </row>
        <row r="706">
          <cell r="A706">
            <v>35</v>
          </cell>
          <cell r="B706">
            <v>4</v>
          </cell>
          <cell r="C706">
            <v>3</v>
          </cell>
          <cell r="D706">
            <v>7823</v>
          </cell>
          <cell r="E706">
            <v>6</v>
          </cell>
          <cell r="F706">
            <v>13</v>
          </cell>
          <cell r="G706">
            <v>3</v>
          </cell>
          <cell r="H706">
            <v>1</v>
          </cell>
          <cell r="I706">
            <v>12</v>
          </cell>
          <cell r="J706">
            <v>2</v>
          </cell>
          <cell r="K706">
            <v>10</v>
          </cell>
          <cell r="L706">
            <v>9</v>
          </cell>
          <cell r="M706">
            <v>0</v>
          </cell>
          <cell r="N706">
            <v>0</v>
          </cell>
          <cell r="O706">
            <v>1</v>
          </cell>
          <cell r="P706">
            <v>0</v>
          </cell>
          <cell r="Q706">
            <v>0</v>
          </cell>
          <cell r="R706">
            <v>0</v>
          </cell>
          <cell r="S706">
            <v>0</v>
          </cell>
          <cell r="T706">
            <v>4</v>
          </cell>
          <cell r="U706">
            <v>0</v>
          </cell>
          <cell r="V706">
            <v>0</v>
          </cell>
          <cell r="W706">
            <v>0</v>
          </cell>
          <cell r="X706">
            <v>0</v>
          </cell>
          <cell r="Y706">
            <v>0</v>
          </cell>
          <cell r="Z706">
            <v>0</v>
          </cell>
          <cell r="AA706">
            <v>16</v>
          </cell>
          <cell r="AB706">
            <v>0.5</v>
          </cell>
          <cell r="AC706">
            <v>0.9</v>
          </cell>
          <cell r="AD706">
            <v>32</v>
          </cell>
        </row>
        <row r="707">
          <cell r="A707">
            <v>39</v>
          </cell>
          <cell r="B707">
            <v>5</v>
          </cell>
          <cell r="C707">
            <v>4</v>
          </cell>
          <cell r="D707">
            <v>7880</v>
          </cell>
          <cell r="E707">
            <v>0</v>
          </cell>
          <cell r="F707">
            <v>18</v>
          </cell>
          <cell r="G707">
            <v>3</v>
          </cell>
          <cell r="H707">
            <v>0</v>
          </cell>
          <cell r="I707">
            <v>9</v>
          </cell>
          <cell r="J707">
            <v>3</v>
          </cell>
          <cell r="K707">
            <v>8</v>
          </cell>
          <cell r="L707">
            <v>7</v>
          </cell>
          <cell r="M707">
            <v>0</v>
          </cell>
          <cell r="N707">
            <v>0</v>
          </cell>
          <cell r="O707">
            <v>1</v>
          </cell>
          <cell r="P707">
            <v>0</v>
          </cell>
          <cell r="Q707">
            <v>0</v>
          </cell>
          <cell r="R707">
            <v>0</v>
          </cell>
          <cell r="S707">
            <v>0</v>
          </cell>
          <cell r="T707">
            <v>5</v>
          </cell>
          <cell r="U707">
            <v>0</v>
          </cell>
          <cell r="V707">
            <v>0</v>
          </cell>
          <cell r="W707">
            <v>0</v>
          </cell>
          <cell r="X707">
            <v>0</v>
          </cell>
          <cell r="Y707">
            <v>0</v>
          </cell>
          <cell r="Z707">
            <v>0</v>
          </cell>
          <cell r="AA707">
            <v>3</v>
          </cell>
          <cell r="AB707">
            <v>0</v>
          </cell>
          <cell r="AC707">
            <v>0.875</v>
          </cell>
          <cell r="AD707">
            <v>12</v>
          </cell>
        </row>
        <row r="708">
          <cell r="A708">
            <v>40</v>
          </cell>
          <cell r="B708">
            <v>3</v>
          </cell>
          <cell r="C708">
            <v>4</v>
          </cell>
          <cell r="D708">
            <v>13194</v>
          </cell>
          <cell r="E708">
            <v>4</v>
          </cell>
          <cell r="F708">
            <v>16</v>
          </cell>
          <cell r="G708">
            <v>3</v>
          </cell>
          <cell r="H708">
            <v>0</v>
          </cell>
          <cell r="I708">
            <v>22</v>
          </cell>
          <cell r="J708">
            <v>2</v>
          </cell>
          <cell r="K708">
            <v>1</v>
          </cell>
          <cell r="L708">
            <v>0</v>
          </cell>
          <cell r="M708">
            <v>1</v>
          </cell>
          <cell r="N708">
            <v>1</v>
          </cell>
          <cell r="O708">
            <v>1</v>
          </cell>
          <cell r="P708">
            <v>0</v>
          </cell>
          <cell r="Q708">
            <v>0</v>
          </cell>
          <cell r="R708">
            <v>0</v>
          </cell>
          <cell r="S708">
            <v>0</v>
          </cell>
          <cell r="T708">
            <v>3</v>
          </cell>
          <cell r="U708">
            <v>0</v>
          </cell>
          <cell r="V708">
            <v>0</v>
          </cell>
          <cell r="W708">
            <v>0</v>
          </cell>
          <cell r="X708">
            <v>0</v>
          </cell>
          <cell r="Y708">
            <v>0</v>
          </cell>
          <cell r="Z708">
            <v>0</v>
          </cell>
          <cell r="AA708">
            <v>4</v>
          </cell>
          <cell r="AB708">
            <v>0.18181818181818182</v>
          </cell>
          <cell r="AC708">
            <v>0</v>
          </cell>
          <cell r="AD708">
            <v>16</v>
          </cell>
        </row>
        <row r="709">
          <cell r="A709">
            <v>47</v>
          </cell>
          <cell r="B709">
            <v>4</v>
          </cell>
          <cell r="C709">
            <v>4</v>
          </cell>
          <cell r="D709">
            <v>5067</v>
          </cell>
          <cell r="E709">
            <v>1</v>
          </cell>
          <cell r="F709">
            <v>19</v>
          </cell>
          <cell r="G709">
            <v>3</v>
          </cell>
          <cell r="H709">
            <v>0</v>
          </cell>
          <cell r="I709">
            <v>20</v>
          </cell>
          <cell r="J709">
            <v>3</v>
          </cell>
          <cell r="K709">
            <v>19</v>
          </cell>
          <cell r="L709">
            <v>10</v>
          </cell>
          <cell r="M709">
            <v>1</v>
          </cell>
          <cell r="N709">
            <v>0</v>
          </cell>
          <cell r="O709">
            <v>0</v>
          </cell>
          <cell r="P709">
            <v>0</v>
          </cell>
          <cell r="Q709">
            <v>1</v>
          </cell>
          <cell r="R709">
            <v>0</v>
          </cell>
          <cell r="S709">
            <v>0</v>
          </cell>
          <cell r="T709">
            <v>0</v>
          </cell>
          <cell r="U709">
            <v>0</v>
          </cell>
          <cell r="V709">
            <v>4</v>
          </cell>
          <cell r="W709">
            <v>0</v>
          </cell>
          <cell r="X709">
            <v>0</v>
          </cell>
          <cell r="Y709">
            <v>0</v>
          </cell>
          <cell r="Z709">
            <v>0</v>
          </cell>
          <cell r="AA709">
            <v>9</v>
          </cell>
          <cell r="AB709">
            <v>0.05</v>
          </cell>
          <cell r="AC709">
            <v>0.52631578947368418</v>
          </cell>
          <cell r="AD709">
            <v>27</v>
          </cell>
        </row>
        <row r="710">
          <cell r="A710">
            <v>36</v>
          </cell>
          <cell r="B710">
            <v>4</v>
          </cell>
          <cell r="C710">
            <v>3</v>
          </cell>
          <cell r="D710">
            <v>5079</v>
          </cell>
          <cell r="E710">
            <v>4</v>
          </cell>
          <cell r="F710">
            <v>13</v>
          </cell>
          <cell r="G710">
            <v>3</v>
          </cell>
          <cell r="H710">
            <v>2</v>
          </cell>
          <cell r="I710">
            <v>12</v>
          </cell>
          <cell r="J710">
            <v>3</v>
          </cell>
          <cell r="K710">
            <v>7</v>
          </cell>
          <cell r="L710">
            <v>7</v>
          </cell>
          <cell r="M710">
            <v>0</v>
          </cell>
          <cell r="N710">
            <v>0</v>
          </cell>
          <cell r="O710">
            <v>0</v>
          </cell>
          <cell r="P710">
            <v>0</v>
          </cell>
          <cell r="Q710">
            <v>0</v>
          </cell>
          <cell r="R710">
            <v>0</v>
          </cell>
          <cell r="S710">
            <v>1</v>
          </cell>
          <cell r="T710">
            <v>0</v>
          </cell>
          <cell r="U710">
            <v>0</v>
          </cell>
          <cell r="V710">
            <v>0</v>
          </cell>
          <cell r="W710">
            <v>0</v>
          </cell>
          <cell r="X710">
            <v>4</v>
          </cell>
          <cell r="Y710">
            <v>0</v>
          </cell>
          <cell r="Z710">
            <v>0</v>
          </cell>
          <cell r="AA710">
            <v>4</v>
          </cell>
          <cell r="AB710">
            <v>0.33333333333333331</v>
          </cell>
          <cell r="AC710">
            <v>1</v>
          </cell>
          <cell r="AD710">
            <v>16</v>
          </cell>
        </row>
        <row r="711">
          <cell r="A711">
            <v>31</v>
          </cell>
          <cell r="B711">
            <v>2</v>
          </cell>
          <cell r="C711">
            <v>2</v>
          </cell>
          <cell r="D711">
            <v>2321</v>
          </cell>
          <cell r="E711">
            <v>0</v>
          </cell>
          <cell r="F711">
            <v>22</v>
          </cell>
          <cell r="G711">
            <v>4</v>
          </cell>
          <cell r="H711">
            <v>0</v>
          </cell>
          <cell r="I711">
            <v>4</v>
          </cell>
          <cell r="J711">
            <v>0</v>
          </cell>
          <cell r="K711">
            <v>3</v>
          </cell>
          <cell r="L711">
            <v>2</v>
          </cell>
          <cell r="M711">
            <v>1</v>
          </cell>
          <cell r="N711">
            <v>0</v>
          </cell>
          <cell r="O711">
            <v>0</v>
          </cell>
          <cell r="P711">
            <v>0</v>
          </cell>
          <cell r="Q711">
            <v>1</v>
          </cell>
          <cell r="R711">
            <v>0</v>
          </cell>
          <cell r="S711">
            <v>0</v>
          </cell>
          <cell r="T711">
            <v>0</v>
          </cell>
          <cell r="U711">
            <v>0</v>
          </cell>
          <cell r="V711">
            <v>2</v>
          </cell>
          <cell r="W711">
            <v>0</v>
          </cell>
          <cell r="X711">
            <v>0</v>
          </cell>
          <cell r="Y711">
            <v>0</v>
          </cell>
          <cell r="Z711">
            <v>0</v>
          </cell>
          <cell r="AA711">
            <v>3</v>
          </cell>
          <cell r="AB711">
            <v>0</v>
          </cell>
          <cell r="AC711">
            <v>0.66666666666666663</v>
          </cell>
          <cell r="AD711">
            <v>3</v>
          </cell>
        </row>
        <row r="712">
          <cell r="A712">
            <v>33</v>
          </cell>
          <cell r="B712">
            <v>3</v>
          </cell>
          <cell r="C712">
            <v>3</v>
          </cell>
          <cell r="D712">
            <v>17444</v>
          </cell>
          <cell r="E712">
            <v>1</v>
          </cell>
          <cell r="F712">
            <v>11</v>
          </cell>
          <cell r="G712">
            <v>3</v>
          </cell>
          <cell r="H712">
            <v>0</v>
          </cell>
          <cell r="I712">
            <v>10</v>
          </cell>
          <cell r="J712">
            <v>2</v>
          </cell>
          <cell r="K712">
            <v>10</v>
          </cell>
          <cell r="L712">
            <v>8</v>
          </cell>
          <cell r="M712">
            <v>0</v>
          </cell>
          <cell r="N712">
            <v>0</v>
          </cell>
          <cell r="O712">
            <v>1</v>
          </cell>
          <cell r="P712">
            <v>0</v>
          </cell>
          <cell r="Q712">
            <v>0</v>
          </cell>
          <cell r="R712">
            <v>0</v>
          </cell>
          <cell r="S712">
            <v>0</v>
          </cell>
          <cell r="T712">
            <v>3</v>
          </cell>
          <cell r="U712">
            <v>0</v>
          </cell>
          <cell r="V712">
            <v>0</v>
          </cell>
          <cell r="W712">
            <v>0</v>
          </cell>
          <cell r="X712">
            <v>0</v>
          </cell>
          <cell r="Y712">
            <v>0</v>
          </cell>
          <cell r="Z712">
            <v>0</v>
          </cell>
          <cell r="AA712">
            <v>12</v>
          </cell>
          <cell r="AB712">
            <v>0.1</v>
          </cell>
          <cell r="AC712">
            <v>0.8</v>
          </cell>
          <cell r="AD712">
            <v>48</v>
          </cell>
        </row>
        <row r="713">
          <cell r="A713">
            <v>29</v>
          </cell>
          <cell r="B713">
            <v>3</v>
          </cell>
          <cell r="C713">
            <v>2</v>
          </cell>
          <cell r="D713">
            <v>2404</v>
          </cell>
          <cell r="E713">
            <v>6</v>
          </cell>
          <cell r="F713">
            <v>20</v>
          </cell>
          <cell r="G713">
            <v>4</v>
          </cell>
          <cell r="H713">
            <v>0</v>
          </cell>
          <cell r="I713">
            <v>3</v>
          </cell>
          <cell r="J713">
            <v>5</v>
          </cell>
          <cell r="K713">
            <v>0</v>
          </cell>
          <cell r="L713">
            <v>0</v>
          </cell>
          <cell r="M713">
            <v>1</v>
          </cell>
          <cell r="N713">
            <v>1</v>
          </cell>
          <cell r="O713">
            <v>1</v>
          </cell>
          <cell r="P713">
            <v>0</v>
          </cell>
          <cell r="Q713">
            <v>0</v>
          </cell>
          <cell r="R713">
            <v>0</v>
          </cell>
          <cell r="S713">
            <v>0</v>
          </cell>
          <cell r="T713">
            <v>3</v>
          </cell>
          <cell r="U713">
            <v>0</v>
          </cell>
          <cell r="V713">
            <v>0</v>
          </cell>
          <cell r="W713">
            <v>0</v>
          </cell>
          <cell r="X713">
            <v>0</v>
          </cell>
          <cell r="Y713">
            <v>0</v>
          </cell>
          <cell r="Z713">
            <v>0</v>
          </cell>
          <cell r="AA713">
            <v>4</v>
          </cell>
          <cell r="AB713">
            <v>2</v>
          </cell>
          <cell r="AC713">
            <v>0</v>
          </cell>
          <cell r="AD713">
            <v>12</v>
          </cell>
        </row>
        <row r="714">
          <cell r="A714">
            <v>33</v>
          </cell>
          <cell r="B714">
            <v>1</v>
          </cell>
          <cell r="C714">
            <v>3</v>
          </cell>
          <cell r="D714">
            <v>3452</v>
          </cell>
          <cell r="E714">
            <v>3</v>
          </cell>
          <cell r="F714">
            <v>18</v>
          </cell>
          <cell r="G714">
            <v>3</v>
          </cell>
          <cell r="H714">
            <v>0</v>
          </cell>
          <cell r="I714">
            <v>5</v>
          </cell>
          <cell r="J714">
            <v>4</v>
          </cell>
          <cell r="K714">
            <v>3</v>
          </cell>
          <cell r="L714">
            <v>2</v>
          </cell>
          <cell r="M714">
            <v>0</v>
          </cell>
          <cell r="N714">
            <v>1</v>
          </cell>
          <cell r="O714">
            <v>1</v>
          </cell>
          <cell r="P714">
            <v>0</v>
          </cell>
          <cell r="Q714">
            <v>0</v>
          </cell>
          <cell r="R714">
            <v>0</v>
          </cell>
          <cell r="S714">
            <v>0</v>
          </cell>
          <cell r="T714">
            <v>1</v>
          </cell>
          <cell r="U714">
            <v>0</v>
          </cell>
          <cell r="V714">
            <v>0</v>
          </cell>
          <cell r="W714">
            <v>0</v>
          </cell>
          <cell r="X714">
            <v>0</v>
          </cell>
          <cell r="Y714">
            <v>0</v>
          </cell>
          <cell r="Z714">
            <v>0</v>
          </cell>
          <cell r="AA714">
            <v>8</v>
          </cell>
          <cell r="AB714">
            <v>0.6</v>
          </cell>
          <cell r="AC714">
            <v>0.66666666666666663</v>
          </cell>
          <cell r="AD714">
            <v>8</v>
          </cell>
        </row>
        <row r="715">
          <cell r="A715">
            <v>45</v>
          </cell>
          <cell r="B715">
            <v>4</v>
          </cell>
          <cell r="C715">
            <v>3</v>
          </cell>
          <cell r="D715">
            <v>2270</v>
          </cell>
          <cell r="E715">
            <v>3</v>
          </cell>
          <cell r="F715">
            <v>14</v>
          </cell>
          <cell r="G715">
            <v>3</v>
          </cell>
          <cell r="H715">
            <v>2</v>
          </cell>
          <cell r="I715">
            <v>8</v>
          </cell>
          <cell r="J715">
            <v>2</v>
          </cell>
          <cell r="K715">
            <v>5</v>
          </cell>
          <cell r="L715">
            <v>3</v>
          </cell>
          <cell r="M715">
            <v>0</v>
          </cell>
          <cell r="N715">
            <v>1</v>
          </cell>
          <cell r="O715">
            <v>0</v>
          </cell>
          <cell r="P715">
            <v>0</v>
          </cell>
          <cell r="Q715">
            <v>1</v>
          </cell>
          <cell r="R715">
            <v>0</v>
          </cell>
          <cell r="S715">
            <v>0</v>
          </cell>
          <cell r="T715">
            <v>0</v>
          </cell>
          <cell r="U715">
            <v>0</v>
          </cell>
          <cell r="V715">
            <v>4</v>
          </cell>
          <cell r="W715">
            <v>0</v>
          </cell>
          <cell r="X715">
            <v>0</v>
          </cell>
          <cell r="Y715">
            <v>0</v>
          </cell>
          <cell r="Z715">
            <v>0</v>
          </cell>
          <cell r="AA715">
            <v>16</v>
          </cell>
          <cell r="AB715">
            <v>0.375</v>
          </cell>
          <cell r="AC715">
            <v>0.6</v>
          </cell>
          <cell r="AD715">
            <v>64</v>
          </cell>
        </row>
        <row r="716">
          <cell r="A716">
            <v>50</v>
          </cell>
          <cell r="B716">
            <v>2</v>
          </cell>
          <cell r="C716">
            <v>3</v>
          </cell>
          <cell r="D716">
            <v>17399</v>
          </cell>
          <cell r="E716">
            <v>9</v>
          </cell>
          <cell r="F716">
            <v>22</v>
          </cell>
          <cell r="G716">
            <v>4</v>
          </cell>
          <cell r="H716">
            <v>1</v>
          </cell>
          <cell r="I716">
            <v>32</v>
          </cell>
          <cell r="J716">
            <v>1</v>
          </cell>
          <cell r="K716">
            <v>5</v>
          </cell>
          <cell r="L716">
            <v>4</v>
          </cell>
          <cell r="M716">
            <v>0</v>
          </cell>
          <cell r="N716">
            <v>0</v>
          </cell>
          <cell r="O716">
            <v>0</v>
          </cell>
          <cell r="P716">
            <v>0</v>
          </cell>
          <cell r="Q716">
            <v>1</v>
          </cell>
          <cell r="R716">
            <v>0</v>
          </cell>
          <cell r="S716">
            <v>0</v>
          </cell>
          <cell r="T716">
            <v>0</v>
          </cell>
          <cell r="U716">
            <v>0</v>
          </cell>
          <cell r="V716">
            <v>2</v>
          </cell>
          <cell r="W716">
            <v>0</v>
          </cell>
          <cell r="X716">
            <v>0</v>
          </cell>
          <cell r="Y716">
            <v>0</v>
          </cell>
          <cell r="Z716">
            <v>0</v>
          </cell>
          <cell r="AA716">
            <v>16</v>
          </cell>
          <cell r="AB716">
            <v>0.28125</v>
          </cell>
          <cell r="AC716">
            <v>0.8</v>
          </cell>
          <cell r="AD716">
            <v>48</v>
          </cell>
        </row>
        <row r="717">
          <cell r="A717">
            <v>33</v>
          </cell>
          <cell r="B717">
            <v>4</v>
          </cell>
          <cell r="C717">
            <v>4</v>
          </cell>
          <cell r="D717">
            <v>5488</v>
          </cell>
          <cell r="E717">
            <v>1</v>
          </cell>
          <cell r="F717">
            <v>13</v>
          </cell>
          <cell r="G717">
            <v>3</v>
          </cell>
          <cell r="H717">
            <v>1</v>
          </cell>
          <cell r="I717">
            <v>6</v>
          </cell>
          <cell r="J717">
            <v>2</v>
          </cell>
          <cell r="K717">
            <v>6</v>
          </cell>
          <cell r="L717">
            <v>5</v>
          </cell>
          <cell r="M717">
            <v>1</v>
          </cell>
          <cell r="N717">
            <v>1</v>
          </cell>
          <cell r="O717">
            <v>0</v>
          </cell>
          <cell r="P717">
            <v>0</v>
          </cell>
          <cell r="Q717">
            <v>0</v>
          </cell>
          <cell r="R717">
            <v>1</v>
          </cell>
          <cell r="S717">
            <v>0</v>
          </cell>
          <cell r="T717">
            <v>0</v>
          </cell>
          <cell r="U717">
            <v>0</v>
          </cell>
          <cell r="V717">
            <v>0</v>
          </cell>
          <cell r="W717">
            <v>4</v>
          </cell>
          <cell r="X717">
            <v>0</v>
          </cell>
          <cell r="Y717">
            <v>1</v>
          </cell>
          <cell r="Z717">
            <v>1</v>
          </cell>
          <cell r="AA717">
            <v>6</v>
          </cell>
          <cell r="AB717">
            <v>0.16666666666666666</v>
          </cell>
          <cell r="AC717">
            <v>0.83333333333333337</v>
          </cell>
          <cell r="AD717">
            <v>6</v>
          </cell>
        </row>
        <row r="718">
          <cell r="A718">
            <v>41</v>
          </cell>
          <cell r="B718">
            <v>3</v>
          </cell>
          <cell r="C718">
            <v>3</v>
          </cell>
          <cell r="D718">
            <v>19419</v>
          </cell>
          <cell r="E718">
            <v>2</v>
          </cell>
          <cell r="F718">
            <v>17</v>
          </cell>
          <cell r="G718">
            <v>3</v>
          </cell>
          <cell r="H718">
            <v>1</v>
          </cell>
          <cell r="I718">
            <v>21</v>
          </cell>
          <cell r="J718">
            <v>2</v>
          </cell>
          <cell r="K718">
            <v>18</v>
          </cell>
          <cell r="L718">
            <v>16</v>
          </cell>
          <cell r="M718">
            <v>0</v>
          </cell>
          <cell r="N718">
            <v>0</v>
          </cell>
          <cell r="O718">
            <v>0</v>
          </cell>
          <cell r="P718">
            <v>0</v>
          </cell>
          <cell r="Q718">
            <v>1</v>
          </cell>
          <cell r="R718">
            <v>0</v>
          </cell>
          <cell r="S718">
            <v>0</v>
          </cell>
          <cell r="T718">
            <v>0</v>
          </cell>
          <cell r="U718">
            <v>0</v>
          </cell>
          <cell r="V718">
            <v>3</v>
          </cell>
          <cell r="W718">
            <v>0</v>
          </cell>
          <cell r="X718">
            <v>0</v>
          </cell>
          <cell r="Y718">
            <v>0</v>
          </cell>
          <cell r="Z718">
            <v>0</v>
          </cell>
          <cell r="AA718">
            <v>3</v>
          </cell>
          <cell r="AB718">
            <v>9.5238095238095233E-2</v>
          </cell>
          <cell r="AC718">
            <v>0.88888888888888884</v>
          </cell>
          <cell r="AD718">
            <v>6</v>
          </cell>
        </row>
        <row r="719">
          <cell r="A719">
            <v>27</v>
          </cell>
          <cell r="B719">
            <v>4</v>
          </cell>
          <cell r="C719">
            <v>3</v>
          </cell>
          <cell r="D719">
            <v>2811</v>
          </cell>
          <cell r="E719">
            <v>9</v>
          </cell>
          <cell r="F719">
            <v>14</v>
          </cell>
          <cell r="G719">
            <v>3</v>
          </cell>
          <cell r="H719">
            <v>1</v>
          </cell>
          <cell r="I719">
            <v>4</v>
          </cell>
          <cell r="J719">
            <v>2</v>
          </cell>
          <cell r="K719">
            <v>2</v>
          </cell>
          <cell r="L719">
            <v>2</v>
          </cell>
          <cell r="M719">
            <v>0</v>
          </cell>
          <cell r="N719">
            <v>1</v>
          </cell>
          <cell r="O719">
            <v>0</v>
          </cell>
          <cell r="P719">
            <v>0</v>
          </cell>
          <cell r="Q719">
            <v>0</v>
          </cell>
          <cell r="R719">
            <v>0</v>
          </cell>
          <cell r="S719">
            <v>1</v>
          </cell>
          <cell r="T719">
            <v>0</v>
          </cell>
          <cell r="U719">
            <v>0</v>
          </cell>
          <cell r="V719">
            <v>0</v>
          </cell>
          <cell r="W719">
            <v>0</v>
          </cell>
          <cell r="X719">
            <v>4</v>
          </cell>
          <cell r="Y719">
            <v>0</v>
          </cell>
          <cell r="Z719">
            <v>0</v>
          </cell>
          <cell r="AA719">
            <v>6</v>
          </cell>
          <cell r="AB719">
            <v>2.25</v>
          </cell>
          <cell r="AC719">
            <v>1</v>
          </cell>
          <cell r="AD719">
            <v>12</v>
          </cell>
        </row>
        <row r="720">
          <cell r="A720">
            <v>45</v>
          </cell>
          <cell r="B720">
            <v>2</v>
          </cell>
          <cell r="C720">
            <v>3</v>
          </cell>
          <cell r="D720">
            <v>3633</v>
          </cell>
          <cell r="E720">
            <v>1</v>
          </cell>
          <cell r="F720">
            <v>15</v>
          </cell>
          <cell r="G720">
            <v>3</v>
          </cell>
          <cell r="H720">
            <v>1</v>
          </cell>
          <cell r="I720">
            <v>9</v>
          </cell>
          <cell r="J720">
            <v>2</v>
          </cell>
          <cell r="K720">
            <v>9</v>
          </cell>
          <cell r="L720">
            <v>8</v>
          </cell>
          <cell r="M720">
            <v>1</v>
          </cell>
          <cell r="N720">
            <v>0</v>
          </cell>
          <cell r="O720">
            <v>1</v>
          </cell>
          <cell r="P720">
            <v>0</v>
          </cell>
          <cell r="Q720">
            <v>0</v>
          </cell>
          <cell r="R720">
            <v>0</v>
          </cell>
          <cell r="S720">
            <v>0</v>
          </cell>
          <cell r="T720">
            <v>2</v>
          </cell>
          <cell r="U720">
            <v>0</v>
          </cell>
          <cell r="V720">
            <v>0</v>
          </cell>
          <cell r="W720">
            <v>0</v>
          </cell>
          <cell r="X720">
            <v>0</v>
          </cell>
          <cell r="Y720">
            <v>0</v>
          </cell>
          <cell r="Z720">
            <v>1</v>
          </cell>
          <cell r="AA720">
            <v>4</v>
          </cell>
          <cell r="AB720">
            <v>0.1111111111111111</v>
          </cell>
          <cell r="AC720">
            <v>0.88888888888888884</v>
          </cell>
          <cell r="AD720">
            <v>12</v>
          </cell>
        </row>
        <row r="721">
          <cell r="A721">
            <v>47</v>
          </cell>
          <cell r="B721">
            <v>2</v>
          </cell>
          <cell r="C721">
            <v>3</v>
          </cell>
          <cell r="D721">
            <v>4163</v>
          </cell>
          <cell r="E721">
            <v>1</v>
          </cell>
          <cell r="F721">
            <v>17</v>
          </cell>
          <cell r="G721">
            <v>3</v>
          </cell>
          <cell r="H721">
            <v>0</v>
          </cell>
          <cell r="I721">
            <v>9</v>
          </cell>
          <cell r="J721">
            <v>0</v>
          </cell>
          <cell r="K721">
            <v>9</v>
          </cell>
          <cell r="L721">
            <v>0</v>
          </cell>
          <cell r="M721">
            <v>1</v>
          </cell>
          <cell r="N721">
            <v>1</v>
          </cell>
          <cell r="O721">
            <v>1</v>
          </cell>
          <cell r="P721">
            <v>0</v>
          </cell>
          <cell r="Q721">
            <v>0</v>
          </cell>
          <cell r="R721">
            <v>0</v>
          </cell>
          <cell r="S721">
            <v>0</v>
          </cell>
          <cell r="T721">
            <v>2</v>
          </cell>
          <cell r="U721">
            <v>0</v>
          </cell>
          <cell r="V721">
            <v>0</v>
          </cell>
          <cell r="W721">
            <v>0</v>
          </cell>
          <cell r="X721">
            <v>0</v>
          </cell>
          <cell r="Y721">
            <v>0</v>
          </cell>
          <cell r="Z721">
            <v>0</v>
          </cell>
          <cell r="AA721">
            <v>16</v>
          </cell>
          <cell r="AB721">
            <v>0.1111111111111111</v>
          </cell>
          <cell r="AC721">
            <v>0</v>
          </cell>
          <cell r="AD721">
            <v>48</v>
          </cell>
        </row>
        <row r="722">
          <cell r="A722">
            <v>30</v>
          </cell>
          <cell r="B722">
            <v>3</v>
          </cell>
          <cell r="C722">
            <v>3</v>
          </cell>
          <cell r="D722">
            <v>2132</v>
          </cell>
          <cell r="E722">
            <v>4</v>
          </cell>
          <cell r="F722">
            <v>11</v>
          </cell>
          <cell r="G722">
            <v>3</v>
          </cell>
          <cell r="H722">
            <v>0</v>
          </cell>
          <cell r="I722">
            <v>7</v>
          </cell>
          <cell r="J722">
            <v>2</v>
          </cell>
          <cell r="K722">
            <v>5</v>
          </cell>
          <cell r="L722">
            <v>2</v>
          </cell>
          <cell r="M722">
            <v>1</v>
          </cell>
          <cell r="N722">
            <v>1</v>
          </cell>
          <cell r="O722">
            <v>1</v>
          </cell>
          <cell r="P722">
            <v>0</v>
          </cell>
          <cell r="Q722">
            <v>0</v>
          </cell>
          <cell r="R722">
            <v>0</v>
          </cell>
          <cell r="S722">
            <v>0</v>
          </cell>
          <cell r="T722">
            <v>3</v>
          </cell>
          <cell r="U722">
            <v>0</v>
          </cell>
          <cell r="V722">
            <v>0</v>
          </cell>
          <cell r="W722">
            <v>0</v>
          </cell>
          <cell r="X722">
            <v>0</v>
          </cell>
          <cell r="Y722">
            <v>0</v>
          </cell>
          <cell r="Z722">
            <v>1</v>
          </cell>
          <cell r="AA722">
            <v>3</v>
          </cell>
          <cell r="AB722">
            <v>0.5714285714285714</v>
          </cell>
          <cell r="AC722">
            <v>0.4</v>
          </cell>
          <cell r="AD722">
            <v>6</v>
          </cell>
        </row>
        <row r="723">
          <cell r="A723">
            <v>50</v>
          </cell>
          <cell r="B723">
            <v>3</v>
          </cell>
          <cell r="C723">
            <v>3</v>
          </cell>
          <cell r="D723">
            <v>13973</v>
          </cell>
          <cell r="E723">
            <v>3</v>
          </cell>
          <cell r="F723">
            <v>18</v>
          </cell>
          <cell r="G723">
            <v>3</v>
          </cell>
          <cell r="H723">
            <v>1</v>
          </cell>
          <cell r="I723">
            <v>22</v>
          </cell>
          <cell r="J723">
            <v>2</v>
          </cell>
          <cell r="K723">
            <v>12</v>
          </cell>
          <cell r="L723">
            <v>11</v>
          </cell>
          <cell r="M723">
            <v>1</v>
          </cell>
          <cell r="N723">
            <v>0</v>
          </cell>
          <cell r="O723">
            <v>1</v>
          </cell>
          <cell r="P723">
            <v>0</v>
          </cell>
          <cell r="Q723">
            <v>0</v>
          </cell>
          <cell r="R723">
            <v>0</v>
          </cell>
          <cell r="S723">
            <v>0</v>
          </cell>
          <cell r="T723">
            <v>3</v>
          </cell>
          <cell r="U723">
            <v>0</v>
          </cell>
          <cell r="V723">
            <v>0</v>
          </cell>
          <cell r="W723">
            <v>0</v>
          </cell>
          <cell r="X723">
            <v>0</v>
          </cell>
          <cell r="Y723">
            <v>0</v>
          </cell>
          <cell r="Z723">
            <v>1</v>
          </cell>
          <cell r="AA723">
            <v>12</v>
          </cell>
          <cell r="AB723">
            <v>0.13636363636363635</v>
          </cell>
          <cell r="AC723">
            <v>0.91666666666666663</v>
          </cell>
          <cell r="AD723">
            <v>48</v>
          </cell>
        </row>
        <row r="724">
          <cell r="A724">
            <v>38</v>
          </cell>
          <cell r="B724">
            <v>1</v>
          </cell>
          <cell r="C724">
            <v>3</v>
          </cell>
          <cell r="D724">
            <v>2684</v>
          </cell>
          <cell r="E724">
            <v>0</v>
          </cell>
          <cell r="F724">
            <v>17</v>
          </cell>
          <cell r="G724">
            <v>3</v>
          </cell>
          <cell r="H724">
            <v>1</v>
          </cell>
          <cell r="I724">
            <v>3</v>
          </cell>
          <cell r="J724">
            <v>0</v>
          </cell>
          <cell r="K724">
            <v>2</v>
          </cell>
          <cell r="L724">
            <v>1</v>
          </cell>
          <cell r="M724">
            <v>0</v>
          </cell>
          <cell r="N724">
            <v>0</v>
          </cell>
          <cell r="O724">
            <v>0</v>
          </cell>
          <cell r="P724">
            <v>0</v>
          </cell>
          <cell r="Q724">
            <v>1</v>
          </cell>
          <cell r="R724">
            <v>0</v>
          </cell>
          <cell r="S724">
            <v>0</v>
          </cell>
          <cell r="T724">
            <v>0</v>
          </cell>
          <cell r="U724">
            <v>0</v>
          </cell>
          <cell r="V724">
            <v>1</v>
          </cell>
          <cell r="W724">
            <v>0</v>
          </cell>
          <cell r="X724">
            <v>0</v>
          </cell>
          <cell r="Y724">
            <v>1</v>
          </cell>
          <cell r="Z724">
            <v>0</v>
          </cell>
          <cell r="AA724">
            <v>9</v>
          </cell>
          <cell r="AB724">
            <v>0</v>
          </cell>
          <cell r="AC724">
            <v>0.5</v>
          </cell>
          <cell r="AD724">
            <v>18</v>
          </cell>
        </row>
        <row r="725">
          <cell r="A725">
            <v>46</v>
          </cell>
          <cell r="B725">
            <v>2</v>
          </cell>
          <cell r="C725">
            <v>3</v>
          </cell>
          <cell r="D725">
            <v>10845</v>
          </cell>
          <cell r="E725">
            <v>6</v>
          </cell>
          <cell r="F725">
            <v>13</v>
          </cell>
          <cell r="G725">
            <v>3</v>
          </cell>
          <cell r="H725">
            <v>1</v>
          </cell>
          <cell r="I725">
            <v>13</v>
          </cell>
          <cell r="J725">
            <v>3</v>
          </cell>
          <cell r="K725">
            <v>8</v>
          </cell>
          <cell r="L725">
            <v>7</v>
          </cell>
          <cell r="M725">
            <v>0</v>
          </cell>
          <cell r="N725">
            <v>0</v>
          </cell>
          <cell r="O725">
            <v>0</v>
          </cell>
          <cell r="P725">
            <v>0</v>
          </cell>
          <cell r="Q725">
            <v>1</v>
          </cell>
          <cell r="R725">
            <v>0</v>
          </cell>
          <cell r="S725">
            <v>0</v>
          </cell>
          <cell r="T725">
            <v>0</v>
          </cell>
          <cell r="U725">
            <v>0</v>
          </cell>
          <cell r="V725">
            <v>2</v>
          </cell>
          <cell r="W725">
            <v>0</v>
          </cell>
          <cell r="X725">
            <v>0</v>
          </cell>
          <cell r="Y725">
            <v>0</v>
          </cell>
          <cell r="Z725">
            <v>0</v>
          </cell>
          <cell r="AA725">
            <v>12</v>
          </cell>
          <cell r="AB725">
            <v>0.46153846153846156</v>
          </cell>
          <cell r="AC725">
            <v>0.875</v>
          </cell>
          <cell r="AD725">
            <v>24</v>
          </cell>
        </row>
        <row r="726">
          <cell r="A726">
            <v>24</v>
          </cell>
          <cell r="B726">
            <v>1</v>
          </cell>
          <cell r="C726">
            <v>2</v>
          </cell>
          <cell r="D726">
            <v>4377</v>
          </cell>
          <cell r="E726">
            <v>1</v>
          </cell>
          <cell r="F726">
            <v>15</v>
          </cell>
          <cell r="G726">
            <v>3</v>
          </cell>
          <cell r="H726">
            <v>2</v>
          </cell>
          <cell r="I726">
            <v>5</v>
          </cell>
          <cell r="J726">
            <v>6</v>
          </cell>
          <cell r="K726">
            <v>4</v>
          </cell>
          <cell r="L726">
            <v>2</v>
          </cell>
          <cell r="M726">
            <v>0</v>
          </cell>
          <cell r="N726">
            <v>1</v>
          </cell>
          <cell r="O726">
            <v>0</v>
          </cell>
          <cell r="P726">
            <v>0</v>
          </cell>
          <cell r="Q726">
            <v>1</v>
          </cell>
          <cell r="R726">
            <v>0</v>
          </cell>
          <cell r="S726">
            <v>0</v>
          </cell>
          <cell r="T726">
            <v>0</v>
          </cell>
          <cell r="U726">
            <v>0</v>
          </cell>
          <cell r="V726">
            <v>1</v>
          </cell>
          <cell r="W726">
            <v>0</v>
          </cell>
          <cell r="X726">
            <v>0</v>
          </cell>
          <cell r="Y726">
            <v>0</v>
          </cell>
          <cell r="Z726">
            <v>0</v>
          </cell>
          <cell r="AA726">
            <v>12</v>
          </cell>
          <cell r="AB726">
            <v>0.2</v>
          </cell>
          <cell r="AC726">
            <v>0.5</v>
          </cell>
          <cell r="AD726">
            <v>24</v>
          </cell>
        </row>
        <row r="727">
          <cell r="A727">
            <v>35</v>
          </cell>
          <cell r="B727">
            <v>4</v>
          </cell>
          <cell r="C727">
            <v>2</v>
          </cell>
          <cell r="D727">
            <v>3743</v>
          </cell>
          <cell r="E727">
            <v>1</v>
          </cell>
          <cell r="F727">
            <v>24</v>
          </cell>
          <cell r="G727">
            <v>4</v>
          </cell>
          <cell r="H727">
            <v>1</v>
          </cell>
          <cell r="I727">
            <v>5</v>
          </cell>
          <cell r="J727">
            <v>2</v>
          </cell>
          <cell r="K727">
            <v>4</v>
          </cell>
          <cell r="L727">
            <v>2</v>
          </cell>
          <cell r="M727">
            <v>1</v>
          </cell>
          <cell r="N727">
            <v>0</v>
          </cell>
          <cell r="O727">
            <v>0</v>
          </cell>
          <cell r="P727">
            <v>0</v>
          </cell>
          <cell r="Q727">
            <v>0</v>
          </cell>
          <cell r="R727">
            <v>1</v>
          </cell>
          <cell r="S727">
            <v>0</v>
          </cell>
          <cell r="T727">
            <v>0</v>
          </cell>
          <cell r="U727">
            <v>0</v>
          </cell>
          <cell r="V727">
            <v>0</v>
          </cell>
          <cell r="W727">
            <v>4</v>
          </cell>
          <cell r="X727">
            <v>0</v>
          </cell>
          <cell r="Y727">
            <v>0</v>
          </cell>
          <cell r="Z727">
            <v>0</v>
          </cell>
          <cell r="AA727">
            <v>6</v>
          </cell>
          <cell r="AB727">
            <v>0.2</v>
          </cell>
          <cell r="AC727">
            <v>0.5</v>
          </cell>
          <cell r="AD727">
            <v>24</v>
          </cell>
        </row>
        <row r="728">
          <cell r="A728">
            <v>31</v>
          </cell>
          <cell r="B728">
            <v>1</v>
          </cell>
          <cell r="C728">
            <v>3</v>
          </cell>
          <cell r="D728">
            <v>4148</v>
          </cell>
          <cell r="E728">
            <v>1</v>
          </cell>
          <cell r="F728">
            <v>12</v>
          </cell>
          <cell r="G728">
            <v>3</v>
          </cell>
          <cell r="H728">
            <v>1</v>
          </cell>
          <cell r="I728">
            <v>4</v>
          </cell>
          <cell r="J728">
            <v>1</v>
          </cell>
          <cell r="K728">
            <v>4</v>
          </cell>
          <cell r="L728">
            <v>3</v>
          </cell>
          <cell r="M728">
            <v>0</v>
          </cell>
          <cell r="N728">
            <v>1</v>
          </cell>
          <cell r="O728">
            <v>1</v>
          </cell>
          <cell r="P728">
            <v>0</v>
          </cell>
          <cell r="Q728">
            <v>0</v>
          </cell>
          <cell r="R728">
            <v>0</v>
          </cell>
          <cell r="S728">
            <v>0</v>
          </cell>
          <cell r="T728">
            <v>1</v>
          </cell>
          <cell r="U728">
            <v>0</v>
          </cell>
          <cell r="V728">
            <v>0</v>
          </cell>
          <cell r="W728">
            <v>0</v>
          </cell>
          <cell r="X728">
            <v>0</v>
          </cell>
          <cell r="Y728">
            <v>1</v>
          </cell>
          <cell r="Z728">
            <v>0</v>
          </cell>
          <cell r="AA728">
            <v>3</v>
          </cell>
          <cell r="AB728">
            <v>0.25</v>
          </cell>
          <cell r="AC728">
            <v>0.75</v>
          </cell>
          <cell r="AD728">
            <v>9</v>
          </cell>
        </row>
        <row r="729">
          <cell r="A729">
            <v>18</v>
          </cell>
          <cell r="B729">
            <v>2</v>
          </cell>
          <cell r="C729">
            <v>3</v>
          </cell>
          <cell r="D729">
            <v>1051</v>
          </cell>
          <cell r="E729">
            <v>1</v>
          </cell>
          <cell r="F729">
            <v>15</v>
          </cell>
          <cell r="G729">
            <v>3</v>
          </cell>
          <cell r="H729">
            <v>0</v>
          </cell>
          <cell r="I729">
            <v>0</v>
          </cell>
          <cell r="J729">
            <v>2</v>
          </cell>
          <cell r="K729">
            <v>0</v>
          </cell>
          <cell r="L729">
            <v>0</v>
          </cell>
          <cell r="M729">
            <v>0</v>
          </cell>
          <cell r="N729">
            <v>0</v>
          </cell>
          <cell r="O729">
            <v>1</v>
          </cell>
          <cell r="P729">
            <v>0</v>
          </cell>
          <cell r="Q729">
            <v>0</v>
          </cell>
          <cell r="R729">
            <v>0</v>
          </cell>
          <cell r="S729">
            <v>0</v>
          </cell>
          <cell r="T729">
            <v>2</v>
          </cell>
          <cell r="U729">
            <v>0</v>
          </cell>
          <cell r="V729">
            <v>0</v>
          </cell>
          <cell r="W729">
            <v>0</v>
          </cell>
          <cell r="X729">
            <v>0</v>
          </cell>
          <cell r="Y729">
            <v>0</v>
          </cell>
          <cell r="Z729">
            <v>0</v>
          </cell>
          <cell r="AA729">
            <v>8</v>
          </cell>
          <cell r="AB729">
            <v>0</v>
          </cell>
          <cell r="AC729">
            <v>0</v>
          </cell>
          <cell r="AD729">
            <v>32</v>
          </cell>
        </row>
        <row r="730">
          <cell r="A730">
            <v>54</v>
          </cell>
          <cell r="B730">
            <v>3</v>
          </cell>
          <cell r="C730">
            <v>3</v>
          </cell>
          <cell r="D730">
            <v>10739</v>
          </cell>
          <cell r="E730">
            <v>8</v>
          </cell>
          <cell r="F730">
            <v>11</v>
          </cell>
          <cell r="G730">
            <v>3</v>
          </cell>
          <cell r="H730">
            <v>1</v>
          </cell>
          <cell r="I730">
            <v>22</v>
          </cell>
          <cell r="J730">
            <v>2</v>
          </cell>
          <cell r="K730">
            <v>10</v>
          </cell>
          <cell r="L730">
            <v>7</v>
          </cell>
          <cell r="M730">
            <v>0</v>
          </cell>
          <cell r="N730">
            <v>1</v>
          </cell>
          <cell r="O730">
            <v>0</v>
          </cell>
          <cell r="P730">
            <v>0</v>
          </cell>
          <cell r="Q730">
            <v>0</v>
          </cell>
          <cell r="R730">
            <v>0</v>
          </cell>
          <cell r="S730">
            <v>1</v>
          </cell>
          <cell r="T730">
            <v>0</v>
          </cell>
          <cell r="U730">
            <v>0</v>
          </cell>
          <cell r="V730">
            <v>0</v>
          </cell>
          <cell r="W730">
            <v>0</v>
          </cell>
          <cell r="X730">
            <v>3</v>
          </cell>
          <cell r="Y730">
            <v>0</v>
          </cell>
          <cell r="Z730">
            <v>0</v>
          </cell>
          <cell r="AA730">
            <v>9</v>
          </cell>
          <cell r="AB730">
            <v>0.36363636363636365</v>
          </cell>
          <cell r="AC730">
            <v>0.7</v>
          </cell>
          <cell r="AD730">
            <v>27</v>
          </cell>
        </row>
        <row r="731">
          <cell r="A731">
            <v>35</v>
          </cell>
          <cell r="B731">
            <v>4</v>
          </cell>
          <cell r="C731">
            <v>3</v>
          </cell>
          <cell r="D731">
            <v>10388</v>
          </cell>
          <cell r="E731">
            <v>1</v>
          </cell>
          <cell r="F731">
            <v>11</v>
          </cell>
          <cell r="G731">
            <v>3</v>
          </cell>
          <cell r="H731">
            <v>1</v>
          </cell>
          <cell r="I731">
            <v>16</v>
          </cell>
          <cell r="J731">
            <v>3</v>
          </cell>
          <cell r="K731">
            <v>16</v>
          </cell>
          <cell r="L731">
            <v>10</v>
          </cell>
          <cell r="M731">
            <v>1</v>
          </cell>
          <cell r="N731">
            <v>1</v>
          </cell>
          <cell r="O731">
            <v>0</v>
          </cell>
          <cell r="P731">
            <v>0</v>
          </cell>
          <cell r="Q731">
            <v>1</v>
          </cell>
          <cell r="R731">
            <v>0</v>
          </cell>
          <cell r="S731">
            <v>0</v>
          </cell>
          <cell r="T731">
            <v>0</v>
          </cell>
          <cell r="U731">
            <v>0</v>
          </cell>
          <cell r="V731">
            <v>4</v>
          </cell>
          <cell r="W731">
            <v>0</v>
          </cell>
          <cell r="X731">
            <v>0</v>
          </cell>
          <cell r="Y731">
            <v>0</v>
          </cell>
          <cell r="Z731">
            <v>0</v>
          </cell>
          <cell r="AA731">
            <v>9</v>
          </cell>
          <cell r="AB731">
            <v>6.25E-2</v>
          </cell>
          <cell r="AC731">
            <v>0.625</v>
          </cell>
          <cell r="AD731">
            <v>27</v>
          </cell>
        </row>
        <row r="732">
          <cell r="A732">
            <v>30</v>
          </cell>
          <cell r="B732">
            <v>2</v>
          </cell>
          <cell r="C732">
            <v>4</v>
          </cell>
          <cell r="D732">
            <v>11416</v>
          </cell>
          <cell r="E732">
            <v>0</v>
          </cell>
          <cell r="F732">
            <v>12</v>
          </cell>
          <cell r="G732">
            <v>3</v>
          </cell>
          <cell r="H732">
            <v>3</v>
          </cell>
          <cell r="I732">
            <v>9</v>
          </cell>
          <cell r="J732">
            <v>4</v>
          </cell>
          <cell r="K732">
            <v>8</v>
          </cell>
          <cell r="L732">
            <v>7</v>
          </cell>
          <cell r="M732">
            <v>1</v>
          </cell>
          <cell r="N732">
            <v>1</v>
          </cell>
          <cell r="O732">
            <v>1</v>
          </cell>
          <cell r="P732">
            <v>0</v>
          </cell>
          <cell r="Q732">
            <v>0</v>
          </cell>
          <cell r="R732">
            <v>0</v>
          </cell>
          <cell r="S732">
            <v>0</v>
          </cell>
          <cell r="T732">
            <v>2</v>
          </cell>
          <cell r="U732">
            <v>0</v>
          </cell>
          <cell r="V732">
            <v>0</v>
          </cell>
          <cell r="W732">
            <v>0</v>
          </cell>
          <cell r="X732">
            <v>0</v>
          </cell>
          <cell r="Y732">
            <v>0</v>
          </cell>
          <cell r="Z732">
            <v>1</v>
          </cell>
          <cell r="AA732">
            <v>2</v>
          </cell>
          <cell r="AB732">
            <v>0</v>
          </cell>
          <cell r="AC732">
            <v>0.875</v>
          </cell>
          <cell r="AD732">
            <v>6</v>
          </cell>
        </row>
        <row r="733">
          <cell r="A733">
            <v>20</v>
          </cell>
          <cell r="B733">
            <v>3</v>
          </cell>
          <cell r="C733">
            <v>2</v>
          </cell>
          <cell r="D733">
            <v>2600</v>
          </cell>
          <cell r="E733">
            <v>1</v>
          </cell>
          <cell r="F733">
            <v>15</v>
          </cell>
          <cell r="G733">
            <v>3</v>
          </cell>
          <cell r="H733">
            <v>0</v>
          </cell>
          <cell r="I733">
            <v>1</v>
          </cell>
          <cell r="J733">
            <v>2</v>
          </cell>
          <cell r="K733">
            <v>1</v>
          </cell>
          <cell r="L733">
            <v>0</v>
          </cell>
          <cell r="M733">
            <v>1</v>
          </cell>
          <cell r="N733">
            <v>1</v>
          </cell>
          <cell r="O733">
            <v>0</v>
          </cell>
          <cell r="P733">
            <v>0</v>
          </cell>
          <cell r="Q733">
            <v>1</v>
          </cell>
          <cell r="R733">
            <v>0</v>
          </cell>
          <cell r="S733">
            <v>0</v>
          </cell>
          <cell r="T733">
            <v>0</v>
          </cell>
          <cell r="U733">
            <v>0</v>
          </cell>
          <cell r="V733">
            <v>3</v>
          </cell>
          <cell r="W733">
            <v>0</v>
          </cell>
          <cell r="X733">
            <v>0</v>
          </cell>
          <cell r="Y733">
            <v>0</v>
          </cell>
          <cell r="Z733">
            <v>0</v>
          </cell>
          <cell r="AA733">
            <v>4</v>
          </cell>
          <cell r="AB733">
            <v>1</v>
          </cell>
          <cell r="AC733">
            <v>0</v>
          </cell>
          <cell r="AD733">
            <v>4</v>
          </cell>
        </row>
        <row r="734">
          <cell r="A734">
            <v>30</v>
          </cell>
          <cell r="B734">
            <v>3</v>
          </cell>
          <cell r="C734">
            <v>3</v>
          </cell>
          <cell r="D734">
            <v>2422</v>
          </cell>
          <cell r="E734">
            <v>0</v>
          </cell>
          <cell r="F734">
            <v>17</v>
          </cell>
          <cell r="G734">
            <v>3</v>
          </cell>
          <cell r="H734">
            <v>0</v>
          </cell>
          <cell r="I734">
            <v>4</v>
          </cell>
          <cell r="J734">
            <v>3</v>
          </cell>
          <cell r="K734">
            <v>3</v>
          </cell>
          <cell r="L734">
            <v>2</v>
          </cell>
          <cell r="M734">
            <v>0</v>
          </cell>
          <cell r="N734">
            <v>1</v>
          </cell>
          <cell r="O734">
            <v>0</v>
          </cell>
          <cell r="P734">
            <v>0</v>
          </cell>
          <cell r="Q734">
            <v>1</v>
          </cell>
          <cell r="R734">
            <v>0</v>
          </cell>
          <cell r="S734">
            <v>0</v>
          </cell>
          <cell r="T734">
            <v>0</v>
          </cell>
          <cell r="U734">
            <v>0</v>
          </cell>
          <cell r="V734">
            <v>3</v>
          </cell>
          <cell r="W734">
            <v>0</v>
          </cell>
          <cell r="X734">
            <v>0</v>
          </cell>
          <cell r="Y734">
            <v>0</v>
          </cell>
          <cell r="Z734">
            <v>0</v>
          </cell>
          <cell r="AA734">
            <v>4</v>
          </cell>
          <cell r="AB734">
            <v>0</v>
          </cell>
          <cell r="AC734">
            <v>0.66666666666666663</v>
          </cell>
          <cell r="AD734">
            <v>4</v>
          </cell>
        </row>
        <row r="735">
          <cell r="A735">
            <v>26</v>
          </cell>
          <cell r="B735">
            <v>2</v>
          </cell>
          <cell r="C735">
            <v>4</v>
          </cell>
          <cell r="D735">
            <v>5472</v>
          </cell>
          <cell r="E735">
            <v>1</v>
          </cell>
          <cell r="F735">
            <v>12</v>
          </cell>
          <cell r="G735">
            <v>3</v>
          </cell>
          <cell r="H735">
            <v>0</v>
          </cell>
          <cell r="I735">
            <v>8</v>
          </cell>
          <cell r="J735">
            <v>2</v>
          </cell>
          <cell r="K735">
            <v>8</v>
          </cell>
          <cell r="L735">
            <v>7</v>
          </cell>
          <cell r="M735">
            <v>0</v>
          </cell>
          <cell r="N735">
            <v>0</v>
          </cell>
          <cell r="O735">
            <v>0</v>
          </cell>
          <cell r="P735">
            <v>0</v>
          </cell>
          <cell r="Q735">
            <v>1</v>
          </cell>
          <cell r="R735">
            <v>0</v>
          </cell>
          <cell r="S735">
            <v>0</v>
          </cell>
          <cell r="T735">
            <v>0</v>
          </cell>
          <cell r="U735">
            <v>0</v>
          </cell>
          <cell r="V735">
            <v>2</v>
          </cell>
          <cell r="W735">
            <v>0</v>
          </cell>
          <cell r="X735">
            <v>0</v>
          </cell>
          <cell r="Y735">
            <v>0</v>
          </cell>
          <cell r="Z735">
            <v>0</v>
          </cell>
          <cell r="AA735">
            <v>16</v>
          </cell>
          <cell r="AB735">
            <v>0.125</v>
          </cell>
          <cell r="AC735">
            <v>0.875</v>
          </cell>
          <cell r="AD735">
            <v>32</v>
          </cell>
        </row>
        <row r="736">
          <cell r="A736">
            <v>22</v>
          </cell>
          <cell r="B736">
            <v>1</v>
          </cell>
          <cell r="C736">
            <v>1</v>
          </cell>
          <cell r="D736">
            <v>2451</v>
          </cell>
          <cell r="E736">
            <v>1</v>
          </cell>
          <cell r="F736">
            <v>15</v>
          </cell>
          <cell r="G736">
            <v>3</v>
          </cell>
          <cell r="H736">
            <v>1</v>
          </cell>
          <cell r="I736">
            <v>4</v>
          </cell>
          <cell r="J736">
            <v>3</v>
          </cell>
          <cell r="K736">
            <v>4</v>
          </cell>
          <cell r="L736">
            <v>3</v>
          </cell>
          <cell r="M736">
            <v>0</v>
          </cell>
          <cell r="N736">
            <v>0</v>
          </cell>
          <cell r="O736">
            <v>1</v>
          </cell>
          <cell r="P736">
            <v>0</v>
          </cell>
          <cell r="Q736">
            <v>0</v>
          </cell>
          <cell r="R736">
            <v>0</v>
          </cell>
          <cell r="S736">
            <v>0</v>
          </cell>
          <cell r="T736">
            <v>1</v>
          </cell>
          <cell r="U736">
            <v>0</v>
          </cell>
          <cell r="V736">
            <v>0</v>
          </cell>
          <cell r="W736">
            <v>0</v>
          </cell>
          <cell r="X736">
            <v>0</v>
          </cell>
          <cell r="Y736">
            <v>0</v>
          </cell>
          <cell r="Z736">
            <v>0</v>
          </cell>
          <cell r="AA736">
            <v>2</v>
          </cell>
          <cell r="AB736">
            <v>0.25</v>
          </cell>
          <cell r="AC736">
            <v>0.75</v>
          </cell>
          <cell r="AD736">
            <v>2</v>
          </cell>
        </row>
        <row r="737">
          <cell r="A737">
            <v>48</v>
          </cell>
          <cell r="B737">
            <v>3</v>
          </cell>
          <cell r="C737">
            <v>2</v>
          </cell>
          <cell r="D737">
            <v>4240</v>
          </cell>
          <cell r="E737">
            <v>2</v>
          </cell>
          <cell r="F737">
            <v>13</v>
          </cell>
          <cell r="G737">
            <v>3</v>
          </cell>
          <cell r="H737">
            <v>0</v>
          </cell>
          <cell r="I737">
            <v>19</v>
          </cell>
          <cell r="J737">
            <v>0</v>
          </cell>
          <cell r="K737">
            <v>2</v>
          </cell>
          <cell r="L737">
            <v>2</v>
          </cell>
          <cell r="M737">
            <v>0</v>
          </cell>
          <cell r="N737">
            <v>0</v>
          </cell>
          <cell r="O737">
            <v>1</v>
          </cell>
          <cell r="P737">
            <v>0</v>
          </cell>
          <cell r="Q737">
            <v>0</v>
          </cell>
          <cell r="R737">
            <v>0</v>
          </cell>
          <cell r="S737">
            <v>0</v>
          </cell>
          <cell r="T737">
            <v>3</v>
          </cell>
          <cell r="U737">
            <v>0</v>
          </cell>
          <cell r="V737">
            <v>0</v>
          </cell>
          <cell r="W737">
            <v>0</v>
          </cell>
          <cell r="X737">
            <v>0</v>
          </cell>
          <cell r="Y737">
            <v>0</v>
          </cell>
          <cell r="Z737">
            <v>0</v>
          </cell>
          <cell r="AA737">
            <v>3</v>
          </cell>
          <cell r="AB737">
            <v>0.10526315789473684</v>
          </cell>
          <cell r="AC737">
            <v>1</v>
          </cell>
          <cell r="AD737">
            <v>12</v>
          </cell>
        </row>
        <row r="738">
          <cell r="A738">
            <v>48</v>
          </cell>
          <cell r="B738">
            <v>4</v>
          </cell>
          <cell r="C738">
            <v>2</v>
          </cell>
          <cell r="D738">
            <v>10999</v>
          </cell>
          <cell r="E738">
            <v>7</v>
          </cell>
          <cell r="F738">
            <v>14</v>
          </cell>
          <cell r="G738">
            <v>3</v>
          </cell>
          <cell r="H738">
            <v>0</v>
          </cell>
          <cell r="I738">
            <v>27</v>
          </cell>
          <cell r="J738">
            <v>3</v>
          </cell>
          <cell r="K738">
            <v>15</v>
          </cell>
          <cell r="L738">
            <v>11</v>
          </cell>
          <cell r="M738">
            <v>0</v>
          </cell>
          <cell r="N738">
            <v>0</v>
          </cell>
          <cell r="O738">
            <v>1</v>
          </cell>
          <cell r="P738">
            <v>0</v>
          </cell>
          <cell r="Q738">
            <v>0</v>
          </cell>
          <cell r="R738">
            <v>0</v>
          </cell>
          <cell r="S738">
            <v>0</v>
          </cell>
          <cell r="T738">
            <v>4</v>
          </cell>
          <cell r="U738">
            <v>0</v>
          </cell>
          <cell r="V738">
            <v>0</v>
          </cell>
          <cell r="W738">
            <v>0</v>
          </cell>
          <cell r="X738">
            <v>0</v>
          </cell>
          <cell r="Y738">
            <v>0</v>
          </cell>
          <cell r="Z738">
            <v>0</v>
          </cell>
          <cell r="AA738">
            <v>9</v>
          </cell>
          <cell r="AB738">
            <v>0.25925925925925924</v>
          </cell>
          <cell r="AC738">
            <v>0.73333333333333328</v>
          </cell>
          <cell r="AD738">
            <v>18</v>
          </cell>
        </row>
        <row r="739">
          <cell r="A739">
            <v>41</v>
          </cell>
          <cell r="B739">
            <v>2</v>
          </cell>
          <cell r="C739">
            <v>3</v>
          </cell>
          <cell r="D739">
            <v>5003</v>
          </cell>
          <cell r="E739">
            <v>6</v>
          </cell>
          <cell r="F739">
            <v>14</v>
          </cell>
          <cell r="G739">
            <v>3</v>
          </cell>
          <cell r="H739">
            <v>0</v>
          </cell>
          <cell r="I739">
            <v>8</v>
          </cell>
          <cell r="J739">
            <v>6</v>
          </cell>
          <cell r="K739">
            <v>2</v>
          </cell>
          <cell r="L739">
            <v>2</v>
          </cell>
          <cell r="M739">
            <v>0</v>
          </cell>
          <cell r="N739">
            <v>1</v>
          </cell>
          <cell r="O739">
            <v>0</v>
          </cell>
          <cell r="P739">
            <v>0</v>
          </cell>
          <cell r="Q739">
            <v>1</v>
          </cell>
          <cell r="R739">
            <v>0</v>
          </cell>
          <cell r="S739">
            <v>0</v>
          </cell>
          <cell r="T739">
            <v>0</v>
          </cell>
          <cell r="U739">
            <v>0</v>
          </cell>
          <cell r="V739">
            <v>2</v>
          </cell>
          <cell r="W739">
            <v>0</v>
          </cell>
          <cell r="X739">
            <v>0</v>
          </cell>
          <cell r="Y739">
            <v>0</v>
          </cell>
          <cell r="Z739">
            <v>0</v>
          </cell>
          <cell r="AA739">
            <v>12</v>
          </cell>
          <cell r="AB739">
            <v>0.75</v>
          </cell>
          <cell r="AC739">
            <v>1</v>
          </cell>
          <cell r="AD739">
            <v>24</v>
          </cell>
        </row>
        <row r="740">
          <cell r="A740">
            <v>39</v>
          </cell>
          <cell r="B740">
            <v>1</v>
          </cell>
          <cell r="C740">
            <v>2</v>
          </cell>
          <cell r="D740">
            <v>12742</v>
          </cell>
          <cell r="E740">
            <v>1</v>
          </cell>
          <cell r="F740">
            <v>16</v>
          </cell>
          <cell r="G740">
            <v>3</v>
          </cell>
          <cell r="H740">
            <v>1</v>
          </cell>
          <cell r="I740">
            <v>21</v>
          </cell>
          <cell r="J740">
            <v>3</v>
          </cell>
          <cell r="K740">
            <v>21</v>
          </cell>
          <cell r="L740">
            <v>6</v>
          </cell>
          <cell r="M740">
            <v>0</v>
          </cell>
          <cell r="N740">
            <v>1</v>
          </cell>
          <cell r="O740">
            <v>1</v>
          </cell>
          <cell r="P740">
            <v>0</v>
          </cell>
          <cell r="Q740">
            <v>0</v>
          </cell>
          <cell r="R740">
            <v>0</v>
          </cell>
          <cell r="S740">
            <v>0</v>
          </cell>
          <cell r="T740">
            <v>1</v>
          </cell>
          <cell r="U740">
            <v>0</v>
          </cell>
          <cell r="V740">
            <v>0</v>
          </cell>
          <cell r="W740">
            <v>0</v>
          </cell>
          <cell r="X740">
            <v>0</v>
          </cell>
          <cell r="Y740">
            <v>0</v>
          </cell>
          <cell r="Z740">
            <v>0</v>
          </cell>
          <cell r="AA740">
            <v>16</v>
          </cell>
          <cell r="AB740">
            <v>4.7619047619047616E-2</v>
          </cell>
          <cell r="AC740">
            <v>0.2857142857142857</v>
          </cell>
          <cell r="AD740">
            <v>48</v>
          </cell>
        </row>
        <row r="741">
          <cell r="A741">
            <v>27</v>
          </cell>
          <cell r="B741">
            <v>4</v>
          </cell>
          <cell r="C741">
            <v>3</v>
          </cell>
          <cell r="D741">
            <v>4227</v>
          </cell>
          <cell r="E741">
            <v>0</v>
          </cell>
          <cell r="F741">
            <v>18</v>
          </cell>
          <cell r="G741">
            <v>3</v>
          </cell>
          <cell r="H741">
            <v>1</v>
          </cell>
          <cell r="I741">
            <v>4</v>
          </cell>
          <cell r="J741">
            <v>2</v>
          </cell>
          <cell r="K741">
            <v>3</v>
          </cell>
          <cell r="L741">
            <v>2</v>
          </cell>
          <cell r="M741">
            <v>0</v>
          </cell>
          <cell r="N741">
            <v>1</v>
          </cell>
          <cell r="O741">
            <v>1</v>
          </cell>
          <cell r="P741">
            <v>0</v>
          </cell>
          <cell r="Q741">
            <v>0</v>
          </cell>
          <cell r="R741">
            <v>0</v>
          </cell>
          <cell r="S741">
            <v>0</v>
          </cell>
          <cell r="T741">
            <v>4</v>
          </cell>
          <cell r="U741">
            <v>0</v>
          </cell>
          <cell r="V741">
            <v>0</v>
          </cell>
          <cell r="W741">
            <v>0</v>
          </cell>
          <cell r="X741">
            <v>0</v>
          </cell>
          <cell r="Y741">
            <v>0</v>
          </cell>
          <cell r="Z741">
            <v>0</v>
          </cell>
          <cell r="AA741">
            <v>4</v>
          </cell>
          <cell r="AB741">
            <v>0</v>
          </cell>
          <cell r="AC741">
            <v>0.66666666666666663</v>
          </cell>
          <cell r="AD741">
            <v>8</v>
          </cell>
        </row>
        <row r="742">
          <cell r="A742">
            <v>35</v>
          </cell>
          <cell r="B742">
            <v>3</v>
          </cell>
          <cell r="C742">
            <v>3</v>
          </cell>
          <cell r="D742">
            <v>3917</v>
          </cell>
          <cell r="E742">
            <v>1</v>
          </cell>
          <cell r="F742">
            <v>20</v>
          </cell>
          <cell r="G742">
            <v>4</v>
          </cell>
          <cell r="H742">
            <v>1</v>
          </cell>
          <cell r="I742">
            <v>3</v>
          </cell>
          <cell r="J742">
            <v>4</v>
          </cell>
          <cell r="K742">
            <v>3</v>
          </cell>
          <cell r="L742">
            <v>2</v>
          </cell>
          <cell r="M742">
            <v>0</v>
          </cell>
          <cell r="N742">
            <v>0</v>
          </cell>
          <cell r="O742">
            <v>0</v>
          </cell>
          <cell r="P742">
            <v>0</v>
          </cell>
          <cell r="Q742">
            <v>0</v>
          </cell>
          <cell r="R742">
            <v>1</v>
          </cell>
          <cell r="S742">
            <v>0</v>
          </cell>
          <cell r="T742">
            <v>0</v>
          </cell>
          <cell r="U742">
            <v>0</v>
          </cell>
          <cell r="V742">
            <v>0</v>
          </cell>
          <cell r="W742">
            <v>3</v>
          </cell>
          <cell r="X742">
            <v>0</v>
          </cell>
          <cell r="Y742">
            <v>0</v>
          </cell>
          <cell r="Z742">
            <v>0</v>
          </cell>
          <cell r="AA742">
            <v>8</v>
          </cell>
          <cell r="AB742">
            <v>0.33333333333333331</v>
          </cell>
          <cell r="AC742">
            <v>0.66666666666666663</v>
          </cell>
          <cell r="AD742">
            <v>8</v>
          </cell>
        </row>
        <row r="743">
          <cell r="A743">
            <v>42</v>
          </cell>
          <cell r="B743">
            <v>2</v>
          </cell>
          <cell r="C743">
            <v>3</v>
          </cell>
          <cell r="D743">
            <v>18303</v>
          </cell>
          <cell r="E743">
            <v>6</v>
          </cell>
          <cell r="F743">
            <v>13</v>
          </cell>
          <cell r="G743">
            <v>3</v>
          </cell>
          <cell r="H743">
            <v>0</v>
          </cell>
          <cell r="I743">
            <v>21</v>
          </cell>
          <cell r="J743">
            <v>3</v>
          </cell>
          <cell r="K743">
            <v>1</v>
          </cell>
          <cell r="L743">
            <v>0</v>
          </cell>
          <cell r="M743">
            <v>0</v>
          </cell>
          <cell r="N743">
            <v>0</v>
          </cell>
          <cell r="O743">
            <v>0</v>
          </cell>
          <cell r="P743">
            <v>1</v>
          </cell>
          <cell r="Q743">
            <v>0</v>
          </cell>
          <cell r="R743">
            <v>0</v>
          </cell>
          <cell r="S743">
            <v>0</v>
          </cell>
          <cell r="T743">
            <v>0</v>
          </cell>
          <cell r="U743">
            <v>2</v>
          </cell>
          <cell r="V743">
            <v>0</v>
          </cell>
          <cell r="W743">
            <v>0</v>
          </cell>
          <cell r="X743">
            <v>0</v>
          </cell>
          <cell r="Y743">
            <v>0</v>
          </cell>
          <cell r="Z743">
            <v>0</v>
          </cell>
          <cell r="AA743">
            <v>12</v>
          </cell>
          <cell r="AB743">
            <v>0.2857142857142857</v>
          </cell>
          <cell r="AC743">
            <v>0</v>
          </cell>
          <cell r="AD743">
            <v>24</v>
          </cell>
        </row>
        <row r="744">
          <cell r="A744">
            <v>50</v>
          </cell>
          <cell r="B744">
            <v>3</v>
          </cell>
          <cell r="C744">
            <v>3</v>
          </cell>
          <cell r="D744">
            <v>2380</v>
          </cell>
          <cell r="E744">
            <v>4</v>
          </cell>
          <cell r="F744">
            <v>18</v>
          </cell>
          <cell r="G744">
            <v>3</v>
          </cell>
          <cell r="H744">
            <v>0</v>
          </cell>
          <cell r="I744">
            <v>8</v>
          </cell>
          <cell r="J744">
            <v>5</v>
          </cell>
          <cell r="K744">
            <v>1</v>
          </cell>
          <cell r="L744">
            <v>0</v>
          </cell>
          <cell r="M744">
            <v>0</v>
          </cell>
          <cell r="N744">
            <v>0</v>
          </cell>
          <cell r="O744">
            <v>1</v>
          </cell>
          <cell r="P744">
            <v>0</v>
          </cell>
          <cell r="Q744">
            <v>0</v>
          </cell>
          <cell r="R744">
            <v>0</v>
          </cell>
          <cell r="S744">
            <v>0</v>
          </cell>
          <cell r="T744">
            <v>3</v>
          </cell>
          <cell r="U744">
            <v>0</v>
          </cell>
          <cell r="V744">
            <v>0</v>
          </cell>
          <cell r="W744">
            <v>0</v>
          </cell>
          <cell r="X744">
            <v>0</v>
          </cell>
          <cell r="Y744">
            <v>0</v>
          </cell>
          <cell r="Z744">
            <v>0</v>
          </cell>
          <cell r="AA744">
            <v>4</v>
          </cell>
          <cell r="AB744">
            <v>0.5</v>
          </cell>
          <cell r="AC744">
            <v>0</v>
          </cell>
          <cell r="AD744">
            <v>8</v>
          </cell>
        </row>
        <row r="745">
          <cell r="A745">
            <v>59</v>
          </cell>
          <cell r="B745">
            <v>3</v>
          </cell>
          <cell r="C745">
            <v>2</v>
          </cell>
          <cell r="D745">
            <v>13726</v>
          </cell>
          <cell r="E745">
            <v>3</v>
          </cell>
          <cell r="F745">
            <v>13</v>
          </cell>
          <cell r="G745">
            <v>3</v>
          </cell>
          <cell r="H745">
            <v>0</v>
          </cell>
          <cell r="I745">
            <v>30</v>
          </cell>
          <cell r="J745">
            <v>4</v>
          </cell>
          <cell r="K745">
            <v>5</v>
          </cell>
          <cell r="L745">
            <v>3</v>
          </cell>
          <cell r="M745">
            <v>1</v>
          </cell>
          <cell r="N745">
            <v>1</v>
          </cell>
          <cell r="O745">
            <v>1</v>
          </cell>
          <cell r="P745">
            <v>0</v>
          </cell>
          <cell r="Q745">
            <v>0</v>
          </cell>
          <cell r="R745">
            <v>0</v>
          </cell>
          <cell r="S745">
            <v>0</v>
          </cell>
          <cell r="T745">
            <v>3</v>
          </cell>
          <cell r="U745">
            <v>0</v>
          </cell>
          <cell r="V745">
            <v>0</v>
          </cell>
          <cell r="W745">
            <v>0</v>
          </cell>
          <cell r="X745">
            <v>0</v>
          </cell>
          <cell r="Y745">
            <v>0</v>
          </cell>
          <cell r="Z745">
            <v>0</v>
          </cell>
          <cell r="AA745">
            <v>12</v>
          </cell>
          <cell r="AB745">
            <v>0.1</v>
          </cell>
          <cell r="AC745">
            <v>0.6</v>
          </cell>
          <cell r="AD745">
            <v>12</v>
          </cell>
        </row>
        <row r="746">
          <cell r="A746">
            <v>37</v>
          </cell>
          <cell r="B746">
            <v>2</v>
          </cell>
          <cell r="C746">
            <v>1</v>
          </cell>
          <cell r="D746">
            <v>4777</v>
          </cell>
          <cell r="E746">
            <v>5</v>
          </cell>
          <cell r="F746">
            <v>15</v>
          </cell>
          <cell r="G746">
            <v>3</v>
          </cell>
          <cell r="H746">
            <v>0</v>
          </cell>
          <cell r="I746">
            <v>15</v>
          </cell>
          <cell r="J746">
            <v>2</v>
          </cell>
          <cell r="K746">
            <v>1</v>
          </cell>
          <cell r="L746">
            <v>0</v>
          </cell>
          <cell r="M746">
            <v>0</v>
          </cell>
          <cell r="N746">
            <v>1</v>
          </cell>
          <cell r="O746">
            <v>0</v>
          </cell>
          <cell r="P746">
            <v>0</v>
          </cell>
          <cell r="Q746">
            <v>1</v>
          </cell>
          <cell r="R746">
            <v>0</v>
          </cell>
          <cell r="S746">
            <v>0</v>
          </cell>
          <cell r="T746">
            <v>0</v>
          </cell>
          <cell r="U746">
            <v>0</v>
          </cell>
          <cell r="V746">
            <v>2</v>
          </cell>
          <cell r="W746">
            <v>0</v>
          </cell>
          <cell r="X746">
            <v>0</v>
          </cell>
          <cell r="Y746">
            <v>0</v>
          </cell>
          <cell r="Z746">
            <v>0</v>
          </cell>
          <cell r="AA746">
            <v>2</v>
          </cell>
          <cell r="AB746">
            <v>0.33333333333333331</v>
          </cell>
          <cell r="AC746">
            <v>0</v>
          </cell>
          <cell r="AD746">
            <v>2</v>
          </cell>
        </row>
        <row r="747">
          <cell r="A747">
            <v>55</v>
          </cell>
          <cell r="B747">
            <v>4</v>
          </cell>
          <cell r="C747">
            <v>3</v>
          </cell>
          <cell r="D747">
            <v>6385</v>
          </cell>
          <cell r="E747">
            <v>3</v>
          </cell>
          <cell r="F747">
            <v>14</v>
          </cell>
          <cell r="G747">
            <v>3</v>
          </cell>
          <cell r="H747">
            <v>2</v>
          </cell>
          <cell r="I747">
            <v>17</v>
          </cell>
          <cell r="J747">
            <v>3</v>
          </cell>
          <cell r="K747">
            <v>8</v>
          </cell>
          <cell r="L747">
            <v>7</v>
          </cell>
          <cell r="M747">
            <v>1</v>
          </cell>
          <cell r="N747">
            <v>0</v>
          </cell>
          <cell r="O747">
            <v>0</v>
          </cell>
          <cell r="P747">
            <v>0</v>
          </cell>
          <cell r="Q747">
            <v>1</v>
          </cell>
          <cell r="R747">
            <v>0</v>
          </cell>
          <cell r="S747">
            <v>0</v>
          </cell>
          <cell r="T747">
            <v>0</v>
          </cell>
          <cell r="U747">
            <v>0</v>
          </cell>
          <cell r="V747">
            <v>4</v>
          </cell>
          <cell r="W747">
            <v>0</v>
          </cell>
          <cell r="X747">
            <v>0</v>
          </cell>
          <cell r="Y747">
            <v>1</v>
          </cell>
          <cell r="Z747">
            <v>1</v>
          </cell>
          <cell r="AA747">
            <v>6</v>
          </cell>
          <cell r="AB747">
            <v>0.17647058823529413</v>
          </cell>
          <cell r="AC747">
            <v>0.875</v>
          </cell>
          <cell r="AD747">
            <v>24</v>
          </cell>
        </row>
        <row r="748">
          <cell r="A748">
            <v>41</v>
          </cell>
          <cell r="B748">
            <v>1</v>
          </cell>
          <cell r="C748">
            <v>1</v>
          </cell>
          <cell r="D748">
            <v>19973</v>
          </cell>
          <cell r="E748">
            <v>1</v>
          </cell>
          <cell r="F748">
            <v>22</v>
          </cell>
          <cell r="G748">
            <v>4</v>
          </cell>
          <cell r="H748">
            <v>2</v>
          </cell>
          <cell r="I748">
            <v>21</v>
          </cell>
          <cell r="J748">
            <v>3</v>
          </cell>
          <cell r="K748">
            <v>21</v>
          </cell>
          <cell r="L748">
            <v>16</v>
          </cell>
          <cell r="M748">
            <v>0</v>
          </cell>
          <cell r="N748">
            <v>1</v>
          </cell>
          <cell r="O748">
            <v>1</v>
          </cell>
          <cell r="P748">
            <v>0</v>
          </cell>
          <cell r="Q748">
            <v>0</v>
          </cell>
          <cell r="R748">
            <v>0</v>
          </cell>
          <cell r="S748">
            <v>0</v>
          </cell>
          <cell r="T748">
            <v>1</v>
          </cell>
          <cell r="U748">
            <v>0</v>
          </cell>
          <cell r="V748">
            <v>0</v>
          </cell>
          <cell r="W748">
            <v>0</v>
          </cell>
          <cell r="X748">
            <v>0</v>
          </cell>
          <cell r="Y748">
            <v>0</v>
          </cell>
          <cell r="Z748">
            <v>0</v>
          </cell>
          <cell r="AA748">
            <v>6</v>
          </cell>
          <cell r="AB748">
            <v>4.7619047619047616E-2</v>
          </cell>
          <cell r="AC748">
            <v>0.76190476190476186</v>
          </cell>
          <cell r="AD748">
            <v>12</v>
          </cell>
        </row>
        <row r="749">
          <cell r="A749">
            <v>38</v>
          </cell>
          <cell r="B749">
            <v>4</v>
          </cell>
          <cell r="C749">
            <v>3</v>
          </cell>
          <cell r="D749">
            <v>6861</v>
          </cell>
          <cell r="E749">
            <v>8</v>
          </cell>
          <cell r="F749">
            <v>12</v>
          </cell>
          <cell r="G749">
            <v>3</v>
          </cell>
          <cell r="H749">
            <v>0</v>
          </cell>
          <cell r="I749">
            <v>19</v>
          </cell>
          <cell r="J749">
            <v>1</v>
          </cell>
          <cell r="K749">
            <v>1</v>
          </cell>
          <cell r="L749">
            <v>0</v>
          </cell>
          <cell r="M749">
            <v>1</v>
          </cell>
          <cell r="N749">
            <v>0</v>
          </cell>
          <cell r="O749">
            <v>1</v>
          </cell>
          <cell r="P749">
            <v>0</v>
          </cell>
          <cell r="Q749">
            <v>0</v>
          </cell>
          <cell r="R749">
            <v>0</v>
          </cell>
          <cell r="S749">
            <v>0</v>
          </cell>
          <cell r="T749">
            <v>4</v>
          </cell>
          <cell r="U749">
            <v>0</v>
          </cell>
          <cell r="V749">
            <v>0</v>
          </cell>
          <cell r="W749">
            <v>0</v>
          </cell>
          <cell r="X749">
            <v>0</v>
          </cell>
          <cell r="Y749">
            <v>0</v>
          </cell>
          <cell r="Z749">
            <v>0</v>
          </cell>
          <cell r="AA749">
            <v>8</v>
          </cell>
          <cell r="AB749">
            <v>0.42105263157894735</v>
          </cell>
          <cell r="AC749">
            <v>0</v>
          </cell>
          <cell r="AD749">
            <v>24</v>
          </cell>
        </row>
        <row r="750">
          <cell r="A750">
            <v>26</v>
          </cell>
          <cell r="B750">
            <v>2</v>
          </cell>
          <cell r="C750">
            <v>1</v>
          </cell>
          <cell r="D750">
            <v>4969</v>
          </cell>
          <cell r="E750">
            <v>8</v>
          </cell>
          <cell r="F750">
            <v>18</v>
          </cell>
          <cell r="G750">
            <v>3</v>
          </cell>
          <cell r="H750">
            <v>0</v>
          </cell>
          <cell r="I750">
            <v>7</v>
          </cell>
          <cell r="J750">
            <v>6</v>
          </cell>
          <cell r="K750">
            <v>2</v>
          </cell>
          <cell r="L750">
            <v>2</v>
          </cell>
          <cell r="M750">
            <v>0</v>
          </cell>
          <cell r="N750">
            <v>0</v>
          </cell>
          <cell r="O750">
            <v>0</v>
          </cell>
          <cell r="P750">
            <v>0</v>
          </cell>
          <cell r="Q750">
            <v>1</v>
          </cell>
          <cell r="R750">
            <v>0</v>
          </cell>
          <cell r="S750">
            <v>0</v>
          </cell>
          <cell r="T750">
            <v>0</v>
          </cell>
          <cell r="U750">
            <v>0</v>
          </cell>
          <cell r="V750">
            <v>2</v>
          </cell>
          <cell r="W750">
            <v>0</v>
          </cell>
          <cell r="X750">
            <v>0</v>
          </cell>
          <cell r="Y750">
            <v>0</v>
          </cell>
          <cell r="Z750">
            <v>0</v>
          </cell>
          <cell r="AA750">
            <v>2</v>
          </cell>
          <cell r="AB750">
            <v>1.1428571428571428</v>
          </cell>
          <cell r="AC750">
            <v>1</v>
          </cell>
          <cell r="AD750">
            <v>8</v>
          </cell>
        </row>
        <row r="751">
          <cell r="A751">
            <v>52</v>
          </cell>
          <cell r="B751">
            <v>1</v>
          </cell>
          <cell r="C751">
            <v>1</v>
          </cell>
          <cell r="D751">
            <v>19845</v>
          </cell>
          <cell r="E751">
            <v>1</v>
          </cell>
          <cell r="F751">
            <v>15</v>
          </cell>
          <cell r="G751">
            <v>3</v>
          </cell>
          <cell r="H751">
            <v>1</v>
          </cell>
          <cell r="I751">
            <v>33</v>
          </cell>
          <cell r="J751">
            <v>3</v>
          </cell>
          <cell r="K751">
            <v>32</v>
          </cell>
          <cell r="L751">
            <v>14</v>
          </cell>
          <cell r="M751">
            <v>0</v>
          </cell>
          <cell r="N751">
            <v>1</v>
          </cell>
          <cell r="O751">
            <v>0</v>
          </cell>
          <cell r="P751">
            <v>1</v>
          </cell>
          <cell r="Q751">
            <v>0</v>
          </cell>
          <cell r="R751">
            <v>0</v>
          </cell>
          <cell r="S751">
            <v>0</v>
          </cell>
          <cell r="T751">
            <v>0</v>
          </cell>
          <cell r="U751">
            <v>1</v>
          </cell>
          <cell r="V751">
            <v>0</v>
          </cell>
          <cell r="W751">
            <v>0</v>
          </cell>
          <cell r="X751">
            <v>0</v>
          </cell>
          <cell r="Y751">
            <v>0</v>
          </cell>
          <cell r="Z751">
            <v>0</v>
          </cell>
          <cell r="AA751">
            <v>4</v>
          </cell>
          <cell r="AB751">
            <v>3.0303030303030304E-2</v>
          </cell>
          <cell r="AC751">
            <v>0.4375</v>
          </cell>
          <cell r="AD751">
            <v>16</v>
          </cell>
        </row>
        <row r="752">
          <cell r="A752">
            <v>44</v>
          </cell>
          <cell r="B752">
            <v>3</v>
          </cell>
          <cell r="C752">
            <v>4</v>
          </cell>
          <cell r="D752">
            <v>13320</v>
          </cell>
          <cell r="E752">
            <v>3</v>
          </cell>
          <cell r="F752">
            <v>18</v>
          </cell>
          <cell r="G752">
            <v>3</v>
          </cell>
          <cell r="H752">
            <v>1</v>
          </cell>
          <cell r="I752">
            <v>23</v>
          </cell>
          <cell r="J752">
            <v>2</v>
          </cell>
          <cell r="K752">
            <v>12</v>
          </cell>
          <cell r="L752">
            <v>11</v>
          </cell>
          <cell r="M752">
            <v>1</v>
          </cell>
          <cell r="N752">
            <v>1</v>
          </cell>
          <cell r="O752">
            <v>0</v>
          </cell>
          <cell r="P752">
            <v>0</v>
          </cell>
          <cell r="Q752">
            <v>1</v>
          </cell>
          <cell r="R752">
            <v>0</v>
          </cell>
          <cell r="S752">
            <v>0</v>
          </cell>
          <cell r="T752">
            <v>0</v>
          </cell>
          <cell r="U752">
            <v>0</v>
          </cell>
          <cell r="V752">
            <v>3</v>
          </cell>
          <cell r="W752">
            <v>0</v>
          </cell>
          <cell r="X752">
            <v>0</v>
          </cell>
          <cell r="Y752">
            <v>0</v>
          </cell>
          <cell r="Z752">
            <v>1</v>
          </cell>
          <cell r="AA752">
            <v>16</v>
          </cell>
          <cell r="AB752">
            <v>0.13043478260869565</v>
          </cell>
          <cell r="AC752">
            <v>0.91666666666666663</v>
          </cell>
          <cell r="AD752">
            <v>48</v>
          </cell>
        </row>
        <row r="753">
          <cell r="A753">
            <v>50</v>
          </cell>
          <cell r="B753">
            <v>3</v>
          </cell>
          <cell r="C753">
            <v>3</v>
          </cell>
          <cell r="D753">
            <v>6347</v>
          </cell>
          <cell r="E753">
            <v>0</v>
          </cell>
          <cell r="F753">
            <v>12</v>
          </cell>
          <cell r="G753">
            <v>3</v>
          </cell>
          <cell r="H753">
            <v>1</v>
          </cell>
          <cell r="I753">
            <v>19</v>
          </cell>
          <cell r="J753">
            <v>3</v>
          </cell>
          <cell r="K753">
            <v>18</v>
          </cell>
          <cell r="L753">
            <v>7</v>
          </cell>
          <cell r="M753">
            <v>0</v>
          </cell>
          <cell r="N753">
            <v>1</v>
          </cell>
          <cell r="O753">
            <v>1</v>
          </cell>
          <cell r="P753">
            <v>0</v>
          </cell>
          <cell r="Q753">
            <v>0</v>
          </cell>
          <cell r="R753">
            <v>0</v>
          </cell>
          <cell r="S753">
            <v>0</v>
          </cell>
          <cell r="T753">
            <v>3</v>
          </cell>
          <cell r="U753">
            <v>0</v>
          </cell>
          <cell r="V753">
            <v>0</v>
          </cell>
          <cell r="W753">
            <v>0</v>
          </cell>
          <cell r="X753">
            <v>0</v>
          </cell>
          <cell r="Y753">
            <v>0</v>
          </cell>
          <cell r="Z753">
            <v>0</v>
          </cell>
          <cell r="AA753">
            <v>12</v>
          </cell>
          <cell r="AB753">
            <v>0</v>
          </cell>
          <cell r="AC753">
            <v>0.3888888888888889</v>
          </cell>
          <cell r="AD753">
            <v>12</v>
          </cell>
        </row>
        <row r="754">
          <cell r="A754">
            <v>36</v>
          </cell>
          <cell r="B754">
            <v>4</v>
          </cell>
          <cell r="C754">
            <v>4</v>
          </cell>
          <cell r="D754">
            <v>2743</v>
          </cell>
          <cell r="E754">
            <v>1</v>
          </cell>
          <cell r="F754">
            <v>16</v>
          </cell>
          <cell r="G754">
            <v>3</v>
          </cell>
          <cell r="H754">
            <v>0</v>
          </cell>
          <cell r="I754">
            <v>18</v>
          </cell>
          <cell r="J754">
            <v>1</v>
          </cell>
          <cell r="K754">
            <v>17</v>
          </cell>
          <cell r="L754">
            <v>13</v>
          </cell>
          <cell r="M754">
            <v>0</v>
          </cell>
          <cell r="N754">
            <v>1</v>
          </cell>
          <cell r="O754">
            <v>1</v>
          </cell>
          <cell r="P754">
            <v>0</v>
          </cell>
          <cell r="Q754">
            <v>0</v>
          </cell>
          <cell r="R754">
            <v>0</v>
          </cell>
          <cell r="S754">
            <v>0</v>
          </cell>
          <cell r="T754">
            <v>4</v>
          </cell>
          <cell r="U754">
            <v>0</v>
          </cell>
          <cell r="V754">
            <v>0</v>
          </cell>
          <cell r="W754">
            <v>0</v>
          </cell>
          <cell r="X754">
            <v>0</v>
          </cell>
          <cell r="Y754">
            <v>0</v>
          </cell>
          <cell r="Z754">
            <v>0</v>
          </cell>
          <cell r="AA754">
            <v>3</v>
          </cell>
          <cell r="AB754">
            <v>5.5555555555555552E-2</v>
          </cell>
          <cell r="AC754">
            <v>0.76470588235294112</v>
          </cell>
          <cell r="AD754">
            <v>9</v>
          </cell>
        </row>
        <row r="755">
          <cell r="A755">
            <v>39</v>
          </cell>
          <cell r="B755">
            <v>3</v>
          </cell>
          <cell r="C755">
            <v>3</v>
          </cell>
          <cell r="D755">
            <v>10880</v>
          </cell>
          <cell r="E755">
            <v>1</v>
          </cell>
          <cell r="F755">
            <v>13</v>
          </cell>
          <cell r="G755">
            <v>3</v>
          </cell>
          <cell r="H755">
            <v>0</v>
          </cell>
          <cell r="I755">
            <v>21</v>
          </cell>
          <cell r="J755">
            <v>2</v>
          </cell>
          <cell r="K755">
            <v>21</v>
          </cell>
          <cell r="L755">
            <v>6</v>
          </cell>
          <cell r="M755">
            <v>1</v>
          </cell>
          <cell r="N755">
            <v>1</v>
          </cell>
          <cell r="O755">
            <v>0</v>
          </cell>
          <cell r="P755">
            <v>0</v>
          </cell>
          <cell r="Q755">
            <v>1</v>
          </cell>
          <cell r="R755">
            <v>0</v>
          </cell>
          <cell r="S755">
            <v>0</v>
          </cell>
          <cell r="T755">
            <v>0</v>
          </cell>
          <cell r="U755">
            <v>0</v>
          </cell>
          <cell r="V755">
            <v>3</v>
          </cell>
          <cell r="W755">
            <v>0</v>
          </cell>
          <cell r="X755">
            <v>0</v>
          </cell>
          <cell r="Y755">
            <v>0</v>
          </cell>
          <cell r="Z755">
            <v>0</v>
          </cell>
          <cell r="AA755">
            <v>4</v>
          </cell>
          <cell r="AB755">
            <v>4.7619047619047616E-2</v>
          </cell>
          <cell r="AC755">
            <v>0.2857142857142857</v>
          </cell>
          <cell r="AD755">
            <v>12</v>
          </cell>
        </row>
        <row r="756">
          <cell r="A756">
            <v>33</v>
          </cell>
          <cell r="B756">
            <v>1</v>
          </cell>
          <cell r="C756">
            <v>2</v>
          </cell>
          <cell r="D756">
            <v>2342</v>
          </cell>
          <cell r="E756">
            <v>0</v>
          </cell>
          <cell r="F756">
            <v>19</v>
          </cell>
          <cell r="G756">
            <v>3</v>
          </cell>
          <cell r="H756">
            <v>0</v>
          </cell>
          <cell r="I756">
            <v>3</v>
          </cell>
          <cell r="J756">
            <v>2</v>
          </cell>
          <cell r="K756">
            <v>2</v>
          </cell>
          <cell r="L756">
            <v>2</v>
          </cell>
          <cell r="M756">
            <v>0</v>
          </cell>
          <cell r="N756">
            <v>1</v>
          </cell>
          <cell r="O756">
            <v>1</v>
          </cell>
          <cell r="P756">
            <v>0</v>
          </cell>
          <cell r="Q756">
            <v>0</v>
          </cell>
          <cell r="R756">
            <v>0</v>
          </cell>
          <cell r="S756">
            <v>0</v>
          </cell>
          <cell r="T756">
            <v>1</v>
          </cell>
          <cell r="U756">
            <v>0</v>
          </cell>
          <cell r="V756">
            <v>0</v>
          </cell>
          <cell r="W756">
            <v>0</v>
          </cell>
          <cell r="X756">
            <v>0</v>
          </cell>
          <cell r="Y756">
            <v>0</v>
          </cell>
          <cell r="Z756">
            <v>0</v>
          </cell>
          <cell r="AA756">
            <v>8</v>
          </cell>
          <cell r="AB756">
            <v>0</v>
          </cell>
          <cell r="AC756">
            <v>1</v>
          </cell>
          <cell r="AD756">
            <v>32</v>
          </cell>
        </row>
        <row r="757">
          <cell r="A757">
            <v>45</v>
          </cell>
          <cell r="B757">
            <v>2</v>
          </cell>
          <cell r="C757">
            <v>3</v>
          </cell>
          <cell r="D757">
            <v>17650</v>
          </cell>
          <cell r="E757">
            <v>3</v>
          </cell>
          <cell r="F757">
            <v>13</v>
          </cell>
          <cell r="G757">
            <v>3</v>
          </cell>
          <cell r="H757">
            <v>1</v>
          </cell>
          <cell r="I757">
            <v>26</v>
          </cell>
          <cell r="J757">
            <v>4</v>
          </cell>
          <cell r="K757">
            <v>9</v>
          </cell>
          <cell r="L757">
            <v>3</v>
          </cell>
          <cell r="M757">
            <v>0</v>
          </cell>
          <cell r="N757">
            <v>1</v>
          </cell>
          <cell r="O757">
            <v>1</v>
          </cell>
          <cell r="P757">
            <v>0</v>
          </cell>
          <cell r="Q757">
            <v>0</v>
          </cell>
          <cell r="R757">
            <v>0</v>
          </cell>
          <cell r="S757">
            <v>0</v>
          </cell>
          <cell r="T757">
            <v>2</v>
          </cell>
          <cell r="U757">
            <v>0</v>
          </cell>
          <cell r="V757">
            <v>0</v>
          </cell>
          <cell r="W757">
            <v>0</v>
          </cell>
          <cell r="X757">
            <v>0</v>
          </cell>
          <cell r="Y757">
            <v>0</v>
          </cell>
          <cell r="Z757">
            <v>0</v>
          </cell>
          <cell r="AA757">
            <v>16</v>
          </cell>
          <cell r="AB757">
            <v>0.11538461538461539</v>
          </cell>
          <cell r="AC757">
            <v>0.33333333333333331</v>
          </cell>
          <cell r="AD757">
            <v>32</v>
          </cell>
        </row>
        <row r="758">
          <cell r="A758">
            <v>32</v>
          </cell>
          <cell r="B758">
            <v>4</v>
          </cell>
          <cell r="C758">
            <v>3</v>
          </cell>
          <cell r="D758">
            <v>4025</v>
          </cell>
          <cell r="E758">
            <v>9</v>
          </cell>
          <cell r="F758">
            <v>12</v>
          </cell>
          <cell r="G758">
            <v>3</v>
          </cell>
          <cell r="H758">
            <v>0</v>
          </cell>
          <cell r="I758">
            <v>10</v>
          </cell>
          <cell r="J758">
            <v>2</v>
          </cell>
          <cell r="K758">
            <v>8</v>
          </cell>
          <cell r="L758">
            <v>7</v>
          </cell>
          <cell r="M758">
            <v>0</v>
          </cell>
          <cell r="N758">
            <v>1</v>
          </cell>
          <cell r="O758">
            <v>0</v>
          </cell>
          <cell r="P758">
            <v>0</v>
          </cell>
          <cell r="Q758">
            <v>1</v>
          </cell>
          <cell r="R758">
            <v>0</v>
          </cell>
          <cell r="S758">
            <v>0</v>
          </cell>
          <cell r="T758">
            <v>0</v>
          </cell>
          <cell r="U758">
            <v>0</v>
          </cell>
          <cell r="V758">
            <v>4</v>
          </cell>
          <cell r="W758">
            <v>0</v>
          </cell>
          <cell r="X758">
            <v>0</v>
          </cell>
          <cell r="Y758">
            <v>0</v>
          </cell>
          <cell r="Z758">
            <v>0</v>
          </cell>
          <cell r="AA758">
            <v>12</v>
          </cell>
          <cell r="AB758">
            <v>0.9</v>
          </cell>
          <cell r="AC758">
            <v>0.875</v>
          </cell>
          <cell r="AD758">
            <v>24</v>
          </cell>
        </row>
        <row r="759">
          <cell r="A759">
            <v>34</v>
          </cell>
          <cell r="B759">
            <v>4</v>
          </cell>
          <cell r="C759">
            <v>4</v>
          </cell>
          <cell r="D759">
            <v>9725</v>
          </cell>
          <cell r="E759">
            <v>0</v>
          </cell>
          <cell r="F759">
            <v>11</v>
          </cell>
          <cell r="G759">
            <v>3</v>
          </cell>
          <cell r="H759">
            <v>1</v>
          </cell>
          <cell r="I759">
            <v>16</v>
          </cell>
          <cell r="J759">
            <v>2</v>
          </cell>
          <cell r="K759">
            <v>15</v>
          </cell>
          <cell r="L759">
            <v>1</v>
          </cell>
          <cell r="M759">
            <v>0</v>
          </cell>
          <cell r="N759">
            <v>0</v>
          </cell>
          <cell r="O759">
            <v>0</v>
          </cell>
          <cell r="P759">
            <v>1</v>
          </cell>
          <cell r="Q759">
            <v>0</v>
          </cell>
          <cell r="R759">
            <v>0</v>
          </cell>
          <cell r="S759">
            <v>0</v>
          </cell>
          <cell r="T759">
            <v>0</v>
          </cell>
          <cell r="U759">
            <v>4</v>
          </cell>
          <cell r="V759">
            <v>0</v>
          </cell>
          <cell r="W759">
            <v>0</v>
          </cell>
          <cell r="X759">
            <v>0</v>
          </cell>
          <cell r="Y759">
            <v>0</v>
          </cell>
          <cell r="Z759">
            <v>0</v>
          </cell>
          <cell r="AA759">
            <v>8</v>
          </cell>
          <cell r="AB759">
            <v>0</v>
          </cell>
          <cell r="AC759">
            <v>6.6666666666666666E-2</v>
          </cell>
          <cell r="AD759">
            <v>32</v>
          </cell>
        </row>
        <row r="760">
          <cell r="A760">
            <v>59</v>
          </cell>
          <cell r="B760">
            <v>2</v>
          </cell>
          <cell r="C760">
            <v>3</v>
          </cell>
          <cell r="D760">
            <v>11904</v>
          </cell>
          <cell r="E760">
            <v>3</v>
          </cell>
          <cell r="F760">
            <v>14</v>
          </cell>
          <cell r="G760">
            <v>3</v>
          </cell>
          <cell r="H760">
            <v>1</v>
          </cell>
          <cell r="I760">
            <v>14</v>
          </cell>
          <cell r="J760">
            <v>1</v>
          </cell>
          <cell r="K760">
            <v>6</v>
          </cell>
          <cell r="L760">
            <v>4</v>
          </cell>
          <cell r="M760">
            <v>1</v>
          </cell>
          <cell r="N760">
            <v>0</v>
          </cell>
          <cell r="O760">
            <v>0</v>
          </cell>
          <cell r="P760">
            <v>0</v>
          </cell>
          <cell r="Q760">
            <v>0</v>
          </cell>
          <cell r="R760">
            <v>0</v>
          </cell>
          <cell r="S760">
            <v>1</v>
          </cell>
          <cell r="T760">
            <v>0</v>
          </cell>
          <cell r="U760">
            <v>0</v>
          </cell>
          <cell r="V760">
            <v>0</v>
          </cell>
          <cell r="W760">
            <v>0</v>
          </cell>
          <cell r="X760">
            <v>2</v>
          </cell>
          <cell r="Y760">
            <v>0</v>
          </cell>
          <cell r="Z760">
            <v>1</v>
          </cell>
          <cell r="AA760">
            <v>8</v>
          </cell>
          <cell r="AB760">
            <v>0.21428571428571427</v>
          </cell>
          <cell r="AC760">
            <v>0.66666666666666663</v>
          </cell>
          <cell r="AD760">
            <v>24</v>
          </cell>
        </row>
        <row r="761">
          <cell r="A761">
            <v>45</v>
          </cell>
          <cell r="B761">
            <v>4</v>
          </cell>
          <cell r="C761">
            <v>3</v>
          </cell>
          <cell r="D761">
            <v>2177</v>
          </cell>
          <cell r="E761">
            <v>1</v>
          </cell>
          <cell r="F761">
            <v>16</v>
          </cell>
          <cell r="G761">
            <v>3</v>
          </cell>
          <cell r="H761">
            <v>0</v>
          </cell>
          <cell r="I761">
            <v>6</v>
          </cell>
          <cell r="J761">
            <v>3</v>
          </cell>
          <cell r="K761">
            <v>6</v>
          </cell>
          <cell r="L761">
            <v>3</v>
          </cell>
          <cell r="M761">
            <v>0</v>
          </cell>
          <cell r="N761">
            <v>0</v>
          </cell>
          <cell r="O761">
            <v>0</v>
          </cell>
          <cell r="P761">
            <v>0</v>
          </cell>
          <cell r="Q761">
            <v>1</v>
          </cell>
          <cell r="R761">
            <v>0</v>
          </cell>
          <cell r="S761">
            <v>0</v>
          </cell>
          <cell r="T761">
            <v>0</v>
          </cell>
          <cell r="U761">
            <v>0</v>
          </cell>
          <cell r="V761">
            <v>4</v>
          </cell>
          <cell r="W761">
            <v>0</v>
          </cell>
          <cell r="X761">
            <v>0</v>
          </cell>
          <cell r="Y761">
            <v>0</v>
          </cell>
          <cell r="Z761">
            <v>0</v>
          </cell>
          <cell r="AA761">
            <v>4</v>
          </cell>
          <cell r="AB761">
            <v>0.16666666666666666</v>
          </cell>
          <cell r="AC761">
            <v>0.5</v>
          </cell>
          <cell r="AD761">
            <v>4</v>
          </cell>
        </row>
        <row r="762">
          <cell r="A762">
            <v>53</v>
          </cell>
          <cell r="B762">
            <v>3</v>
          </cell>
          <cell r="C762">
            <v>2</v>
          </cell>
          <cell r="D762">
            <v>7525</v>
          </cell>
          <cell r="E762">
            <v>2</v>
          </cell>
          <cell r="F762">
            <v>12</v>
          </cell>
          <cell r="G762">
            <v>3</v>
          </cell>
          <cell r="H762">
            <v>1</v>
          </cell>
          <cell r="I762">
            <v>30</v>
          </cell>
          <cell r="J762">
            <v>2</v>
          </cell>
          <cell r="K762">
            <v>15</v>
          </cell>
          <cell r="L762">
            <v>7</v>
          </cell>
          <cell r="M762">
            <v>0</v>
          </cell>
          <cell r="N762">
            <v>1</v>
          </cell>
          <cell r="O762">
            <v>0</v>
          </cell>
          <cell r="P762">
            <v>1</v>
          </cell>
          <cell r="Q762">
            <v>0</v>
          </cell>
          <cell r="R762">
            <v>0</v>
          </cell>
          <cell r="S762">
            <v>0</v>
          </cell>
          <cell r="T762">
            <v>0</v>
          </cell>
          <cell r="U762">
            <v>3</v>
          </cell>
          <cell r="V762">
            <v>0</v>
          </cell>
          <cell r="W762">
            <v>0</v>
          </cell>
          <cell r="X762">
            <v>0</v>
          </cell>
          <cell r="Y762">
            <v>1</v>
          </cell>
          <cell r="Z762">
            <v>0</v>
          </cell>
          <cell r="AA762">
            <v>6</v>
          </cell>
          <cell r="AB762">
            <v>6.6666666666666666E-2</v>
          </cell>
          <cell r="AC762">
            <v>0.46666666666666667</v>
          </cell>
          <cell r="AD762">
            <v>6</v>
          </cell>
        </row>
        <row r="763">
          <cell r="A763">
            <v>36</v>
          </cell>
          <cell r="B763">
            <v>3</v>
          </cell>
          <cell r="C763">
            <v>3</v>
          </cell>
          <cell r="D763">
            <v>4834</v>
          </cell>
          <cell r="E763">
            <v>7</v>
          </cell>
          <cell r="F763">
            <v>14</v>
          </cell>
          <cell r="G763">
            <v>3</v>
          </cell>
          <cell r="H763">
            <v>1</v>
          </cell>
          <cell r="I763">
            <v>9</v>
          </cell>
          <cell r="J763">
            <v>3</v>
          </cell>
          <cell r="K763">
            <v>1</v>
          </cell>
          <cell r="L763">
            <v>0</v>
          </cell>
          <cell r="M763">
            <v>0</v>
          </cell>
          <cell r="N763">
            <v>0</v>
          </cell>
          <cell r="O763">
            <v>0</v>
          </cell>
          <cell r="P763">
            <v>0</v>
          </cell>
          <cell r="Q763">
            <v>0</v>
          </cell>
          <cell r="R763">
            <v>1</v>
          </cell>
          <cell r="S763">
            <v>0</v>
          </cell>
          <cell r="T763">
            <v>0</v>
          </cell>
          <cell r="U763">
            <v>0</v>
          </cell>
          <cell r="V763">
            <v>0</v>
          </cell>
          <cell r="W763">
            <v>3</v>
          </cell>
          <cell r="X763">
            <v>0</v>
          </cell>
          <cell r="Y763">
            <v>0</v>
          </cell>
          <cell r="Z763">
            <v>0</v>
          </cell>
          <cell r="AA763">
            <v>3</v>
          </cell>
          <cell r="AB763">
            <v>0.77777777777777779</v>
          </cell>
          <cell r="AC763">
            <v>0</v>
          </cell>
          <cell r="AD763">
            <v>6</v>
          </cell>
        </row>
        <row r="764">
          <cell r="A764">
            <v>26</v>
          </cell>
          <cell r="B764">
            <v>3</v>
          </cell>
          <cell r="C764">
            <v>3</v>
          </cell>
          <cell r="D764">
            <v>2042</v>
          </cell>
          <cell r="E764">
            <v>6</v>
          </cell>
          <cell r="F764">
            <v>14</v>
          </cell>
          <cell r="G764">
            <v>3</v>
          </cell>
          <cell r="H764">
            <v>1</v>
          </cell>
          <cell r="I764">
            <v>6</v>
          </cell>
          <cell r="J764">
            <v>2</v>
          </cell>
          <cell r="K764">
            <v>3</v>
          </cell>
          <cell r="L764">
            <v>2</v>
          </cell>
          <cell r="M764">
            <v>1</v>
          </cell>
          <cell r="N764">
            <v>0</v>
          </cell>
          <cell r="O764">
            <v>1</v>
          </cell>
          <cell r="P764">
            <v>0</v>
          </cell>
          <cell r="Q764">
            <v>0</v>
          </cell>
          <cell r="R764">
            <v>0</v>
          </cell>
          <cell r="S764">
            <v>0</v>
          </cell>
          <cell r="T764">
            <v>3</v>
          </cell>
          <cell r="U764">
            <v>0</v>
          </cell>
          <cell r="V764">
            <v>0</v>
          </cell>
          <cell r="W764">
            <v>0</v>
          </cell>
          <cell r="X764">
            <v>0</v>
          </cell>
          <cell r="Y764">
            <v>1</v>
          </cell>
          <cell r="Z764">
            <v>1</v>
          </cell>
          <cell r="AA764">
            <v>1</v>
          </cell>
          <cell r="AB764">
            <v>1</v>
          </cell>
          <cell r="AC764">
            <v>0.66666666666666663</v>
          </cell>
          <cell r="AD764">
            <v>2</v>
          </cell>
        </row>
        <row r="765">
          <cell r="A765">
            <v>34</v>
          </cell>
          <cell r="B765">
            <v>4</v>
          </cell>
          <cell r="C765">
            <v>3</v>
          </cell>
          <cell r="D765">
            <v>2220</v>
          </cell>
          <cell r="E765">
            <v>1</v>
          </cell>
          <cell r="F765">
            <v>19</v>
          </cell>
          <cell r="G765">
            <v>3</v>
          </cell>
          <cell r="H765">
            <v>1</v>
          </cell>
          <cell r="I765">
            <v>1</v>
          </cell>
          <cell r="J765">
            <v>2</v>
          </cell>
          <cell r="K765">
            <v>1</v>
          </cell>
          <cell r="L765">
            <v>1</v>
          </cell>
          <cell r="M765">
            <v>1</v>
          </cell>
          <cell r="N765">
            <v>1</v>
          </cell>
          <cell r="O765">
            <v>1</v>
          </cell>
          <cell r="P765">
            <v>0</v>
          </cell>
          <cell r="Q765">
            <v>0</v>
          </cell>
          <cell r="R765">
            <v>0</v>
          </cell>
          <cell r="S765">
            <v>0</v>
          </cell>
          <cell r="T765">
            <v>4</v>
          </cell>
          <cell r="U765">
            <v>0</v>
          </cell>
          <cell r="V765">
            <v>0</v>
          </cell>
          <cell r="W765">
            <v>0</v>
          </cell>
          <cell r="X765">
            <v>0</v>
          </cell>
          <cell r="Y765">
            <v>0</v>
          </cell>
          <cell r="Z765">
            <v>1</v>
          </cell>
          <cell r="AA765">
            <v>9</v>
          </cell>
          <cell r="AB765">
            <v>1</v>
          </cell>
          <cell r="AC765">
            <v>1</v>
          </cell>
          <cell r="AD765">
            <v>36</v>
          </cell>
        </row>
        <row r="766">
          <cell r="A766">
            <v>28</v>
          </cell>
          <cell r="B766">
            <v>1</v>
          </cell>
          <cell r="C766">
            <v>3</v>
          </cell>
          <cell r="D766">
            <v>1052</v>
          </cell>
          <cell r="E766">
            <v>1</v>
          </cell>
          <cell r="F766">
            <v>22</v>
          </cell>
          <cell r="G766">
            <v>4</v>
          </cell>
          <cell r="H766">
            <v>0</v>
          </cell>
          <cell r="I766">
            <v>1</v>
          </cell>
          <cell r="J766">
            <v>5</v>
          </cell>
          <cell r="K766">
            <v>1</v>
          </cell>
          <cell r="L766">
            <v>0</v>
          </cell>
          <cell r="M766">
            <v>0</v>
          </cell>
          <cell r="N766">
            <v>0</v>
          </cell>
          <cell r="O766">
            <v>0</v>
          </cell>
          <cell r="P766">
            <v>0</v>
          </cell>
          <cell r="Q766">
            <v>1</v>
          </cell>
          <cell r="R766">
            <v>0</v>
          </cell>
          <cell r="S766">
            <v>0</v>
          </cell>
          <cell r="T766">
            <v>0</v>
          </cell>
          <cell r="U766">
            <v>0</v>
          </cell>
          <cell r="V766">
            <v>1</v>
          </cell>
          <cell r="W766">
            <v>0</v>
          </cell>
          <cell r="X766">
            <v>0</v>
          </cell>
          <cell r="Y766">
            <v>0</v>
          </cell>
          <cell r="Z766">
            <v>0</v>
          </cell>
          <cell r="AA766">
            <v>8</v>
          </cell>
          <cell r="AB766">
            <v>1</v>
          </cell>
          <cell r="AC766">
            <v>0</v>
          </cell>
          <cell r="AD766">
            <v>16</v>
          </cell>
        </row>
        <row r="767">
          <cell r="A767">
            <v>38</v>
          </cell>
          <cell r="B767">
            <v>4</v>
          </cell>
          <cell r="C767">
            <v>3</v>
          </cell>
          <cell r="D767">
            <v>2821</v>
          </cell>
          <cell r="E767">
            <v>3</v>
          </cell>
          <cell r="F767">
            <v>16</v>
          </cell>
          <cell r="G767">
            <v>3</v>
          </cell>
          <cell r="H767">
            <v>1</v>
          </cell>
          <cell r="I767">
            <v>8</v>
          </cell>
          <cell r="J767">
            <v>2</v>
          </cell>
          <cell r="K767">
            <v>2</v>
          </cell>
          <cell r="L767">
            <v>2</v>
          </cell>
          <cell r="M767">
            <v>0</v>
          </cell>
          <cell r="N767">
            <v>0</v>
          </cell>
          <cell r="O767">
            <v>0</v>
          </cell>
          <cell r="P767">
            <v>0</v>
          </cell>
          <cell r="Q767">
            <v>0</v>
          </cell>
          <cell r="R767">
            <v>1</v>
          </cell>
          <cell r="S767">
            <v>0</v>
          </cell>
          <cell r="T767">
            <v>0</v>
          </cell>
          <cell r="U767">
            <v>0</v>
          </cell>
          <cell r="V767">
            <v>0</v>
          </cell>
          <cell r="W767">
            <v>4</v>
          </cell>
          <cell r="X767">
            <v>0</v>
          </cell>
          <cell r="Y767">
            <v>1</v>
          </cell>
          <cell r="Z767">
            <v>0</v>
          </cell>
          <cell r="AA767">
            <v>9</v>
          </cell>
          <cell r="AB767">
            <v>0.375</v>
          </cell>
          <cell r="AC767">
            <v>1</v>
          </cell>
          <cell r="AD767">
            <v>9</v>
          </cell>
        </row>
        <row r="768">
          <cell r="A768">
            <v>50</v>
          </cell>
          <cell r="B768">
            <v>4</v>
          </cell>
          <cell r="C768">
            <v>3</v>
          </cell>
          <cell r="D768">
            <v>19237</v>
          </cell>
          <cell r="E768">
            <v>2</v>
          </cell>
          <cell r="F768">
            <v>11</v>
          </cell>
          <cell r="G768">
            <v>3</v>
          </cell>
          <cell r="H768">
            <v>1</v>
          </cell>
          <cell r="I768">
            <v>29</v>
          </cell>
          <cell r="J768">
            <v>2</v>
          </cell>
          <cell r="K768">
            <v>8</v>
          </cell>
          <cell r="L768">
            <v>1</v>
          </cell>
          <cell r="M768">
            <v>1</v>
          </cell>
          <cell r="N768">
            <v>0</v>
          </cell>
          <cell r="O768">
            <v>0</v>
          </cell>
          <cell r="P768">
            <v>0</v>
          </cell>
          <cell r="Q768">
            <v>1</v>
          </cell>
          <cell r="R768">
            <v>0</v>
          </cell>
          <cell r="S768">
            <v>0</v>
          </cell>
          <cell r="T768">
            <v>0</v>
          </cell>
          <cell r="U768">
            <v>0</v>
          </cell>
          <cell r="V768">
            <v>4</v>
          </cell>
          <cell r="W768">
            <v>0</v>
          </cell>
          <cell r="X768">
            <v>0</v>
          </cell>
          <cell r="Y768">
            <v>0</v>
          </cell>
          <cell r="Z768">
            <v>1</v>
          </cell>
          <cell r="AA768">
            <v>6</v>
          </cell>
          <cell r="AB768">
            <v>6.8965517241379309E-2</v>
          </cell>
          <cell r="AC768">
            <v>0.125</v>
          </cell>
          <cell r="AD768">
            <v>24</v>
          </cell>
        </row>
        <row r="769">
          <cell r="A769">
            <v>37</v>
          </cell>
          <cell r="B769">
            <v>3</v>
          </cell>
          <cell r="C769">
            <v>3</v>
          </cell>
          <cell r="D769">
            <v>4107</v>
          </cell>
          <cell r="E769">
            <v>3</v>
          </cell>
          <cell r="F769">
            <v>15</v>
          </cell>
          <cell r="G769">
            <v>3</v>
          </cell>
          <cell r="H769">
            <v>0</v>
          </cell>
          <cell r="I769">
            <v>8</v>
          </cell>
          <cell r="J769">
            <v>3</v>
          </cell>
          <cell r="K769">
            <v>4</v>
          </cell>
          <cell r="L769">
            <v>3</v>
          </cell>
          <cell r="M769">
            <v>0</v>
          </cell>
          <cell r="N769">
            <v>1</v>
          </cell>
          <cell r="O769">
            <v>0</v>
          </cell>
          <cell r="P769">
            <v>0</v>
          </cell>
          <cell r="Q769">
            <v>0</v>
          </cell>
          <cell r="R769">
            <v>1</v>
          </cell>
          <cell r="S769">
            <v>0</v>
          </cell>
          <cell r="T769">
            <v>0</v>
          </cell>
          <cell r="U769">
            <v>0</v>
          </cell>
          <cell r="V769">
            <v>0</v>
          </cell>
          <cell r="W769">
            <v>3</v>
          </cell>
          <cell r="X769">
            <v>0</v>
          </cell>
          <cell r="Y769">
            <v>0</v>
          </cell>
          <cell r="Z769">
            <v>0</v>
          </cell>
          <cell r="AA769">
            <v>8</v>
          </cell>
          <cell r="AB769">
            <v>0.375</v>
          </cell>
          <cell r="AC769">
            <v>0.75</v>
          </cell>
          <cell r="AD769">
            <v>8</v>
          </cell>
        </row>
        <row r="770">
          <cell r="A770">
            <v>40</v>
          </cell>
          <cell r="B770">
            <v>3</v>
          </cell>
          <cell r="C770">
            <v>3</v>
          </cell>
          <cell r="D770">
            <v>8396</v>
          </cell>
          <cell r="E770">
            <v>1</v>
          </cell>
          <cell r="F770">
            <v>14</v>
          </cell>
          <cell r="G770">
            <v>3</v>
          </cell>
          <cell r="H770">
            <v>1</v>
          </cell>
          <cell r="I770">
            <v>8</v>
          </cell>
          <cell r="J770">
            <v>3</v>
          </cell>
          <cell r="K770">
            <v>7</v>
          </cell>
          <cell r="L770">
            <v>7</v>
          </cell>
          <cell r="M770">
            <v>0</v>
          </cell>
          <cell r="N770">
            <v>0</v>
          </cell>
          <cell r="O770">
            <v>0</v>
          </cell>
          <cell r="P770">
            <v>1</v>
          </cell>
          <cell r="Q770">
            <v>0</v>
          </cell>
          <cell r="R770">
            <v>0</v>
          </cell>
          <cell r="S770">
            <v>0</v>
          </cell>
          <cell r="T770">
            <v>0</v>
          </cell>
          <cell r="U770">
            <v>3</v>
          </cell>
          <cell r="V770">
            <v>0</v>
          </cell>
          <cell r="W770">
            <v>0</v>
          </cell>
          <cell r="X770">
            <v>0</v>
          </cell>
          <cell r="Y770">
            <v>0</v>
          </cell>
          <cell r="Z770">
            <v>0</v>
          </cell>
          <cell r="AA770">
            <v>3</v>
          </cell>
          <cell r="AB770">
            <v>0.125</v>
          </cell>
          <cell r="AC770">
            <v>1</v>
          </cell>
          <cell r="AD770">
            <v>6</v>
          </cell>
        </row>
        <row r="771">
          <cell r="A771">
            <v>26</v>
          </cell>
          <cell r="B771">
            <v>1</v>
          </cell>
          <cell r="C771">
            <v>2</v>
          </cell>
          <cell r="D771">
            <v>2007</v>
          </cell>
          <cell r="E771">
            <v>1</v>
          </cell>
          <cell r="F771">
            <v>13</v>
          </cell>
          <cell r="G771">
            <v>3</v>
          </cell>
          <cell r="H771">
            <v>2</v>
          </cell>
          <cell r="I771">
            <v>5</v>
          </cell>
          <cell r="J771">
            <v>5</v>
          </cell>
          <cell r="K771">
            <v>5</v>
          </cell>
          <cell r="L771">
            <v>3</v>
          </cell>
          <cell r="M771">
            <v>0</v>
          </cell>
          <cell r="N771">
            <v>1</v>
          </cell>
          <cell r="O771">
            <v>0</v>
          </cell>
          <cell r="P771">
            <v>0</v>
          </cell>
          <cell r="Q771">
            <v>1</v>
          </cell>
          <cell r="R771">
            <v>0</v>
          </cell>
          <cell r="S771">
            <v>0</v>
          </cell>
          <cell r="T771">
            <v>0</v>
          </cell>
          <cell r="U771">
            <v>0</v>
          </cell>
          <cell r="V771">
            <v>1</v>
          </cell>
          <cell r="W771">
            <v>0</v>
          </cell>
          <cell r="X771">
            <v>0</v>
          </cell>
          <cell r="Y771">
            <v>0</v>
          </cell>
          <cell r="Z771">
            <v>0</v>
          </cell>
          <cell r="AA771">
            <v>3</v>
          </cell>
          <cell r="AB771">
            <v>0.2</v>
          </cell>
          <cell r="AC771">
            <v>0.6</v>
          </cell>
          <cell r="AD771">
            <v>9</v>
          </cell>
        </row>
        <row r="772">
          <cell r="A772">
            <v>46</v>
          </cell>
          <cell r="B772">
            <v>4</v>
          </cell>
          <cell r="C772">
            <v>3</v>
          </cell>
          <cell r="D772">
            <v>19627</v>
          </cell>
          <cell r="E772">
            <v>9</v>
          </cell>
          <cell r="F772">
            <v>17</v>
          </cell>
          <cell r="G772">
            <v>3</v>
          </cell>
          <cell r="H772">
            <v>2</v>
          </cell>
          <cell r="I772">
            <v>23</v>
          </cell>
          <cell r="J772">
            <v>0</v>
          </cell>
          <cell r="K772">
            <v>2</v>
          </cell>
          <cell r="L772">
            <v>2</v>
          </cell>
          <cell r="M772">
            <v>0</v>
          </cell>
          <cell r="N772">
            <v>0</v>
          </cell>
          <cell r="O772">
            <v>0</v>
          </cell>
          <cell r="P772">
            <v>0</v>
          </cell>
          <cell r="Q772">
            <v>1</v>
          </cell>
          <cell r="R772">
            <v>0</v>
          </cell>
          <cell r="S772">
            <v>0</v>
          </cell>
          <cell r="T772">
            <v>0</v>
          </cell>
          <cell r="U772">
            <v>0</v>
          </cell>
          <cell r="V772">
            <v>4</v>
          </cell>
          <cell r="W772">
            <v>0</v>
          </cell>
          <cell r="X772">
            <v>0</v>
          </cell>
          <cell r="Y772">
            <v>0</v>
          </cell>
          <cell r="Z772">
            <v>0</v>
          </cell>
          <cell r="AA772">
            <v>16</v>
          </cell>
          <cell r="AB772">
            <v>0.39130434782608697</v>
          </cell>
          <cell r="AC772">
            <v>1</v>
          </cell>
          <cell r="AD772">
            <v>64</v>
          </cell>
        </row>
        <row r="773">
          <cell r="A773">
            <v>54</v>
          </cell>
          <cell r="B773">
            <v>4</v>
          </cell>
          <cell r="C773">
            <v>2</v>
          </cell>
          <cell r="D773">
            <v>10686</v>
          </cell>
          <cell r="E773">
            <v>6</v>
          </cell>
          <cell r="F773">
            <v>11</v>
          </cell>
          <cell r="G773">
            <v>3</v>
          </cell>
          <cell r="H773">
            <v>1</v>
          </cell>
          <cell r="I773">
            <v>13</v>
          </cell>
          <cell r="J773">
            <v>4</v>
          </cell>
          <cell r="K773">
            <v>9</v>
          </cell>
          <cell r="L773">
            <v>4</v>
          </cell>
          <cell r="M773">
            <v>0</v>
          </cell>
          <cell r="N773">
            <v>1</v>
          </cell>
          <cell r="O773">
            <v>1</v>
          </cell>
          <cell r="P773">
            <v>0</v>
          </cell>
          <cell r="Q773">
            <v>0</v>
          </cell>
          <cell r="R773">
            <v>0</v>
          </cell>
          <cell r="S773">
            <v>0</v>
          </cell>
          <cell r="T773">
            <v>4</v>
          </cell>
          <cell r="U773">
            <v>0</v>
          </cell>
          <cell r="V773">
            <v>0</v>
          </cell>
          <cell r="W773">
            <v>0</v>
          </cell>
          <cell r="X773">
            <v>0</v>
          </cell>
          <cell r="Y773">
            <v>0</v>
          </cell>
          <cell r="Z773">
            <v>0</v>
          </cell>
          <cell r="AA773">
            <v>9</v>
          </cell>
          <cell r="AB773">
            <v>0.46153846153846156</v>
          </cell>
          <cell r="AC773">
            <v>0.44444444444444442</v>
          </cell>
          <cell r="AD773">
            <v>18</v>
          </cell>
        </row>
        <row r="774">
          <cell r="A774">
            <v>56</v>
          </cell>
          <cell r="B774">
            <v>3</v>
          </cell>
          <cell r="C774">
            <v>3</v>
          </cell>
          <cell r="D774">
            <v>2942</v>
          </cell>
          <cell r="E774">
            <v>2</v>
          </cell>
          <cell r="F774">
            <v>19</v>
          </cell>
          <cell r="G774">
            <v>3</v>
          </cell>
          <cell r="H774">
            <v>1</v>
          </cell>
          <cell r="I774">
            <v>18</v>
          </cell>
          <cell r="J774">
            <v>4</v>
          </cell>
          <cell r="K774">
            <v>5</v>
          </cell>
          <cell r="L774">
            <v>4</v>
          </cell>
          <cell r="M774">
            <v>0</v>
          </cell>
          <cell r="N774">
            <v>1</v>
          </cell>
          <cell r="O774">
            <v>0</v>
          </cell>
          <cell r="P774">
            <v>0</v>
          </cell>
          <cell r="Q774">
            <v>1</v>
          </cell>
          <cell r="R774">
            <v>0</v>
          </cell>
          <cell r="S774">
            <v>0</v>
          </cell>
          <cell r="T774">
            <v>0</v>
          </cell>
          <cell r="U774">
            <v>0</v>
          </cell>
          <cell r="V774">
            <v>3</v>
          </cell>
          <cell r="W774">
            <v>0</v>
          </cell>
          <cell r="X774">
            <v>0</v>
          </cell>
          <cell r="Y774">
            <v>1</v>
          </cell>
          <cell r="Z774">
            <v>0</v>
          </cell>
          <cell r="AA774">
            <v>3</v>
          </cell>
          <cell r="AB774">
            <v>0.1111111111111111</v>
          </cell>
          <cell r="AC774">
            <v>0.8</v>
          </cell>
          <cell r="AD774">
            <v>6</v>
          </cell>
        </row>
        <row r="775">
          <cell r="A775">
            <v>36</v>
          </cell>
          <cell r="B775">
            <v>5</v>
          </cell>
          <cell r="C775">
            <v>2</v>
          </cell>
          <cell r="D775">
            <v>8858</v>
          </cell>
          <cell r="E775">
            <v>0</v>
          </cell>
          <cell r="F775">
            <v>11</v>
          </cell>
          <cell r="G775">
            <v>3</v>
          </cell>
          <cell r="H775">
            <v>0</v>
          </cell>
          <cell r="I775">
            <v>15</v>
          </cell>
          <cell r="J775">
            <v>2</v>
          </cell>
          <cell r="K775">
            <v>14</v>
          </cell>
          <cell r="L775">
            <v>8</v>
          </cell>
          <cell r="M775">
            <v>0</v>
          </cell>
          <cell r="N775">
            <v>1</v>
          </cell>
          <cell r="O775">
            <v>0</v>
          </cell>
          <cell r="P775">
            <v>0</v>
          </cell>
          <cell r="Q775">
            <v>1</v>
          </cell>
          <cell r="R775">
            <v>0</v>
          </cell>
          <cell r="S775">
            <v>0</v>
          </cell>
          <cell r="T775">
            <v>0</v>
          </cell>
          <cell r="U775">
            <v>0</v>
          </cell>
          <cell r="V775">
            <v>5</v>
          </cell>
          <cell r="W775">
            <v>0</v>
          </cell>
          <cell r="X775">
            <v>0</v>
          </cell>
          <cell r="Y775">
            <v>0</v>
          </cell>
          <cell r="Z775">
            <v>0</v>
          </cell>
          <cell r="AA775">
            <v>16</v>
          </cell>
          <cell r="AB775">
            <v>0</v>
          </cell>
          <cell r="AC775">
            <v>0.5714285714285714</v>
          </cell>
          <cell r="AD775">
            <v>32</v>
          </cell>
        </row>
        <row r="776">
          <cell r="A776">
            <v>55</v>
          </cell>
          <cell r="B776">
            <v>1</v>
          </cell>
          <cell r="C776">
            <v>2</v>
          </cell>
          <cell r="D776">
            <v>16756</v>
          </cell>
          <cell r="E776">
            <v>7</v>
          </cell>
          <cell r="F776">
            <v>15</v>
          </cell>
          <cell r="G776">
            <v>3</v>
          </cell>
          <cell r="H776">
            <v>0</v>
          </cell>
          <cell r="I776">
            <v>31</v>
          </cell>
          <cell r="J776">
            <v>3</v>
          </cell>
          <cell r="K776">
            <v>9</v>
          </cell>
          <cell r="L776">
            <v>7</v>
          </cell>
          <cell r="M776">
            <v>0</v>
          </cell>
          <cell r="N776">
            <v>0</v>
          </cell>
          <cell r="O776">
            <v>0</v>
          </cell>
          <cell r="P776">
            <v>0</v>
          </cell>
          <cell r="Q776">
            <v>1</v>
          </cell>
          <cell r="R776">
            <v>0</v>
          </cell>
          <cell r="S776">
            <v>0</v>
          </cell>
          <cell r="T776">
            <v>0</v>
          </cell>
          <cell r="U776">
            <v>0</v>
          </cell>
          <cell r="V776">
            <v>1</v>
          </cell>
          <cell r="W776">
            <v>0</v>
          </cell>
          <cell r="X776">
            <v>0</v>
          </cell>
          <cell r="Y776">
            <v>0</v>
          </cell>
          <cell r="Z776">
            <v>0</v>
          </cell>
          <cell r="AA776">
            <v>3</v>
          </cell>
          <cell r="AB776">
            <v>0.22580645161290322</v>
          </cell>
          <cell r="AC776">
            <v>0.77777777777777779</v>
          </cell>
          <cell r="AD776">
            <v>6</v>
          </cell>
        </row>
        <row r="777">
          <cell r="A777">
            <v>43</v>
          </cell>
          <cell r="B777">
            <v>3</v>
          </cell>
          <cell r="C777">
            <v>2</v>
          </cell>
          <cell r="D777">
            <v>10798</v>
          </cell>
          <cell r="E777">
            <v>5</v>
          </cell>
          <cell r="F777">
            <v>13</v>
          </cell>
          <cell r="G777">
            <v>3</v>
          </cell>
          <cell r="H777">
            <v>1</v>
          </cell>
          <cell r="I777">
            <v>18</v>
          </cell>
          <cell r="J777">
            <v>5</v>
          </cell>
          <cell r="K777">
            <v>1</v>
          </cell>
          <cell r="L777">
            <v>0</v>
          </cell>
          <cell r="M777">
            <v>0</v>
          </cell>
          <cell r="N777">
            <v>0</v>
          </cell>
          <cell r="O777">
            <v>0</v>
          </cell>
          <cell r="P777">
            <v>0</v>
          </cell>
          <cell r="Q777">
            <v>1</v>
          </cell>
          <cell r="R777">
            <v>0</v>
          </cell>
          <cell r="S777">
            <v>0</v>
          </cell>
          <cell r="T777">
            <v>0</v>
          </cell>
          <cell r="U777">
            <v>0</v>
          </cell>
          <cell r="V777">
            <v>3</v>
          </cell>
          <cell r="W777">
            <v>0</v>
          </cell>
          <cell r="X777">
            <v>0</v>
          </cell>
          <cell r="Y777">
            <v>0</v>
          </cell>
          <cell r="Z777">
            <v>0</v>
          </cell>
          <cell r="AA777">
            <v>12</v>
          </cell>
          <cell r="AB777">
            <v>0.27777777777777779</v>
          </cell>
          <cell r="AC777">
            <v>0</v>
          </cell>
          <cell r="AD777">
            <v>36</v>
          </cell>
        </row>
        <row r="778">
          <cell r="A778">
            <v>20</v>
          </cell>
          <cell r="B778">
            <v>3</v>
          </cell>
          <cell r="C778">
            <v>3</v>
          </cell>
          <cell r="D778">
            <v>2323</v>
          </cell>
          <cell r="E778">
            <v>1</v>
          </cell>
          <cell r="F778">
            <v>14</v>
          </cell>
          <cell r="G778">
            <v>3</v>
          </cell>
          <cell r="H778">
            <v>0</v>
          </cell>
          <cell r="I778">
            <v>2</v>
          </cell>
          <cell r="J778">
            <v>3</v>
          </cell>
          <cell r="K778">
            <v>2</v>
          </cell>
          <cell r="L778">
            <v>2</v>
          </cell>
          <cell r="M778">
            <v>1</v>
          </cell>
          <cell r="N778">
            <v>1</v>
          </cell>
          <cell r="O778">
            <v>0</v>
          </cell>
          <cell r="P778">
            <v>1</v>
          </cell>
          <cell r="Q778">
            <v>0</v>
          </cell>
          <cell r="R778">
            <v>0</v>
          </cell>
          <cell r="S778">
            <v>0</v>
          </cell>
          <cell r="T778">
            <v>0</v>
          </cell>
          <cell r="U778">
            <v>3</v>
          </cell>
          <cell r="V778">
            <v>0</v>
          </cell>
          <cell r="W778">
            <v>0</v>
          </cell>
          <cell r="X778">
            <v>0</v>
          </cell>
          <cell r="Y778">
            <v>0</v>
          </cell>
          <cell r="Z778">
            <v>0</v>
          </cell>
          <cell r="AA778">
            <v>16</v>
          </cell>
          <cell r="AB778">
            <v>0.5</v>
          </cell>
          <cell r="AC778">
            <v>1</v>
          </cell>
          <cell r="AD778">
            <v>32</v>
          </cell>
        </row>
        <row r="779">
          <cell r="A779">
            <v>21</v>
          </cell>
          <cell r="B779">
            <v>3</v>
          </cell>
          <cell r="C779">
            <v>2</v>
          </cell>
          <cell r="D779">
            <v>1416</v>
          </cell>
          <cell r="E779">
            <v>1</v>
          </cell>
          <cell r="F779">
            <v>13</v>
          </cell>
          <cell r="G779">
            <v>3</v>
          </cell>
          <cell r="H779">
            <v>0</v>
          </cell>
          <cell r="I779">
            <v>1</v>
          </cell>
          <cell r="J779">
            <v>6</v>
          </cell>
          <cell r="K779">
            <v>1</v>
          </cell>
          <cell r="L779">
            <v>0</v>
          </cell>
          <cell r="M779">
            <v>0</v>
          </cell>
          <cell r="N779">
            <v>1</v>
          </cell>
          <cell r="O779">
            <v>1</v>
          </cell>
          <cell r="P779">
            <v>0</v>
          </cell>
          <cell r="Q779">
            <v>0</v>
          </cell>
          <cell r="R779">
            <v>0</v>
          </cell>
          <cell r="S779">
            <v>0</v>
          </cell>
          <cell r="T779">
            <v>3</v>
          </cell>
          <cell r="U779">
            <v>0</v>
          </cell>
          <cell r="V779">
            <v>0</v>
          </cell>
          <cell r="W779">
            <v>0</v>
          </cell>
          <cell r="X779">
            <v>0</v>
          </cell>
          <cell r="Y779">
            <v>0</v>
          </cell>
          <cell r="Z779">
            <v>0</v>
          </cell>
          <cell r="AA779">
            <v>3</v>
          </cell>
          <cell r="AB779">
            <v>1</v>
          </cell>
          <cell r="AC779">
            <v>0</v>
          </cell>
          <cell r="AD779">
            <v>3</v>
          </cell>
        </row>
        <row r="780">
          <cell r="A780">
            <v>46</v>
          </cell>
          <cell r="B780">
            <v>4</v>
          </cell>
          <cell r="C780">
            <v>2</v>
          </cell>
          <cell r="D780">
            <v>4615</v>
          </cell>
          <cell r="E780">
            <v>8</v>
          </cell>
          <cell r="F780">
            <v>23</v>
          </cell>
          <cell r="G780">
            <v>4</v>
          </cell>
          <cell r="H780">
            <v>3</v>
          </cell>
          <cell r="I780">
            <v>19</v>
          </cell>
          <cell r="J780">
            <v>2</v>
          </cell>
          <cell r="K780">
            <v>16</v>
          </cell>
          <cell r="L780">
            <v>13</v>
          </cell>
          <cell r="M780">
            <v>1</v>
          </cell>
          <cell r="N780">
            <v>1</v>
          </cell>
          <cell r="O780">
            <v>1</v>
          </cell>
          <cell r="P780">
            <v>0</v>
          </cell>
          <cell r="Q780">
            <v>0</v>
          </cell>
          <cell r="R780">
            <v>0</v>
          </cell>
          <cell r="S780">
            <v>0</v>
          </cell>
          <cell r="T780">
            <v>4</v>
          </cell>
          <cell r="U780">
            <v>0</v>
          </cell>
          <cell r="V780">
            <v>0</v>
          </cell>
          <cell r="W780">
            <v>0</v>
          </cell>
          <cell r="X780">
            <v>0</v>
          </cell>
          <cell r="Y780">
            <v>0</v>
          </cell>
          <cell r="Z780">
            <v>0</v>
          </cell>
          <cell r="AA780">
            <v>4</v>
          </cell>
          <cell r="AB780">
            <v>0.42105263157894735</v>
          </cell>
          <cell r="AC780">
            <v>0.8125</v>
          </cell>
          <cell r="AD780">
            <v>4</v>
          </cell>
        </row>
        <row r="781">
          <cell r="A781">
            <v>51</v>
          </cell>
          <cell r="B781">
            <v>4</v>
          </cell>
          <cell r="C781">
            <v>3</v>
          </cell>
          <cell r="D781">
            <v>2461</v>
          </cell>
          <cell r="E781">
            <v>9</v>
          </cell>
          <cell r="F781">
            <v>12</v>
          </cell>
          <cell r="G781">
            <v>3</v>
          </cell>
          <cell r="H781">
            <v>3</v>
          </cell>
          <cell r="I781">
            <v>18</v>
          </cell>
          <cell r="J781">
            <v>2</v>
          </cell>
          <cell r="K781">
            <v>10</v>
          </cell>
          <cell r="L781">
            <v>0</v>
          </cell>
          <cell r="M781">
            <v>1</v>
          </cell>
          <cell r="N781">
            <v>0</v>
          </cell>
          <cell r="O781">
            <v>1</v>
          </cell>
          <cell r="P781">
            <v>0</v>
          </cell>
          <cell r="Q781">
            <v>0</v>
          </cell>
          <cell r="R781">
            <v>0</v>
          </cell>
          <cell r="S781">
            <v>0</v>
          </cell>
          <cell r="T781">
            <v>4</v>
          </cell>
          <cell r="U781">
            <v>0</v>
          </cell>
          <cell r="V781">
            <v>0</v>
          </cell>
          <cell r="W781">
            <v>0</v>
          </cell>
          <cell r="X781">
            <v>0</v>
          </cell>
          <cell r="Y781">
            <v>0</v>
          </cell>
          <cell r="Z781">
            <v>1</v>
          </cell>
          <cell r="AA781">
            <v>3</v>
          </cell>
          <cell r="AB781">
            <v>0.5</v>
          </cell>
          <cell r="AC781">
            <v>0</v>
          </cell>
          <cell r="AD781">
            <v>9</v>
          </cell>
        </row>
        <row r="782">
          <cell r="A782">
            <v>28</v>
          </cell>
          <cell r="B782">
            <v>2</v>
          </cell>
          <cell r="C782">
            <v>2</v>
          </cell>
          <cell r="D782">
            <v>8722</v>
          </cell>
          <cell r="E782">
            <v>1</v>
          </cell>
          <cell r="F782">
            <v>12</v>
          </cell>
          <cell r="G782">
            <v>3</v>
          </cell>
          <cell r="H782">
            <v>0</v>
          </cell>
          <cell r="I782">
            <v>10</v>
          </cell>
          <cell r="J782">
            <v>2</v>
          </cell>
          <cell r="K782">
            <v>10</v>
          </cell>
          <cell r="L782">
            <v>7</v>
          </cell>
          <cell r="M782">
            <v>0</v>
          </cell>
          <cell r="N782">
            <v>0</v>
          </cell>
          <cell r="O782">
            <v>0</v>
          </cell>
          <cell r="P782">
            <v>0</v>
          </cell>
          <cell r="Q782">
            <v>0</v>
          </cell>
          <cell r="R782">
            <v>0</v>
          </cell>
          <cell r="S782">
            <v>1</v>
          </cell>
          <cell r="T782">
            <v>0</v>
          </cell>
          <cell r="U782">
            <v>0</v>
          </cell>
          <cell r="V782">
            <v>0</v>
          </cell>
          <cell r="W782">
            <v>0</v>
          </cell>
          <cell r="X782">
            <v>2</v>
          </cell>
          <cell r="Y782">
            <v>0</v>
          </cell>
          <cell r="Z782">
            <v>0</v>
          </cell>
          <cell r="AA782">
            <v>2</v>
          </cell>
          <cell r="AB782">
            <v>0.1</v>
          </cell>
          <cell r="AC782">
            <v>0.7</v>
          </cell>
          <cell r="AD782">
            <v>2</v>
          </cell>
        </row>
        <row r="783">
          <cell r="A783">
            <v>26</v>
          </cell>
          <cell r="B783">
            <v>2</v>
          </cell>
          <cell r="C783">
            <v>2</v>
          </cell>
          <cell r="D783">
            <v>3955</v>
          </cell>
          <cell r="E783">
            <v>1</v>
          </cell>
          <cell r="F783">
            <v>16</v>
          </cell>
          <cell r="G783">
            <v>3</v>
          </cell>
          <cell r="H783">
            <v>2</v>
          </cell>
          <cell r="I783">
            <v>6</v>
          </cell>
          <cell r="J783">
            <v>2</v>
          </cell>
          <cell r="K783">
            <v>5</v>
          </cell>
          <cell r="L783">
            <v>3</v>
          </cell>
          <cell r="M783">
            <v>0</v>
          </cell>
          <cell r="N783">
            <v>0</v>
          </cell>
          <cell r="O783">
            <v>0</v>
          </cell>
          <cell r="P783">
            <v>0</v>
          </cell>
          <cell r="Q783">
            <v>1</v>
          </cell>
          <cell r="R783">
            <v>0</v>
          </cell>
          <cell r="S783">
            <v>0</v>
          </cell>
          <cell r="T783">
            <v>0</v>
          </cell>
          <cell r="U783">
            <v>0</v>
          </cell>
          <cell r="V783">
            <v>2</v>
          </cell>
          <cell r="W783">
            <v>0</v>
          </cell>
          <cell r="X783">
            <v>0</v>
          </cell>
          <cell r="Y783">
            <v>0</v>
          </cell>
          <cell r="Z783">
            <v>0</v>
          </cell>
          <cell r="AA783">
            <v>1</v>
          </cell>
          <cell r="AB783">
            <v>0.16666666666666666</v>
          </cell>
          <cell r="AC783">
            <v>0.6</v>
          </cell>
          <cell r="AD783">
            <v>1</v>
          </cell>
        </row>
        <row r="784">
          <cell r="A784">
            <v>30</v>
          </cell>
          <cell r="B784">
            <v>3</v>
          </cell>
          <cell r="C784">
            <v>3</v>
          </cell>
          <cell r="D784">
            <v>9957</v>
          </cell>
          <cell r="E784">
            <v>0</v>
          </cell>
          <cell r="F784">
            <v>15</v>
          </cell>
          <cell r="G784">
            <v>3</v>
          </cell>
          <cell r="H784">
            <v>1</v>
          </cell>
          <cell r="I784">
            <v>7</v>
          </cell>
          <cell r="J784">
            <v>1</v>
          </cell>
          <cell r="K784">
            <v>6</v>
          </cell>
          <cell r="L784">
            <v>2</v>
          </cell>
          <cell r="M784">
            <v>0</v>
          </cell>
          <cell r="N784">
            <v>0</v>
          </cell>
          <cell r="O784">
            <v>0</v>
          </cell>
          <cell r="P784">
            <v>0</v>
          </cell>
          <cell r="Q784">
            <v>0</v>
          </cell>
          <cell r="R784">
            <v>1</v>
          </cell>
          <cell r="S784">
            <v>0</v>
          </cell>
          <cell r="T784">
            <v>0</v>
          </cell>
          <cell r="U784">
            <v>0</v>
          </cell>
          <cell r="V784">
            <v>0</v>
          </cell>
          <cell r="W784">
            <v>3</v>
          </cell>
          <cell r="X784">
            <v>0</v>
          </cell>
          <cell r="Y784">
            <v>0</v>
          </cell>
          <cell r="Z784">
            <v>0</v>
          </cell>
          <cell r="AA784">
            <v>3</v>
          </cell>
          <cell r="AB784">
            <v>0</v>
          </cell>
          <cell r="AC784">
            <v>0.33333333333333331</v>
          </cell>
          <cell r="AD784">
            <v>9</v>
          </cell>
        </row>
        <row r="785">
          <cell r="A785">
            <v>41</v>
          </cell>
          <cell r="B785">
            <v>2</v>
          </cell>
          <cell r="C785">
            <v>4</v>
          </cell>
          <cell r="D785">
            <v>3376</v>
          </cell>
          <cell r="E785">
            <v>1</v>
          </cell>
          <cell r="F785">
            <v>13</v>
          </cell>
          <cell r="G785">
            <v>3</v>
          </cell>
          <cell r="H785">
            <v>0</v>
          </cell>
          <cell r="I785">
            <v>10</v>
          </cell>
          <cell r="J785">
            <v>3</v>
          </cell>
          <cell r="K785">
            <v>10</v>
          </cell>
          <cell r="L785">
            <v>6</v>
          </cell>
          <cell r="M785">
            <v>0</v>
          </cell>
          <cell r="N785">
            <v>1</v>
          </cell>
          <cell r="O785">
            <v>0</v>
          </cell>
          <cell r="P785">
            <v>0</v>
          </cell>
          <cell r="Q785">
            <v>0</v>
          </cell>
          <cell r="R785">
            <v>0</v>
          </cell>
          <cell r="S785">
            <v>1</v>
          </cell>
          <cell r="T785">
            <v>0</v>
          </cell>
          <cell r="U785">
            <v>0</v>
          </cell>
          <cell r="V785">
            <v>0</v>
          </cell>
          <cell r="W785">
            <v>0</v>
          </cell>
          <cell r="X785">
            <v>2</v>
          </cell>
          <cell r="Y785">
            <v>0</v>
          </cell>
          <cell r="Z785">
            <v>0</v>
          </cell>
          <cell r="AA785">
            <v>6</v>
          </cell>
          <cell r="AB785">
            <v>0.1</v>
          </cell>
          <cell r="AC785">
            <v>0.6</v>
          </cell>
          <cell r="AD785">
            <v>18</v>
          </cell>
        </row>
        <row r="786">
          <cell r="A786">
            <v>38</v>
          </cell>
          <cell r="B786">
            <v>1</v>
          </cell>
          <cell r="C786">
            <v>2</v>
          </cell>
          <cell r="D786">
            <v>8823</v>
          </cell>
          <cell r="E786">
            <v>0</v>
          </cell>
          <cell r="F786">
            <v>18</v>
          </cell>
          <cell r="G786">
            <v>3</v>
          </cell>
          <cell r="H786">
            <v>1</v>
          </cell>
          <cell r="I786">
            <v>20</v>
          </cell>
          <cell r="J786">
            <v>4</v>
          </cell>
          <cell r="K786">
            <v>19</v>
          </cell>
          <cell r="L786">
            <v>9</v>
          </cell>
          <cell r="M786">
            <v>0</v>
          </cell>
          <cell r="N786">
            <v>1</v>
          </cell>
          <cell r="O786">
            <v>1</v>
          </cell>
          <cell r="P786">
            <v>0</v>
          </cell>
          <cell r="Q786">
            <v>0</v>
          </cell>
          <cell r="R786">
            <v>0</v>
          </cell>
          <cell r="S786">
            <v>0</v>
          </cell>
          <cell r="T786">
            <v>1</v>
          </cell>
          <cell r="U786">
            <v>0</v>
          </cell>
          <cell r="V786">
            <v>0</v>
          </cell>
          <cell r="W786">
            <v>0</v>
          </cell>
          <cell r="X786">
            <v>0</v>
          </cell>
          <cell r="Y786">
            <v>0</v>
          </cell>
          <cell r="Z786">
            <v>0</v>
          </cell>
          <cell r="AA786">
            <v>9</v>
          </cell>
          <cell r="AB786">
            <v>0</v>
          </cell>
          <cell r="AC786">
            <v>0.47368421052631576</v>
          </cell>
          <cell r="AD786">
            <v>9</v>
          </cell>
        </row>
        <row r="787">
          <cell r="A787">
            <v>40</v>
          </cell>
          <cell r="B787">
            <v>4</v>
          </cell>
          <cell r="C787">
            <v>3</v>
          </cell>
          <cell r="D787">
            <v>10322</v>
          </cell>
          <cell r="E787">
            <v>4</v>
          </cell>
          <cell r="F787">
            <v>20</v>
          </cell>
          <cell r="G787">
            <v>4</v>
          </cell>
          <cell r="H787">
            <v>1</v>
          </cell>
          <cell r="I787">
            <v>14</v>
          </cell>
          <cell r="J787">
            <v>6</v>
          </cell>
          <cell r="K787">
            <v>11</v>
          </cell>
          <cell r="L787">
            <v>10</v>
          </cell>
          <cell r="M787">
            <v>0</v>
          </cell>
          <cell r="N787">
            <v>0</v>
          </cell>
          <cell r="O787">
            <v>0</v>
          </cell>
          <cell r="P787">
            <v>0</v>
          </cell>
          <cell r="Q787">
            <v>0</v>
          </cell>
          <cell r="R787">
            <v>0</v>
          </cell>
          <cell r="S787">
            <v>1</v>
          </cell>
          <cell r="T787">
            <v>0</v>
          </cell>
          <cell r="U787">
            <v>0</v>
          </cell>
          <cell r="V787">
            <v>0</v>
          </cell>
          <cell r="W787">
            <v>0</v>
          </cell>
          <cell r="X787">
            <v>4</v>
          </cell>
          <cell r="Y787">
            <v>0</v>
          </cell>
          <cell r="Z787">
            <v>0</v>
          </cell>
          <cell r="AA787">
            <v>4</v>
          </cell>
          <cell r="AB787">
            <v>0.2857142857142857</v>
          </cell>
          <cell r="AC787">
            <v>0.90909090909090906</v>
          </cell>
          <cell r="AD787">
            <v>16</v>
          </cell>
        </row>
        <row r="788">
          <cell r="A788">
            <v>27</v>
          </cell>
          <cell r="B788">
            <v>5</v>
          </cell>
          <cell r="C788">
            <v>1</v>
          </cell>
          <cell r="D788">
            <v>4621</v>
          </cell>
          <cell r="E788">
            <v>1</v>
          </cell>
          <cell r="F788">
            <v>19</v>
          </cell>
          <cell r="G788">
            <v>3</v>
          </cell>
          <cell r="H788">
            <v>3</v>
          </cell>
          <cell r="I788">
            <v>3</v>
          </cell>
          <cell r="J788">
            <v>4</v>
          </cell>
          <cell r="K788">
            <v>3</v>
          </cell>
          <cell r="L788">
            <v>2</v>
          </cell>
          <cell r="M788">
            <v>0</v>
          </cell>
          <cell r="N788">
            <v>0</v>
          </cell>
          <cell r="O788">
            <v>1</v>
          </cell>
          <cell r="P788">
            <v>0</v>
          </cell>
          <cell r="Q788">
            <v>0</v>
          </cell>
          <cell r="R788">
            <v>0</v>
          </cell>
          <cell r="S788">
            <v>0</v>
          </cell>
          <cell r="T788">
            <v>5</v>
          </cell>
          <cell r="U788">
            <v>0</v>
          </cell>
          <cell r="V788">
            <v>0</v>
          </cell>
          <cell r="W788">
            <v>0</v>
          </cell>
          <cell r="X788">
            <v>0</v>
          </cell>
          <cell r="Y788">
            <v>0</v>
          </cell>
          <cell r="Z788">
            <v>0</v>
          </cell>
          <cell r="AA788">
            <v>3</v>
          </cell>
          <cell r="AB788">
            <v>0.33333333333333331</v>
          </cell>
          <cell r="AC788">
            <v>0.66666666666666663</v>
          </cell>
          <cell r="AD788">
            <v>12</v>
          </cell>
        </row>
        <row r="789">
          <cell r="A789">
            <v>55</v>
          </cell>
          <cell r="B789">
            <v>1</v>
          </cell>
          <cell r="C789">
            <v>3</v>
          </cell>
          <cell r="D789">
            <v>10976</v>
          </cell>
          <cell r="E789">
            <v>3</v>
          </cell>
          <cell r="F789">
            <v>18</v>
          </cell>
          <cell r="G789">
            <v>3</v>
          </cell>
          <cell r="H789">
            <v>1</v>
          </cell>
          <cell r="I789">
            <v>23</v>
          </cell>
          <cell r="J789">
            <v>4</v>
          </cell>
          <cell r="K789">
            <v>3</v>
          </cell>
          <cell r="L789">
            <v>2</v>
          </cell>
          <cell r="M789">
            <v>0</v>
          </cell>
          <cell r="N789">
            <v>0</v>
          </cell>
          <cell r="O789">
            <v>1</v>
          </cell>
          <cell r="P789">
            <v>0</v>
          </cell>
          <cell r="Q789">
            <v>0</v>
          </cell>
          <cell r="R789">
            <v>0</v>
          </cell>
          <cell r="S789">
            <v>0</v>
          </cell>
          <cell r="T789">
            <v>1</v>
          </cell>
          <cell r="U789">
            <v>0</v>
          </cell>
          <cell r="V789">
            <v>0</v>
          </cell>
          <cell r="W789">
            <v>0</v>
          </cell>
          <cell r="X789">
            <v>0</v>
          </cell>
          <cell r="Y789">
            <v>1</v>
          </cell>
          <cell r="Z789">
            <v>0</v>
          </cell>
          <cell r="AA789">
            <v>8</v>
          </cell>
          <cell r="AB789">
            <v>0.13043478260869565</v>
          </cell>
          <cell r="AC789">
            <v>0.66666666666666663</v>
          </cell>
          <cell r="AD789">
            <v>16</v>
          </cell>
        </row>
        <row r="790">
          <cell r="A790">
            <v>28</v>
          </cell>
          <cell r="B790">
            <v>3</v>
          </cell>
          <cell r="C790">
            <v>3</v>
          </cell>
          <cell r="D790">
            <v>3660</v>
          </cell>
          <cell r="E790">
            <v>3</v>
          </cell>
          <cell r="F790">
            <v>13</v>
          </cell>
          <cell r="G790">
            <v>3</v>
          </cell>
          <cell r="H790">
            <v>0</v>
          </cell>
          <cell r="I790">
            <v>10</v>
          </cell>
          <cell r="J790">
            <v>4</v>
          </cell>
          <cell r="K790">
            <v>8</v>
          </cell>
          <cell r="L790">
            <v>7</v>
          </cell>
          <cell r="M790">
            <v>0</v>
          </cell>
          <cell r="N790">
            <v>1</v>
          </cell>
          <cell r="O790">
            <v>0</v>
          </cell>
          <cell r="P790">
            <v>0</v>
          </cell>
          <cell r="Q790">
            <v>0</v>
          </cell>
          <cell r="R790">
            <v>1</v>
          </cell>
          <cell r="S790">
            <v>0</v>
          </cell>
          <cell r="T790">
            <v>0</v>
          </cell>
          <cell r="U790">
            <v>0</v>
          </cell>
          <cell r="V790">
            <v>0</v>
          </cell>
          <cell r="W790">
            <v>3</v>
          </cell>
          <cell r="X790">
            <v>0</v>
          </cell>
          <cell r="Y790">
            <v>0</v>
          </cell>
          <cell r="Z790">
            <v>0</v>
          </cell>
          <cell r="AA790">
            <v>9</v>
          </cell>
          <cell r="AB790">
            <v>0.3</v>
          </cell>
          <cell r="AC790">
            <v>0.875</v>
          </cell>
          <cell r="AD790">
            <v>36</v>
          </cell>
        </row>
        <row r="791">
          <cell r="A791">
            <v>44</v>
          </cell>
          <cell r="B791">
            <v>2</v>
          </cell>
          <cell r="C791">
            <v>2</v>
          </cell>
          <cell r="D791">
            <v>10482</v>
          </cell>
          <cell r="E791">
            <v>9</v>
          </cell>
          <cell r="F791">
            <v>14</v>
          </cell>
          <cell r="G791">
            <v>3</v>
          </cell>
          <cell r="H791">
            <v>1</v>
          </cell>
          <cell r="I791">
            <v>24</v>
          </cell>
          <cell r="J791">
            <v>1</v>
          </cell>
          <cell r="K791">
            <v>20</v>
          </cell>
          <cell r="L791">
            <v>6</v>
          </cell>
          <cell r="M791">
            <v>0</v>
          </cell>
          <cell r="N791">
            <v>0</v>
          </cell>
          <cell r="O791">
            <v>0</v>
          </cell>
          <cell r="P791">
            <v>0</v>
          </cell>
          <cell r="Q791">
            <v>1</v>
          </cell>
          <cell r="R791">
            <v>0</v>
          </cell>
          <cell r="S791">
            <v>0</v>
          </cell>
          <cell r="T791">
            <v>0</v>
          </cell>
          <cell r="U791">
            <v>0</v>
          </cell>
          <cell r="V791">
            <v>2</v>
          </cell>
          <cell r="W791">
            <v>0</v>
          </cell>
          <cell r="X791">
            <v>0</v>
          </cell>
          <cell r="Y791">
            <v>0</v>
          </cell>
          <cell r="Z791">
            <v>0</v>
          </cell>
          <cell r="AA791">
            <v>2</v>
          </cell>
          <cell r="AB791">
            <v>0.375</v>
          </cell>
          <cell r="AC791">
            <v>0.3</v>
          </cell>
          <cell r="AD791">
            <v>8</v>
          </cell>
        </row>
        <row r="792">
          <cell r="A792">
            <v>33</v>
          </cell>
          <cell r="B792">
            <v>3</v>
          </cell>
          <cell r="C792">
            <v>2</v>
          </cell>
          <cell r="D792">
            <v>7119</v>
          </cell>
          <cell r="E792">
            <v>4</v>
          </cell>
          <cell r="F792">
            <v>15</v>
          </cell>
          <cell r="G792">
            <v>3</v>
          </cell>
          <cell r="H792">
            <v>1</v>
          </cell>
          <cell r="I792">
            <v>9</v>
          </cell>
          <cell r="J792">
            <v>2</v>
          </cell>
          <cell r="K792">
            <v>3</v>
          </cell>
          <cell r="L792">
            <v>2</v>
          </cell>
          <cell r="M792">
            <v>0</v>
          </cell>
          <cell r="N792">
            <v>0</v>
          </cell>
          <cell r="O792">
            <v>1</v>
          </cell>
          <cell r="P792">
            <v>0</v>
          </cell>
          <cell r="Q792">
            <v>0</v>
          </cell>
          <cell r="R792">
            <v>0</v>
          </cell>
          <cell r="S792">
            <v>0</v>
          </cell>
          <cell r="T792">
            <v>3</v>
          </cell>
          <cell r="U792">
            <v>0</v>
          </cell>
          <cell r="V792">
            <v>0</v>
          </cell>
          <cell r="W792">
            <v>0</v>
          </cell>
          <cell r="X792">
            <v>0</v>
          </cell>
          <cell r="Y792">
            <v>0</v>
          </cell>
          <cell r="Z792">
            <v>0</v>
          </cell>
          <cell r="AA792">
            <v>16</v>
          </cell>
          <cell r="AB792">
            <v>0.44444444444444442</v>
          </cell>
          <cell r="AC792">
            <v>0.66666666666666663</v>
          </cell>
          <cell r="AD792">
            <v>48</v>
          </cell>
        </row>
        <row r="793">
          <cell r="A793">
            <v>35</v>
          </cell>
          <cell r="B793">
            <v>3</v>
          </cell>
          <cell r="C793">
            <v>3</v>
          </cell>
          <cell r="D793">
            <v>9582</v>
          </cell>
          <cell r="E793">
            <v>0</v>
          </cell>
          <cell r="F793">
            <v>22</v>
          </cell>
          <cell r="G793">
            <v>4</v>
          </cell>
          <cell r="H793">
            <v>0</v>
          </cell>
          <cell r="I793">
            <v>9</v>
          </cell>
          <cell r="J793">
            <v>2</v>
          </cell>
          <cell r="K793">
            <v>8</v>
          </cell>
          <cell r="L793">
            <v>7</v>
          </cell>
          <cell r="M793">
            <v>1</v>
          </cell>
          <cell r="N793">
            <v>0</v>
          </cell>
          <cell r="O793">
            <v>0</v>
          </cell>
          <cell r="P793">
            <v>0</v>
          </cell>
          <cell r="Q793">
            <v>0</v>
          </cell>
          <cell r="R793">
            <v>0</v>
          </cell>
          <cell r="S793">
            <v>1</v>
          </cell>
          <cell r="T793">
            <v>0</v>
          </cell>
          <cell r="U793">
            <v>0</v>
          </cell>
          <cell r="V793">
            <v>0</v>
          </cell>
          <cell r="W793">
            <v>0</v>
          </cell>
          <cell r="X793">
            <v>3</v>
          </cell>
          <cell r="Y793">
            <v>0</v>
          </cell>
          <cell r="Z793">
            <v>0</v>
          </cell>
          <cell r="AA793">
            <v>4</v>
          </cell>
          <cell r="AB793">
            <v>0</v>
          </cell>
          <cell r="AC793">
            <v>0.875</v>
          </cell>
          <cell r="AD793">
            <v>4</v>
          </cell>
        </row>
        <row r="794">
          <cell r="A794">
            <v>33</v>
          </cell>
          <cell r="B794">
            <v>4</v>
          </cell>
          <cell r="C794">
            <v>2</v>
          </cell>
          <cell r="D794">
            <v>4508</v>
          </cell>
          <cell r="E794">
            <v>1</v>
          </cell>
          <cell r="F794">
            <v>22</v>
          </cell>
          <cell r="G794">
            <v>4</v>
          </cell>
          <cell r="H794">
            <v>0</v>
          </cell>
          <cell r="I794">
            <v>14</v>
          </cell>
          <cell r="J794">
            <v>4</v>
          </cell>
          <cell r="K794">
            <v>13</v>
          </cell>
          <cell r="L794">
            <v>7</v>
          </cell>
          <cell r="M794">
            <v>0</v>
          </cell>
          <cell r="N794">
            <v>1</v>
          </cell>
          <cell r="O794">
            <v>0</v>
          </cell>
          <cell r="P794">
            <v>0</v>
          </cell>
          <cell r="Q794">
            <v>1</v>
          </cell>
          <cell r="R794">
            <v>0</v>
          </cell>
          <cell r="S794">
            <v>0</v>
          </cell>
          <cell r="T794">
            <v>0</v>
          </cell>
          <cell r="U794">
            <v>0</v>
          </cell>
          <cell r="V794">
            <v>4</v>
          </cell>
          <cell r="W794">
            <v>0</v>
          </cell>
          <cell r="X794">
            <v>0</v>
          </cell>
          <cell r="Y794">
            <v>0</v>
          </cell>
          <cell r="Z794">
            <v>0</v>
          </cell>
          <cell r="AA794">
            <v>3</v>
          </cell>
          <cell r="AB794">
            <v>7.1428571428571425E-2</v>
          </cell>
          <cell r="AC794">
            <v>0.53846153846153844</v>
          </cell>
          <cell r="AD794">
            <v>6</v>
          </cell>
        </row>
        <row r="795">
          <cell r="A795">
            <v>28</v>
          </cell>
          <cell r="B795">
            <v>2</v>
          </cell>
          <cell r="C795">
            <v>3</v>
          </cell>
          <cell r="D795">
            <v>2207</v>
          </cell>
          <cell r="E795">
            <v>1</v>
          </cell>
          <cell r="F795">
            <v>16</v>
          </cell>
          <cell r="G795">
            <v>3</v>
          </cell>
          <cell r="H795">
            <v>1</v>
          </cell>
          <cell r="I795">
            <v>4</v>
          </cell>
          <cell r="J795">
            <v>5</v>
          </cell>
          <cell r="K795">
            <v>4</v>
          </cell>
          <cell r="L795">
            <v>2</v>
          </cell>
          <cell r="M795">
            <v>0</v>
          </cell>
          <cell r="N795">
            <v>0</v>
          </cell>
          <cell r="O795">
            <v>1</v>
          </cell>
          <cell r="P795">
            <v>0</v>
          </cell>
          <cell r="Q795">
            <v>0</v>
          </cell>
          <cell r="R795">
            <v>0</v>
          </cell>
          <cell r="S795">
            <v>0</v>
          </cell>
          <cell r="T795">
            <v>2</v>
          </cell>
          <cell r="U795">
            <v>0</v>
          </cell>
          <cell r="V795">
            <v>0</v>
          </cell>
          <cell r="W795">
            <v>0</v>
          </cell>
          <cell r="X795">
            <v>0</v>
          </cell>
          <cell r="Y795">
            <v>0</v>
          </cell>
          <cell r="Z795">
            <v>0</v>
          </cell>
          <cell r="AA795">
            <v>3</v>
          </cell>
          <cell r="AB795">
            <v>0.25</v>
          </cell>
          <cell r="AC795">
            <v>0.5</v>
          </cell>
          <cell r="AD795">
            <v>12</v>
          </cell>
        </row>
        <row r="796">
          <cell r="A796">
            <v>34</v>
          </cell>
          <cell r="B796">
            <v>1</v>
          </cell>
          <cell r="C796">
            <v>3</v>
          </cell>
          <cell r="D796">
            <v>7756</v>
          </cell>
          <cell r="E796">
            <v>0</v>
          </cell>
          <cell r="F796">
            <v>17</v>
          </cell>
          <cell r="G796">
            <v>3</v>
          </cell>
          <cell r="H796">
            <v>0</v>
          </cell>
          <cell r="I796">
            <v>7</v>
          </cell>
          <cell r="J796">
            <v>1</v>
          </cell>
          <cell r="K796">
            <v>6</v>
          </cell>
          <cell r="L796">
            <v>2</v>
          </cell>
          <cell r="M796">
            <v>0</v>
          </cell>
          <cell r="N796">
            <v>0</v>
          </cell>
          <cell r="O796">
            <v>1</v>
          </cell>
          <cell r="P796">
            <v>0</v>
          </cell>
          <cell r="Q796">
            <v>0</v>
          </cell>
          <cell r="R796">
            <v>0</v>
          </cell>
          <cell r="S796">
            <v>0</v>
          </cell>
          <cell r="T796">
            <v>1</v>
          </cell>
          <cell r="U796">
            <v>0</v>
          </cell>
          <cell r="V796">
            <v>0</v>
          </cell>
          <cell r="W796">
            <v>0</v>
          </cell>
          <cell r="X796">
            <v>0</v>
          </cell>
          <cell r="Y796">
            <v>0</v>
          </cell>
          <cell r="Z796">
            <v>0</v>
          </cell>
          <cell r="AA796">
            <v>4</v>
          </cell>
          <cell r="AB796">
            <v>0</v>
          </cell>
          <cell r="AC796">
            <v>0.33333333333333331</v>
          </cell>
          <cell r="AD796">
            <v>12</v>
          </cell>
        </row>
        <row r="797">
          <cell r="A797">
            <v>37</v>
          </cell>
          <cell r="B797">
            <v>4</v>
          </cell>
          <cell r="C797">
            <v>2</v>
          </cell>
          <cell r="D797">
            <v>6694</v>
          </cell>
          <cell r="E797">
            <v>2</v>
          </cell>
          <cell r="F797">
            <v>14</v>
          </cell>
          <cell r="G797">
            <v>3</v>
          </cell>
          <cell r="H797">
            <v>3</v>
          </cell>
          <cell r="I797">
            <v>8</v>
          </cell>
          <cell r="J797">
            <v>5</v>
          </cell>
          <cell r="K797">
            <v>1</v>
          </cell>
          <cell r="L797">
            <v>0</v>
          </cell>
          <cell r="M797">
            <v>1</v>
          </cell>
          <cell r="N797">
            <v>1</v>
          </cell>
          <cell r="O797">
            <v>1</v>
          </cell>
          <cell r="P797">
            <v>0</v>
          </cell>
          <cell r="Q797">
            <v>0</v>
          </cell>
          <cell r="R797">
            <v>0</v>
          </cell>
          <cell r="S797">
            <v>0</v>
          </cell>
          <cell r="T797">
            <v>4</v>
          </cell>
          <cell r="U797">
            <v>0</v>
          </cell>
          <cell r="V797">
            <v>0</v>
          </cell>
          <cell r="W797">
            <v>0</v>
          </cell>
          <cell r="X797">
            <v>0</v>
          </cell>
          <cell r="Y797">
            <v>0</v>
          </cell>
          <cell r="Z797">
            <v>0</v>
          </cell>
          <cell r="AA797">
            <v>16</v>
          </cell>
          <cell r="AB797">
            <v>0.25</v>
          </cell>
          <cell r="AC797">
            <v>0</v>
          </cell>
          <cell r="AD797">
            <v>48</v>
          </cell>
        </row>
        <row r="798">
          <cell r="A798">
            <v>25</v>
          </cell>
          <cell r="B798">
            <v>1</v>
          </cell>
          <cell r="C798">
            <v>3</v>
          </cell>
          <cell r="D798">
            <v>3691</v>
          </cell>
          <cell r="E798">
            <v>1</v>
          </cell>
          <cell r="F798">
            <v>15</v>
          </cell>
          <cell r="G798">
            <v>3</v>
          </cell>
          <cell r="H798">
            <v>1</v>
          </cell>
          <cell r="I798">
            <v>7</v>
          </cell>
          <cell r="J798">
            <v>3</v>
          </cell>
          <cell r="K798">
            <v>7</v>
          </cell>
          <cell r="L798">
            <v>7</v>
          </cell>
          <cell r="M798">
            <v>1</v>
          </cell>
          <cell r="N798">
            <v>0</v>
          </cell>
          <cell r="O798">
            <v>0</v>
          </cell>
          <cell r="P798">
            <v>0</v>
          </cell>
          <cell r="Q798">
            <v>0</v>
          </cell>
          <cell r="R798">
            <v>0</v>
          </cell>
          <cell r="S798">
            <v>1</v>
          </cell>
          <cell r="T798">
            <v>0</v>
          </cell>
          <cell r="U798">
            <v>0</v>
          </cell>
          <cell r="V798">
            <v>0</v>
          </cell>
          <cell r="W798">
            <v>0</v>
          </cell>
          <cell r="X798">
            <v>1</v>
          </cell>
          <cell r="Y798">
            <v>0</v>
          </cell>
          <cell r="Z798">
            <v>1</v>
          </cell>
          <cell r="AA798">
            <v>16</v>
          </cell>
          <cell r="AB798">
            <v>0.14285714285714285</v>
          </cell>
          <cell r="AC798">
            <v>1</v>
          </cell>
          <cell r="AD798">
            <v>32</v>
          </cell>
        </row>
        <row r="799">
          <cell r="A799">
            <v>26</v>
          </cell>
          <cell r="B799">
            <v>3</v>
          </cell>
          <cell r="C799">
            <v>3</v>
          </cell>
          <cell r="D799">
            <v>2377</v>
          </cell>
          <cell r="E799">
            <v>1</v>
          </cell>
          <cell r="F799">
            <v>20</v>
          </cell>
          <cell r="G799">
            <v>4</v>
          </cell>
          <cell r="H799">
            <v>1</v>
          </cell>
          <cell r="I799">
            <v>1</v>
          </cell>
          <cell r="J799">
            <v>0</v>
          </cell>
          <cell r="K799">
            <v>1</v>
          </cell>
          <cell r="L799">
            <v>1</v>
          </cell>
          <cell r="M799">
            <v>0</v>
          </cell>
          <cell r="N799">
            <v>0</v>
          </cell>
          <cell r="O799">
            <v>0</v>
          </cell>
          <cell r="P799">
            <v>0</v>
          </cell>
          <cell r="Q799">
            <v>1</v>
          </cell>
          <cell r="R799">
            <v>0</v>
          </cell>
          <cell r="S799">
            <v>0</v>
          </cell>
          <cell r="T799">
            <v>0</v>
          </cell>
          <cell r="U799">
            <v>0</v>
          </cell>
          <cell r="V799">
            <v>3</v>
          </cell>
          <cell r="W799">
            <v>0</v>
          </cell>
          <cell r="X799">
            <v>0</v>
          </cell>
          <cell r="Y799">
            <v>0</v>
          </cell>
          <cell r="Z799">
            <v>0</v>
          </cell>
          <cell r="AA799">
            <v>3</v>
          </cell>
          <cell r="AB799">
            <v>1</v>
          </cell>
          <cell r="AC799">
            <v>1</v>
          </cell>
          <cell r="AD799">
            <v>9</v>
          </cell>
        </row>
        <row r="800">
          <cell r="A800">
            <v>33</v>
          </cell>
          <cell r="B800">
            <v>3</v>
          </cell>
          <cell r="C800">
            <v>2</v>
          </cell>
          <cell r="D800">
            <v>2313</v>
          </cell>
          <cell r="E800">
            <v>4</v>
          </cell>
          <cell r="F800">
            <v>20</v>
          </cell>
          <cell r="G800">
            <v>4</v>
          </cell>
          <cell r="H800">
            <v>0</v>
          </cell>
          <cell r="I800">
            <v>5</v>
          </cell>
          <cell r="J800">
            <v>0</v>
          </cell>
          <cell r="K800">
            <v>2</v>
          </cell>
          <cell r="L800">
            <v>2</v>
          </cell>
          <cell r="M800">
            <v>1</v>
          </cell>
          <cell r="N800">
            <v>0</v>
          </cell>
          <cell r="O800">
            <v>0</v>
          </cell>
          <cell r="P800">
            <v>0</v>
          </cell>
          <cell r="Q800">
            <v>1</v>
          </cell>
          <cell r="R800">
            <v>0</v>
          </cell>
          <cell r="S800">
            <v>0</v>
          </cell>
          <cell r="T800">
            <v>0</v>
          </cell>
          <cell r="U800">
            <v>0</v>
          </cell>
          <cell r="V800">
            <v>3</v>
          </cell>
          <cell r="W800">
            <v>0</v>
          </cell>
          <cell r="X800">
            <v>0</v>
          </cell>
          <cell r="Y800">
            <v>0</v>
          </cell>
          <cell r="Z800">
            <v>0</v>
          </cell>
          <cell r="AA800">
            <v>2</v>
          </cell>
          <cell r="AB800">
            <v>0.8</v>
          </cell>
          <cell r="AC800">
            <v>1</v>
          </cell>
          <cell r="AD800">
            <v>4</v>
          </cell>
        </row>
        <row r="801">
          <cell r="A801">
            <v>42</v>
          </cell>
          <cell r="B801">
            <v>2</v>
          </cell>
          <cell r="C801">
            <v>3</v>
          </cell>
          <cell r="D801">
            <v>17665</v>
          </cell>
          <cell r="E801">
            <v>0</v>
          </cell>
          <cell r="F801">
            <v>17</v>
          </cell>
          <cell r="G801">
            <v>3</v>
          </cell>
          <cell r="H801">
            <v>1</v>
          </cell>
          <cell r="I801">
            <v>23</v>
          </cell>
          <cell r="J801">
            <v>3</v>
          </cell>
          <cell r="K801">
            <v>22</v>
          </cell>
          <cell r="L801">
            <v>6</v>
          </cell>
          <cell r="M801">
            <v>0</v>
          </cell>
          <cell r="N801">
            <v>0</v>
          </cell>
          <cell r="O801">
            <v>0</v>
          </cell>
          <cell r="P801">
            <v>0</v>
          </cell>
          <cell r="Q801">
            <v>1</v>
          </cell>
          <cell r="R801">
            <v>0</v>
          </cell>
          <cell r="S801">
            <v>0</v>
          </cell>
          <cell r="T801">
            <v>0</v>
          </cell>
          <cell r="U801">
            <v>0</v>
          </cell>
          <cell r="V801">
            <v>2</v>
          </cell>
          <cell r="W801">
            <v>0</v>
          </cell>
          <cell r="X801">
            <v>0</v>
          </cell>
          <cell r="Y801">
            <v>0</v>
          </cell>
          <cell r="Z801">
            <v>0</v>
          </cell>
          <cell r="AA801">
            <v>4</v>
          </cell>
          <cell r="AB801">
            <v>0</v>
          </cell>
          <cell r="AC801">
            <v>0.27272727272727271</v>
          </cell>
          <cell r="AD801">
            <v>16</v>
          </cell>
        </row>
        <row r="802">
          <cell r="A802">
            <v>28</v>
          </cell>
          <cell r="B802">
            <v>3</v>
          </cell>
          <cell r="C802">
            <v>2</v>
          </cell>
          <cell r="D802">
            <v>2596</v>
          </cell>
          <cell r="E802">
            <v>1</v>
          </cell>
          <cell r="F802">
            <v>15</v>
          </cell>
          <cell r="G802">
            <v>3</v>
          </cell>
          <cell r="H802">
            <v>2</v>
          </cell>
          <cell r="I802">
            <v>1</v>
          </cell>
          <cell r="J802">
            <v>2</v>
          </cell>
          <cell r="K802">
            <v>1</v>
          </cell>
          <cell r="L802">
            <v>0</v>
          </cell>
          <cell r="M802">
            <v>0</v>
          </cell>
          <cell r="N802">
            <v>0</v>
          </cell>
          <cell r="O802">
            <v>0</v>
          </cell>
          <cell r="P802">
            <v>0</v>
          </cell>
          <cell r="Q802">
            <v>1</v>
          </cell>
          <cell r="R802">
            <v>0</v>
          </cell>
          <cell r="S802">
            <v>0</v>
          </cell>
          <cell r="T802">
            <v>0</v>
          </cell>
          <cell r="U802">
            <v>0</v>
          </cell>
          <cell r="V802">
            <v>3</v>
          </cell>
          <cell r="W802">
            <v>0</v>
          </cell>
          <cell r="X802">
            <v>0</v>
          </cell>
          <cell r="Y802">
            <v>0</v>
          </cell>
          <cell r="Z802">
            <v>0</v>
          </cell>
          <cell r="AA802">
            <v>2</v>
          </cell>
          <cell r="AB802">
            <v>1</v>
          </cell>
          <cell r="AC802">
            <v>0</v>
          </cell>
          <cell r="AD802">
            <v>2</v>
          </cell>
        </row>
        <row r="803">
          <cell r="A803">
            <v>50</v>
          </cell>
          <cell r="B803">
            <v>4</v>
          </cell>
          <cell r="C803">
            <v>3</v>
          </cell>
          <cell r="D803">
            <v>4728</v>
          </cell>
          <cell r="E803">
            <v>3</v>
          </cell>
          <cell r="F803">
            <v>14</v>
          </cell>
          <cell r="G803">
            <v>3</v>
          </cell>
          <cell r="H803">
            <v>0</v>
          </cell>
          <cell r="I803">
            <v>5</v>
          </cell>
          <cell r="J803">
            <v>4</v>
          </cell>
          <cell r="K803">
            <v>0</v>
          </cell>
          <cell r="L803">
            <v>0</v>
          </cell>
          <cell r="M803">
            <v>1</v>
          </cell>
          <cell r="N803">
            <v>0</v>
          </cell>
          <cell r="O803">
            <v>0</v>
          </cell>
          <cell r="P803">
            <v>0</v>
          </cell>
          <cell r="Q803">
            <v>0</v>
          </cell>
          <cell r="R803">
            <v>1</v>
          </cell>
          <cell r="S803">
            <v>0</v>
          </cell>
          <cell r="T803">
            <v>0</v>
          </cell>
          <cell r="U803">
            <v>0</v>
          </cell>
          <cell r="V803">
            <v>0</v>
          </cell>
          <cell r="W803">
            <v>4</v>
          </cell>
          <cell r="X803">
            <v>0</v>
          </cell>
          <cell r="Y803">
            <v>0</v>
          </cell>
          <cell r="Z803">
            <v>0</v>
          </cell>
          <cell r="AA803">
            <v>12</v>
          </cell>
          <cell r="AB803">
            <v>0.6</v>
          </cell>
          <cell r="AC803">
            <v>0</v>
          </cell>
          <cell r="AD803">
            <v>48</v>
          </cell>
        </row>
        <row r="804">
          <cell r="A804">
            <v>33</v>
          </cell>
          <cell r="B804">
            <v>3</v>
          </cell>
          <cell r="C804">
            <v>3</v>
          </cell>
          <cell r="D804">
            <v>4302</v>
          </cell>
          <cell r="E804">
            <v>0</v>
          </cell>
          <cell r="F804">
            <v>17</v>
          </cell>
          <cell r="G804">
            <v>3</v>
          </cell>
          <cell r="H804">
            <v>1</v>
          </cell>
          <cell r="I804">
            <v>4</v>
          </cell>
          <cell r="J804">
            <v>3</v>
          </cell>
          <cell r="K804">
            <v>3</v>
          </cell>
          <cell r="L804">
            <v>2</v>
          </cell>
          <cell r="M804">
            <v>0</v>
          </cell>
          <cell r="N804">
            <v>1</v>
          </cell>
          <cell r="O804">
            <v>1</v>
          </cell>
          <cell r="P804">
            <v>0</v>
          </cell>
          <cell r="Q804">
            <v>0</v>
          </cell>
          <cell r="R804">
            <v>0</v>
          </cell>
          <cell r="S804">
            <v>0</v>
          </cell>
          <cell r="T804">
            <v>3</v>
          </cell>
          <cell r="U804">
            <v>0</v>
          </cell>
          <cell r="V804">
            <v>0</v>
          </cell>
          <cell r="W804">
            <v>0</v>
          </cell>
          <cell r="X804">
            <v>0</v>
          </cell>
          <cell r="Y804">
            <v>1</v>
          </cell>
          <cell r="Z804">
            <v>0</v>
          </cell>
          <cell r="AA804">
            <v>8</v>
          </cell>
          <cell r="AB804">
            <v>0</v>
          </cell>
          <cell r="AC804">
            <v>0.66666666666666663</v>
          </cell>
          <cell r="AD804">
            <v>24</v>
          </cell>
        </row>
        <row r="805">
          <cell r="A805">
            <v>34</v>
          </cell>
          <cell r="B805">
            <v>4</v>
          </cell>
          <cell r="C805">
            <v>2</v>
          </cell>
          <cell r="D805">
            <v>2979</v>
          </cell>
          <cell r="E805">
            <v>3</v>
          </cell>
          <cell r="F805">
            <v>17</v>
          </cell>
          <cell r="G805">
            <v>3</v>
          </cell>
          <cell r="H805">
            <v>3</v>
          </cell>
          <cell r="I805">
            <v>6</v>
          </cell>
          <cell r="J805">
            <v>2</v>
          </cell>
          <cell r="K805">
            <v>0</v>
          </cell>
          <cell r="L805">
            <v>0</v>
          </cell>
          <cell r="M805">
            <v>0</v>
          </cell>
          <cell r="N805">
            <v>0</v>
          </cell>
          <cell r="O805">
            <v>1</v>
          </cell>
          <cell r="P805">
            <v>0</v>
          </cell>
          <cell r="Q805">
            <v>0</v>
          </cell>
          <cell r="R805">
            <v>0</v>
          </cell>
          <cell r="S805">
            <v>0</v>
          </cell>
          <cell r="T805">
            <v>4</v>
          </cell>
          <cell r="U805">
            <v>0</v>
          </cell>
          <cell r="V805">
            <v>0</v>
          </cell>
          <cell r="W805">
            <v>0</v>
          </cell>
          <cell r="X805">
            <v>0</v>
          </cell>
          <cell r="Y805">
            <v>0</v>
          </cell>
          <cell r="Z805">
            <v>0</v>
          </cell>
          <cell r="AA805">
            <v>12</v>
          </cell>
          <cell r="AB805">
            <v>0.5</v>
          </cell>
          <cell r="AC805">
            <v>0</v>
          </cell>
          <cell r="AD805">
            <v>48</v>
          </cell>
        </row>
        <row r="806">
          <cell r="A806">
            <v>48</v>
          </cell>
          <cell r="B806">
            <v>4</v>
          </cell>
          <cell r="C806">
            <v>4</v>
          </cell>
          <cell r="D806">
            <v>16885</v>
          </cell>
          <cell r="E806">
            <v>2</v>
          </cell>
          <cell r="F806">
            <v>22</v>
          </cell>
          <cell r="G806">
            <v>4</v>
          </cell>
          <cell r="H806">
            <v>0</v>
          </cell>
          <cell r="I806">
            <v>27</v>
          </cell>
          <cell r="J806">
            <v>3</v>
          </cell>
          <cell r="K806">
            <v>5</v>
          </cell>
          <cell r="L806">
            <v>4</v>
          </cell>
          <cell r="M806">
            <v>0</v>
          </cell>
          <cell r="N806">
            <v>0</v>
          </cell>
          <cell r="O806">
            <v>0</v>
          </cell>
          <cell r="P806">
            <v>0</v>
          </cell>
          <cell r="Q806">
            <v>1</v>
          </cell>
          <cell r="R806">
            <v>0</v>
          </cell>
          <cell r="S806">
            <v>0</v>
          </cell>
          <cell r="T806">
            <v>0</v>
          </cell>
          <cell r="U806">
            <v>0</v>
          </cell>
          <cell r="V806">
            <v>4</v>
          </cell>
          <cell r="W806">
            <v>0</v>
          </cell>
          <cell r="X806">
            <v>0</v>
          </cell>
          <cell r="Y806">
            <v>0</v>
          </cell>
          <cell r="Z806">
            <v>0</v>
          </cell>
          <cell r="AA806">
            <v>4</v>
          </cell>
          <cell r="AB806">
            <v>7.407407407407407E-2</v>
          </cell>
          <cell r="AC806">
            <v>0.8</v>
          </cell>
          <cell r="AD806">
            <v>12</v>
          </cell>
        </row>
        <row r="807">
          <cell r="A807">
            <v>45</v>
          </cell>
          <cell r="B807">
            <v>4</v>
          </cell>
          <cell r="C807">
            <v>2</v>
          </cell>
          <cell r="D807">
            <v>5593</v>
          </cell>
          <cell r="E807">
            <v>1</v>
          </cell>
          <cell r="F807">
            <v>13</v>
          </cell>
          <cell r="G807">
            <v>3</v>
          </cell>
          <cell r="H807">
            <v>1</v>
          </cell>
          <cell r="I807">
            <v>15</v>
          </cell>
          <cell r="J807">
            <v>2</v>
          </cell>
          <cell r="K807">
            <v>15</v>
          </cell>
          <cell r="L807">
            <v>10</v>
          </cell>
          <cell r="M807">
            <v>0</v>
          </cell>
          <cell r="N807">
            <v>1</v>
          </cell>
          <cell r="O807">
            <v>1</v>
          </cell>
          <cell r="P807">
            <v>0</v>
          </cell>
          <cell r="Q807">
            <v>0</v>
          </cell>
          <cell r="R807">
            <v>0</v>
          </cell>
          <cell r="S807">
            <v>0</v>
          </cell>
          <cell r="T807">
            <v>4</v>
          </cell>
          <cell r="U807">
            <v>0</v>
          </cell>
          <cell r="V807">
            <v>0</v>
          </cell>
          <cell r="W807">
            <v>0</v>
          </cell>
          <cell r="X807">
            <v>0</v>
          </cell>
          <cell r="Y807">
            <v>0</v>
          </cell>
          <cell r="Z807">
            <v>0</v>
          </cell>
          <cell r="AA807">
            <v>6</v>
          </cell>
          <cell r="AB807">
            <v>6.6666666666666666E-2</v>
          </cell>
          <cell r="AC807">
            <v>0.66666666666666663</v>
          </cell>
          <cell r="AD807">
            <v>24</v>
          </cell>
        </row>
        <row r="808">
          <cell r="A808">
            <v>52</v>
          </cell>
          <cell r="B808">
            <v>4</v>
          </cell>
          <cell r="C808">
            <v>3</v>
          </cell>
          <cell r="D808">
            <v>10445</v>
          </cell>
          <cell r="E808">
            <v>7</v>
          </cell>
          <cell r="F808">
            <v>19</v>
          </cell>
          <cell r="G808">
            <v>3</v>
          </cell>
          <cell r="H808">
            <v>0</v>
          </cell>
          <cell r="I808">
            <v>18</v>
          </cell>
          <cell r="J808">
            <v>4</v>
          </cell>
          <cell r="K808">
            <v>8</v>
          </cell>
          <cell r="L808">
            <v>6</v>
          </cell>
          <cell r="M808">
            <v>0</v>
          </cell>
          <cell r="N808">
            <v>0</v>
          </cell>
          <cell r="O808">
            <v>1</v>
          </cell>
          <cell r="P808">
            <v>0</v>
          </cell>
          <cell r="Q808">
            <v>0</v>
          </cell>
          <cell r="R808">
            <v>0</v>
          </cell>
          <cell r="S808">
            <v>0</v>
          </cell>
          <cell r="T808">
            <v>4</v>
          </cell>
          <cell r="U808">
            <v>0</v>
          </cell>
          <cell r="V808">
            <v>0</v>
          </cell>
          <cell r="W808">
            <v>0</v>
          </cell>
          <cell r="X808">
            <v>0</v>
          </cell>
          <cell r="Y808">
            <v>0</v>
          </cell>
          <cell r="Z808">
            <v>0</v>
          </cell>
          <cell r="AA808">
            <v>4</v>
          </cell>
          <cell r="AB808">
            <v>0.3888888888888889</v>
          </cell>
          <cell r="AC808">
            <v>0.75</v>
          </cell>
          <cell r="AD808">
            <v>16</v>
          </cell>
        </row>
        <row r="809">
          <cell r="A809">
            <v>38</v>
          </cell>
          <cell r="B809">
            <v>4</v>
          </cell>
          <cell r="C809">
            <v>2</v>
          </cell>
          <cell r="D809">
            <v>8740</v>
          </cell>
          <cell r="E809">
            <v>0</v>
          </cell>
          <cell r="F809">
            <v>14</v>
          </cell>
          <cell r="G809">
            <v>3</v>
          </cell>
          <cell r="H809">
            <v>2</v>
          </cell>
          <cell r="I809">
            <v>9</v>
          </cell>
          <cell r="J809">
            <v>2</v>
          </cell>
          <cell r="K809">
            <v>8</v>
          </cell>
          <cell r="L809">
            <v>7</v>
          </cell>
          <cell r="M809">
            <v>1</v>
          </cell>
          <cell r="N809">
            <v>0</v>
          </cell>
          <cell r="O809">
            <v>0</v>
          </cell>
          <cell r="P809">
            <v>1</v>
          </cell>
          <cell r="Q809">
            <v>0</v>
          </cell>
          <cell r="R809">
            <v>0</v>
          </cell>
          <cell r="S809">
            <v>0</v>
          </cell>
          <cell r="T809">
            <v>0</v>
          </cell>
          <cell r="U809">
            <v>4</v>
          </cell>
          <cell r="V809">
            <v>0</v>
          </cell>
          <cell r="W809">
            <v>0</v>
          </cell>
          <cell r="X809">
            <v>0</v>
          </cell>
          <cell r="Y809">
            <v>0</v>
          </cell>
          <cell r="Z809">
            <v>0</v>
          </cell>
          <cell r="AA809">
            <v>9</v>
          </cell>
          <cell r="AB809">
            <v>0</v>
          </cell>
          <cell r="AC809">
            <v>0.875</v>
          </cell>
          <cell r="AD809">
            <v>18</v>
          </cell>
        </row>
        <row r="810">
          <cell r="A810">
            <v>29</v>
          </cell>
          <cell r="B810">
            <v>4</v>
          </cell>
          <cell r="C810">
            <v>3</v>
          </cell>
          <cell r="D810">
            <v>2514</v>
          </cell>
          <cell r="E810">
            <v>4</v>
          </cell>
          <cell r="F810">
            <v>22</v>
          </cell>
          <cell r="G810">
            <v>4</v>
          </cell>
          <cell r="H810">
            <v>1</v>
          </cell>
          <cell r="I810">
            <v>11</v>
          </cell>
          <cell r="J810">
            <v>1</v>
          </cell>
          <cell r="K810">
            <v>7</v>
          </cell>
          <cell r="L810">
            <v>5</v>
          </cell>
          <cell r="M810">
            <v>0</v>
          </cell>
          <cell r="N810">
            <v>1</v>
          </cell>
          <cell r="O810">
            <v>1</v>
          </cell>
          <cell r="P810">
            <v>0</v>
          </cell>
          <cell r="Q810">
            <v>0</v>
          </cell>
          <cell r="R810">
            <v>0</v>
          </cell>
          <cell r="S810">
            <v>0</v>
          </cell>
          <cell r="T810">
            <v>4</v>
          </cell>
          <cell r="U810">
            <v>0</v>
          </cell>
          <cell r="V810">
            <v>0</v>
          </cell>
          <cell r="W810">
            <v>0</v>
          </cell>
          <cell r="X810">
            <v>0</v>
          </cell>
          <cell r="Y810">
            <v>0</v>
          </cell>
          <cell r="Z810">
            <v>0</v>
          </cell>
          <cell r="AA810">
            <v>12</v>
          </cell>
          <cell r="AB810">
            <v>0.36363636363636365</v>
          </cell>
          <cell r="AC810">
            <v>0.7142857142857143</v>
          </cell>
          <cell r="AD810">
            <v>12</v>
          </cell>
        </row>
        <row r="811">
          <cell r="A811">
            <v>28</v>
          </cell>
          <cell r="B811">
            <v>3</v>
          </cell>
          <cell r="C811">
            <v>3</v>
          </cell>
          <cell r="D811">
            <v>7655</v>
          </cell>
          <cell r="E811">
            <v>0</v>
          </cell>
          <cell r="F811">
            <v>17</v>
          </cell>
          <cell r="G811">
            <v>3</v>
          </cell>
          <cell r="H811">
            <v>3</v>
          </cell>
          <cell r="I811">
            <v>10</v>
          </cell>
          <cell r="J811">
            <v>3</v>
          </cell>
          <cell r="K811">
            <v>9</v>
          </cell>
          <cell r="L811">
            <v>7</v>
          </cell>
          <cell r="M811">
            <v>0</v>
          </cell>
          <cell r="N811">
            <v>1</v>
          </cell>
          <cell r="O811">
            <v>0</v>
          </cell>
          <cell r="P811">
            <v>0</v>
          </cell>
          <cell r="Q811">
            <v>1</v>
          </cell>
          <cell r="R811">
            <v>0</v>
          </cell>
          <cell r="S811">
            <v>0</v>
          </cell>
          <cell r="T811">
            <v>0</v>
          </cell>
          <cell r="U811">
            <v>0</v>
          </cell>
          <cell r="V811">
            <v>3</v>
          </cell>
          <cell r="W811">
            <v>0</v>
          </cell>
          <cell r="X811">
            <v>0</v>
          </cell>
          <cell r="Y811">
            <v>0</v>
          </cell>
          <cell r="Z811">
            <v>0</v>
          </cell>
          <cell r="AA811">
            <v>8</v>
          </cell>
          <cell r="AB811">
            <v>0</v>
          </cell>
          <cell r="AC811">
            <v>0.77777777777777779</v>
          </cell>
          <cell r="AD811">
            <v>16</v>
          </cell>
        </row>
        <row r="812">
          <cell r="A812">
            <v>46</v>
          </cell>
          <cell r="B812">
            <v>1</v>
          </cell>
          <cell r="C812">
            <v>3</v>
          </cell>
          <cell r="D812">
            <v>17465</v>
          </cell>
          <cell r="E812">
            <v>3</v>
          </cell>
          <cell r="F812">
            <v>12</v>
          </cell>
          <cell r="G812">
            <v>3</v>
          </cell>
          <cell r="H812">
            <v>1</v>
          </cell>
          <cell r="I812">
            <v>23</v>
          </cell>
          <cell r="J812">
            <v>3</v>
          </cell>
          <cell r="K812">
            <v>12</v>
          </cell>
          <cell r="L812">
            <v>9</v>
          </cell>
          <cell r="M812">
            <v>0</v>
          </cell>
          <cell r="N812">
            <v>0</v>
          </cell>
          <cell r="O812">
            <v>0</v>
          </cell>
          <cell r="P812">
            <v>1</v>
          </cell>
          <cell r="Q812">
            <v>0</v>
          </cell>
          <cell r="R812">
            <v>0</v>
          </cell>
          <cell r="S812">
            <v>0</v>
          </cell>
          <cell r="T812">
            <v>0</v>
          </cell>
          <cell r="U812">
            <v>1</v>
          </cell>
          <cell r="V812">
            <v>0</v>
          </cell>
          <cell r="W812">
            <v>0</v>
          </cell>
          <cell r="X812">
            <v>0</v>
          </cell>
          <cell r="Y812">
            <v>0</v>
          </cell>
          <cell r="Z812">
            <v>0</v>
          </cell>
          <cell r="AA812">
            <v>3</v>
          </cell>
          <cell r="AB812">
            <v>0.13043478260869565</v>
          </cell>
          <cell r="AC812">
            <v>0.75</v>
          </cell>
          <cell r="AD812">
            <v>12</v>
          </cell>
        </row>
        <row r="813">
          <cell r="A813">
            <v>38</v>
          </cell>
          <cell r="B813">
            <v>2</v>
          </cell>
          <cell r="C813">
            <v>3</v>
          </cell>
          <cell r="D813">
            <v>7351</v>
          </cell>
          <cell r="E813">
            <v>7</v>
          </cell>
          <cell r="F813">
            <v>16</v>
          </cell>
          <cell r="G813">
            <v>3</v>
          </cell>
          <cell r="H813">
            <v>0</v>
          </cell>
          <cell r="I813">
            <v>10</v>
          </cell>
          <cell r="J813">
            <v>2</v>
          </cell>
          <cell r="K813">
            <v>1</v>
          </cell>
          <cell r="L813">
            <v>0</v>
          </cell>
          <cell r="M813">
            <v>0</v>
          </cell>
          <cell r="N813">
            <v>0</v>
          </cell>
          <cell r="O813">
            <v>0</v>
          </cell>
          <cell r="P813">
            <v>1</v>
          </cell>
          <cell r="Q813">
            <v>0</v>
          </cell>
          <cell r="R813">
            <v>0</v>
          </cell>
          <cell r="S813">
            <v>0</v>
          </cell>
          <cell r="T813">
            <v>0</v>
          </cell>
          <cell r="U813">
            <v>2</v>
          </cell>
          <cell r="V813">
            <v>0</v>
          </cell>
          <cell r="W813">
            <v>0</v>
          </cell>
          <cell r="X813">
            <v>0</v>
          </cell>
          <cell r="Y813">
            <v>0</v>
          </cell>
          <cell r="Z813">
            <v>0</v>
          </cell>
          <cell r="AA813">
            <v>8</v>
          </cell>
          <cell r="AB813">
            <v>0.7</v>
          </cell>
          <cell r="AC813">
            <v>0</v>
          </cell>
          <cell r="AD813">
            <v>24</v>
          </cell>
        </row>
        <row r="814">
          <cell r="A814">
            <v>43</v>
          </cell>
          <cell r="B814">
            <v>3</v>
          </cell>
          <cell r="C814">
            <v>3</v>
          </cell>
          <cell r="D814">
            <v>10820</v>
          </cell>
          <cell r="E814">
            <v>8</v>
          </cell>
          <cell r="F814">
            <v>11</v>
          </cell>
          <cell r="G814">
            <v>3</v>
          </cell>
          <cell r="H814">
            <v>1</v>
          </cell>
          <cell r="I814">
            <v>18</v>
          </cell>
          <cell r="J814">
            <v>1</v>
          </cell>
          <cell r="K814">
            <v>8</v>
          </cell>
          <cell r="L814">
            <v>7</v>
          </cell>
          <cell r="M814">
            <v>0</v>
          </cell>
          <cell r="N814">
            <v>1</v>
          </cell>
          <cell r="O814">
            <v>1</v>
          </cell>
          <cell r="P814">
            <v>0</v>
          </cell>
          <cell r="Q814">
            <v>0</v>
          </cell>
          <cell r="R814">
            <v>0</v>
          </cell>
          <cell r="S814">
            <v>0</v>
          </cell>
          <cell r="T814">
            <v>3</v>
          </cell>
          <cell r="U814">
            <v>0</v>
          </cell>
          <cell r="V814">
            <v>0</v>
          </cell>
          <cell r="W814">
            <v>0</v>
          </cell>
          <cell r="X814">
            <v>0</v>
          </cell>
          <cell r="Y814">
            <v>1</v>
          </cell>
          <cell r="Z814">
            <v>0</v>
          </cell>
          <cell r="AA814">
            <v>3</v>
          </cell>
          <cell r="AB814">
            <v>0.44444444444444442</v>
          </cell>
          <cell r="AC814">
            <v>0.875</v>
          </cell>
          <cell r="AD814">
            <v>9</v>
          </cell>
        </row>
        <row r="815">
          <cell r="A815">
            <v>39</v>
          </cell>
          <cell r="B815">
            <v>3</v>
          </cell>
          <cell r="C815">
            <v>3</v>
          </cell>
          <cell r="D815">
            <v>12169</v>
          </cell>
          <cell r="E815">
            <v>7</v>
          </cell>
          <cell r="F815">
            <v>11</v>
          </cell>
          <cell r="G815">
            <v>3</v>
          </cell>
          <cell r="H815">
            <v>3</v>
          </cell>
          <cell r="I815">
            <v>21</v>
          </cell>
          <cell r="J815">
            <v>4</v>
          </cell>
          <cell r="K815">
            <v>18</v>
          </cell>
          <cell r="L815">
            <v>7</v>
          </cell>
          <cell r="M815">
            <v>0</v>
          </cell>
          <cell r="N815">
            <v>0</v>
          </cell>
          <cell r="O815">
            <v>1</v>
          </cell>
          <cell r="P815">
            <v>0</v>
          </cell>
          <cell r="Q815">
            <v>0</v>
          </cell>
          <cell r="R815">
            <v>0</v>
          </cell>
          <cell r="S815">
            <v>0</v>
          </cell>
          <cell r="T815">
            <v>3</v>
          </cell>
          <cell r="U815">
            <v>0</v>
          </cell>
          <cell r="V815">
            <v>0</v>
          </cell>
          <cell r="W815">
            <v>0</v>
          </cell>
          <cell r="X815">
            <v>0</v>
          </cell>
          <cell r="Y815">
            <v>0</v>
          </cell>
          <cell r="Z815">
            <v>0</v>
          </cell>
          <cell r="AA815">
            <v>4</v>
          </cell>
          <cell r="AB815">
            <v>0.33333333333333331</v>
          </cell>
          <cell r="AC815">
            <v>0.3888888888888889</v>
          </cell>
          <cell r="AD815">
            <v>16</v>
          </cell>
        </row>
        <row r="816">
          <cell r="A816">
            <v>40</v>
          </cell>
          <cell r="B816">
            <v>3</v>
          </cell>
          <cell r="C816">
            <v>2</v>
          </cell>
          <cell r="D816">
            <v>19626</v>
          </cell>
          <cell r="E816">
            <v>1</v>
          </cell>
          <cell r="F816">
            <v>14</v>
          </cell>
          <cell r="G816">
            <v>3</v>
          </cell>
          <cell r="H816">
            <v>0</v>
          </cell>
          <cell r="I816">
            <v>21</v>
          </cell>
          <cell r="J816">
            <v>2</v>
          </cell>
          <cell r="K816">
            <v>20</v>
          </cell>
          <cell r="L816">
            <v>7</v>
          </cell>
          <cell r="M816">
            <v>0</v>
          </cell>
          <cell r="N816">
            <v>0</v>
          </cell>
          <cell r="O816">
            <v>0</v>
          </cell>
          <cell r="P816">
            <v>0</v>
          </cell>
          <cell r="Q816">
            <v>1</v>
          </cell>
          <cell r="R816">
            <v>0</v>
          </cell>
          <cell r="S816">
            <v>0</v>
          </cell>
          <cell r="T816">
            <v>0</v>
          </cell>
          <cell r="U816">
            <v>0</v>
          </cell>
          <cell r="V816">
            <v>3</v>
          </cell>
          <cell r="W816">
            <v>0</v>
          </cell>
          <cell r="X816">
            <v>0</v>
          </cell>
          <cell r="Y816">
            <v>0</v>
          </cell>
          <cell r="Z816">
            <v>0</v>
          </cell>
          <cell r="AA816">
            <v>9</v>
          </cell>
          <cell r="AB816">
            <v>4.7619047619047616E-2</v>
          </cell>
          <cell r="AC816">
            <v>0.35</v>
          </cell>
          <cell r="AD816">
            <v>9</v>
          </cell>
        </row>
        <row r="817">
          <cell r="A817">
            <v>21</v>
          </cell>
          <cell r="B817">
            <v>1</v>
          </cell>
          <cell r="C817">
            <v>2</v>
          </cell>
          <cell r="D817">
            <v>2070</v>
          </cell>
          <cell r="E817">
            <v>1</v>
          </cell>
          <cell r="F817">
            <v>11</v>
          </cell>
          <cell r="G817">
            <v>3</v>
          </cell>
          <cell r="H817">
            <v>0</v>
          </cell>
          <cell r="I817">
            <v>2</v>
          </cell>
          <cell r="J817">
            <v>6</v>
          </cell>
          <cell r="K817">
            <v>2</v>
          </cell>
          <cell r="L817">
            <v>2</v>
          </cell>
          <cell r="M817">
            <v>1</v>
          </cell>
          <cell r="N817">
            <v>1</v>
          </cell>
          <cell r="O817">
            <v>0</v>
          </cell>
          <cell r="P817">
            <v>0</v>
          </cell>
          <cell r="Q817">
            <v>0</v>
          </cell>
          <cell r="R817">
            <v>0</v>
          </cell>
          <cell r="S817">
            <v>1</v>
          </cell>
          <cell r="T817">
            <v>0</v>
          </cell>
          <cell r="U817">
            <v>0</v>
          </cell>
          <cell r="V817">
            <v>0</v>
          </cell>
          <cell r="W817">
            <v>0</v>
          </cell>
          <cell r="X817">
            <v>1</v>
          </cell>
          <cell r="Y817">
            <v>0</v>
          </cell>
          <cell r="Z817">
            <v>0</v>
          </cell>
          <cell r="AA817">
            <v>8</v>
          </cell>
          <cell r="AB817">
            <v>0.5</v>
          </cell>
          <cell r="AC817">
            <v>1</v>
          </cell>
          <cell r="AD817">
            <v>24</v>
          </cell>
        </row>
        <row r="818">
          <cell r="A818">
            <v>39</v>
          </cell>
          <cell r="B818">
            <v>3</v>
          </cell>
          <cell r="C818">
            <v>3</v>
          </cell>
          <cell r="D818">
            <v>6782</v>
          </cell>
          <cell r="E818">
            <v>9</v>
          </cell>
          <cell r="F818">
            <v>15</v>
          </cell>
          <cell r="G818">
            <v>3</v>
          </cell>
          <cell r="H818">
            <v>0</v>
          </cell>
          <cell r="I818">
            <v>9</v>
          </cell>
          <cell r="J818">
            <v>2</v>
          </cell>
          <cell r="K818">
            <v>5</v>
          </cell>
          <cell r="L818">
            <v>4</v>
          </cell>
          <cell r="M818">
            <v>0</v>
          </cell>
          <cell r="N818">
            <v>0</v>
          </cell>
          <cell r="O818">
            <v>1</v>
          </cell>
          <cell r="P818">
            <v>0</v>
          </cell>
          <cell r="Q818">
            <v>0</v>
          </cell>
          <cell r="R818">
            <v>0</v>
          </cell>
          <cell r="S818">
            <v>0</v>
          </cell>
          <cell r="T818">
            <v>3</v>
          </cell>
          <cell r="U818">
            <v>0</v>
          </cell>
          <cell r="V818">
            <v>0</v>
          </cell>
          <cell r="W818">
            <v>0</v>
          </cell>
          <cell r="X818">
            <v>0</v>
          </cell>
          <cell r="Y818">
            <v>0</v>
          </cell>
          <cell r="Z818">
            <v>0</v>
          </cell>
          <cell r="AA818">
            <v>6</v>
          </cell>
          <cell r="AB818">
            <v>1</v>
          </cell>
          <cell r="AC818">
            <v>0.8</v>
          </cell>
          <cell r="AD818">
            <v>18</v>
          </cell>
        </row>
        <row r="819">
          <cell r="A819">
            <v>36</v>
          </cell>
          <cell r="B819">
            <v>4</v>
          </cell>
          <cell r="C819">
            <v>3</v>
          </cell>
          <cell r="D819">
            <v>7779</v>
          </cell>
          <cell r="E819">
            <v>2</v>
          </cell>
          <cell r="F819">
            <v>20</v>
          </cell>
          <cell r="G819">
            <v>4</v>
          </cell>
          <cell r="H819">
            <v>0</v>
          </cell>
          <cell r="I819">
            <v>18</v>
          </cell>
          <cell r="J819">
            <v>0</v>
          </cell>
          <cell r="K819">
            <v>11</v>
          </cell>
          <cell r="L819">
            <v>9</v>
          </cell>
          <cell r="M819">
            <v>0</v>
          </cell>
          <cell r="N819">
            <v>0</v>
          </cell>
          <cell r="O819">
            <v>1</v>
          </cell>
          <cell r="P819">
            <v>0</v>
          </cell>
          <cell r="Q819">
            <v>0</v>
          </cell>
          <cell r="R819">
            <v>0</v>
          </cell>
          <cell r="S819">
            <v>0</v>
          </cell>
          <cell r="T819">
            <v>4</v>
          </cell>
          <cell r="U819">
            <v>0</v>
          </cell>
          <cell r="V819">
            <v>0</v>
          </cell>
          <cell r="W819">
            <v>0</v>
          </cell>
          <cell r="X819">
            <v>0</v>
          </cell>
          <cell r="Y819">
            <v>0</v>
          </cell>
          <cell r="Z819">
            <v>0</v>
          </cell>
          <cell r="AA819">
            <v>4</v>
          </cell>
          <cell r="AB819">
            <v>0.1111111111111111</v>
          </cell>
          <cell r="AC819">
            <v>0.81818181818181823</v>
          </cell>
          <cell r="AD819">
            <v>4</v>
          </cell>
        </row>
        <row r="820">
          <cell r="A820">
            <v>31</v>
          </cell>
          <cell r="B820">
            <v>3</v>
          </cell>
          <cell r="C820">
            <v>4</v>
          </cell>
          <cell r="D820">
            <v>2791</v>
          </cell>
          <cell r="E820">
            <v>0</v>
          </cell>
          <cell r="F820">
            <v>12</v>
          </cell>
          <cell r="G820">
            <v>3</v>
          </cell>
          <cell r="H820">
            <v>1</v>
          </cell>
          <cell r="I820">
            <v>3</v>
          </cell>
          <cell r="J820">
            <v>4</v>
          </cell>
          <cell r="K820">
            <v>2</v>
          </cell>
          <cell r="L820">
            <v>2</v>
          </cell>
          <cell r="M820">
            <v>0</v>
          </cell>
          <cell r="N820">
            <v>0</v>
          </cell>
          <cell r="O820">
            <v>1</v>
          </cell>
          <cell r="P820">
            <v>0</v>
          </cell>
          <cell r="Q820">
            <v>0</v>
          </cell>
          <cell r="R820">
            <v>0</v>
          </cell>
          <cell r="S820">
            <v>0</v>
          </cell>
          <cell r="T820">
            <v>3</v>
          </cell>
          <cell r="U820">
            <v>0</v>
          </cell>
          <cell r="V820">
            <v>0</v>
          </cell>
          <cell r="W820">
            <v>0</v>
          </cell>
          <cell r="X820">
            <v>0</v>
          </cell>
          <cell r="Y820">
            <v>1</v>
          </cell>
          <cell r="Z820">
            <v>0</v>
          </cell>
          <cell r="AA820">
            <v>12</v>
          </cell>
          <cell r="AB820">
            <v>0</v>
          </cell>
          <cell r="AC820">
            <v>1</v>
          </cell>
          <cell r="AD820">
            <v>12</v>
          </cell>
        </row>
        <row r="821">
          <cell r="A821">
            <v>28</v>
          </cell>
          <cell r="B821">
            <v>1</v>
          </cell>
          <cell r="C821">
            <v>2</v>
          </cell>
          <cell r="D821">
            <v>3201</v>
          </cell>
          <cell r="E821">
            <v>0</v>
          </cell>
          <cell r="F821">
            <v>17</v>
          </cell>
          <cell r="G821">
            <v>3</v>
          </cell>
          <cell r="H821">
            <v>0</v>
          </cell>
          <cell r="I821">
            <v>6</v>
          </cell>
          <cell r="J821">
            <v>2</v>
          </cell>
          <cell r="K821">
            <v>5</v>
          </cell>
          <cell r="L821">
            <v>3</v>
          </cell>
          <cell r="M821">
            <v>0</v>
          </cell>
          <cell r="N821">
            <v>0</v>
          </cell>
          <cell r="O821">
            <v>1</v>
          </cell>
          <cell r="P821">
            <v>0</v>
          </cell>
          <cell r="Q821">
            <v>0</v>
          </cell>
          <cell r="R821">
            <v>0</v>
          </cell>
          <cell r="S821">
            <v>0</v>
          </cell>
          <cell r="T821">
            <v>1</v>
          </cell>
          <cell r="U821">
            <v>0</v>
          </cell>
          <cell r="V821">
            <v>0</v>
          </cell>
          <cell r="W821">
            <v>0</v>
          </cell>
          <cell r="X821">
            <v>0</v>
          </cell>
          <cell r="Y821">
            <v>0</v>
          </cell>
          <cell r="Z821">
            <v>0</v>
          </cell>
          <cell r="AA821">
            <v>2</v>
          </cell>
          <cell r="AB821">
            <v>0</v>
          </cell>
          <cell r="AC821">
            <v>0.6</v>
          </cell>
          <cell r="AD821">
            <v>2</v>
          </cell>
        </row>
        <row r="822">
          <cell r="A822">
            <v>35</v>
          </cell>
          <cell r="B822">
            <v>2</v>
          </cell>
          <cell r="C822">
            <v>3</v>
          </cell>
          <cell r="D822">
            <v>4968</v>
          </cell>
          <cell r="E822">
            <v>1</v>
          </cell>
          <cell r="F822">
            <v>11</v>
          </cell>
          <cell r="G822">
            <v>3</v>
          </cell>
          <cell r="H822">
            <v>1</v>
          </cell>
          <cell r="I822">
            <v>5</v>
          </cell>
          <cell r="J822">
            <v>3</v>
          </cell>
          <cell r="K822">
            <v>5</v>
          </cell>
          <cell r="L822">
            <v>2</v>
          </cell>
          <cell r="M822">
            <v>0</v>
          </cell>
          <cell r="N822">
            <v>0</v>
          </cell>
          <cell r="O822">
            <v>0</v>
          </cell>
          <cell r="P822">
            <v>1</v>
          </cell>
          <cell r="Q822">
            <v>0</v>
          </cell>
          <cell r="R822">
            <v>0</v>
          </cell>
          <cell r="S822">
            <v>0</v>
          </cell>
          <cell r="T822">
            <v>0</v>
          </cell>
          <cell r="U822">
            <v>2</v>
          </cell>
          <cell r="V822">
            <v>0</v>
          </cell>
          <cell r="W822">
            <v>0</v>
          </cell>
          <cell r="X822">
            <v>0</v>
          </cell>
          <cell r="Y822">
            <v>0</v>
          </cell>
          <cell r="Z822">
            <v>0</v>
          </cell>
          <cell r="AA822">
            <v>16</v>
          </cell>
          <cell r="AB822">
            <v>0.2</v>
          </cell>
          <cell r="AC822">
            <v>0.4</v>
          </cell>
          <cell r="AD822">
            <v>64</v>
          </cell>
        </row>
        <row r="823">
          <cell r="A823">
            <v>49</v>
          </cell>
          <cell r="B823">
            <v>4</v>
          </cell>
          <cell r="C823">
            <v>2</v>
          </cell>
          <cell r="D823">
            <v>13120</v>
          </cell>
          <cell r="E823">
            <v>6</v>
          </cell>
          <cell r="F823">
            <v>17</v>
          </cell>
          <cell r="G823">
            <v>3</v>
          </cell>
          <cell r="H823">
            <v>1</v>
          </cell>
          <cell r="I823">
            <v>22</v>
          </cell>
          <cell r="J823">
            <v>3</v>
          </cell>
          <cell r="K823">
            <v>9</v>
          </cell>
          <cell r="L823">
            <v>8</v>
          </cell>
          <cell r="M823">
            <v>0</v>
          </cell>
          <cell r="N823">
            <v>0</v>
          </cell>
          <cell r="O823">
            <v>0</v>
          </cell>
          <cell r="P823">
            <v>0</v>
          </cell>
          <cell r="Q823">
            <v>0</v>
          </cell>
          <cell r="R823">
            <v>0</v>
          </cell>
          <cell r="S823">
            <v>1</v>
          </cell>
          <cell r="T823">
            <v>0</v>
          </cell>
          <cell r="U823">
            <v>0</v>
          </cell>
          <cell r="V823">
            <v>0</v>
          </cell>
          <cell r="W823">
            <v>0</v>
          </cell>
          <cell r="X823">
            <v>4</v>
          </cell>
          <cell r="Y823">
            <v>0</v>
          </cell>
          <cell r="Z823">
            <v>0</v>
          </cell>
          <cell r="AA823">
            <v>8</v>
          </cell>
          <cell r="AB823">
            <v>0.27272727272727271</v>
          </cell>
          <cell r="AC823">
            <v>0.88888888888888884</v>
          </cell>
          <cell r="AD823">
            <v>16</v>
          </cell>
        </row>
        <row r="824">
          <cell r="A824">
            <v>34</v>
          </cell>
          <cell r="B824">
            <v>2</v>
          </cell>
          <cell r="C824">
            <v>3</v>
          </cell>
          <cell r="D824">
            <v>4033</v>
          </cell>
          <cell r="E824">
            <v>2</v>
          </cell>
          <cell r="F824">
            <v>11</v>
          </cell>
          <cell r="G824">
            <v>3</v>
          </cell>
          <cell r="H824">
            <v>0</v>
          </cell>
          <cell r="I824">
            <v>5</v>
          </cell>
          <cell r="J824">
            <v>3</v>
          </cell>
          <cell r="K824">
            <v>3</v>
          </cell>
          <cell r="L824">
            <v>2</v>
          </cell>
          <cell r="M824">
            <v>0</v>
          </cell>
          <cell r="N824">
            <v>0</v>
          </cell>
          <cell r="O824">
            <v>1</v>
          </cell>
          <cell r="P824">
            <v>0</v>
          </cell>
          <cell r="Q824">
            <v>0</v>
          </cell>
          <cell r="R824">
            <v>0</v>
          </cell>
          <cell r="S824">
            <v>0</v>
          </cell>
          <cell r="T824">
            <v>2</v>
          </cell>
          <cell r="U824">
            <v>0</v>
          </cell>
          <cell r="V824">
            <v>0</v>
          </cell>
          <cell r="W824">
            <v>0</v>
          </cell>
          <cell r="X824">
            <v>0</v>
          </cell>
          <cell r="Y824">
            <v>0</v>
          </cell>
          <cell r="Z824">
            <v>0</v>
          </cell>
          <cell r="AA824">
            <v>12</v>
          </cell>
          <cell r="AB824">
            <v>0.4</v>
          </cell>
          <cell r="AC824">
            <v>0.66666666666666663</v>
          </cell>
          <cell r="AD824">
            <v>48</v>
          </cell>
        </row>
        <row r="825">
          <cell r="A825">
            <v>29</v>
          </cell>
          <cell r="B825">
            <v>3</v>
          </cell>
          <cell r="C825">
            <v>3</v>
          </cell>
          <cell r="D825">
            <v>3291</v>
          </cell>
          <cell r="E825">
            <v>0</v>
          </cell>
          <cell r="F825">
            <v>14</v>
          </cell>
          <cell r="G825">
            <v>3</v>
          </cell>
          <cell r="H825">
            <v>2</v>
          </cell>
          <cell r="I825">
            <v>8</v>
          </cell>
          <cell r="J825">
            <v>2</v>
          </cell>
          <cell r="K825">
            <v>7</v>
          </cell>
          <cell r="L825">
            <v>5</v>
          </cell>
          <cell r="M825">
            <v>0</v>
          </cell>
          <cell r="N825">
            <v>1</v>
          </cell>
          <cell r="O825">
            <v>1</v>
          </cell>
          <cell r="P825">
            <v>0</v>
          </cell>
          <cell r="Q825">
            <v>0</v>
          </cell>
          <cell r="R825">
            <v>0</v>
          </cell>
          <cell r="S825">
            <v>0</v>
          </cell>
          <cell r="T825">
            <v>3</v>
          </cell>
          <cell r="U825">
            <v>0</v>
          </cell>
          <cell r="V825">
            <v>0</v>
          </cell>
          <cell r="W825">
            <v>0</v>
          </cell>
          <cell r="X825">
            <v>0</v>
          </cell>
          <cell r="Y825">
            <v>0</v>
          </cell>
          <cell r="Z825">
            <v>0</v>
          </cell>
          <cell r="AA825">
            <v>8</v>
          </cell>
          <cell r="AB825">
            <v>0</v>
          </cell>
          <cell r="AC825">
            <v>0.7142857142857143</v>
          </cell>
          <cell r="AD825">
            <v>32</v>
          </cell>
        </row>
        <row r="826">
          <cell r="A826">
            <v>42</v>
          </cell>
          <cell r="B826">
            <v>3</v>
          </cell>
          <cell r="C826">
            <v>1</v>
          </cell>
          <cell r="D826">
            <v>4272</v>
          </cell>
          <cell r="E826">
            <v>4</v>
          </cell>
          <cell r="F826">
            <v>19</v>
          </cell>
          <cell r="G826">
            <v>3</v>
          </cell>
          <cell r="H826">
            <v>0</v>
          </cell>
          <cell r="I826">
            <v>16</v>
          </cell>
          <cell r="J826">
            <v>3</v>
          </cell>
          <cell r="K826">
            <v>1</v>
          </cell>
          <cell r="L826">
            <v>0</v>
          </cell>
          <cell r="M826">
            <v>0</v>
          </cell>
          <cell r="N826">
            <v>0</v>
          </cell>
          <cell r="O826">
            <v>0</v>
          </cell>
          <cell r="P826">
            <v>0</v>
          </cell>
          <cell r="Q826">
            <v>1</v>
          </cell>
          <cell r="R826">
            <v>0</v>
          </cell>
          <cell r="S826">
            <v>0</v>
          </cell>
          <cell r="T826">
            <v>0</v>
          </cell>
          <cell r="U826">
            <v>0</v>
          </cell>
          <cell r="V826">
            <v>3</v>
          </cell>
          <cell r="W826">
            <v>0</v>
          </cell>
          <cell r="X826">
            <v>0</v>
          </cell>
          <cell r="Y826">
            <v>0</v>
          </cell>
          <cell r="Z826">
            <v>0</v>
          </cell>
          <cell r="AA826">
            <v>8</v>
          </cell>
          <cell r="AB826">
            <v>0.25</v>
          </cell>
          <cell r="AC826">
            <v>0</v>
          </cell>
          <cell r="AD826">
            <v>8</v>
          </cell>
        </row>
        <row r="827">
          <cell r="A827">
            <v>29</v>
          </cell>
          <cell r="B827">
            <v>1</v>
          </cell>
          <cell r="C827">
            <v>2</v>
          </cell>
          <cell r="D827">
            <v>5056</v>
          </cell>
          <cell r="E827">
            <v>1</v>
          </cell>
          <cell r="F827">
            <v>15</v>
          </cell>
          <cell r="G827">
            <v>3</v>
          </cell>
          <cell r="H827">
            <v>1</v>
          </cell>
          <cell r="I827">
            <v>10</v>
          </cell>
          <cell r="J827">
            <v>2</v>
          </cell>
          <cell r="K827">
            <v>10</v>
          </cell>
          <cell r="L827">
            <v>7</v>
          </cell>
          <cell r="M827">
            <v>1</v>
          </cell>
          <cell r="N827">
            <v>0</v>
          </cell>
          <cell r="O827">
            <v>0</v>
          </cell>
          <cell r="P827">
            <v>0</v>
          </cell>
          <cell r="Q827">
            <v>1</v>
          </cell>
          <cell r="R827">
            <v>0</v>
          </cell>
          <cell r="S827">
            <v>0</v>
          </cell>
          <cell r="T827">
            <v>0</v>
          </cell>
          <cell r="U827">
            <v>0</v>
          </cell>
          <cell r="V827">
            <v>1</v>
          </cell>
          <cell r="W827">
            <v>0</v>
          </cell>
          <cell r="X827">
            <v>0</v>
          </cell>
          <cell r="Y827">
            <v>0</v>
          </cell>
          <cell r="Z827">
            <v>1</v>
          </cell>
          <cell r="AA827">
            <v>8</v>
          </cell>
          <cell r="AB827">
            <v>0.1</v>
          </cell>
          <cell r="AC827">
            <v>0.7</v>
          </cell>
          <cell r="AD827">
            <v>24</v>
          </cell>
        </row>
        <row r="828">
          <cell r="A828">
            <v>38</v>
          </cell>
          <cell r="B828">
            <v>3</v>
          </cell>
          <cell r="C828">
            <v>4</v>
          </cell>
          <cell r="D828">
            <v>2844</v>
          </cell>
          <cell r="E828">
            <v>1</v>
          </cell>
          <cell r="F828">
            <v>13</v>
          </cell>
          <cell r="G828">
            <v>3</v>
          </cell>
          <cell r="H828">
            <v>1</v>
          </cell>
          <cell r="I828">
            <v>7</v>
          </cell>
          <cell r="J828">
            <v>2</v>
          </cell>
          <cell r="K828">
            <v>7</v>
          </cell>
          <cell r="L828">
            <v>6</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9</v>
          </cell>
          <cell r="AB828">
            <v>0.14285714285714285</v>
          </cell>
          <cell r="AC828">
            <v>0.8571428571428571</v>
          </cell>
          <cell r="AD828">
            <v>36</v>
          </cell>
        </row>
        <row r="829">
          <cell r="A829">
            <v>28</v>
          </cell>
          <cell r="B829">
            <v>3</v>
          </cell>
          <cell r="C829">
            <v>2</v>
          </cell>
          <cell r="D829">
            <v>2703</v>
          </cell>
          <cell r="E829">
            <v>1</v>
          </cell>
          <cell r="F829">
            <v>14</v>
          </cell>
          <cell r="G829">
            <v>3</v>
          </cell>
          <cell r="H829">
            <v>1</v>
          </cell>
          <cell r="I829">
            <v>3</v>
          </cell>
          <cell r="J829">
            <v>2</v>
          </cell>
          <cell r="K829">
            <v>3</v>
          </cell>
          <cell r="L829">
            <v>1</v>
          </cell>
          <cell r="M829">
            <v>1</v>
          </cell>
          <cell r="N829">
            <v>0</v>
          </cell>
          <cell r="O829">
            <v>1</v>
          </cell>
          <cell r="P829">
            <v>0</v>
          </cell>
          <cell r="Q829">
            <v>0</v>
          </cell>
          <cell r="R829">
            <v>0</v>
          </cell>
          <cell r="S829">
            <v>0</v>
          </cell>
          <cell r="T829">
            <v>3</v>
          </cell>
          <cell r="U829">
            <v>0</v>
          </cell>
          <cell r="V829">
            <v>0</v>
          </cell>
          <cell r="W829">
            <v>0</v>
          </cell>
          <cell r="X829">
            <v>0</v>
          </cell>
          <cell r="Y829">
            <v>0</v>
          </cell>
          <cell r="Z829">
            <v>0</v>
          </cell>
          <cell r="AA829">
            <v>9</v>
          </cell>
          <cell r="AB829">
            <v>0.33333333333333331</v>
          </cell>
          <cell r="AC829">
            <v>0.33333333333333331</v>
          </cell>
          <cell r="AD829">
            <v>36</v>
          </cell>
        </row>
        <row r="830">
          <cell r="A830">
            <v>18</v>
          </cell>
          <cell r="B830">
            <v>1</v>
          </cell>
          <cell r="C830">
            <v>3</v>
          </cell>
          <cell r="D830">
            <v>1904</v>
          </cell>
          <cell r="E830">
            <v>1</v>
          </cell>
          <cell r="F830">
            <v>12</v>
          </cell>
          <cell r="G830">
            <v>3</v>
          </cell>
          <cell r="H830">
            <v>0</v>
          </cell>
          <cell r="I830">
            <v>0</v>
          </cell>
          <cell r="J830">
            <v>0</v>
          </cell>
          <cell r="K830">
            <v>0</v>
          </cell>
          <cell r="L830">
            <v>0</v>
          </cell>
          <cell r="M830">
            <v>0</v>
          </cell>
          <cell r="N830">
            <v>0</v>
          </cell>
          <cell r="O830">
            <v>0</v>
          </cell>
          <cell r="P830">
            <v>0</v>
          </cell>
          <cell r="Q830">
            <v>1</v>
          </cell>
          <cell r="R830">
            <v>0</v>
          </cell>
          <cell r="S830">
            <v>0</v>
          </cell>
          <cell r="T830">
            <v>0</v>
          </cell>
          <cell r="U830">
            <v>0</v>
          </cell>
          <cell r="V830">
            <v>1</v>
          </cell>
          <cell r="W830">
            <v>0</v>
          </cell>
          <cell r="X830">
            <v>0</v>
          </cell>
          <cell r="Y830">
            <v>0</v>
          </cell>
          <cell r="Z830">
            <v>0</v>
          </cell>
          <cell r="AA830">
            <v>9</v>
          </cell>
          <cell r="AB830">
            <v>0</v>
          </cell>
          <cell r="AC830">
            <v>0</v>
          </cell>
          <cell r="AD830">
            <v>36</v>
          </cell>
        </row>
        <row r="831">
          <cell r="A831">
            <v>33</v>
          </cell>
          <cell r="B831">
            <v>4</v>
          </cell>
          <cell r="C831">
            <v>3</v>
          </cell>
          <cell r="D831">
            <v>8224</v>
          </cell>
          <cell r="E831">
            <v>0</v>
          </cell>
          <cell r="F831">
            <v>17</v>
          </cell>
          <cell r="G831">
            <v>3</v>
          </cell>
          <cell r="H831">
            <v>0</v>
          </cell>
          <cell r="I831">
            <v>6</v>
          </cell>
          <cell r="J831">
            <v>3</v>
          </cell>
          <cell r="K831">
            <v>5</v>
          </cell>
          <cell r="L831">
            <v>2</v>
          </cell>
          <cell r="M831">
            <v>1</v>
          </cell>
          <cell r="N831">
            <v>1</v>
          </cell>
          <cell r="O831">
            <v>0</v>
          </cell>
          <cell r="P831">
            <v>1</v>
          </cell>
          <cell r="Q831">
            <v>0</v>
          </cell>
          <cell r="R831">
            <v>0</v>
          </cell>
          <cell r="S831">
            <v>0</v>
          </cell>
          <cell r="T831">
            <v>0</v>
          </cell>
          <cell r="U831">
            <v>4</v>
          </cell>
          <cell r="V831">
            <v>0</v>
          </cell>
          <cell r="W831">
            <v>0</v>
          </cell>
          <cell r="X831">
            <v>0</v>
          </cell>
          <cell r="Y831">
            <v>0</v>
          </cell>
          <cell r="Z831">
            <v>0</v>
          </cell>
          <cell r="AA831">
            <v>1</v>
          </cell>
          <cell r="AB831">
            <v>0</v>
          </cell>
          <cell r="AC831">
            <v>0.4</v>
          </cell>
          <cell r="AD831">
            <v>1</v>
          </cell>
        </row>
        <row r="832">
          <cell r="A832">
            <v>41</v>
          </cell>
          <cell r="B832">
            <v>4</v>
          </cell>
          <cell r="C832">
            <v>3</v>
          </cell>
          <cell r="D832">
            <v>4766</v>
          </cell>
          <cell r="E832">
            <v>3</v>
          </cell>
          <cell r="F832">
            <v>11</v>
          </cell>
          <cell r="G832">
            <v>3</v>
          </cell>
          <cell r="H832">
            <v>1</v>
          </cell>
          <cell r="I832">
            <v>6</v>
          </cell>
          <cell r="J832">
            <v>4</v>
          </cell>
          <cell r="K832">
            <v>1</v>
          </cell>
          <cell r="L832">
            <v>0</v>
          </cell>
          <cell r="M832">
            <v>1</v>
          </cell>
          <cell r="N832">
            <v>0</v>
          </cell>
          <cell r="O832">
            <v>1</v>
          </cell>
          <cell r="P832">
            <v>0</v>
          </cell>
          <cell r="Q832">
            <v>0</v>
          </cell>
          <cell r="R832">
            <v>0</v>
          </cell>
          <cell r="S832">
            <v>0</v>
          </cell>
          <cell r="T832">
            <v>4</v>
          </cell>
          <cell r="U832">
            <v>0</v>
          </cell>
          <cell r="V832">
            <v>0</v>
          </cell>
          <cell r="W832">
            <v>0</v>
          </cell>
          <cell r="X832">
            <v>0</v>
          </cell>
          <cell r="Y832">
            <v>0</v>
          </cell>
          <cell r="Z832">
            <v>1</v>
          </cell>
          <cell r="AA832">
            <v>8</v>
          </cell>
          <cell r="AB832">
            <v>0.5</v>
          </cell>
          <cell r="AC832">
            <v>0</v>
          </cell>
          <cell r="AD832">
            <v>8</v>
          </cell>
        </row>
        <row r="833">
          <cell r="A833">
            <v>31</v>
          </cell>
          <cell r="B833">
            <v>3</v>
          </cell>
          <cell r="C833">
            <v>3</v>
          </cell>
          <cell r="D833">
            <v>2610</v>
          </cell>
          <cell r="E833">
            <v>1</v>
          </cell>
          <cell r="F833">
            <v>12</v>
          </cell>
          <cell r="G833">
            <v>3</v>
          </cell>
          <cell r="H833">
            <v>1</v>
          </cell>
          <cell r="I833">
            <v>2</v>
          </cell>
          <cell r="J833">
            <v>5</v>
          </cell>
          <cell r="K833">
            <v>2</v>
          </cell>
          <cell r="L833">
            <v>2</v>
          </cell>
          <cell r="M833">
            <v>0</v>
          </cell>
          <cell r="N833">
            <v>0</v>
          </cell>
          <cell r="O833">
            <v>0</v>
          </cell>
          <cell r="P833">
            <v>0</v>
          </cell>
          <cell r="Q833">
            <v>1</v>
          </cell>
          <cell r="R833">
            <v>0</v>
          </cell>
          <cell r="S833">
            <v>0</v>
          </cell>
          <cell r="T833">
            <v>0</v>
          </cell>
          <cell r="U833">
            <v>0</v>
          </cell>
          <cell r="V833">
            <v>3</v>
          </cell>
          <cell r="W833">
            <v>0</v>
          </cell>
          <cell r="X833">
            <v>0</v>
          </cell>
          <cell r="Y833">
            <v>1</v>
          </cell>
          <cell r="Z833">
            <v>0</v>
          </cell>
          <cell r="AA833">
            <v>9</v>
          </cell>
          <cell r="AB833">
            <v>0.5</v>
          </cell>
          <cell r="AC833">
            <v>1</v>
          </cell>
          <cell r="AD833">
            <v>27</v>
          </cell>
        </row>
        <row r="834">
          <cell r="A834">
            <v>37</v>
          </cell>
          <cell r="B834">
            <v>2</v>
          </cell>
          <cell r="C834">
            <v>2</v>
          </cell>
          <cell r="D834">
            <v>5731</v>
          </cell>
          <cell r="E834">
            <v>7</v>
          </cell>
          <cell r="F834">
            <v>13</v>
          </cell>
          <cell r="G834">
            <v>3</v>
          </cell>
          <cell r="H834">
            <v>2</v>
          </cell>
          <cell r="I834">
            <v>9</v>
          </cell>
          <cell r="J834">
            <v>2</v>
          </cell>
          <cell r="K834">
            <v>6</v>
          </cell>
          <cell r="L834">
            <v>2</v>
          </cell>
          <cell r="M834">
            <v>0</v>
          </cell>
          <cell r="N834">
            <v>1</v>
          </cell>
          <cell r="O834">
            <v>0</v>
          </cell>
          <cell r="P834">
            <v>0</v>
          </cell>
          <cell r="Q834">
            <v>1</v>
          </cell>
          <cell r="R834">
            <v>0</v>
          </cell>
          <cell r="S834">
            <v>0</v>
          </cell>
          <cell r="T834">
            <v>0</v>
          </cell>
          <cell r="U834">
            <v>0</v>
          </cell>
          <cell r="V834">
            <v>2</v>
          </cell>
          <cell r="W834">
            <v>0</v>
          </cell>
          <cell r="X834">
            <v>0</v>
          </cell>
          <cell r="Y834">
            <v>0</v>
          </cell>
          <cell r="Z834">
            <v>0</v>
          </cell>
          <cell r="AA834">
            <v>12</v>
          </cell>
          <cell r="AB834">
            <v>0.77777777777777779</v>
          </cell>
          <cell r="AC834">
            <v>0.33333333333333331</v>
          </cell>
          <cell r="AD834">
            <v>36</v>
          </cell>
        </row>
        <row r="835">
          <cell r="A835">
            <v>27</v>
          </cell>
          <cell r="B835">
            <v>3</v>
          </cell>
          <cell r="C835">
            <v>2</v>
          </cell>
          <cell r="D835">
            <v>2539</v>
          </cell>
          <cell r="E835">
            <v>1</v>
          </cell>
          <cell r="F835">
            <v>13</v>
          </cell>
          <cell r="G835">
            <v>3</v>
          </cell>
          <cell r="H835">
            <v>1</v>
          </cell>
          <cell r="I835">
            <v>4</v>
          </cell>
          <cell r="J835">
            <v>0</v>
          </cell>
          <cell r="K835">
            <v>4</v>
          </cell>
          <cell r="L835">
            <v>2</v>
          </cell>
          <cell r="M835">
            <v>0</v>
          </cell>
          <cell r="N835">
            <v>0</v>
          </cell>
          <cell r="O835">
            <v>1</v>
          </cell>
          <cell r="P835">
            <v>0</v>
          </cell>
          <cell r="Q835">
            <v>0</v>
          </cell>
          <cell r="R835">
            <v>0</v>
          </cell>
          <cell r="S835">
            <v>0</v>
          </cell>
          <cell r="T835">
            <v>3</v>
          </cell>
          <cell r="U835">
            <v>0</v>
          </cell>
          <cell r="V835">
            <v>0</v>
          </cell>
          <cell r="W835">
            <v>0</v>
          </cell>
          <cell r="X835">
            <v>0</v>
          </cell>
          <cell r="Y835">
            <v>0</v>
          </cell>
          <cell r="Z835">
            <v>0</v>
          </cell>
          <cell r="AA835">
            <v>12</v>
          </cell>
          <cell r="AB835">
            <v>0.25</v>
          </cell>
          <cell r="AC835">
            <v>0.5</v>
          </cell>
          <cell r="AD835">
            <v>36</v>
          </cell>
        </row>
        <row r="836">
          <cell r="A836">
            <v>34</v>
          </cell>
          <cell r="B836">
            <v>1</v>
          </cell>
          <cell r="C836">
            <v>3</v>
          </cell>
          <cell r="D836">
            <v>5714</v>
          </cell>
          <cell r="E836">
            <v>1</v>
          </cell>
          <cell r="F836">
            <v>20</v>
          </cell>
          <cell r="G836">
            <v>4</v>
          </cell>
          <cell r="H836">
            <v>0</v>
          </cell>
          <cell r="I836">
            <v>6</v>
          </cell>
          <cell r="J836">
            <v>3</v>
          </cell>
          <cell r="K836">
            <v>6</v>
          </cell>
          <cell r="L836">
            <v>5</v>
          </cell>
          <cell r="M836">
            <v>0</v>
          </cell>
          <cell r="N836">
            <v>1</v>
          </cell>
          <cell r="O836">
            <v>1</v>
          </cell>
          <cell r="P836">
            <v>0</v>
          </cell>
          <cell r="Q836">
            <v>0</v>
          </cell>
          <cell r="R836">
            <v>0</v>
          </cell>
          <cell r="S836">
            <v>0</v>
          </cell>
          <cell r="T836">
            <v>1</v>
          </cell>
          <cell r="U836">
            <v>0</v>
          </cell>
          <cell r="V836">
            <v>0</v>
          </cell>
          <cell r="W836">
            <v>0</v>
          </cell>
          <cell r="X836">
            <v>0</v>
          </cell>
          <cell r="Y836">
            <v>0</v>
          </cell>
          <cell r="Z836">
            <v>0</v>
          </cell>
          <cell r="AA836">
            <v>6</v>
          </cell>
          <cell r="AB836">
            <v>0.16666666666666666</v>
          </cell>
          <cell r="AC836">
            <v>0.83333333333333337</v>
          </cell>
          <cell r="AD836">
            <v>6</v>
          </cell>
        </row>
        <row r="837">
          <cell r="A837">
            <v>35</v>
          </cell>
          <cell r="B837">
            <v>4</v>
          </cell>
          <cell r="C837">
            <v>3</v>
          </cell>
          <cell r="D837">
            <v>4323</v>
          </cell>
          <cell r="E837">
            <v>1</v>
          </cell>
          <cell r="F837">
            <v>17</v>
          </cell>
          <cell r="G837">
            <v>3</v>
          </cell>
          <cell r="H837">
            <v>0</v>
          </cell>
          <cell r="I837">
            <v>6</v>
          </cell>
          <cell r="J837">
            <v>2</v>
          </cell>
          <cell r="K837">
            <v>5</v>
          </cell>
          <cell r="L837">
            <v>4</v>
          </cell>
          <cell r="M837">
            <v>0</v>
          </cell>
          <cell r="N837">
            <v>0</v>
          </cell>
          <cell r="O837">
            <v>0</v>
          </cell>
          <cell r="P837">
            <v>0</v>
          </cell>
          <cell r="Q837">
            <v>0</v>
          </cell>
          <cell r="R837">
            <v>0</v>
          </cell>
          <cell r="S837">
            <v>1</v>
          </cell>
          <cell r="T837">
            <v>0</v>
          </cell>
          <cell r="U837">
            <v>0</v>
          </cell>
          <cell r="V837">
            <v>0</v>
          </cell>
          <cell r="W837">
            <v>0</v>
          </cell>
          <cell r="X837">
            <v>4</v>
          </cell>
          <cell r="Y837">
            <v>0</v>
          </cell>
          <cell r="Z837">
            <v>0</v>
          </cell>
          <cell r="AA837">
            <v>9</v>
          </cell>
          <cell r="AB837">
            <v>0.16666666666666666</v>
          </cell>
          <cell r="AC837">
            <v>0.8</v>
          </cell>
          <cell r="AD837">
            <v>18</v>
          </cell>
        </row>
        <row r="838">
          <cell r="A838">
            <v>29</v>
          </cell>
          <cell r="B838">
            <v>1</v>
          </cell>
          <cell r="C838">
            <v>2</v>
          </cell>
          <cell r="D838">
            <v>7336</v>
          </cell>
          <cell r="E838">
            <v>1</v>
          </cell>
          <cell r="F838">
            <v>13</v>
          </cell>
          <cell r="G838">
            <v>3</v>
          </cell>
          <cell r="H838">
            <v>1</v>
          </cell>
          <cell r="I838">
            <v>11</v>
          </cell>
          <cell r="J838">
            <v>3</v>
          </cell>
          <cell r="K838">
            <v>11</v>
          </cell>
          <cell r="L838">
            <v>8</v>
          </cell>
          <cell r="M838">
            <v>0</v>
          </cell>
          <cell r="N838">
            <v>1</v>
          </cell>
          <cell r="O838">
            <v>1</v>
          </cell>
          <cell r="P838">
            <v>0</v>
          </cell>
          <cell r="Q838">
            <v>0</v>
          </cell>
          <cell r="R838">
            <v>0</v>
          </cell>
          <cell r="S838">
            <v>0</v>
          </cell>
          <cell r="T838">
            <v>1</v>
          </cell>
          <cell r="U838">
            <v>0</v>
          </cell>
          <cell r="V838">
            <v>0</v>
          </cell>
          <cell r="W838">
            <v>0</v>
          </cell>
          <cell r="X838">
            <v>0</v>
          </cell>
          <cell r="Y838">
            <v>0</v>
          </cell>
          <cell r="Z838">
            <v>0</v>
          </cell>
          <cell r="AA838">
            <v>4</v>
          </cell>
          <cell r="AB838">
            <v>9.0909090909090912E-2</v>
          </cell>
          <cell r="AC838">
            <v>0.72727272727272729</v>
          </cell>
          <cell r="AD838">
            <v>4</v>
          </cell>
        </row>
        <row r="839">
          <cell r="A839">
            <v>40</v>
          </cell>
          <cell r="B839">
            <v>4</v>
          </cell>
          <cell r="C839">
            <v>3</v>
          </cell>
          <cell r="D839">
            <v>13499</v>
          </cell>
          <cell r="E839">
            <v>9</v>
          </cell>
          <cell r="F839">
            <v>17</v>
          </cell>
          <cell r="G839">
            <v>3</v>
          </cell>
          <cell r="H839">
            <v>0</v>
          </cell>
          <cell r="I839">
            <v>20</v>
          </cell>
          <cell r="J839">
            <v>3</v>
          </cell>
          <cell r="K839">
            <v>18</v>
          </cell>
          <cell r="L839">
            <v>7</v>
          </cell>
          <cell r="M839">
            <v>0</v>
          </cell>
          <cell r="N839">
            <v>1</v>
          </cell>
          <cell r="O839">
            <v>0</v>
          </cell>
          <cell r="P839">
            <v>0</v>
          </cell>
          <cell r="Q839">
            <v>1</v>
          </cell>
          <cell r="R839">
            <v>0</v>
          </cell>
          <cell r="S839">
            <v>0</v>
          </cell>
          <cell r="T839">
            <v>0</v>
          </cell>
          <cell r="U839">
            <v>0</v>
          </cell>
          <cell r="V839">
            <v>4</v>
          </cell>
          <cell r="W839">
            <v>0</v>
          </cell>
          <cell r="X839">
            <v>0</v>
          </cell>
          <cell r="Y839">
            <v>0</v>
          </cell>
          <cell r="Z839">
            <v>0</v>
          </cell>
          <cell r="AA839">
            <v>6</v>
          </cell>
          <cell r="AB839">
            <v>0.45</v>
          </cell>
          <cell r="AC839">
            <v>0.3888888888888889</v>
          </cell>
          <cell r="AD839">
            <v>18</v>
          </cell>
        </row>
        <row r="840">
          <cell r="A840">
            <v>42</v>
          </cell>
          <cell r="B840">
            <v>3</v>
          </cell>
          <cell r="C840">
            <v>3</v>
          </cell>
          <cell r="D840">
            <v>13758</v>
          </cell>
          <cell r="E840">
            <v>0</v>
          </cell>
          <cell r="F840">
            <v>12</v>
          </cell>
          <cell r="G840">
            <v>3</v>
          </cell>
          <cell r="H840">
            <v>0</v>
          </cell>
          <cell r="I840">
            <v>22</v>
          </cell>
          <cell r="J840">
            <v>2</v>
          </cell>
          <cell r="K840">
            <v>21</v>
          </cell>
          <cell r="L840">
            <v>9</v>
          </cell>
          <cell r="M840">
            <v>1</v>
          </cell>
          <cell r="N840">
            <v>0</v>
          </cell>
          <cell r="O840">
            <v>1</v>
          </cell>
          <cell r="P840">
            <v>0</v>
          </cell>
          <cell r="Q840">
            <v>0</v>
          </cell>
          <cell r="R840">
            <v>0</v>
          </cell>
          <cell r="S840">
            <v>0</v>
          </cell>
          <cell r="T840">
            <v>3</v>
          </cell>
          <cell r="U840">
            <v>0</v>
          </cell>
          <cell r="V840">
            <v>0</v>
          </cell>
          <cell r="W840">
            <v>0</v>
          </cell>
          <cell r="X840">
            <v>0</v>
          </cell>
          <cell r="Y840">
            <v>0</v>
          </cell>
          <cell r="Z840">
            <v>0</v>
          </cell>
          <cell r="AA840">
            <v>3</v>
          </cell>
          <cell r="AB840">
            <v>0</v>
          </cell>
          <cell r="AC840">
            <v>0.42857142857142855</v>
          </cell>
          <cell r="AD840">
            <v>6</v>
          </cell>
        </row>
        <row r="841">
          <cell r="A841">
            <v>42</v>
          </cell>
          <cell r="B841">
            <v>4</v>
          </cell>
          <cell r="C841">
            <v>3</v>
          </cell>
          <cell r="D841">
            <v>5155</v>
          </cell>
          <cell r="E841">
            <v>7</v>
          </cell>
          <cell r="F841">
            <v>13</v>
          </cell>
          <cell r="G841">
            <v>3</v>
          </cell>
          <cell r="H841">
            <v>0</v>
          </cell>
          <cell r="I841">
            <v>9</v>
          </cell>
          <cell r="J841">
            <v>3</v>
          </cell>
          <cell r="K841">
            <v>6</v>
          </cell>
          <cell r="L841">
            <v>4</v>
          </cell>
          <cell r="M841">
            <v>0</v>
          </cell>
          <cell r="N841">
            <v>0</v>
          </cell>
          <cell r="O841">
            <v>0</v>
          </cell>
          <cell r="P841">
            <v>1</v>
          </cell>
          <cell r="Q841">
            <v>0</v>
          </cell>
          <cell r="R841">
            <v>0</v>
          </cell>
          <cell r="S841">
            <v>0</v>
          </cell>
          <cell r="T841">
            <v>0</v>
          </cell>
          <cell r="U841">
            <v>4</v>
          </cell>
          <cell r="V841">
            <v>0</v>
          </cell>
          <cell r="W841">
            <v>0</v>
          </cell>
          <cell r="X841">
            <v>0</v>
          </cell>
          <cell r="Y841">
            <v>0</v>
          </cell>
          <cell r="Z841">
            <v>0</v>
          </cell>
          <cell r="AA841">
            <v>2</v>
          </cell>
          <cell r="AB841">
            <v>0.77777777777777779</v>
          </cell>
          <cell r="AC841">
            <v>0.66666666666666663</v>
          </cell>
          <cell r="AD841">
            <v>8</v>
          </cell>
        </row>
        <row r="842">
          <cell r="A842">
            <v>35</v>
          </cell>
          <cell r="B842">
            <v>4</v>
          </cell>
          <cell r="C842">
            <v>2</v>
          </cell>
          <cell r="D842">
            <v>2258</v>
          </cell>
          <cell r="E842">
            <v>6</v>
          </cell>
          <cell r="F842">
            <v>12</v>
          </cell>
          <cell r="G842">
            <v>3</v>
          </cell>
          <cell r="H842">
            <v>1</v>
          </cell>
          <cell r="I842">
            <v>10</v>
          </cell>
          <cell r="J842">
            <v>2</v>
          </cell>
          <cell r="K842">
            <v>8</v>
          </cell>
          <cell r="L842">
            <v>0</v>
          </cell>
          <cell r="M842">
            <v>0</v>
          </cell>
          <cell r="N842">
            <v>0</v>
          </cell>
          <cell r="O842">
            <v>0</v>
          </cell>
          <cell r="P842">
            <v>0</v>
          </cell>
          <cell r="Q842">
            <v>1</v>
          </cell>
          <cell r="R842">
            <v>0</v>
          </cell>
          <cell r="S842">
            <v>0</v>
          </cell>
          <cell r="T842">
            <v>0</v>
          </cell>
          <cell r="U842">
            <v>0</v>
          </cell>
          <cell r="V842">
            <v>4</v>
          </cell>
          <cell r="W842">
            <v>0</v>
          </cell>
          <cell r="X842">
            <v>0</v>
          </cell>
          <cell r="Y842">
            <v>0</v>
          </cell>
          <cell r="Z842">
            <v>0</v>
          </cell>
          <cell r="AA842">
            <v>12</v>
          </cell>
          <cell r="AB842">
            <v>0.6</v>
          </cell>
          <cell r="AC842">
            <v>0</v>
          </cell>
          <cell r="AD842">
            <v>24</v>
          </cell>
        </row>
        <row r="843">
          <cell r="A843">
            <v>24</v>
          </cell>
          <cell r="B843">
            <v>3</v>
          </cell>
          <cell r="C843">
            <v>3</v>
          </cell>
          <cell r="D843">
            <v>3597</v>
          </cell>
          <cell r="E843">
            <v>8</v>
          </cell>
          <cell r="F843">
            <v>22</v>
          </cell>
          <cell r="G843">
            <v>4</v>
          </cell>
          <cell r="H843">
            <v>0</v>
          </cell>
          <cell r="I843">
            <v>6</v>
          </cell>
          <cell r="J843">
            <v>2</v>
          </cell>
          <cell r="K843">
            <v>4</v>
          </cell>
          <cell r="L843">
            <v>3</v>
          </cell>
          <cell r="M843">
            <v>0</v>
          </cell>
          <cell r="N843">
            <v>0</v>
          </cell>
          <cell r="O843">
            <v>0</v>
          </cell>
          <cell r="P843">
            <v>0</v>
          </cell>
          <cell r="Q843">
            <v>1</v>
          </cell>
          <cell r="R843">
            <v>0</v>
          </cell>
          <cell r="S843">
            <v>0</v>
          </cell>
          <cell r="T843">
            <v>0</v>
          </cell>
          <cell r="U843">
            <v>0</v>
          </cell>
          <cell r="V843">
            <v>3</v>
          </cell>
          <cell r="W843">
            <v>0</v>
          </cell>
          <cell r="X843">
            <v>0</v>
          </cell>
          <cell r="Y843">
            <v>0</v>
          </cell>
          <cell r="Z843">
            <v>0</v>
          </cell>
          <cell r="AA843">
            <v>8</v>
          </cell>
          <cell r="AB843">
            <v>1.3333333333333333</v>
          </cell>
          <cell r="AC843">
            <v>0.75</v>
          </cell>
          <cell r="AD843">
            <v>32</v>
          </cell>
        </row>
        <row r="844">
          <cell r="A844">
            <v>28</v>
          </cell>
          <cell r="B844">
            <v>1</v>
          </cell>
          <cell r="C844">
            <v>3</v>
          </cell>
          <cell r="D844">
            <v>2515</v>
          </cell>
          <cell r="E844">
            <v>1</v>
          </cell>
          <cell r="F844">
            <v>11</v>
          </cell>
          <cell r="G844">
            <v>3</v>
          </cell>
          <cell r="H844">
            <v>0</v>
          </cell>
          <cell r="I844">
            <v>1</v>
          </cell>
          <cell r="J844">
            <v>4</v>
          </cell>
          <cell r="K844">
            <v>1</v>
          </cell>
          <cell r="L844">
            <v>1</v>
          </cell>
          <cell r="M844">
            <v>1</v>
          </cell>
          <cell r="N844">
            <v>1</v>
          </cell>
          <cell r="O844">
            <v>1</v>
          </cell>
          <cell r="P844">
            <v>0</v>
          </cell>
          <cell r="Q844">
            <v>0</v>
          </cell>
          <cell r="R844">
            <v>0</v>
          </cell>
          <cell r="S844">
            <v>0</v>
          </cell>
          <cell r="T844">
            <v>1</v>
          </cell>
          <cell r="U844">
            <v>0</v>
          </cell>
          <cell r="V844">
            <v>0</v>
          </cell>
          <cell r="W844">
            <v>0</v>
          </cell>
          <cell r="X844">
            <v>0</v>
          </cell>
          <cell r="Y844">
            <v>0</v>
          </cell>
          <cell r="Z844">
            <v>1</v>
          </cell>
          <cell r="AA844">
            <v>12</v>
          </cell>
          <cell r="AB844">
            <v>1</v>
          </cell>
          <cell r="AC844">
            <v>1</v>
          </cell>
          <cell r="AD844">
            <v>48</v>
          </cell>
        </row>
        <row r="845">
          <cell r="A845">
            <v>26</v>
          </cell>
          <cell r="B845">
            <v>4</v>
          </cell>
          <cell r="C845">
            <v>4</v>
          </cell>
          <cell r="D845">
            <v>4420</v>
          </cell>
          <cell r="E845">
            <v>1</v>
          </cell>
          <cell r="F845">
            <v>22</v>
          </cell>
          <cell r="G845">
            <v>4</v>
          </cell>
          <cell r="H845">
            <v>1</v>
          </cell>
          <cell r="I845">
            <v>8</v>
          </cell>
          <cell r="J845">
            <v>2</v>
          </cell>
          <cell r="K845">
            <v>8</v>
          </cell>
          <cell r="L845">
            <v>7</v>
          </cell>
          <cell r="M845">
            <v>0</v>
          </cell>
          <cell r="N845">
            <v>0</v>
          </cell>
          <cell r="O845">
            <v>0</v>
          </cell>
          <cell r="P845">
            <v>0</v>
          </cell>
          <cell r="Q845">
            <v>1</v>
          </cell>
          <cell r="R845">
            <v>0</v>
          </cell>
          <cell r="S845">
            <v>0</v>
          </cell>
          <cell r="T845">
            <v>0</v>
          </cell>
          <cell r="U845">
            <v>0</v>
          </cell>
          <cell r="V845">
            <v>4</v>
          </cell>
          <cell r="W845">
            <v>0</v>
          </cell>
          <cell r="X845">
            <v>0</v>
          </cell>
          <cell r="Y845">
            <v>0</v>
          </cell>
          <cell r="Z845">
            <v>0</v>
          </cell>
          <cell r="AA845">
            <v>4</v>
          </cell>
          <cell r="AB845">
            <v>0.125</v>
          </cell>
          <cell r="AC845">
            <v>0.875</v>
          </cell>
          <cell r="AD845">
            <v>8</v>
          </cell>
        </row>
        <row r="846">
          <cell r="A846">
            <v>30</v>
          </cell>
          <cell r="B846">
            <v>3</v>
          </cell>
          <cell r="C846">
            <v>2</v>
          </cell>
          <cell r="D846">
            <v>6578</v>
          </cell>
          <cell r="E846">
            <v>1</v>
          </cell>
          <cell r="F846">
            <v>18</v>
          </cell>
          <cell r="G846">
            <v>3</v>
          </cell>
          <cell r="H846">
            <v>1</v>
          </cell>
          <cell r="I846">
            <v>10</v>
          </cell>
          <cell r="J846">
            <v>3</v>
          </cell>
          <cell r="K846">
            <v>10</v>
          </cell>
          <cell r="L846">
            <v>3</v>
          </cell>
          <cell r="M846">
            <v>0</v>
          </cell>
          <cell r="N846">
            <v>0</v>
          </cell>
          <cell r="O846">
            <v>0</v>
          </cell>
          <cell r="P846">
            <v>1</v>
          </cell>
          <cell r="Q846">
            <v>0</v>
          </cell>
          <cell r="R846">
            <v>0</v>
          </cell>
          <cell r="S846">
            <v>0</v>
          </cell>
          <cell r="T846">
            <v>0</v>
          </cell>
          <cell r="U846">
            <v>3</v>
          </cell>
          <cell r="V846">
            <v>0</v>
          </cell>
          <cell r="W846">
            <v>0</v>
          </cell>
          <cell r="X846">
            <v>0</v>
          </cell>
          <cell r="Y846">
            <v>0</v>
          </cell>
          <cell r="Z846">
            <v>0</v>
          </cell>
          <cell r="AA846">
            <v>9</v>
          </cell>
          <cell r="AB846">
            <v>0.1</v>
          </cell>
          <cell r="AC846">
            <v>0.3</v>
          </cell>
          <cell r="AD846">
            <v>9</v>
          </cell>
        </row>
        <row r="847">
          <cell r="A847">
            <v>40</v>
          </cell>
          <cell r="B847">
            <v>2</v>
          </cell>
          <cell r="C847">
            <v>2</v>
          </cell>
          <cell r="D847">
            <v>4422</v>
          </cell>
          <cell r="E847">
            <v>3</v>
          </cell>
          <cell r="F847">
            <v>13</v>
          </cell>
          <cell r="G847">
            <v>3</v>
          </cell>
          <cell r="H847">
            <v>1</v>
          </cell>
          <cell r="I847">
            <v>16</v>
          </cell>
          <cell r="J847">
            <v>3</v>
          </cell>
          <cell r="K847">
            <v>1</v>
          </cell>
          <cell r="L847">
            <v>1</v>
          </cell>
          <cell r="M847">
            <v>1</v>
          </cell>
          <cell r="N847">
            <v>1</v>
          </cell>
          <cell r="O847">
            <v>0</v>
          </cell>
          <cell r="P847">
            <v>0</v>
          </cell>
          <cell r="Q847">
            <v>1</v>
          </cell>
          <cell r="R847">
            <v>0</v>
          </cell>
          <cell r="S847">
            <v>0</v>
          </cell>
          <cell r="T847">
            <v>0</v>
          </cell>
          <cell r="U847">
            <v>0</v>
          </cell>
          <cell r="V847">
            <v>2</v>
          </cell>
          <cell r="W847">
            <v>0</v>
          </cell>
          <cell r="X847">
            <v>0</v>
          </cell>
          <cell r="Y847">
            <v>1</v>
          </cell>
          <cell r="Z847">
            <v>1</v>
          </cell>
          <cell r="AA847">
            <v>12</v>
          </cell>
          <cell r="AB847">
            <v>0.1875</v>
          </cell>
          <cell r="AC847">
            <v>1</v>
          </cell>
          <cell r="AD847">
            <v>48</v>
          </cell>
        </row>
        <row r="848">
          <cell r="A848">
            <v>35</v>
          </cell>
          <cell r="B848">
            <v>3</v>
          </cell>
          <cell r="C848">
            <v>2</v>
          </cell>
          <cell r="D848">
            <v>10274</v>
          </cell>
          <cell r="E848">
            <v>2</v>
          </cell>
          <cell r="F848">
            <v>18</v>
          </cell>
          <cell r="G848">
            <v>3</v>
          </cell>
          <cell r="H848">
            <v>1</v>
          </cell>
          <cell r="I848">
            <v>15</v>
          </cell>
          <cell r="J848">
            <v>2</v>
          </cell>
          <cell r="K848">
            <v>7</v>
          </cell>
          <cell r="L848">
            <v>7</v>
          </cell>
          <cell r="M848">
            <v>0</v>
          </cell>
          <cell r="N848">
            <v>0</v>
          </cell>
          <cell r="O848">
            <v>1</v>
          </cell>
          <cell r="P848">
            <v>0</v>
          </cell>
          <cell r="Q848">
            <v>0</v>
          </cell>
          <cell r="R848">
            <v>0</v>
          </cell>
          <cell r="S848">
            <v>0</v>
          </cell>
          <cell r="T848">
            <v>3</v>
          </cell>
          <cell r="U848">
            <v>0</v>
          </cell>
          <cell r="V848">
            <v>0</v>
          </cell>
          <cell r="W848">
            <v>0</v>
          </cell>
          <cell r="X848">
            <v>0</v>
          </cell>
          <cell r="Y848">
            <v>0</v>
          </cell>
          <cell r="Z848">
            <v>0</v>
          </cell>
          <cell r="AA848">
            <v>6</v>
          </cell>
          <cell r="AB848">
            <v>0.13333333333333333</v>
          </cell>
          <cell r="AC848">
            <v>1</v>
          </cell>
          <cell r="AD848">
            <v>12</v>
          </cell>
        </row>
        <row r="849">
          <cell r="A849">
            <v>34</v>
          </cell>
          <cell r="B849">
            <v>3</v>
          </cell>
          <cell r="C849">
            <v>2</v>
          </cell>
          <cell r="D849">
            <v>5343</v>
          </cell>
          <cell r="E849">
            <v>0</v>
          </cell>
          <cell r="F849">
            <v>20</v>
          </cell>
          <cell r="G849">
            <v>4</v>
          </cell>
          <cell r="H849">
            <v>0</v>
          </cell>
          <cell r="I849">
            <v>14</v>
          </cell>
          <cell r="J849">
            <v>3</v>
          </cell>
          <cell r="K849">
            <v>13</v>
          </cell>
          <cell r="L849">
            <v>9</v>
          </cell>
          <cell r="M849">
            <v>0</v>
          </cell>
          <cell r="N849">
            <v>0</v>
          </cell>
          <cell r="O849">
            <v>0</v>
          </cell>
          <cell r="P849">
            <v>0</v>
          </cell>
          <cell r="Q849">
            <v>1</v>
          </cell>
          <cell r="R849">
            <v>0</v>
          </cell>
          <cell r="S849">
            <v>0</v>
          </cell>
          <cell r="T849">
            <v>0</v>
          </cell>
          <cell r="U849">
            <v>0</v>
          </cell>
          <cell r="V849">
            <v>3</v>
          </cell>
          <cell r="W849">
            <v>0</v>
          </cell>
          <cell r="X849">
            <v>0</v>
          </cell>
          <cell r="Y849">
            <v>0</v>
          </cell>
          <cell r="Z849">
            <v>0</v>
          </cell>
          <cell r="AA849">
            <v>4</v>
          </cell>
          <cell r="AB849">
            <v>0</v>
          </cell>
          <cell r="AC849">
            <v>0.69230769230769229</v>
          </cell>
          <cell r="AD849">
            <v>12</v>
          </cell>
        </row>
        <row r="850">
          <cell r="A850">
            <v>35</v>
          </cell>
          <cell r="B850">
            <v>4</v>
          </cell>
          <cell r="C850">
            <v>2</v>
          </cell>
          <cell r="D850">
            <v>2376</v>
          </cell>
          <cell r="E850">
            <v>1</v>
          </cell>
          <cell r="F850">
            <v>13</v>
          </cell>
          <cell r="G850">
            <v>3</v>
          </cell>
          <cell r="H850">
            <v>1</v>
          </cell>
          <cell r="I850">
            <v>2</v>
          </cell>
          <cell r="J850">
            <v>2</v>
          </cell>
          <cell r="K850">
            <v>2</v>
          </cell>
          <cell r="L850">
            <v>2</v>
          </cell>
          <cell r="M850">
            <v>0</v>
          </cell>
          <cell r="N850">
            <v>0</v>
          </cell>
          <cell r="O850">
            <v>0</v>
          </cell>
          <cell r="P850">
            <v>0</v>
          </cell>
          <cell r="Q850">
            <v>0</v>
          </cell>
          <cell r="R850">
            <v>1</v>
          </cell>
          <cell r="S850">
            <v>0</v>
          </cell>
          <cell r="T850">
            <v>0</v>
          </cell>
          <cell r="U850">
            <v>0</v>
          </cell>
          <cell r="V850">
            <v>0</v>
          </cell>
          <cell r="W850">
            <v>4</v>
          </cell>
          <cell r="X850">
            <v>0</v>
          </cell>
          <cell r="Y850">
            <v>1</v>
          </cell>
          <cell r="Z850">
            <v>0</v>
          </cell>
          <cell r="AA850">
            <v>16</v>
          </cell>
          <cell r="AB850">
            <v>0.5</v>
          </cell>
          <cell r="AC850">
            <v>1</v>
          </cell>
          <cell r="AD850">
            <v>32</v>
          </cell>
        </row>
        <row r="851">
          <cell r="A851">
            <v>43</v>
          </cell>
          <cell r="B851">
            <v>3</v>
          </cell>
          <cell r="C851">
            <v>1</v>
          </cell>
          <cell r="D851">
            <v>5346</v>
          </cell>
          <cell r="E851">
            <v>8</v>
          </cell>
          <cell r="F851">
            <v>13</v>
          </cell>
          <cell r="G851">
            <v>3</v>
          </cell>
          <cell r="H851">
            <v>0</v>
          </cell>
          <cell r="I851">
            <v>7</v>
          </cell>
          <cell r="J851">
            <v>2</v>
          </cell>
          <cell r="K851">
            <v>4</v>
          </cell>
          <cell r="L851">
            <v>3</v>
          </cell>
          <cell r="M851">
            <v>0</v>
          </cell>
          <cell r="N851">
            <v>1</v>
          </cell>
          <cell r="O851">
            <v>0</v>
          </cell>
          <cell r="P851">
            <v>1</v>
          </cell>
          <cell r="Q851">
            <v>0</v>
          </cell>
          <cell r="R851">
            <v>0</v>
          </cell>
          <cell r="S851">
            <v>0</v>
          </cell>
          <cell r="T851">
            <v>0</v>
          </cell>
          <cell r="U851">
            <v>3</v>
          </cell>
          <cell r="V851">
            <v>0</v>
          </cell>
          <cell r="W851">
            <v>0</v>
          </cell>
          <cell r="X851">
            <v>0</v>
          </cell>
          <cell r="Y851">
            <v>0</v>
          </cell>
          <cell r="Z851">
            <v>0</v>
          </cell>
          <cell r="AA851">
            <v>3</v>
          </cell>
          <cell r="AB851">
            <v>1.1428571428571428</v>
          </cell>
          <cell r="AC851">
            <v>0.75</v>
          </cell>
          <cell r="AD851">
            <v>6</v>
          </cell>
        </row>
        <row r="852">
          <cell r="A852">
            <v>32</v>
          </cell>
          <cell r="B852">
            <v>1</v>
          </cell>
          <cell r="C852">
            <v>3</v>
          </cell>
          <cell r="D852">
            <v>2827</v>
          </cell>
          <cell r="E852">
            <v>1</v>
          </cell>
          <cell r="F852">
            <v>12</v>
          </cell>
          <cell r="G852">
            <v>3</v>
          </cell>
          <cell r="H852">
            <v>3</v>
          </cell>
          <cell r="I852">
            <v>1</v>
          </cell>
          <cell r="J852">
            <v>3</v>
          </cell>
          <cell r="K852">
            <v>1</v>
          </cell>
          <cell r="L852">
            <v>0</v>
          </cell>
          <cell r="M852">
            <v>0</v>
          </cell>
          <cell r="N852">
            <v>1</v>
          </cell>
          <cell r="O852">
            <v>1</v>
          </cell>
          <cell r="P852">
            <v>0</v>
          </cell>
          <cell r="Q852">
            <v>0</v>
          </cell>
          <cell r="R852">
            <v>0</v>
          </cell>
          <cell r="S852">
            <v>0</v>
          </cell>
          <cell r="T852">
            <v>1</v>
          </cell>
          <cell r="U852">
            <v>0</v>
          </cell>
          <cell r="V852">
            <v>0</v>
          </cell>
          <cell r="W852">
            <v>0</v>
          </cell>
          <cell r="X852">
            <v>0</v>
          </cell>
          <cell r="Y852">
            <v>0</v>
          </cell>
          <cell r="Z852">
            <v>0</v>
          </cell>
          <cell r="AA852">
            <v>3</v>
          </cell>
          <cell r="AB852">
            <v>1</v>
          </cell>
          <cell r="AC852">
            <v>0</v>
          </cell>
          <cell r="AD852">
            <v>9</v>
          </cell>
        </row>
        <row r="853">
          <cell r="A853">
            <v>56</v>
          </cell>
          <cell r="B853">
            <v>4</v>
          </cell>
          <cell r="C853">
            <v>3</v>
          </cell>
          <cell r="D853">
            <v>19943</v>
          </cell>
          <cell r="E853">
            <v>4</v>
          </cell>
          <cell r="F853">
            <v>13</v>
          </cell>
          <cell r="G853">
            <v>3</v>
          </cell>
          <cell r="H853">
            <v>1</v>
          </cell>
          <cell r="I853">
            <v>28</v>
          </cell>
          <cell r="J853">
            <v>2</v>
          </cell>
          <cell r="K853">
            <v>5</v>
          </cell>
          <cell r="L853">
            <v>2</v>
          </cell>
          <cell r="M853">
            <v>0</v>
          </cell>
          <cell r="N853">
            <v>1</v>
          </cell>
          <cell r="O853">
            <v>0</v>
          </cell>
          <cell r="P853">
            <v>0</v>
          </cell>
          <cell r="Q853">
            <v>0</v>
          </cell>
          <cell r="R853">
            <v>0</v>
          </cell>
          <cell r="S853">
            <v>1</v>
          </cell>
          <cell r="T853">
            <v>0</v>
          </cell>
          <cell r="U853">
            <v>0</v>
          </cell>
          <cell r="V853">
            <v>0</v>
          </cell>
          <cell r="W853">
            <v>0</v>
          </cell>
          <cell r="X853">
            <v>4</v>
          </cell>
          <cell r="Y853">
            <v>0</v>
          </cell>
          <cell r="Z853">
            <v>0</v>
          </cell>
          <cell r="AA853">
            <v>4</v>
          </cell>
          <cell r="AB853">
            <v>0.14285714285714285</v>
          </cell>
          <cell r="AC853">
            <v>0.4</v>
          </cell>
          <cell r="AD853">
            <v>16</v>
          </cell>
        </row>
        <row r="854">
          <cell r="A854">
            <v>29</v>
          </cell>
          <cell r="B854">
            <v>1</v>
          </cell>
          <cell r="C854">
            <v>3</v>
          </cell>
          <cell r="D854">
            <v>3131</v>
          </cell>
          <cell r="E854">
            <v>1</v>
          </cell>
          <cell r="F854">
            <v>13</v>
          </cell>
          <cell r="G854">
            <v>3</v>
          </cell>
          <cell r="H854">
            <v>1</v>
          </cell>
          <cell r="I854">
            <v>10</v>
          </cell>
          <cell r="J854">
            <v>5</v>
          </cell>
          <cell r="K854">
            <v>10</v>
          </cell>
          <cell r="L854">
            <v>8</v>
          </cell>
          <cell r="M854">
            <v>0</v>
          </cell>
          <cell r="N854">
            <v>1</v>
          </cell>
          <cell r="O854">
            <v>0</v>
          </cell>
          <cell r="P854">
            <v>0</v>
          </cell>
          <cell r="Q854">
            <v>1</v>
          </cell>
          <cell r="R854">
            <v>0</v>
          </cell>
          <cell r="S854">
            <v>0</v>
          </cell>
          <cell r="T854">
            <v>0</v>
          </cell>
          <cell r="U854">
            <v>0</v>
          </cell>
          <cell r="V854">
            <v>1</v>
          </cell>
          <cell r="W854">
            <v>0</v>
          </cell>
          <cell r="X854">
            <v>0</v>
          </cell>
          <cell r="Y854">
            <v>0</v>
          </cell>
          <cell r="Z854">
            <v>0</v>
          </cell>
          <cell r="AA854">
            <v>8</v>
          </cell>
          <cell r="AB854">
            <v>0.1</v>
          </cell>
          <cell r="AC854">
            <v>0.8</v>
          </cell>
          <cell r="AD854">
            <v>8</v>
          </cell>
        </row>
        <row r="855">
          <cell r="A855">
            <v>19</v>
          </cell>
          <cell r="B855">
            <v>2</v>
          </cell>
          <cell r="C855">
            <v>3</v>
          </cell>
          <cell r="D855">
            <v>2552</v>
          </cell>
          <cell r="E855">
            <v>1</v>
          </cell>
          <cell r="F855">
            <v>25</v>
          </cell>
          <cell r="G855">
            <v>4</v>
          </cell>
          <cell r="H855">
            <v>0</v>
          </cell>
          <cell r="I855">
            <v>1</v>
          </cell>
          <cell r="J855">
            <v>4</v>
          </cell>
          <cell r="K855">
            <v>1</v>
          </cell>
          <cell r="L855">
            <v>1</v>
          </cell>
          <cell r="M855">
            <v>0</v>
          </cell>
          <cell r="N855">
            <v>0</v>
          </cell>
          <cell r="O855">
            <v>1</v>
          </cell>
          <cell r="P855">
            <v>0</v>
          </cell>
          <cell r="Q855">
            <v>0</v>
          </cell>
          <cell r="R855">
            <v>0</v>
          </cell>
          <cell r="S855">
            <v>0</v>
          </cell>
          <cell r="T855">
            <v>2</v>
          </cell>
          <cell r="U855">
            <v>0</v>
          </cell>
          <cell r="V855">
            <v>0</v>
          </cell>
          <cell r="W855">
            <v>0</v>
          </cell>
          <cell r="X855">
            <v>0</v>
          </cell>
          <cell r="Y855">
            <v>0</v>
          </cell>
          <cell r="Z855">
            <v>0</v>
          </cell>
          <cell r="AA855">
            <v>3</v>
          </cell>
          <cell r="AB855">
            <v>1</v>
          </cell>
          <cell r="AC855">
            <v>1</v>
          </cell>
          <cell r="AD855">
            <v>9</v>
          </cell>
        </row>
        <row r="856">
          <cell r="A856">
            <v>45</v>
          </cell>
          <cell r="B856">
            <v>3</v>
          </cell>
          <cell r="C856">
            <v>3</v>
          </cell>
          <cell r="D856">
            <v>4477</v>
          </cell>
          <cell r="E856">
            <v>4</v>
          </cell>
          <cell r="F856">
            <v>19</v>
          </cell>
          <cell r="G856">
            <v>3</v>
          </cell>
          <cell r="H856">
            <v>1</v>
          </cell>
          <cell r="I856">
            <v>7</v>
          </cell>
          <cell r="J856">
            <v>2</v>
          </cell>
          <cell r="K856">
            <v>3</v>
          </cell>
          <cell r="L856">
            <v>2</v>
          </cell>
          <cell r="M856">
            <v>1</v>
          </cell>
          <cell r="N856">
            <v>1</v>
          </cell>
          <cell r="O856">
            <v>0</v>
          </cell>
          <cell r="P856">
            <v>0</v>
          </cell>
          <cell r="Q856">
            <v>1</v>
          </cell>
          <cell r="R856">
            <v>0</v>
          </cell>
          <cell r="S856">
            <v>0</v>
          </cell>
          <cell r="T856">
            <v>0</v>
          </cell>
          <cell r="U856">
            <v>0</v>
          </cell>
          <cell r="V856">
            <v>3</v>
          </cell>
          <cell r="W856">
            <v>0</v>
          </cell>
          <cell r="X856">
            <v>0</v>
          </cell>
          <cell r="Y856">
            <v>0</v>
          </cell>
          <cell r="Z856">
            <v>1</v>
          </cell>
          <cell r="AA856">
            <v>3</v>
          </cell>
          <cell r="AB856">
            <v>0.5714285714285714</v>
          </cell>
          <cell r="AC856">
            <v>0.66666666666666663</v>
          </cell>
          <cell r="AD856">
            <v>9</v>
          </cell>
        </row>
        <row r="857">
          <cell r="A857">
            <v>37</v>
          </cell>
          <cell r="B857">
            <v>3</v>
          </cell>
          <cell r="C857">
            <v>2</v>
          </cell>
          <cell r="D857">
            <v>6474</v>
          </cell>
          <cell r="E857">
            <v>1</v>
          </cell>
          <cell r="F857">
            <v>13</v>
          </cell>
          <cell r="G857">
            <v>3</v>
          </cell>
          <cell r="H857">
            <v>1</v>
          </cell>
          <cell r="I857">
            <v>14</v>
          </cell>
          <cell r="J857">
            <v>2</v>
          </cell>
          <cell r="K857">
            <v>14</v>
          </cell>
          <cell r="L857">
            <v>8</v>
          </cell>
          <cell r="M857">
            <v>0</v>
          </cell>
          <cell r="N857">
            <v>1</v>
          </cell>
          <cell r="O857">
            <v>1</v>
          </cell>
          <cell r="P857">
            <v>0</v>
          </cell>
          <cell r="Q857">
            <v>0</v>
          </cell>
          <cell r="R857">
            <v>0</v>
          </cell>
          <cell r="S857">
            <v>0</v>
          </cell>
          <cell r="T857">
            <v>3</v>
          </cell>
          <cell r="U857">
            <v>0</v>
          </cell>
          <cell r="V857">
            <v>0</v>
          </cell>
          <cell r="W857">
            <v>0</v>
          </cell>
          <cell r="X857">
            <v>0</v>
          </cell>
          <cell r="Y857">
            <v>0</v>
          </cell>
          <cell r="Z857">
            <v>0</v>
          </cell>
          <cell r="AA857">
            <v>16</v>
          </cell>
          <cell r="AB857">
            <v>7.1428571428571425E-2</v>
          </cell>
          <cell r="AC857">
            <v>0.5714285714285714</v>
          </cell>
          <cell r="AD857">
            <v>32</v>
          </cell>
        </row>
        <row r="858">
          <cell r="A858">
            <v>20</v>
          </cell>
          <cell r="B858">
            <v>3</v>
          </cell>
          <cell r="C858">
            <v>2</v>
          </cell>
          <cell r="D858">
            <v>3033</v>
          </cell>
          <cell r="E858">
            <v>1</v>
          </cell>
          <cell r="F858">
            <v>12</v>
          </cell>
          <cell r="G858">
            <v>3</v>
          </cell>
          <cell r="H858">
            <v>0</v>
          </cell>
          <cell r="I858">
            <v>2</v>
          </cell>
          <cell r="J858">
            <v>2</v>
          </cell>
          <cell r="K858">
            <v>2</v>
          </cell>
          <cell r="L858">
            <v>2</v>
          </cell>
          <cell r="M858">
            <v>0</v>
          </cell>
          <cell r="N858">
            <v>0</v>
          </cell>
          <cell r="O858">
            <v>1</v>
          </cell>
          <cell r="P858">
            <v>0</v>
          </cell>
          <cell r="Q858">
            <v>0</v>
          </cell>
          <cell r="R858">
            <v>0</v>
          </cell>
          <cell r="S858">
            <v>0</v>
          </cell>
          <cell r="T858">
            <v>3</v>
          </cell>
          <cell r="U858">
            <v>0</v>
          </cell>
          <cell r="V858">
            <v>0</v>
          </cell>
          <cell r="W858">
            <v>0</v>
          </cell>
          <cell r="X858">
            <v>0</v>
          </cell>
          <cell r="Y858">
            <v>0</v>
          </cell>
          <cell r="Z858">
            <v>0</v>
          </cell>
          <cell r="AA858">
            <v>3</v>
          </cell>
          <cell r="AB858">
            <v>0.5</v>
          </cell>
          <cell r="AC858">
            <v>1</v>
          </cell>
          <cell r="AD858">
            <v>3</v>
          </cell>
        </row>
        <row r="859">
          <cell r="A859">
            <v>44</v>
          </cell>
          <cell r="B859">
            <v>4</v>
          </cell>
          <cell r="C859">
            <v>3</v>
          </cell>
          <cell r="D859">
            <v>2936</v>
          </cell>
          <cell r="E859">
            <v>1</v>
          </cell>
          <cell r="F859">
            <v>11</v>
          </cell>
          <cell r="G859">
            <v>3</v>
          </cell>
          <cell r="H859">
            <v>0</v>
          </cell>
          <cell r="I859">
            <v>6</v>
          </cell>
          <cell r="J859">
            <v>4</v>
          </cell>
          <cell r="K859">
            <v>6</v>
          </cell>
          <cell r="L859">
            <v>4</v>
          </cell>
          <cell r="M859">
            <v>1</v>
          </cell>
          <cell r="N859">
            <v>0</v>
          </cell>
          <cell r="O859">
            <v>1</v>
          </cell>
          <cell r="P859">
            <v>0</v>
          </cell>
          <cell r="Q859">
            <v>0</v>
          </cell>
          <cell r="R859">
            <v>0</v>
          </cell>
          <cell r="S859">
            <v>0</v>
          </cell>
          <cell r="T859">
            <v>4</v>
          </cell>
          <cell r="U859">
            <v>0</v>
          </cell>
          <cell r="V859">
            <v>0</v>
          </cell>
          <cell r="W859">
            <v>0</v>
          </cell>
          <cell r="X859">
            <v>0</v>
          </cell>
          <cell r="Y859">
            <v>0</v>
          </cell>
          <cell r="Z859">
            <v>0</v>
          </cell>
          <cell r="AA859">
            <v>9</v>
          </cell>
          <cell r="AB859">
            <v>0.16666666666666666</v>
          </cell>
          <cell r="AC859">
            <v>0.66666666666666663</v>
          </cell>
          <cell r="AD859">
            <v>27</v>
          </cell>
        </row>
        <row r="860">
          <cell r="A860">
            <v>53</v>
          </cell>
          <cell r="B860">
            <v>2</v>
          </cell>
          <cell r="C860">
            <v>3</v>
          </cell>
          <cell r="D860">
            <v>18606</v>
          </cell>
          <cell r="E860">
            <v>3</v>
          </cell>
          <cell r="F860">
            <v>18</v>
          </cell>
          <cell r="G860">
            <v>3</v>
          </cell>
          <cell r="H860">
            <v>1</v>
          </cell>
          <cell r="I860">
            <v>26</v>
          </cell>
          <cell r="J860">
            <v>6</v>
          </cell>
          <cell r="K860">
            <v>7</v>
          </cell>
          <cell r="L860">
            <v>7</v>
          </cell>
          <cell r="M860">
            <v>0</v>
          </cell>
          <cell r="N860">
            <v>1</v>
          </cell>
          <cell r="O860">
            <v>0</v>
          </cell>
          <cell r="P860">
            <v>0</v>
          </cell>
          <cell r="Q860">
            <v>1</v>
          </cell>
          <cell r="R860">
            <v>0</v>
          </cell>
          <cell r="S860">
            <v>0</v>
          </cell>
          <cell r="T860">
            <v>0</v>
          </cell>
          <cell r="U860">
            <v>0</v>
          </cell>
          <cell r="V860">
            <v>2</v>
          </cell>
          <cell r="W860">
            <v>0</v>
          </cell>
          <cell r="X860">
            <v>0</v>
          </cell>
          <cell r="Y860">
            <v>0</v>
          </cell>
          <cell r="Z860">
            <v>0</v>
          </cell>
          <cell r="AA860">
            <v>12</v>
          </cell>
          <cell r="AB860">
            <v>0.11538461538461539</v>
          </cell>
          <cell r="AC860">
            <v>1</v>
          </cell>
          <cell r="AD860">
            <v>24</v>
          </cell>
        </row>
        <row r="861">
          <cell r="A861">
            <v>29</v>
          </cell>
          <cell r="B861">
            <v>1</v>
          </cell>
          <cell r="C861">
            <v>1</v>
          </cell>
          <cell r="D861">
            <v>2168</v>
          </cell>
          <cell r="E861">
            <v>0</v>
          </cell>
          <cell r="F861">
            <v>18</v>
          </cell>
          <cell r="G861">
            <v>3</v>
          </cell>
          <cell r="H861">
            <v>1</v>
          </cell>
          <cell r="I861">
            <v>6</v>
          </cell>
          <cell r="J861">
            <v>2</v>
          </cell>
          <cell r="K861">
            <v>5</v>
          </cell>
          <cell r="L861">
            <v>4</v>
          </cell>
          <cell r="M861">
            <v>1</v>
          </cell>
          <cell r="N861">
            <v>1</v>
          </cell>
          <cell r="O861">
            <v>1</v>
          </cell>
          <cell r="P861">
            <v>0</v>
          </cell>
          <cell r="Q861">
            <v>0</v>
          </cell>
          <cell r="R861">
            <v>0</v>
          </cell>
          <cell r="S861">
            <v>0</v>
          </cell>
          <cell r="T861">
            <v>1</v>
          </cell>
          <cell r="U861">
            <v>0</v>
          </cell>
          <cell r="V861">
            <v>0</v>
          </cell>
          <cell r="W861">
            <v>0</v>
          </cell>
          <cell r="X861">
            <v>0</v>
          </cell>
          <cell r="Y861">
            <v>0</v>
          </cell>
          <cell r="Z861">
            <v>1</v>
          </cell>
          <cell r="AA861">
            <v>8</v>
          </cell>
          <cell r="AB861">
            <v>0</v>
          </cell>
          <cell r="AC861">
            <v>0.8</v>
          </cell>
          <cell r="AD861">
            <v>8</v>
          </cell>
        </row>
        <row r="862">
          <cell r="A862">
            <v>22</v>
          </cell>
          <cell r="B862">
            <v>4</v>
          </cell>
          <cell r="C862">
            <v>2</v>
          </cell>
          <cell r="D862">
            <v>2853</v>
          </cell>
          <cell r="E862">
            <v>0</v>
          </cell>
          <cell r="F862">
            <v>11</v>
          </cell>
          <cell r="G862">
            <v>3</v>
          </cell>
          <cell r="H862">
            <v>1</v>
          </cell>
          <cell r="I862">
            <v>1</v>
          </cell>
          <cell r="J862">
            <v>5</v>
          </cell>
          <cell r="K862">
            <v>0</v>
          </cell>
          <cell r="L862">
            <v>0</v>
          </cell>
          <cell r="M862">
            <v>1</v>
          </cell>
          <cell r="N862">
            <v>0</v>
          </cell>
          <cell r="O862">
            <v>1</v>
          </cell>
          <cell r="P862">
            <v>0</v>
          </cell>
          <cell r="Q862">
            <v>0</v>
          </cell>
          <cell r="R862">
            <v>0</v>
          </cell>
          <cell r="S862">
            <v>0</v>
          </cell>
          <cell r="T862">
            <v>4</v>
          </cell>
          <cell r="U862">
            <v>0</v>
          </cell>
          <cell r="V862">
            <v>0</v>
          </cell>
          <cell r="W862">
            <v>0</v>
          </cell>
          <cell r="X862">
            <v>0</v>
          </cell>
          <cell r="Y862">
            <v>1</v>
          </cell>
          <cell r="Z862">
            <v>1</v>
          </cell>
          <cell r="AA862">
            <v>12</v>
          </cell>
          <cell r="AB862">
            <v>0</v>
          </cell>
          <cell r="AC862">
            <v>0</v>
          </cell>
          <cell r="AD862">
            <v>24</v>
          </cell>
        </row>
        <row r="863">
          <cell r="A863">
            <v>46</v>
          </cell>
          <cell r="B863">
            <v>3</v>
          </cell>
          <cell r="C863">
            <v>3</v>
          </cell>
          <cell r="D863">
            <v>17048</v>
          </cell>
          <cell r="E863">
            <v>8</v>
          </cell>
          <cell r="F863">
            <v>23</v>
          </cell>
          <cell r="G863">
            <v>4</v>
          </cell>
          <cell r="H863">
            <v>0</v>
          </cell>
          <cell r="I863">
            <v>28</v>
          </cell>
          <cell r="J863">
            <v>2</v>
          </cell>
          <cell r="K863">
            <v>26</v>
          </cell>
          <cell r="L863">
            <v>15</v>
          </cell>
          <cell r="M863">
            <v>0</v>
          </cell>
          <cell r="N863">
            <v>1</v>
          </cell>
          <cell r="O863">
            <v>0</v>
          </cell>
          <cell r="P863">
            <v>1</v>
          </cell>
          <cell r="Q863">
            <v>0</v>
          </cell>
          <cell r="R863">
            <v>0</v>
          </cell>
          <cell r="S863">
            <v>0</v>
          </cell>
          <cell r="T863">
            <v>0</v>
          </cell>
          <cell r="U863">
            <v>3</v>
          </cell>
          <cell r="V863">
            <v>0</v>
          </cell>
          <cell r="W863">
            <v>0</v>
          </cell>
          <cell r="X863">
            <v>0</v>
          </cell>
          <cell r="Y863">
            <v>0</v>
          </cell>
          <cell r="Z863">
            <v>0</v>
          </cell>
          <cell r="AA863">
            <v>3</v>
          </cell>
          <cell r="AB863">
            <v>0.2857142857142857</v>
          </cell>
          <cell r="AC863">
            <v>0.57692307692307687</v>
          </cell>
          <cell r="AD863">
            <v>3</v>
          </cell>
        </row>
        <row r="864">
          <cell r="A864">
            <v>44</v>
          </cell>
          <cell r="B864">
            <v>3</v>
          </cell>
          <cell r="C864">
            <v>1</v>
          </cell>
          <cell r="D864">
            <v>2290</v>
          </cell>
          <cell r="E864">
            <v>2</v>
          </cell>
          <cell r="F864">
            <v>13</v>
          </cell>
          <cell r="G864">
            <v>3</v>
          </cell>
          <cell r="H864">
            <v>0</v>
          </cell>
          <cell r="I864">
            <v>6</v>
          </cell>
          <cell r="J864">
            <v>3</v>
          </cell>
          <cell r="K864">
            <v>0</v>
          </cell>
          <cell r="L864">
            <v>0</v>
          </cell>
          <cell r="M864">
            <v>0</v>
          </cell>
          <cell r="N864">
            <v>0</v>
          </cell>
          <cell r="O864">
            <v>1</v>
          </cell>
          <cell r="P864">
            <v>0</v>
          </cell>
          <cell r="Q864">
            <v>0</v>
          </cell>
          <cell r="R864">
            <v>0</v>
          </cell>
          <cell r="S864">
            <v>0</v>
          </cell>
          <cell r="T864">
            <v>3</v>
          </cell>
          <cell r="U864">
            <v>0</v>
          </cell>
          <cell r="V864">
            <v>0</v>
          </cell>
          <cell r="W864">
            <v>0</v>
          </cell>
          <cell r="X864">
            <v>0</v>
          </cell>
          <cell r="Y864">
            <v>0</v>
          </cell>
          <cell r="Z864">
            <v>0</v>
          </cell>
          <cell r="AA864">
            <v>12</v>
          </cell>
          <cell r="AB864">
            <v>0.33333333333333331</v>
          </cell>
          <cell r="AC864">
            <v>0</v>
          </cell>
          <cell r="AD864">
            <v>48</v>
          </cell>
        </row>
        <row r="865">
          <cell r="A865">
            <v>33</v>
          </cell>
          <cell r="B865">
            <v>3</v>
          </cell>
          <cell r="C865">
            <v>3</v>
          </cell>
          <cell r="D865">
            <v>3600</v>
          </cell>
          <cell r="E865">
            <v>1</v>
          </cell>
          <cell r="F865">
            <v>13</v>
          </cell>
          <cell r="G865">
            <v>3</v>
          </cell>
          <cell r="H865">
            <v>1</v>
          </cell>
          <cell r="I865">
            <v>5</v>
          </cell>
          <cell r="J865">
            <v>2</v>
          </cell>
          <cell r="K865">
            <v>5</v>
          </cell>
          <cell r="L865">
            <v>4</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6</v>
          </cell>
          <cell r="AB865">
            <v>0.2</v>
          </cell>
          <cell r="AC865">
            <v>0.8</v>
          </cell>
          <cell r="AD865">
            <v>24</v>
          </cell>
        </row>
        <row r="866">
          <cell r="A866">
            <v>41</v>
          </cell>
          <cell r="B866">
            <v>2</v>
          </cell>
          <cell r="C866">
            <v>2</v>
          </cell>
          <cell r="D866">
            <v>2107</v>
          </cell>
          <cell r="E866">
            <v>6</v>
          </cell>
          <cell r="F866">
            <v>17</v>
          </cell>
          <cell r="G866">
            <v>3</v>
          </cell>
          <cell r="H866">
            <v>1</v>
          </cell>
          <cell r="I866">
            <v>5</v>
          </cell>
          <cell r="J866">
            <v>2</v>
          </cell>
          <cell r="K866">
            <v>1</v>
          </cell>
          <cell r="L866">
            <v>0</v>
          </cell>
          <cell r="M866">
            <v>0</v>
          </cell>
          <cell r="N866">
            <v>0</v>
          </cell>
          <cell r="O866">
            <v>1</v>
          </cell>
          <cell r="P866">
            <v>0</v>
          </cell>
          <cell r="Q866">
            <v>0</v>
          </cell>
          <cell r="R866">
            <v>0</v>
          </cell>
          <cell r="S866">
            <v>0</v>
          </cell>
          <cell r="T866">
            <v>2</v>
          </cell>
          <cell r="U866">
            <v>0</v>
          </cell>
          <cell r="V866">
            <v>0</v>
          </cell>
          <cell r="W866">
            <v>0</v>
          </cell>
          <cell r="X866">
            <v>0</v>
          </cell>
          <cell r="Y866">
            <v>0</v>
          </cell>
          <cell r="Z866">
            <v>0</v>
          </cell>
          <cell r="AA866">
            <v>1</v>
          </cell>
          <cell r="AB866">
            <v>1.2</v>
          </cell>
          <cell r="AC866">
            <v>0</v>
          </cell>
          <cell r="AD866">
            <v>1</v>
          </cell>
        </row>
        <row r="867">
          <cell r="A867">
            <v>30</v>
          </cell>
          <cell r="B867">
            <v>4</v>
          </cell>
          <cell r="C867">
            <v>3</v>
          </cell>
          <cell r="D867">
            <v>4115</v>
          </cell>
          <cell r="E867">
            <v>8</v>
          </cell>
          <cell r="F867">
            <v>19</v>
          </cell>
          <cell r="G867">
            <v>3</v>
          </cell>
          <cell r="H867">
            <v>3</v>
          </cell>
          <cell r="I867">
            <v>8</v>
          </cell>
          <cell r="J867">
            <v>3</v>
          </cell>
          <cell r="K867">
            <v>4</v>
          </cell>
          <cell r="L867">
            <v>3</v>
          </cell>
          <cell r="M867">
            <v>0</v>
          </cell>
          <cell r="N867">
            <v>0</v>
          </cell>
          <cell r="O867">
            <v>1</v>
          </cell>
          <cell r="P867">
            <v>0</v>
          </cell>
          <cell r="Q867">
            <v>0</v>
          </cell>
          <cell r="R867">
            <v>0</v>
          </cell>
          <cell r="S867">
            <v>0</v>
          </cell>
          <cell r="T867">
            <v>4</v>
          </cell>
          <cell r="U867">
            <v>0</v>
          </cell>
          <cell r="V867">
            <v>0</v>
          </cell>
          <cell r="W867">
            <v>0</v>
          </cell>
          <cell r="X867">
            <v>0</v>
          </cell>
          <cell r="Y867">
            <v>0</v>
          </cell>
          <cell r="Z867">
            <v>0</v>
          </cell>
          <cell r="AA867">
            <v>3</v>
          </cell>
          <cell r="AB867">
            <v>1</v>
          </cell>
          <cell r="AC867">
            <v>0.75</v>
          </cell>
          <cell r="AD867">
            <v>9</v>
          </cell>
        </row>
        <row r="868">
          <cell r="A868">
            <v>40</v>
          </cell>
          <cell r="B868">
            <v>4</v>
          </cell>
          <cell r="C868">
            <v>3</v>
          </cell>
          <cell r="D868">
            <v>4327</v>
          </cell>
          <cell r="E868">
            <v>5</v>
          </cell>
          <cell r="F868">
            <v>12</v>
          </cell>
          <cell r="G868">
            <v>3</v>
          </cell>
          <cell r="H868">
            <v>3</v>
          </cell>
          <cell r="I868">
            <v>5</v>
          </cell>
          <cell r="J868">
            <v>2</v>
          </cell>
          <cell r="K868">
            <v>0</v>
          </cell>
          <cell r="L868">
            <v>0</v>
          </cell>
          <cell r="M868">
            <v>0</v>
          </cell>
          <cell r="N868">
            <v>0</v>
          </cell>
          <cell r="O868">
            <v>0</v>
          </cell>
          <cell r="P868">
            <v>0</v>
          </cell>
          <cell r="Q868">
            <v>1</v>
          </cell>
          <cell r="R868">
            <v>0</v>
          </cell>
          <cell r="S868">
            <v>0</v>
          </cell>
          <cell r="T868">
            <v>0</v>
          </cell>
          <cell r="U868">
            <v>0</v>
          </cell>
          <cell r="V868">
            <v>4</v>
          </cell>
          <cell r="W868">
            <v>0</v>
          </cell>
          <cell r="X868">
            <v>0</v>
          </cell>
          <cell r="Y868">
            <v>1</v>
          </cell>
          <cell r="Z868">
            <v>0</v>
          </cell>
          <cell r="AA868">
            <v>4</v>
          </cell>
          <cell r="AB868">
            <v>1</v>
          </cell>
          <cell r="AC868">
            <v>0</v>
          </cell>
          <cell r="AD868">
            <v>16</v>
          </cell>
        </row>
        <row r="869">
          <cell r="A869">
            <v>50</v>
          </cell>
          <cell r="B869">
            <v>3</v>
          </cell>
          <cell r="C869">
            <v>3</v>
          </cell>
          <cell r="D869">
            <v>17856</v>
          </cell>
          <cell r="E869">
            <v>2</v>
          </cell>
          <cell r="F869">
            <v>22</v>
          </cell>
          <cell r="G869">
            <v>4</v>
          </cell>
          <cell r="H869">
            <v>1</v>
          </cell>
          <cell r="I869">
            <v>32</v>
          </cell>
          <cell r="J869">
            <v>3</v>
          </cell>
          <cell r="K869">
            <v>2</v>
          </cell>
          <cell r="L869">
            <v>2</v>
          </cell>
          <cell r="M869">
            <v>0</v>
          </cell>
          <cell r="N869">
            <v>1</v>
          </cell>
          <cell r="O869">
            <v>0</v>
          </cell>
          <cell r="P869">
            <v>0</v>
          </cell>
          <cell r="Q869">
            <v>1</v>
          </cell>
          <cell r="R869">
            <v>0</v>
          </cell>
          <cell r="S869">
            <v>0</v>
          </cell>
          <cell r="T869">
            <v>0</v>
          </cell>
          <cell r="U869">
            <v>0</v>
          </cell>
          <cell r="V869">
            <v>3</v>
          </cell>
          <cell r="W869">
            <v>0</v>
          </cell>
          <cell r="X869">
            <v>0</v>
          </cell>
          <cell r="Y869">
            <v>1</v>
          </cell>
          <cell r="Z869">
            <v>0</v>
          </cell>
          <cell r="AA869">
            <v>4</v>
          </cell>
          <cell r="AB869">
            <v>6.25E-2</v>
          </cell>
          <cell r="AC869">
            <v>1</v>
          </cell>
          <cell r="AD869">
            <v>12</v>
          </cell>
        </row>
        <row r="870">
          <cell r="A870">
            <v>28</v>
          </cell>
          <cell r="B870">
            <v>4</v>
          </cell>
          <cell r="C870">
            <v>2</v>
          </cell>
          <cell r="D870">
            <v>3196</v>
          </cell>
          <cell r="E870">
            <v>1</v>
          </cell>
          <cell r="F870">
            <v>12</v>
          </cell>
          <cell r="G870">
            <v>3</v>
          </cell>
          <cell r="H870">
            <v>3</v>
          </cell>
          <cell r="I870">
            <v>6</v>
          </cell>
          <cell r="J870">
            <v>2</v>
          </cell>
          <cell r="K870">
            <v>6</v>
          </cell>
          <cell r="L870">
            <v>5</v>
          </cell>
          <cell r="M870">
            <v>0</v>
          </cell>
          <cell r="N870">
            <v>0</v>
          </cell>
          <cell r="O870">
            <v>0</v>
          </cell>
          <cell r="P870">
            <v>0</v>
          </cell>
          <cell r="Q870">
            <v>1</v>
          </cell>
          <cell r="R870">
            <v>0</v>
          </cell>
          <cell r="S870">
            <v>0</v>
          </cell>
          <cell r="T870">
            <v>0</v>
          </cell>
          <cell r="U870">
            <v>0</v>
          </cell>
          <cell r="V870">
            <v>4</v>
          </cell>
          <cell r="W870">
            <v>0</v>
          </cell>
          <cell r="X870">
            <v>0</v>
          </cell>
          <cell r="Y870">
            <v>0</v>
          </cell>
          <cell r="Z870">
            <v>0</v>
          </cell>
          <cell r="AA870">
            <v>4</v>
          </cell>
          <cell r="AB870">
            <v>0.16666666666666666</v>
          </cell>
          <cell r="AC870">
            <v>0.83333333333333337</v>
          </cell>
          <cell r="AD870">
            <v>12</v>
          </cell>
        </row>
        <row r="871">
          <cell r="A871">
            <v>46</v>
          </cell>
          <cell r="B871">
            <v>2</v>
          </cell>
          <cell r="C871">
            <v>3</v>
          </cell>
          <cell r="D871">
            <v>19081</v>
          </cell>
          <cell r="E871">
            <v>5</v>
          </cell>
          <cell r="F871">
            <v>11</v>
          </cell>
          <cell r="G871">
            <v>3</v>
          </cell>
          <cell r="H871">
            <v>1</v>
          </cell>
          <cell r="I871">
            <v>25</v>
          </cell>
          <cell r="J871">
            <v>2</v>
          </cell>
          <cell r="K871">
            <v>4</v>
          </cell>
          <cell r="L871">
            <v>2</v>
          </cell>
          <cell r="M871">
            <v>0</v>
          </cell>
          <cell r="N871">
            <v>0</v>
          </cell>
          <cell r="O871">
            <v>1</v>
          </cell>
          <cell r="P871">
            <v>0</v>
          </cell>
          <cell r="Q871">
            <v>0</v>
          </cell>
          <cell r="R871">
            <v>0</v>
          </cell>
          <cell r="S871">
            <v>0</v>
          </cell>
          <cell r="T871">
            <v>2</v>
          </cell>
          <cell r="U871">
            <v>0</v>
          </cell>
          <cell r="V871">
            <v>0</v>
          </cell>
          <cell r="W871">
            <v>0</v>
          </cell>
          <cell r="X871">
            <v>0</v>
          </cell>
          <cell r="Y871">
            <v>0</v>
          </cell>
          <cell r="Z871">
            <v>0</v>
          </cell>
          <cell r="AA871">
            <v>8</v>
          </cell>
          <cell r="AB871">
            <v>0.2</v>
          </cell>
          <cell r="AC871">
            <v>0.5</v>
          </cell>
          <cell r="AD871">
            <v>8</v>
          </cell>
        </row>
        <row r="872">
          <cell r="A872">
            <v>35</v>
          </cell>
          <cell r="B872">
            <v>4</v>
          </cell>
          <cell r="C872">
            <v>3</v>
          </cell>
          <cell r="D872">
            <v>8966</v>
          </cell>
          <cell r="E872">
            <v>3</v>
          </cell>
          <cell r="F872">
            <v>15</v>
          </cell>
          <cell r="G872">
            <v>3</v>
          </cell>
          <cell r="H872">
            <v>3</v>
          </cell>
          <cell r="I872">
            <v>15</v>
          </cell>
          <cell r="J872">
            <v>2</v>
          </cell>
          <cell r="K872">
            <v>7</v>
          </cell>
          <cell r="L872">
            <v>7</v>
          </cell>
          <cell r="M872">
            <v>1</v>
          </cell>
          <cell r="N872">
            <v>0</v>
          </cell>
          <cell r="O872">
            <v>1</v>
          </cell>
          <cell r="P872">
            <v>0</v>
          </cell>
          <cell r="Q872">
            <v>0</v>
          </cell>
          <cell r="R872">
            <v>0</v>
          </cell>
          <cell r="S872">
            <v>0</v>
          </cell>
          <cell r="T872">
            <v>4</v>
          </cell>
          <cell r="U872">
            <v>0</v>
          </cell>
          <cell r="V872">
            <v>0</v>
          </cell>
          <cell r="W872">
            <v>0</v>
          </cell>
          <cell r="X872">
            <v>0</v>
          </cell>
          <cell r="Y872">
            <v>0</v>
          </cell>
          <cell r="Z872">
            <v>1</v>
          </cell>
          <cell r="AA872">
            <v>3</v>
          </cell>
          <cell r="AB872">
            <v>0.2</v>
          </cell>
          <cell r="AC872">
            <v>1</v>
          </cell>
          <cell r="AD872">
            <v>12</v>
          </cell>
        </row>
        <row r="873">
          <cell r="A873">
            <v>24</v>
          </cell>
          <cell r="B873">
            <v>2</v>
          </cell>
          <cell r="C873">
            <v>3</v>
          </cell>
          <cell r="D873">
            <v>2210</v>
          </cell>
          <cell r="E873">
            <v>1</v>
          </cell>
          <cell r="F873">
            <v>13</v>
          </cell>
          <cell r="G873">
            <v>3</v>
          </cell>
          <cell r="H873">
            <v>1</v>
          </cell>
          <cell r="I873">
            <v>1</v>
          </cell>
          <cell r="J873">
            <v>3</v>
          </cell>
          <cell r="K873">
            <v>1</v>
          </cell>
          <cell r="L873">
            <v>0</v>
          </cell>
          <cell r="M873">
            <v>0</v>
          </cell>
          <cell r="N873">
            <v>1</v>
          </cell>
          <cell r="O873">
            <v>1</v>
          </cell>
          <cell r="P873">
            <v>0</v>
          </cell>
          <cell r="Q873">
            <v>0</v>
          </cell>
          <cell r="R873">
            <v>0</v>
          </cell>
          <cell r="S873">
            <v>0</v>
          </cell>
          <cell r="T873">
            <v>2</v>
          </cell>
          <cell r="U873">
            <v>0</v>
          </cell>
          <cell r="V873">
            <v>0</v>
          </cell>
          <cell r="W873">
            <v>0</v>
          </cell>
          <cell r="X873">
            <v>0</v>
          </cell>
          <cell r="Y873">
            <v>0</v>
          </cell>
          <cell r="Z873">
            <v>0</v>
          </cell>
          <cell r="AA873">
            <v>8</v>
          </cell>
          <cell r="AB873">
            <v>1</v>
          </cell>
          <cell r="AC873">
            <v>0</v>
          </cell>
          <cell r="AD873">
            <v>8</v>
          </cell>
        </row>
        <row r="874">
          <cell r="A874">
            <v>33</v>
          </cell>
          <cell r="B874">
            <v>3</v>
          </cell>
          <cell r="C874">
            <v>3</v>
          </cell>
          <cell r="D874">
            <v>4539</v>
          </cell>
          <cell r="E874">
            <v>1</v>
          </cell>
          <cell r="F874">
            <v>12</v>
          </cell>
          <cell r="G874">
            <v>3</v>
          </cell>
          <cell r="H874">
            <v>1</v>
          </cell>
          <cell r="I874">
            <v>10</v>
          </cell>
          <cell r="J874">
            <v>3</v>
          </cell>
          <cell r="K874">
            <v>10</v>
          </cell>
          <cell r="L874">
            <v>7</v>
          </cell>
          <cell r="M874">
            <v>0</v>
          </cell>
          <cell r="N874">
            <v>1</v>
          </cell>
          <cell r="O874">
            <v>0</v>
          </cell>
          <cell r="P874">
            <v>0</v>
          </cell>
          <cell r="Q874">
            <v>1</v>
          </cell>
          <cell r="R874">
            <v>0</v>
          </cell>
          <cell r="S874">
            <v>0</v>
          </cell>
          <cell r="T874">
            <v>0</v>
          </cell>
          <cell r="U874">
            <v>0</v>
          </cell>
          <cell r="V874">
            <v>3</v>
          </cell>
          <cell r="W874">
            <v>0</v>
          </cell>
          <cell r="X874">
            <v>0</v>
          </cell>
          <cell r="Y874">
            <v>1</v>
          </cell>
          <cell r="Z874">
            <v>0</v>
          </cell>
          <cell r="AA874">
            <v>6</v>
          </cell>
          <cell r="AB874">
            <v>0.1</v>
          </cell>
          <cell r="AC874">
            <v>0.7</v>
          </cell>
          <cell r="AD874">
            <v>6</v>
          </cell>
        </row>
        <row r="875">
          <cell r="A875">
            <v>36</v>
          </cell>
          <cell r="B875">
            <v>4</v>
          </cell>
          <cell r="C875">
            <v>1</v>
          </cell>
          <cell r="D875">
            <v>2741</v>
          </cell>
          <cell r="E875">
            <v>1</v>
          </cell>
          <cell r="F875">
            <v>14</v>
          </cell>
          <cell r="G875">
            <v>3</v>
          </cell>
          <cell r="H875">
            <v>1</v>
          </cell>
          <cell r="I875">
            <v>7</v>
          </cell>
          <cell r="J875">
            <v>4</v>
          </cell>
          <cell r="K875">
            <v>7</v>
          </cell>
          <cell r="L875">
            <v>7</v>
          </cell>
          <cell r="M875">
            <v>0</v>
          </cell>
          <cell r="N875">
            <v>0</v>
          </cell>
          <cell r="O875">
            <v>1</v>
          </cell>
          <cell r="P875">
            <v>0</v>
          </cell>
          <cell r="Q875">
            <v>0</v>
          </cell>
          <cell r="R875">
            <v>0</v>
          </cell>
          <cell r="S875">
            <v>0</v>
          </cell>
          <cell r="T875">
            <v>4</v>
          </cell>
          <cell r="U875">
            <v>0</v>
          </cell>
          <cell r="V875">
            <v>0</v>
          </cell>
          <cell r="W875">
            <v>0</v>
          </cell>
          <cell r="X875">
            <v>0</v>
          </cell>
          <cell r="Y875">
            <v>0</v>
          </cell>
          <cell r="Z875">
            <v>0</v>
          </cell>
          <cell r="AA875">
            <v>9</v>
          </cell>
          <cell r="AB875">
            <v>0.14285714285714285</v>
          </cell>
          <cell r="AC875">
            <v>1</v>
          </cell>
          <cell r="AD875">
            <v>27</v>
          </cell>
        </row>
        <row r="876">
          <cell r="A876">
            <v>30</v>
          </cell>
          <cell r="B876">
            <v>4</v>
          </cell>
          <cell r="C876">
            <v>3</v>
          </cell>
          <cell r="D876">
            <v>3491</v>
          </cell>
          <cell r="E876">
            <v>1</v>
          </cell>
          <cell r="F876">
            <v>13</v>
          </cell>
          <cell r="G876">
            <v>3</v>
          </cell>
          <cell r="H876">
            <v>3</v>
          </cell>
          <cell r="I876">
            <v>10</v>
          </cell>
          <cell r="J876">
            <v>4</v>
          </cell>
          <cell r="K876">
            <v>10</v>
          </cell>
          <cell r="L876">
            <v>7</v>
          </cell>
          <cell r="M876">
            <v>0</v>
          </cell>
          <cell r="N876">
            <v>0</v>
          </cell>
          <cell r="O876">
            <v>1</v>
          </cell>
          <cell r="P876">
            <v>0</v>
          </cell>
          <cell r="Q876">
            <v>0</v>
          </cell>
          <cell r="R876">
            <v>0</v>
          </cell>
          <cell r="S876">
            <v>0</v>
          </cell>
          <cell r="T876">
            <v>4</v>
          </cell>
          <cell r="U876">
            <v>0</v>
          </cell>
          <cell r="V876">
            <v>0</v>
          </cell>
          <cell r="W876">
            <v>0</v>
          </cell>
          <cell r="X876">
            <v>0</v>
          </cell>
          <cell r="Y876">
            <v>0</v>
          </cell>
          <cell r="Z876">
            <v>0</v>
          </cell>
          <cell r="AA876">
            <v>9</v>
          </cell>
          <cell r="AB876">
            <v>0.1</v>
          </cell>
          <cell r="AC876">
            <v>0.7</v>
          </cell>
          <cell r="AD876">
            <v>9</v>
          </cell>
        </row>
        <row r="877">
          <cell r="A877">
            <v>44</v>
          </cell>
          <cell r="B877">
            <v>4</v>
          </cell>
          <cell r="C877">
            <v>3</v>
          </cell>
          <cell r="D877">
            <v>4541</v>
          </cell>
          <cell r="E877">
            <v>1</v>
          </cell>
          <cell r="F877">
            <v>25</v>
          </cell>
          <cell r="G877">
            <v>4</v>
          </cell>
          <cell r="H877">
            <v>0</v>
          </cell>
          <cell r="I877">
            <v>20</v>
          </cell>
          <cell r="J877">
            <v>3</v>
          </cell>
          <cell r="K877">
            <v>20</v>
          </cell>
          <cell r="L877">
            <v>11</v>
          </cell>
          <cell r="M877">
            <v>0</v>
          </cell>
          <cell r="N877">
            <v>0</v>
          </cell>
          <cell r="O877">
            <v>0</v>
          </cell>
          <cell r="P877">
            <v>0</v>
          </cell>
          <cell r="Q877">
            <v>0</v>
          </cell>
          <cell r="R877">
            <v>1</v>
          </cell>
          <cell r="S877">
            <v>0</v>
          </cell>
          <cell r="T877">
            <v>0</v>
          </cell>
          <cell r="U877">
            <v>0</v>
          </cell>
          <cell r="V877">
            <v>0</v>
          </cell>
          <cell r="W877">
            <v>4</v>
          </cell>
          <cell r="X877">
            <v>0</v>
          </cell>
          <cell r="Y877">
            <v>0</v>
          </cell>
          <cell r="Z877">
            <v>0</v>
          </cell>
          <cell r="AA877">
            <v>16</v>
          </cell>
          <cell r="AB877">
            <v>0.05</v>
          </cell>
          <cell r="AC877">
            <v>0.55000000000000004</v>
          </cell>
          <cell r="AD877">
            <v>32</v>
          </cell>
        </row>
        <row r="878">
          <cell r="A878">
            <v>20</v>
          </cell>
          <cell r="B878">
            <v>3</v>
          </cell>
          <cell r="C878">
            <v>4</v>
          </cell>
          <cell r="D878">
            <v>2678</v>
          </cell>
          <cell r="E878">
            <v>1</v>
          </cell>
          <cell r="F878">
            <v>17</v>
          </cell>
          <cell r="G878">
            <v>3</v>
          </cell>
          <cell r="H878">
            <v>0</v>
          </cell>
          <cell r="I878">
            <v>2</v>
          </cell>
          <cell r="J878">
            <v>2</v>
          </cell>
          <cell r="K878">
            <v>2</v>
          </cell>
          <cell r="L878">
            <v>1</v>
          </cell>
          <cell r="M878">
            <v>0</v>
          </cell>
          <cell r="N878">
            <v>0</v>
          </cell>
          <cell r="O878">
            <v>0</v>
          </cell>
          <cell r="P878">
            <v>1</v>
          </cell>
          <cell r="Q878">
            <v>0</v>
          </cell>
          <cell r="R878">
            <v>0</v>
          </cell>
          <cell r="S878">
            <v>0</v>
          </cell>
          <cell r="T878">
            <v>0</v>
          </cell>
          <cell r="U878">
            <v>3</v>
          </cell>
          <cell r="V878">
            <v>0</v>
          </cell>
          <cell r="W878">
            <v>0</v>
          </cell>
          <cell r="X878">
            <v>0</v>
          </cell>
          <cell r="Y878">
            <v>0</v>
          </cell>
          <cell r="Z878">
            <v>0</v>
          </cell>
          <cell r="AA878">
            <v>12</v>
          </cell>
          <cell r="AB878">
            <v>0.5</v>
          </cell>
          <cell r="AC878">
            <v>0.5</v>
          </cell>
          <cell r="AD878">
            <v>48</v>
          </cell>
        </row>
        <row r="879">
          <cell r="A879">
            <v>46</v>
          </cell>
          <cell r="B879">
            <v>4</v>
          </cell>
          <cell r="C879">
            <v>3</v>
          </cell>
          <cell r="D879">
            <v>7379</v>
          </cell>
          <cell r="E879">
            <v>2</v>
          </cell>
          <cell r="F879">
            <v>11</v>
          </cell>
          <cell r="G879">
            <v>3</v>
          </cell>
          <cell r="H879">
            <v>1</v>
          </cell>
          <cell r="I879">
            <v>12</v>
          </cell>
          <cell r="J879">
            <v>3</v>
          </cell>
          <cell r="K879">
            <v>6</v>
          </cell>
          <cell r="L879">
            <v>3</v>
          </cell>
          <cell r="M879">
            <v>0</v>
          </cell>
          <cell r="N879">
            <v>0</v>
          </cell>
          <cell r="O879">
            <v>0</v>
          </cell>
          <cell r="P879">
            <v>0</v>
          </cell>
          <cell r="Q879">
            <v>0</v>
          </cell>
          <cell r="R879">
            <v>0</v>
          </cell>
          <cell r="S879">
            <v>1</v>
          </cell>
          <cell r="T879">
            <v>0</v>
          </cell>
          <cell r="U879">
            <v>0</v>
          </cell>
          <cell r="V879">
            <v>0</v>
          </cell>
          <cell r="W879">
            <v>0</v>
          </cell>
          <cell r="X879">
            <v>4</v>
          </cell>
          <cell r="Y879">
            <v>0</v>
          </cell>
          <cell r="Z879">
            <v>0</v>
          </cell>
          <cell r="AA879">
            <v>16</v>
          </cell>
          <cell r="AB879">
            <v>0.16666666666666666</v>
          </cell>
          <cell r="AC879">
            <v>0.5</v>
          </cell>
          <cell r="AD879">
            <v>48</v>
          </cell>
        </row>
        <row r="880">
          <cell r="A880">
            <v>42</v>
          </cell>
          <cell r="B880">
            <v>5</v>
          </cell>
          <cell r="C880">
            <v>4</v>
          </cell>
          <cell r="D880">
            <v>6272</v>
          </cell>
          <cell r="E880">
            <v>7</v>
          </cell>
          <cell r="F880">
            <v>16</v>
          </cell>
          <cell r="G880">
            <v>3</v>
          </cell>
          <cell r="H880">
            <v>1</v>
          </cell>
          <cell r="I880">
            <v>10</v>
          </cell>
          <cell r="J880">
            <v>3</v>
          </cell>
          <cell r="K880">
            <v>4</v>
          </cell>
          <cell r="L880">
            <v>3</v>
          </cell>
          <cell r="M880">
            <v>0</v>
          </cell>
          <cell r="N880">
            <v>0</v>
          </cell>
          <cell r="O880">
            <v>0</v>
          </cell>
          <cell r="P880">
            <v>0</v>
          </cell>
          <cell r="Q880">
            <v>1</v>
          </cell>
          <cell r="R880">
            <v>0</v>
          </cell>
          <cell r="S880">
            <v>0</v>
          </cell>
          <cell r="T880">
            <v>0</v>
          </cell>
          <cell r="U880">
            <v>0</v>
          </cell>
          <cell r="V880">
            <v>5</v>
          </cell>
          <cell r="W880">
            <v>0</v>
          </cell>
          <cell r="X880">
            <v>0</v>
          </cell>
          <cell r="Y880">
            <v>0</v>
          </cell>
          <cell r="Z880">
            <v>0</v>
          </cell>
          <cell r="AA880">
            <v>4</v>
          </cell>
          <cell r="AB880">
            <v>0.7</v>
          </cell>
          <cell r="AC880">
            <v>0.75</v>
          </cell>
          <cell r="AD880">
            <v>4</v>
          </cell>
        </row>
        <row r="881">
          <cell r="A881">
            <v>60</v>
          </cell>
          <cell r="B881">
            <v>4</v>
          </cell>
          <cell r="C881">
            <v>4</v>
          </cell>
          <cell r="D881">
            <v>5220</v>
          </cell>
          <cell r="E881">
            <v>0</v>
          </cell>
          <cell r="F881">
            <v>18</v>
          </cell>
          <cell r="G881">
            <v>3</v>
          </cell>
          <cell r="H881">
            <v>1</v>
          </cell>
          <cell r="I881">
            <v>12</v>
          </cell>
          <cell r="J881">
            <v>3</v>
          </cell>
          <cell r="K881">
            <v>11</v>
          </cell>
          <cell r="L881">
            <v>7</v>
          </cell>
          <cell r="M881">
            <v>1</v>
          </cell>
          <cell r="N881">
            <v>0</v>
          </cell>
          <cell r="O881">
            <v>0</v>
          </cell>
          <cell r="P881">
            <v>1</v>
          </cell>
          <cell r="Q881">
            <v>0</v>
          </cell>
          <cell r="R881">
            <v>0</v>
          </cell>
          <cell r="S881">
            <v>0</v>
          </cell>
          <cell r="T881">
            <v>0</v>
          </cell>
          <cell r="U881">
            <v>4</v>
          </cell>
          <cell r="V881">
            <v>0</v>
          </cell>
          <cell r="W881">
            <v>0</v>
          </cell>
          <cell r="X881">
            <v>0</v>
          </cell>
          <cell r="Y881">
            <v>0</v>
          </cell>
          <cell r="Z881">
            <v>0</v>
          </cell>
          <cell r="AA881">
            <v>8</v>
          </cell>
          <cell r="AB881">
            <v>0</v>
          </cell>
          <cell r="AC881">
            <v>0.63636363636363635</v>
          </cell>
          <cell r="AD881">
            <v>16</v>
          </cell>
        </row>
        <row r="882">
          <cell r="A882">
            <v>32</v>
          </cell>
          <cell r="B882">
            <v>3</v>
          </cell>
          <cell r="C882">
            <v>2</v>
          </cell>
          <cell r="D882">
            <v>2743</v>
          </cell>
          <cell r="E882">
            <v>1</v>
          </cell>
          <cell r="F882">
            <v>20</v>
          </cell>
          <cell r="G882">
            <v>4</v>
          </cell>
          <cell r="H882">
            <v>1</v>
          </cell>
          <cell r="I882">
            <v>2</v>
          </cell>
          <cell r="J882">
            <v>2</v>
          </cell>
          <cell r="K882">
            <v>2</v>
          </cell>
          <cell r="L882">
            <v>2</v>
          </cell>
          <cell r="M882">
            <v>0</v>
          </cell>
          <cell r="N882">
            <v>1</v>
          </cell>
          <cell r="O882">
            <v>0</v>
          </cell>
          <cell r="P882">
            <v>0</v>
          </cell>
          <cell r="Q882">
            <v>0</v>
          </cell>
          <cell r="R882">
            <v>1</v>
          </cell>
          <cell r="S882">
            <v>0</v>
          </cell>
          <cell r="T882">
            <v>0</v>
          </cell>
          <cell r="U882">
            <v>0</v>
          </cell>
          <cell r="V882">
            <v>0</v>
          </cell>
          <cell r="W882">
            <v>3</v>
          </cell>
          <cell r="X882">
            <v>0</v>
          </cell>
          <cell r="Y882">
            <v>1</v>
          </cell>
          <cell r="Z882">
            <v>0</v>
          </cell>
          <cell r="AA882">
            <v>6</v>
          </cell>
          <cell r="AB882">
            <v>0.5</v>
          </cell>
          <cell r="AC882">
            <v>1</v>
          </cell>
          <cell r="AD882">
            <v>18</v>
          </cell>
        </row>
        <row r="883">
          <cell r="A883">
            <v>32</v>
          </cell>
          <cell r="B883">
            <v>2</v>
          </cell>
          <cell r="C883">
            <v>3</v>
          </cell>
          <cell r="D883">
            <v>4998</v>
          </cell>
          <cell r="E883">
            <v>4</v>
          </cell>
          <cell r="F883">
            <v>14</v>
          </cell>
          <cell r="G883">
            <v>3</v>
          </cell>
          <cell r="H883">
            <v>0</v>
          </cell>
          <cell r="I883">
            <v>10</v>
          </cell>
          <cell r="J883">
            <v>2</v>
          </cell>
          <cell r="K883">
            <v>8</v>
          </cell>
          <cell r="L883">
            <v>7</v>
          </cell>
          <cell r="M883">
            <v>1</v>
          </cell>
          <cell r="N883">
            <v>1</v>
          </cell>
          <cell r="O883">
            <v>1</v>
          </cell>
          <cell r="P883">
            <v>0</v>
          </cell>
          <cell r="Q883">
            <v>0</v>
          </cell>
          <cell r="R883">
            <v>0</v>
          </cell>
          <cell r="S883">
            <v>0</v>
          </cell>
          <cell r="T883">
            <v>2</v>
          </cell>
          <cell r="U883">
            <v>0</v>
          </cell>
          <cell r="V883">
            <v>0</v>
          </cell>
          <cell r="W883">
            <v>0</v>
          </cell>
          <cell r="X883">
            <v>0</v>
          </cell>
          <cell r="Y883">
            <v>0</v>
          </cell>
          <cell r="Z883">
            <v>0</v>
          </cell>
          <cell r="AA883">
            <v>12</v>
          </cell>
          <cell r="AB883">
            <v>0.4</v>
          </cell>
          <cell r="AC883">
            <v>0.875</v>
          </cell>
          <cell r="AD883">
            <v>48</v>
          </cell>
        </row>
        <row r="884">
          <cell r="A884">
            <v>36</v>
          </cell>
          <cell r="B884">
            <v>3</v>
          </cell>
          <cell r="C884">
            <v>1</v>
          </cell>
          <cell r="D884">
            <v>10252</v>
          </cell>
          <cell r="E884">
            <v>2</v>
          </cell>
          <cell r="F884">
            <v>21</v>
          </cell>
          <cell r="G884">
            <v>4</v>
          </cell>
          <cell r="H884">
            <v>1</v>
          </cell>
          <cell r="I884">
            <v>17</v>
          </cell>
          <cell r="J884">
            <v>2</v>
          </cell>
          <cell r="K884">
            <v>7</v>
          </cell>
          <cell r="L884">
            <v>7</v>
          </cell>
          <cell r="M884">
            <v>1</v>
          </cell>
          <cell r="N884">
            <v>1</v>
          </cell>
          <cell r="O884">
            <v>0</v>
          </cell>
          <cell r="P884">
            <v>0</v>
          </cell>
          <cell r="Q884">
            <v>0</v>
          </cell>
          <cell r="R884">
            <v>0</v>
          </cell>
          <cell r="S884">
            <v>1</v>
          </cell>
          <cell r="T884">
            <v>0</v>
          </cell>
          <cell r="U884">
            <v>0</v>
          </cell>
          <cell r="V884">
            <v>0</v>
          </cell>
          <cell r="W884">
            <v>0</v>
          </cell>
          <cell r="X884">
            <v>3</v>
          </cell>
          <cell r="Y884">
            <v>0</v>
          </cell>
          <cell r="Z884">
            <v>0</v>
          </cell>
          <cell r="AA884">
            <v>3</v>
          </cell>
          <cell r="AB884">
            <v>0.11764705882352941</v>
          </cell>
          <cell r="AC884">
            <v>1</v>
          </cell>
          <cell r="AD884">
            <v>9</v>
          </cell>
        </row>
        <row r="885">
          <cell r="A885">
            <v>33</v>
          </cell>
          <cell r="B885">
            <v>3</v>
          </cell>
          <cell r="C885">
            <v>3</v>
          </cell>
          <cell r="D885">
            <v>2781</v>
          </cell>
          <cell r="E885">
            <v>0</v>
          </cell>
          <cell r="F885">
            <v>13</v>
          </cell>
          <cell r="G885">
            <v>3</v>
          </cell>
          <cell r="H885">
            <v>1</v>
          </cell>
          <cell r="I885">
            <v>15</v>
          </cell>
          <cell r="J885">
            <v>5</v>
          </cell>
          <cell r="K885">
            <v>14</v>
          </cell>
          <cell r="L885">
            <v>10</v>
          </cell>
          <cell r="M885">
            <v>0</v>
          </cell>
          <cell r="N885">
            <v>0</v>
          </cell>
          <cell r="O885">
            <v>0</v>
          </cell>
          <cell r="P885">
            <v>0</v>
          </cell>
          <cell r="Q885">
            <v>1</v>
          </cell>
          <cell r="R885">
            <v>0</v>
          </cell>
          <cell r="S885">
            <v>0</v>
          </cell>
          <cell r="T885">
            <v>0</v>
          </cell>
          <cell r="U885">
            <v>0</v>
          </cell>
          <cell r="V885">
            <v>3</v>
          </cell>
          <cell r="W885">
            <v>0</v>
          </cell>
          <cell r="X885">
            <v>0</v>
          </cell>
          <cell r="Y885">
            <v>0</v>
          </cell>
          <cell r="Z885">
            <v>0</v>
          </cell>
          <cell r="AA885">
            <v>4</v>
          </cell>
          <cell r="AB885">
            <v>0</v>
          </cell>
          <cell r="AC885">
            <v>0.7142857142857143</v>
          </cell>
          <cell r="AD885">
            <v>8</v>
          </cell>
        </row>
        <row r="886">
          <cell r="A886">
            <v>40</v>
          </cell>
          <cell r="B886">
            <v>3</v>
          </cell>
          <cell r="C886">
            <v>2</v>
          </cell>
          <cell r="D886">
            <v>6852</v>
          </cell>
          <cell r="E886">
            <v>7</v>
          </cell>
          <cell r="F886">
            <v>12</v>
          </cell>
          <cell r="G886">
            <v>3</v>
          </cell>
          <cell r="H886">
            <v>1</v>
          </cell>
          <cell r="I886">
            <v>7</v>
          </cell>
          <cell r="J886">
            <v>2</v>
          </cell>
          <cell r="K886">
            <v>5</v>
          </cell>
          <cell r="L886">
            <v>1</v>
          </cell>
          <cell r="M886">
            <v>0</v>
          </cell>
          <cell r="N886">
            <v>1</v>
          </cell>
          <cell r="O886">
            <v>0</v>
          </cell>
          <cell r="P886">
            <v>0</v>
          </cell>
          <cell r="Q886">
            <v>0</v>
          </cell>
          <cell r="R886">
            <v>0</v>
          </cell>
          <cell r="S886">
            <v>1</v>
          </cell>
          <cell r="T886">
            <v>0</v>
          </cell>
          <cell r="U886">
            <v>0</v>
          </cell>
          <cell r="V886">
            <v>0</v>
          </cell>
          <cell r="W886">
            <v>0</v>
          </cell>
          <cell r="X886">
            <v>3</v>
          </cell>
          <cell r="Y886">
            <v>0</v>
          </cell>
          <cell r="Z886">
            <v>0</v>
          </cell>
          <cell r="AA886">
            <v>4</v>
          </cell>
          <cell r="AB886">
            <v>1</v>
          </cell>
          <cell r="AC886">
            <v>0.2</v>
          </cell>
          <cell r="AD886">
            <v>8</v>
          </cell>
        </row>
        <row r="887">
          <cell r="A887">
            <v>25</v>
          </cell>
          <cell r="B887">
            <v>4</v>
          </cell>
          <cell r="C887">
            <v>3</v>
          </cell>
          <cell r="D887">
            <v>4950</v>
          </cell>
          <cell r="E887">
            <v>0</v>
          </cell>
          <cell r="F887">
            <v>14</v>
          </cell>
          <cell r="G887">
            <v>3</v>
          </cell>
          <cell r="H887">
            <v>0</v>
          </cell>
          <cell r="I887">
            <v>5</v>
          </cell>
          <cell r="J887">
            <v>4</v>
          </cell>
          <cell r="K887">
            <v>4</v>
          </cell>
          <cell r="L887">
            <v>3</v>
          </cell>
          <cell r="M887">
            <v>0</v>
          </cell>
          <cell r="N887">
            <v>0</v>
          </cell>
          <cell r="O887">
            <v>1</v>
          </cell>
          <cell r="P887">
            <v>0</v>
          </cell>
          <cell r="Q887">
            <v>0</v>
          </cell>
          <cell r="R887">
            <v>0</v>
          </cell>
          <cell r="S887">
            <v>0</v>
          </cell>
          <cell r="T887">
            <v>4</v>
          </cell>
          <cell r="U887">
            <v>0</v>
          </cell>
          <cell r="V887">
            <v>0</v>
          </cell>
          <cell r="W887">
            <v>0</v>
          </cell>
          <cell r="X887">
            <v>0</v>
          </cell>
          <cell r="Y887">
            <v>0</v>
          </cell>
          <cell r="Z887">
            <v>0</v>
          </cell>
          <cell r="AA887">
            <v>12</v>
          </cell>
          <cell r="AB887">
            <v>0</v>
          </cell>
          <cell r="AC887">
            <v>0.75</v>
          </cell>
          <cell r="AD887">
            <v>24</v>
          </cell>
        </row>
        <row r="888">
          <cell r="A888">
            <v>30</v>
          </cell>
          <cell r="B888">
            <v>3</v>
          </cell>
          <cell r="C888">
            <v>3</v>
          </cell>
          <cell r="D888">
            <v>3579</v>
          </cell>
          <cell r="E888">
            <v>0</v>
          </cell>
          <cell r="F888">
            <v>21</v>
          </cell>
          <cell r="G888">
            <v>4</v>
          </cell>
          <cell r="H888">
            <v>1</v>
          </cell>
          <cell r="I888">
            <v>12</v>
          </cell>
          <cell r="J888">
            <v>2</v>
          </cell>
          <cell r="K888">
            <v>11</v>
          </cell>
          <cell r="L888">
            <v>9</v>
          </cell>
          <cell r="M888">
            <v>1</v>
          </cell>
          <cell r="N888">
            <v>0</v>
          </cell>
          <cell r="O888">
            <v>0</v>
          </cell>
          <cell r="P888">
            <v>0</v>
          </cell>
          <cell r="Q888">
            <v>1</v>
          </cell>
          <cell r="R888">
            <v>0</v>
          </cell>
          <cell r="S888">
            <v>0</v>
          </cell>
          <cell r="T888">
            <v>0</v>
          </cell>
          <cell r="U888">
            <v>0</v>
          </cell>
          <cell r="V888">
            <v>3</v>
          </cell>
          <cell r="W888">
            <v>0</v>
          </cell>
          <cell r="X888">
            <v>0</v>
          </cell>
          <cell r="Y888">
            <v>0</v>
          </cell>
          <cell r="Z888">
            <v>1</v>
          </cell>
          <cell r="AA888">
            <v>8</v>
          </cell>
          <cell r="AB888">
            <v>0</v>
          </cell>
          <cell r="AC888">
            <v>0.81818181818181823</v>
          </cell>
          <cell r="AD888">
            <v>8</v>
          </cell>
        </row>
        <row r="889">
          <cell r="A889">
            <v>42</v>
          </cell>
          <cell r="B889">
            <v>5</v>
          </cell>
          <cell r="C889">
            <v>3</v>
          </cell>
          <cell r="D889">
            <v>13191</v>
          </cell>
          <cell r="E889">
            <v>3</v>
          </cell>
          <cell r="F889">
            <v>17</v>
          </cell>
          <cell r="G889">
            <v>3</v>
          </cell>
          <cell r="H889">
            <v>0</v>
          </cell>
          <cell r="I889">
            <v>20</v>
          </cell>
          <cell r="J889">
            <v>6</v>
          </cell>
          <cell r="K889">
            <v>1</v>
          </cell>
          <cell r="L889">
            <v>0</v>
          </cell>
          <cell r="M889">
            <v>1</v>
          </cell>
          <cell r="N889">
            <v>1</v>
          </cell>
          <cell r="O889">
            <v>0</v>
          </cell>
          <cell r="P889">
            <v>0</v>
          </cell>
          <cell r="Q889">
            <v>1</v>
          </cell>
          <cell r="R889">
            <v>0</v>
          </cell>
          <cell r="S889">
            <v>0</v>
          </cell>
          <cell r="T889">
            <v>0</v>
          </cell>
          <cell r="U889">
            <v>0</v>
          </cell>
          <cell r="V889">
            <v>5</v>
          </cell>
          <cell r="W889">
            <v>0</v>
          </cell>
          <cell r="X889">
            <v>0</v>
          </cell>
          <cell r="Y889">
            <v>1</v>
          </cell>
          <cell r="Z889">
            <v>1</v>
          </cell>
          <cell r="AA889">
            <v>1</v>
          </cell>
          <cell r="AB889">
            <v>0.15</v>
          </cell>
          <cell r="AC889">
            <v>0</v>
          </cell>
          <cell r="AD889">
            <v>3</v>
          </cell>
        </row>
        <row r="890">
          <cell r="A890">
            <v>35</v>
          </cell>
          <cell r="B890">
            <v>2</v>
          </cell>
          <cell r="C890">
            <v>2</v>
          </cell>
          <cell r="D890">
            <v>10377</v>
          </cell>
          <cell r="E890">
            <v>4</v>
          </cell>
          <cell r="F890">
            <v>11</v>
          </cell>
          <cell r="G890">
            <v>3</v>
          </cell>
          <cell r="H890">
            <v>1</v>
          </cell>
          <cell r="I890">
            <v>16</v>
          </cell>
          <cell r="J890">
            <v>6</v>
          </cell>
          <cell r="K890">
            <v>13</v>
          </cell>
          <cell r="L890">
            <v>2</v>
          </cell>
          <cell r="M890">
            <v>1</v>
          </cell>
          <cell r="N890">
            <v>1</v>
          </cell>
          <cell r="O890">
            <v>0</v>
          </cell>
          <cell r="P890">
            <v>1</v>
          </cell>
          <cell r="Q890">
            <v>0</v>
          </cell>
          <cell r="R890">
            <v>0</v>
          </cell>
          <cell r="S890">
            <v>0</v>
          </cell>
          <cell r="T890">
            <v>0</v>
          </cell>
          <cell r="U890">
            <v>2</v>
          </cell>
          <cell r="V890">
            <v>0</v>
          </cell>
          <cell r="W890">
            <v>0</v>
          </cell>
          <cell r="X890">
            <v>0</v>
          </cell>
          <cell r="Y890">
            <v>0</v>
          </cell>
          <cell r="Z890">
            <v>1</v>
          </cell>
          <cell r="AA890">
            <v>12</v>
          </cell>
          <cell r="AB890">
            <v>0.25</v>
          </cell>
          <cell r="AC890">
            <v>0.15384615384615385</v>
          </cell>
          <cell r="AD890">
            <v>24</v>
          </cell>
        </row>
        <row r="891">
          <cell r="A891">
            <v>27</v>
          </cell>
          <cell r="B891">
            <v>3</v>
          </cell>
          <cell r="C891">
            <v>3</v>
          </cell>
          <cell r="D891">
            <v>2235</v>
          </cell>
          <cell r="E891">
            <v>1</v>
          </cell>
          <cell r="F891">
            <v>14</v>
          </cell>
          <cell r="G891">
            <v>3</v>
          </cell>
          <cell r="H891">
            <v>2</v>
          </cell>
          <cell r="I891">
            <v>9</v>
          </cell>
          <cell r="J891">
            <v>3</v>
          </cell>
          <cell r="K891">
            <v>9</v>
          </cell>
          <cell r="L891">
            <v>7</v>
          </cell>
          <cell r="M891">
            <v>1</v>
          </cell>
          <cell r="N891">
            <v>0</v>
          </cell>
          <cell r="O891">
            <v>1</v>
          </cell>
          <cell r="P891">
            <v>0</v>
          </cell>
          <cell r="Q891">
            <v>0</v>
          </cell>
          <cell r="R891">
            <v>0</v>
          </cell>
          <cell r="S891">
            <v>0</v>
          </cell>
          <cell r="T891">
            <v>3</v>
          </cell>
          <cell r="U891">
            <v>0</v>
          </cell>
          <cell r="V891">
            <v>0</v>
          </cell>
          <cell r="W891">
            <v>0</v>
          </cell>
          <cell r="X891">
            <v>0</v>
          </cell>
          <cell r="Y891">
            <v>0</v>
          </cell>
          <cell r="Z891">
            <v>1</v>
          </cell>
          <cell r="AA891">
            <v>1</v>
          </cell>
          <cell r="AB891">
            <v>0.1111111111111111</v>
          </cell>
          <cell r="AC891">
            <v>0.77777777777777779</v>
          </cell>
          <cell r="AD891">
            <v>4</v>
          </cell>
        </row>
        <row r="892">
          <cell r="A892">
            <v>54</v>
          </cell>
          <cell r="B892">
            <v>4</v>
          </cell>
          <cell r="C892">
            <v>3</v>
          </cell>
          <cell r="D892">
            <v>10502</v>
          </cell>
          <cell r="E892">
            <v>7</v>
          </cell>
          <cell r="F892">
            <v>17</v>
          </cell>
          <cell r="G892">
            <v>3</v>
          </cell>
          <cell r="H892">
            <v>1</v>
          </cell>
          <cell r="I892">
            <v>33</v>
          </cell>
          <cell r="J892">
            <v>2</v>
          </cell>
          <cell r="K892">
            <v>5</v>
          </cell>
          <cell r="L892">
            <v>4</v>
          </cell>
          <cell r="M892">
            <v>0</v>
          </cell>
          <cell r="N892">
            <v>1</v>
          </cell>
          <cell r="O892">
            <v>1</v>
          </cell>
          <cell r="P892">
            <v>0</v>
          </cell>
          <cell r="Q892">
            <v>0</v>
          </cell>
          <cell r="R892">
            <v>0</v>
          </cell>
          <cell r="S892">
            <v>0</v>
          </cell>
          <cell r="T892">
            <v>4</v>
          </cell>
          <cell r="U892">
            <v>0</v>
          </cell>
          <cell r="V892">
            <v>0</v>
          </cell>
          <cell r="W892">
            <v>0</v>
          </cell>
          <cell r="X892">
            <v>0</v>
          </cell>
          <cell r="Y892">
            <v>0</v>
          </cell>
          <cell r="Z892">
            <v>0</v>
          </cell>
          <cell r="AA892">
            <v>12</v>
          </cell>
          <cell r="AB892">
            <v>0.21212121212121213</v>
          </cell>
          <cell r="AC892">
            <v>0.8</v>
          </cell>
          <cell r="AD892">
            <v>12</v>
          </cell>
        </row>
        <row r="893">
          <cell r="A893">
            <v>44</v>
          </cell>
          <cell r="B893">
            <v>1</v>
          </cell>
          <cell r="C893">
            <v>4</v>
          </cell>
          <cell r="D893">
            <v>2011</v>
          </cell>
          <cell r="E893">
            <v>1</v>
          </cell>
          <cell r="F893">
            <v>13</v>
          </cell>
          <cell r="G893">
            <v>3</v>
          </cell>
          <cell r="H893">
            <v>1</v>
          </cell>
          <cell r="I893">
            <v>10</v>
          </cell>
          <cell r="J893">
            <v>5</v>
          </cell>
          <cell r="K893">
            <v>10</v>
          </cell>
          <cell r="L893">
            <v>5</v>
          </cell>
          <cell r="M893">
            <v>0</v>
          </cell>
          <cell r="N893">
            <v>1</v>
          </cell>
          <cell r="O893">
            <v>1</v>
          </cell>
          <cell r="P893">
            <v>0</v>
          </cell>
          <cell r="Q893">
            <v>0</v>
          </cell>
          <cell r="R893">
            <v>0</v>
          </cell>
          <cell r="S893">
            <v>0</v>
          </cell>
          <cell r="T893">
            <v>1</v>
          </cell>
          <cell r="U893">
            <v>0</v>
          </cell>
          <cell r="V893">
            <v>0</v>
          </cell>
          <cell r="W893">
            <v>0</v>
          </cell>
          <cell r="X893">
            <v>0</v>
          </cell>
          <cell r="Y893">
            <v>0</v>
          </cell>
          <cell r="Z893">
            <v>0</v>
          </cell>
          <cell r="AA893">
            <v>4</v>
          </cell>
          <cell r="AB893">
            <v>0.1</v>
          </cell>
          <cell r="AC893">
            <v>0.5</v>
          </cell>
          <cell r="AD893">
            <v>16</v>
          </cell>
        </row>
        <row r="894">
          <cell r="A894">
            <v>19</v>
          </cell>
          <cell r="B894">
            <v>3</v>
          </cell>
          <cell r="C894">
            <v>2</v>
          </cell>
          <cell r="D894">
            <v>1859</v>
          </cell>
          <cell r="E894">
            <v>1</v>
          </cell>
          <cell r="F894">
            <v>25</v>
          </cell>
          <cell r="G894">
            <v>4</v>
          </cell>
          <cell r="H894">
            <v>0</v>
          </cell>
          <cell r="I894">
            <v>1</v>
          </cell>
          <cell r="J894">
            <v>2</v>
          </cell>
          <cell r="K894">
            <v>1</v>
          </cell>
          <cell r="L894">
            <v>1</v>
          </cell>
          <cell r="M894">
            <v>1</v>
          </cell>
          <cell r="N894">
            <v>1</v>
          </cell>
          <cell r="O894">
            <v>0</v>
          </cell>
          <cell r="P894">
            <v>0</v>
          </cell>
          <cell r="Q894">
            <v>1</v>
          </cell>
          <cell r="R894">
            <v>0</v>
          </cell>
          <cell r="S894">
            <v>0</v>
          </cell>
          <cell r="T894">
            <v>0</v>
          </cell>
          <cell r="U894">
            <v>0</v>
          </cell>
          <cell r="V894">
            <v>3</v>
          </cell>
          <cell r="W894">
            <v>0</v>
          </cell>
          <cell r="X894">
            <v>0</v>
          </cell>
          <cell r="Y894">
            <v>0</v>
          </cell>
          <cell r="Z894">
            <v>0</v>
          </cell>
          <cell r="AA894">
            <v>2</v>
          </cell>
          <cell r="AB894">
            <v>1</v>
          </cell>
          <cell r="AC894">
            <v>1</v>
          </cell>
          <cell r="AD894">
            <v>4</v>
          </cell>
        </row>
        <row r="895">
          <cell r="A895">
            <v>29</v>
          </cell>
          <cell r="B895">
            <v>3</v>
          </cell>
          <cell r="C895">
            <v>3</v>
          </cell>
          <cell r="D895">
            <v>3760</v>
          </cell>
          <cell r="E895">
            <v>1</v>
          </cell>
          <cell r="F895">
            <v>15</v>
          </cell>
          <cell r="G895">
            <v>3</v>
          </cell>
          <cell r="H895">
            <v>3</v>
          </cell>
          <cell r="I895">
            <v>3</v>
          </cell>
          <cell r="J895">
            <v>5</v>
          </cell>
          <cell r="K895">
            <v>3</v>
          </cell>
          <cell r="L895">
            <v>2</v>
          </cell>
          <cell r="M895">
            <v>0</v>
          </cell>
          <cell r="N895">
            <v>1</v>
          </cell>
          <cell r="O895">
            <v>1</v>
          </cell>
          <cell r="P895">
            <v>0</v>
          </cell>
          <cell r="Q895">
            <v>0</v>
          </cell>
          <cell r="R895">
            <v>0</v>
          </cell>
          <cell r="S895">
            <v>0</v>
          </cell>
          <cell r="T895">
            <v>3</v>
          </cell>
          <cell r="U895">
            <v>0</v>
          </cell>
          <cell r="V895">
            <v>0</v>
          </cell>
          <cell r="W895">
            <v>0</v>
          </cell>
          <cell r="X895">
            <v>0</v>
          </cell>
          <cell r="Y895">
            <v>0</v>
          </cell>
          <cell r="Z895">
            <v>0</v>
          </cell>
          <cell r="AA895">
            <v>4</v>
          </cell>
          <cell r="AB895">
            <v>0.33333333333333331</v>
          </cell>
          <cell r="AC895">
            <v>0.66666666666666663</v>
          </cell>
          <cell r="AD895">
            <v>4</v>
          </cell>
        </row>
        <row r="896">
          <cell r="A896">
            <v>54</v>
          </cell>
          <cell r="B896">
            <v>3</v>
          </cell>
          <cell r="C896">
            <v>3</v>
          </cell>
          <cell r="D896">
            <v>17779</v>
          </cell>
          <cell r="E896">
            <v>3</v>
          </cell>
          <cell r="F896">
            <v>14</v>
          </cell>
          <cell r="G896">
            <v>3</v>
          </cell>
          <cell r="H896">
            <v>0</v>
          </cell>
          <cell r="I896">
            <v>36</v>
          </cell>
          <cell r="J896">
            <v>2</v>
          </cell>
          <cell r="K896">
            <v>10</v>
          </cell>
          <cell r="L896">
            <v>9</v>
          </cell>
          <cell r="M896">
            <v>0</v>
          </cell>
          <cell r="N896">
            <v>0</v>
          </cell>
          <cell r="O896">
            <v>1</v>
          </cell>
          <cell r="P896">
            <v>0</v>
          </cell>
          <cell r="Q896">
            <v>0</v>
          </cell>
          <cell r="R896">
            <v>0</v>
          </cell>
          <cell r="S896">
            <v>0</v>
          </cell>
          <cell r="T896">
            <v>3</v>
          </cell>
          <cell r="U896">
            <v>0</v>
          </cell>
          <cell r="V896">
            <v>0</v>
          </cell>
          <cell r="W896">
            <v>0</v>
          </cell>
          <cell r="X896">
            <v>0</v>
          </cell>
          <cell r="Y896">
            <v>0</v>
          </cell>
          <cell r="Z896">
            <v>0</v>
          </cell>
          <cell r="AA896">
            <v>16</v>
          </cell>
          <cell r="AB896">
            <v>8.3333333333333329E-2</v>
          </cell>
          <cell r="AC896">
            <v>0.9</v>
          </cell>
          <cell r="AD896">
            <v>16</v>
          </cell>
        </row>
        <row r="897">
          <cell r="A897">
            <v>31</v>
          </cell>
          <cell r="B897">
            <v>2</v>
          </cell>
          <cell r="C897">
            <v>3</v>
          </cell>
          <cell r="D897">
            <v>6833</v>
          </cell>
          <cell r="E897">
            <v>1</v>
          </cell>
          <cell r="F897">
            <v>12</v>
          </cell>
          <cell r="G897">
            <v>3</v>
          </cell>
          <cell r="H897">
            <v>0</v>
          </cell>
          <cell r="I897">
            <v>6</v>
          </cell>
          <cell r="J897">
            <v>2</v>
          </cell>
          <cell r="K897">
            <v>6</v>
          </cell>
          <cell r="L897">
            <v>5</v>
          </cell>
          <cell r="M897">
            <v>1</v>
          </cell>
          <cell r="N897">
            <v>0</v>
          </cell>
          <cell r="O897">
            <v>0</v>
          </cell>
          <cell r="P897">
            <v>0</v>
          </cell>
          <cell r="Q897">
            <v>1</v>
          </cell>
          <cell r="R897">
            <v>0</v>
          </cell>
          <cell r="S897">
            <v>0</v>
          </cell>
          <cell r="T897">
            <v>0</v>
          </cell>
          <cell r="U897">
            <v>0</v>
          </cell>
          <cell r="V897">
            <v>2</v>
          </cell>
          <cell r="W897">
            <v>0</v>
          </cell>
          <cell r="X897">
            <v>0</v>
          </cell>
          <cell r="Y897">
            <v>0</v>
          </cell>
          <cell r="Z897">
            <v>1</v>
          </cell>
          <cell r="AA897">
            <v>3</v>
          </cell>
          <cell r="AB897">
            <v>0.16666666666666666</v>
          </cell>
          <cell r="AC897">
            <v>0.83333333333333337</v>
          </cell>
          <cell r="AD897">
            <v>12</v>
          </cell>
        </row>
        <row r="898">
          <cell r="A898">
            <v>31</v>
          </cell>
          <cell r="B898">
            <v>3</v>
          </cell>
          <cell r="C898">
            <v>2</v>
          </cell>
          <cell r="D898">
            <v>6812</v>
          </cell>
          <cell r="E898">
            <v>1</v>
          </cell>
          <cell r="F898">
            <v>19</v>
          </cell>
          <cell r="G898">
            <v>3</v>
          </cell>
          <cell r="H898">
            <v>0</v>
          </cell>
          <cell r="I898">
            <v>10</v>
          </cell>
          <cell r="J898">
            <v>2</v>
          </cell>
          <cell r="K898">
            <v>10</v>
          </cell>
          <cell r="L898">
            <v>9</v>
          </cell>
          <cell r="M898">
            <v>0</v>
          </cell>
          <cell r="N898">
            <v>1</v>
          </cell>
          <cell r="O898">
            <v>0</v>
          </cell>
          <cell r="P898">
            <v>0</v>
          </cell>
          <cell r="Q898">
            <v>1</v>
          </cell>
          <cell r="R898">
            <v>0</v>
          </cell>
          <cell r="S898">
            <v>0</v>
          </cell>
          <cell r="T898">
            <v>0</v>
          </cell>
          <cell r="U898">
            <v>0</v>
          </cell>
          <cell r="V898">
            <v>3</v>
          </cell>
          <cell r="W898">
            <v>0</v>
          </cell>
          <cell r="X898">
            <v>0</v>
          </cell>
          <cell r="Y898">
            <v>0</v>
          </cell>
          <cell r="Z898">
            <v>0</v>
          </cell>
          <cell r="AA898">
            <v>3</v>
          </cell>
          <cell r="AB898">
            <v>0.1</v>
          </cell>
          <cell r="AC898">
            <v>0.9</v>
          </cell>
          <cell r="AD898">
            <v>6</v>
          </cell>
        </row>
        <row r="899">
          <cell r="A899">
            <v>59</v>
          </cell>
          <cell r="B899">
            <v>3</v>
          </cell>
          <cell r="C899">
            <v>2</v>
          </cell>
          <cell r="D899">
            <v>5171</v>
          </cell>
          <cell r="E899">
            <v>5</v>
          </cell>
          <cell r="F899">
            <v>17</v>
          </cell>
          <cell r="G899">
            <v>3</v>
          </cell>
          <cell r="H899">
            <v>0</v>
          </cell>
          <cell r="I899">
            <v>13</v>
          </cell>
          <cell r="J899">
            <v>2</v>
          </cell>
          <cell r="K899">
            <v>6</v>
          </cell>
          <cell r="L899">
            <v>1</v>
          </cell>
          <cell r="M899">
            <v>0</v>
          </cell>
          <cell r="N899">
            <v>1</v>
          </cell>
          <cell r="O899">
            <v>1</v>
          </cell>
          <cell r="P899">
            <v>0</v>
          </cell>
          <cell r="Q899">
            <v>0</v>
          </cell>
          <cell r="R899">
            <v>0</v>
          </cell>
          <cell r="S899">
            <v>0</v>
          </cell>
          <cell r="T899">
            <v>3</v>
          </cell>
          <cell r="U899">
            <v>0</v>
          </cell>
          <cell r="V899">
            <v>0</v>
          </cell>
          <cell r="W899">
            <v>0</v>
          </cell>
          <cell r="X899">
            <v>0</v>
          </cell>
          <cell r="Y899">
            <v>0</v>
          </cell>
          <cell r="Z899">
            <v>0</v>
          </cell>
          <cell r="AA899">
            <v>12</v>
          </cell>
          <cell r="AB899">
            <v>0.38461538461538464</v>
          </cell>
          <cell r="AC899">
            <v>0.16666666666666666</v>
          </cell>
          <cell r="AD899">
            <v>48</v>
          </cell>
        </row>
        <row r="900">
          <cell r="A900">
            <v>43</v>
          </cell>
          <cell r="B900">
            <v>3</v>
          </cell>
          <cell r="C900">
            <v>1</v>
          </cell>
          <cell r="D900">
            <v>19740</v>
          </cell>
          <cell r="E900">
            <v>3</v>
          </cell>
          <cell r="F900">
            <v>14</v>
          </cell>
          <cell r="G900">
            <v>3</v>
          </cell>
          <cell r="H900">
            <v>1</v>
          </cell>
          <cell r="I900">
            <v>25</v>
          </cell>
          <cell r="J900">
            <v>2</v>
          </cell>
          <cell r="K900">
            <v>8</v>
          </cell>
          <cell r="L900">
            <v>7</v>
          </cell>
          <cell r="M900">
            <v>0</v>
          </cell>
          <cell r="N900">
            <v>0</v>
          </cell>
          <cell r="O900">
            <v>1</v>
          </cell>
          <cell r="P900">
            <v>0</v>
          </cell>
          <cell r="Q900">
            <v>0</v>
          </cell>
          <cell r="R900">
            <v>0</v>
          </cell>
          <cell r="S900">
            <v>0</v>
          </cell>
          <cell r="T900">
            <v>3</v>
          </cell>
          <cell r="U900">
            <v>0</v>
          </cell>
          <cell r="V900">
            <v>0</v>
          </cell>
          <cell r="W900">
            <v>0</v>
          </cell>
          <cell r="X900">
            <v>0</v>
          </cell>
          <cell r="Y900">
            <v>0</v>
          </cell>
          <cell r="Z900">
            <v>0</v>
          </cell>
          <cell r="AA900">
            <v>12</v>
          </cell>
          <cell r="AB900">
            <v>0.12</v>
          </cell>
          <cell r="AC900">
            <v>0.875</v>
          </cell>
          <cell r="AD900">
            <v>24</v>
          </cell>
        </row>
        <row r="901">
          <cell r="A901">
            <v>49</v>
          </cell>
          <cell r="B901">
            <v>2</v>
          </cell>
          <cell r="C901">
            <v>2</v>
          </cell>
          <cell r="D901">
            <v>18711</v>
          </cell>
          <cell r="E901">
            <v>2</v>
          </cell>
          <cell r="F901">
            <v>13</v>
          </cell>
          <cell r="G901">
            <v>3</v>
          </cell>
          <cell r="H901">
            <v>1</v>
          </cell>
          <cell r="I901">
            <v>23</v>
          </cell>
          <cell r="J901">
            <v>2</v>
          </cell>
          <cell r="K901">
            <v>1</v>
          </cell>
          <cell r="L901">
            <v>0</v>
          </cell>
          <cell r="M901">
            <v>0</v>
          </cell>
          <cell r="N901">
            <v>0</v>
          </cell>
          <cell r="O901">
            <v>0</v>
          </cell>
          <cell r="P901">
            <v>0</v>
          </cell>
          <cell r="Q901">
            <v>1</v>
          </cell>
          <cell r="R901">
            <v>0</v>
          </cell>
          <cell r="S901">
            <v>0</v>
          </cell>
          <cell r="T901">
            <v>0</v>
          </cell>
          <cell r="U901">
            <v>0</v>
          </cell>
          <cell r="V901">
            <v>2</v>
          </cell>
          <cell r="W901">
            <v>0</v>
          </cell>
          <cell r="X901">
            <v>0</v>
          </cell>
          <cell r="Y901">
            <v>0</v>
          </cell>
          <cell r="Z901">
            <v>0</v>
          </cell>
          <cell r="AA901">
            <v>3</v>
          </cell>
          <cell r="AB901">
            <v>8.6956521739130432E-2</v>
          </cell>
          <cell r="AC901">
            <v>0</v>
          </cell>
          <cell r="AD901">
            <v>9</v>
          </cell>
        </row>
        <row r="902">
          <cell r="A902">
            <v>36</v>
          </cell>
          <cell r="B902">
            <v>3</v>
          </cell>
          <cell r="C902">
            <v>3</v>
          </cell>
          <cell r="D902">
            <v>3692</v>
          </cell>
          <cell r="E902">
            <v>1</v>
          </cell>
          <cell r="F902">
            <v>12</v>
          </cell>
          <cell r="G902">
            <v>3</v>
          </cell>
          <cell r="H902">
            <v>0</v>
          </cell>
          <cell r="I902">
            <v>12</v>
          </cell>
          <cell r="J902">
            <v>2</v>
          </cell>
          <cell r="K902">
            <v>11</v>
          </cell>
          <cell r="L902">
            <v>10</v>
          </cell>
          <cell r="M902">
            <v>0</v>
          </cell>
          <cell r="N902">
            <v>0</v>
          </cell>
          <cell r="O902">
            <v>0</v>
          </cell>
          <cell r="P902">
            <v>0</v>
          </cell>
          <cell r="Q902">
            <v>0</v>
          </cell>
          <cell r="R902">
            <v>0</v>
          </cell>
          <cell r="S902">
            <v>1</v>
          </cell>
          <cell r="T902">
            <v>0</v>
          </cell>
          <cell r="U902">
            <v>0</v>
          </cell>
          <cell r="V902">
            <v>0</v>
          </cell>
          <cell r="W902">
            <v>0</v>
          </cell>
          <cell r="X902">
            <v>3</v>
          </cell>
          <cell r="Y902">
            <v>1</v>
          </cell>
          <cell r="Z902">
            <v>0</v>
          </cell>
          <cell r="AA902">
            <v>6</v>
          </cell>
          <cell r="AB902">
            <v>8.3333333333333329E-2</v>
          </cell>
          <cell r="AC902">
            <v>0.90909090909090906</v>
          </cell>
          <cell r="AD902">
            <v>18</v>
          </cell>
        </row>
        <row r="903">
          <cell r="A903">
            <v>48</v>
          </cell>
          <cell r="B903">
            <v>2</v>
          </cell>
          <cell r="C903">
            <v>4</v>
          </cell>
          <cell r="D903">
            <v>2559</v>
          </cell>
          <cell r="E903">
            <v>5</v>
          </cell>
          <cell r="F903">
            <v>11</v>
          </cell>
          <cell r="G903">
            <v>3</v>
          </cell>
          <cell r="H903">
            <v>0</v>
          </cell>
          <cell r="I903">
            <v>7</v>
          </cell>
          <cell r="J903">
            <v>4</v>
          </cell>
          <cell r="K903">
            <v>1</v>
          </cell>
          <cell r="L903">
            <v>0</v>
          </cell>
          <cell r="M903">
            <v>0</v>
          </cell>
          <cell r="N903">
            <v>0</v>
          </cell>
          <cell r="O903">
            <v>0</v>
          </cell>
          <cell r="P903">
            <v>0</v>
          </cell>
          <cell r="Q903">
            <v>0</v>
          </cell>
          <cell r="R903">
            <v>0</v>
          </cell>
          <cell r="S903">
            <v>1</v>
          </cell>
          <cell r="T903">
            <v>0</v>
          </cell>
          <cell r="U903">
            <v>0</v>
          </cell>
          <cell r="V903">
            <v>0</v>
          </cell>
          <cell r="W903">
            <v>0</v>
          </cell>
          <cell r="X903">
            <v>2</v>
          </cell>
          <cell r="Y903">
            <v>0</v>
          </cell>
          <cell r="Z903">
            <v>0</v>
          </cell>
          <cell r="AA903">
            <v>8</v>
          </cell>
          <cell r="AB903">
            <v>0.7142857142857143</v>
          </cell>
          <cell r="AC903">
            <v>0</v>
          </cell>
          <cell r="AD903">
            <v>24</v>
          </cell>
        </row>
        <row r="904">
          <cell r="A904">
            <v>27</v>
          </cell>
          <cell r="B904">
            <v>2</v>
          </cell>
          <cell r="C904">
            <v>3</v>
          </cell>
          <cell r="D904">
            <v>2517</v>
          </cell>
          <cell r="E904">
            <v>1</v>
          </cell>
          <cell r="F904">
            <v>11</v>
          </cell>
          <cell r="G904">
            <v>3</v>
          </cell>
          <cell r="H904">
            <v>3</v>
          </cell>
          <cell r="I904">
            <v>5</v>
          </cell>
          <cell r="J904">
            <v>2</v>
          </cell>
          <cell r="K904">
            <v>5</v>
          </cell>
          <cell r="L904">
            <v>3</v>
          </cell>
          <cell r="M904">
            <v>0</v>
          </cell>
          <cell r="N904">
            <v>0</v>
          </cell>
          <cell r="O904">
            <v>1</v>
          </cell>
          <cell r="P904">
            <v>0</v>
          </cell>
          <cell r="Q904">
            <v>0</v>
          </cell>
          <cell r="R904">
            <v>0</v>
          </cell>
          <cell r="S904">
            <v>0</v>
          </cell>
          <cell r="T904">
            <v>2</v>
          </cell>
          <cell r="U904">
            <v>0</v>
          </cell>
          <cell r="V904">
            <v>0</v>
          </cell>
          <cell r="W904">
            <v>0</v>
          </cell>
          <cell r="X904">
            <v>0</v>
          </cell>
          <cell r="Y904">
            <v>0</v>
          </cell>
          <cell r="Z904">
            <v>0</v>
          </cell>
          <cell r="AA904">
            <v>3</v>
          </cell>
          <cell r="AB904">
            <v>0.2</v>
          </cell>
          <cell r="AC904">
            <v>0.6</v>
          </cell>
          <cell r="AD904">
            <v>6</v>
          </cell>
        </row>
        <row r="905">
          <cell r="A905">
            <v>29</v>
          </cell>
          <cell r="B905">
            <v>3</v>
          </cell>
          <cell r="C905">
            <v>3</v>
          </cell>
          <cell r="D905">
            <v>6623</v>
          </cell>
          <cell r="E905">
            <v>1</v>
          </cell>
          <cell r="F905">
            <v>11</v>
          </cell>
          <cell r="G905">
            <v>3</v>
          </cell>
          <cell r="H905">
            <v>2</v>
          </cell>
          <cell r="I905">
            <v>6</v>
          </cell>
          <cell r="J905">
            <v>2</v>
          </cell>
          <cell r="K905">
            <v>6</v>
          </cell>
          <cell r="L905">
            <v>0</v>
          </cell>
          <cell r="M905">
            <v>1</v>
          </cell>
          <cell r="N905">
            <v>0</v>
          </cell>
          <cell r="O905">
            <v>1</v>
          </cell>
          <cell r="P905">
            <v>0</v>
          </cell>
          <cell r="Q905">
            <v>0</v>
          </cell>
          <cell r="R905">
            <v>0</v>
          </cell>
          <cell r="S905">
            <v>0</v>
          </cell>
          <cell r="T905">
            <v>3</v>
          </cell>
          <cell r="U905">
            <v>0</v>
          </cell>
          <cell r="V905">
            <v>0</v>
          </cell>
          <cell r="W905">
            <v>0</v>
          </cell>
          <cell r="X905">
            <v>0</v>
          </cell>
          <cell r="Y905">
            <v>0</v>
          </cell>
          <cell r="Z905">
            <v>0</v>
          </cell>
          <cell r="AA905">
            <v>12</v>
          </cell>
          <cell r="AB905">
            <v>0.16666666666666666</v>
          </cell>
          <cell r="AC905">
            <v>0</v>
          </cell>
          <cell r="AD905">
            <v>24</v>
          </cell>
        </row>
        <row r="906">
          <cell r="A906">
            <v>48</v>
          </cell>
          <cell r="B906">
            <v>3</v>
          </cell>
          <cell r="C906">
            <v>2</v>
          </cell>
          <cell r="D906">
            <v>18265</v>
          </cell>
          <cell r="E906">
            <v>6</v>
          </cell>
          <cell r="F906">
            <v>12</v>
          </cell>
          <cell r="G906">
            <v>3</v>
          </cell>
          <cell r="H906">
            <v>0</v>
          </cell>
          <cell r="I906">
            <v>25</v>
          </cell>
          <cell r="J906">
            <v>3</v>
          </cell>
          <cell r="K906">
            <v>1</v>
          </cell>
          <cell r="L906">
            <v>0</v>
          </cell>
          <cell r="M906">
            <v>0</v>
          </cell>
          <cell r="N906">
            <v>0</v>
          </cell>
          <cell r="O906">
            <v>1</v>
          </cell>
          <cell r="P906">
            <v>0</v>
          </cell>
          <cell r="Q906">
            <v>0</v>
          </cell>
          <cell r="R906">
            <v>0</v>
          </cell>
          <cell r="S906">
            <v>0</v>
          </cell>
          <cell r="T906">
            <v>3</v>
          </cell>
          <cell r="U906">
            <v>0</v>
          </cell>
          <cell r="V906">
            <v>0</v>
          </cell>
          <cell r="W906">
            <v>0</v>
          </cell>
          <cell r="X906">
            <v>0</v>
          </cell>
          <cell r="Y906">
            <v>0</v>
          </cell>
          <cell r="Z906">
            <v>0</v>
          </cell>
          <cell r="AA906">
            <v>16</v>
          </cell>
          <cell r="AB906">
            <v>0.24</v>
          </cell>
          <cell r="AC906">
            <v>0</v>
          </cell>
          <cell r="AD906">
            <v>48</v>
          </cell>
        </row>
        <row r="907">
          <cell r="A907">
            <v>29</v>
          </cell>
          <cell r="B907">
            <v>3</v>
          </cell>
          <cell r="C907">
            <v>2</v>
          </cell>
          <cell r="D907">
            <v>16124</v>
          </cell>
          <cell r="E907">
            <v>3</v>
          </cell>
          <cell r="F907">
            <v>14</v>
          </cell>
          <cell r="G907">
            <v>3</v>
          </cell>
          <cell r="H907">
            <v>2</v>
          </cell>
          <cell r="I907">
            <v>9</v>
          </cell>
          <cell r="J907">
            <v>2</v>
          </cell>
          <cell r="K907">
            <v>7</v>
          </cell>
          <cell r="L907">
            <v>7</v>
          </cell>
          <cell r="M907">
            <v>0</v>
          </cell>
          <cell r="N907">
            <v>1</v>
          </cell>
          <cell r="O907">
            <v>1</v>
          </cell>
          <cell r="P907">
            <v>0</v>
          </cell>
          <cell r="Q907">
            <v>0</v>
          </cell>
          <cell r="R907">
            <v>0</v>
          </cell>
          <cell r="S907">
            <v>0</v>
          </cell>
          <cell r="T907">
            <v>3</v>
          </cell>
          <cell r="U907">
            <v>0</v>
          </cell>
          <cell r="V907">
            <v>0</v>
          </cell>
          <cell r="W907">
            <v>0</v>
          </cell>
          <cell r="X907">
            <v>0</v>
          </cell>
          <cell r="Y907">
            <v>0</v>
          </cell>
          <cell r="Z907">
            <v>0</v>
          </cell>
          <cell r="AA907">
            <v>16</v>
          </cell>
          <cell r="AB907">
            <v>0.33333333333333331</v>
          </cell>
          <cell r="AC907">
            <v>1</v>
          </cell>
          <cell r="AD907">
            <v>32</v>
          </cell>
        </row>
        <row r="908">
          <cell r="A908">
            <v>34</v>
          </cell>
          <cell r="B908">
            <v>3</v>
          </cell>
          <cell r="C908">
            <v>4</v>
          </cell>
          <cell r="D908">
            <v>2585</v>
          </cell>
          <cell r="E908">
            <v>0</v>
          </cell>
          <cell r="F908">
            <v>17</v>
          </cell>
          <cell r="G908">
            <v>3</v>
          </cell>
          <cell r="H908">
            <v>0</v>
          </cell>
          <cell r="I908">
            <v>2</v>
          </cell>
          <cell r="J908">
            <v>5</v>
          </cell>
          <cell r="K908">
            <v>1</v>
          </cell>
          <cell r="L908">
            <v>0</v>
          </cell>
          <cell r="M908">
            <v>0</v>
          </cell>
          <cell r="N908">
            <v>1</v>
          </cell>
          <cell r="O908">
            <v>0</v>
          </cell>
          <cell r="P908">
            <v>0</v>
          </cell>
          <cell r="Q908">
            <v>0</v>
          </cell>
          <cell r="R908">
            <v>0</v>
          </cell>
          <cell r="S908">
            <v>1</v>
          </cell>
          <cell r="T908">
            <v>0</v>
          </cell>
          <cell r="U908">
            <v>0</v>
          </cell>
          <cell r="V908">
            <v>0</v>
          </cell>
          <cell r="W908">
            <v>0</v>
          </cell>
          <cell r="X908">
            <v>3</v>
          </cell>
          <cell r="Y908">
            <v>0</v>
          </cell>
          <cell r="Z908">
            <v>0</v>
          </cell>
          <cell r="AA908">
            <v>9</v>
          </cell>
          <cell r="AB908">
            <v>0</v>
          </cell>
          <cell r="AC908">
            <v>0</v>
          </cell>
          <cell r="AD908">
            <v>36</v>
          </cell>
        </row>
        <row r="909">
          <cell r="A909">
            <v>44</v>
          </cell>
          <cell r="B909">
            <v>3</v>
          </cell>
          <cell r="C909">
            <v>3</v>
          </cell>
          <cell r="D909">
            <v>18213</v>
          </cell>
          <cell r="E909">
            <v>7</v>
          </cell>
          <cell r="F909">
            <v>11</v>
          </cell>
          <cell r="G909">
            <v>3</v>
          </cell>
          <cell r="H909">
            <v>1</v>
          </cell>
          <cell r="I909">
            <v>26</v>
          </cell>
          <cell r="J909">
            <v>5</v>
          </cell>
          <cell r="K909">
            <v>22</v>
          </cell>
          <cell r="L909">
            <v>9</v>
          </cell>
          <cell r="M909">
            <v>0</v>
          </cell>
          <cell r="N909">
            <v>0</v>
          </cell>
          <cell r="O909">
            <v>0</v>
          </cell>
          <cell r="P909">
            <v>1</v>
          </cell>
          <cell r="Q909">
            <v>0</v>
          </cell>
          <cell r="R909">
            <v>0</v>
          </cell>
          <cell r="S909">
            <v>0</v>
          </cell>
          <cell r="T909">
            <v>0</v>
          </cell>
          <cell r="U909">
            <v>3</v>
          </cell>
          <cell r="V909">
            <v>0</v>
          </cell>
          <cell r="W909">
            <v>0</v>
          </cell>
          <cell r="X909">
            <v>0</v>
          </cell>
          <cell r="Y909">
            <v>0</v>
          </cell>
          <cell r="Z909">
            <v>0</v>
          </cell>
          <cell r="AA909">
            <v>4</v>
          </cell>
          <cell r="AB909">
            <v>0.26923076923076922</v>
          </cell>
          <cell r="AC909">
            <v>0.40909090909090912</v>
          </cell>
          <cell r="AD909">
            <v>12</v>
          </cell>
        </row>
        <row r="910">
          <cell r="A910">
            <v>33</v>
          </cell>
          <cell r="B910">
            <v>5</v>
          </cell>
          <cell r="C910">
            <v>4</v>
          </cell>
          <cell r="D910">
            <v>8380</v>
          </cell>
          <cell r="E910">
            <v>0</v>
          </cell>
          <cell r="F910">
            <v>14</v>
          </cell>
          <cell r="G910">
            <v>3</v>
          </cell>
          <cell r="H910">
            <v>2</v>
          </cell>
          <cell r="I910">
            <v>10</v>
          </cell>
          <cell r="J910">
            <v>3</v>
          </cell>
          <cell r="K910">
            <v>9</v>
          </cell>
          <cell r="L910">
            <v>8</v>
          </cell>
          <cell r="M910">
            <v>1</v>
          </cell>
          <cell r="N910">
            <v>0</v>
          </cell>
          <cell r="O910">
            <v>0</v>
          </cell>
          <cell r="P910">
            <v>1</v>
          </cell>
          <cell r="Q910">
            <v>0</v>
          </cell>
          <cell r="R910">
            <v>0</v>
          </cell>
          <cell r="S910">
            <v>0</v>
          </cell>
          <cell r="T910">
            <v>0</v>
          </cell>
          <cell r="U910">
            <v>5</v>
          </cell>
          <cell r="V910">
            <v>0</v>
          </cell>
          <cell r="W910">
            <v>0</v>
          </cell>
          <cell r="X910">
            <v>0</v>
          </cell>
          <cell r="Y910">
            <v>0</v>
          </cell>
          <cell r="Z910">
            <v>0</v>
          </cell>
          <cell r="AA910">
            <v>12</v>
          </cell>
          <cell r="AB910">
            <v>0</v>
          </cell>
          <cell r="AC910">
            <v>0.88888888888888884</v>
          </cell>
          <cell r="AD910">
            <v>48</v>
          </cell>
        </row>
        <row r="911">
          <cell r="A911">
            <v>19</v>
          </cell>
          <cell r="B911">
            <v>3</v>
          </cell>
          <cell r="C911">
            <v>4</v>
          </cell>
          <cell r="D911">
            <v>2994</v>
          </cell>
          <cell r="E911">
            <v>1</v>
          </cell>
          <cell r="F911">
            <v>12</v>
          </cell>
          <cell r="G911">
            <v>3</v>
          </cell>
          <cell r="H911">
            <v>0</v>
          </cell>
          <cell r="I911">
            <v>1</v>
          </cell>
          <cell r="J911">
            <v>2</v>
          </cell>
          <cell r="K911">
            <v>1</v>
          </cell>
          <cell r="L911">
            <v>0</v>
          </cell>
          <cell r="M911">
            <v>1</v>
          </cell>
          <cell r="N911">
            <v>1</v>
          </cell>
          <cell r="O911">
            <v>1</v>
          </cell>
          <cell r="P911">
            <v>0</v>
          </cell>
          <cell r="Q911">
            <v>0</v>
          </cell>
          <cell r="R911">
            <v>0</v>
          </cell>
          <cell r="S911">
            <v>0</v>
          </cell>
          <cell r="T911">
            <v>3</v>
          </cell>
          <cell r="U911">
            <v>0</v>
          </cell>
          <cell r="V911">
            <v>0</v>
          </cell>
          <cell r="W911">
            <v>0</v>
          </cell>
          <cell r="X911">
            <v>0</v>
          </cell>
          <cell r="Y911">
            <v>0</v>
          </cell>
          <cell r="Z911">
            <v>0</v>
          </cell>
          <cell r="AA911">
            <v>8</v>
          </cell>
          <cell r="AB911">
            <v>1</v>
          </cell>
          <cell r="AC911">
            <v>0</v>
          </cell>
          <cell r="AD911">
            <v>32</v>
          </cell>
        </row>
        <row r="912">
          <cell r="A912">
            <v>23</v>
          </cell>
          <cell r="B912">
            <v>2</v>
          </cell>
          <cell r="C912">
            <v>3</v>
          </cell>
          <cell r="D912">
            <v>1223</v>
          </cell>
          <cell r="E912">
            <v>1</v>
          </cell>
          <cell r="F912">
            <v>22</v>
          </cell>
          <cell r="G912">
            <v>4</v>
          </cell>
          <cell r="H912">
            <v>1</v>
          </cell>
          <cell r="I912">
            <v>1</v>
          </cell>
          <cell r="J912">
            <v>2</v>
          </cell>
          <cell r="K912">
            <v>1</v>
          </cell>
          <cell r="L912">
            <v>0</v>
          </cell>
          <cell r="M912">
            <v>0</v>
          </cell>
          <cell r="N912">
            <v>0</v>
          </cell>
          <cell r="O912">
            <v>1</v>
          </cell>
          <cell r="P912">
            <v>0</v>
          </cell>
          <cell r="Q912">
            <v>0</v>
          </cell>
          <cell r="R912">
            <v>0</v>
          </cell>
          <cell r="S912">
            <v>0</v>
          </cell>
          <cell r="T912">
            <v>2</v>
          </cell>
          <cell r="U912">
            <v>0</v>
          </cell>
          <cell r="V912">
            <v>0</v>
          </cell>
          <cell r="W912">
            <v>0</v>
          </cell>
          <cell r="X912">
            <v>0</v>
          </cell>
          <cell r="Y912">
            <v>0</v>
          </cell>
          <cell r="Z912">
            <v>0</v>
          </cell>
          <cell r="AA912">
            <v>12</v>
          </cell>
          <cell r="AB912">
            <v>1</v>
          </cell>
          <cell r="AC912">
            <v>0</v>
          </cell>
          <cell r="AD912">
            <v>48</v>
          </cell>
        </row>
        <row r="913">
          <cell r="A913">
            <v>25</v>
          </cell>
          <cell r="B913">
            <v>1</v>
          </cell>
          <cell r="C913">
            <v>1</v>
          </cell>
          <cell r="D913">
            <v>1118</v>
          </cell>
          <cell r="E913">
            <v>1</v>
          </cell>
          <cell r="F913">
            <v>14</v>
          </cell>
          <cell r="G913">
            <v>3</v>
          </cell>
          <cell r="H913">
            <v>0</v>
          </cell>
          <cell r="I913">
            <v>1</v>
          </cell>
          <cell r="J913">
            <v>4</v>
          </cell>
          <cell r="K913">
            <v>1</v>
          </cell>
          <cell r="L913">
            <v>0</v>
          </cell>
          <cell r="M913">
            <v>1</v>
          </cell>
          <cell r="N913">
            <v>0</v>
          </cell>
          <cell r="O913">
            <v>1</v>
          </cell>
          <cell r="P913">
            <v>0</v>
          </cell>
          <cell r="Q913">
            <v>0</v>
          </cell>
          <cell r="R913">
            <v>0</v>
          </cell>
          <cell r="S913">
            <v>0</v>
          </cell>
          <cell r="T913">
            <v>1</v>
          </cell>
          <cell r="U913">
            <v>0</v>
          </cell>
          <cell r="V913">
            <v>0</v>
          </cell>
          <cell r="W913">
            <v>0</v>
          </cell>
          <cell r="X913">
            <v>0</v>
          </cell>
          <cell r="Y913">
            <v>0</v>
          </cell>
          <cell r="Z913">
            <v>0</v>
          </cell>
          <cell r="AA913">
            <v>12</v>
          </cell>
          <cell r="AB913">
            <v>1</v>
          </cell>
          <cell r="AC913">
            <v>0</v>
          </cell>
          <cell r="AD913">
            <v>48</v>
          </cell>
        </row>
        <row r="914">
          <cell r="A914">
            <v>26</v>
          </cell>
          <cell r="B914">
            <v>2</v>
          </cell>
          <cell r="C914">
            <v>3</v>
          </cell>
          <cell r="D914">
            <v>2875</v>
          </cell>
          <cell r="E914">
            <v>1</v>
          </cell>
          <cell r="F914">
            <v>20</v>
          </cell>
          <cell r="G914">
            <v>4</v>
          </cell>
          <cell r="H914">
            <v>0</v>
          </cell>
          <cell r="I914">
            <v>8</v>
          </cell>
          <cell r="J914">
            <v>2</v>
          </cell>
          <cell r="K914">
            <v>8</v>
          </cell>
          <cell r="L914">
            <v>5</v>
          </cell>
          <cell r="M914">
            <v>1</v>
          </cell>
          <cell r="N914">
            <v>0</v>
          </cell>
          <cell r="O914">
            <v>1</v>
          </cell>
          <cell r="P914">
            <v>0</v>
          </cell>
          <cell r="Q914">
            <v>0</v>
          </cell>
          <cell r="R914">
            <v>0</v>
          </cell>
          <cell r="S914">
            <v>0</v>
          </cell>
          <cell r="T914">
            <v>2</v>
          </cell>
          <cell r="U914">
            <v>0</v>
          </cell>
          <cell r="V914">
            <v>0</v>
          </cell>
          <cell r="W914">
            <v>0</v>
          </cell>
          <cell r="X914">
            <v>0</v>
          </cell>
          <cell r="Y914">
            <v>0</v>
          </cell>
          <cell r="Z914">
            <v>0</v>
          </cell>
          <cell r="AA914">
            <v>12</v>
          </cell>
          <cell r="AB914">
            <v>0.125</v>
          </cell>
          <cell r="AC914">
            <v>0.625</v>
          </cell>
          <cell r="AD914">
            <v>24</v>
          </cell>
        </row>
        <row r="915">
          <cell r="A915">
            <v>45</v>
          </cell>
          <cell r="B915">
            <v>3</v>
          </cell>
          <cell r="C915">
            <v>1</v>
          </cell>
          <cell r="D915">
            <v>18824</v>
          </cell>
          <cell r="E915">
            <v>2</v>
          </cell>
          <cell r="F915">
            <v>16</v>
          </cell>
          <cell r="G915">
            <v>3</v>
          </cell>
          <cell r="H915">
            <v>0</v>
          </cell>
          <cell r="I915">
            <v>26</v>
          </cell>
          <cell r="J915">
            <v>2</v>
          </cell>
          <cell r="K915">
            <v>24</v>
          </cell>
          <cell r="L915">
            <v>10</v>
          </cell>
          <cell r="M915">
            <v>1</v>
          </cell>
          <cell r="N915">
            <v>1</v>
          </cell>
          <cell r="O915">
            <v>0</v>
          </cell>
          <cell r="P915">
            <v>1</v>
          </cell>
          <cell r="Q915">
            <v>0</v>
          </cell>
          <cell r="R915">
            <v>0</v>
          </cell>
          <cell r="S915">
            <v>0</v>
          </cell>
          <cell r="T915">
            <v>0</v>
          </cell>
          <cell r="U915">
            <v>3</v>
          </cell>
          <cell r="V915">
            <v>0</v>
          </cell>
          <cell r="W915">
            <v>0</v>
          </cell>
          <cell r="X915">
            <v>0</v>
          </cell>
          <cell r="Y915">
            <v>0</v>
          </cell>
          <cell r="Z915">
            <v>0</v>
          </cell>
          <cell r="AA915">
            <v>2</v>
          </cell>
          <cell r="AB915">
            <v>7.6923076923076927E-2</v>
          </cell>
          <cell r="AC915">
            <v>0.41666666666666669</v>
          </cell>
          <cell r="AD915">
            <v>2</v>
          </cell>
        </row>
        <row r="916">
          <cell r="A916">
            <v>55</v>
          </cell>
          <cell r="B916">
            <v>1</v>
          </cell>
          <cell r="C916">
            <v>2</v>
          </cell>
          <cell r="D916">
            <v>13577</v>
          </cell>
          <cell r="E916">
            <v>1</v>
          </cell>
          <cell r="F916">
            <v>15</v>
          </cell>
          <cell r="G916">
            <v>3</v>
          </cell>
          <cell r="H916">
            <v>1</v>
          </cell>
          <cell r="I916">
            <v>34</v>
          </cell>
          <cell r="J916">
            <v>3</v>
          </cell>
          <cell r="K916">
            <v>33</v>
          </cell>
          <cell r="L916">
            <v>9</v>
          </cell>
          <cell r="M916">
            <v>1</v>
          </cell>
          <cell r="N916">
            <v>0</v>
          </cell>
          <cell r="O916">
            <v>0</v>
          </cell>
          <cell r="P916">
            <v>0</v>
          </cell>
          <cell r="Q916">
            <v>1</v>
          </cell>
          <cell r="R916">
            <v>0</v>
          </cell>
          <cell r="S916">
            <v>0</v>
          </cell>
          <cell r="T916">
            <v>0</v>
          </cell>
          <cell r="U916">
            <v>0</v>
          </cell>
          <cell r="V916">
            <v>1</v>
          </cell>
          <cell r="W916">
            <v>0</v>
          </cell>
          <cell r="X916">
            <v>0</v>
          </cell>
          <cell r="Y916">
            <v>0</v>
          </cell>
          <cell r="Z916">
            <v>0</v>
          </cell>
          <cell r="AA916">
            <v>8</v>
          </cell>
          <cell r="AB916">
            <v>2.9411764705882353E-2</v>
          </cell>
          <cell r="AC916">
            <v>0.27272727272727271</v>
          </cell>
          <cell r="AD916">
            <v>32</v>
          </cell>
        </row>
        <row r="917">
          <cell r="A917">
            <v>21</v>
          </cell>
          <cell r="B917">
            <v>2</v>
          </cell>
          <cell r="C917">
            <v>2</v>
          </cell>
          <cell r="D917">
            <v>2625</v>
          </cell>
          <cell r="E917">
            <v>1</v>
          </cell>
          <cell r="F917">
            <v>20</v>
          </cell>
          <cell r="G917">
            <v>4</v>
          </cell>
          <cell r="H917">
            <v>0</v>
          </cell>
          <cell r="I917">
            <v>2</v>
          </cell>
          <cell r="J917">
            <v>2</v>
          </cell>
          <cell r="K917">
            <v>2</v>
          </cell>
          <cell r="L917">
            <v>2</v>
          </cell>
          <cell r="M917">
            <v>0</v>
          </cell>
          <cell r="N917">
            <v>1</v>
          </cell>
          <cell r="O917">
            <v>1</v>
          </cell>
          <cell r="P917">
            <v>0</v>
          </cell>
          <cell r="Q917">
            <v>0</v>
          </cell>
          <cell r="R917">
            <v>0</v>
          </cell>
          <cell r="S917">
            <v>0</v>
          </cell>
          <cell r="T917">
            <v>2</v>
          </cell>
          <cell r="U917">
            <v>0</v>
          </cell>
          <cell r="V917">
            <v>0</v>
          </cell>
          <cell r="W917">
            <v>0</v>
          </cell>
          <cell r="X917">
            <v>0</v>
          </cell>
          <cell r="Y917">
            <v>0</v>
          </cell>
          <cell r="Z917">
            <v>0</v>
          </cell>
          <cell r="AA917">
            <v>3</v>
          </cell>
          <cell r="AB917">
            <v>0.5</v>
          </cell>
          <cell r="AC917">
            <v>1</v>
          </cell>
          <cell r="AD917">
            <v>9</v>
          </cell>
        </row>
        <row r="918">
          <cell r="A918">
            <v>46</v>
          </cell>
          <cell r="B918">
            <v>2</v>
          </cell>
          <cell r="C918">
            <v>2</v>
          </cell>
          <cell r="D918">
            <v>18789</v>
          </cell>
          <cell r="E918">
            <v>2</v>
          </cell>
          <cell r="F918">
            <v>14</v>
          </cell>
          <cell r="G918">
            <v>3</v>
          </cell>
          <cell r="H918">
            <v>1</v>
          </cell>
          <cell r="I918">
            <v>26</v>
          </cell>
          <cell r="J918">
            <v>2</v>
          </cell>
          <cell r="K918">
            <v>11</v>
          </cell>
          <cell r="L918">
            <v>4</v>
          </cell>
          <cell r="M918">
            <v>0</v>
          </cell>
          <cell r="N918">
            <v>1</v>
          </cell>
          <cell r="O918">
            <v>0</v>
          </cell>
          <cell r="P918">
            <v>1</v>
          </cell>
          <cell r="Q918">
            <v>0</v>
          </cell>
          <cell r="R918">
            <v>0</v>
          </cell>
          <cell r="S918">
            <v>0</v>
          </cell>
          <cell r="T918">
            <v>0</v>
          </cell>
          <cell r="U918">
            <v>2</v>
          </cell>
          <cell r="V918">
            <v>0</v>
          </cell>
          <cell r="W918">
            <v>0</v>
          </cell>
          <cell r="X918">
            <v>0</v>
          </cell>
          <cell r="Y918">
            <v>0</v>
          </cell>
          <cell r="Z918">
            <v>0</v>
          </cell>
          <cell r="AA918">
            <v>8</v>
          </cell>
          <cell r="AB918">
            <v>7.6923076923076927E-2</v>
          </cell>
          <cell r="AC918">
            <v>0.36363636363636365</v>
          </cell>
          <cell r="AD918">
            <v>24</v>
          </cell>
        </row>
        <row r="919">
          <cell r="A919">
            <v>34</v>
          </cell>
          <cell r="B919">
            <v>3</v>
          </cell>
          <cell r="C919">
            <v>3</v>
          </cell>
          <cell r="D919">
            <v>4538</v>
          </cell>
          <cell r="E919">
            <v>0</v>
          </cell>
          <cell r="F919">
            <v>12</v>
          </cell>
          <cell r="G919">
            <v>3</v>
          </cell>
          <cell r="H919">
            <v>0</v>
          </cell>
          <cell r="I919">
            <v>4</v>
          </cell>
          <cell r="J919">
            <v>3</v>
          </cell>
          <cell r="K919">
            <v>3</v>
          </cell>
          <cell r="L919">
            <v>2</v>
          </cell>
          <cell r="M919">
            <v>1</v>
          </cell>
          <cell r="N919">
            <v>1</v>
          </cell>
          <cell r="O919">
            <v>0</v>
          </cell>
          <cell r="P919">
            <v>1</v>
          </cell>
          <cell r="Q919">
            <v>0</v>
          </cell>
          <cell r="R919">
            <v>0</v>
          </cell>
          <cell r="S919">
            <v>0</v>
          </cell>
          <cell r="T919">
            <v>0</v>
          </cell>
          <cell r="U919">
            <v>3</v>
          </cell>
          <cell r="V919">
            <v>0</v>
          </cell>
          <cell r="W919">
            <v>0</v>
          </cell>
          <cell r="X919">
            <v>0</v>
          </cell>
          <cell r="Y919">
            <v>0</v>
          </cell>
          <cell r="Z919">
            <v>0</v>
          </cell>
          <cell r="AA919">
            <v>3</v>
          </cell>
          <cell r="AB919">
            <v>0</v>
          </cell>
          <cell r="AC919">
            <v>0.66666666666666663</v>
          </cell>
          <cell r="AD919">
            <v>12</v>
          </cell>
        </row>
        <row r="920">
          <cell r="A920">
            <v>51</v>
          </cell>
          <cell r="B920">
            <v>3</v>
          </cell>
          <cell r="C920">
            <v>3</v>
          </cell>
          <cell r="D920">
            <v>19847</v>
          </cell>
          <cell r="E920">
            <v>4</v>
          </cell>
          <cell r="F920">
            <v>24</v>
          </cell>
          <cell r="G920">
            <v>4</v>
          </cell>
          <cell r="H920">
            <v>1</v>
          </cell>
          <cell r="I920">
            <v>31</v>
          </cell>
          <cell r="J920">
            <v>5</v>
          </cell>
          <cell r="K920">
            <v>29</v>
          </cell>
          <cell r="L920">
            <v>10</v>
          </cell>
          <cell r="M920">
            <v>1</v>
          </cell>
          <cell r="N920">
            <v>0</v>
          </cell>
          <cell r="O920">
            <v>1</v>
          </cell>
          <cell r="P920">
            <v>0</v>
          </cell>
          <cell r="Q920">
            <v>0</v>
          </cell>
          <cell r="R920">
            <v>0</v>
          </cell>
          <cell r="S920">
            <v>0</v>
          </cell>
          <cell r="T920">
            <v>3</v>
          </cell>
          <cell r="U920">
            <v>0</v>
          </cell>
          <cell r="V920">
            <v>0</v>
          </cell>
          <cell r="W920">
            <v>0</v>
          </cell>
          <cell r="X920">
            <v>0</v>
          </cell>
          <cell r="Y920">
            <v>0</v>
          </cell>
          <cell r="Z920">
            <v>0</v>
          </cell>
          <cell r="AA920">
            <v>8</v>
          </cell>
          <cell r="AB920">
            <v>0.12903225806451613</v>
          </cell>
          <cell r="AC920">
            <v>0.34482758620689657</v>
          </cell>
          <cell r="AD920">
            <v>8</v>
          </cell>
        </row>
        <row r="921">
          <cell r="A921">
            <v>59</v>
          </cell>
          <cell r="B921">
            <v>4</v>
          </cell>
          <cell r="C921">
            <v>3</v>
          </cell>
          <cell r="D921">
            <v>10512</v>
          </cell>
          <cell r="E921">
            <v>6</v>
          </cell>
          <cell r="F921">
            <v>12</v>
          </cell>
          <cell r="G921">
            <v>3</v>
          </cell>
          <cell r="H921">
            <v>0</v>
          </cell>
          <cell r="I921">
            <v>25</v>
          </cell>
          <cell r="J921">
            <v>6</v>
          </cell>
          <cell r="K921">
            <v>9</v>
          </cell>
          <cell r="L921">
            <v>7</v>
          </cell>
          <cell r="M921">
            <v>0</v>
          </cell>
          <cell r="N921">
            <v>0</v>
          </cell>
          <cell r="O921">
            <v>0</v>
          </cell>
          <cell r="P921">
            <v>0</v>
          </cell>
          <cell r="Q921">
            <v>1</v>
          </cell>
          <cell r="R921">
            <v>0</v>
          </cell>
          <cell r="S921">
            <v>0</v>
          </cell>
          <cell r="T921">
            <v>0</v>
          </cell>
          <cell r="U921">
            <v>0</v>
          </cell>
          <cell r="V921">
            <v>4</v>
          </cell>
          <cell r="W921">
            <v>0</v>
          </cell>
          <cell r="X921">
            <v>0</v>
          </cell>
          <cell r="Y921">
            <v>0</v>
          </cell>
          <cell r="Z921">
            <v>0</v>
          </cell>
          <cell r="AA921">
            <v>16</v>
          </cell>
          <cell r="AB921">
            <v>0.24</v>
          </cell>
          <cell r="AC921">
            <v>0.77777777777777779</v>
          </cell>
          <cell r="AD921">
            <v>64</v>
          </cell>
        </row>
        <row r="922">
          <cell r="A922">
            <v>34</v>
          </cell>
          <cell r="B922">
            <v>3</v>
          </cell>
          <cell r="C922">
            <v>3</v>
          </cell>
          <cell r="D922">
            <v>4444</v>
          </cell>
          <cell r="E922">
            <v>4</v>
          </cell>
          <cell r="F922">
            <v>13</v>
          </cell>
          <cell r="G922">
            <v>3</v>
          </cell>
          <cell r="H922">
            <v>2</v>
          </cell>
          <cell r="I922">
            <v>15</v>
          </cell>
          <cell r="J922">
            <v>2</v>
          </cell>
          <cell r="K922">
            <v>11</v>
          </cell>
          <cell r="L922">
            <v>8</v>
          </cell>
          <cell r="M922">
            <v>0</v>
          </cell>
          <cell r="N922">
            <v>1</v>
          </cell>
          <cell r="O922">
            <v>0</v>
          </cell>
          <cell r="P922">
            <v>0</v>
          </cell>
          <cell r="Q922">
            <v>1</v>
          </cell>
          <cell r="R922">
            <v>0</v>
          </cell>
          <cell r="S922">
            <v>0</v>
          </cell>
          <cell r="T922">
            <v>0</v>
          </cell>
          <cell r="U922">
            <v>0</v>
          </cell>
          <cell r="V922">
            <v>3</v>
          </cell>
          <cell r="W922">
            <v>0</v>
          </cell>
          <cell r="X922">
            <v>0</v>
          </cell>
          <cell r="Y922">
            <v>0</v>
          </cell>
          <cell r="Z922">
            <v>0</v>
          </cell>
          <cell r="AA922">
            <v>6</v>
          </cell>
          <cell r="AB922">
            <v>0.26666666666666666</v>
          </cell>
          <cell r="AC922">
            <v>0.72727272727272729</v>
          </cell>
          <cell r="AD922">
            <v>18</v>
          </cell>
        </row>
        <row r="923">
          <cell r="A923">
            <v>28</v>
          </cell>
          <cell r="B923">
            <v>4</v>
          </cell>
          <cell r="C923">
            <v>3</v>
          </cell>
          <cell r="D923">
            <v>2154</v>
          </cell>
          <cell r="E923">
            <v>0</v>
          </cell>
          <cell r="F923">
            <v>11</v>
          </cell>
          <cell r="G923">
            <v>3</v>
          </cell>
          <cell r="H923">
            <v>0</v>
          </cell>
          <cell r="I923">
            <v>5</v>
          </cell>
          <cell r="J923">
            <v>2</v>
          </cell>
          <cell r="K923">
            <v>4</v>
          </cell>
          <cell r="L923">
            <v>2</v>
          </cell>
          <cell r="M923">
            <v>1</v>
          </cell>
          <cell r="N923">
            <v>0</v>
          </cell>
          <cell r="O923">
            <v>0</v>
          </cell>
          <cell r="P923">
            <v>0</v>
          </cell>
          <cell r="Q923">
            <v>1</v>
          </cell>
          <cell r="R923">
            <v>0</v>
          </cell>
          <cell r="S923">
            <v>0</v>
          </cell>
          <cell r="T923">
            <v>0</v>
          </cell>
          <cell r="U923">
            <v>0</v>
          </cell>
          <cell r="V923">
            <v>4</v>
          </cell>
          <cell r="W923">
            <v>0</v>
          </cell>
          <cell r="X923">
            <v>0</v>
          </cell>
          <cell r="Y923">
            <v>0</v>
          </cell>
          <cell r="Z923">
            <v>0</v>
          </cell>
          <cell r="AA923">
            <v>12</v>
          </cell>
          <cell r="AB923">
            <v>0</v>
          </cell>
          <cell r="AC923">
            <v>0.5</v>
          </cell>
          <cell r="AD923">
            <v>36</v>
          </cell>
        </row>
        <row r="924">
          <cell r="A924">
            <v>44</v>
          </cell>
          <cell r="B924">
            <v>2</v>
          </cell>
          <cell r="C924">
            <v>4</v>
          </cell>
          <cell r="D924">
            <v>19190</v>
          </cell>
          <cell r="E924">
            <v>1</v>
          </cell>
          <cell r="F924">
            <v>14</v>
          </cell>
          <cell r="G924">
            <v>3</v>
          </cell>
          <cell r="H924">
            <v>2</v>
          </cell>
          <cell r="I924">
            <v>26</v>
          </cell>
          <cell r="J924">
            <v>4</v>
          </cell>
          <cell r="K924">
            <v>25</v>
          </cell>
          <cell r="L924">
            <v>9</v>
          </cell>
          <cell r="M924">
            <v>0</v>
          </cell>
          <cell r="N924">
            <v>0</v>
          </cell>
          <cell r="O924">
            <v>1</v>
          </cell>
          <cell r="P924">
            <v>0</v>
          </cell>
          <cell r="Q924">
            <v>0</v>
          </cell>
          <cell r="R924">
            <v>0</v>
          </cell>
          <cell r="S924">
            <v>0</v>
          </cell>
          <cell r="T924">
            <v>2</v>
          </cell>
          <cell r="U924">
            <v>0</v>
          </cell>
          <cell r="V924">
            <v>0</v>
          </cell>
          <cell r="W924">
            <v>0</v>
          </cell>
          <cell r="X924">
            <v>0</v>
          </cell>
          <cell r="Y924">
            <v>0</v>
          </cell>
          <cell r="Z924">
            <v>0</v>
          </cell>
          <cell r="AA924">
            <v>3</v>
          </cell>
          <cell r="AB924">
            <v>3.8461538461538464E-2</v>
          </cell>
          <cell r="AC924">
            <v>0.36</v>
          </cell>
          <cell r="AD924">
            <v>12</v>
          </cell>
        </row>
        <row r="925">
          <cell r="A925">
            <v>34</v>
          </cell>
          <cell r="B925">
            <v>3</v>
          </cell>
          <cell r="C925">
            <v>2</v>
          </cell>
          <cell r="D925">
            <v>4490</v>
          </cell>
          <cell r="E925">
            <v>4</v>
          </cell>
          <cell r="F925">
            <v>11</v>
          </cell>
          <cell r="G925">
            <v>3</v>
          </cell>
          <cell r="H925">
            <v>2</v>
          </cell>
          <cell r="I925">
            <v>14</v>
          </cell>
          <cell r="J925">
            <v>5</v>
          </cell>
          <cell r="K925">
            <v>10</v>
          </cell>
          <cell r="L925">
            <v>9</v>
          </cell>
          <cell r="M925">
            <v>0</v>
          </cell>
          <cell r="N925">
            <v>0</v>
          </cell>
          <cell r="O925">
            <v>1</v>
          </cell>
          <cell r="P925">
            <v>0</v>
          </cell>
          <cell r="Q925">
            <v>0</v>
          </cell>
          <cell r="R925">
            <v>0</v>
          </cell>
          <cell r="S925">
            <v>0</v>
          </cell>
          <cell r="T925">
            <v>3</v>
          </cell>
          <cell r="U925">
            <v>0</v>
          </cell>
          <cell r="V925">
            <v>0</v>
          </cell>
          <cell r="W925">
            <v>0</v>
          </cell>
          <cell r="X925">
            <v>0</v>
          </cell>
          <cell r="Y925">
            <v>1</v>
          </cell>
          <cell r="Z925">
            <v>0</v>
          </cell>
          <cell r="AA925">
            <v>6</v>
          </cell>
          <cell r="AB925">
            <v>0.2857142857142857</v>
          </cell>
          <cell r="AC925">
            <v>0.9</v>
          </cell>
          <cell r="AD925">
            <v>24</v>
          </cell>
        </row>
        <row r="926">
          <cell r="A926">
            <v>35</v>
          </cell>
          <cell r="B926">
            <v>1</v>
          </cell>
          <cell r="C926">
            <v>3</v>
          </cell>
          <cell r="D926">
            <v>3506</v>
          </cell>
          <cell r="E926">
            <v>0</v>
          </cell>
          <cell r="F926">
            <v>14</v>
          </cell>
          <cell r="G926">
            <v>3</v>
          </cell>
          <cell r="H926">
            <v>0</v>
          </cell>
          <cell r="I926">
            <v>4</v>
          </cell>
          <cell r="J926">
            <v>3</v>
          </cell>
          <cell r="K926">
            <v>3</v>
          </cell>
          <cell r="L926">
            <v>2</v>
          </cell>
          <cell r="M926">
            <v>1</v>
          </cell>
          <cell r="N926">
            <v>0</v>
          </cell>
          <cell r="O926">
            <v>1</v>
          </cell>
          <cell r="P926">
            <v>0</v>
          </cell>
          <cell r="Q926">
            <v>0</v>
          </cell>
          <cell r="R926">
            <v>0</v>
          </cell>
          <cell r="S926">
            <v>0</v>
          </cell>
          <cell r="T926">
            <v>1</v>
          </cell>
          <cell r="U926">
            <v>0</v>
          </cell>
          <cell r="V926">
            <v>0</v>
          </cell>
          <cell r="W926">
            <v>0</v>
          </cell>
          <cell r="X926">
            <v>0</v>
          </cell>
          <cell r="Y926">
            <v>0</v>
          </cell>
          <cell r="Z926">
            <v>1</v>
          </cell>
          <cell r="AA926">
            <v>9</v>
          </cell>
          <cell r="AB926">
            <v>0</v>
          </cell>
          <cell r="AC926">
            <v>0.66666666666666663</v>
          </cell>
          <cell r="AD926">
            <v>36</v>
          </cell>
        </row>
        <row r="927">
          <cell r="A927">
            <v>42</v>
          </cell>
          <cell r="B927">
            <v>4</v>
          </cell>
          <cell r="C927">
            <v>4</v>
          </cell>
          <cell r="D927">
            <v>2372</v>
          </cell>
          <cell r="E927">
            <v>6</v>
          </cell>
          <cell r="F927">
            <v>16</v>
          </cell>
          <cell r="G927">
            <v>3</v>
          </cell>
          <cell r="H927">
            <v>0</v>
          </cell>
          <cell r="I927">
            <v>18</v>
          </cell>
          <cell r="J927">
            <v>2</v>
          </cell>
          <cell r="K927">
            <v>1</v>
          </cell>
          <cell r="L927">
            <v>0</v>
          </cell>
          <cell r="M927">
            <v>1</v>
          </cell>
          <cell r="N927">
            <v>1</v>
          </cell>
          <cell r="O927">
            <v>0</v>
          </cell>
          <cell r="P927">
            <v>0</v>
          </cell>
          <cell r="Q927">
            <v>1</v>
          </cell>
          <cell r="R927">
            <v>0</v>
          </cell>
          <cell r="S927">
            <v>0</v>
          </cell>
          <cell r="T927">
            <v>0</v>
          </cell>
          <cell r="U927">
            <v>0</v>
          </cell>
          <cell r="V927">
            <v>4</v>
          </cell>
          <cell r="W927">
            <v>0</v>
          </cell>
          <cell r="X927">
            <v>0</v>
          </cell>
          <cell r="Y927">
            <v>0</v>
          </cell>
          <cell r="Z927">
            <v>1</v>
          </cell>
          <cell r="AA927">
            <v>4</v>
          </cell>
          <cell r="AB927">
            <v>0.33333333333333331</v>
          </cell>
          <cell r="AC927">
            <v>0</v>
          </cell>
          <cell r="AD927">
            <v>16</v>
          </cell>
        </row>
        <row r="928">
          <cell r="A928">
            <v>43</v>
          </cell>
          <cell r="B928">
            <v>4</v>
          </cell>
          <cell r="C928">
            <v>2</v>
          </cell>
          <cell r="D928">
            <v>10231</v>
          </cell>
          <cell r="E928">
            <v>3</v>
          </cell>
          <cell r="F928">
            <v>14</v>
          </cell>
          <cell r="G928">
            <v>3</v>
          </cell>
          <cell r="H928">
            <v>0</v>
          </cell>
          <cell r="I928">
            <v>23</v>
          </cell>
          <cell r="J928">
            <v>3</v>
          </cell>
          <cell r="K928">
            <v>21</v>
          </cell>
          <cell r="L928">
            <v>7</v>
          </cell>
          <cell r="M928">
            <v>0</v>
          </cell>
          <cell r="N928">
            <v>1</v>
          </cell>
          <cell r="O928">
            <v>0</v>
          </cell>
          <cell r="P928">
            <v>1</v>
          </cell>
          <cell r="Q928">
            <v>0</v>
          </cell>
          <cell r="R928">
            <v>0</v>
          </cell>
          <cell r="S928">
            <v>0</v>
          </cell>
          <cell r="T928">
            <v>0</v>
          </cell>
          <cell r="U928">
            <v>4</v>
          </cell>
          <cell r="V928">
            <v>0</v>
          </cell>
          <cell r="W928">
            <v>0</v>
          </cell>
          <cell r="X928">
            <v>0</v>
          </cell>
          <cell r="Y928">
            <v>0</v>
          </cell>
          <cell r="Z928">
            <v>0</v>
          </cell>
          <cell r="AA928">
            <v>16</v>
          </cell>
          <cell r="AB928">
            <v>0.13043478260869565</v>
          </cell>
          <cell r="AC928">
            <v>0.33333333333333331</v>
          </cell>
          <cell r="AD928">
            <v>64</v>
          </cell>
        </row>
        <row r="929">
          <cell r="A929">
            <v>36</v>
          </cell>
          <cell r="B929">
            <v>4</v>
          </cell>
          <cell r="C929">
            <v>3</v>
          </cell>
          <cell r="D929">
            <v>5410</v>
          </cell>
          <cell r="E929">
            <v>9</v>
          </cell>
          <cell r="F929">
            <v>11</v>
          </cell>
          <cell r="G929">
            <v>3</v>
          </cell>
          <cell r="H929">
            <v>0</v>
          </cell>
          <cell r="I929">
            <v>18</v>
          </cell>
          <cell r="J929">
            <v>2</v>
          </cell>
          <cell r="K929">
            <v>16</v>
          </cell>
          <cell r="L929">
            <v>14</v>
          </cell>
          <cell r="M929">
            <v>1</v>
          </cell>
          <cell r="N929">
            <v>1</v>
          </cell>
          <cell r="O929">
            <v>1</v>
          </cell>
          <cell r="P929">
            <v>0</v>
          </cell>
          <cell r="Q929">
            <v>0</v>
          </cell>
          <cell r="R929">
            <v>0</v>
          </cell>
          <cell r="S929">
            <v>0</v>
          </cell>
          <cell r="T929">
            <v>4</v>
          </cell>
          <cell r="U929">
            <v>0</v>
          </cell>
          <cell r="V929">
            <v>0</v>
          </cell>
          <cell r="W929">
            <v>0</v>
          </cell>
          <cell r="X929">
            <v>0</v>
          </cell>
          <cell r="Y929">
            <v>0</v>
          </cell>
          <cell r="Z929">
            <v>0</v>
          </cell>
          <cell r="AA929">
            <v>6</v>
          </cell>
          <cell r="AB929">
            <v>0.5</v>
          </cell>
          <cell r="AC929">
            <v>0.875</v>
          </cell>
          <cell r="AD929">
            <v>24</v>
          </cell>
        </row>
        <row r="930">
          <cell r="A930">
            <v>44</v>
          </cell>
          <cell r="B930">
            <v>3</v>
          </cell>
          <cell r="C930">
            <v>3</v>
          </cell>
          <cell r="D930">
            <v>7978</v>
          </cell>
          <cell r="E930">
            <v>1</v>
          </cell>
          <cell r="F930">
            <v>11</v>
          </cell>
          <cell r="G930">
            <v>3</v>
          </cell>
          <cell r="H930">
            <v>1</v>
          </cell>
          <cell r="I930">
            <v>10</v>
          </cell>
          <cell r="J930">
            <v>2</v>
          </cell>
          <cell r="K930">
            <v>10</v>
          </cell>
          <cell r="L930">
            <v>7</v>
          </cell>
          <cell r="M930">
            <v>0</v>
          </cell>
          <cell r="N930">
            <v>1</v>
          </cell>
          <cell r="O930">
            <v>0</v>
          </cell>
          <cell r="P930">
            <v>0</v>
          </cell>
          <cell r="Q930">
            <v>1</v>
          </cell>
          <cell r="R930">
            <v>0</v>
          </cell>
          <cell r="S930">
            <v>0</v>
          </cell>
          <cell r="T930">
            <v>0</v>
          </cell>
          <cell r="U930">
            <v>0</v>
          </cell>
          <cell r="V930">
            <v>3</v>
          </cell>
          <cell r="W930">
            <v>0</v>
          </cell>
          <cell r="X930">
            <v>0</v>
          </cell>
          <cell r="Y930">
            <v>0</v>
          </cell>
          <cell r="Z930">
            <v>0</v>
          </cell>
          <cell r="AA930">
            <v>4</v>
          </cell>
          <cell r="AB930">
            <v>0.1</v>
          </cell>
          <cell r="AC930">
            <v>0.7</v>
          </cell>
          <cell r="AD930">
            <v>16</v>
          </cell>
        </row>
        <row r="931">
          <cell r="A931">
            <v>28</v>
          </cell>
          <cell r="B931">
            <v>3</v>
          </cell>
          <cell r="C931">
            <v>2</v>
          </cell>
          <cell r="D931">
            <v>3867</v>
          </cell>
          <cell r="E931">
            <v>1</v>
          </cell>
          <cell r="F931">
            <v>12</v>
          </cell>
          <cell r="G931">
            <v>3</v>
          </cell>
          <cell r="H931">
            <v>1</v>
          </cell>
          <cell r="I931">
            <v>2</v>
          </cell>
          <cell r="J931">
            <v>2</v>
          </cell>
          <cell r="K931">
            <v>2</v>
          </cell>
          <cell r="L931">
            <v>2</v>
          </cell>
          <cell r="M931">
            <v>1</v>
          </cell>
          <cell r="N931">
            <v>0</v>
          </cell>
          <cell r="O931">
            <v>1</v>
          </cell>
          <cell r="P931">
            <v>0</v>
          </cell>
          <cell r="Q931">
            <v>0</v>
          </cell>
          <cell r="R931">
            <v>0</v>
          </cell>
          <cell r="S931">
            <v>0</v>
          </cell>
          <cell r="T931">
            <v>3</v>
          </cell>
          <cell r="U931">
            <v>0</v>
          </cell>
          <cell r="V931">
            <v>0</v>
          </cell>
          <cell r="W931">
            <v>0</v>
          </cell>
          <cell r="X931">
            <v>0</v>
          </cell>
          <cell r="Y931">
            <v>1</v>
          </cell>
          <cell r="Z931">
            <v>1</v>
          </cell>
          <cell r="AA931">
            <v>16</v>
          </cell>
          <cell r="AB931">
            <v>0.5</v>
          </cell>
          <cell r="AC931">
            <v>1</v>
          </cell>
          <cell r="AD931">
            <v>32</v>
          </cell>
        </row>
        <row r="932">
          <cell r="A932">
            <v>51</v>
          </cell>
          <cell r="B932">
            <v>2</v>
          </cell>
          <cell r="C932">
            <v>2</v>
          </cell>
          <cell r="D932">
            <v>2838</v>
          </cell>
          <cell r="E932">
            <v>0</v>
          </cell>
          <cell r="F932">
            <v>14</v>
          </cell>
          <cell r="G932">
            <v>3</v>
          </cell>
          <cell r="H932">
            <v>0</v>
          </cell>
          <cell r="I932">
            <v>8</v>
          </cell>
          <cell r="J932">
            <v>6</v>
          </cell>
          <cell r="K932">
            <v>7</v>
          </cell>
          <cell r="L932">
            <v>0</v>
          </cell>
          <cell r="M932">
            <v>0</v>
          </cell>
          <cell r="N932">
            <v>1</v>
          </cell>
          <cell r="O932">
            <v>0</v>
          </cell>
          <cell r="P932">
            <v>0</v>
          </cell>
          <cell r="Q932">
            <v>1</v>
          </cell>
          <cell r="R932">
            <v>0</v>
          </cell>
          <cell r="S932">
            <v>0</v>
          </cell>
          <cell r="T932">
            <v>0</v>
          </cell>
          <cell r="U932">
            <v>0</v>
          </cell>
          <cell r="V932">
            <v>2</v>
          </cell>
          <cell r="W932">
            <v>0</v>
          </cell>
          <cell r="X932">
            <v>0</v>
          </cell>
          <cell r="Y932">
            <v>0</v>
          </cell>
          <cell r="Z932">
            <v>0</v>
          </cell>
          <cell r="AA932">
            <v>6</v>
          </cell>
          <cell r="AB932">
            <v>0</v>
          </cell>
          <cell r="AC932">
            <v>0</v>
          </cell>
          <cell r="AD932">
            <v>12</v>
          </cell>
        </row>
        <row r="933">
          <cell r="A933">
            <v>30</v>
          </cell>
          <cell r="B933">
            <v>2</v>
          </cell>
          <cell r="C933">
            <v>3</v>
          </cell>
          <cell r="D933">
            <v>4695</v>
          </cell>
          <cell r="E933">
            <v>7</v>
          </cell>
          <cell r="F933">
            <v>18</v>
          </cell>
          <cell r="G933">
            <v>3</v>
          </cell>
          <cell r="H933">
            <v>0</v>
          </cell>
          <cell r="I933">
            <v>10</v>
          </cell>
          <cell r="J933">
            <v>3</v>
          </cell>
          <cell r="K933">
            <v>8</v>
          </cell>
          <cell r="L933">
            <v>4</v>
          </cell>
          <cell r="M933">
            <v>1</v>
          </cell>
          <cell r="N933">
            <v>1</v>
          </cell>
          <cell r="O933">
            <v>0</v>
          </cell>
          <cell r="P933">
            <v>0</v>
          </cell>
          <cell r="Q933">
            <v>1</v>
          </cell>
          <cell r="R933">
            <v>0</v>
          </cell>
          <cell r="S933">
            <v>0</v>
          </cell>
          <cell r="T933">
            <v>0</v>
          </cell>
          <cell r="U933">
            <v>0</v>
          </cell>
          <cell r="V933">
            <v>2</v>
          </cell>
          <cell r="W933">
            <v>0</v>
          </cell>
          <cell r="X933">
            <v>0</v>
          </cell>
          <cell r="Y933">
            <v>0</v>
          </cell>
          <cell r="Z933">
            <v>0</v>
          </cell>
          <cell r="AA933">
            <v>9</v>
          </cell>
          <cell r="AB933">
            <v>0.7</v>
          </cell>
          <cell r="AC933">
            <v>0.5</v>
          </cell>
          <cell r="AD933">
            <v>27</v>
          </cell>
        </row>
        <row r="934">
          <cell r="A934">
            <v>29</v>
          </cell>
          <cell r="B934">
            <v>3</v>
          </cell>
          <cell r="C934">
            <v>3</v>
          </cell>
          <cell r="D934">
            <v>3339</v>
          </cell>
          <cell r="E934">
            <v>3</v>
          </cell>
          <cell r="F934">
            <v>13</v>
          </cell>
          <cell r="G934">
            <v>3</v>
          </cell>
          <cell r="H934">
            <v>2</v>
          </cell>
          <cell r="I934">
            <v>10</v>
          </cell>
          <cell r="J934">
            <v>2</v>
          </cell>
          <cell r="K934">
            <v>7</v>
          </cell>
          <cell r="L934">
            <v>7</v>
          </cell>
          <cell r="M934">
            <v>1</v>
          </cell>
          <cell r="N934">
            <v>1</v>
          </cell>
          <cell r="O934">
            <v>0</v>
          </cell>
          <cell r="P934">
            <v>0</v>
          </cell>
          <cell r="Q934">
            <v>0</v>
          </cell>
          <cell r="R934">
            <v>0</v>
          </cell>
          <cell r="S934">
            <v>1</v>
          </cell>
          <cell r="T934">
            <v>0</v>
          </cell>
          <cell r="U934">
            <v>0</v>
          </cell>
          <cell r="V934">
            <v>0</v>
          </cell>
          <cell r="W934">
            <v>0</v>
          </cell>
          <cell r="X934">
            <v>3</v>
          </cell>
          <cell r="Y934">
            <v>0</v>
          </cell>
          <cell r="Z934">
            <v>0</v>
          </cell>
          <cell r="AA934">
            <v>6</v>
          </cell>
          <cell r="AB934">
            <v>0.3</v>
          </cell>
          <cell r="AC934">
            <v>1</v>
          </cell>
          <cell r="AD934">
            <v>6</v>
          </cell>
        </row>
        <row r="935">
          <cell r="A935">
            <v>28</v>
          </cell>
          <cell r="B935">
            <v>3</v>
          </cell>
          <cell r="C935">
            <v>3</v>
          </cell>
          <cell r="D935">
            <v>2080</v>
          </cell>
          <cell r="E935">
            <v>2</v>
          </cell>
          <cell r="F935">
            <v>11</v>
          </cell>
          <cell r="G935">
            <v>3</v>
          </cell>
          <cell r="H935">
            <v>0</v>
          </cell>
          <cell r="I935">
            <v>5</v>
          </cell>
          <cell r="J935">
            <v>2</v>
          </cell>
          <cell r="K935">
            <v>3</v>
          </cell>
          <cell r="L935">
            <v>2</v>
          </cell>
          <cell r="M935">
            <v>0</v>
          </cell>
          <cell r="N935">
            <v>0</v>
          </cell>
          <cell r="O935">
            <v>0</v>
          </cell>
          <cell r="P935">
            <v>0</v>
          </cell>
          <cell r="Q935">
            <v>0</v>
          </cell>
          <cell r="R935">
            <v>0</v>
          </cell>
          <cell r="S935">
            <v>1</v>
          </cell>
          <cell r="T935">
            <v>0</v>
          </cell>
          <cell r="U935">
            <v>0</v>
          </cell>
          <cell r="V935">
            <v>0</v>
          </cell>
          <cell r="W935">
            <v>0</v>
          </cell>
          <cell r="X935">
            <v>3</v>
          </cell>
          <cell r="Y935">
            <v>0</v>
          </cell>
          <cell r="Z935">
            <v>0</v>
          </cell>
          <cell r="AA935">
            <v>4</v>
          </cell>
          <cell r="AB935">
            <v>0.4</v>
          </cell>
          <cell r="AC935">
            <v>0.66666666666666663</v>
          </cell>
          <cell r="AD935">
            <v>8</v>
          </cell>
        </row>
        <row r="936">
          <cell r="A936">
            <v>25</v>
          </cell>
          <cell r="B936">
            <v>3</v>
          </cell>
          <cell r="C936">
            <v>3</v>
          </cell>
          <cell r="D936">
            <v>2096</v>
          </cell>
          <cell r="E936">
            <v>1</v>
          </cell>
          <cell r="F936">
            <v>18</v>
          </cell>
          <cell r="G936">
            <v>3</v>
          </cell>
          <cell r="H936">
            <v>0</v>
          </cell>
          <cell r="I936">
            <v>2</v>
          </cell>
          <cell r="J936">
            <v>3</v>
          </cell>
          <cell r="K936">
            <v>2</v>
          </cell>
          <cell r="L936">
            <v>2</v>
          </cell>
          <cell r="M936">
            <v>0</v>
          </cell>
          <cell r="N936">
            <v>1</v>
          </cell>
          <cell r="O936">
            <v>0</v>
          </cell>
          <cell r="P936">
            <v>0</v>
          </cell>
          <cell r="Q936">
            <v>1</v>
          </cell>
          <cell r="R936">
            <v>0</v>
          </cell>
          <cell r="S936">
            <v>0</v>
          </cell>
          <cell r="T936">
            <v>0</v>
          </cell>
          <cell r="U936">
            <v>0</v>
          </cell>
          <cell r="V936">
            <v>3</v>
          </cell>
          <cell r="W936">
            <v>0</v>
          </cell>
          <cell r="X936">
            <v>0</v>
          </cell>
          <cell r="Y936">
            <v>0</v>
          </cell>
          <cell r="Z936">
            <v>0</v>
          </cell>
          <cell r="AA936">
            <v>8</v>
          </cell>
          <cell r="AB936">
            <v>0.5</v>
          </cell>
          <cell r="AC936">
            <v>1</v>
          </cell>
          <cell r="AD936">
            <v>32</v>
          </cell>
        </row>
        <row r="937">
          <cell r="A937">
            <v>32</v>
          </cell>
          <cell r="B937">
            <v>3</v>
          </cell>
          <cell r="C937">
            <v>4</v>
          </cell>
          <cell r="D937">
            <v>6209</v>
          </cell>
          <cell r="E937">
            <v>1</v>
          </cell>
          <cell r="F937">
            <v>15</v>
          </cell>
          <cell r="G937">
            <v>3</v>
          </cell>
          <cell r="H937">
            <v>2</v>
          </cell>
          <cell r="I937">
            <v>10</v>
          </cell>
          <cell r="J937">
            <v>4</v>
          </cell>
          <cell r="K937">
            <v>10</v>
          </cell>
          <cell r="L937">
            <v>7</v>
          </cell>
          <cell r="M937">
            <v>0</v>
          </cell>
          <cell r="N937">
            <v>0</v>
          </cell>
          <cell r="O937">
            <v>0</v>
          </cell>
          <cell r="P937">
            <v>0</v>
          </cell>
          <cell r="Q937">
            <v>1</v>
          </cell>
          <cell r="R937">
            <v>0</v>
          </cell>
          <cell r="S937">
            <v>0</v>
          </cell>
          <cell r="T937">
            <v>0</v>
          </cell>
          <cell r="U937">
            <v>0</v>
          </cell>
          <cell r="V937">
            <v>3</v>
          </cell>
          <cell r="W937">
            <v>0</v>
          </cell>
          <cell r="X937">
            <v>0</v>
          </cell>
          <cell r="Y937">
            <v>0</v>
          </cell>
          <cell r="Z937">
            <v>0</v>
          </cell>
          <cell r="AA937">
            <v>12</v>
          </cell>
          <cell r="AB937">
            <v>0.1</v>
          </cell>
          <cell r="AC937">
            <v>0.7</v>
          </cell>
          <cell r="AD937">
            <v>36</v>
          </cell>
        </row>
        <row r="938">
          <cell r="A938">
            <v>45</v>
          </cell>
          <cell r="B938">
            <v>3</v>
          </cell>
          <cell r="C938">
            <v>3</v>
          </cell>
          <cell r="D938">
            <v>18061</v>
          </cell>
          <cell r="E938">
            <v>3</v>
          </cell>
          <cell r="F938">
            <v>22</v>
          </cell>
          <cell r="G938">
            <v>4</v>
          </cell>
          <cell r="H938">
            <v>0</v>
          </cell>
          <cell r="I938">
            <v>22</v>
          </cell>
          <cell r="J938">
            <v>4</v>
          </cell>
          <cell r="K938">
            <v>0</v>
          </cell>
          <cell r="L938">
            <v>0</v>
          </cell>
          <cell r="M938">
            <v>0</v>
          </cell>
          <cell r="N938">
            <v>1</v>
          </cell>
          <cell r="O938">
            <v>0</v>
          </cell>
          <cell r="P938">
            <v>0</v>
          </cell>
          <cell r="Q938">
            <v>1</v>
          </cell>
          <cell r="R938">
            <v>0</v>
          </cell>
          <cell r="S938">
            <v>0</v>
          </cell>
          <cell r="T938">
            <v>0</v>
          </cell>
          <cell r="U938">
            <v>0</v>
          </cell>
          <cell r="V938">
            <v>3</v>
          </cell>
          <cell r="W938">
            <v>0</v>
          </cell>
          <cell r="X938">
            <v>0</v>
          </cell>
          <cell r="Y938">
            <v>0</v>
          </cell>
          <cell r="Z938">
            <v>0</v>
          </cell>
          <cell r="AA938">
            <v>4</v>
          </cell>
          <cell r="AB938">
            <v>0.13636363636363635</v>
          </cell>
          <cell r="AC938">
            <v>0</v>
          </cell>
          <cell r="AD938">
            <v>12</v>
          </cell>
        </row>
        <row r="939">
          <cell r="A939">
            <v>39</v>
          </cell>
          <cell r="B939">
            <v>4</v>
          </cell>
          <cell r="C939">
            <v>2</v>
          </cell>
          <cell r="D939">
            <v>17123</v>
          </cell>
          <cell r="E939">
            <v>6</v>
          </cell>
          <cell r="F939">
            <v>13</v>
          </cell>
          <cell r="G939">
            <v>3</v>
          </cell>
          <cell r="H939">
            <v>2</v>
          </cell>
          <cell r="I939">
            <v>21</v>
          </cell>
          <cell r="J939">
            <v>4</v>
          </cell>
          <cell r="K939">
            <v>19</v>
          </cell>
          <cell r="L939">
            <v>9</v>
          </cell>
          <cell r="M939">
            <v>1</v>
          </cell>
          <cell r="N939">
            <v>1</v>
          </cell>
          <cell r="O939">
            <v>0</v>
          </cell>
          <cell r="P939">
            <v>0</v>
          </cell>
          <cell r="Q939">
            <v>1</v>
          </cell>
          <cell r="R939">
            <v>0</v>
          </cell>
          <cell r="S939">
            <v>0</v>
          </cell>
          <cell r="T939">
            <v>0</v>
          </cell>
          <cell r="U939">
            <v>0</v>
          </cell>
          <cell r="V939">
            <v>4</v>
          </cell>
          <cell r="W939">
            <v>0</v>
          </cell>
          <cell r="X939">
            <v>0</v>
          </cell>
          <cell r="Y939">
            <v>0</v>
          </cell>
          <cell r="Z939">
            <v>0</v>
          </cell>
          <cell r="AA939">
            <v>6</v>
          </cell>
          <cell r="AB939">
            <v>0.2857142857142857</v>
          </cell>
          <cell r="AC939">
            <v>0.47368421052631576</v>
          </cell>
          <cell r="AD939">
            <v>24</v>
          </cell>
        </row>
        <row r="940">
          <cell r="A940">
            <v>58</v>
          </cell>
          <cell r="B940">
            <v>4</v>
          </cell>
          <cell r="C940">
            <v>3</v>
          </cell>
          <cell r="D940">
            <v>2372</v>
          </cell>
          <cell r="E940">
            <v>1</v>
          </cell>
          <cell r="F940">
            <v>12</v>
          </cell>
          <cell r="G940">
            <v>3</v>
          </cell>
          <cell r="H940">
            <v>2</v>
          </cell>
          <cell r="I940">
            <v>2</v>
          </cell>
          <cell r="J940">
            <v>3</v>
          </cell>
          <cell r="K940">
            <v>2</v>
          </cell>
          <cell r="L940">
            <v>2</v>
          </cell>
          <cell r="M940">
            <v>0</v>
          </cell>
          <cell r="N940">
            <v>0</v>
          </cell>
          <cell r="O940">
            <v>1</v>
          </cell>
          <cell r="P940">
            <v>0</v>
          </cell>
          <cell r="Q940">
            <v>0</v>
          </cell>
          <cell r="R940">
            <v>0</v>
          </cell>
          <cell r="S940">
            <v>0</v>
          </cell>
          <cell r="T940">
            <v>4</v>
          </cell>
          <cell r="U940">
            <v>0</v>
          </cell>
          <cell r="V940">
            <v>0</v>
          </cell>
          <cell r="W940">
            <v>0</v>
          </cell>
          <cell r="X940">
            <v>0</v>
          </cell>
          <cell r="Y940">
            <v>0</v>
          </cell>
          <cell r="Z940">
            <v>0</v>
          </cell>
          <cell r="AA940">
            <v>3</v>
          </cell>
          <cell r="AB940">
            <v>0.5</v>
          </cell>
          <cell r="AC940">
            <v>1</v>
          </cell>
          <cell r="AD940">
            <v>12</v>
          </cell>
        </row>
        <row r="941">
          <cell r="A941">
            <v>32</v>
          </cell>
          <cell r="B941">
            <v>2</v>
          </cell>
          <cell r="C941">
            <v>3</v>
          </cell>
          <cell r="D941">
            <v>4883</v>
          </cell>
          <cell r="E941">
            <v>1</v>
          </cell>
          <cell r="F941">
            <v>18</v>
          </cell>
          <cell r="G941">
            <v>3</v>
          </cell>
          <cell r="H941">
            <v>1</v>
          </cell>
          <cell r="I941">
            <v>10</v>
          </cell>
          <cell r="J941">
            <v>3</v>
          </cell>
          <cell r="K941">
            <v>10</v>
          </cell>
          <cell r="L941">
            <v>4</v>
          </cell>
          <cell r="M941">
            <v>0</v>
          </cell>
          <cell r="N941">
            <v>0</v>
          </cell>
          <cell r="O941">
            <v>1</v>
          </cell>
          <cell r="P941">
            <v>0</v>
          </cell>
          <cell r="Q941">
            <v>0</v>
          </cell>
          <cell r="R941">
            <v>0</v>
          </cell>
          <cell r="S941">
            <v>0</v>
          </cell>
          <cell r="T941">
            <v>2</v>
          </cell>
          <cell r="U941">
            <v>0</v>
          </cell>
          <cell r="V941">
            <v>0</v>
          </cell>
          <cell r="W941">
            <v>0</v>
          </cell>
          <cell r="X941">
            <v>0</v>
          </cell>
          <cell r="Y941">
            <v>0</v>
          </cell>
          <cell r="Z941">
            <v>0</v>
          </cell>
          <cell r="AA941">
            <v>12</v>
          </cell>
          <cell r="AB941">
            <v>0.1</v>
          </cell>
          <cell r="AC941">
            <v>0.4</v>
          </cell>
          <cell r="AD941">
            <v>12</v>
          </cell>
        </row>
        <row r="942">
          <cell r="A942">
            <v>39</v>
          </cell>
          <cell r="B942">
            <v>3</v>
          </cell>
          <cell r="C942">
            <v>3</v>
          </cell>
          <cell r="D942">
            <v>3904</v>
          </cell>
          <cell r="E942">
            <v>0</v>
          </cell>
          <cell r="F942">
            <v>13</v>
          </cell>
          <cell r="G942">
            <v>3</v>
          </cell>
          <cell r="H942">
            <v>0</v>
          </cell>
          <cell r="I942">
            <v>6</v>
          </cell>
          <cell r="J942">
            <v>2</v>
          </cell>
          <cell r="K942">
            <v>5</v>
          </cell>
          <cell r="L942">
            <v>2</v>
          </cell>
          <cell r="M942">
            <v>0</v>
          </cell>
          <cell r="N942">
            <v>0</v>
          </cell>
          <cell r="O942">
            <v>0</v>
          </cell>
          <cell r="P942">
            <v>0</v>
          </cell>
          <cell r="Q942">
            <v>1</v>
          </cell>
          <cell r="R942">
            <v>0</v>
          </cell>
          <cell r="S942">
            <v>0</v>
          </cell>
          <cell r="T942">
            <v>0</v>
          </cell>
          <cell r="U942">
            <v>0</v>
          </cell>
          <cell r="V942">
            <v>3</v>
          </cell>
          <cell r="W942">
            <v>0</v>
          </cell>
          <cell r="X942">
            <v>0</v>
          </cell>
          <cell r="Y942">
            <v>0</v>
          </cell>
          <cell r="Z942">
            <v>0</v>
          </cell>
          <cell r="AA942">
            <v>3</v>
          </cell>
          <cell r="AB942">
            <v>0</v>
          </cell>
          <cell r="AC942">
            <v>0.4</v>
          </cell>
          <cell r="AD942">
            <v>3</v>
          </cell>
        </row>
        <row r="943">
          <cell r="A943">
            <v>30</v>
          </cell>
          <cell r="B943">
            <v>3</v>
          </cell>
          <cell r="C943">
            <v>2</v>
          </cell>
          <cell r="D943">
            <v>4627</v>
          </cell>
          <cell r="E943">
            <v>0</v>
          </cell>
          <cell r="F943">
            <v>12</v>
          </cell>
          <cell r="G943">
            <v>3</v>
          </cell>
          <cell r="H943">
            <v>1</v>
          </cell>
          <cell r="I943">
            <v>10</v>
          </cell>
          <cell r="J943">
            <v>6</v>
          </cell>
          <cell r="K943">
            <v>9</v>
          </cell>
          <cell r="L943">
            <v>2</v>
          </cell>
          <cell r="M943">
            <v>0</v>
          </cell>
          <cell r="N943">
            <v>1</v>
          </cell>
          <cell r="O943">
            <v>0</v>
          </cell>
          <cell r="P943">
            <v>0</v>
          </cell>
          <cell r="Q943">
            <v>0</v>
          </cell>
          <cell r="R943">
            <v>0</v>
          </cell>
          <cell r="S943">
            <v>1</v>
          </cell>
          <cell r="T943">
            <v>0</v>
          </cell>
          <cell r="U943">
            <v>0</v>
          </cell>
          <cell r="V943">
            <v>0</v>
          </cell>
          <cell r="W943">
            <v>0</v>
          </cell>
          <cell r="X943">
            <v>3</v>
          </cell>
          <cell r="Y943">
            <v>0</v>
          </cell>
          <cell r="Z943">
            <v>0</v>
          </cell>
          <cell r="AA943">
            <v>4</v>
          </cell>
          <cell r="AB943">
            <v>0</v>
          </cell>
          <cell r="AC943">
            <v>0.22222222222222221</v>
          </cell>
          <cell r="AD943">
            <v>4</v>
          </cell>
        </row>
        <row r="944">
          <cell r="A944">
            <v>36</v>
          </cell>
          <cell r="B944">
            <v>4</v>
          </cell>
          <cell r="C944">
            <v>3</v>
          </cell>
          <cell r="D944">
            <v>7094</v>
          </cell>
          <cell r="E944">
            <v>3</v>
          </cell>
          <cell r="F944">
            <v>12</v>
          </cell>
          <cell r="G944">
            <v>3</v>
          </cell>
          <cell r="H944">
            <v>0</v>
          </cell>
          <cell r="I944">
            <v>10</v>
          </cell>
          <cell r="J944">
            <v>0</v>
          </cell>
          <cell r="K944">
            <v>7</v>
          </cell>
          <cell r="L944">
            <v>7</v>
          </cell>
          <cell r="M944">
            <v>0</v>
          </cell>
          <cell r="N944">
            <v>1</v>
          </cell>
          <cell r="O944">
            <v>0</v>
          </cell>
          <cell r="P944">
            <v>0</v>
          </cell>
          <cell r="Q944">
            <v>0</v>
          </cell>
          <cell r="R944">
            <v>0</v>
          </cell>
          <cell r="S944">
            <v>1</v>
          </cell>
          <cell r="T944">
            <v>0</v>
          </cell>
          <cell r="U944">
            <v>0</v>
          </cell>
          <cell r="V944">
            <v>0</v>
          </cell>
          <cell r="W944">
            <v>0</v>
          </cell>
          <cell r="X944">
            <v>4</v>
          </cell>
          <cell r="Y944">
            <v>0</v>
          </cell>
          <cell r="Z944">
            <v>0</v>
          </cell>
          <cell r="AA944">
            <v>12</v>
          </cell>
          <cell r="AB944">
            <v>0.3</v>
          </cell>
          <cell r="AC944">
            <v>1</v>
          </cell>
          <cell r="AD944">
            <v>12</v>
          </cell>
        </row>
        <row r="945">
          <cell r="A945">
            <v>46</v>
          </cell>
          <cell r="B945">
            <v>2</v>
          </cell>
          <cell r="C945">
            <v>3</v>
          </cell>
          <cell r="D945">
            <v>3423</v>
          </cell>
          <cell r="E945">
            <v>6</v>
          </cell>
          <cell r="F945">
            <v>12</v>
          </cell>
          <cell r="G945">
            <v>3</v>
          </cell>
          <cell r="H945">
            <v>0</v>
          </cell>
          <cell r="I945">
            <v>10</v>
          </cell>
          <cell r="J945">
            <v>3</v>
          </cell>
          <cell r="K945">
            <v>7</v>
          </cell>
          <cell r="L945">
            <v>6</v>
          </cell>
          <cell r="M945">
            <v>0</v>
          </cell>
          <cell r="N945">
            <v>1</v>
          </cell>
          <cell r="O945">
            <v>1</v>
          </cell>
          <cell r="P945">
            <v>0</v>
          </cell>
          <cell r="Q945">
            <v>0</v>
          </cell>
          <cell r="R945">
            <v>0</v>
          </cell>
          <cell r="S945">
            <v>0</v>
          </cell>
          <cell r="T945">
            <v>2</v>
          </cell>
          <cell r="U945">
            <v>0</v>
          </cell>
          <cell r="V945">
            <v>0</v>
          </cell>
          <cell r="W945">
            <v>0</v>
          </cell>
          <cell r="X945">
            <v>0</v>
          </cell>
          <cell r="Y945">
            <v>0</v>
          </cell>
          <cell r="Z945">
            <v>0</v>
          </cell>
          <cell r="AA945">
            <v>4</v>
          </cell>
          <cell r="AB945">
            <v>0.6</v>
          </cell>
          <cell r="AC945">
            <v>0.8571428571428571</v>
          </cell>
          <cell r="AD945">
            <v>12</v>
          </cell>
        </row>
        <row r="946">
          <cell r="A946">
            <v>28</v>
          </cell>
          <cell r="B946">
            <v>3</v>
          </cell>
          <cell r="C946">
            <v>1</v>
          </cell>
          <cell r="D946">
            <v>6674</v>
          </cell>
          <cell r="E946">
            <v>0</v>
          </cell>
          <cell r="F946">
            <v>11</v>
          </cell>
          <cell r="G946">
            <v>3</v>
          </cell>
          <cell r="H946">
            <v>3</v>
          </cell>
          <cell r="I946">
            <v>10</v>
          </cell>
          <cell r="J946">
            <v>6</v>
          </cell>
          <cell r="K946">
            <v>9</v>
          </cell>
          <cell r="L946">
            <v>8</v>
          </cell>
          <cell r="M946">
            <v>0</v>
          </cell>
          <cell r="N946">
            <v>1</v>
          </cell>
          <cell r="O946">
            <v>1</v>
          </cell>
          <cell r="P946">
            <v>0</v>
          </cell>
          <cell r="Q946">
            <v>0</v>
          </cell>
          <cell r="R946">
            <v>0</v>
          </cell>
          <cell r="S946">
            <v>0</v>
          </cell>
          <cell r="T946">
            <v>3</v>
          </cell>
          <cell r="U946">
            <v>0</v>
          </cell>
          <cell r="V946">
            <v>0</v>
          </cell>
          <cell r="W946">
            <v>0</v>
          </cell>
          <cell r="X946">
            <v>0</v>
          </cell>
          <cell r="Y946">
            <v>0</v>
          </cell>
          <cell r="Z946">
            <v>0</v>
          </cell>
          <cell r="AA946">
            <v>12</v>
          </cell>
          <cell r="AB946">
            <v>0</v>
          </cell>
          <cell r="AC946">
            <v>0.88888888888888884</v>
          </cell>
          <cell r="AD946">
            <v>12</v>
          </cell>
        </row>
        <row r="947">
          <cell r="A947">
            <v>50</v>
          </cell>
          <cell r="B947">
            <v>3</v>
          </cell>
          <cell r="C947">
            <v>3</v>
          </cell>
          <cell r="D947">
            <v>16880</v>
          </cell>
          <cell r="E947">
            <v>4</v>
          </cell>
          <cell r="F947">
            <v>11</v>
          </cell>
          <cell r="G947">
            <v>3</v>
          </cell>
          <cell r="H947">
            <v>0</v>
          </cell>
          <cell r="I947">
            <v>25</v>
          </cell>
          <cell r="J947">
            <v>2</v>
          </cell>
          <cell r="K947">
            <v>3</v>
          </cell>
          <cell r="L947">
            <v>2</v>
          </cell>
          <cell r="M947">
            <v>1</v>
          </cell>
          <cell r="N947">
            <v>1</v>
          </cell>
          <cell r="O947">
            <v>1</v>
          </cell>
          <cell r="P947">
            <v>0</v>
          </cell>
          <cell r="Q947">
            <v>0</v>
          </cell>
          <cell r="R947">
            <v>0</v>
          </cell>
          <cell r="S947">
            <v>0</v>
          </cell>
          <cell r="T947">
            <v>3</v>
          </cell>
          <cell r="U947">
            <v>0</v>
          </cell>
          <cell r="V947">
            <v>0</v>
          </cell>
          <cell r="W947">
            <v>0</v>
          </cell>
          <cell r="X947">
            <v>0</v>
          </cell>
          <cell r="Y947">
            <v>0</v>
          </cell>
          <cell r="Z947">
            <v>1</v>
          </cell>
          <cell r="AA947">
            <v>4</v>
          </cell>
          <cell r="AB947">
            <v>0.16</v>
          </cell>
          <cell r="AC947">
            <v>0.66666666666666663</v>
          </cell>
          <cell r="AD947">
            <v>8</v>
          </cell>
        </row>
        <row r="948">
          <cell r="A948">
            <v>40</v>
          </cell>
          <cell r="B948">
            <v>4</v>
          </cell>
          <cell r="C948">
            <v>2</v>
          </cell>
          <cell r="D948">
            <v>9094</v>
          </cell>
          <cell r="E948">
            <v>2</v>
          </cell>
          <cell r="F948">
            <v>12</v>
          </cell>
          <cell r="G948">
            <v>3</v>
          </cell>
          <cell r="H948">
            <v>0</v>
          </cell>
          <cell r="I948">
            <v>9</v>
          </cell>
          <cell r="J948">
            <v>2</v>
          </cell>
          <cell r="K948">
            <v>5</v>
          </cell>
          <cell r="L948">
            <v>4</v>
          </cell>
          <cell r="M948">
            <v>1</v>
          </cell>
          <cell r="N948">
            <v>0</v>
          </cell>
          <cell r="O948">
            <v>0</v>
          </cell>
          <cell r="P948">
            <v>1</v>
          </cell>
          <cell r="Q948">
            <v>0</v>
          </cell>
          <cell r="R948">
            <v>0</v>
          </cell>
          <cell r="S948">
            <v>0</v>
          </cell>
          <cell r="T948">
            <v>0</v>
          </cell>
          <cell r="U948">
            <v>4</v>
          </cell>
          <cell r="V948">
            <v>0</v>
          </cell>
          <cell r="W948">
            <v>0</v>
          </cell>
          <cell r="X948">
            <v>0</v>
          </cell>
          <cell r="Y948">
            <v>0</v>
          </cell>
          <cell r="Z948">
            <v>0</v>
          </cell>
          <cell r="AA948">
            <v>8</v>
          </cell>
          <cell r="AB948">
            <v>0.22222222222222221</v>
          </cell>
          <cell r="AC948">
            <v>0.8</v>
          </cell>
          <cell r="AD948">
            <v>24</v>
          </cell>
        </row>
        <row r="949">
          <cell r="A949">
            <v>52</v>
          </cell>
          <cell r="B949">
            <v>3</v>
          </cell>
          <cell r="C949">
            <v>3</v>
          </cell>
          <cell r="D949">
            <v>8446</v>
          </cell>
          <cell r="E949">
            <v>9</v>
          </cell>
          <cell r="F949">
            <v>19</v>
          </cell>
          <cell r="G949">
            <v>3</v>
          </cell>
          <cell r="H949">
            <v>0</v>
          </cell>
          <cell r="I949">
            <v>10</v>
          </cell>
          <cell r="J949">
            <v>2</v>
          </cell>
          <cell r="K949">
            <v>8</v>
          </cell>
          <cell r="L949">
            <v>7</v>
          </cell>
          <cell r="M949">
            <v>1</v>
          </cell>
          <cell r="N949">
            <v>0</v>
          </cell>
          <cell r="O949">
            <v>1</v>
          </cell>
          <cell r="P949">
            <v>0</v>
          </cell>
          <cell r="Q949">
            <v>0</v>
          </cell>
          <cell r="R949">
            <v>0</v>
          </cell>
          <cell r="S949">
            <v>0</v>
          </cell>
          <cell r="T949">
            <v>3</v>
          </cell>
          <cell r="U949">
            <v>0</v>
          </cell>
          <cell r="V949">
            <v>0</v>
          </cell>
          <cell r="W949">
            <v>0</v>
          </cell>
          <cell r="X949">
            <v>0</v>
          </cell>
          <cell r="Y949">
            <v>0</v>
          </cell>
          <cell r="Z949">
            <v>0</v>
          </cell>
          <cell r="AA949">
            <v>4</v>
          </cell>
          <cell r="AB949">
            <v>0.9</v>
          </cell>
          <cell r="AC949">
            <v>0.875</v>
          </cell>
          <cell r="AD949">
            <v>12</v>
          </cell>
        </row>
        <row r="950">
          <cell r="A950">
            <v>30</v>
          </cell>
          <cell r="B950">
            <v>4</v>
          </cell>
          <cell r="C950">
            <v>3</v>
          </cell>
          <cell r="D950">
            <v>11916</v>
          </cell>
          <cell r="E950">
            <v>1</v>
          </cell>
          <cell r="F950">
            <v>23</v>
          </cell>
          <cell r="G950">
            <v>4</v>
          </cell>
          <cell r="H950">
            <v>2</v>
          </cell>
          <cell r="I950">
            <v>9</v>
          </cell>
          <cell r="J950">
            <v>2</v>
          </cell>
          <cell r="K950">
            <v>9</v>
          </cell>
          <cell r="L950">
            <v>1</v>
          </cell>
          <cell r="M950">
            <v>1</v>
          </cell>
          <cell r="N950">
            <v>1</v>
          </cell>
          <cell r="O950">
            <v>0</v>
          </cell>
          <cell r="P950">
            <v>0</v>
          </cell>
          <cell r="Q950">
            <v>1</v>
          </cell>
          <cell r="R950">
            <v>0</v>
          </cell>
          <cell r="S950">
            <v>0</v>
          </cell>
          <cell r="T950">
            <v>0</v>
          </cell>
          <cell r="U950">
            <v>0</v>
          </cell>
          <cell r="V950">
            <v>4</v>
          </cell>
          <cell r="W950">
            <v>0</v>
          </cell>
          <cell r="X950">
            <v>0</v>
          </cell>
          <cell r="Y950">
            <v>0</v>
          </cell>
          <cell r="Z950">
            <v>1</v>
          </cell>
          <cell r="AA950">
            <v>2</v>
          </cell>
          <cell r="AB950">
            <v>0.1111111111111111</v>
          </cell>
          <cell r="AC950">
            <v>0.1111111111111111</v>
          </cell>
          <cell r="AD950">
            <v>8</v>
          </cell>
        </row>
        <row r="951">
          <cell r="A951">
            <v>39</v>
          </cell>
          <cell r="B951">
            <v>2</v>
          </cell>
          <cell r="C951">
            <v>3</v>
          </cell>
          <cell r="D951">
            <v>4534</v>
          </cell>
          <cell r="E951">
            <v>0</v>
          </cell>
          <cell r="F951">
            <v>11</v>
          </cell>
          <cell r="G951">
            <v>3</v>
          </cell>
          <cell r="H951">
            <v>0</v>
          </cell>
          <cell r="I951">
            <v>9</v>
          </cell>
          <cell r="J951">
            <v>6</v>
          </cell>
          <cell r="K951">
            <v>8</v>
          </cell>
          <cell r="L951">
            <v>7</v>
          </cell>
          <cell r="M951">
            <v>0</v>
          </cell>
          <cell r="N951">
            <v>0</v>
          </cell>
          <cell r="O951">
            <v>1</v>
          </cell>
          <cell r="P951">
            <v>0</v>
          </cell>
          <cell r="Q951">
            <v>0</v>
          </cell>
          <cell r="R951">
            <v>0</v>
          </cell>
          <cell r="S951">
            <v>0</v>
          </cell>
          <cell r="T951">
            <v>2</v>
          </cell>
          <cell r="U951">
            <v>0</v>
          </cell>
          <cell r="V951">
            <v>0</v>
          </cell>
          <cell r="W951">
            <v>0</v>
          </cell>
          <cell r="X951">
            <v>0</v>
          </cell>
          <cell r="Y951">
            <v>0</v>
          </cell>
          <cell r="Z951">
            <v>0</v>
          </cell>
          <cell r="AA951">
            <v>3</v>
          </cell>
          <cell r="AB951">
            <v>0</v>
          </cell>
          <cell r="AC951">
            <v>0.875</v>
          </cell>
          <cell r="AD951">
            <v>3</v>
          </cell>
        </row>
        <row r="952">
          <cell r="A952">
            <v>31</v>
          </cell>
          <cell r="B952">
            <v>4</v>
          </cell>
          <cell r="C952">
            <v>3</v>
          </cell>
          <cell r="D952">
            <v>9852</v>
          </cell>
          <cell r="E952">
            <v>1</v>
          </cell>
          <cell r="F952">
            <v>19</v>
          </cell>
          <cell r="G952">
            <v>3</v>
          </cell>
          <cell r="H952">
            <v>1</v>
          </cell>
          <cell r="I952">
            <v>10</v>
          </cell>
          <cell r="J952">
            <v>5</v>
          </cell>
          <cell r="K952">
            <v>10</v>
          </cell>
          <cell r="L952">
            <v>8</v>
          </cell>
          <cell r="M952">
            <v>1</v>
          </cell>
          <cell r="N952">
            <v>1</v>
          </cell>
          <cell r="O952">
            <v>1</v>
          </cell>
          <cell r="P952">
            <v>0</v>
          </cell>
          <cell r="Q952">
            <v>0</v>
          </cell>
          <cell r="R952">
            <v>0</v>
          </cell>
          <cell r="S952">
            <v>0</v>
          </cell>
          <cell r="T952">
            <v>4</v>
          </cell>
          <cell r="U952">
            <v>0</v>
          </cell>
          <cell r="V952">
            <v>0</v>
          </cell>
          <cell r="W952">
            <v>0</v>
          </cell>
          <cell r="X952">
            <v>0</v>
          </cell>
          <cell r="Y952">
            <v>0</v>
          </cell>
          <cell r="Z952">
            <v>0</v>
          </cell>
          <cell r="AA952">
            <v>12</v>
          </cell>
          <cell r="AB952">
            <v>0.1</v>
          </cell>
          <cell r="AC952">
            <v>0.8</v>
          </cell>
          <cell r="AD952">
            <v>12</v>
          </cell>
        </row>
        <row r="953">
          <cell r="A953">
            <v>41</v>
          </cell>
          <cell r="B953">
            <v>2</v>
          </cell>
          <cell r="C953">
            <v>1</v>
          </cell>
          <cell r="D953">
            <v>6151</v>
          </cell>
          <cell r="E953">
            <v>1</v>
          </cell>
          <cell r="F953">
            <v>13</v>
          </cell>
          <cell r="G953">
            <v>3</v>
          </cell>
          <cell r="H953">
            <v>0</v>
          </cell>
          <cell r="I953">
            <v>19</v>
          </cell>
          <cell r="J953">
            <v>4</v>
          </cell>
          <cell r="K953">
            <v>19</v>
          </cell>
          <cell r="L953">
            <v>2</v>
          </cell>
          <cell r="M953">
            <v>0</v>
          </cell>
          <cell r="N953">
            <v>0</v>
          </cell>
          <cell r="O953">
            <v>0</v>
          </cell>
          <cell r="P953">
            <v>0</v>
          </cell>
          <cell r="Q953">
            <v>1</v>
          </cell>
          <cell r="R953">
            <v>0</v>
          </cell>
          <cell r="S953">
            <v>0</v>
          </cell>
          <cell r="T953">
            <v>0</v>
          </cell>
          <cell r="U953">
            <v>0</v>
          </cell>
          <cell r="V953">
            <v>2</v>
          </cell>
          <cell r="W953">
            <v>0</v>
          </cell>
          <cell r="X953">
            <v>0</v>
          </cell>
          <cell r="Y953">
            <v>0</v>
          </cell>
          <cell r="Z953">
            <v>0</v>
          </cell>
          <cell r="AA953">
            <v>6</v>
          </cell>
          <cell r="AB953">
            <v>5.2631578947368418E-2</v>
          </cell>
          <cell r="AC953">
            <v>0.10526315789473684</v>
          </cell>
          <cell r="AD953">
            <v>6</v>
          </cell>
        </row>
        <row r="954">
          <cell r="A954">
            <v>31</v>
          </cell>
          <cell r="B954">
            <v>3</v>
          </cell>
          <cell r="C954">
            <v>3</v>
          </cell>
          <cell r="D954">
            <v>2302</v>
          </cell>
          <cell r="E954">
            <v>1</v>
          </cell>
          <cell r="F954">
            <v>11</v>
          </cell>
          <cell r="G954">
            <v>3</v>
          </cell>
          <cell r="H954">
            <v>0</v>
          </cell>
          <cell r="I954">
            <v>3</v>
          </cell>
          <cell r="J954">
            <v>2</v>
          </cell>
          <cell r="K954">
            <v>3</v>
          </cell>
          <cell r="L954">
            <v>2</v>
          </cell>
          <cell r="M954">
            <v>1</v>
          </cell>
          <cell r="N954">
            <v>1</v>
          </cell>
          <cell r="O954">
            <v>1</v>
          </cell>
          <cell r="P954">
            <v>0</v>
          </cell>
          <cell r="Q954">
            <v>0</v>
          </cell>
          <cell r="R954">
            <v>0</v>
          </cell>
          <cell r="S954">
            <v>0</v>
          </cell>
          <cell r="T954">
            <v>3</v>
          </cell>
          <cell r="U954">
            <v>0</v>
          </cell>
          <cell r="V954">
            <v>0</v>
          </cell>
          <cell r="W954">
            <v>0</v>
          </cell>
          <cell r="X954">
            <v>0</v>
          </cell>
          <cell r="Y954">
            <v>0</v>
          </cell>
          <cell r="Z954">
            <v>0</v>
          </cell>
          <cell r="AA954">
            <v>8</v>
          </cell>
          <cell r="AB954">
            <v>0.33333333333333331</v>
          </cell>
          <cell r="AC954">
            <v>0.66666666666666663</v>
          </cell>
          <cell r="AD954">
            <v>8</v>
          </cell>
        </row>
        <row r="955">
          <cell r="A955">
            <v>44</v>
          </cell>
          <cell r="B955">
            <v>3</v>
          </cell>
          <cell r="C955">
            <v>3</v>
          </cell>
          <cell r="D955">
            <v>2362</v>
          </cell>
          <cell r="E955">
            <v>4</v>
          </cell>
          <cell r="F955">
            <v>12</v>
          </cell>
          <cell r="G955">
            <v>3</v>
          </cell>
          <cell r="H955">
            <v>0</v>
          </cell>
          <cell r="I955">
            <v>10</v>
          </cell>
          <cell r="J955">
            <v>4</v>
          </cell>
          <cell r="K955">
            <v>3</v>
          </cell>
          <cell r="L955">
            <v>2</v>
          </cell>
          <cell r="M955">
            <v>0</v>
          </cell>
          <cell r="N955">
            <v>0</v>
          </cell>
          <cell r="O955">
            <v>1</v>
          </cell>
          <cell r="P955">
            <v>0</v>
          </cell>
          <cell r="Q955">
            <v>0</v>
          </cell>
          <cell r="R955">
            <v>0</v>
          </cell>
          <cell r="S955">
            <v>0</v>
          </cell>
          <cell r="T955">
            <v>3</v>
          </cell>
          <cell r="U955">
            <v>0</v>
          </cell>
          <cell r="V955">
            <v>0</v>
          </cell>
          <cell r="W955">
            <v>0</v>
          </cell>
          <cell r="X955">
            <v>0</v>
          </cell>
          <cell r="Y955">
            <v>0</v>
          </cell>
          <cell r="Z955">
            <v>0</v>
          </cell>
          <cell r="AA955">
            <v>1</v>
          </cell>
          <cell r="AB955">
            <v>0.4</v>
          </cell>
          <cell r="AC955">
            <v>0.66666666666666663</v>
          </cell>
          <cell r="AD955">
            <v>3</v>
          </cell>
        </row>
        <row r="956">
          <cell r="A956">
            <v>42</v>
          </cell>
          <cell r="B956">
            <v>1</v>
          </cell>
          <cell r="C956">
            <v>3</v>
          </cell>
          <cell r="D956">
            <v>17861</v>
          </cell>
          <cell r="E956">
            <v>0</v>
          </cell>
          <cell r="F956">
            <v>13</v>
          </cell>
          <cell r="G956">
            <v>3</v>
          </cell>
          <cell r="H956">
            <v>0</v>
          </cell>
          <cell r="I956">
            <v>21</v>
          </cell>
          <cell r="J956">
            <v>3</v>
          </cell>
          <cell r="K956">
            <v>20</v>
          </cell>
          <cell r="L956">
            <v>8</v>
          </cell>
          <cell r="M956">
            <v>1</v>
          </cell>
          <cell r="N956">
            <v>0</v>
          </cell>
          <cell r="O956">
            <v>1</v>
          </cell>
          <cell r="P956">
            <v>0</v>
          </cell>
          <cell r="Q956">
            <v>0</v>
          </cell>
          <cell r="R956">
            <v>0</v>
          </cell>
          <cell r="S956">
            <v>0</v>
          </cell>
          <cell r="T956">
            <v>1</v>
          </cell>
          <cell r="U956">
            <v>0</v>
          </cell>
          <cell r="V956">
            <v>0</v>
          </cell>
          <cell r="W956">
            <v>0</v>
          </cell>
          <cell r="X956">
            <v>0</v>
          </cell>
          <cell r="Y956">
            <v>0</v>
          </cell>
          <cell r="Z956">
            <v>1</v>
          </cell>
          <cell r="AA956">
            <v>9</v>
          </cell>
          <cell r="AB956">
            <v>0</v>
          </cell>
          <cell r="AC956">
            <v>0.4</v>
          </cell>
          <cell r="AD956">
            <v>36</v>
          </cell>
        </row>
        <row r="957">
          <cell r="A957">
            <v>55</v>
          </cell>
          <cell r="B957">
            <v>2</v>
          </cell>
          <cell r="C957">
            <v>1</v>
          </cell>
          <cell r="D957">
            <v>19187</v>
          </cell>
          <cell r="E957">
            <v>4</v>
          </cell>
          <cell r="F957">
            <v>14</v>
          </cell>
          <cell r="G957">
            <v>3</v>
          </cell>
          <cell r="H957">
            <v>1</v>
          </cell>
          <cell r="I957">
            <v>23</v>
          </cell>
          <cell r="J957">
            <v>5</v>
          </cell>
          <cell r="K957">
            <v>19</v>
          </cell>
          <cell r="L957">
            <v>9</v>
          </cell>
          <cell r="M957">
            <v>0</v>
          </cell>
          <cell r="N957">
            <v>1</v>
          </cell>
          <cell r="O957">
            <v>0</v>
          </cell>
          <cell r="P957">
            <v>0</v>
          </cell>
          <cell r="Q957">
            <v>1</v>
          </cell>
          <cell r="R957">
            <v>0</v>
          </cell>
          <cell r="S957">
            <v>0</v>
          </cell>
          <cell r="T957">
            <v>0</v>
          </cell>
          <cell r="U957">
            <v>0</v>
          </cell>
          <cell r="V957">
            <v>2</v>
          </cell>
          <cell r="W957">
            <v>0</v>
          </cell>
          <cell r="X957">
            <v>0</v>
          </cell>
          <cell r="Y957">
            <v>0</v>
          </cell>
          <cell r="Z957">
            <v>0</v>
          </cell>
          <cell r="AA957">
            <v>12</v>
          </cell>
          <cell r="AB957">
            <v>0.17391304347826086</v>
          </cell>
          <cell r="AC957">
            <v>0.47368421052631576</v>
          </cell>
          <cell r="AD957">
            <v>48</v>
          </cell>
        </row>
        <row r="958">
          <cell r="A958">
            <v>56</v>
          </cell>
          <cell r="B958">
            <v>4</v>
          </cell>
          <cell r="C958">
            <v>3</v>
          </cell>
          <cell r="D958">
            <v>19717</v>
          </cell>
          <cell r="E958">
            <v>6</v>
          </cell>
          <cell r="F958">
            <v>14</v>
          </cell>
          <cell r="G958">
            <v>3</v>
          </cell>
          <cell r="H958">
            <v>0</v>
          </cell>
          <cell r="I958">
            <v>36</v>
          </cell>
          <cell r="J958">
            <v>4</v>
          </cell>
          <cell r="K958">
            <v>7</v>
          </cell>
          <cell r="L958">
            <v>3</v>
          </cell>
          <cell r="M958">
            <v>0</v>
          </cell>
          <cell r="N958">
            <v>0</v>
          </cell>
          <cell r="O958">
            <v>1</v>
          </cell>
          <cell r="P958">
            <v>0</v>
          </cell>
          <cell r="Q958">
            <v>0</v>
          </cell>
          <cell r="R958">
            <v>0</v>
          </cell>
          <cell r="S958">
            <v>0</v>
          </cell>
          <cell r="T958">
            <v>4</v>
          </cell>
          <cell r="U958">
            <v>0</v>
          </cell>
          <cell r="V958">
            <v>0</v>
          </cell>
          <cell r="W958">
            <v>0</v>
          </cell>
          <cell r="X958">
            <v>0</v>
          </cell>
          <cell r="Y958">
            <v>0</v>
          </cell>
          <cell r="Z958">
            <v>0</v>
          </cell>
          <cell r="AA958">
            <v>8</v>
          </cell>
          <cell r="AB958">
            <v>0.16666666666666666</v>
          </cell>
          <cell r="AC958">
            <v>0.42857142857142855</v>
          </cell>
          <cell r="AD958">
            <v>8</v>
          </cell>
        </row>
        <row r="959">
          <cell r="A959">
            <v>40</v>
          </cell>
          <cell r="B959">
            <v>2</v>
          </cell>
          <cell r="C959">
            <v>3</v>
          </cell>
          <cell r="D959">
            <v>3544</v>
          </cell>
          <cell r="E959">
            <v>9</v>
          </cell>
          <cell r="F959">
            <v>16</v>
          </cell>
          <cell r="G959">
            <v>3</v>
          </cell>
          <cell r="H959">
            <v>1</v>
          </cell>
          <cell r="I959">
            <v>6</v>
          </cell>
          <cell r="J959">
            <v>0</v>
          </cell>
          <cell r="K959">
            <v>4</v>
          </cell>
          <cell r="L959">
            <v>2</v>
          </cell>
          <cell r="M959">
            <v>0</v>
          </cell>
          <cell r="N959">
            <v>0</v>
          </cell>
          <cell r="O959">
            <v>1</v>
          </cell>
          <cell r="P959">
            <v>0</v>
          </cell>
          <cell r="Q959">
            <v>0</v>
          </cell>
          <cell r="R959">
            <v>0</v>
          </cell>
          <cell r="S959">
            <v>0</v>
          </cell>
          <cell r="T959">
            <v>2</v>
          </cell>
          <cell r="U959">
            <v>0</v>
          </cell>
          <cell r="V959">
            <v>0</v>
          </cell>
          <cell r="W959">
            <v>0</v>
          </cell>
          <cell r="X959">
            <v>0</v>
          </cell>
          <cell r="Y959">
            <v>0</v>
          </cell>
          <cell r="Z959">
            <v>0</v>
          </cell>
          <cell r="AA959">
            <v>9</v>
          </cell>
          <cell r="AB959">
            <v>1.5</v>
          </cell>
          <cell r="AC959">
            <v>0.5</v>
          </cell>
          <cell r="AD959">
            <v>18</v>
          </cell>
        </row>
        <row r="960">
          <cell r="A960">
            <v>34</v>
          </cell>
          <cell r="B960">
            <v>3</v>
          </cell>
          <cell r="C960">
            <v>3</v>
          </cell>
          <cell r="D960">
            <v>8500</v>
          </cell>
          <cell r="E960">
            <v>0</v>
          </cell>
          <cell r="F960">
            <v>11</v>
          </cell>
          <cell r="G960">
            <v>3</v>
          </cell>
          <cell r="H960">
            <v>1</v>
          </cell>
          <cell r="I960">
            <v>10</v>
          </cell>
          <cell r="J960">
            <v>0</v>
          </cell>
          <cell r="K960">
            <v>9</v>
          </cell>
          <cell r="L960">
            <v>7</v>
          </cell>
          <cell r="M960">
            <v>0</v>
          </cell>
          <cell r="N960">
            <v>0</v>
          </cell>
          <cell r="O960">
            <v>1</v>
          </cell>
          <cell r="P960">
            <v>0</v>
          </cell>
          <cell r="Q960">
            <v>0</v>
          </cell>
          <cell r="R960">
            <v>0</v>
          </cell>
          <cell r="S960">
            <v>0</v>
          </cell>
          <cell r="T960">
            <v>3</v>
          </cell>
          <cell r="U960">
            <v>0</v>
          </cell>
          <cell r="V960">
            <v>0</v>
          </cell>
          <cell r="W960">
            <v>0</v>
          </cell>
          <cell r="X960">
            <v>0</v>
          </cell>
          <cell r="Y960">
            <v>0</v>
          </cell>
          <cell r="Z960">
            <v>0</v>
          </cell>
          <cell r="AA960">
            <v>16</v>
          </cell>
          <cell r="AB960">
            <v>0</v>
          </cell>
          <cell r="AC960">
            <v>0.77777777777777779</v>
          </cell>
          <cell r="AD960">
            <v>64</v>
          </cell>
        </row>
        <row r="961">
          <cell r="A961">
            <v>40</v>
          </cell>
          <cell r="B961">
            <v>3</v>
          </cell>
          <cell r="C961">
            <v>3</v>
          </cell>
          <cell r="D961">
            <v>4661</v>
          </cell>
          <cell r="E961">
            <v>1</v>
          </cell>
          <cell r="F961">
            <v>13</v>
          </cell>
          <cell r="G961">
            <v>3</v>
          </cell>
          <cell r="H961">
            <v>0</v>
          </cell>
          <cell r="I961">
            <v>9</v>
          </cell>
          <cell r="J961">
            <v>4</v>
          </cell>
          <cell r="K961">
            <v>9</v>
          </cell>
          <cell r="L961">
            <v>8</v>
          </cell>
          <cell r="M961">
            <v>0</v>
          </cell>
          <cell r="N961">
            <v>0</v>
          </cell>
          <cell r="O961">
            <v>1</v>
          </cell>
          <cell r="P961">
            <v>0</v>
          </cell>
          <cell r="Q961">
            <v>0</v>
          </cell>
          <cell r="R961">
            <v>0</v>
          </cell>
          <cell r="S961">
            <v>0</v>
          </cell>
          <cell r="T961">
            <v>3</v>
          </cell>
          <cell r="U961">
            <v>0</v>
          </cell>
          <cell r="V961">
            <v>0</v>
          </cell>
          <cell r="W961">
            <v>0</v>
          </cell>
          <cell r="X961">
            <v>0</v>
          </cell>
          <cell r="Y961">
            <v>0</v>
          </cell>
          <cell r="Z961">
            <v>0</v>
          </cell>
          <cell r="AA961">
            <v>12</v>
          </cell>
          <cell r="AB961">
            <v>0.1111111111111111</v>
          </cell>
          <cell r="AC961">
            <v>0.88888888888888884</v>
          </cell>
          <cell r="AD961">
            <v>36</v>
          </cell>
        </row>
        <row r="962">
          <cell r="A962">
            <v>41</v>
          </cell>
          <cell r="B962">
            <v>3</v>
          </cell>
          <cell r="C962">
            <v>3</v>
          </cell>
          <cell r="D962">
            <v>4103</v>
          </cell>
          <cell r="E962">
            <v>0</v>
          </cell>
          <cell r="F962">
            <v>17</v>
          </cell>
          <cell r="G962">
            <v>3</v>
          </cell>
          <cell r="H962">
            <v>1</v>
          </cell>
          <cell r="I962">
            <v>10</v>
          </cell>
          <cell r="J962">
            <v>2</v>
          </cell>
          <cell r="K962">
            <v>9</v>
          </cell>
          <cell r="L962">
            <v>3</v>
          </cell>
          <cell r="M962">
            <v>0</v>
          </cell>
          <cell r="N962">
            <v>1</v>
          </cell>
          <cell r="O962">
            <v>0</v>
          </cell>
          <cell r="P962">
            <v>1</v>
          </cell>
          <cell r="Q962">
            <v>0</v>
          </cell>
          <cell r="R962">
            <v>0</v>
          </cell>
          <cell r="S962">
            <v>0</v>
          </cell>
          <cell r="T962">
            <v>0</v>
          </cell>
          <cell r="U962">
            <v>3</v>
          </cell>
          <cell r="V962">
            <v>0</v>
          </cell>
          <cell r="W962">
            <v>0</v>
          </cell>
          <cell r="X962">
            <v>0</v>
          </cell>
          <cell r="Y962">
            <v>0</v>
          </cell>
          <cell r="Z962">
            <v>0</v>
          </cell>
          <cell r="AA962">
            <v>3</v>
          </cell>
          <cell r="AB962">
            <v>0</v>
          </cell>
          <cell r="AC962">
            <v>0.33333333333333331</v>
          </cell>
          <cell r="AD962">
            <v>12</v>
          </cell>
        </row>
        <row r="963">
          <cell r="A963">
            <v>35</v>
          </cell>
          <cell r="B963">
            <v>4</v>
          </cell>
          <cell r="C963">
            <v>3</v>
          </cell>
          <cell r="D963">
            <v>4249</v>
          </cell>
          <cell r="E963">
            <v>1</v>
          </cell>
          <cell r="F963">
            <v>11</v>
          </cell>
          <cell r="G963">
            <v>3</v>
          </cell>
          <cell r="H963">
            <v>0</v>
          </cell>
          <cell r="I963">
            <v>9</v>
          </cell>
          <cell r="J963">
            <v>3</v>
          </cell>
          <cell r="K963">
            <v>9</v>
          </cell>
          <cell r="L963">
            <v>6</v>
          </cell>
          <cell r="M963">
            <v>1</v>
          </cell>
          <cell r="N963">
            <v>0</v>
          </cell>
          <cell r="O963">
            <v>1</v>
          </cell>
          <cell r="P963">
            <v>0</v>
          </cell>
          <cell r="Q963">
            <v>0</v>
          </cell>
          <cell r="R963">
            <v>0</v>
          </cell>
          <cell r="S963">
            <v>0</v>
          </cell>
          <cell r="T963">
            <v>4</v>
          </cell>
          <cell r="U963">
            <v>0</v>
          </cell>
          <cell r="V963">
            <v>0</v>
          </cell>
          <cell r="W963">
            <v>0</v>
          </cell>
          <cell r="X963">
            <v>0</v>
          </cell>
          <cell r="Y963">
            <v>0</v>
          </cell>
          <cell r="Z963">
            <v>0</v>
          </cell>
          <cell r="AA963">
            <v>9</v>
          </cell>
          <cell r="AB963">
            <v>0.1111111111111111</v>
          </cell>
          <cell r="AC963">
            <v>0.66666666666666663</v>
          </cell>
          <cell r="AD963">
            <v>18</v>
          </cell>
        </row>
        <row r="964">
          <cell r="A964">
            <v>51</v>
          </cell>
          <cell r="B964">
            <v>3</v>
          </cell>
          <cell r="C964">
            <v>3</v>
          </cell>
          <cell r="D964">
            <v>14026</v>
          </cell>
          <cell r="E964">
            <v>1</v>
          </cell>
          <cell r="F964">
            <v>11</v>
          </cell>
          <cell r="G964">
            <v>3</v>
          </cell>
          <cell r="H964">
            <v>1</v>
          </cell>
          <cell r="I964">
            <v>33</v>
          </cell>
          <cell r="J964">
            <v>2</v>
          </cell>
          <cell r="K964">
            <v>33</v>
          </cell>
          <cell r="L964">
            <v>9</v>
          </cell>
          <cell r="M964">
            <v>1</v>
          </cell>
          <cell r="N964">
            <v>0</v>
          </cell>
          <cell r="O964">
            <v>1</v>
          </cell>
          <cell r="P964">
            <v>0</v>
          </cell>
          <cell r="Q964">
            <v>0</v>
          </cell>
          <cell r="R964">
            <v>0</v>
          </cell>
          <cell r="S964">
            <v>0</v>
          </cell>
          <cell r="T964">
            <v>3</v>
          </cell>
          <cell r="U964">
            <v>0</v>
          </cell>
          <cell r="V964">
            <v>0</v>
          </cell>
          <cell r="W964">
            <v>0</v>
          </cell>
          <cell r="X964">
            <v>0</v>
          </cell>
          <cell r="Y964">
            <v>0</v>
          </cell>
          <cell r="Z964">
            <v>0</v>
          </cell>
          <cell r="AA964">
            <v>6</v>
          </cell>
          <cell r="AB964">
            <v>3.0303030303030304E-2</v>
          </cell>
          <cell r="AC964">
            <v>0.27272727272727271</v>
          </cell>
          <cell r="AD964">
            <v>12</v>
          </cell>
        </row>
        <row r="965">
          <cell r="A965">
            <v>38</v>
          </cell>
          <cell r="B965">
            <v>2</v>
          </cell>
          <cell r="C965">
            <v>3</v>
          </cell>
          <cell r="D965">
            <v>6893</v>
          </cell>
          <cell r="E965">
            <v>3</v>
          </cell>
          <cell r="F965">
            <v>15</v>
          </cell>
          <cell r="G965">
            <v>3</v>
          </cell>
          <cell r="H965">
            <v>1</v>
          </cell>
          <cell r="I965">
            <v>11</v>
          </cell>
          <cell r="J965">
            <v>3</v>
          </cell>
          <cell r="K965">
            <v>7</v>
          </cell>
          <cell r="L965">
            <v>7</v>
          </cell>
          <cell r="M965">
            <v>0</v>
          </cell>
          <cell r="N965">
            <v>1</v>
          </cell>
          <cell r="O965">
            <v>1</v>
          </cell>
          <cell r="P965">
            <v>0</v>
          </cell>
          <cell r="Q965">
            <v>0</v>
          </cell>
          <cell r="R965">
            <v>0</v>
          </cell>
          <cell r="S965">
            <v>0</v>
          </cell>
          <cell r="T965">
            <v>2</v>
          </cell>
          <cell r="U965">
            <v>0</v>
          </cell>
          <cell r="V965">
            <v>0</v>
          </cell>
          <cell r="W965">
            <v>0</v>
          </cell>
          <cell r="X965">
            <v>0</v>
          </cell>
          <cell r="Y965">
            <v>0</v>
          </cell>
          <cell r="Z965">
            <v>0</v>
          </cell>
          <cell r="AA965">
            <v>2</v>
          </cell>
          <cell r="AB965">
            <v>0.27272727272727271</v>
          </cell>
          <cell r="AC965">
            <v>1</v>
          </cell>
          <cell r="AD965">
            <v>8</v>
          </cell>
        </row>
        <row r="966">
          <cell r="A966">
            <v>34</v>
          </cell>
          <cell r="B966">
            <v>2</v>
          </cell>
          <cell r="C966">
            <v>3</v>
          </cell>
          <cell r="D966">
            <v>6125</v>
          </cell>
          <cell r="E966">
            <v>1</v>
          </cell>
          <cell r="F966">
            <v>12</v>
          </cell>
          <cell r="G966">
            <v>3</v>
          </cell>
          <cell r="H966">
            <v>0</v>
          </cell>
          <cell r="I966">
            <v>10</v>
          </cell>
          <cell r="J966">
            <v>6</v>
          </cell>
          <cell r="K966">
            <v>10</v>
          </cell>
          <cell r="L966">
            <v>8</v>
          </cell>
          <cell r="M966">
            <v>0</v>
          </cell>
          <cell r="N966">
            <v>1</v>
          </cell>
          <cell r="O966">
            <v>0</v>
          </cell>
          <cell r="P966">
            <v>0</v>
          </cell>
          <cell r="Q966">
            <v>1</v>
          </cell>
          <cell r="R966">
            <v>0</v>
          </cell>
          <cell r="S966">
            <v>0</v>
          </cell>
          <cell r="T966">
            <v>0</v>
          </cell>
          <cell r="U966">
            <v>0</v>
          </cell>
          <cell r="V966">
            <v>2</v>
          </cell>
          <cell r="W966">
            <v>0</v>
          </cell>
          <cell r="X966">
            <v>0</v>
          </cell>
          <cell r="Y966">
            <v>0</v>
          </cell>
          <cell r="Z966">
            <v>0</v>
          </cell>
          <cell r="AA966">
            <v>3</v>
          </cell>
          <cell r="AB966">
            <v>0.1</v>
          </cell>
          <cell r="AC966">
            <v>0.8</v>
          </cell>
          <cell r="AD966">
            <v>12</v>
          </cell>
        </row>
        <row r="967">
          <cell r="A967">
            <v>25</v>
          </cell>
          <cell r="B967">
            <v>1</v>
          </cell>
          <cell r="C967">
            <v>3</v>
          </cell>
          <cell r="D967">
            <v>3669</v>
          </cell>
          <cell r="E967">
            <v>3</v>
          </cell>
          <cell r="F967">
            <v>11</v>
          </cell>
          <cell r="G967">
            <v>3</v>
          </cell>
          <cell r="H967">
            <v>3</v>
          </cell>
          <cell r="I967">
            <v>7</v>
          </cell>
          <cell r="J967">
            <v>6</v>
          </cell>
          <cell r="K967">
            <v>3</v>
          </cell>
          <cell r="L967">
            <v>2</v>
          </cell>
          <cell r="M967">
            <v>0</v>
          </cell>
          <cell r="N967">
            <v>0</v>
          </cell>
          <cell r="O967">
            <v>0</v>
          </cell>
          <cell r="P967">
            <v>0</v>
          </cell>
          <cell r="Q967">
            <v>1</v>
          </cell>
          <cell r="R967">
            <v>0</v>
          </cell>
          <cell r="S967">
            <v>0</v>
          </cell>
          <cell r="T967">
            <v>0</v>
          </cell>
          <cell r="U967">
            <v>0</v>
          </cell>
          <cell r="V967">
            <v>1</v>
          </cell>
          <cell r="W967">
            <v>0</v>
          </cell>
          <cell r="X967">
            <v>0</v>
          </cell>
          <cell r="Y967">
            <v>0</v>
          </cell>
          <cell r="Z967">
            <v>0</v>
          </cell>
          <cell r="AA967">
            <v>16</v>
          </cell>
          <cell r="AB967">
            <v>0.42857142857142855</v>
          </cell>
          <cell r="AC967">
            <v>0.66666666666666663</v>
          </cell>
          <cell r="AD967">
            <v>48</v>
          </cell>
        </row>
        <row r="968">
          <cell r="A968">
            <v>58</v>
          </cell>
          <cell r="B968">
            <v>4</v>
          </cell>
          <cell r="C968">
            <v>2</v>
          </cell>
          <cell r="D968">
            <v>10008</v>
          </cell>
          <cell r="E968">
            <v>7</v>
          </cell>
          <cell r="F968">
            <v>14</v>
          </cell>
          <cell r="G968">
            <v>3</v>
          </cell>
          <cell r="H968">
            <v>0</v>
          </cell>
          <cell r="I968">
            <v>31</v>
          </cell>
          <cell r="J968">
            <v>0</v>
          </cell>
          <cell r="K968">
            <v>10</v>
          </cell>
          <cell r="L968">
            <v>9</v>
          </cell>
          <cell r="M968">
            <v>1</v>
          </cell>
          <cell r="N968">
            <v>1</v>
          </cell>
          <cell r="O968">
            <v>0</v>
          </cell>
          <cell r="P968">
            <v>0</v>
          </cell>
          <cell r="Q968">
            <v>1</v>
          </cell>
          <cell r="R968">
            <v>0</v>
          </cell>
          <cell r="S968">
            <v>0</v>
          </cell>
          <cell r="T968">
            <v>0</v>
          </cell>
          <cell r="U968">
            <v>0</v>
          </cell>
          <cell r="V968">
            <v>4</v>
          </cell>
          <cell r="W968">
            <v>0</v>
          </cell>
          <cell r="X968">
            <v>0</v>
          </cell>
          <cell r="Y968">
            <v>0</v>
          </cell>
          <cell r="Z968">
            <v>1</v>
          </cell>
          <cell r="AA968">
            <v>3</v>
          </cell>
          <cell r="AB968">
            <v>0.22580645161290322</v>
          </cell>
          <cell r="AC968">
            <v>0.9</v>
          </cell>
          <cell r="AD968">
            <v>12</v>
          </cell>
        </row>
        <row r="969">
          <cell r="A969">
            <v>40</v>
          </cell>
          <cell r="B969">
            <v>4</v>
          </cell>
          <cell r="C969">
            <v>3</v>
          </cell>
          <cell r="D969">
            <v>2387</v>
          </cell>
          <cell r="E969">
            <v>3</v>
          </cell>
          <cell r="F969">
            <v>22</v>
          </cell>
          <cell r="G969">
            <v>4</v>
          </cell>
          <cell r="H969">
            <v>1</v>
          </cell>
          <cell r="I969">
            <v>7</v>
          </cell>
          <cell r="J969">
            <v>3</v>
          </cell>
          <cell r="K969">
            <v>4</v>
          </cell>
          <cell r="L969">
            <v>2</v>
          </cell>
          <cell r="M969">
            <v>0</v>
          </cell>
          <cell r="N969">
            <v>0</v>
          </cell>
          <cell r="O969">
            <v>1</v>
          </cell>
          <cell r="P969">
            <v>0</v>
          </cell>
          <cell r="Q969">
            <v>0</v>
          </cell>
          <cell r="R969">
            <v>0</v>
          </cell>
          <cell r="S969">
            <v>0</v>
          </cell>
          <cell r="T969">
            <v>4</v>
          </cell>
          <cell r="U969">
            <v>0</v>
          </cell>
          <cell r="V969">
            <v>0</v>
          </cell>
          <cell r="W969">
            <v>0</v>
          </cell>
          <cell r="X969">
            <v>0</v>
          </cell>
          <cell r="Y969">
            <v>0</v>
          </cell>
          <cell r="Z969">
            <v>0</v>
          </cell>
          <cell r="AA969">
            <v>4</v>
          </cell>
          <cell r="AB969">
            <v>0.42857142857142855</v>
          </cell>
          <cell r="AC969">
            <v>0.5</v>
          </cell>
          <cell r="AD969">
            <v>12</v>
          </cell>
        </row>
        <row r="970">
          <cell r="A970">
            <v>36</v>
          </cell>
          <cell r="B970">
            <v>3</v>
          </cell>
          <cell r="C970">
            <v>4</v>
          </cell>
          <cell r="D970">
            <v>4639</v>
          </cell>
          <cell r="E970">
            <v>2</v>
          </cell>
          <cell r="F970">
            <v>16</v>
          </cell>
          <cell r="G970">
            <v>3</v>
          </cell>
          <cell r="H970">
            <v>1</v>
          </cell>
          <cell r="I970">
            <v>17</v>
          </cell>
          <cell r="J970">
            <v>2</v>
          </cell>
          <cell r="K970">
            <v>15</v>
          </cell>
          <cell r="L970">
            <v>7</v>
          </cell>
          <cell r="M970">
            <v>0</v>
          </cell>
          <cell r="N970">
            <v>1</v>
          </cell>
          <cell r="O970">
            <v>0</v>
          </cell>
          <cell r="P970">
            <v>1</v>
          </cell>
          <cell r="Q970">
            <v>0</v>
          </cell>
          <cell r="R970">
            <v>0</v>
          </cell>
          <cell r="S970">
            <v>0</v>
          </cell>
          <cell r="T970">
            <v>0</v>
          </cell>
          <cell r="U970">
            <v>3</v>
          </cell>
          <cell r="V970">
            <v>0</v>
          </cell>
          <cell r="W970">
            <v>0</v>
          </cell>
          <cell r="X970">
            <v>0</v>
          </cell>
          <cell r="Y970">
            <v>1</v>
          </cell>
          <cell r="Z970">
            <v>0</v>
          </cell>
          <cell r="AA970">
            <v>1</v>
          </cell>
          <cell r="AB970">
            <v>0.11764705882352941</v>
          </cell>
          <cell r="AC970">
            <v>0.46666666666666667</v>
          </cell>
          <cell r="AD970">
            <v>4</v>
          </cell>
        </row>
        <row r="971">
          <cell r="A971">
            <v>48</v>
          </cell>
          <cell r="B971">
            <v>3</v>
          </cell>
          <cell r="C971">
            <v>3</v>
          </cell>
          <cell r="D971">
            <v>7898</v>
          </cell>
          <cell r="E971">
            <v>1</v>
          </cell>
          <cell r="F971">
            <v>11</v>
          </cell>
          <cell r="G971">
            <v>3</v>
          </cell>
          <cell r="H971">
            <v>0</v>
          </cell>
          <cell r="I971">
            <v>11</v>
          </cell>
          <cell r="J971">
            <v>2</v>
          </cell>
          <cell r="K971">
            <v>10</v>
          </cell>
          <cell r="L971">
            <v>9</v>
          </cell>
          <cell r="M971">
            <v>0</v>
          </cell>
          <cell r="N971">
            <v>0</v>
          </cell>
          <cell r="O971">
            <v>1</v>
          </cell>
          <cell r="P971">
            <v>0</v>
          </cell>
          <cell r="Q971">
            <v>0</v>
          </cell>
          <cell r="R971">
            <v>0</v>
          </cell>
          <cell r="S971">
            <v>0</v>
          </cell>
          <cell r="T971">
            <v>3</v>
          </cell>
          <cell r="U971">
            <v>0</v>
          </cell>
          <cell r="V971">
            <v>0</v>
          </cell>
          <cell r="W971">
            <v>0</v>
          </cell>
          <cell r="X971">
            <v>0</v>
          </cell>
          <cell r="Y971">
            <v>0</v>
          </cell>
          <cell r="Z971">
            <v>0</v>
          </cell>
          <cell r="AA971">
            <v>16</v>
          </cell>
          <cell r="AB971">
            <v>9.0909090909090912E-2</v>
          </cell>
          <cell r="AC971">
            <v>0.9</v>
          </cell>
          <cell r="AD971">
            <v>48</v>
          </cell>
        </row>
        <row r="972">
          <cell r="A972">
            <v>27</v>
          </cell>
          <cell r="B972">
            <v>3</v>
          </cell>
          <cell r="C972">
            <v>4</v>
          </cell>
          <cell r="D972">
            <v>2534</v>
          </cell>
          <cell r="E972">
            <v>8</v>
          </cell>
          <cell r="F972">
            <v>14</v>
          </cell>
          <cell r="G972">
            <v>3</v>
          </cell>
          <cell r="H972">
            <v>1</v>
          </cell>
          <cell r="I972">
            <v>5</v>
          </cell>
          <cell r="J972">
            <v>4</v>
          </cell>
          <cell r="K972">
            <v>1</v>
          </cell>
          <cell r="L972">
            <v>0</v>
          </cell>
          <cell r="M972">
            <v>0</v>
          </cell>
          <cell r="N972">
            <v>1</v>
          </cell>
          <cell r="O972">
            <v>0</v>
          </cell>
          <cell r="P972">
            <v>0</v>
          </cell>
          <cell r="Q972">
            <v>1</v>
          </cell>
          <cell r="R972">
            <v>0</v>
          </cell>
          <cell r="S972">
            <v>0</v>
          </cell>
          <cell r="T972">
            <v>0</v>
          </cell>
          <cell r="U972">
            <v>0</v>
          </cell>
          <cell r="V972">
            <v>3</v>
          </cell>
          <cell r="W972">
            <v>0</v>
          </cell>
          <cell r="X972">
            <v>0</v>
          </cell>
          <cell r="Y972">
            <v>0</v>
          </cell>
          <cell r="Z972">
            <v>0</v>
          </cell>
          <cell r="AA972">
            <v>12</v>
          </cell>
          <cell r="AB972">
            <v>1.6</v>
          </cell>
          <cell r="AC972">
            <v>0</v>
          </cell>
          <cell r="AD972">
            <v>24</v>
          </cell>
        </row>
        <row r="973">
          <cell r="A973">
            <v>51</v>
          </cell>
          <cell r="B973">
            <v>2</v>
          </cell>
          <cell r="C973">
            <v>2</v>
          </cell>
          <cell r="D973">
            <v>13142</v>
          </cell>
          <cell r="E973">
            <v>3</v>
          </cell>
          <cell r="F973">
            <v>16</v>
          </cell>
          <cell r="G973">
            <v>3</v>
          </cell>
          <cell r="H973">
            <v>0</v>
          </cell>
          <cell r="I973">
            <v>29</v>
          </cell>
          <cell r="J973">
            <v>1</v>
          </cell>
          <cell r="K973">
            <v>5</v>
          </cell>
          <cell r="L973">
            <v>2</v>
          </cell>
          <cell r="M973">
            <v>0</v>
          </cell>
          <cell r="N973">
            <v>1</v>
          </cell>
          <cell r="O973">
            <v>0</v>
          </cell>
          <cell r="P973">
            <v>0</v>
          </cell>
          <cell r="Q973">
            <v>0</v>
          </cell>
          <cell r="R973">
            <v>0</v>
          </cell>
          <cell r="S973">
            <v>1</v>
          </cell>
          <cell r="T973">
            <v>0</v>
          </cell>
          <cell r="U973">
            <v>0</v>
          </cell>
          <cell r="V973">
            <v>0</v>
          </cell>
          <cell r="W973">
            <v>0</v>
          </cell>
          <cell r="X973">
            <v>2</v>
          </cell>
          <cell r="Y973">
            <v>0</v>
          </cell>
          <cell r="Z973">
            <v>0</v>
          </cell>
          <cell r="AA973">
            <v>8</v>
          </cell>
          <cell r="AB973">
            <v>0.10344827586206896</v>
          </cell>
          <cell r="AC973">
            <v>0.4</v>
          </cell>
          <cell r="AD973">
            <v>16</v>
          </cell>
        </row>
        <row r="974">
          <cell r="A974">
            <v>18</v>
          </cell>
          <cell r="B974">
            <v>3</v>
          </cell>
          <cell r="C974">
            <v>3</v>
          </cell>
          <cell r="D974">
            <v>1611</v>
          </cell>
          <cell r="E974">
            <v>1</v>
          </cell>
          <cell r="F974">
            <v>15</v>
          </cell>
          <cell r="G974">
            <v>3</v>
          </cell>
          <cell r="H974">
            <v>0</v>
          </cell>
          <cell r="I974">
            <v>0</v>
          </cell>
          <cell r="J974">
            <v>5</v>
          </cell>
          <cell r="K974">
            <v>0</v>
          </cell>
          <cell r="L974">
            <v>0</v>
          </cell>
          <cell r="M974">
            <v>0</v>
          </cell>
          <cell r="N974">
            <v>1</v>
          </cell>
          <cell r="O974">
            <v>1</v>
          </cell>
          <cell r="P974">
            <v>0</v>
          </cell>
          <cell r="Q974">
            <v>0</v>
          </cell>
          <cell r="R974">
            <v>0</v>
          </cell>
          <cell r="S974">
            <v>0</v>
          </cell>
          <cell r="T974">
            <v>3</v>
          </cell>
          <cell r="U974">
            <v>0</v>
          </cell>
          <cell r="V974">
            <v>0</v>
          </cell>
          <cell r="W974">
            <v>0</v>
          </cell>
          <cell r="X974">
            <v>0</v>
          </cell>
          <cell r="Y974">
            <v>0</v>
          </cell>
          <cell r="Z974">
            <v>0</v>
          </cell>
          <cell r="AA974">
            <v>16</v>
          </cell>
          <cell r="AB974">
            <v>0</v>
          </cell>
          <cell r="AC974">
            <v>0</v>
          </cell>
          <cell r="AD974">
            <v>48</v>
          </cell>
        </row>
        <row r="975">
          <cell r="A975">
            <v>35</v>
          </cell>
          <cell r="B975">
            <v>3</v>
          </cell>
          <cell r="C975">
            <v>2</v>
          </cell>
          <cell r="D975">
            <v>5363</v>
          </cell>
          <cell r="E975">
            <v>0</v>
          </cell>
          <cell r="F975">
            <v>12</v>
          </cell>
          <cell r="G975">
            <v>3</v>
          </cell>
          <cell r="H975">
            <v>1</v>
          </cell>
          <cell r="I975">
            <v>10</v>
          </cell>
          <cell r="J975">
            <v>0</v>
          </cell>
          <cell r="K975">
            <v>9</v>
          </cell>
          <cell r="L975">
            <v>7</v>
          </cell>
          <cell r="M975">
            <v>0</v>
          </cell>
          <cell r="N975">
            <v>1</v>
          </cell>
          <cell r="O975">
            <v>0</v>
          </cell>
          <cell r="P975">
            <v>0</v>
          </cell>
          <cell r="Q975">
            <v>1</v>
          </cell>
          <cell r="R975">
            <v>0</v>
          </cell>
          <cell r="S975">
            <v>0</v>
          </cell>
          <cell r="T975">
            <v>0</v>
          </cell>
          <cell r="U975">
            <v>0</v>
          </cell>
          <cell r="V975">
            <v>3</v>
          </cell>
          <cell r="W975">
            <v>0</v>
          </cell>
          <cell r="X975">
            <v>0</v>
          </cell>
          <cell r="Y975">
            <v>0</v>
          </cell>
          <cell r="Z975">
            <v>0</v>
          </cell>
          <cell r="AA975">
            <v>16</v>
          </cell>
          <cell r="AB975">
            <v>0</v>
          </cell>
          <cell r="AC975">
            <v>0.77777777777777779</v>
          </cell>
          <cell r="AD975">
            <v>32</v>
          </cell>
        </row>
        <row r="976">
          <cell r="A976">
            <v>27</v>
          </cell>
          <cell r="B976">
            <v>1</v>
          </cell>
          <cell r="C976">
            <v>1</v>
          </cell>
          <cell r="D976">
            <v>5071</v>
          </cell>
          <cell r="E976">
            <v>3</v>
          </cell>
          <cell r="F976">
            <v>20</v>
          </cell>
          <cell r="G976">
            <v>4</v>
          </cell>
          <cell r="H976">
            <v>0</v>
          </cell>
          <cell r="I976">
            <v>8</v>
          </cell>
          <cell r="J976">
            <v>3</v>
          </cell>
          <cell r="K976">
            <v>6</v>
          </cell>
          <cell r="L976">
            <v>2</v>
          </cell>
          <cell r="M976">
            <v>0</v>
          </cell>
          <cell r="N976">
            <v>0</v>
          </cell>
          <cell r="O976">
            <v>1</v>
          </cell>
          <cell r="P976">
            <v>0</v>
          </cell>
          <cell r="Q976">
            <v>0</v>
          </cell>
          <cell r="R976">
            <v>0</v>
          </cell>
          <cell r="S976">
            <v>0</v>
          </cell>
          <cell r="T976">
            <v>1</v>
          </cell>
          <cell r="U976">
            <v>0</v>
          </cell>
          <cell r="V976">
            <v>0</v>
          </cell>
          <cell r="W976">
            <v>0</v>
          </cell>
          <cell r="X976">
            <v>0</v>
          </cell>
          <cell r="Y976">
            <v>0</v>
          </cell>
          <cell r="Z976">
            <v>0</v>
          </cell>
          <cell r="AA976">
            <v>16</v>
          </cell>
          <cell r="AB976">
            <v>0.375</v>
          </cell>
          <cell r="AC976">
            <v>0.33333333333333331</v>
          </cell>
          <cell r="AD976">
            <v>32</v>
          </cell>
        </row>
        <row r="977">
          <cell r="A977">
            <v>55</v>
          </cell>
          <cell r="B977">
            <v>4</v>
          </cell>
          <cell r="C977">
            <v>4</v>
          </cell>
          <cell r="D977">
            <v>13695</v>
          </cell>
          <cell r="E977">
            <v>6</v>
          </cell>
          <cell r="F977">
            <v>17</v>
          </cell>
          <cell r="G977">
            <v>3</v>
          </cell>
          <cell r="H977">
            <v>0</v>
          </cell>
          <cell r="I977">
            <v>24</v>
          </cell>
          <cell r="J977">
            <v>2</v>
          </cell>
          <cell r="K977">
            <v>19</v>
          </cell>
          <cell r="L977">
            <v>7</v>
          </cell>
          <cell r="M977">
            <v>1</v>
          </cell>
          <cell r="N977">
            <v>0</v>
          </cell>
          <cell r="O977">
            <v>0</v>
          </cell>
          <cell r="P977">
            <v>1</v>
          </cell>
          <cell r="Q977">
            <v>0</v>
          </cell>
          <cell r="R977">
            <v>0</v>
          </cell>
          <cell r="S977">
            <v>0</v>
          </cell>
          <cell r="T977">
            <v>0</v>
          </cell>
          <cell r="U977">
            <v>4</v>
          </cell>
          <cell r="V977">
            <v>0</v>
          </cell>
          <cell r="W977">
            <v>0</v>
          </cell>
          <cell r="X977">
            <v>0</v>
          </cell>
          <cell r="Y977">
            <v>0</v>
          </cell>
          <cell r="Z977">
            <v>0</v>
          </cell>
          <cell r="AA977">
            <v>3</v>
          </cell>
          <cell r="AB977">
            <v>0.25</v>
          </cell>
          <cell r="AC977">
            <v>0.36842105263157893</v>
          </cell>
          <cell r="AD977">
            <v>9</v>
          </cell>
        </row>
        <row r="978">
          <cell r="A978">
            <v>56</v>
          </cell>
          <cell r="B978">
            <v>3</v>
          </cell>
          <cell r="C978">
            <v>3</v>
          </cell>
          <cell r="D978">
            <v>13402</v>
          </cell>
          <cell r="E978">
            <v>4</v>
          </cell>
          <cell r="F978">
            <v>12</v>
          </cell>
          <cell r="G978">
            <v>3</v>
          </cell>
          <cell r="H978">
            <v>1</v>
          </cell>
          <cell r="I978">
            <v>33</v>
          </cell>
          <cell r="J978">
            <v>0</v>
          </cell>
          <cell r="K978">
            <v>19</v>
          </cell>
          <cell r="L978">
            <v>16</v>
          </cell>
          <cell r="M978">
            <v>1</v>
          </cell>
          <cell r="N978">
            <v>0</v>
          </cell>
          <cell r="O978">
            <v>1</v>
          </cell>
          <cell r="P978">
            <v>0</v>
          </cell>
          <cell r="Q978">
            <v>0</v>
          </cell>
          <cell r="R978">
            <v>0</v>
          </cell>
          <cell r="S978">
            <v>0</v>
          </cell>
          <cell r="T978">
            <v>3</v>
          </cell>
          <cell r="U978">
            <v>0</v>
          </cell>
          <cell r="V978">
            <v>0</v>
          </cell>
          <cell r="W978">
            <v>0</v>
          </cell>
          <cell r="X978">
            <v>0</v>
          </cell>
          <cell r="Y978">
            <v>0</v>
          </cell>
          <cell r="Z978">
            <v>1</v>
          </cell>
          <cell r="AA978">
            <v>8</v>
          </cell>
          <cell r="AB978">
            <v>0.12121212121212122</v>
          </cell>
          <cell r="AC978">
            <v>0.84210526315789469</v>
          </cell>
          <cell r="AD978">
            <v>8</v>
          </cell>
        </row>
        <row r="979">
          <cell r="A979">
            <v>34</v>
          </cell>
          <cell r="B979">
            <v>1</v>
          </cell>
          <cell r="C979">
            <v>2</v>
          </cell>
          <cell r="D979">
            <v>2029</v>
          </cell>
          <cell r="E979">
            <v>1</v>
          </cell>
          <cell r="F979">
            <v>20</v>
          </cell>
          <cell r="G979">
            <v>4</v>
          </cell>
          <cell r="H979">
            <v>3</v>
          </cell>
          <cell r="I979">
            <v>5</v>
          </cell>
          <cell r="J979">
            <v>2</v>
          </cell>
          <cell r="K979">
            <v>5</v>
          </cell>
          <cell r="L979">
            <v>4</v>
          </cell>
          <cell r="M979">
            <v>0</v>
          </cell>
          <cell r="N979">
            <v>1</v>
          </cell>
          <cell r="O979">
            <v>0</v>
          </cell>
          <cell r="P979">
            <v>0</v>
          </cell>
          <cell r="Q979">
            <v>0</v>
          </cell>
          <cell r="R979">
            <v>0</v>
          </cell>
          <cell r="S979">
            <v>1</v>
          </cell>
          <cell r="T979">
            <v>0</v>
          </cell>
          <cell r="U979">
            <v>0</v>
          </cell>
          <cell r="V979">
            <v>0</v>
          </cell>
          <cell r="W979">
            <v>0</v>
          </cell>
          <cell r="X979">
            <v>1</v>
          </cell>
          <cell r="Y979">
            <v>0</v>
          </cell>
          <cell r="Z979">
            <v>0</v>
          </cell>
          <cell r="AA979">
            <v>3</v>
          </cell>
          <cell r="AB979">
            <v>0.2</v>
          </cell>
          <cell r="AC979">
            <v>0.8</v>
          </cell>
          <cell r="AD979">
            <v>9</v>
          </cell>
        </row>
        <row r="980">
          <cell r="A980">
            <v>40</v>
          </cell>
          <cell r="B980">
            <v>1</v>
          </cell>
          <cell r="C980">
            <v>4</v>
          </cell>
          <cell r="D980">
            <v>6377</v>
          </cell>
          <cell r="E980">
            <v>5</v>
          </cell>
          <cell r="F980">
            <v>20</v>
          </cell>
          <cell r="G980">
            <v>4</v>
          </cell>
          <cell r="H980">
            <v>3</v>
          </cell>
          <cell r="I980">
            <v>15</v>
          </cell>
          <cell r="J980">
            <v>0</v>
          </cell>
          <cell r="K980">
            <v>12</v>
          </cell>
          <cell r="L980">
            <v>11</v>
          </cell>
          <cell r="M980">
            <v>0</v>
          </cell>
          <cell r="N980">
            <v>1</v>
          </cell>
          <cell r="O980">
            <v>0</v>
          </cell>
          <cell r="P980">
            <v>0</v>
          </cell>
          <cell r="Q980">
            <v>1</v>
          </cell>
          <cell r="R980">
            <v>0</v>
          </cell>
          <cell r="S980">
            <v>0</v>
          </cell>
          <cell r="T980">
            <v>0</v>
          </cell>
          <cell r="U980">
            <v>0</v>
          </cell>
          <cell r="V980">
            <v>1</v>
          </cell>
          <cell r="W980">
            <v>0</v>
          </cell>
          <cell r="X980">
            <v>0</v>
          </cell>
          <cell r="Y980">
            <v>0</v>
          </cell>
          <cell r="Z980">
            <v>0</v>
          </cell>
          <cell r="AA980">
            <v>6</v>
          </cell>
          <cell r="AB980">
            <v>0.33333333333333331</v>
          </cell>
          <cell r="AC980">
            <v>0.91666666666666663</v>
          </cell>
          <cell r="AD980">
            <v>12</v>
          </cell>
        </row>
        <row r="981">
          <cell r="A981">
            <v>34</v>
          </cell>
          <cell r="B981">
            <v>3</v>
          </cell>
          <cell r="C981">
            <v>3</v>
          </cell>
          <cell r="D981">
            <v>5429</v>
          </cell>
          <cell r="E981">
            <v>4</v>
          </cell>
          <cell r="F981">
            <v>13</v>
          </cell>
          <cell r="G981">
            <v>3</v>
          </cell>
          <cell r="H981">
            <v>2</v>
          </cell>
          <cell r="I981">
            <v>10</v>
          </cell>
          <cell r="J981">
            <v>1</v>
          </cell>
          <cell r="K981">
            <v>8</v>
          </cell>
          <cell r="L981">
            <v>7</v>
          </cell>
          <cell r="M981">
            <v>0</v>
          </cell>
          <cell r="N981">
            <v>0</v>
          </cell>
          <cell r="O981">
            <v>0</v>
          </cell>
          <cell r="P981">
            <v>0</v>
          </cell>
          <cell r="Q981">
            <v>1</v>
          </cell>
          <cell r="R981">
            <v>0</v>
          </cell>
          <cell r="S981">
            <v>0</v>
          </cell>
          <cell r="T981">
            <v>0</v>
          </cell>
          <cell r="U981">
            <v>0</v>
          </cell>
          <cell r="V981">
            <v>3</v>
          </cell>
          <cell r="W981">
            <v>0</v>
          </cell>
          <cell r="X981">
            <v>0</v>
          </cell>
          <cell r="Y981">
            <v>0</v>
          </cell>
          <cell r="Z981">
            <v>0</v>
          </cell>
          <cell r="AA981">
            <v>6</v>
          </cell>
          <cell r="AB981">
            <v>0.4</v>
          </cell>
          <cell r="AC981">
            <v>0.875</v>
          </cell>
          <cell r="AD981">
            <v>6</v>
          </cell>
        </row>
        <row r="982">
          <cell r="A982">
            <v>31</v>
          </cell>
          <cell r="B982">
            <v>3</v>
          </cell>
          <cell r="C982">
            <v>2</v>
          </cell>
          <cell r="D982">
            <v>2785</v>
          </cell>
          <cell r="E982">
            <v>7</v>
          </cell>
          <cell r="F982">
            <v>14</v>
          </cell>
          <cell r="G982">
            <v>3</v>
          </cell>
          <cell r="H982">
            <v>0</v>
          </cell>
          <cell r="I982">
            <v>3</v>
          </cell>
          <cell r="J982">
            <v>3</v>
          </cell>
          <cell r="K982">
            <v>1</v>
          </cell>
          <cell r="L982">
            <v>0</v>
          </cell>
          <cell r="M982">
            <v>0</v>
          </cell>
          <cell r="N982">
            <v>1</v>
          </cell>
          <cell r="O982">
            <v>1</v>
          </cell>
          <cell r="P982">
            <v>0</v>
          </cell>
          <cell r="Q982">
            <v>0</v>
          </cell>
          <cell r="R982">
            <v>0</v>
          </cell>
          <cell r="S982">
            <v>0</v>
          </cell>
          <cell r="T982">
            <v>3</v>
          </cell>
          <cell r="U982">
            <v>0</v>
          </cell>
          <cell r="V982">
            <v>0</v>
          </cell>
          <cell r="W982">
            <v>0</v>
          </cell>
          <cell r="X982">
            <v>0</v>
          </cell>
          <cell r="Y982">
            <v>0</v>
          </cell>
          <cell r="Z982">
            <v>0</v>
          </cell>
          <cell r="AA982">
            <v>12</v>
          </cell>
          <cell r="AB982">
            <v>2.3333333333333335</v>
          </cell>
          <cell r="AC982">
            <v>0</v>
          </cell>
          <cell r="AD982">
            <v>36</v>
          </cell>
        </row>
        <row r="983">
          <cell r="A983">
            <v>35</v>
          </cell>
          <cell r="B983">
            <v>4</v>
          </cell>
          <cell r="C983">
            <v>3</v>
          </cell>
          <cell r="D983">
            <v>4614</v>
          </cell>
          <cell r="E983">
            <v>0</v>
          </cell>
          <cell r="F983">
            <v>18</v>
          </cell>
          <cell r="G983">
            <v>3</v>
          </cell>
          <cell r="H983">
            <v>1</v>
          </cell>
          <cell r="I983">
            <v>5</v>
          </cell>
          <cell r="J983">
            <v>0</v>
          </cell>
          <cell r="K983">
            <v>4</v>
          </cell>
          <cell r="L983">
            <v>2</v>
          </cell>
          <cell r="M983">
            <v>1</v>
          </cell>
          <cell r="N983">
            <v>1</v>
          </cell>
          <cell r="O983">
            <v>0</v>
          </cell>
          <cell r="P983">
            <v>1</v>
          </cell>
          <cell r="Q983">
            <v>0</v>
          </cell>
          <cell r="R983">
            <v>0</v>
          </cell>
          <cell r="S983">
            <v>0</v>
          </cell>
          <cell r="T983">
            <v>0</v>
          </cell>
          <cell r="U983">
            <v>4</v>
          </cell>
          <cell r="V983">
            <v>0</v>
          </cell>
          <cell r="W983">
            <v>0</v>
          </cell>
          <cell r="X983">
            <v>0</v>
          </cell>
          <cell r="Y983">
            <v>1</v>
          </cell>
          <cell r="Z983">
            <v>1</v>
          </cell>
          <cell r="AA983">
            <v>12</v>
          </cell>
          <cell r="AB983">
            <v>0</v>
          </cell>
          <cell r="AC983">
            <v>0.5</v>
          </cell>
          <cell r="AD983">
            <v>36</v>
          </cell>
        </row>
        <row r="984">
          <cell r="A984">
            <v>38</v>
          </cell>
          <cell r="B984">
            <v>3</v>
          </cell>
          <cell r="C984">
            <v>4</v>
          </cell>
          <cell r="D984">
            <v>2610</v>
          </cell>
          <cell r="E984">
            <v>1</v>
          </cell>
          <cell r="F984">
            <v>11</v>
          </cell>
          <cell r="G984">
            <v>3</v>
          </cell>
          <cell r="H984">
            <v>3</v>
          </cell>
          <cell r="I984">
            <v>4</v>
          </cell>
          <cell r="J984">
            <v>2</v>
          </cell>
          <cell r="K984">
            <v>4</v>
          </cell>
          <cell r="L984">
            <v>2</v>
          </cell>
          <cell r="M984">
            <v>0</v>
          </cell>
          <cell r="N984">
            <v>0</v>
          </cell>
          <cell r="O984">
            <v>1</v>
          </cell>
          <cell r="P984">
            <v>0</v>
          </cell>
          <cell r="Q984">
            <v>0</v>
          </cell>
          <cell r="R984">
            <v>0</v>
          </cell>
          <cell r="S984">
            <v>0</v>
          </cell>
          <cell r="T984">
            <v>3</v>
          </cell>
          <cell r="U984">
            <v>0</v>
          </cell>
          <cell r="V984">
            <v>0</v>
          </cell>
          <cell r="W984">
            <v>0</v>
          </cell>
          <cell r="X984">
            <v>0</v>
          </cell>
          <cell r="Y984">
            <v>0</v>
          </cell>
          <cell r="Z984">
            <v>0</v>
          </cell>
          <cell r="AA984">
            <v>12</v>
          </cell>
          <cell r="AB984">
            <v>0.25</v>
          </cell>
          <cell r="AC984">
            <v>0.5</v>
          </cell>
          <cell r="AD984">
            <v>48</v>
          </cell>
        </row>
        <row r="985">
          <cell r="A985">
            <v>34</v>
          </cell>
          <cell r="B985">
            <v>4</v>
          </cell>
          <cell r="C985">
            <v>3</v>
          </cell>
          <cell r="D985">
            <v>6687</v>
          </cell>
          <cell r="E985">
            <v>1</v>
          </cell>
          <cell r="F985">
            <v>11</v>
          </cell>
          <cell r="G985">
            <v>3</v>
          </cell>
          <cell r="H985">
            <v>0</v>
          </cell>
          <cell r="I985">
            <v>14</v>
          </cell>
          <cell r="J985">
            <v>2</v>
          </cell>
          <cell r="K985">
            <v>14</v>
          </cell>
          <cell r="L985">
            <v>11</v>
          </cell>
          <cell r="M985">
            <v>0</v>
          </cell>
          <cell r="N985">
            <v>1</v>
          </cell>
          <cell r="O985">
            <v>0</v>
          </cell>
          <cell r="P985">
            <v>0</v>
          </cell>
          <cell r="Q985">
            <v>0</v>
          </cell>
          <cell r="R985">
            <v>0</v>
          </cell>
          <cell r="S985">
            <v>1</v>
          </cell>
          <cell r="T985">
            <v>0</v>
          </cell>
          <cell r="U985">
            <v>0</v>
          </cell>
          <cell r="V985">
            <v>0</v>
          </cell>
          <cell r="W985">
            <v>0</v>
          </cell>
          <cell r="X985">
            <v>4</v>
          </cell>
          <cell r="Y985">
            <v>0</v>
          </cell>
          <cell r="Z985">
            <v>0</v>
          </cell>
          <cell r="AA985">
            <v>12</v>
          </cell>
          <cell r="AB985">
            <v>7.1428571428571425E-2</v>
          </cell>
          <cell r="AC985">
            <v>0.7857142857142857</v>
          </cell>
          <cell r="AD985">
            <v>48</v>
          </cell>
        </row>
        <row r="986">
          <cell r="A986">
            <v>28</v>
          </cell>
          <cell r="B986">
            <v>3</v>
          </cell>
          <cell r="C986">
            <v>2</v>
          </cell>
          <cell r="D986">
            <v>4724</v>
          </cell>
          <cell r="E986">
            <v>1</v>
          </cell>
          <cell r="F986">
            <v>11</v>
          </cell>
          <cell r="G986">
            <v>3</v>
          </cell>
          <cell r="H986">
            <v>1</v>
          </cell>
          <cell r="I986">
            <v>5</v>
          </cell>
          <cell r="J986">
            <v>0</v>
          </cell>
          <cell r="K986">
            <v>5</v>
          </cell>
          <cell r="L986">
            <v>3</v>
          </cell>
          <cell r="M986">
            <v>0</v>
          </cell>
          <cell r="N986">
            <v>0</v>
          </cell>
          <cell r="O986">
            <v>1</v>
          </cell>
          <cell r="P986">
            <v>0</v>
          </cell>
          <cell r="Q986">
            <v>0</v>
          </cell>
          <cell r="R986">
            <v>0</v>
          </cell>
          <cell r="S986">
            <v>0</v>
          </cell>
          <cell r="T986">
            <v>3</v>
          </cell>
          <cell r="U986">
            <v>0</v>
          </cell>
          <cell r="V986">
            <v>0</v>
          </cell>
          <cell r="W986">
            <v>0</v>
          </cell>
          <cell r="X986">
            <v>0</v>
          </cell>
          <cell r="Y986">
            <v>0</v>
          </cell>
          <cell r="Z986">
            <v>0</v>
          </cell>
          <cell r="AA986">
            <v>3</v>
          </cell>
          <cell r="AB986">
            <v>0.2</v>
          </cell>
          <cell r="AC986">
            <v>0.6</v>
          </cell>
          <cell r="AD986">
            <v>9</v>
          </cell>
        </row>
        <row r="987">
          <cell r="A987">
            <v>31</v>
          </cell>
          <cell r="B987">
            <v>4</v>
          </cell>
          <cell r="C987">
            <v>3</v>
          </cell>
          <cell r="D987">
            <v>6179</v>
          </cell>
          <cell r="E987">
            <v>1</v>
          </cell>
          <cell r="F987">
            <v>15</v>
          </cell>
          <cell r="G987">
            <v>3</v>
          </cell>
          <cell r="H987">
            <v>2</v>
          </cell>
          <cell r="I987">
            <v>10</v>
          </cell>
          <cell r="J987">
            <v>3</v>
          </cell>
          <cell r="K987">
            <v>10</v>
          </cell>
          <cell r="L987">
            <v>2</v>
          </cell>
          <cell r="M987">
            <v>1</v>
          </cell>
          <cell r="N987">
            <v>0</v>
          </cell>
          <cell r="O987">
            <v>0</v>
          </cell>
          <cell r="P987">
            <v>0</v>
          </cell>
          <cell r="Q987">
            <v>1</v>
          </cell>
          <cell r="R987">
            <v>0</v>
          </cell>
          <cell r="S987">
            <v>0</v>
          </cell>
          <cell r="T987">
            <v>0</v>
          </cell>
          <cell r="U987">
            <v>0</v>
          </cell>
          <cell r="V987">
            <v>4</v>
          </cell>
          <cell r="W987">
            <v>0</v>
          </cell>
          <cell r="X987">
            <v>0</v>
          </cell>
          <cell r="Y987">
            <v>0</v>
          </cell>
          <cell r="Z987">
            <v>1</v>
          </cell>
          <cell r="AA987">
            <v>12</v>
          </cell>
          <cell r="AB987">
            <v>0.1</v>
          </cell>
          <cell r="AC987">
            <v>0.2</v>
          </cell>
          <cell r="AD987">
            <v>48</v>
          </cell>
        </row>
        <row r="988">
          <cell r="A988">
            <v>39</v>
          </cell>
          <cell r="B988">
            <v>4</v>
          </cell>
          <cell r="C988">
            <v>2</v>
          </cell>
          <cell r="D988">
            <v>6120</v>
          </cell>
          <cell r="E988">
            <v>3</v>
          </cell>
          <cell r="F988">
            <v>12</v>
          </cell>
          <cell r="G988">
            <v>3</v>
          </cell>
          <cell r="H988">
            <v>2</v>
          </cell>
          <cell r="I988">
            <v>8</v>
          </cell>
          <cell r="J988">
            <v>2</v>
          </cell>
          <cell r="K988">
            <v>5</v>
          </cell>
          <cell r="L988">
            <v>4</v>
          </cell>
          <cell r="M988">
            <v>1</v>
          </cell>
          <cell r="N988">
            <v>0</v>
          </cell>
          <cell r="O988">
            <v>1</v>
          </cell>
          <cell r="P988">
            <v>0</v>
          </cell>
          <cell r="Q988">
            <v>0</v>
          </cell>
          <cell r="R988">
            <v>0</v>
          </cell>
          <cell r="S988">
            <v>0</v>
          </cell>
          <cell r="T988">
            <v>4</v>
          </cell>
          <cell r="U988">
            <v>0</v>
          </cell>
          <cell r="V988">
            <v>0</v>
          </cell>
          <cell r="W988">
            <v>0</v>
          </cell>
          <cell r="X988">
            <v>0</v>
          </cell>
          <cell r="Y988">
            <v>0</v>
          </cell>
          <cell r="Z988">
            <v>1</v>
          </cell>
          <cell r="AA988">
            <v>4</v>
          </cell>
          <cell r="AB988">
            <v>0.375</v>
          </cell>
          <cell r="AC988">
            <v>0.8</v>
          </cell>
          <cell r="AD988">
            <v>16</v>
          </cell>
        </row>
        <row r="989">
          <cell r="A989">
            <v>51</v>
          </cell>
          <cell r="B989">
            <v>3</v>
          </cell>
          <cell r="C989">
            <v>3</v>
          </cell>
          <cell r="D989">
            <v>10596</v>
          </cell>
          <cell r="E989">
            <v>2</v>
          </cell>
          <cell r="F989">
            <v>11</v>
          </cell>
          <cell r="G989">
            <v>3</v>
          </cell>
          <cell r="H989">
            <v>0</v>
          </cell>
          <cell r="I989">
            <v>14</v>
          </cell>
          <cell r="J989">
            <v>5</v>
          </cell>
          <cell r="K989">
            <v>4</v>
          </cell>
          <cell r="L989">
            <v>2</v>
          </cell>
          <cell r="M989">
            <v>0</v>
          </cell>
          <cell r="N989">
            <v>0</v>
          </cell>
          <cell r="O989">
            <v>0</v>
          </cell>
          <cell r="P989">
            <v>1</v>
          </cell>
          <cell r="Q989">
            <v>0</v>
          </cell>
          <cell r="R989">
            <v>0</v>
          </cell>
          <cell r="S989">
            <v>0</v>
          </cell>
          <cell r="T989">
            <v>0</v>
          </cell>
          <cell r="U989">
            <v>3</v>
          </cell>
          <cell r="V989">
            <v>0</v>
          </cell>
          <cell r="W989">
            <v>0</v>
          </cell>
          <cell r="X989">
            <v>0</v>
          </cell>
          <cell r="Y989">
            <v>1</v>
          </cell>
          <cell r="Z989">
            <v>0</v>
          </cell>
          <cell r="AA989">
            <v>4</v>
          </cell>
          <cell r="AB989">
            <v>0.14285714285714285</v>
          </cell>
          <cell r="AC989">
            <v>0.5</v>
          </cell>
          <cell r="AD989">
            <v>8</v>
          </cell>
        </row>
        <row r="990">
          <cell r="A990">
            <v>41</v>
          </cell>
          <cell r="B990">
            <v>3</v>
          </cell>
          <cell r="C990">
            <v>3</v>
          </cell>
          <cell r="D990">
            <v>5467</v>
          </cell>
          <cell r="E990">
            <v>3</v>
          </cell>
          <cell r="F990">
            <v>14</v>
          </cell>
          <cell r="G990">
            <v>3</v>
          </cell>
          <cell r="H990">
            <v>2</v>
          </cell>
          <cell r="I990">
            <v>12</v>
          </cell>
          <cell r="J990">
            <v>4</v>
          </cell>
          <cell r="K990">
            <v>6</v>
          </cell>
          <cell r="L990">
            <v>2</v>
          </cell>
          <cell r="M990">
            <v>1</v>
          </cell>
          <cell r="N990">
            <v>1</v>
          </cell>
          <cell r="O990">
            <v>1</v>
          </cell>
          <cell r="P990">
            <v>0</v>
          </cell>
          <cell r="Q990">
            <v>0</v>
          </cell>
          <cell r="R990">
            <v>0</v>
          </cell>
          <cell r="S990">
            <v>0</v>
          </cell>
          <cell r="T990">
            <v>3</v>
          </cell>
          <cell r="U990">
            <v>0</v>
          </cell>
          <cell r="V990">
            <v>0</v>
          </cell>
          <cell r="W990">
            <v>0</v>
          </cell>
          <cell r="X990">
            <v>0</v>
          </cell>
          <cell r="Y990">
            <v>0</v>
          </cell>
          <cell r="Z990">
            <v>0</v>
          </cell>
          <cell r="AA990">
            <v>16</v>
          </cell>
          <cell r="AB990">
            <v>0.25</v>
          </cell>
          <cell r="AC990">
            <v>0.33333333333333331</v>
          </cell>
          <cell r="AD990">
            <v>16</v>
          </cell>
        </row>
        <row r="991">
          <cell r="A991">
            <v>37</v>
          </cell>
          <cell r="B991">
            <v>1</v>
          </cell>
          <cell r="C991">
            <v>3</v>
          </cell>
          <cell r="D991">
            <v>2996</v>
          </cell>
          <cell r="E991">
            <v>7</v>
          </cell>
          <cell r="F991">
            <v>15</v>
          </cell>
          <cell r="G991">
            <v>3</v>
          </cell>
          <cell r="H991">
            <v>0</v>
          </cell>
          <cell r="I991">
            <v>8</v>
          </cell>
          <cell r="J991">
            <v>2</v>
          </cell>
          <cell r="K991">
            <v>6</v>
          </cell>
          <cell r="L991">
            <v>4</v>
          </cell>
          <cell r="M991">
            <v>1</v>
          </cell>
          <cell r="N991">
            <v>0</v>
          </cell>
          <cell r="O991">
            <v>1</v>
          </cell>
          <cell r="P991">
            <v>0</v>
          </cell>
          <cell r="Q991">
            <v>0</v>
          </cell>
          <cell r="R991">
            <v>0</v>
          </cell>
          <cell r="S991">
            <v>0</v>
          </cell>
          <cell r="T991">
            <v>1</v>
          </cell>
          <cell r="U991">
            <v>0</v>
          </cell>
          <cell r="V991">
            <v>0</v>
          </cell>
          <cell r="W991">
            <v>0</v>
          </cell>
          <cell r="X991">
            <v>0</v>
          </cell>
          <cell r="Y991">
            <v>0</v>
          </cell>
          <cell r="Z991">
            <v>1</v>
          </cell>
          <cell r="AA991">
            <v>9</v>
          </cell>
          <cell r="AB991">
            <v>0.875</v>
          </cell>
          <cell r="AC991">
            <v>0.66666666666666663</v>
          </cell>
          <cell r="AD991">
            <v>36</v>
          </cell>
        </row>
        <row r="992">
          <cell r="A992">
            <v>33</v>
          </cell>
          <cell r="B992">
            <v>1</v>
          </cell>
          <cell r="C992">
            <v>3</v>
          </cell>
          <cell r="D992">
            <v>9998</v>
          </cell>
          <cell r="E992">
            <v>6</v>
          </cell>
          <cell r="F992">
            <v>13</v>
          </cell>
          <cell r="G992">
            <v>3</v>
          </cell>
          <cell r="H992">
            <v>0</v>
          </cell>
          <cell r="I992">
            <v>8</v>
          </cell>
          <cell r="J992">
            <v>2</v>
          </cell>
          <cell r="K992">
            <v>5</v>
          </cell>
          <cell r="L992">
            <v>4</v>
          </cell>
          <cell r="M992">
            <v>0</v>
          </cell>
          <cell r="N992">
            <v>0</v>
          </cell>
          <cell r="O992">
            <v>1</v>
          </cell>
          <cell r="P992">
            <v>0</v>
          </cell>
          <cell r="Q992">
            <v>0</v>
          </cell>
          <cell r="R992">
            <v>0</v>
          </cell>
          <cell r="S992">
            <v>0</v>
          </cell>
          <cell r="T992">
            <v>1</v>
          </cell>
          <cell r="U992">
            <v>0</v>
          </cell>
          <cell r="V992">
            <v>0</v>
          </cell>
          <cell r="W992">
            <v>0</v>
          </cell>
          <cell r="X992">
            <v>0</v>
          </cell>
          <cell r="Y992">
            <v>1</v>
          </cell>
          <cell r="Z992">
            <v>0</v>
          </cell>
          <cell r="AA992">
            <v>8</v>
          </cell>
          <cell r="AB992">
            <v>0.75</v>
          </cell>
          <cell r="AC992">
            <v>0.8</v>
          </cell>
          <cell r="AD992">
            <v>8</v>
          </cell>
        </row>
        <row r="993">
          <cell r="A993">
            <v>32</v>
          </cell>
          <cell r="B993">
            <v>1</v>
          </cell>
          <cell r="C993">
            <v>3</v>
          </cell>
          <cell r="D993">
            <v>4078</v>
          </cell>
          <cell r="E993">
            <v>0</v>
          </cell>
          <cell r="F993">
            <v>13</v>
          </cell>
          <cell r="G993">
            <v>3</v>
          </cell>
          <cell r="H993">
            <v>3</v>
          </cell>
          <cell r="I993">
            <v>4</v>
          </cell>
          <cell r="J993">
            <v>3</v>
          </cell>
          <cell r="K993">
            <v>3</v>
          </cell>
          <cell r="L993">
            <v>2</v>
          </cell>
          <cell r="M993">
            <v>1</v>
          </cell>
          <cell r="N993">
            <v>0</v>
          </cell>
          <cell r="O993">
            <v>0</v>
          </cell>
          <cell r="P993">
            <v>1</v>
          </cell>
          <cell r="Q993">
            <v>0</v>
          </cell>
          <cell r="R993">
            <v>0</v>
          </cell>
          <cell r="S993">
            <v>0</v>
          </cell>
          <cell r="T993">
            <v>0</v>
          </cell>
          <cell r="U993">
            <v>1</v>
          </cell>
          <cell r="V993">
            <v>0</v>
          </cell>
          <cell r="W993">
            <v>0</v>
          </cell>
          <cell r="X993">
            <v>0</v>
          </cell>
          <cell r="Y993">
            <v>0</v>
          </cell>
          <cell r="Z993">
            <v>1</v>
          </cell>
          <cell r="AA993">
            <v>6</v>
          </cell>
          <cell r="AB993">
            <v>0</v>
          </cell>
          <cell r="AC993">
            <v>0.66666666666666663</v>
          </cell>
          <cell r="AD993">
            <v>6</v>
          </cell>
        </row>
        <row r="994">
          <cell r="A994">
            <v>39</v>
          </cell>
          <cell r="B994">
            <v>2</v>
          </cell>
          <cell r="C994">
            <v>3</v>
          </cell>
          <cell r="D994">
            <v>10920</v>
          </cell>
          <cell r="E994">
            <v>3</v>
          </cell>
          <cell r="F994">
            <v>21</v>
          </cell>
          <cell r="G994">
            <v>4</v>
          </cell>
          <cell r="H994">
            <v>1</v>
          </cell>
          <cell r="I994">
            <v>13</v>
          </cell>
          <cell r="J994">
            <v>2</v>
          </cell>
          <cell r="K994">
            <v>6</v>
          </cell>
          <cell r="L994">
            <v>4</v>
          </cell>
          <cell r="M994">
            <v>0</v>
          </cell>
          <cell r="N994">
            <v>0</v>
          </cell>
          <cell r="O994">
            <v>1</v>
          </cell>
          <cell r="P994">
            <v>0</v>
          </cell>
          <cell r="Q994">
            <v>0</v>
          </cell>
          <cell r="R994">
            <v>0</v>
          </cell>
          <cell r="S994">
            <v>0</v>
          </cell>
          <cell r="T994">
            <v>2</v>
          </cell>
          <cell r="U994">
            <v>0</v>
          </cell>
          <cell r="V994">
            <v>0</v>
          </cell>
          <cell r="W994">
            <v>0</v>
          </cell>
          <cell r="X994">
            <v>0</v>
          </cell>
          <cell r="Y994">
            <v>0</v>
          </cell>
          <cell r="Z994">
            <v>0</v>
          </cell>
          <cell r="AA994">
            <v>9</v>
          </cell>
          <cell r="AB994">
            <v>0.23076923076923078</v>
          </cell>
          <cell r="AC994">
            <v>0.66666666666666663</v>
          </cell>
          <cell r="AD994">
            <v>18</v>
          </cell>
        </row>
        <row r="995">
          <cell r="A995">
            <v>25</v>
          </cell>
          <cell r="B995">
            <v>1</v>
          </cell>
          <cell r="C995">
            <v>4</v>
          </cell>
          <cell r="D995">
            <v>6232</v>
          </cell>
          <cell r="E995">
            <v>2</v>
          </cell>
          <cell r="F995">
            <v>11</v>
          </cell>
          <cell r="G995">
            <v>3</v>
          </cell>
          <cell r="H995">
            <v>0</v>
          </cell>
          <cell r="I995">
            <v>6</v>
          </cell>
          <cell r="J995">
            <v>3</v>
          </cell>
          <cell r="K995">
            <v>3</v>
          </cell>
          <cell r="L995">
            <v>2</v>
          </cell>
          <cell r="M995">
            <v>0</v>
          </cell>
          <cell r="N995">
            <v>0</v>
          </cell>
          <cell r="O995">
            <v>1</v>
          </cell>
          <cell r="P995">
            <v>0</v>
          </cell>
          <cell r="Q995">
            <v>0</v>
          </cell>
          <cell r="R995">
            <v>0</v>
          </cell>
          <cell r="S995">
            <v>0</v>
          </cell>
          <cell r="T995">
            <v>1</v>
          </cell>
          <cell r="U995">
            <v>0</v>
          </cell>
          <cell r="V995">
            <v>0</v>
          </cell>
          <cell r="W995">
            <v>0</v>
          </cell>
          <cell r="X995">
            <v>0</v>
          </cell>
          <cell r="Y995">
            <v>0</v>
          </cell>
          <cell r="Z995">
            <v>0</v>
          </cell>
          <cell r="AA995">
            <v>3</v>
          </cell>
          <cell r="AB995">
            <v>0.33333333333333331</v>
          </cell>
          <cell r="AC995">
            <v>0.66666666666666663</v>
          </cell>
          <cell r="AD995">
            <v>6</v>
          </cell>
        </row>
        <row r="996">
          <cell r="A996">
            <v>52</v>
          </cell>
          <cell r="B996">
            <v>2</v>
          </cell>
          <cell r="C996">
            <v>4</v>
          </cell>
          <cell r="D996">
            <v>13247</v>
          </cell>
          <cell r="E996">
            <v>2</v>
          </cell>
          <cell r="F996">
            <v>11</v>
          </cell>
          <cell r="G996">
            <v>3</v>
          </cell>
          <cell r="H996">
            <v>1</v>
          </cell>
          <cell r="I996">
            <v>24</v>
          </cell>
          <cell r="J996">
            <v>3</v>
          </cell>
          <cell r="K996">
            <v>5</v>
          </cell>
          <cell r="L996">
            <v>3</v>
          </cell>
          <cell r="M996">
            <v>1</v>
          </cell>
          <cell r="N996">
            <v>1</v>
          </cell>
          <cell r="O996">
            <v>0</v>
          </cell>
          <cell r="P996">
            <v>0</v>
          </cell>
          <cell r="Q996">
            <v>1</v>
          </cell>
          <cell r="R996">
            <v>0</v>
          </cell>
          <cell r="S996">
            <v>0</v>
          </cell>
          <cell r="T996">
            <v>0</v>
          </cell>
          <cell r="U996">
            <v>0</v>
          </cell>
          <cell r="V996">
            <v>2</v>
          </cell>
          <cell r="W996">
            <v>0</v>
          </cell>
          <cell r="X996">
            <v>0</v>
          </cell>
          <cell r="Y996">
            <v>1</v>
          </cell>
          <cell r="Z996">
            <v>1</v>
          </cell>
          <cell r="AA996">
            <v>12</v>
          </cell>
          <cell r="AB996">
            <v>8.3333333333333329E-2</v>
          </cell>
          <cell r="AC996">
            <v>0.6</v>
          </cell>
          <cell r="AD996">
            <v>24</v>
          </cell>
        </row>
        <row r="997">
          <cell r="A997">
            <v>43</v>
          </cell>
          <cell r="B997">
            <v>3</v>
          </cell>
          <cell r="C997">
            <v>2</v>
          </cell>
          <cell r="D997">
            <v>4081</v>
          </cell>
          <cell r="E997">
            <v>1</v>
          </cell>
          <cell r="F997">
            <v>14</v>
          </cell>
          <cell r="G997">
            <v>3</v>
          </cell>
          <cell r="H997">
            <v>0</v>
          </cell>
          <cell r="I997">
            <v>20</v>
          </cell>
          <cell r="J997">
            <v>3</v>
          </cell>
          <cell r="K997">
            <v>20</v>
          </cell>
          <cell r="L997">
            <v>7</v>
          </cell>
          <cell r="M997">
            <v>1</v>
          </cell>
          <cell r="N997">
            <v>1</v>
          </cell>
          <cell r="O997">
            <v>0</v>
          </cell>
          <cell r="P997">
            <v>0</v>
          </cell>
          <cell r="Q997">
            <v>1</v>
          </cell>
          <cell r="R997">
            <v>0</v>
          </cell>
          <cell r="S997">
            <v>0</v>
          </cell>
          <cell r="T997">
            <v>0</v>
          </cell>
          <cell r="U997">
            <v>0</v>
          </cell>
          <cell r="V997">
            <v>3</v>
          </cell>
          <cell r="W997">
            <v>0</v>
          </cell>
          <cell r="X997">
            <v>0</v>
          </cell>
          <cell r="Y997">
            <v>0</v>
          </cell>
          <cell r="Z997">
            <v>0</v>
          </cell>
          <cell r="AA997">
            <v>3</v>
          </cell>
          <cell r="AB997">
            <v>0.05</v>
          </cell>
          <cell r="AC997">
            <v>0.35</v>
          </cell>
          <cell r="AD997">
            <v>3</v>
          </cell>
        </row>
        <row r="998">
          <cell r="A998">
            <v>27</v>
          </cell>
          <cell r="B998">
            <v>3</v>
          </cell>
          <cell r="C998">
            <v>2</v>
          </cell>
          <cell r="D998">
            <v>5769</v>
          </cell>
          <cell r="E998">
            <v>1</v>
          </cell>
          <cell r="F998">
            <v>11</v>
          </cell>
          <cell r="G998">
            <v>3</v>
          </cell>
          <cell r="H998">
            <v>0</v>
          </cell>
          <cell r="I998">
            <v>6</v>
          </cell>
          <cell r="J998">
            <v>3</v>
          </cell>
          <cell r="K998">
            <v>6</v>
          </cell>
          <cell r="L998">
            <v>2</v>
          </cell>
          <cell r="M998">
            <v>1</v>
          </cell>
          <cell r="N998">
            <v>1</v>
          </cell>
          <cell r="O998">
            <v>0</v>
          </cell>
          <cell r="P998">
            <v>1</v>
          </cell>
          <cell r="Q998">
            <v>0</v>
          </cell>
          <cell r="R998">
            <v>0</v>
          </cell>
          <cell r="S998">
            <v>0</v>
          </cell>
          <cell r="T998">
            <v>0</v>
          </cell>
          <cell r="U998">
            <v>3</v>
          </cell>
          <cell r="V998">
            <v>0</v>
          </cell>
          <cell r="W998">
            <v>0</v>
          </cell>
          <cell r="X998">
            <v>0</v>
          </cell>
          <cell r="Y998">
            <v>0</v>
          </cell>
          <cell r="Z998">
            <v>1</v>
          </cell>
          <cell r="AA998">
            <v>16</v>
          </cell>
          <cell r="AB998">
            <v>0.16666666666666666</v>
          </cell>
          <cell r="AC998">
            <v>0.33333333333333331</v>
          </cell>
          <cell r="AD998">
            <v>64</v>
          </cell>
        </row>
        <row r="999">
          <cell r="A999">
            <v>27</v>
          </cell>
          <cell r="B999">
            <v>4</v>
          </cell>
          <cell r="C999">
            <v>3</v>
          </cell>
          <cell r="D999">
            <v>2394</v>
          </cell>
          <cell r="E999">
            <v>1</v>
          </cell>
          <cell r="F999">
            <v>13</v>
          </cell>
          <cell r="G999">
            <v>3</v>
          </cell>
          <cell r="H999">
            <v>0</v>
          </cell>
          <cell r="I999">
            <v>8</v>
          </cell>
          <cell r="J999">
            <v>2</v>
          </cell>
          <cell r="K999">
            <v>8</v>
          </cell>
          <cell r="L999">
            <v>2</v>
          </cell>
          <cell r="M999">
            <v>1</v>
          </cell>
          <cell r="N999">
            <v>1</v>
          </cell>
          <cell r="O999">
            <v>1</v>
          </cell>
          <cell r="P999">
            <v>0</v>
          </cell>
          <cell r="Q999">
            <v>0</v>
          </cell>
          <cell r="R999">
            <v>0</v>
          </cell>
          <cell r="S999">
            <v>0</v>
          </cell>
          <cell r="T999">
            <v>4</v>
          </cell>
          <cell r="U999">
            <v>0</v>
          </cell>
          <cell r="V999">
            <v>0</v>
          </cell>
          <cell r="W999">
            <v>0</v>
          </cell>
          <cell r="X999">
            <v>0</v>
          </cell>
          <cell r="Y999">
            <v>0</v>
          </cell>
          <cell r="Z999">
            <v>0</v>
          </cell>
          <cell r="AA999">
            <v>12</v>
          </cell>
          <cell r="AB999">
            <v>0.125</v>
          </cell>
          <cell r="AC999">
            <v>0.25</v>
          </cell>
          <cell r="AD999">
            <v>48</v>
          </cell>
        </row>
        <row r="1000">
          <cell r="A1000">
            <v>26</v>
          </cell>
          <cell r="B1000">
            <v>1</v>
          </cell>
          <cell r="C1000">
            <v>2</v>
          </cell>
          <cell r="D1000">
            <v>3904</v>
          </cell>
          <cell r="E1000">
            <v>0</v>
          </cell>
          <cell r="F1000">
            <v>12</v>
          </cell>
          <cell r="G1000">
            <v>3</v>
          </cell>
          <cell r="H1000">
            <v>0</v>
          </cell>
          <cell r="I1000">
            <v>5</v>
          </cell>
          <cell r="J1000">
            <v>2</v>
          </cell>
          <cell r="K1000">
            <v>4</v>
          </cell>
          <cell r="L1000">
            <v>3</v>
          </cell>
          <cell r="M1000">
            <v>0</v>
          </cell>
          <cell r="N1000">
            <v>0</v>
          </cell>
          <cell r="O1000">
            <v>0</v>
          </cell>
          <cell r="P1000">
            <v>0</v>
          </cell>
          <cell r="Q1000">
            <v>1</v>
          </cell>
          <cell r="R1000">
            <v>0</v>
          </cell>
          <cell r="S1000">
            <v>0</v>
          </cell>
          <cell r="T1000">
            <v>0</v>
          </cell>
          <cell r="U1000">
            <v>0</v>
          </cell>
          <cell r="V1000">
            <v>1</v>
          </cell>
          <cell r="W1000">
            <v>0</v>
          </cell>
          <cell r="X1000">
            <v>0</v>
          </cell>
          <cell r="Y1000">
            <v>0</v>
          </cell>
          <cell r="Z1000">
            <v>0</v>
          </cell>
          <cell r="AA1000">
            <v>4</v>
          </cell>
          <cell r="AB1000">
            <v>0</v>
          </cell>
          <cell r="AC1000">
            <v>0.75</v>
          </cell>
          <cell r="AD1000">
            <v>16</v>
          </cell>
        </row>
        <row r="1001">
          <cell r="A1001">
            <v>42</v>
          </cell>
          <cell r="B1001">
            <v>3</v>
          </cell>
          <cell r="C1001">
            <v>3</v>
          </cell>
          <cell r="D1001">
            <v>16799</v>
          </cell>
          <cell r="E1001">
            <v>0</v>
          </cell>
          <cell r="F1001">
            <v>14</v>
          </cell>
          <cell r="G1001">
            <v>3</v>
          </cell>
          <cell r="H1001">
            <v>1</v>
          </cell>
          <cell r="I1001">
            <v>21</v>
          </cell>
          <cell r="J1001">
            <v>5</v>
          </cell>
          <cell r="K1001">
            <v>20</v>
          </cell>
          <cell r="L1001">
            <v>7</v>
          </cell>
          <cell r="M1001">
            <v>0</v>
          </cell>
          <cell r="N1001">
            <v>1</v>
          </cell>
          <cell r="O1001">
            <v>0</v>
          </cell>
          <cell r="P1001">
            <v>0</v>
          </cell>
          <cell r="Q1001">
            <v>0</v>
          </cell>
          <cell r="R1001">
            <v>0</v>
          </cell>
          <cell r="S1001">
            <v>0</v>
          </cell>
          <cell r="T1001">
            <v>0</v>
          </cell>
          <cell r="U1001">
            <v>0</v>
          </cell>
          <cell r="V1001">
            <v>0</v>
          </cell>
          <cell r="W1001">
            <v>0</v>
          </cell>
          <cell r="X1001">
            <v>0</v>
          </cell>
          <cell r="Y1001">
            <v>0</v>
          </cell>
          <cell r="Z1001">
            <v>0</v>
          </cell>
          <cell r="AA1001">
            <v>3</v>
          </cell>
          <cell r="AB1001">
            <v>0</v>
          </cell>
          <cell r="AC1001">
            <v>0.35</v>
          </cell>
          <cell r="AD1001">
            <v>9</v>
          </cell>
        </row>
        <row r="1002">
          <cell r="A1002">
            <v>52</v>
          </cell>
          <cell r="B1002">
            <v>4</v>
          </cell>
          <cell r="C1002">
            <v>3</v>
          </cell>
          <cell r="D1002">
            <v>2950</v>
          </cell>
          <cell r="E1002">
            <v>9</v>
          </cell>
          <cell r="F1002">
            <v>13</v>
          </cell>
          <cell r="G1002">
            <v>3</v>
          </cell>
          <cell r="H1002">
            <v>0</v>
          </cell>
          <cell r="I1002">
            <v>12</v>
          </cell>
          <cell r="J1002">
            <v>2</v>
          </cell>
          <cell r="K1002">
            <v>5</v>
          </cell>
          <cell r="L1002">
            <v>4</v>
          </cell>
          <cell r="M1002">
            <v>0</v>
          </cell>
          <cell r="N1002">
            <v>1</v>
          </cell>
          <cell r="O1002">
            <v>0</v>
          </cell>
          <cell r="P1002">
            <v>0</v>
          </cell>
          <cell r="Q1002">
            <v>0</v>
          </cell>
          <cell r="R1002">
            <v>1</v>
          </cell>
          <cell r="S1002">
            <v>0</v>
          </cell>
          <cell r="T1002">
            <v>0</v>
          </cell>
          <cell r="U1002">
            <v>0</v>
          </cell>
          <cell r="V1002">
            <v>0</v>
          </cell>
          <cell r="W1002">
            <v>4</v>
          </cell>
          <cell r="X1002">
            <v>0</v>
          </cell>
          <cell r="Y1002">
            <v>0</v>
          </cell>
          <cell r="Z1002">
            <v>0</v>
          </cell>
          <cell r="AA1002">
            <v>3</v>
          </cell>
          <cell r="AB1002">
            <v>0.75</v>
          </cell>
          <cell r="AC1002">
            <v>0.8</v>
          </cell>
          <cell r="AD1002">
            <v>9</v>
          </cell>
        </row>
        <row r="1003">
          <cell r="A1003">
            <v>37</v>
          </cell>
          <cell r="B1003">
            <v>3</v>
          </cell>
          <cell r="C1003">
            <v>3</v>
          </cell>
          <cell r="D1003">
            <v>3629</v>
          </cell>
          <cell r="E1003">
            <v>4</v>
          </cell>
          <cell r="F1003">
            <v>18</v>
          </cell>
          <cell r="G1003">
            <v>3</v>
          </cell>
          <cell r="H1003">
            <v>0</v>
          </cell>
          <cell r="I1003">
            <v>8</v>
          </cell>
          <cell r="J1003">
            <v>6</v>
          </cell>
          <cell r="K1003">
            <v>3</v>
          </cell>
          <cell r="L1003">
            <v>2</v>
          </cell>
          <cell r="M1003">
            <v>0</v>
          </cell>
          <cell r="N1003">
            <v>1</v>
          </cell>
          <cell r="O1003">
            <v>0</v>
          </cell>
          <cell r="P1003">
            <v>0</v>
          </cell>
          <cell r="Q1003">
            <v>1</v>
          </cell>
          <cell r="R1003">
            <v>0</v>
          </cell>
          <cell r="S1003">
            <v>0</v>
          </cell>
          <cell r="T1003">
            <v>0</v>
          </cell>
          <cell r="U1003">
            <v>0</v>
          </cell>
          <cell r="V1003">
            <v>3</v>
          </cell>
          <cell r="W1003">
            <v>0</v>
          </cell>
          <cell r="X1003">
            <v>0</v>
          </cell>
          <cell r="Y1003">
            <v>0</v>
          </cell>
          <cell r="Z1003">
            <v>0</v>
          </cell>
          <cell r="AA1003">
            <v>3</v>
          </cell>
          <cell r="AB1003">
            <v>0.5</v>
          </cell>
          <cell r="AC1003">
            <v>0.66666666666666663</v>
          </cell>
          <cell r="AD1003">
            <v>3</v>
          </cell>
        </row>
        <row r="1004">
          <cell r="A1004">
            <v>35</v>
          </cell>
          <cell r="B1004">
            <v>2</v>
          </cell>
          <cell r="C1004">
            <v>3</v>
          </cell>
          <cell r="D1004">
            <v>9362</v>
          </cell>
          <cell r="E1004">
            <v>2</v>
          </cell>
          <cell r="F1004">
            <v>11</v>
          </cell>
          <cell r="G1004">
            <v>3</v>
          </cell>
          <cell r="H1004">
            <v>0</v>
          </cell>
          <cell r="I1004">
            <v>10</v>
          </cell>
          <cell r="J1004">
            <v>2</v>
          </cell>
          <cell r="K1004">
            <v>2</v>
          </cell>
          <cell r="L1004">
            <v>2</v>
          </cell>
          <cell r="M1004">
            <v>0</v>
          </cell>
          <cell r="N1004">
            <v>0</v>
          </cell>
          <cell r="O1004">
            <v>1</v>
          </cell>
          <cell r="P1004">
            <v>0</v>
          </cell>
          <cell r="Q1004">
            <v>0</v>
          </cell>
          <cell r="R1004">
            <v>0</v>
          </cell>
          <cell r="S1004">
            <v>0</v>
          </cell>
          <cell r="T1004">
            <v>2</v>
          </cell>
          <cell r="U1004">
            <v>0</v>
          </cell>
          <cell r="V1004">
            <v>0</v>
          </cell>
          <cell r="W1004">
            <v>0</v>
          </cell>
          <cell r="X1004">
            <v>0</v>
          </cell>
          <cell r="Y1004">
            <v>0</v>
          </cell>
          <cell r="Z1004">
            <v>0</v>
          </cell>
          <cell r="AA1004">
            <v>12</v>
          </cell>
          <cell r="AB1004">
            <v>0.2</v>
          </cell>
          <cell r="AC1004">
            <v>1</v>
          </cell>
          <cell r="AD1004">
            <v>36</v>
          </cell>
        </row>
        <row r="1005">
          <cell r="A1005">
            <v>25</v>
          </cell>
          <cell r="B1005">
            <v>3</v>
          </cell>
          <cell r="C1005">
            <v>3</v>
          </cell>
          <cell r="D1005">
            <v>3229</v>
          </cell>
          <cell r="E1005">
            <v>4</v>
          </cell>
          <cell r="F1005">
            <v>11</v>
          </cell>
          <cell r="G1005">
            <v>3</v>
          </cell>
          <cell r="H1005">
            <v>1</v>
          </cell>
          <cell r="I1005">
            <v>7</v>
          </cell>
          <cell r="J1005">
            <v>2</v>
          </cell>
          <cell r="K1005">
            <v>3</v>
          </cell>
          <cell r="L1005">
            <v>2</v>
          </cell>
          <cell r="M1005">
            <v>0</v>
          </cell>
          <cell r="N1005">
            <v>0</v>
          </cell>
          <cell r="O1005">
            <v>0</v>
          </cell>
          <cell r="P1005">
            <v>0</v>
          </cell>
          <cell r="Q1005">
            <v>0</v>
          </cell>
          <cell r="R1005">
            <v>0</v>
          </cell>
          <cell r="S1005">
            <v>1</v>
          </cell>
          <cell r="T1005">
            <v>0</v>
          </cell>
          <cell r="U1005">
            <v>0</v>
          </cell>
          <cell r="V1005">
            <v>0</v>
          </cell>
          <cell r="W1005">
            <v>0</v>
          </cell>
          <cell r="X1005">
            <v>3</v>
          </cell>
          <cell r="Y1005">
            <v>0</v>
          </cell>
          <cell r="Z1005">
            <v>0</v>
          </cell>
          <cell r="AA1005">
            <v>4</v>
          </cell>
          <cell r="AB1005">
            <v>0.5714285714285714</v>
          </cell>
          <cell r="AC1005">
            <v>0.66666666666666663</v>
          </cell>
          <cell r="AD1005">
            <v>8</v>
          </cell>
        </row>
        <row r="1006">
          <cell r="A1006">
            <v>26</v>
          </cell>
          <cell r="B1006">
            <v>3</v>
          </cell>
          <cell r="C1006">
            <v>4</v>
          </cell>
          <cell r="D1006">
            <v>3578</v>
          </cell>
          <cell r="E1006">
            <v>0</v>
          </cell>
          <cell r="F1006">
            <v>12</v>
          </cell>
          <cell r="G1006">
            <v>3</v>
          </cell>
          <cell r="H1006">
            <v>0</v>
          </cell>
          <cell r="I1006">
            <v>8</v>
          </cell>
          <cell r="J1006">
            <v>2</v>
          </cell>
          <cell r="K1006">
            <v>7</v>
          </cell>
          <cell r="L1006">
            <v>7</v>
          </cell>
          <cell r="M1006">
            <v>0</v>
          </cell>
          <cell r="N1006">
            <v>0</v>
          </cell>
          <cell r="O1006">
            <v>0</v>
          </cell>
          <cell r="P1006">
            <v>0</v>
          </cell>
          <cell r="Q1006">
            <v>0</v>
          </cell>
          <cell r="R1006">
            <v>1</v>
          </cell>
          <cell r="S1006">
            <v>0</v>
          </cell>
          <cell r="T1006">
            <v>0</v>
          </cell>
          <cell r="U1006">
            <v>0</v>
          </cell>
          <cell r="V1006">
            <v>0</v>
          </cell>
          <cell r="W1006">
            <v>3</v>
          </cell>
          <cell r="X1006">
            <v>0</v>
          </cell>
          <cell r="Y1006">
            <v>0</v>
          </cell>
          <cell r="Z1006">
            <v>0</v>
          </cell>
          <cell r="AA1006">
            <v>3</v>
          </cell>
          <cell r="AB1006">
            <v>0</v>
          </cell>
          <cell r="AC1006">
            <v>1</v>
          </cell>
          <cell r="AD1006">
            <v>12</v>
          </cell>
        </row>
        <row r="1007">
          <cell r="A1007">
            <v>29</v>
          </cell>
          <cell r="B1007">
            <v>3</v>
          </cell>
          <cell r="C1007">
            <v>2</v>
          </cell>
          <cell r="D1007">
            <v>7988</v>
          </cell>
          <cell r="E1007">
            <v>1</v>
          </cell>
          <cell r="F1007">
            <v>13</v>
          </cell>
          <cell r="G1007">
            <v>3</v>
          </cell>
          <cell r="H1007">
            <v>0</v>
          </cell>
          <cell r="I1007">
            <v>10</v>
          </cell>
          <cell r="J1007">
            <v>3</v>
          </cell>
          <cell r="K1007">
            <v>10</v>
          </cell>
          <cell r="L1007">
            <v>9</v>
          </cell>
          <cell r="M1007">
            <v>0</v>
          </cell>
          <cell r="N1007">
            <v>0</v>
          </cell>
          <cell r="O1007">
            <v>0</v>
          </cell>
          <cell r="P1007">
            <v>0</v>
          </cell>
          <cell r="Q1007">
            <v>0</v>
          </cell>
          <cell r="R1007">
            <v>1</v>
          </cell>
          <cell r="S1007">
            <v>0</v>
          </cell>
          <cell r="T1007">
            <v>0</v>
          </cell>
          <cell r="U1007">
            <v>0</v>
          </cell>
          <cell r="V1007">
            <v>0</v>
          </cell>
          <cell r="W1007">
            <v>3</v>
          </cell>
          <cell r="X1007">
            <v>0</v>
          </cell>
          <cell r="Y1007">
            <v>0</v>
          </cell>
          <cell r="Z1007">
            <v>0</v>
          </cell>
          <cell r="AA1007">
            <v>2</v>
          </cell>
          <cell r="AB1007">
            <v>0.1</v>
          </cell>
          <cell r="AC1007">
            <v>0.9</v>
          </cell>
          <cell r="AD1007">
            <v>2</v>
          </cell>
        </row>
        <row r="1008">
          <cell r="A1008">
            <v>49</v>
          </cell>
          <cell r="B1008">
            <v>2</v>
          </cell>
          <cell r="C1008">
            <v>2</v>
          </cell>
          <cell r="D1008">
            <v>4284</v>
          </cell>
          <cell r="E1008">
            <v>3</v>
          </cell>
          <cell r="F1008">
            <v>20</v>
          </cell>
          <cell r="G1008">
            <v>4</v>
          </cell>
          <cell r="H1008">
            <v>0</v>
          </cell>
          <cell r="I1008">
            <v>20</v>
          </cell>
          <cell r="J1008">
            <v>2</v>
          </cell>
          <cell r="K1008">
            <v>4</v>
          </cell>
          <cell r="L1008">
            <v>3</v>
          </cell>
          <cell r="M1008">
            <v>0</v>
          </cell>
          <cell r="N1008">
            <v>0</v>
          </cell>
          <cell r="O1008">
            <v>1</v>
          </cell>
          <cell r="P1008">
            <v>0</v>
          </cell>
          <cell r="Q1008">
            <v>0</v>
          </cell>
          <cell r="R1008">
            <v>0</v>
          </cell>
          <cell r="S1008">
            <v>0</v>
          </cell>
          <cell r="T1008">
            <v>2</v>
          </cell>
          <cell r="U1008">
            <v>0</v>
          </cell>
          <cell r="V1008">
            <v>0</v>
          </cell>
          <cell r="W1008">
            <v>0</v>
          </cell>
          <cell r="X1008">
            <v>0</v>
          </cell>
          <cell r="Y1008">
            <v>0</v>
          </cell>
          <cell r="Z1008">
            <v>0</v>
          </cell>
          <cell r="AA1008">
            <v>1</v>
          </cell>
          <cell r="AB1008">
            <v>0.15</v>
          </cell>
          <cell r="AC1008">
            <v>0.75</v>
          </cell>
          <cell r="AD1008">
            <v>1</v>
          </cell>
        </row>
        <row r="1009">
          <cell r="A1009">
            <v>29</v>
          </cell>
          <cell r="B1009">
            <v>1</v>
          </cell>
          <cell r="C1009">
            <v>3</v>
          </cell>
          <cell r="D1009">
            <v>7553</v>
          </cell>
          <cell r="E1009">
            <v>0</v>
          </cell>
          <cell r="F1009">
            <v>12</v>
          </cell>
          <cell r="G1009">
            <v>3</v>
          </cell>
          <cell r="H1009">
            <v>0</v>
          </cell>
          <cell r="I1009">
            <v>9</v>
          </cell>
          <cell r="J1009">
            <v>1</v>
          </cell>
          <cell r="K1009">
            <v>8</v>
          </cell>
          <cell r="L1009">
            <v>7</v>
          </cell>
          <cell r="M1009">
            <v>1</v>
          </cell>
          <cell r="N1009">
            <v>1</v>
          </cell>
          <cell r="O1009">
            <v>0</v>
          </cell>
          <cell r="P1009">
            <v>0</v>
          </cell>
          <cell r="Q1009">
            <v>0</v>
          </cell>
          <cell r="R1009">
            <v>1</v>
          </cell>
          <cell r="S1009">
            <v>0</v>
          </cell>
          <cell r="T1009">
            <v>0</v>
          </cell>
          <cell r="U1009">
            <v>0</v>
          </cell>
          <cell r="V1009">
            <v>0</v>
          </cell>
          <cell r="W1009">
            <v>1</v>
          </cell>
          <cell r="X1009">
            <v>0</v>
          </cell>
          <cell r="Y1009">
            <v>0</v>
          </cell>
          <cell r="Z1009">
            <v>0</v>
          </cell>
          <cell r="AA1009">
            <v>12</v>
          </cell>
          <cell r="AB1009">
            <v>0</v>
          </cell>
          <cell r="AC1009">
            <v>0.875</v>
          </cell>
          <cell r="AD1009">
            <v>12</v>
          </cell>
        </row>
        <row r="1010">
          <cell r="A1010">
            <v>54</v>
          </cell>
          <cell r="B1010">
            <v>3</v>
          </cell>
          <cell r="C1010">
            <v>3</v>
          </cell>
          <cell r="D1010">
            <v>17328</v>
          </cell>
          <cell r="E1010">
            <v>6</v>
          </cell>
          <cell r="F1010">
            <v>19</v>
          </cell>
          <cell r="G1010">
            <v>3</v>
          </cell>
          <cell r="H1010">
            <v>0</v>
          </cell>
          <cell r="I1010">
            <v>29</v>
          </cell>
          <cell r="J1010">
            <v>3</v>
          </cell>
          <cell r="K1010">
            <v>20</v>
          </cell>
          <cell r="L1010">
            <v>7</v>
          </cell>
          <cell r="M1010">
            <v>0</v>
          </cell>
          <cell r="N1010">
            <v>1</v>
          </cell>
          <cell r="O1010">
            <v>0</v>
          </cell>
          <cell r="P1010">
            <v>0</v>
          </cell>
          <cell r="Q1010">
            <v>1</v>
          </cell>
          <cell r="R1010">
            <v>0</v>
          </cell>
          <cell r="S1010">
            <v>0</v>
          </cell>
          <cell r="T1010">
            <v>0</v>
          </cell>
          <cell r="U1010">
            <v>0</v>
          </cell>
          <cell r="V1010">
            <v>3</v>
          </cell>
          <cell r="W1010">
            <v>0</v>
          </cell>
          <cell r="X1010">
            <v>0</v>
          </cell>
          <cell r="Y1010">
            <v>0</v>
          </cell>
          <cell r="Z1010">
            <v>0</v>
          </cell>
          <cell r="AA1010">
            <v>16</v>
          </cell>
          <cell r="AB1010">
            <v>0.20689655172413793</v>
          </cell>
          <cell r="AC1010">
            <v>0.35</v>
          </cell>
          <cell r="AD1010">
            <v>64</v>
          </cell>
        </row>
        <row r="1011">
          <cell r="A1011">
            <v>58</v>
          </cell>
          <cell r="B1011">
            <v>3</v>
          </cell>
          <cell r="C1011">
            <v>3</v>
          </cell>
          <cell r="D1011">
            <v>19701</v>
          </cell>
          <cell r="E1011">
            <v>3</v>
          </cell>
          <cell r="F1011">
            <v>21</v>
          </cell>
          <cell r="G1011">
            <v>4</v>
          </cell>
          <cell r="H1011">
            <v>1</v>
          </cell>
          <cell r="I1011">
            <v>32</v>
          </cell>
          <cell r="J1011">
            <v>3</v>
          </cell>
          <cell r="K1011">
            <v>9</v>
          </cell>
          <cell r="L1011">
            <v>8</v>
          </cell>
          <cell r="M1011">
            <v>1</v>
          </cell>
          <cell r="N1011">
            <v>1</v>
          </cell>
          <cell r="O1011">
            <v>0</v>
          </cell>
          <cell r="P1011">
            <v>0</v>
          </cell>
          <cell r="Q1011">
            <v>1</v>
          </cell>
          <cell r="R1011">
            <v>0</v>
          </cell>
          <cell r="S1011">
            <v>0</v>
          </cell>
          <cell r="T1011">
            <v>0</v>
          </cell>
          <cell r="U1011">
            <v>0</v>
          </cell>
          <cell r="V1011">
            <v>3</v>
          </cell>
          <cell r="W1011">
            <v>0</v>
          </cell>
          <cell r="X1011">
            <v>0</v>
          </cell>
          <cell r="Y1011">
            <v>0</v>
          </cell>
          <cell r="Z1011">
            <v>1</v>
          </cell>
          <cell r="AA1011">
            <v>4</v>
          </cell>
          <cell r="AB1011">
            <v>9.375E-2</v>
          </cell>
          <cell r="AC1011">
            <v>0.88888888888888884</v>
          </cell>
          <cell r="AD1011">
            <v>12</v>
          </cell>
        </row>
        <row r="1012">
          <cell r="A1012">
            <v>55</v>
          </cell>
          <cell r="B1012">
            <v>4</v>
          </cell>
          <cell r="C1012">
            <v>4</v>
          </cell>
          <cell r="D1012">
            <v>14732</v>
          </cell>
          <cell r="E1012">
            <v>2</v>
          </cell>
          <cell r="F1012">
            <v>13</v>
          </cell>
          <cell r="G1012">
            <v>3</v>
          </cell>
          <cell r="H1012">
            <v>2</v>
          </cell>
          <cell r="I1012">
            <v>31</v>
          </cell>
          <cell r="J1012">
            <v>4</v>
          </cell>
          <cell r="K1012">
            <v>7</v>
          </cell>
          <cell r="L1012">
            <v>7</v>
          </cell>
          <cell r="M1012">
            <v>0</v>
          </cell>
          <cell r="N1012">
            <v>0</v>
          </cell>
          <cell r="O1012">
            <v>0</v>
          </cell>
          <cell r="P1012">
            <v>0</v>
          </cell>
          <cell r="Q1012">
            <v>1</v>
          </cell>
          <cell r="R1012">
            <v>0</v>
          </cell>
          <cell r="S1012">
            <v>0</v>
          </cell>
          <cell r="T1012">
            <v>0</v>
          </cell>
          <cell r="U1012">
            <v>0</v>
          </cell>
          <cell r="V1012">
            <v>4</v>
          </cell>
          <cell r="W1012">
            <v>0</v>
          </cell>
          <cell r="X1012">
            <v>0</v>
          </cell>
          <cell r="Y1012">
            <v>0</v>
          </cell>
          <cell r="Z1012">
            <v>0</v>
          </cell>
          <cell r="AA1012">
            <v>8</v>
          </cell>
          <cell r="AB1012">
            <v>6.4516129032258063E-2</v>
          </cell>
          <cell r="AC1012">
            <v>1</v>
          </cell>
          <cell r="AD1012">
            <v>32</v>
          </cell>
        </row>
        <row r="1013">
          <cell r="A1013">
            <v>36</v>
          </cell>
          <cell r="B1013">
            <v>4</v>
          </cell>
          <cell r="C1013">
            <v>3</v>
          </cell>
          <cell r="D1013">
            <v>9278</v>
          </cell>
          <cell r="E1013">
            <v>3</v>
          </cell>
          <cell r="F1013">
            <v>16</v>
          </cell>
          <cell r="G1013">
            <v>3</v>
          </cell>
          <cell r="H1013">
            <v>0</v>
          </cell>
          <cell r="I1013">
            <v>15</v>
          </cell>
          <cell r="J1013">
            <v>3</v>
          </cell>
          <cell r="K1013">
            <v>5</v>
          </cell>
          <cell r="L1013">
            <v>4</v>
          </cell>
          <cell r="M1013">
            <v>1</v>
          </cell>
          <cell r="N1013">
            <v>1</v>
          </cell>
          <cell r="O1013">
            <v>0</v>
          </cell>
          <cell r="P1013">
            <v>1</v>
          </cell>
          <cell r="Q1013">
            <v>0</v>
          </cell>
          <cell r="R1013">
            <v>0</v>
          </cell>
          <cell r="S1013">
            <v>0</v>
          </cell>
          <cell r="T1013">
            <v>0</v>
          </cell>
          <cell r="U1013">
            <v>4</v>
          </cell>
          <cell r="V1013">
            <v>0</v>
          </cell>
          <cell r="W1013">
            <v>0</v>
          </cell>
          <cell r="X1013">
            <v>0</v>
          </cell>
          <cell r="Y1013">
            <v>0</v>
          </cell>
          <cell r="Z1013">
            <v>0</v>
          </cell>
          <cell r="AA1013">
            <v>2</v>
          </cell>
          <cell r="AB1013">
            <v>0.2</v>
          </cell>
          <cell r="AC1013">
            <v>0.8</v>
          </cell>
          <cell r="AD1013">
            <v>8</v>
          </cell>
        </row>
        <row r="1014">
          <cell r="A1014">
            <v>31</v>
          </cell>
          <cell r="B1014">
            <v>4</v>
          </cell>
          <cell r="C1014">
            <v>1</v>
          </cell>
          <cell r="D1014">
            <v>1359</v>
          </cell>
          <cell r="E1014">
            <v>1</v>
          </cell>
          <cell r="F1014">
            <v>12</v>
          </cell>
          <cell r="G1014">
            <v>3</v>
          </cell>
          <cell r="H1014">
            <v>0</v>
          </cell>
          <cell r="I1014">
            <v>1</v>
          </cell>
          <cell r="J1014">
            <v>3</v>
          </cell>
          <cell r="K1014">
            <v>1</v>
          </cell>
          <cell r="L1014">
            <v>0</v>
          </cell>
          <cell r="M1014">
            <v>0</v>
          </cell>
          <cell r="N1014">
            <v>1</v>
          </cell>
          <cell r="O1014">
            <v>1</v>
          </cell>
          <cell r="P1014">
            <v>0</v>
          </cell>
          <cell r="Q1014">
            <v>0</v>
          </cell>
          <cell r="R1014">
            <v>0</v>
          </cell>
          <cell r="S1014">
            <v>0</v>
          </cell>
          <cell r="T1014">
            <v>4</v>
          </cell>
          <cell r="U1014">
            <v>0</v>
          </cell>
          <cell r="V1014">
            <v>0</v>
          </cell>
          <cell r="W1014">
            <v>0</v>
          </cell>
          <cell r="X1014">
            <v>0</v>
          </cell>
          <cell r="Y1014">
            <v>0</v>
          </cell>
          <cell r="Z1014">
            <v>0</v>
          </cell>
          <cell r="AA1014">
            <v>6</v>
          </cell>
          <cell r="AB1014">
            <v>1</v>
          </cell>
          <cell r="AC1014">
            <v>0</v>
          </cell>
          <cell r="AD1014">
            <v>12</v>
          </cell>
        </row>
        <row r="1015">
          <cell r="A1015">
            <v>30</v>
          </cell>
          <cell r="B1015">
            <v>4</v>
          </cell>
          <cell r="C1015">
            <v>3</v>
          </cell>
          <cell r="D1015">
            <v>4779</v>
          </cell>
          <cell r="E1015">
            <v>7</v>
          </cell>
          <cell r="F1015">
            <v>14</v>
          </cell>
          <cell r="G1015">
            <v>3</v>
          </cell>
          <cell r="H1015">
            <v>2</v>
          </cell>
          <cell r="I1015">
            <v>8</v>
          </cell>
          <cell r="J1015">
            <v>3</v>
          </cell>
          <cell r="K1015">
            <v>3</v>
          </cell>
          <cell r="L1015">
            <v>2</v>
          </cell>
          <cell r="M1015">
            <v>0</v>
          </cell>
          <cell r="N1015">
            <v>1</v>
          </cell>
          <cell r="O1015">
            <v>0</v>
          </cell>
          <cell r="P1015">
            <v>1</v>
          </cell>
          <cell r="Q1015">
            <v>0</v>
          </cell>
          <cell r="R1015">
            <v>0</v>
          </cell>
          <cell r="S1015">
            <v>0</v>
          </cell>
          <cell r="T1015">
            <v>0</v>
          </cell>
          <cell r="U1015">
            <v>4</v>
          </cell>
          <cell r="V1015">
            <v>0</v>
          </cell>
          <cell r="W1015">
            <v>0</v>
          </cell>
          <cell r="X1015">
            <v>0</v>
          </cell>
          <cell r="Y1015">
            <v>0</v>
          </cell>
          <cell r="Z1015">
            <v>0</v>
          </cell>
          <cell r="AA1015">
            <v>4</v>
          </cell>
          <cell r="AB1015">
            <v>0.875</v>
          </cell>
          <cell r="AC1015">
            <v>0.66666666666666663</v>
          </cell>
          <cell r="AD1015">
            <v>8</v>
          </cell>
        </row>
        <row r="1016">
          <cell r="A1016">
            <v>31</v>
          </cell>
          <cell r="B1016">
            <v>5</v>
          </cell>
          <cell r="C1016">
            <v>3</v>
          </cell>
          <cell r="D1016">
            <v>16422</v>
          </cell>
          <cell r="E1016">
            <v>3</v>
          </cell>
          <cell r="F1016">
            <v>11</v>
          </cell>
          <cell r="G1016">
            <v>3</v>
          </cell>
          <cell r="H1016">
            <v>0</v>
          </cell>
          <cell r="I1016">
            <v>9</v>
          </cell>
          <cell r="J1016">
            <v>3</v>
          </cell>
          <cell r="K1016">
            <v>3</v>
          </cell>
          <cell r="L1016">
            <v>2</v>
          </cell>
          <cell r="M1016">
            <v>0</v>
          </cell>
          <cell r="N1016">
            <v>1</v>
          </cell>
          <cell r="O1016">
            <v>1</v>
          </cell>
          <cell r="P1016">
            <v>0</v>
          </cell>
          <cell r="Q1016">
            <v>0</v>
          </cell>
          <cell r="R1016">
            <v>0</v>
          </cell>
          <cell r="S1016">
            <v>0</v>
          </cell>
          <cell r="T1016">
            <v>5</v>
          </cell>
          <cell r="U1016">
            <v>0</v>
          </cell>
          <cell r="V1016">
            <v>0</v>
          </cell>
          <cell r="W1016">
            <v>0</v>
          </cell>
          <cell r="X1016">
            <v>0</v>
          </cell>
          <cell r="Y1016">
            <v>0</v>
          </cell>
          <cell r="Z1016">
            <v>0</v>
          </cell>
          <cell r="AA1016">
            <v>2</v>
          </cell>
          <cell r="AB1016">
            <v>0.33333333333333331</v>
          </cell>
          <cell r="AC1016">
            <v>0.66666666666666663</v>
          </cell>
          <cell r="AD1016">
            <v>6</v>
          </cell>
        </row>
        <row r="1017">
          <cell r="A1017">
            <v>34</v>
          </cell>
          <cell r="B1017">
            <v>4</v>
          </cell>
          <cell r="C1017">
            <v>3</v>
          </cell>
          <cell r="D1017">
            <v>2996</v>
          </cell>
          <cell r="E1017">
            <v>5</v>
          </cell>
          <cell r="F1017">
            <v>14</v>
          </cell>
          <cell r="G1017">
            <v>3</v>
          </cell>
          <cell r="H1017">
            <v>2</v>
          </cell>
          <cell r="I1017">
            <v>10</v>
          </cell>
          <cell r="J1017">
            <v>2</v>
          </cell>
          <cell r="K1017">
            <v>4</v>
          </cell>
          <cell r="L1017">
            <v>3</v>
          </cell>
          <cell r="M1017">
            <v>0</v>
          </cell>
          <cell r="N1017">
            <v>0</v>
          </cell>
          <cell r="O1017">
            <v>0</v>
          </cell>
          <cell r="P1017">
            <v>0</v>
          </cell>
          <cell r="Q1017">
            <v>0</v>
          </cell>
          <cell r="R1017">
            <v>1</v>
          </cell>
          <cell r="S1017">
            <v>0</v>
          </cell>
          <cell r="T1017">
            <v>0</v>
          </cell>
          <cell r="U1017">
            <v>0</v>
          </cell>
          <cell r="V1017">
            <v>0</v>
          </cell>
          <cell r="W1017">
            <v>4</v>
          </cell>
          <cell r="X1017">
            <v>0</v>
          </cell>
          <cell r="Y1017">
            <v>0</v>
          </cell>
          <cell r="Z1017">
            <v>0</v>
          </cell>
          <cell r="AA1017">
            <v>4</v>
          </cell>
          <cell r="AB1017">
            <v>0.5</v>
          </cell>
          <cell r="AC1017">
            <v>0.75</v>
          </cell>
          <cell r="AD1017">
            <v>12</v>
          </cell>
        </row>
        <row r="1018">
          <cell r="A1018">
            <v>31</v>
          </cell>
          <cell r="B1018">
            <v>3</v>
          </cell>
          <cell r="C1018">
            <v>2</v>
          </cell>
          <cell r="D1018">
            <v>1261</v>
          </cell>
          <cell r="E1018">
            <v>1</v>
          </cell>
          <cell r="F1018">
            <v>12</v>
          </cell>
          <cell r="G1018">
            <v>3</v>
          </cell>
          <cell r="H1018">
            <v>0</v>
          </cell>
          <cell r="I1018">
            <v>1</v>
          </cell>
          <cell r="J1018">
            <v>3</v>
          </cell>
          <cell r="K1018">
            <v>1</v>
          </cell>
          <cell r="L1018">
            <v>0</v>
          </cell>
          <cell r="M1018">
            <v>0</v>
          </cell>
          <cell r="N1018">
            <v>1</v>
          </cell>
          <cell r="O1018">
            <v>1</v>
          </cell>
          <cell r="P1018">
            <v>0</v>
          </cell>
          <cell r="Q1018">
            <v>0</v>
          </cell>
          <cell r="R1018">
            <v>0</v>
          </cell>
          <cell r="S1018">
            <v>0</v>
          </cell>
          <cell r="T1018">
            <v>3</v>
          </cell>
          <cell r="U1018">
            <v>0</v>
          </cell>
          <cell r="V1018">
            <v>0</v>
          </cell>
          <cell r="W1018">
            <v>0</v>
          </cell>
          <cell r="X1018">
            <v>0</v>
          </cell>
          <cell r="Y1018">
            <v>0</v>
          </cell>
          <cell r="Z1018">
            <v>0</v>
          </cell>
          <cell r="AA1018">
            <v>2</v>
          </cell>
          <cell r="AB1018">
            <v>1</v>
          </cell>
          <cell r="AC1018">
            <v>0</v>
          </cell>
          <cell r="AD1018">
            <v>6</v>
          </cell>
        </row>
        <row r="1019">
          <cell r="A1019">
            <v>27</v>
          </cell>
          <cell r="B1019">
            <v>1</v>
          </cell>
          <cell r="C1019">
            <v>3</v>
          </cell>
          <cell r="D1019">
            <v>2099</v>
          </cell>
          <cell r="E1019">
            <v>0</v>
          </cell>
          <cell r="F1019">
            <v>14</v>
          </cell>
          <cell r="G1019">
            <v>3</v>
          </cell>
          <cell r="H1019">
            <v>0</v>
          </cell>
          <cell r="I1019">
            <v>6</v>
          </cell>
          <cell r="J1019">
            <v>3</v>
          </cell>
          <cell r="K1019">
            <v>5</v>
          </cell>
          <cell r="L1019">
            <v>0</v>
          </cell>
          <cell r="M1019">
            <v>0</v>
          </cell>
          <cell r="N1019">
            <v>0</v>
          </cell>
          <cell r="O1019">
            <v>1</v>
          </cell>
          <cell r="P1019">
            <v>0</v>
          </cell>
          <cell r="Q1019">
            <v>0</v>
          </cell>
          <cell r="R1019">
            <v>0</v>
          </cell>
          <cell r="S1019">
            <v>0</v>
          </cell>
          <cell r="T1019">
            <v>1</v>
          </cell>
          <cell r="U1019">
            <v>0</v>
          </cell>
          <cell r="V1019">
            <v>0</v>
          </cell>
          <cell r="W1019">
            <v>0</v>
          </cell>
          <cell r="X1019">
            <v>0</v>
          </cell>
          <cell r="Y1019">
            <v>0</v>
          </cell>
          <cell r="Z1019">
            <v>0</v>
          </cell>
          <cell r="AA1019">
            <v>2</v>
          </cell>
          <cell r="AB1019">
            <v>0</v>
          </cell>
          <cell r="AC1019">
            <v>0</v>
          </cell>
          <cell r="AD1019">
            <v>4</v>
          </cell>
        </row>
        <row r="1020">
          <cell r="A1020">
            <v>36</v>
          </cell>
          <cell r="B1020">
            <v>4</v>
          </cell>
          <cell r="C1020">
            <v>2</v>
          </cell>
          <cell r="D1020">
            <v>5810</v>
          </cell>
          <cell r="E1020">
            <v>1</v>
          </cell>
          <cell r="F1020">
            <v>16</v>
          </cell>
          <cell r="G1020">
            <v>3</v>
          </cell>
          <cell r="H1020">
            <v>0</v>
          </cell>
          <cell r="I1020">
            <v>10</v>
          </cell>
          <cell r="J1020">
            <v>2</v>
          </cell>
          <cell r="K1020">
            <v>10</v>
          </cell>
          <cell r="L1020">
            <v>4</v>
          </cell>
          <cell r="M1020">
            <v>0</v>
          </cell>
          <cell r="N1020">
            <v>0</v>
          </cell>
          <cell r="O1020">
            <v>1</v>
          </cell>
          <cell r="P1020">
            <v>0</v>
          </cell>
          <cell r="Q1020">
            <v>0</v>
          </cell>
          <cell r="R1020">
            <v>0</v>
          </cell>
          <cell r="S1020">
            <v>0</v>
          </cell>
          <cell r="T1020">
            <v>4</v>
          </cell>
          <cell r="U1020">
            <v>0</v>
          </cell>
          <cell r="V1020">
            <v>0</v>
          </cell>
          <cell r="W1020">
            <v>0</v>
          </cell>
          <cell r="X1020">
            <v>0</v>
          </cell>
          <cell r="Y1020">
            <v>0</v>
          </cell>
          <cell r="Z1020">
            <v>0</v>
          </cell>
          <cell r="AA1020">
            <v>4</v>
          </cell>
          <cell r="AB1020">
            <v>0.1</v>
          </cell>
          <cell r="AC1020">
            <v>0.4</v>
          </cell>
          <cell r="AD1020">
            <v>12</v>
          </cell>
        </row>
        <row r="1021">
          <cell r="A1021">
            <v>36</v>
          </cell>
          <cell r="B1021">
            <v>4</v>
          </cell>
          <cell r="C1021">
            <v>2</v>
          </cell>
          <cell r="D1021">
            <v>5647</v>
          </cell>
          <cell r="E1021">
            <v>4</v>
          </cell>
          <cell r="F1021">
            <v>13</v>
          </cell>
          <cell r="G1021">
            <v>3</v>
          </cell>
          <cell r="H1021">
            <v>2</v>
          </cell>
          <cell r="I1021">
            <v>11</v>
          </cell>
          <cell r="J1021">
            <v>3</v>
          </cell>
          <cell r="K1021">
            <v>3</v>
          </cell>
          <cell r="L1021">
            <v>2</v>
          </cell>
          <cell r="M1021">
            <v>0</v>
          </cell>
          <cell r="N1021">
            <v>1</v>
          </cell>
          <cell r="O1021">
            <v>0</v>
          </cell>
          <cell r="P1021">
            <v>1</v>
          </cell>
          <cell r="Q1021">
            <v>0</v>
          </cell>
          <cell r="R1021">
            <v>0</v>
          </cell>
          <cell r="S1021">
            <v>0</v>
          </cell>
          <cell r="T1021">
            <v>0</v>
          </cell>
          <cell r="U1021">
            <v>4</v>
          </cell>
          <cell r="V1021">
            <v>0</v>
          </cell>
          <cell r="W1021">
            <v>0</v>
          </cell>
          <cell r="X1021">
            <v>0</v>
          </cell>
          <cell r="Y1021">
            <v>0</v>
          </cell>
          <cell r="Z1021">
            <v>0</v>
          </cell>
          <cell r="AA1021">
            <v>3</v>
          </cell>
          <cell r="AB1021">
            <v>0.36363636363636365</v>
          </cell>
          <cell r="AC1021">
            <v>0.66666666666666663</v>
          </cell>
          <cell r="AD1021">
            <v>3</v>
          </cell>
        </row>
        <row r="1022">
          <cell r="A1022">
            <v>47</v>
          </cell>
          <cell r="B1022">
            <v>3</v>
          </cell>
          <cell r="C1022">
            <v>3</v>
          </cell>
          <cell r="D1022">
            <v>3420</v>
          </cell>
          <cell r="E1022">
            <v>7</v>
          </cell>
          <cell r="F1022">
            <v>12</v>
          </cell>
          <cell r="G1022">
            <v>3</v>
          </cell>
          <cell r="H1022">
            <v>1</v>
          </cell>
          <cell r="I1022">
            <v>17</v>
          </cell>
          <cell r="J1022">
            <v>2</v>
          </cell>
          <cell r="K1022">
            <v>6</v>
          </cell>
          <cell r="L1022">
            <v>5</v>
          </cell>
          <cell r="M1022">
            <v>0</v>
          </cell>
          <cell r="N1022">
            <v>0</v>
          </cell>
          <cell r="O1022">
            <v>0</v>
          </cell>
          <cell r="P1022">
            <v>0</v>
          </cell>
          <cell r="Q1022">
            <v>0</v>
          </cell>
          <cell r="R1022">
            <v>0</v>
          </cell>
          <cell r="S1022">
            <v>1</v>
          </cell>
          <cell r="T1022">
            <v>0</v>
          </cell>
          <cell r="U1022">
            <v>0</v>
          </cell>
          <cell r="V1022">
            <v>0</v>
          </cell>
          <cell r="W1022">
            <v>0</v>
          </cell>
          <cell r="X1022">
            <v>3</v>
          </cell>
          <cell r="Y1022">
            <v>0</v>
          </cell>
          <cell r="Z1022">
            <v>0</v>
          </cell>
          <cell r="AA1022">
            <v>4</v>
          </cell>
          <cell r="AB1022">
            <v>0.41176470588235292</v>
          </cell>
          <cell r="AC1022">
            <v>0.83333333333333337</v>
          </cell>
          <cell r="AD1022">
            <v>12</v>
          </cell>
        </row>
        <row r="1023">
          <cell r="A1023">
            <v>25</v>
          </cell>
          <cell r="B1023">
            <v>2</v>
          </cell>
          <cell r="C1023">
            <v>2</v>
          </cell>
          <cell r="D1023">
            <v>4400</v>
          </cell>
          <cell r="E1023">
            <v>3</v>
          </cell>
          <cell r="F1023">
            <v>12</v>
          </cell>
          <cell r="G1023">
            <v>3</v>
          </cell>
          <cell r="H1023">
            <v>0</v>
          </cell>
          <cell r="I1023">
            <v>6</v>
          </cell>
          <cell r="J1023">
            <v>2</v>
          </cell>
          <cell r="K1023">
            <v>3</v>
          </cell>
          <cell r="L1023">
            <v>2</v>
          </cell>
          <cell r="M1023">
            <v>0</v>
          </cell>
          <cell r="N1023">
            <v>0</v>
          </cell>
          <cell r="O1023">
            <v>1</v>
          </cell>
          <cell r="P1023">
            <v>0</v>
          </cell>
          <cell r="Q1023">
            <v>0</v>
          </cell>
          <cell r="R1023">
            <v>0</v>
          </cell>
          <cell r="S1023">
            <v>0</v>
          </cell>
          <cell r="T1023">
            <v>2</v>
          </cell>
          <cell r="U1023">
            <v>0</v>
          </cell>
          <cell r="V1023">
            <v>0</v>
          </cell>
          <cell r="W1023">
            <v>0</v>
          </cell>
          <cell r="X1023">
            <v>0</v>
          </cell>
          <cell r="Y1023">
            <v>0</v>
          </cell>
          <cell r="Z1023">
            <v>0</v>
          </cell>
          <cell r="AA1023">
            <v>1</v>
          </cell>
          <cell r="AB1023">
            <v>0.5</v>
          </cell>
          <cell r="AC1023">
            <v>0.66666666666666663</v>
          </cell>
          <cell r="AD1023">
            <v>1</v>
          </cell>
        </row>
        <row r="1024">
          <cell r="A1024">
            <v>37</v>
          </cell>
          <cell r="B1024">
            <v>2</v>
          </cell>
          <cell r="C1024">
            <v>4</v>
          </cell>
          <cell r="D1024">
            <v>3500</v>
          </cell>
          <cell r="E1024">
            <v>0</v>
          </cell>
          <cell r="F1024">
            <v>14</v>
          </cell>
          <cell r="G1024">
            <v>3</v>
          </cell>
          <cell r="H1024">
            <v>0</v>
          </cell>
          <cell r="I1024">
            <v>7</v>
          </cell>
          <cell r="J1024">
            <v>2</v>
          </cell>
          <cell r="K1024">
            <v>6</v>
          </cell>
          <cell r="L1024">
            <v>5</v>
          </cell>
          <cell r="M1024">
            <v>0</v>
          </cell>
          <cell r="N1024">
            <v>0</v>
          </cell>
          <cell r="O1024">
            <v>0</v>
          </cell>
          <cell r="P1024">
            <v>0</v>
          </cell>
          <cell r="Q1024">
            <v>0</v>
          </cell>
          <cell r="R1024">
            <v>0</v>
          </cell>
          <cell r="S1024">
            <v>1</v>
          </cell>
          <cell r="T1024">
            <v>0</v>
          </cell>
          <cell r="U1024">
            <v>0</v>
          </cell>
          <cell r="V1024">
            <v>0</v>
          </cell>
          <cell r="W1024">
            <v>0</v>
          </cell>
          <cell r="X1024">
            <v>2</v>
          </cell>
          <cell r="Y1024">
            <v>0</v>
          </cell>
          <cell r="Z1024">
            <v>0</v>
          </cell>
          <cell r="AA1024">
            <v>9</v>
          </cell>
          <cell r="AB1024">
            <v>0</v>
          </cell>
          <cell r="AC1024">
            <v>0.83333333333333337</v>
          </cell>
          <cell r="AD1024">
            <v>9</v>
          </cell>
        </row>
        <row r="1025">
          <cell r="A1025">
            <v>56</v>
          </cell>
          <cell r="B1025">
            <v>2</v>
          </cell>
          <cell r="C1025">
            <v>3</v>
          </cell>
          <cell r="D1025">
            <v>2066</v>
          </cell>
          <cell r="E1025">
            <v>2</v>
          </cell>
          <cell r="F1025">
            <v>22</v>
          </cell>
          <cell r="G1025">
            <v>4</v>
          </cell>
          <cell r="H1025">
            <v>1</v>
          </cell>
          <cell r="I1025">
            <v>5</v>
          </cell>
          <cell r="J1025">
            <v>3</v>
          </cell>
          <cell r="K1025">
            <v>3</v>
          </cell>
          <cell r="L1025">
            <v>2</v>
          </cell>
          <cell r="M1025">
            <v>0</v>
          </cell>
          <cell r="N1025">
            <v>1</v>
          </cell>
          <cell r="O1025">
            <v>1</v>
          </cell>
          <cell r="P1025">
            <v>0</v>
          </cell>
          <cell r="Q1025">
            <v>0</v>
          </cell>
          <cell r="R1025">
            <v>0</v>
          </cell>
          <cell r="S1025">
            <v>0</v>
          </cell>
          <cell r="T1025">
            <v>2</v>
          </cell>
          <cell r="U1025">
            <v>0</v>
          </cell>
          <cell r="V1025">
            <v>0</v>
          </cell>
          <cell r="W1025">
            <v>0</v>
          </cell>
          <cell r="X1025">
            <v>0</v>
          </cell>
          <cell r="Y1025">
            <v>0</v>
          </cell>
          <cell r="Z1025">
            <v>0</v>
          </cell>
          <cell r="AA1025">
            <v>1</v>
          </cell>
          <cell r="AB1025">
            <v>0.4</v>
          </cell>
          <cell r="AC1025">
            <v>0.66666666666666663</v>
          </cell>
          <cell r="AD1025">
            <v>4</v>
          </cell>
        </row>
        <row r="1026">
          <cell r="A1026">
            <v>47</v>
          </cell>
          <cell r="B1026">
            <v>4</v>
          </cell>
          <cell r="C1026">
            <v>3</v>
          </cell>
          <cell r="D1026">
            <v>17169</v>
          </cell>
          <cell r="E1026">
            <v>3</v>
          </cell>
          <cell r="F1026">
            <v>19</v>
          </cell>
          <cell r="G1026">
            <v>3</v>
          </cell>
          <cell r="H1026">
            <v>2</v>
          </cell>
          <cell r="I1026">
            <v>26</v>
          </cell>
          <cell r="J1026">
            <v>2</v>
          </cell>
          <cell r="K1026">
            <v>20</v>
          </cell>
          <cell r="L1026">
            <v>17</v>
          </cell>
          <cell r="M1026">
            <v>0</v>
          </cell>
          <cell r="N1026">
            <v>1</v>
          </cell>
          <cell r="O1026">
            <v>0</v>
          </cell>
          <cell r="P1026">
            <v>0</v>
          </cell>
          <cell r="Q1026">
            <v>1</v>
          </cell>
          <cell r="R1026">
            <v>0</v>
          </cell>
          <cell r="S1026">
            <v>0</v>
          </cell>
          <cell r="T1026">
            <v>0</v>
          </cell>
          <cell r="U1026">
            <v>0</v>
          </cell>
          <cell r="V1026">
            <v>4</v>
          </cell>
          <cell r="W1026">
            <v>0</v>
          </cell>
          <cell r="X1026">
            <v>0</v>
          </cell>
          <cell r="Y1026">
            <v>0</v>
          </cell>
          <cell r="Z1026">
            <v>0</v>
          </cell>
          <cell r="AA1026">
            <v>3</v>
          </cell>
          <cell r="AB1026">
            <v>0.11538461538461539</v>
          </cell>
          <cell r="AC1026">
            <v>0.85</v>
          </cell>
          <cell r="AD1026">
            <v>6</v>
          </cell>
        </row>
        <row r="1027">
          <cell r="A1027">
            <v>24</v>
          </cell>
          <cell r="B1027">
            <v>1</v>
          </cell>
          <cell r="C1027">
            <v>3</v>
          </cell>
          <cell r="D1027">
            <v>4162</v>
          </cell>
          <cell r="E1027">
            <v>1</v>
          </cell>
          <cell r="F1027">
            <v>12</v>
          </cell>
          <cell r="G1027">
            <v>3</v>
          </cell>
          <cell r="H1027">
            <v>2</v>
          </cell>
          <cell r="I1027">
            <v>5</v>
          </cell>
          <cell r="J1027">
            <v>3</v>
          </cell>
          <cell r="K1027">
            <v>5</v>
          </cell>
          <cell r="L1027">
            <v>4</v>
          </cell>
          <cell r="M1027">
            <v>1</v>
          </cell>
          <cell r="N1027">
            <v>1</v>
          </cell>
          <cell r="O1027">
            <v>0</v>
          </cell>
          <cell r="P1027">
            <v>0</v>
          </cell>
          <cell r="Q1027">
            <v>1</v>
          </cell>
          <cell r="R1027">
            <v>0</v>
          </cell>
          <cell r="S1027">
            <v>0</v>
          </cell>
          <cell r="T1027">
            <v>0</v>
          </cell>
          <cell r="U1027">
            <v>0</v>
          </cell>
          <cell r="V1027">
            <v>1</v>
          </cell>
          <cell r="W1027">
            <v>0</v>
          </cell>
          <cell r="X1027">
            <v>0</v>
          </cell>
          <cell r="Y1027">
            <v>0</v>
          </cell>
          <cell r="Z1027">
            <v>1</v>
          </cell>
          <cell r="AA1027">
            <v>12</v>
          </cell>
          <cell r="AB1027">
            <v>0.2</v>
          </cell>
          <cell r="AC1027">
            <v>0.8</v>
          </cell>
          <cell r="AD1027">
            <v>36</v>
          </cell>
        </row>
        <row r="1028">
          <cell r="A1028">
            <v>32</v>
          </cell>
          <cell r="B1028">
            <v>5</v>
          </cell>
          <cell r="C1028">
            <v>3</v>
          </cell>
          <cell r="D1028">
            <v>9204</v>
          </cell>
          <cell r="E1028">
            <v>4</v>
          </cell>
          <cell r="F1028">
            <v>12</v>
          </cell>
          <cell r="G1028">
            <v>3</v>
          </cell>
          <cell r="H1028">
            <v>1</v>
          </cell>
          <cell r="I1028">
            <v>7</v>
          </cell>
          <cell r="J1028">
            <v>3</v>
          </cell>
          <cell r="K1028">
            <v>4</v>
          </cell>
          <cell r="L1028">
            <v>3</v>
          </cell>
          <cell r="M1028">
            <v>0</v>
          </cell>
          <cell r="N1028">
            <v>0</v>
          </cell>
          <cell r="O1028">
            <v>0</v>
          </cell>
          <cell r="P1028">
            <v>1</v>
          </cell>
          <cell r="Q1028">
            <v>0</v>
          </cell>
          <cell r="R1028">
            <v>0</v>
          </cell>
          <cell r="S1028">
            <v>0</v>
          </cell>
          <cell r="T1028">
            <v>0</v>
          </cell>
          <cell r="U1028">
            <v>5</v>
          </cell>
          <cell r="V1028">
            <v>0</v>
          </cell>
          <cell r="W1028">
            <v>0</v>
          </cell>
          <cell r="X1028">
            <v>0</v>
          </cell>
          <cell r="Y1028">
            <v>0</v>
          </cell>
          <cell r="Z1028">
            <v>0</v>
          </cell>
          <cell r="AA1028">
            <v>16</v>
          </cell>
          <cell r="AB1028">
            <v>0.5714285714285714</v>
          </cell>
          <cell r="AC1028">
            <v>0.75</v>
          </cell>
          <cell r="AD1028">
            <v>48</v>
          </cell>
        </row>
        <row r="1029">
          <cell r="A1029">
            <v>34</v>
          </cell>
          <cell r="B1029">
            <v>3</v>
          </cell>
          <cell r="C1029">
            <v>2</v>
          </cell>
          <cell r="D1029">
            <v>3294</v>
          </cell>
          <cell r="E1029">
            <v>5</v>
          </cell>
          <cell r="F1029">
            <v>17</v>
          </cell>
          <cell r="G1029">
            <v>3</v>
          </cell>
          <cell r="H1029">
            <v>1</v>
          </cell>
          <cell r="I1029">
            <v>7</v>
          </cell>
          <cell r="J1029">
            <v>2</v>
          </cell>
          <cell r="K1029">
            <v>5</v>
          </cell>
          <cell r="L1029">
            <v>4</v>
          </cell>
          <cell r="M1029">
            <v>0</v>
          </cell>
          <cell r="N1029">
            <v>1</v>
          </cell>
          <cell r="O1029">
            <v>1</v>
          </cell>
          <cell r="P1029">
            <v>0</v>
          </cell>
          <cell r="Q1029">
            <v>0</v>
          </cell>
          <cell r="R1029">
            <v>0</v>
          </cell>
          <cell r="S1029">
            <v>0</v>
          </cell>
          <cell r="T1029">
            <v>3</v>
          </cell>
          <cell r="U1029">
            <v>0</v>
          </cell>
          <cell r="V1029">
            <v>0</v>
          </cell>
          <cell r="W1029">
            <v>0</v>
          </cell>
          <cell r="X1029">
            <v>0</v>
          </cell>
          <cell r="Y1029">
            <v>0</v>
          </cell>
          <cell r="Z1029">
            <v>0</v>
          </cell>
          <cell r="AA1029">
            <v>8</v>
          </cell>
          <cell r="AB1029">
            <v>0.7142857142857143</v>
          </cell>
          <cell r="AC1029">
            <v>0.8</v>
          </cell>
          <cell r="AD1029">
            <v>8</v>
          </cell>
        </row>
        <row r="1030">
          <cell r="A1030">
            <v>41</v>
          </cell>
          <cell r="B1030">
            <v>5</v>
          </cell>
          <cell r="C1030">
            <v>4</v>
          </cell>
          <cell r="D1030">
            <v>2127</v>
          </cell>
          <cell r="E1030">
            <v>2</v>
          </cell>
          <cell r="F1030">
            <v>12</v>
          </cell>
          <cell r="G1030">
            <v>3</v>
          </cell>
          <cell r="H1030">
            <v>0</v>
          </cell>
          <cell r="I1030">
            <v>7</v>
          </cell>
          <cell r="J1030">
            <v>5</v>
          </cell>
          <cell r="K1030">
            <v>4</v>
          </cell>
          <cell r="L1030">
            <v>2</v>
          </cell>
          <cell r="M1030">
            <v>1</v>
          </cell>
          <cell r="N1030">
            <v>0</v>
          </cell>
          <cell r="O1030">
            <v>0</v>
          </cell>
          <cell r="P1030">
            <v>0</v>
          </cell>
          <cell r="Q1030">
            <v>1</v>
          </cell>
          <cell r="R1030">
            <v>0</v>
          </cell>
          <cell r="S1030">
            <v>0</v>
          </cell>
          <cell r="T1030">
            <v>0</v>
          </cell>
          <cell r="U1030">
            <v>0</v>
          </cell>
          <cell r="V1030">
            <v>5</v>
          </cell>
          <cell r="W1030">
            <v>0</v>
          </cell>
          <cell r="X1030">
            <v>0</v>
          </cell>
          <cell r="Y1030">
            <v>0</v>
          </cell>
          <cell r="Z1030">
            <v>1</v>
          </cell>
          <cell r="AA1030">
            <v>6</v>
          </cell>
          <cell r="AB1030">
            <v>0.2857142857142857</v>
          </cell>
          <cell r="AC1030">
            <v>0.5</v>
          </cell>
          <cell r="AD1030">
            <v>6</v>
          </cell>
        </row>
        <row r="1031">
          <cell r="A1031">
            <v>40</v>
          </cell>
          <cell r="B1031">
            <v>4</v>
          </cell>
          <cell r="C1031">
            <v>3</v>
          </cell>
          <cell r="D1031">
            <v>3975</v>
          </cell>
          <cell r="E1031">
            <v>3</v>
          </cell>
          <cell r="F1031">
            <v>11</v>
          </cell>
          <cell r="G1031">
            <v>3</v>
          </cell>
          <cell r="H1031">
            <v>2</v>
          </cell>
          <cell r="I1031">
            <v>11</v>
          </cell>
          <cell r="J1031">
            <v>2</v>
          </cell>
          <cell r="K1031">
            <v>8</v>
          </cell>
          <cell r="L1031">
            <v>7</v>
          </cell>
          <cell r="M1031">
            <v>0</v>
          </cell>
          <cell r="N1031">
            <v>0</v>
          </cell>
          <cell r="O1031">
            <v>0</v>
          </cell>
          <cell r="P1031">
            <v>0</v>
          </cell>
          <cell r="Q1031">
            <v>0</v>
          </cell>
          <cell r="R1031">
            <v>1</v>
          </cell>
          <cell r="S1031">
            <v>0</v>
          </cell>
          <cell r="T1031">
            <v>0</v>
          </cell>
          <cell r="U1031">
            <v>0</v>
          </cell>
          <cell r="V1031">
            <v>0</v>
          </cell>
          <cell r="W1031">
            <v>4</v>
          </cell>
          <cell r="X1031">
            <v>0</v>
          </cell>
          <cell r="Y1031">
            <v>0</v>
          </cell>
          <cell r="Z1031">
            <v>0</v>
          </cell>
          <cell r="AA1031">
            <v>9</v>
          </cell>
          <cell r="AB1031">
            <v>0.27272727272727271</v>
          </cell>
          <cell r="AC1031">
            <v>0.875</v>
          </cell>
          <cell r="AD1031">
            <v>27</v>
          </cell>
        </row>
        <row r="1032">
          <cell r="A1032">
            <v>31</v>
          </cell>
          <cell r="B1032">
            <v>2</v>
          </cell>
          <cell r="C1032">
            <v>3</v>
          </cell>
          <cell r="D1032">
            <v>10793</v>
          </cell>
          <cell r="E1032">
            <v>1</v>
          </cell>
          <cell r="F1032">
            <v>18</v>
          </cell>
          <cell r="G1032">
            <v>3</v>
          </cell>
          <cell r="H1032">
            <v>1</v>
          </cell>
          <cell r="I1032">
            <v>13</v>
          </cell>
          <cell r="J1032">
            <v>5</v>
          </cell>
          <cell r="K1032">
            <v>13</v>
          </cell>
          <cell r="L1032">
            <v>7</v>
          </cell>
          <cell r="M1032">
            <v>0</v>
          </cell>
          <cell r="N1032">
            <v>0</v>
          </cell>
          <cell r="O1032">
            <v>1</v>
          </cell>
          <cell r="P1032">
            <v>0</v>
          </cell>
          <cell r="Q1032">
            <v>0</v>
          </cell>
          <cell r="R1032">
            <v>0</v>
          </cell>
          <cell r="S1032">
            <v>0</v>
          </cell>
          <cell r="T1032">
            <v>2</v>
          </cell>
          <cell r="U1032">
            <v>0</v>
          </cell>
          <cell r="V1032">
            <v>0</v>
          </cell>
          <cell r="W1032">
            <v>0</v>
          </cell>
          <cell r="X1032">
            <v>0</v>
          </cell>
          <cell r="Y1032">
            <v>0</v>
          </cell>
          <cell r="Z1032">
            <v>0</v>
          </cell>
          <cell r="AA1032">
            <v>4</v>
          </cell>
          <cell r="AB1032">
            <v>7.6923076923076927E-2</v>
          </cell>
          <cell r="AC1032">
            <v>0.53846153846153844</v>
          </cell>
          <cell r="AD1032">
            <v>4</v>
          </cell>
        </row>
        <row r="1033">
          <cell r="A1033">
            <v>46</v>
          </cell>
          <cell r="B1033">
            <v>3</v>
          </cell>
          <cell r="C1033">
            <v>3</v>
          </cell>
          <cell r="D1033">
            <v>10096</v>
          </cell>
          <cell r="E1033">
            <v>4</v>
          </cell>
          <cell r="F1033">
            <v>11</v>
          </cell>
          <cell r="G1033">
            <v>3</v>
          </cell>
          <cell r="H1033">
            <v>1</v>
          </cell>
          <cell r="I1033">
            <v>28</v>
          </cell>
          <cell r="J1033">
            <v>1</v>
          </cell>
          <cell r="K1033">
            <v>7</v>
          </cell>
          <cell r="L1033">
            <v>7</v>
          </cell>
          <cell r="M1033">
            <v>0</v>
          </cell>
          <cell r="N1033">
            <v>0</v>
          </cell>
          <cell r="O1033">
            <v>0</v>
          </cell>
          <cell r="P1033">
            <v>1</v>
          </cell>
          <cell r="Q1033">
            <v>0</v>
          </cell>
          <cell r="R1033">
            <v>0</v>
          </cell>
          <cell r="S1033">
            <v>0</v>
          </cell>
          <cell r="T1033">
            <v>0</v>
          </cell>
          <cell r="U1033">
            <v>3</v>
          </cell>
          <cell r="V1033">
            <v>0</v>
          </cell>
          <cell r="W1033">
            <v>0</v>
          </cell>
          <cell r="X1033">
            <v>0</v>
          </cell>
          <cell r="Y1033">
            <v>0</v>
          </cell>
          <cell r="Z1033">
            <v>0</v>
          </cell>
          <cell r="AA1033">
            <v>4</v>
          </cell>
          <cell r="AB1033">
            <v>0.14285714285714285</v>
          </cell>
          <cell r="AC1033">
            <v>1</v>
          </cell>
          <cell r="AD1033">
            <v>4</v>
          </cell>
        </row>
        <row r="1034">
          <cell r="A1034">
            <v>39</v>
          </cell>
          <cell r="B1034">
            <v>3</v>
          </cell>
          <cell r="C1034">
            <v>2</v>
          </cell>
          <cell r="D1034">
            <v>3646</v>
          </cell>
          <cell r="E1034">
            <v>2</v>
          </cell>
          <cell r="F1034">
            <v>23</v>
          </cell>
          <cell r="G1034">
            <v>4</v>
          </cell>
          <cell r="H1034">
            <v>0</v>
          </cell>
          <cell r="I1034">
            <v>11</v>
          </cell>
          <cell r="J1034">
            <v>2</v>
          </cell>
          <cell r="K1034">
            <v>1</v>
          </cell>
          <cell r="L1034">
            <v>0</v>
          </cell>
          <cell r="M1034">
            <v>1</v>
          </cell>
          <cell r="N1034">
            <v>1</v>
          </cell>
          <cell r="O1034">
            <v>1</v>
          </cell>
          <cell r="P1034">
            <v>0</v>
          </cell>
          <cell r="Q1034">
            <v>0</v>
          </cell>
          <cell r="R1034">
            <v>0</v>
          </cell>
          <cell r="S1034">
            <v>0</v>
          </cell>
          <cell r="T1034">
            <v>3</v>
          </cell>
          <cell r="U1034">
            <v>0</v>
          </cell>
          <cell r="V1034">
            <v>0</v>
          </cell>
          <cell r="W1034">
            <v>0</v>
          </cell>
          <cell r="X1034">
            <v>0</v>
          </cell>
          <cell r="Y1034">
            <v>0</v>
          </cell>
          <cell r="Z1034">
            <v>0</v>
          </cell>
          <cell r="AA1034">
            <v>1</v>
          </cell>
          <cell r="AB1034">
            <v>0.18181818181818182</v>
          </cell>
          <cell r="AC1034">
            <v>0</v>
          </cell>
          <cell r="AD1034">
            <v>2</v>
          </cell>
        </row>
        <row r="1035">
          <cell r="A1035">
            <v>31</v>
          </cell>
          <cell r="B1035">
            <v>5</v>
          </cell>
          <cell r="C1035">
            <v>4</v>
          </cell>
          <cell r="D1035">
            <v>7446</v>
          </cell>
          <cell r="E1035">
            <v>1</v>
          </cell>
          <cell r="F1035">
            <v>11</v>
          </cell>
          <cell r="G1035">
            <v>3</v>
          </cell>
          <cell r="H1035">
            <v>0</v>
          </cell>
          <cell r="I1035">
            <v>10</v>
          </cell>
          <cell r="J1035">
            <v>2</v>
          </cell>
          <cell r="K1035">
            <v>10</v>
          </cell>
          <cell r="L1035">
            <v>8</v>
          </cell>
          <cell r="M1035">
            <v>0</v>
          </cell>
          <cell r="N1035">
            <v>1</v>
          </cell>
          <cell r="O1035">
            <v>1</v>
          </cell>
          <cell r="P1035">
            <v>0</v>
          </cell>
          <cell r="Q1035">
            <v>0</v>
          </cell>
          <cell r="R1035">
            <v>0</v>
          </cell>
          <cell r="S1035">
            <v>0</v>
          </cell>
          <cell r="T1035">
            <v>5</v>
          </cell>
          <cell r="U1035">
            <v>0</v>
          </cell>
          <cell r="V1035">
            <v>0</v>
          </cell>
          <cell r="W1035">
            <v>0</v>
          </cell>
          <cell r="X1035">
            <v>0</v>
          </cell>
          <cell r="Y1035">
            <v>0</v>
          </cell>
          <cell r="Z1035">
            <v>0</v>
          </cell>
          <cell r="AA1035">
            <v>6</v>
          </cell>
          <cell r="AB1035">
            <v>0.1</v>
          </cell>
          <cell r="AC1035">
            <v>0.8</v>
          </cell>
          <cell r="AD1035">
            <v>6</v>
          </cell>
        </row>
        <row r="1036">
          <cell r="A1036">
            <v>45</v>
          </cell>
          <cell r="B1036">
            <v>3</v>
          </cell>
          <cell r="C1036">
            <v>1</v>
          </cell>
          <cell r="D1036">
            <v>10851</v>
          </cell>
          <cell r="E1036">
            <v>2</v>
          </cell>
          <cell r="F1036">
            <v>18</v>
          </cell>
          <cell r="G1036">
            <v>3</v>
          </cell>
          <cell r="H1036">
            <v>1</v>
          </cell>
          <cell r="I1036">
            <v>24</v>
          </cell>
          <cell r="J1036">
            <v>2</v>
          </cell>
          <cell r="K1036">
            <v>7</v>
          </cell>
          <cell r="L1036">
            <v>7</v>
          </cell>
          <cell r="M1036">
            <v>1</v>
          </cell>
          <cell r="N1036">
            <v>0</v>
          </cell>
          <cell r="O1036">
            <v>0</v>
          </cell>
          <cell r="P1036">
            <v>0</v>
          </cell>
          <cell r="Q1036">
            <v>1</v>
          </cell>
          <cell r="R1036">
            <v>0</v>
          </cell>
          <cell r="S1036">
            <v>0</v>
          </cell>
          <cell r="T1036">
            <v>0</v>
          </cell>
          <cell r="U1036">
            <v>0</v>
          </cell>
          <cell r="V1036">
            <v>3</v>
          </cell>
          <cell r="W1036">
            <v>0</v>
          </cell>
          <cell r="X1036">
            <v>0</v>
          </cell>
          <cell r="Y1036">
            <v>0</v>
          </cell>
          <cell r="Z1036">
            <v>0</v>
          </cell>
          <cell r="AA1036">
            <v>2</v>
          </cell>
          <cell r="AB1036">
            <v>8.3333333333333329E-2</v>
          </cell>
          <cell r="AC1036">
            <v>1</v>
          </cell>
          <cell r="AD1036">
            <v>4</v>
          </cell>
        </row>
        <row r="1037">
          <cell r="A1037">
            <v>31</v>
          </cell>
          <cell r="B1037">
            <v>2</v>
          </cell>
          <cell r="C1037">
            <v>4</v>
          </cell>
          <cell r="D1037">
            <v>2109</v>
          </cell>
          <cell r="E1037">
            <v>9</v>
          </cell>
          <cell r="F1037">
            <v>18</v>
          </cell>
          <cell r="G1037">
            <v>3</v>
          </cell>
          <cell r="H1037">
            <v>0</v>
          </cell>
          <cell r="I1037">
            <v>8</v>
          </cell>
          <cell r="J1037">
            <v>3</v>
          </cell>
          <cell r="K1037">
            <v>3</v>
          </cell>
          <cell r="L1037">
            <v>2</v>
          </cell>
          <cell r="M1037">
            <v>0</v>
          </cell>
          <cell r="N1037">
            <v>1</v>
          </cell>
          <cell r="O1037">
            <v>0</v>
          </cell>
          <cell r="P1037">
            <v>0</v>
          </cell>
          <cell r="Q1037">
            <v>1</v>
          </cell>
          <cell r="R1037">
            <v>0</v>
          </cell>
          <cell r="S1037">
            <v>0</v>
          </cell>
          <cell r="T1037">
            <v>0</v>
          </cell>
          <cell r="U1037">
            <v>0</v>
          </cell>
          <cell r="V1037">
            <v>2</v>
          </cell>
          <cell r="W1037">
            <v>0</v>
          </cell>
          <cell r="X1037">
            <v>0</v>
          </cell>
          <cell r="Y1037">
            <v>0</v>
          </cell>
          <cell r="Z1037">
            <v>0</v>
          </cell>
          <cell r="AA1037">
            <v>8</v>
          </cell>
          <cell r="AB1037">
            <v>1.125</v>
          </cell>
          <cell r="AC1037">
            <v>0.66666666666666663</v>
          </cell>
          <cell r="AD1037">
            <v>32</v>
          </cell>
        </row>
        <row r="1038">
          <cell r="A1038">
            <v>31</v>
          </cell>
          <cell r="B1038">
            <v>3</v>
          </cell>
          <cell r="C1038">
            <v>3</v>
          </cell>
          <cell r="D1038">
            <v>3722</v>
          </cell>
          <cell r="E1038">
            <v>6</v>
          </cell>
          <cell r="F1038">
            <v>13</v>
          </cell>
          <cell r="G1038">
            <v>3</v>
          </cell>
          <cell r="H1038">
            <v>1</v>
          </cell>
          <cell r="I1038">
            <v>7</v>
          </cell>
          <cell r="J1038">
            <v>2</v>
          </cell>
          <cell r="K1038">
            <v>2</v>
          </cell>
          <cell r="L1038">
            <v>2</v>
          </cell>
          <cell r="M1038">
            <v>1</v>
          </cell>
          <cell r="N1038">
            <v>0</v>
          </cell>
          <cell r="O1038">
            <v>1</v>
          </cell>
          <cell r="P1038">
            <v>0</v>
          </cell>
          <cell r="Q1038">
            <v>0</v>
          </cell>
          <cell r="R1038">
            <v>0</v>
          </cell>
          <cell r="S1038">
            <v>0</v>
          </cell>
          <cell r="T1038">
            <v>3</v>
          </cell>
          <cell r="U1038">
            <v>0</v>
          </cell>
          <cell r="V1038">
            <v>0</v>
          </cell>
          <cell r="W1038">
            <v>0</v>
          </cell>
          <cell r="X1038">
            <v>0</v>
          </cell>
          <cell r="Y1038">
            <v>1</v>
          </cell>
          <cell r="Z1038">
            <v>1</v>
          </cell>
          <cell r="AA1038">
            <v>8</v>
          </cell>
          <cell r="AB1038">
            <v>0.8571428571428571</v>
          </cell>
          <cell r="AC1038">
            <v>1</v>
          </cell>
          <cell r="AD1038">
            <v>24</v>
          </cell>
        </row>
        <row r="1039">
          <cell r="A1039">
            <v>45</v>
          </cell>
          <cell r="B1039">
            <v>3</v>
          </cell>
          <cell r="C1039">
            <v>3</v>
          </cell>
          <cell r="D1039">
            <v>9380</v>
          </cell>
          <cell r="E1039">
            <v>4</v>
          </cell>
          <cell r="F1039">
            <v>18</v>
          </cell>
          <cell r="G1039">
            <v>3</v>
          </cell>
          <cell r="H1039">
            <v>2</v>
          </cell>
          <cell r="I1039">
            <v>10</v>
          </cell>
          <cell r="J1039">
            <v>4</v>
          </cell>
          <cell r="K1039">
            <v>3</v>
          </cell>
          <cell r="L1039">
            <v>1</v>
          </cell>
          <cell r="M1039">
            <v>1</v>
          </cell>
          <cell r="N1039">
            <v>0</v>
          </cell>
          <cell r="O1039">
            <v>0</v>
          </cell>
          <cell r="P1039">
            <v>0</v>
          </cell>
          <cell r="Q1039">
            <v>0</v>
          </cell>
          <cell r="R1039">
            <v>0</v>
          </cell>
          <cell r="S1039">
            <v>1</v>
          </cell>
          <cell r="T1039">
            <v>0</v>
          </cell>
          <cell r="U1039">
            <v>0</v>
          </cell>
          <cell r="V1039">
            <v>0</v>
          </cell>
          <cell r="W1039">
            <v>0</v>
          </cell>
          <cell r="X1039">
            <v>3</v>
          </cell>
          <cell r="Y1039">
            <v>0</v>
          </cell>
          <cell r="Z1039">
            <v>1</v>
          </cell>
          <cell r="AA1039">
            <v>8</v>
          </cell>
          <cell r="AB1039">
            <v>0.4</v>
          </cell>
          <cell r="AC1039">
            <v>0.33333333333333331</v>
          </cell>
          <cell r="AD1039">
            <v>32</v>
          </cell>
        </row>
        <row r="1040">
          <cell r="A1040">
            <v>48</v>
          </cell>
          <cell r="B1040">
            <v>3</v>
          </cell>
          <cell r="C1040">
            <v>3</v>
          </cell>
          <cell r="D1040">
            <v>5486</v>
          </cell>
          <cell r="E1040">
            <v>4</v>
          </cell>
          <cell r="F1040">
            <v>11</v>
          </cell>
          <cell r="G1040">
            <v>3</v>
          </cell>
          <cell r="H1040">
            <v>3</v>
          </cell>
          <cell r="I1040">
            <v>15</v>
          </cell>
          <cell r="J1040">
            <v>3</v>
          </cell>
          <cell r="K1040">
            <v>2</v>
          </cell>
          <cell r="L1040">
            <v>2</v>
          </cell>
          <cell r="M1040">
            <v>0</v>
          </cell>
          <cell r="N1040">
            <v>0</v>
          </cell>
          <cell r="O1040">
            <v>0</v>
          </cell>
          <cell r="P1040">
            <v>1</v>
          </cell>
          <cell r="Q1040">
            <v>0</v>
          </cell>
          <cell r="R1040">
            <v>0</v>
          </cell>
          <cell r="S1040">
            <v>0</v>
          </cell>
          <cell r="T1040">
            <v>0</v>
          </cell>
          <cell r="U1040">
            <v>3</v>
          </cell>
          <cell r="V1040">
            <v>0</v>
          </cell>
          <cell r="W1040">
            <v>0</v>
          </cell>
          <cell r="X1040">
            <v>0</v>
          </cell>
          <cell r="Y1040">
            <v>0</v>
          </cell>
          <cell r="Z1040">
            <v>0</v>
          </cell>
          <cell r="AA1040">
            <v>3</v>
          </cell>
          <cell r="AB1040">
            <v>0.26666666666666666</v>
          </cell>
          <cell r="AC1040">
            <v>1</v>
          </cell>
          <cell r="AD1040">
            <v>3</v>
          </cell>
        </row>
        <row r="1041">
          <cell r="A1041">
            <v>34</v>
          </cell>
          <cell r="B1041">
            <v>4</v>
          </cell>
          <cell r="C1041">
            <v>3</v>
          </cell>
          <cell r="D1041">
            <v>2742</v>
          </cell>
          <cell r="E1041">
            <v>1</v>
          </cell>
          <cell r="F1041">
            <v>15</v>
          </cell>
          <cell r="G1041">
            <v>3</v>
          </cell>
          <cell r="H1041">
            <v>0</v>
          </cell>
          <cell r="I1041">
            <v>2</v>
          </cell>
          <cell r="J1041">
            <v>0</v>
          </cell>
          <cell r="K1041">
            <v>2</v>
          </cell>
          <cell r="L1041">
            <v>2</v>
          </cell>
          <cell r="M1041">
            <v>0</v>
          </cell>
          <cell r="N1041">
            <v>1</v>
          </cell>
          <cell r="O1041">
            <v>0</v>
          </cell>
          <cell r="P1041">
            <v>0</v>
          </cell>
          <cell r="Q1041">
            <v>0</v>
          </cell>
          <cell r="R1041">
            <v>0</v>
          </cell>
          <cell r="S1041">
            <v>1</v>
          </cell>
          <cell r="T1041">
            <v>0</v>
          </cell>
          <cell r="U1041">
            <v>0</v>
          </cell>
          <cell r="V1041">
            <v>0</v>
          </cell>
          <cell r="W1041">
            <v>0</v>
          </cell>
          <cell r="X1041">
            <v>4</v>
          </cell>
          <cell r="Y1041">
            <v>0</v>
          </cell>
          <cell r="Z1041">
            <v>0</v>
          </cell>
          <cell r="AA1041">
            <v>3</v>
          </cell>
          <cell r="AB1041">
            <v>0.5</v>
          </cell>
          <cell r="AC1041">
            <v>1</v>
          </cell>
          <cell r="AD1041">
            <v>12</v>
          </cell>
        </row>
        <row r="1042">
          <cell r="A1042">
            <v>40</v>
          </cell>
          <cell r="B1042">
            <v>1</v>
          </cell>
          <cell r="C1042">
            <v>2</v>
          </cell>
          <cell r="D1042">
            <v>13757</v>
          </cell>
          <cell r="E1042">
            <v>2</v>
          </cell>
          <cell r="F1042">
            <v>11</v>
          </cell>
          <cell r="G1042">
            <v>3</v>
          </cell>
          <cell r="H1042">
            <v>1</v>
          </cell>
          <cell r="I1042">
            <v>16</v>
          </cell>
          <cell r="J1042">
            <v>5</v>
          </cell>
          <cell r="K1042">
            <v>9</v>
          </cell>
          <cell r="L1042">
            <v>8</v>
          </cell>
          <cell r="M1042">
            <v>0</v>
          </cell>
          <cell r="N1042">
            <v>0</v>
          </cell>
          <cell r="O1042">
            <v>0</v>
          </cell>
          <cell r="P1042">
            <v>0</v>
          </cell>
          <cell r="Q1042">
            <v>1</v>
          </cell>
          <cell r="R1042">
            <v>0</v>
          </cell>
          <cell r="S1042">
            <v>0</v>
          </cell>
          <cell r="T1042">
            <v>0</v>
          </cell>
          <cell r="U1042">
            <v>0</v>
          </cell>
          <cell r="V1042">
            <v>1</v>
          </cell>
          <cell r="W1042">
            <v>0</v>
          </cell>
          <cell r="X1042">
            <v>0</v>
          </cell>
          <cell r="Y1042">
            <v>0</v>
          </cell>
          <cell r="Z1042">
            <v>0</v>
          </cell>
          <cell r="AA1042">
            <v>8</v>
          </cell>
          <cell r="AB1042">
            <v>0.125</v>
          </cell>
          <cell r="AC1042">
            <v>0.88888888888888884</v>
          </cell>
          <cell r="AD1042">
            <v>24</v>
          </cell>
        </row>
        <row r="1043">
          <cell r="A1043">
            <v>28</v>
          </cell>
          <cell r="B1043">
            <v>3</v>
          </cell>
          <cell r="C1043">
            <v>3</v>
          </cell>
          <cell r="D1043">
            <v>8463</v>
          </cell>
          <cell r="E1043">
            <v>0</v>
          </cell>
          <cell r="F1043">
            <v>18</v>
          </cell>
          <cell r="G1043">
            <v>3</v>
          </cell>
          <cell r="H1043">
            <v>0</v>
          </cell>
          <cell r="I1043">
            <v>6</v>
          </cell>
          <cell r="J1043">
            <v>4</v>
          </cell>
          <cell r="K1043">
            <v>5</v>
          </cell>
          <cell r="L1043">
            <v>4</v>
          </cell>
          <cell r="M1043">
            <v>0</v>
          </cell>
          <cell r="N1043">
            <v>0</v>
          </cell>
          <cell r="O1043">
            <v>0</v>
          </cell>
          <cell r="P1043">
            <v>0</v>
          </cell>
          <cell r="Q1043">
            <v>1</v>
          </cell>
          <cell r="R1043">
            <v>0</v>
          </cell>
          <cell r="S1043">
            <v>0</v>
          </cell>
          <cell r="T1043">
            <v>0</v>
          </cell>
          <cell r="U1043">
            <v>0</v>
          </cell>
          <cell r="V1043">
            <v>3</v>
          </cell>
          <cell r="W1043">
            <v>0</v>
          </cell>
          <cell r="X1043">
            <v>0</v>
          </cell>
          <cell r="Y1043">
            <v>0</v>
          </cell>
          <cell r="Z1043">
            <v>0</v>
          </cell>
          <cell r="AA1043">
            <v>4</v>
          </cell>
          <cell r="AB1043">
            <v>0</v>
          </cell>
          <cell r="AC1043">
            <v>0.8</v>
          </cell>
          <cell r="AD1043">
            <v>16</v>
          </cell>
        </row>
        <row r="1044">
          <cell r="A1044">
            <v>44</v>
          </cell>
          <cell r="B1044">
            <v>3</v>
          </cell>
          <cell r="C1044">
            <v>2</v>
          </cell>
          <cell r="D1044">
            <v>3162</v>
          </cell>
          <cell r="E1044">
            <v>3</v>
          </cell>
          <cell r="F1044">
            <v>14</v>
          </cell>
          <cell r="G1044">
            <v>3</v>
          </cell>
          <cell r="H1044">
            <v>0</v>
          </cell>
          <cell r="I1044">
            <v>7</v>
          </cell>
          <cell r="J1044">
            <v>5</v>
          </cell>
          <cell r="K1044">
            <v>5</v>
          </cell>
          <cell r="L1044">
            <v>2</v>
          </cell>
          <cell r="M1044">
            <v>0</v>
          </cell>
          <cell r="N1044">
            <v>0</v>
          </cell>
          <cell r="O1044">
            <v>1</v>
          </cell>
          <cell r="P1044">
            <v>0</v>
          </cell>
          <cell r="Q1044">
            <v>0</v>
          </cell>
          <cell r="R1044">
            <v>0</v>
          </cell>
          <cell r="S1044">
            <v>0</v>
          </cell>
          <cell r="T1044">
            <v>3</v>
          </cell>
          <cell r="U1044">
            <v>0</v>
          </cell>
          <cell r="V1044">
            <v>0</v>
          </cell>
          <cell r="W1044">
            <v>0</v>
          </cell>
          <cell r="X1044">
            <v>0</v>
          </cell>
          <cell r="Y1044">
            <v>0</v>
          </cell>
          <cell r="Z1044">
            <v>0</v>
          </cell>
          <cell r="AA1044">
            <v>9</v>
          </cell>
          <cell r="AB1044">
            <v>0.42857142857142855</v>
          </cell>
          <cell r="AC1044">
            <v>0.4</v>
          </cell>
          <cell r="AD1044">
            <v>36</v>
          </cell>
        </row>
        <row r="1045">
          <cell r="A1045">
            <v>53</v>
          </cell>
          <cell r="B1045">
            <v>3</v>
          </cell>
          <cell r="C1045">
            <v>4</v>
          </cell>
          <cell r="D1045">
            <v>16598</v>
          </cell>
          <cell r="E1045">
            <v>4</v>
          </cell>
          <cell r="F1045">
            <v>12</v>
          </cell>
          <cell r="G1045">
            <v>3</v>
          </cell>
          <cell r="H1045">
            <v>0</v>
          </cell>
          <cell r="I1045">
            <v>35</v>
          </cell>
          <cell r="J1045">
            <v>2</v>
          </cell>
          <cell r="K1045">
            <v>9</v>
          </cell>
          <cell r="L1045">
            <v>8</v>
          </cell>
          <cell r="M1045">
            <v>0</v>
          </cell>
          <cell r="N1045">
            <v>0</v>
          </cell>
          <cell r="O1045">
            <v>0</v>
          </cell>
          <cell r="P1045">
            <v>0</v>
          </cell>
          <cell r="Q1045">
            <v>1</v>
          </cell>
          <cell r="R1045">
            <v>0</v>
          </cell>
          <cell r="S1045">
            <v>0</v>
          </cell>
          <cell r="T1045">
            <v>0</v>
          </cell>
          <cell r="U1045">
            <v>0</v>
          </cell>
          <cell r="V1045">
            <v>3</v>
          </cell>
          <cell r="W1045">
            <v>0</v>
          </cell>
          <cell r="X1045">
            <v>0</v>
          </cell>
          <cell r="Y1045">
            <v>0</v>
          </cell>
          <cell r="Z1045">
            <v>0</v>
          </cell>
          <cell r="AA1045">
            <v>8</v>
          </cell>
          <cell r="AB1045">
            <v>0.11428571428571428</v>
          </cell>
          <cell r="AC1045">
            <v>0.88888888888888884</v>
          </cell>
          <cell r="AD1045">
            <v>16</v>
          </cell>
        </row>
        <row r="1046">
          <cell r="A1046">
            <v>49</v>
          </cell>
          <cell r="B1046">
            <v>4</v>
          </cell>
          <cell r="C1046">
            <v>3</v>
          </cell>
          <cell r="D1046">
            <v>6651</v>
          </cell>
          <cell r="E1046">
            <v>2</v>
          </cell>
          <cell r="F1046">
            <v>14</v>
          </cell>
          <cell r="G1046">
            <v>3</v>
          </cell>
          <cell r="H1046">
            <v>1</v>
          </cell>
          <cell r="I1046">
            <v>20</v>
          </cell>
          <cell r="J1046">
            <v>0</v>
          </cell>
          <cell r="K1046">
            <v>3</v>
          </cell>
          <cell r="L1046">
            <v>2</v>
          </cell>
          <cell r="M1046">
            <v>0</v>
          </cell>
          <cell r="N1046">
            <v>0</v>
          </cell>
          <cell r="O1046">
            <v>0</v>
          </cell>
          <cell r="P1046">
            <v>0</v>
          </cell>
          <cell r="Q1046">
            <v>0</v>
          </cell>
          <cell r="R1046">
            <v>0</v>
          </cell>
          <cell r="S1046">
            <v>1</v>
          </cell>
          <cell r="T1046">
            <v>0</v>
          </cell>
          <cell r="U1046">
            <v>0</v>
          </cell>
          <cell r="V1046">
            <v>0</v>
          </cell>
          <cell r="W1046">
            <v>0</v>
          </cell>
          <cell r="X1046">
            <v>4</v>
          </cell>
          <cell r="Y1046">
            <v>0</v>
          </cell>
          <cell r="Z1046">
            <v>0</v>
          </cell>
          <cell r="AA1046">
            <v>3</v>
          </cell>
          <cell r="AB1046">
            <v>0.1</v>
          </cell>
          <cell r="AC1046">
            <v>0.66666666666666663</v>
          </cell>
          <cell r="AD1046">
            <v>6</v>
          </cell>
        </row>
        <row r="1047">
          <cell r="A1047">
            <v>40</v>
          </cell>
          <cell r="B1047">
            <v>3</v>
          </cell>
          <cell r="C1047">
            <v>3</v>
          </cell>
          <cell r="D1047">
            <v>2345</v>
          </cell>
          <cell r="E1047">
            <v>2</v>
          </cell>
          <cell r="F1047">
            <v>14</v>
          </cell>
          <cell r="G1047">
            <v>3</v>
          </cell>
          <cell r="H1047">
            <v>1</v>
          </cell>
          <cell r="I1047">
            <v>8</v>
          </cell>
          <cell r="J1047">
            <v>3</v>
          </cell>
          <cell r="K1047">
            <v>3</v>
          </cell>
          <cell r="L1047">
            <v>1</v>
          </cell>
          <cell r="M1047">
            <v>0</v>
          </cell>
          <cell r="N1047">
            <v>0</v>
          </cell>
          <cell r="O1047">
            <v>0</v>
          </cell>
          <cell r="P1047">
            <v>0</v>
          </cell>
          <cell r="Q1047">
            <v>1</v>
          </cell>
          <cell r="R1047">
            <v>0</v>
          </cell>
          <cell r="S1047">
            <v>0</v>
          </cell>
          <cell r="T1047">
            <v>0</v>
          </cell>
          <cell r="U1047">
            <v>0</v>
          </cell>
          <cell r="V1047">
            <v>3</v>
          </cell>
          <cell r="W1047">
            <v>0</v>
          </cell>
          <cell r="X1047">
            <v>0</v>
          </cell>
          <cell r="Y1047">
            <v>0</v>
          </cell>
          <cell r="Z1047">
            <v>0</v>
          </cell>
          <cell r="AA1047">
            <v>9</v>
          </cell>
          <cell r="AB1047">
            <v>0.25</v>
          </cell>
          <cell r="AC1047">
            <v>0.33333333333333331</v>
          </cell>
          <cell r="AD1047">
            <v>27</v>
          </cell>
        </row>
        <row r="1048">
          <cell r="A1048">
            <v>44</v>
          </cell>
          <cell r="B1048">
            <v>3</v>
          </cell>
          <cell r="C1048">
            <v>3</v>
          </cell>
          <cell r="D1048">
            <v>3420</v>
          </cell>
          <cell r="E1048">
            <v>1</v>
          </cell>
          <cell r="F1048">
            <v>13</v>
          </cell>
          <cell r="G1048">
            <v>3</v>
          </cell>
          <cell r="H1048">
            <v>0</v>
          </cell>
          <cell r="I1048">
            <v>6</v>
          </cell>
          <cell r="J1048">
            <v>3</v>
          </cell>
          <cell r="K1048">
            <v>5</v>
          </cell>
          <cell r="L1048">
            <v>2</v>
          </cell>
          <cell r="M1048">
            <v>0</v>
          </cell>
          <cell r="N1048">
            <v>0</v>
          </cell>
          <cell r="O1048">
            <v>1</v>
          </cell>
          <cell r="P1048">
            <v>0</v>
          </cell>
          <cell r="Q1048">
            <v>0</v>
          </cell>
          <cell r="R1048">
            <v>0</v>
          </cell>
          <cell r="S1048">
            <v>0</v>
          </cell>
          <cell r="T1048">
            <v>3</v>
          </cell>
          <cell r="U1048">
            <v>0</v>
          </cell>
          <cell r="V1048">
            <v>0</v>
          </cell>
          <cell r="W1048">
            <v>0</v>
          </cell>
          <cell r="X1048">
            <v>0</v>
          </cell>
          <cell r="Y1048">
            <v>0</v>
          </cell>
          <cell r="Z1048">
            <v>0</v>
          </cell>
          <cell r="AA1048">
            <v>8</v>
          </cell>
          <cell r="AB1048">
            <v>0.16666666666666666</v>
          </cell>
          <cell r="AC1048">
            <v>0.4</v>
          </cell>
          <cell r="AD1048">
            <v>24</v>
          </cell>
        </row>
        <row r="1049">
          <cell r="A1049">
            <v>33</v>
          </cell>
          <cell r="B1049">
            <v>3</v>
          </cell>
          <cell r="C1049">
            <v>3</v>
          </cell>
          <cell r="D1049">
            <v>4373</v>
          </cell>
          <cell r="E1049">
            <v>0</v>
          </cell>
          <cell r="F1049">
            <v>14</v>
          </cell>
          <cell r="G1049">
            <v>3</v>
          </cell>
          <cell r="H1049">
            <v>2</v>
          </cell>
          <cell r="I1049">
            <v>5</v>
          </cell>
          <cell r="J1049">
            <v>2</v>
          </cell>
          <cell r="K1049">
            <v>4</v>
          </cell>
          <cell r="L1049">
            <v>3</v>
          </cell>
          <cell r="M1049">
            <v>0</v>
          </cell>
          <cell r="N1049">
            <v>0</v>
          </cell>
          <cell r="O1049">
            <v>0</v>
          </cell>
          <cell r="P1049">
            <v>0</v>
          </cell>
          <cell r="Q1049">
            <v>1</v>
          </cell>
          <cell r="R1049">
            <v>0</v>
          </cell>
          <cell r="S1049">
            <v>0</v>
          </cell>
          <cell r="T1049">
            <v>0</v>
          </cell>
          <cell r="U1049">
            <v>0</v>
          </cell>
          <cell r="V1049">
            <v>3</v>
          </cell>
          <cell r="W1049">
            <v>0</v>
          </cell>
          <cell r="X1049">
            <v>0</v>
          </cell>
          <cell r="Y1049">
            <v>1</v>
          </cell>
          <cell r="Z1049">
            <v>0</v>
          </cell>
          <cell r="AA1049">
            <v>4</v>
          </cell>
          <cell r="AB1049">
            <v>0</v>
          </cell>
          <cell r="AC1049">
            <v>0.75</v>
          </cell>
          <cell r="AD1049">
            <v>4</v>
          </cell>
        </row>
        <row r="1050">
          <cell r="A1050">
            <v>34</v>
          </cell>
          <cell r="B1050">
            <v>3</v>
          </cell>
          <cell r="C1050">
            <v>1</v>
          </cell>
          <cell r="D1050">
            <v>4759</v>
          </cell>
          <cell r="E1050">
            <v>3</v>
          </cell>
          <cell r="F1050">
            <v>18</v>
          </cell>
          <cell r="G1050">
            <v>3</v>
          </cell>
          <cell r="H1050">
            <v>0</v>
          </cell>
          <cell r="I1050">
            <v>15</v>
          </cell>
          <cell r="J1050">
            <v>2</v>
          </cell>
          <cell r="K1050">
            <v>13</v>
          </cell>
          <cell r="L1050">
            <v>9</v>
          </cell>
          <cell r="M1050">
            <v>0</v>
          </cell>
          <cell r="N1050">
            <v>0</v>
          </cell>
          <cell r="O1050">
            <v>0</v>
          </cell>
          <cell r="P1050">
            <v>0</v>
          </cell>
          <cell r="Q1050">
            <v>0</v>
          </cell>
          <cell r="R1050">
            <v>1</v>
          </cell>
          <cell r="S1050">
            <v>0</v>
          </cell>
          <cell r="T1050">
            <v>0</v>
          </cell>
          <cell r="U1050">
            <v>0</v>
          </cell>
          <cell r="V1050">
            <v>0</v>
          </cell>
          <cell r="W1050">
            <v>3</v>
          </cell>
          <cell r="X1050">
            <v>0</v>
          </cell>
          <cell r="Y1050">
            <v>0</v>
          </cell>
          <cell r="Z1050">
            <v>0</v>
          </cell>
          <cell r="AA1050">
            <v>4</v>
          </cell>
          <cell r="AB1050">
            <v>0.2</v>
          </cell>
          <cell r="AC1050">
            <v>0.69230769230769229</v>
          </cell>
          <cell r="AD1050">
            <v>16</v>
          </cell>
        </row>
        <row r="1051">
          <cell r="A1051">
            <v>30</v>
          </cell>
          <cell r="B1051">
            <v>1</v>
          </cell>
          <cell r="C1051">
            <v>3</v>
          </cell>
          <cell r="D1051">
            <v>5301</v>
          </cell>
          <cell r="E1051">
            <v>8</v>
          </cell>
          <cell r="F1051">
            <v>15</v>
          </cell>
          <cell r="G1051">
            <v>3</v>
          </cell>
          <cell r="H1051">
            <v>2</v>
          </cell>
          <cell r="I1051">
            <v>4</v>
          </cell>
          <cell r="J1051">
            <v>2</v>
          </cell>
          <cell r="K1051">
            <v>2</v>
          </cell>
          <cell r="L1051">
            <v>1</v>
          </cell>
          <cell r="M1051">
            <v>0</v>
          </cell>
          <cell r="N1051">
            <v>0</v>
          </cell>
          <cell r="O1051">
            <v>1</v>
          </cell>
          <cell r="P1051">
            <v>0</v>
          </cell>
          <cell r="Q1051">
            <v>0</v>
          </cell>
          <cell r="R1051">
            <v>0</v>
          </cell>
          <cell r="S1051">
            <v>0</v>
          </cell>
          <cell r="T1051">
            <v>1</v>
          </cell>
          <cell r="U1051">
            <v>0</v>
          </cell>
          <cell r="V1051">
            <v>0</v>
          </cell>
          <cell r="W1051">
            <v>0</v>
          </cell>
          <cell r="X1051">
            <v>0</v>
          </cell>
          <cell r="Y1051">
            <v>0</v>
          </cell>
          <cell r="Z1051">
            <v>0</v>
          </cell>
          <cell r="AA1051">
            <v>12</v>
          </cell>
          <cell r="AB1051">
            <v>2</v>
          </cell>
          <cell r="AC1051">
            <v>0.5</v>
          </cell>
          <cell r="AD1051">
            <v>36</v>
          </cell>
        </row>
        <row r="1052">
          <cell r="A1052">
            <v>42</v>
          </cell>
          <cell r="B1052">
            <v>2</v>
          </cell>
          <cell r="C1052">
            <v>3</v>
          </cell>
          <cell r="D1052">
            <v>3673</v>
          </cell>
          <cell r="E1052">
            <v>1</v>
          </cell>
          <cell r="F1052">
            <v>13</v>
          </cell>
          <cell r="G1052">
            <v>3</v>
          </cell>
          <cell r="H1052">
            <v>0</v>
          </cell>
          <cell r="I1052">
            <v>12</v>
          </cell>
          <cell r="J1052">
            <v>3</v>
          </cell>
          <cell r="K1052">
            <v>12</v>
          </cell>
          <cell r="L1052">
            <v>9</v>
          </cell>
          <cell r="M1052">
            <v>0</v>
          </cell>
          <cell r="N1052">
            <v>1</v>
          </cell>
          <cell r="O1052">
            <v>0</v>
          </cell>
          <cell r="P1052">
            <v>0</v>
          </cell>
          <cell r="Q1052">
            <v>1</v>
          </cell>
          <cell r="R1052">
            <v>0</v>
          </cell>
          <cell r="S1052">
            <v>0</v>
          </cell>
          <cell r="T1052">
            <v>0</v>
          </cell>
          <cell r="U1052">
            <v>0</v>
          </cell>
          <cell r="V1052">
            <v>2</v>
          </cell>
          <cell r="W1052">
            <v>0</v>
          </cell>
          <cell r="X1052">
            <v>0</v>
          </cell>
          <cell r="Y1052">
            <v>0</v>
          </cell>
          <cell r="Z1052">
            <v>0</v>
          </cell>
          <cell r="AA1052">
            <v>4</v>
          </cell>
          <cell r="AB1052">
            <v>8.3333333333333329E-2</v>
          </cell>
          <cell r="AC1052">
            <v>0.75</v>
          </cell>
          <cell r="AD1052">
            <v>12</v>
          </cell>
        </row>
        <row r="1053">
          <cell r="A1053">
            <v>44</v>
          </cell>
          <cell r="B1053">
            <v>5</v>
          </cell>
          <cell r="C1053">
            <v>3</v>
          </cell>
          <cell r="D1053">
            <v>4768</v>
          </cell>
          <cell r="E1053">
            <v>7</v>
          </cell>
          <cell r="F1053">
            <v>12</v>
          </cell>
          <cell r="G1053">
            <v>3</v>
          </cell>
          <cell r="H1053">
            <v>1</v>
          </cell>
          <cell r="I1053">
            <v>11</v>
          </cell>
          <cell r="J1053">
            <v>4</v>
          </cell>
          <cell r="K1053">
            <v>1</v>
          </cell>
          <cell r="L1053">
            <v>0</v>
          </cell>
          <cell r="M1053">
            <v>0</v>
          </cell>
          <cell r="N1053">
            <v>1</v>
          </cell>
          <cell r="O1053">
            <v>0</v>
          </cell>
          <cell r="P1053">
            <v>1</v>
          </cell>
          <cell r="Q1053">
            <v>0</v>
          </cell>
          <cell r="R1053">
            <v>0</v>
          </cell>
          <cell r="S1053">
            <v>0</v>
          </cell>
          <cell r="T1053">
            <v>0</v>
          </cell>
          <cell r="U1053">
            <v>5</v>
          </cell>
          <cell r="V1053">
            <v>0</v>
          </cell>
          <cell r="W1053">
            <v>0</v>
          </cell>
          <cell r="X1053">
            <v>0</v>
          </cell>
          <cell r="Y1053">
            <v>1</v>
          </cell>
          <cell r="Z1053">
            <v>0</v>
          </cell>
          <cell r="AA1053">
            <v>3</v>
          </cell>
          <cell r="AB1053">
            <v>0.63636363636363635</v>
          </cell>
          <cell r="AC1053">
            <v>0</v>
          </cell>
          <cell r="AD1053">
            <v>9</v>
          </cell>
        </row>
        <row r="1054">
          <cell r="A1054">
            <v>30</v>
          </cell>
          <cell r="B1054">
            <v>3</v>
          </cell>
          <cell r="C1054">
            <v>3</v>
          </cell>
          <cell r="D1054">
            <v>1274</v>
          </cell>
          <cell r="E1054">
            <v>1</v>
          </cell>
          <cell r="F1054">
            <v>13</v>
          </cell>
          <cell r="G1054">
            <v>3</v>
          </cell>
          <cell r="H1054">
            <v>2</v>
          </cell>
          <cell r="I1054">
            <v>1</v>
          </cell>
          <cell r="J1054">
            <v>2</v>
          </cell>
          <cell r="K1054">
            <v>1</v>
          </cell>
          <cell r="L1054">
            <v>0</v>
          </cell>
          <cell r="M1054">
            <v>0</v>
          </cell>
          <cell r="N1054">
            <v>0</v>
          </cell>
          <cell r="O1054">
            <v>0</v>
          </cell>
          <cell r="P1054">
            <v>0</v>
          </cell>
          <cell r="Q1054">
            <v>0</v>
          </cell>
          <cell r="R1054">
            <v>0</v>
          </cell>
          <cell r="S1054">
            <v>1</v>
          </cell>
          <cell r="T1054">
            <v>0</v>
          </cell>
          <cell r="U1054">
            <v>0</v>
          </cell>
          <cell r="V1054">
            <v>0</v>
          </cell>
          <cell r="W1054">
            <v>0</v>
          </cell>
          <cell r="X1054">
            <v>3</v>
          </cell>
          <cell r="Y1054">
            <v>0</v>
          </cell>
          <cell r="Z1054">
            <v>0</v>
          </cell>
          <cell r="AA1054">
            <v>9</v>
          </cell>
          <cell r="AB1054">
            <v>1</v>
          </cell>
          <cell r="AC1054">
            <v>0</v>
          </cell>
          <cell r="AD1054">
            <v>18</v>
          </cell>
        </row>
        <row r="1055">
          <cell r="A1055">
            <v>57</v>
          </cell>
          <cell r="B1055">
            <v>2</v>
          </cell>
          <cell r="C1055">
            <v>4</v>
          </cell>
          <cell r="D1055">
            <v>4900</v>
          </cell>
          <cell r="E1055">
            <v>0</v>
          </cell>
          <cell r="F1055">
            <v>24</v>
          </cell>
          <cell r="G1055">
            <v>4</v>
          </cell>
          <cell r="H1055">
            <v>1</v>
          </cell>
          <cell r="I1055">
            <v>13</v>
          </cell>
          <cell r="J1055">
            <v>2</v>
          </cell>
          <cell r="K1055">
            <v>12</v>
          </cell>
          <cell r="L1055">
            <v>9</v>
          </cell>
          <cell r="M1055">
            <v>0</v>
          </cell>
          <cell r="N1055">
            <v>0</v>
          </cell>
          <cell r="O1055">
            <v>1</v>
          </cell>
          <cell r="P1055">
            <v>0</v>
          </cell>
          <cell r="Q1055">
            <v>0</v>
          </cell>
          <cell r="R1055">
            <v>0</v>
          </cell>
          <cell r="S1055">
            <v>0</v>
          </cell>
          <cell r="T1055">
            <v>2</v>
          </cell>
          <cell r="U1055">
            <v>0</v>
          </cell>
          <cell r="V1055">
            <v>0</v>
          </cell>
          <cell r="W1055">
            <v>0</v>
          </cell>
          <cell r="X1055">
            <v>0</v>
          </cell>
          <cell r="Y1055">
            <v>0</v>
          </cell>
          <cell r="Z1055">
            <v>0</v>
          </cell>
          <cell r="AA1055">
            <v>6</v>
          </cell>
          <cell r="AB1055">
            <v>0</v>
          </cell>
          <cell r="AC1055">
            <v>0.75</v>
          </cell>
          <cell r="AD1055">
            <v>6</v>
          </cell>
        </row>
        <row r="1056">
          <cell r="A1056">
            <v>49</v>
          </cell>
          <cell r="B1056">
            <v>4</v>
          </cell>
          <cell r="C1056">
            <v>3</v>
          </cell>
          <cell r="D1056">
            <v>10466</v>
          </cell>
          <cell r="E1056">
            <v>3</v>
          </cell>
          <cell r="F1056">
            <v>14</v>
          </cell>
          <cell r="G1056">
            <v>3</v>
          </cell>
          <cell r="H1056">
            <v>2</v>
          </cell>
          <cell r="I1056">
            <v>29</v>
          </cell>
          <cell r="J1056">
            <v>3</v>
          </cell>
          <cell r="K1056">
            <v>8</v>
          </cell>
          <cell r="L1056">
            <v>7</v>
          </cell>
          <cell r="M1056">
            <v>0</v>
          </cell>
          <cell r="N1056">
            <v>0</v>
          </cell>
          <cell r="O1056">
            <v>1</v>
          </cell>
          <cell r="P1056">
            <v>0</v>
          </cell>
          <cell r="Q1056">
            <v>0</v>
          </cell>
          <cell r="R1056">
            <v>0</v>
          </cell>
          <cell r="S1056">
            <v>0</v>
          </cell>
          <cell r="T1056">
            <v>4</v>
          </cell>
          <cell r="U1056">
            <v>0</v>
          </cell>
          <cell r="V1056">
            <v>0</v>
          </cell>
          <cell r="W1056">
            <v>0</v>
          </cell>
          <cell r="X1056">
            <v>0</v>
          </cell>
          <cell r="Y1056">
            <v>0</v>
          </cell>
          <cell r="Z1056">
            <v>0</v>
          </cell>
          <cell r="AA1056">
            <v>6</v>
          </cell>
          <cell r="AB1056">
            <v>0.10344827586206896</v>
          </cell>
          <cell r="AC1056">
            <v>0.875</v>
          </cell>
          <cell r="AD1056">
            <v>12</v>
          </cell>
        </row>
        <row r="1057">
          <cell r="A1057">
            <v>34</v>
          </cell>
          <cell r="B1057">
            <v>3</v>
          </cell>
          <cell r="C1057">
            <v>3</v>
          </cell>
          <cell r="D1057">
            <v>17007</v>
          </cell>
          <cell r="E1057">
            <v>7</v>
          </cell>
          <cell r="F1057">
            <v>14</v>
          </cell>
          <cell r="G1057">
            <v>3</v>
          </cell>
          <cell r="H1057">
            <v>2</v>
          </cell>
          <cell r="I1057">
            <v>16</v>
          </cell>
          <cell r="J1057">
            <v>3</v>
          </cell>
          <cell r="K1057">
            <v>14</v>
          </cell>
          <cell r="L1057">
            <v>8</v>
          </cell>
          <cell r="M1057">
            <v>0</v>
          </cell>
          <cell r="N1057">
            <v>0</v>
          </cell>
          <cell r="O1057">
            <v>0</v>
          </cell>
          <cell r="P1057">
            <v>0</v>
          </cell>
          <cell r="Q1057">
            <v>1</v>
          </cell>
          <cell r="R1057">
            <v>0</v>
          </cell>
          <cell r="S1057">
            <v>0</v>
          </cell>
          <cell r="T1057">
            <v>0</v>
          </cell>
          <cell r="U1057">
            <v>0</v>
          </cell>
          <cell r="V1057">
            <v>3</v>
          </cell>
          <cell r="W1057">
            <v>0</v>
          </cell>
          <cell r="X1057">
            <v>0</v>
          </cell>
          <cell r="Y1057">
            <v>0</v>
          </cell>
          <cell r="Z1057">
            <v>0</v>
          </cell>
          <cell r="AA1057">
            <v>2</v>
          </cell>
          <cell r="AB1057">
            <v>0.4375</v>
          </cell>
          <cell r="AC1057">
            <v>0.5714285714285714</v>
          </cell>
          <cell r="AD1057">
            <v>8</v>
          </cell>
        </row>
        <row r="1058">
          <cell r="A1058">
            <v>28</v>
          </cell>
          <cell r="B1058">
            <v>3</v>
          </cell>
          <cell r="C1058">
            <v>3</v>
          </cell>
          <cell r="D1058">
            <v>2909</v>
          </cell>
          <cell r="E1058">
            <v>3</v>
          </cell>
          <cell r="F1058">
            <v>15</v>
          </cell>
          <cell r="G1058">
            <v>3</v>
          </cell>
          <cell r="H1058">
            <v>1</v>
          </cell>
          <cell r="I1058">
            <v>5</v>
          </cell>
          <cell r="J1058">
            <v>3</v>
          </cell>
          <cell r="K1058">
            <v>3</v>
          </cell>
          <cell r="L1058">
            <v>2</v>
          </cell>
          <cell r="M1058">
            <v>0</v>
          </cell>
          <cell r="N1058">
            <v>0</v>
          </cell>
          <cell r="O1058">
            <v>0</v>
          </cell>
          <cell r="P1058">
            <v>0</v>
          </cell>
          <cell r="Q1058">
            <v>0</v>
          </cell>
          <cell r="R1058">
            <v>0</v>
          </cell>
          <cell r="S1058">
            <v>1</v>
          </cell>
          <cell r="T1058">
            <v>0</v>
          </cell>
          <cell r="U1058">
            <v>0</v>
          </cell>
          <cell r="V1058">
            <v>0</v>
          </cell>
          <cell r="W1058">
            <v>0</v>
          </cell>
          <cell r="X1058">
            <v>3</v>
          </cell>
          <cell r="Y1058">
            <v>1</v>
          </cell>
          <cell r="Z1058">
            <v>0</v>
          </cell>
          <cell r="AA1058">
            <v>3</v>
          </cell>
          <cell r="AB1058">
            <v>0.6</v>
          </cell>
          <cell r="AC1058">
            <v>0.66666666666666663</v>
          </cell>
          <cell r="AD1058">
            <v>12</v>
          </cell>
        </row>
        <row r="1059">
          <cell r="A1059">
            <v>29</v>
          </cell>
          <cell r="B1059">
            <v>3</v>
          </cell>
          <cell r="C1059">
            <v>3</v>
          </cell>
          <cell r="D1059">
            <v>5765</v>
          </cell>
          <cell r="E1059">
            <v>5</v>
          </cell>
          <cell r="F1059">
            <v>11</v>
          </cell>
          <cell r="G1059">
            <v>3</v>
          </cell>
          <cell r="H1059">
            <v>0</v>
          </cell>
          <cell r="I1059">
            <v>7</v>
          </cell>
          <cell r="J1059">
            <v>4</v>
          </cell>
          <cell r="K1059">
            <v>5</v>
          </cell>
          <cell r="L1059">
            <v>3</v>
          </cell>
          <cell r="M1059">
            <v>0</v>
          </cell>
          <cell r="N1059">
            <v>1</v>
          </cell>
          <cell r="O1059">
            <v>0</v>
          </cell>
          <cell r="P1059">
            <v>0</v>
          </cell>
          <cell r="Q1059">
            <v>0</v>
          </cell>
          <cell r="R1059">
            <v>0</v>
          </cell>
          <cell r="S1059">
            <v>1</v>
          </cell>
          <cell r="T1059">
            <v>0</v>
          </cell>
          <cell r="U1059">
            <v>0</v>
          </cell>
          <cell r="V1059">
            <v>0</v>
          </cell>
          <cell r="W1059">
            <v>0</v>
          </cell>
          <cell r="X1059">
            <v>3</v>
          </cell>
          <cell r="Y1059">
            <v>0</v>
          </cell>
          <cell r="Z1059">
            <v>0</v>
          </cell>
          <cell r="AA1059">
            <v>2</v>
          </cell>
          <cell r="AB1059">
            <v>0.7142857142857143</v>
          </cell>
          <cell r="AC1059">
            <v>0.6</v>
          </cell>
          <cell r="AD1059">
            <v>2</v>
          </cell>
        </row>
        <row r="1060">
          <cell r="A1060">
            <v>34</v>
          </cell>
          <cell r="B1060">
            <v>4</v>
          </cell>
          <cell r="C1060">
            <v>2</v>
          </cell>
          <cell r="D1060">
            <v>4599</v>
          </cell>
          <cell r="E1060">
            <v>0</v>
          </cell>
          <cell r="F1060">
            <v>23</v>
          </cell>
          <cell r="G1060">
            <v>4</v>
          </cell>
          <cell r="H1060">
            <v>0</v>
          </cell>
          <cell r="I1060">
            <v>16</v>
          </cell>
          <cell r="J1060">
            <v>2</v>
          </cell>
          <cell r="K1060">
            <v>15</v>
          </cell>
          <cell r="L1060">
            <v>9</v>
          </cell>
          <cell r="M1060">
            <v>1</v>
          </cell>
          <cell r="N1060">
            <v>1</v>
          </cell>
          <cell r="O1060">
            <v>0</v>
          </cell>
          <cell r="P1060">
            <v>0</v>
          </cell>
          <cell r="Q1060">
            <v>1</v>
          </cell>
          <cell r="R1060">
            <v>0</v>
          </cell>
          <cell r="S1060">
            <v>0</v>
          </cell>
          <cell r="T1060">
            <v>0</v>
          </cell>
          <cell r="U1060">
            <v>0</v>
          </cell>
          <cell r="V1060">
            <v>4</v>
          </cell>
          <cell r="W1060">
            <v>0</v>
          </cell>
          <cell r="X1060">
            <v>0</v>
          </cell>
          <cell r="Y1060">
            <v>0</v>
          </cell>
          <cell r="Z1060">
            <v>0</v>
          </cell>
          <cell r="AA1060">
            <v>2</v>
          </cell>
          <cell r="AB1060">
            <v>0</v>
          </cell>
          <cell r="AC1060">
            <v>0.6</v>
          </cell>
          <cell r="AD1060">
            <v>6</v>
          </cell>
        </row>
        <row r="1061">
          <cell r="A1061">
            <v>35</v>
          </cell>
          <cell r="B1061">
            <v>1</v>
          </cell>
          <cell r="C1061">
            <v>3</v>
          </cell>
          <cell r="D1061">
            <v>2404</v>
          </cell>
          <cell r="E1061">
            <v>1</v>
          </cell>
          <cell r="F1061">
            <v>13</v>
          </cell>
          <cell r="G1061">
            <v>3</v>
          </cell>
          <cell r="H1061">
            <v>1</v>
          </cell>
          <cell r="I1061">
            <v>1</v>
          </cell>
          <cell r="J1061">
            <v>3</v>
          </cell>
          <cell r="K1061">
            <v>1</v>
          </cell>
          <cell r="L1061">
            <v>0</v>
          </cell>
          <cell r="M1061">
            <v>0</v>
          </cell>
          <cell r="N1061">
            <v>0</v>
          </cell>
          <cell r="O1061">
            <v>1</v>
          </cell>
          <cell r="P1061">
            <v>0</v>
          </cell>
          <cell r="Q1061">
            <v>0</v>
          </cell>
          <cell r="R1061">
            <v>0</v>
          </cell>
          <cell r="S1061">
            <v>0</v>
          </cell>
          <cell r="T1061">
            <v>1</v>
          </cell>
          <cell r="U1061">
            <v>0</v>
          </cell>
          <cell r="V1061">
            <v>0</v>
          </cell>
          <cell r="W1061">
            <v>0</v>
          </cell>
          <cell r="X1061">
            <v>0</v>
          </cell>
          <cell r="Y1061">
            <v>0</v>
          </cell>
          <cell r="Z1061">
            <v>0</v>
          </cell>
          <cell r="AA1061">
            <v>12</v>
          </cell>
          <cell r="AB1061">
            <v>1</v>
          </cell>
          <cell r="AC1061">
            <v>0</v>
          </cell>
          <cell r="AD1061">
            <v>12</v>
          </cell>
        </row>
        <row r="1062">
          <cell r="A1062">
            <v>24</v>
          </cell>
          <cell r="B1062">
            <v>3</v>
          </cell>
          <cell r="C1062">
            <v>3</v>
          </cell>
          <cell r="D1062">
            <v>3172</v>
          </cell>
          <cell r="E1062">
            <v>2</v>
          </cell>
          <cell r="F1062">
            <v>11</v>
          </cell>
          <cell r="G1062">
            <v>3</v>
          </cell>
          <cell r="H1062">
            <v>0</v>
          </cell>
          <cell r="I1062">
            <v>4</v>
          </cell>
          <cell r="J1062">
            <v>2</v>
          </cell>
          <cell r="K1062">
            <v>0</v>
          </cell>
          <cell r="L1062">
            <v>0</v>
          </cell>
          <cell r="M1062">
            <v>1</v>
          </cell>
          <cell r="N1062">
            <v>0</v>
          </cell>
          <cell r="O1062">
            <v>0</v>
          </cell>
          <cell r="P1062">
            <v>0</v>
          </cell>
          <cell r="Q1062">
            <v>1</v>
          </cell>
          <cell r="R1062">
            <v>0</v>
          </cell>
          <cell r="S1062">
            <v>0</v>
          </cell>
          <cell r="T1062">
            <v>0</v>
          </cell>
          <cell r="U1062">
            <v>0</v>
          </cell>
          <cell r="V1062">
            <v>3</v>
          </cell>
          <cell r="W1062">
            <v>0</v>
          </cell>
          <cell r="X1062">
            <v>0</v>
          </cell>
          <cell r="Y1062">
            <v>0</v>
          </cell>
          <cell r="Z1062">
            <v>0</v>
          </cell>
          <cell r="AA1062">
            <v>2</v>
          </cell>
          <cell r="AB1062">
            <v>0.5</v>
          </cell>
          <cell r="AC1062">
            <v>0</v>
          </cell>
          <cell r="AD1062">
            <v>6</v>
          </cell>
        </row>
        <row r="1063">
          <cell r="A1063">
            <v>24</v>
          </cell>
          <cell r="B1063">
            <v>2</v>
          </cell>
          <cell r="C1063">
            <v>3</v>
          </cell>
          <cell r="D1063">
            <v>2033</v>
          </cell>
          <cell r="E1063">
            <v>1</v>
          </cell>
          <cell r="F1063">
            <v>13</v>
          </cell>
          <cell r="G1063">
            <v>3</v>
          </cell>
          <cell r="H1063">
            <v>1</v>
          </cell>
          <cell r="I1063">
            <v>1</v>
          </cell>
          <cell r="J1063">
            <v>2</v>
          </cell>
          <cell r="K1063">
            <v>1</v>
          </cell>
          <cell r="L1063">
            <v>0</v>
          </cell>
          <cell r="M1063">
            <v>0</v>
          </cell>
          <cell r="N1063">
            <v>1</v>
          </cell>
          <cell r="O1063">
            <v>1</v>
          </cell>
          <cell r="P1063">
            <v>0</v>
          </cell>
          <cell r="Q1063">
            <v>0</v>
          </cell>
          <cell r="R1063">
            <v>0</v>
          </cell>
          <cell r="S1063">
            <v>0</v>
          </cell>
          <cell r="T1063">
            <v>2</v>
          </cell>
          <cell r="U1063">
            <v>0</v>
          </cell>
          <cell r="V1063">
            <v>0</v>
          </cell>
          <cell r="W1063">
            <v>0</v>
          </cell>
          <cell r="X1063">
            <v>0</v>
          </cell>
          <cell r="Y1063">
            <v>0</v>
          </cell>
          <cell r="Z1063">
            <v>0</v>
          </cell>
          <cell r="AA1063">
            <v>8</v>
          </cell>
          <cell r="AB1063">
            <v>1</v>
          </cell>
          <cell r="AC1063">
            <v>0</v>
          </cell>
          <cell r="AD1063">
            <v>24</v>
          </cell>
        </row>
        <row r="1064">
          <cell r="A1064">
            <v>44</v>
          </cell>
          <cell r="B1064">
            <v>1</v>
          </cell>
          <cell r="C1064">
            <v>3</v>
          </cell>
          <cell r="D1064">
            <v>10209</v>
          </cell>
          <cell r="E1064">
            <v>5</v>
          </cell>
          <cell r="F1064">
            <v>18</v>
          </cell>
          <cell r="G1064">
            <v>3</v>
          </cell>
          <cell r="H1064">
            <v>0</v>
          </cell>
          <cell r="I1064">
            <v>16</v>
          </cell>
          <cell r="J1064">
            <v>2</v>
          </cell>
          <cell r="K1064">
            <v>2</v>
          </cell>
          <cell r="L1064">
            <v>2</v>
          </cell>
          <cell r="M1064">
            <v>1</v>
          </cell>
          <cell r="N1064">
            <v>0</v>
          </cell>
          <cell r="O1064">
            <v>0</v>
          </cell>
          <cell r="P1064">
            <v>0</v>
          </cell>
          <cell r="Q1064">
            <v>1</v>
          </cell>
          <cell r="R1064">
            <v>0</v>
          </cell>
          <cell r="S1064">
            <v>0</v>
          </cell>
          <cell r="T1064">
            <v>0</v>
          </cell>
          <cell r="U1064">
            <v>0</v>
          </cell>
          <cell r="V1064">
            <v>1</v>
          </cell>
          <cell r="W1064">
            <v>0</v>
          </cell>
          <cell r="X1064">
            <v>0</v>
          </cell>
          <cell r="Y1064">
            <v>0</v>
          </cell>
          <cell r="Z1064">
            <v>0</v>
          </cell>
          <cell r="AA1064">
            <v>6</v>
          </cell>
          <cell r="AB1064">
            <v>0.3125</v>
          </cell>
          <cell r="AC1064">
            <v>1</v>
          </cell>
          <cell r="AD1064">
            <v>12</v>
          </cell>
        </row>
        <row r="1065">
          <cell r="A1065">
            <v>29</v>
          </cell>
          <cell r="B1065">
            <v>3</v>
          </cell>
          <cell r="C1065">
            <v>2</v>
          </cell>
          <cell r="D1065">
            <v>8620</v>
          </cell>
          <cell r="E1065">
            <v>1</v>
          </cell>
          <cell r="F1065">
            <v>14</v>
          </cell>
          <cell r="G1065">
            <v>3</v>
          </cell>
          <cell r="H1065">
            <v>2</v>
          </cell>
          <cell r="I1065">
            <v>10</v>
          </cell>
          <cell r="J1065">
            <v>3</v>
          </cell>
          <cell r="K1065">
            <v>10</v>
          </cell>
          <cell r="L1065">
            <v>7</v>
          </cell>
          <cell r="M1065">
            <v>0</v>
          </cell>
          <cell r="N1065">
            <v>0</v>
          </cell>
          <cell r="O1065">
            <v>1</v>
          </cell>
          <cell r="P1065">
            <v>0</v>
          </cell>
          <cell r="Q1065">
            <v>0</v>
          </cell>
          <cell r="R1065">
            <v>0</v>
          </cell>
          <cell r="S1065">
            <v>0</v>
          </cell>
          <cell r="T1065">
            <v>3</v>
          </cell>
          <cell r="U1065">
            <v>0</v>
          </cell>
          <cell r="V1065">
            <v>0</v>
          </cell>
          <cell r="W1065">
            <v>0</v>
          </cell>
          <cell r="X1065">
            <v>0</v>
          </cell>
          <cell r="Y1065">
            <v>0</v>
          </cell>
          <cell r="Z1065">
            <v>0</v>
          </cell>
          <cell r="AA1065">
            <v>9</v>
          </cell>
          <cell r="AB1065">
            <v>0.1</v>
          </cell>
          <cell r="AC1065">
            <v>0.7</v>
          </cell>
          <cell r="AD1065">
            <v>27</v>
          </cell>
        </row>
        <row r="1066">
          <cell r="A1066">
            <v>30</v>
          </cell>
          <cell r="B1066">
            <v>3</v>
          </cell>
          <cell r="C1066">
            <v>3</v>
          </cell>
          <cell r="D1066">
            <v>2064</v>
          </cell>
          <cell r="E1066">
            <v>0</v>
          </cell>
          <cell r="F1066">
            <v>21</v>
          </cell>
          <cell r="G1066">
            <v>4</v>
          </cell>
          <cell r="H1066">
            <v>1</v>
          </cell>
          <cell r="I1066">
            <v>6</v>
          </cell>
          <cell r="J1066">
            <v>3</v>
          </cell>
          <cell r="K1066">
            <v>5</v>
          </cell>
          <cell r="L1066">
            <v>3</v>
          </cell>
          <cell r="M1066">
            <v>0</v>
          </cell>
          <cell r="N1066">
            <v>0</v>
          </cell>
          <cell r="O1066">
            <v>1</v>
          </cell>
          <cell r="P1066">
            <v>0</v>
          </cell>
          <cell r="Q1066">
            <v>0</v>
          </cell>
          <cell r="R1066">
            <v>0</v>
          </cell>
          <cell r="S1066">
            <v>0</v>
          </cell>
          <cell r="T1066">
            <v>3</v>
          </cell>
          <cell r="U1066">
            <v>0</v>
          </cell>
          <cell r="V1066">
            <v>0</v>
          </cell>
          <cell r="W1066">
            <v>0</v>
          </cell>
          <cell r="X1066">
            <v>0</v>
          </cell>
          <cell r="Y1066">
            <v>0</v>
          </cell>
          <cell r="Z1066">
            <v>0</v>
          </cell>
          <cell r="AA1066">
            <v>9</v>
          </cell>
          <cell r="AB1066">
            <v>0</v>
          </cell>
          <cell r="AC1066">
            <v>0.6</v>
          </cell>
          <cell r="AD1066">
            <v>9</v>
          </cell>
        </row>
        <row r="1067">
          <cell r="A1067">
            <v>55</v>
          </cell>
          <cell r="B1067">
            <v>4</v>
          </cell>
          <cell r="C1067">
            <v>3</v>
          </cell>
          <cell r="D1067">
            <v>4035</v>
          </cell>
          <cell r="E1067">
            <v>0</v>
          </cell>
          <cell r="F1067">
            <v>16</v>
          </cell>
          <cell r="G1067">
            <v>3</v>
          </cell>
          <cell r="H1067">
            <v>0</v>
          </cell>
          <cell r="I1067">
            <v>4</v>
          </cell>
          <cell r="J1067">
            <v>2</v>
          </cell>
          <cell r="K1067">
            <v>3</v>
          </cell>
          <cell r="L1067">
            <v>2</v>
          </cell>
          <cell r="M1067">
            <v>1</v>
          </cell>
          <cell r="N1067">
            <v>0</v>
          </cell>
          <cell r="O1067">
            <v>1</v>
          </cell>
          <cell r="P1067">
            <v>0</v>
          </cell>
          <cell r="Q1067">
            <v>0</v>
          </cell>
          <cell r="R1067">
            <v>0</v>
          </cell>
          <cell r="S1067">
            <v>0</v>
          </cell>
          <cell r="T1067">
            <v>4</v>
          </cell>
          <cell r="U1067">
            <v>0</v>
          </cell>
          <cell r="V1067">
            <v>0</v>
          </cell>
          <cell r="W1067">
            <v>0</v>
          </cell>
          <cell r="X1067">
            <v>0</v>
          </cell>
          <cell r="Y1067">
            <v>0</v>
          </cell>
          <cell r="Z1067">
            <v>1</v>
          </cell>
          <cell r="AA1067">
            <v>12</v>
          </cell>
          <cell r="AB1067">
            <v>0</v>
          </cell>
          <cell r="AC1067">
            <v>0.66666666666666663</v>
          </cell>
          <cell r="AD1067">
            <v>24</v>
          </cell>
        </row>
        <row r="1068">
          <cell r="A1068">
            <v>33</v>
          </cell>
          <cell r="B1068">
            <v>4</v>
          </cell>
          <cell r="C1068">
            <v>2</v>
          </cell>
          <cell r="D1068">
            <v>3838</v>
          </cell>
          <cell r="E1068">
            <v>8</v>
          </cell>
          <cell r="F1068">
            <v>11</v>
          </cell>
          <cell r="G1068">
            <v>3</v>
          </cell>
          <cell r="H1068">
            <v>0</v>
          </cell>
          <cell r="I1068">
            <v>8</v>
          </cell>
          <cell r="J1068">
            <v>5</v>
          </cell>
          <cell r="K1068">
            <v>5</v>
          </cell>
          <cell r="L1068">
            <v>4</v>
          </cell>
          <cell r="M1068">
            <v>0</v>
          </cell>
          <cell r="N1068">
            <v>1</v>
          </cell>
          <cell r="O1068">
            <v>0</v>
          </cell>
          <cell r="P1068">
            <v>0</v>
          </cell>
          <cell r="Q1068">
            <v>1</v>
          </cell>
          <cell r="R1068">
            <v>0</v>
          </cell>
          <cell r="S1068">
            <v>0</v>
          </cell>
          <cell r="T1068">
            <v>0</v>
          </cell>
          <cell r="U1068">
            <v>0</v>
          </cell>
          <cell r="V1068">
            <v>4</v>
          </cell>
          <cell r="W1068">
            <v>0</v>
          </cell>
          <cell r="X1068">
            <v>0</v>
          </cell>
          <cell r="Y1068">
            <v>0</v>
          </cell>
          <cell r="Z1068">
            <v>0</v>
          </cell>
          <cell r="AA1068">
            <v>2</v>
          </cell>
          <cell r="AB1068">
            <v>1</v>
          </cell>
          <cell r="AC1068">
            <v>0.8</v>
          </cell>
          <cell r="AD1068">
            <v>8</v>
          </cell>
        </row>
        <row r="1069">
          <cell r="A1069">
            <v>47</v>
          </cell>
          <cell r="B1069">
            <v>3</v>
          </cell>
          <cell r="C1069">
            <v>3</v>
          </cell>
          <cell r="D1069">
            <v>4591</v>
          </cell>
          <cell r="E1069">
            <v>3</v>
          </cell>
          <cell r="F1069">
            <v>17</v>
          </cell>
          <cell r="G1069">
            <v>3</v>
          </cell>
          <cell r="H1069">
            <v>1</v>
          </cell>
          <cell r="I1069">
            <v>11</v>
          </cell>
          <cell r="J1069">
            <v>4</v>
          </cell>
          <cell r="K1069">
            <v>5</v>
          </cell>
          <cell r="L1069">
            <v>4</v>
          </cell>
          <cell r="M1069">
            <v>1</v>
          </cell>
          <cell r="N1069">
            <v>1</v>
          </cell>
          <cell r="O1069">
            <v>0</v>
          </cell>
          <cell r="P1069">
            <v>0</v>
          </cell>
          <cell r="Q1069">
            <v>1</v>
          </cell>
          <cell r="R1069">
            <v>0</v>
          </cell>
          <cell r="S1069">
            <v>0</v>
          </cell>
          <cell r="T1069">
            <v>0</v>
          </cell>
          <cell r="U1069">
            <v>0</v>
          </cell>
          <cell r="V1069">
            <v>3</v>
          </cell>
          <cell r="W1069">
            <v>0</v>
          </cell>
          <cell r="X1069">
            <v>0</v>
          </cell>
          <cell r="Y1069">
            <v>0</v>
          </cell>
          <cell r="Z1069">
            <v>1</v>
          </cell>
          <cell r="AA1069">
            <v>9</v>
          </cell>
          <cell r="AB1069">
            <v>0.27272727272727271</v>
          </cell>
          <cell r="AC1069">
            <v>0.8</v>
          </cell>
          <cell r="AD1069">
            <v>27</v>
          </cell>
        </row>
        <row r="1070">
          <cell r="A1070">
            <v>28</v>
          </cell>
          <cell r="B1070">
            <v>2</v>
          </cell>
          <cell r="C1070">
            <v>2</v>
          </cell>
          <cell r="D1070">
            <v>2561</v>
          </cell>
          <cell r="E1070">
            <v>7</v>
          </cell>
          <cell r="F1070">
            <v>11</v>
          </cell>
          <cell r="G1070">
            <v>3</v>
          </cell>
          <cell r="H1070">
            <v>0</v>
          </cell>
          <cell r="I1070">
            <v>8</v>
          </cell>
          <cell r="J1070">
            <v>2</v>
          </cell>
          <cell r="K1070">
            <v>0</v>
          </cell>
          <cell r="L1070">
            <v>0</v>
          </cell>
          <cell r="M1070">
            <v>0</v>
          </cell>
          <cell r="N1070">
            <v>0</v>
          </cell>
          <cell r="O1070">
            <v>0</v>
          </cell>
          <cell r="P1070">
            <v>0</v>
          </cell>
          <cell r="Q1070">
            <v>1</v>
          </cell>
          <cell r="R1070">
            <v>0</v>
          </cell>
          <cell r="S1070">
            <v>0</v>
          </cell>
          <cell r="T1070">
            <v>0</v>
          </cell>
          <cell r="U1070">
            <v>0</v>
          </cell>
          <cell r="V1070">
            <v>2</v>
          </cell>
          <cell r="W1070">
            <v>0</v>
          </cell>
          <cell r="X1070">
            <v>0</v>
          </cell>
          <cell r="Y1070">
            <v>0</v>
          </cell>
          <cell r="Z1070">
            <v>0</v>
          </cell>
          <cell r="AA1070">
            <v>3</v>
          </cell>
          <cell r="AB1070">
            <v>0.875</v>
          </cell>
          <cell r="AC1070">
            <v>0</v>
          </cell>
          <cell r="AD1070">
            <v>9</v>
          </cell>
        </row>
        <row r="1071">
          <cell r="A1071">
            <v>28</v>
          </cell>
          <cell r="B1071">
            <v>3</v>
          </cell>
          <cell r="C1071">
            <v>2</v>
          </cell>
          <cell r="D1071">
            <v>1563</v>
          </cell>
          <cell r="E1071">
            <v>1</v>
          </cell>
          <cell r="F1071">
            <v>14</v>
          </cell>
          <cell r="G1071">
            <v>3</v>
          </cell>
          <cell r="H1071">
            <v>1</v>
          </cell>
          <cell r="I1071">
            <v>1</v>
          </cell>
          <cell r="J1071">
            <v>2</v>
          </cell>
          <cell r="K1071">
            <v>1</v>
          </cell>
          <cell r="L1071">
            <v>0</v>
          </cell>
          <cell r="M1071">
            <v>0</v>
          </cell>
          <cell r="N1071">
            <v>0</v>
          </cell>
          <cell r="O1071">
            <v>1</v>
          </cell>
          <cell r="P1071">
            <v>0</v>
          </cell>
          <cell r="Q1071">
            <v>0</v>
          </cell>
          <cell r="R1071">
            <v>0</v>
          </cell>
          <cell r="S1071">
            <v>0</v>
          </cell>
          <cell r="T1071">
            <v>3</v>
          </cell>
          <cell r="U1071">
            <v>0</v>
          </cell>
          <cell r="V1071">
            <v>0</v>
          </cell>
          <cell r="W1071">
            <v>0</v>
          </cell>
          <cell r="X1071">
            <v>0</v>
          </cell>
          <cell r="Y1071">
            <v>0</v>
          </cell>
          <cell r="Z1071">
            <v>0</v>
          </cell>
          <cell r="AA1071">
            <v>3</v>
          </cell>
          <cell r="AB1071">
            <v>1</v>
          </cell>
          <cell r="AC1071">
            <v>0</v>
          </cell>
          <cell r="AD1071">
            <v>12</v>
          </cell>
        </row>
        <row r="1072">
          <cell r="A1072">
            <v>28</v>
          </cell>
          <cell r="B1072">
            <v>3</v>
          </cell>
          <cell r="C1072">
            <v>3</v>
          </cell>
          <cell r="D1072">
            <v>4898</v>
          </cell>
          <cell r="E1072">
            <v>0</v>
          </cell>
          <cell r="F1072">
            <v>14</v>
          </cell>
          <cell r="G1072">
            <v>3</v>
          </cell>
          <cell r="H1072">
            <v>0</v>
          </cell>
          <cell r="I1072">
            <v>5</v>
          </cell>
          <cell r="J1072">
            <v>5</v>
          </cell>
          <cell r="K1072">
            <v>4</v>
          </cell>
          <cell r="L1072">
            <v>2</v>
          </cell>
          <cell r="M1072">
            <v>0</v>
          </cell>
          <cell r="N1072">
            <v>0</v>
          </cell>
          <cell r="O1072">
            <v>1</v>
          </cell>
          <cell r="P1072">
            <v>0</v>
          </cell>
          <cell r="Q1072">
            <v>0</v>
          </cell>
          <cell r="R1072">
            <v>0</v>
          </cell>
          <cell r="S1072">
            <v>0</v>
          </cell>
          <cell r="T1072">
            <v>3</v>
          </cell>
          <cell r="U1072">
            <v>0</v>
          </cell>
          <cell r="V1072">
            <v>0</v>
          </cell>
          <cell r="W1072">
            <v>0</v>
          </cell>
          <cell r="X1072">
            <v>0</v>
          </cell>
          <cell r="Y1072">
            <v>0</v>
          </cell>
          <cell r="Z1072">
            <v>0</v>
          </cell>
          <cell r="AA1072">
            <v>3</v>
          </cell>
          <cell r="AB1072">
            <v>0</v>
          </cell>
          <cell r="AC1072">
            <v>0.5</v>
          </cell>
          <cell r="AD1072">
            <v>12</v>
          </cell>
        </row>
        <row r="1073">
          <cell r="A1073">
            <v>49</v>
          </cell>
          <cell r="B1073">
            <v>2</v>
          </cell>
          <cell r="C1073">
            <v>2</v>
          </cell>
          <cell r="D1073">
            <v>4789</v>
          </cell>
          <cell r="E1073">
            <v>4</v>
          </cell>
          <cell r="F1073">
            <v>25</v>
          </cell>
          <cell r="G1073">
            <v>4</v>
          </cell>
          <cell r="H1073">
            <v>1</v>
          </cell>
          <cell r="I1073">
            <v>10</v>
          </cell>
          <cell r="J1073">
            <v>3</v>
          </cell>
          <cell r="K1073">
            <v>3</v>
          </cell>
          <cell r="L1073">
            <v>2</v>
          </cell>
          <cell r="M1073">
            <v>0</v>
          </cell>
          <cell r="N1073">
            <v>1</v>
          </cell>
          <cell r="O1073">
            <v>0</v>
          </cell>
          <cell r="P1073">
            <v>0</v>
          </cell>
          <cell r="Q1073">
            <v>1</v>
          </cell>
          <cell r="R1073">
            <v>0</v>
          </cell>
          <cell r="S1073">
            <v>0</v>
          </cell>
          <cell r="T1073">
            <v>0</v>
          </cell>
          <cell r="U1073">
            <v>0</v>
          </cell>
          <cell r="V1073">
            <v>2</v>
          </cell>
          <cell r="W1073">
            <v>0</v>
          </cell>
          <cell r="X1073">
            <v>0</v>
          </cell>
          <cell r="Y1073">
            <v>0</v>
          </cell>
          <cell r="Z1073">
            <v>0</v>
          </cell>
          <cell r="AA1073">
            <v>3</v>
          </cell>
          <cell r="AB1073">
            <v>0.4</v>
          </cell>
          <cell r="AC1073">
            <v>0.66666666666666663</v>
          </cell>
          <cell r="AD1073">
            <v>3</v>
          </cell>
        </row>
        <row r="1074">
          <cell r="A1074">
            <v>29</v>
          </cell>
          <cell r="B1074">
            <v>1</v>
          </cell>
          <cell r="C1074">
            <v>3</v>
          </cell>
          <cell r="D1074">
            <v>3180</v>
          </cell>
          <cell r="E1074">
            <v>0</v>
          </cell>
          <cell r="F1074">
            <v>13</v>
          </cell>
          <cell r="G1074">
            <v>3</v>
          </cell>
          <cell r="H1074">
            <v>3</v>
          </cell>
          <cell r="I1074">
            <v>4</v>
          </cell>
          <cell r="J1074">
            <v>3</v>
          </cell>
          <cell r="K1074">
            <v>3</v>
          </cell>
          <cell r="L1074">
            <v>2</v>
          </cell>
          <cell r="M1074">
            <v>0</v>
          </cell>
          <cell r="N1074">
            <v>1</v>
          </cell>
          <cell r="O1074">
            <v>1</v>
          </cell>
          <cell r="P1074">
            <v>0</v>
          </cell>
          <cell r="Q1074">
            <v>0</v>
          </cell>
          <cell r="R1074">
            <v>0</v>
          </cell>
          <cell r="S1074">
            <v>0</v>
          </cell>
          <cell r="T1074">
            <v>1</v>
          </cell>
          <cell r="U1074">
            <v>0</v>
          </cell>
          <cell r="V1074">
            <v>0</v>
          </cell>
          <cell r="W1074">
            <v>0</v>
          </cell>
          <cell r="X1074">
            <v>0</v>
          </cell>
          <cell r="Y1074">
            <v>1</v>
          </cell>
          <cell r="Z1074">
            <v>0</v>
          </cell>
          <cell r="AA1074">
            <v>8</v>
          </cell>
          <cell r="AB1074">
            <v>0</v>
          </cell>
          <cell r="AC1074">
            <v>0.66666666666666663</v>
          </cell>
          <cell r="AD1074">
            <v>24</v>
          </cell>
        </row>
        <row r="1075">
          <cell r="A1075">
            <v>28</v>
          </cell>
          <cell r="B1075">
            <v>1</v>
          </cell>
          <cell r="C1075">
            <v>1</v>
          </cell>
          <cell r="D1075">
            <v>6549</v>
          </cell>
          <cell r="E1075">
            <v>1</v>
          </cell>
          <cell r="F1075">
            <v>14</v>
          </cell>
          <cell r="G1075">
            <v>3</v>
          </cell>
          <cell r="H1075">
            <v>2</v>
          </cell>
          <cell r="I1075">
            <v>8</v>
          </cell>
          <cell r="J1075">
            <v>2</v>
          </cell>
          <cell r="K1075">
            <v>8</v>
          </cell>
          <cell r="L1075">
            <v>6</v>
          </cell>
          <cell r="M1075">
            <v>0</v>
          </cell>
          <cell r="N1075">
            <v>0</v>
          </cell>
          <cell r="O1075">
            <v>1</v>
          </cell>
          <cell r="P1075">
            <v>0</v>
          </cell>
          <cell r="Q1075">
            <v>0</v>
          </cell>
          <cell r="R1075">
            <v>0</v>
          </cell>
          <cell r="S1075">
            <v>0</v>
          </cell>
          <cell r="T1075">
            <v>1</v>
          </cell>
          <cell r="U1075">
            <v>0</v>
          </cell>
          <cell r="V1075">
            <v>0</v>
          </cell>
          <cell r="W1075">
            <v>0</v>
          </cell>
          <cell r="X1075">
            <v>0</v>
          </cell>
          <cell r="Y1075">
            <v>0</v>
          </cell>
          <cell r="Z1075">
            <v>0</v>
          </cell>
          <cell r="AA1075">
            <v>6</v>
          </cell>
          <cell r="AB1075">
            <v>0.125</v>
          </cell>
          <cell r="AC1075">
            <v>0.75</v>
          </cell>
          <cell r="AD1075">
            <v>12</v>
          </cell>
        </row>
        <row r="1076">
          <cell r="A1076">
            <v>33</v>
          </cell>
          <cell r="B1076">
            <v>5</v>
          </cell>
          <cell r="C1076">
            <v>3</v>
          </cell>
          <cell r="D1076">
            <v>6388</v>
          </cell>
          <cell r="E1076">
            <v>2</v>
          </cell>
          <cell r="F1076">
            <v>17</v>
          </cell>
          <cell r="G1076">
            <v>3</v>
          </cell>
          <cell r="H1076">
            <v>0</v>
          </cell>
          <cell r="I1076">
            <v>14</v>
          </cell>
          <cell r="J1076">
            <v>6</v>
          </cell>
          <cell r="K1076">
            <v>0</v>
          </cell>
          <cell r="L1076">
            <v>0</v>
          </cell>
          <cell r="M1076">
            <v>1</v>
          </cell>
          <cell r="N1076">
            <v>0</v>
          </cell>
          <cell r="O1076">
            <v>1</v>
          </cell>
          <cell r="P1076">
            <v>0</v>
          </cell>
          <cell r="Q1076">
            <v>0</v>
          </cell>
          <cell r="R1076">
            <v>0</v>
          </cell>
          <cell r="S1076">
            <v>0</v>
          </cell>
          <cell r="T1076">
            <v>5</v>
          </cell>
          <cell r="U1076">
            <v>0</v>
          </cell>
          <cell r="V1076">
            <v>0</v>
          </cell>
          <cell r="W1076">
            <v>0</v>
          </cell>
          <cell r="X1076">
            <v>0</v>
          </cell>
          <cell r="Y1076">
            <v>0</v>
          </cell>
          <cell r="Z1076">
            <v>0</v>
          </cell>
          <cell r="AA1076">
            <v>12</v>
          </cell>
          <cell r="AB1076">
            <v>0.14285714285714285</v>
          </cell>
          <cell r="AC1076">
            <v>0</v>
          </cell>
          <cell r="AD1076">
            <v>12</v>
          </cell>
        </row>
        <row r="1077">
          <cell r="A1077">
            <v>32</v>
          </cell>
          <cell r="B1077">
            <v>3</v>
          </cell>
          <cell r="C1077">
            <v>3</v>
          </cell>
          <cell r="D1077">
            <v>11244</v>
          </cell>
          <cell r="E1077">
            <v>2</v>
          </cell>
          <cell r="F1077">
            <v>25</v>
          </cell>
          <cell r="G1077">
            <v>4</v>
          </cell>
          <cell r="H1077">
            <v>0</v>
          </cell>
          <cell r="I1077">
            <v>10</v>
          </cell>
          <cell r="J1077">
            <v>5</v>
          </cell>
          <cell r="K1077">
            <v>5</v>
          </cell>
          <cell r="L1077">
            <v>2</v>
          </cell>
          <cell r="M1077">
            <v>0</v>
          </cell>
          <cell r="N1077">
            <v>0</v>
          </cell>
          <cell r="O1077">
            <v>0</v>
          </cell>
          <cell r="P1077">
            <v>0</v>
          </cell>
          <cell r="Q1077">
            <v>1</v>
          </cell>
          <cell r="R1077">
            <v>0</v>
          </cell>
          <cell r="S1077">
            <v>0</v>
          </cell>
          <cell r="T1077">
            <v>0</v>
          </cell>
          <cell r="U1077">
            <v>0</v>
          </cell>
          <cell r="V1077">
            <v>3</v>
          </cell>
          <cell r="W1077">
            <v>0</v>
          </cell>
          <cell r="X1077">
            <v>0</v>
          </cell>
          <cell r="Y1077">
            <v>0</v>
          </cell>
          <cell r="Z1077">
            <v>0</v>
          </cell>
          <cell r="AA1077">
            <v>12</v>
          </cell>
          <cell r="AB1077">
            <v>0.2</v>
          </cell>
          <cell r="AC1077">
            <v>0.4</v>
          </cell>
          <cell r="AD1077">
            <v>24</v>
          </cell>
        </row>
        <row r="1078">
          <cell r="A1078">
            <v>54</v>
          </cell>
          <cell r="B1078">
            <v>4</v>
          </cell>
          <cell r="C1078">
            <v>3</v>
          </cell>
          <cell r="D1078">
            <v>16032</v>
          </cell>
          <cell r="E1078">
            <v>3</v>
          </cell>
          <cell r="F1078">
            <v>20</v>
          </cell>
          <cell r="G1078">
            <v>4</v>
          </cell>
          <cell r="H1078">
            <v>1</v>
          </cell>
          <cell r="I1078">
            <v>26</v>
          </cell>
          <cell r="J1078">
            <v>2</v>
          </cell>
          <cell r="K1078">
            <v>14</v>
          </cell>
          <cell r="L1078">
            <v>9</v>
          </cell>
          <cell r="M1078">
            <v>0</v>
          </cell>
          <cell r="N1078">
            <v>1</v>
          </cell>
          <cell r="O1078">
            <v>0</v>
          </cell>
          <cell r="P1078">
            <v>0</v>
          </cell>
          <cell r="Q1078">
            <v>1</v>
          </cell>
          <cell r="R1078">
            <v>0</v>
          </cell>
          <cell r="S1078">
            <v>0</v>
          </cell>
          <cell r="T1078">
            <v>0</v>
          </cell>
          <cell r="U1078">
            <v>0</v>
          </cell>
          <cell r="V1078">
            <v>4</v>
          </cell>
          <cell r="W1078">
            <v>0</v>
          </cell>
          <cell r="X1078">
            <v>0</v>
          </cell>
          <cell r="Y1078">
            <v>0</v>
          </cell>
          <cell r="Z1078">
            <v>0</v>
          </cell>
          <cell r="AA1078">
            <v>8</v>
          </cell>
          <cell r="AB1078">
            <v>0.11538461538461539</v>
          </cell>
          <cell r="AC1078">
            <v>0.6428571428571429</v>
          </cell>
          <cell r="AD1078">
            <v>8</v>
          </cell>
        </row>
        <row r="1079">
          <cell r="A1079">
            <v>29</v>
          </cell>
          <cell r="B1079">
            <v>4</v>
          </cell>
          <cell r="C1079">
            <v>2</v>
          </cell>
          <cell r="D1079">
            <v>2362</v>
          </cell>
          <cell r="E1079">
            <v>6</v>
          </cell>
          <cell r="F1079">
            <v>13</v>
          </cell>
          <cell r="G1079">
            <v>3</v>
          </cell>
          <cell r="H1079">
            <v>0</v>
          </cell>
          <cell r="I1079">
            <v>11</v>
          </cell>
          <cell r="J1079">
            <v>2</v>
          </cell>
          <cell r="K1079">
            <v>9</v>
          </cell>
          <cell r="L1079">
            <v>7</v>
          </cell>
          <cell r="M1079">
            <v>0</v>
          </cell>
          <cell r="N1079">
            <v>0</v>
          </cell>
          <cell r="O1079">
            <v>0</v>
          </cell>
          <cell r="P1079">
            <v>0</v>
          </cell>
          <cell r="Q1079">
            <v>0</v>
          </cell>
          <cell r="R1079">
            <v>0</v>
          </cell>
          <cell r="S1079">
            <v>1</v>
          </cell>
          <cell r="T1079">
            <v>0</v>
          </cell>
          <cell r="U1079">
            <v>0</v>
          </cell>
          <cell r="V1079">
            <v>0</v>
          </cell>
          <cell r="W1079">
            <v>0</v>
          </cell>
          <cell r="X1079">
            <v>4</v>
          </cell>
          <cell r="Y1079">
            <v>0</v>
          </cell>
          <cell r="Z1079">
            <v>0</v>
          </cell>
          <cell r="AA1079">
            <v>1</v>
          </cell>
          <cell r="AB1079">
            <v>0.54545454545454541</v>
          </cell>
          <cell r="AC1079">
            <v>0.77777777777777779</v>
          </cell>
          <cell r="AD1079">
            <v>3</v>
          </cell>
        </row>
        <row r="1080">
          <cell r="A1080">
            <v>44</v>
          </cell>
          <cell r="B1080">
            <v>3</v>
          </cell>
          <cell r="C1080">
            <v>3</v>
          </cell>
          <cell r="D1080">
            <v>16328</v>
          </cell>
          <cell r="E1080">
            <v>3</v>
          </cell>
          <cell r="F1080">
            <v>13</v>
          </cell>
          <cell r="G1080">
            <v>3</v>
          </cell>
          <cell r="H1080">
            <v>1</v>
          </cell>
          <cell r="I1080">
            <v>24</v>
          </cell>
          <cell r="J1080">
            <v>1</v>
          </cell>
          <cell r="K1080">
            <v>20</v>
          </cell>
          <cell r="L1080">
            <v>6</v>
          </cell>
          <cell r="M1080">
            <v>0</v>
          </cell>
          <cell r="N1080">
            <v>0</v>
          </cell>
          <cell r="O1080">
            <v>1</v>
          </cell>
          <cell r="P1080">
            <v>0</v>
          </cell>
          <cell r="Q1080">
            <v>0</v>
          </cell>
          <cell r="R1080">
            <v>0</v>
          </cell>
          <cell r="S1080">
            <v>0</v>
          </cell>
          <cell r="T1080">
            <v>3</v>
          </cell>
          <cell r="U1080">
            <v>0</v>
          </cell>
          <cell r="V1080">
            <v>0</v>
          </cell>
          <cell r="W1080">
            <v>0</v>
          </cell>
          <cell r="X1080">
            <v>0</v>
          </cell>
          <cell r="Y1080">
            <v>0</v>
          </cell>
          <cell r="Z1080">
            <v>0</v>
          </cell>
          <cell r="AA1080">
            <v>4</v>
          </cell>
          <cell r="AB1080">
            <v>0.125</v>
          </cell>
          <cell r="AC1080">
            <v>0.3</v>
          </cell>
          <cell r="AD1080">
            <v>12</v>
          </cell>
        </row>
        <row r="1081">
          <cell r="A1081">
            <v>39</v>
          </cell>
          <cell r="B1081">
            <v>3</v>
          </cell>
          <cell r="C1081">
            <v>3</v>
          </cell>
          <cell r="D1081">
            <v>8376</v>
          </cell>
          <cell r="E1081">
            <v>4</v>
          </cell>
          <cell r="F1081">
            <v>18</v>
          </cell>
          <cell r="G1081">
            <v>3</v>
          </cell>
          <cell r="H1081">
            <v>0</v>
          </cell>
          <cell r="I1081">
            <v>9</v>
          </cell>
          <cell r="J1081">
            <v>3</v>
          </cell>
          <cell r="K1081">
            <v>2</v>
          </cell>
          <cell r="L1081">
            <v>0</v>
          </cell>
          <cell r="M1081">
            <v>0</v>
          </cell>
          <cell r="N1081">
            <v>1</v>
          </cell>
          <cell r="O1081">
            <v>1</v>
          </cell>
          <cell r="P1081">
            <v>0</v>
          </cell>
          <cell r="Q1081">
            <v>0</v>
          </cell>
          <cell r="R1081">
            <v>0</v>
          </cell>
          <cell r="S1081">
            <v>0</v>
          </cell>
          <cell r="T1081">
            <v>3</v>
          </cell>
          <cell r="U1081">
            <v>0</v>
          </cell>
          <cell r="V1081">
            <v>0</v>
          </cell>
          <cell r="W1081">
            <v>0</v>
          </cell>
          <cell r="X1081">
            <v>0</v>
          </cell>
          <cell r="Y1081">
            <v>0</v>
          </cell>
          <cell r="Z1081">
            <v>0</v>
          </cell>
          <cell r="AA1081">
            <v>4</v>
          </cell>
          <cell r="AB1081">
            <v>0.44444444444444442</v>
          </cell>
          <cell r="AC1081">
            <v>0</v>
          </cell>
          <cell r="AD1081">
            <v>16</v>
          </cell>
        </row>
        <row r="1082">
          <cell r="A1082">
            <v>46</v>
          </cell>
          <cell r="B1082">
            <v>3</v>
          </cell>
          <cell r="C1082">
            <v>3</v>
          </cell>
          <cell r="D1082">
            <v>16606</v>
          </cell>
          <cell r="E1082">
            <v>8</v>
          </cell>
          <cell r="F1082">
            <v>12</v>
          </cell>
          <cell r="G1082">
            <v>3</v>
          </cell>
          <cell r="H1082">
            <v>1</v>
          </cell>
          <cell r="I1082">
            <v>23</v>
          </cell>
          <cell r="J1082">
            <v>2</v>
          </cell>
          <cell r="K1082">
            <v>13</v>
          </cell>
          <cell r="L1082">
            <v>12</v>
          </cell>
          <cell r="M1082">
            <v>0</v>
          </cell>
          <cell r="N1082">
            <v>1</v>
          </cell>
          <cell r="O1082">
            <v>1</v>
          </cell>
          <cell r="P1082">
            <v>0</v>
          </cell>
          <cell r="Q1082">
            <v>0</v>
          </cell>
          <cell r="R1082">
            <v>0</v>
          </cell>
          <cell r="S1082">
            <v>0</v>
          </cell>
          <cell r="T1082">
            <v>3</v>
          </cell>
          <cell r="U1082">
            <v>0</v>
          </cell>
          <cell r="V1082">
            <v>0</v>
          </cell>
          <cell r="W1082">
            <v>0</v>
          </cell>
          <cell r="X1082">
            <v>0</v>
          </cell>
          <cell r="Y1082">
            <v>0</v>
          </cell>
          <cell r="Z1082">
            <v>0</v>
          </cell>
          <cell r="AA1082">
            <v>6</v>
          </cell>
          <cell r="AB1082">
            <v>0.34782608695652173</v>
          </cell>
          <cell r="AC1082">
            <v>0.92307692307692313</v>
          </cell>
          <cell r="AD1082">
            <v>24</v>
          </cell>
        </row>
        <row r="1083">
          <cell r="A1083">
            <v>35</v>
          </cell>
          <cell r="B1083">
            <v>3</v>
          </cell>
          <cell r="C1083">
            <v>2</v>
          </cell>
          <cell r="D1083">
            <v>8606</v>
          </cell>
          <cell r="E1083">
            <v>1</v>
          </cell>
          <cell r="F1083">
            <v>19</v>
          </cell>
          <cell r="G1083">
            <v>3</v>
          </cell>
          <cell r="H1083">
            <v>0</v>
          </cell>
          <cell r="I1083">
            <v>11</v>
          </cell>
          <cell r="J1083">
            <v>3</v>
          </cell>
          <cell r="K1083">
            <v>11</v>
          </cell>
          <cell r="L1083">
            <v>8</v>
          </cell>
          <cell r="M1083">
            <v>0</v>
          </cell>
          <cell r="N1083">
            <v>1</v>
          </cell>
          <cell r="O1083">
            <v>1</v>
          </cell>
          <cell r="P1083">
            <v>0</v>
          </cell>
          <cell r="Q1083">
            <v>0</v>
          </cell>
          <cell r="R1083">
            <v>0</v>
          </cell>
          <cell r="S1083">
            <v>0</v>
          </cell>
          <cell r="T1083">
            <v>3</v>
          </cell>
          <cell r="U1083">
            <v>0</v>
          </cell>
          <cell r="V1083">
            <v>0</v>
          </cell>
          <cell r="W1083">
            <v>0</v>
          </cell>
          <cell r="X1083">
            <v>0</v>
          </cell>
          <cell r="Y1083">
            <v>0</v>
          </cell>
          <cell r="Z1083">
            <v>0</v>
          </cell>
          <cell r="AA1083">
            <v>8</v>
          </cell>
          <cell r="AB1083">
            <v>9.0909090909090912E-2</v>
          </cell>
          <cell r="AC1083">
            <v>0.72727272727272729</v>
          </cell>
          <cell r="AD1083">
            <v>32</v>
          </cell>
        </row>
        <row r="1084">
          <cell r="A1084">
            <v>23</v>
          </cell>
          <cell r="B1084">
            <v>1</v>
          </cell>
          <cell r="C1084">
            <v>3</v>
          </cell>
          <cell r="D1084">
            <v>2272</v>
          </cell>
          <cell r="E1084">
            <v>0</v>
          </cell>
          <cell r="F1084">
            <v>14</v>
          </cell>
          <cell r="G1084">
            <v>3</v>
          </cell>
          <cell r="H1084">
            <v>0</v>
          </cell>
          <cell r="I1084">
            <v>5</v>
          </cell>
          <cell r="J1084">
            <v>2</v>
          </cell>
          <cell r="K1084">
            <v>4</v>
          </cell>
          <cell r="L1084">
            <v>3</v>
          </cell>
          <cell r="M1084">
            <v>0</v>
          </cell>
          <cell r="N1084">
            <v>0</v>
          </cell>
          <cell r="O1084">
            <v>1</v>
          </cell>
          <cell r="P1084">
            <v>0</v>
          </cell>
          <cell r="Q1084">
            <v>0</v>
          </cell>
          <cell r="R1084">
            <v>0</v>
          </cell>
          <cell r="S1084">
            <v>0</v>
          </cell>
          <cell r="T1084">
            <v>1</v>
          </cell>
          <cell r="U1084">
            <v>0</v>
          </cell>
          <cell r="V1084">
            <v>0</v>
          </cell>
          <cell r="W1084">
            <v>0</v>
          </cell>
          <cell r="X1084">
            <v>0</v>
          </cell>
          <cell r="Y1084">
            <v>0</v>
          </cell>
          <cell r="Z1084">
            <v>0</v>
          </cell>
          <cell r="AA1084">
            <v>3</v>
          </cell>
          <cell r="AB1084">
            <v>0</v>
          </cell>
          <cell r="AC1084">
            <v>0.75</v>
          </cell>
          <cell r="AD1084">
            <v>6</v>
          </cell>
        </row>
        <row r="1085">
          <cell r="A1085">
            <v>40</v>
          </cell>
          <cell r="B1085">
            <v>4</v>
          </cell>
          <cell r="C1085">
            <v>3</v>
          </cell>
          <cell r="D1085">
            <v>2018</v>
          </cell>
          <cell r="E1085">
            <v>3</v>
          </cell>
          <cell r="F1085">
            <v>14</v>
          </cell>
          <cell r="G1085">
            <v>3</v>
          </cell>
          <cell r="H1085">
            <v>0</v>
          </cell>
          <cell r="I1085">
            <v>15</v>
          </cell>
          <cell r="J1085">
            <v>3</v>
          </cell>
          <cell r="K1085">
            <v>5</v>
          </cell>
          <cell r="L1085">
            <v>4</v>
          </cell>
          <cell r="M1085">
            <v>0</v>
          </cell>
          <cell r="N1085">
            <v>0</v>
          </cell>
          <cell r="O1085">
            <v>1</v>
          </cell>
          <cell r="P1085">
            <v>0</v>
          </cell>
          <cell r="Q1085">
            <v>0</v>
          </cell>
          <cell r="R1085">
            <v>0</v>
          </cell>
          <cell r="S1085">
            <v>0</v>
          </cell>
          <cell r="T1085">
            <v>4</v>
          </cell>
          <cell r="U1085">
            <v>0</v>
          </cell>
          <cell r="V1085">
            <v>0</v>
          </cell>
          <cell r="W1085">
            <v>0</v>
          </cell>
          <cell r="X1085">
            <v>0</v>
          </cell>
          <cell r="Y1085">
            <v>0</v>
          </cell>
          <cell r="Z1085">
            <v>0</v>
          </cell>
          <cell r="AA1085">
            <v>4</v>
          </cell>
          <cell r="AB1085">
            <v>0.2</v>
          </cell>
          <cell r="AC1085">
            <v>0.8</v>
          </cell>
          <cell r="AD1085">
            <v>8</v>
          </cell>
        </row>
        <row r="1086">
          <cell r="A1086">
            <v>34</v>
          </cell>
          <cell r="B1086">
            <v>3</v>
          </cell>
          <cell r="C1086">
            <v>2</v>
          </cell>
          <cell r="D1086">
            <v>7083</v>
          </cell>
          <cell r="E1086">
            <v>1</v>
          </cell>
          <cell r="F1086">
            <v>14</v>
          </cell>
          <cell r="G1086">
            <v>3</v>
          </cell>
          <cell r="H1086">
            <v>0</v>
          </cell>
          <cell r="I1086">
            <v>10</v>
          </cell>
          <cell r="J1086">
            <v>3</v>
          </cell>
          <cell r="K1086">
            <v>10</v>
          </cell>
          <cell r="L1086">
            <v>9</v>
          </cell>
          <cell r="M1086">
            <v>1</v>
          </cell>
          <cell r="N1086">
            <v>0</v>
          </cell>
          <cell r="O1086">
            <v>0</v>
          </cell>
          <cell r="P1086">
            <v>0</v>
          </cell>
          <cell r="Q1086">
            <v>0</v>
          </cell>
          <cell r="R1086">
            <v>0</v>
          </cell>
          <cell r="S1086">
            <v>1</v>
          </cell>
          <cell r="T1086">
            <v>0</v>
          </cell>
          <cell r="U1086">
            <v>0</v>
          </cell>
          <cell r="V1086">
            <v>0</v>
          </cell>
          <cell r="W1086">
            <v>0</v>
          </cell>
          <cell r="X1086">
            <v>3</v>
          </cell>
          <cell r="Y1086">
            <v>0</v>
          </cell>
          <cell r="Z1086">
            <v>1</v>
          </cell>
          <cell r="AA1086">
            <v>12</v>
          </cell>
          <cell r="AB1086">
            <v>0.1</v>
          </cell>
          <cell r="AC1086">
            <v>0.9</v>
          </cell>
          <cell r="AD1086">
            <v>48</v>
          </cell>
        </row>
        <row r="1087">
          <cell r="A1087">
            <v>31</v>
          </cell>
          <cell r="B1087">
            <v>3</v>
          </cell>
          <cell r="C1087">
            <v>3</v>
          </cell>
          <cell r="D1087">
            <v>4084</v>
          </cell>
          <cell r="E1087">
            <v>1</v>
          </cell>
          <cell r="F1087">
            <v>12</v>
          </cell>
          <cell r="G1087">
            <v>3</v>
          </cell>
          <cell r="H1087">
            <v>0</v>
          </cell>
          <cell r="I1087">
            <v>7</v>
          </cell>
          <cell r="J1087">
            <v>2</v>
          </cell>
          <cell r="K1087">
            <v>7</v>
          </cell>
          <cell r="L1087">
            <v>2</v>
          </cell>
          <cell r="M1087">
            <v>0</v>
          </cell>
          <cell r="N1087">
            <v>1</v>
          </cell>
          <cell r="O1087">
            <v>1</v>
          </cell>
          <cell r="P1087">
            <v>0</v>
          </cell>
          <cell r="Q1087">
            <v>0</v>
          </cell>
          <cell r="R1087">
            <v>0</v>
          </cell>
          <cell r="S1087">
            <v>0</v>
          </cell>
          <cell r="T1087">
            <v>3</v>
          </cell>
          <cell r="U1087">
            <v>0</v>
          </cell>
          <cell r="V1087">
            <v>0</v>
          </cell>
          <cell r="W1087">
            <v>0</v>
          </cell>
          <cell r="X1087">
            <v>0</v>
          </cell>
          <cell r="Y1087">
            <v>0</v>
          </cell>
          <cell r="Z1087">
            <v>0</v>
          </cell>
          <cell r="AA1087">
            <v>12</v>
          </cell>
          <cell r="AB1087">
            <v>0.14285714285714285</v>
          </cell>
          <cell r="AC1087">
            <v>0.2857142857142857</v>
          </cell>
          <cell r="AD1087">
            <v>12</v>
          </cell>
        </row>
        <row r="1088">
          <cell r="A1088">
            <v>50</v>
          </cell>
          <cell r="B1088">
            <v>5</v>
          </cell>
          <cell r="C1088">
            <v>1</v>
          </cell>
          <cell r="D1088">
            <v>14411</v>
          </cell>
          <cell r="E1088">
            <v>1</v>
          </cell>
          <cell r="F1088">
            <v>13</v>
          </cell>
          <cell r="G1088">
            <v>3</v>
          </cell>
          <cell r="H1088">
            <v>0</v>
          </cell>
          <cell r="I1088">
            <v>32</v>
          </cell>
          <cell r="J1088">
            <v>2</v>
          </cell>
          <cell r="K1088">
            <v>32</v>
          </cell>
          <cell r="L1088">
            <v>6</v>
          </cell>
          <cell r="M1088">
            <v>1</v>
          </cell>
          <cell r="N1088">
            <v>0</v>
          </cell>
          <cell r="O1088">
            <v>0</v>
          </cell>
          <cell r="P1088">
            <v>0</v>
          </cell>
          <cell r="Q1088">
            <v>1</v>
          </cell>
          <cell r="R1088">
            <v>0</v>
          </cell>
          <cell r="S1088">
            <v>0</v>
          </cell>
          <cell r="T1088">
            <v>0</v>
          </cell>
          <cell r="U1088">
            <v>0</v>
          </cell>
          <cell r="V1088">
            <v>5</v>
          </cell>
          <cell r="W1088">
            <v>0</v>
          </cell>
          <cell r="X1088">
            <v>0</v>
          </cell>
          <cell r="Y1088">
            <v>0</v>
          </cell>
          <cell r="Z1088">
            <v>0</v>
          </cell>
          <cell r="AA1088">
            <v>12</v>
          </cell>
          <cell r="AB1088">
            <v>3.125E-2</v>
          </cell>
          <cell r="AC1088">
            <v>0.1875</v>
          </cell>
          <cell r="AD1088">
            <v>48</v>
          </cell>
        </row>
        <row r="1089">
          <cell r="A1089">
            <v>34</v>
          </cell>
          <cell r="B1089">
            <v>2</v>
          </cell>
          <cell r="C1089">
            <v>3</v>
          </cell>
          <cell r="D1089">
            <v>2308</v>
          </cell>
          <cell r="E1089">
            <v>0</v>
          </cell>
          <cell r="F1089">
            <v>25</v>
          </cell>
          <cell r="G1089">
            <v>4</v>
          </cell>
          <cell r="H1089">
            <v>1</v>
          </cell>
          <cell r="I1089">
            <v>12</v>
          </cell>
          <cell r="J1089">
            <v>4</v>
          </cell>
          <cell r="K1089">
            <v>11</v>
          </cell>
          <cell r="L1089">
            <v>10</v>
          </cell>
          <cell r="M1089">
            <v>1</v>
          </cell>
          <cell r="N1089">
            <v>0</v>
          </cell>
          <cell r="O1089">
            <v>0</v>
          </cell>
          <cell r="P1089">
            <v>0</v>
          </cell>
          <cell r="Q1089">
            <v>0</v>
          </cell>
          <cell r="R1089">
            <v>0</v>
          </cell>
          <cell r="S1089">
            <v>1</v>
          </cell>
          <cell r="T1089">
            <v>0</v>
          </cell>
          <cell r="U1089">
            <v>0</v>
          </cell>
          <cell r="V1089">
            <v>0</v>
          </cell>
          <cell r="W1089">
            <v>0</v>
          </cell>
          <cell r="X1089">
            <v>2</v>
          </cell>
          <cell r="Y1089">
            <v>0</v>
          </cell>
          <cell r="Z1089">
            <v>1</v>
          </cell>
          <cell r="AA1089">
            <v>6</v>
          </cell>
          <cell r="AB1089">
            <v>0</v>
          </cell>
          <cell r="AC1089">
            <v>0.90909090909090906</v>
          </cell>
          <cell r="AD1089">
            <v>12</v>
          </cell>
        </row>
        <row r="1090">
          <cell r="A1090">
            <v>42</v>
          </cell>
          <cell r="B1090">
            <v>3</v>
          </cell>
          <cell r="C1090">
            <v>2</v>
          </cell>
          <cell r="D1090">
            <v>4841</v>
          </cell>
          <cell r="E1090">
            <v>4</v>
          </cell>
          <cell r="F1090">
            <v>14</v>
          </cell>
          <cell r="G1090">
            <v>3</v>
          </cell>
          <cell r="H1090">
            <v>1</v>
          </cell>
          <cell r="I1090">
            <v>4</v>
          </cell>
          <cell r="J1090">
            <v>3</v>
          </cell>
          <cell r="K1090">
            <v>1</v>
          </cell>
          <cell r="L1090">
            <v>0</v>
          </cell>
          <cell r="M1090">
            <v>0</v>
          </cell>
          <cell r="N1090">
            <v>0</v>
          </cell>
          <cell r="O1090">
            <v>0</v>
          </cell>
          <cell r="P1090">
            <v>0</v>
          </cell>
          <cell r="Q1090">
            <v>1</v>
          </cell>
          <cell r="R1090">
            <v>0</v>
          </cell>
          <cell r="S1090">
            <v>0</v>
          </cell>
          <cell r="T1090">
            <v>0</v>
          </cell>
          <cell r="U1090">
            <v>0</v>
          </cell>
          <cell r="V1090">
            <v>3</v>
          </cell>
          <cell r="W1090">
            <v>0</v>
          </cell>
          <cell r="X1090">
            <v>0</v>
          </cell>
          <cell r="Y1090">
            <v>0</v>
          </cell>
          <cell r="Z1090">
            <v>0</v>
          </cell>
          <cell r="AA1090">
            <v>6</v>
          </cell>
          <cell r="AB1090">
            <v>1</v>
          </cell>
          <cell r="AC1090">
            <v>0</v>
          </cell>
          <cell r="AD1090">
            <v>12</v>
          </cell>
        </row>
        <row r="1091">
          <cell r="A1091">
            <v>37</v>
          </cell>
          <cell r="B1091">
            <v>3</v>
          </cell>
          <cell r="C1091">
            <v>3</v>
          </cell>
          <cell r="D1091">
            <v>4285</v>
          </cell>
          <cell r="E1091">
            <v>1</v>
          </cell>
          <cell r="F1091">
            <v>17</v>
          </cell>
          <cell r="G1091">
            <v>3</v>
          </cell>
          <cell r="H1091">
            <v>0</v>
          </cell>
          <cell r="I1091">
            <v>10</v>
          </cell>
          <cell r="J1091">
            <v>2</v>
          </cell>
          <cell r="K1091">
            <v>10</v>
          </cell>
          <cell r="L1091">
            <v>8</v>
          </cell>
          <cell r="M1091">
            <v>0</v>
          </cell>
          <cell r="N1091">
            <v>0</v>
          </cell>
          <cell r="O1091">
            <v>0</v>
          </cell>
          <cell r="P1091">
            <v>0</v>
          </cell>
          <cell r="Q1091">
            <v>1</v>
          </cell>
          <cell r="R1091">
            <v>0</v>
          </cell>
          <cell r="S1091">
            <v>0</v>
          </cell>
          <cell r="T1091">
            <v>0</v>
          </cell>
          <cell r="U1091">
            <v>0</v>
          </cell>
          <cell r="V1091">
            <v>3</v>
          </cell>
          <cell r="W1091">
            <v>0</v>
          </cell>
          <cell r="X1091">
            <v>0</v>
          </cell>
          <cell r="Y1091">
            <v>0</v>
          </cell>
          <cell r="Z1091">
            <v>0</v>
          </cell>
          <cell r="AA1091">
            <v>4</v>
          </cell>
          <cell r="AB1091">
            <v>0.1</v>
          </cell>
          <cell r="AC1091">
            <v>0.8</v>
          </cell>
          <cell r="AD1091">
            <v>4</v>
          </cell>
        </row>
        <row r="1092">
          <cell r="A1092">
            <v>29</v>
          </cell>
          <cell r="B1092">
            <v>1</v>
          </cell>
          <cell r="C1092">
            <v>1</v>
          </cell>
          <cell r="D1092">
            <v>9715</v>
          </cell>
          <cell r="E1092">
            <v>3</v>
          </cell>
          <cell r="F1092">
            <v>13</v>
          </cell>
          <cell r="G1092">
            <v>3</v>
          </cell>
          <cell r="H1092">
            <v>1</v>
          </cell>
          <cell r="I1092">
            <v>9</v>
          </cell>
          <cell r="J1092">
            <v>3</v>
          </cell>
          <cell r="K1092">
            <v>7</v>
          </cell>
          <cell r="L1092">
            <v>7</v>
          </cell>
          <cell r="M1092">
            <v>0</v>
          </cell>
          <cell r="N1092">
            <v>1</v>
          </cell>
          <cell r="O1092">
            <v>0</v>
          </cell>
          <cell r="P1092">
            <v>0</v>
          </cell>
          <cell r="Q1092">
            <v>0</v>
          </cell>
          <cell r="R1092">
            <v>1</v>
          </cell>
          <cell r="S1092">
            <v>0</v>
          </cell>
          <cell r="T1092">
            <v>0</v>
          </cell>
          <cell r="U1092">
            <v>0</v>
          </cell>
          <cell r="V1092">
            <v>0</v>
          </cell>
          <cell r="W1092">
            <v>1</v>
          </cell>
          <cell r="X1092">
            <v>0</v>
          </cell>
          <cell r="Y1092">
            <v>0</v>
          </cell>
          <cell r="Z1092">
            <v>0</v>
          </cell>
          <cell r="AA1092">
            <v>3</v>
          </cell>
          <cell r="AB1092">
            <v>0.33333333333333331</v>
          </cell>
          <cell r="AC1092">
            <v>1</v>
          </cell>
          <cell r="AD1092">
            <v>9</v>
          </cell>
        </row>
        <row r="1093">
          <cell r="A1093">
            <v>33</v>
          </cell>
          <cell r="B1093">
            <v>3</v>
          </cell>
          <cell r="C1093">
            <v>2</v>
          </cell>
          <cell r="D1093">
            <v>4320</v>
          </cell>
          <cell r="E1093">
            <v>1</v>
          </cell>
          <cell r="F1093">
            <v>13</v>
          </cell>
          <cell r="G1093">
            <v>3</v>
          </cell>
          <cell r="H1093">
            <v>0</v>
          </cell>
          <cell r="I1093">
            <v>5</v>
          </cell>
          <cell r="J1093">
            <v>2</v>
          </cell>
          <cell r="K1093">
            <v>5</v>
          </cell>
          <cell r="L1093">
            <v>3</v>
          </cell>
          <cell r="M1093">
            <v>0</v>
          </cell>
          <cell r="N1093">
            <v>0</v>
          </cell>
          <cell r="O1093">
            <v>1</v>
          </cell>
          <cell r="P1093">
            <v>0</v>
          </cell>
          <cell r="Q1093">
            <v>0</v>
          </cell>
          <cell r="R1093">
            <v>0</v>
          </cell>
          <cell r="S1093">
            <v>0</v>
          </cell>
          <cell r="T1093">
            <v>3</v>
          </cell>
          <cell r="U1093">
            <v>0</v>
          </cell>
          <cell r="V1093">
            <v>0</v>
          </cell>
          <cell r="W1093">
            <v>0</v>
          </cell>
          <cell r="X1093">
            <v>0</v>
          </cell>
          <cell r="Y1093">
            <v>0</v>
          </cell>
          <cell r="Z1093">
            <v>0</v>
          </cell>
          <cell r="AA1093">
            <v>8</v>
          </cell>
          <cell r="AB1093">
            <v>0.2</v>
          </cell>
          <cell r="AC1093">
            <v>0.6</v>
          </cell>
          <cell r="AD1093">
            <v>32</v>
          </cell>
        </row>
        <row r="1094">
          <cell r="A1094">
            <v>45</v>
          </cell>
          <cell r="B1094">
            <v>3</v>
          </cell>
          <cell r="C1094">
            <v>3</v>
          </cell>
          <cell r="D1094">
            <v>2132</v>
          </cell>
          <cell r="E1094">
            <v>4</v>
          </cell>
          <cell r="F1094">
            <v>20</v>
          </cell>
          <cell r="G1094">
            <v>4</v>
          </cell>
          <cell r="H1094">
            <v>1</v>
          </cell>
          <cell r="I1094">
            <v>8</v>
          </cell>
          <cell r="J1094">
            <v>3</v>
          </cell>
          <cell r="K1094">
            <v>5</v>
          </cell>
          <cell r="L1094">
            <v>4</v>
          </cell>
          <cell r="M1094">
            <v>0</v>
          </cell>
          <cell r="N1094">
            <v>0</v>
          </cell>
          <cell r="O1094">
            <v>0</v>
          </cell>
          <cell r="P1094">
            <v>0</v>
          </cell>
          <cell r="Q1094">
            <v>0</v>
          </cell>
          <cell r="R1094">
            <v>0</v>
          </cell>
          <cell r="S1094">
            <v>1</v>
          </cell>
          <cell r="T1094">
            <v>0</v>
          </cell>
          <cell r="U1094">
            <v>0</v>
          </cell>
          <cell r="V1094">
            <v>0</v>
          </cell>
          <cell r="W1094">
            <v>0</v>
          </cell>
          <cell r="X1094">
            <v>3</v>
          </cell>
          <cell r="Y1094">
            <v>0</v>
          </cell>
          <cell r="Z1094">
            <v>0</v>
          </cell>
          <cell r="AA1094">
            <v>16</v>
          </cell>
          <cell r="AB1094">
            <v>0.5</v>
          </cell>
          <cell r="AC1094">
            <v>0.8</v>
          </cell>
          <cell r="AD1094">
            <v>64</v>
          </cell>
        </row>
        <row r="1095">
          <cell r="A1095">
            <v>42</v>
          </cell>
          <cell r="B1095">
            <v>3</v>
          </cell>
          <cell r="C1095">
            <v>3</v>
          </cell>
          <cell r="D1095">
            <v>10124</v>
          </cell>
          <cell r="E1095">
            <v>2</v>
          </cell>
          <cell r="F1095">
            <v>14</v>
          </cell>
          <cell r="G1095">
            <v>3</v>
          </cell>
          <cell r="H1095">
            <v>1</v>
          </cell>
          <cell r="I1095">
            <v>24</v>
          </cell>
          <cell r="J1095">
            <v>3</v>
          </cell>
          <cell r="K1095">
            <v>20</v>
          </cell>
          <cell r="L1095">
            <v>8</v>
          </cell>
          <cell r="M1095">
            <v>1</v>
          </cell>
          <cell r="N1095">
            <v>0</v>
          </cell>
          <cell r="O1095">
            <v>1</v>
          </cell>
          <cell r="P1095">
            <v>0</v>
          </cell>
          <cell r="Q1095">
            <v>0</v>
          </cell>
          <cell r="R1095">
            <v>0</v>
          </cell>
          <cell r="S1095">
            <v>0</v>
          </cell>
          <cell r="T1095">
            <v>3</v>
          </cell>
          <cell r="U1095">
            <v>0</v>
          </cell>
          <cell r="V1095">
            <v>0</v>
          </cell>
          <cell r="W1095">
            <v>0</v>
          </cell>
          <cell r="X1095">
            <v>0</v>
          </cell>
          <cell r="Y1095">
            <v>1</v>
          </cell>
          <cell r="Z1095">
            <v>1</v>
          </cell>
          <cell r="AA1095">
            <v>16</v>
          </cell>
          <cell r="AB1095">
            <v>8.3333333333333329E-2</v>
          </cell>
          <cell r="AC1095">
            <v>0.4</v>
          </cell>
          <cell r="AD1095">
            <v>48</v>
          </cell>
        </row>
        <row r="1096">
          <cell r="A1096">
            <v>40</v>
          </cell>
          <cell r="B1096">
            <v>2</v>
          </cell>
          <cell r="C1096">
            <v>3</v>
          </cell>
          <cell r="D1096">
            <v>5473</v>
          </cell>
          <cell r="E1096">
            <v>0</v>
          </cell>
          <cell r="F1096">
            <v>12</v>
          </cell>
          <cell r="G1096">
            <v>3</v>
          </cell>
          <cell r="H1096">
            <v>0</v>
          </cell>
          <cell r="I1096">
            <v>9</v>
          </cell>
          <cell r="J1096">
            <v>5</v>
          </cell>
          <cell r="K1096">
            <v>8</v>
          </cell>
          <cell r="L1096">
            <v>4</v>
          </cell>
          <cell r="M1096">
            <v>0</v>
          </cell>
          <cell r="N1096">
            <v>0</v>
          </cell>
          <cell r="O1096">
            <v>0</v>
          </cell>
          <cell r="P1096">
            <v>0</v>
          </cell>
          <cell r="Q1096">
            <v>1</v>
          </cell>
          <cell r="R1096">
            <v>0</v>
          </cell>
          <cell r="S1096">
            <v>0</v>
          </cell>
          <cell r="T1096">
            <v>0</v>
          </cell>
          <cell r="U1096">
            <v>0</v>
          </cell>
          <cell r="V1096">
            <v>2</v>
          </cell>
          <cell r="W1096">
            <v>0</v>
          </cell>
          <cell r="X1096">
            <v>0</v>
          </cell>
          <cell r="Y1096">
            <v>0</v>
          </cell>
          <cell r="Z1096">
            <v>0</v>
          </cell>
          <cell r="AA1096">
            <v>1</v>
          </cell>
          <cell r="AB1096">
            <v>0</v>
          </cell>
          <cell r="AC1096">
            <v>0.5</v>
          </cell>
          <cell r="AD1096">
            <v>4</v>
          </cell>
        </row>
        <row r="1097">
          <cell r="A1097">
            <v>33</v>
          </cell>
          <cell r="B1097">
            <v>4</v>
          </cell>
          <cell r="C1097">
            <v>3</v>
          </cell>
          <cell r="D1097">
            <v>5207</v>
          </cell>
          <cell r="E1097">
            <v>1</v>
          </cell>
          <cell r="F1097">
            <v>12</v>
          </cell>
          <cell r="G1097">
            <v>3</v>
          </cell>
          <cell r="H1097">
            <v>1</v>
          </cell>
          <cell r="I1097">
            <v>15</v>
          </cell>
          <cell r="J1097">
            <v>3</v>
          </cell>
          <cell r="K1097">
            <v>15</v>
          </cell>
          <cell r="L1097">
            <v>14</v>
          </cell>
          <cell r="M1097">
            <v>1</v>
          </cell>
          <cell r="N1097">
            <v>0</v>
          </cell>
          <cell r="O1097">
            <v>1</v>
          </cell>
          <cell r="P1097">
            <v>0</v>
          </cell>
          <cell r="Q1097">
            <v>0</v>
          </cell>
          <cell r="R1097">
            <v>0</v>
          </cell>
          <cell r="S1097">
            <v>0</v>
          </cell>
          <cell r="T1097">
            <v>4</v>
          </cell>
          <cell r="U1097">
            <v>0</v>
          </cell>
          <cell r="V1097">
            <v>0</v>
          </cell>
          <cell r="W1097">
            <v>0</v>
          </cell>
          <cell r="X1097">
            <v>0</v>
          </cell>
          <cell r="Y1097">
            <v>0</v>
          </cell>
          <cell r="Z1097">
            <v>1</v>
          </cell>
          <cell r="AA1097">
            <v>6</v>
          </cell>
          <cell r="AB1097">
            <v>6.6666666666666666E-2</v>
          </cell>
          <cell r="AC1097">
            <v>0.93333333333333335</v>
          </cell>
          <cell r="AD1097">
            <v>12</v>
          </cell>
        </row>
        <row r="1098">
          <cell r="A1098">
            <v>40</v>
          </cell>
          <cell r="B1098">
            <v>2</v>
          </cell>
          <cell r="C1098">
            <v>3</v>
          </cell>
          <cell r="D1098">
            <v>16437</v>
          </cell>
          <cell r="E1098">
            <v>1</v>
          </cell>
          <cell r="F1098">
            <v>21</v>
          </cell>
          <cell r="G1098">
            <v>4</v>
          </cell>
          <cell r="H1098">
            <v>0</v>
          </cell>
          <cell r="I1098">
            <v>21</v>
          </cell>
          <cell r="J1098">
            <v>2</v>
          </cell>
          <cell r="K1098">
            <v>21</v>
          </cell>
          <cell r="L1098">
            <v>7</v>
          </cell>
          <cell r="M1098">
            <v>1</v>
          </cell>
          <cell r="N1098">
            <v>0</v>
          </cell>
          <cell r="O1098">
            <v>0</v>
          </cell>
          <cell r="P1098">
            <v>0</v>
          </cell>
          <cell r="Q1098">
            <v>1</v>
          </cell>
          <cell r="R1098">
            <v>0</v>
          </cell>
          <cell r="S1098">
            <v>0</v>
          </cell>
          <cell r="T1098">
            <v>0</v>
          </cell>
          <cell r="U1098">
            <v>0</v>
          </cell>
          <cell r="V1098">
            <v>2</v>
          </cell>
          <cell r="W1098">
            <v>0</v>
          </cell>
          <cell r="X1098">
            <v>0</v>
          </cell>
          <cell r="Y1098">
            <v>0</v>
          </cell>
          <cell r="Z1098">
            <v>0</v>
          </cell>
          <cell r="AA1098">
            <v>12</v>
          </cell>
          <cell r="AB1098">
            <v>4.7619047619047616E-2</v>
          </cell>
          <cell r="AC1098">
            <v>0.33333333333333331</v>
          </cell>
          <cell r="AD1098">
            <v>48</v>
          </cell>
        </row>
        <row r="1099">
          <cell r="A1099">
            <v>24</v>
          </cell>
          <cell r="B1099">
            <v>2</v>
          </cell>
          <cell r="C1099">
            <v>2</v>
          </cell>
          <cell r="D1099">
            <v>2296</v>
          </cell>
          <cell r="E1099">
            <v>0</v>
          </cell>
          <cell r="F1099">
            <v>14</v>
          </cell>
          <cell r="G1099">
            <v>3</v>
          </cell>
          <cell r="H1099">
            <v>3</v>
          </cell>
          <cell r="I1099">
            <v>2</v>
          </cell>
          <cell r="J1099">
            <v>3</v>
          </cell>
          <cell r="K1099">
            <v>1</v>
          </cell>
          <cell r="L1099">
            <v>1</v>
          </cell>
          <cell r="M1099">
            <v>0</v>
          </cell>
          <cell r="N1099">
            <v>0</v>
          </cell>
          <cell r="O1099">
            <v>0</v>
          </cell>
          <cell r="P1099">
            <v>0</v>
          </cell>
          <cell r="Q1099">
            <v>0</v>
          </cell>
          <cell r="R1099">
            <v>0</v>
          </cell>
          <cell r="S1099">
            <v>1</v>
          </cell>
          <cell r="T1099">
            <v>0</v>
          </cell>
          <cell r="U1099">
            <v>0</v>
          </cell>
          <cell r="V1099">
            <v>0</v>
          </cell>
          <cell r="W1099">
            <v>0</v>
          </cell>
          <cell r="X1099">
            <v>2</v>
          </cell>
          <cell r="Y1099">
            <v>0</v>
          </cell>
          <cell r="Z1099">
            <v>0</v>
          </cell>
          <cell r="AA1099">
            <v>3</v>
          </cell>
          <cell r="AB1099">
            <v>0</v>
          </cell>
          <cell r="AC1099">
            <v>1</v>
          </cell>
          <cell r="AD1099">
            <v>6</v>
          </cell>
        </row>
        <row r="1100">
          <cell r="A1100">
            <v>40</v>
          </cell>
          <cell r="B1100">
            <v>2</v>
          </cell>
          <cell r="C1100">
            <v>3</v>
          </cell>
          <cell r="D1100">
            <v>4069</v>
          </cell>
          <cell r="E1100">
            <v>3</v>
          </cell>
          <cell r="F1100">
            <v>18</v>
          </cell>
          <cell r="G1100">
            <v>3</v>
          </cell>
          <cell r="H1100">
            <v>0</v>
          </cell>
          <cell r="I1100">
            <v>8</v>
          </cell>
          <cell r="J1100">
            <v>2</v>
          </cell>
          <cell r="K1100">
            <v>2</v>
          </cell>
          <cell r="L1100">
            <v>2</v>
          </cell>
          <cell r="M1100">
            <v>1</v>
          </cell>
          <cell r="N1100">
            <v>0</v>
          </cell>
          <cell r="O1100">
            <v>1</v>
          </cell>
          <cell r="P1100">
            <v>0</v>
          </cell>
          <cell r="Q1100">
            <v>0</v>
          </cell>
          <cell r="R1100">
            <v>0</v>
          </cell>
          <cell r="S1100">
            <v>0</v>
          </cell>
          <cell r="T1100">
            <v>2</v>
          </cell>
          <cell r="U1100">
            <v>0</v>
          </cell>
          <cell r="V1100">
            <v>0</v>
          </cell>
          <cell r="W1100">
            <v>0</v>
          </cell>
          <cell r="X1100">
            <v>0</v>
          </cell>
          <cell r="Y1100">
            <v>0</v>
          </cell>
          <cell r="Z1100">
            <v>0</v>
          </cell>
          <cell r="AA1100">
            <v>16</v>
          </cell>
          <cell r="AB1100">
            <v>0.375</v>
          </cell>
          <cell r="AC1100">
            <v>1</v>
          </cell>
          <cell r="AD1100">
            <v>48</v>
          </cell>
        </row>
        <row r="1101">
          <cell r="A1101">
            <v>45</v>
          </cell>
          <cell r="B1101">
            <v>4</v>
          </cell>
          <cell r="C1101">
            <v>3</v>
          </cell>
          <cell r="D1101">
            <v>7441</v>
          </cell>
          <cell r="E1101">
            <v>1</v>
          </cell>
          <cell r="F1101">
            <v>12</v>
          </cell>
          <cell r="G1101">
            <v>3</v>
          </cell>
          <cell r="H1101">
            <v>3</v>
          </cell>
          <cell r="I1101">
            <v>10</v>
          </cell>
          <cell r="J1101">
            <v>4</v>
          </cell>
          <cell r="K1101">
            <v>10</v>
          </cell>
          <cell r="L1101">
            <v>8</v>
          </cell>
          <cell r="M1101">
            <v>0</v>
          </cell>
          <cell r="N1101">
            <v>0</v>
          </cell>
          <cell r="O1101">
            <v>0</v>
          </cell>
          <cell r="P1101">
            <v>0</v>
          </cell>
          <cell r="Q1101">
            <v>0</v>
          </cell>
          <cell r="R1101">
            <v>0</v>
          </cell>
          <cell r="S1101">
            <v>1</v>
          </cell>
          <cell r="T1101">
            <v>0</v>
          </cell>
          <cell r="U1101">
            <v>0</v>
          </cell>
          <cell r="V1101">
            <v>0</v>
          </cell>
          <cell r="W1101">
            <v>0</v>
          </cell>
          <cell r="X1101">
            <v>4</v>
          </cell>
          <cell r="Y1101">
            <v>0</v>
          </cell>
          <cell r="Z1101">
            <v>0</v>
          </cell>
          <cell r="AA1101">
            <v>2</v>
          </cell>
          <cell r="AB1101">
            <v>0.1</v>
          </cell>
          <cell r="AC1101">
            <v>0.8</v>
          </cell>
          <cell r="AD1101">
            <v>2</v>
          </cell>
        </row>
        <row r="1102">
          <cell r="A1102">
            <v>35</v>
          </cell>
          <cell r="B1102">
            <v>4</v>
          </cell>
          <cell r="C1102">
            <v>2</v>
          </cell>
          <cell r="D1102">
            <v>2430</v>
          </cell>
          <cell r="E1102">
            <v>0</v>
          </cell>
          <cell r="F1102">
            <v>23</v>
          </cell>
          <cell r="G1102">
            <v>4</v>
          </cell>
          <cell r="H1102">
            <v>2</v>
          </cell>
          <cell r="I1102">
            <v>6</v>
          </cell>
          <cell r="J1102">
            <v>5</v>
          </cell>
          <cell r="K1102">
            <v>5</v>
          </cell>
          <cell r="L1102">
            <v>3</v>
          </cell>
          <cell r="M1102">
            <v>0</v>
          </cell>
          <cell r="N1102">
            <v>1</v>
          </cell>
          <cell r="O1102">
            <v>1</v>
          </cell>
          <cell r="P1102">
            <v>0</v>
          </cell>
          <cell r="Q1102">
            <v>0</v>
          </cell>
          <cell r="R1102">
            <v>0</v>
          </cell>
          <cell r="S1102">
            <v>0</v>
          </cell>
          <cell r="T1102">
            <v>4</v>
          </cell>
          <cell r="U1102">
            <v>0</v>
          </cell>
          <cell r="V1102">
            <v>0</v>
          </cell>
          <cell r="W1102">
            <v>0</v>
          </cell>
          <cell r="X1102">
            <v>0</v>
          </cell>
          <cell r="Y1102">
            <v>0</v>
          </cell>
          <cell r="Z1102">
            <v>0</v>
          </cell>
          <cell r="AA1102">
            <v>6</v>
          </cell>
          <cell r="AB1102">
            <v>0</v>
          </cell>
          <cell r="AC1102">
            <v>0.6</v>
          </cell>
          <cell r="AD1102">
            <v>6</v>
          </cell>
        </row>
        <row r="1103">
          <cell r="A1103">
            <v>32</v>
          </cell>
          <cell r="B1103">
            <v>2</v>
          </cell>
          <cell r="C1103">
            <v>2</v>
          </cell>
          <cell r="D1103">
            <v>5878</v>
          </cell>
          <cell r="E1103">
            <v>3</v>
          </cell>
          <cell r="F1103">
            <v>12</v>
          </cell>
          <cell r="G1103">
            <v>3</v>
          </cell>
          <cell r="H1103">
            <v>1</v>
          </cell>
          <cell r="I1103">
            <v>12</v>
          </cell>
          <cell r="J1103">
            <v>2</v>
          </cell>
          <cell r="K1103">
            <v>7</v>
          </cell>
          <cell r="L1103">
            <v>1</v>
          </cell>
          <cell r="M1103">
            <v>0</v>
          </cell>
          <cell r="N1103">
            <v>1</v>
          </cell>
          <cell r="O1103">
            <v>1</v>
          </cell>
          <cell r="P1103">
            <v>0</v>
          </cell>
          <cell r="Q1103">
            <v>0</v>
          </cell>
          <cell r="R1103">
            <v>0</v>
          </cell>
          <cell r="S1103">
            <v>0</v>
          </cell>
          <cell r="T1103">
            <v>2</v>
          </cell>
          <cell r="U1103">
            <v>0</v>
          </cell>
          <cell r="V1103">
            <v>0</v>
          </cell>
          <cell r="W1103">
            <v>0</v>
          </cell>
          <cell r="X1103">
            <v>0</v>
          </cell>
          <cell r="Y1103">
            <v>0</v>
          </cell>
          <cell r="Z1103">
            <v>0</v>
          </cell>
          <cell r="AA1103">
            <v>8</v>
          </cell>
          <cell r="AB1103">
            <v>0.25</v>
          </cell>
          <cell r="AC1103">
            <v>0.14285714285714285</v>
          </cell>
          <cell r="AD1103">
            <v>8</v>
          </cell>
        </row>
        <row r="1104">
          <cell r="A1104">
            <v>36</v>
          </cell>
          <cell r="B1104">
            <v>4</v>
          </cell>
          <cell r="C1104">
            <v>3</v>
          </cell>
          <cell r="D1104">
            <v>2644</v>
          </cell>
          <cell r="E1104">
            <v>3</v>
          </cell>
          <cell r="F1104">
            <v>21</v>
          </cell>
          <cell r="G1104">
            <v>4</v>
          </cell>
          <cell r="H1104">
            <v>0</v>
          </cell>
          <cell r="I1104">
            <v>7</v>
          </cell>
          <cell r="J1104">
            <v>3</v>
          </cell>
          <cell r="K1104">
            <v>3</v>
          </cell>
          <cell r="L1104">
            <v>2</v>
          </cell>
          <cell r="M1104">
            <v>1</v>
          </cell>
          <cell r="N1104">
            <v>0</v>
          </cell>
          <cell r="O1104">
            <v>1</v>
          </cell>
          <cell r="P1104">
            <v>0</v>
          </cell>
          <cell r="Q1104">
            <v>0</v>
          </cell>
          <cell r="R1104">
            <v>0</v>
          </cell>
          <cell r="S1104">
            <v>0</v>
          </cell>
          <cell r="T1104">
            <v>4</v>
          </cell>
          <cell r="U1104">
            <v>0</v>
          </cell>
          <cell r="V1104">
            <v>0</v>
          </cell>
          <cell r="W1104">
            <v>0</v>
          </cell>
          <cell r="X1104">
            <v>0</v>
          </cell>
          <cell r="Y1104">
            <v>0</v>
          </cell>
          <cell r="Z1104">
            <v>0</v>
          </cell>
          <cell r="AA1104">
            <v>12</v>
          </cell>
          <cell r="AB1104">
            <v>0.42857142857142855</v>
          </cell>
          <cell r="AC1104">
            <v>0.66666666666666663</v>
          </cell>
          <cell r="AD1104">
            <v>48</v>
          </cell>
        </row>
        <row r="1105">
          <cell r="A1105">
            <v>48</v>
          </cell>
          <cell r="B1105">
            <v>4</v>
          </cell>
          <cell r="C1105">
            <v>3</v>
          </cell>
          <cell r="D1105">
            <v>6439</v>
          </cell>
          <cell r="E1105">
            <v>8</v>
          </cell>
          <cell r="F1105">
            <v>14</v>
          </cell>
          <cell r="G1105">
            <v>3</v>
          </cell>
          <cell r="H1105">
            <v>1</v>
          </cell>
          <cell r="I1105">
            <v>18</v>
          </cell>
          <cell r="J1105">
            <v>2</v>
          </cell>
          <cell r="K1105">
            <v>8</v>
          </cell>
          <cell r="L1105">
            <v>7</v>
          </cell>
          <cell r="M1105">
            <v>0</v>
          </cell>
          <cell r="N1105">
            <v>1</v>
          </cell>
          <cell r="O1105">
            <v>1</v>
          </cell>
          <cell r="P1105">
            <v>0</v>
          </cell>
          <cell r="Q1105">
            <v>0</v>
          </cell>
          <cell r="R1105">
            <v>0</v>
          </cell>
          <cell r="S1105">
            <v>0</v>
          </cell>
          <cell r="T1105">
            <v>4</v>
          </cell>
          <cell r="U1105">
            <v>0</v>
          </cell>
          <cell r="V1105">
            <v>0</v>
          </cell>
          <cell r="W1105">
            <v>0</v>
          </cell>
          <cell r="X1105">
            <v>0</v>
          </cell>
          <cell r="Y1105">
            <v>0</v>
          </cell>
          <cell r="Z1105">
            <v>0</v>
          </cell>
          <cell r="AA1105">
            <v>9</v>
          </cell>
          <cell r="AB1105">
            <v>0.44444444444444442</v>
          </cell>
          <cell r="AC1105">
            <v>0.875</v>
          </cell>
          <cell r="AD1105">
            <v>27</v>
          </cell>
        </row>
        <row r="1106">
          <cell r="A1106">
            <v>29</v>
          </cell>
          <cell r="B1106">
            <v>3</v>
          </cell>
          <cell r="C1106">
            <v>4</v>
          </cell>
          <cell r="D1106">
            <v>2451</v>
          </cell>
          <cell r="E1106">
            <v>6</v>
          </cell>
          <cell r="F1106">
            <v>18</v>
          </cell>
          <cell r="G1106">
            <v>3</v>
          </cell>
          <cell r="H1106">
            <v>2</v>
          </cell>
          <cell r="I1106">
            <v>5</v>
          </cell>
          <cell r="J1106">
            <v>2</v>
          </cell>
          <cell r="K1106">
            <v>1</v>
          </cell>
          <cell r="L1106">
            <v>0</v>
          </cell>
          <cell r="M1106">
            <v>0</v>
          </cell>
          <cell r="N1106">
            <v>0</v>
          </cell>
          <cell r="O1106">
            <v>1</v>
          </cell>
          <cell r="P1106">
            <v>0</v>
          </cell>
          <cell r="Q1106">
            <v>0</v>
          </cell>
          <cell r="R1106">
            <v>0</v>
          </cell>
          <cell r="S1106">
            <v>0</v>
          </cell>
          <cell r="T1106">
            <v>3</v>
          </cell>
          <cell r="U1106">
            <v>0</v>
          </cell>
          <cell r="V1106">
            <v>0</v>
          </cell>
          <cell r="W1106">
            <v>0</v>
          </cell>
          <cell r="X1106">
            <v>0</v>
          </cell>
          <cell r="Y1106">
            <v>0</v>
          </cell>
          <cell r="Z1106">
            <v>0</v>
          </cell>
          <cell r="AA1106">
            <v>9</v>
          </cell>
          <cell r="AB1106">
            <v>1.2</v>
          </cell>
          <cell r="AC1106">
            <v>0</v>
          </cell>
          <cell r="AD1106">
            <v>9</v>
          </cell>
        </row>
        <row r="1107">
          <cell r="A1107">
            <v>33</v>
          </cell>
          <cell r="B1107">
            <v>4</v>
          </cell>
          <cell r="C1107">
            <v>3</v>
          </cell>
          <cell r="D1107">
            <v>6392</v>
          </cell>
          <cell r="E1107">
            <v>2</v>
          </cell>
          <cell r="F1107">
            <v>13</v>
          </cell>
          <cell r="G1107">
            <v>3</v>
          </cell>
          <cell r="H1107">
            <v>1</v>
          </cell>
          <cell r="I1107">
            <v>8</v>
          </cell>
          <cell r="J1107">
            <v>6</v>
          </cell>
          <cell r="K1107">
            <v>2</v>
          </cell>
          <cell r="L1107">
            <v>2</v>
          </cell>
          <cell r="M1107">
            <v>0</v>
          </cell>
          <cell r="N1107">
            <v>0</v>
          </cell>
          <cell r="O1107">
            <v>1</v>
          </cell>
          <cell r="P1107">
            <v>0</v>
          </cell>
          <cell r="Q1107">
            <v>0</v>
          </cell>
          <cell r="R1107">
            <v>0</v>
          </cell>
          <cell r="S1107">
            <v>0</v>
          </cell>
          <cell r="T1107">
            <v>4</v>
          </cell>
          <cell r="U1107">
            <v>0</v>
          </cell>
          <cell r="V1107">
            <v>0</v>
          </cell>
          <cell r="W1107">
            <v>0</v>
          </cell>
          <cell r="X1107">
            <v>0</v>
          </cell>
          <cell r="Y1107">
            <v>0</v>
          </cell>
          <cell r="Z1107">
            <v>0</v>
          </cell>
          <cell r="AA1107">
            <v>1</v>
          </cell>
          <cell r="AB1107">
            <v>0.25</v>
          </cell>
          <cell r="AC1107">
            <v>1</v>
          </cell>
          <cell r="AD1107">
            <v>4</v>
          </cell>
        </row>
        <row r="1108">
          <cell r="A1108">
            <v>30</v>
          </cell>
          <cell r="B1108">
            <v>3</v>
          </cell>
          <cell r="C1108">
            <v>2</v>
          </cell>
          <cell r="D1108">
            <v>9714</v>
          </cell>
          <cell r="E1108">
            <v>1</v>
          </cell>
          <cell r="F1108">
            <v>11</v>
          </cell>
          <cell r="G1108">
            <v>3</v>
          </cell>
          <cell r="H1108">
            <v>1</v>
          </cell>
          <cell r="I1108">
            <v>10</v>
          </cell>
          <cell r="J1108">
            <v>4</v>
          </cell>
          <cell r="K1108">
            <v>10</v>
          </cell>
          <cell r="L1108">
            <v>8</v>
          </cell>
          <cell r="M1108">
            <v>0</v>
          </cell>
          <cell r="N1108">
            <v>0</v>
          </cell>
          <cell r="O1108">
            <v>1</v>
          </cell>
          <cell r="P1108">
            <v>0</v>
          </cell>
          <cell r="Q1108">
            <v>0</v>
          </cell>
          <cell r="R1108">
            <v>0</v>
          </cell>
          <cell r="S1108">
            <v>0</v>
          </cell>
          <cell r="T1108">
            <v>3</v>
          </cell>
          <cell r="U1108">
            <v>0</v>
          </cell>
          <cell r="V1108">
            <v>0</v>
          </cell>
          <cell r="W1108">
            <v>0</v>
          </cell>
          <cell r="X1108">
            <v>0</v>
          </cell>
          <cell r="Y1108">
            <v>0</v>
          </cell>
          <cell r="Z1108">
            <v>0</v>
          </cell>
          <cell r="AA1108">
            <v>2</v>
          </cell>
          <cell r="AB1108">
            <v>0.1</v>
          </cell>
          <cell r="AC1108">
            <v>0.8</v>
          </cell>
          <cell r="AD1108">
            <v>8</v>
          </cell>
        </row>
        <row r="1109">
          <cell r="A1109">
            <v>38</v>
          </cell>
          <cell r="B1109">
            <v>4</v>
          </cell>
          <cell r="C1109">
            <v>3</v>
          </cell>
          <cell r="D1109">
            <v>6077</v>
          </cell>
          <cell r="E1109">
            <v>3</v>
          </cell>
          <cell r="F1109">
            <v>11</v>
          </cell>
          <cell r="G1109">
            <v>3</v>
          </cell>
          <cell r="H1109">
            <v>0</v>
          </cell>
          <cell r="I1109">
            <v>10</v>
          </cell>
          <cell r="J1109">
            <v>2</v>
          </cell>
          <cell r="K1109">
            <v>6</v>
          </cell>
          <cell r="L1109">
            <v>3</v>
          </cell>
          <cell r="M1109">
            <v>0</v>
          </cell>
          <cell r="N1109">
            <v>0</v>
          </cell>
          <cell r="O1109">
            <v>0</v>
          </cell>
          <cell r="P1109">
            <v>0</v>
          </cell>
          <cell r="Q1109">
            <v>0</v>
          </cell>
          <cell r="R1109">
            <v>0</v>
          </cell>
          <cell r="S1109">
            <v>0</v>
          </cell>
          <cell r="T1109">
            <v>0</v>
          </cell>
          <cell r="U1109">
            <v>0</v>
          </cell>
          <cell r="V1109">
            <v>0</v>
          </cell>
          <cell r="W1109">
            <v>0</v>
          </cell>
          <cell r="X1109">
            <v>0</v>
          </cell>
          <cell r="Y1109">
            <v>1</v>
          </cell>
          <cell r="Z1109">
            <v>0</v>
          </cell>
          <cell r="AA1109">
            <v>9</v>
          </cell>
          <cell r="AB1109">
            <v>0.3</v>
          </cell>
          <cell r="AC1109">
            <v>0.5</v>
          </cell>
          <cell r="AD1109">
            <v>27</v>
          </cell>
        </row>
        <row r="1110">
          <cell r="A1110">
            <v>35</v>
          </cell>
          <cell r="B1110">
            <v>3</v>
          </cell>
          <cell r="C1110">
            <v>2</v>
          </cell>
          <cell r="D1110">
            <v>2450</v>
          </cell>
          <cell r="E1110">
            <v>1</v>
          </cell>
          <cell r="F1110">
            <v>19</v>
          </cell>
          <cell r="G1110">
            <v>3</v>
          </cell>
          <cell r="H1110">
            <v>0</v>
          </cell>
          <cell r="I1110">
            <v>3</v>
          </cell>
          <cell r="J1110">
            <v>3</v>
          </cell>
          <cell r="K1110">
            <v>3</v>
          </cell>
          <cell r="L1110">
            <v>0</v>
          </cell>
          <cell r="M1110">
            <v>0</v>
          </cell>
          <cell r="N1110">
            <v>0</v>
          </cell>
          <cell r="O1110">
            <v>0</v>
          </cell>
          <cell r="P1110">
            <v>0</v>
          </cell>
          <cell r="Q1110">
            <v>1</v>
          </cell>
          <cell r="R1110">
            <v>0</v>
          </cell>
          <cell r="S1110">
            <v>0</v>
          </cell>
          <cell r="T1110">
            <v>0</v>
          </cell>
          <cell r="U1110">
            <v>0</v>
          </cell>
          <cell r="V1110">
            <v>3</v>
          </cell>
          <cell r="W1110">
            <v>0</v>
          </cell>
          <cell r="X1110">
            <v>0</v>
          </cell>
          <cell r="Y1110">
            <v>0</v>
          </cell>
          <cell r="Z1110">
            <v>0</v>
          </cell>
          <cell r="AA1110">
            <v>4</v>
          </cell>
          <cell r="AB1110">
            <v>0.33333333333333331</v>
          </cell>
          <cell r="AC1110">
            <v>0</v>
          </cell>
          <cell r="AD1110">
            <v>8</v>
          </cell>
        </row>
        <row r="1111">
          <cell r="A1111">
            <v>30</v>
          </cell>
          <cell r="B1111">
            <v>4</v>
          </cell>
          <cell r="C1111">
            <v>3</v>
          </cell>
          <cell r="D1111">
            <v>9250</v>
          </cell>
          <cell r="E1111">
            <v>3</v>
          </cell>
          <cell r="F1111">
            <v>12</v>
          </cell>
          <cell r="G1111">
            <v>3</v>
          </cell>
          <cell r="H1111">
            <v>1</v>
          </cell>
          <cell r="I1111">
            <v>9</v>
          </cell>
          <cell r="J1111">
            <v>3</v>
          </cell>
          <cell r="K1111">
            <v>4</v>
          </cell>
          <cell r="L1111">
            <v>2</v>
          </cell>
          <cell r="M1111">
            <v>0</v>
          </cell>
          <cell r="N1111">
            <v>0</v>
          </cell>
          <cell r="O1111">
            <v>0</v>
          </cell>
          <cell r="P1111">
            <v>0</v>
          </cell>
          <cell r="Q1111">
            <v>0</v>
          </cell>
          <cell r="R1111">
            <v>0</v>
          </cell>
          <cell r="S1111">
            <v>1</v>
          </cell>
          <cell r="T1111">
            <v>0</v>
          </cell>
          <cell r="U1111">
            <v>0</v>
          </cell>
          <cell r="V1111">
            <v>0</v>
          </cell>
          <cell r="W1111">
            <v>0</v>
          </cell>
          <cell r="X1111">
            <v>4</v>
          </cell>
          <cell r="Y1111">
            <v>0</v>
          </cell>
          <cell r="Z1111">
            <v>0</v>
          </cell>
          <cell r="AA1111">
            <v>6</v>
          </cell>
          <cell r="AB1111">
            <v>0.33333333333333331</v>
          </cell>
          <cell r="AC1111">
            <v>0.5</v>
          </cell>
          <cell r="AD1111">
            <v>12</v>
          </cell>
        </row>
        <row r="1112">
          <cell r="A1112">
            <v>35</v>
          </cell>
          <cell r="B1112">
            <v>3</v>
          </cell>
          <cell r="C1112">
            <v>3</v>
          </cell>
          <cell r="D1112">
            <v>2074</v>
          </cell>
          <cell r="E1112">
            <v>1</v>
          </cell>
          <cell r="F1112">
            <v>12</v>
          </cell>
          <cell r="G1112">
            <v>3</v>
          </cell>
          <cell r="H1112">
            <v>1</v>
          </cell>
          <cell r="I1112">
            <v>1</v>
          </cell>
          <cell r="J1112">
            <v>2</v>
          </cell>
          <cell r="K1112">
            <v>1</v>
          </cell>
          <cell r="L1112">
            <v>0</v>
          </cell>
          <cell r="M1112">
            <v>1</v>
          </cell>
          <cell r="N1112">
            <v>1</v>
          </cell>
          <cell r="O1112">
            <v>1</v>
          </cell>
          <cell r="P1112">
            <v>0</v>
          </cell>
          <cell r="Q1112">
            <v>0</v>
          </cell>
          <cell r="R1112">
            <v>0</v>
          </cell>
          <cell r="S1112">
            <v>0</v>
          </cell>
          <cell r="T1112">
            <v>3</v>
          </cell>
          <cell r="U1112">
            <v>0</v>
          </cell>
          <cell r="V1112">
            <v>0</v>
          </cell>
          <cell r="W1112">
            <v>0</v>
          </cell>
          <cell r="X1112">
            <v>0</v>
          </cell>
          <cell r="Y1112">
            <v>0</v>
          </cell>
          <cell r="Z1112">
            <v>0</v>
          </cell>
          <cell r="AA1112">
            <v>1</v>
          </cell>
          <cell r="AB1112">
            <v>1</v>
          </cell>
          <cell r="AC1112">
            <v>0</v>
          </cell>
          <cell r="AD1112">
            <v>4</v>
          </cell>
        </row>
        <row r="1113">
          <cell r="A1113">
            <v>53</v>
          </cell>
          <cell r="B1113">
            <v>5</v>
          </cell>
          <cell r="C1113">
            <v>2</v>
          </cell>
          <cell r="D1113">
            <v>10169</v>
          </cell>
          <cell r="E1113">
            <v>0</v>
          </cell>
          <cell r="F1113">
            <v>16</v>
          </cell>
          <cell r="G1113">
            <v>3</v>
          </cell>
          <cell r="H1113">
            <v>1</v>
          </cell>
          <cell r="I1113">
            <v>34</v>
          </cell>
          <cell r="J1113">
            <v>4</v>
          </cell>
          <cell r="K1113">
            <v>33</v>
          </cell>
          <cell r="L1113">
            <v>7</v>
          </cell>
          <cell r="M1113">
            <v>0</v>
          </cell>
          <cell r="N1113">
            <v>1</v>
          </cell>
          <cell r="O1113">
            <v>0</v>
          </cell>
          <cell r="P1113">
            <v>0</v>
          </cell>
          <cell r="Q1113">
            <v>0</v>
          </cell>
          <cell r="R1113">
            <v>0</v>
          </cell>
          <cell r="S1113">
            <v>1</v>
          </cell>
          <cell r="T1113">
            <v>0</v>
          </cell>
          <cell r="U1113">
            <v>0</v>
          </cell>
          <cell r="V1113">
            <v>0</v>
          </cell>
          <cell r="W1113">
            <v>0</v>
          </cell>
          <cell r="X1113">
            <v>5</v>
          </cell>
          <cell r="Y1113">
            <v>0</v>
          </cell>
          <cell r="Z1113">
            <v>0</v>
          </cell>
          <cell r="AA1113">
            <v>12</v>
          </cell>
          <cell r="AB1113">
            <v>0</v>
          </cell>
          <cell r="AC1113">
            <v>0.21212121212121213</v>
          </cell>
          <cell r="AD1113">
            <v>24</v>
          </cell>
        </row>
        <row r="1114">
          <cell r="A1114">
            <v>38</v>
          </cell>
          <cell r="B1114">
            <v>3</v>
          </cell>
          <cell r="C1114">
            <v>3</v>
          </cell>
          <cell r="D1114">
            <v>4855</v>
          </cell>
          <cell r="E1114">
            <v>4</v>
          </cell>
          <cell r="F1114">
            <v>11</v>
          </cell>
          <cell r="G1114">
            <v>3</v>
          </cell>
          <cell r="H1114">
            <v>2</v>
          </cell>
          <cell r="I1114">
            <v>7</v>
          </cell>
          <cell r="J1114">
            <v>2</v>
          </cell>
          <cell r="K1114">
            <v>5</v>
          </cell>
          <cell r="L1114">
            <v>2</v>
          </cell>
          <cell r="M1114">
            <v>0</v>
          </cell>
          <cell r="N1114">
            <v>0</v>
          </cell>
          <cell r="O1114">
            <v>0</v>
          </cell>
          <cell r="P1114">
            <v>0</v>
          </cell>
          <cell r="Q1114">
            <v>1</v>
          </cell>
          <cell r="R1114">
            <v>0</v>
          </cell>
          <cell r="S1114">
            <v>0</v>
          </cell>
          <cell r="T1114">
            <v>0</v>
          </cell>
          <cell r="U1114">
            <v>0</v>
          </cell>
          <cell r="V1114">
            <v>3</v>
          </cell>
          <cell r="W1114">
            <v>0</v>
          </cell>
          <cell r="X1114">
            <v>0</v>
          </cell>
          <cell r="Y1114">
            <v>0</v>
          </cell>
          <cell r="Z1114">
            <v>0</v>
          </cell>
          <cell r="AA1114">
            <v>6</v>
          </cell>
          <cell r="AB1114">
            <v>0.5714285714285714</v>
          </cell>
          <cell r="AC1114">
            <v>0.4</v>
          </cell>
          <cell r="AD1114">
            <v>6</v>
          </cell>
        </row>
        <row r="1115">
          <cell r="A1115">
            <v>32</v>
          </cell>
          <cell r="B1115">
            <v>4</v>
          </cell>
          <cell r="C1115">
            <v>3</v>
          </cell>
          <cell r="D1115">
            <v>4087</v>
          </cell>
          <cell r="E1115">
            <v>4</v>
          </cell>
          <cell r="F1115">
            <v>14</v>
          </cell>
          <cell r="G1115">
            <v>3</v>
          </cell>
          <cell r="H1115">
            <v>1</v>
          </cell>
          <cell r="I1115">
            <v>9</v>
          </cell>
          <cell r="J1115">
            <v>3</v>
          </cell>
          <cell r="K1115">
            <v>6</v>
          </cell>
          <cell r="L1115">
            <v>5</v>
          </cell>
          <cell r="M1115">
            <v>0</v>
          </cell>
          <cell r="N1115">
            <v>0</v>
          </cell>
          <cell r="O1115">
            <v>0</v>
          </cell>
          <cell r="P1115">
            <v>0</v>
          </cell>
          <cell r="Q1115">
            <v>0</v>
          </cell>
          <cell r="R1115">
            <v>0</v>
          </cell>
          <cell r="S1115">
            <v>1</v>
          </cell>
          <cell r="T1115">
            <v>0</v>
          </cell>
          <cell r="U1115">
            <v>0</v>
          </cell>
          <cell r="V1115">
            <v>0</v>
          </cell>
          <cell r="W1115">
            <v>0</v>
          </cell>
          <cell r="X1115">
            <v>4</v>
          </cell>
          <cell r="Y1115">
            <v>0</v>
          </cell>
          <cell r="Z1115">
            <v>0</v>
          </cell>
          <cell r="AA1115">
            <v>4</v>
          </cell>
          <cell r="AB1115">
            <v>0.44444444444444442</v>
          </cell>
          <cell r="AC1115">
            <v>0.83333333333333337</v>
          </cell>
          <cell r="AD1115">
            <v>8</v>
          </cell>
        </row>
        <row r="1116">
          <cell r="A1116">
            <v>48</v>
          </cell>
          <cell r="B1116">
            <v>4</v>
          </cell>
          <cell r="C1116">
            <v>3</v>
          </cell>
          <cell r="D1116">
            <v>2367</v>
          </cell>
          <cell r="E1116">
            <v>8</v>
          </cell>
          <cell r="F1116">
            <v>12</v>
          </cell>
          <cell r="G1116">
            <v>3</v>
          </cell>
          <cell r="H1116">
            <v>1</v>
          </cell>
          <cell r="I1116">
            <v>10</v>
          </cell>
          <cell r="J1116">
            <v>3</v>
          </cell>
          <cell r="K1116">
            <v>8</v>
          </cell>
          <cell r="L1116">
            <v>2</v>
          </cell>
          <cell r="M1116">
            <v>0</v>
          </cell>
          <cell r="N1116">
            <v>1</v>
          </cell>
          <cell r="O1116">
            <v>0</v>
          </cell>
          <cell r="P1116">
            <v>0</v>
          </cell>
          <cell r="Q1116">
            <v>0</v>
          </cell>
          <cell r="R1116">
            <v>1</v>
          </cell>
          <cell r="S1116">
            <v>0</v>
          </cell>
          <cell r="T1116">
            <v>0</v>
          </cell>
          <cell r="U1116">
            <v>0</v>
          </cell>
          <cell r="V1116">
            <v>0</v>
          </cell>
          <cell r="W1116">
            <v>4</v>
          </cell>
          <cell r="X1116">
            <v>0</v>
          </cell>
          <cell r="Y1116">
            <v>0</v>
          </cell>
          <cell r="Z1116">
            <v>0</v>
          </cell>
          <cell r="AA1116">
            <v>3</v>
          </cell>
          <cell r="AB1116">
            <v>0.8</v>
          </cell>
          <cell r="AC1116">
            <v>0.25</v>
          </cell>
          <cell r="AD1116">
            <v>12</v>
          </cell>
        </row>
        <row r="1117">
          <cell r="A1117">
            <v>34</v>
          </cell>
          <cell r="B1117">
            <v>4</v>
          </cell>
          <cell r="C1117">
            <v>3</v>
          </cell>
          <cell r="D1117">
            <v>2972</v>
          </cell>
          <cell r="E1117">
            <v>1</v>
          </cell>
          <cell r="F1117">
            <v>13</v>
          </cell>
          <cell r="G1117">
            <v>3</v>
          </cell>
          <cell r="H1117">
            <v>0</v>
          </cell>
          <cell r="I1117">
            <v>1</v>
          </cell>
          <cell r="J1117">
            <v>4</v>
          </cell>
          <cell r="K1117">
            <v>1</v>
          </cell>
          <cell r="L1117">
            <v>0</v>
          </cell>
          <cell r="M1117">
            <v>0</v>
          </cell>
          <cell r="N1117">
            <v>0</v>
          </cell>
          <cell r="O1117">
            <v>0</v>
          </cell>
          <cell r="P1117">
            <v>0</v>
          </cell>
          <cell r="Q1117">
            <v>1</v>
          </cell>
          <cell r="R1117">
            <v>0</v>
          </cell>
          <cell r="S1117">
            <v>0</v>
          </cell>
          <cell r="T1117">
            <v>0</v>
          </cell>
          <cell r="U1117">
            <v>0</v>
          </cell>
          <cell r="V1117">
            <v>4</v>
          </cell>
          <cell r="W1117">
            <v>0</v>
          </cell>
          <cell r="X1117">
            <v>0</v>
          </cell>
          <cell r="Y1117">
            <v>0</v>
          </cell>
          <cell r="Z1117">
            <v>0</v>
          </cell>
          <cell r="AA1117">
            <v>4</v>
          </cell>
          <cell r="AB1117">
            <v>1</v>
          </cell>
          <cell r="AC1117">
            <v>0</v>
          </cell>
          <cell r="AD1117">
            <v>12</v>
          </cell>
        </row>
        <row r="1118">
          <cell r="A1118">
            <v>55</v>
          </cell>
          <cell r="B1118">
            <v>5</v>
          </cell>
          <cell r="C1118">
            <v>2</v>
          </cell>
          <cell r="D1118">
            <v>19586</v>
          </cell>
          <cell r="E1118">
            <v>1</v>
          </cell>
          <cell r="F1118">
            <v>21</v>
          </cell>
          <cell r="G1118">
            <v>4</v>
          </cell>
          <cell r="H1118">
            <v>1</v>
          </cell>
          <cell r="I1118">
            <v>36</v>
          </cell>
          <cell r="J1118">
            <v>3</v>
          </cell>
          <cell r="K1118">
            <v>36</v>
          </cell>
          <cell r="L1118">
            <v>6</v>
          </cell>
          <cell r="M1118">
            <v>0</v>
          </cell>
          <cell r="N1118">
            <v>0</v>
          </cell>
          <cell r="O1118">
            <v>0</v>
          </cell>
          <cell r="P1118">
            <v>1</v>
          </cell>
          <cell r="Q1118">
            <v>0</v>
          </cell>
          <cell r="R1118">
            <v>0</v>
          </cell>
          <cell r="S1118">
            <v>0</v>
          </cell>
          <cell r="T1118">
            <v>0</v>
          </cell>
          <cell r="U1118">
            <v>5</v>
          </cell>
          <cell r="V1118">
            <v>0</v>
          </cell>
          <cell r="W1118">
            <v>0</v>
          </cell>
          <cell r="X1118">
            <v>0</v>
          </cell>
          <cell r="Y1118">
            <v>0</v>
          </cell>
          <cell r="Z1118">
            <v>0</v>
          </cell>
          <cell r="AA1118">
            <v>12</v>
          </cell>
          <cell r="AB1118">
            <v>2.7777777777777776E-2</v>
          </cell>
          <cell r="AC1118">
            <v>0.16666666666666666</v>
          </cell>
          <cell r="AD1118">
            <v>36</v>
          </cell>
        </row>
        <row r="1119">
          <cell r="A1119">
            <v>34</v>
          </cell>
          <cell r="B1119">
            <v>4</v>
          </cell>
          <cell r="C1119">
            <v>3</v>
          </cell>
          <cell r="D1119">
            <v>5484</v>
          </cell>
          <cell r="E1119">
            <v>9</v>
          </cell>
          <cell r="F1119">
            <v>17</v>
          </cell>
          <cell r="G1119">
            <v>3</v>
          </cell>
          <cell r="H1119">
            <v>1</v>
          </cell>
          <cell r="I1119">
            <v>9</v>
          </cell>
          <cell r="J1119">
            <v>3</v>
          </cell>
          <cell r="K1119">
            <v>2</v>
          </cell>
          <cell r="L1119">
            <v>2</v>
          </cell>
          <cell r="M1119">
            <v>0</v>
          </cell>
          <cell r="N1119">
            <v>0</v>
          </cell>
          <cell r="O1119">
            <v>1</v>
          </cell>
          <cell r="P1119">
            <v>0</v>
          </cell>
          <cell r="Q1119">
            <v>0</v>
          </cell>
          <cell r="R1119">
            <v>0</v>
          </cell>
          <cell r="S1119">
            <v>0</v>
          </cell>
          <cell r="T1119">
            <v>4</v>
          </cell>
          <cell r="U1119">
            <v>0</v>
          </cell>
          <cell r="V1119">
            <v>0</v>
          </cell>
          <cell r="W1119">
            <v>0</v>
          </cell>
          <cell r="X1119">
            <v>0</v>
          </cell>
          <cell r="Y1119">
            <v>0</v>
          </cell>
          <cell r="Z1119">
            <v>0</v>
          </cell>
          <cell r="AA1119">
            <v>8</v>
          </cell>
          <cell r="AB1119">
            <v>1</v>
          </cell>
          <cell r="AC1119">
            <v>1</v>
          </cell>
          <cell r="AD1119">
            <v>16</v>
          </cell>
        </row>
        <row r="1120">
          <cell r="A1120">
            <v>26</v>
          </cell>
          <cell r="B1120">
            <v>3</v>
          </cell>
          <cell r="C1120">
            <v>3</v>
          </cell>
          <cell r="D1120">
            <v>2061</v>
          </cell>
          <cell r="E1120">
            <v>1</v>
          </cell>
          <cell r="F1120">
            <v>21</v>
          </cell>
          <cell r="G1120">
            <v>4</v>
          </cell>
          <cell r="H1120">
            <v>0</v>
          </cell>
          <cell r="I1120">
            <v>1</v>
          </cell>
          <cell r="J1120">
            <v>5</v>
          </cell>
          <cell r="K1120">
            <v>1</v>
          </cell>
          <cell r="L1120">
            <v>0</v>
          </cell>
          <cell r="M1120">
            <v>0</v>
          </cell>
          <cell r="N1120">
            <v>1</v>
          </cell>
          <cell r="O1120">
            <v>1</v>
          </cell>
          <cell r="P1120">
            <v>0</v>
          </cell>
          <cell r="Q1120">
            <v>0</v>
          </cell>
          <cell r="R1120">
            <v>0</v>
          </cell>
          <cell r="S1120">
            <v>0</v>
          </cell>
          <cell r="T1120">
            <v>3</v>
          </cell>
          <cell r="U1120">
            <v>0</v>
          </cell>
          <cell r="V1120">
            <v>0</v>
          </cell>
          <cell r="W1120">
            <v>0</v>
          </cell>
          <cell r="X1120">
            <v>0</v>
          </cell>
          <cell r="Y1120">
            <v>0</v>
          </cell>
          <cell r="Z1120">
            <v>0</v>
          </cell>
          <cell r="AA1120">
            <v>4</v>
          </cell>
          <cell r="AB1120">
            <v>1</v>
          </cell>
          <cell r="AC1120">
            <v>0</v>
          </cell>
          <cell r="AD1120">
            <v>4</v>
          </cell>
        </row>
        <row r="1121">
          <cell r="A1121">
            <v>38</v>
          </cell>
          <cell r="B1121">
            <v>3</v>
          </cell>
          <cell r="C1121">
            <v>3</v>
          </cell>
          <cell r="D1121">
            <v>9924</v>
          </cell>
          <cell r="E1121">
            <v>0</v>
          </cell>
          <cell r="F1121">
            <v>11</v>
          </cell>
          <cell r="G1121">
            <v>3</v>
          </cell>
          <cell r="H1121">
            <v>1</v>
          </cell>
          <cell r="I1121">
            <v>10</v>
          </cell>
          <cell r="J1121">
            <v>3</v>
          </cell>
          <cell r="K1121">
            <v>9</v>
          </cell>
          <cell r="L1121">
            <v>8</v>
          </cell>
          <cell r="M1121">
            <v>0</v>
          </cell>
          <cell r="N1121">
            <v>0</v>
          </cell>
          <cell r="O1121">
            <v>1</v>
          </cell>
          <cell r="P1121">
            <v>0</v>
          </cell>
          <cell r="Q1121">
            <v>0</v>
          </cell>
          <cell r="R1121">
            <v>0</v>
          </cell>
          <cell r="S1121">
            <v>0</v>
          </cell>
          <cell r="T1121">
            <v>3</v>
          </cell>
          <cell r="U1121">
            <v>0</v>
          </cell>
          <cell r="V1121">
            <v>0</v>
          </cell>
          <cell r="W1121">
            <v>0</v>
          </cell>
          <cell r="X1121">
            <v>0</v>
          </cell>
          <cell r="Y1121">
            <v>0</v>
          </cell>
          <cell r="Z1121">
            <v>0</v>
          </cell>
          <cell r="AA1121">
            <v>6</v>
          </cell>
          <cell r="AB1121">
            <v>0</v>
          </cell>
          <cell r="AC1121">
            <v>0.88888888888888884</v>
          </cell>
          <cell r="AD1121">
            <v>24</v>
          </cell>
        </row>
        <row r="1122">
          <cell r="A1122">
            <v>38</v>
          </cell>
          <cell r="B1122">
            <v>3</v>
          </cell>
          <cell r="C1122">
            <v>3</v>
          </cell>
          <cell r="D1122">
            <v>4198</v>
          </cell>
          <cell r="E1122">
            <v>2</v>
          </cell>
          <cell r="F1122">
            <v>12</v>
          </cell>
          <cell r="G1122">
            <v>3</v>
          </cell>
          <cell r="H1122">
            <v>0</v>
          </cell>
          <cell r="I1122">
            <v>8</v>
          </cell>
          <cell r="J1122">
            <v>5</v>
          </cell>
          <cell r="K1122">
            <v>3</v>
          </cell>
          <cell r="L1122">
            <v>2</v>
          </cell>
          <cell r="M1122">
            <v>0</v>
          </cell>
          <cell r="N1122">
            <v>1</v>
          </cell>
          <cell r="O1122">
            <v>1</v>
          </cell>
          <cell r="P1122">
            <v>0</v>
          </cell>
          <cell r="Q1122">
            <v>0</v>
          </cell>
          <cell r="R1122">
            <v>0</v>
          </cell>
          <cell r="S1122">
            <v>0</v>
          </cell>
          <cell r="T1122">
            <v>3</v>
          </cell>
          <cell r="U1122">
            <v>0</v>
          </cell>
          <cell r="V1122">
            <v>0</v>
          </cell>
          <cell r="W1122">
            <v>0</v>
          </cell>
          <cell r="X1122">
            <v>0</v>
          </cell>
          <cell r="Y1122">
            <v>0</v>
          </cell>
          <cell r="Z1122">
            <v>0</v>
          </cell>
          <cell r="AA1122">
            <v>4</v>
          </cell>
          <cell r="AB1122">
            <v>0.25</v>
          </cell>
          <cell r="AC1122">
            <v>0.66666666666666663</v>
          </cell>
          <cell r="AD1122">
            <v>8</v>
          </cell>
        </row>
        <row r="1123">
          <cell r="A1123">
            <v>36</v>
          </cell>
          <cell r="B1123">
            <v>4</v>
          </cell>
          <cell r="C1123">
            <v>3</v>
          </cell>
          <cell r="D1123">
            <v>6815</v>
          </cell>
          <cell r="E1123">
            <v>6</v>
          </cell>
          <cell r="F1123">
            <v>13</v>
          </cell>
          <cell r="G1123">
            <v>3</v>
          </cell>
          <cell r="H1123">
            <v>0</v>
          </cell>
          <cell r="I1123">
            <v>15</v>
          </cell>
          <cell r="J1123">
            <v>5</v>
          </cell>
          <cell r="K1123">
            <v>1</v>
          </cell>
          <cell r="L1123">
            <v>0</v>
          </cell>
          <cell r="M1123">
            <v>0</v>
          </cell>
          <cell r="N1123">
            <v>1</v>
          </cell>
          <cell r="O1123">
            <v>1</v>
          </cell>
          <cell r="P1123">
            <v>0</v>
          </cell>
          <cell r="Q1123">
            <v>0</v>
          </cell>
          <cell r="R1123">
            <v>0</v>
          </cell>
          <cell r="S1123">
            <v>0</v>
          </cell>
          <cell r="T1123">
            <v>4</v>
          </cell>
          <cell r="U1123">
            <v>0</v>
          </cell>
          <cell r="V1123">
            <v>0</v>
          </cell>
          <cell r="W1123">
            <v>0</v>
          </cell>
          <cell r="X1123">
            <v>0</v>
          </cell>
          <cell r="Y1123">
            <v>0</v>
          </cell>
          <cell r="Z1123">
            <v>0</v>
          </cell>
          <cell r="AA1123">
            <v>6</v>
          </cell>
          <cell r="AB1123">
            <v>0.4</v>
          </cell>
          <cell r="AC1123">
            <v>0</v>
          </cell>
          <cell r="AD1123">
            <v>6</v>
          </cell>
        </row>
        <row r="1124">
          <cell r="A1124">
            <v>29</v>
          </cell>
          <cell r="B1124">
            <v>1</v>
          </cell>
          <cell r="C1124">
            <v>3</v>
          </cell>
          <cell r="D1124">
            <v>4723</v>
          </cell>
          <cell r="E1124">
            <v>1</v>
          </cell>
          <cell r="F1124">
            <v>18</v>
          </cell>
          <cell r="G1124">
            <v>3</v>
          </cell>
          <cell r="H1124">
            <v>0</v>
          </cell>
          <cell r="I1124">
            <v>10</v>
          </cell>
          <cell r="J1124">
            <v>3</v>
          </cell>
          <cell r="K1124">
            <v>10</v>
          </cell>
          <cell r="L1124">
            <v>9</v>
          </cell>
          <cell r="M1124">
            <v>1</v>
          </cell>
          <cell r="N1124">
            <v>0</v>
          </cell>
          <cell r="O1124">
            <v>0</v>
          </cell>
          <cell r="P1124">
            <v>0</v>
          </cell>
          <cell r="Q1124">
            <v>1</v>
          </cell>
          <cell r="R1124">
            <v>0</v>
          </cell>
          <cell r="S1124">
            <v>0</v>
          </cell>
          <cell r="T1124">
            <v>0</v>
          </cell>
          <cell r="U1124">
            <v>0</v>
          </cell>
          <cell r="V1124">
            <v>1</v>
          </cell>
          <cell r="W1124">
            <v>0</v>
          </cell>
          <cell r="X1124">
            <v>0</v>
          </cell>
          <cell r="Y1124">
            <v>0</v>
          </cell>
          <cell r="Z1124">
            <v>0</v>
          </cell>
          <cell r="AA1124">
            <v>2</v>
          </cell>
          <cell r="AB1124">
            <v>0.1</v>
          </cell>
          <cell r="AC1124">
            <v>0.9</v>
          </cell>
          <cell r="AD1124">
            <v>8</v>
          </cell>
        </row>
        <row r="1125">
          <cell r="A1125">
            <v>35</v>
          </cell>
          <cell r="B1125">
            <v>4</v>
          </cell>
          <cell r="C1125">
            <v>3</v>
          </cell>
          <cell r="D1125">
            <v>6142</v>
          </cell>
          <cell r="E1125">
            <v>3</v>
          </cell>
          <cell r="F1125">
            <v>16</v>
          </cell>
          <cell r="G1125">
            <v>3</v>
          </cell>
          <cell r="H1125">
            <v>0</v>
          </cell>
          <cell r="I1125">
            <v>10</v>
          </cell>
          <cell r="J1125">
            <v>4</v>
          </cell>
          <cell r="K1125">
            <v>5</v>
          </cell>
          <cell r="L1125">
            <v>2</v>
          </cell>
          <cell r="M1125">
            <v>1</v>
          </cell>
          <cell r="N1125">
            <v>1</v>
          </cell>
          <cell r="O1125">
            <v>0</v>
          </cell>
          <cell r="P1125">
            <v>0</v>
          </cell>
          <cell r="Q1125">
            <v>1</v>
          </cell>
          <cell r="R1125">
            <v>0</v>
          </cell>
          <cell r="S1125">
            <v>0</v>
          </cell>
          <cell r="T1125">
            <v>0</v>
          </cell>
          <cell r="U1125">
            <v>0</v>
          </cell>
          <cell r="V1125">
            <v>4</v>
          </cell>
          <cell r="W1125">
            <v>0</v>
          </cell>
          <cell r="X1125">
            <v>0</v>
          </cell>
          <cell r="Y1125">
            <v>0</v>
          </cell>
          <cell r="Z1125">
            <v>0</v>
          </cell>
          <cell r="AA1125">
            <v>3</v>
          </cell>
          <cell r="AB1125">
            <v>0.3</v>
          </cell>
          <cell r="AC1125">
            <v>0.4</v>
          </cell>
          <cell r="AD1125">
            <v>9</v>
          </cell>
        </row>
        <row r="1126">
          <cell r="A1126">
            <v>39</v>
          </cell>
          <cell r="B1126">
            <v>3</v>
          </cell>
          <cell r="C1126">
            <v>4</v>
          </cell>
          <cell r="D1126">
            <v>8237</v>
          </cell>
          <cell r="E1126">
            <v>2</v>
          </cell>
          <cell r="F1126">
            <v>11</v>
          </cell>
          <cell r="G1126">
            <v>3</v>
          </cell>
          <cell r="H1126">
            <v>1</v>
          </cell>
          <cell r="I1126">
            <v>11</v>
          </cell>
          <cell r="J1126">
            <v>3</v>
          </cell>
          <cell r="K1126">
            <v>7</v>
          </cell>
          <cell r="L1126">
            <v>6</v>
          </cell>
          <cell r="M1126">
            <v>0</v>
          </cell>
          <cell r="N1126">
            <v>0</v>
          </cell>
          <cell r="O1126">
            <v>0</v>
          </cell>
          <cell r="P1126">
            <v>0</v>
          </cell>
          <cell r="Q1126">
            <v>1</v>
          </cell>
          <cell r="R1126">
            <v>0</v>
          </cell>
          <cell r="S1126">
            <v>0</v>
          </cell>
          <cell r="T1126">
            <v>0</v>
          </cell>
          <cell r="U1126">
            <v>0</v>
          </cell>
          <cell r="V1126">
            <v>3</v>
          </cell>
          <cell r="W1126">
            <v>0</v>
          </cell>
          <cell r="X1126">
            <v>0</v>
          </cell>
          <cell r="Y1126">
            <v>0</v>
          </cell>
          <cell r="Z1126">
            <v>0</v>
          </cell>
          <cell r="AA1126">
            <v>12</v>
          </cell>
          <cell r="AB1126">
            <v>0.18181818181818182</v>
          </cell>
          <cell r="AC1126">
            <v>0.8571428571428571</v>
          </cell>
          <cell r="AD1126">
            <v>12</v>
          </cell>
        </row>
        <row r="1127">
          <cell r="A1127">
            <v>29</v>
          </cell>
          <cell r="B1127">
            <v>1</v>
          </cell>
          <cell r="C1127">
            <v>3</v>
          </cell>
          <cell r="D1127">
            <v>8853</v>
          </cell>
          <cell r="E1127">
            <v>1</v>
          </cell>
          <cell r="F1127">
            <v>19</v>
          </cell>
          <cell r="G1127">
            <v>3</v>
          </cell>
          <cell r="H1127">
            <v>1</v>
          </cell>
          <cell r="I1127">
            <v>6</v>
          </cell>
          <cell r="J1127">
            <v>0</v>
          </cell>
          <cell r="K1127">
            <v>6</v>
          </cell>
          <cell r="L1127">
            <v>4</v>
          </cell>
          <cell r="M1127">
            <v>0</v>
          </cell>
          <cell r="N1127">
            <v>0</v>
          </cell>
          <cell r="O1127">
            <v>1</v>
          </cell>
          <cell r="P1127">
            <v>0</v>
          </cell>
          <cell r="Q1127">
            <v>0</v>
          </cell>
          <cell r="R1127">
            <v>0</v>
          </cell>
          <cell r="S1127">
            <v>0</v>
          </cell>
          <cell r="T1127">
            <v>1</v>
          </cell>
          <cell r="U1127">
            <v>0</v>
          </cell>
          <cell r="V1127">
            <v>0</v>
          </cell>
          <cell r="W1127">
            <v>0</v>
          </cell>
          <cell r="X1127">
            <v>0</v>
          </cell>
          <cell r="Y1127">
            <v>0</v>
          </cell>
          <cell r="Z1127">
            <v>0</v>
          </cell>
          <cell r="AA1127">
            <v>4</v>
          </cell>
          <cell r="AB1127">
            <v>0.16666666666666666</v>
          </cell>
          <cell r="AC1127">
            <v>0.66666666666666663</v>
          </cell>
          <cell r="AD1127">
            <v>16</v>
          </cell>
        </row>
        <row r="1128">
          <cell r="A1128">
            <v>50</v>
          </cell>
          <cell r="B1128">
            <v>3</v>
          </cell>
          <cell r="C1128">
            <v>3</v>
          </cell>
          <cell r="D1128">
            <v>19331</v>
          </cell>
          <cell r="E1128">
            <v>4</v>
          </cell>
          <cell r="F1128">
            <v>16</v>
          </cell>
          <cell r="G1128">
            <v>3</v>
          </cell>
          <cell r="H1128">
            <v>1</v>
          </cell>
          <cell r="I1128">
            <v>27</v>
          </cell>
          <cell r="J1128">
            <v>2</v>
          </cell>
          <cell r="K1128">
            <v>1</v>
          </cell>
          <cell r="L1128">
            <v>0</v>
          </cell>
          <cell r="M1128">
            <v>1</v>
          </cell>
          <cell r="N1128">
            <v>0</v>
          </cell>
          <cell r="O1128">
            <v>0</v>
          </cell>
          <cell r="P1128">
            <v>1</v>
          </cell>
          <cell r="Q1128">
            <v>0</v>
          </cell>
          <cell r="R1128">
            <v>0</v>
          </cell>
          <cell r="S1128">
            <v>0</v>
          </cell>
          <cell r="T1128">
            <v>0</v>
          </cell>
          <cell r="U1128">
            <v>3</v>
          </cell>
          <cell r="V1128">
            <v>0</v>
          </cell>
          <cell r="W1128">
            <v>0</v>
          </cell>
          <cell r="X1128">
            <v>0</v>
          </cell>
          <cell r="Y1128">
            <v>0</v>
          </cell>
          <cell r="Z1128">
            <v>1</v>
          </cell>
          <cell r="AA1128">
            <v>9</v>
          </cell>
          <cell r="AB1128">
            <v>0.14814814814814814</v>
          </cell>
          <cell r="AC1128">
            <v>0</v>
          </cell>
          <cell r="AD1128">
            <v>27</v>
          </cell>
        </row>
        <row r="1129">
          <cell r="A1129">
            <v>23</v>
          </cell>
          <cell r="B1129">
            <v>3</v>
          </cell>
          <cell r="C1129">
            <v>4</v>
          </cell>
          <cell r="D1129">
            <v>2073</v>
          </cell>
          <cell r="E1129">
            <v>2</v>
          </cell>
          <cell r="F1129">
            <v>16</v>
          </cell>
          <cell r="G1129">
            <v>3</v>
          </cell>
          <cell r="H1129">
            <v>1</v>
          </cell>
          <cell r="I1129">
            <v>4</v>
          </cell>
          <cell r="J1129">
            <v>2</v>
          </cell>
          <cell r="K1129">
            <v>2</v>
          </cell>
          <cell r="L1129">
            <v>2</v>
          </cell>
          <cell r="M1129">
            <v>0</v>
          </cell>
          <cell r="N1129">
            <v>0</v>
          </cell>
          <cell r="O1129">
            <v>0</v>
          </cell>
          <cell r="P1129">
            <v>0</v>
          </cell>
          <cell r="Q1129">
            <v>0</v>
          </cell>
          <cell r="R1129">
            <v>0</v>
          </cell>
          <cell r="S1129">
            <v>1</v>
          </cell>
          <cell r="T1129">
            <v>0</v>
          </cell>
          <cell r="U1129">
            <v>0</v>
          </cell>
          <cell r="V1129">
            <v>0</v>
          </cell>
          <cell r="W1129">
            <v>0</v>
          </cell>
          <cell r="X1129">
            <v>3</v>
          </cell>
          <cell r="Y1129">
            <v>0</v>
          </cell>
          <cell r="Z1129">
            <v>0</v>
          </cell>
          <cell r="AA1129">
            <v>12</v>
          </cell>
          <cell r="AB1129">
            <v>0.5</v>
          </cell>
          <cell r="AC1129">
            <v>1</v>
          </cell>
          <cell r="AD1129">
            <v>48</v>
          </cell>
        </row>
        <row r="1130">
          <cell r="A1130">
            <v>36</v>
          </cell>
          <cell r="B1130">
            <v>4</v>
          </cell>
          <cell r="C1130">
            <v>4</v>
          </cell>
          <cell r="D1130">
            <v>5562</v>
          </cell>
          <cell r="E1130">
            <v>3</v>
          </cell>
          <cell r="F1130">
            <v>13</v>
          </cell>
          <cell r="G1130">
            <v>3</v>
          </cell>
          <cell r="H1130">
            <v>1</v>
          </cell>
          <cell r="I1130">
            <v>9</v>
          </cell>
          <cell r="J1130">
            <v>3</v>
          </cell>
          <cell r="K1130">
            <v>3</v>
          </cell>
          <cell r="L1130">
            <v>2</v>
          </cell>
          <cell r="M1130">
            <v>1</v>
          </cell>
          <cell r="N1130">
            <v>0</v>
          </cell>
          <cell r="O1130">
            <v>1</v>
          </cell>
          <cell r="P1130">
            <v>0</v>
          </cell>
          <cell r="Q1130">
            <v>0</v>
          </cell>
          <cell r="R1130">
            <v>0</v>
          </cell>
          <cell r="S1130">
            <v>0</v>
          </cell>
          <cell r="T1130">
            <v>4</v>
          </cell>
          <cell r="U1130">
            <v>0</v>
          </cell>
          <cell r="V1130">
            <v>0</v>
          </cell>
          <cell r="W1130">
            <v>0</v>
          </cell>
          <cell r="X1130">
            <v>0</v>
          </cell>
          <cell r="Y1130">
            <v>1</v>
          </cell>
          <cell r="Z1130">
            <v>1</v>
          </cell>
          <cell r="AA1130">
            <v>1</v>
          </cell>
          <cell r="AB1130">
            <v>0.33333333333333331</v>
          </cell>
          <cell r="AC1130">
            <v>0.66666666666666663</v>
          </cell>
          <cell r="AD1130">
            <v>4</v>
          </cell>
        </row>
        <row r="1131">
          <cell r="A1131">
            <v>42</v>
          </cell>
          <cell r="B1131">
            <v>2</v>
          </cell>
          <cell r="C1131">
            <v>2</v>
          </cell>
          <cell r="D1131">
            <v>19613</v>
          </cell>
          <cell r="E1131">
            <v>8</v>
          </cell>
          <cell r="F1131">
            <v>22</v>
          </cell>
          <cell r="G1131">
            <v>4</v>
          </cell>
          <cell r="H1131">
            <v>0</v>
          </cell>
          <cell r="I1131">
            <v>24</v>
          </cell>
          <cell r="J1131">
            <v>2</v>
          </cell>
          <cell r="K1131">
            <v>1</v>
          </cell>
          <cell r="L1131">
            <v>0</v>
          </cell>
          <cell r="M1131">
            <v>0</v>
          </cell>
          <cell r="N1131">
            <v>0</v>
          </cell>
          <cell r="O1131">
            <v>0</v>
          </cell>
          <cell r="P1131">
            <v>0</v>
          </cell>
          <cell r="Q1131">
            <v>0</v>
          </cell>
          <cell r="R1131">
            <v>1</v>
          </cell>
          <cell r="S1131">
            <v>0</v>
          </cell>
          <cell r="T1131">
            <v>0</v>
          </cell>
          <cell r="U1131">
            <v>0</v>
          </cell>
          <cell r="V1131">
            <v>0</v>
          </cell>
          <cell r="W1131">
            <v>2</v>
          </cell>
          <cell r="X1131">
            <v>0</v>
          </cell>
          <cell r="Y1131">
            <v>0</v>
          </cell>
          <cell r="Z1131">
            <v>0</v>
          </cell>
          <cell r="AA1131">
            <v>16</v>
          </cell>
          <cell r="AB1131">
            <v>0.33333333333333331</v>
          </cell>
          <cell r="AC1131">
            <v>0</v>
          </cell>
          <cell r="AD1131">
            <v>64</v>
          </cell>
        </row>
        <row r="1132">
          <cell r="A1132">
            <v>35</v>
          </cell>
          <cell r="B1132">
            <v>3</v>
          </cell>
          <cell r="C1132">
            <v>4</v>
          </cell>
          <cell r="D1132">
            <v>3407</v>
          </cell>
          <cell r="E1132">
            <v>1</v>
          </cell>
          <cell r="F1132">
            <v>17</v>
          </cell>
          <cell r="G1132">
            <v>3</v>
          </cell>
          <cell r="H1132">
            <v>2</v>
          </cell>
          <cell r="I1132">
            <v>10</v>
          </cell>
          <cell r="J1132">
            <v>3</v>
          </cell>
          <cell r="K1132">
            <v>10</v>
          </cell>
          <cell r="L1132">
            <v>9</v>
          </cell>
          <cell r="M1132">
            <v>0</v>
          </cell>
          <cell r="N1132">
            <v>0</v>
          </cell>
          <cell r="O1132">
            <v>1</v>
          </cell>
          <cell r="P1132">
            <v>0</v>
          </cell>
          <cell r="Q1132">
            <v>0</v>
          </cell>
          <cell r="R1132">
            <v>0</v>
          </cell>
          <cell r="S1132">
            <v>0</v>
          </cell>
          <cell r="T1132">
            <v>3</v>
          </cell>
          <cell r="U1132">
            <v>0</v>
          </cell>
          <cell r="V1132">
            <v>0</v>
          </cell>
          <cell r="W1132">
            <v>0</v>
          </cell>
          <cell r="X1132">
            <v>0</v>
          </cell>
          <cell r="Y1132">
            <v>0</v>
          </cell>
          <cell r="Z1132">
            <v>0</v>
          </cell>
          <cell r="AA1132">
            <v>6</v>
          </cell>
          <cell r="AB1132">
            <v>0.1</v>
          </cell>
          <cell r="AC1132">
            <v>0.9</v>
          </cell>
          <cell r="AD1132">
            <v>24</v>
          </cell>
        </row>
        <row r="1133">
          <cell r="A1133">
            <v>34</v>
          </cell>
          <cell r="B1133">
            <v>4</v>
          </cell>
          <cell r="C1133">
            <v>2</v>
          </cell>
          <cell r="D1133">
            <v>5063</v>
          </cell>
          <cell r="E1133">
            <v>1</v>
          </cell>
          <cell r="F1133">
            <v>14</v>
          </cell>
          <cell r="G1133">
            <v>3</v>
          </cell>
          <cell r="H1133">
            <v>1</v>
          </cell>
          <cell r="I1133">
            <v>8</v>
          </cell>
          <cell r="J1133">
            <v>3</v>
          </cell>
          <cell r="K1133">
            <v>8</v>
          </cell>
          <cell r="L1133">
            <v>2</v>
          </cell>
          <cell r="M1133">
            <v>0</v>
          </cell>
          <cell r="N1133">
            <v>0</v>
          </cell>
          <cell r="O1133">
            <v>0</v>
          </cell>
          <cell r="P1133">
            <v>0</v>
          </cell>
          <cell r="Q1133">
            <v>0</v>
          </cell>
          <cell r="R1133">
            <v>0</v>
          </cell>
          <cell r="S1133">
            <v>1</v>
          </cell>
          <cell r="T1133">
            <v>0</v>
          </cell>
          <cell r="U1133">
            <v>0</v>
          </cell>
          <cell r="V1133">
            <v>0</v>
          </cell>
          <cell r="W1133">
            <v>0</v>
          </cell>
          <cell r="X1133">
            <v>4</v>
          </cell>
          <cell r="Y1133">
            <v>1</v>
          </cell>
          <cell r="Z1133">
            <v>0</v>
          </cell>
          <cell r="AA1133">
            <v>12</v>
          </cell>
          <cell r="AB1133">
            <v>0.125</v>
          </cell>
          <cell r="AC1133">
            <v>0.25</v>
          </cell>
          <cell r="AD1133">
            <v>24</v>
          </cell>
        </row>
        <row r="1134">
          <cell r="A1134">
            <v>40</v>
          </cell>
          <cell r="B1134">
            <v>2</v>
          </cell>
          <cell r="C1134">
            <v>3</v>
          </cell>
          <cell r="D1134">
            <v>4639</v>
          </cell>
          <cell r="E1134">
            <v>1</v>
          </cell>
          <cell r="F1134">
            <v>15</v>
          </cell>
          <cell r="G1134">
            <v>3</v>
          </cell>
          <cell r="H1134">
            <v>1</v>
          </cell>
          <cell r="I1134">
            <v>5</v>
          </cell>
          <cell r="J1134">
            <v>2</v>
          </cell>
          <cell r="K1134">
            <v>5</v>
          </cell>
          <cell r="L1134">
            <v>4</v>
          </cell>
          <cell r="M1134">
            <v>0</v>
          </cell>
          <cell r="N1134">
            <v>1</v>
          </cell>
          <cell r="O1134">
            <v>1</v>
          </cell>
          <cell r="P1134">
            <v>0</v>
          </cell>
          <cell r="Q1134">
            <v>0</v>
          </cell>
          <cell r="R1134">
            <v>0</v>
          </cell>
          <cell r="S1134">
            <v>0</v>
          </cell>
          <cell r="T1134">
            <v>2</v>
          </cell>
          <cell r="U1134">
            <v>0</v>
          </cell>
          <cell r="V1134">
            <v>0</v>
          </cell>
          <cell r="W1134">
            <v>0</v>
          </cell>
          <cell r="X1134">
            <v>0</v>
          </cell>
          <cell r="Y1134">
            <v>0</v>
          </cell>
          <cell r="Z1134">
            <v>0</v>
          </cell>
          <cell r="AA1134">
            <v>4</v>
          </cell>
          <cell r="AB1134">
            <v>0.2</v>
          </cell>
          <cell r="AC1134">
            <v>0.8</v>
          </cell>
          <cell r="AD1134">
            <v>12</v>
          </cell>
        </row>
        <row r="1135">
          <cell r="A1135">
            <v>43</v>
          </cell>
          <cell r="B1135">
            <v>3</v>
          </cell>
          <cell r="C1135">
            <v>4</v>
          </cell>
          <cell r="D1135">
            <v>4876</v>
          </cell>
          <cell r="E1135">
            <v>5</v>
          </cell>
          <cell r="F1135">
            <v>12</v>
          </cell>
          <cell r="G1135">
            <v>3</v>
          </cell>
          <cell r="H1135">
            <v>1</v>
          </cell>
          <cell r="I1135">
            <v>8</v>
          </cell>
          <cell r="J1135">
            <v>0</v>
          </cell>
          <cell r="K1135">
            <v>6</v>
          </cell>
          <cell r="L1135">
            <v>4</v>
          </cell>
          <cell r="M1135">
            <v>0</v>
          </cell>
          <cell r="N1135">
            <v>0</v>
          </cell>
          <cell r="O1135">
            <v>0</v>
          </cell>
          <cell r="P1135">
            <v>0</v>
          </cell>
          <cell r="Q1135">
            <v>0</v>
          </cell>
          <cell r="R1135">
            <v>0</v>
          </cell>
          <cell r="S1135">
            <v>1</v>
          </cell>
          <cell r="T1135">
            <v>0</v>
          </cell>
          <cell r="U1135">
            <v>0</v>
          </cell>
          <cell r="V1135">
            <v>0</v>
          </cell>
          <cell r="W1135">
            <v>0</v>
          </cell>
          <cell r="X1135">
            <v>3</v>
          </cell>
          <cell r="Y1135">
            <v>0</v>
          </cell>
          <cell r="Z1135">
            <v>0</v>
          </cell>
          <cell r="AA1135">
            <v>8</v>
          </cell>
          <cell r="AB1135">
            <v>0.625</v>
          </cell>
          <cell r="AC1135">
            <v>0.66666666666666663</v>
          </cell>
          <cell r="AD1135">
            <v>24</v>
          </cell>
        </row>
        <row r="1136">
          <cell r="A1136">
            <v>35</v>
          </cell>
          <cell r="B1136">
            <v>2</v>
          </cell>
          <cell r="C1136">
            <v>2</v>
          </cell>
          <cell r="D1136">
            <v>2690</v>
          </cell>
          <cell r="E1136">
            <v>1</v>
          </cell>
          <cell r="F1136">
            <v>18</v>
          </cell>
          <cell r="G1136">
            <v>3</v>
          </cell>
          <cell r="H1136">
            <v>1</v>
          </cell>
          <cell r="I1136">
            <v>1</v>
          </cell>
          <cell r="J1136">
            <v>5</v>
          </cell>
          <cell r="K1136">
            <v>1</v>
          </cell>
          <cell r="L1136">
            <v>0</v>
          </cell>
          <cell r="M1136">
            <v>0</v>
          </cell>
          <cell r="N1136">
            <v>0</v>
          </cell>
          <cell r="O1136">
            <v>1</v>
          </cell>
          <cell r="P1136">
            <v>0</v>
          </cell>
          <cell r="Q1136">
            <v>0</v>
          </cell>
          <cell r="R1136">
            <v>0</v>
          </cell>
          <cell r="S1136">
            <v>0</v>
          </cell>
          <cell r="T1136">
            <v>2</v>
          </cell>
          <cell r="U1136">
            <v>0</v>
          </cell>
          <cell r="V1136">
            <v>0</v>
          </cell>
          <cell r="W1136">
            <v>0</v>
          </cell>
          <cell r="X1136">
            <v>0</v>
          </cell>
          <cell r="Y1136">
            <v>0</v>
          </cell>
          <cell r="Z1136">
            <v>0</v>
          </cell>
          <cell r="AA1136">
            <v>12</v>
          </cell>
          <cell r="AB1136">
            <v>1</v>
          </cell>
          <cell r="AC1136">
            <v>0</v>
          </cell>
          <cell r="AD1136">
            <v>48</v>
          </cell>
        </row>
        <row r="1137">
          <cell r="A1137">
            <v>46</v>
          </cell>
          <cell r="B1137">
            <v>4</v>
          </cell>
          <cell r="C1137">
            <v>4</v>
          </cell>
          <cell r="D1137">
            <v>17567</v>
          </cell>
          <cell r="E1137">
            <v>1</v>
          </cell>
          <cell r="F1137">
            <v>15</v>
          </cell>
          <cell r="G1137">
            <v>3</v>
          </cell>
          <cell r="H1137">
            <v>0</v>
          </cell>
          <cell r="I1137">
            <v>27</v>
          </cell>
          <cell r="J1137">
            <v>5</v>
          </cell>
          <cell r="K1137">
            <v>26</v>
          </cell>
          <cell r="L1137">
            <v>0</v>
          </cell>
          <cell r="M1137">
            <v>0</v>
          </cell>
          <cell r="N1137">
            <v>0</v>
          </cell>
          <cell r="O1137">
            <v>1</v>
          </cell>
          <cell r="P1137">
            <v>0</v>
          </cell>
          <cell r="Q1137">
            <v>0</v>
          </cell>
          <cell r="R1137">
            <v>0</v>
          </cell>
          <cell r="S1137">
            <v>0</v>
          </cell>
          <cell r="T1137">
            <v>4</v>
          </cell>
          <cell r="U1137">
            <v>0</v>
          </cell>
          <cell r="V1137">
            <v>0</v>
          </cell>
          <cell r="W1137">
            <v>0</v>
          </cell>
          <cell r="X1137">
            <v>0</v>
          </cell>
          <cell r="Y1137">
            <v>0</v>
          </cell>
          <cell r="Z1137">
            <v>0</v>
          </cell>
          <cell r="AA1137">
            <v>4</v>
          </cell>
          <cell r="AB1137">
            <v>3.7037037037037035E-2</v>
          </cell>
          <cell r="AC1137">
            <v>0</v>
          </cell>
          <cell r="AD1137">
            <v>8</v>
          </cell>
        </row>
        <row r="1138">
          <cell r="A1138">
            <v>28</v>
          </cell>
          <cell r="B1138">
            <v>3</v>
          </cell>
          <cell r="C1138">
            <v>3</v>
          </cell>
          <cell r="D1138">
            <v>2408</v>
          </cell>
          <cell r="E1138">
            <v>1</v>
          </cell>
          <cell r="F1138">
            <v>17</v>
          </cell>
          <cell r="G1138">
            <v>3</v>
          </cell>
          <cell r="H1138">
            <v>3</v>
          </cell>
          <cell r="I1138">
            <v>1</v>
          </cell>
          <cell r="J1138">
            <v>3</v>
          </cell>
          <cell r="K1138">
            <v>1</v>
          </cell>
          <cell r="L1138">
            <v>1</v>
          </cell>
          <cell r="M1138">
            <v>1</v>
          </cell>
          <cell r="N1138">
            <v>0</v>
          </cell>
          <cell r="O1138">
            <v>0</v>
          </cell>
          <cell r="P1138">
            <v>0</v>
          </cell>
          <cell r="Q1138">
            <v>1</v>
          </cell>
          <cell r="R1138">
            <v>0</v>
          </cell>
          <cell r="S1138">
            <v>0</v>
          </cell>
          <cell r="T1138">
            <v>0</v>
          </cell>
          <cell r="U1138">
            <v>0</v>
          </cell>
          <cell r="V1138">
            <v>3</v>
          </cell>
          <cell r="W1138">
            <v>0</v>
          </cell>
          <cell r="X1138">
            <v>0</v>
          </cell>
          <cell r="Y1138">
            <v>0</v>
          </cell>
          <cell r="Z1138">
            <v>1</v>
          </cell>
          <cell r="AA1138">
            <v>6</v>
          </cell>
          <cell r="AB1138">
            <v>1</v>
          </cell>
          <cell r="AC1138">
            <v>1</v>
          </cell>
          <cell r="AD1138">
            <v>18</v>
          </cell>
        </row>
        <row r="1139">
          <cell r="A1139">
            <v>22</v>
          </cell>
          <cell r="B1139">
            <v>2</v>
          </cell>
          <cell r="C1139">
            <v>2</v>
          </cell>
          <cell r="D1139">
            <v>2814</v>
          </cell>
          <cell r="E1139">
            <v>1</v>
          </cell>
          <cell r="F1139">
            <v>14</v>
          </cell>
          <cell r="G1139">
            <v>3</v>
          </cell>
          <cell r="H1139">
            <v>0</v>
          </cell>
          <cell r="I1139">
            <v>4</v>
          </cell>
          <cell r="J1139">
            <v>2</v>
          </cell>
          <cell r="K1139">
            <v>4</v>
          </cell>
          <cell r="L1139">
            <v>2</v>
          </cell>
          <cell r="M1139">
            <v>1</v>
          </cell>
          <cell r="N1139">
            <v>1</v>
          </cell>
          <cell r="O1139">
            <v>0</v>
          </cell>
          <cell r="P1139">
            <v>0</v>
          </cell>
          <cell r="Q1139">
            <v>0</v>
          </cell>
          <cell r="R1139">
            <v>1</v>
          </cell>
          <cell r="S1139">
            <v>0</v>
          </cell>
          <cell r="T1139">
            <v>0</v>
          </cell>
          <cell r="U1139">
            <v>0</v>
          </cell>
          <cell r="V1139">
            <v>0</v>
          </cell>
          <cell r="W1139">
            <v>2</v>
          </cell>
          <cell r="X1139">
            <v>0</v>
          </cell>
          <cell r="Y1139">
            <v>0</v>
          </cell>
          <cell r="Z1139">
            <v>1</v>
          </cell>
          <cell r="AA1139">
            <v>6</v>
          </cell>
          <cell r="AB1139">
            <v>0.25</v>
          </cell>
          <cell r="AC1139">
            <v>0.5</v>
          </cell>
          <cell r="AD1139">
            <v>12</v>
          </cell>
        </row>
        <row r="1140">
          <cell r="A1140">
            <v>50</v>
          </cell>
          <cell r="B1140">
            <v>5</v>
          </cell>
          <cell r="C1140">
            <v>3</v>
          </cell>
          <cell r="D1140">
            <v>11245</v>
          </cell>
          <cell r="E1140">
            <v>2</v>
          </cell>
          <cell r="F1140">
            <v>15</v>
          </cell>
          <cell r="G1140">
            <v>3</v>
          </cell>
          <cell r="H1140">
            <v>1</v>
          </cell>
          <cell r="I1140">
            <v>32</v>
          </cell>
          <cell r="J1140">
            <v>3</v>
          </cell>
          <cell r="K1140">
            <v>30</v>
          </cell>
          <cell r="L1140">
            <v>8</v>
          </cell>
          <cell r="M1140">
            <v>1</v>
          </cell>
          <cell r="N1140">
            <v>0</v>
          </cell>
          <cell r="O1140">
            <v>0</v>
          </cell>
          <cell r="P1140">
            <v>0</v>
          </cell>
          <cell r="Q1140">
            <v>1</v>
          </cell>
          <cell r="R1140">
            <v>0</v>
          </cell>
          <cell r="S1140">
            <v>0</v>
          </cell>
          <cell r="T1140">
            <v>0</v>
          </cell>
          <cell r="U1140">
            <v>0</v>
          </cell>
          <cell r="V1140">
            <v>5</v>
          </cell>
          <cell r="W1140">
            <v>0</v>
          </cell>
          <cell r="X1140">
            <v>0</v>
          </cell>
          <cell r="Y1140">
            <v>1</v>
          </cell>
          <cell r="Z1140">
            <v>1</v>
          </cell>
          <cell r="AA1140">
            <v>6</v>
          </cell>
          <cell r="AB1140">
            <v>6.25E-2</v>
          </cell>
          <cell r="AC1140">
            <v>0.26666666666666666</v>
          </cell>
          <cell r="AD1140">
            <v>18</v>
          </cell>
        </row>
        <row r="1141">
          <cell r="A1141">
            <v>32</v>
          </cell>
          <cell r="B1141">
            <v>4</v>
          </cell>
          <cell r="C1141">
            <v>4</v>
          </cell>
          <cell r="D1141">
            <v>3312</v>
          </cell>
          <cell r="E1141">
            <v>3</v>
          </cell>
          <cell r="F1141">
            <v>17</v>
          </cell>
          <cell r="G1141">
            <v>3</v>
          </cell>
          <cell r="H1141">
            <v>2</v>
          </cell>
          <cell r="I1141">
            <v>6</v>
          </cell>
          <cell r="J1141">
            <v>3</v>
          </cell>
          <cell r="K1141">
            <v>3</v>
          </cell>
          <cell r="L1141">
            <v>2</v>
          </cell>
          <cell r="M1141">
            <v>0</v>
          </cell>
          <cell r="N1141">
            <v>1</v>
          </cell>
          <cell r="O1141">
            <v>0</v>
          </cell>
          <cell r="P1141">
            <v>0</v>
          </cell>
          <cell r="Q1141">
            <v>0</v>
          </cell>
          <cell r="R1141">
            <v>1</v>
          </cell>
          <cell r="S1141">
            <v>0</v>
          </cell>
          <cell r="T1141">
            <v>0</v>
          </cell>
          <cell r="U1141">
            <v>0</v>
          </cell>
          <cell r="V1141">
            <v>0</v>
          </cell>
          <cell r="W1141">
            <v>4</v>
          </cell>
          <cell r="X1141">
            <v>0</v>
          </cell>
          <cell r="Y1141">
            <v>0</v>
          </cell>
          <cell r="Z1141">
            <v>0</v>
          </cell>
          <cell r="AA1141">
            <v>8</v>
          </cell>
          <cell r="AB1141">
            <v>0.5</v>
          </cell>
          <cell r="AC1141">
            <v>0.66666666666666663</v>
          </cell>
          <cell r="AD1141">
            <v>32</v>
          </cell>
        </row>
        <row r="1142">
          <cell r="A1142">
            <v>44</v>
          </cell>
          <cell r="B1142">
            <v>3</v>
          </cell>
          <cell r="C1142">
            <v>3</v>
          </cell>
          <cell r="D1142">
            <v>19049</v>
          </cell>
          <cell r="E1142">
            <v>0</v>
          </cell>
          <cell r="F1142">
            <v>14</v>
          </cell>
          <cell r="G1142">
            <v>3</v>
          </cell>
          <cell r="H1142">
            <v>1</v>
          </cell>
          <cell r="I1142">
            <v>23</v>
          </cell>
          <cell r="J1142">
            <v>4</v>
          </cell>
          <cell r="K1142">
            <v>22</v>
          </cell>
          <cell r="L1142">
            <v>7</v>
          </cell>
          <cell r="M1142">
            <v>1</v>
          </cell>
          <cell r="N1142">
            <v>1</v>
          </cell>
          <cell r="O1142">
            <v>0</v>
          </cell>
          <cell r="P1142">
            <v>0</v>
          </cell>
          <cell r="Q1142">
            <v>1</v>
          </cell>
          <cell r="R1142">
            <v>0</v>
          </cell>
          <cell r="S1142">
            <v>0</v>
          </cell>
          <cell r="T1142">
            <v>0</v>
          </cell>
          <cell r="U1142">
            <v>0</v>
          </cell>
          <cell r="V1142">
            <v>3</v>
          </cell>
          <cell r="W1142">
            <v>0</v>
          </cell>
          <cell r="X1142">
            <v>0</v>
          </cell>
          <cell r="Y1142">
            <v>0</v>
          </cell>
          <cell r="Z1142">
            <v>0</v>
          </cell>
          <cell r="AA1142">
            <v>8</v>
          </cell>
          <cell r="AB1142">
            <v>0</v>
          </cell>
          <cell r="AC1142">
            <v>0.31818181818181818</v>
          </cell>
          <cell r="AD1142">
            <v>32</v>
          </cell>
        </row>
        <row r="1143">
          <cell r="A1143">
            <v>30</v>
          </cell>
          <cell r="B1143">
            <v>3</v>
          </cell>
          <cell r="C1143">
            <v>2</v>
          </cell>
          <cell r="D1143">
            <v>2141</v>
          </cell>
          <cell r="E1143">
            <v>1</v>
          </cell>
          <cell r="F1143">
            <v>12</v>
          </cell>
          <cell r="G1143">
            <v>3</v>
          </cell>
          <cell r="H1143">
            <v>1</v>
          </cell>
          <cell r="I1143">
            <v>6</v>
          </cell>
          <cell r="J1143">
            <v>3</v>
          </cell>
          <cell r="K1143">
            <v>6</v>
          </cell>
          <cell r="L1143">
            <v>4</v>
          </cell>
          <cell r="M1143">
            <v>0</v>
          </cell>
          <cell r="N1143">
            <v>0</v>
          </cell>
          <cell r="O1143">
            <v>0</v>
          </cell>
          <cell r="P1143">
            <v>0</v>
          </cell>
          <cell r="Q1143">
            <v>1</v>
          </cell>
          <cell r="R1143">
            <v>0</v>
          </cell>
          <cell r="S1143">
            <v>0</v>
          </cell>
          <cell r="T1143">
            <v>0</v>
          </cell>
          <cell r="U1143">
            <v>0</v>
          </cell>
          <cell r="V1143">
            <v>3</v>
          </cell>
          <cell r="W1143">
            <v>0</v>
          </cell>
          <cell r="X1143">
            <v>0</v>
          </cell>
          <cell r="Y1143">
            <v>0</v>
          </cell>
          <cell r="Z1143">
            <v>0</v>
          </cell>
          <cell r="AA1143">
            <v>4</v>
          </cell>
          <cell r="AB1143">
            <v>0.16666666666666666</v>
          </cell>
          <cell r="AC1143">
            <v>0.66666666666666663</v>
          </cell>
          <cell r="AD1143">
            <v>8</v>
          </cell>
        </row>
        <row r="1144">
          <cell r="A1144">
            <v>45</v>
          </cell>
          <cell r="B1144">
            <v>5</v>
          </cell>
          <cell r="C1144">
            <v>1</v>
          </cell>
          <cell r="D1144">
            <v>5769</v>
          </cell>
          <cell r="E1144">
            <v>1</v>
          </cell>
          <cell r="F1144">
            <v>14</v>
          </cell>
          <cell r="G1144">
            <v>3</v>
          </cell>
          <cell r="H1144">
            <v>0</v>
          </cell>
          <cell r="I1144">
            <v>10</v>
          </cell>
          <cell r="J1144">
            <v>3</v>
          </cell>
          <cell r="K1144">
            <v>10</v>
          </cell>
          <cell r="L1144">
            <v>7</v>
          </cell>
          <cell r="M1144">
            <v>1</v>
          </cell>
          <cell r="N1144">
            <v>1</v>
          </cell>
          <cell r="O1144">
            <v>0</v>
          </cell>
          <cell r="P1144">
            <v>0</v>
          </cell>
          <cell r="Q1144">
            <v>1</v>
          </cell>
          <cell r="R1144">
            <v>0</v>
          </cell>
          <cell r="S1144">
            <v>0</v>
          </cell>
          <cell r="T1144">
            <v>0</v>
          </cell>
          <cell r="U1144">
            <v>0</v>
          </cell>
          <cell r="V1144">
            <v>5</v>
          </cell>
          <cell r="W1144">
            <v>0</v>
          </cell>
          <cell r="X1144">
            <v>0</v>
          </cell>
          <cell r="Y1144">
            <v>0</v>
          </cell>
          <cell r="Z1144">
            <v>0</v>
          </cell>
          <cell r="AA1144">
            <v>3</v>
          </cell>
          <cell r="AB1144">
            <v>0.1</v>
          </cell>
          <cell r="AC1144">
            <v>0.7</v>
          </cell>
          <cell r="AD1144">
            <v>3</v>
          </cell>
        </row>
        <row r="1145">
          <cell r="A1145">
            <v>45</v>
          </cell>
          <cell r="B1145">
            <v>3</v>
          </cell>
          <cell r="C1145">
            <v>2</v>
          </cell>
          <cell r="D1145">
            <v>4385</v>
          </cell>
          <cell r="E1145">
            <v>1</v>
          </cell>
          <cell r="F1145">
            <v>15</v>
          </cell>
          <cell r="G1145">
            <v>3</v>
          </cell>
          <cell r="H1145">
            <v>1</v>
          </cell>
          <cell r="I1145">
            <v>10</v>
          </cell>
          <cell r="J1145">
            <v>2</v>
          </cell>
          <cell r="K1145">
            <v>10</v>
          </cell>
          <cell r="L1145">
            <v>7</v>
          </cell>
          <cell r="M1145">
            <v>0</v>
          </cell>
          <cell r="N1145">
            <v>0</v>
          </cell>
          <cell r="O1145">
            <v>0</v>
          </cell>
          <cell r="P1145">
            <v>1</v>
          </cell>
          <cell r="Q1145">
            <v>0</v>
          </cell>
          <cell r="R1145">
            <v>0</v>
          </cell>
          <cell r="S1145">
            <v>0</v>
          </cell>
          <cell r="T1145">
            <v>0</v>
          </cell>
          <cell r="U1145">
            <v>3</v>
          </cell>
          <cell r="V1145">
            <v>0</v>
          </cell>
          <cell r="W1145">
            <v>0</v>
          </cell>
          <cell r="X1145">
            <v>0</v>
          </cell>
          <cell r="Y1145">
            <v>0</v>
          </cell>
          <cell r="Z1145">
            <v>0</v>
          </cell>
          <cell r="AA1145">
            <v>1</v>
          </cell>
          <cell r="AB1145">
            <v>0.1</v>
          </cell>
          <cell r="AC1145">
            <v>0.7</v>
          </cell>
          <cell r="AD1145">
            <v>1</v>
          </cell>
        </row>
        <row r="1146">
          <cell r="A1146">
            <v>31</v>
          </cell>
          <cell r="B1146">
            <v>4</v>
          </cell>
          <cell r="C1146">
            <v>3</v>
          </cell>
          <cell r="D1146">
            <v>5332</v>
          </cell>
          <cell r="E1146">
            <v>7</v>
          </cell>
          <cell r="F1146">
            <v>13</v>
          </cell>
          <cell r="G1146">
            <v>3</v>
          </cell>
          <cell r="H1146">
            <v>0</v>
          </cell>
          <cell r="I1146">
            <v>10</v>
          </cell>
          <cell r="J1146">
            <v>3</v>
          </cell>
          <cell r="K1146">
            <v>5</v>
          </cell>
          <cell r="L1146">
            <v>2</v>
          </cell>
          <cell r="M1146">
            <v>0</v>
          </cell>
          <cell r="N1146">
            <v>0</v>
          </cell>
          <cell r="O1146">
            <v>0</v>
          </cell>
          <cell r="P1146">
            <v>0</v>
          </cell>
          <cell r="Q1146">
            <v>0</v>
          </cell>
          <cell r="R1146">
            <v>1</v>
          </cell>
          <cell r="S1146">
            <v>0</v>
          </cell>
          <cell r="T1146">
            <v>0</v>
          </cell>
          <cell r="U1146">
            <v>0</v>
          </cell>
          <cell r="V1146">
            <v>0</v>
          </cell>
          <cell r="W1146">
            <v>4</v>
          </cell>
          <cell r="X1146">
            <v>0</v>
          </cell>
          <cell r="Y1146">
            <v>0</v>
          </cell>
          <cell r="Z1146">
            <v>0</v>
          </cell>
          <cell r="AA1146">
            <v>4</v>
          </cell>
          <cell r="AB1146">
            <v>0.7</v>
          </cell>
          <cell r="AC1146">
            <v>0.4</v>
          </cell>
          <cell r="AD1146">
            <v>16</v>
          </cell>
        </row>
        <row r="1147">
          <cell r="A1147">
            <v>36</v>
          </cell>
          <cell r="B1147">
            <v>4</v>
          </cell>
          <cell r="C1147">
            <v>3</v>
          </cell>
          <cell r="D1147">
            <v>4663</v>
          </cell>
          <cell r="E1147">
            <v>9</v>
          </cell>
          <cell r="F1147">
            <v>12</v>
          </cell>
          <cell r="G1147">
            <v>3</v>
          </cell>
          <cell r="H1147">
            <v>2</v>
          </cell>
          <cell r="I1147">
            <v>7</v>
          </cell>
          <cell r="J1147">
            <v>2</v>
          </cell>
          <cell r="K1147">
            <v>3</v>
          </cell>
          <cell r="L1147">
            <v>2</v>
          </cell>
          <cell r="M1147">
            <v>1</v>
          </cell>
          <cell r="N1147">
            <v>1</v>
          </cell>
          <cell r="O1147">
            <v>1</v>
          </cell>
          <cell r="P1147">
            <v>0</v>
          </cell>
          <cell r="Q1147">
            <v>0</v>
          </cell>
          <cell r="R1147">
            <v>0</v>
          </cell>
          <cell r="S1147">
            <v>0</v>
          </cell>
          <cell r="T1147">
            <v>4</v>
          </cell>
          <cell r="U1147">
            <v>0</v>
          </cell>
          <cell r="V1147">
            <v>0</v>
          </cell>
          <cell r="W1147">
            <v>0</v>
          </cell>
          <cell r="X1147">
            <v>0</v>
          </cell>
          <cell r="Y1147">
            <v>0</v>
          </cell>
          <cell r="Z1147">
            <v>1</v>
          </cell>
          <cell r="AA1147">
            <v>9</v>
          </cell>
          <cell r="AB1147">
            <v>1.2857142857142858</v>
          </cell>
          <cell r="AC1147">
            <v>0.66666666666666663</v>
          </cell>
          <cell r="AD1147">
            <v>18</v>
          </cell>
        </row>
        <row r="1148">
          <cell r="A1148">
            <v>34</v>
          </cell>
          <cell r="B1148">
            <v>4</v>
          </cell>
          <cell r="C1148">
            <v>4</v>
          </cell>
          <cell r="D1148">
            <v>4724</v>
          </cell>
          <cell r="E1148">
            <v>1</v>
          </cell>
          <cell r="F1148">
            <v>13</v>
          </cell>
          <cell r="G1148">
            <v>3</v>
          </cell>
          <cell r="H1148">
            <v>1</v>
          </cell>
          <cell r="I1148">
            <v>9</v>
          </cell>
          <cell r="J1148">
            <v>3</v>
          </cell>
          <cell r="K1148">
            <v>9</v>
          </cell>
          <cell r="L1148">
            <v>7</v>
          </cell>
          <cell r="M1148">
            <v>0</v>
          </cell>
          <cell r="N1148">
            <v>0</v>
          </cell>
          <cell r="O1148">
            <v>1</v>
          </cell>
          <cell r="P1148">
            <v>0</v>
          </cell>
          <cell r="Q1148">
            <v>0</v>
          </cell>
          <cell r="R1148">
            <v>0</v>
          </cell>
          <cell r="S1148">
            <v>0</v>
          </cell>
          <cell r="T1148">
            <v>4</v>
          </cell>
          <cell r="U1148">
            <v>0</v>
          </cell>
          <cell r="V1148">
            <v>0</v>
          </cell>
          <cell r="W1148">
            <v>0</v>
          </cell>
          <cell r="X1148">
            <v>0</v>
          </cell>
          <cell r="Y1148">
            <v>0</v>
          </cell>
          <cell r="Z1148">
            <v>0</v>
          </cell>
          <cell r="AA1148">
            <v>12</v>
          </cell>
          <cell r="AB1148">
            <v>0.1111111111111111</v>
          </cell>
          <cell r="AC1148">
            <v>0.77777777777777779</v>
          </cell>
          <cell r="AD1148">
            <v>12</v>
          </cell>
        </row>
        <row r="1149">
          <cell r="A1149">
            <v>49</v>
          </cell>
          <cell r="B1149">
            <v>4</v>
          </cell>
          <cell r="C1149">
            <v>3</v>
          </cell>
          <cell r="D1149">
            <v>3211</v>
          </cell>
          <cell r="E1149">
            <v>1</v>
          </cell>
          <cell r="F1149">
            <v>14</v>
          </cell>
          <cell r="G1149">
            <v>3</v>
          </cell>
          <cell r="H1149">
            <v>1</v>
          </cell>
          <cell r="I1149">
            <v>10</v>
          </cell>
          <cell r="J1149">
            <v>3</v>
          </cell>
          <cell r="K1149">
            <v>9</v>
          </cell>
          <cell r="L1149">
            <v>6</v>
          </cell>
          <cell r="M1149">
            <v>0</v>
          </cell>
          <cell r="N1149">
            <v>1</v>
          </cell>
          <cell r="O1149">
            <v>1</v>
          </cell>
          <cell r="P1149">
            <v>0</v>
          </cell>
          <cell r="Q1149">
            <v>0</v>
          </cell>
          <cell r="R1149">
            <v>0</v>
          </cell>
          <cell r="S1149">
            <v>0</v>
          </cell>
          <cell r="T1149">
            <v>4</v>
          </cell>
          <cell r="U1149">
            <v>0</v>
          </cell>
          <cell r="V1149">
            <v>0</v>
          </cell>
          <cell r="W1149">
            <v>0</v>
          </cell>
          <cell r="X1149">
            <v>0</v>
          </cell>
          <cell r="Y1149">
            <v>0</v>
          </cell>
          <cell r="Z1149">
            <v>0</v>
          </cell>
          <cell r="AA1149">
            <v>3</v>
          </cell>
          <cell r="AB1149">
            <v>0.1</v>
          </cell>
          <cell r="AC1149">
            <v>0.66666666666666663</v>
          </cell>
          <cell r="AD1149">
            <v>12</v>
          </cell>
        </row>
        <row r="1150">
          <cell r="A1150">
            <v>39</v>
          </cell>
          <cell r="B1150">
            <v>5</v>
          </cell>
          <cell r="C1150">
            <v>3</v>
          </cell>
          <cell r="D1150">
            <v>5377</v>
          </cell>
          <cell r="E1150">
            <v>2</v>
          </cell>
          <cell r="F1150">
            <v>13</v>
          </cell>
          <cell r="G1150">
            <v>3</v>
          </cell>
          <cell r="H1150">
            <v>3</v>
          </cell>
          <cell r="I1150">
            <v>10</v>
          </cell>
          <cell r="J1150">
            <v>3</v>
          </cell>
          <cell r="K1150">
            <v>7</v>
          </cell>
          <cell r="L1150">
            <v>7</v>
          </cell>
          <cell r="M1150">
            <v>0</v>
          </cell>
          <cell r="N1150">
            <v>0</v>
          </cell>
          <cell r="O1150">
            <v>0</v>
          </cell>
          <cell r="P1150">
            <v>0</v>
          </cell>
          <cell r="Q1150">
            <v>1</v>
          </cell>
          <cell r="R1150">
            <v>0</v>
          </cell>
          <cell r="S1150">
            <v>0</v>
          </cell>
          <cell r="T1150">
            <v>0</v>
          </cell>
          <cell r="U1150">
            <v>0</v>
          </cell>
          <cell r="V1150">
            <v>5</v>
          </cell>
          <cell r="W1150">
            <v>0</v>
          </cell>
          <cell r="X1150">
            <v>0</v>
          </cell>
          <cell r="Y1150">
            <v>0</v>
          </cell>
          <cell r="Z1150">
            <v>0</v>
          </cell>
          <cell r="AA1150">
            <v>2</v>
          </cell>
          <cell r="AB1150">
            <v>0.2</v>
          </cell>
          <cell r="AC1150">
            <v>1</v>
          </cell>
          <cell r="AD1150">
            <v>8</v>
          </cell>
        </row>
        <row r="1151">
          <cell r="A1151">
            <v>27</v>
          </cell>
          <cell r="B1151">
            <v>3</v>
          </cell>
          <cell r="C1151">
            <v>2</v>
          </cell>
          <cell r="D1151">
            <v>4066</v>
          </cell>
          <cell r="E1151">
            <v>1</v>
          </cell>
          <cell r="F1151">
            <v>11</v>
          </cell>
          <cell r="G1151">
            <v>3</v>
          </cell>
          <cell r="H1151">
            <v>2</v>
          </cell>
          <cell r="I1151">
            <v>7</v>
          </cell>
          <cell r="J1151">
            <v>3</v>
          </cell>
          <cell r="K1151">
            <v>7</v>
          </cell>
          <cell r="L1151">
            <v>7</v>
          </cell>
          <cell r="M1151">
            <v>0</v>
          </cell>
          <cell r="N1151">
            <v>0</v>
          </cell>
          <cell r="O1151">
            <v>0</v>
          </cell>
          <cell r="P1151">
            <v>0</v>
          </cell>
          <cell r="Q1151">
            <v>0</v>
          </cell>
          <cell r="R1151">
            <v>1</v>
          </cell>
          <cell r="S1151">
            <v>0</v>
          </cell>
          <cell r="T1151">
            <v>0</v>
          </cell>
          <cell r="U1151">
            <v>0</v>
          </cell>
          <cell r="V1151">
            <v>0</v>
          </cell>
          <cell r="W1151">
            <v>3</v>
          </cell>
          <cell r="X1151">
            <v>0</v>
          </cell>
          <cell r="Y1151">
            <v>0</v>
          </cell>
          <cell r="Z1151">
            <v>0</v>
          </cell>
          <cell r="AA1151">
            <v>4</v>
          </cell>
          <cell r="AB1151">
            <v>0.14285714285714285</v>
          </cell>
          <cell r="AC1151">
            <v>1</v>
          </cell>
          <cell r="AD1151">
            <v>4</v>
          </cell>
        </row>
        <row r="1152">
          <cell r="A1152">
            <v>35</v>
          </cell>
          <cell r="B1152">
            <v>5</v>
          </cell>
          <cell r="C1152">
            <v>4</v>
          </cell>
          <cell r="D1152">
            <v>5208</v>
          </cell>
          <cell r="E1152">
            <v>1</v>
          </cell>
          <cell r="F1152">
            <v>11</v>
          </cell>
          <cell r="G1152">
            <v>3</v>
          </cell>
          <cell r="H1152">
            <v>0</v>
          </cell>
          <cell r="I1152">
            <v>16</v>
          </cell>
          <cell r="J1152">
            <v>2</v>
          </cell>
          <cell r="K1152">
            <v>16</v>
          </cell>
          <cell r="L1152">
            <v>15</v>
          </cell>
          <cell r="M1152">
            <v>0</v>
          </cell>
          <cell r="N1152">
            <v>0</v>
          </cell>
          <cell r="O1152">
            <v>1</v>
          </cell>
          <cell r="P1152">
            <v>0</v>
          </cell>
          <cell r="Q1152">
            <v>0</v>
          </cell>
          <cell r="R1152">
            <v>0</v>
          </cell>
          <cell r="S1152">
            <v>0</v>
          </cell>
          <cell r="T1152">
            <v>5</v>
          </cell>
          <cell r="U1152">
            <v>0</v>
          </cell>
          <cell r="V1152">
            <v>0</v>
          </cell>
          <cell r="W1152">
            <v>0</v>
          </cell>
          <cell r="X1152">
            <v>0</v>
          </cell>
          <cell r="Y1152">
            <v>0</v>
          </cell>
          <cell r="Z1152">
            <v>0</v>
          </cell>
          <cell r="AA1152">
            <v>2</v>
          </cell>
          <cell r="AB1152">
            <v>6.25E-2</v>
          </cell>
          <cell r="AC1152">
            <v>0.9375</v>
          </cell>
          <cell r="AD1152">
            <v>8</v>
          </cell>
        </row>
        <row r="1153">
          <cell r="A1153">
            <v>28</v>
          </cell>
          <cell r="B1153">
            <v>3</v>
          </cell>
          <cell r="C1153">
            <v>1</v>
          </cell>
          <cell r="D1153">
            <v>4877</v>
          </cell>
          <cell r="E1153">
            <v>0</v>
          </cell>
          <cell r="F1153">
            <v>21</v>
          </cell>
          <cell r="G1153">
            <v>4</v>
          </cell>
          <cell r="H1153">
            <v>1</v>
          </cell>
          <cell r="I1153">
            <v>6</v>
          </cell>
          <cell r="J1153">
            <v>5</v>
          </cell>
          <cell r="K1153">
            <v>5</v>
          </cell>
          <cell r="L1153">
            <v>3</v>
          </cell>
          <cell r="M1153">
            <v>0</v>
          </cell>
          <cell r="N1153">
            <v>1</v>
          </cell>
          <cell r="O1153">
            <v>0</v>
          </cell>
          <cell r="P1153">
            <v>0</v>
          </cell>
          <cell r="Q1153">
            <v>1</v>
          </cell>
          <cell r="R1153">
            <v>0</v>
          </cell>
          <cell r="S1153">
            <v>0</v>
          </cell>
          <cell r="T1153">
            <v>0</v>
          </cell>
          <cell r="U1153">
            <v>0</v>
          </cell>
          <cell r="V1153">
            <v>3</v>
          </cell>
          <cell r="W1153">
            <v>0</v>
          </cell>
          <cell r="X1153">
            <v>0</v>
          </cell>
          <cell r="Y1153">
            <v>0</v>
          </cell>
          <cell r="Z1153">
            <v>0</v>
          </cell>
          <cell r="AA1153">
            <v>2</v>
          </cell>
          <cell r="AB1153">
            <v>0</v>
          </cell>
          <cell r="AC1153">
            <v>0.6</v>
          </cell>
          <cell r="AD1153">
            <v>4</v>
          </cell>
        </row>
        <row r="1154">
          <cell r="A1154">
            <v>21</v>
          </cell>
          <cell r="B1154">
            <v>1</v>
          </cell>
          <cell r="C1154">
            <v>3</v>
          </cell>
          <cell r="D1154">
            <v>3117</v>
          </cell>
          <cell r="E1154">
            <v>1</v>
          </cell>
          <cell r="F1154">
            <v>18</v>
          </cell>
          <cell r="G1154">
            <v>3</v>
          </cell>
          <cell r="H1154">
            <v>0</v>
          </cell>
          <cell r="I1154">
            <v>3</v>
          </cell>
          <cell r="J1154">
            <v>2</v>
          </cell>
          <cell r="K1154">
            <v>2</v>
          </cell>
          <cell r="L1154">
            <v>2</v>
          </cell>
          <cell r="M1154">
            <v>0</v>
          </cell>
          <cell r="N1154">
            <v>0</v>
          </cell>
          <cell r="O1154">
            <v>0</v>
          </cell>
          <cell r="P1154">
            <v>0</v>
          </cell>
          <cell r="Q1154">
            <v>1</v>
          </cell>
          <cell r="R1154">
            <v>0</v>
          </cell>
          <cell r="S1154">
            <v>0</v>
          </cell>
          <cell r="T1154">
            <v>0</v>
          </cell>
          <cell r="U1154">
            <v>0</v>
          </cell>
          <cell r="V1154">
            <v>1</v>
          </cell>
          <cell r="W1154">
            <v>0</v>
          </cell>
          <cell r="X1154">
            <v>0</v>
          </cell>
          <cell r="Y1154">
            <v>0</v>
          </cell>
          <cell r="Z1154">
            <v>0</v>
          </cell>
          <cell r="AA1154">
            <v>12</v>
          </cell>
          <cell r="AB1154">
            <v>0.33333333333333331</v>
          </cell>
          <cell r="AC1154">
            <v>1</v>
          </cell>
          <cell r="AD1154">
            <v>36</v>
          </cell>
        </row>
        <row r="1155">
          <cell r="A1155">
            <v>18</v>
          </cell>
          <cell r="B1155">
            <v>2</v>
          </cell>
          <cell r="C1155">
            <v>3</v>
          </cell>
          <cell r="D1155">
            <v>1569</v>
          </cell>
          <cell r="E1155">
            <v>1</v>
          </cell>
          <cell r="F1155">
            <v>12</v>
          </cell>
          <cell r="G1155">
            <v>3</v>
          </cell>
          <cell r="H1155">
            <v>0</v>
          </cell>
          <cell r="I1155">
            <v>0</v>
          </cell>
          <cell r="J1155">
            <v>2</v>
          </cell>
          <cell r="K1155">
            <v>0</v>
          </cell>
          <cell r="L1155">
            <v>0</v>
          </cell>
          <cell r="M1155">
            <v>1</v>
          </cell>
          <cell r="N1155">
            <v>1</v>
          </cell>
          <cell r="O1155">
            <v>0</v>
          </cell>
          <cell r="P1155">
            <v>0</v>
          </cell>
          <cell r="Q1155">
            <v>1</v>
          </cell>
          <cell r="R1155">
            <v>0</v>
          </cell>
          <cell r="S1155">
            <v>0</v>
          </cell>
          <cell r="T1155">
            <v>0</v>
          </cell>
          <cell r="U1155">
            <v>0</v>
          </cell>
          <cell r="V1155">
            <v>2</v>
          </cell>
          <cell r="W1155">
            <v>0</v>
          </cell>
          <cell r="X1155">
            <v>0</v>
          </cell>
          <cell r="Y1155">
            <v>0</v>
          </cell>
          <cell r="Z1155">
            <v>0</v>
          </cell>
          <cell r="AA1155">
            <v>8</v>
          </cell>
          <cell r="AB1155">
            <v>0</v>
          </cell>
          <cell r="AC1155">
            <v>0</v>
          </cell>
          <cell r="AD1155">
            <v>24</v>
          </cell>
        </row>
        <row r="1156">
          <cell r="A1156">
            <v>47</v>
          </cell>
          <cell r="B1156">
            <v>4</v>
          </cell>
          <cell r="C1156">
            <v>3</v>
          </cell>
          <cell r="D1156">
            <v>19658</v>
          </cell>
          <cell r="E1156">
            <v>3</v>
          </cell>
          <cell r="F1156">
            <v>11</v>
          </cell>
          <cell r="G1156">
            <v>3</v>
          </cell>
          <cell r="H1156">
            <v>1</v>
          </cell>
          <cell r="I1156">
            <v>27</v>
          </cell>
          <cell r="J1156">
            <v>2</v>
          </cell>
          <cell r="K1156">
            <v>5</v>
          </cell>
          <cell r="L1156">
            <v>2</v>
          </cell>
          <cell r="M1156">
            <v>0</v>
          </cell>
          <cell r="N1156">
            <v>1</v>
          </cell>
          <cell r="O1156">
            <v>1</v>
          </cell>
          <cell r="P1156">
            <v>0</v>
          </cell>
          <cell r="Q1156">
            <v>0</v>
          </cell>
          <cell r="R1156">
            <v>0</v>
          </cell>
          <cell r="S1156">
            <v>0</v>
          </cell>
          <cell r="T1156">
            <v>4</v>
          </cell>
          <cell r="U1156">
            <v>0</v>
          </cell>
          <cell r="V1156">
            <v>0</v>
          </cell>
          <cell r="W1156">
            <v>0</v>
          </cell>
          <cell r="X1156">
            <v>0</v>
          </cell>
          <cell r="Y1156">
            <v>0</v>
          </cell>
          <cell r="Z1156">
            <v>0</v>
          </cell>
          <cell r="AA1156">
            <v>12</v>
          </cell>
          <cell r="AB1156">
            <v>0.1111111111111111</v>
          </cell>
          <cell r="AC1156">
            <v>0.4</v>
          </cell>
          <cell r="AD1156">
            <v>36</v>
          </cell>
        </row>
        <row r="1157">
          <cell r="A1157">
            <v>39</v>
          </cell>
          <cell r="B1157">
            <v>2</v>
          </cell>
          <cell r="C1157">
            <v>2</v>
          </cell>
          <cell r="D1157">
            <v>3069</v>
          </cell>
          <cell r="E1157">
            <v>0</v>
          </cell>
          <cell r="F1157">
            <v>15</v>
          </cell>
          <cell r="G1157">
            <v>3</v>
          </cell>
          <cell r="H1157">
            <v>1</v>
          </cell>
          <cell r="I1157">
            <v>11</v>
          </cell>
          <cell r="J1157">
            <v>3</v>
          </cell>
          <cell r="K1157">
            <v>10</v>
          </cell>
          <cell r="L1157">
            <v>8</v>
          </cell>
          <cell r="M1157">
            <v>0</v>
          </cell>
          <cell r="N1157">
            <v>0</v>
          </cell>
          <cell r="O1157">
            <v>0</v>
          </cell>
          <cell r="P1157">
            <v>0</v>
          </cell>
          <cell r="Q1157">
            <v>1</v>
          </cell>
          <cell r="R1157">
            <v>0</v>
          </cell>
          <cell r="S1157">
            <v>0</v>
          </cell>
          <cell r="T1157">
            <v>0</v>
          </cell>
          <cell r="U1157">
            <v>0</v>
          </cell>
          <cell r="V1157">
            <v>2</v>
          </cell>
          <cell r="W1157">
            <v>0</v>
          </cell>
          <cell r="X1157">
            <v>0</v>
          </cell>
          <cell r="Y1157">
            <v>0</v>
          </cell>
          <cell r="Z1157">
            <v>0</v>
          </cell>
          <cell r="AA1157">
            <v>9</v>
          </cell>
          <cell r="AB1157">
            <v>0</v>
          </cell>
          <cell r="AC1157">
            <v>0.8</v>
          </cell>
          <cell r="AD1157">
            <v>36</v>
          </cell>
        </row>
        <row r="1158">
          <cell r="A1158">
            <v>40</v>
          </cell>
          <cell r="B1158">
            <v>3</v>
          </cell>
          <cell r="C1158">
            <v>2</v>
          </cell>
          <cell r="D1158">
            <v>10435</v>
          </cell>
          <cell r="E1158">
            <v>1</v>
          </cell>
          <cell r="F1158">
            <v>13</v>
          </cell>
          <cell r="G1158">
            <v>3</v>
          </cell>
          <cell r="H1158">
            <v>2</v>
          </cell>
          <cell r="I1158">
            <v>18</v>
          </cell>
          <cell r="J1158">
            <v>2</v>
          </cell>
          <cell r="K1158">
            <v>18</v>
          </cell>
          <cell r="L1158">
            <v>15</v>
          </cell>
          <cell r="M1158">
            <v>0</v>
          </cell>
          <cell r="N1158">
            <v>1</v>
          </cell>
          <cell r="O1158">
            <v>1</v>
          </cell>
          <cell r="P1158">
            <v>0</v>
          </cell>
          <cell r="Q1158">
            <v>0</v>
          </cell>
          <cell r="R1158">
            <v>0</v>
          </cell>
          <cell r="S1158">
            <v>0</v>
          </cell>
          <cell r="T1158">
            <v>3</v>
          </cell>
          <cell r="U1158">
            <v>0</v>
          </cell>
          <cell r="V1158">
            <v>0</v>
          </cell>
          <cell r="W1158">
            <v>0</v>
          </cell>
          <cell r="X1158">
            <v>0</v>
          </cell>
          <cell r="Y1158">
            <v>0</v>
          </cell>
          <cell r="Z1158">
            <v>0</v>
          </cell>
          <cell r="AA1158">
            <v>3</v>
          </cell>
          <cell r="AB1158">
            <v>5.5555555555555552E-2</v>
          </cell>
          <cell r="AC1158">
            <v>0.83333333333333337</v>
          </cell>
          <cell r="AD1158">
            <v>12</v>
          </cell>
        </row>
        <row r="1159">
          <cell r="A1159">
            <v>35</v>
          </cell>
          <cell r="B1159">
            <v>4</v>
          </cell>
          <cell r="C1159">
            <v>3</v>
          </cell>
          <cell r="D1159">
            <v>4148</v>
          </cell>
          <cell r="E1159">
            <v>1</v>
          </cell>
          <cell r="F1159">
            <v>12</v>
          </cell>
          <cell r="G1159">
            <v>3</v>
          </cell>
          <cell r="H1159">
            <v>1</v>
          </cell>
          <cell r="I1159">
            <v>15</v>
          </cell>
          <cell r="J1159">
            <v>5</v>
          </cell>
          <cell r="K1159">
            <v>14</v>
          </cell>
          <cell r="L1159">
            <v>11</v>
          </cell>
          <cell r="M1159">
            <v>0</v>
          </cell>
          <cell r="N1159">
            <v>1</v>
          </cell>
          <cell r="O1159">
            <v>1</v>
          </cell>
          <cell r="P1159">
            <v>0</v>
          </cell>
          <cell r="Q1159">
            <v>0</v>
          </cell>
          <cell r="R1159">
            <v>0</v>
          </cell>
          <cell r="S1159">
            <v>0</v>
          </cell>
          <cell r="T1159">
            <v>4</v>
          </cell>
          <cell r="U1159">
            <v>0</v>
          </cell>
          <cell r="V1159">
            <v>0</v>
          </cell>
          <cell r="W1159">
            <v>0</v>
          </cell>
          <cell r="X1159">
            <v>0</v>
          </cell>
          <cell r="Y1159">
            <v>0</v>
          </cell>
          <cell r="Z1159">
            <v>0</v>
          </cell>
          <cell r="AA1159">
            <v>9</v>
          </cell>
          <cell r="AB1159">
            <v>6.6666666666666666E-2</v>
          </cell>
          <cell r="AC1159">
            <v>0.7857142857142857</v>
          </cell>
          <cell r="AD1159">
            <v>36</v>
          </cell>
        </row>
        <row r="1160">
          <cell r="A1160">
            <v>37</v>
          </cell>
          <cell r="B1160">
            <v>3</v>
          </cell>
          <cell r="C1160">
            <v>3</v>
          </cell>
          <cell r="D1160">
            <v>5768</v>
          </cell>
          <cell r="E1160">
            <v>3</v>
          </cell>
          <cell r="F1160">
            <v>17</v>
          </cell>
          <cell r="G1160">
            <v>3</v>
          </cell>
          <cell r="H1160">
            <v>3</v>
          </cell>
          <cell r="I1160">
            <v>9</v>
          </cell>
          <cell r="J1160">
            <v>2</v>
          </cell>
          <cell r="K1160">
            <v>4</v>
          </cell>
          <cell r="L1160">
            <v>3</v>
          </cell>
          <cell r="M1160">
            <v>0</v>
          </cell>
          <cell r="N1160">
            <v>0</v>
          </cell>
          <cell r="O1160">
            <v>1</v>
          </cell>
          <cell r="P1160">
            <v>0</v>
          </cell>
          <cell r="Q1160">
            <v>0</v>
          </cell>
          <cell r="R1160">
            <v>0</v>
          </cell>
          <cell r="S1160">
            <v>0</v>
          </cell>
          <cell r="T1160">
            <v>3</v>
          </cell>
          <cell r="U1160">
            <v>0</v>
          </cell>
          <cell r="V1160">
            <v>0</v>
          </cell>
          <cell r="W1160">
            <v>0</v>
          </cell>
          <cell r="X1160">
            <v>0</v>
          </cell>
          <cell r="Y1160">
            <v>0</v>
          </cell>
          <cell r="Z1160">
            <v>0</v>
          </cell>
          <cell r="AA1160">
            <v>9</v>
          </cell>
          <cell r="AB1160">
            <v>0.33333333333333331</v>
          </cell>
          <cell r="AC1160">
            <v>0.75</v>
          </cell>
          <cell r="AD1160">
            <v>9</v>
          </cell>
        </row>
        <row r="1161">
          <cell r="A1161">
            <v>39</v>
          </cell>
          <cell r="B1161">
            <v>3</v>
          </cell>
          <cell r="C1161">
            <v>3</v>
          </cell>
          <cell r="D1161">
            <v>5042</v>
          </cell>
          <cell r="E1161">
            <v>0</v>
          </cell>
          <cell r="F1161">
            <v>13</v>
          </cell>
          <cell r="G1161">
            <v>3</v>
          </cell>
          <cell r="H1161">
            <v>0</v>
          </cell>
          <cell r="I1161">
            <v>10</v>
          </cell>
          <cell r="J1161">
            <v>2</v>
          </cell>
          <cell r="K1161">
            <v>9</v>
          </cell>
          <cell r="L1161">
            <v>2</v>
          </cell>
          <cell r="M1161">
            <v>0</v>
          </cell>
          <cell r="N1161">
            <v>1</v>
          </cell>
          <cell r="O1161">
            <v>0</v>
          </cell>
          <cell r="P1161">
            <v>0</v>
          </cell>
          <cell r="Q1161">
            <v>1</v>
          </cell>
          <cell r="R1161">
            <v>0</v>
          </cell>
          <cell r="S1161">
            <v>0</v>
          </cell>
          <cell r="T1161">
            <v>0</v>
          </cell>
          <cell r="U1161">
            <v>0</v>
          </cell>
          <cell r="V1161">
            <v>3</v>
          </cell>
          <cell r="W1161">
            <v>0</v>
          </cell>
          <cell r="X1161">
            <v>0</v>
          </cell>
          <cell r="Y1161">
            <v>0</v>
          </cell>
          <cell r="Z1161">
            <v>0</v>
          </cell>
          <cell r="AA1161">
            <v>3</v>
          </cell>
          <cell r="AB1161">
            <v>0</v>
          </cell>
          <cell r="AC1161">
            <v>0.22222222222222221</v>
          </cell>
          <cell r="AD1161">
            <v>12</v>
          </cell>
        </row>
        <row r="1162">
          <cell r="A1162">
            <v>45</v>
          </cell>
          <cell r="B1162">
            <v>2</v>
          </cell>
          <cell r="C1162">
            <v>2</v>
          </cell>
          <cell r="D1162">
            <v>5770</v>
          </cell>
          <cell r="E1162">
            <v>1</v>
          </cell>
          <cell r="F1162">
            <v>19</v>
          </cell>
          <cell r="G1162">
            <v>3</v>
          </cell>
          <cell r="H1162">
            <v>2</v>
          </cell>
          <cell r="I1162">
            <v>10</v>
          </cell>
          <cell r="J1162">
            <v>3</v>
          </cell>
          <cell r="K1162">
            <v>10</v>
          </cell>
          <cell r="L1162">
            <v>7</v>
          </cell>
          <cell r="M1162">
            <v>0</v>
          </cell>
          <cell r="N1162">
            <v>1</v>
          </cell>
          <cell r="O1162">
            <v>0</v>
          </cell>
          <cell r="P1162">
            <v>0</v>
          </cell>
          <cell r="Q1162">
            <v>0</v>
          </cell>
          <cell r="R1162">
            <v>1</v>
          </cell>
          <cell r="S1162">
            <v>0</v>
          </cell>
          <cell r="T1162">
            <v>0</v>
          </cell>
          <cell r="U1162">
            <v>0</v>
          </cell>
          <cell r="V1162">
            <v>0</v>
          </cell>
          <cell r="W1162">
            <v>2</v>
          </cell>
          <cell r="X1162">
            <v>0</v>
          </cell>
          <cell r="Y1162">
            <v>0</v>
          </cell>
          <cell r="Z1162">
            <v>0</v>
          </cell>
          <cell r="AA1162">
            <v>16</v>
          </cell>
          <cell r="AB1162">
            <v>0.1</v>
          </cell>
          <cell r="AC1162">
            <v>0.7</v>
          </cell>
          <cell r="AD1162">
            <v>16</v>
          </cell>
        </row>
        <row r="1163">
          <cell r="A1163">
            <v>38</v>
          </cell>
          <cell r="B1163">
            <v>2</v>
          </cell>
          <cell r="C1163">
            <v>2</v>
          </cell>
          <cell r="D1163">
            <v>7756</v>
          </cell>
          <cell r="E1163">
            <v>3</v>
          </cell>
          <cell r="F1163">
            <v>19</v>
          </cell>
          <cell r="G1163">
            <v>3</v>
          </cell>
          <cell r="H1163">
            <v>1</v>
          </cell>
          <cell r="I1163">
            <v>10</v>
          </cell>
          <cell r="J1163">
            <v>6</v>
          </cell>
          <cell r="K1163">
            <v>5</v>
          </cell>
          <cell r="L1163">
            <v>4</v>
          </cell>
          <cell r="M1163">
            <v>1</v>
          </cell>
          <cell r="N1163">
            <v>1</v>
          </cell>
          <cell r="O1163">
            <v>0</v>
          </cell>
          <cell r="P1163">
            <v>0</v>
          </cell>
          <cell r="Q1163">
            <v>1</v>
          </cell>
          <cell r="R1163">
            <v>0</v>
          </cell>
          <cell r="S1163">
            <v>0</v>
          </cell>
          <cell r="T1163">
            <v>0</v>
          </cell>
          <cell r="U1163">
            <v>0</v>
          </cell>
          <cell r="V1163">
            <v>2</v>
          </cell>
          <cell r="W1163">
            <v>0</v>
          </cell>
          <cell r="X1163">
            <v>0</v>
          </cell>
          <cell r="Y1163">
            <v>0</v>
          </cell>
          <cell r="Z1163">
            <v>1</v>
          </cell>
          <cell r="AA1163">
            <v>12</v>
          </cell>
          <cell r="AB1163">
            <v>0.3</v>
          </cell>
          <cell r="AC1163">
            <v>0.8</v>
          </cell>
          <cell r="AD1163">
            <v>48</v>
          </cell>
        </row>
        <row r="1164">
          <cell r="A1164">
            <v>35</v>
          </cell>
          <cell r="B1164">
            <v>3</v>
          </cell>
          <cell r="C1164">
            <v>2</v>
          </cell>
          <cell r="D1164">
            <v>10306</v>
          </cell>
          <cell r="E1164">
            <v>9</v>
          </cell>
          <cell r="F1164">
            <v>17</v>
          </cell>
          <cell r="G1164">
            <v>3</v>
          </cell>
          <cell r="H1164">
            <v>0</v>
          </cell>
          <cell r="I1164">
            <v>15</v>
          </cell>
          <cell r="J1164">
            <v>3</v>
          </cell>
          <cell r="K1164">
            <v>13</v>
          </cell>
          <cell r="L1164">
            <v>12</v>
          </cell>
          <cell r="M1164">
            <v>0</v>
          </cell>
          <cell r="N1164">
            <v>0</v>
          </cell>
          <cell r="O1164">
            <v>0</v>
          </cell>
          <cell r="P1164">
            <v>0</v>
          </cell>
          <cell r="Q1164">
            <v>1</v>
          </cell>
          <cell r="R1164">
            <v>0</v>
          </cell>
          <cell r="S1164">
            <v>0</v>
          </cell>
          <cell r="T1164">
            <v>0</v>
          </cell>
          <cell r="U1164">
            <v>0</v>
          </cell>
          <cell r="V1164">
            <v>3</v>
          </cell>
          <cell r="W1164">
            <v>0</v>
          </cell>
          <cell r="X1164">
            <v>0</v>
          </cell>
          <cell r="Y1164">
            <v>0</v>
          </cell>
          <cell r="Z1164">
            <v>0</v>
          </cell>
          <cell r="AA1164">
            <v>4</v>
          </cell>
          <cell r="AB1164">
            <v>0.6</v>
          </cell>
          <cell r="AC1164">
            <v>0.92307692307692313</v>
          </cell>
          <cell r="AD1164">
            <v>12</v>
          </cell>
        </row>
        <row r="1165">
          <cell r="A1165">
            <v>37</v>
          </cell>
          <cell r="B1165">
            <v>3</v>
          </cell>
          <cell r="C1165">
            <v>3</v>
          </cell>
          <cell r="D1165">
            <v>3936</v>
          </cell>
          <cell r="E1165">
            <v>1</v>
          </cell>
          <cell r="F1165">
            <v>11</v>
          </cell>
          <cell r="G1165">
            <v>3</v>
          </cell>
          <cell r="H1165">
            <v>1</v>
          </cell>
          <cell r="I1165">
            <v>8</v>
          </cell>
          <cell r="J1165">
            <v>2</v>
          </cell>
          <cell r="K1165">
            <v>8</v>
          </cell>
          <cell r="L1165">
            <v>4</v>
          </cell>
          <cell r="M1165">
            <v>0</v>
          </cell>
          <cell r="N1165">
            <v>1</v>
          </cell>
          <cell r="O1165">
            <v>0</v>
          </cell>
          <cell r="P1165">
            <v>0</v>
          </cell>
          <cell r="Q1165">
            <v>1</v>
          </cell>
          <cell r="R1165">
            <v>0</v>
          </cell>
          <cell r="S1165">
            <v>0</v>
          </cell>
          <cell r="T1165">
            <v>0</v>
          </cell>
          <cell r="U1165">
            <v>0</v>
          </cell>
          <cell r="V1165">
            <v>3</v>
          </cell>
          <cell r="W1165">
            <v>0</v>
          </cell>
          <cell r="X1165">
            <v>0</v>
          </cell>
          <cell r="Y1165">
            <v>0</v>
          </cell>
          <cell r="Z1165">
            <v>0</v>
          </cell>
          <cell r="AA1165">
            <v>4</v>
          </cell>
          <cell r="AB1165">
            <v>0.125</v>
          </cell>
          <cell r="AC1165">
            <v>0.5</v>
          </cell>
          <cell r="AD1165">
            <v>4</v>
          </cell>
        </row>
        <row r="1166">
          <cell r="A1166">
            <v>40</v>
          </cell>
          <cell r="B1166">
            <v>3</v>
          </cell>
          <cell r="C1166">
            <v>3</v>
          </cell>
          <cell r="D1166">
            <v>7945</v>
          </cell>
          <cell r="E1166">
            <v>6</v>
          </cell>
          <cell r="F1166">
            <v>15</v>
          </cell>
          <cell r="G1166">
            <v>3</v>
          </cell>
          <cell r="H1166">
            <v>0</v>
          </cell>
          <cell r="I1166">
            <v>18</v>
          </cell>
          <cell r="J1166">
            <v>2</v>
          </cell>
          <cell r="K1166">
            <v>4</v>
          </cell>
          <cell r="L1166">
            <v>2</v>
          </cell>
          <cell r="M1166">
            <v>1</v>
          </cell>
          <cell r="N1166">
            <v>1</v>
          </cell>
          <cell r="O1166">
            <v>1</v>
          </cell>
          <cell r="P1166">
            <v>0</v>
          </cell>
          <cell r="Q1166">
            <v>0</v>
          </cell>
          <cell r="R1166">
            <v>0</v>
          </cell>
          <cell r="S1166">
            <v>0</v>
          </cell>
          <cell r="T1166">
            <v>3</v>
          </cell>
          <cell r="U1166">
            <v>0</v>
          </cell>
          <cell r="V1166">
            <v>0</v>
          </cell>
          <cell r="W1166">
            <v>0</v>
          </cell>
          <cell r="X1166">
            <v>0</v>
          </cell>
          <cell r="Y1166">
            <v>0</v>
          </cell>
          <cell r="Z1166">
            <v>0</v>
          </cell>
          <cell r="AA1166">
            <v>12</v>
          </cell>
          <cell r="AB1166">
            <v>0.33333333333333331</v>
          </cell>
          <cell r="AC1166">
            <v>0.5</v>
          </cell>
          <cell r="AD1166">
            <v>48</v>
          </cell>
        </row>
        <row r="1167">
          <cell r="A1167">
            <v>44</v>
          </cell>
          <cell r="B1167">
            <v>5</v>
          </cell>
          <cell r="C1167">
            <v>3</v>
          </cell>
          <cell r="D1167">
            <v>5743</v>
          </cell>
          <cell r="E1167">
            <v>4</v>
          </cell>
          <cell r="F1167">
            <v>11</v>
          </cell>
          <cell r="G1167">
            <v>3</v>
          </cell>
          <cell r="H1167">
            <v>0</v>
          </cell>
          <cell r="I1167">
            <v>14</v>
          </cell>
          <cell r="J1167">
            <v>3</v>
          </cell>
          <cell r="K1167">
            <v>10</v>
          </cell>
          <cell r="L1167">
            <v>7</v>
          </cell>
          <cell r="M1167">
            <v>1</v>
          </cell>
          <cell r="N1167">
            <v>0</v>
          </cell>
          <cell r="O1167">
            <v>0</v>
          </cell>
          <cell r="P1167">
            <v>0</v>
          </cell>
          <cell r="Q1167">
            <v>0</v>
          </cell>
          <cell r="R1167">
            <v>0</v>
          </cell>
          <cell r="S1167">
            <v>0</v>
          </cell>
          <cell r="T1167">
            <v>0</v>
          </cell>
          <cell r="U1167">
            <v>0</v>
          </cell>
          <cell r="V1167">
            <v>0</v>
          </cell>
          <cell r="W1167">
            <v>0</v>
          </cell>
          <cell r="X1167">
            <v>0</v>
          </cell>
          <cell r="Y1167">
            <v>1</v>
          </cell>
          <cell r="Z1167">
            <v>1</v>
          </cell>
          <cell r="AA1167">
            <v>4</v>
          </cell>
          <cell r="AB1167">
            <v>0.2857142857142857</v>
          </cell>
          <cell r="AC1167">
            <v>0.7</v>
          </cell>
          <cell r="AD1167">
            <v>12</v>
          </cell>
        </row>
        <row r="1168">
          <cell r="A1168">
            <v>48</v>
          </cell>
          <cell r="B1168">
            <v>5</v>
          </cell>
          <cell r="C1168">
            <v>2</v>
          </cell>
          <cell r="D1168">
            <v>15202</v>
          </cell>
          <cell r="E1168">
            <v>2</v>
          </cell>
          <cell r="F1168">
            <v>25</v>
          </cell>
          <cell r="G1168">
            <v>4</v>
          </cell>
          <cell r="H1168">
            <v>1</v>
          </cell>
          <cell r="I1168">
            <v>23</v>
          </cell>
          <cell r="J1168">
            <v>3</v>
          </cell>
          <cell r="K1168">
            <v>2</v>
          </cell>
          <cell r="L1168">
            <v>2</v>
          </cell>
          <cell r="M1168">
            <v>0</v>
          </cell>
          <cell r="N1168">
            <v>0</v>
          </cell>
          <cell r="O1168">
            <v>0</v>
          </cell>
          <cell r="P1168">
            <v>0</v>
          </cell>
          <cell r="Q1168">
            <v>1</v>
          </cell>
          <cell r="R1168">
            <v>0</v>
          </cell>
          <cell r="S1168">
            <v>0</v>
          </cell>
          <cell r="T1168">
            <v>0</v>
          </cell>
          <cell r="U1168">
            <v>0</v>
          </cell>
          <cell r="V1168">
            <v>5</v>
          </cell>
          <cell r="W1168">
            <v>0</v>
          </cell>
          <cell r="X1168">
            <v>0</v>
          </cell>
          <cell r="Y1168">
            <v>1</v>
          </cell>
          <cell r="Z1168">
            <v>0</v>
          </cell>
          <cell r="AA1168">
            <v>12</v>
          </cell>
          <cell r="AB1168">
            <v>8.6956521739130432E-2</v>
          </cell>
          <cell r="AC1168">
            <v>1</v>
          </cell>
          <cell r="AD1168">
            <v>24</v>
          </cell>
        </row>
        <row r="1169">
          <cell r="A1169">
            <v>35</v>
          </cell>
          <cell r="B1169">
            <v>2</v>
          </cell>
          <cell r="C1169">
            <v>1</v>
          </cell>
          <cell r="D1169">
            <v>5440</v>
          </cell>
          <cell r="E1169">
            <v>6</v>
          </cell>
          <cell r="F1169">
            <v>14</v>
          </cell>
          <cell r="G1169">
            <v>3</v>
          </cell>
          <cell r="H1169">
            <v>2</v>
          </cell>
          <cell r="I1169">
            <v>7</v>
          </cell>
          <cell r="J1169">
            <v>2</v>
          </cell>
          <cell r="K1169">
            <v>2</v>
          </cell>
          <cell r="L1169">
            <v>2</v>
          </cell>
          <cell r="M1169">
            <v>1</v>
          </cell>
          <cell r="N1169">
            <v>0</v>
          </cell>
          <cell r="O1169">
            <v>0</v>
          </cell>
          <cell r="P1169">
            <v>0</v>
          </cell>
          <cell r="Q1169">
            <v>1</v>
          </cell>
          <cell r="R1169">
            <v>0</v>
          </cell>
          <cell r="S1169">
            <v>0</v>
          </cell>
          <cell r="T1169">
            <v>0</v>
          </cell>
          <cell r="U1169">
            <v>0</v>
          </cell>
          <cell r="V1169">
            <v>2</v>
          </cell>
          <cell r="W1169">
            <v>0</v>
          </cell>
          <cell r="X1169">
            <v>0</v>
          </cell>
          <cell r="Y1169">
            <v>0</v>
          </cell>
          <cell r="Z1169">
            <v>0</v>
          </cell>
          <cell r="AA1169">
            <v>4</v>
          </cell>
          <cell r="AB1169">
            <v>0.8571428571428571</v>
          </cell>
          <cell r="AC1169">
            <v>1</v>
          </cell>
          <cell r="AD1169">
            <v>16</v>
          </cell>
        </row>
        <row r="1170">
          <cell r="A1170">
            <v>24</v>
          </cell>
          <cell r="B1170">
            <v>1</v>
          </cell>
          <cell r="C1170">
            <v>3</v>
          </cell>
          <cell r="D1170">
            <v>3760</v>
          </cell>
          <cell r="E1170">
            <v>1</v>
          </cell>
          <cell r="F1170">
            <v>13</v>
          </cell>
          <cell r="G1170">
            <v>3</v>
          </cell>
          <cell r="H1170">
            <v>0</v>
          </cell>
          <cell r="I1170">
            <v>6</v>
          </cell>
          <cell r="J1170">
            <v>2</v>
          </cell>
          <cell r="K1170">
            <v>6</v>
          </cell>
          <cell r="L1170">
            <v>3</v>
          </cell>
          <cell r="M1170">
            <v>1</v>
          </cell>
          <cell r="N1170">
            <v>1</v>
          </cell>
          <cell r="O1170">
            <v>0</v>
          </cell>
          <cell r="P1170">
            <v>0</v>
          </cell>
          <cell r="Q1170">
            <v>0</v>
          </cell>
          <cell r="R1170">
            <v>0</v>
          </cell>
          <cell r="S1170">
            <v>1</v>
          </cell>
          <cell r="T1170">
            <v>0</v>
          </cell>
          <cell r="U1170">
            <v>0</v>
          </cell>
          <cell r="V1170">
            <v>0</v>
          </cell>
          <cell r="W1170">
            <v>0</v>
          </cell>
          <cell r="X1170">
            <v>1</v>
          </cell>
          <cell r="Y1170">
            <v>0</v>
          </cell>
          <cell r="Z1170">
            <v>0</v>
          </cell>
          <cell r="AA1170">
            <v>4</v>
          </cell>
          <cell r="AB1170">
            <v>0.16666666666666666</v>
          </cell>
          <cell r="AC1170">
            <v>0.5</v>
          </cell>
          <cell r="AD1170">
            <v>12</v>
          </cell>
        </row>
        <row r="1171">
          <cell r="A1171">
            <v>27</v>
          </cell>
          <cell r="B1171">
            <v>3</v>
          </cell>
          <cell r="C1171">
            <v>4</v>
          </cell>
          <cell r="D1171">
            <v>3517</v>
          </cell>
          <cell r="E1171">
            <v>7</v>
          </cell>
          <cell r="F1171">
            <v>17</v>
          </cell>
          <cell r="G1171">
            <v>3</v>
          </cell>
          <cell r="H1171">
            <v>0</v>
          </cell>
          <cell r="I1171">
            <v>5</v>
          </cell>
          <cell r="J1171">
            <v>0</v>
          </cell>
          <cell r="K1171">
            <v>3</v>
          </cell>
          <cell r="L1171">
            <v>2</v>
          </cell>
          <cell r="M1171">
            <v>0</v>
          </cell>
          <cell r="N1171">
            <v>1</v>
          </cell>
          <cell r="O1171">
            <v>0</v>
          </cell>
          <cell r="P1171">
            <v>0</v>
          </cell>
          <cell r="Q1171">
            <v>1</v>
          </cell>
          <cell r="R1171">
            <v>0</v>
          </cell>
          <cell r="S1171">
            <v>0</v>
          </cell>
          <cell r="T1171">
            <v>0</v>
          </cell>
          <cell r="U1171">
            <v>0</v>
          </cell>
          <cell r="V1171">
            <v>3</v>
          </cell>
          <cell r="W1171">
            <v>0</v>
          </cell>
          <cell r="X1171">
            <v>0</v>
          </cell>
          <cell r="Y1171">
            <v>0</v>
          </cell>
          <cell r="Z1171">
            <v>0</v>
          </cell>
          <cell r="AA1171">
            <v>6</v>
          </cell>
          <cell r="AB1171">
            <v>1.4</v>
          </cell>
          <cell r="AC1171">
            <v>0.66666666666666663</v>
          </cell>
          <cell r="AD1171">
            <v>6</v>
          </cell>
        </row>
        <row r="1172">
          <cell r="A1172">
            <v>27</v>
          </cell>
          <cell r="B1172">
            <v>3</v>
          </cell>
          <cell r="C1172">
            <v>3</v>
          </cell>
          <cell r="D1172">
            <v>2580</v>
          </cell>
          <cell r="E1172">
            <v>2</v>
          </cell>
          <cell r="F1172">
            <v>13</v>
          </cell>
          <cell r="G1172">
            <v>3</v>
          </cell>
          <cell r="H1172">
            <v>0</v>
          </cell>
          <cell r="I1172">
            <v>6</v>
          </cell>
          <cell r="J1172">
            <v>0</v>
          </cell>
          <cell r="K1172">
            <v>4</v>
          </cell>
          <cell r="L1172">
            <v>2</v>
          </cell>
          <cell r="M1172">
            <v>0</v>
          </cell>
          <cell r="N1172">
            <v>0</v>
          </cell>
          <cell r="O1172">
            <v>0</v>
          </cell>
          <cell r="P1172">
            <v>0</v>
          </cell>
          <cell r="Q1172">
            <v>1</v>
          </cell>
          <cell r="R1172">
            <v>0</v>
          </cell>
          <cell r="S1172">
            <v>0</v>
          </cell>
          <cell r="T1172">
            <v>0</v>
          </cell>
          <cell r="U1172">
            <v>0</v>
          </cell>
          <cell r="V1172">
            <v>3</v>
          </cell>
          <cell r="W1172">
            <v>0</v>
          </cell>
          <cell r="X1172">
            <v>0</v>
          </cell>
          <cell r="Y1172">
            <v>0</v>
          </cell>
          <cell r="Z1172">
            <v>0</v>
          </cell>
          <cell r="AA1172">
            <v>16</v>
          </cell>
          <cell r="AB1172">
            <v>0.33333333333333331</v>
          </cell>
          <cell r="AC1172">
            <v>0.5</v>
          </cell>
          <cell r="AD1172">
            <v>48</v>
          </cell>
        </row>
        <row r="1173">
          <cell r="A1173">
            <v>40</v>
          </cell>
          <cell r="B1173">
            <v>3</v>
          </cell>
          <cell r="C1173">
            <v>3</v>
          </cell>
          <cell r="D1173">
            <v>2166</v>
          </cell>
          <cell r="E1173">
            <v>3</v>
          </cell>
          <cell r="F1173">
            <v>14</v>
          </cell>
          <cell r="G1173">
            <v>3</v>
          </cell>
          <cell r="H1173">
            <v>0</v>
          </cell>
          <cell r="I1173">
            <v>10</v>
          </cell>
          <cell r="J1173">
            <v>3</v>
          </cell>
          <cell r="K1173">
            <v>4</v>
          </cell>
          <cell r="L1173">
            <v>2</v>
          </cell>
          <cell r="M1173">
            <v>1</v>
          </cell>
          <cell r="N1173">
            <v>0</v>
          </cell>
          <cell r="O1173">
            <v>1</v>
          </cell>
          <cell r="P1173">
            <v>0</v>
          </cell>
          <cell r="Q1173">
            <v>0</v>
          </cell>
          <cell r="R1173">
            <v>0</v>
          </cell>
          <cell r="S1173">
            <v>0</v>
          </cell>
          <cell r="T1173">
            <v>3</v>
          </cell>
          <cell r="U1173">
            <v>0</v>
          </cell>
          <cell r="V1173">
            <v>0</v>
          </cell>
          <cell r="W1173">
            <v>0</v>
          </cell>
          <cell r="X1173">
            <v>0</v>
          </cell>
          <cell r="Y1173">
            <v>0</v>
          </cell>
          <cell r="Z1173">
            <v>0</v>
          </cell>
          <cell r="AA1173">
            <v>1</v>
          </cell>
          <cell r="AB1173">
            <v>0.3</v>
          </cell>
          <cell r="AC1173">
            <v>0.5</v>
          </cell>
          <cell r="AD1173">
            <v>2</v>
          </cell>
        </row>
        <row r="1174">
          <cell r="A1174">
            <v>29</v>
          </cell>
          <cell r="B1174">
            <v>3</v>
          </cell>
          <cell r="C1174">
            <v>2</v>
          </cell>
          <cell r="D1174">
            <v>5869</v>
          </cell>
          <cell r="E1174">
            <v>9</v>
          </cell>
          <cell r="F1174">
            <v>11</v>
          </cell>
          <cell r="G1174">
            <v>3</v>
          </cell>
          <cell r="H1174">
            <v>0</v>
          </cell>
          <cell r="I1174">
            <v>8</v>
          </cell>
          <cell r="J1174">
            <v>2</v>
          </cell>
          <cell r="K1174">
            <v>5</v>
          </cell>
          <cell r="L1174">
            <v>2</v>
          </cell>
          <cell r="M1174">
            <v>0</v>
          </cell>
          <cell r="N1174">
            <v>0</v>
          </cell>
          <cell r="O1174">
            <v>0</v>
          </cell>
          <cell r="P1174">
            <v>0</v>
          </cell>
          <cell r="Q1174">
            <v>1</v>
          </cell>
          <cell r="R1174">
            <v>0</v>
          </cell>
          <cell r="S1174">
            <v>0</v>
          </cell>
          <cell r="T1174">
            <v>0</v>
          </cell>
          <cell r="U1174">
            <v>0</v>
          </cell>
          <cell r="V1174">
            <v>3</v>
          </cell>
          <cell r="W1174">
            <v>0</v>
          </cell>
          <cell r="X1174">
            <v>0</v>
          </cell>
          <cell r="Y1174">
            <v>0</v>
          </cell>
          <cell r="Z1174">
            <v>0</v>
          </cell>
          <cell r="AA1174">
            <v>9</v>
          </cell>
          <cell r="AB1174">
            <v>1.125</v>
          </cell>
          <cell r="AC1174">
            <v>0.4</v>
          </cell>
          <cell r="AD1174">
            <v>27</v>
          </cell>
        </row>
        <row r="1175">
          <cell r="A1175">
            <v>36</v>
          </cell>
          <cell r="B1175">
            <v>4</v>
          </cell>
          <cell r="C1175">
            <v>3</v>
          </cell>
          <cell r="D1175">
            <v>8008</v>
          </cell>
          <cell r="E1175">
            <v>4</v>
          </cell>
          <cell r="F1175">
            <v>12</v>
          </cell>
          <cell r="G1175">
            <v>3</v>
          </cell>
          <cell r="H1175">
            <v>2</v>
          </cell>
          <cell r="I1175">
            <v>9</v>
          </cell>
          <cell r="J1175">
            <v>6</v>
          </cell>
          <cell r="K1175">
            <v>3</v>
          </cell>
          <cell r="L1175">
            <v>2</v>
          </cell>
          <cell r="M1175">
            <v>0</v>
          </cell>
          <cell r="N1175">
            <v>1</v>
          </cell>
          <cell r="O1175">
            <v>1</v>
          </cell>
          <cell r="P1175">
            <v>0</v>
          </cell>
          <cell r="Q1175">
            <v>0</v>
          </cell>
          <cell r="R1175">
            <v>0</v>
          </cell>
          <cell r="S1175">
            <v>0</v>
          </cell>
          <cell r="T1175">
            <v>4</v>
          </cell>
          <cell r="U1175">
            <v>0</v>
          </cell>
          <cell r="V1175">
            <v>0</v>
          </cell>
          <cell r="W1175">
            <v>0</v>
          </cell>
          <cell r="X1175">
            <v>0</v>
          </cell>
          <cell r="Y1175">
            <v>0</v>
          </cell>
          <cell r="Z1175">
            <v>0</v>
          </cell>
          <cell r="AA1175">
            <v>2</v>
          </cell>
          <cell r="AB1175">
            <v>0.44444444444444442</v>
          </cell>
          <cell r="AC1175">
            <v>0.66666666666666663</v>
          </cell>
          <cell r="AD1175">
            <v>6</v>
          </cell>
        </row>
        <row r="1176">
          <cell r="A1176">
            <v>25</v>
          </cell>
          <cell r="B1176">
            <v>1</v>
          </cell>
          <cell r="C1176">
            <v>4</v>
          </cell>
          <cell r="D1176">
            <v>5206</v>
          </cell>
          <cell r="E1176">
            <v>1</v>
          </cell>
          <cell r="F1176">
            <v>17</v>
          </cell>
          <cell r="G1176">
            <v>3</v>
          </cell>
          <cell r="H1176">
            <v>2</v>
          </cell>
          <cell r="I1176">
            <v>7</v>
          </cell>
          <cell r="J1176">
            <v>6</v>
          </cell>
          <cell r="K1176">
            <v>7</v>
          </cell>
          <cell r="L1176">
            <v>7</v>
          </cell>
          <cell r="M1176">
            <v>0</v>
          </cell>
          <cell r="N1176">
            <v>0</v>
          </cell>
          <cell r="O1176">
            <v>1</v>
          </cell>
          <cell r="P1176">
            <v>0</v>
          </cell>
          <cell r="Q1176">
            <v>0</v>
          </cell>
          <cell r="R1176">
            <v>0</v>
          </cell>
          <cell r="S1176">
            <v>0</v>
          </cell>
          <cell r="T1176">
            <v>1</v>
          </cell>
          <cell r="U1176">
            <v>0</v>
          </cell>
          <cell r="V1176">
            <v>0</v>
          </cell>
          <cell r="W1176">
            <v>0</v>
          </cell>
          <cell r="X1176">
            <v>0</v>
          </cell>
          <cell r="Y1176">
            <v>0</v>
          </cell>
          <cell r="Z1176">
            <v>0</v>
          </cell>
          <cell r="AA1176">
            <v>12</v>
          </cell>
          <cell r="AB1176">
            <v>0.14285714285714285</v>
          </cell>
          <cell r="AC1176">
            <v>1</v>
          </cell>
          <cell r="AD1176">
            <v>36</v>
          </cell>
        </row>
        <row r="1177">
          <cell r="A1177">
            <v>39</v>
          </cell>
          <cell r="B1177">
            <v>3</v>
          </cell>
          <cell r="C1177">
            <v>3</v>
          </cell>
          <cell r="D1177">
            <v>5295</v>
          </cell>
          <cell r="E1177">
            <v>4</v>
          </cell>
          <cell r="F1177">
            <v>21</v>
          </cell>
          <cell r="G1177">
            <v>4</v>
          </cell>
          <cell r="H1177">
            <v>0</v>
          </cell>
          <cell r="I1177">
            <v>7</v>
          </cell>
          <cell r="J1177">
            <v>3</v>
          </cell>
          <cell r="K1177">
            <v>5</v>
          </cell>
          <cell r="L1177">
            <v>4</v>
          </cell>
          <cell r="M1177">
            <v>0</v>
          </cell>
          <cell r="N1177">
            <v>0</v>
          </cell>
          <cell r="O1177">
            <v>0</v>
          </cell>
          <cell r="P1177">
            <v>0</v>
          </cell>
          <cell r="Q1177">
            <v>1</v>
          </cell>
          <cell r="R1177">
            <v>0</v>
          </cell>
          <cell r="S1177">
            <v>0</v>
          </cell>
          <cell r="T1177">
            <v>0</v>
          </cell>
          <cell r="U1177">
            <v>0</v>
          </cell>
          <cell r="V1177">
            <v>3</v>
          </cell>
          <cell r="W1177">
            <v>0</v>
          </cell>
          <cell r="X1177">
            <v>0</v>
          </cell>
          <cell r="Y1177">
            <v>0</v>
          </cell>
          <cell r="Z1177">
            <v>0</v>
          </cell>
          <cell r="AA1177">
            <v>8</v>
          </cell>
          <cell r="AB1177">
            <v>0.5714285714285714</v>
          </cell>
          <cell r="AC1177">
            <v>0.8</v>
          </cell>
          <cell r="AD1177">
            <v>24</v>
          </cell>
        </row>
        <row r="1178">
          <cell r="A1178">
            <v>49</v>
          </cell>
          <cell r="B1178">
            <v>4</v>
          </cell>
          <cell r="C1178">
            <v>3</v>
          </cell>
          <cell r="D1178">
            <v>16413</v>
          </cell>
          <cell r="E1178">
            <v>3</v>
          </cell>
          <cell r="F1178">
            <v>16</v>
          </cell>
          <cell r="G1178">
            <v>3</v>
          </cell>
          <cell r="H1178">
            <v>2</v>
          </cell>
          <cell r="I1178">
            <v>27</v>
          </cell>
          <cell r="J1178">
            <v>2</v>
          </cell>
          <cell r="K1178">
            <v>4</v>
          </cell>
          <cell r="L1178">
            <v>2</v>
          </cell>
          <cell r="M1178">
            <v>0</v>
          </cell>
          <cell r="N1178">
            <v>1</v>
          </cell>
          <cell r="O1178">
            <v>0</v>
          </cell>
          <cell r="P1178">
            <v>0</v>
          </cell>
          <cell r="Q1178">
            <v>0</v>
          </cell>
          <cell r="R1178">
            <v>1</v>
          </cell>
          <cell r="S1178">
            <v>0</v>
          </cell>
          <cell r="T1178">
            <v>0</v>
          </cell>
          <cell r="U1178">
            <v>0</v>
          </cell>
          <cell r="V1178">
            <v>0</v>
          </cell>
          <cell r="W1178">
            <v>4</v>
          </cell>
          <cell r="X1178">
            <v>0</v>
          </cell>
          <cell r="Y1178">
            <v>0</v>
          </cell>
          <cell r="Z1178">
            <v>0</v>
          </cell>
          <cell r="AA1178">
            <v>2</v>
          </cell>
          <cell r="AB1178">
            <v>0.1111111111111111</v>
          </cell>
          <cell r="AC1178">
            <v>0.5</v>
          </cell>
          <cell r="AD1178">
            <v>4</v>
          </cell>
        </row>
        <row r="1179">
          <cell r="A1179">
            <v>50</v>
          </cell>
          <cell r="B1179">
            <v>5</v>
          </cell>
          <cell r="C1179">
            <v>2</v>
          </cell>
          <cell r="D1179">
            <v>13269</v>
          </cell>
          <cell r="E1179">
            <v>5</v>
          </cell>
          <cell r="F1179">
            <v>15</v>
          </cell>
          <cell r="G1179">
            <v>3</v>
          </cell>
          <cell r="H1179">
            <v>3</v>
          </cell>
          <cell r="I1179">
            <v>19</v>
          </cell>
          <cell r="J1179">
            <v>3</v>
          </cell>
          <cell r="K1179">
            <v>14</v>
          </cell>
          <cell r="L1179">
            <v>11</v>
          </cell>
          <cell r="M1179">
            <v>0</v>
          </cell>
          <cell r="N1179">
            <v>1</v>
          </cell>
          <cell r="O1179">
            <v>1</v>
          </cell>
          <cell r="P1179">
            <v>0</v>
          </cell>
          <cell r="Q1179">
            <v>0</v>
          </cell>
          <cell r="R1179">
            <v>0</v>
          </cell>
          <cell r="S1179">
            <v>0</v>
          </cell>
          <cell r="T1179">
            <v>5</v>
          </cell>
          <cell r="U1179">
            <v>0</v>
          </cell>
          <cell r="V1179">
            <v>0</v>
          </cell>
          <cell r="W1179">
            <v>0</v>
          </cell>
          <cell r="X1179">
            <v>0</v>
          </cell>
          <cell r="Y1179">
            <v>0</v>
          </cell>
          <cell r="Z1179">
            <v>0</v>
          </cell>
          <cell r="AA1179">
            <v>4</v>
          </cell>
          <cell r="AB1179">
            <v>0.26315789473684209</v>
          </cell>
          <cell r="AC1179">
            <v>0.7857142857142857</v>
          </cell>
          <cell r="AD1179">
            <v>12</v>
          </cell>
        </row>
        <row r="1180">
          <cell r="A1180">
            <v>20</v>
          </cell>
          <cell r="B1180">
            <v>3</v>
          </cell>
          <cell r="C1180">
            <v>3</v>
          </cell>
          <cell r="D1180">
            <v>2783</v>
          </cell>
          <cell r="E1180">
            <v>1</v>
          </cell>
          <cell r="F1180">
            <v>19</v>
          </cell>
          <cell r="G1180">
            <v>3</v>
          </cell>
          <cell r="H1180">
            <v>0</v>
          </cell>
          <cell r="I1180">
            <v>2</v>
          </cell>
          <cell r="J1180">
            <v>3</v>
          </cell>
          <cell r="K1180">
            <v>2</v>
          </cell>
          <cell r="L1180">
            <v>2</v>
          </cell>
          <cell r="M1180">
            <v>0</v>
          </cell>
          <cell r="N1180">
            <v>1</v>
          </cell>
          <cell r="O1180">
            <v>0</v>
          </cell>
          <cell r="P1180">
            <v>0</v>
          </cell>
          <cell r="Q1180">
            <v>1</v>
          </cell>
          <cell r="R1180">
            <v>0</v>
          </cell>
          <cell r="S1180">
            <v>0</v>
          </cell>
          <cell r="T1180">
            <v>0</v>
          </cell>
          <cell r="U1180">
            <v>0</v>
          </cell>
          <cell r="V1180">
            <v>3</v>
          </cell>
          <cell r="W1180">
            <v>0</v>
          </cell>
          <cell r="X1180">
            <v>0</v>
          </cell>
          <cell r="Y1180">
            <v>0</v>
          </cell>
          <cell r="Z1180">
            <v>0</v>
          </cell>
          <cell r="AA1180">
            <v>9</v>
          </cell>
          <cell r="AB1180">
            <v>0.5</v>
          </cell>
          <cell r="AC1180">
            <v>1</v>
          </cell>
          <cell r="AD1180">
            <v>9</v>
          </cell>
        </row>
        <row r="1181">
          <cell r="A1181">
            <v>34</v>
          </cell>
          <cell r="B1181">
            <v>3</v>
          </cell>
          <cell r="C1181">
            <v>3</v>
          </cell>
          <cell r="D1181">
            <v>5433</v>
          </cell>
          <cell r="E1181">
            <v>1</v>
          </cell>
          <cell r="F1181">
            <v>12</v>
          </cell>
          <cell r="G1181">
            <v>3</v>
          </cell>
          <cell r="H1181">
            <v>1</v>
          </cell>
          <cell r="I1181">
            <v>11</v>
          </cell>
          <cell r="J1181">
            <v>2</v>
          </cell>
          <cell r="K1181">
            <v>11</v>
          </cell>
          <cell r="L1181">
            <v>8</v>
          </cell>
          <cell r="M1181">
            <v>0</v>
          </cell>
          <cell r="N1181">
            <v>1</v>
          </cell>
          <cell r="O1181">
            <v>1</v>
          </cell>
          <cell r="P1181">
            <v>0</v>
          </cell>
          <cell r="Q1181">
            <v>0</v>
          </cell>
          <cell r="R1181">
            <v>0</v>
          </cell>
          <cell r="S1181">
            <v>0</v>
          </cell>
          <cell r="T1181">
            <v>3</v>
          </cell>
          <cell r="U1181">
            <v>0</v>
          </cell>
          <cell r="V1181">
            <v>0</v>
          </cell>
          <cell r="W1181">
            <v>0</v>
          </cell>
          <cell r="X1181">
            <v>0</v>
          </cell>
          <cell r="Y1181">
            <v>0</v>
          </cell>
          <cell r="Z1181">
            <v>0</v>
          </cell>
          <cell r="AA1181">
            <v>8</v>
          </cell>
          <cell r="AB1181">
            <v>9.0909090909090912E-2</v>
          </cell>
          <cell r="AC1181">
            <v>0.72727272727272729</v>
          </cell>
          <cell r="AD1181">
            <v>24</v>
          </cell>
        </row>
        <row r="1182">
          <cell r="A1182">
            <v>36</v>
          </cell>
          <cell r="B1182">
            <v>3</v>
          </cell>
          <cell r="C1182">
            <v>3</v>
          </cell>
          <cell r="D1182">
            <v>2013</v>
          </cell>
          <cell r="E1182">
            <v>2</v>
          </cell>
          <cell r="F1182">
            <v>11</v>
          </cell>
          <cell r="G1182">
            <v>3</v>
          </cell>
          <cell r="H1182">
            <v>0</v>
          </cell>
          <cell r="I1182">
            <v>15</v>
          </cell>
          <cell r="J1182">
            <v>4</v>
          </cell>
          <cell r="K1182">
            <v>4</v>
          </cell>
          <cell r="L1182">
            <v>3</v>
          </cell>
          <cell r="M1182">
            <v>0</v>
          </cell>
          <cell r="N1182">
            <v>0</v>
          </cell>
          <cell r="O1182">
            <v>1</v>
          </cell>
          <cell r="P1182">
            <v>0</v>
          </cell>
          <cell r="Q1182">
            <v>0</v>
          </cell>
          <cell r="R1182">
            <v>0</v>
          </cell>
          <cell r="S1182">
            <v>0</v>
          </cell>
          <cell r="T1182">
            <v>3</v>
          </cell>
          <cell r="U1182">
            <v>0</v>
          </cell>
          <cell r="V1182">
            <v>0</v>
          </cell>
          <cell r="W1182">
            <v>0</v>
          </cell>
          <cell r="X1182">
            <v>0</v>
          </cell>
          <cell r="Y1182">
            <v>0</v>
          </cell>
          <cell r="Z1182">
            <v>0</v>
          </cell>
          <cell r="AA1182">
            <v>2</v>
          </cell>
          <cell r="AB1182">
            <v>0.13333333333333333</v>
          </cell>
          <cell r="AC1182">
            <v>0.75</v>
          </cell>
          <cell r="AD1182">
            <v>6</v>
          </cell>
        </row>
        <row r="1183">
          <cell r="A1183">
            <v>49</v>
          </cell>
          <cell r="B1183">
            <v>1</v>
          </cell>
          <cell r="C1183">
            <v>2</v>
          </cell>
          <cell r="D1183">
            <v>13966</v>
          </cell>
          <cell r="E1183">
            <v>2</v>
          </cell>
          <cell r="F1183">
            <v>19</v>
          </cell>
          <cell r="G1183">
            <v>3</v>
          </cell>
          <cell r="H1183">
            <v>1</v>
          </cell>
          <cell r="I1183">
            <v>30</v>
          </cell>
          <cell r="J1183">
            <v>3</v>
          </cell>
          <cell r="K1183">
            <v>15</v>
          </cell>
          <cell r="L1183">
            <v>11</v>
          </cell>
          <cell r="M1183">
            <v>1</v>
          </cell>
          <cell r="N1183">
            <v>1</v>
          </cell>
          <cell r="O1183">
            <v>1</v>
          </cell>
          <cell r="P1183">
            <v>0</v>
          </cell>
          <cell r="Q1183">
            <v>0</v>
          </cell>
          <cell r="R1183">
            <v>0</v>
          </cell>
          <cell r="S1183">
            <v>0</v>
          </cell>
          <cell r="T1183">
            <v>1</v>
          </cell>
          <cell r="U1183">
            <v>0</v>
          </cell>
          <cell r="V1183">
            <v>0</v>
          </cell>
          <cell r="W1183">
            <v>0</v>
          </cell>
          <cell r="X1183">
            <v>0</v>
          </cell>
          <cell r="Y1183">
            <v>0</v>
          </cell>
          <cell r="Z1183">
            <v>1</v>
          </cell>
          <cell r="AA1183">
            <v>9</v>
          </cell>
          <cell r="AB1183">
            <v>6.6666666666666666E-2</v>
          </cell>
          <cell r="AC1183">
            <v>0.73333333333333328</v>
          </cell>
          <cell r="AD1183">
            <v>18</v>
          </cell>
        </row>
        <row r="1184">
          <cell r="A1184">
            <v>36</v>
          </cell>
          <cell r="B1184">
            <v>4</v>
          </cell>
          <cell r="C1184">
            <v>2</v>
          </cell>
          <cell r="D1184">
            <v>4374</v>
          </cell>
          <cell r="E1184">
            <v>0</v>
          </cell>
          <cell r="F1184">
            <v>15</v>
          </cell>
          <cell r="G1184">
            <v>3</v>
          </cell>
          <cell r="H1184">
            <v>0</v>
          </cell>
          <cell r="I1184">
            <v>4</v>
          </cell>
          <cell r="J1184">
            <v>6</v>
          </cell>
          <cell r="K1184">
            <v>3</v>
          </cell>
          <cell r="L1184">
            <v>2</v>
          </cell>
          <cell r="M1184">
            <v>0</v>
          </cell>
          <cell r="N1184">
            <v>1</v>
          </cell>
          <cell r="O1184">
            <v>0</v>
          </cell>
          <cell r="P1184">
            <v>0</v>
          </cell>
          <cell r="Q1184">
            <v>1</v>
          </cell>
          <cell r="R1184">
            <v>0</v>
          </cell>
          <cell r="S1184">
            <v>0</v>
          </cell>
          <cell r="T1184">
            <v>0</v>
          </cell>
          <cell r="U1184">
            <v>0</v>
          </cell>
          <cell r="V1184">
            <v>4</v>
          </cell>
          <cell r="W1184">
            <v>0</v>
          </cell>
          <cell r="X1184">
            <v>0</v>
          </cell>
          <cell r="Y1184">
            <v>0</v>
          </cell>
          <cell r="Z1184">
            <v>0</v>
          </cell>
          <cell r="AA1184">
            <v>12</v>
          </cell>
          <cell r="AB1184">
            <v>0</v>
          </cell>
          <cell r="AC1184">
            <v>0.66666666666666663</v>
          </cell>
          <cell r="AD1184">
            <v>36</v>
          </cell>
        </row>
        <row r="1185">
          <cell r="A1185">
            <v>36</v>
          </cell>
          <cell r="B1185">
            <v>2</v>
          </cell>
          <cell r="C1185">
            <v>4</v>
          </cell>
          <cell r="D1185">
            <v>6842</v>
          </cell>
          <cell r="E1185">
            <v>6</v>
          </cell>
          <cell r="F1185">
            <v>20</v>
          </cell>
          <cell r="G1185">
            <v>4</v>
          </cell>
          <cell r="H1185">
            <v>1</v>
          </cell>
          <cell r="I1185">
            <v>13</v>
          </cell>
          <cell r="J1185">
            <v>3</v>
          </cell>
          <cell r="K1185">
            <v>5</v>
          </cell>
          <cell r="L1185">
            <v>4</v>
          </cell>
          <cell r="M1185">
            <v>0</v>
          </cell>
          <cell r="N1185">
            <v>0</v>
          </cell>
          <cell r="O1185">
            <v>1</v>
          </cell>
          <cell r="P1185">
            <v>0</v>
          </cell>
          <cell r="Q1185">
            <v>0</v>
          </cell>
          <cell r="R1185">
            <v>0</v>
          </cell>
          <cell r="S1185">
            <v>0</v>
          </cell>
          <cell r="T1185">
            <v>2</v>
          </cell>
          <cell r="U1185">
            <v>0</v>
          </cell>
          <cell r="V1185">
            <v>0</v>
          </cell>
          <cell r="W1185">
            <v>0</v>
          </cell>
          <cell r="X1185">
            <v>0</v>
          </cell>
          <cell r="Y1185">
            <v>0</v>
          </cell>
          <cell r="Z1185">
            <v>0</v>
          </cell>
          <cell r="AA1185">
            <v>4</v>
          </cell>
          <cell r="AB1185">
            <v>0.46153846153846156</v>
          </cell>
          <cell r="AC1185">
            <v>0.8</v>
          </cell>
          <cell r="AD1185">
            <v>4</v>
          </cell>
        </row>
        <row r="1186">
          <cell r="A1186">
            <v>54</v>
          </cell>
          <cell r="B1186">
            <v>5</v>
          </cell>
          <cell r="C1186">
            <v>3</v>
          </cell>
          <cell r="D1186">
            <v>17426</v>
          </cell>
          <cell r="E1186">
            <v>3</v>
          </cell>
          <cell r="F1186">
            <v>25</v>
          </cell>
          <cell r="G1186">
            <v>4</v>
          </cell>
          <cell r="H1186">
            <v>1</v>
          </cell>
          <cell r="I1186">
            <v>36</v>
          </cell>
          <cell r="J1186">
            <v>6</v>
          </cell>
          <cell r="K1186">
            <v>10</v>
          </cell>
          <cell r="L1186">
            <v>8</v>
          </cell>
          <cell r="M1186">
            <v>0</v>
          </cell>
          <cell r="N1186">
            <v>1</v>
          </cell>
          <cell r="O1186">
            <v>0</v>
          </cell>
          <cell r="P1186">
            <v>0</v>
          </cell>
          <cell r="Q1186">
            <v>1</v>
          </cell>
          <cell r="R1186">
            <v>0</v>
          </cell>
          <cell r="S1186">
            <v>0</v>
          </cell>
          <cell r="T1186">
            <v>0</v>
          </cell>
          <cell r="U1186">
            <v>0</v>
          </cell>
          <cell r="V1186">
            <v>5</v>
          </cell>
          <cell r="W1186">
            <v>0</v>
          </cell>
          <cell r="X1186">
            <v>0</v>
          </cell>
          <cell r="Y1186">
            <v>0</v>
          </cell>
          <cell r="Z1186">
            <v>0</v>
          </cell>
          <cell r="AA1186">
            <v>6</v>
          </cell>
          <cell r="AB1186">
            <v>8.3333333333333329E-2</v>
          </cell>
          <cell r="AC1186">
            <v>0.8</v>
          </cell>
          <cell r="AD1186">
            <v>18</v>
          </cell>
        </row>
        <row r="1187">
          <cell r="A1187">
            <v>43</v>
          </cell>
          <cell r="B1187">
            <v>2</v>
          </cell>
          <cell r="C1187">
            <v>2</v>
          </cell>
          <cell r="D1187">
            <v>17603</v>
          </cell>
          <cell r="E1187">
            <v>1</v>
          </cell>
          <cell r="F1187">
            <v>24</v>
          </cell>
          <cell r="G1187">
            <v>4</v>
          </cell>
          <cell r="H1187">
            <v>1</v>
          </cell>
          <cell r="I1187">
            <v>14</v>
          </cell>
          <cell r="J1187">
            <v>3</v>
          </cell>
          <cell r="K1187">
            <v>14</v>
          </cell>
          <cell r="L1187">
            <v>10</v>
          </cell>
          <cell r="M1187">
            <v>0</v>
          </cell>
          <cell r="N1187">
            <v>0</v>
          </cell>
          <cell r="O1187">
            <v>1</v>
          </cell>
          <cell r="P1187">
            <v>0</v>
          </cell>
          <cell r="Q1187">
            <v>0</v>
          </cell>
          <cell r="R1187">
            <v>0</v>
          </cell>
          <cell r="S1187">
            <v>0</v>
          </cell>
          <cell r="T1187">
            <v>2</v>
          </cell>
          <cell r="U1187">
            <v>0</v>
          </cell>
          <cell r="V1187">
            <v>0</v>
          </cell>
          <cell r="W1187">
            <v>0</v>
          </cell>
          <cell r="X1187">
            <v>0</v>
          </cell>
          <cell r="Y1187">
            <v>0</v>
          </cell>
          <cell r="Z1187">
            <v>0</v>
          </cell>
          <cell r="AA1187">
            <v>9</v>
          </cell>
          <cell r="AB1187">
            <v>7.1428571428571425E-2</v>
          </cell>
          <cell r="AC1187">
            <v>0.7142857142857143</v>
          </cell>
          <cell r="AD1187">
            <v>9</v>
          </cell>
        </row>
        <row r="1188">
          <cell r="A1188">
            <v>35</v>
          </cell>
          <cell r="B1188">
            <v>4</v>
          </cell>
          <cell r="C1188">
            <v>3</v>
          </cell>
          <cell r="D1188">
            <v>4581</v>
          </cell>
          <cell r="E1188">
            <v>3</v>
          </cell>
          <cell r="F1188">
            <v>24</v>
          </cell>
          <cell r="G1188">
            <v>4</v>
          </cell>
          <cell r="H1188">
            <v>0</v>
          </cell>
          <cell r="I1188">
            <v>13</v>
          </cell>
          <cell r="J1188">
            <v>2</v>
          </cell>
          <cell r="K1188">
            <v>11</v>
          </cell>
          <cell r="L1188">
            <v>9</v>
          </cell>
          <cell r="M1188">
            <v>1</v>
          </cell>
          <cell r="N1188">
            <v>0</v>
          </cell>
          <cell r="O1188">
            <v>0</v>
          </cell>
          <cell r="P1188">
            <v>0</v>
          </cell>
          <cell r="Q1188">
            <v>0</v>
          </cell>
          <cell r="R1188">
            <v>1</v>
          </cell>
          <cell r="S1188">
            <v>0</v>
          </cell>
          <cell r="T1188">
            <v>0</v>
          </cell>
          <cell r="U1188">
            <v>0</v>
          </cell>
          <cell r="V1188">
            <v>0</v>
          </cell>
          <cell r="W1188">
            <v>4</v>
          </cell>
          <cell r="X1188">
            <v>0</v>
          </cell>
          <cell r="Y1188">
            <v>0</v>
          </cell>
          <cell r="Z1188">
            <v>0</v>
          </cell>
          <cell r="AA1188">
            <v>16</v>
          </cell>
          <cell r="AB1188">
            <v>0.23076923076923078</v>
          </cell>
          <cell r="AC1188">
            <v>0.81818181818181823</v>
          </cell>
          <cell r="AD1188">
            <v>16</v>
          </cell>
        </row>
        <row r="1189">
          <cell r="A1189">
            <v>38</v>
          </cell>
          <cell r="B1189">
            <v>3</v>
          </cell>
          <cell r="C1189">
            <v>3</v>
          </cell>
          <cell r="D1189">
            <v>4735</v>
          </cell>
          <cell r="E1189">
            <v>7</v>
          </cell>
          <cell r="F1189">
            <v>15</v>
          </cell>
          <cell r="G1189">
            <v>3</v>
          </cell>
          <cell r="H1189">
            <v>2</v>
          </cell>
          <cell r="I1189">
            <v>19</v>
          </cell>
          <cell r="J1189">
            <v>4</v>
          </cell>
          <cell r="K1189">
            <v>13</v>
          </cell>
          <cell r="L1189">
            <v>11</v>
          </cell>
          <cell r="M1189">
            <v>0</v>
          </cell>
          <cell r="N1189">
            <v>0</v>
          </cell>
          <cell r="O1189">
            <v>1</v>
          </cell>
          <cell r="P1189">
            <v>0</v>
          </cell>
          <cell r="Q1189">
            <v>0</v>
          </cell>
          <cell r="R1189">
            <v>0</v>
          </cell>
          <cell r="S1189">
            <v>0</v>
          </cell>
          <cell r="T1189">
            <v>3</v>
          </cell>
          <cell r="U1189">
            <v>0</v>
          </cell>
          <cell r="V1189">
            <v>0</v>
          </cell>
          <cell r="W1189">
            <v>0</v>
          </cell>
          <cell r="X1189">
            <v>0</v>
          </cell>
          <cell r="Y1189">
            <v>1</v>
          </cell>
          <cell r="Z1189">
            <v>0</v>
          </cell>
          <cell r="AA1189">
            <v>16</v>
          </cell>
          <cell r="AB1189">
            <v>0.36842105263157893</v>
          </cell>
          <cell r="AC1189">
            <v>0.84615384615384615</v>
          </cell>
          <cell r="AD1189">
            <v>64</v>
          </cell>
        </row>
        <row r="1190">
          <cell r="A1190">
            <v>29</v>
          </cell>
          <cell r="B1190">
            <v>3</v>
          </cell>
          <cell r="C1190">
            <v>2</v>
          </cell>
          <cell r="D1190">
            <v>4187</v>
          </cell>
          <cell r="E1190">
            <v>1</v>
          </cell>
          <cell r="F1190">
            <v>13</v>
          </cell>
          <cell r="G1190">
            <v>3</v>
          </cell>
          <cell r="H1190">
            <v>1</v>
          </cell>
          <cell r="I1190">
            <v>10</v>
          </cell>
          <cell r="J1190">
            <v>3</v>
          </cell>
          <cell r="K1190">
            <v>10</v>
          </cell>
          <cell r="L1190">
            <v>0</v>
          </cell>
          <cell r="M1190">
            <v>1</v>
          </cell>
          <cell r="N1190">
            <v>0</v>
          </cell>
          <cell r="O1190">
            <v>0</v>
          </cell>
          <cell r="P1190">
            <v>0</v>
          </cell>
          <cell r="Q1190">
            <v>1</v>
          </cell>
          <cell r="R1190">
            <v>0</v>
          </cell>
          <cell r="S1190">
            <v>0</v>
          </cell>
          <cell r="T1190">
            <v>0</v>
          </cell>
          <cell r="U1190">
            <v>0</v>
          </cell>
          <cell r="V1190">
            <v>3</v>
          </cell>
          <cell r="W1190">
            <v>0</v>
          </cell>
          <cell r="X1190">
            <v>0</v>
          </cell>
          <cell r="Y1190">
            <v>0</v>
          </cell>
          <cell r="Z1190">
            <v>0</v>
          </cell>
          <cell r="AA1190">
            <v>2</v>
          </cell>
          <cell r="AB1190">
            <v>0.1</v>
          </cell>
          <cell r="AC1190">
            <v>0</v>
          </cell>
          <cell r="AD1190">
            <v>4</v>
          </cell>
        </row>
        <row r="1191">
          <cell r="A1191">
            <v>33</v>
          </cell>
          <cell r="B1191">
            <v>4</v>
          </cell>
          <cell r="C1191">
            <v>3</v>
          </cell>
          <cell r="D1191">
            <v>5505</v>
          </cell>
          <cell r="E1191">
            <v>1</v>
          </cell>
          <cell r="F1191">
            <v>14</v>
          </cell>
          <cell r="G1191">
            <v>3</v>
          </cell>
          <cell r="H1191">
            <v>2</v>
          </cell>
          <cell r="I1191">
            <v>6</v>
          </cell>
          <cell r="J1191">
            <v>5</v>
          </cell>
          <cell r="K1191">
            <v>6</v>
          </cell>
          <cell r="L1191">
            <v>2</v>
          </cell>
          <cell r="M1191">
            <v>0</v>
          </cell>
          <cell r="N1191">
            <v>0</v>
          </cell>
          <cell r="O1191">
            <v>0</v>
          </cell>
          <cell r="P1191">
            <v>0</v>
          </cell>
          <cell r="Q1191">
            <v>1</v>
          </cell>
          <cell r="R1191">
            <v>0</v>
          </cell>
          <cell r="S1191">
            <v>0</v>
          </cell>
          <cell r="T1191">
            <v>0</v>
          </cell>
          <cell r="U1191">
            <v>0</v>
          </cell>
          <cell r="V1191">
            <v>4</v>
          </cell>
          <cell r="W1191">
            <v>0</v>
          </cell>
          <cell r="X1191">
            <v>0</v>
          </cell>
          <cell r="Y1191">
            <v>0</v>
          </cell>
          <cell r="Z1191">
            <v>0</v>
          </cell>
          <cell r="AA1191">
            <v>16</v>
          </cell>
          <cell r="AB1191">
            <v>0.16666666666666666</v>
          </cell>
          <cell r="AC1191">
            <v>0.33333333333333331</v>
          </cell>
          <cell r="AD1191">
            <v>48</v>
          </cell>
        </row>
        <row r="1192">
          <cell r="A1192">
            <v>32</v>
          </cell>
          <cell r="B1192">
            <v>3</v>
          </cell>
          <cell r="C1192">
            <v>3</v>
          </cell>
          <cell r="D1192">
            <v>5470</v>
          </cell>
          <cell r="E1192">
            <v>0</v>
          </cell>
          <cell r="F1192">
            <v>13</v>
          </cell>
          <cell r="G1192">
            <v>3</v>
          </cell>
          <cell r="H1192">
            <v>2</v>
          </cell>
          <cell r="I1192">
            <v>10</v>
          </cell>
          <cell r="J1192">
            <v>4</v>
          </cell>
          <cell r="K1192">
            <v>9</v>
          </cell>
          <cell r="L1192">
            <v>5</v>
          </cell>
          <cell r="M1192">
            <v>0</v>
          </cell>
          <cell r="N1192">
            <v>0</v>
          </cell>
          <cell r="O1192">
            <v>0</v>
          </cell>
          <cell r="P1192">
            <v>0</v>
          </cell>
          <cell r="Q1192">
            <v>1</v>
          </cell>
          <cell r="R1192">
            <v>0</v>
          </cell>
          <cell r="S1192">
            <v>0</v>
          </cell>
          <cell r="T1192">
            <v>0</v>
          </cell>
          <cell r="U1192">
            <v>0</v>
          </cell>
          <cell r="V1192">
            <v>3</v>
          </cell>
          <cell r="W1192">
            <v>0</v>
          </cell>
          <cell r="X1192">
            <v>0</v>
          </cell>
          <cell r="Y1192">
            <v>0</v>
          </cell>
          <cell r="Z1192">
            <v>0</v>
          </cell>
          <cell r="AA1192">
            <v>8</v>
          </cell>
          <cell r="AB1192">
            <v>0</v>
          </cell>
          <cell r="AC1192">
            <v>0.55555555555555558</v>
          </cell>
          <cell r="AD1192">
            <v>24</v>
          </cell>
        </row>
        <row r="1193">
          <cell r="A1193">
            <v>31</v>
          </cell>
          <cell r="B1193">
            <v>4</v>
          </cell>
          <cell r="C1193">
            <v>3</v>
          </cell>
          <cell r="D1193">
            <v>5476</v>
          </cell>
          <cell r="E1193">
            <v>1</v>
          </cell>
          <cell r="F1193">
            <v>11</v>
          </cell>
          <cell r="G1193">
            <v>3</v>
          </cell>
          <cell r="H1193">
            <v>2</v>
          </cell>
          <cell r="I1193">
            <v>10</v>
          </cell>
          <cell r="J1193">
            <v>2</v>
          </cell>
          <cell r="K1193">
            <v>10</v>
          </cell>
          <cell r="L1193">
            <v>0</v>
          </cell>
          <cell r="M1193">
            <v>0</v>
          </cell>
          <cell r="N1193">
            <v>1</v>
          </cell>
          <cell r="O1193">
            <v>1</v>
          </cell>
          <cell r="P1193">
            <v>0</v>
          </cell>
          <cell r="Q1193">
            <v>0</v>
          </cell>
          <cell r="R1193">
            <v>0</v>
          </cell>
          <cell r="S1193">
            <v>0</v>
          </cell>
          <cell r="T1193">
            <v>4</v>
          </cell>
          <cell r="U1193">
            <v>0</v>
          </cell>
          <cell r="V1193">
            <v>0</v>
          </cell>
          <cell r="W1193">
            <v>0</v>
          </cell>
          <cell r="X1193">
            <v>0</v>
          </cell>
          <cell r="Y1193">
            <v>0</v>
          </cell>
          <cell r="Z1193">
            <v>0</v>
          </cell>
          <cell r="AA1193">
            <v>4</v>
          </cell>
          <cell r="AB1193">
            <v>0.1</v>
          </cell>
          <cell r="AC1193">
            <v>0</v>
          </cell>
          <cell r="AD1193">
            <v>4</v>
          </cell>
        </row>
        <row r="1194">
          <cell r="A1194">
            <v>49</v>
          </cell>
          <cell r="B1194">
            <v>3</v>
          </cell>
          <cell r="C1194">
            <v>3</v>
          </cell>
          <cell r="D1194">
            <v>2587</v>
          </cell>
          <cell r="E1194">
            <v>4</v>
          </cell>
          <cell r="F1194">
            <v>16</v>
          </cell>
          <cell r="G1194">
            <v>3</v>
          </cell>
          <cell r="H1194">
            <v>1</v>
          </cell>
          <cell r="I1194">
            <v>17</v>
          </cell>
          <cell r="J1194">
            <v>2</v>
          </cell>
          <cell r="K1194">
            <v>2</v>
          </cell>
          <cell r="L1194">
            <v>2</v>
          </cell>
          <cell r="M1194">
            <v>1</v>
          </cell>
          <cell r="N1194">
            <v>1</v>
          </cell>
          <cell r="O1194">
            <v>0</v>
          </cell>
          <cell r="P1194">
            <v>0</v>
          </cell>
          <cell r="Q1194">
            <v>1</v>
          </cell>
          <cell r="R1194">
            <v>0</v>
          </cell>
          <cell r="S1194">
            <v>0</v>
          </cell>
          <cell r="T1194">
            <v>0</v>
          </cell>
          <cell r="U1194">
            <v>0</v>
          </cell>
          <cell r="V1194">
            <v>3</v>
          </cell>
          <cell r="W1194">
            <v>0</v>
          </cell>
          <cell r="X1194">
            <v>0</v>
          </cell>
          <cell r="Y1194">
            <v>0</v>
          </cell>
          <cell r="Z1194">
            <v>0</v>
          </cell>
          <cell r="AA1194">
            <v>4</v>
          </cell>
          <cell r="AB1194">
            <v>0.23529411764705882</v>
          </cell>
          <cell r="AC1194">
            <v>1</v>
          </cell>
          <cell r="AD1194">
            <v>8</v>
          </cell>
        </row>
        <row r="1195">
          <cell r="A1195">
            <v>38</v>
          </cell>
          <cell r="B1195">
            <v>3</v>
          </cell>
          <cell r="C1195">
            <v>2</v>
          </cell>
          <cell r="D1195">
            <v>2440</v>
          </cell>
          <cell r="E1195">
            <v>1</v>
          </cell>
          <cell r="F1195">
            <v>22</v>
          </cell>
          <cell r="G1195">
            <v>4</v>
          </cell>
          <cell r="H1195">
            <v>0</v>
          </cell>
          <cell r="I1195">
            <v>4</v>
          </cell>
          <cell r="J1195">
            <v>3</v>
          </cell>
          <cell r="K1195">
            <v>4</v>
          </cell>
          <cell r="L1195">
            <v>3</v>
          </cell>
          <cell r="M1195">
            <v>0</v>
          </cell>
          <cell r="N1195">
            <v>1</v>
          </cell>
          <cell r="O1195">
            <v>0</v>
          </cell>
          <cell r="P1195">
            <v>0</v>
          </cell>
          <cell r="Q1195">
            <v>1</v>
          </cell>
          <cell r="R1195">
            <v>0</v>
          </cell>
          <cell r="S1195">
            <v>0</v>
          </cell>
          <cell r="T1195">
            <v>0</v>
          </cell>
          <cell r="U1195">
            <v>0</v>
          </cell>
          <cell r="V1195">
            <v>3</v>
          </cell>
          <cell r="W1195">
            <v>0</v>
          </cell>
          <cell r="X1195">
            <v>0</v>
          </cell>
          <cell r="Y1195">
            <v>0</v>
          </cell>
          <cell r="Z1195">
            <v>0</v>
          </cell>
          <cell r="AA1195">
            <v>8</v>
          </cell>
          <cell r="AB1195">
            <v>0.25</v>
          </cell>
          <cell r="AC1195">
            <v>0.75</v>
          </cell>
          <cell r="AD1195">
            <v>16</v>
          </cell>
        </row>
        <row r="1196">
          <cell r="A1196">
            <v>47</v>
          </cell>
          <cell r="B1196">
            <v>4</v>
          </cell>
          <cell r="C1196">
            <v>4</v>
          </cell>
          <cell r="D1196">
            <v>15972</v>
          </cell>
          <cell r="E1196">
            <v>6</v>
          </cell>
          <cell r="F1196">
            <v>14</v>
          </cell>
          <cell r="G1196">
            <v>3</v>
          </cell>
          <cell r="H1196">
            <v>3</v>
          </cell>
          <cell r="I1196">
            <v>29</v>
          </cell>
          <cell r="J1196">
            <v>2</v>
          </cell>
          <cell r="K1196">
            <v>3</v>
          </cell>
          <cell r="L1196">
            <v>2</v>
          </cell>
          <cell r="M1196">
            <v>0</v>
          </cell>
          <cell r="N1196">
            <v>1</v>
          </cell>
          <cell r="O1196">
            <v>1</v>
          </cell>
          <cell r="P1196">
            <v>0</v>
          </cell>
          <cell r="Q1196">
            <v>0</v>
          </cell>
          <cell r="R1196">
            <v>0</v>
          </cell>
          <cell r="S1196">
            <v>0</v>
          </cell>
          <cell r="T1196">
            <v>4</v>
          </cell>
          <cell r="U1196">
            <v>0</v>
          </cell>
          <cell r="V1196">
            <v>0</v>
          </cell>
          <cell r="W1196">
            <v>0</v>
          </cell>
          <cell r="X1196">
            <v>0</v>
          </cell>
          <cell r="Y1196">
            <v>0</v>
          </cell>
          <cell r="Z1196">
            <v>0</v>
          </cell>
          <cell r="AA1196">
            <v>4</v>
          </cell>
          <cell r="AB1196">
            <v>0.20689655172413793</v>
          </cell>
          <cell r="AC1196">
            <v>0.66666666666666663</v>
          </cell>
          <cell r="AD1196">
            <v>12</v>
          </cell>
        </row>
        <row r="1197">
          <cell r="A1197">
            <v>49</v>
          </cell>
          <cell r="B1197">
            <v>3</v>
          </cell>
          <cell r="C1197">
            <v>3</v>
          </cell>
          <cell r="D1197">
            <v>15379</v>
          </cell>
          <cell r="E1197">
            <v>4</v>
          </cell>
          <cell r="F1197">
            <v>14</v>
          </cell>
          <cell r="G1197">
            <v>3</v>
          </cell>
          <cell r="H1197">
            <v>0</v>
          </cell>
          <cell r="I1197">
            <v>23</v>
          </cell>
          <cell r="J1197">
            <v>2</v>
          </cell>
          <cell r="K1197">
            <v>8</v>
          </cell>
          <cell r="L1197">
            <v>7</v>
          </cell>
          <cell r="M1197">
            <v>0</v>
          </cell>
          <cell r="N1197">
            <v>0</v>
          </cell>
          <cell r="O1197">
            <v>1</v>
          </cell>
          <cell r="P1197">
            <v>0</v>
          </cell>
          <cell r="Q1197">
            <v>0</v>
          </cell>
          <cell r="R1197">
            <v>0</v>
          </cell>
          <cell r="S1197">
            <v>0</v>
          </cell>
          <cell r="T1197">
            <v>3</v>
          </cell>
          <cell r="U1197">
            <v>0</v>
          </cell>
          <cell r="V1197">
            <v>0</v>
          </cell>
          <cell r="W1197">
            <v>0</v>
          </cell>
          <cell r="X1197">
            <v>0</v>
          </cell>
          <cell r="Y1197">
            <v>0</v>
          </cell>
          <cell r="Z1197">
            <v>0</v>
          </cell>
          <cell r="AA1197">
            <v>9</v>
          </cell>
          <cell r="AB1197">
            <v>0.17391304347826086</v>
          </cell>
          <cell r="AC1197">
            <v>0.875</v>
          </cell>
          <cell r="AD1197">
            <v>9</v>
          </cell>
        </row>
        <row r="1198">
          <cell r="A1198">
            <v>41</v>
          </cell>
          <cell r="B1198">
            <v>2</v>
          </cell>
          <cell r="C1198">
            <v>3</v>
          </cell>
          <cell r="D1198">
            <v>7082</v>
          </cell>
          <cell r="E1198">
            <v>3</v>
          </cell>
          <cell r="F1198">
            <v>16</v>
          </cell>
          <cell r="G1198">
            <v>3</v>
          </cell>
          <cell r="H1198">
            <v>0</v>
          </cell>
          <cell r="I1198">
            <v>21</v>
          </cell>
          <cell r="J1198">
            <v>2</v>
          </cell>
          <cell r="K1198">
            <v>2</v>
          </cell>
          <cell r="L1198">
            <v>0</v>
          </cell>
          <cell r="M1198">
            <v>1</v>
          </cell>
          <cell r="N1198">
            <v>0</v>
          </cell>
          <cell r="O1198">
            <v>1</v>
          </cell>
          <cell r="P1198">
            <v>0</v>
          </cell>
          <cell r="Q1198">
            <v>0</v>
          </cell>
          <cell r="R1198">
            <v>0</v>
          </cell>
          <cell r="S1198">
            <v>0</v>
          </cell>
          <cell r="T1198">
            <v>2</v>
          </cell>
          <cell r="U1198">
            <v>0</v>
          </cell>
          <cell r="V1198">
            <v>0</v>
          </cell>
          <cell r="W1198">
            <v>0</v>
          </cell>
          <cell r="X1198">
            <v>0</v>
          </cell>
          <cell r="Y1198">
            <v>0</v>
          </cell>
          <cell r="Z1198">
            <v>0</v>
          </cell>
          <cell r="AA1198">
            <v>12</v>
          </cell>
          <cell r="AB1198">
            <v>0.14285714285714285</v>
          </cell>
          <cell r="AC1198">
            <v>0</v>
          </cell>
          <cell r="AD1198">
            <v>48</v>
          </cell>
        </row>
        <row r="1199">
          <cell r="A1199">
            <v>20</v>
          </cell>
          <cell r="B1199">
            <v>1</v>
          </cell>
          <cell r="C1199">
            <v>3</v>
          </cell>
          <cell r="D1199">
            <v>2728</v>
          </cell>
          <cell r="E1199">
            <v>1</v>
          </cell>
          <cell r="F1199">
            <v>11</v>
          </cell>
          <cell r="G1199">
            <v>3</v>
          </cell>
          <cell r="H1199">
            <v>0</v>
          </cell>
          <cell r="I1199">
            <v>2</v>
          </cell>
          <cell r="J1199">
            <v>3</v>
          </cell>
          <cell r="K1199">
            <v>2</v>
          </cell>
          <cell r="L1199">
            <v>2</v>
          </cell>
          <cell r="M1199">
            <v>0</v>
          </cell>
          <cell r="N1199">
            <v>0</v>
          </cell>
          <cell r="O1199">
            <v>1</v>
          </cell>
          <cell r="P1199">
            <v>0</v>
          </cell>
          <cell r="Q1199">
            <v>0</v>
          </cell>
          <cell r="R1199">
            <v>0</v>
          </cell>
          <cell r="S1199">
            <v>0</v>
          </cell>
          <cell r="T1199">
            <v>1</v>
          </cell>
          <cell r="U1199">
            <v>0</v>
          </cell>
          <cell r="V1199">
            <v>0</v>
          </cell>
          <cell r="W1199">
            <v>0</v>
          </cell>
          <cell r="X1199">
            <v>0</v>
          </cell>
          <cell r="Y1199">
            <v>0</v>
          </cell>
          <cell r="Z1199">
            <v>0</v>
          </cell>
          <cell r="AA1199">
            <v>4</v>
          </cell>
          <cell r="AB1199">
            <v>0.5</v>
          </cell>
          <cell r="AC1199">
            <v>1</v>
          </cell>
          <cell r="AD1199">
            <v>4</v>
          </cell>
        </row>
        <row r="1200">
          <cell r="A1200">
            <v>33</v>
          </cell>
          <cell r="B1200">
            <v>3</v>
          </cell>
          <cell r="C1200">
            <v>3</v>
          </cell>
          <cell r="D1200">
            <v>5368</v>
          </cell>
          <cell r="E1200">
            <v>1</v>
          </cell>
          <cell r="F1200">
            <v>25</v>
          </cell>
          <cell r="G1200">
            <v>4</v>
          </cell>
          <cell r="H1200">
            <v>1</v>
          </cell>
          <cell r="I1200">
            <v>7</v>
          </cell>
          <cell r="J1200">
            <v>2</v>
          </cell>
          <cell r="K1200">
            <v>6</v>
          </cell>
          <cell r="L1200">
            <v>5</v>
          </cell>
          <cell r="M1200">
            <v>1</v>
          </cell>
          <cell r="N1200">
            <v>1</v>
          </cell>
          <cell r="O1200">
            <v>1</v>
          </cell>
          <cell r="P1200">
            <v>0</v>
          </cell>
          <cell r="Q1200">
            <v>0</v>
          </cell>
          <cell r="R1200">
            <v>0</v>
          </cell>
          <cell r="S1200">
            <v>0</v>
          </cell>
          <cell r="T1200">
            <v>3</v>
          </cell>
          <cell r="U1200">
            <v>0</v>
          </cell>
          <cell r="V1200">
            <v>0</v>
          </cell>
          <cell r="W1200">
            <v>0</v>
          </cell>
          <cell r="X1200">
            <v>0</v>
          </cell>
          <cell r="Y1200">
            <v>0</v>
          </cell>
          <cell r="Z1200">
            <v>0</v>
          </cell>
          <cell r="AA1200">
            <v>12</v>
          </cell>
          <cell r="AB1200">
            <v>0.14285714285714285</v>
          </cell>
          <cell r="AC1200">
            <v>0.83333333333333337</v>
          </cell>
          <cell r="AD1200">
            <v>36</v>
          </cell>
        </row>
        <row r="1201">
          <cell r="A1201">
            <v>36</v>
          </cell>
          <cell r="B1201">
            <v>4</v>
          </cell>
          <cell r="C1201">
            <v>3</v>
          </cell>
          <cell r="D1201">
            <v>5347</v>
          </cell>
          <cell r="E1201">
            <v>6</v>
          </cell>
          <cell r="F1201">
            <v>14</v>
          </cell>
          <cell r="G1201">
            <v>3</v>
          </cell>
          <cell r="H1201">
            <v>2</v>
          </cell>
          <cell r="I1201">
            <v>10</v>
          </cell>
          <cell r="J1201">
            <v>2</v>
          </cell>
          <cell r="K1201">
            <v>3</v>
          </cell>
          <cell r="L1201">
            <v>2</v>
          </cell>
          <cell r="M1201">
            <v>0</v>
          </cell>
          <cell r="N1201">
            <v>0</v>
          </cell>
          <cell r="O1201">
            <v>1</v>
          </cell>
          <cell r="P1201">
            <v>0</v>
          </cell>
          <cell r="Q1201">
            <v>0</v>
          </cell>
          <cell r="R1201">
            <v>0</v>
          </cell>
          <cell r="S1201">
            <v>0</v>
          </cell>
          <cell r="T1201">
            <v>4</v>
          </cell>
          <cell r="U1201">
            <v>0</v>
          </cell>
          <cell r="V1201">
            <v>0</v>
          </cell>
          <cell r="W1201">
            <v>0</v>
          </cell>
          <cell r="X1201">
            <v>0</v>
          </cell>
          <cell r="Y1201">
            <v>0</v>
          </cell>
          <cell r="Z1201">
            <v>0</v>
          </cell>
          <cell r="AA1201">
            <v>3</v>
          </cell>
          <cell r="AB1201">
            <v>0.6</v>
          </cell>
          <cell r="AC1201">
            <v>0.66666666666666663</v>
          </cell>
          <cell r="AD1201">
            <v>6</v>
          </cell>
        </row>
        <row r="1202">
          <cell r="A1202">
            <v>44</v>
          </cell>
          <cell r="B1202">
            <v>3</v>
          </cell>
          <cell r="C1202">
            <v>3</v>
          </cell>
          <cell r="D1202">
            <v>3195</v>
          </cell>
          <cell r="E1202">
            <v>4</v>
          </cell>
          <cell r="F1202">
            <v>18</v>
          </cell>
          <cell r="G1202">
            <v>3</v>
          </cell>
          <cell r="H1202">
            <v>3</v>
          </cell>
          <cell r="I1202">
            <v>8</v>
          </cell>
          <cell r="J1202">
            <v>2</v>
          </cell>
          <cell r="K1202">
            <v>2</v>
          </cell>
          <cell r="L1202">
            <v>2</v>
          </cell>
          <cell r="M1202">
            <v>1</v>
          </cell>
          <cell r="N1202">
            <v>1</v>
          </cell>
          <cell r="O1202">
            <v>1</v>
          </cell>
          <cell r="P1202">
            <v>0</v>
          </cell>
          <cell r="Q1202">
            <v>0</v>
          </cell>
          <cell r="R1202">
            <v>0</v>
          </cell>
          <cell r="S1202">
            <v>0</v>
          </cell>
          <cell r="T1202">
            <v>3</v>
          </cell>
          <cell r="U1202">
            <v>0</v>
          </cell>
          <cell r="V1202">
            <v>0</v>
          </cell>
          <cell r="W1202">
            <v>0</v>
          </cell>
          <cell r="X1202">
            <v>0</v>
          </cell>
          <cell r="Y1202">
            <v>0</v>
          </cell>
          <cell r="Z1202">
            <v>0</v>
          </cell>
          <cell r="AA1202">
            <v>12</v>
          </cell>
          <cell r="AB1202">
            <v>0.5</v>
          </cell>
          <cell r="AC1202">
            <v>1</v>
          </cell>
          <cell r="AD1202">
            <v>12</v>
          </cell>
        </row>
        <row r="1203">
          <cell r="A1203">
            <v>23</v>
          </cell>
          <cell r="B1203">
            <v>1</v>
          </cell>
          <cell r="C1203">
            <v>2</v>
          </cell>
          <cell r="D1203">
            <v>3989</v>
          </cell>
          <cell r="E1203">
            <v>1</v>
          </cell>
          <cell r="F1203">
            <v>11</v>
          </cell>
          <cell r="G1203">
            <v>3</v>
          </cell>
          <cell r="H1203">
            <v>0</v>
          </cell>
          <cell r="I1203">
            <v>5</v>
          </cell>
          <cell r="J1203">
            <v>2</v>
          </cell>
          <cell r="K1203">
            <v>5</v>
          </cell>
          <cell r="L1203">
            <v>4</v>
          </cell>
          <cell r="M1203">
            <v>1</v>
          </cell>
          <cell r="N1203">
            <v>0</v>
          </cell>
          <cell r="O1203">
            <v>0</v>
          </cell>
          <cell r="P1203">
            <v>0</v>
          </cell>
          <cell r="Q1203">
            <v>1</v>
          </cell>
          <cell r="R1203">
            <v>0</v>
          </cell>
          <cell r="S1203">
            <v>0</v>
          </cell>
          <cell r="T1203">
            <v>0</v>
          </cell>
          <cell r="U1203">
            <v>0</v>
          </cell>
          <cell r="V1203">
            <v>1</v>
          </cell>
          <cell r="W1203">
            <v>0</v>
          </cell>
          <cell r="X1203">
            <v>0</v>
          </cell>
          <cell r="Y1203">
            <v>0</v>
          </cell>
          <cell r="Z1203">
            <v>0</v>
          </cell>
          <cell r="AA1203">
            <v>12</v>
          </cell>
          <cell r="AB1203">
            <v>0.2</v>
          </cell>
          <cell r="AC1203">
            <v>0.8</v>
          </cell>
          <cell r="AD1203">
            <v>12</v>
          </cell>
        </row>
        <row r="1204">
          <cell r="A1204">
            <v>38</v>
          </cell>
          <cell r="B1204">
            <v>2</v>
          </cell>
          <cell r="C1204">
            <v>3</v>
          </cell>
          <cell r="D1204">
            <v>3306</v>
          </cell>
          <cell r="E1204">
            <v>7</v>
          </cell>
          <cell r="F1204">
            <v>19</v>
          </cell>
          <cell r="G1204">
            <v>3</v>
          </cell>
          <cell r="H1204">
            <v>1</v>
          </cell>
          <cell r="I1204">
            <v>7</v>
          </cell>
          <cell r="J1204">
            <v>5</v>
          </cell>
          <cell r="K1204">
            <v>0</v>
          </cell>
          <cell r="L1204">
            <v>0</v>
          </cell>
          <cell r="M1204">
            <v>0</v>
          </cell>
          <cell r="N1204">
            <v>1</v>
          </cell>
          <cell r="O1204">
            <v>0</v>
          </cell>
          <cell r="P1204">
            <v>0</v>
          </cell>
          <cell r="Q1204">
            <v>1</v>
          </cell>
          <cell r="R1204">
            <v>0</v>
          </cell>
          <cell r="S1204">
            <v>0</v>
          </cell>
          <cell r="T1204">
            <v>0</v>
          </cell>
          <cell r="U1204">
            <v>0</v>
          </cell>
          <cell r="V1204">
            <v>2</v>
          </cell>
          <cell r="W1204">
            <v>0</v>
          </cell>
          <cell r="X1204">
            <v>0</v>
          </cell>
          <cell r="Y1204">
            <v>0</v>
          </cell>
          <cell r="Z1204">
            <v>0</v>
          </cell>
          <cell r="AA1204">
            <v>12</v>
          </cell>
          <cell r="AB1204">
            <v>1</v>
          </cell>
          <cell r="AC1204">
            <v>0</v>
          </cell>
          <cell r="AD1204">
            <v>48</v>
          </cell>
        </row>
        <row r="1205">
          <cell r="A1205">
            <v>53</v>
          </cell>
          <cell r="B1205">
            <v>4</v>
          </cell>
          <cell r="C1205">
            <v>4</v>
          </cell>
          <cell r="D1205">
            <v>7005</v>
          </cell>
          <cell r="E1205">
            <v>3</v>
          </cell>
          <cell r="F1205">
            <v>15</v>
          </cell>
          <cell r="G1205">
            <v>3</v>
          </cell>
          <cell r="H1205">
            <v>0</v>
          </cell>
          <cell r="I1205">
            <v>11</v>
          </cell>
          <cell r="J1205">
            <v>2</v>
          </cell>
          <cell r="K1205">
            <v>4</v>
          </cell>
          <cell r="L1205">
            <v>3</v>
          </cell>
          <cell r="M1205">
            <v>0</v>
          </cell>
          <cell r="N1205">
            <v>0</v>
          </cell>
          <cell r="O1205">
            <v>0</v>
          </cell>
          <cell r="P1205">
            <v>0</v>
          </cell>
          <cell r="Q1205">
            <v>1</v>
          </cell>
          <cell r="R1205">
            <v>0</v>
          </cell>
          <cell r="S1205">
            <v>0</v>
          </cell>
          <cell r="T1205">
            <v>0</v>
          </cell>
          <cell r="U1205">
            <v>0</v>
          </cell>
          <cell r="V1205">
            <v>4</v>
          </cell>
          <cell r="W1205">
            <v>0</v>
          </cell>
          <cell r="X1205">
            <v>0</v>
          </cell>
          <cell r="Y1205">
            <v>0</v>
          </cell>
          <cell r="Z1205">
            <v>0</v>
          </cell>
          <cell r="AA1205">
            <v>8</v>
          </cell>
          <cell r="AB1205">
            <v>0.27272727272727271</v>
          </cell>
          <cell r="AC1205">
            <v>0.75</v>
          </cell>
          <cell r="AD1205">
            <v>24</v>
          </cell>
        </row>
        <row r="1206">
          <cell r="A1206">
            <v>48</v>
          </cell>
          <cell r="B1206">
            <v>2</v>
          </cell>
          <cell r="C1206">
            <v>3</v>
          </cell>
          <cell r="D1206">
            <v>2655</v>
          </cell>
          <cell r="E1206">
            <v>2</v>
          </cell>
          <cell r="F1206">
            <v>11</v>
          </cell>
          <cell r="G1206">
            <v>3</v>
          </cell>
          <cell r="H1206">
            <v>2</v>
          </cell>
          <cell r="I1206">
            <v>19</v>
          </cell>
          <cell r="J1206">
            <v>3</v>
          </cell>
          <cell r="K1206">
            <v>9</v>
          </cell>
          <cell r="L1206">
            <v>7</v>
          </cell>
          <cell r="M1206">
            <v>1</v>
          </cell>
          <cell r="N1206">
            <v>1</v>
          </cell>
          <cell r="O1206">
            <v>0</v>
          </cell>
          <cell r="P1206">
            <v>0</v>
          </cell>
          <cell r="Q1206">
            <v>1</v>
          </cell>
          <cell r="R1206">
            <v>0</v>
          </cell>
          <cell r="S1206">
            <v>0</v>
          </cell>
          <cell r="T1206">
            <v>0</v>
          </cell>
          <cell r="U1206">
            <v>0</v>
          </cell>
          <cell r="V1206">
            <v>2</v>
          </cell>
          <cell r="W1206">
            <v>0</v>
          </cell>
          <cell r="X1206">
            <v>0</v>
          </cell>
          <cell r="Y1206">
            <v>1</v>
          </cell>
          <cell r="Z1206">
            <v>1</v>
          </cell>
          <cell r="AA1206">
            <v>12</v>
          </cell>
          <cell r="AB1206">
            <v>0.10526315789473684</v>
          </cell>
          <cell r="AC1206">
            <v>0.77777777777777779</v>
          </cell>
          <cell r="AD1206">
            <v>36</v>
          </cell>
        </row>
        <row r="1207">
          <cell r="A1207">
            <v>32</v>
          </cell>
          <cell r="B1207">
            <v>4</v>
          </cell>
          <cell r="C1207">
            <v>3</v>
          </cell>
          <cell r="D1207">
            <v>1393</v>
          </cell>
          <cell r="E1207">
            <v>1</v>
          </cell>
          <cell r="F1207">
            <v>12</v>
          </cell>
          <cell r="G1207">
            <v>3</v>
          </cell>
          <cell r="H1207">
            <v>0</v>
          </cell>
          <cell r="I1207">
            <v>1</v>
          </cell>
          <cell r="J1207">
            <v>2</v>
          </cell>
          <cell r="K1207">
            <v>1</v>
          </cell>
          <cell r="L1207">
            <v>0</v>
          </cell>
          <cell r="M1207">
            <v>0</v>
          </cell>
          <cell r="N1207">
            <v>0</v>
          </cell>
          <cell r="O1207">
            <v>1</v>
          </cell>
          <cell r="P1207">
            <v>0</v>
          </cell>
          <cell r="Q1207">
            <v>0</v>
          </cell>
          <cell r="R1207">
            <v>0</v>
          </cell>
          <cell r="S1207">
            <v>0</v>
          </cell>
          <cell r="T1207">
            <v>4</v>
          </cell>
          <cell r="U1207">
            <v>0</v>
          </cell>
          <cell r="V1207">
            <v>0</v>
          </cell>
          <cell r="W1207">
            <v>0</v>
          </cell>
          <cell r="X1207">
            <v>0</v>
          </cell>
          <cell r="Y1207">
            <v>0</v>
          </cell>
          <cell r="Z1207">
            <v>0</v>
          </cell>
          <cell r="AA1207">
            <v>8</v>
          </cell>
          <cell r="AB1207">
            <v>1</v>
          </cell>
          <cell r="AC1207">
            <v>0</v>
          </cell>
          <cell r="AD1207">
            <v>8</v>
          </cell>
        </row>
        <row r="1208">
          <cell r="A1208">
            <v>26</v>
          </cell>
          <cell r="B1208">
            <v>3</v>
          </cell>
          <cell r="C1208">
            <v>3</v>
          </cell>
          <cell r="D1208">
            <v>2570</v>
          </cell>
          <cell r="E1208">
            <v>1</v>
          </cell>
          <cell r="F1208">
            <v>20</v>
          </cell>
          <cell r="G1208">
            <v>4</v>
          </cell>
          <cell r="H1208">
            <v>0</v>
          </cell>
          <cell r="I1208">
            <v>7</v>
          </cell>
          <cell r="J1208">
            <v>5</v>
          </cell>
          <cell r="K1208">
            <v>7</v>
          </cell>
          <cell r="L1208">
            <v>7</v>
          </cell>
          <cell r="M1208">
            <v>0</v>
          </cell>
          <cell r="N1208">
            <v>0</v>
          </cell>
          <cell r="O1208">
            <v>0</v>
          </cell>
          <cell r="P1208">
            <v>0</v>
          </cell>
          <cell r="Q1208">
            <v>1</v>
          </cell>
          <cell r="R1208">
            <v>0</v>
          </cell>
          <cell r="S1208">
            <v>0</v>
          </cell>
          <cell r="T1208">
            <v>0</v>
          </cell>
          <cell r="U1208">
            <v>0</v>
          </cell>
          <cell r="V1208">
            <v>3</v>
          </cell>
          <cell r="W1208">
            <v>0</v>
          </cell>
          <cell r="X1208">
            <v>0</v>
          </cell>
          <cell r="Y1208">
            <v>0</v>
          </cell>
          <cell r="Z1208">
            <v>0</v>
          </cell>
          <cell r="AA1208">
            <v>16</v>
          </cell>
          <cell r="AB1208">
            <v>0.14285714285714285</v>
          </cell>
          <cell r="AC1208">
            <v>1</v>
          </cell>
          <cell r="AD1208">
            <v>48</v>
          </cell>
        </row>
        <row r="1209">
          <cell r="A1209">
            <v>55</v>
          </cell>
          <cell r="B1209">
            <v>3</v>
          </cell>
          <cell r="C1209">
            <v>2</v>
          </cell>
          <cell r="D1209">
            <v>3537</v>
          </cell>
          <cell r="E1209">
            <v>5</v>
          </cell>
          <cell r="F1209">
            <v>12</v>
          </cell>
          <cell r="G1209">
            <v>3</v>
          </cell>
          <cell r="H1209">
            <v>1</v>
          </cell>
          <cell r="I1209">
            <v>8</v>
          </cell>
          <cell r="J1209">
            <v>1</v>
          </cell>
          <cell r="K1209">
            <v>4</v>
          </cell>
          <cell r="L1209">
            <v>2</v>
          </cell>
          <cell r="M1209">
            <v>0</v>
          </cell>
          <cell r="N1209">
            <v>0</v>
          </cell>
          <cell r="O1209">
            <v>0</v>
          </cell>
          <cell r="P1209">
            <v>0</v>
          </cell>
          <cell r="Q1209">
            <v>0</v>
          </cell>
          <cell r="R1209">
            <v>0</v>
          </cell>
          <cell r="S1209">
            <v>1</v>
          </cell>
          <cell r="T1209">
            <v>0</v>
          </cell>
          <cell r="U1209">
            <v>0</v>
          </cell>
          <cell r="V1209">
            <v>0</v>
          </cell>
          <cell r="W1209">
            <v>0</v>
          </cell>
          <cell r="X1209">
            <v>3</v>
          </cell>
          <cell r="Y1209">
            <v>0</v>
          </cell>
          <cell r="Z1209">
            <v>0</v>
          </cell>
          <cell r="AA1209">
            <v>2</v>
          </cell>
          <cell r="AB1209">
            <v>0.625</v>
          </cell>
          <cell r="AC1209">
            <v>0.5</v>
          </cell>
          <cell r="AD1209">
            <v>8</v>
          </cell>
        </row>
        <row r="1210">
          <cell r="A1210">
            <v>34</v>
          </cell>
          <cell r="B1210">
            <v>2</v>
          </cell>
          <cell r="C1210">
            <v>2</v>
          </cell>
          <cell r="D1210">
            <v>3986</v>
          </cell>
          <cell r="E1210">
            <v>1</v>
          </cell>
          <cell r="F1210">
            <v>14</v>
          </cell>
          <cell r="G1210">
            <v>3</v>
          </cell>
          <cell r="H1210">
            <v>1</v>
          </cell>
          <cell r="I1210">
            <v>15</v>
          </cell>
          <cell r="J1210">
            <v>3</v>
          </cell>
          <cell r="K1210">
            <v>15</v>
          </cell>
          <cell r="L1210">
            <v>10</v>
          </cell>
          <cell r="M1210">
            <v>0</v>
          </cell>
          <cell r="N1210">
            <v>0</v>
          </cell>
          <cell r="O1210">
            <v>0</v>
          </cell>
          <cell r="P1210">
            <v>0</v>
          </cell>
          <cell r="Q1210">
            <v>1</v>
          </cell>
          <cell r="R1210">
            <v>0</v>
          </cell>
          <cell r="S1210">
            <v>0</v>
          </cell>
          <cell r="T1210">
            <v>0</v>
          </cell>
          <cell r="U1210">
            <v>0</v>
          </cell>
          <cell r="V1210">
            <v>2</v>
          </cell>
          <cell r="W1210">
            <v>0</v>
          </cell>
          <cell r="X1210">
            <v>0</v>
          </cell>
          <cell r="Y1210">
            <v>0</v>
          </cell>
          <cell r="Z1210">
            <v>0</v>
          </cell>
          <cell r="AA1210">
            <v>8</v>
          </cell>
          <cell r="AB1210">
            <v>6.6666666666666666E-2</v>
          </cell>
          <cell r="AC1210">
            <v>0.66666666666666663</v>
          </cell>
          <cell r="AD1210">
            <v>24</v>
          </cell>
        </row>
        <row r="1211">
          <cell r="A1211">
            <v>60</v>
          </cell>
          <cell r="B1211">
            <v>4</v>
          </cell>
          <cell r="C1211">
            <v>1</v>
          </cell>
          <cell r="D1211">
            <v>10883</v>
          </cell>
          <cell r="E1211">
            <v>3</v>
          </cell>
          <cell r="F1211">
            <v>20</v>
          </cell>
          <cell r="G1211">
            <v>4</v>
          </cell>
          <cell r="H1211">
            <v>1</v>
          </cell>
          <cell r="I1211">
            <v>19</v>
          </cell>
          <cell r="J1211">
            <v>2</v>
          </cell>
          <cell r="K1211">
            <v>1</v>
          </cell>
          <cell r="L1211">
            <v>0</v>
          </cell>
          <cell r="M1211">
            <v>0</v>
          </cell>
          <cell r="N1211">
            <v>0</v>
          </cell>
          <cell r="O1211">
            <v>0</v>
          </cell>
          <cell r="P1211">
            <v>0</v>
          </cell>
          <cell r="Q1211">
            <v>1</v>
          </cell>
          <cell r="R1211">
            <v>0</v>
          </cell>
          <cell r="S1211">
            <v>0</v>
          </cell>
          <cell r="T1211">
            <v>0</v>
          </cell>
          <cell r="U1211">
            <v>0</v>
          </cell>
          <cell r="V1211">
            <v>4</v>
          </cell>
          <cell r="W1211">
            <v>0</v>
          </cell>
          <cell r="X1211">
            <v>0</v>
          </cell>
          <cell r="Y1211">
            <v>0</v>
          </cell>
          <cell r="Z1211">
            <v>0</v>
          </cell>
          <cell r="AA1211">
            <v>12</v>
          </cell>
          <cell r="AB1211">
            <v>0.15789473684210525</v>
          </cell>
          <cell r="AC1211">
            <v>0</v>
          </cell>
          <cell r="AD1211">
            <v>36</v>
          </cell>
        </row>
        <row r="1212">
          <cell r="A1212">
            <v>33</v>
          </cell>
          <cell r="B1212">
            <v>3</v>
          </cell>
          <cell r="C1212">
            <v>4</v>
          </cell>
          <cell r="D1212">
            <v>2028</v>
          </cell>
          <cell r="E1212">
            <v>1</v>
          </cell>
          <cell r="F1212">
            <v>18</v>
          </cell>
          <cell r="G1212">
            <v>3</v>
          </cell>
          <cell r="H1212">
            <v>3</v>
          </cell>
          <cell r="I1212">
            <v>14</v>
          </cell>
          <cell r="J1212">
            <v>6</v>
          </cell>
          <cell r="K1212">
            <v>14</v>
          </cell>
          <cell r="L1212">
            <v>11</v>
          </cell>
          <cell r="M1212">
            <v>0</v>
          </cell>
          <cell r="N1212">
            <v>0</v>
          </cell>
          <cell r="O1212">
            <v>0</v>
          </cell>
          <cell r="P1212">
            <v>0</v>
          </cell>
          <cell r="Q1212">
            <v>1</v>
          </cell>
          <cell r="R1212">
            <v>0</v>
          </cell>
          <cell r="S1212">
            <v>0</v>
          </cell>
          <cell r="T1212">
            <v>0</v>
          </cell>
          <cell r="U1212">
            <v>0</v>
          </cell>
          <cell r="V1212">
            <v>3</v>
          </cell>
          <cell r="W1212">
            <v>0</v>
          </cell>
          <cell r="X1212">
            <v>0</v>
          </cell>
          <cell r="Y1212">
            <v>0</v>
          </cell>
          <cell r="Z1212">
            <v>0</v>
          </cell>
          <cell r="AA1212">
            <v>4</v>
          </cell>
          <cell r="AB1212">
            <v>7.1428571428571425E-2</v>
          </cell>
          <cell r="AC1212">
            <v>0.7857142857142857</v>
          </cell>
          <cell r="AD1212">
            <v>16</v>
          </cell>
        </row>
        <row r="1213">
          <cell r="A1213">
            <v>37</v>
          </cell>
          <cell r="B1213">
            <v>4</v>
          </cell>
          <cell r="C1213">
            <v>1</v>
          </cell>
          <cell r="D1213">
            <v>9525</v>
          </cell>
          <cell r="E1213">
            <v>1</v>
          </cell>
          <cell r="F1213">
            <v>14</v>
          </cell>
          <cell r="G1213">
            <v>3</v>
          </cell>
          <cell r="H1213">
            <v>2</v>
          </cell>
          <cell r="I1213">
            <v>6</v>
          </cell>
          <cell r="J1213">
            <v>2</v>
          </cell>
          <cell r="K1213">
            <v>6</v>
          </cell>
          <cell r="L1213">
            <v>3</v>
          </cell>
          <cell r="M1213">
            <v>0</v>
          </cell>
          <cell r="N1213">
            <v>0</v>
          </cell>
          <cell r="O1213">
            <v>0</v>
          </cell>
          <cell r="P1213">
            <v>0</v>
          </cell>
          <cell r="Q1213">
            <v>1</v>
          </cell>
          <cell r="R1213">
            <v>0</v>
          </cell>
          <cell r="S1213">
            <v>0</v>
          </cell>
          <cell r="T1213">
            <v>0</v>
          </cell>
          <cell r="U1213">
            <v>0</v>
          </cell>
          <cell r="V1213">
            <v>4</v>
          </cell>
          <cell r="W1213">
            <v>0</v>
          </cell>
          <cell r="X1213">
            <v>0</v>
          </cell>
          <cell r="Y1213">
            <v>0</v>
          </cell>
          <cell r="Z1213">
            <v>0</v>
          </cell>
          <cell r="AA1213">
            <v>12</v>
          </cell>
          <cell r="AB1213">
            <v>0.16666666666666666</v>
          </cell>
          <cell r="AC1213">
            <v>0.5</v>
          </cell>
          <cell r="AD1213">
            <v>36</v>
          </cell>
        </row>
        <row r="1214">
          <cell r="A1214">
            <v>34</v>
          </cell>
          <cell r="B1214">
            <v>3</v>
          </cell>
          <cell r="C1214">
            <v>2</v>
          </cell>
          <cell r="D1214">
            <v>2929</v>
          </cell>
          <cell r="E1214">
            <v>1</v>
          </cell>
          <cell r="F1214">
            <v>12</v>
          </cell>
          <cell r="G1214">
            <v>3</v>
          </cell>
          <cell r="H1214">
            <v>0</v>
          </cell>
          <cell r="I1214">
            <v>10</v>
          </cell>
          <cell r="J1214">
            <v>3</v>
          </cell>
          <cell r="K1214">
            <v>10</v>
          </cell>
          <cell r="L1214">
            <v>9</v>
          </cell>
          <cell r="M1214">
            <v>0</v>
          </cell>
          <cell r="N1214">
            <v>1</v>
          </cell>
          <cell r="O1214">
            <v>1</v>
          </cell>
          <cell r="P1214">
            <v>0</v>
          </cell>
          <cell r="Q1214">
            <v>0</v>
          </cell>
          <cell r="R1214">
            <v>0</v>
          </cell>
          <cell r="S1214">
            <v>0</v>
          </cell>
          <cell r="T1214">
            <v>3</v>
          </cell>
          <cell r="U1214">
            <v>0</v>
          </cell>
          <cell r="V1214">
            <v>0</v>
          </cell>
          <cell r="W1214">
            <v>0</v>
          </cell>
          <cell r="X1214">
            <v>0</v>
          </cell>
          <cell r="Y1214">
            <v>0</v>
          </cell>
          <cell r="Z1214">
            <v>0</v>
          </cell>
          <cell r="AA1214">
            <v>8</v>
          </cell>
          <cell r="AB1214">
            <v>0.1</v>
          </cell>
          <cell r="AC1214">
            <v>0.9</v>
          </cell>
          <cell r="AD1214">
            <v>16</v>
          </cell>
        </row>
        <row r="1215">
          <cell r="A1215">
            <v>23</v>
          </cell>
          <cell r="B1215">
            <v>3</v>
          </cell>
          <cell r="C1215">
            <v>3</v>
          </cell>
          <cell r="D1215">
            <v>2275</v>
          </cell>
          <cell r="E1215">
            <v>1</v>
          </cell>
          <cell r="F1215">
            <v>21</v>
          </cell>
          <cell r="G1215">
            <v>4</v>
          </cell>
          <cell r="H1215">
            <v>1</v>
          </cell>
          <cell r="I1215">
            <v>3</v>
          </cell>
          <cell r="J1215">
            <v>2</v>
          </cell>
          <cell r="K1215">
            <v>3</v>
          </cell>
          <cell r="L1215">
            <v>2</v>
          </cell>
          <cell r="M1215">
            <v>1</v>
          </cell>
          <cell r="N1215">
            <v>0</v>
          </cell>
          <cell r="O1215">
            <v>1</v>
          </cell>
          <cell r="P1215">
            <v>0</v>
          </cell>
          <cell r="Q1215">
            <v>0</v>
          </cell>
          <cell r="R1215">
            <v>0</v>
          </cell>
          <cell r="S1215">
            <v>0</v>
          </cell>
          <cell r="T1215">
            <v>3</v>
          </cell>
          <cell r="U1215">
            <v>0</v>
          </cell>
          <cell r="V1215">
            <v>0</v>
          </cell>
          <cell r="W1215">
            <v>0</v>
          </cell>
          <cell r="X1215">
            <v>0</v>
          </cell>
          <cell r="Y1215">
            <v>0</v>
          </cell>
          <cell r="Z1215">
            <v>0</v>
          </cell>
          <cell r="AA1215">
            <v>12</v>
          </cell>
          <cell r="AB1215">
            <v>0.33333333333333331</v>
          </cell>
          <cell r="AC1215">
            <v>0.66666666666666663</v>
          </cell>
          <cell r="AD1215">
            <v>24</v>
          </cell>
        </row>
        <row r="1216">
          <cell r="A1216">
            <v>44</v>
          </cell>
          <cell r="B1216">
            <v>3</v>
          </cell>
          <cell r="C1216">
            <v>4</v>
          </cell>
          <cell r="D1216">
            <v>7879</v>
          </cell>
          <cell r="E1216">
            <v>1</v>
          </cell>
          <cell r="F1216">
            <v>19</v>
          </cell>
          <cell r="G1216">
            <v>3</v>
          </cell>
          <cell r="H1216">
            <v>1</v>
          </cell>
          <cell r="I1216">
            <v>9</v>
          </cell>
          <cell r="J1216">
            <v>2</v>
          </cell>
          <cell r="K1216">
            <v>8</v>
          </cell>
          <cell r="L1216">
            <v>7</v>
          </cell>
          <cell r="M1216">
            <v>1</v>
          </cell>
          <cell r="N1216">
            <v>1</v>
          </cell>
          <cell r="O1216">
            <v>1</v>
          </cell>
          <cell r="P1216">
            <v>0</v>
          </cell>
          <cell r="Q1216">
            <v>0</v>
          </cell>
          <cell r="R1216">
            <v>0</v>
          </cell>
          <cell r="S1216">
            <v>0</v>
          </cell>
          <cell r="T1216">
            <v>3</v>
          </cell>
          <cell r="U1216">
            <v>0</v>
          </cell>
          <cell r="V1216">
            <v>0</v>
          </cell>
          <cell r="W1216">
            <v>0</v>
          </cell>
          <cell r="X1216">
            <v>0</v>
          </cell>
          <cell r="Y1216">
            <v>0</v>
          </cell>
          <cell r="Z1216">
            <v>1</v>
          </cell>
          <cell r="AA1216">
            <v>12</v>
          </cell>
          <cell r="AB1216">
            <v>0.1111111111111111</v>
          </cell>
          <cell r="AC1216">
            <v>0.875</v>
          </cell>
          <cell r="AD1216">
            <v>24</v>
          </cell>
        </row>
        <row r="1217">
          <cell r="A1217">
            <v>35</v>
          </cell>
          <cell r="B1217">
            <v>4</v>
          </cell>
          <cell r="C1217">
            <v>2</v>
          </cell>
          <cell r="D1217">
            <v>4930</v>
          </cell>
          <cell r="E1217">
            <v>0</v>
          </cell>
          <cell r="F1217">
            <v>14</v>
          </cell>
          <cell r="G1217">
            <v>3</v>
          </cell>
          <cell r="H1217">
            <v>0</v>
          </cell>
          <cell r="I1217">
            <v>6</v>
          </cell>
          <cell r="J1217">
            <v>2</v>
          </cell>
          <cell r="K1217">
            <v>5</v>
          </cell>
          <cell r="L1217">
            <v>4</v>
          </cell>
          <cell r="M1217">
            <v>1</v>
          </cell>
          <cell r="N1217">
            <v>0</v>
          </cell>
          <cell r="O1217">
            <v>0</v>
          </cell>
          <cell r="P1217">
            <v>0</v>
          </cell>
          <cell r="Q1217">
            <v>1</v>
          </cell>
          <cell r="R1217">
            <v>0</v>
          </cell>
          <cell r="S1217">
            <v>0</v>
          </cell>
          <cell r="T1217">
            <v>0</v>
          </cell>
          <cell r="U1217">
            <v>0</v>
          </cell>
          <cell r="V1217">
            <v>4</v>
          </cell>
          <cell r="W1217">
            <v>0</v>
          </cell>
          <cell r="X1217">
            <v>0</v>
          </cell>
          <cell r="Y1217">
            <v>0</v>
          </cell>
          <cell r="Z1217">
            <v>0</v>
          </cell>
          <cell r="AA1217">
            <v>4</v>
          </cell>
          <cell r="AB1217">
            <v>0</v>
          </cell>
          <cell r="AC1217">
            <v>0.8</v>
          </cell>
          <cell r="AD1217">
            <v>12</v>
          </cell>
        </row>
        <row r="1218">
          <cell r="A1218">
            <v>43</v>
          </cell>
          <cell r="B1218">
            <v>3</v>
          </cell>
          <cell r="C1218">
            <v>3</v>
          </cell>
          <cell r="D1218">
            <v>7847</v>
          </cell>
          <cell r="E1218">
            <v>1</v>
          </cell>
          <cell r="F1218">
            <v>17</v>
          </cell>
          <cell r="G1218">
            <v>3</v>
          </cell>
          <cell r="H1218">
            <v>1</v>
          </cell>
          <cell r="I1218">
            <v>10</v>
          </cell>
          <cell r="J1218">
            <v>3</v>
          </cell>
          <cell r="K1218">
            <v>10</v>
          </cell>
          <cell r="L1218">
            <v>9</v>
          </cell>
          <cell r="M1218">
            <v>1</v>
          </cell>
          <cell r="N1218">
            <v>0</v>
          </cell>
          <cell r="O1218">
            <v>0</v>
          </cell>
          <cell r="P1218">
            <v>0</v>
          </cell>
          <cell r="Q1218">
            <v>1</v>
          </cell>
          <cell r="R1218">
            <v>0</v>
          </cell>
          <cell r="S1218">
            <v>0</v>
          </cell>
          <cell r="T1218">
            <v>0</v>
          </cell>
          <cell r="U1218">
            <v>0</v>
          </cell>
          <cell r="V1218">
            <v>3</v>
          </cell>
          <cell r="W1218">
            <v>0</v>
          </cell>
          <cell r="X1218">
            <v>0</v>
          </cell>
          <cell r="Y1218">
            <v>0</v>
          </cell>
          <cell r="Z1218">
            <v>1</v>
          </cell>
          <cell r="AA1218">
            <v>16</v>
          </cell>
          <cell r="AB1218">
            <v>0.1</v>
          </cell>
          <cell r="AC1218">
            <v>0.9</v>
          </cell>
          <cell r="AD1218">
            <v>16</v>
          </cell>
        </row>
        <row r="1219">
          <cell r="A1219">
            <v>24</v>
          </cell>
          <cell r="B1219">
            <v>3</v>
          </cell>
          <cell r="C1219">
            <v>4</v>
          </cell>
          <cell r="D1219">
            <v>4401</v>
          </cell>
          <cell r="E1219">
            <v>1</v>
          </cell>
          <cell r="F1219">
            <v>16</v>
          </cell>
          <cell r="G1219">
            <v>3</v>
          </cell>
          <cell r="H1219">
            <v>1</v>
          </cell>
          <cell r="I1219">
            <v>5</v>
          </cell>
          <cell r="J1219">
            <v>1</v>
          </cell>
          <cell r="K1219">
            <v>5</v>
          </cell>
          <cell r="L1219">
            <v>3</v>
          </cell>
          <cell r="M1219">
            <v>0</v>
          </cell>
          <cell r="N1219">
            <v>0</v>
          </cell>
          <cell r="O1219">
            <v>0</v>
          </cell>
          <cell r="P1219">
            <v>0</v>
          </cell>
          <cell r="Q1219">
            <v>1</v>
          </cell>
          <cell r="R1219">
            <v>0</v>
          </cell>
          <cell r="S1219">
            <v>0</v>
          </cell>
          <cell r="T1219">
            <v>0</v>
          </cell>
          <cell r="U1219">
            <v>0</v>
          </cell>
          <cell r="V1219">
            <v>3</v>
          </cell>
          <cell r="W1219">
            <v>0</v>
          </cell>
          <cell r="X1219">
            <v>0</v>
          </cell>
          <cell r="Y1219">
            <v>0</v>
          </cell>
          <cell r="Z1219">
            <v>0</v>
          </cell>
          <cell r="AA1219">
            <v>9</v>
          </cell>
          <cell r="AB1219">
            <v>0.2</v>
          </cell>
          <cell r="AC1219">
            <v>0.6</v>
          </cell>
          <cell r="AD1219">
            <v>36</v>
          </cell>
        </row>
        <row r="1220">
          <cell r="A1220">
            <v>41</v>
          </cell>
          <cell r="B1220">
            <v>3</v>
          </cell>
          <cell r="C1220">
            <v>3</v>
          </cell>
          <cell r="D1220">
            <v>9241</v>
          </cell>
          <cell r="E1220">
            <v>1</v>
          </cell>
          <cell r="F1220">
            <v>12</v>
          </cell>
          <cell r="G1220">
            <v>3</v>
          </cell>
          <cell r="H1220">
            <v>0</v>
          </cell>
          <cell r="I1220">
            <v>10</v>
          </cell>
          <cell r="J1220">
            <v>3</v>
          </cell>
          <cell r="K1220">
            <v>10</v>
          </cell>
          <cell r="L1220">
            <v>8</v>
          </cell>
          <cell r="M1220">
            <v>0</v>
          </cell>
          <cell r="N1220">
            <v>0</v>
          </cell>
          <cell r="O1220">
            <v>0</v>
          </cell>
          <cell r="P1220">
            <v>1</v>
          </cell>
          <cell r="Q1220">
            <v>0</v>
          </cell>
          <cell r="R1220">
            <v>0</v>
          </cell>
          <cell r="S1220">
            <v>0</v>
          </cell>
          <cell r="T1220">
            <v>0</v>
          </cell>
          <cell r="U1220">
            <v>3</v>
          </cell>
          <cell r="V1220">
            <v>0</v>
          </cell>
          <cell r="W1220">
            <v>0</v>
          </cell>
          <cell r="X1220">
            <v>0</v>
          </cell>
          <cell r="Y1220">
            <v>0</v>
          </cell>
          <cell r="Z1220">
            <v>0</v>
          </cell>
          <cell r="AA1220">
            <v>12</v>
          </cell>
          <cell r="AB1220">
            <v>0.1</v>
          </cell>
          <cell r="AC1220">
            <v>0.8</v>
          </cell>
          <cell r="AD1220">
            <v>24</v>
          </cell>
        </row>
        <row r="1221">
          <cell r="A1221">
            <v>29</v>
          </cell>
          <cell r="B1221">
            <v>4</v>
          </cell>
          <cell r="C1221">
            <v>3</v>
          </cell>
          <cell r="D1221">
            <v>2974</v>
          </cell>
          <cell r="E1221">
            <v>9</v>
          </cell>
          <cell r="F1221">
            <v>17</v>
          </cell>
          <cell r="G1221">
            <v>3</v>
          </cell>
          <cell r="H1221">
            <v>1</v>
          </cell>
          <cell r="I1221">
            <v>9</v>
          </cell>
          <cell r="J1221">
            <v>2</v>
          </cell>
          <cell r="K1221">
            <v>5</v>
          </cell>
          <cell r="L1221">
            <v>3</v>
          </cell>
          <cell r="M1221">
            <v>0</v>
          </cell>
          <cell r="N1221">
            <v>1</v>
          </cell>
          <cell r="O1221">
            <v>0</v>
          </cell>
          <cell r="P1221">
            <v>0</v>
          </cell>
          <cell r="Q1221">
            <v>1</v>
          </cell>
          <cell r="R1221">
            <v>0</v>
          </cell>
          <cell r="S1221">
            <v>0</v>
          </cell>
          <cell r="T1221">
            <v>0</v>
          </cell>
          <cell r="U1221">
            <v>0</v>
          </cell>
          <cell r="V1221">
            <v>4</v>
          </cell>
          <cell r="W1221">
            <v>0</v>
          </cell>
          <cell r="X1221">
            <v>0</v>
          </cell>
          <cell r="Y1221">
            <v>0</v>
          </cell>
          <cell r="Z1221">
            <v>0</v>
          </cell>
          <cell r="AA1221">
            <v>12</v>
          </cell>
          <cell r="AB1221">
            <v>1</v>
          </cell>
          <cell r="AC1221">
            <v>0.6</v>
          </cell>
          <cell r="AD1221">
            <v>36</v>
          </cell>
        </row>
        <row r="1222">
          <cell r="A1222">
            <v>36</v>
          </cell>
          <cell r="B1222">
            <v>4</v>
          </cell>
          <cell r="C1222">
            <v>3</v>
          </cell>
          <cell r="D1222">
            <v>4502</v>
          </cell>
          <cell r="E1222">
            <v>3</v>
          </cell>
          <cell r="F1222">
            <v>15</v>
          </cell>
          <cell r="G1222">
            <v>3</v>
          </cell>
          <cell r="H1222">
            <v>0</v>
          </cell>
          <cell r="I1222">
            <v>17</v>
          </cell>
          <cell r="J1222">
            <v>2</v>
          </cell>
          <cell r="K1222">
            <v>13</v>
          </cell>
          <cell r="L1222">
            <v>7</v>
          </cell>
          <cell r="M1222">
            <v>0</v>
          </cell>
          <cell r="N1222">
            <v>1</v>
          </cell>
          <cell r="O1222">
            <v>1</v>
          </cell>
          <cell r="P1222">
            <v>0</v>
          </cell>
          <cell r="Q1222">
            <v>0</v>
          </cell>
          <cell r="R1222">
            <v>0</v>
          </cell>
          <cell r="S1222">
            <v>0</v>
          </cell>
          <cell r="T1222">
            <v>4</v>
          </cell>
          <cell r="U1222">
            <v>0</v>
          </cell>
          <cell r="V1222">
            <v>0</v>
          </cell>
          <cell r="W1222">
            <v>0</v>
          </cell>
          <cell r="X1222">
            <v>0</v>
          </cell>
          <cell r="Y1222">
            <v>0</v>
          </cell>
          <cell r="Z1222">
            <v>0</v>
          </cell>
          <cell r="AA1222">
            <v>12</v>
          </cell>
          <cell r="AB1222">
            <v>0.17647058823529413</v>
          </cell>
          <cell r="AC1222">
            <v>0.53846153846153844</v>
          </cell>
          <cell r="AD1222">
            <v>36</v>
          </cell>
        </row>
        <row r="1223">
          <cell r="A1223">
            <v>45</v>
          </cell>
          <cell r="B1223">
            <v>1</v>
          </cell>
          <cell r="C1223">
            <v>2</v>
          </cell>
          <cell r="D1223">
            <v>10748</v>
          </cell>
          <cell r="E1223">
            <v>3</v>
          </cell>
          <cell r="F1223">
            <v>23</v>
          </cell>
          <cell r="G1223">
            <v>4</v>
          </cell>
          <cell r="H1223">
            <v>1</v>
          </cell>
          <cell r="I1223">
            <v>25</v>
          </cell>
          <cell r="J1223">
            <v>3</v>
          </cell>
          <cell r="K1223">
            <v>23</v>
          </cell>
          <cell r="L1223">
            <v>15</v>
          </cell>
          <cell r="M1223">
            <v>0</v>
          </cell>
          <cell r="N1223">
            <v>0</v>
          </cell>
          <cell r="O1223">
            <v>1</v>
          </cell>
          <cell r="P1223">
            <v>0</v>
          </cell>
          <cell r="Q1223">
            <v>0</v>
          </cell>
          <cell r="R1223">
            <v>0</v>
          </cell>
          <cell r="S1223">
            <v>0</v>
          </cell>
          <cell r="T1223">
            <v>1</v>
          </cell>
          <cell r="U1223">
            <v>0</v>
          </cell>
          <cell r="V1223">
            <v>0</v>
          </cell>
          <cell r="W1223">
            <v>0</v>
          </cell>
          <cell r="X1223">
            <v>0</v>
          </cell>
          <cell r="Y1223">
            <v>0</v>
          </cell>
          <cell r="Z1223">
            <v>0</v>
          </cell>
          <cell r="AA1223">
            <v>9</v>
          </cell>
          <cell r="AB1223">
            <v>0.12</v>
          </cell>
          <cell r="AC1223">
            <v>0.65217391304347827</v>
          </cell>
          <cell r="AD1223">
            <v>36</v>
          </cell>
        </row>
        <row r="1224">
          <cell r="A1224">
            <v>24</v>
          </cell>
          <cell r="B1224">
            <v>1</v>
          </cell>
          <cell r="C1224">
            <v>1</v>
          </cell>
          <cell r="D1224">
            <v>1555</v>
          </cell>
          <cell r="E1224">
            <v>1</v>
          </cell>
          <cell r="F1224">
            <v>11</v>
          </cell>
          <cell r="G1224">
            <v>3</v>
          </cell>
          <cell r="H1224">
            <v>1</v>
          </cell>
          <cell r="I1224">
            <v>1</v>
          </cell>
          <cell r="J1224">
            <v>2</v>
          </cell>
          <cell r="K1224">
            <v>1</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12</v>
          </cell>
          <cell r="AB1224">
            <v>1</v>
          </cell>
          <cell r="AC1224">
            <v>0</v>
          </cell>
          <cell r="AD1224">
            <v>36</v>
          </cell>
        </row>
        <row r="1225">
          <cell r="A1225">
            <v>47</v>
          </cell>
          <cell r="B1225">
            <v>3</v>
          </cell>
          <cell r="C1225">
            <v>1</v>
          </cell>
          <cell r="D1225">
            <v>12936</v>
          </cell>
          <cell r="E1225">
            <v>7</v>
          </cell>
          <cell r="F1225">
            <v>11</v>
          </cell>
          <cell r="G1225">
            <v>3</v>
          </cell>
          <cell r="H1225">
            <v>0</v>
          </cell>
          <cell r="I1225">
            <v>25</v>
          </cell>
          <cell r="J1225">
            <v>3</v>
          </cell>
          <cell r="K1225">
            <v>23</v>
          </cell>
          <cell r="L1225">
            <v>5</v>
          </cell>
          <cell r="M1225">
            <v>0</v>
          </cell>
          <cell r="N1225">
            <v>0</v>
          </cell>
          <cell r="O1225">
            <v>1</v>
          </cell>
          <cell r="P1225">
            <v>0</v>
          </cell>
          <cell r="Q1225">
            <v>0</v>
          </cell>
          <cell r="R1225">
            <v>0</v>
          </cell>
          <cell r="S1225">
            <v>0</v>
          </cell>
          <cell r="T1225">
            <v>3</v>
          </cell>
          <cell r="U1225">
            <v>0</v>
          </cell>
          <cell r="V1225">
            <v>0</v>
          </cell>
          <cell r="W1225">
            <v>0</v>
          </cell>
          <cell r="X1225">
            <v>0</v>
          </cell>
          <cell r="Y1225">
            <v>1</v>
          </cell>
          <cell r="Z1225">
            <v>0</v>
          </cell>
          <cell r="AA1225">
            <v>9</v>
          </cell>
          <cell r="AB1225">
            <v>0.28000000000000003</v>
          </cell>
          <cell r="AC1225">
            <v>0.21739130434782608</v>
          </cell>
          <cell r="AD1225">
            <v>27</v>
          </cell>
        </row>
        <row r="1226">
          <cell r="A1226">
            <v>26</v>
          </cell>
          <cell r="B1226">
            <v>4</v>
          </cell>
          <cell r="C1226">
            <v>1</v>
          </cell>
          <cell r="D1226">
            <v>2305</v>
          </cell>
          <cell r="E1226">
            <v>1</v>
          </cell>
          <cell r="F1226">
            <v>15</v>
          </cell>
          <cell r="G1226">
            <v>3</v>
          </cell>
          <cell r="H1226">
            <v>3</v>
          </cell>
          <cell r="I1226">
            <v>3</v>
          </cell>
          <cell r="J1226">
            <v>3</v>
          </cell>
          <cell r="K1226">
            <v>3</v>
          </cell>
          <cell r="L1226">
            <v>2</v>
          </cell>
          <cell r="M1226">
            <v>0</v>
          </cell>
          <cell r="N1226">
            <v>0</v>
          </cell>
          <cell r="O1226">
            <v>0</v>
          </cell>
          <cell r="P1226">
            <v>0</v>
          </cell>
          <cell r="Q1226">
            <v>1</v>
          </cell>
          <cell r="R1226">
            <v>0</v>
          </cell>
          <cell r="S1226">
            <v>0</v>
          </cell>
          <cell r="T1226">
            <v>0</v>
          </cell>
          <cell r="U1226">
            <v>0</v>
          </cell>
          <cell r="V1226">
            <v>4</v>
          </cell>
          <cell r="W1226">
            <v>0</v>
          </cell>
          <cell r="X1226">
            <v>0</v>
          </cell>
          <cell r="Y1226">
            <v>0</v>
          </cell>
          <cell r="Z1226">
            <v>0</v>
          </cell>
          <cell r="AA1226">
            <v>12</v>
          </cell>
          <cell r="AB1226">
            <v>0.33333333333333331</v>
          </cell>
          <cell r="AC1226">
            <v>0.66666666666666663</v>
          </cell>
          <cell r="AD1226">
            <v>36</v>
          </cell>
        </row>
        <row r="1227">
          <cell r="A1227">
            <v>45</v>
          </cell>
          <cell r="B1227">
            <v>2</v>
          </cell>
          <cell r="C1227">
            <v>2</v>
          </cell>
          <cell r="D1227">
            <v>16704</v>
          </cell>
          <cell r="E1227">
            <v>1</v>
          </cell>
          <cell r="F1227">
            <v>11</v>
          </cell>
          <cell r="G1227">
            <v>3</v>
          </cell>
          <cell r="H1227">
            <v>0</v>
          </cell>
          <cell r="I1227">
            <v>21</v>
          </cell>
          <cell r="J1227">
            <v>2</v>
          </cell>
          <cell r="K1227">
            <v>21</v>
          </cell>
          <cell r="L1227">
            <v>6</v>
          </cell>
          <cell r="M1227">
            <v>0</v>
          </cell>
          <cell r="N1227">
            <v>1</v>
          </cell>
          <cell r="O1227">
            <v>0</v>
          </cell>
          <cell r="P1227">
            <v>0</v>
          </cell>
          <cell r="Q1227">
            <v>0</v>
          </cell>
          <cell r="R1227">
            <v>0</v>
          </cell>
          <cell r="S1227">
            <v>1</v>
          </cell>
          <cell r="T1227">
            <v>0</v>
          </cell>
          <cell r="U1227">
            <v>0</v>
          </cell>
          <cell r="V1227">
            <v>0</v>
          </cell>
          <cell r="W1227">
            <v>0</v>
          </cell>
          <cell r="X1227">
            <v>2</v>
          </cell>
          <cell r="Y1227">
            <v>0</v>
          </cell>
          <cell r="Z1227">
            <v>0</v>
          </cell>
          <cell r="AA1227">
            <v>8</v>
          </cell>
          <cell r="AB1227">
            <v>4.7619047619047616E-2</v>
          </cell>
          <cell r="AC1227">
            <v>0.2857142857142857</v>
          </cell>
          <cell r="AD1227">
            <v>24</v>
          </cell>
        </row>
        <row r="1228">
          <cell r="A1228">
            <v>32</v>
          </cell>
          <cell r="B1228">
            <v>3</v>
          </cell>
          <cell r="C1228">
            <v>3</v>
          </cell>
          <cell r="D1228">
            <v>3433</v>
          </cell>
          <cell r="E1228">
            <v>6</v>
          </cell>
          <cell r="F1228">
            <v>13</v>
          </cell>
          <cell r="G1228">
            <v>3</v>
          </cell>
          <cell r="H1228">
            <v>1</v>
          </cell>
          <cell r="I1228">
            <v>10</v>
          </cell>
          <cell r="J1228">
            <v>3</v>
          </cell>
          <cell r="K1228">
            <v>5</v>
          </cell>
          <cell r="L1228">
            <v>2</v>
          </cell>
          <cell r="M1228">
            <v>0</v>
          </cell>
          <cell r="N1228">
            <v>0</v>
          </cell>
          <cell r="O1228">
            <v>1</v>
          </cell>
          <cell r="P1228">
            <v>0</v>
          </cell>
          <cell r="Q1228">
            <v>0</v>
          </cell>
          <cell r="R1228">
            <v>0</v>
          </cell>
          <cell r="S1228">
            <v>0</v>
          </cell>
          <cell r="T1228">
            <v>3</v>
          </cell>
          <cell r="U1228">
            <v>0</v>
          </cell>
          <cell r="V1228">
            <v>0</v>
          </cell>
          <cell r="W1228">
            <v>0</v>
          </cell>
          <cell r="X1228">
            <v>0</v>
          </cell>
          <cell r="Y1228">
            <v>1</v>
          </cell>
          <cell r="Z1228">
            <v>0</v>
          </cell>
          <cell r="AA1228">
            <v>3</v>
          </cell>
          <cell r="AB1228">
            <v>0.6</v>
          </cell>
          <cell r="AC1228">
            <v>0.4</v>
          </cell>
          <cell r="AD1228">
            <v>3</v>
          </cell>
        </row>
        <row r="1229">
          <cell r="A1229">
            <v>31</v>
          </cell>
          <cell r="B1229">
            <v>4</v>
          </cell>
          <cell r="C1229">
            <v>3</v>
          </cell>
          <cell r="D1229">
            <v>3477</v>
          </cell>
          <cell r="E1229">
            <v>1</v>
          </cell>
          <cell r="F1229">
            <v>14</v>
          </cell>
          <cell r="G1229">
            <v>3</v>
          </cell>
          <cell r="H1229">
            <v>1</v>
          </cell>
          <cell r="I1229">
            <v>6</v>
          </cell>
          <cell r="J1229">
            <v>2</v>
          </cell>
          <cell r="K1229">
            <v>5</v>
          </cell>
          <cell r="L1229">
            <v>2</v>
          </cell>
          <cell r="M1229">
            <v>0</v>
          </cell>
          <cell r="N1229">
            <v>0</v>
          </cell>
          <cell r="O1229">
            <v>1</v>
          </cell>
          <cell r="P1229">
            <v>0</v>
          </cell>
          <cell r="Q1229">
            <v>0</v>
          </cell>
          <cell r="R1229">
            <v>0</v>
          </cell>
          <cell r="S1229">
            <v>0</v>
          </cell>
          <cell r="T1229">
            <v>4</v>
          </cell>
          <cell r="U1229">
            <v>0</v>
          </cell>
          <cell r="V1229">
            <v>0</v>
          </cell>
          <cell r="W1229">
            <v>0</v>
          </cell>
          <cell r="X1229">
            <v>0</v>
          </cell>
          <cell r="Y1229">
            <v>0</v>
          </cell>
          <cell r="Z1229">
            <v>0</v>
          </cell>
          <cell r="AA1229">
            <v>6</v>
          </cell>
          <cell r="AB1229">
            <v>0.16666666666666666</v>
          </cell>
          <cell r="AC1229">
            <v>0.4</v>
          </cell>
          <cell r="AD1229">
            <v>24</v>
          </cell>
        </row>
        <row r="1230">
          <cell r="A1230">
            <v>41</v>
          </cell>
          <cell r="B1230">
            <v>3</v>
          </cell>
          <cell r="C1230">
            <v>1</v>
          </cell>
          <cell r="D1230">
            <v>6430</v>
          </cell>
          <cell r="E1230">
            <v>6</v>
          </cell>
          <cell r="F1230">
            <v>19</v>
          </cell>
          <cell r="G1230">
            <v>3</v>
          </cell>
          <cell r="H1230">
            <v>1</v>
          </cell>
          <cell r="I1230">
            <v>10</v>
          </cell>
          <cell r="J1230">
            <v>4</v>
          </cell>
          <cell r="K1230">
            <v>3</v>
          </cell>
          <cell r="L1230">
            <v>2</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6</v>
          </cell>
          <cell r="AB1230">
            <v>0.6</v>
          </cell>
          <cell r="AC1230">
            <v>0.66666666666666663</v>
          </cell>
          <cell r="AD1230">
            <v>12</v>
          </cell>
        </row>
        <row r="1231">
          <cell r="A1231">
            <v>40</v>
          </cell>
          <cell r="B1231">
            <v>2</v>
          </cell>
          <cell r="C1231">
            <v>3</v>
          </cell>
          <cell r="D1231">
            <v>6516</v>
          </cell>
          <cell r="E1231">
            <v>2</v>
          </cell>
          <cell r="F1231">
            <v>16</v>
          </cell>
          <cell r="G1231">
            <v>3</v>
          </cell>
          <cell r="H1231">
            <v>1</v>
          </cell>
          <cell r="I1231">
            <v>18</v>
          </cell>
          <cell r="J1231">
            <v>3</v>
          </cell>
          <cell r="K1231">
            <v>1</v>
          </cell>
          <cell r="L1231">
            <v>0</v>
          </cell>
          <cell r="M1231">
            <v>1</v>
          </cell>
          <cell r="N1231">
            <v>1</v>
          </cell>
          <cell r="O1231">
            <v>1</v>
          </cell>
          <cell r="P1231">
            <v>0</v>
          </cell>
          <cell r="Q1231">
            <v>0</v>
          </cell>
          <cell r="R1231">
            <v>0</v>
          </cell>
          <cell r="S1231">
            <v>0</v>
          </cell>
          <cell r="T1231">
            <v>2</v>
          </cell>
          <cell r="U1231">
            <v>0</v>
          </cell>
          <cell r="V1231">
            <v>0</v>
          </cell>
          <cell r="W1231">
            <v>0</v>
          </cell>
          <cell r="X1231">
            <v>0</v>
          </cell>
          <cell r="Y1231">
            <v>0</v>
          </cell>
          <cell r="Z1231">
            <v>1</v>
          </cell>
          <cell r="AA1231">
            <v>2</v>
          </cell>
          <cell r="AB1231">
            <v>0.1111111111111111</v>
          </cell>
          <cell r="AC1231">
            <v>0</v>
          </cell>
          <cell r="AD1231">
            <v>4</v>
          </cell>
        </row>
        <row r="1232">
          <cell r="A1232">
            <v>24</v>
          </cell>
          <cell r="B1232">
            <v>1</v>
          </cell>
          <cell r="C1232">
            <v>3</v>
          </cell>
          <cell r="D1232">
            <v>3907</v>
          </cell>
          <cell r="E1232">
            <v>1</v>
          </cell>
          <cell r="F1232">
            <v>13</v>
          </cell>
          <cell r="G1232">
            <v>3</v>
          </cell>
          <cell r="H1232">
            <v>3</v>
          </cell>
          <cell r="I1232">
            <v>6</v>
          </cell>
          <cell r="J1232">
            <v>2</v>
          </cell>
          <cell r="K1232">
            <v>6</v>
          </cell>
          <cell r="L1232">
            <v>2</v>
          </cell>
          <cell r="M1232">
            <v>0</v>
          </cell>
          <cell r="N1232">
            <v>0</v>
          </cell>
          <cell r="O1232">
            <v>0</v>
          </cell>
          <cell r="P1232">
            <v>0</v>
          </cell>
          <cell r="Q1232">
            <v>1</v>
          </cell>
          <cell r="R1232">
            <v>0</v>
          </cell>
          <cell r="S1232">
            <v>0</v>
          </cell>
          <cell r="T1232">
            <v>0</v>
          </cell>
          <cell r="U1232">
            <v>0</v>
          </cell>
          <cell r="V1232">
            <v>1</v>
          </cell>
          <cell r="W1232">
            <v>0</v>
          </cell>
          <cell r="X1232">
            <v>0</v>
          </cell>
          <cell r="Y1232">
            <v>0</v>
          </cell>
          <cell r="Z1232">
            <v>0</v>
          </cell>
          <cell r="AA1232">
            <v>2</v>
          </cell>
          <cell r="AB1232">
            <v>0.16666666666666666</v>
          </cell>
          <cell r="AC1232">
            <v>0.33333333333333331</v>
          </cell>
          <cell r="AD1232">
            <v>4</v>
          </cell>
        </row>
        <row r="1233">
          <cell r="A1233">
            <v>46</v>
          </cell>
          <cell r="B1233">
            <v>4</v>
          </cell>
          <cell r="C1233">
            <v>3</v>
          </cell>
          <cell r="D1233">
            <v>5562</v>
          </cell>
          <cell r="E1233">
            <v>6</v>
          </cell>
          <cell r="F1233">
            <v>14</v>
          </cell>
          <cell r="G1233">
            <v>3</v>
          </cell>
          <cell r="H1233">
            <v>0</v>
          </cell>
          <cell r="I1233">
            <v>19</v>
          </cell>
          <cell r="J1233">
            <v>3</v>
          </cell>
          <cell r="K1233">
            <v>10</v>
          </cell>
          <cell r="L1233">
            <v>7</v>
          </cell>
          <cell r="M1233">
            <v>0</v>
          </cell>
          <cell r="N1233">
            <v>0</v>
          </cell>
          <cell r="O1233">
            <v>1</v>
          </cell>
          <cell r="P1233">
            <v>0</v>
          </cell>
          <cell r="Q1233">
            <v>0</v>
          </cell>
          <cell r="R1233">
            <v>0</v>
          </cell>
          <cell r="S1233">
            <v>0</v>
          </cell>
          <cell r="T1233">
            <v>4</v>
          </cell>
          <cell r="U1233">
            <v>0</v>
          </cell>
          <cell r="V1233">
            <v>0</v>
          </cell>
          <cell r="W1233">
            <v>0</v>
          </cell>
          <cell r="X1233">
            <v>0</v>
          </cell>
          <cell r="Y1233">
            <v>0</v>
          </cell>
          <cell r="Z1233">
            <v>0</v>
          </cell>
          <cell r="AA1233">
            <v>6</v>
          </cell>
          <cell r="AB1233">
            <v>0.31578947368421051</v>
          </cell>
          <cell r="AC1233">
            <v>0.7</v>
          </cell>
          <cell r="AD1233">
            <v>24</v>
          </cell>
        </row>
        <row r="1234">
          <cell r="A1234">
            <v>35</v>
          </cell>
          <cell r="B1234">
            <v>4</v>
          </cell>
          <cell r="C1234">
            <v>3</v>
          </cell>
          <cell r="D1234">
            <v>6883</v>
          </cell>
          <cell r="E1234">
            <v>2</v>
          </cell>
          <cell r="F1234">
            <v>16</v>
          </cell>
          <cell r="G1234">
            <v>3</v>
          </cell>
          <cell r="H1234">
            <v>1</v>
          </cell>
          <cell r="I1234">
            <v>17</v>
          </cell>
          <cell r="J1234">
            <v>3</v>
          </cell>
          <cell r="K1234">
            <v>7</v>
          </cell>
          <cell r="L1234">
            <v>7</v>
          </cell>
          <cell r="M1234">
            <v>0</v>
          </cell>
          <cell r="N1234">
            <v>0</v>
          </cell>
          <cell r="O1234">
            <v>1</v>
          </cell>
          <cell r="P1234">
            <v>0</v>
          </cell>
          <cell r="Q1234">
            <v>0</v>
          </cell>
          <cell r="R1234">
            <v>0</v>
          </cell>
          <cell r="S1234">
            <v>0</v>
          </cell>
          <cell r="T1234">
            <v>4</v>
          </cell>
          <cell r="U1234">
            <v>0</v>
          </cell>
          <cell r="V1234">
            <v>0</v>
          </cell>
          <cell r="W1234">
            <v>0</v>
          </cell>
          <cell r="X1234">
            <v>0</v>
          </cell>
          <cell r="Y1234">
            <v>0</v>
          </cell>
          <cell r="Z1234">
            <v>0</v>
          </cell>
          <cell r="AA1234">
            <v>12</v>
          </cell>
          <cell r="AB1234">
            <v>0.11764705882352941</v>
          </cell>
          <cell r="AC1234">
            <v>1</v>
          </cell>
          <cell r="AD1234">
            <v>24</v>
          </cell>
        </row>
        <row r="1235">
          <cell r="A1235">
            <v>30</v>
          </cell>
          <cell r="B1235">
            <v>1</v>
          </cell>
          <cell r="C1235">
            <v>3</v>
          </cell>
          <cell r="D1235">
            <v>2862</v>
          </cell>
          <cell r="E1235">
            <v>1</v>
          </cell>
          <cell r="F1235">
            <v>12</v>
          </cell>
          <cell r="G1235">
            <v>3</v>
          </cell>
          <cell r="H1235">
            <v>1</v>
          </cell>
          <cell r="I1235">
            <v>10</v>
          </cell>
          <cell r="J1235">
            <v>2</v>
          </cell>
          <cell r="K1235">
            <v>10</v>
          </cell>
          <cell r="L1235">
            <v>0</v>
          </cell>
          <cell r="M1235">
            <v>0</v>
          </cell>
          <cell r="N1235">
            <v>0</v>
          </cell>
          <cell r="O1235">
            <v>1</v>
          </cell>
          <cell r="P1235">
            <v>0</v>
          </cell>
          <cell r="Q1235">
            <v>0</v>
          </cell>
          <cell r="R1235">
            <v>0</v>
          </cell>
          <cell r="S1235">
            <v>0</v>
          </cell>
          <cell r="T1235">
            <v>1</v>
          </cell>
          <cell r="U1235">
            <v>0</v>
          </cell>
          <cell r="V1235">
            <v>0</v>
          </cell>
          <cell r="W1235">
            <v>0</v>
          </cell>
          <cell r="X1235">
            <v>0</v>
          </cell>
          <cell r="Y1235">
            <v>0</v>
          </cell>
          <cell r="Z1235">
            <v>0</v>
          </cell>
          <cell r="AA1235">
            <v>8</v>
          </cell>
          <cell r="AB1235">
            <v>0.1</v>
          </cell>
          <cell r="AC1235">
            <v>0</v>
          </cell>
          <cell r="AD1235">
            <v>16</v>
          </cell>
        </row>
        <row r="1236">
          <cell r="A1236">
            <v>47</v>
          </cell>
          <cell r="B1236">
            <v>4</v>
          </cell>
          <cell r="C1236">
            <v>3</v>
          </cell>
          <cell r="D1236">
            <v>4978</v>
          </cell>
          <cell r="E1236">
            <v>7</v>
          </cell>
          <cell r="F1236">
            <v>11</v>
          </cell>
          <cell r="G1236">
            <v>3</v>
          </cell>
          <cell r="H1236">
            <v>1</v>
          </cell>
          <cell r="I1236">
            <v>4</v>
          </cell>
          <cell r="J1236">
            <v>3</v>
          </cell>
          <cell r="K1236">
            <v>1</v>
          </cell>
          <cell r="L1236">
            <v>0</v>
          </cell>
          <cell r="M1236">
            <v>0</v>
          </cell>
          <cell r="N1236">
            <v>0</v>
          </cell>
          <cell r="O1236">
            <v>0</v>
          </cell>
          <cell r="P1236">
            <v>1</v>
          </cell>
          <cell r="Q1236">
            <v>0</v>
          </cell>
          <cell r="R1236">
            <v>0</v>
          </cell>
          <cell r="S1236">
            <v>0</v>
          </cell>
          <cell r="T1236">
            <v>0</v>
          </cell>
          <cell r="U1236">
            <v>4</v>
          </cell>
          <cell r="V1236">
            <v>0</v>
          </cell>
          <cell r="W1236">
            <v>0</v>
          </cell>
          <cell r="X1236">
            <v>0</v>
          </cell>
          <cell r="Y1236">
            <v>0</v>
          </cell>
          <cell r="Z1236">
            <v>0</v>
          </cell>
          <cell r="AA1236">
            <v>6</v>
          </cell>
          <cell r="AB1236">
            <v>1.75</v>
          </cell>
          <cell r="AC1236">
            <v>0</v>
          </cell>
          <cell r="AD1236">
            <v>24</v>
          </cell>
        </row>
        <row r="1237">
          <cell r="A1237">
            <v>46</v>
          </cell>
          <cell r="B1237">
            <v>3</v>
          </cell>
          <cell r="C1237">
            <v>3</v>
          </cell>
          <cell r="D1237">
            <v>10368</v>
          </cell>
          <cell r="E1237">
            <v>4</v>
          </cell>
          <cell r="F1237">
            <v>12</v>
          </cell>
          <cell r="G1237">
            <v>3</v>
          </cell>
          <cell r="H1237">
            <v>1</v>
          </cell>
          <cell r="I1237">
            <v>13</v>
          </cell>
          <cell r="J1237">
            <v>5</v>
          </cell>
          <cell r="K1237">
            <v>10</v>
          </cell>
          <cell r="L1237">
            <v>6</v>
          </cell>
          <cell r="M1237">
            <v>1</v>
          </cell>
          <cell r="N1237">
            <v>0</v>
          </cell>
          <cell r="O1237">
            <v>1</v>
          </cell>
          <cell r="P1237">
            <v>0</v>
          </cell>
          <cell r="Q1237">
            <v>0</v>
          </cell>
          <cell r="R1237">
            <v>0</v>
          </cell>
          <cell r="S1237">
            <v>0</v>
          </cell>
          <cell r="T1237">
            <v>3</v>
          </cell>
          <cell r="U1237">
            <v>0</v>
          </cell>
          <cell r="V1237">
            <v>0</v>
          </cell>
          <cell r="W1237">
            <v>0</v>
          </cell>
          <cell r="X1237">
            <v>0</v>
          </cell>
          <cell r="Y1237">
            <v>0</v>
          </cell>
          <cell r="Z1237">
            <v>0</v>
          </cell>
          <cell r="AA1237">
            <v>12</v>
          </cell>
          <cell r="AB1237">
            <v>0.30769230769230771</v>
          </cell>
          <cell r="AC1237">
            <v>0.6</v>
          </cell>
          <cell r="AD1237">
            <v>24</v>
          </cell>
        </row>
        <row r="1238">
          <cell r="A1238">
            <v>36</v>
          </cell>
          <cell r="B1238">
            <v>5</v>
          </cell>
          <cell r="C1238">
            <v>2</v>
          </cell>
          <cell r="D1238">
            <v>6134</v>
          </cell>
          <cell r="E1238">
            <v>5</v>
          </cell>
          <cell r="F1238">
            <v>13</v>
          </cell>
          <cell r="G1238">
            <v>3</v>
          </cell>
          <cell r="H1238">
            <v>3</v>
          </cell>
          <cell r="I1238">
            <v>16</v>
          </cell>
          <cell r="J1238">
            <v>3</v>
          </cell>
          <cell r="K1238">
            <v>2</v>
          </cell>
          <cell r="L1238">
            <v>2</v>
          </cell>
          <cell r="M1238">
            <v>1</v>
          </cell>
          <cell r="N1238">
            <v>0</v>
          </cell>
          <cell r="O1238">
            <v>0</v>
          </cell>
          <cell r="P1238">
            <v>1</v>
          </cell>
          <cell r="Q1238">
            <v>0</v>
          </cell>
          <cell r="R1238">
            <v>0</v>
          </cell>
          <cell r="S1238">
            <v>0</v>
          </cell>
          <cell r="T1238">
            <v>0</v>
          </cell>
          <cell r="U1238">
            <v>5</v>
          </cell>
          <cell r="V1238">
            <v>0</v>
          </cell>
          <cell r="W1238">
            <v>0</v>
          </cell>
          <cell r="X1238">
            <v>0</v>
          </cell>
          <cell r="Y1238">
            <v>0</v>
          </cell>
          <cell r="Z1238">
            <v>0</v>
          </cell>
          <cell r="AA1238">
            <v>2</v>
          </cell>
          <cell r="AB1238">
            <v>0.3125</v>
          </cell>
          <cell r="AC1238">
            <v>1</v>
          </cell>
          <cell r="AD1238">
            <v>4</v>
          </cell>
        </row>
        <row r="1239">
          <cell r="A1239">
            <v>32</v>
          </cell>
          <cell r="B1239">
            <v>2</v>
          </cell>
          <cell r="C1239">
            <v>1</v>
          </cell>
          <cell r="D1239">
            <v>6735</v>
          </cell>
          <cell r="E1239">
            <v>6</v>
          </cell>
          <cell r="F1239">
            <v>15</v>
          </cell>
          <cell r="G1239">
            <v>3</v>
          </cell>
          <cell r="H1239">
            <v>0</v>
          </cell>
          <cell r="I1239">
            <v>10</v>
          </cell>
          <cell r="J1239">
            <v>2</v>
          </cell>
          <cell r="K1239">
            <v>0</v>
          </cell>
          <cell r="L1239">
            <v>0</v>
          </cell>
          <cell r="M1239">
            <v>0</v>
          </cell>
          <cell r="N1239">
            <v>0</v>
          </cell>
          <cell r="O1239">
            <v>1</v>
          </cell>
          <cell r="P1239">
            <v>0</v>
          </cell>
          <cell r="Q1239">
            <v>0</v>
          </cell>
          <cell r="R1239">
            <v>0</v>
          </cell>
          <cell r="S1239">
            <v>0</v>
          </cell>
          <cell r="T1239">
            <v>2</v>
          </cell>
          <cell r="U1239">
            <v>0</v>
          </cell>
          <cell r="V1239">
            <v>0</v>
          </cell>
          <cell r="W1239">
            <v>0</v>
          </cell>
          <cell r="X1239">
            <v>0</v>
          </cell>
          <cell r="Y1239">
            <v>0</v>
          </cell>
          <cell r="Z1239">
            <v>0</v>
          </cell>
          <cell r="AA1239">
            <v>2</v>
          </cell>
          <cell r="AB1239">
            <v>0.6</v>
          </cell>
          <cell r="AC1239">
            <v>0</v>
          </cell>
          <cell r="AD1239">
            <v>4</v>
          </cell>
        </row>
        <row r="1240">
          <cell r="A1240">
            <v>23</v>
          </cell>
          <cell r="B1240">
            <v>1</v>
          </cell>
          <cell r="C1240">
            <v>3</v>
          </cell>
          <cell r="D1240">
            <v>3295</v>
          </cell>
          <cell r="E1240">
            <v>1</v>
          </cell>
          <cell r="F1240">
            <v>13</v>
          </cell>
          <cell r="G1240">
            <v>3</v>
          </cell>
          <cell r="H1240">
            <v>0</v>
          </cell>
          <cell r="I1240">
            <v>3</v>
          </cell>
          <cell r="J1240">
            <v>3</v>
          </cell>
          <cell r="K1240">
            <v>3</v>
          </cell>
          <cell r="L1240">
            <v>2</v>
          </cell>
          <cell r="M1240">
            <v>0</v>
          </cell>
          <cell r="N1240">
            <v>1</v>
          </cell>
          <cell r="O1240">
            <v>0</v>
          </cell>
          <cell r="P1240">
            <v>0</v>
          </cell>
          <cell r="Q1240">
            <v>1</v>
          </cell>
          <cell r="R1240">
            <v>0</v>
          </cell>
          <cell r="S1240">
            <v>0</v>
          </cell>
          <cell r="T1240">
            <v>0</v>
          </cell>
          <cell r="U1240">
            <v>0</v>
          </cell>
          <cell r="V1240">
            <v>1</v>
          </cell>
          <cell r="W1240">
            <v>0</v>
          </cell>
          <cell r="X1240">
            <v>0</v>
          </cell>
          <cell r="Y1240">
            <v>0</v>
          </cell>
          <cell r="Z1240">
            <v>0</v>
          </cell>
          <cell r="AA1240">
            <v>6</v>
          </cell>
          <cell r="AB1240">
            <v>0.33333333333333331</v>
          </cell>
          <cell r="AC1240">
            <v>0.66666666666666663</v>
          </cell>
          <cell r="AD1240">
            <v>18</v>
          </cell>
        </row>
        <row r="1241">
          <cell r="A1241">
            <v>31</v>
          </cell>
          <cell r="B1241">
            <v>1</v>
          </cell>
          <cell r="C1241">
            <v>3</v>
          </cell>
          <cell r="D1241">
            <v>5238</v>
          </cell>
          <cell r="E1241">
            <v>2</v>
          </cell>
          <cell r="F1241">
            <v>20</v>
          </cell>
          <cell r="G1241">
            <v>4</v>
          </cell>
          <cell r="H1241">
            <v>0</v>
          </cell>
          <cell r="I1241">
            <v>9</v>
          </cell>
          <cell r="J1241">
            <v>3</v>
          </cell>
          <cell r="K1241">
            <v>5</v>
          </cell>
          <cell r="L1241">
            <v>4</v>
          </cell>
          <cell r="M1241">
            <v>0</v>
          </cell>
          <cell r="N1241">
            <v>1</v>
          </cell>
          <cell r="O1241">
            <v>0</v>
          </cell>
          <cell r="P1241">
            <v>0</v>
          </cell>
          <cell r="Q1241">
            <v>0</v>
          </cell>
          <cell r="R1241">
            <v>0</v>
          </cell>
          <cell r="S1241">
            <v>1</v>
          </cell>
          <cell r="T1241">
            <v>0</v>
          </cell>
          <cell r="U1241">
            <v>0</v>
          </cell>
          <cell r="V1241">
            <v>0</v>
          </cell>
          <cell r="W1241">
            <v>0</v>
          </cell>
          <cell r="X1241">
            <v>1</v>
          </cell>
          <cell r="Y1241">
            <v>0</v>
          </cell>
          <cell r="Z1241">
            <v>0</v>
          </cell>
          <cell r="AA1241">
            <v>16</v>
          </cell>
          <cell r="AB1241">
            <v>0.22222222222222221</v>
          </cell>
          <cell r="AC1241">
            <v>0.8</v>
          </cell>
          <cell r="AD1241">
            <v>64</v>
          </cell>
        </row>
        <row r="1242">
          <cell r="A1242">
            <v>39</v>
          </cell>
          <cell r="B1242">
            <v>3</v>
          </cell>
          <cell r="C1242">
            <v>3</v>
          </cell>
          <cell r="D1242">
            <v>6472</v>
          </cell>
          <cell r="E1242">
            <v>1</v>
          </cell>
          <cell r="F1242">
            <v>15</v>
          </cell>
          <cell r="G1242">
            <v>3</v>
          </cell>
          <cell r="H1242">
            <v>1</v>
          </cell>
          <cell r="I1242">
            <v>9</v>
          </cell>
          <cell r="J1242">
            <v>2</v>
          </cell>
          <cell r="K1242">
            <v>9</v>
          </cell>
          <cell r="L1242">
            <v>8</v>
          </cell>
          <cell r="M1242">
            <v>1</v>
          </cell>
          <cell r="N1242">
            <v>0</v>
          </cell>
          <cell r="O1242">
            <v>1</v>
          </cell>
          <cell r="P1242">
            <v>0</v>
          </cell>
          <cell r="Q1242">
            <v>0</v>
          </cell>
          <cell r="R1242">
            <v>0</v>
          </cell>
          <cell r="S1242">
            <v>0</v>
          </cell>
          <cell r="T1242">
            <v>3</v>
          </cell>
          <cell r="U1242">
            <v>0</v>
          </cell>
          <cell r="V1242">
            <v>0</v>
          </cell>
          <cell r="W1242">
            <v>0</v>
          </cell>
          <cell r="X1242">
            <v>0</v>
          </cell>
          <cell r="Y1242">
            <v>0</v>
          </cell>
          <cell r="Z1242">
            <v>1</v>
          </cell>
          <cell r="AA1242">
            <v>16</v>
          </cell>
          <cell r="AB1242">
            <v>0.1111111111111111</v>
          </cell>
          <cell r="AC1242">
            <v>0.88888888888888884</v>
          </cell>
          <cell r="AD1242">
            <v>64</v>
          </cell>
        </row>
        <row r="1243">
          <cell r="A1243">
            <v>32</v>
          </cell>
          <cell r="B1243">
            <v>3</v>
          </cell>
          <cell r="C1243">
            <v>1</v>
          </cell>
          <cell r="D1243">
            <v>9610</v>
          </cell>
          <cell r="E1243">
            <v>3</v>
          </cell>
          <cell r="F1243">
            <v>13</v>
          </cell>
          <cell r="G1243">
            <v>3</v>
          </cell>
          <cell r="H1243">
            <v>1</v>
          </cell>
          <cell r="I1243">
            <v>10</v>
          </cell>
          <cell r="J1243">
            <v>2</v>
          </cell>
          <cell r="K1243">
            <v>4</v>
          </cell>
          <cell r="L1243">
            <v>3</v>
          </cell>
          <cell r="M1243">
            <v>0</v>
          </cell>
          <cell r="N1243">
            <v>0</v>
          </cell>
          <cell r="O1243">
            <v>1</v>
          </cell>
          <cell r="P1243">
            <v>0</v>
          </cell>
          <cell r="Q1243">
            <v>0</v>
          </cell>
          <cell r="R1243">
            <v>0</v>
          </cell>
          <cell r="S1243">
            <v>0</v>
          </cell>
          <cell r="T1243">
            <v>3</v>
          </cell>
          <cell r="U1243">
            <v>0</v>
          </cell>
          <cell r="V1243">
            <v>0</v>
          </cell>
          <cell r="W1243">
            <v>0</v>
          </cell>
          <cell r="X1243">
            <v>0</v>
          </cell>
          <cell r="Y1243">
            <v>0</v>
          </cell>
          <cell r="Z1243">
            <v>0</v>
          </cell>
          <cell r="AA1243">
            <v>12</v>
          </cell>
          <cell r="AB1243">
            <v>0.3</v>
          </cell>
          <cell r="AC1243">
            <v>0.75</v>
          </cell>
          <cell r="AD1243">
            <v>36</v>
          </cell>
        </row>
        <row r="1244">
          <cell r="A1244">
            <v>40</v>
          </cell>
          <cell r="B1244">
            <v>4</v>
          </cell>
          <cell r="C1244">
            <v>3</v>
          </cell>
          <cell r="D1244">
            <v>19833</v>
          </cell>
          <cell r="E1244">
            <v>1</v>
          </cell>
          <cell r="F1244">
            <v>14</v>
          </cell>
          <cell r="G1244">
            <v>3</v>
          </cell>
          <cell r="H1244">
            <v>0</v>
          </cell>
          <cell r="I1244">
            <v>21</v>
          </cell>
          <cell r="J1244">
            <v>3</v>
          </cell>
          <cell r="K1244">
            <v>21</v>
          </cell>
          <cell r="L1244">
            <v>8</v>
          </cell>
          <cell r="M1244">
            <v>0</v>
          </cell>
          <cell r="N1244">
            <v>0</v>
          </cell>
          <cell r="O1244">
            <v>0</v>
          </cell>
          <cell r="P1244">
            <v>0</v>
          </cell>
          <cell r="Q1244">
            <v>1</v>
          </cell>
          <cell r="R1244">
            <v>0</v>
          </cell>
          <cell r="S1244">
            <v>0</v>
          </cell>
          <cell r="T1244">
            <v>0</v>
          </cell>
          <cell r="U1244">
            <v>0</v>
          </cell>
          <cell r="V1244">
            <v>4</v>
          </cell>
          <cell r="W1244">
            <v>0</v>
          </cell>
          <cell r="X1244">
            <v>0</v>
          </cell>
          <cell r="Y1244">
            <v>0</v>
          </cell>
          <cell r="Z1244">
            <v>0</v>
          </cell>
          <cell r="AA1244">
            <v>4</v>
          </cell>
          <cell r="AB1244">
            <v>4.7619047619047616E-2</v>
          </cell>
          <cell r="AC1244">
            <v>0.38095238095238093</v>
          </cell>
          <cell r="AD1244">
            <v>8</v>
          </cell>
        </row>
        <row r="1245">
          <cell r="A1245">
            <v>45</v>
          </cell>
          <cell r="B1245">
            <v>3</v>
          </cell>
          <cell r="C1245">
            <v>1</v>
          </cell>
          <cell r="D1245">
            <v>9756</v>
          </cell>
          <cell r="E1245">
            <v>4</v>
          </cell>
          <cell r="F1245">
            <v>21</v>
          </cell>
          <cell r="G1245">
            <v>4</v>
          </cell>
          <cell r="H1245">
            <v>2</v>
          </cell>
          <cell r="I1245">
            <v>9</v>
          </cell>
          <cell r="J1245">
            <v>2</v>
          </cell>
          <cell r="K1245">
            <v>5</v>
          </cell>
          <cell r="L1245">
            <v>0</v>
          </cell>
          <cell r="M1245">
            <v>0</v>
          </cell>
          <cell r="N1245">
            <v>1</v>
          </cell>
          <cell r="O1245">
            <v>1</v>
          </cell>
          <cell r="P1245">
            <v>0</v>
          </cell>
          <cell r="Q1245">
            <v>0</v>
          </cell>
          <cell r="R1245">
            <v>0</v>
          </cell>
          <cell r="S1245">
            <v>0</v>
          </cell>
          <cell r="T1245">
            <v>3</v>
          </cell>
          <cell r="U1245">
            <v>0</v>
          </cell>
          <cell r="V1245">
            <v>0</v>
          </cell>
          <cell r="W1245">
            <v>0</v>
          </cell>
          <cell r="X1245">
            <v>0</v>
          </cell>
          <cell r="Y1245">
            <v>0</v>
          </cell>
          <cell r="Z1245">
            <v>0</v>
          </cell>
          <cell r="AA1245">
            <v>9</v>
          </cell>
          <cell r="AB1245">
            <v>0.44444444444444442</v>
          </cell>
          <cell r="AC1245">
            <v>0</v>
          </cell>
          <cell r="AD1245">
            <v>27</v>
          </cell>
        </row>
        <row r="1246">
          <cell r="A1246">
            <v>30</v>
          </cell>
          <cell r="B1246">
            <v>4</v>
          </cell>
          <cell r="C1246">
            <v>2</v>
          </cell>
          <cell r="D1246">
            <v>4968</v>
          </cell>
          <cell r="E1246">
            <v>0</v>
          </cell>
          <cell r="F1246">
            <v>16</v>
          </cell>
          <cell r="G1246">
            <v>3</v>
          </cell>
          <cell r="H1246">
            <v>0</v>
          </cell>
          <cell r="I1246">
            <v>10</v>
          </cell>
          <cell r="J1246">
            <v>2</v>
          </cell>
          <cell r="K1246">
            <v>9</v>
          </cell>
          <cell r="L1246">
            <v>7</v>
          </cell>
          <cell r="M1246">
            <v>0</v>
          </cell>
          <cell r="N1246">
            <v>1</v>
          </cell>
          <cell r="O1246">
            <v>0</v>
          </cell>
          <cell r="P1246">
            <v>0</v>
          </cell>
          <cell r="Q1246">
            <v>0</v>
          </cell>
          <cell r="R1246">
            <v>0</v>
          </cell>
          <cell r="S1246">
            <v>1</v>
          </cell>
          <cell r="T1246">
            <v>0</v>
          </cell>
          <cell r="U1246">
            <v>0</v>
          </cell>
          <cell r="V1246">
            <v>0</v>
          </cell>
          <cell r="W1246">
            <v>0</v>
          </cell>
          <cell r="X1246">
            <v>4</v>
          </cell>
          <cell r="Y1246">
            <v>0</v>
          </cell>
          <cell r="Z1246">
            <v>0</v>
          </cell>
          <cell r="AA1246">
            <v>4</v>
          </cell>
          <cell r="AB1246">
            <v>0</v>
          </cell>
          <cell r="AC1246">
            <v>0.77777777777777779</v>
          </cell>
          <cell r="AD1246">
            <v>16</v>
          </cell>
        </row>
        <row r="1247">
          <cell r="A1247">
            <v>24</v>
          </cell>
          <cell r="B1247">
            <v>3</v>
          </cell>
          <cell r="C1247">
            <v>3</v>
          </cell>
          <cell r="D1247">
            <v>2145</v>
          </cell>
          <cell r="E1247">
            <v>0</v>
          </cell>
          <cell r="F1247">
            <v>14</v>
          </cell>
          <cell r="G1247">
            <v>3</v>
          </cell>
          <cell r="H1247">
            <v>1</v>
          </cell>
          <cell r="I1247">
            <v>3</v>
          </cell>
          <cell r="J1247">
            <v>2</v>
          </cell>
          <cell r="K1247">
            <v>2</v>
          </cell>
          <cell r="L1247">
            <v>2</v>
          </cell>
          <cell r="M1247">
            <v>0</v>
          </cell>
          <cell r="N1247">
            <v>0</v>
          </cell>
          <cell r="O1247">
            <v>0</v>
          </cell>
          <cell r="P1247">
            <v>0</v>
          </cell>
          <cell r="Q1247">
            <v>1</v>
          </cell>
          <cell r="R1247">
            <v>0</v>
          </cell>
          <cell r="S1247">
            <v>0</v>
          </cell>
          <cell r="T1247">
            <v>0</v>
          </cell>
          <cell r="U1247">
            <v>0</v>
          </cell>
          <cell r="V1247">
            <v>3</v>
          </cell>
          <cell r="W1247">
            <v>0</v>
          </cell>
          <cell r="X1247">
            <v>0</v>
          </cell>
          <cell r="Y1247">
            <v>1</v>
          </cell>
          <cell r="Z1247">
            <v>0</v>
          </cell>
          <cell r="AA1247">
            <v>4</v>
          </cell>
          <cell r="AB1247">
            <v>0</v>
          </cell>
          <cell r="AC1247">
            <v>1</v>
          </cell>
          <cell r="AD1247">
            <v>16</v>
          </cell>
        </row>
        <row r="1248">
          <cell r="A1248">
            <v>30</v>
          </cell>
          <cell r="B1248">
            <v>3</v>
          </cell>
          <cell r="C1248">
            <v>2</v>
          </cell>
          <cell r="D1248">
            <v>2180</v>
          </cell>
          <cell r="E1248">
            <v>6</v>
          </cell>
          <cell r="F1248">
            <v>11</v>
          </cell>
          <cell r="G1248">
            <v>3</v>
          </cell>
          <cell r="H1248">
            <v>1</v>
          </cell>
          <cell r="I1248">
            <v>6</v>
          </cell>
          <cell r="J1248">
            <v>0</v>
          </cell>
          <cell r="K1248">
            <v>4</v>
          </cell>
          <cell r="L1248">
            <v>2</v>
          </cell>
          <cell r="M1248">
            <v>0</v>
          </cell>
          <cell r="N1248">
            <v>1</v>
          </cell>
          <cell r="O1248">
            <v>0</v>
          </cell>
          <cell r="P1248">
            <v>0</v>
          </cell>
          <cell r="Q1248">
            <v>0</v>
          </cell>
          <cell r="R1248">
            <v>0</v>
          </cell>
          <cell r="S1248">
            <v>0</v>
          </cell>
          <cell r="T1248">
            <v>0</v>
          </cell>
          <cell r="U1248">
            <v>0</v>
          </cell>
          <cell r="V1248">
            <v>0</v>
          </cell>
          <cell r="W1248">
            <v>0</v>
          </cell>
          <cell r="X1248">
            <v>0</v>
          </cell>
          <cell r="Y1248">
            <v>0</v>
          </cell>
          <cell r="Z1248">
            <v>0</v>
          </cell>
          <cell r="AA1248">
            <v>12</v>
          </cell>
          <cell r="AB1248">
            <v>1</v>
          </cell>
          <cell r="AC1248">
            <v>0.5</v>
          </cell>
          <cell r="AD1248">
            <v>36</v>
          </cell>
        </row>
        <row r="1249">
          <cell r="A1249">
            <v>31</v>
          </cell>
          <cell r="B1249">
            <v>3</v>
          </cell>
          <cell r="C1249">
            <v>3</v>
          </cell>
          <cell r="D1249">
            <v>8346</v>
          </cell>
          <cell r="E1249">
            <v>1</v>
          </cell>
          <cell r="F1249">
            <v>19</v>
          </cell>
          <cell r="G1249">
            <v>3</v>
          </cell>
          <cell r="H1249">
            <v>1</v>
          </cell>
          <cell r="I1249">
            <v>6</v>
          </cell>
          <cell r="J1249">
            <v>3</v>
          </cell>
          <cell r="K1249">
            <v>5</v>
          </cell>
          <cell r="L1249">
            <v>2</v>
          </cell>
          <cell r="M1249">
            <v>0</v>
          </cell>
          <cell r="N1249">
            <v>0</v>
          </cell>
          <cell r="O1249">
            <v>0</v>
          </cell>
          <cell r="P1249">
            <v>0</v>
          </cell>
          <cell r="Q1249">
            <v>0</v>
          </cell>
          <cell r="R1249">
            <v>0</v>
          </cell>
          <cell r="S1249">
            <v>1</v>
          </cell>
          <cell r="T1249">
            <v>0</v>
          </cell>
          <cell r="U1249">
            <v>0</v>
          </cell>
          <cell r="V1249">
            <v>0</v>
          </cell>
          <cell r="W1249">
            <v>0</v>
          </cell>
          <cell r="X1249">
            <v>3</v>
          </cell>
          <cell r="Y1249">
            <v>0</v>
          </cell>
          <cell r="Z1249">
            <v>0</v>
          </cell>
          <cell r="AA1249">
            <v>3</v>
          </cell>
          <cell r="AB1249">
            <v>0.16666666666666666</v>
          </cell>
          <cell r="AC1249">
            <v>0.4</v>
          </cell>
          <cell r="AD1249">
            <v>9</v>
          </cell>
        </row>
        <row r="1250">
          <cell r="A1250">
            <v>27</v>
          </cell>
          <cell r="B1250">
            <v>3</v>
          </cell>
          <cell r="C1250">
            <v>3</v>
          </cell>
          <cell r="D1250">
            <v>3445</v>
          </cell>
          <cell r="E1250">
            <v>1</v>
          </cell>
          <cell r="F1250">
            <v>11</v>
          </cell>
          <cell r="G1250">
            <v>3</v>
          </cell>
          <cell r="H1250">
            <v>0</v>
          </cell>
          <cell r="I1250">
            <v>6</v>
          </cell>
          <cell r="J1250">
            <v>5</v>
          </cell>
          <cell r="K1250">
            <v>6</v>
          </cell>
          <cell r="L1250">
            <v>2</v>
          </cell>
          <cell r="M1250">
            <v>0</v>
          </cell>
          <cell r="N1250">
            <v>1</v>
          </cell>
          <cell r="O1250">
            <v>0</v>
          </cell>
          <cell r="P1250">
            <v>0</v>
          </cell>
          <cell r="Q1250">
            <v>1</v>
          </cell>
          <cell r="R1250">
            <v>0</v>
          </cell>
          <cell r="S1250">
            <v>0</v>
          </cell>
          <cell r="T1250">
            <v>0</v>
          </cell>
          <cell r="U1250">
            <v>0</v>
          </cell>
          <cell r="V1250">
            <v>3</v>
          </cell>
          <cell r="W1250">
            <v>0</v>
          </cell>
          <cell r="X1250">
            <v>0</v>
          </cell>
          <cell r="Y1250">
            <v>0</v>
          </cell>
          <cell r="Z1250">
            <v>0</v>
          </cell>
          <cell r="AA1250">
            <v>12</v>
          </cell>
          <cell r="AB1250">
            <v>0.16666666666666666</v>
          </cell>
          <cell r="AC1250">
            <v>0.33333333333333331</v>
          </cell>
          <cell r="AD1250">
            <v>36</v>
          </cell>
        </row>
        <row r="1251">
          <cell r="A1251">
            <v>29</v>
          </cell>
          <cell r="B1251">
            <v>3</v>
          </cell>
          <cell r="C1251">
            <v>1</v>
          </cell>
          <cell r="D1251">
            <v>2760</v>
          </cell>
          <cell r="E1251">
            <v>1</v>
          </cell>
          <cell r="F1251">
            <v>13</v>
          </cell>
          <cell r="G1251">
            <v>3</v>
          </cell>
          <cell r="H1251">
            <v>0</v>
          </cell>
          <cell r="I1251">
            <v>2</v>
          </cell>
          <cell r="J1251">
            <v>3</v>
          </cell>
          <cell r="K1251">
            <v>2</v>
          </cell>
          <cell r="L1251">
            <v>2</v>
          </cell>
          <cell r="M1251">
            <v>0</v>
          </cell>
          <cell r="N1251">
            <v>1</v>
          </cell>
          <cell r="O1251">
            <v>0</v>
          </cell>
          <cell r="P1251">
            <v>1</v>
          </cell>
          <cell r="Q1251">
            <v>0</v>
          </cell>
          <cell r="R1251">
            <v>0</v>
          </cell>
          <cell r="S1251">
            <v>0</v>
          </cell>
          <cell r="T1251">
            <v>0</v>
          </cell>
          <cell r="U1251">
            <v>3</v>
          </cell>
          <cell r="V1251">
            <v>0</v>
          </cell>
          <cell r="W1251">
            <v>0</v>
          </cell>
          <cell r="X1251">
            <v>0</v>
          </cell>
          <cell r="Y1251">
            <v>0</v>
          </cell>
          <cell r="Z1251">
            <v>0</v>
          </cell>
          <cell r="AA1251">
            <v>4</v>
          </cell>
          <cell r="AB1251">
            <v>0.5</v>
          </cell>
          <cell r="AC1251">
            <v>1</v>
          </cell>
          <cell r="AD1251">
            <v>12</v>
          </cell>
        </row>
        <row r="1252">
          <cell r="A1252">
            <v>29</v>
          </cell>
          <cell r="B1252">
            <v>3</v>
          </cell>
          <cell r="C1252">
            <v>4</v>
          </cell>
          <cell r="D1252">
            <v>6294</v>
          </cell>
          <cell r="E1252">
            <v>8</v>
          </cell>
          <cell r="F1252">
            <v>12</v>
          </cell>
          <cell r="G1252">
            <v>3</v>
          </cell>
          <cell r="H1252">
            <v>0</v>
          </cell>
          <cell r="I1252">
            <v>10</v>
          </cell>
          <cell r="J1252">
            <v>5</v>
          </cell>
          <cell r="K1252">
            <v>3</v>
          </cell>
          <cell r="L1252">
            <v>2</v>
          </cell>
          <cell r="M1252">
            <v>1</v>
          </cell>
          <cell r="N1252">
            <v>0</v>
          </cell>
          <cell r="O1252">
            <v>1</v>
          </cell>
          <cell r="P1252">
            <v>0</v>
          </cell>
          <cell r="Q1252">
            <v>0</v>
          </cell>
          <cell r="R1252">
            <v>0</v>
          </cell>
          <cell r="S1252">
            <v>0</v>
          </cell>
          <cell r="T1252">
            <v>3</v>
          </cell>
          <cell r="U1252">
            <v>0</v>
          </cell>
          <cell r="V1252">
            <v>0</v>
          </cell>
          <cell r="W1252">
            <v>0</v>
          </cell>
          <cell r="X1252">
            <v>0</v>
          </cell>
          <cell r="Y1252">
            <v>0</v>
          </cell>
          <cell r="Z1252">
            <v>0</v>
          </cell>
          <cell r="AA1252">
            <v>12</v>
          </cell>
          <cell r="AB1252">
            <v>0.8</v>
          </cell>
          <cell r="AC1252">
            <v>0.66666666666666663</v>
          </cell>
          <cell r="AD1252">
            <v>48</v>
          </cell>
        </row>
        <row r="1253">
          <cell r="A1253">
            <v>30</v>
          </cell>
          <cell r="B1253">
            <v>2</v>
          </cell>
          <cell r="C1253">
            <v>2</v>
          </cell>
          <cell r="D1253">
            <v>7140</v>
          </cell>
          <cell r="E1253">
            <v>2</v>
          </cell>
          <cell r="F1253">
            <v>11</v>
          </cell>
          <cell r="G1253">
            <v>3</v>
          </cell>
          <cell r="H1253">
            <v>1</v>
          </cell>
          <cell r="I1253">
            <v>12</v>
          </cell>
          <cell r="J1253">
            <v>2</v>
          </cell>
          <cell r="K1253">
            <v>7</v>
          </cell>
          <cell r="L1253">
            <v>7</v>
          </cell>
          <cell r="M1253">
            <v>0</v>
          </cell>
          <cell r="N1253">
            <v>0</v>
          </cell>
          <cell r="O1253">
            <v>0</v>
          </cell>
          <cell r="P1253">
            <v>1</v>
          </cell>
          <cell r="Q1253">
            <v>0</v>
          </cell>
          <cell r="R1253">
            <v>0</v>
          </cell>
          <cell r="S1253">
            <v>0</v>
          </cell>
          <cell r="T1253">
            <v>0</v>
          </cell>
          <cell r="U1253">
            <v>2</v>
          </cell>
          <cell r="V1253">
            <v>0</v>
          </cell>
          <cell r="W1253">
            <v>0</v>
          </cell>
          <cell r="X1253">
            <v>0</v>
          </cell>
          <cell r="Y1253">
            <v>0</v>
          </cell>
          <cell r="Z1253">
            <v>0</v>
          </cell>
          <cell r="AA1253">
            <v>3</v>
          </cell>
          <cell r="AB1253">
            <v>0.16666666666666666</v>
          </cell>
          <cell r="AC1253">
            <v>1</v>
          </cell>
          <cell r="AD1253">
            <v>3</v>
          </cell>
        </row>
        <row r="1254">
          <cell r="A1254">
            <v>34</v>
          </cell>
          <cell r="B1254">
            <v>4</v>
          </cell>
          <cell r="C1254">
            <v>4</v>
          </cell>
          <cell r="D1254">
            <v>2932</v>
          </cell>
          <cell r="E1254">
            <v>0</v>
          </cell>
          <cell r="F1254">
            <v>14</v>
          </cell>
          <cell r="G1254">
            <v>3</v>
          </cell>
          <cell r="H1254">
            <v>3</v>
          </cell>
          <cell r="I1254">
            <v>6</v>
          </cell>
          <cell r="J1254">
            <v>3</v>
          </cell>
          <cell r="K1254">
            <v>5</v>
          </cell>
          <cell r="L1254">
            <v>0</v>
          </cell>
          <cell r="M1254">
            <v>1</v>
          </cell>
          <cell r="N1254">
            <v>0</v>
          </cell>
          <cell r="O1254">
            <v>0</v>
          </cell>
          <cell r="P1254">
            <v>0</v>
          </cell>
          <cell r="Q1254">
            <v>1</v>
          </cell>
          <cell r="R1254">
            <v>0</v>
          </cell>
          <cell r="S1254">
            <v>0</v>
          </cell>
          <cell r="T1254">
            <v>0</v>
          </cell>
          <cell r="U1254">
            <v>0</v>
          </cell>
          <cell r="V1254">
            <v>4</v>
          </cell>
          <cell r="W1254">
            <v>0</v>
          </cell>
          <cell r="X1254">
            <v>0</v>
          </cell>
          <cell r="Y1254">
            <v>0</v>
          </cell>
          <cell r="Z1254">
            <v>1</v>
          </cell>
          <cell r="AA1254">
            <v>16</v>
          </cell>
          <cell r="AB1254">
            <v>0</v>
          </cell>
          <cell r="AC1254">
            <v>0</v>
          </cell>
          <cell r="AD1254">
            <v>16</v>
          </cell>
        </row>
        <row r="1255">
          <cell r="A1255">
            <v>33</v>
          </cell>
          <cell r="B1255">
            <v>3</v>
          </cell>
          <cell r="C1255">
            <v>3</v>
          </cell>
          <cell r="D1255">
            <v>5147</v>
          </cell>
          <cell r="E1255">
            <v>8</v>
          </cell>
          <cell r="F1255">
            <v>15</v>
          </cell>
          <cell r="G1255">
            <v>3</v>
          </cell>
          <cell r="H1255">
            <v>0</v>
          </cell>
          <cell r="I1255">
            <v>13</v>
          </cell>
          <cell r="J1255">
            <v>2</v>
          </cell>
          <cell r="K1255">
            <v>11</v>
          </cell>
          <cell r="L1255">
            <v>7</v>
          </cell>
          <cell r="M1255">
            <v>0</v>
          </cell>
          <cell r="N1255">
            <v>1</v>
          </cell>
          <cell r="O1255">
            <v>0</v>
          </cell>
          <cell r="P1255">
            <v>1</v>
          </cell>
          <cell r="Q1255">
            <v>0</v>
          </cell>
          <cell r="R1255">
            <v>0</v>
          </cell>
          <cell r="S1255">
            <v>0</v>
          </cell>
          <cell r="T1255">
            <v>0</v>
          </cell>
          <cell r="U1255">
            <v>3</v>
          </cell>
          <cell r="V1255">
            <v>0</v>
          </cell>
          <cell r="W1255">
            <v>0</v>
          </cell>
          <cell r="X1255">
            <v>0</v>
          </cell>
          <cell r="Y1255">
            <v>0</v>
          </cell>
          <cell r="Z1255">
            <v>0</v>
          </cell>
          <cell r="AA1255">
            <v>8</v>
          </cell>
          <cell r="AB1255">
            <v>0.61538461538461542</v>
          </cell>
          <cell r="AC1255">
            <v>0.63636363636363635</v>
          </cell>
          <cell r="AD1255">
            <v>32</v>
          </cell>
        </row>
        <row r="1256">
          <cell r="A1256">
            <v>49</v>
          </cell>
          <cell r="B1256">
            <v>4</v>
          </cell>
          <cell r="C1256">
            <v>3</v>
          </cell>
          <cell r="D1256">
            <v>4507</v>
          </cell>
          <cell r="E1256">
            <v>3</v>
          </cell>
          <cell r="F1256">
            <v>12</v>
          </cell>
          <cell r="G1256">
            <v>3</v>
          </cell>
          <cell r="H1256">
            <v>0</v>
          </cell>
          <cell r="I1256">
            <v>8</v>
          </cell>
          <cell r="J1256">
            <v>1</v>
          </cell>
          <cell r="K1256">
            <v>5</v>
          </cell>
          <cell r="L1256">
            <v>1</v>
          </cell>
          <cell r="M1256">
            <v>0</v>
          </cell>
          <cell r="N1256">
            <v>1</v>
          </cell>
          <cell r="O1256">
            <v>0</v>
          </cell>
          <cell r="P1256">
            <v>1</v>
          </cell>
          <cell r="Q1256">
            <v>0</v>
          </cell>
          <cell r="R1256">
            <v>0</v>
          </cell>
          <cell r="S1256">
            <v>0</v>
          </cell>
          <cell r="T1256">
            <v>0</v>
          </cell>
          <cell r="U1256">
            <v>4</v>
          </cell>
          <cell r="V1256">
            <v>0</v>
          </cell>
          <cell r="W1256">
            <v>0</v>
          </cell>
          <cell r="X1256">
            <v>0</v>
          </cell>
          <cell r="Y1256">
            <v>0</v>
          </cell>
          <cell r="Z1256">
            <v>0</v>
          </cell>
          <cell r="AA1256">
            <v>16</v>
          </cell>
          <cell r="AB1256">
            <v>0.375</v>
          </cell>
          <cell r="AC1256">
            <v>0.2</v>
          </cell>
          <cell r="AD1256">
            <v>48</v>
          </cell>
        </row>
        <row r="1257">
          <cell r="A1257">
            <v>33</v>
          </cell>
          <cell r="B1257">
            <v>3</v>
          </cell>
          <cell r="C1257">
            <v>3</v>
          </cell>
          <cell r="D1257">
            <v>8564</v>
          </cell>
          <cell r="E1257">
            <v>2</v>
          </cell>
          <cell r="F1257">
            <v>20</v>
          </cell>
          <cell r="G1257">
            <v>4</v>
          </cell>
          <cell r="H1257">
            <v>0</v>
          </cell>
          <cell r="I1257">
            <v>11</v>
          </cell>
          <cell r="J1257">
            <v>2</v>
          </cell>
          <cell r="K1257">
            <v>0</v>
          </cell>
          <cell r="L1257">
            <v>0</v>
          </cell>
          <cell r="M1257">
            <v>1</v>
          </cell>
          <cell r="N1257">
            <v>1</v>
          </cell>
          <cell r="O1257">
            <v>1</v>
          </cell>
          <cell r="P1257">
            <v>0</v>
          </cell>
          <cell r="Q1257">
            <v>0</v>
          </cell>
          <cell r="R1257">
            <v>0</v>
          </cell>
          <cell r="S1257">
            <v>0</v>
          </cell>
          <cell r="T1257">
            <v>3</v>
          </cell>
          <cell r="U1257">
            <v>0</v>
          </cell>
          <cell r="V1257">
            <v>0</v>
          </cell>
          <cell r="W1257">
            <v>0</v>
          </cell>
          <cell r="X1257">
            <v>0</v>
          </cell>
          <cell r="Y1257">
            <v>0</v>
          </cell>
          <cell r="Z1257">
            <v>0</v>
          </cell>
          <cell r="AA1257">
            <v>1</v>
          </cell>
          <cell r="AB1257">
            <v>0.18181818181818182</v>
          </cell>
          <cell r="AC1257">
            <v>0</v>
          </cell>
          <cell r="AD1257">
            <v>3</v>
          </cell>
        </row>
        <row r="1258">
          <cell r="A1258">
            <v>38</v>
          </cell>
          <cell r="B1258">
            <v>2</v>
          </cell>
          <cell r="C1258">
            <v>2</v>
          </cell>
          <cell r="D1258">
            <v>2468</v>
          </cell>
          <cell r="E1258">
            <v>4</v>
          </cell>
          <cell r="F1258">
            <v>14</v>
          </cell>
          <cell r="G1258">
            <v>3</v>
          </cell>
          <cell r="H1258">
            <v>1</v>
          </cell>
          <cell r="I1258">
            <v>9</v>
          </cell>
          <cell r="J1258">
            <v>4</v>
          </cell>
          <cell r="K1258">
            <v>6</v>
          </cell>
          <cell r="L1258">
            <v>1</v>
          </cell>
          <cell r="M1258">
            <v>0</v>
          </cell>
          <cell r="N1258">
            <v>1</v>
          </cell>
          <cell r="O1258">
            <v>0</v>
          </cell>
          <cell r="P1258">
            <v>0</v>
          </cell>
          <cell r="Q1258">
            <v>1</v>
          </cell>
          <cell r="R1258">
            <v>0</v>
          </cell>
          <cell r="S1258">
            <v>0</v>
          </cell>
          <cell r="T1258">
            <v>0</v>
          </cell>
          <cell r="U1258">
            <v>0</v>
          </cell>
          <cell r="V1258">
            <v>2</v>
          </cell>
          <cell r="W1258">
            <v>0</v>
          </cell>
          <cell r="X1258">
            <v>0</v>
          </cell>
          <cell r="Y1258">
            <v>1</v>
          </cell>
          <cell r="Z1258">
            <v>0</v>
          </cell>
          <cell r="AA1258">
            <v>6</v>
          </cell>
          <cell r="AB1258">
            <v>0.44444444444444442</v>
          </cell>
          <cell r="AC1258">
            <v>0.16666666666666666</v>
          </cell>
          <cell r="AD1258">
            <v>12</v>
          </cell>
        </row>
        <row r="1259">
          <cell r="A1259">
            <v>31</v>
          </cell>
          <cell r="B1259">
            <v>4</v>
          </cell>
          <cell r="C1259">
            <v>3</v>
          </cell>
          <cell r="D1259">
            <v>8161</v>
          </cell>
          <cell r="E1259">
            <v>2</v>
          </cell>
          <cell r="F1259">
            <v>13</v>
          </cell>
          <cell r="G1259">
            <v>3</v>
          </cell>
          <cell r="H1259">
            <v>3</v>
          </cell>
          <cell r="I1259">
            <v>10</v>
          </cell>
          <cell r="J1259">
            <v>2</v>
          </cell>
          <cell r="K1259">
            <v>1</v>
          </cell>
          <cell r="L1259">
            <v>0</v>
          </cell>
          <cell r="M1259">
            <v>0</v>
          </cell>
          <cell r="N1259">
            <v>0</v>
          </cell>
          <cell r="O1259">
            <v>0</v>
          </cell>
          <cell r="P1259">
            <v>1</v>
          </cell>
          <cell r="Q1259">
            <v>0</v>
          </cell>
          <cell r="R1259">
            <v>0</v>
          </cell>
          <cell r="S1259">
            <v>0</v>
          </cell>
          <cell r="T1259">
            <v>0</v>
          </cell>
          <cell r="U1259">
            <v>4</v>
          </cell>
          <cell r="V1259">
            <v>0</v>
          </cell>
          <cell r="W1259">
            <v>0</v>
          </cell>
          <cell r="X1259">
            <v>0</v>
          </cell>
          <cell r="Y1259">
            <v>0</v>
          </cell>
          <cell r="Z1259">
            <v>0</v>
          </cell>
          <cell r="AA1259">
            <v>3</v>
          </cell>
          <cell r="AB1259">
            <v>0.2</v>
          </cell>
          <cell r="AC1259">
            <v>0</v>
          </cell>
          <cell r="AD1259">
            <v>3</v>
          </cell>
        </row>
        <row r="1260">
          <cell r="A1260">
            <v>29</v>
          </cell>
          <cell r="B1260">
            <v>3</v>
          </cell>
          <cell r="C1260">
            <v>2</v>
          </cell>
          <cell r="D1260">
            <v>2109</v>
          </cell>
          <cell r="E1260">
            <v>1</v>
          </cell>
          <cell r="F1260">
            <v>13</v>
          </cell>
          <cell r="G1260">
            <v>3</v>
          </cell>
          <cell r="H1260">
            <v>1</v>
          </cell>
          <cell r="I1260">
            <v>1</v>
          </cell>
          <cell r="J1260">
            <v>2</v>
          </cell>
          <cell r="K1260">
            <v>1</v>
          </cell>
          <cell r="L1260">
            <v>0</v>
          </cell>
          <cell r="M1260">
            <v>0</v>
          </cell>
          <cell r="N1260">
            <v>1</v>
          </cell>
          <cell r="O1260">
            <v>0</v>
          </cell>
          <cell r="P1260">
            <v>0</v>
          </cell>
          <cell r="Q1260">
            <v>0</v>
          </cell>
          <cell r="R1260">
            <v>0</v>
          </cell>
          <cell r="S1260">
            <v>1</v>
          </cell>
          <cell r="T1260">
            <v>0</v>
          </cell>
          <cell r="U1260">
            <v>0</v>
          </cell>
          <cell r="V1260">
            <v>0</v>
          </cell>
          <cell r="W1260">
            <v>0</v>
          </cell>
          <cell r="X1260">
            <v>3</v>
          </cell>
          <cell r="Y1260">
            <v>0</v>
          </cell>
          <cell r="Z1260">
            <v>0</v>
          </cell>
          <cell r="AA1260">
            <v>4</v>
          </cell>
          <cell r="AB1260">
            <v>1</v>
          </cell>
          <cell r="AC1260">
            <v>0</v>
          </cell>
          <cell r="AD1260">
            <v>12</v>
          </cell>
        </row>
        <row r="1261">
          <cell r="A1261">
            <v>30</v>
          </cell>
          <cell r="B1261">
            <v>3</v>
          </cell>
          <cell r="C1261">
            <v>4</v>
          </cell>
          <cell r="D1261">
            <v>5294</v>
          </cell>
          <cell r="E1261">
            <v>3</v>
          </cell>
          <cell r="F1261">
            <v>16</v>
          </cell>
          <cell r="G1261">
            <v>3</v>
          </cell>
          <cell r="H1261">
            <v>1</v>
          </cell>
          <cell r="I1261">
            <v>10</v>
          </cell>
          <cell r="J1261">
            <v>3</v>
          </cell>
          <cell r="K1261">
            <v>7</v>
          </cell>
          <cell r="L1261">
            <v>0</v>
          </cell>
          <cell r="M1261">
            <v>0</v>
          </cell>
          <cell r="N1261">
            <v>0</v>
          </cell>
          <cell r="O1261">
            <v>1</v>
          </cell>
          <cell r="P1261">
            <v>0</v>
          </cell>
          <cell r="Q1261">
            <v>0</v>
          </cell>
          <cell r="R1261">
            <v>0</v>
          </cell>
          <cell r="S1261">
            <v>0</v>
          </cell>
          <cell r="T1261">
            <v>3</v>
          </cell>
          <cell r="U1261">
            <v>0</v>
          </cell>
          <cell r="V1261">
            <v>0</v>
          </cell>
          <cell r="W1261">
            <v>0</v>
          </cell>
          <cell r="X1261">
            <v>0</v>
          </cell>
          <cell r="Y1261">
            <v>0</v>
          </cell>
          <cell r="Z1261">
            <v>0</v>
          </cell>
          <cell r="AA1261">
            <v>9</v>
          </cell>
          <cell r="AB1261">
            <v>0.3</v>
          </cell>
          <cell r="AC1261">
            <v>0</v>
          </cell>
          <cell r="AD1261">
            <v>27</v>
          </cell>
        </row>
        <row r="1262">
          <cell r="A1262">
            <v>32</v>
          </cell>
          <cell r="B1262">
            <v>4</v>
          </cell>
          <cell r="C1262">
            <v>3</v>
          </cell>
          <cell r="D1262">
            <v>2718</v>
          </cell>
          <cell r="E1262">
            <v>2</v>
          </cell>
          <cell r="F1262">
            <v>14</v>
          </cell>
          <cell r="G1262">
            <v>3</v>
          </cell>
          <cell r="H1262">
            <v>0</v>
          </cell>
          <cell r="I1262">
            <v>12</v>
          </cell>
          <cell r="J1262">
            <v>3</v>
          </cell>
          <cell r="K1262">
            <v>7</v>
          </cell>
          <cell r="L1262">
            <v>7</v>
          </cell>
          <cell r="M1262">
            <v>0</v>
          </cell>
          <cell r="N1262">
            <v>0</v>
          </cell>
          <cell r="O1262">
            <v>0</v>
          </cell>
          <cell r="P1262">
            <v>0</v>
          </cell>
          <cell r="Q1262">
            <v>0</v>
          </cell>
          <cell r="R1262">
            <v>0</v>
          </cell>
          <cell r="S1262">
            <v>1</v>
          </cell>
          <cell r="T1262">
            <v>0</v>
          </cell>
          <cell r="U1262">
            <v>0</v>
          </cell>
          <cell r="V1262">
            <v>0</v>
          </cell>
          <cell r="W1262">
            <v>0</v>
          </cell>
          <cell r="X1262">
            <v>4</v>
          </cell>
          <cell r="Y1262">
            <v>0</v>
          </cell>
          <cell r="Z1262">
            <v>0</v>
          </cell>
          <cell r="AA1262">
            <v>4</v>
          </cell>
          <cell r="AB1262">
            <v>0.16666666666666666</v>
          </cell>
          <cell r="AC1262">
            <v>1</v>
          </cell>
          <cell r="AD1262">
            <v>8</v>
          </cell>
        </row>
        <row r="1263">
          <cell r="A1263">
            <v>38</v>
          </cell>
          <cell r="B1263">
            <v>3</v>
          </cell>
          <cell r="C1263">
            <v>1</v>
          </cell>
          <cell r="D1263">
            <v>5811</v>
          </cell>
          <cell r="E1263">
            <v>3</v>
          </cell>
          <cell r="F1263">
            <v>16</v>
          </cell>
          <cell r="G1263">
            <v>3</v>
          </cell>
          <cell r="H1263">
            <v>1</v>
          </cell>
          <cell r="I1263">
            <v>15</v>
          </cell>
          <cell r="J1263">
            <v>2</v>
          </cell>
          <cell r="K1263">
            <v>1</v>
          </cell>
          <cell r="L1263">
            <v>0</v>
          </cell>
          <cell r="M1263">
            <v>1</v>
          </cell>
          <cell r="N1263">
            <v>0</v>
          </cell>
          <cell r="O1263">
            <v>0</v>
          </cell>
          <cell r="P1263">
            <v>0</v>
          </cell>
          <cell r="Q1263">
            <v>1</v>
          </cell>
          <cell r="R1263">
            <v>0</v>
          </cell>
          <cell r="S1263">
            <v>0</v>
          </cell>
          <cell r="T1263">
            <v>0</v>
          </cell>
          <cell r="U1263">
            <v>0</v>
          </cell>
          <cell r="V1263">
            <v>3</v>
          </cell>
          <cell r="W1263">
            <v>0</v>
          </cell>
          <cell r="X1263">
            <v>0</v>
          </cell>
          <cell r="Y1263">
            <v>0</v>
          </cell>
          <cell r="Z1263">
            <v>1</v>
          </cell>
          <cell r="AA1263">
            <v>8</v>
          </cell>
          <cell r="AB1263">
            <v>0.2</v>
          </cell>
          <cell r="AC1263">
            <v>0</v>
          </cell>
          <cell r="AD1263">
            <v>24</v>
          </cell>
        </row>
        <row r="1264">
          <cell r="A1264">
            <v>43</v>
          </cell>
          <cell r="B1264">
            <v>3</v>
          </cell>
          <cell r="C1264">
            <v>2</v>
          </cell>
          <cell r="D1264">
            <v>2437</v>
          </cell>
          <cell r="E1264">
            <v>9</v>
          </cell>
          <cell r="F1264">
            <v>16</v>
          </cell>
          <cell r="G1264">
            <v>3</v>
          </cell>
          <cell r="H1264">
            <v>1</v>
          </cell>
          <cell r="I1264">
            <v>6</v>
          </cell>
          <cell r="J1264">
            <v>4</v>
          </cell>
          <cell r="K1264">
            <v>1</v>
          </cell>
          <cell r="L1264">
            <v>0</v>
          </cell>
          <cell r="M1264">
            <v>1</v>
          </cell>
          <cell r="N1264">
            <v>0</v>
          </cell>
          <cell r="O1264">
            <v>0</v>
          </cell>
          <cell r="P1264">
            <v>0</v>
          </cell>
          <cell r="Q1264">
            <v>0</v>
          </cell>
          <cell r="R1264">
            <v>0</v>
          </cell>
          <cell r="S1264">
            <v>1</v>
          </cell>
          <cell r="T1264">
            <v>0</v>
          </cell>
          <cell r="U1264">
            <v>0</v>
          </cell>
          <cell r="V1264">
            <v>0</v>
          </cell>
          <cell r="W1264">
            <v>0</v>
          </cell>
          <cell r="X1264">
            <v>3</v>
          </cell>
          <cell r="Y1264">
            <v>1</v>
          </cell>
          <cell r="Z1264">
            <v>1</v>
          </cell>
          <cell r="AA1264">
            <v>9</v>
          </cell>
          <cell r="AB1264">
            <v>1.5</v>
          </cell>
          <cell r="AC1264">
            <v>0</v>
          </cell>
          <cell r="AD1264">
            <v>36</v>
          </cell>
        </row>
        <row r="1265">
          <cell r="A1265">
            <v>42</v>
          </cell>
          <cell r="B1265">
            <v>3</v>
          </cell>
          <cell r="C1265">
            <v>3</v>
          </cell>
          <cell r="D1265">
            <v>2766</v>
          </cell>
          <cell r="E1265">
            <v>8</v>
          </cell>
          <cell r="F1265">
            <v>22</v>
          </cell>
          <cell r="G1265">
            <v>4</v>
          </cell>
          <cell r="H1265">
            <v>3</v>
          </cell>
          <cell r="I1265">
            <v>7</v>
          </cell>
          <cell r="J1265">
            <v>6</v>
          </cell>
          <cell r="K1265">
            <v>5</v>
          </cell>
          <cell r="L1265">
            <v>3</v>
          </cell>
          <cell r="M1265">
            <v>0</v>
          </cell>
          <cell r="N1265">
            <v>0</v>
          </cell>
          <cell r="O1265">
            <v>0</v>
          </cell>
          <cell r="P1265">
            <v>0</v>
          </cell>
          <cell r="Q1265">
            <v>1</v>
          </cell>
          <cell r="R1265">
            <v>0</v>
          </cell>
          <cell r="S1265">
            <v>0</v>
          </cell>
          <cell r="T1265">
            <v>0</v>
          </cell>
          <cell r="U1265">
            <v>0</v>
          </cell>
          <cell r="V1265">
            <v>3</v>
          </cell>
          <cell r="W1265">
            <v>0</v>
          </cell>
          <cell r="X1265">
            <v>0</v>
          </cell>
          <cell r="Y1265">
            <v>0</v>
          </cell>
          <cell r="Z1265">
            <v>0</v>
          </cell>
          <cell r="AA1265">
            <v>4</v>
          </cell>
          <cell r="AB1265">
            <v>1.1428571428571428</v>
          </cell>
          <cell r="AC1265">
            <v>0.6</v>
          </cell>
          <cell r="AD1265">
            <v>8</v>
          </cell>
        </row>
        <row r="1266">
          <cell r="A1266">
            <v>55</v>
          </cell>
          <cell r="B1266">
            <v>3</v>
          </cell>
          <cell r="C1266">
            <v>2</v>
          </cell>
          <cell r="D1266">
            <v>19038</v>
          </cell>
          <cell r="E1266">
            <v>8</v>
          </cell>
          <cell r="F1266">
            <v>12</v>
          </cell>
          <cell r="G1266">
            <v>3</v>
          </cell>
          <cell r="H1266">
            <v>3</v>
          </cell>
          <cell r="I1266">
            <v>34</v>
          </cell>
          <cell r="J1266">
            <v>2</v>
          </cell>
          <cell r="K1266">
            <v>1</v>
          </cell>
          <cell r="L1266">
            <v>0</v>
          </cell>
          <cell r="M1266">
            <v>0</v>
          </cell>
          <cell r="N1266">
            <v>0</v>
          </cell>
          <cell r="O1266">
            <v>0</v>
          </cell>
          <cell r="P1266">
            <v>0</v>
          </cell>
          <cell r="Q1266">
            <v>1</v>
          </cell>
          <cell r="R1266">
            <v>0</v>
          </cell>
          <cell r="S1266">
            <v>0</v>
          </cell>
          <cell r="T1266">
            <v>0</v>
          </cell>
          <cell r="U1266">
            <v>0</v>
          </cell>
          <cell r="V1266">
            <v>3</v>
          </cell>
          <cell r="W1266">
            <v>0</v>
          </cell>
          <cell r="X1266">
            <v>0</v>
          </cell>
          <cell r="Y1266">
            <v>0</v>
          </cell>
          <cell r="Z1266">
            <v>0</v>
          </cell>
          <cell r="AA1266">
            <v>3</v>
          </cell>
          <cell r="AB1266">
            <v>0.23529411764705882</v>
          </cell>
          <cell r="AC1266">
            <v>0</v>
          </cell>
          <cell r="AD1266">
            <v>6</v>
          </cell>
        </row>
        <row r="1267">
          <cell r="A1267">
            <v>33</v>
          </cell>
          <cell r="B1267">
            <v>3</v>
          </cell>
          <cell r="C1267">
            <v>3</v>
          </cell>
          <cell r="D1267">
            <v>3055</v>
          </cell>
          <cell r="E1267">
            <v>5</v>
          </cell>
          <cell r="F1267">
            <v>15</v>
          </cell>
          <cell r="G1267">
            <v>3</v>
          </cell>
          <cell r="H1267">
            <v>2</v>
          </cell>
          <cell r="I1267">
            <v>11</v>
          </cell>
          <cell r="J1267">
            <v>2</v>
          </cell>
          <cell r="K1267">
            <v>9</v>
          </cell>
          <cell r="L1267">
            <v>8</v>
          </cell>
          <cell r="M1267">
            <v>0</v>
          </cell>
          <cell r="N1267">
            <v>0</v>
          </cell>
          <cell r="O1267">
            <v>0</v>
          </cell>
          <cell r="P1267">
            <v>0</v>
          </cell>
          <cell r="Q1267">
            <v>0</v>
          </cell>
          <cell r="R1267">
            <v>0</v>
          </cell>
          <cell r="S1267">
            <v>1</v>
          </cell>
          <cell r="T1267">
            <v>0</v>
          </cell>
          <cell r="U1267">
            <v>0</v>
          </cell>
          <cell r="V1267">
            <v>0</v>
          </cell>
          <cell r="W1267">
            <v>0</v>
          </cell>
          <cell r="X1267">
            <v>3</v>
          </cell>
          <cell r="Y1267">
            <v>0</v>
          </cell>
          <cell r="Z1267">
            <v>0</v>
          </cell>
          <cell r="AA1267">
            <v>8</v>
          </cell>
          <cell r="AB1267">
            <v>0.45454545454545453</v>
          </cell>
          <cell r="AC1267">
            <v>0.88888888888888884</v>
          </cell>
          <cell r="AD1267">
            <v>32</v>
          </cell>
        </row>
        <row r="1268">
          <cell r="A1268">
            <v>41</v>
          </cell>
          <cell r="B1268">
            <v>4</v>
          </cell>
          <cell r="C1268">
            <v>3</v>
          </cell>
          <cell r="D1268">
            <v>2289</v>
          </cell>
          <cell r="E1268">
            <v>1</v>
          </cell>
          <cell r="F1268">
            <v>20</v>
          </cell>
          <cell r="G1268">
            <v>4</v>
          </cell>
          <cell r="H1268">
            <v>2</v>
          </cell>
          <cell r="I1268">
            <v>5</v>
          </cell>
          <cell r="J1268">
            <v>2</v>
          </cell>
          <cell r="K1268">
            <v>5</v>
          </cell>
          <cell r="L1268">
            <v>3</v>
          </cell>
          <cell r="M1268">
            <v>0</v>
          </cell>
          <cell r="N1268">
            <v>0</v>
          </cell>
          <cell r="O1268">
            <v>1</v>
          </cell>
          <cell r="P1268">
            <v>0</v>
          </cell>
          <cell r="Q1268">
            <v>0</v>
          </cell>
          <cell r="R1268">
            <v>0</v>
          </cell>
          <cell r="S1268">
            <v>0</v>
          </cell>
          <cell r="T1268">
            <v>4</v>
          </cell>
          <cell r="U1268">
            <v>0</v>
          </cell>
          <cell r="V1268">
            <v>0</v>
          </cell>
          <cell r="W1268">
            <v>0</v>
          </cell>
          <cell r="X1268">
            <v>0</v>
          </cell>
          <cell r="Y1268">
            <v>0</v>
          </cell>
          <cell r="Z1268">
            <v>0</v>
          </cell>
          <cell r="AA1268">
            <v>3</v>
          </cell>
          <cell r="AB1268">
            <v>0.2</v>
          </cell>
          <cell r="AC1268">
            <v>0.6</v>
          </cell>
          <cell r="AD1268">
            <v>6</v>
          </cell>
        </row>
        <row r="1269">
          <cell r="A1269">
            <v>34</v>
          </cell>
          <cell r="B1269">
            <v>3</v>
          </cell>
          <cell r="C1269">
            <v>3</v>
          </cell>
          <cell r="D1269">
            <v>4001</v>
          </cell>
          <cell r="E1269">
            <v>1</v>
          </cell>
          <cell r="F1269">
            <v>14</v>
          </cell>
          <cell r="G1269">
            <v>3</v>
          </cell>
          <cell r="H1269">
            <v>1</v>
          </cell>
          <cell r="I1269">
            <v>15</v>
          </cell>
          <cell r="J1269">
            <v>3</v>
          </cell>
          <cell r="K1269">
            <v>15</v>
          </cell>
          <cell r="L1269">
            <v>14</v>
          </cell>
          <cell r="M1269">
            <v>1</v>
          </cell>
          <cell r="N1269">
            <v>0</v>
          </cell>
          <cell r="O1269">
            <v>1</v>
          </cell>
          <cell r="P1269">
            <v>0</v>
          </cell>
          <cell r="Q1269">
            <v>0</v>
          </cell>
          <cell r="R1269">
            <v>0</v>
          </cell>
          <cell r="S1269">
            <v>0</v>
          </cell>
          <cell r="T1269">
            <v>3</v>
          </cell>
          <cell r="U1269">
            <v>0</v>
          </cell>
          <cell r="V1269">
            <v>0</v>
          </cell>
          <cell r="W1269">
            <v>0</v>
          </cell>
          <cell r="X1269">
            <v>0</v>
          </cell>
          <cell r="Y1269">
            <v>0</v>
          </cell>
          <cell r="Z1269">
            <v>0</v>
          </cell>
          <cell r="AA1269">
            <v>12</v>
          </cell>
          <cell r="AB1269">
            <v>6.6666666666666666E-2</v>
          </cell>
          <cell r="AC1269">
            <v>0.93333333333333335</v>
          </cell>
          <cell r="AD1269">
            <v>36</v>
          </cell>
        </row>
        <row r="1270">
          <cell r="A1270">
            <v>53</v>
          </cell>
          <cell r="B1270">
            <v>4</v>
          </cell>
          <cell r="C1270">
            <v>2</v>
          </cell>
          <cell r="D1270">
            <v>12965</v>
          </cell>
          <cell r="E1270">
            <v>4</v>
          </cell>
          <cell r="F1270">
            <v>20</v>
          </cell>
          <cell r="G1270">
            <v>4</v>
          </cell>
          <cell r="H1270">
            <v>3</v>
          </cell>
          <cell r="I1270">
            <v>27</v>
          </cell>
          <cell r="J1270">
            <v>2</v>
          </cell>
          <cell r="K1270">
            <v>3</v>
          </cell>
          <cell r="L1270">
            <v>2</v>
          </cell>
          <cell r="M1270">
            <v>1</v>
          </cell>
          <cell r="N1270">
            <v>1</v>
          </cell>
          <cell r="O1270">
            <v>0</v>
          </cell>
          <cell r="P1270">
            <v>0</v>
          </cell>
          <cell r="Q1270">
            <v>1</v>
          </cell>
          <cell r="R1270">
            <v>0</v>
          </cell>
          <cell r="S1270">
            <v>0</v>
          </cell>
          <cell r="T1270">
            <v>0</v>
          </cell>
          <cell r="U1270">
            <v>0</v>
          </cell>
          <cell r="V1270">
            <v>4</v>
          </cell>
          <cell r="W1270">
            <v>0</v>
          </cell>
          <cell r="X1270">
            <v>0</v>
          </cell>
          <cell r="Y1270">
            <v>0</v>
          </cell>
          <cell r="Z1270">
            <v>1</v>
          </cell>
          <cell r="AA1270">
            <v>3</v>
          </cell>
          <cell r="AB1270">
            <v>0.14814814814814814</v>
          </cell>
          <cell r="AC1270">
            <v>0.66666666666666663</v>
          </cell>
          <cell r="AD1270">
            <v>12</v>
          </cell>
        </row>
        <row r="1271">
          <cell r="A1271">
            <v>43</v>
          </cell>
          <cell r="B1271">
            <v>3</v>
          </cell>
          <cell r="C1271">
            <v>3</v>
          </cell>
          <cell r="D1271">
            <v>3539</v>
          </cell>
          <cell r="E1271">
            <v>0</v>
          </cell>
          <cell r="F1271">
            <v>13</v>
          </cell>
          <cell r="G1271">
            <v>3</v>
          </cell>
          <cell r="H1271">
            <v>0</v>
          </cell>
          <cell r="I1271">
            <v>10</v>
          </cell>
          <cell r="J1271">
            <v>5</v>
          </cell>
          <cell r="K1271">
            <v>9</v>
          </cell>
          <cell r="L1271">
            <v>7</v>
          </cell>
          <cell r="M1271">
            <v>0</v>
          </cell>
          <cell r="N1271">
            <v>0</v>
          </cell>
          <cell r="O1271">
            <v>1</v>
          </cell>
          <cell r="P1271">
            <v>0</v>
          </cell>
          <cell r="Q1271">
            <v>0</v>
          </cell>
          <cell r="R1271">
            <v>0</v>
          </cell>
          <cell r="S1271">
            <v>0</v>
          </cell>
          <cell r="T1271">
            <v>3</v>
          </cell>
          <cell r="U1271">
            <v>0</v>
          </cell>
          <cell r="V1271">
            <v>0</v>
          </cell>
          <cell r="W1271">
            <v>0</v>
          </cell>
          <cell r="X1271">
            <v>0</v>
          </cell>
          <cell r="Y1271">
            <v>0</v>
          </cell>
          <cell r="Z1271">
            <v>0</v>
          </cell>
          <cell r="AA1271">
            <v>8</v>
          </cell>
          <cell r="AB1271">
            <v>0</v>
          </cell>
          <cell r="AC1271">
            <v>0.77777777777777779</v>
          </cell>
          <cell r="AD1271">
            <v>16</v>
          </cell>
        </row>
        <row r="1272">
          <cell r="A1272">
            <v>34</v>
          </cell>
          <cell r="B1272">
            <v>2</v>
          </cell>
          <cell r="C1272">
            <v>1</v>
          </cell>
          <cell r="D1272">
            <v>6029</v>
          </cell>
          <cell r="E1272">
            <v>5</v>
          </cell>
          <cell r="F1272">
            <v>12</v>
          </cell>
          <cell r="G1272">
            <v>3</v>
          </cell>
          <cell r="H1272">
            <v>0</v>
          </cell>
          <cell r="I1272">
            <v>6</v>
          </cell>
          <cell r="J1272">
            <v>3</v>
          </cell>
          <cell r="K1272">
            <v>2</v>
          </cell>
          <cell r="L1272">
            <v>2</v>
          </cell>
          <cell r="M1272">
            <v>0</v>
          </cell>
          <cell r="N1272">
            <v>1</v>
          </cell>
          <cell r="O1272">
            <v>1</v>
          </cell>
          <cell r="P1272">
            <v>0</v>
          </cell>
          <cell r="Q1272">
            <v>0</v>
          </cell>
          <cell r="R1272">
            <v>0</v>
          </cell>
          <cell r="S1272">
            <v>0</v>
          </cell>
          <cell r="T1272">
            <v>2</v>
          </cell>
          <cell r="U1272">
            <v>0</v>
          </cell>
          <cell r="V1272">
            <v>0</v>
          </cell>
          <cell r="W1272">
            <v>0</v>
          </cell>
          <cell r="X1272">
            <v>0</v>
          </cell>
          <cell r="Y1272">
            <v>0</v>
          </cell>
          <cell r="Z1272">
            <v>0</v>
          </cell>
          <cell r="AA1272">
            <v>16</v>
          </cell>
          <cell r="AB1272">
            <v>0.83333333333333337</v>
          </cell>
          <cell r="AC1272">
            <v>1</v>
          </cell>
          <cell r="AD1272">
            <v>16</v>
          </cell>
        </row>
        <row r="1273">
          <cell r="A1273">
            <v>21</v>
          </cell>
          <cell r="B1273">
            <v>1</v>
          </cell>
          <cell r="C1273">
            <v>3</v>
          </cell>
          <cell r="D1273">
            <v>2679</v>
          </cell>
          <cell r="E1273">
            <v>1</v>
          </cell>
          <cell r="F1273">
            <v>13</v>
          </cell>
          <cell r="G1273">
            <v>3</v>
          </cell>
          <cell r="H1273">
            <v>0</v>
          </cell>
          <cell r="I1273">
            <v>1</v>
          </cell>
          <cell r="J1273">
            <v>3</v>
          </cell>
          <cell r="K1273">
            <v>1</v>
          </cell>
          <cell r="L1273">
            <v>0</v>
          </cell>
          <cell r="M1273">
            <v>0</v>
          </cell>
          <cell r="N1273">
            <v>0</v>
          </cell>
          <cell r="O1273">
            <v>0</v>
          </cell>
          <cell r="P1273">
            <v>1</v>
          </cell>
          <cell r="Q1273">
            <v>0</v>
          </cell>
          <cell r="R1273">
            <v>0</v>
          </cell>
          <cell r="S1273">
            <v>0</v>
          </cell>
          <cell r="T1273">
            <v>0</v>
          </cell>
          <cell r="U1273">
            <v>1</v>
          </cell>
          <cell r="V1273">
            <v>0</v>
          </cell>
          <cell r="W1273">
            <v>0</v>
          </cell>
          <cell r="X1273">
            <v>0</v>
          </cell>
          <cell r="Y1273">
            <v>0</v>
          </cell>
          <cell r="Z1273">
            <v>0</v>
          </cell>
          <cell r="AA1273">
            <v>4</v>
          </cell>
          <cell r="AB1273">
            <v>1</v>
          </cell>
          <cell r="AC1273">
            <v>0</v>
          </cell>
          <cell r="AD1273">
            <v>8</v>
          </cell>
        </row>
        <row r="1274">
          <cell r="A1274">
            <v>38</v>
          </cell>
          <cell r="B1274">
            <v>2</v>
          </cell>
          <cell r="C1274">
            <v>2</v>
          </cell>
          <cell r="D1274">
            <v>3702</v>
          </cell>
          <cell r="E1274">
            <v>1</v>
          </cell>
          <cell r="F1274">
            <v>11</v>
          </cell>
          <cell r="G1274">
            <v>3</v>
          </cell>
          <cell r="H1274">
            <v>1</v>
          </cell>
          <cell r="I1274">
            <v>5</v>
          </cell>
          <cell r="J1274">
            <v>3</v>
          </cell>
          <cell r="K1274">
            <v>5</v>
          </cell>
          <cell r="L1274">
            <v>4</v>
          </cell>
          <cell r="M1274">
            <v>0</v>
          </cell>
          <cell r="N1274">
            <v>1</v>
          </cell>
          <cell r="O1274">
            <v>0</v>
          </cell>
          <cell r="P1274">
            <v>0</v>
          </cell>
          <cell r="Q1274">
            <v>0</v>
          </cell>
          <cell r="R1274">
            <v>1</v>
          </cell>
          <cell r="S1274">
            <v>0</v>
          </cell>
          <cell r="T1274">
            <v>0</v>
          </cell>
          <cell r="U1274">
            <v>0</v>
          </cell>
          <cell r="V1274">
            <v>0</v>
          </cell>
          <cell r="W1274">
            <v>2</v>
          </cell>
          <cell r="X1274">
            <v>0</v>
          </cell>
          <cell r="Y1274">
            <v>0</v>
          </cell>
          <cell r="Z1274">
            <v>0</v>
          </cell>
          <cell r="AA1274">
            <v>12</v>
          </cell>
          <cell r="AB1274">
            <v>0.2</v>
          </cell>
          <cell r="AC1274">
            <v>0.8</v>
          </cell>
          <cell r="AD1274">
            <v>24</v>
          </cell>
        </row>
        <row r="1275">
          <cell r="A1275">
            <v>22</v>
          </cell>
          <cell r="B1275">
            <v>1</v>
          </cell>
          <cell r="C1275">
            <v>3</v>
          </cell>
          <cell r="D1275">
            <v>2398</v>
          </cell>
          <cell r="E1275">
            <v>1</v>
          </cell>
          <cell r="F1275">
            <v>17</v>
          </cell>
          <cell r="G1275">
            <v>3</v>
          </cell>
          <cell r="H1275">
            <v>0</v>
          </cell>
          <cell r="I1275">
            <v>1</v>
          </cell>
          <cell r="J1275">
            <v>6</v>
          </cell>
          <cell r="K1275">
            <v>1</v>
          </cell>
          <cell r="L1275">
            <v>0</v>
          </cell>
          <cell r="M1275">
            <v>1</v>
          </cell>
          <cell r="N1275">
            <v>1</v>
          </cell>
          <cell r="O1275">
            <v>0</v>
          </cell>
          <cell r="P1275">
            <v>0</v>
          </cell>
          <cell r="Q1275">
            <v>1</v>
          </cell>
          <cell r="R1275">
            <v>0</v>
          </cell>
          <cell r="S1275">
            <v>0</v>
          </cell>
          <cell r="T1275">
            <v>0</v>
          </cell>
          <cell r="U1275">
            <v>0</v>
          </cell>
          <cell r="V1275">
            <v>1</v>
          </cell>
          <cell r="W1275">
            <v>0</v>
          </cell>
          <cell r="X1275">
            <v>0</v>
          </cell>
          <cell r="Y1275">
            <v>0</v>
          </cell>
          <cell r="Z1275">
            <v>1</v>
          </cell>
          <cell r="AA1275">
            <v>3</v>
          </cell>
          <cell r="AB1275">
            <v>1</v>
          </cell>
          <cell r="AC1275">
            <v>0</v>
          </cell>
          <cell r="AD1275">
            <v>9</v>
          </cell>
        </row>
        <row r="1276">
          <cell r="A1276">
            <v>31</v>
          </cell>
          <cell r="B1276">
            <v>4</v>
          </cell>
          <cell r="C1276">
            <v>2</v>
          </cell>
          <cell r="D1276">
            <v>5468</v>
          </cell>
          <cell r="E1276">
            <v>1</v>
          </cell>
          <cell r="F1276">
            <v>14</v>
          </cell>
          <cell r="G1276">
            <v>3</v>
          </cell>
          <cell r="H1276">
            <v>2</v>
          </cell>
          <cell r="I1276">
            <v>13</v>
          </cell>
          <cell r="J1276">
            <v>3</v>
          </cell>
          <cell r="K1276">
            <v>12</v>
          </cell>
          <cell r="L1276">
            <v>7</v>
          </cell>
          <cell r="M1276">
            <v>0</v>
          </cell>
          <cell r="N1276">
            <v>1</v>
          </cell>
          <cell r="O1276">
            <v>0</v>
          </cell>
          <cell r="P1276">
            <v>1</v>
          </cell>
          <cell r="Q1276">
            <v>0</v>
          </cell>
          <cell r="R1276">
            <v>0</v>
          </cell>
          <cell r="S1276">
            <v>0</v>
          </cell>
          <cell r="T1276">
            <v>0</v>
          </cell>
          <cell r="U1276">
            <v>4</v>
          </cell>
          <cell r="V1276">
            <v>0</v>
          </cell>
          <cell r="W1276">
            <v>0</v>
          </cell>
          <cell r="X1276">
            <v>0</v>
          </cell>
          <cell r="Y1276">
            <v>0</v>
          </cell>
          <cell r="Z1276">
            <v>0</v>
          </cell>
          <cell r="AA1276">
            <v>4</v>
          </cell>
          <cell r="AB1276">
            <v>7.6923076923076927E-2</v>
          </cell>
          <cell r="AC1276">
            <v>0.58333333333333337</v>
          </cell>
          <cell r="AD1276">
            <v>4</v>
          </cell>
        </row>
        <row r="1277">
          <cell r="A1277">
            <v>51</v>
          </cell>
          <cell r="B1277">
            <v>3</v>
          </cell>
          <cell r="C1277">
            <v>3</v>
          </cell>
          <cell r="D1277">
            <v>13116</v>
          </cell>
          <cell r="E1277">
            <v>2</v>
          </cell>
          <cell r="F1277">
            <v>11</v>
          </cell>
          <cell r="G1277">
            <v>3</v>
          </cell>
          <cell r="H1277">
            <v>0</v>
          </cell>
          <cell r="I1277">
            <v>15</v>
          </cell>
          <cell r="J1277">
            <v>2</v>
          </cell>
          <cell r="K1277">
            <v>2</v>
          </cell>
          <cell r="L1277">
            <v>2</v>
          </cell>
          <cell r="M1277">
            <v>0</v>
          </cell>
          <cell r="N1277">
            <v>1</v>
          </cell>
          <cell r="O1277">
            <v>0</v>
          </cell>
          <cell r="P1277">
            <v>0</v>
          </cell>
          <cell r="Q1277">
            <v>0</v>
          </cell>
          <cell r="R1277">
            <v>0</v>
          </cell>
          <cell r="S1277">
            <v>1</v>
          </cell>
          <cell r="T1277">
            <v>0</v>
          </cell>
          <cell r="U1277">
            <v>0</v>
          </cell>
          <cell r="V1277">
            <v>0</v>
          </cell>
          <cell r="W1277">
            <v>0</v>
          </cell>
          <cell r="X1277">
            <v>3</v>
          </cell>
          <cell r="Y1277">
            <v>0</v>
          </cell>
          <cell r="Z1277">
            <v>0</v>
          </cell>
          <cell r="AA1277">
            <v>3</v>
          </cell>
          <cell r="AB1277">
            <v>0.13333333333333333</v>
          </cell>
          <cell r="AC1277">
            <v>1</v>
          </cell>
          <cell r="AD1277">
            <v>12</v>
          </cell>
        </row>
        <row r="1278">
          <cell r="A1278">
            <v>37</v>
          </cell>
          <cell r="B1278">
            <v>2</v>
          </cell>
          <cell r="C1278">
            <v>2</v>
          </cell>
          <cell r="D1278">
            <v>4189</v>
          </cell>
          <cell r="E1278">
            <v>1</v>
          </cell>
          <cell r="F1278">
            <v>14</v>
          </cell>
          <cell r="G1278">
            <v>3</v>
          </cell>
          <cell r="H1278">
            <v>2</v>
          </cell>
          <cell r="I1278">
            <v>5</v>
          </cell>
          <cell r="J1278">
            <v>2</v>
          </cell>
          <cell r="K1278">
            <v>5</v>
          </cell>
          <cell r="L1278">
            <v>2</v>
          </cell>
          <cell r="M1278">
            <v>0</v>
          </cell>
          <cell r="N1278">
            <v>0</v>
          </cell>
          <cell r="O1278">
            <v>0</v>
          </cell>
          <cell r="P1278">
            <v>1</v>
          </cell>
          <cell r="Q1278">
            <v>0</v>
          </cell>
          <cell r="R1278">
            <v>0</v>
          </cell>
          <cell r="S1278">
            <v>0</v>
          </cell>
          <cell r="T1278">
            <v>0</v>
          </cell>
          <cell r="U1278">
            <v>2</v>
          </cell>
          <cell r="V1278">
            <v>0</v>
          </cell>
          <cell r="W1278">
            <v>0</v>
          </cell>
          <cell r="X1278">
            <v>0</v>
          </cell>
          <cell r="Y1278">
            <v>0</v>
          </cell>
          <cell r="Z1278">
            <v>0</v>
          </cell>
          <cell r="AA1278">
            <v>4</v>
          </cell>
          <cell r="AB1278">
            <v>0.2</v>
          </cell>
          <cell r="AC1278">
            <v>0.4</v>
          </cell>
          <cell r="AD1278">
            <v>4</v>
          </cell>
        </row>
        <row r="1279">
          <cell r="A1279">
            <v>46</v>
          </cell>
          <cell r="B1279">
            <v>4</v>
          </cell>
          <cell r="C1279">
            <v>3</v>
          </cell>
          <cell r="D1279">
            <v>19328</v>
          </cell>
          <cell r="E1279">
            <v>7</v>
          </cell>
          <cell r="F1279">
            <v>17</v>
          </cell>
          <cell r="G1279">
            <v>3</v>
          </cell>
          <cell r="H1279">
            <v>1</v>
          </cell>
          <cell r="I1279">
            <v>24</v>
          </cell>
          <cell r="J1279">
            <v>3</v>
          </cell>
          <cell r="K1279">
            <v>2</v>
          </cell>
          <cell r="L1279">
            <v>1</v>
          </cell>
          <cell r="M1279">
            <v>1</v>
          </cell>
          <cell r="N1279">
            <v>0</v>
          </cell>
          <cell r="O1279">
            <v>0</v>
          </cell>
          <cell r="P1279">
            <v>0</v>
          </cell>
          <cell r="Q1279">
            <v>1</v>
          </cell>
          <cell r="R1279">
            <v>0</v>
          </cell>
          <cell r="S1279">
            <v>0</v>
          </cell>
          <cell r="T1279">
            <v>0</v>
          </cell>
          <cell r="U1279">
            <v>0</v>
          </cell>
          <cell r="V1279">
            <v>4</v>
          </cell>
          <cell r="W1279">
            <v>0</v>
          </cell>
          <cell r="X1279">
            <v>0</v>
          </cell>
          <cell r="Y1279">
            <v>0</v>
          </cell>
          <cell r="Z1279">
            <v>0</v>
          </cell>
          <cell r="AA1279">
            <v>12</v>
          </cell>
          <cell r="AB1279">
            <v>0.29166666666666669</v>
          </cell>
          <cell r="AC1279">
            <v>0.5</v>
          </cell>
          <cell r="AD1279">
            <v>36</v>
          </cell>
        </row>
        <row r="1280">
          <cell r="A1280">
            <v>36</v>
          </cell>
          <cell r="B1280">
            <v>3</v>
          </cell>
          <cell r="C1280">
            <v>3</v>
          </cell>
          <cell r="D1280">
            <v>8321</v>
          </cell>
          <cell r="E1280">
            <v>7</v>
          </cell>
          <cell r="F1280">
            <v>13</v>
          </cell>
          <cell r="G1280">
            <v>3</v>
          </cell>
          <cell r="H1280">
            <v>1</v>
          </cell>
          <cell r="I1280">
            <v>15</v>
          </cell>
          <cell r="J1280">
            <v>1</v>
          </cell>
          <cell r="K1280">
            <v>12</v>
          </cell>
          <cell r="L1280">
            <v>8</v>
          </cell>
          <cell r="M1280">
            <v>1</v>
          </cell>
          <cell r="N1280">
            <v>0</v>
          </cell>
          <cell r="O1280">
            <v>1</v>
          </cell>
          <cell r="P1280">
            <v>0</v>
          </cell>
          <cell r="Q1280">
            <v>0</v>
          </cell>
          <cell r="R1280">
            <v>0</v>
          </cell>
          <cell r="S1280">
            <v>0</v>
          </cell>
          <cell r="T1280">
            <v>3</v>
          </cell>
          <cell r="U1280">
            <v>0</v>
          </cell>
          <cell r="V1280">
            <v>0</v>
          </cell>
          <cell r="W1280">
            <v>0</v>
          </cell>
          <cell r="X1280">
            <v>0</v>
          </cell>
          <cell r="Y1280">
            <v>0</v>
          </cell>
          <cell r="Z1280">
            <v>1</v>
          </cell>
          <cell r="AA1280">
            <v>4</v>
          </cell>
          <cell r="AB1280">
            <v>0.46666666666666667</v>
          </cell>
          <cell r="AC1280">
            <v>0.66666666666666663</v>
          </cell>
          <cell r="AD1280">
            <v>16</v>
          </cell>
        </row>
        <row r="1281">
          <cell r="A1281">
            <v>44</v>
          </cell>
          <cell r="B1281">
            <v>2</v>
          </cell>
          <cell r="C1281">
            <v>3</v>
          </cell>
          <cell r="D1281">
            <v>2342</v>
          </cell>
          <cell r="E1281">
            <v>1</v>
          </cell>
          <cell r="F1281">
            <v>12</v>
          </cell>
          <cell r="G1281">
            <v>3</v>
          </cell>
          <cell r="H1281">
            <v>3</v>
          </cell>
          <cell r="I1281">
            <v>6</v>
          </cell>
          <cell r="J1281">
            <v>2</v>
          </cell>
          <cell r="K1281">
            <v>5</v>
          </cell>
          <cell r="L1281">
            <v>3</v>
          </cell>
          <cell r="M1281">
            <v>1</v>
          </cell>
          <cell r="N1281">
            <v>0</v>
          </cell>
          <cell r="O1281">
            <v>0</v>
          </cell>
          <cell r="P1281">
            <v>0</v>
          </cell>
          <cell r="Q1281">
            <v>1</v>
          </cell>
          <cell r="R1281">
            <v>0</v>
          </cell>
          <cell r="S1281">
            <v>0</v>
          </cell>
          <cell r="T1281">
            <v>0</v>
          </cell>
          <cell r="U1281">
            <v>0</v>
          </cell>
          <cell r="V1281">
            <v>2</v>
          </cell>
          <cell r="W1281">
            <v>0</v>
          </cell>
          <cell r="X1281">
            <v>0</v>
          </cell>
          <cell r="Y1281">
            <v>0</v>
          </cell>
          <cell r="Z1281">
            <v>0</v>
          </cell>
          <cell r="AA1281">
            <v>6</v>
          </cell>
          <cell r="AB1281">
            <v>0.16666666666666666</v>
          </cell>
          <cell r="AC1281">
            <v>0.6</v>
          </cell>
          <cell r="AD1281">
            <v>18</v>
          </cell>
        </row>
        <row r="1282">
          <cell r="A1282">
            <v>37</v>
          </cell>
          <cell r="B1282">
            <v>2</v>
          </cell>
          <cell r="C1282">
            <v>3</v>
          </cell>
          <cell r="D1282">
            <v>4071</v>
          </cell>
          <cell r="E1282">
            <v>2</v>
          </cell>
          <cell r="F1282">
            <v>13</v>
          </cell>
          <cell r="G1282">
            <v>3</v>
          </cell>
          <cell r="H1282">
            <v>0</v>
          </cell>
          <cell r="I1282">
            <v>19</v>
          </cell>
          <cell r="J1282">
            <v>4</v>
          </cell>
          <cell r="K1282">
            <v>10</v>
          </cell>
          <cell r="L1282">
            <v>0</v>
          </cell>
          <cell r="M1282">
            <v>0</v>
          </cell>
          <cell r="N1282">
            <v>0</v>
          </cell>
          <cell r="O1282">
            <v>0</v>
          </cell>
          <cell r="P1282">
            <v>0</v>
          </cell>
          <cell r="Q1282">
            <v>0</v>
          </cell>
          <cell r="R1282">
            <v>1</v>
          </cell>
          <cell r="S1282">
            <v>0</v>
          </cell>
          <cell r="T1282">
            <v>0</v>
          </cell>
          <cell r="U1282">
            <v>0</v>
          </cell>
          <cell r="V1282">
            <v>0</v>
          </cell>
          <cell r="W1282">
            <v>2</v>
          </cell>
          <cell r="X1282">
            <v>0</v>
          </cell>
          <cell r="Y1282">
            <v>0</v>
          </cell>
          <cell r="Z1282">
            <v>0</v>
          </cell>
          <cell r="AA1282">
            <v>6</v>
          </cell>
          <cell r="AB1282">
            <v>0.10526315789473684</v>
          </cell>
          <cell r="AC1282">
            <v>0</v>
          </cell>
          <cell r="AD1282">
            <v>18</v>
          </cell>
        </row>
        <row r="1283">
          <cell r="A1283">
            <v>35</v>
          </cell>
          <cell r="B1283">
            <v>3</v>
          </cell>
          <cell r="C1283">
            <v>3</v>
          </cell>
          <cell r="D1283">
            <v>5813</v>
          </cell>
          <cell r="E1283">
            <v>1</v>
          </cell>
          <cell r="F1283">
            <v>18</v>
          </cell>
          <cell r="G1283">
            <v>3</v>
          </cell>
          <cell r="H1283">
            <v>0</v>
          </cell>
          <cell r="I1283">
            <v>10</v>
          </cell>
          <cell r="J1283">
            <v>2</v>
          </cell>
          <cell r="K1283">
            <v>10</v>
          </cell>
          <cell r="L1283">
            <v>7</v>
          </cell>
          <cell r="M1283">
            <v>1</v>
          </cell>
          <cell r="N1283">
            <v>0</v>
          </cell>
          <cell r="O1283">
            <v>1</v>
          </cell>
          <cell r="P1283">
            <v>0</v>
          </cell>
          <cell r="Q1283">
            <v>0</v>
          </cell>
          <cell r="R1283">
            <v>0</v>
          </cell>
          <cell r="S1283">
            <v>0</v>
          </cell>
          <cell r="T1283">
            <v>3</v>
          </cell>
          <cell r="U1283">
            <v>0</v>
          </cell>
          <cell r="V1283">
            <v>0</v>
          </cell>
          <cell r="W1283">
            <v>0</v>
          </cell>
          <cell r="X1283">
            <v>0</v>
          </cell>
          <cell r="Y1283">
            <v>0</v>
          </cell>
          <cell r="Z1283">
            <v>0</v>
          </cell>
          <cell r="AA1283">
            <v>12</v>
          </cell>
          <cell r="AB1283">
            <v>0.1</v>
          </cell>
          <cell r="AC1283">
            <v>0.7</v>
          </cell>
          <cell r="AD1283">
            <v>48</v>
          </cell>
        </row>
        <row r="1284">
          <cell r="A1284">
            <v>33</v>
          </cell>
          <cell r="B1284">
            <v>4</v>
          </cell>
          <cell r="C1284">
            <v>4</v>
          </cell>
          <cell r="D1284">
            <v>3143</v>
          </cell>
          <cell r="E1284">
            <v>6</v>
          </cell>
          <cell r="F1284">
            <v>19</v>
          </cell>
          <cell r="G1284">
            <v>3</v>
          </cell>
          <cell r="H1284">
            <v>1</v>
          </cell>
          <cell r="I1284">
            <v>14</v>
          </cell>
          <cell r="J1284">
            <v>1</v>
          </cell>
          <cell r="K1284">
            <v>10</v>
          </cell>
          <cell r="L1284">
            <v>8</v>
          </cell>
          <cell r="M1284">
            <v>0</v>
          </cell>
          <cell r="N1284">
            <v>0</v>
          </cell>
          <cell r="O1284">
            <v>1</v>
          </cell>
          <cell r="P1284">
            <v>0</v>
          </cell>
          <cell r="Q1284">
            <v>0</v>
          </cell>
          <cell r="R1284">
            <v>0</v>
          </cell>
          <cell r="S1284">
            <v>0</v>
          </cell>
          <cell r="T1284">
            <v>4</v>
          </cell>
          <cell r="U1284">
            <v>0</v>
          </cell>
          <cell r="V1284">
            <v>0</v>
          </cell>
          <cell r="W1284">
            <v>0</v>
          </cell>
          <cell r="X1284">
            <v>0</v>
          </cell>
          <cell r="Y1284">
            <v>0</v>
          </cell>
          <cell r="Z1284">
            <v>0</v>
          </cell>
          <cell r="AA1284">
            <v>4</v>
          </cell>
          <cell r="AB1284">
            <v>0.42857142857142855</v>
          </cell>
          <cell r="AC1284">
            <v>0.8</v>
          </cell>
          <cell r="AD1284">
            <v>8</v>
          </cell>
        </row>
        <row r="1285">
          <cell r="A1285">
            <v>28</v>
          </cell>
          <cell r="B1285">
            <v>3</v>
          </cell>
          <cell r="C1285">
            <v>3</v>
          </cell>
          <cell r="D1285">
            <v>2044</v>
          </cell>
          <cell r="E1285">
            <v>1</v>
          </cell>
          <cell r="F1285">
            <v>11</v>
          </cell>
          <cell r="G1285">
            <v>3</v>
          </cell>
          <cell r="H1285">
            <v>1</v>
          </cell>
          <cell r="I1285">
            <v>5</v>
          </cell>
          <cell r="J1285">
            <v>6</v>
          </cell>
          <cell r="K1285">
            <v>5</v>
          </cell>
          <cell r="L1285">
            <v>3</v>
          </cell>
          <cell r="M1285">
            <v>0</v>
          </cell>
          <cell r="N1285">
            <v>0</v>
          </cell>
          <cell r="O1285">
            <v>1</v>
          </cell>
          <cell r="P1285">
            <v>0</v>
          </cell>
          <cell r="Q1285">
            <v>0</v>
          </cell>
          <cell r="R1285">
            <v>0</v>
          </cell>
          <cell r="S1285">
            <v>0</v>
          </cell>
          <cell r="T1285">
            <v>3</v>
          </cell>
          <cell r="U1285">
            <v>0</v>
          </cell>
          <cell r="V1285">
            <v>0</v>
          </cell>
          <cell r="W1285">
            <v>0</v>
          </cell>
          <cell r="X1285">
            <v>0</v>
          </cell>
          <cell r="Y1285">
            <v>0</v>
          </cell>
          <cell r="Z1285">
            <v>0</v>
          </cell>
          <cell r="AA1285">
            <v>12</v>
          </cell>
          <cell r="AB1285">
            <v>0.2</v>
          </cell>
          <cell r="AC1285">
            <v>0.6</v>
          </cell>
          <cell r="AD1285">
            <v>36</v>
          </cell>
        </row>
        <row r="1286">
          <cell r="A1286">
            <v>39</v>
          </cell>
          <cell r="B1286">
            <v>1</v>
          </cell>
          <cell r="C1286">
            <v>3</v>
          </cell>
          <cell r="D1286">
            <v>13464</v>
          </cell>
          <cell r="E1286">
            <v>7</v>
          </cell>
          <cell r="F1286">
            <v>21</v>
          </cell>
          <cell r="G1286">
            <v>4</v>
          </cell>
          <cell r="H1286">
            <v>0</v>
          </cell>
          <cell r="I1286">
            <v>9</v>
          </cell>
          <cell r="J1286">
            <v>3</v>
          </cell>
          <cell r="K1286">
            <v>4</v>
          </cell>
          <cell r="L1286">
            <v>3</v>
          </cell>
          <cell r="M1286">
            <v>0</v>
          </cell>
          <cell r="N1286">
            <v>0</v>
          </cell>
          <cell r="O1286">
            <v>0</v>
          </cell>
          <cell r="P1286">
            <v>0</v>
          </cell>
          <cell r="Q1286">
            <v>1</v>
          </cell>
          <cell r="R1286">
            <v>0</v>
          </cell>
          <cell r="S1286">
            <v>0</v>
          </cell>
          <cell r="T1286">
            <v>0</v>
          </cell>
          <cell r="U1286">
            <v>0</v>
          </cell>
          <cell r="V1286">
            <v>1</v>
          </cell>
          <cell r="W1286">
            <v>0</v>
          </cell>
          <cell r="X1286">
            <v>0</v>
          </cell>
          <cell r="Y1286">
            <v>0</v>
          </cell>
          <cell r="Z1286">
            <v>0</v>
          </cell>
          <cell r="AA1286">
            <v>9</v>
          </cell>
          <cell r="AB1286">
            <v>0.77777777777777779</v>
          </cell>
          <cell r="AC1286">
            <v>0.75</v>
          </cell>
          <cell r="AD1286">
            <v>27</v>
          </cell>
        </row>
        <row r="1287">
          <cell r="A1287">
            <v>46</v>
          </cell>
          <cell r="B1287">
            <v>2</v>
          </cell>
          <cell r="C1287">
            <v>2</v>
          </cell>
          <cell r="D1287">
            <v>7991</v>
          </cell>
          <cell r="E1287">
            <v>8</v>
          </cell>
          <cell r="F1287">
            <v>15</v>
          </cell>
          <cell r="G1287">
            <v>3</v>
          </cell>
          <cell r="H1287">
            <v>0</v>
          </cell>
          <cell r="I1287">
            <v>6</v>
          </cell>
          <cell r="J1287">
            <v>3</v>
          </cell>
          <cell r="K1287">
            <v>2</v>
          </cell>
          <cell r="L1287">
            <v>2</v>
          </cell>
          <cell r="M1287">
            <v>0</v>
          </cell>
          <cell r="N1287">
            <v>0</v>
          </cell>
          <cell r="O1287">
            <v>1</v>
          </cell>
          <cell r="P1287">
            <v>0</v>
          </cell>
          <cell r="Q1287">
            <v>0</v>
          </cell>
          <cell r="R1287">
            <v>0</v>
          </cell>
          <cell r="S1287">
            <v>0</v>
          </cell>
          <cell r="T1287">
            <v>2</v>
          </cell>
          <cell r="U1287">
            <v>0</v>
          </cell>
          <cell r="V1287">
            <v>0</v>
          </cell>
          <cell r="W1287">
            <v>0</v>
          </cell>
          <cell r="X1287">
            <v>0</v>
          </cell>
          <cell r="Y1287">
            <v>0</v>
          </cell>
          <cell r="Z1287">
            <v>0</v>
          </cell>
          <cell r="AA1287">
            <v>4</v>
          </cell>
          <cell r="AB1287">
            <v>1.3333333333333333</v>
          </cell>
          <cell r="AC1287">
            <v>1</v>
          </cell>
          <cell r="AD1287">
            <v>12</v>
          </cell>
        </row>
        <row r="1288">
          <cell r="A1288">
            <v>40</v>
          </cell>
          <cell r="B1288">
            <v>2</v>
          </cell>
          <cell r="C1288">
            <v>3</v>
          </cell>
          <cell r="D1288">
            <v>3377</v>
          </cell>
          <cell r="E1288">
            <v>4</v>
          </cell>
          <cell r="F1288">
            <v>17</v>
          </cell>
          <cell r="G1288">
            <v>3</v>
          </cell>
          <cell r="H1288">
            <v>1</v>
          </cell>
          <cell r="I1288">
            <v>7</v>
          </cell>
          <cell r="J1288">
            <v>5</v>
          </cell>
          <cell r="K1288">
            <v>4</v>
          </cell>
          <cell r="L1288">
            <v>3</v>
          </cell>
          <cell r="M1288">
            <v>0</v>
          </cell>
          <cell r="N1288">
            <v>1</v>
          </cell>
          <cell r="O1288">
            <v>1</v>
          </cell>
          <cell r="P1288">
            <v>0</v>
          </cell>
          <cell r="Q1288">
            <v>0</v>
          </cell>
          <cell r="R1288">
            <v>0</v>
          </cell>
          <cell r="S1288">
            <v>0</v>
          </cell>
          <cell r="T1288">
            <v>2</v>
          </cell>
          <cell r="U1288">
            <v>0</v>
          </cell>
          <cell r="V1288">
            <v>0</v>
          </cell>
          <cell r="W1288">
            <v>0</v>
          </cell>
          <cell r="X1288">
            <v>0</v>
          </cell>
          <cell r="Y1288">
            <v>0</v>
          </cell>
          <cell r="Z1288">
            <v>0</v>
          </cell>
          <cell r="AA1288">
            <v>3</v>
          </cell>
          <cell r="AB1288">
            <v>0.5714285714285714</v>
          </cell>
          <cell r="AC1288">
            <v>0.75</v>
          </cell>
          <cell r="AD1288">
            <v>12</v>
          </cell>
        </row>
        <row r="1289">
          <cell r="A1289">
            <v>42</v>
          </cell>
          <cell r="B1289">
            <v>3</v>
          </cell>
          <cell r="C1289">
            <v>4</v>
          </cell>
          <cell r="D1289">
            <v>5538</v>
          </cell>
          <cell r="E1289">
            <v>5</v>
          </cell>
          <cell r="F1289">
            <v>18</v>
          </cell>
          <cell r="G1289">
            <v>3</v>
          </cell>
          <cell r="H1289">
            <v>2</v>
          </cell>
          <cell r="I1289">
            <v>10</v>
          </cell>
          <cell r="J1289">
            <v>2</v>
          </cell>
          <cell r="K1289">
            <v>0</v>
          </cell>
          <cell r="L1289">
            <v>0</v>
          </cell>
          <cell r="M1289">
            <v>0</v>
          </cell>
          <cell r="N1289">
            <v>0</v>
          </cell>
          <cell r="O1289">
            <v>0</v>
          </cell>
          <cell r="P1289">
            <v>0</v>
          </cell>
          <cell r="Q1289">
            <v>1</v>
          </cell>
          <cell r="R1289">
            <v>0</v>
          </cell>
          <cell r="S1289">
            <v>0</v>
          </cell>
          <cell r="T1289">
            <v>0</v>
          </cell>
          <cell r="U1289">
            <v>0</v>
          </cell>
          <cell r="V1289">
            <v>3</v>
          </cell>
          <cell r="W1289">
            <v>0</v>
          </cell>
          <cell r="X1289">
            <v>0</v>
          </cell>
          <cell r="Y1289">
            <v>0</v>
          </cell>
          <cell r="Z1289">
            <v>0</v>
          </cell>
          <cell r="AA1289">
            <v>2</v>
          </cell>
          <cell r="AB1289">
            <v>0.5</v>
          </cell>
          <cell r="AC1289">
            <v>0</v>
          </cell>
          <cell r="AD1289">
            <v>6</v>
          </cell>
        </row>
        <row r="1290">
          <cell r="A1290">
            <v>35</v>
          </cell>
          <cell r="B1290">
            <v>2</v>
          </cell>
          <cell r="C1290">
            <v>3</v>
          </cell>
          <cell r="D1290">
            <v>5762</v>
          </cell>
          <cell r="E1290">
            <v>2</v>
          </cell>
          <cell r="F1290">
            <v>14</v>
          </cell>
          <cell r="G1290">
            <v>3</v>
          </cell>
          <cell r="H1290">
            <v>1</v>
          </cell>
          <cell r="I1290">
            <v>15</v>
          </cell>
          <cell r="J1290">
            <v>6</v>
          </cell>
          <cell r="K1290">
            <v>7</v>
          </cell>
          <cell r="L1290">
            <v>7</v>
          </cell>
          <cell r="M1290">
            <v>0</v>
          </cell>
          <cell r="N1290">
            <v>0</v>
          </cell>
          <cell r="O1290">
            <v>0</v>
          </cell>
          <cell r="P1290">
            <v>0</v>
          </cell>
          <cell r="Q1290">
            <v>1</v>
          </cell>
          <cell r="R1290">
            <v>0</v>
          </cell>
          <cell r="S1290">
            <v>0</v>
          </cell>
          <cell r="T1290">
            <v>0</v>
          </cell>
          <cell r="U1290">
            <v>0</v>
          </cell>
          <cell r="V1290">
            <v>2</v>
          </cell>
          <cell r="W1290">
            <v>0</v>
          </cell>
          <cell r="X1290">
            <v>0</v>
          </cell>
          <cell r="Y1290">
            <v>0</v>
          </cell>
          <cell r="Z1290">
            <v>0</v>
          </cell>
          <cell r="AA1290">
            <v>8</v>
          </cell>
          <cell r="AB1290">
            <v>0.13333333333333333</v>
          </cell>
          <cell r="AC1290">
            <v>1</v>
          </cell>
          <cell r="AD1290">
            <v>24</v>
          </cell>
        </row>
        <row r="1291">
          <cell r="A1291">
            <v>38</v>
          </cell>
          <cell r="B1291">
            <v>3</v>
          </cell>
          <cell r="C1291">
            <v>3</v>
          </cell>
          <cell r="D1291">
            <v>2592</v>
          </cell>
          <cell r="E1291">
            <v>5</v>
          </cell>
          <cell r="F1291">
            <v>13</v>
          </cell>
          <cell r="G1291">
            <v>3</v>
          </cell>
          <cell r="H1291">
            <v>3</v>
          </cell>
          <cell r="I1291">
            <v>13</v>
          </cell>
          <cell r="J1291">
            <v>3</v>
          </cell>
          <cell r="K1291">
            <v>11</v>
          </cell>
          <cell r="L1291">
            <v>10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2</v>
          </cell>
          <cell r="AB1291">
            <v>0.38461538461538464</v>
          </cell>
          <cell r="AC1291">
            <v>0.90909090909090906</v>
          </cell>
          <cell r="AD1291">
            <v>8</v>
          </cell>
        </row>
        <row r="1292">
          <cell r="A1292">
            <v>34</v>
          </cell>
          <cell r="B1292">
            <v>4</v>
          </cell>
          <cell r="C1292">
            <v>3</v>
          </cell>
          <cell r="D1292">
            <v>5346</v>
          </cell>
          <cell r="E1292">
            <v>4</v>
          </cell>
          <cell r="F1292">
            <v>17</v>
          </cell>
          <cell r="G1292">
            <v>3</v>
          </cell>
          <cell r="H1292">
            <v>1</v>
          </cell>
          <cell r="I1292">
            <v>11</v>
          </cell>
          <cell r="J1292">
            <v>3</v>
          </cell>
          <cell r="K1292">
            <v>7</v>
          </cell>
          <cell r="L1292">
            <v>1</v>
          </cell>
          <cell r="M1292">
            <v>0</v>
          </cell>
          <cell r="N1292">
            <v>0</v>
          </cell>
          <cell r="O1292">
            <v>1</v>
          </cell>
          <cell r="P1292">
            <v>0</v>
          </cell>
          <cell r="Q1292">
            <v>0</v>
          </cell>
          <cell r="R1292">
            <v>0</v>
          </cell>
          <cell r="S1292">
            <v>0</v>
          </cell>
          <cell r="T1292">
            <v>4</v>
          </cell>
          <cell r="U1292">
            <v>0</v>
          </cell>
          <cell r="V1292">
            <v>0</v>
          </cell>
          <cell r="W1292">
            <v>0</v>
          </cell>
          <cell r="X1292">
            <v>0</v>
          </cell>
          <cell r="Y1292">
            <v>1</v>
          </cell>
          <cell r="Z1292">
            <v>0</v>
          </cell>
          <cell r="AA1292">
            <v>4</v>
          </cell>
          <cell r="AB1292">
            <v>0.36363636363636365</v>
          </cell>
          <cell r="AC1292">
            <v>0.14285714285714285</v>
          </cell>
          <cell r="AD1292">
            <v>12</v>
          </cell>
        </row>
        <row r="1293">
          <cell r="A1293">
            <v>37</v>
          </cell>
          <cell r="B1293">
            <v>4</v>
          </cell>
          <cell r="C1293">
            <v>3</v>
          </cell>
          <cell r="D1293">
            <v>4213</v>
          </cell>
          <cell r="E1293">
            <v>1</v>
          </cell>
          <cell r="F1293">
            <v>15</v>
          </cell>
          <cell r="G1293">
            <v>3</v>
          </cell>
          <cell r="H1293">
            <v>0</v>
          </cell>
          <cell r="I1293">
            <v>10</v>
          </cell>
          <cell r="J1293">
            <v>4</v>
          </cell>
          <cell r="K1293">
            <v>10</v>
          </cell>
          <cell r="L1293">
            <v>3</v>
          </cell>
          <cell r="M1293">
            <v>0</v>
          </cell>
          <cell r="N1293">
            <v>0</v>
          </cell>
          <cell r="O1293">
            <v>0</v>
          </cell>
          <cell r="P1293">
            <v>0</v>
          </cell>
          <cell r="Q1293">
            <v>1</v>
          </cell>
          <cell r="R1293">
            <v>0</v>
          </cell>
          <cell r="S1293">
            <v>0</v>
          </cell>
          <cell r="T1293">
            <v>0</v>
          </cell>
          <cell r="U1293">
            <v>0</v>
          </cell>
          <cell r="V1293">
            <v>4</v>
          </cell>
          <cell r="W1293">
            <v>0</v>
          </cell>
          <cell r="X1293">
            <v>0</v>
          </cell>
          <cell r="Y1293">
            <v>0</v>
          </cell>
          <cell r="Z1293">
            <v>0</v>
          </cell>
          <cell r="AA1293">
            <v>4</v>
          </cell>
          <cell r="AB1293">
            <v>0.1</v>
          </cell>
          <cell r="AC1293">
            <v>0.3</v>
          </cell>
          <cell r="AD1293">
            <v>8</v>
          </cell>
        </row>
        <row r="1294">
          <cell r="A1294">
            <v>39</v>
          </cell>
          <cell r="B1294">
            <v>3</v>
          </cell>
          <cell r="C1294">
            <v>3</v>
          </cell>
          <cell r="D1294">
            <v>4127</v>
          </cell>
          <cell r="E1294">
            <v>2</v>
          </cell>
          <cell r="F1294">
            <v>18</v>
          </cell>
          <cell r="G1294">
            <v>3</v>
          </cell>
          <cell r="H1294">
            <v>1</v>
          </cell>
          <cell r="I1294">
            <v>7</v>
          </cell>
          <cell r="J1294">
            <v>6</v>
          </cell>
          <cell r="K1294">
            <v>2</v>
          </cell>
          <cell r="L1294">
            <v>1</v>
          </cell>
          <cell r="M1294">
            <v>0</v>
          </cell>
          <cell r="N1294">
            <v>0</v>
          </cell>
          <cell r="O1294">
            <v>1</v>
          </cell>
          <cell r="P1294">
            <v>0</v>
          </cell>
          <cell r="Q1294">
            <v>0</v>
          </cell>
          <cell r="R1294">
            <v>0</v>
          </cell>
          <cell r="S1294">
            <v>0</v>
          </cell>
          <cell r="T1294">
            <v>3</v>
          </cell>
          <cell r="U1294">
            <v>0</v>
          </cell>
          <cell r="V1294">
            <v>0</v>
          </cell>
          <cell r="W1294">
            <v>0</v>
          </cell>
          <cell r="X1294">
            <v>0</v>
          </cell>
          <cell r="Y1294">
            <v>0</v>
          </cell>
          <cell r="Z1294">
            <v>0</v>
          </cell>
          <cell r="AA1294">
            <v>12</v>
          </cell>
          <cell r="AB1294">
            <v>0.2857142857142857</v>
          </cell>
          <cell r="AC1294">
            <v>0.5</v>
          </cell>
          <cell r="AD1294">
            <v>48</v>
          </cell>
        </row>
        <row r="1295">
          <cell r="A1295">
            <v>43</v>
          </cell>
          <cell r="B1295">
            <v>3</v>
          </cell>
          <cell r="C1295">
            <v>3</v>
          </cell>
          <cell r="D1295">
            <v>2438</v>
          </cell>
          <cell r="E1295">
            <v>4</v>
          </cell>
          <cell r="F1295">
            <v>13</v>
          </cell>
          <cell r="G1295">
            <v>3</v>
          </cell>
          <cell r="H1295">
            <v>0</v>
          </cell>
          <cell r="I1295">
            <v>7</v>
          </cell>
          <cell r="J1295">
            <v>2</v>
          </cell>
          <cell r="K1295">
            <v>3</v>
          </cell>
          <cell r="L1295">
            <v>2</v>
          </cell>
          <cell r="M1295">
            <v>0</v>
          </cell>
          <cell r="N1295">
            <v>0</v>
          </cell>
          <cell r="O1295">
            <v>1</v>
          </cell>
          <cell r="P1295">
            <v>0</v>
          </cell>
          <cell r="Q1295">
            <v>0</v>
          </cell>
          <cell r="R1295">
            <v>0</v>
          </cell>
          <cell r="S1295">
            <v>0</v>
          </cell>
          <cell r="T1295">
            <v>3</v>
          </cell>
          <cell r="U1295">
            <v>0</v>
          </cell>
          <cell r="V1295">
            <v>0</v>
          </cell>
          <cell r="W1295">
            <v>0</v>
          </cell>
          <cell r="X1295">
            <v>0</v>
          </cell>
          <cell r="Y1295">
            <v>0</v>
          </cell>
          <cell r="Z1295">
            <v>0</v>
          </cell>
          <cell r="AA1295">
            <v>3</v>
          </cell>
          <cell r="AB1295">
            <v>0.5714285714285714</v>
          </cell>
          <cell r="AC1295">
            <v>0.66666666666666663</v>
          </cell>
          <cell r="AD1295">
            <v>9</v>
          </cell>
        </row>
        <row r="1296">
          <cell r="A1296">
            <v>41</v>
          </cell>
          <cell r="B1296">
            <v>3</v>
          </cell>
          <cell r="C1296">
            <v>4</v>
          </cell>
          <cell r="D1296">
            <v>6870</v>
          </cell>
          <cell r="E1296">
            <v>3</v>
          </cell>
          <cell r="F1296">
            <v>12</v>
          </cell>
          <cell r="G1296">
            <v>3</v>
          </cell>
          <cell r="H1296">
            <v>0</v>
          </cell>
          <cell r="I1296">
            <v>11</v>
          </cell>
          <cell r="J1296">
            <v>3</v>
          </cell>
          <cell r="K1296">
            <v>3</v>
          </cell>
          <cell r="L1296">
            <v>2</v>
          </cell>
          <cell r="M1296">
            <v>0</v>
          </cell>
          <cell r="N1296">
            <v>0</v>
          </cell>
          <cell r="O1296">
            <v>1</v>
          </cell>
          <cell r="P1296">
            <v>0</v>
          </cell>
          <cell r="Q1296">
            <v>0</v>
          </cell>
          <cell r="R1296">
            <v>0</v>
          </cell>
          <cell r="S1296">
            <v>0</v>
          </cell>
          <cell r="T1296">
            <v>3</v>
          </cell>
          <cell r="U1296">
            <v>0</v>
          </cell>
          <cell r="V1296">
            <v>0</v>
          </cell>
          <cell r="W1296">
            <v>0</v>
          </cell>
          <cell r="X1296">
            <v>0</v>
          </cell>
          <cell r="Y1296">
            <v>0</v>
          </cell>
          <cell r="Z1296">
            <v>0</v>
          </cell>
          <cell r="AA1296">
            <v>4</v>
          </cell>
          <cell r="AB1296">
            <v>0.27272727272727271</v>
          </cell>
          <cell r="AC1296">
            <v>0.66666666666666663</v>
          </cell>
          <cell r="AD1296">
            <v>4</v>
          </cell>
        </row>
        <row r="1297">
          <cell r="A1297">
            <v>41</v>
          </cell>
          <cell r="B1297">
            <v>1</v>
          </cell>
          <cell r="C1297">
            <v>3</v>
          </cell>
          <cell r="D1297">
            <v>10447</v>
          </cell>
          <cell r="E1297">
            <v>0</v>
          </cell>
          <cell r="F1297">
            <v>13</v>
          </cell>
          <cell r="G1297">
            <v>3</v>
          </cell>
          <cell r="H1297">
            <v>1</v>
          </cell>
          <cell r="I1297">
            <v>23</v>
          </cell>
          <cell r="J1297">
            <v>3</v>
          </cell>
          <cell r="K1297">
            <v>22</v>
          </cell>
          <cell r="L1297">
            <v>14</v>
          </cell>
          <cell r="M1297">
            <v>1</v>
          </cell>
          <cell r="N1297">
            <v>1</v>
          </cell>
          <cell r="O1297">
            <v>0</v>
          </cell>
          <cell r="P1297">
            <v>1</v>
          </cell>
          <cell r="Q1297">
            <v>0</v>
          </cell>
          <cell r="R1297">
            <v>0</v>
          </cell>
          <cell r="S1297">
            <v>0</v>
          </cell>
          <cell r="T1297">
            <v>0</v>
          </cell>
          <cell r="U1297">
            <v>1</v>
          </cell>
          <cell r="V1297">
            <v>0</v>
          </cell>
          <cell r="W1297">
            <v>0</v>
          </cell>
          <cell r="X1297">
            <v>0</v>
          </cell>
          <cell r="Y1297">
            <v>0</v>
          </cell>
          <cell r="Z1297">
            <v>0</v>
          </cell>
          <cell r="AA1297">
            <v>9</v>
          </cell>
          <cell r="AB1297">
            <v>0</v>
          </cell>
          <cell r="AC1297">
            <v>0.63636363636363635</v>
          </cell>
          <cell r="AD1297">
            <v>36</v>
          </cell>
        </row>
        <row r="1298">
          <cell r="A1298">
            <v>30</v>
          </cell>
          <cell r="B1298">
            <v>3</v>
          </cell>
          <cell r="C1298">
            <v>3</v>
          </cell>
          <cell r="D1298">
            <v>9667</v>
          </cell>
          <cell r="E1298">
            <v>9</v>
          </cell>
          <cell r="F1298">
            <v>14</v>
          </cell>
          <cell r="G1298">
            <v>3</v>
          </cell>
          <cell r="H1298">
            <v>0</v>
          </cell>
          <cell r="I1298">
            <v>9</v>
          </cell>
          <cell r="J1298">
            <v>3</v>
          </cell>
          <cell r="K1298">
            <v>7</v>
          </cell>
          <cell r="L1298">
            <v>7</v>
          </cell>
          <cell r="M1298">
            <v>0</v>
          </cell>
          <cell r="N1298">
            <v>1</v>
          </cell>
          <cell r="O1298">
            <v>0</v>
          </cell>
          <cell r="P1298">
            <v>0</v>
          </cell>
          <cell r="Q1298">
            <v>1</v>
          </cell>
          <cell r="R1298">
            <v>0</v>
          </cell>
          <cell r="S1298">
            <v>0</v>
          </cell>
          <cell r="T1298">
            <v>0</v>
          </cell>
          <cell r="U1298">
            <v>0</v>
          </cell>
          <cell r="V1298">
            <v>3</v>
          </cell>
          <cell r="W1298">
            <v>0</v>
          </cell>
          <cell r="X1298">
            <v>0</v>
          </cell>
          <cell r="Y1298">
            <v>0</v>
          </cell>
          <cell r="Z1298">
            <v>0</v>
          </cell>
          <cell r="AA1298">
            <v>3</v>
          </cell>
          <cell r="AB1298">
            <v>1</v>
          </cell>
          <cell r="AC1298">
            <v>1</v>
          </cell>
          <cell r="AD1298">
            <v>6</v>
          </cell>
        </row>
        <row r="1299">
          <cell r="A1299">
            <v>26</v>
          </cell>
          <cell r="B1299">
            <v>2</v>
          </cell>
          <cell r="C1299">
            <v>3</v>
          </cell>
          <cell r="D1299">
            <v>2148</v>
          </cell>
          <cell r="E1299">
            <v>0</v>
          </cell>
          <cell r="F1299">
            <v>11</v>
          </cell>
          <cell r="G1299">
            <v>3</v>
          </cell>
          <cell r="H1299">
            <v>0</v>
          </cell>
          <cell r="I1299">
            <v>6</v>
          </cell>
          <cell r="J1299">
            <v>3</v>
          </cell>
          <cell r="K1299">
            <v>5</v>
          </cell>
          <cell r="L1299">
            <v>1</v>
          </cell>
          <cell r="M1299">
            <v>1</v>
          </cell>
          <cell r="N1299">
            <v>1</v>
          </cell>
          <cell r="O1299">
            <v>0</v>
          </cell>
          <cell r="P1299">
            <v>0</v>
          </cell>
          <cell r="Q1299">
            <v>1</v>
          </cell>
          <cell r="R1299">
            <v>0</v>
          </cell>
          <cell r="S1299">
            <v>0</v>
          </cell>
          <cell r="T1299">
            <v>0</v>
          </cell>
          <cell r="U1299">
            <v>0</v>
          </cell>
          <cell r="V1299">
            <v>2</v>
          </cell>
          <cell r="W1299">
            <v>0</v>
          </cell>
          <cell r="X1299">
            <v>0</v>
          </cell>
          <cell r="Y1299">
            <v>0</v>
          </cell>
          <cell r="Z1299">
            <v>1</v>
          </cell>
          <cell r="AA1299">
            <v>8</v>
          </cell>
          <cell r="AB1299">
            <v>0</v>
          </cell>
          <cell r="AC1299">
            <v>0.2</v>
          </cell>
          <cell r="AD1299">
            <v>24</v>
          </cell>
        </row>
        <row r="1300">
          <cell r="A1300">
            <v>46</v>
          </cell>
          <cell r="B1300">
            <v>2</v>
          </cell>
          <cell r="C1300">
            <v>3</v>
          </cell>
          <cell r="D1300">
            <v>8926</v>
          </cell>
          <cell r="E1300">
            <v>4</v>
          </cell>
          <cell r="F1300">
            <v>22</v>
          </cell>
          <cell r="G1300">
            <v>4</v>
          </cell>
          <cell r="H1300">
            <v>1</v>
          </cell>
          <cell r="I1300">
            <v>13</v>
          </cell>
          <cell r="J1300">
            <v>2</v>
          </cell>
          <cell r="K1300">
            <v>9</v>
          </cell>
          <cell r="L1300">
            <v>7</v>
          </cell>
          <cell r="M1300">
            <v>0</v>
          </cell>
          <cell r="N1300">
            <v>1</v>
          </cell>
          <cell r="O1300">
            <v>0</v>
          </cell>
          <cell r="P1300">
            <v>0</v>
          </cell>
          <cell r="Q1300">
            <v>1</v>
          </cell>
          <cell r="R1300">
            <v>0</v>
          </cell>
          <cell r="S1300">
            <v>0</v>
          </cell>
          <cell r="T1300">
            <v>0</v>
          </cell>
          <cell r="U1300">
            <v>0</v>
          </cell>
          <cell r="V1300">
            <v>2</v>
          </cell>
          <cell r="W1300">
            <v>0</v>
          </cell>
          <cell r="X1300">
            <v>0</v>
          </cell>
          <cell r="Y1300">
            <v>0</v>
          </cell>
          <cell r="Z1300">
            <v>0</v>
          </cell>
          <cell r="AA1300">
            <v>8</v>
          </cell>
          <cell r="AB1300">
            <v>0.30769230769230771</v>
          </cell>
          <cell r="AC1300">
            <v>0.77777777777777779</v>
          </cell>
          <cell r="AD1300">
            <v>32</v>
          </cell>
        </row>
        <row r="1301">
          <cell r="A1301">
            <v>40</v>
          </cell>
          <cell r="B1301">
            <v>3</v>
          </cell>
          <cell r="C1301">
            <v>3</v>
          </cell>
          <cell r="D1301">
            <v>6513</v>
          </cell>
          <cell r="E1301">
            <v>4</v>
          </cell>
          <cell r="F1301">
            <v>17</v>
          </cell>
          <cell r="G1301">
            <v>3</v>
          </cell>
          <cell r="H1301">
            <v>1</v>
          </cell>
          <cell r="I1301">
            <v>12</v>
          </cell>
          <cell r="J1301">
            <v>3</v>
          </cell>
          <cell r="K1301">
            <v>5</v>
          </cell>
          <cell r="L1301">
            <v>3</v>
          </cell>
          <cell r="M1301">
            <v>0</v>
          </cell>
          <cell r="N1301">
            <v>1</v>
          </cell>
          <cell r="O1301">
            <v>1</v>
          </cell>
          <cell r="P1301">
            <v>0</v>
          </cell>
          <cell r="Q1301">
            <v>0</v>
          </cell>
          <cell r="R1301">
            <v>0</v>
          </cell>
          <cell r="S1301">
            <v>0</v>
          </cell>
          <cell r="T1301">
            <v>3</v>
          </cell>
          <cell r="U1301">
            <v>0</v>
          </cell>
          <cell r="V1301">
            <v>0</v>
          </cell>
          <cell r="W1301">
            <v>0</v>
          </cell>
          <cell r="X1301">
            <v>0</v>
          </cell>
          <cell r="Y1301">
            <v>0</v>
          </cell>
          <cell r="Z1301">
            <v>0</v>
          </cell>
          <cell r="AA1301">
            <v>12</v>
          </cell>
          <cell r="AB1301">
            <v>0.33333333333333331</v>
          </cell>
          <cell r="AC1301">
            <v>0.6</v>
          </cell>
          <cell r="AD1301">
            <v>48</v>
          </cell>
        </row>
        <row r="1302">
          <cell r="A1302">
            <v>34</v>
          </cell>
          <cell r="B1302">
            <v>2</v>
          </cell>
          <cell r="C1302">
            <v>4</v>
          </cell>
          <cell r="D1302">
            <v>6799</v>
          </cell>
          <cell r="E1302">
            <v>1</v>
          </cell>
          <cell r="F1302">
            <v>21</v>
          </cell>
          <cell r="G1302">
            <v>4</v>
          </cell>
          <cell r="H1302">
            <v>2</v>
          </cell>
          <cell r="I1302">
            <v>10</v>
          </cell>
          <cell r="J1302">
            <v>5</v>
          </cell>
          <cell r="K1302">
            <v>10</v>
          </cell>
          <cell r="L1302">
            <v>8</v>
          </cell>
          <cell r="M1302">
            <v>0</v>
          </cell>
          <cell r="N1302">
            <v>0</v>
          </cell>
          <cell r="O1302">
            <v>0</v>
          </cell>
          <cell r="P1302">
            <v>0</v>
          </cell>
          <cell r="Q1302">
            <v>0</v>
          </cell>
          <cell r="R1302">
            <v>0</v>
          </cell>
          <cell r="S1302">
            <v>1</v>
          </cell>
          <cell r="T1302">
            <v>0</v>
          </cell>
          <cell r="U1302">
            <v>0</v>
          </cell>
          <cell r="V1302">
            <v>0</v>
          </cell>
          <cell r="W1302">
            <v>0</v>
          </cell>
          <cell r="X1302">
            <v>2</v>
          </cell>
          <cell r="Y1302">
            <v>0</v>
          </cell>
          <cell r="Z1302">
            <v>0</v>
          </cell>
          <cell r="AA1302">
            <v>6</v>
          </cell>
          <cell r="AB1302">
            <v>0.1</v>
          </cell>
          <cell r="AC1302">
            <v>0.8</v>
          </cell>
          <cell r="AD1302">
            <v>18</v>
          </cell>
        </row>
        <row r="1303">
          <cell r="A1303">
            <v>58</v>
          </cell>
          <cell r="B1303">
            <v>3</v>
          </cell>
          <cell r="C1303">
            <v>3</v>
          </cell>
          <cell r="D1303">
            <v>16291</v>
          </cell>
          <cell r="E1303">
            <v>4</v>
          </cell>
          <cell r="F1303">
            <v>22</v>
          </cell>
          <cell r="G1303">
            <v>4</v>
          </cell>
          <cell r="H1303">
            <v>1</v>
          </cell>
          <cell r="I1303">
            <v>37</v>
          </cell>
          <cell r="J1303">
            <v>0</v>
          </cell>
          <cell r="K1303">
            <v>16</v>
          </cell>
          <cell r="L1303">
            <v>9</v>
          </cell>
          <cell r="M1303">
            <v>0</v>
          </cell>
          <cell r="N1303">
            <v>0</v>
          </cell>
          <cell r="O1303">
            <v>0</v>
          </cell>
          <cell r="P1303">
            <v>0</v>
          </cell>
          <cell r="Q1303">
            <v>1</v>
          </cell>
          <cell r="R1303">
            <v>0</v>
          </cell>
          <cell r="S1303">
            <v>0</v>
          </cell>
          <cell r="T1303">
            <v>0</v>
          </cell>
          <cell r="U1303">
            <v>0</v>
          </cell>
          <cell r="V1303">
            <v>3</v>
          </cell>
          <cell r="W1303">
            <v>0</v>
          </cell>
          <cell r="X1303">
            <v>0</v>
          </cell>
          <cell r="Y1303">
            <v>0</v>
          </cell>
          <cell r="Z1303">
            <v>0</v>
          </cell>
          <cell r="AA1303">
            <v>4</v>
          </cell>
          <cell r="AB1303">
            <v>0.10810810810810811</v>
          </cell>
          <cell r="AC1303">
            <v>0.5625</v>
          </cell>
          <cell r="AD1303">
            <v>16</v>
          </cell>
        </row>
        <row r="1304">
          <cell r="A1304">
            <v>35</v>
          </cell>
          <cell r="B1304">
            <v>4</v>
          </cell>
          <cell r="C1304">
            <v>1</v>
          </cell>
          <cell r="D1304">
            <v>2705</v>
          </cell>
          <cell r="E1304">
            <v>0</v>
          </cell>
          <cell r="F1304">
            <v>16</v>
          </cell>
          <cell r="G1304">
            <v>3</v>
          </cell>
          <cell r="H1304">
            <v>1</v>
          </cell>
          <cell r="I1304">
            <v>6</v>
          </cell>
          <cell r="J1304">
            <v>2</v>
          </cell>
          <cell r="K1304">
            <v>5</v>
          </cell>
          <cell r="L1304">
            <v>4</v>
          </cell>
          <cell r="M1304">
            <v>0</v>
          </cell>
          <cell r="N1304">
            <v>0</v>
          </cell>
          <cell r="O1304">
            <v>0</v>
          </cell>
          <cell r="P1304">
            <v>0</v>
          </cell>
          <cell r="Q1304">
            <v>1</v>
          </cell>
          <cell r="R1304">
            <v>0</v>
          </cell>
          <cell r="S1304">
            <v>0</v>
          </cell>
          <cell r="T1304">
            <v>0</v>
          </cell>
          <cell r="U1304">
            <v>0</v>
          </cell>
          <cell r="V1304">
            <v>4</v>
          </cell>
          <cell r="W1304">
            <v>0</v>
          </cell>
          <cell r="X1304">
            <v>0</v>
          </cell>
          <cell r="Y1304">
            <v>0</v>
          </cell>
          <cell r="Z1304">
            <v>0</v>
          </cell>
          <cell r="AA1304">
            <v>6</v>
          </cell>
          <cell r="AB1304">
            <v>0</v>
          </cell>
          <cell r="AC1304">
            <v>0.8</v>
          </cell>
          <cell r="AD1304">
            <v>12</v>
          </cell>
        </row>
        <row r="1305">
          <cell r="A1305">
            <v>47</v>
          </cell>
          <cell r="B1305">
            <v>3</v>
          </cell>
          <cell r="C1305">
            <v>2</v>
          </cell>
          <cell r="D1305">
            <v>10333</v>
          </cell>
          <cell r="E1305">
            <v>8</v>
          </cell>
          <cell r="F1305">
            <v>12</v>
          </cell>
          <cell r="G1305">
            <v>3</v>
          </cell>
          <cell r="H1305">
            <v>1</v>
          </cell>
          <cell r="I1305">
            <v>28</v>
          </cell>
          <cell r="J1305">
            <v>4</v>
          </cell>
          <cell r="K1305">
            <v>22</v>
          </cell>
          <cell r="L1305">
            <v>11</v>
          </cell>
          <cell r="M1305">
            <v>1</v>
          </cell>
          <cell r="N1305">
            <v>1</v>
          </cell>
          <cell r="O1305">
            <v>1</v>
          </cell>
          <cell r="P1305">
            <v>0</v>
          </cell>
          <cell r="Q1305">
            <v>0</v>
          </cell>
          <cell r="R1305">
            <v>0</v>
          </cell>
          <cell r="S1305">
            <v>0</v>
          </cell>
          <cell r="T1305">
            <v>3</v>
          </cell>
          <cell r="U1305">
            <v>0</v>
          </cell>
          <cell r="V1305">
            <v>0</v>
          </cell>
          <cell r="W1305">
            <v>0</v>
          </cell>
          <cell r="X1305">
            <v>0</v>
          </cell>
          <cell r="Y1305">
            <v>0</v>
          </cell>
          <cell r="Z1305">
            <v>0</v>
          </cell>
          <cell r="AA1305">
            <v>6</v>
          </cell>
          <cell r="AB1305">
            <v>0.2857142857142857</v>
          </cell>
          <cell r="AC1305">
            <v>0.5</v>
          </cell>
          <cell r="AD1305">
            <v>18</v>
          </cell>
        </row>
        <row r="1306">
          <cell r="A1306">
            <v>40</v>
          </cell>
          <cell r="B1306">
            <v>3</v>
          </cell>
          <cell r="C1306">
            <v>3</v>
          </cell>
          <cell r="D1306">
            <v>4448</v>
          </cell>
          <cell r="E1306">
            <v>2</v>
          </cell>
          <cell r="F1306">
            <v>12</v>
          </cell>
          <cell r="G1306">
            <v>3</v>
          </cell>
          <cell r="H1306">
            <v>1</v>
          </cell>
          <cell r="I1306">
            <v>15</v>
          </cell>
          <cell r="J1306">
            <v>3</v>
          </cell>
          <cell r="K1306">
            <v>7</v>
          </cell>
          <cell r="L1306">
            <v>4</v>
          </cell>
          <cell r="M1306">
            <v>0</v>
          </cell>
          <cell r="N1306">
            <v>1</v>
          </cell>
          <cell r="O1306">
            <v>1</v>
          </cell>
          <cell r="P1306">
            <v>0</v>
          </cell>
          <cell r="Q1306">
            <v>0</v>
          </cell>
          <cell r="R1306">
            <v>0</v>
          </cell>
          <cell r="S1306">
            <v>0</v>
          </cell>
          <cell r="T1306">
            <v>3</v>
          </cell>
          <cell r="U1306">
            <v>0</v>
          </cell>
          <cell r="V1306">
            <v>0</v>
          </cell>
          <cell r="W1306">
            <v>0</v>
          </cell>
          <cell r="X1306">
            <v>0</v>
          </cell>
          <cell r="Y1306">
            <v>0</v>
          </cell>
          <cell r="Z1306">
            <v>0</v>
          </cell>
          <cell r="AA1306">
            <v>2</v>
          </cell>
          <cell r="AB1306">
            <v>0.13333333333333333</v>
          </cell>
          <cell r="AC1306">
            <v>0.5714285714285714</v>
          </cell>
          <cell r="AD1306">
            <v>4</v>
          </cell>
        </row>
        <row r="1307">
          <cell r="A1307">
            <v>54</v>
          </cell>
          <cell r="B1307">
            <v>4</v>
          </cell>
          <cell r="C1307">
            <v>3</v>
          </cell>
          <cell r="D1307">
            <v>6854</v>
          </cell>
          <cell r="E1307">
            <v>4</v>
          </cell>
          <cell r="F1307">
            <v>15</v>
          </cell>
          <cell r="G1307">
            <v>3</v>
          </cell>
          <cell r="H1307">
            <v>1</v>
          </cell>
          <cell r="I1307">
            <v>14</v>
          </cell>
          <cell r="J1307">
            <v>2</v>
          </cell>
          <cell r="K1307">
            <v>7</v>
          </cell>
          <cell r="L1307">
            <v>1</v>
          </cell>
          <cell r="M1307">
            <v>0</v>
          </cell>
          <cell r="N1307">
            <v>1</v>
          </cell>
          <cell r="O1307">
            <v>0</v>
          </cell>
          <cell r="P1307">
            <v>0</v>
          </cell>
          <cell r="Q1307">
            <v>1</v>
          </cell>
          <cell r="R1307">
            <v>0</v>
          </cell>
          <cell r="S1307">
            <v>0</v>
          </cell>
          <cell r="T1307">
            <v>0</v>
          </cell>
          <cell r="U1307">
            <v>0</v>
          </cell>
          <cell r="V1307">
            <v>4</v>
          </cell>
          <cell r="W1307">
            <v>0</v>
          </cell>
          <cell r="X1307">
            <v>0</v>
          </cell>
          <cell r="Y1307">
            <v>0</v>
          </cell>
          <cell r="Z1307">
            <v>0</v>
          </cell>
          <cell r="AA1307">
            <v>16</v>
          </cell>
          <cell r="AB1307">
            <v>0.2857142857142857</v>
          </cell>
          <cell r="AC1307">
            <v>0.14285714285714285</v>
          </cell>
          <cell r="AD1307">
            <v>32</v>
          </cell>
        </row>
        <row r="1308">
          <cell r="A1308">
            <v>31</v>
          </cell>
          <cell r="B1308">
            <v>4</v>
          </cell>
          <cell r="C1308">
            <v>3</v>
          </cell>
          <cell r="D1308">
            <v>9637</v>
          </cell>
          <cell r="E1308">
            <v>2</v>
          </cell>
          <cell r="F1308">
            <v>14</v>
          </cell>
          <cell r="G1308">
            <v>3</v>
          </cell>
          <cell r="H1308">
            <v>2</v>
          </cell>
          <cell r="I1308">
            <v>9</v>
          </cell>
          <cell r="J1308">
            <v>3</v>
          </cell>
          <cell r="K1308">
            <v>3</v>
          </cell>
          <cell r="L1308">
            <v>2</v>
          </cell>
          <cell r="M1308">
            <v>0</v>
          </cell>
          <cell r="N1308">
            <v>1</v>
          </cell>
          <cell r="O1308">
            <v>0</v>
          </cell>
          <cell r="P1308">
            <v>1</v>
          </cell>
          <cell r="Q1308">
            <v>0</v>
          </cell>
          <cell r="R1308">
            <v>0</v>
          </cell>
          <cell r="S1308">
            <v>0</v>
          </cell>
          <cell r="T1308">
            <v>0</v>
          </cell>
          <cell r="U1308">
            <v>4</v>
          </cell>
          <cell r="V1308">
            <v>0</v>
          </cell>
          <cell r="W1308">
            <v>0</v>
          </cell>
          <cell r="X1308">
            <v>0</v>
          </cell>
          <cell r="Y1308">
            <v>1</v>
          </cell>
          <cell r="Z1308">
            <v>0</v>
          </cell>
          <cell r="AA1308">
            <v>1</v>
          </cell>
          <cell r="AB1308">
            <v>0.22222222222222221</v>
          </cell>
          <cell r="AC1308">
            <v>0.66666666666666663</v>
          </cell>
          <cell r="AD1308">
            <v>4</v>
          </cell>
        </row>
        <row r="1309">
          <cell r="A1309">
            <v>28</v>
          </cell>
          <cell r="B1309">
            <v>3</v>
          </cell>
          <cell r="C1309">
            <v>3</v>
          </cell>
          <cell r="D1309">
            <v>3591</v>
          </cell>
          <cell r="E1309">
            <v>1</v>
          </cell>
          <cell r="F1309">
            <v>25</v>
          </cell>
          <cell r="G1309">
            <v>4</v>
          </cell>
          <cell r="H1309">
            <v>1</v>
          </cell>
          <cell r="I1309">
            <v>3</v>
          </cell>
          <cell r="J1309">
            <v>3</v>
          </cell>
          <cell r="K1309">
            <v>3</v>
          </cell>
          <cell r="L1309">
            <v>2</v>
          </cell>
          <cell r="M1309">
            <v>0</v>
          </cell>
          <cell r="N1309">
            <v>1</v>
          </cell>
          <cell r="O1309">
            <v>0</v>
          </cell>
          <cell r="P1309">
            <v>0</v>
          </cell>
          <cell r="Q1309">
            <v>1</v>
          </cell>
          <cell r="R1309">
            <v>0</v>
          </cell>
          <cell r="S1309">
            <v>0</v>
          </cell>
          <cell r="T1309">
            <v>0</v>
          </cell>
          <cell r="U1309">
            <v>0</v>
          </cell>
          <cell r="V1309">
            <v>3</v>
          </cell>
          <cell r="W1309">
            <v>0</v>
          </cell>
          <cell r="X1309">
            <v>0</v>
          </cell>
          <cell r="Y1309">
            <v>0</v>
          </cell>
          <cell r="Z1309">
            <v>0</v>
          </cell>
          <cell r="AA1309">
            <v>3</v>
          </cell>
          <cell r="AB1309">
            <v>0.33333333333333331</v>
          </cell>
          <cell r="AC1309">
            <v>0.66666666666666663</v>
          </cell>
          <cell r="AD1309">
            <v>9</v>
          </cell>
        </row>
        <row r="1310">
          <cell r="A1310">
            <v>38</v>
          </cell>
          <cell r="B1310">
            <v>4</v>
          </cell>
          <cell r="C1310">
            <v>1</v>
          </cell>
          <cell r="D1310">
            <v>5405</v>
          </cell>
          <cell r="E1310">
            <v>2</v>
          </cell>
          <cell r="F1310">
            <v>20</v>
          </cell>
          <cell r="G1310">
            <v>4</v>
          </cell>
          <cell r="H1310">
            <v>2</v>
          </cell>
          <cell r="I1310">
            <v>20</v>
          </cell>
          <cell r="J1310">
            <v>4</v>
          </cell>
          <cell r="K1310">
            <v>4</v>
          </cell>
          <cell r="L1310">
            <v>2</v>
          </cell>
          <cell r="M1310">
            <v>1</v>
          </cell>
          <cell r="N1310">
            <v>1</v>
          </cell>
          <cell r="O1310">
            <v>0</v>
          </cell>
          <cell r="P1310">
            <v>1</v>
          </cell>
          <cell r="Q1310">
            <v>0</v>
          </cell>
          <cell r="R1310">
            <v>0</v>
          </cell>
          <cell r="S1310">
            <v>0</v>
          </cell>
          <cell r="T1310">
            <v>0</v>
          </cell>
          <cell r="U1310">
            <v>4</v>
          </cell>
          <cell r="V1310">
            <v>0</v>
          </cell>
          <cell r="W1310">
            <v>0</v>
          </cell>
          <cell r="X1310">
            <v>0</v>
          </cell>
          <cell r="Y1310">
            <v>0</v>
          </cell>
          <cell r="Z1310">
            <v>1</v>
          </cell>
          <cell r="AA1310">
            <v>8</v>
          </cell>
          <cell r="AB1310">
            <v>0.1</v>
          </cell>
          <cell r="AC1310">
            <v>0.5</v>
          </cell>
          <cell r="AD1310">
            <v>8</v>
          </cell>
        </row>
        <row r="1311">
          <cell r="A1311">
            <v>26</v>
          </cell>
          <cell r="B1311">
            <v>3</v>
          </cell>
          <cell r="C1311">
            <v>3</v>
          </cell>
          <cell r="D1311">
            <v>4684</v>
          </cell>
          <cell r="E1311">
            <v>1</v>
          </cell>
          <cell r="F1311">
            <v>13</v>
          </cell>
          <cell r="G1311">
            <v>3</v>
          </cell>
          <cell r="H1311">
            <v>0</v>
          </cell>
          <cell r="I1311">
            <v>5</v>
          </cell>
          <cell r="J1311">
            <v>4</v>
          </cell>
          <cell r="K1311">
            <v>5</v>
          </cell>
          <cell r="L1311">
            <v>3</v>
          </cell>
          <cell r="M1311">
            <v>0</v>
          </cell>
          <cell r="N1311">
            <v>0</v>
          </cell>
          <cell r="O1311">
            <v>0</v>
          </cell>
          <cell r="P1311">
            <v>0</v>
          </cell>
          <cell r="Q1311">
            <v>1</v>
          </cell>
          <cell r="R1311">
            <v>0</v>
          </cell>
          <cell r="S1311">
            <v>0</v>
          </cell>
          <cell r="T1311">
            <v>0</v>
          </cell>
          <cell r="U1311">
            <v>0</v>
          </cell>
          <cell r="V1311">
            <v>3</v>
          </cell>
          <cell r="W1311">
            <v>0</v>
          </cell>
          <cell r="X1311">
            <v>0</v>
          </cell>
          <cell r="Y1311">
            <v>0</v>
          </cell>
          <cell r="Z1311">
            <v>0</v>
          </cell>
          <cell r="AA1311">
            <v>12</v>
          </cell>
          <cell r="AB1311">
            <v>0.2</v>
          </cell>
          <cell r="AC1311">
            <v>0.6</v>
          </cell>
          <cell r="AD1311">
            <v>12</v>
          </cell>
        </row>
        <row r="1312">
          <cell r="A1312">
            <v>58</v>
          </cell>
          <cell r="B1312">
            <v>4</v>
          </cell>
          <cell r="C1312">
            <v>3</v>
          </cell>
          <cell r="D1312">
            <v>15787</v>
          </cell>
          <cell r="E1312">
            <v>2</v>
          </cell>
          <cell r="F1312">
            <v>14</v>
          </cell>
          <cell r="G1312">
            <v>3</v>
          </cell>
          <cell r="H1312">
            <v>0</v>
          </cell>
          <cell r="I1312">
            <v>23</v>
          </cell>
          <cell r="J1312">
            <v>3</v>
          </cell>
          <cell r="K1312">
            <v>2</v>
          </cell>
          <cell r="L1312">
            <v>2</v>
          </cell>
          <cell r="M1312">
            <v>1</v>
          </cell>
          <cell r="N1312">
            <v>0</v>
          </cell>
          <cell r="O1312">
            <v>1</v>
          </cell>
          <cell r="P1312">
            <v>0</v>
          </cell>
          <cell r="Q1312">
            <v>0</v>
          </cell>
          <cell r="R1312">
            <v>0</v>
          </cell>
          <cell r="S1312">
            <v>0</v>
          </cell>
          <cell r="T1312">
            <v>4</v>
          </cell>
          <cell r="U1312">
            <v>0</v>
          </cell>
          <cell r="V1312">
            <v>0</v>
          </cell>
          <cell r="W1312">
            <v>0</v>
          </cell>
          <cell r="X1312">
            <v>0</v>
          </cell>
          <cell r="Y1312">
            <v>1</v>
          </cell>
          <cell r="Z1312">
            <v>1</v>
          </cell>
          <cell r="AA1312">
            <v>3</v>
          </cell>
          <cell r="AB1312">
            <v>8.6956521739130432E-2</v>
          </cell>
          <cell r="AC1312">
            <v>1</v>
          </cell>
          <cell r="AD1312">
            <v>6</v>
          </cell>
        </row>
        <row r="1313">
          <cell r="A1313">
            <v>18</v>
          </cell>
          <cell r="B1313">
            <v>3</v>
          </cell>
          <cell r="C1313">
            <v>3</v>
          </cell>
          <cell r="D1313">
            <v>1514</v>
          </cell>
          <cell r="E1313">
            <v>1</v>
          </cell>
          <cell r="F1313">
            <v>16</v>
          </cell>
          <cell r="G1313">
            <v>3</v>
          </cell>
          <cell r="H1313">
            <v>0</v>
          </cell>
          <cell r="I1313">
            <v>0</v>
          </cell>
          <cell r="J1313">
            <v>4</v>
          </cell>
          <cell r="K1313">
            <v>0</v>
          </cell>
          <cell r="L1313">
            <v>0</v>
          </cell>
          <cell r="M1313">
            <v>0</v>
          </cell>
          <cell r="N1313">
            <v>1</v>
          </cell>
          <cell r="O1313">
            <v>0</v>
          </cell>
          <cell r="P1313">
            <v>0</v>
          </cell>
          <cell r="Q1313">
            <v>1</v>
          </cell>
          <cell r="R1313">
            <v>0</v>
          </cell>
          <cell r="S1313">
            <v>0</v>
          </cell>
          <cell r="T1313">
            <v>0</v>
          </cell>
          <cell r="U1313">
            <v>0</v>
          </cell>
          <cell r="V1313">
            <v>3</v>
          </cell>
          <cell r="W1313">
            <v>0</v>
          </cell>
          <cell r="X1313">
            <v>0</v>
          </cell>
          <cell r="Y1313">
            <v>0</v>
          </cell>
          <cell r="Z1313">
            <v>0</v>
          </cell>
          <cell r="AA1313">
            <v>6</v>
          </cell>
          <cell r="AB1313">
            <v>0</v>
          </cell>
          <cell r="AC1313">
            <v>0</v>
          </cell>
          <cell r="AD1313">
            <v>18</v>
          </cell>
        </row>
        <row r="1314">
          <cell r="A1314">
            <v>31</v>
          </cell>
          <cell r="B1314">
            <v>5</v>
          </cell>
          <cell r="C1314">
            <v>4</v>
          </cell>
          <cell r="D1314">
            <v>2956</v>
          </cell>
          <cell r="E1314">
            <v>0</v>
          </cell>
          <cell r="F1314">
            <v>17</v>
          </cell>
          <cell r="G1314">
            <v>3</v>
          </cell>
          <cell r="H1314">
            <v>0</v>
          </cell>
          <cell r="I1314">
            <v>2</v>
          </cell>
          <cell r="J1314">
            <v>4</v>
          </cell>
          <cell r="K1314">
            <v>1</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4</v>
          </cell>
          <cell r="AB1314">
            <v>0</v>
          </cell>
          <cell r="AC1314">
            <v>0</v>
          </cell>
          <cell r="AD1314">
            <v>12</v>
          </cell>
        </row>
        <row r="1315">
          <cell r="A1315">
            <v>29</v>
          </cell>
          <cell r="B1315">
            <v>3</v>
          </cell>
          <cell r="C1315">
            <v>2</v>
          </cell>
          <cell r="D1315">
            <v>2335</v>
          </cell>
          <cell r="E1315">
            <v>4</v>
          </cell>
          <cell r="F1315">
            <v>15</v>
          </cell>
          <cell r="G1315">
            <v>3</v>
          </cell>
          <cell r="H1315">
            <v>3</v>
          </cell>
          <cell r="I1315">
            <v>4</v>
          </cell>
          <cell r="J1315">
            <v>3</v>
          </cell>
          <cell r="K1315">
            <v>2</v>
          </cell>
          <cell r="L1315">
            <v>2</v>
          </cell>
          <cell r="M1315">
            <v>1</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1</v>
          </cell>
          <cell r="AB1315">
            <v>1</v>
          </cell>
          <cell r="AC1315">
            <v>1</v>
          </cell>
          <cell r="AD1315">
            <v>4</v>
          </cell>
        </row>
        <row r="1316">
          <cell r="A1316">
            <v>45</v>
          </cell>
          <cell r="B1316">
            <v>4</v>
          </cell>
          <cell r="C1316">
            <v>3</v>
          </cell>
          <cell r="D1316">
            <v>5154</v>
          </cell>
          <cell r="E1316">
            <v>4</v>
          </cell>
          <cell r="F1316">
            <v>22</v>
          </cell>
          <cell r="G1316">
            <v>4</v>
          </cell>
          <cell r="H1316">
            <v>2</v>
          </cell>
          <cell r="I1316">
            <v>10</v>
          </cell>
          <cell r="J1316">
            <v>3</v>
          </cell>
          <cell r="K1316">
            <v>8</v>
          </cell>
          <cell r="L1316">
            <v>7</v>
          </cell>
          <cell r="M1316">
            <v>0</v>
          </cell>
          <cell r="N1316">
            <v>1</v>
          </cell>
          <cell r="O1316">
            <v>1</v>
          </cell>
          <cell r="P1316">
            <v>0</v>
          </cell>
          <cell r="Q1316">
            <v>0</v>
          </cell>
          <cell r="R1316">
            <v>0</v>
          </cell>
          <cell r="S1316">
            <v>0</v>
          </cell>
          <cell r="T1316">
            <v>4</v>
          </cell>
          <cell r="U1316">
            <v>0</v>
          </cell>
          <cell r="V1316">
            <v>0</v>
          </cell>
          <cell r="W1316">
            <v>0</v>
          </cell>
          <cell r="X1316">
            <v>0</v>
          </cell>
          <cell r="Y1316">
            <v>0</v>
          </cell>
          <cell r="Z1316">
            <v>0</v>
          </cell>
          <cell r="AA1316">
            <v>9</v>
          </cell>
          <cell r="AB1316">
            <v>0.4</v>
          </cell>
          <cell r="AC1316">
            <v>0.875</v>
          </cell>
          <cell r="AD1316">
            <v>18</v>
          </cell>
        </row>
        <row r="1317">
          <cell r="A1317">
            <v>36</v>
          </cell>
          <cell r="B1317">
            <v>4</v>
          </cell>
          <cell r="C1317">
            <v>3</v>
          </cell>
          <cell r="D1317">
            <v>6962</v>
          </cell>
          <cell r="E1317">
            <v>4</v>
          </cell>
          <cell r="F1317">
            <v>22</v>
          </cell>
          <cell r="G1317">
            <v>4</v>
          </cell>
          <cell r="H1317">
            <v>1</v>
          </cell>
          <cell r="I1317">
            <v>15</v>
          </cell>
          <cell r="J1317">
            <v>2</v>
          </cell>
          <cell r="K1317">
            <v>1</v>
          </cell>
          <cell r="L1317">
            <v>0</v>
          </cell>
          <cell r="M1317">
            <v>1</v>
          </cell>
          <cell r="N1317">
            <v>1</v>
          </cell>
          <cell r="O1317">
            <v>0</v>
          </cell>
          <cell r="P1317">
            <v>0</v>
          </cell>
          <cell r="Q1317">
            <v>0</v>
          </cell>
          <cell r="R1317">
            <v>1</v>
          </cell>
          <cell r="S1317">
            <v>0</v>
          </cell>
          <cell r="T1317">
            <v>0</v>
          </cell>
          <cell r="U1317">
            <v>0</v>
          </cell>
          <cell r="V1317">
            <v>0</v>
          </cell>
          <cell r="W1317">
            <v>4</v>
          </cell>
          <cell r="X1317">
            <v>0</v>
          </cell>
          <cell r="Y1317">
            <v>0</v>
          </cell>
          <cell r="Z1317">
            <v>1</v>
          </cell>
          <cell r="AA1317">
            <v>8</v>
          </cell>
          <cell r="AB1317">
            <v>0.26666666666666666</v>
          </cell>
          <cell r="AC1317">
            <v>0</v>
          </cell>
          <cell r="AD1317">
            <v>32</v>
          </cell>
        </row>
        <row r="1318">
          <cell r="A1318">
            <v>43</v>
          </cell>
          <cell r="B1318">
            <v>4</v>
          </cell>
          <cell r="C1318">
            <v>3</v>
          </cell>
          <cell r="D1318">
            <v>5675</v>
          </cell>
          <cell r="E1318">
            <v>1</v>
          </cell>
          <cell r="F1318">
            <v>20</v>
          </cell>
          <cell r="G1318">
            <v>4</v>
          </cell>
          <cell r="H1318">
            <v>1</v>
          </cell>
          <cell r="I1318">
            <v>7</v>
          </cell>
          <cell r="J1318">
            <v>5</v>
          </cell>
          <cell r="K1318">
            <v>7</v>
          </cell>
          <cell r="L1318">
            <v>7</v>
          </cell>
          <cell r="M1318">
            <v>0</v>
          </cell>
          <cell r="N1318">
            <v>0</v>
          </cell>
          <cell r="O1318">
            <v>1</v>
          </cell>
          <cell r="P1318">
            <v>0</v>
          </cell>
          <cell r="Q1318">
            <v>0</v>
          </cell>
          <cell r="R1318">
            <v>0</v>
          </cell>
          <cell r="S1318">
            <v>0</v>
          </cell>
          <cell r="T1318">
            <v>4</v>
          </cell>
          <cell r="U1318">
            <v>0</v>
          </cell>
          <cell r="V1318">
            <v>0</v>
          </cell>
          <cell r="W1318">
            <v>0</v>
          </cell>
          <cell r="X1318">
            <v>0</v>
          </cell>
          <cell r="Y1318">
            <v>1</v>
          </cell>
          <cell r="Z1318">
            <v>0</v>
          </cell>
          <cell r="AA1318">
            <v>4</v>
          </cell>
          <cell r="AB1318">
            <v>0.14285714285714285</v>
          </cell>
          <cell r="AC1318">
            <v>1</v>
          </cell>
          <cell r="AD1318">
            <v>12</v>
          </cell>
        </row>
        <row r="1319">
          <cell r="A1319">
            <v>27</v>
          </cell>
          <cell r="B1319">
            <v>2</v>
          </cell>
          <cell r="C1319">
            <v>3</v>
          </cell>
          <cell r="D1319">
            <v>2379</v>
          </cell>
          <cell r="E1319">
            <v>0</v>
          </cell>
          <cell r="F1319">
            <v>14</v>
          </cell>
          <cell r="G1319">
            <v>3</v>
          </cell>
          <cell r="H1319">
            <v>0</v>
          </cell>
          <cell r="I1319">
            <v>6</v>
          </cell>
          <cell r="J1319">
            <v>3</v>
          </cell>
          <cell r="K1319">
            <v>5</v>
          </cell>
          <cell r="L1319">
            <v>4</v>
          </cell>
          <cell r="M1319">
            <v>1</v>
          </cell>
          <cell r="N1319">
            <v>1</v>
          </cell>
          <cell r="O1319">
            <v>1</v>
          </cell>
          <cell r="P1319">
            <v>0</v>
          </cell>
          <cell r="Q1319">
            <v>0</v>
          </cell>
          <cell r="R1319">
            <v>0</v>
          </cell>
          <cell r="S1319">
            <v>0</v>
          </cell>
          <cell r="T1319">
            <v>2</v>
          </cell>
          <cell r="U1319">
            <v>0</v>
          </cell>
          <cell r="V1319">
            <v>0</v>
          </cell>
          <cell r="W1319">
            <v>0</v>
          </cell>
          <cell r="X1319">
            <v>0</v>
          </cell>
          <cell r="Y1319">
            <v>0</v>
          </cell>
          <cell r="Z1319">
            <v>0</v>
          </cell>
          <cell r="AA1319">
            <v>16</v>
          </cell>
          <cell r="AB1319">
            <v>0</v>
          </cell>
          <cell r="AC1319">
            <v>0.8</v>
          </cell>
          <cell r="AD1319">
            <v>48</v>
          </cell>
        </row>
        <row r="1320">
          <cell r="A1320">
            <v>29</v>
          </cell>
          <cell r="B1320">
            <v>1</v>
          </cell>
          <cell r="C1320">
            <v>3</v>
          </cell>
          <cell r="D1320">
            <v>3812</v>
          </cell>
          <cell r="E1320">
            <v>1</v>
          </cell>
          <cell r="F1320">
            <v>13</v>
          </cell>
          <cell r="G1320">
            <v>3</v>
          </cell>
          <cell r="H1320">
            <v>0</v>
          </cell>
          <cell r="I1320">
            <v>11</v>
          </cell>
          <cell r="J1320">
            <v>3</v>
          </cell>
          <cell r="K1320">
            <v>11</v>
          </cell>
          <cell r="L1320">
            <v>8</v>
          </cell>
          <cell r="M1320">
            <v>0</v>
          </cell>
          <cell r="N1320">
            <v>0</v>
          </cell>
          <cell r="O1320">
            <v>0</v>
          </cell>
          <cell r="P1320">
            <v>0</v>
          </cell>
          <cell r="Q1320">
            <v>1</v>
          </cell>
          <cell r="R1320">
            <v>0</v>
          </cell>
          <cell r="S1320">
            <v>0</v>
          </cell>
          <cell r="T1320">
            <v>0</v>
          </cell>
          <cell r="U1320">
            <v>0</v>
          </cell>
          <cell r="V1320">
            <v>1</v>
          </cell>
          <cell r="W1320">
            <v>0</v>
          </cell>
          <cell r="X1320">
            <v>0</v>
          </cell>
          <cell r="Y1320">
            <v>1</v>
          </cell>
          <cell r="Z1320">
            <v>0</v>
          </cell>
          <cell r="AA1320">
            <v>16</v>
          </cell>
          <cell r="AB1320">
            <v>9.0909090909090912E-2</v>
          </cell>
          <cell r="AC1320">
            <v>0.72727272727272729</v>
          </cell>
          <cell r="AD1320">
            <v>32</v>
          </cell>
        </row>
        <row r="1321">
          <cell r="A1321">
            <v>32</v>
          </cell>
          <cell r="B1321">
            <v>4</v>
          </cell>
          <cell r="C1321">
            <v>3</v>
          </cell>
          <cell r="D1321">
            <v>4648</v>
          </cell>
          <cell r="E1321">
            <v>8</v>
          </cell>
          <cell r="F1321">
            <v>13</v>
          </cell>
          <cell r="G1321">
            <v>3</v>
          </cell>
          <cell r="H1321">
            <v>0</v>
          </cell>
          <cell r="I1321">
            <v>4</v>
          </cell>
          <cell r="J1321">
            <v>2</v>
          </cell>
          <cell r="K1321">
            <v>0</v>
          </cell>
          <cell r="L1321">
            <v>0</v>
          </cell>
          <cell r="M1321">
            <v>0</v>
          </cell>
          <cell r="N1321">
            <v>0</v>
          </cell>
          <cell r="O1321">
            <v>0</v>
          </cell>
          <cell r="P1321">
            <v>1</v>
          </cell>
          <cell r="Q1321">
            <v>0</v>
          </cell>
          <cell r="R1321">
            <v>0</v>
          </cell>
          <cell r="S1321">
            <v>0</v>
          </cell>
          <cell r="T1321">
            <v>0</v>
          </cell>
          <cell r="U1321">
            <v>4</v>
          </cell>
          <cell r="V1321">
            <v>0</v>
          </cell>
          <cell r="W1321">
            <v>0</v>
          </cell>
          <cell r="X1321">
            <v>0</v>
          </cell>
          <cell r="Y1321">
            <v>0</v>
          </cell>
          <cell r="Z1321">
            <v>0</v>
          </cell>
          <cell r="AA1321">
            <v>16</v>
          </cell>
          <cell r="AB1321">
            <v>2</v>
          </cell>
          <cell r="AC1321">
            <v>0</v>
          </cell>
          <cell r="AD1321">
            <v>48</v>
          </cell>
        </row>
        <row r="1322">
          <cell r="A1322">
            <v>42</v>
          </cell>
          <cell r="B1322">
            <v>4</v>
          </cell>
          <cell r="C1322">
            <v>3</v>
          </cell>
          <cell r="D1322">
            <v>2936</v>
          </cell>
          <cell r="E1322">
            <v>3</v>
          </cell>
          <cell r="F1322">
            <v>22</v>
          </cell>
          <cell r="G1322">
            <v>4</v>
          </cell>
          <cell r="H1322">
            <v>2</v>
          </cell>
          <cell r="I1322">
            <v>10</v>
          </cell>
          <cell r="J1322">
            <v>1</v>
          </cell>
          <cell r="K1322">
            <v>6</v>
          </cell>
          <cell r="L1322">
            <v>3</v>
          </cell>
          <cell r="M1322">
            <v>0</v>
          </cell>
          <cell r="N1322">
            <v>0</v>
          </cell>
          <cell r="O1322">
            <v>0</v>
          </cell>
          <cell r="P1322">
            <v>0</v>
          </cell>
          <cell r="Q1322">
            <v>0</v>
          </cell>
          <cell r="R1322">
            <v>0</v>
          </cell>
          <cell r="S1322">
            <v>1</v>
          </cell>
          <cell r="T1322">
            <v>0</v>
          </cell>
          <cell r="U1322">
            <v>0</v>
          </cell>
          <cell r="V1322">
            <v>0</v>
          </cell>
          <cell r="W1322">
            <v>0</v>
          </cell>
          <cell r="X1322">
            <v>4</v>
          </cell>
          <cell r="Y1322">
            <v>0</v>
          </cell>
          <cell r="Z1322">
            <v>0</v>
          </cell>
          <cell r="AA1322">
            <v>9</v>
          </cell>
          <cell r="AB1322">
            <v>0.3</v>
          </cell>
          <cell r="AC1322">
            <v>0.5</v>
          </cell>
          <cell r="AD1322">
            <v>18</v>
          </cell>
        </row>
        <row r="1323">
          <cell r="A1323">
            <v>47</v>
          </cell>
          <cell r="B1323">
            <v>4</v>
          </cell>
          <cell r="C1323">
            <v>3</v>
          </cell>
          <cell r="D1323">
            <v>2105</v>
          </cell>
          <cell r="E1323">
            <v>4</v>
          </cell>
          <cell r="F1323">
            <v>12</v>
          </cell>
          <cell r="G1323">
            <v>3</v>
          </cell>
          <cell r="H1323">
            <v>0</v>
          </cell>
          <cell r="I1323">
            <v>7</v>
          </cell>
          <cell r="J1323">
            <v>2</v>
          </cell>
          <cell r="K1323">
            <v>2</v>
          </cell>
          <cell r="L1323">
            <v>2</v>
          </cell>
          <cell r="M1323">
            <v>0</v>
          </cell>
          <cell r="N1323">
            <v>1</v>
          </cell>
          <cell r="O1323">
            <v>1</v>
          </cell>
          <cell r="P1323">
            <v>0</v>
          </cell>
          <cell r="Q1323">
            <v>0</v>
          </cell>
          <cell r="R1323">
            <v>0</v>
          </cell>
          <cell r="S1323">
            <v>0</v>
          </cell>
          <cell r="T1323">
            <v>4</v>
          </cell>
          <cell r="U1323">
            <v>0</v>
          </cell>
          <cell r="V1323">
            <v>0</v>
          </cell>
          <cell r="W1323">
            <v>0</v>
          </cell>
          <cell r="X1323">
            <v>0</v>
          </cell>
          <cell r="Y1323">
            <v>0</v>
          </cell>
          <cell r="Z1323">
            <v>0</v>
          </cell>
          <cell r="AA1323">
            <v>6</v>
          </cell>
          <cell r="AB1323">
            <v>0.5714285714285714</v>
          </cell>
          <cell r="AC1323">
            <v>1</v>
          </cell>
          <cell r="AD1323">
            <v>18</v>
          </cell>
        </row>
        <row r="1324">
          <cell r="A1324">
            <v>46</v>
          </cell>
          <cell r="B1324">
            <v>2</v>
          </cell>
          <cell r="C1324">
            <v>3</v>
          </cell>
          <cell r="D1324">
            <v>8578</v>
          </cell>
          <cell r="E1324">
            <v>3</v>
          </cell>
          <cell r="F1324">
            <v>14</v>
          </cell>
          <cell r="G1324">
            <v>3</v>
          </cell>
          <cell r="H1324">
            <v>1</v>
          </cell>
          <cell r="I1324">
            <v>12</v>
          </cell>
          <cell r="J1324">
            <v>4</v>
          </cell>
          <cell r="K1324">
            <v>9</v>
          </cell>
          <cell r="L1324">
            <v>8</v>
          </cell>
          <cell r="M1324">
            <v>0</v>
          </cell>
          <cell r="N1324">
            <v>0</v>
          </cell>
          <cell r="O1324">
            <v>1</v>
          </cell>
          <cell r="P1324">
            <v>0</v>
          </cell>
          <cell r="Q1324">
            <v>0</v>
          </cell>
          <cell r="R1324">
            <v>0</v>
          </cell>
          <cell r="S1324">
            <v>0</v>
          </cell>
          <cell r="T1324">
            <v>2</v>
          </cell>
          <cell r="U1324">
            <v>0</v>
          </cell>
          <cell r="V1324">
            <v>0</v>
          </cell>
          <cell r="W1324">
            <v>0</v>
          </cell>
          <cell r="X1324">
            <v>0</v>
          </cell>
          <cell r="Y1324">
            <v>0</v>
          </cell>
          <cell r="Z1324">
            <v>0</v>
          </cell>
          <cell r="AA1324">
            <v>16</v>
          </cell>
          <cell r="AB1324">
            <v>0.25</v>
          </cell>
          <cell r="AC1324">
            <v>0.88888888888888884</v>
          </cell>
          <cell r="AD1324">
            <v>48</v>
          </cell>
        </row>
        <row r="1325">
          <cell r="A1325">
            <v>28</v>
          </cell>
          <cell r="B1325">
            <v>2</v>
          </cell>
          <cell r="C1325">
            <v>3</v>
          </cell>
          <cell r="D1325">
            <v>2706</v>
          </cell>
          <cell r="E1325">
            <v>1</v>
          </cell>
          <cell r="F1325">
            <v>15</v>
          </cell>
          <cell r="G1325">
            <v>3</v>
          </cell>
          <cell r="H1325">
            <v>1</v>
          </cell>
          <cell r="I1325">
            <v>3</v>
          </cell>
          <cell r="J1325">
            <v>2</v>
          </cell>
          <cell r="K1325">
            <v>3</v>
          </cell>
          <cell r="L1325">
            <v>2</v>
          </cell>
          <cell r="M1325">
            <v>0</v>
          </cell>
          <cell r="N1325">
            <v>0</v>
          </cell>
          <cell r="O1325">
            <v>1</v>
          </cell>
          <cell r="P1325">
            <v>0</v>
          </cell>
          <cell r="Q1325">
            <v>0</v>
          </cell>
          <cell r="R1325">
            <v>0</v>
          </cell>
          <cell r="S1325">
            <v>0</v>
          </cell>
          <cell r="T1325">
            <v>2</v>
          </cell>
          <cell r="U1325">
            <v>0</v>
          </cell>
          <cell r="V1325">
            <v>0</v>
          </cell>
          <cell r="W1325">
            <v>0</v>
          </cell>
          <cell r="X1325">
            <v>0</v>
          </cell>
          <cell r="Y1325">
            <v>0</v>
          </cell>
          <cell r="Z1325">
            <v>0</v>
          </cell>
          <cell r="AA1325">
            <v>12</v>
          </cell>
          <cell r="AB1325">
            <v>0.33333333333333331</v>
          </cell>
          <cell r="AC1325">
            <v>0.66666666666666663</v>
          </cell>
          <cell r="AD1325">
            <v>24</v>
          </cell>
        </row>
        <row r="1326">
          <cell r="A1326">
            <v>29</v>
          </cell>
          <cell r="B1326">
            <v>1</v>
          </cell>
          <cell r="C1326">
            <v>1</v>
          </cell>
          <cell r="D1326">
            <v>6384</v>
          </cell>
          <cell r="E1326">
            <v>8</v>
          </cell>
          <cell r="F1326">
            <v>17</v>
          </cell>
          <cell r="G1326">
            <v>3</v>
          </cell>
          <cell r="H1326">
            <v>2</v>
          </cell>
          <cell r="I1326">
            <v>11</v>
          </cell>
          <cell r="J1326">
            <v>3</v>
          </cell>
          <cell r="K1326">
            <v>7</v>
          </cell>
          <cell r="L1326">
            <v>0</v>
          </cell>
          <cell r="M1326">
            <v>0</v>
          </cell>
          <cell r="N1326">
            <v>0</v>
          </cell>
          <cell r="O1326">
            <v>1</v>
          </cell>
          <cell r="P1326">
            <v>0</v>
          </cell>
          <cell r="Q1326">
            <v>0</v>
          </cell>
          <cell r="R1326">
            <v>0</v>
          </cell>
          <cell r="S1326">
            <v>0</v>
          </cell>
          <cell r="T1326">
            <v>1</v>
          </cell>
          <cell r="U1326">
            <v>0</v>
          </cell>
          <cell r="V1326">
            <v>0</v>
          </cell>
          <cell r="W1326">
            <v>0</v>
          </cell>
          <cell r="X1326">
            <v>0</v>
          </cell>
          <cell r="Y1326">
            <v>0</v>
          </cell>
          <cell r="Z1326">
            <v>0</v>
          </cell>
          <cell r="AA1326">
            <v>12</v>
          </cell>
          <cell r="AB1326">
            <v>0.72727272727272729</v>
          </cell>
          <cell r="AC1326">
            <v>0</v>
          </cell>
          <cell r="AD1326">
            <v>48</v>
          </cell>
        </row>
        <row r="1327">
          <cell r="A1327">
            <v>42</v>
          </cell>
          <cell r="B1327">
            <v>3</v>
          </cell>
          <cell r="C1327">
            <v>3</v>
          </cell>
          <cell r="D1327">
            <v>3968</v>
          </cell>
          <cell r="E1327">
            <v>4</v>
          </cell>
          <cell r="F1327">
            <v>13</v>
          </cell>
          <cell r="G1327">
            <v>3</v>
          </cell>
          <cell r="H1327">
            <v>0</v>
          </cell>
          <cell r="I1327">
            <v>8</v>
          </cell>
          <cell r="J1327">
            <v>3</v>
          </cell>
          <cell r="K1327">
            <v>0</v>
          </cell>
          <cell r="L1327">
            <v>0</v>
          </cell>
          <cell r="M1327">
            <v>0</v>
          </cell>
          <cell r="N1327">
            <v>0</v>
          </cell>
          <cell r="O1327">
            <v>1</v>
          </cell>
          <cell r="P1327">
            <v>0</v>
          </cell>
          <cell r="Q1327">
            <v>0</v>
          </cell>
          <cell r="R1327">
            <v>0</v>
          </cell>
          <cell r="S1327">
            <v>0</v>
          </cell>
          <cell r="T1327">
            <v>3</v>
          </cell>
          <cell r="U1327">
            <v>0</v>
          </cell>
          <cell r="V1327">
            <v>0</v>
          </cell>
          <cell r="W1327">
            <v>0</v>
          </cell>
          <cell r="X1327">
            <v>0</v>
          </cell>
          <cell r="Y1327">
            <v>0</v>
          </cell>
          <cell r="Z1327">
            <v>0</v>
          </cell>
          <cell r="AA1327">
            <v>12</v>
          </cell>
          <cell r="AB1327">
            <v>0.5</v>
          </cell>
          <cell r="AC1327">
            <v>0</v>
          </cell>
          <cell r="AD1327">
            <v>48</v>
          </cell>
        </row>
        <row r="1328">
          <cell r="A1328">
            <v>32</v>
          </cell>
          <cell r="B1328">
            <v>4</v>
          </cell>
          <cell r="C1328">
            <v>2</v>
          </cell>
          <cell r="D1328">
            <v>9907</v>
          </cell>
          <cell r="E1328">
            <v>7</v>
          </cell>
          <cell r="F1328">
            <v>12</v>
          </cell>
          <cell r="G1328">
            <v>3</v>
          </cell>
          <cell r="H1328">
            <v>0</v>
          </cell>
          <cell r="I1328">
            <v>7</v>
          </cell>
          <cell r="J1328">
            <v>3</v>
          </cell>
          <cell r="K1328">
            <v>2</v>
          </cell>
          <cell r="L1328">
            <v>2</v>
          </cell>
          <cell r="M1328">
            <v>1</v>
          </cell>
          <cell r="N1328">
            <v>0</v>
          </cell>
          <cell r="O1328">
            <v>0</v>
          </cell>
          <cell r="P1328">
            <v>1</v>
          </cell>
          <cell r="Q1328">
            <v>0</v>
          </cell>
          <cell r="R1328">
            <v>0</v>
          </cell>
          <cell r="S1328">
            <v>0</v>
          </cell>
          <cell r="T1328">
            <v>0</v>
          </cell>
          <cell r="U1328">
            <v>4</v>
          </cell>
          <cell r="V1328">
            <v>0</v>
          </cell>
          <cell r="W1328">
            <v>0</v>
          </cell>
          <cell r="X1328">
            <v>0</v>
          </cell>
          <cell r="Y1328">
            <v>0</v>
          </cell>
          <cell r="Z1328">
            <v>0</v>
          </cell>
          <cell r="AA1328">
            <v>6</v>
          </cell>
          <cell r="AB1328">
            <v>1</v>
          </cell>
          <cell r="AC1328">
            <v>1</v>
          </cell>
          <cell r="AD1328">
            <v>18</v>
          </cell>
        </row>
        <row r="1329">
          <cell r="A1329">
            <v>46</v>
          </cell>
          <cell r="B1329">
            <v>3</v>
          </cell>
          <cell r="C1329">
            <v>4</v>
          </cell>
          <cell r="D1329">
            <v>13225</v>
          </cell>
          <cell r="E1329">
            <v>2</v>
          </cell>
          <cell r="F1329">
            <v>12</v>
          </cell>
          <cell r="G1329">
            <v>3</v>
          </cell>
          <cell r="H1329">
            <v>1</v>
          </cell>
          <cell r="I1329">
            <v>25</v>
          </cell>
          <cell r="J1329">
            <v>5</v>
          </cell>
          <cell r="K1329">
            <v>19</v>
          </cell>
          <cell r="L1329">
            <v>17</v>
          </cell>
          <cell r="M1329">
            <v>0</v>
          </cell>
          <cell r="N1329">
            <v>1</v>
          </cell>
          <cell r="O1329">
            <v>0</v>
          </cell>
          <cell r="P1329">
            <v>0</v>
          </cell>
          <cell r="Q1329">
            <v>0</v>
          </cell>
          <cell r="R1329">
            <v>0</v>
          </cell>
          <cell r="S1329">
            <v>1</v>
          </cell>
          <cell r="T1329">
            <v>0</v>
          </cell>
          <cell r="U1329">
            <v>0</v>
          </cell>
          <cell r="V1329">
            <v>0</v>
          </cell>
          <cell r="W1329">
            <v>0</v>
          </cell>
          <cell r="X1329">
            <v>3</v>
          </cell>
          <cell r="Y1329">
            <v>0</v>
          </cell>
          <cell r="Z1329">
            <v>0</v>
          </cell>
          <cell r="AA1329">
            <v>1</v>
          </cell>
          <cell r="AB1329">
            <v>0.08</v>
          </cell>
          <cell r="AC1329">
            <v>0.89473684210526316</v>
          </cell>
          <cell r="AD1329">
            <v>4</v>
          </cell>
        </row>
        <row r="1330">
          <cell r="A1330">
            <v>27</v>
          </cell>
          <cell r="B1330">
            <v>1</v>
          </cell>
          <cell r="C1330">
            <v>2</v>
          </cell>
          <cell r="D1330">
            <v>3540</v>
          </cell>
          <cell r="E1330">
            <v>1</v>
          </cell>
          <cell r="F1330">
            <v>21</v>
          </cell>
          <cell r="G1330">
            <v>4</v>
          </cell>
          <cell r="H1330">
            <v>1</v>
          </cell>
          <cell r="I1330">
            <v>9</v>
          </cell>
          <cell r="J1330">
            <v>5</v>
          </cell>
          <cell r="K1330">
            <v>9</v>
          </cell>
          <cell r="L1330">
            <v>8</v>
          </cell>
          <cell r="M1330">
            <v>0</v>
          </cell>
          <cell r="N1330">
            <v>1</v>
          </cell>
          <cell r="O1330">
            <v>0</v>
          </cell>
          <cell r="P1330">
            <v>0</v>
          </cell>
          <cell r="Q1330">
            <v>1</v>
          </cell>
          <cell r="R1330">
            <v>0</v>
          </cell>
          <cell r="S1330">
            <v>0</v>
          </cell>
          <cell r="T1330">
            <v>0</v>
          </cell>
          <cell r="U1330">
            <v>0</v>
          </cell>
          <cell r="V1330">
            <v>1</v>
          </cell>
          <cell r="W1330">
            <v>0</v>
          </cell>
          <cell r="X1330">
            <v>0</v>
          </cell>
          <cell r="Y1330">
            <v>0</v>
          </cell>
          <cell r="Z1330">
            <v>0</v>
          </cell>
          <cell r="AA1330">
            <v>6</v>
          </cell>
          <cell r="AB1330">
            <v>0.1111111111111111</v>
          </cell>
          <cell r="AC1330">
            <v>0.88888888888888884</v>
          </cell>
          <cell r="AD1330">
            <v>24</v>
          </cell>
        </row>
        <row r="1331">
          <cell r="A1331">
            <v>29</v>
          </cell>
          <cell r="B1331">
            <v>1</v>
          </cell>
          <cell r="C1331">
            <v>2</v>
          </cell>
          <cell r="D1331">
            <v>2804</v>
          </cell>
          <cell r="E1331">
            <v>1</v>
          </cell>
          <cell r="F1331">
            <v>11</v>
          </cell>
          <cell r="G1331">
            <v>3</v>
          </cell>
          <cell r="H1331">
            <v>0</v>
          </cell>
          <cell r="I1331">
            <v>1</v>
          </cell>
          <cell r="J1331">
            <v>3</v>
          </cell>
          <cell r="K1331">
            <v>1</v>
          </cell>
          <cell r="L1331">
            <v>0</v>
          </cell>
          <cell r="M1331">
            <v>0</v>
          </cell>
          <cell r="N1331">
            <v>0</v>
          </cell>
          <cell r="O1331">
            <v>0</v>
          </cell>
          <cell r="P1331">
            <v>0</v>
          </cell>
          <cell r="Q1331">
            <v>1</v>
          </cell>
          <cell r="R1331">
            <v>0</v>
          </cell>
          <cell r="S1331">
            <v>0</v>
          </cell>
          <cell r="T1331">
            <v>0</v>
          </cell>
          <cell r="U1331">
            <v>0</v>
          </cell>
          <cell r="V1331">
            <v>1</v>
          </cell>
          <cell r="W1331">
            <v>0</v>
          </cell>
          <cell r="X1331">
            <v>0</v>
          </cell>
          <cell r="Y1331">
            <v>0</v>
          </cell>
          <cell r="Z1331">
            <v>0</v>
          </cell>
          <cell r="AA1331">
            <v>8</v>
          </cell>
          <cell r="AB1331">
            <v>1</v>
          </cell>
          <cell r="AC1331">
            <v>0</v>
          </cell>
          <cell r="AD1331">
            <v>32</v>
          </cell>
        </row>
        <row r="1332">
          <cell r="A1332">
            <v>43</v>
          </cell>
          <cell r="B1332">
            <v>3</v>
          </cell>
          <cell r="C1332">
            <v>2</v>
          </cell>
          <cell r="D1332">
            <v>19392</v>
          </cell>
          <cell r="E1332">
            <v>7</v>
          </cell>
          <cell r="F1332">
            <v>13</v>
          </cell>
          <cell r="G1332">
            <v>3</v>
          </cell>
          <cell r="H1332">
            <v>0</v>
          </cell>
          <cell r="I1332">
            <v>21</v>
          </cell>
          <cell r="J1332">
            <v>2</v>
          </cell>
          <cell r="K1332">
            <v>16</v>
          </cell>
          <cell r="L1332">
            <v>12</v>
          </cell>
          <cell r="M1332">
            <v>0</v>
          </cell>
          <cell r="N1332">
            <v>1</v>
          </cell>
          <cell r="O1332">
            <v>0</v>
          </cell>
          <cell r="P1332">
            <v>0</v>
          </cell>
          <cell r="Q1332">
            <v>1</v>
          </cell>
          <cell r="R1332">
            <v>0</v>
          </cell>
          <cell r="S1332">
            <v>0</v>
          </cell>
          <cell r="T1332">
            <v>0</v>
          </cell>
          <cell r="U1332">
            <v>0</v>
          </cell>
          <cell r="V1332">
            <v>3</v>
          </cell>
          <cell r="W1332">
            <v>0</v>
          </cell>
          <cell r="X1332">
            <v>0</v>
          </cell>
          <cell r="Y1332">
            <v>0</v>
          </cell>
          <cell r="Z1332">
            <v>0</v>
          </cell>
          <cell r="AA1332">
            <v>3</v>
          </cell>
          <cell r="AB1332">
            <v>0.33333333333333331</v>
          </cell>
          <cell r="AC1332">
            <v>0.75</v>
          </cell>
          <cell r="AD1332">
            <v>12</v>
          </cell>
        </row>
        <row r="1333">
          <cell r="A1333">
            <v>48</v>
          </cell>
          <cell r="B1333">
            <v>3</v>
          </cell>
          <cell r="C1333">
            <v>2</v>
          </cell>
          <cell r="D1333">
            <v>19665</v>
          </cell>
          <cell r="E1333">
            <v>4</v>
          </cell>
          <cell r="F1333">
            <v>12</v>
          </cell>
          <cell r="G1333">
            <v>3</v>
          </cell>
          <cell r="H1333">
            <v>0</v>
          </cell>
          <cell r="I1333">
            <v>29</v>
          </cell>
          <cell r="J1333">
            <v>3</v>
          </cell>
          <cell r="K1333">
            <v>22</v>
          </cell>
          <cell r="L1333">
            <v>10</v>
          </cell>
          <cell r="M1333">
            <v>0</v>
          </cell>
          <cell r="N1333">
            <v>0</v>
          </cell>
          <cell r="O1333">
            <v>1</v>
          </cell>
          <cell r="P1333">
            <v>0</v>
          </cell>
          <cell r="Q1333">
            <v>0</v>
          </cell>
          <cell r="R1333">
            <v>0</v>
          </cell>
          <cell r="S1333">
            <v>0</v>
          </cell>
          <cell r="T1333">
            <v>3</v>
          </cell>
          <cell r="U1333">
            <v>0</v>
          </cell>
          <cell r="V1333">
            <v>0</v>
          </cell>
          <cell r="W1333">
            <v>0</v>
          </cell>
          <cell r="X1333">
            <v>0</v>
          </cell>
          <cell r="Y1333">
            <v>0</v>
          </cell>
          <cell r="Z1333">
            <v>0</v>
          </cell>
          <cell r="AA1333">
            <v>8</v>
          </cell>
          <cell r="AB1333">
            <v>0.13793103448275862</v>
          </cell>
          <cell r="AC1333">
            <v>0.45454545454545453</v>
          </cell>
          <cell r="AD1333">
            <v>32</v>
          </cell>
        </row>
        <row r="1334">
          <cell r="A1334">
            <v>29</v>
          </cell>
          <cell r="B1334">
            <v>2</v>
          </cell>
          <cell r="C1334">
            <v>2</v>
          </cell>
          <cell r="D1334">
            <v>2439</v>
          </cell>
          <cell r="E1334">
            <v>1</v>
          </cell>
          <cell r="F1334">
            <v>24</v>
          </cell>
          <cell r="G1334">
            <v>4</v>
          </cell>
          <cell r="H1334">
            <v>0</v>
          </cell>
          <cell r="I1334">
            <v>1</v>
          </cell>
          <cell r="J1334">
            <v>3</v>
          </cell>
          <cell r="K1334">
            <v>1</v>
          </cell>
          <cell r="L1334">
            <v>0</v>
          </cell>
          <cell r="M1334">
            <v>1</v>
          </cell>
          <cell r="N1334">
            <v>0</v>
          </cell>
          <cell r="O1334">
            <v>1</v>
          </cell>
          <cell r="P1334">
            <v>0</v>
          </cell>
          <cell r="Q1334">
            <v>0</v>
          </cell>
          <cell r="R1334">
            <v>0</v>
          </cell>
          <cell r="S1334">
            <v>0</v>
          </cell>
          <cell r="T1334">
            <v>2</v>
          </cell>
          <cell r="U1334">
            <v>0</v>
          </cell>
          <cell r="V1334">
            <v>0</v>
          </cell>
          <cell r="W1334">
            <v>0</v>
          </cell>
          <cell r="X1334">
            <v>0</v>
          </cell>
          <cell r="Y1334">
            <v>0</v>
          </cell>
          <cell r="Z1334">
            <v>0</v>
          </cell>
          <cell r="AA1334">
            <v>16</v>
          </cell>
          <cell r="AB1334">
            <v>1</v>
          </cell>
          <cell r="AC1334">
            <v>0</v>
          </cell>
          <cell r="AD1334">
            <v>32</v>
          </cell>
        </row>
        <row r="1335">
          <cell r="A1335">
            <v>46</v>
          </cell>
          <cell r="B1335">
            <v>3</v>
          </cell>
          <cell r="C1335">
            <v>3</v>
          </cell>
          <cell r="D1335">
            <v>7314</v>
          </cell>
          <cell r="E1335">
            <v>5</v>
          </cell>
          <cell r="F1335">
            <v>21</v>
          </cell>
          <cell r="G1335">
            <v>4</v>
          </cell>
          <cell r="H1335">
            <v>3</v>
          </cell>
          <cell r="I1335">
            <v>14</v>
          </cell>
          <cell r="J1335">
            <v>2</v>
          </cell>
          <cell r="K1335">
            <v>8</v>
          </cell>
          <cell r="L1335">
            <v>7</v>
          </cell>
          <cell r="M1335">
            <v>0</v>
          </cell>
          <cell r="N1335">
            <v>1</v>
          </cell>
          <cell r="O1335">
            <v>1</v>
          </cell>
          <cell r="P1335">
            <v>0</v>
          </cell>
          <cell r="Q1335">
            <v>0</v>
          </cell>
          <cell r="R1335">
            <v>0</v>
          </cell>
          <cell r="S1335">
            <v>0</v>
          </cell>
          <cell r="T1335">
            <v>3</v>
          </cell>
          <cell r="U1335">
            <v>0</v>
          </cell>
          <cell r="V1335">
            <v>0</v>
          </cell>
          <cell r="W1335">
            <v>0</v>
          </cell>
          <cell r="X1335">
            <v>0</v>
          </cell>
          <cell r="Y1335">
            <v>0</v>
          </cell>
          <cell r="Z1335">
            <v>0</v>
          </cell>
          <cell r="AA1335">
            <v>6</v>
          </cell>
          <cell r="AB1335">
            <v>0.35714285714285715</v>
          </cell>
          <cell r="AC1335">
            <v>0.875</v>
          </cell>
          <cell r="AD1335">
            <v>18</v>
          </cell>
        </row>
        <row r="1336">
          <cell r="A1336">
            <v>27</v>
          </cell>
          <cell r="B1336">
            <v>3</v>
          </cell>
          <cell r="C1336">
            <v>2</v>
          </cell>
          <cell r="D1336">
            <v>4774</v>
          </cell>
          <cell r="E1336">
            <v>0</v>
          </cell>
          <cell r="F1336">
            <v>19</v>
          </cell>
          <cell r="G1336">
            <v>3</v>
          </cell>
          <cell r="H1336">
            <v>1</v>
          </cell>
          <cell r="I1336">
            <v>8</v>
          </cell>
          <cell r="J1336">
            <v>2</v>
          </cell>
          <cell r="K1336">
            <v>7</v>
          </cell>
          <cell r="L1336">
            <v>6</v>
          </cell>
          <cell r="M1336">
            <v>0</v>
          </cell>
          <cell r="N1336">
            <v>1</v>
          </cell>
          <cell r="O1336">
            <v>1</v>
          </cell>
          <cell r="P1336">
            <v>0</v>
          </cell>
          <cell r="Q1336">
            <v>0</v>
          </cell>
          <cell r="R1336">
            <v>0</v>
          </cell>
          <cell r="S1336">
            <v>0</v>
          </cell>
          <cell r="T1336">
            <v>3</v>
          </cell>
          <cell r="U1336">
            <v>0</v>
          </cell>
          <cell r="V1336">
            <v>0</v>
          </cell>
          <cell r="W1336">
            <v>0</v>
          </cell>
          <cell r="X1336">
            <v>0</v>
          </cell>
          <cell r="Y1336">
            <v>1</v>
          </cell>
          <cell r="Z1336">
            <v>0</v>
          </cell>
          <cell r="AA1336">
            <v>4</v>
          </cell>
          <cell r="AB1336">
            <v>0</v>
          </cell>
          <cell r="AC1336">
            <v>0.8571428571428571</v>
          </cell>
          <cell r="AD1336">
            <v>16</v>
          </cell>
        </row>
        <row r="1337">
          <cell r="A1337">
            <v>39</v>
          </cell>
          <cell r="B1337">
            <v>4</v>
          </cell>
          <cell r="C1337">
            <v>3</v>
          </cell>
          <cell r="D1337">
            <v>3902</v>
          </cell>
          <cell r="E1337">
            <v>8</v>
          </cell>
          <cell r="F1337">
            <v>14</v>
          </cell>
          <cell r="G1337">
            <v>3</v>
          </cell>
          <cell r="H1337">
            <v>3</v>
          </cell>
          <cell r="I1337">
            <v>7</v>
          </cell>
          <cell r="J1337">
            <v>2</v>
          </cell>
          <cell r="K1337">
            <v>2</v>
          </cell>
          <cell r="L1337">
            <v>2</v>
          </cell>
          <cell r="M1337">
            <v>0</v>
          </cell>
          <cell r="N1337">
            <v>0</v>
          </cell>
          <cell r="O1337">
            <v>0</v>
          </cell>
          <cell r="P1337">
            <v>0</v>
          </cell>
          <cell r="Q1337">
            <v>0</v>
          </cell>
          <cell r="R1337">
            <v>1</v>
          </cell>
          <cell r="S1337">
            <v>0</v>
          </cell>
          <cell r="T1337">
            <v>0</v>
          </cell>
          <cell r="U1337">
            <v>0</v>
          </cell>
          <cell r="V1337">
            <v>0</v>
          </cell>
          <cell r="W1337">
            <v>4</v>
          </cell>
          <cell r="X1337">
            <v>0</v>
          </cell>
          <cell r="Y1337">
            <v>0</v>
          </cell>
          <cell r="Z1337">
            <v>0</v>
          </cell>
          <cell r="AA1337">
            <v>16</v>
          </cell>
          <cell r="AB1337">
            <v>1.1428571428571428</v>
          </cell>
          <cell r="AC1337">
            <v>1</v>
          </cell>
          <cell r="AD1337">
            <v>32</v>
          </cell>
        </row>
        <row r="1338">
          <cell r="A1338">
            <v>55</v>
          </cell>
          <cell r="B1338">
            <v>4</v>
          </cell>
          <cell r="C1338">
            <v>2</v>
          </cell>
          <cell r="D1338">
            <v>2662</v>
          </cell>
          <cell r="E1338">
            <v>8</v>
          </cell>
          <cell r="F1338">
            <v>20</v>
          </cell>
          <cell r="G1338">
            <v>4</v>
          </cell>
          <cell r="H1338">
            <v>1</v>
          </cell>
          <cell r="I1338">
            <v>19</v>
          </cell>
          <cell r="J1338">
            <v>2</v>
          </cell>
          <cell r="K1338">
            <v>5</v>
          </cell>
          <cell r="L1338">
            <v>2</v>
          </cell>
          <cell r="M1338">
            <v>0</v>
          </cell>
          <cell r="N1338">
            <v>0</v>
          </cell>
          <cell r="O1338">
            <v>0</v>
          </cell>
          <cell r="P1338">
            <v>0</v>
          </cell>
          <cell r="Q1338">
            <v>0</v>
          </cell>
          <cell r="R1338">
            <v>0</v>
          </cell>
          <cell r="S1338">
            <v>1</v>
          </cell>
          <cell r="T1338">
            <v>0</v>
          </cell>
          <cell r="U1338">
            <v>0</v>
          </cell>
          <cell r="V1338">
            <v>0</v>
          </cell>
          <cell r="W1338">
            <v>0</v>
          </cell>
          <cell r="X1338">
            <v>4</v>
          </cell>
          <cell r="Y1338">
            <v>0</v>
          </cell>
          <cell r="Z1338">
            <v>0</v>
          </cell>
          <cell r="AA1338">
            <v>8</v>
          </cell>
          <cell r="AB1338">
            <v>0.42105263157894735</v>
          </cell>
          <cell r="AC1338">
            <v>0.4</v>
          </cell>
          <cell r="AD1338">
            <v>16</v>
          </cell>
        </row>
        <row r="1339">
          <cell r="A1339">
            <v>28</v>
          </cell>
          <cell r="B1339">
            <v>3</v>
          </cell>
          <cell r="C1339">
            <v>3</v>
          </cell>
          <cell r="D1339">
            <v>2856</v>
          </cell>
          <cell r="E1339">
            <v>1</v>
          </cell>
          <cell r="F1339">
            <v>19</v>
          </cell>
          <cell r="G1339">
            <v>3</v>
          </cell>
          <cell r="H1339">
            <v>1</v>
          </cell>
          <cell r="I1339">
            <v>1</v>
          </cell>
          <cell r="J1339">
            <v>3</v>
          </cell>
          <cell r="K1339">
            <v>1</v>
          </cell>
          <cell r="L1339">
            <v>0</v>
          </cell>
          <cell r="M1339">
            <v>0</v>
          </cell>
          <cell r="N1339">
            <v>1</v>
          </cell>
          <cell r="O1339">
            <v>0</v>
          </cell>
          <cell r="P1339">
            <v>0</v>
          </cell>
          <cell r="Q1339">
            <v>1</v>
          </cell>
          <cell r="R1339">
            <v>0</v>
          </cell>
          <cell r="S1339">
            <v>0</v>
          </cell>
          <cell r="T1339">
            <v>0</v>
          </cell>
          <cell r="U1339">
            <v>0</v>
          </cell>
          <cell r="V1339">
            <v>3</v>
          </cell>
          <cell r="W1339">
            <v>0</v>
          </cell>
          <cell r="X1339">
            <v>0</v>
          </cell>
          <cell r="Y1339">
            <v>0</v>
          </cell>
          <cell r="Z1339">
            <v>0</v>
          </cell>
          <cell r="AA1339">
            <v>4</v>
          </cell>
          <cell r="AB1339">
            <v>1</v>
          </cell>
          <cell r="AC1339">
            <v>0</v>
          </cell>
          <cell r="AD1339">
            <v>16</v>
          </cell>
        </row>
        <row r="1340">
          <cell r="A1340">
            <v>30</v>
          </cell>
          <cell r="B1340">
            <v>3</v>
          </cell>
          <cell r="C1340">
            <v>3</v>
          </cell>
          <cell r="D1340">
            <v>1081</v>
          </cell>
          <cell r="E1340">
            <v>1</v>
          </cell>
          <cell r="F1340">
            <v>13</v>
          </cell>
          <cell r="G1340">
            <v>3</v>
          </cell>
          <cell r="H1340">
            <v>0</v>
          </cell>
          <cell r="I1340">
            <v>1</v>
          </cell>
          <cell r="J1340">
            <v>3</v>
          </cell>
          <cell r="K1340">
            <v>1</v>
          </cell>
          <cell r="L1340">
            <v>0</v>
          </cell>
          <cell r="M1340">
            <v>0</v>
          </cell>
          <cell r="N1340">
            <v>0</v>
          </cell>
          <cell r="O1340">
            <v>0</v>
          </cell>
          <cell r="P1340">
            <v>0</v>
          </cell>
          <cell r="Q1340">
            <v>1</v>
          </cell>
          <cell r="R1340">
            <v>0</v>
          </cell>
          <cell r="S1340">
            <v>0</v>
          </cell>
          <cell r="T1340">
            <v>0</v>
          </cell>
          <cell r="U1340">
            <v>0</v>
          </cell>
          <cell r="V1340">
            <v>3</v>
          </cell>
          <cell r="W1340">
            <v>0</v>
          </cell>
          <cell r="X1340">
            <v>0</v>
          </cell>
          <cell r="Y1340">
            <v>0</v>
          </cell>
          <cell r="Z1340">
            <v>0</v>
          </cell>
          <cell r="AA1340">
            <v>8</v>
          </cell>
          <cell r="AB1340">
            <v>1</v>
          </cell>
          <cell r="AC1340">
            <v>0</v>
          </cell>
          <cell r="AD1340">
            <v>24</v>
          </cell>
        </row>
        <row r="1341">
          <cell r="A1341">
            <v>22</v>
          </cell>
          <cell r="B1341">
            <v>1</v>
          </cell>
          <cell r="C1341">
            <v>3</v>
          </cell>
          <cell r="D1341">
            <v>2472</v>
          </cell>
          <cell r="E1341">
            <v>1</v>
          </cell>
          <cell r="F1341">
            <v>23</v>
          </cell>
          <cell r="G1341">
            <v>4</v>
          </cell>
          <cell r="H1341">
            <v>0</v>
          </cell>
          <cell r="I1341">
            <v>1</v>
          </cell>
          <cell r="J1341">
            <v>2</v>
          </cell>
          <cell r="K1341">
            <v>1</v>
          </cell>
          <cell r="L1341">
            <v>0</v>
          </cell>
          <cell r="M1341">
            <v>1</v>
          </cell>
          <cell r="N1341">
            <v>0</v>
          </cell>
          <cell r="O1341">
            <v>1</v>
          </cell>
          <cell r="P1341">
            <v>0</v>
          </cell>
          <cell r="Q1341">
            <v>0</v>
          </cell>
          <cell r="R1341">
            <v>0</v>
          </cell>
          <cell r="S1341">
            <v>0</v>
          </cell>
          <cell r="T1341">
            <v>1</v>
          </cell>
          <cell r="U1341">
            <v>0</v>
          </cell>
          <cell r="V1341">
            <v>0</v>
          </cell>
          <cell r="W1341">
            <v>0</v>
          </cell>
          <cell r="X1341">
            <v>0</v>
          </cell>
          <cell r="Y1341">
            <v>0</v>
          </cell>
          <cell r="Z1341">
            <v>0</v>
          </cell>
          <cell r="AA1341">
            <v>8</v>
          </cell>
          <cell r="AB1341">
            <v>1</v>
          </cell>
          <cell r="AC1341">
            <v>0</v>
          </cell>
          <cell r="AD1341">
            <v>8</v>
          </cell>
        </row>
        <row r="1342">
          <cell r="A1342">
            <v>36</v>
          </cell>
          <cell r="B1342">
            <v>4</v>
          </cell>
          <cell r="C1342">
            <v>2</v>
          </cell>
          <cell r="D1342">
            <v>5673</v>
          </cell>
          <cell r="E1342">
            <v>1</v>
          </cell>
          <cell r="F1342">
            <v>13</v>
          </cell>
          <cell r="G1342">
            <v>3</v>
          </cell>
          <cell r="H1342">
            <v>1</v>
          </cell>
          <cell r="I1342">
            <v>10</v>
          </cell>
          <cell r="J1342">
            <v>4</v>
          </cell>
          <cell r="K1342">
            <v>10</v>
          </cell>
          <cell r="L1342">
            <v>9</v>
          </cell>
          <cell r="M1342">
            <v>1</v>
          </cell>
          <cell r="N1342">
            <v>1</v>
          </cell>
          <cell r="O1342">
            <v>0</v>
          </cell>
          <cell r="P1342">
            <v>0</v>
          </cell>
          <cell r="Q1342">
            <v>0</v>
          </cell>
          <cell r="R1342">
            <v>0</v>
          </cell>
          <cell r="S1342">
            <v>1</v>
          </cell>
          <cell r="T1342">
            <v>0</v>
          </cell>
          <cell r="U1342">
            <v>0</v>
          </cell>
          <cell r="V1342">
            <v>0</v>
          </cell>
          <cell r="W1342">
            <v>0</v>
          </cell>
          <cell r="X1342">
            <v>4</v>
          </cell>
          <cell r="Y1342">
            <v>0</v>
          </cell>
          <cell r="Z1342">
            <v>1</v>
          </cell>
          <cell r="AA1342">
            <v>6</v>
          </cell>
          <cell r="AB1342">
            <v>0.1</v>
          </cell>
          <cell r="AC1342">
            <v>0.9</v>
          </cell>
          <cell r="AD1342">
            <v>6</v>
          </cell>
        </row>
        <row r="1343">
          <cell r="A1343">
            <v>31</v>
          </cell>
          <cell r="B1343">
            <v>3</v>
          </cell>
          <cell r="C1343">
            <v>3</v>
          </cell>
          <cell r="D1343">
            <v>4197</v>
          </cell>
          <cell r="E1343">
            <v>1</v>
          </cell>
          <cell r="F1343">
            <v>11</v>
          </cell>
          <cell r="G1343">
            <v>3</v>
          </cell>
          <cell r="H1343">
            <v>1</v>
          </cell>
          <cell r="I1343">
            <v>10</v>
          </cell>
          <cell r="J1343">
            <v>2</v>
          </cell>
          <cell r="K1343">
            <v>10</v>
          </cell>
          <cell r="L1343">
            <v>8</v>
          </cell>
          <cell r="M1343">
            <v>0</v>
          </cell>
          <cell r="N1343">
            <v>0</v>
          </cell>
          <cell r="O1343">
            <v>1</v>
          </cell>
          <cell r="P1343">
            <v>0</v>
          </cell>
          <cell r="Q1343">
            <v>0</v>
          </cell>
          <cell r="R1343">
            <v>0</v>
          </cell>
          <cell r="S1343">
            <v>0</v>
          </cell>
          <cell r="T1343">
            <v>3</v>
          </cell>
          <cell r="U1343">
            <v>0</v>
          </cell>
          <cell r="V1343">
            <v>0</v>
          </cell>
          <cell r="W1343">
            <v>0</v>
          </cell>
          <cell r="X1343">
            <v>0</v>
          </cell>
          <cell r="Y1343">
            <v>0</v>
          </cell>
          <cell r="Z1343">
            <v>0</v>
          </cell>
          <cell r="AA1343">
            <v>6</v>
          </cell>
          <cell r="AB1343">
            <v>0.1</v>
          </cell>
          <cell r="AC1343">
            <v>0.8</v>
          </cell>
          <cell r="AD1343">
            <v>6</v>
          </cell>
        </row>
        <row r="1344">
          <cell r="A1344">
            <v>34</v>
          </cell>
          <cell r="B1344">
            <v>3</v>
          </cell>
          <cell r="C1344">
            <v>3</v>
          </cell>
          <cell r="D1344">
            <v>9713</v>
          </cell>
          <cell r="E1344">
            <v>2</v>
          </cell>
          <cell r="F1344">
            <v>13</v>
          </cell>
          <cell r="G1344">
            <v>3</v>
          </cell>
          <cell r="H1344">
            <v>3</v>
          </cell>
          <cell r="I1344">
            <v>9</v>
          </cell>
          <cell r="J1344">
            <v>3</v>
          </cell>
          <cell r="K1344">
            <v>5</v>
          </cell>
          <cell r="L1344">
            <v>3</v>
          </cell>
          <cell r="M1344">
            <v>1</v>
          </cell>
          <cell r="N1344">
            <v>0</v>
          </cell>
          <cell r="O1344">
            <v>1</v>
          </cell>
          <cell r="P1344">
            <v>0</v>
          </cell>
          <cell r="Q1344">
            <v>0</v>
          </cell>
          <cell r="R1344">
            <v>0</v>
          </cell>
          <cell r="S1344">
            <v>0</v>
          </cell>
          <cell r="T1344">
            <v>3</v>
          </cell>
          <cell r="U1344">
            <v>0</v>
          </cell>
          <cell r="V1344">
            <v>0</v>
          </cell>
          <cell r="W1344">
            <v>0</v>
          </cell>
          <cell r="X1344">
            <v>0</v>
          </cell>
          <cell r="Y1344">
            <v>0</v>
          </cell>
          <cell r="Z1344">
            <v>1</v>
          </cell>
          <cell r="AA1344">
            <v>12</v>
          </cell>
          <cell r="AB1344">
            <v>0.22222222222222221</v>
          </cell>
          <cell r="AC1344">
            <v>0.6</v>
          </cell>
          <cell r="AD1344">
            <v>48</v>
          </cell>
        </row>
        <row r="1345">
          <cell r="A1345">
            <v>29</v>
          </cell>
          <cell r="B1345">
            <v>3</v>
          </cell>
          <cell r="C1345">
            <v>3</v>
          </cell>
          <cell r="D1345">
            <v>2062</v>
          </cell>
          <cell r="E1345">
            <v>3</v>
          </cell>
          <cell r="F1345">
            <v>14</v>
          </cell>
          <cell r="G1345">
            <v>3</v>
          </cell>
          <cell r="H1345">
            <v>0</v>
          </cell>
          <cell r="I1345">
            <v>11</v>
          </cell>
          <cell r="J1345">
            <v>2</v>
          </cell>
          <cell r="K1345">
            <v>3</v>
          </cell>
          <cell r="L1345">
            <v>2</v>
          </cell>
          <cell r="M1345">
            <v>0</v>
          </cell>
          <cell r="N1345">
            <v>0</v>
          </cell>
          <cell r="O1345">
            <v>1</v>
          </cell>
          <cell r="P1345">
            <v>0</v>
          </cell>
          <cell r="Q1345">
            <v>0</v>
          </cell>
          <cell r="R1345">
            <v>0</v>
          </cell>
          <cell r="S1345">
            <v>0</v>
          </cell>
          <cell r="T1345">
            <v>3</v>
          </cell>
          <cell r="U1345">
            <v>0</v>
          </cell>
          <cell r="V1345">
            <v>0</v>
          </cell>
          <cell r="W1345">
            <v>0</v>
          </cell>
          <cell r="X1345">
            <v>0</v>
          </cell>
          <cell r="Y1345">
            <v>0</v>
          </cell>
          <cell r="Z1345">
            <v>0</v>
          </cell>
          <cell r="AA1345">
            <v>4</v>
          </cell>
          <cell r="AB1345">
            <v>0.27272727272727271</v>
          </cell>
          <cell r="AC1345">
            <v>0.66666666666666663</v>
          </cell>
          <cell r="AD1345">
            <v>8</v>
          </cell>
        </row>
        <row r="1346">
          <cell r="A1346">
            <v>37</v>
          </cell>
          <cell r="B1346">
            <v>4</v>
          </cell>
          <cell r="C1346">
            <v>3</v>
          </cell>
          <cell r="D1346">
            <v>4284</v>
          </cell>
          <cell r="E1346">
            <v>5</v>
          </cell>
          <cell r="F1346">
            <v>22</v>
          </cell>
          <cell r="G1346">
            <v>4</v>
          </cell>
          <cell r="H1346">
            <v>1</v>
          </cell>
          <cell r="I1346">
            <v>16</v>
          </cell>
          <cell r="J1346">
            <v>2</v>
          </cell>
          <cell r="K1346">
            <v>5</v>
          </cell>
          <cell r="L1346">
            <v>3</v>
          </cell>
          <cell r="M1346">
            <v>1</v>
          </cell>
          <cell r="N1346">
            <v>0</v>
          </cell>
          <cell r="O1346">
            <v>0</v>
          </cell>
          <cell r="P1346">
            <v>0</v>
          </cell>
          <cell r="Q1346">
            <v>1</v>
          </cell>
          <cell r="R1346">
            <v>0</v>
          </cell>
          <cell r="S1346">
            <v>0</v>
          </cell>
          <cell r="T1346">
            <v>0</v>
          </cell>
          <cell r="U1346">
            <v>0</v>
          </cell>
          <cell r="V1346">
            <v>4</v>
          </cell>
          <cell r="W1346">
            <v>0</v>
          </cell>
          <cell r="X1346">
            <v>0</v>
          </cell>
          <cell r="Y1346">
            <v>0</v>
          </cell>
          <cell r="Z1346">
            <v>1</v>
          </cell>
          <cell r="AA1346">
            <v>4</v>
          </cell>
          <cell r="AB1346">
            <v>0.3125</v>
          </cell>
          <cell r="AC1346">
            <v>0.6</v>
          </cell>
          <cell r="AD1346">
            <v>12</v>
          </cell>
        </row>
        <row r="1347">
          <cell r="A1347">
            <v>35</v>
          </cell>
          <cell r="B1347">
            <v>2</v>
          </cell>
          <cell r="C1347">
            <v>2</v>
          </cell>
          <cell r="D1347">
            <v>4788</v>
          </cell>
          <cell r="E1347">
            <v>0</v>
          </cell>
          <cell r="F1347">
            <v>11</v>
          </cell>
          <cell r="G1347">
            <v>3</v>
          </cell>
          <cell r="H1347">
            <v>0</v>
          </cell>
          <cell r="I1347">
            <v>4</v>
          </cell>
          <cell r="J1347">
            <v>2</v>
          </cell>
          <cell r="K1347">
            <v>3</v>
          </cell>
          <cell r="L1347">
            <v>2</v>
          </cell>
          <cell r="M1347">
            <v>1</v>
          </cell>
          <cell r="N1347">
            <v>1</v>
          </cell>
          <cell r="O1347">
            <v>0</v>
          </cell>
          <cell r="P1347">
            <v>0</v>
          </cell>
          <cell r="Q1347">
            <v>0</v>
          </cell>
          <cell r="R1347">
            <v>1</v>
          </cell>
          <cell r="S1347">
            <v>0</v>
          </cell>
          <cell r="T1347">
            <v>0</v>
          </cell>
          <cell r="U1347">
            <v>0</v>
          </cell>
          <cell r="V1347">
            <v>0</v>
          </cell>
          <cell r="W1347">
            <v>2</v>
          </cell>
          <cell r="X1347">
            <v>0</v>
          </cell>
          <cell r="Y1347">
            <v>0</v>
          </cell>
          <cell r="Z1347">
            <v>1</v>
          </cell>
          <cell r="AA1347">
            <v>8</v>
          </cell>
          <cell r="AB1347">
            <v>0</v>
          </cell>
          <cell r="AC1347">
            <v>0.66666666666666663</v>
          </cell>
          <cell r="AD1347">
            <v>32</v>
          </cell>
        </row>
        <row r="1348">
          <cell r="A1348">
            <v>45</v>
          </cell>
          <cell r="B1348">
            <v>2</v>
          </cell>
          <cell r="C1348">
            <v>2</v>
          </cell>
          <cell r="D1348">
            <v>5906</v>
          </cell>
          <cell r="E1348">
            <v>0</v>
          </cell>
          <cell r="F1348">
            <v>13</v>
          </cell>
          <cell r="G1348">
            <v>3</v>
          </cell>
          <cell r="H1348">
            <v>2</v>
          </cell>
          <cell r="I1348">
            <v>10</v>
          </cell>
          <cell r="J1348">
            <v>2</v>
          </cell>
          <cell r="K1348">
            <v>9</v>
          </cell>
          <cell r="L1348">
            <v>8</v>
          </cell>
          <cell r="M1348">
            <v>0</v>
          </cell>
          <cell r="N1348">
            <v>1</v>
          </cell>
          <cell r="O1348">
            <v>1</v>
          </cell>
          <cell r="P1348">
            <v>0</v>
          </cell>
          <cell r="Q1348">
            <v>0</v>
          </cell>
          <cell r="R1348">
            <v>0</v>
          </cell>
          <cell r="S1348">
            <v>0</v>
          </cell>
          <cell r="T1348">
            <v>2</v>
          </cell>
          <cell r="U1348">
            <v>0</v>
          </cell>
          <cell r="V1348">
            <v>0</v>
          </cell>
          <cell r="W1348">
            <v>0</v>
          </cell>
          <cell r="X1348">
            <v>0</v>
          </cell>
          <cell r="Y1348">
            <v>0</v>
          </cell>
          <cell r="Z1348">
            <v>0</v>
          </cell>
          <cell r="AA1348">
            <v>8</v>
          </cell>
          <cell r="AB1348">
            <v>0</v>
          </cell>
          <cell r="AC1348">
            <v>0.88888888888888884</v>
          </cell>
          <cell r="AD1348">
            <v>32</v>
          </cell>
        </row>
        <row r="1349">
          <cell r="A1349">
            <v>36</v>
          </cell>
          <cell r="B1349">
            <v>1</v>
          </cell>
          <cell r="C1349">
            <v>2</v>
          </cell>
          <cell r="D1349">
            <v>3886</v>
          </cell>
          <cell r="E1349">
            <v>1</v>
          </cell>
          <cell r="F1349">
            <v>21</v>
          </cell>
          <cell r="G1349">
            <v>4</v>
          </cell>
          <cell r="H1349">
            <v>0</v>
          </cell>
          <cell r="I1349">
            <v>10</v>
          </cell>
          <cell r="J1349">
            <v>2</v>
          </cell>
          <cell r="K1349">
            <v>10</v>
          </cell>
          <cell r="L1349">
            <v>1</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8</v>
          </cell>
          <cell r="AB1349">
            <v>0.1</v>
          </cell>
          <cell r="AC1349">
            <v>0.1</v>
          </cell>
          <cell r="AD1349">
            <v>32</v>
          </cell>
        </row>
        <row r="1350">
          <cell r="A1350">
            <v>40</v>
          </cell>
          <cell r="B1350">
            <v>4</v>
          </cell>
          <cell r="C1350">
            <v>3</v>
          </cell>
          <cell r="D1350">
            <v>16823</v>
          </cell>
          <cell r="E1350">
            <v>2</v>
          </cell>
          <cell r="F1350">
            <v>11</v>
          </cell>
          <cell r="G1350">
            <v>3</v>
          </cell>
          <cell r="H1350">
            <v>1</v>
          </cell>
          <cell r="I1350">
            <v>22</v>
          </cell>
          <cell r="J1350">
            <v>3</v>
          </cell>
          <cell r="K1350">
            <v>19</v>
          </cell>
          <cell r="L1350">
            <v>7</v>
          </cell>
          <cell r="M1350">
            <v>0</v>
          </cell>
          <cell r="N1350">
            <v>0</v>
          </cell>
          <cell r="O1350">
            <v>1</v>
          </cell>
          <cell r="P1350">
            <v>0</v>
          </cell>
          <cell r="Q1350">
            <v>0</v>
          </cell>
          <cell r="R1350">
            <v>0</v>
          </cell>
          <cell r="S1350">
            <v>0</v>
          </cell>
          <cell r="T1350">
            <v>4</v>
          </cell>
          <cell r="U1350">
            <v>0</v>
          </cell>
          <cell r="V1350">
            <v>0</v>
          </cell>
          <cell r="W1350">
            <v>0</v>
          </cell>
          <cell r="X1350">
            <v>0</v>
          </cell>
          <cell r="Y1350">
            <v>0</v>
          </cell>
          <cell r="Z1350">
            <v>0</v>
          </cell>
          <cell r="AA1350">
            <v>1</v>
          </cell>
          <cell r="AB1350">
            <v>9.0909090909090912E-2</v>
          </cell>
          <cell r="AC1350">
            <v>0.36842105263157893</v>
          </cell>
          <cell r="AD1350">
            <v>1</v>
          </cell>
        </row>
        <row r="1351">
          <cell r="A1351">
            <v>26</v>
          </cell>
          <cell r="B1351">
            <v>2</v>
          </cell>
          <cell r="C1351">
            <v>2</v>
          </cell>
          <cell r="D1351">
            <v>2933</v>
          </cell>
          <cell r="E1351">
            <v>1</v>
          </cell>
          <cell r="F1351">
            <v>13</v>
          </cell>
          <cell r="G1351">
            <v>3</v>
          </cell>
          <cell r="H1351">
            <v>1</v>
          </cell>
          <cell r="I1351">
            <v>1</v>
          </cell>
          <cell r="J1351">
            <v>3</v>
          </cell>
          <cell r="K1351">
            <v>1</v>
          </cell>
          <cell r="L1351">
            <v>0</v>
          </cell>
          <cell r="M1351">
            <v>1</v>
          </cell>
          <cell r="N1351">
            <v>1</v>
          </cell>
          <cell r="O1351">
            <v>1</v>
          </cell>
          <cell r="P1351">
            <v>0</v>
          </cell>
          <cell r="Q1351">
            <v>0</v>
          </cell>
          <cell r="R1351">
            <v>0</v>
          </cell>
          <cell r="S1351">
            <v>0</v>
          </cell>
          <cell r="T1351">
            <v>2</v>
          </cell>
          <cell r="U1351">
            <v>0</v>
          </cell>
          <cell r="V1351">
            <v>0</v>
          </cell>
          <cell r="W1351">
            <v>0</v>
          </cell>
          <cell r="X1351">
            <v>0</v>
          </cell>
          <cell r="Y1351">
            <v>0</v>
          </cell>
          <cell r="Z1351">
            <v>1</v>
          </cell>
          <cell r="AA1351">
            <v>6</v>
          </cell>
          <cell r="AB1351">
            <v>1</v>
          </cell>
          <cell r="AC1351">
            <v>0</v>
          </cell>
          <cell r="AD1351">
            <v>18</v>
          </cell>
        </row>
        <row r="1352">
          <cell r="A1352">
            <v>27</v>
          </cell>
          <cell r="B1352">
            <v>2</v>
          </cell>
          <cell r="C1352">
            <v>4</v>
          </cell>
          <cell r="D1352">
            <v>6500</v>
          </cell>
          <cell r="E1352">
            <v>0</v>
          </cell>
          <cell r="F1352">
            <v>14</v>
          </cell>
          <cell r="G1352">
            <v>3</v>
          </cell>
          <cell r="H1352">
            <v>0</v>
          </cell>
          <cell r="I1352">
            <v>9</v>
          </cell>
          <cell r="J1352">
            <v>5</v>
          </cell>
          <cell r="K1352">
            <v>8</v>
          </cell>
          <cell r="L1352">
            <v>7</v>
          </cell>
          <cell r="M1352">
            <v>0</v>
          </cell>
          <cell r="N1352">
            <v>1</v>
          </cell>
          <cell r="O1352">
            <v>0</v>
          </cell>
          <cell r="P1352">
            <v>0</v>
          </cell>
          <cell r="Q1352">
            <v>1</v>
          </cell>
          <cell r="R1352">
            <v>0</v>
          </cell>
          <cell r="S1352">
            <v>0</v>
          </cell>
          <cell r="T1352">
            <v>0</v>
          </cell>
          <cell r="U1352">
            <v>0</v>
          </cell>
          <cell r="V1352">
            <v>2</v>
          </cell>
          <cell r="W1352">
            <v>0</v>
          </cell>
          <cell r="X1352">
            <v>0</v>
          </cell>
          <cell r="Y1352">
            <v>0</v>
          </cell>
          <cell r="Z1352">
            <v>0</v>
          </cell>
          <cell r="AA1352">
            <v>3</v>
          </cell>
          <cell r="AB1352">
            <v>0</v>
          </cell>
          <cell r="AC1352">
            <v>0.875</v>
          </cell>
          <cell r="AD1352">
            <v>6</v>
          </cell>
        </row>
        <row r="1353">
          <cell r="A1353">
            <v>48</v>
          </cell>
          <cell r="B1353">
            <v>3</v>
          </cell>
          <cell r="C1353">
            <v>3</v>
          </cell>
          <cell r="D1353">
            <v>17174</v>
          </cell>
          <cell r="E1353">
            <v>3</v>
          </cell>
          <cell r="F1353">
            <v>11</v>
          </cell>
          <cell r="G1353">
            <v>3</v>
          </cell>
          <cell r="H1353">
            <v>1</v>
          </cell>
          <cell r="I1353">
            <v>24</v>
          </cell>
          <cell r="J1353">
            <v>3</v>
          </cell>
          <cell r="K1353">
            <v>22</v>
          </cell>
          <cell r="L1353">
            <v>17</v>
          </cell>
          <cell r="M1353">
            <v>0</v>
          </cell>
          <cell r="N1353">
            <v>1</v>
          </cell>
          <cell r="O1353">
            <v>0</v>
          </cell>
          <cell r="P1353">
            <v>0</v>
          </cell>
          <cell r="Q1353">
            <v>1</v>
          </cell>
          <cell r="R1353">
            <v>0</v>
          </cell>
          <cell r="S1353">
            <v>0</v>
          </cell>
          <cell r="T1353">
            <v>0</v>
          </cell>
          <cell r="U1353">
            <v>0</v>
          </cell>
          <cell r="V1353">
            <v>3</v>
          </cell>
          <cell r="W1353">
            <v>0</v>
          </cell>
          <cell r="X1353">
            <v>0</v>
          </cell>
          <cell r="Y1353">
            <v>0</v>
          </cell>
          <cell r="Z1353">
            <v>0</v>
          </cell>
          <cell r="AA1353">
            <v>16</v>
          </cell>
          <cell r="AB1353">
            <v>0.125</v>
          </cell>
          <cell r="AC1353">
            <v>0.77272727272727271</v>
          </cell>
          <cell r="AD1353">
            <v>32</v>
          </cell>
        </row>
        <row r="1354">
          <cell r="A1354">
            <v>44</v>
          </cell>
          <cell r="B1354">
            <v>4</v>
          </cell>
          <cell r="C1354">
            <v>4</v>
          </cell>
          <cell r="D1354">
            <v>5033</v>
          </cell>
          <cell r="E1354">
            <v>2</v>
          </cell>
          <cell r="F1354">
            <v>15</v>
          </cell>
          <cell r="G1354">
            <v>3</v>
          </cell>
          <cell r="H1354">
            <v>1</v>
          </cell>
          <cell r="I1354">
            <v>10</v>
          </cell>
          <cell r="J1354">
            <v>5</v>
          </cell>
          <cell r="K1354">
            <v>2</v>
          </cell>
          <cell r="L1354">
            <v>0</v>
          </cell>
          <cell r="M1354">
            <v>0</v>
          </cell>
          <cell r="N1354">
            <v>0</v>
          </cell>
          <cell r="O1354">
            <v>1</v>
          </cell>
          <cell r="P1354">
            <v>0</v>
          </cell>
          <cell r="Q1354">
            <v>0</v>
          </cell>
          <cell r="R1354">
            <v>0</v>
          </cell>
          <cell r="S1354">
            <v>0</v>
          </cell>
          <cell r="T1354">
            <v>4</v>
          </cell>
          <cell r="U1354">
            <v>0</v>
          </cell>
          <cell r="V1354">
            <v>0</v>
          </cell>
          <cell r="W1354">
            <v>0</v>
          </cell>
          <cell r="X1354">
            <v>0</v>
          </cell>
          <cell r="Y1354">
            <v>0</v>
          </cell>
          <cell r="Z1354">
            <v>0</v>
          </cell>
          <cell r="AA1354">
            <v>2</v>
          </cell>
          <cell r="AB1354">
            <v>0.2</v>
          </cell>
          <cell r="AC1354">
            <v>0</v>
          </cell>
          <cell r="AD1354">
            <v>8</v>
          </cell>
        </row>
        <row r="1355">
          <cell r="A1355">
            <v>34</v>
          </cell>
          <cell r="B1355">
            <v>4</v>
          </cell>
          <cell r="C1355">
            <v>1</v>
          </cell>
          <cell r="D1355">
            <v>2307</v>
          </cell>
          <cell r="E1355">
            <v>1</v>
          </cell>
          <cell r="F1355">
            <v>23</v>
          </cell>
          <cell r="G1355">
            <v>4</v>
          </cell>
          <cell r="H1355">
            <v>1</v>
          </cell>
          <cell r="I1355">
            <v>5</v>
          </cell>
          <cell r="J1355">
            <v>2</v>
          </cell>
          <cell r="K1355">
            <v>5</v>
          </cell>
          <cell r="L1355">
            <v>2</v>
          </cell>
          <cell r="M1355">
            <v>1</v>
          </cell>
          <cell r="N1355">
            <v>0</v>
          </cell>
          <cell r="O1355">
            <v>0</v>
          </cell>
          <cell r="P1355">
            <v>0</v>
          </cell>
          <cell r="Q1355">
            <v>0</v>
          </cell>
          <cell r="R1355">
            <v>0</v>
          </cell>
          <cell r="S1355">
            <v>1</v>
          </cell>
          <cell r="T1355">
            <v>0</v>
          </cell>
          <cell r="U1355">
            <v>0</v>
          </cell>
          <cell r="V1355">
            <v>0</v>
          </cell>
          <cell r="W1355">
            <v>0</v>
          </cell>
          <cell r="X1355">
            <v>4</v>
          </cell>
          <cell r="Y1355">
            <v>0</v>
          </cell>
          <cell r="Z1355">
            <v>1</v>
          </cell>
          <cell r="AA1355">
            <v>4</v>
          </cell>
          <cell r="AB1355">
            <v>0.2</v>
          </cell>
          <cell r="AC1355">
            <v>0.4</v>
          </cell>
          <cell r="AD1355">
            <v>8</v>
          </cell>
        </row>
        <row r="1356">
          <cell r="A1356">
            <v>56</v>
          </cell>
          <cell r="B1356">
            <v>2</v>
          </cell>
          <cell r="C1356">
            <v>3</v>
          </cell>
          <cell r="D1356">
            <v>2587</v>
          </cell>
          <cell r="E1356">
            <v>1</v>
          </cell>
          <cell r="F1356">
            <v>16</v>
          </cell>
          <cell r="G1356">
            <v>3</v>
          </cell>
          <cell r="H1356">
            <v>0</v>
          </cell>
          <cell r="I1356">
            <v>5</v>
          </cell>
          <cell r="J1356">
            <v>3</v>
          </cell>
          <cell r="K1356">
            <v>4</v>
          </cell>
          <cell r="L1356">
            <v>2</v>
          </cell>
          <cell r="M1356">
            <v>0</v>
          </cell>
          <cell r="N1356">
            <v>0</v>
          </cell>
          <cell r="O1356">
            <v>1</v>
          </cell>
          <cell r="P1356">
            <v>0</v>
          </cell>
          <cell r="Q1356">
            <v>0</v>
          </cell>
          <cell r="R1356">
            <v>0</v>
          </cell>
          <cell r="S1356">
            <v>0</v>
          </cell>
          <cell r="T1356">
            <v>2</v>
          </cell>
          <cell r="U1356">
            <v>0</v>
          </cell>
          <cell r="V1356">
            <v>0</v>
          </cell>
          <cell r="W1356">
            <v>0</v>
          </cell>
          <cell r="X1356">
            <v>0</v>
          </cell>
          <cell r="Y1356">
            <v>0</v>
          </cell>
          <cell r="Z1356">
            <v>0</v>
          </cell>
          <cell r="AA1356">
            <v>4</v>
          </cell>
          <cell r="AB1356">
            <v>0.2</v>
          </cell>
          <cell r="AC1356">
            <v>0.5</v>
          </cell>
          <cell r="AD1356">
            <v>16</v>
          </cell>
        </row>
        <row r="1357">
          <cell r="A1357">
            <v>36</v>
          </cell>
          <cell r="B1357">
            <v>2</v>
          </cell>
          <cell r="C1357">
            <v>2</v>
          </cell>
          <cell r="D1357">
            <v>5507</v>
          </cell>
          <cell r="E1357">
            <v>2</v>
          </cell>
          <cell r="F1357">
            <v>16</v>
          </cell>
          <cell r="G1357">
            <v>3</v>
          </cell>
          <cell r="H1357">
            <v>2</v>
          </cell>
          <cell r="I1357">
            <v>12</v>
          </cell>
          <cell r="J1357">
            <v>1</v>
          </cell>
          <cell r="K1357">
            <v>4</v>
          </cell>
          <cell r="L1357">
            <v>2</v>
          </cell>
          <cell r="M1357">
            <v>0</v>
          </cell>
          <cell r="N1357">
            <v>0</v>
          </cell>
          <cell r="O1357">
            <v>0</v>
          </cell>
          <cell r="P1357">
            <v>1</v>
          </cell>
          <cell r="Q1357">
            <v>0</v>
          </cell>
          <cell r="R1357">
            <v>0</v>
          </cell>
          <cell r="S1357">
            <v>0</v>
          </cell>
          <cell r="T1357">
            <v>0</v>
          </cell>
          <cell r="U1357">
            <v>2</v>
          </cell>
          <cell r="V1357">
            <v>0</v>
          </cell>
          <cell r="W1357">
            <v>0</v>
          </cell>
          <cell r="X1357">
            <v>0</v>
          </cell>
          <cell r="Y1357">
            <v>0</v>
          </cell>
          <cell r="Z1357">
            <v>0</v>
          </cell>
          <cell r="AA1357">
            <v>6</v>
          </cell>
          <cell r="AB1357">
            <v>0.16666666666666666</v>
          </cell>
          <cell r="AC1357">
            <v>0.5</v>
          </cell>
          <cell r="AD1357">
            <v>18</v>
          </cell>
        </row>
        <row r="1358">
          <cell r="A1358">
            <v>41</v>
          </cell>
          <cell r="B1358">
            <v>3</v>
          </cell>
          <cell r="C1358">
            <v>3</v>
          </cell>
          <cell r="D1358">
            <v>4393</v>
          </cell>
          <cell r="E1358">
            <v>5</v>
          </cell>
          <cell r="F1358">
            <v>21</v>
          </cell>
          <cell r="G1358">
            <v>4</v>
          </cell>
          <cell r="H1358">
            <v>1</v>
          </cell>
          <cell r="I1358">
            <v>14</v>
          </cell>
          <cell r="J1358">
            <v>3</v>
          </cell>
          <cell r="K1358">
            <v>5</v>
          </cell>
          <cell r="L1358">
            <v>4</v>
          </cell>
          <cell r="M1358">
            <v>0</v>
          </cell>
          <cell r="N1358">
            <v>1</v>
          </cell>
          <cell r="O1358">
            <v>0</v>
          </cell>
          <cell r="P1358">
            <v>1</v>
          </cell>
          <cell r="Q1358">
            <v>0</v>
          </cell>
          <cell r="R1358">
            <v>0</v>
          </cell>
          <cell r="S1358">
            <v>0</v>
          </cell>
          <cell r="T1358">
            <v>0</v>
          </cell>
          <cell r="U1358">
            <v>3</v>
          </cell>
          <cell r="V1358">
            <v>0</v>
          </cell>
          <cell r="W1358">
            <v>0</v>
          </cell>
          <cell r="X1358">
            <v>0</v>
          </cell>
          <cell r="Y1358">
            <v>0</v>
          </cell>
          <cell r="Z1358">
            <v>0</v>
          </cell>
          <cell r="AA1358">
            <v>6</v>
          </cell>
          <cell r="AB1358">
            <v>0.35714285714285715</v>
          </cell>
          <cell r="AC1358">
            <v>0.8</v>
          </cell>
          <cell r="AD1358">
            <v>18</v>
          </cell>
        </row>
        <row r="1359">
          <cell r="A1359">
            <v>42</v>
          </cell>
          <cell r="B1359">
            <v>3</v>
          </cell>
          <cell r="C1359">
            <v>3</v>
          </cell>
          <cell r="D1359">
            <v>13348</v>
          </cell>
          <cell r="E1359">
            <v>9</v>
          </cell>
          <cell r="F1359">
            <v>13</v>
          </cell>
          <cell r="G1359">
            <v>3</v>
          </cell>
          <cell r="H1359">
            <v>1</v>
          </cell>
          <cell r="I1359">
            <v>18</v>
          </cell>
          <cell r="J1359">
            <v>3</v>
          </cell>
          <cell r="K1359">
            <v>13</v>
          </cell>
          <cell r="L1359">
            <v>7</v>
          </cell>
          <cell r="M1359">
            <v>0</v>
          </cell>
          <cell r="N1359">
            <v>0</v>
          </cell>
          <cell r="O1359">
            <v>0</v>
          </cell>
          <cell r="P1359">
            <v>0</v>
          </cell>
          <cell r="Q1359">
            <v>1</v>
          </cell>
          <cell r="R1359">
            <v>0</v>
          </cell>
          <cell r="S1359">
            <v>0</v>
          </cell>
          <cell r="T1359">
            <v>0</v>
          </cell>
          <cell r="U1359">
            <v>0</v>
          </cell>
          <cell r="V1359">
            <v>3</v>
          </cell>
          <cell r="W1359">
            <v>0</v>
          </cell>
          <cell r="X1359">
            <v>0</v>
          </cell>
          <cell r="Y1359">
            <v>0</v>
          </cell>
          <cell r="Z1359">
            <v>0</v>
          </cell>
          <cell r="AA1359">
            <v>3</v>
          </cell>
          <cell r="AB1359">
            <v>0.5</v>
          </cell>
          <cell r="AC1359">
            <v>0.53846153846153844</v>
          </cell>
          <cell r="AD1359">
            <v>6</v>
          </cell>
        </row>
        <row r="1360">
          <cell r="A1360">
            <v>31</v>
          </cell>
          <cell r="B1360">
            <v>2</v>
          </cell>
          <cell r="C1360">
            <v>3</v>
          </cell>
          <cell r="D1360">
            <v>6583</v>
          </cell>
          <cell r="E1360">
            <v>2</v>
          </cell>
          <cell r="F1360">
            <v>11</v>
          </cell>
          <cell r="G1360">
            <v>3</v>
          </cell>
          <cell r="H1360">
            <v>1</v>
          </cell>
          <cell r="I1360">
            <v>8</v>
          </cell>
          <cell r="J1360">
            <v>2</v>
          </cell>
          <cell r="K1360">
            <v>5</v>
          </cell>
          <cell r="L1360">
            <v>2</v>
          </cell>
          <cell r="M1360">
            <v>1</v>
          </cell>
          <cell r="N1360">
            <v>1</v>
          </cell>
          <cell r="O1360">
            <v>0</v>
          </cell>
          <cell r="P1360">
            <v>0</v>
          </cell>
          <cell r="Q1360">
            <v>1</v>
          </cell>
          <cell r="R1360">
            <v>0</v>
          </cell>
          <cell r="S1360">
            <v>0</v>
          </cell>
          <cell r="T1360">
            <v>0</v>
          </cell>
          <cell r="U1360">
            <v>0</v>
          </cell>
          <cell r="V1360">
            <v>2</v>
          </cell>
          <cell r="W1360">
            <v>0</v>
          </cell>
          <cell r="X1360">
            <v>0</v>
          </cell>
          <cell r="Y1360">
            <v>0</v>
          </cell>
          <cell r="Z1360">
            <v>0</v>
          </cell>
          <cell r="AA1360">
            <v>12</v>
          </cell>
          <cell r="AB1360">
            <v>0.25</v>
          </cell>
          <cell r="AC1360">
            <v>0.4</v>
          </cell>
          <cell r="AD1360">
            <v>48</v>
          </cell>
        </row>
        <row r="1361">
          <cell r="A1361">
            <v>34</v>
          </cell>
          <cell r="B1361">
            <v>1</v>
          </cell>
          <cell r="C1361">
            <v>2</v>
          </cell>
          <cell r="D1361">
            <v>8103</v>
          </cell>
          <cell r="E1361">
            <v>3</v>
          </cell>
          <cell r="F1361">
            <v>12</v>
          </cell>
          <cell r="G1361">
            <v>3</v>
          </cell>
          <cell r="H1361">
            <v>0</v>
          </cell>
          <cell r="I1361">
            <v>9</v>
          </cell>
          <cell r="J1361">
            <v>3</v>
          </cell>
          <cell r="K1361">
            <v>4</v>
          </cell>
          <cell r="L1361">
            <v>2</v>
          </cell>
          <cell r="M1361">
            <v>1</v>
          </cell>
          <cell r="N1361">
            <v>1</v>
          </cell>
          <cell r="O1361">
            <v>0</v>
          </cell>
          <cell r="P1361">
            <v>0</v>
          </cell>
          <cell r="Q1361">
            <v>1</v>
          </cell>
          <cell r="R1361">
            <v>0</v>
          </cell>
          <cell r="S1361">
            <v>0</v>
          </cell>
          <cell r="T1361">
            <v>0</v>
          </cell>
          <cell r="U1361">
            <v>0</v>
          </cell>
          <cell r="V1361">
            <v>1</v>
          </cell>
          <cell r="W1361">
            <v>0</v>
          </cell>
          <cell r="X1361">
            <v>0</v>
          </cell>
          <cell r="Y1361">
            <v>0</v>
          </cell>
          <cell r="Z1361">
            <v>1</v>
          </cell>
          <cell r="AA1361">
            <v>16</v>
          </cell>
          <cell r="AB1361">
            <v>0.33333333333333331</v>
          </cell>
          <cell r="AC1361">
            <v>0.5</v>
          </cell>
          <cell r="AD1361">
            <v>48</v>
          </cell>
        </row>
        <row r="1362">
          <cell r="A1362">
            <v>31</v>
          </cell>
          <cell r="B1362">
            <v>3</v>
          </cell>
          <cell r="C1362">
            <v>4</v>
          </cell>
          <cell r="D1362">
            <v>3978</v>
          </cell>
          <cell r="E1362">
            <v>8</v>
          </cell>
          <cell r="F1362">
            <v>12</v>
          </cell>
          <cell r="G1362">
            <v>3</v>
          </cell>
          <cell r="H1362">
            <v>1</v>
          </cell>
          <cell r="I1362">
            <v>4</v>
          </cell>
          <cell r="J1362">
            <v>0</v>
          </cell>
          <cell r="K1362">
            <v>2</v>
          </cell>
          <cell r="L1362">
            <v>2</v>
          </cell>
          <cell r="M1362">
            <v>0</v>
          </cell>
          <cell r="N1362">
            <v>1</v>
          </cell>
          <cell r="O1362">
            <v>0</v>
          </cell>
          <cell r="P1362">
            <v>0</v>
          </cell>
          <cell r="Q1362">
            <v>1</v>
          </cell>
          <cell r="R1362">
            <v>0</v>
          </cell>
          <cell r="S1362">
            <v>0</v>
          </cell>
          <cell r="T1362">
            <v>0</v>
          </cell>
          <cell r="U1362">
            <v>0</v>
          </cell>
          <cell r="V1362">
            <v>3</v>
          </cell>
          <cell r="W1362">
            <v>0</v>
          </cell>
          <cell r="X1362">
            <v>0</v>
          </cell>
          <cell r="Y1362">
            <v>0</v>
          </cell>
          <cell r="Z1362">
            <v>0</v>
          </cell>
          <cell r="AA1362">
            <v>3</v>
          </cell>
          <cell r="AB1362">
            <v>2</v>
          </cell>
          <cell r="AC1362">
            <v>1</v>
          </cell>
          <cell r="AD1362">
            <v>6</v>
          </cell>
        </row>
        <row r="1363">
          <cell r="A1363">
            <v>26</v>
          </cell>
          <cell r="B1363">
            <v>3</v>
          </cell>
          <cell r="C1363">
            <v>4</v>
          </cell>
          <cell r="D1363">
            <v>2544</v>
          </cell>
          <cell r="E1363">
            <v>0</v>
          </cell>
          <cell r="F1363">
            <v>18</v>
          </cell>
          <cell r="G1363">
            <v>3</v>
          </cell>
          <cell r="H1363">
            <v>1</v>
          </cell>
          <cell r="I1363">
            <v>8</v>
          </cell>
          <cell r="J1363">
            <v>3</v>
          </cell>
          <cell r="K1363">
            <v>7</v>
          </cell>
          <cell r="L1363">
            <v>7</v>
          </cell>
          <cell r="M1363">
            <v>0</v>
          </cell>
          <cell r="N1363">
            <v>0</v>
          </cell>
          <cell r="O1363">
            <v>0</v>
          </cell>
          <cell r="P1363">
            <v>0</v>
          </cell>
          <cell r="Q1363">
            <v>0</v>
          </cell>
          <cell r="R1363">
            <v>1</v>
          </cell>
          <cell r="S1363">
            <v>0</v>
          </cell>
          <cell r="T1363">
            <v>0</v>
          </cell>
          <cell r="U1363">
            <v>0</v>
          </cell>
          <cell r="V1363">
            <v>0</v>
          </cell>
          <cell r="W1363">
            <v>3</v>
          </cell>
          <cell r="X1363">
            <v>0</v>
          </cell>
          <cell r="Y1363">
            <v>1</v>
          </cell>
          <cell r="Z1363">
            <v>0</v>
          </cell>
          <cell r="AA1363">
            <v>12</v>
          </cell>
          <cell r="AB1363">
            <v>0</v>
          </cell>
          <cell r="AC1363">
            <v>1</v>
          </cell>
          <cell r="AD1363">
            <v>12</v>
          </cell>
        </row>
        <row r="1364">
          <cell r="A1364">
            <v>45</v>
          </cell>
          <cell r="B1364">
            <v>4</v>
          </cell>
          <cell r="C1364">
            <v>3</v>
          </cell>
          <cell r="D1364">
            <v>5399</v>
          </cell>
          <cell r="E1364">
            <v>4</v>
          </cell>
          <cell r="F1364">
            <v>12</v>
          </cell>
          <cell r="G1364">
            <v>3</v>
          </cell>
          <cell r="H1364">
            <v>0</v>
          </cell>
          <cell r="I1364">
            <v>12</v>
          </cell>
          <cell r="J1364">
            <v>3</v>
          </cell>
          <cell r="K1364">
            <v>4</v>
          </cell>
          <cell r="L1364">
            <v>2</v>
          </cell>
          <cell r="M1364">
            <v>0</v>
          </cell>
          <cell r="N1364">
            <v>0</v>
          </cell>
          <cell r="O1364">
            <v>0</v>
          </cell>
          <cell r="P1364">
            <v>0</v>
          </cell>
          <cell r="Q1364">
            <v>1</v>
          </cell>
          <cell r="R1364">
            <v>0</v>
          </cell>
          <cell r="S1364">
            <v>0</v>
          </cell>
          <cell r="T1364">
            <v>0</v>
          </cell>
          <cell r="U1364">
            <v>0</v>
          </cell>
          <cell r="V1364">
            <v>4</v>
          </cell>
          <cell r="W1364">
            <v>0</v>
          </cell>
          <cell r="X1364">
            <v>0</v>
          </cell>
          <cell r="Y1364">
            <v>0</v>
          </cell>
          <cell r="Z1364">
            <v>0</v>
          </cell>
          <cell r="AA1364">
            <v>6</v>
          </cell>
          <cell r="AB1364">
            <v>0.33333333333333331</v>
          </cell>
          <cell r="AC1364">
            <v>0.5</v>
          </cell>
          <cell r="AD1364">
            <v>18</v>
          </cell>
        </row>
        <row r="1365">
          <cell r="A1365">
            <v>33</v>
          </cell>
          <cell r="B1365">
            <v>4</v>
          </cell>
          <cell r="C1365">
            <v>3</v>
          </cell>
          <cell r="D1365">
            <v>5487</v>
          </cell>
          <cell r="E1365">
            <v>1</v>
          </cell>
          <cell r="F1365">
            <v>14</v>
          </cell>
          <cell r="G1365">
            <v>3</v>
          </cell>
          <cell r="H1365">
            <v>0</v>
          </cell>
          <cell r="I1365">
            <v>10</v>
          </cell>
          <cell r="J1365">
            <v>2</v>
          </cell>
          <cell r="K1365">
            <v>10</v>
          </cell>
          <cell r="L1365">
            <v>4</v>
          </cell>
          <cell r="M1365">
            <v>0</v>
          </cell>
          <cell r="N1365">
            <v>0</v>
          </cell>
          <cell r="O1365">
            <v>0</v>
          </cell>
          <cell r="P1365">
            <v>1</v>
          </cell>
          <cell r="Q1365">
            <v>0</v>
          </cell>
          <cell r="R1365">
            <v>0</v>
          </cell>
          <cell r="S1365">
            <v>0</v>
          </cell>
          <cell r="T1365">
            <v>0</v>
          </cell>
          <cell r="U1365">
            <v>4</v>
          </cell>
          <cell r="V1365">
            <v>0</v>
          </cell>
          <cell r="W1365">
            <v>0</v>
          </cell>
          <cell r="X1365">
            <v>0</v>
          </cell>
          <cell r="Y1365">
            <v>0</v>
          </cell>
          <cell r="Z1365">
            <v>0</v>
          </cell>
          <cell r="AA1365">
            <v>6</v>
          </cell>
          <cell r="AB1365">
            <v>0.1</v>
          </cell>
          <cell r="AC1365">
            <v>0.4</v>
          </cell>
          <cell r="AD1365">
            <v>12</v>
          </cell>
        </row>
        <row r="1366">
          <cell r="A1366">
            <v>28</v>
          </cell>
          <cell r="B1366">
            <v>2</v>
          </cell>
          <cell r="C1366">
            <v>2</v>
          </cell>
          <cell r="D1366">
            <v>6834</v>
          </cell>
          <cell r="E1366">
            <v>1</v>
          </cell>
          <cell r="F1366">
            <v>12</v>
          </cell>
          <cell r="G1366">
            <v>3</v>
          </cell>
          <cell r="H1366">
            <v>1</v>
          </cell>
          <cell r="I1366">
            <v>7</v>
          </cell>
          <cell r="J1366">
            <v>2</v>
          </cell>
          <cell r="K1366">
            <v>7</v>
          </cell>
          <cell r="L1366">
            <v>7</v>
          </cell>
          <cell r="M1366">
            <v>1</v>
          </cell>
          <cell r="N1366">
            <v>0</v>
          </cell>
          <cell r="O1366">
            <v>1</v>
          </cell>
          <cell r="P1366">
            <v>0</v>
          </cell>
          <cell r="Q1366">
            <v>0</v>
          </cell>
          <cell r="R1366">
            <v>0</v>
          </cell>
          <cell r="S1366">
            <v>0</v>
          </cell>
          <cell r="T1366">
            <v>2</v>
          </cell>
          <cell r="U1366">
            <v>0</v>
          </cell>
          <cell r="V1366">
            <v>0</v>
          </cell>
          <cell r="W1366">
            <v>0</v>
          </cell>
          <cell r="X1366">
            <v>0</v>
          </cell>
          <cell r="Y1366">
            <v>1</v>
          </cell>
          <cell r="Z1366">
            <v>1</v>
          </cell>
          <cell r="AA1366">
            <v>12</v>
          </cell>
          <cell r="AB1366">
            <v>0.14285714285714285</v>
          </cell>
          <cell r="AC1366">
            <v>1</v>
          </cell>
          <cell r="AD1366">
            <v>36</v>
          </cell>
        </row>
        <row r="1367">
          <cell r="A1367">
            <v>29</v>
          </cell>
          <cell r="B1367">
            <v>3</v>
          </cell>
          <cell r="C1367">
            <v>4</v>
          </cell>
          <cell r="D1367">
            <v>1091</v>
          </cell>
          <cell r="E1367">
            <v>1</v>
          </cell>
          <cell r="F1367">
            <v>17</v>
          </cell>
          <cell r="G1367">
            <v>3</v>
          </cell>
          <cell r="H1367">
            <v>0</v>
          </cell>
          <cell r="I1367">
            <v>1</v>
          </cell>
          <cell r="J1367">
            <v>3</v>
          </cell>
          <cell r="K1367">
            <v>1</v>
          </cell>
          <cell r="L1367">
            <v>0</v>
          </cell>
          <cell r="M1367">
            <v>0</v>
          </cell>
          <cell r="N1367">
            <v>0</v>
          </cell>
          <cell r="O1367">
            <v>0</v>
          </cell>
          <cell r="P1367">
            <v>0</v>
          </cell>
          <cell r="Q1367">
            <v>0</v>
          </cell>
          <cell r="R1367">
            <v>0</v>
          </cell>
          <cell r="S1367">
            <v>1</v>
          </cell>
          <cell r="T1367">
            <v>0</v>
          </cell>
          <cell r="U1367">
            <v>0</v>
          </cell>
          <cell r="V1367">
            <v>0</v>
          </cell>
          <cell r="W1367">
            <v>0</v>
          </cell>
          <cell r="X1367">
            <v>3</v>
          </cell>
          <cell r="Y1367">
            <v>0</v>
          </cell>
          <cell r="Z1367">
            <v>0</v>
          </cell>
          <cell r="AA1367">
            <v>3</v>
          </cell>
          <cell r="AB1367">
            <v>1</v>
          </cell>
          <cell r="AC1367">
            <v>0</v>
          </cell>
          <cell r="AD1367">
            <v>12</v>
          </cell>
        </row>
        <row r="1368">
          <cell r="A1368">
            <v>39</v>
          </cell>
          <cell r="B1368">
            <v>4</v>
          </cell>
          <cell r="C1368">
            <v>1</v>
          </cell>
          <cell r="D1368">
            <v>5736</v>
          </cell>
          <cell r="E1368">
            <v>6</v>
          </cell>
          <cell r="F1368">
            <v>19</v>
          </cell>
          <cell r="G1368">
            <v>3</v>
          </cell>
          <cell r="H1368">
            <v>1</v>
          </cell>
          <cell r="I1368">
            <v>10</v>
          </cell>
          <cell r="J1368">
            <v>1</v>
          </cell>
          <cell r="K1368">
            <v>3</v>
          </cell>
          <cell r="L1368">
            <v>2</v>
          </cell>
          <cell r="M1368">
            <v>0</v>
          </cell>
          <cell r="N1368">
            <v>1</v>
          </cell>
          <cell r="O1368">
            <v>1</v>
          </cell>
          <cell r="P1368">
            <v>0</v>
          </cell>
          <cell r="Q1368">
            <v>0</v>
          </cell>
          <cell r="R1368">
            <v>0</v>
          </cell>
          <cell r="S1368">
            <v>0</v>
          </cell>
          <cell r="T1368">
            <v>4</v>
          </cell>
          <cell r="U1368">
            <v>0</v>
          </cell>
          <cell r="V1368">
            <v>0</v>
          </cell>
          <cell r="W1368">
            <v>0</v>
          </cell>
          <cell r="X1368">
            <v>0</v>
          </cell>
          <cell r="Y1368">
            <v>0</v>
          </cell>
          <cell r="Z1368">
            <v>0</v>
          </cell>
          <cell r="AA1368">
            <v>3</v>
          </cell>
          <cell r="AB1368">
            <v>0.6</v>
          </cell>
          <cell r="AC1368">
            <v>0.66666666666666663</v>
          </cell>
          <cell r="AD1368">
            <v>9</v>
          </cell>
        </row>
        <row r="1369">
          <cell r="A1369">
            <v>27</v>
          </cell>
          <cell r="B1369">
            <v>4</v>
          </cell>
          <cell r="C1369">
            <v>3</v>
          </cell>
          <cell r="D1369">
            <v>2226</v>
          </cell>
          <cell r="E1369">
            <v>1</v>
          </cell>
          <cell r="F1369">
            <v>11</v>
          </cell>
          <cell r="G1369">
            <v>3</v>
          </cell>
          <cell r="H1369">
            <v>1</v>
          </cell>
          <cell r="I1369">
            <v>6</v>
          </cell>
          <cell r="J1369">
            <v>3</v>
          </cell>
          <cell r="K1369">
            <v>5</v>
          </cell>
          <cell r="L1369">
            <v>3</v>
          </cell>
          <cell r="M1369">
            <v>0</v>
          </cell>
          <cell r="N1369">
            <v>0</v>
          </cell>
          <cell r="O1369">
            <v>0</v>
          </cell>
          <cell r="P1369">
            <v>0</v>
          </cell>
          <cell r="Q1369">
            <v>0</v>
          </cell>
          <cell r="R1369">
            <v>0</v>
          </cell>
          <cell r="S1369">
            <v>1</v>
          </cell>
          <cell r="T1369">
            <v>0</v>
          </cell>
          <cell r="U1369">
            <v>0</v>
          </cell>
          <cell r="V1369">
            <v>0</v>
          </cell>
          <cell r="W1369">
            <v>0</v>
          </cell>
          <cell r="X1369">
            <v>4</v>
          </cell>
          <cell r="Y1369">
            <v>0</v>
          </cell>
          <cell r="Z1369">
            <v>0</v>
          </cell>
          <cell r="AA1369">
            <v>4</v>
          </cell>
          <cell r="AB1369">
            <v>0.16666666666666666</v>
          </cell>
          <cell r="AC1369">
            <v>0.6</v>
          </cell>
          <cell r="AD1369">
            <v>12</v>
          </cell>
        </row>
        <row r="1370">
          <cell r="A1370">
            <v>34</v>
          </cell>
          <cell r="B1370">
            <v>4</v>
          </cell>
          <cell r="C1370">
            <v>2</v>
          </cell>
          <cell r="D1370">
            <v>5747</v>
          </cell>
          <cell r="E1370">
            <v>1</v>
          </cell>
          <cell r="F1370">
            <v>15</v>
          </cell>
          <cell r="G1370">
            <v>3</v>
          </cell>
          <cell r="H1370">
            <v>0</v>
          </cell>
          <cell r="I1370">
            <v>16</v>
          </cell>
          <cell r="J1370">
            <v>3</v>
          </cell>
          <cell r="K1370">
            <v>15</v>
          </cell>
          <cell r="L1370">
            <v>10</v>
          </cell>
          <cell r="M1370">
            <v>1</v>
          </cell>
          <cell r="N1370">
            <v>0</v>
          </cell>
          <cell r="O1370">
            <v>0</v>
          </cell>
          <cell r="P1370">
            <v>0</v>
          </cell>
          <cell r="Q1370">
            <v>0</v>
          </cell>
          <cell r="R1370">
            <v>1</v>
          </cell>
          <cell r="S1370">
            <v>0</v>
          </cell>
          <cell r="T1370">
            <v>0</v>
          </cell>
          <cell r="U1370">
            <v>0</v>
          </cell>
          <cell r="V1370">
            <v>0</v>
          </cell>
          <cell r="W1370">
            <v>4</v>
          </cell>
          <cell r="X1370">
            <v>0</v>
          </cell>
          <cell r="Y1370">
            <v>1</v>
          </cell>
          <cell r="Z1370">
            <v>1</v>
          </cell>
          <cell r="AA1370">
            <v>12</v>
          </cell>
          <cell r="AB1370">
            <v>6.25E-2</v>
          </cell>
          <cell r="AC1370">
            <v>0.66666666666666663</v>
          </cell>
          <cell r="AD1370">
            <v>24</v>
          </cell>
        </row>
        <row r="1371">
          <cell r="A1371">
            <v>28</v>
          </cell>
          <cell r="B1371">
            <v>2</v>
          </cell>
          <cell r="C1371">
            <v>3</v>
          </cell>
          <cell r="D1371">
            <v>9854</v>
          </cell>
          <cell r="E1371">
            <v>3</v>
          </cell>
          <cell r="F1371">
            <v>11</v>
          </cell>
          <cell r="G1371">
            <v>3</v>
          </cell>
          <cell r="H1371">
            <v>0</v>
          </cell>
          <cell r="I1371">
            <v>6</v>
          </cell>
          <cell r="J1371">
            <v>0</v>
          </cell>
          <cell r="K1371">
            <v>2</v>
          </cell>
          <cell r="L1371">
            <v>0</v>
          </cell>
          <cell r="M1371">
            <v>1</v>
          </cell>
          <cell r="N1371">
            <v>1</v>
          </cell>
          <cell r="O1371">
            <v>0</v>
          </cell>
          <cell r="P1371">
            <v>1</v>
          </cell>
          <cell r="Q1371">
            <v>0</v>
          </cell>
          <cell r="R1371">
            <v>0</v>
          </cell>
          <cell r="S1371">
            <v>0</v>
          </cell>
          <cell r="T1371">
            <v>0</v>
          </cell>
          <cell r="U1371">
            <v>2</v>
          </cell>
          <cell r="V1371">
            <v>0</v>
          </cell>
          <cell r="W1371">
            <v>0</v>
          </cell>
          <cell r="X1371">
            <v>0</v>
          </cell>
          <cell r="Y1371">
            <v>0</v>
          </cell>
          <cell r="Z1371">
            <v>0</v>
          </cell>
          <cell r="AA1371">
            <v>12</v>
          </cell>
          <cell r="AB1371">
            <v>0.5</v>
          </cell>
          <cell r="AC1371">
            <v>0</v>
          </cell>
          <cell r="AD1371">
            <v>48</v>
          </cell>
        </row>
        <row r="1372">
          <cell r="A1372">
            <v>47</v>
          </cell>
          <cell r="B1372">
            <v>4</v>
          </cell>
          <cell r="C1372">
            <v>3</v>
          </cell>
          <cell r="D1372">
            <v>5467</v>
          </cell>
          <cell r="E1372">
            <v>8</v>
          </cell>
          <cell r="F1372">
            <v>18</v>
          </cell>
          <cell r="G1372">
            <v>3</v>
          </cell>
          <cell r="H1372">
            <v>1</v>
          </cell>
          <cell r="I1372">
            <v>16</v>
          </cell>
          <cell r="J1372">
            <v>4</v>
          </cell>
          <cell r="K1372">
            <v>8</v>
          </cell>
          <cell r="L1372">
            <v>7</v>
          </cell>
          <cell r="M1372">
            <v>0</v>
          </cell>
          <cell r="N1372">
            <v>0</v>
          </cell>
          <cell r="O1372">
            <v>0</v>
          </cell>
          <cell r="P1372">
            <v>0</v>
          </cell>
          <cell r="Q1372">
            <v>0</v>
          </cell>
          <cell r="R1372">
            <v>0</v>
          </cell>
          <cell r="S1372">
            <v>1</v>
          </cell>
          <cell r="T1372">
            <v>0</v>
          </cell>
          <cell r="U1372">
            <v>0</v>
          </cell>
          <cell r="V1372">
            <v>0</v>
          </cell>
          <cell r="W1372">
            <v>0</v>
          </cell>
          <cell r="X1372">
            <v>4</v>
          </cell>
          <cell r="Y1372">
            <v>0</v>
          </cell>
          <cell r="Z1372">
            <v>0</v>
          </cell>
          <cell r="AA1372">
            <v>6</v>
          </cell>
          <cell r="AB1372">
            <v>0.5</v>
          </cell>
          <cell r="AC1372">
            <v>0.875</v>
          </cell>
          <cell r="AD1372">
            <v>18</v>
          </cell>
        </row>
        <row r="1373">
          <cell r="A1373">
            <v>56</v>
          </cell>
          <cell r="B1373">
            <v>5</v>
          </cell>
          <cell r="C1373">
            <v>2</v>
          </cell>
          <cell r="D1373">
            <v>5380</v>
          </cell>
          <cell r="E1373">
            <v>4</v>
          </cell>
          <cell r="F1373">
            <v>16</v>
          </cell>
          <cell r="G1373">
            <v>3</v>
          </cell>
          <cell r="H1373">
            <v>1</v>
          </cell>
          <cell r="I1373">
            <v>6</v>
          </cell>
          <cell r="J1373">
            <v>3</v>
          </cell>
          <cell r="K1373">
            <v>0</v>
          </cell>
          <cell r="L1373">
            <v>0</v>
          </cell>
          <cell r="M1373">
            <v>0</v>
          </cell>
          <cell r="N1373">
            <v>1</v>
          </cell>
          <cell r="O1373">
            <v>0</v>
          </cell>
          <cell r="P1373">
            <v>1</v>
          </cell>
          <cell r="Q1373">
            <v>0</v>
          </cell>
          <cell r="R1373">
            <v>0</v>
          </cell>
          <cell r="S1373">
            <v>0</v>
          </cell>
          <cell r="T1373">
            <v>0</v>
          </cell>
          <cell r="U1373">
            <v>5</v>
          </cell>
          <cell r="V1373">
            <v>0</v>
          </cell>
          <cell r="W1373">
            <v>0</v>
          </cell>
          <cell r="X1373">
            <v>0</v>
          </cell>
          <cell r="Y1373">
            <v>0</v>
          </cell>
          <cell r="Z1373">
            <v>0</v>
          </cell>
          <cell r="AA1373">
            <v>4</v>
          </cell>
          <cell r="AB1373">
            <v>0.66666666666666663</v>
          </cell>
          <cell r="AC1373">
            <v>0</v>
          </cell>
          <cell r="AD1373">
            <v>12</v>
          </cell>
        </row>
        <row r="1374">
          <cell r="A1374">
            <v>39</v>
          </cell>
          <cell r="B1374">
            <v>2</v>
          </cell>
          <cell r="C1374">
            <v>3</v>
          </cell>
          <cell r="D1374">
            <v>5151</v>
          </cell>
          <cell r="E1374">
            <v>1</v>
          </cell>
          <cell r="F1374">
            <v>25</v>
          </cell>
          <cell r="G1374">
            <v>4</v>
          </cell>
          <cell r="H1374">
            <v>1</v>
          </cell>
          <cell r="I1374">
            <v>10</v>
          </cell>
          <cell r="J1374">
            <v>3</v>
          </cell>
          <cell r="K1374">
            <v>10</v>
          </cell>
          <cell r="L1374">
            <v>0</v>
          </cell>
          <cell r="M1374">
            <v>0</v>
          </cell>
          <cell r="N1374">
            <v>0</v>
          </cell>
          <cell r="O1374">
            <v>0</v>
          </cell>
          <cell r="P1374">
            <v>0</v>
          </cell>
          <cell r="Q1374">
            <v>1</v>
          </cell>
          <cell r="R1374">
            <v>0</v>
          </cell>
          <cell r="S1374">
            <v>0</v>
          </cell>
          <cell r="T1374">
            <v>0</v>
          </cell>
          <cell r="U1374">
            <v>0</v>
          </cell>
          <cell r="V1374">
            <v>2</v>
          </cell>
          <cell r="W1374">
            <v>0</v>
          </cell>
          <cell r="X1374">
            <v>0</v>
          </cell>
          <cell r="Y1374">
            <v>0</v>
          </cell>
          <cell r="Z1374">
            <v>0</v>
          </cell>
          <cell r="AA1374">
            <v>1</v>
          </cell>
          <cell r="AB1374">
            <v>0.1</v>
          </cell>
          <cell r="AC1374">
            <v>0</v>
          </cell>
          <cell r="AD1374">
            <v>4</v>
          </cell>
        </row>
        <row r="1375">
          <cell r="A1375">
            <v>38</v>
          </cell>
          <cell r="B1375">
            <v>3</v>
          </cell>
          <cell r="C1375">
            <v>2</v>
          </cell>
          <cell r="D1375">
            <v>2133</v>
          </cell>
          <cell r="E1375">
            <v>1</v>
          </cell>
          <cell r="F1375">
            <v>16</v>
          </cell>
          <cell r="G1375">
            <v>3</v>
          </cell>
          <cell r="H1375">
            <v>1</v>
          </cell>
          <cell r="I1375">
            <v>20</v>
          </cell>
          <cell r="J1375">
            <v>3</v>
          </cell>
          <cell r="K1375">
            <v>20</v>
          </cell>
          <cell r="L1375">
            <v>11</v>
          </cell>
          <cell r="M1375">
            <v>1</v>
          </cell>
          <cell r="N1375">
            <v>1</v>
          </cell>
          <cell r="O1375">
            <v>0</v>
          </cell>
          <cell r="P1375">
            <v>0</v>
          </cell>
          <cell r="Q1375">
            <v>1</v>
          </cell>
          <cell r="R1375">
            <v>0</v>
          </cell>
          <cell r="S1375">
            <v>0</v>
          </cell>
          <cell r="T1375">
            <v>0</v>
          </cell>
          <cell r="U1375">
            <v>0</v>
          </cell>
          <cell r="V1375">
            <v>3</v>
          </cell>
          <cell r="W1375">
            <v>0</v>
          </cell>
          <cell r="X1375">
            <v>0</v>
          </cell>
          <cell r="Y1375">
            <v>0</v>
          </cell>
          <cell r="Z1375">
            <v>0</v>
          </cell>
          <cell r="AA1375">
            <v>8</v>
          </cell>
          <cell r="AB1375">
            <v>0.05</v>
          </cell>
          <cell r="AC1375">
            <v>0.55000000000000004</v>
          </cell>
          <cell r="AD1375">
            <v>24</v>
          </cell>
        </row>
        <row r="1376">
          <cell r="A1376">
            <v>58</v>
          </cell>
          <cell r="B1376">
            <v>3</v>
          </cell>
          <cell r="C1376">
            <v>3</v>
          </cell>
          <cell r="D1376">
            <v>17875</v>
          </cell>
          <cell r="E1376">
            <v>4</v>
          </cell>
          <cell r="F1376">
            <v>13</v>
          </cell>
          <cell r="G1376">
            <v>3</v>
          </cell>
          <cell r="H1376">
            <v>1</v>
          </cell>
          <cell r="I1376">
            <v>29</v>
          </cell>
          <cell r="J1376">
            <v>2</v>
          </cell>
          <cell r="K1376">
            <v>1</v>
          </cell>
          <cell r="L1376">
            <v>0</v>
          </cell>
          <cell r="M1376">
            <v>1</v>
          </cell>
          <cell r="N1376">
            <v>1</v>
          </cell>
          <cell r="O1376">
            <v>1</v>
          </cell>
          <cell r="P1376">
            <v>0</v>
          </cell>
          <cell r="Q1376">
            <v>0</v>
          </cell>
          <cell r="R1376">
            <v>0</v>
          </cell>
          <cell r="S1376">
            <v>0</v>
          </cell>
          <cell r="T1376">
            <v>3</v>
          </cell>
          <cell r="U1376">
            <v>0</v>
          </cell>
          <cell r="V1376">
            <v>0</v>
          </cell>
          <cell r="W1376">
            <v>0</v>
          </cell>
          <cell r="X1376">
            <v>0</v>
          </cell>
          <cell r="Y1376">
            <v>0</v>
          </cell>
          <cell r="Z1376">
            <v>1</v>
          </cell>
          <cell r="AA1376">
            <v>16</v>
          </cell>
          <cell r="AB1376">
            <v>0.13793103448275862</v>
          </cell>
          <cell r="AC1376">
            <v>0</v>
          </cell>
          <cell r="AD1376">
            <v>48</v>
          </cell>
        </row>
        <row r="1377">
          <cell r="A1377">
            <v>32</v>
          </cell>
          <cell r="B1377">
            <v>2</v>
          </cell>
          <cell r="C1377">
            <v>4</v>
          </cell>
          <cell r="D1377">
            <v>2432</v>
          </cell>
          <cell r="E1377">
            <v>3</v>
          </cell>
          <cell r="F1377">
            <v>14</v>
          </cell>
          <cell r="G1377">
            <v>3</v>
          </cell>
          <cell r="H1377">
            <v>0</v>
          </cell>
          <cell r="I1377">
            <v>8</v>
          </cell>
          <cell r="J1377">
            <v>2</v>
          </cell>
          <cell r="K1377">
            <v>4</v>
          </cell>
          <cell r="L1377">
            <v>1</v>
          </cell>
          <cell r="M1377">
            <v>1</v>
          </cell>
          <cell r="N1377">
            <v>1</v>
          </cell>
          <cell r="O1377">
            <v>1</v>
          </cell>
          <cell r="P1377">
            <v>0</v>
          </cell>
          <cell r="Q1377">
            <v>0</v>
          </cell>
          <cell r="R1377">
            <v>0</v>
          </cell>
          <cell r="S1377">
            <v>0</v>
          </cell>
          <cell r="T1377">
            <v>2</v>
          </cell>
          <cell r="U1377">
            <v>0</v>
          </cell>
          <cell r="V1377">
            <v>0</v>
          </cell>
          <cell r="W1377">
            <v>0</v>
          </cell>
          <cell r="X1377">
            <v>0</v>
          </cell>
          <cell r="Y1377">
            <v>0</v>
          </cell>
          <cell r="Z1377">
            <v>0</v>
          </cell>
          <cell r="AA1377">
            <v>3</v>
          </cell>
          <cell r="AB1377">
            <v>0.375</v>
          </cell>
          <cell r="AC1377">
            <v>0.25</v>
          </cell>
          <cell r="AD1377">
            <v>3</v>
          </cell>
        </row>
        <row r="1378">
          <cell r="A1378">
            <v>38</v>
          </cell>
          <cell r="B1378">
            <v>2</v>
          </cell>
          <cell r="C1378">
            <v>3</v>
          </cell>
          <cell r="D1378">
            <v>4771</v>
          </cell>
          <cell r="E1378">
            <v>2</v>
          </cell>
          <cell r="F1378">
            <v>19</v>
          </cell>
          <cell r="G1378">
            <v>3</v>
          </cell>
          <cell r="H1378">
            <v>2</v>
          </cell>
          <cell r="I1378">
            <v>10</v>
          </cell>
          <cell r="J1378">
            <v>0</v>
          </cell>
          <cell r="K1378">
            <v>5</v>
          </cell>
          <cell r="L1378">
            <v>2</v>
          </cell>
          <cell r="M1378">
            <v>0</v>
          </cell>
          <cell r="N1378">
            <v>0</v>
          </cell>
          <cell r="O1378">
            <v>1</v>
          </cell>
          <cell r="P1378">
            <v>0</v>
          </cell>
          <cell r="Q1378">
            <v>0</v>
          </cell>
          <cell r="R1378">
            <v>0</v>
          </cell>
          <cell r="S1378">
            <v>0</v>
          </cell>
          <cell r="T1378">
            <v>2</v>
          </cell>
          <cell r="U1378">
            <v>0</v>
          </cell>
          <cell r="V1378">
            <v>0</v>
          </cell>
          <cell r="W1378">
            <v>0</v>
          </cell>
          <cell r="X1378">
            <v>0</v>
          </cell>
          <cell r="Y1378">
            <v>0</v>
          </cell>
          <cell r="Z1378">
            <v>0</v>
          </cell>
          <cell r="AA1378">
            <v>8</v>
          </cell>
          <cell r="AB1378">
            <v>0.2</v>
          </cell>
          <cell r="AC1378">
            <v>0.4</v>
          </cell>
          <cell r="AD1378">
            <v>32</v>
          </cell>
        </row>
        <row r="1379">
          <cell r="A1379">
            <v>49</v>
          </cell>
          <cell r="B1379">
            <v>1</v>
          </cell>
          <cell r="C1379">
            <v>3</v>
          </cell>
          <cell r="D1379">
            <v>19161</v>
          </cell>
          <cell r="E1379">
            <v>3</v>
          </cell>
          <cell r="F1379">
            <v>15</v>
          </cell>
          <cell r="G1379">
            <v>3</v>
          </cell>
          <cell r="H1379">
            <v>0</v>
          </cell>
          <cell r="I1379">
            <v>28</v>
          </cell>
          <cell r="J1379">
            <v>3</v>
          </cell>
          <cell r="K1379">
            <v>5</v>
          </cell>
          <cell r="L1379">
            <v>4</v>
          </cell>
          <cell r="M1379">
            <v>0</v>
          </cell>
          <cell r="N1379">
            <v>0</v>
          </cell>
          <cell r="O1379">
            <v>1</v>
          </cell>
          <cell r="P1379">
            <v>0</v>
          </cell>
          <cell r="Q1379">
            <v>0</v>
          </cell>
          <cell r="R1379">
            <v>0</v>
          </cell>
          <cell r="S1379">
            <v>0</v>
          </cell>
          <cell r="T1379">
            <v>1</v>
          </cell>
          <cell r="U1379">
            <v>0</v>
          </cell>
          <cell r="V1379">
            <v>0</v>
          </cell>
          <cell r="W1379">
            <v>0</v>
          </cell>
          <cell r="X1379">
            <v>0</v>
          </cell>
          <cell r="Y1379">
            <v>1</v>
          </cell>
          <cell r="Z1379">
            <v>0</v>
          </cell>
          <cell r="AA1379">
            <v>8</v>
          </cell>
          <cell r="AB1379">
            <v>0.10714285714285714</v>
          </cell>
          <cell r="AC1379">
            <v>0.8</v>
          </cell>
          <cell r="AD1379">
            <v>32</v>
          </cell>
        </row>
        <row r="1380">
          <cell r="A1380">
            <v>42</v>
          </cell>
          <cell r="B1380">
            <v>4</v>
          </cell>
          <cell r="C1380">
            <v>3</v>
          </cell>
          <cell r="D1380">
            <v>5087</v>
          </cell>
          <cell r="E1380">
            <v>3</v>
          </cell>
          <cell r="F1380">
            <v>12</v>
          </cell>
          <cell r="G1380">
            <v>3</v>
          </cell>
          <cell r="H1380">
            <v>2</v>
          </cell>
          <cell r="I1380">
            <v>14</v>
          </cell>
          <cell r="J1380">
            <v>4</v>
          </cell>
          <cell r="K1380">
            <v>0</v>
          </cell>
          <cell r="L1380">
            <v>0</v>
          </cell>
          <cell r="M1380">
            <v>1</v>
          </cell>
          <cell r="N1380">
            <v>0</v>
          </cell>
          <cell r="O1380">
            <v>0</v>
          </cell>
          <cell r="P1380">
            <v>1</v>
          </cell>
          <cell r="Q1380">
            <v>0</v>
          </cell>
          <cell r="R1380">
            <v>0</v>
          </cell>
          <cell r="S1380">
            <v>0</v>
          </cell>
          <cell r="T1380">
            <v>0</v>
          </cell>
          <cell r="U1380">
            <v>4</v>
          </cell>
          <cell r="V1380">
            <v>0</v>
          </cell>
          <cell r="W1380">
            <v>0</v>
          </cell>
          <cell r="X1380">
            <v>0</v>
          </cell>
          <cell r="Y1380">
            <v>0</v>
          </cell>
          <cell r="Z1380">
            <v>0</v>
          </cell>
          <cell r="AA1380">
            <v>8</v>
          </cell>
          <cell r="AB1380">
            <v>0.21428571428571427</v>
          </cell>
          <cell r="AC1380">
            <v>0</v>
          </cell>
          <cell r="AD1380">
            <v>24</v>
          </cell>
        </row>
        <row r="1381">
          <cell r="A1381">
            <v>27</v>
          </cell>
          <cell r="B1381">
            <v>3</v>
          </cell>
          <cell r="C1381">
            <v>2</v>
          </cell>
          <cell r="D1381">
            <v>2863</v>
          </cell>
          <cell r="E1381">
            <v>1</v>
          </cell>
          <cell r="F1381">
            <v>12</v>
          </cell>
          <cell r="G1381">
            <v>3</v>
          </cell>
          <cell r="H1381">
            <v>0</v>
          </cell>
          <cell r="I1381">
            <v>1</v>
          </cell>
          <cell r="J1381">
            <v>2</v>
          </cell>
          <cell r="K1381">
            <v>1</v>
          </cell>
          <cell r="L1381">
            <v>0</v>
          </cell>
          <cell r="M1381">
            <v>0</v>
          </cell>
          <cell r="N1381">
            <v>1</v>
          </cell>
          <cell r="O1381">
            <v>0</v>
          </cell>
          <cell r="P1381">
            <v>0</v>
          </cell>
          <cell r="Q1381">
            <v>0</v>
          </cell>
          <cell r="R1381">
            <v>0</v>
          </cell>
          <cell r="S1381">
            <v>0</v>
          </cell>
          <cell r="T1381">
            <v>0</v>
          </cell>
          <cell r="U1381">
            <v>0</v>
          </cell>
          <cell r="V1381">
            <v>0</v>
          </cell>
          <cell r="W1381">
            <v>0</v>
          </cell>
          <cell r="X1381">
            <v>0</v>
          </cell>
          <cell r="Y1381">
            <v>1</v>
          </cell>
          <cell r="Z1381">
            <v>0</v>
          </cell>
          <cell r="AA1381">
            <v>2</v>
          </cell>
          <cell r="AB1381">
            <v>1</v>
          </cell>
          <cell r="AC1381">
            <v>0</v>
          </cell>
          <cell r="AD1381">
            <v>2</v>
          </cell>
        </row>
        <row r="1382">
          <cell r="A1382">
            <v>35</v>
          </cell>
          <cell r="B1382">
            <v>4</v>
          </cell>
          <cell r="C1382">
            <v>3</v>
          </cell>
          <cell r="D1382">
            <v>5561</v>
          </cell>
          <cell r="E1382">
            <v>0</v>
          </cell>
          <cell r="F1382">
            <v>16</v>
          </cell>
          <cell r="G1382">
            <v>3</v>
          </cell>
          <cell r="H1382">
            <v>1</v>
          </cell>
          <cell r="I1382">
            <v>6</v>
          </cell>
          <cell r="J1382">
            <v>2</v>
          </cell>
          <cell r="K1382">
            <v>5</v>
          </cell>
          <cell r="L1382">
            <v>3</v>
          </cell>
          <cell r="M1382">
            <v>0</v>
          </cell>
          <cell r="N1382">
            <v>0</v>
          </cell>
          <cell r="O1382">
            <v>0</v>
          </cell>
          <cell r="P1382">
            <v>0</v>
          </cell>
          <cell r="Q1382">
            <v>1</v>
          </cell>
          <cell r="R1382">
            <v>0</v>
          </cell>
          <cell r="S1382">
            <v>0</v>
          </cell>
          <cell r="T1382">
            <v>0</v>
          </cell>
          <cell r="U1382">
            <v>0</v>
          </cell>
          <cell r="V1382">
            <v>4</v>
          </cell>
          <cell r="W1382">
            <v>0</v>
          </cell>
          <cell r="X1382">
            <v>0</v>
          </cell>
          <cell r="Y1382">
            <v>0</v>
          </cell>
          <cell r="Z1382">
            <v>0</v>
          </cell>
          <cell r="AA1382">
            <v>2</v>
          </cell>
          <cell r="AB1382">
            <v>0</v>
          </cell>
          <cell r="AC1382">
            <v>0.6</v>
          </cell>
          <cell r="AD1382">
            <v>8</v>
          </cell>
        </row>
        <row r="1383">
          <cell r="A1383">
            <v>28</v>
          </cell>
          <cell r="B1383">
            <v>3</v>
          </cell>
          <cell r="C1383">
            <v>3</v>
          </cell>
          <cell r="D1383">
            <v>2144</v>
          </cell>
          <cell r="E1383">
            <v>1</v>
          </cell>
          <cell r="F1383">
            <v>14</v>
          </cell>
          <cell r="G1383">
            <v>3</v>
          </cell>
          <cell r="H1383">
            <v>0</v>
          </cell>
          <cell r="I1383">
            <v>5</v>
          </cell>
          <cell r="J1383">
            <v>3</v>
          </cell>
          <cell r="K1383">
            <v>5</v>
          </cell>
          <cell r="L1383">
            <v>3</v>
          </cell>
          <cell r="M1383">
            <v>0</v>
          </cell>
          <cell r="N1383">
            <v>0</v>
          </cell>
          <cell r="O1383">
            <v>0</v>
          </cell>
          <cell r="P1383">
            <v>0</v>
          </cell>
          <cell r="Q1383">
            <v>1</v>
          </cell>
          <cell r="R1383">
            <v>0</v>
          </cell>
          <cell r="S1383">
            <v>0</v>
          </cell>
          <cell r="T1383">
            <v>0</v>
          </cell>
          <cell r="U1383">
            <v>0</v>
          </cell>
          <cell r="V1383">
            <v>3</v>
          </cell>
          <cell r="W1383">
            <v>0</v>
          </cell>
          <cell r="X1383">
            <v>0</v>
          </cell>
          <cell r="Y1383">
            <v>0</v>
          </cell>
          <cell r="Z1383">
            <v>0</v>
          </cell>
          <cell r="AA1383">
            <v>9</v>
          </cell>
          <cell r="AB1383">
            <v>0.2</v>
          </cell>
          <cell r="AC1383">
            <v>0.6</v>
          </cell>
          <cell r="AD1383">
            <v>27</v>
          </cell>
        </row>
        <row r="1384">
          <cell r="A1384">
            <v>31</v>
          </cell>
          <cell r="B1384">
            <v>2</v>
          </cell>
          <cell r="C1384">
            <v>3</v>
          </cell>
          <cell r="D1384">
            <v>3065</v>
          </cell>
          <cell r="E1384">
            <v>1</v>
          </cell>
          <cell r="F1384">
            <v>13</v>
          </cell>
          <cell r="G1384">
            <v>3</v>
          </cell>
          <cell r="H1384">
            <v>1</v>
          </cell>
          <cell r="I1384">
            <v>4</v>
          </cell>
          <cell r="J1384">
            <v>3</v>
          </cell>
          <cell r="K1384">
            <v>4</v>
          </cell>
          <cell r="L1384">
            <v>2</v>
          </cell>
          <cell r="M1384">
            <v>1</v>
          </cell>
          <cell r="N1384">
            <v>0</v>
          </cell>
          <cell r="O1384">
            <v>0</v>
          </cell>
          <cell r="P1384">
            <v>0</v>
          </cell>
          <cell r="Q1384">
            <v>1</v>
          </cell>
          <cell r="R1384">
            <v>0</v>
          </cell>
          <cell r="S1384">
            <v>0</v>
          </cell>
          <cell r="T1384">
            <v>0</v>
          </cell>
          <cell r="U1384">
            <v>0</v>
          </cell>
          <cell r="V1384">
            <v>2</v>
          </cell>
          <cell r="W1384">
            <v>0</v>
          </cell>
          <cell r="X1384">
            <v>0</v>
          </cell>
          <cell r="Y1384">
            <v>0</v>
          </cell>
          <cell r="Z1384">
            <v>0</v>
          </cell>
          <cell r="AA1384">
            <v>3</v>
          </cell>
          <cell r="AB1384">
            <v>0.25</v>
          </cell>
          <cell r="AC1384">
            <v>0.5</v>
          </cell>
          <cell r="AD1384">
            <v>12</v>
          </cell>
        </row>
        <row r="1385">
          <cell r="A1385">
            <v>36</v>
          </cell>
          <cell r="B1385">
            <v>4</v>
          </cell>
          <cell r="C1385">
            <v>4</v>
          </cell>
          <cell r="D1385">
            <v>2810</v>
          </cell>
          <cell r="E1385">
            <v>1</v>
          </cell>
          <cell r="F1385">
            <v>22</v>
          </cell>
          <cell r="G1385">
            <v>4</v>
          </cell>
          <cell r="H1385">
            <v>0</v>
          </cell>
          <cell r="I1385">
            <v>5</v>
          </cell>
          <cell r="J1385">
            <v>3</v>
          </cell>
          <cell r="K1385">
            <v>5</v>
          </cell>
          <cell r="L1385">
            <v>4</v>
          </cell>
          <cell r="M1385">
            <v>0</v>
          </cell>
          <cell r="N1385">
            <v>0</v>
          </cell>
          <cell r="O1385">
            <v>1</v>
          </cell>
          <cell r="P1385">
            <v>0</v>
          </cell>
          <cell r="Q1385">
            <v>0</v>
          </cell>
          <cell r="R1385">
            <v>0</v>
          </cell>
          <cell r="S1385">
            <v>0</v>
          </cell>
          <cell r="T1385">
            <v>4</v>
          </cell>
          <cell r="U1385">
            <v>0</v>
          </cell>
          <cell r="V1385">
            <v>0</v>
          </cell>
          <cell r="W1385">
            <v>0</v>
          </cell>
          <cell r="X1385">
            <v>0</v>
          </cell>
          <cell r="Y1385">
            <v>0</v>
          </cell>
          <cell r="Z1385">
            <v>0</v>
          </cell>
          <cell r="AA1385">
            <v>2</v>
          </cell>
          <cell r="AB1385">
            <v>0.2</v>
          </cell>
          <cell r="AC1385">
            <v>0.8</v>
          </cell>
          <cell r="AD1385">
            <v>4</v>
          </cell>
        </row>
        <row r="1386">
          <cell r="A1386">
            <v>34</v>
          </cell>
          <cell r="B1386">
            <v>3</v>
          </cell>
          <cell r="C1386">
            <v>3</v>
          </cell>
          <cell r="D1386">
            <v>9888</v>
          </cell>
          <cell r="E1386">
            <v>1</v>
          </cell>
          <cell r="F1386">
            <v>21</v>
          </cell>
          <cell r="G1386">
            <v>4</v>
          </cell>
          <cell r="H1386">
            <v>0</v>
          </cell>
          <cell r="I1386">
            <v>14</v>
          </cell>
          <cell r="J1386">
            <v>3</v>
          </cell>
          <cell r="K1386">
            <v>14</v>
          </cell>
          <cell r="L1386">
            <v>8</v>
          </cell>
          <cell r="M1386">
            <v>0</v>
          </cell>
          <cell r="N1386">
            <v>0</v>
          </cell>
          <cell r="O1386">
            <v>0</v>
          </cell>
          <cell r="P1386">
            <v>1</v>
          </cell>
          <cell r="Q1386">
            <v>0</v>
          </cell>
          <cell r="R1386">
            <v>0</v>
          </cell>
          <cell r="S1386">
            <v>0</v>
          </cell>
          <cell r="T1386">
            <v>0</v>
          </cell>
          <cell r="U1386">
            <v>3</v>
          </cell>
          <cell r="V1386">
            <v>0</v>
          </cell>
          <cell r="W1386">
            <v>0</v>
          </cell>
          <cell r="X1386">
            <v>0</v>
          </cell>
          <cell r="Y1386">
            <v>0</v>
          </cell>
          <cell r="Z1386">
            <v>0</v>
          </cell>
          <cell r="AA1386">
            <v>4</v>
          </cell>
          <cell r="AB1386">
            <v>7.1428571428571425E-2</v>
          </cell>
          <cell r="AC1386">
            <v>0.5714285714285714</v>
          </cell>
          <cell r="AD1386">
            <v>4</v>
          </cell>
        </row>
        <row r="1387">
          <cell r="A1387">
            <v>34</v>
          </cell>
          <cell r="B1387">
            <v>4</v>
          </cell>
          <cell r="C1387">
            <v>3</v>
          </cell>
          <cell r="D1387">
            <v>8628</v>
          </cell>
          <cell r="E1387">
            <v>1</v>
          </cell>
          <cell r="F1387">
            <v>18</v>
          </cell>
          <cell r="G1387">
            <v>3</v>
          </cell>
          <cell r="H1387">
            <v>1</v>
          </cell>
          <cell r="I1387">
            <v>9</v>
          </cell>
          <cell r="J1387">
            <v>2</v>
          </cell>
          <cell r="K1387">
            <v>8</v>
          </cell>
          <cell r="L1387">
            <v>7</v>
          </cell>
          <cell r="M1387">
            <v>0</v>
          </cell>
          <cell r="N1387">
            <v>0</v>
          </cell>
          <cell r="O1387">
            <v>0</v>
          </cell>
          <cell r="P1387">
            <v>0</v>
          </cell>
          <cell r="Q1387">
            <v>1</v>
          </cell>
          <cell r="R1387">
            <v>0</v>
          </cell>
          <cell r="S1387">
            <v>0</v>
          </cell>
          <cell r="T1387">
            <v>0</v>
          </cell>
          <cell r="U1387">
            <v>0</v>
          </cell>
          <cell r="V1387">
            <v>4</v>
          </cell>
          <cell r="W1387">
            <v>0</v>
          </cell>
          <cell r="X1387">
            <v>0</v>
          </cell>
          <cell r="Y1387">
            <v>0</v>
          </cell>
          <cell r="Z1387">
            <v>0</v>
          </cell>
          <cell r="AA1387">
            <v>12</v>
          </cell>
          <cell r="AB1387">
            <v>0.1111111111111111</v>
          </cell>
          <cell r="AC1387">
            <v>0.875</v>
          </cell>
          <cell r="AD1387">
            <v>36</v>
          </cell>
        </row>
        <row r="1388">
          <cell r="A1388">
            <v>26</v>
          </cell>
          <cell r="B1388">
            <v>3</v>
          </cell>
          <cell r="C1388">
            <v>3</v>
          </cell>
          <cell r="D1388">
            <v>2867</v>
          </cell>
          <cell r="E1388">
            <v>0</v>
          </cell>
          <cell r="F1388">
            <v>13</v>
          </cell>
          <cell r="G1388">
            <v>3</v>
          </cell>
          <cell r="H1388">
            <v>0</v>
          </cell>
          <cell r="I1388">
            <v>8</v>
          </cell>
          <cell r="J1388">
            <v>6</v>
          </cell>
          <cell r="K1388">
            <v>7</v>
          </cell>
          <cell r="L1388">
            <v>7</v>
          </cell>
          <cell r="M1388">
            <v>0</v>
          </cell>
          <cell r="N1388">
            <v>0</v>
          </cell>
          <cell r="O1388">
            <v>0</v>
          </cell>
          <cell r="P1388">
            <v>0</v>
          </cell>
          <cell r="Q1388">
            <v>1</v>
          </cell>
          <cell r="R1388">
            <v>0</v>
          </cell>
          <cell r="S1388">
            <v>0</v>
          </cell>
          <cell r="T1388">
            <v>0</v>
          </cell>
          <cell r="U1388">
            <v>0</v>
          </cell>
          <cell r="V1388">
            <v>3</v>
          </cell>
          <cell r="W1388">
            <v>0</v>
          </cell>
          <cell r="X1388">
            <v>0</v>
          </cell>
          <cell r="Y1388">
            <v>0</v>
          </cell>
          <cell r="Z1388">
            <v>0</v>
          </cell>
          <cell r="AA1388">
            <v>3</v>
          </cell>
          <cell r="AB1388">
            <v>0</v>
          </cell>
          <cell r="AC1388">
            <v>1</v>
          </cell>
          <cell r="AD1388">
            <v>12</v>
          </cell>
        </row>
        <row r="1389">
          <cell r="A1389">
            <v>29</v>
          </cell>
          <cell r="B1389">
            <v>3</v>
          </cell>
          <cell r="C1389">
            <v>3</v>
          </cell>
          <cell r="D1389">
            <v>5373</v>
          </cell>
          <cell r="E1389">
            <v>0</v>
          </cell>
          <cell r="F1389">
            <v>12</v>
          </cell>
          <cell r="G1389">
            <v>3</v>
          </cell>
          <cell r="H1389">
            <v>1</v>
          </cell>
          <cell r="I1389">
            <v>6</v>
          </cell>
          <cell r="J1389">
            <v>5</v>
          </cell>
          <cell r="K1389">
            <v>5</v>
          </cell>
          <cell r="L1389">
            <v>3</v>
          </cell>
          <cell r="M1389">
            <v>0</v>
          </cell>
          <cell r="N1389">
            <v>0</v>
          </cell>
          <cell r="O1389">
            <v>1</v>
          </cell>
          <cell r="P1389">
            <v>0</v>
          </cell>
          <cell r="Q1389">
            <v>0</v>
          </cell>
          <cell r="R1389">
            <v>0</v>
          </cell>
          <cell r="S1389">
            <v>0</v>
          </cell>
          <cell r="T1389">
            <v>3</v>
          </cell>
          <cell r="U1389">
            <v>0</v>
          </cell>
          <cell r="V1389">
            <v>0</v>
          </cell>
          <cell r="W1389">
            <v>0</v>
          </cell>
          <cell r="X1389">
            <v>0</v>
          </cell>
          <cell r="Y1389">
            <v>0</v>
          </cell>
          <cell r="Z1389">
            <v>0</v>
          </cell>
          <cell r="AA1389">
            <v>1</v>
          </cell>
          <cell r="AB1389">
            <v>0</v>
          </cell>
          <cell r="AC1389">
            <v>0.6</v>
          </cell>
          <cell r="AD1389">
            <v>1</v>
          </cell>
        </row>
        <row r="1390">
          <cell r="A1390">
            <v>32</v>
          </cell>
          <cell r="B1390">
            <v>4</v>
          </cell>
          <cell r="C1390">
            <v>3</v>
          </cell>
          <cell r="D1390">
            <v>6667</v>
          </cell>
          <cell r="E1390">
            <v>5</v>
          </cell>
          <cell r="F1390">
            <v>18</v>
          </cell>
          <cell r="G1390">
            <v>3</v>
          </cell>
          <cell r="H1390">
            <v>1</v>
          </cell>
          <cell r="I1390">
            <v>9</v>
          </cell>
          <cell r="J1390">
            <v>6</v>
          </cell>
          <cell r="K1390">
            <v>5</v>
          </cell>
          <cell r="L1390">
            <v>1</v>
          </cell>
          <cell r="M1390">
            <v>0</v>
          </cell>
          <cell r="N1390">
            <v>1</v>
          </cell>
          <cell r="O1390">
            <v>0</v>
          </cell>
          <cell r="P1390">
            <v>0</v>
          </cell>
          <cell r="Q1390">
            <v>1</v>
          </cell>
          <cell r="R1390">
            <v>0</v>
          </cell>
          <cell r="S1390">
            <v>0</v>
          </cell>
          <cell r="T1390">
            <v>0</v>
          </cell>
          <cell r="U1390">
            <v>0</v>
          </cell>
          <cell r="V1390">
            <v>4</v>
          </cell>
          <cell r="W1390">
            <v>0</v>
          </cell>
          <cell r="X1390">
            <v>0</v>
          </cell>
          <cell r="Y1390">
            <v>0</v>
          </cell>
          <cell r="Z1390">
            <v>0</v>
          </cell>
          <cell r="AA1390">
            <v>12</v>
          </cell>
          <cell r="AB1390">
            <v>0.55555555555555558</v>
          </cell>
          <cell r="AC1390">
            <v>0.2</v>
          </cell>
          <cell r="AD1390">
            <v>24</v>
          </cell>
        </row>
        <row r="1391">
          <cell r="A1391">
            <v>31</v>
          </cell>
          <cell r="B1391">
            <v>3</v>
          </cell>
          <cell r="C1391">
            <v>1</v>
          </cell>
          <cell r="D1391">
            <v>5003</v>
          </cell>
          <cell r="E1391">
            <v>1</v>
          </cell>
          <cell r="F1391">
            <v>21</v>
          </cell>
          <cell r="G1391">
            <v>4</v>
          </cell>
          <cell r="H1391">
            <v>0</v>
          </cell>
          <cell r="I1391">
            <v>10</v>
          </cell>
          <cell r="J1391">
            <v>6</v>
          </cell>
          <cell r="K1391">
            <v>10</v>
          </cell>
          <cell r="L1391">
            <v>8</v>
          </cell>
          <cell r="M1391">
            <v>0</v>
          </cell>
          <cell r="N1391">
            <v>0</v>
          </cell>
          <cell r="O1391">
            <v>1</v>
          </cell>
          <cell r="P1391">
            <v>0</v>
          </cell>
          <cell r="Q1391">
            <v>0</v>
          </cell>
          <cell r="R1391">
            <v>0</v>
          </cell>
          <cell r="S1391">
            <v>0</v>
          </cell>
          <cell r="T1391">
            <v>3</v>
          </cell>
          <cell r="U1391">
            <v>0</v>
          </cell>
          <cell r="V1391">
            <v>0</v>
          </cell>
          <cell r="W1391">
            <v>0</v>
          </cell>
          <cell r="X1391">
            <v>0</v>
          </cell>
          <cell r="Y1391">
            <v>1</v>
          </cell>
          <cell r="Z1391">
            <v>0</v>
          </cell>
          <cell r="AA1391">
            <v>4</v>
          </cell>
          <cell r="AB1391">
            <v>0.1</v>
          </cell>
          <cell r="AC1391">
            <v>0.8</v>
          </cell>
          <cell r="AD1391">
            <v>8</v>
          </cell>
        </row>
        <row r="1392">
          <cell r="A1392">
            <v>28</v>
          </cell>
          <cell r="B1392">
            <v>3</v>
          </cell>
          <cell r="C1392">
            <v>2</v>
          </cell>
          <cell r="D1392">
            <v>2367</v>
          </cell>
          <cell r="E1392">
            <v>5</v>
          </cell>
          <cell r="F1392">
            <v>12</v>
          </cell>
          <cell r="G1392">
            <v>3</v>
          </cell>
          <cell r="H1392">
            <v>1</v>
          </cell>
          <cell r="I1392">
            <v>6</v>
          </cell>
          <cell r="J1392">
            <v>2</v>
          </cell>
          <cell r="K1392">
            <v>4</v>
          </cell>
          <cell r="L1392">
            <v>1</v>
          </cell>
          <cell r="M1392">
            <v>0</v>
          </cell>
          <cell r="N1392">
            <v>0</v>
          </cell>
          <cell r="O1392">
            <v>0</v>
          </cell>
          <cell r="P1392">
            <v>0</v>
          </cell>
          <cell r="Q1392">
            <v>0</v>
          </cell>
          <cell r="R1392">
            <v>0</v>
          </cell>
          <cell r="S1392">
            <v>1</v>
          </cell>
          <cell r="T1392">
            <v>0</v>
          </cell>
          <cell r="U1392">
            <v>0</v>
          </cell>
          <cell r="V1392">
            <v>0</v>
          </cell>
          <cell r="W1392">
            <v>0</v>
          </cell>
          <cell r="X1392">
            <v>3</v>
          </cell>
          <cell r="Y1392">
            <v>0</v>
          </cell>
          <cell r="Z1392">
            <v>0</v>
          </cell>
          <cell r="AA1392">
            <v>12</v>
          </cell>
          <cell r="AB1392">
            <v>0.83333333333333337</v>
          </cell>
          <cell r="AC1392">
            <v>0.25</v>
          </cell>
          <cell r="AD1392">
            <v>12</v>
          </cell>
        </row>
        <row r="1393">
          <cell r="A1393">
            <v>38</v>
          </cell>
          <cell r="B1393">
            <v>3</v>
          </cell>
          <cell r="C1393">
            <v>2</v>
          </cell>
          <cell r="D1393">
            <v>2858</v>
          </cell>
          <cell r="E1393">
            <v>4</v>
          </cell>
          <cell r="F1393">
            <v>14</v>
          </cell>
          <cell r="G1393">
            <v>3</v>
          </cell>
          <cell r="H1393">
            <v>0</v>
          </cell>
          <cell r="I1393">
            <v>20</v>
          </cell>
          <cell r="J1393">
            <v>3</v>
          </cell>
          <cell r="K1393">
            <v>1</v>
          </cell>
          <cell r="L1393">
            <v>0</v>
          </cell>
          <cell r="M1393">
            <v>0</v>
          </cell>
          <cell r="N1393">
            <v>0</v>
          </cell>
          <cell r="O1393">
            <v>1</v>
          </cell>
          <cell r="P1393">
            <v>0</v>
          </cell>
          <cell r="Q1393">
            <v>0</v>
          </cell>
          <cell r="R1393">
            <v>0</v>
          </cell>
          <cell r="S1393">
            <v>0</v>
          </cell>
          <cell r="T1393">
            <v>3</v>
          </cell>
          <cell r="U1393">
            <v>0</v>
          </cell>
          <cell r="V1393">
            <v>0</v>
          </cell>
          <cell r="W1393">
            <v>0</v>
          </cell>
          <cell r="X1393">
            <v>0</v>
          </cell>
          <cell r="Y1393">
            <v>0</v>
          </cell>
          <cell r="Z1393">
            <v>0</v>
          </cell>
          <cell r="AA1393">
            <v>1</v>
          </cell>
          <cell r="AB1393">
            <v>0.2</v>
          </cell>
          <cell r="AC1393">
            <v>0</v>
          </cell>
          <cell r="AD1393">
            <v>1</v>
          </cell>
        </row>
        <row r="1394">
          <cell r="A1394">
            <v>35</v>
          </cell>
          <cell r="B1394">
            <v>4</v>
          </cell>
          <cell r="C1394">
            <v>3</v>
          </cell>
          <cell r="D1394">
            <v>5204</v>
          </cell>
          <cell r="E1394">
            <v>1</v>
          </cell>
          <cell r="F1394">
            <v>11</v>
          </cell>
          <cell r="G1394">
            <v>3</v>
          </cell>
          <cell r="H1394">
            <v>0</v>
          </cell>
          <cell r="I1394">
            <v>10</v>
          </cell>
          <cell r="J1394">
            <v>2</v>
          </cell>
          <cell r="K1394">
            <v>10</v>
          </cell>
          <cell r="L1394">
            <v>8</v>
          </cell>
          <cell r="M1394">
            <v>1</v>
          </cell>
          <cell r="N1394">
            <v>1</v>
          </cell>
          <cell r="O1394">
            <v>1</v>
          </cell>
          <cell r="P1394">
            <v>0</v>
          </cell>
          <cell r="Q1394">
            <v>0</v>
          </cell>
          <cell r="R1394">
            <v>0</v>
          </cell>
          <cell r="S1394">
            <v>0</v>
          </cell>
          <cell r="T1394">
            <v>4</v>
          </cell>
          <cell r="U1394">
            <v>0</v>
          </cell>
          <cell r="V1394">
            <v>0</v>
          </cell>
          <cell r="W1394">
            <v>0</v>
          </cell>
          <cell r="X1394">
            <v>0</v>
          </cell>
          <cell r="Y1394">
            <v>0</v>
          </cell>
          <cell r="Z1394">
            <v>1</v>
          </cell>
          <cell r="AA1394">
            <v>12</v>
          </cell>
          <cell r="AB1394">
            <v>0.1</v>
          </cell>
          <cell r="AC1394">
            <v>0.8</v>
          </cell>
          <cell r="AD1394">
            <v>48</v>
          </cell>
        </row>
        <row r="1395">
          <cell r="A1395">
            <v>27</v>
          </cell>
          <cell r="B1395">
            <v>3</v>
          </cell>
          <cell r="C1395">
            <v>3</v>
          </cell>
          <cell r="D1395">
            <v>4105</v>
          </cell>
          <cell r="E1395">
            <v>1</v>
          </cell>
          <cell r="F1395">
            <v>14</v>
          </cell>
          <cell r="G1395">
            <v>3</v>
          </cell>
          <cell r="H1395">
            <v>0</v>
          </cell>
          <cell r="I1395">
            <v>7</v>
          </cell>
          <cell r="J1395">
            <v>5</v>
          </cell>
          <cell r="K1395">
            <v>7</v>
          </cell>
          <cell r="L1395">
            <v>7</v>
          </cell>
          <cell r="M1395">
            <v>0</v>
          </cell>
          <cell r="N1395">
            <v>0</v>
          </cell>
          <cell r="O1395">
            <v>0</v>
          </cell>
          <cell r="P1395">
            <v>1</v>
          </cell>
          <cell r="Q1395">
            <v>0</v>
          </cell>
          <cell r="R1395">
            <v>0</v>
          </cell>
          <cell r="S1395">
            <v>0</v>
          </cell>
          <cell r="T1395">
            <v>0</v>
          </cell>
          <cell r="U1395">
            <v>3</v>
          </cell>
          <cell r="V1395">
            <v>0</v>
          </cell>
          <cell r="W1395">
            <v>0</v>
          </cell>
          <cell r="X1395">
            <v>0</v>
          </cell>
          <cell r="Y1395">
            <v>0</v>
          </cell>
          <cell r="Z1395">
            <v>0</v>
          </cell>
          <cell r="AA1395">
            <v>16</v>
          </cell>
          <cell r="AB1395">
            <v>0.14285714285714285</v>
          </cell>
          <cell r="AC1395">
            <v>1</v>
          </cell>
          <cell r="AD1395">
            <v>16</v>
          </cell>
        </row>
        <row r="1396">
          <cell r="A1396">
            <v>32</v>
          </cell>
          <cell r="B1396">
            <v>4</v>
          </cell>
          <cell r="C1396">
            <v>2</v>
          </cell>
          <cell r="D1396">
            <v>9679</v>
          </cell>
          <cell r="E1396">
            <v>8</v>
          </cell>
          <cell r="F1396">
            <v>24</v>
          </cell>
          <cell r="G1396">
            <v>4</v>
          </cell>
          <cell r="H1396">
            <v>0</v>
          </cell>
          <cell r="I1396">
            <v>8</v>
          </cell>
          <cell r="J1396">
            <v>1</v>
          </cell>
          <cell r="K1396">
            <v>1</v>
          </cell>
          <cell r="L1396">
            <v>0</v>
          </cell>
          <cell r="M1396">
            <v>0</v>
          </cell>
          <cell r="N1396">
            <v>0</v>
          </cell>
          <cell r="O1396">
            <v>1</v>
          </cell>
          <cell r="P1396">
            <v>0</v>
          </cell>
          <cell r="Q1396">
            <v>0</v>
          </cell>
          <cell r="R1396">
            <v>0</v>
          </cell>
          <cell r="S1396">
            <v>0</v>
          </cell>
          <cell r="T1396">
            <v>4</v>
          </cell>
          <cell r="U1396">
            <v>0</v>
          </cell>
          <cell r="V1396">
            <v>0</v>
          </cell>
          <cell r="W1396">
            <v>0</v>
          </cell>
          <cell r="X1396">
            <v>0</v>
          </cell>
          <cell r="Y1396">
            <v>0</v>
          </cell>
          <cell r="Z1396">
            <v>0</v>
          </cell>
          <cell r="AA1396">
            <v>16</v>
          </cell>
          <cell r="AB1396">
            <v>1</v>
          </cell>
          <cell r="AC1396">
            <v>0</v>
          </cell>
          <cell r="AD1396">
            <v>32</v>
          </cell>
        </row>
        <row r="1397">
          <cell r="A1397">
            <v>31</v>
          </cell>
          <cell r="B1397">
            <v>4</v>
          </cell>
          <cell r="C1397">
            <v>3</v>
          </cell>
          <cell r="D1397">
            <v>5617</v>
          </cell>
          <cell r="E1397">
            <v>1</v>
          </cell>
          <cell r="F1397">
            <v>11</v>
          </cell>
          <cell r="G1397">
            <v>3</v>
          </cell>
          <cell r="H1397">
            <v>0</v>
          </cell>
          <cell r="I1397">
            <v>10</v>
          </cell>
          <cell r="J1397">
            <v>4</v>
          </cell>
          <cell r="K1397">
            <v>10</v>
          </cell>
          <cell r="L1397">
            <v>7</v>
          </cell>
          <cell r="M1397">
            <v>1</v>
          </cell>
          <cell r="N1397">
            <v>0</v>
          </cell>
          <cell r="O1397">
            <v>0</v>
          </cell>
          <cell r="P1397">
            <v>1</v>
          </cell>
          <cell r="Q1397">
            <v>0</v>
          </cell>
          <cell r="R1397">
            <v>0</v>
          </cell>
          <cell r="S1397">
            <v>0</v>
          </cell>
          <cell r="T1397">
            <v>0</v>
          </cell>
          <cell r="U1397">
            <v>4</v>
          </cell>
          <cell r="V1397">
            <v>0</v>
          </cell>
          <cell r="W1397">
            <v>0</v>
          </cell>
          <cell r="X1397">
            <v>0</v>
          </cell>
          <cell r="Y1397">
            <v>1</v>
          </cell>
          <cell r="Z1397">
            <v>1</v>
          </cell>
          <cell r="AA1397">
            <v>4</v>
          </cell>
          <cell r="AB1397">
            <v>0.1</v>
          </cell>
          <cell r="AC1397">
            <v>0.7</v>
          </cell>
          <cell r="AD1397">
            <v>12</v>
          </cell>
        </row>
        <row r="1398">
          <cell r="A1398">
            <v>53</v>
          </cell>
          <cell r="B1398">
            <v>4</v>
          </cell>
          <cell r="C1398">
            <v>3</v>
          </cell>
          <cell r="D1398">
            <v>10448</v>
          </cell>
          <cell r="E1398">
            <v>6</v>
          </cell>
          <cell r="F1398">
            <v>13</v>
          </cell>
          <cell r="G1398">
            <v>3</v>
          </cell>
          <cell r="H1398">
            <v>0</v>
          </cell>
          <cell r="I1398">
            <v>15</v>
          </cell>
          <cell r="J1398">
            <v>2</v>
          </cell>
          <cell r="K1398">
            <v>2</v>
          </cell>
          <cell r="L1398">
            <v>2</v>
          </cell>
          <cell r="M1398">
            <v>1</v>
          </cell>
          <cell r="N1398">
            <v>0</v>
          </cell>
          <cell r="O1398">
            <v>1</v>
          </cell>
          <cell r="P1398">
            <v>0</v>
          </cell>
          <cell r="Q1398">
            <v>0</v>
          </cell>
          <cell r="R1398">
            <v>0</v>
          </cell>
          <cell r="S1398">
            <v>0</v>
          </cell>
          <cell r="T1398">
            <v>4</v>
          </cell>
          <cell r="U1398">
            <v>0</v>
          </cell>
          <cell r="V1398">
            <v>0</v>
          </cell>
          <cell r="W1398">
            <v>0</v>
          </cell>
          <cell r="X1398">
            <v>0</v>
          </cell>
          <cell r="Y1398">
            <v>0</v>
          </cell>
          <cell r="Z1398">
            <v>0</v>
          </cell>
          <cell r="AA1398">
            <v>1</v>
          </cell>
          <cell r="AB1398">
            <v>0.4</v>
          </cell>
          <cell r="AC1398">
            <v>1</v>
          </cell>
          <cell r="AD1398">
            <v>2</v>
          </cell>
        </row>
        <row r="1399">
          <cell r="A1399">
            <v>54</v>
          </cell>
          <cell r="B1399">
            <v>2</v>
          </cell>
          <cell r="C1399">
            <v>3</v>
          </cell>
          <cell r="D1399">
            <v>2897</v>
          </cell>
          <cell r="E1399">
            <v>3</v>
          </cell>
          <cell r="F1399">
            <v>11</v>
          </cell>
          <cell r="G1399">
            <v>3</v>
          </cell>
          <cell r="H1399">
            <v>2</v>
          </cell>
          <cell r="I1399">
            <v>9</v>
          </cell>
          <cell r="J1399">
            <v>6</v>
          </cell>
          <cell r="K1399">
            <v>4</v>
          </cell>
          <cell r="L1399">
            <v>3</v>
          </cell>
          <cell r="M1399">
            <v>0</v>
          </cell>
          <cell r="N1399">
            <v>1</v>
          </cell>
          <cell r="O1399">
            <v>1</v>
          </cell>
          <cell r="P1399">
            <v>0</v>
          </cell>
          <cell r="Q1399">
            <v>0</v>
          </cell>
          <cell r="R1399">
            <v>0</v>
          </cell>
          <cell r="S1399">
            <v>0</v>
          </cell>
          <cell r="T1399">
            <v>2</v>
          </cell>
          <cell r="U1399">
            <v>0</v>
          </cell>
          <cell r="V1399">
            <v>0</v>
          </cell>
          <cell r="W1399">
            <v>0</v>
          </cell>
          <cell r="X1399">
            <v>0</v>
          </cell>
          <cell r="Y1399">
            <v>0</v>
          </cell>
          <cell r="Z1399">
            <v>0</v>
          </cell>
          <cell r="AA1399">
            <v>3</v>
          </cell>
          <cell r="AB1399">
            <v>0.33333333333333331</v>
          </cell>
          <cell r="AC1399">
            <v>0.75</v>
          </cell>
          <cell r="AD1399">
            <v>9</v>
          </cell>
        </row>
        <row r="1400">
          <cell r="A1400">
            <v>33</v>
          </cell>
          <cell r="B1400">
            <v>2</v>
          </cell>
          <cell r="C1400">
            <v>3</v>
          </cell>
          <cell r="D1400">
            <v>5968</v>
          </cell>
          <cell r="E1400">
            <v>1</v>
          </cell>
          <cell r="F1400">
            <v>20</v>
          </cell>
          <cell r="G1400">
            <v>4</v>
          </cell>
          <cell r="H1400">
            <v>3</v>
          </cell>
          <cell r="I1400">
            <v>9</v>
          </cell>
          <cell r="J1400">
            <v>2</v>
          </cell>
          <cell r="K1400">
            <v>9</v>
          </cell>
          <cell r="L1400">
            <v>7</v>
          </cell>
          <cell r="M1400">
            <v>0</v>
          </cell>
          <cell r="N1400">
            <v>0</v>
          </cell>
          <cell r="O1400">
            <v>1</v>
          </cell>
          <cell r="P1400">
            <v>0</v>
          </cell>
          <cell r="Q1400">
            <v>0</v>
          </cell>
          <cell r="R1400">
            <v>0</v>
          </cell>
          <cell r="S1400">
            <v>0</v>
          </cell>
          <cell r="T1400">
            <v>2</v>
          </cell>
          <cell r="U1400">
            <v>0</v>
          </cell>
          <cell r="V1400">
            <v>0</v>
          </cell>
          <cell r="W1400">
            <v>0</v>
          </cell>
          <cell r="X1400">
            <v>0</v>
          </cell>
          <cell r="Y1400">
            <v>0</v>
          </cell>
          <cell r="Z1400">
            <v>0</v>
          </cell>
          <cell r="AA1400">
            <v>12</v>
          </cell>
          <cell r="AB1400">
            <v>0.1111111111111111</v>
          </cell>
          <cell r="AC1400">
            <v>0.77777777777777779</v>
          </cell>
          <cell r="AD1400">
            <v>36</v>
          </cell>
        </row>
        <row r="1401">
          <cell r="A1401">
            <v>43</v>
          </cell>
          <cell r="B1401">
            <v>3</v>
          </cell>
          <cell r="C1401">
            <v>3</v>
          </cell>
          <cell r="D1401">
            <v>7510</v>
          </cell>
          <cell r="E1401">
            <v>1</v>
          </cell>
          <cell r="F1401">
            <v>17</v>
          </cell>
          <cell r="G1401">
            <v>3</v>
          </cell>
          <cell r="H1401">
            <v>1</v>
          </cell>
          <cell r="I1401">
            <v>10</v>
          </cell>
          <cell r="J1401">
            <v>1</v>
          </cell>
          <cell r="K1401">
            <v>10</v>
          </cell>
          <cell r="L1401">
            <v>9</v>
          </cell>
          <cell r="M1401">
            <v>0</v>
          </cell>
          <cell r="N1401">
            <v>0</v>
          </cell>
          <cell r="O1401">
            <v>1</v>
          </cell>
          <cell r="P1401">
            <v>0</v>
          </cell>
          <cell r="Q1401">
            <v>0</v>
          </cell>
          <cell r="R1401">
            <v>0</v>
          </cell>
          <cell r="S1401">
            <v>0</v>
          </cell>
          <cell r="T1401">
            <v>3</v>
          </cell>
          <cell r="U1401">
            <v>0</v>
          </cell>
          <cell r="V1401">
            <v>0</v>
          </cell>
          <cell r="W1401">
            <v>0</v>
          </cell>
          <cell r="X1401">
            <v>0</v>
          </cell>
          <cell r="Y1401">
            <v>0</v>
          </cell>
          <cell r="Z1401">
            <v>0</v>
          </cell>
          <cell r="AA1401">
            <v>3</v>
          </cell>
          <cell r="AB1401">
            <v>0.1</v>
          </cell>
          <cell r="AC1401">
            <v>0.9</v>
          </cell>
          <cell r="AD1401">
            <v>6</v>
          </cell>
        </row>
        <row r="1402">
          <cell r="A1402">
            <v>38</v>
          </cell>
          <cell r="B1402">
            <v>4</v>
          </cell>
          <cell r="C1402">
            <v>3</v>
          </cell>
          <cell r="D1402">
            <v>2991</v>
          </cell>
          <cell r="E1402">
            <v>0</v>
          </cell>
          <cell r="F1402">
            <v>11</v>
          </cell>
          <cell r="G1402">
            <v>3</v>
          </cell>
          <cell r="H1402">
            <v>1</v>
          </cell>
          <cell r="I1402">
            <v>7</v>
          </cell>
          <cell r="J1402">
            <v>2</v>
          </cell>
          <cell r="K1402">
            <v>6</v>
          </cell>
          <cell r="L1402">
            <v>2</v>
          </cell>
          <cell r="M1402">
            <v>1</v>
          </cell>
          <cell r="N1402">
            <v>0</v>
          </cell>
          <cell r="O1402">
            <v>0</v>
          </cell>
          <cell r="P1402">
            <v>0</v>
          </cell>
          <cell r="Q1402">
            <v>0</v>
          </cell>
          <cell r="R1402">
            <v>1</v>
          </cell>
          <cell r="S1402">
            <v>0</v>
          </cell>
          <cell r="T1402">
            <v>0</v>
          </cell>
          <cell r="U1402">
            <v>0</v>
          </cell>
          <cell r="V1402">
            <v>0</v>
          </cell>
          <cell r="W1402">
            <v>4</v>
          </cell>
          <cell r="X1402">
            <v>0</v>
          </cell>
          <cell r="Y1402">
            <v>1</v>
          </cell>
          <cell r="Z1402">
            <v>1</v>
          </cell>
          <cell r="AA1402">
            <v>8</v>
          </cell>
          <cell r="AB1402">
            <v>0</v>
          </cell>
          <cell r="AC1402">
            <v>0.33333333333333331</v>
          </cell>
          <cell r="AD1402">
            <v>16</v>
          </cell>
        </row>
        <row r="1403">
          <cell r="A1403">
            <v>55</v>
          </cell>
          <cell r="B1403">
            <v>4</v>
          </cell>
          <cell r="C1403">
            <v>4</v>
          </cell>
          <cell r="D1403">
            <v>19636</v>
          </cell>
          <cell r="E1403">
            <v>4</v>
          </cell>
          <cell r="F1403">
            <v>18</v>
          </cell>
          <cell r="G1403">
            <v>3</v>
          </cell>
          <cell r="H1403">
            <v>1</v>
          </cell>
          <cell r="I1403">
            <v>35</v>
          </cell>
          <cell r="J1403">
            <v>0</v>
          </cell>
          <cell r="K1403">
            <v>10</v>
          </cell>
          <cell r="L1403">
            <v>9</v>
          </cell>
          <cell r="M1403">
            <v>1</v>
          </cell>
          <cell r="N1403">
            <v>0</v>
          </cell>
          <cell r="O1403">
            <v>0</v>
          </cell>
          <cell r="P1403">
            <v>0</v>
          </cell>
          <cell r="Q1403">
            <v>0</v>
          </cell>
          <cell r="R1403">
            <v>0</v>
          </cell>
          <cell r="S1403">
            <v>0</v>
          </cell>
          <cell r="T1403">
            <v>0</v>
          </cell>
          <cell r="U1403">
            <v>0</v>
          </cell>
          <cell r="V1403">
            <v>0</v>
          </cell>
          <cell r="W1403">
            <v>0</v>
          </cell>
          <cell r="X1403">
            <v>0</v>
          </cell>
          <cell r="Y1403">
            <v>0</v>
          </cell>
          <cell r="Z1403">
            <v>1</v>
          </cell>
          <cell r="AA1403">
            <v>6</v>
          </cell>
          <cell r="AB1403">
            <v>0.11428571428571428</v>
          </cell>
          <cell r="AC1403">
            <v>0.9</v>
          </cell>
          <cell r="AD1403">
            <v>6</v>
          </cell>
        </row>
        <row r="1404">
          <cell r="A1404">
            <v>31</v>
          </cell>
          <cell r="B1404">
            <v>1</v>
          </cell>
          <cell r="C1404">
            <v>1</v>
          </cell>
          <cell r="D1404">
            <v>1129</v>
          </cell>
          <cell r="E1404">
            <v>1</v>
          </cell>
          <cell r="F1404">
            <v>11</v>
          </cell>
          <cell r="G1404">
            <v>3</v>
          </cell>
          <cell r="H1404">
            <v>3</v>
          </cell>
          <cell r="I1404">
            <v>1</v>
          </cell>
          <cell r="J1404">
            <v>4</v>
          </cell>
          <cell r="K1404">
            <v>1</v>
          </cell>
          <cell r="L1404">
            <v>0</v>
          </cell>
          <cell r="M1404">
            <v>1</v>
          </cell>
          <cell r="N1404">
            <v>1</v>
          </cell>
          <cell r="O1404">
            <v>0</v>
          </cell>
          <cell r="P1404">
            <v>0</v>
          </cell>
          <cell r="Q1404">
            <v>1</v>
          </cell>
          <cell r="R1404">
            <v>0</v>
          </cell>
          <cell r="S1404">
            <v>0</v>
          </cell>
          <cell r="T1404">
            <v>0</v>
          </cell>
          <cell r="U1404">
            <v>0</v>
          </cell>
          <cell r="V1404">
            <v>1</v>
          </cell>
          <cell r="W1404">
            <v>0</v>
          </cell>
          <cell r="X1404">
            <v>0</v>
          </cell>
          <cell r="Y1404">
            <v>0</v>
          </cell>
          <cell r="Z1404">
            <v>0</v>
          </cell>
          <cell r="AA1404">
            <v>16</v>
          </cell>
          <cell r="AB1404">
            <v>1</v>
          </cell>
          <cell r="AC1404">
            <v>0</v>
          </cell>
          <cell r="AD1404">
            <v>48</v>
          </cell>
        </row>
        <row r="1405">
          <cell r="A1405">
            <v>39</v>
          </cell>
          <cell r="B1405">
            <v>4</v>
          </cell>
          <cell r="C1405">
            <v>3</v>
          </cell>
          <cell r="D1405">
            <v>13341</v>
          </cell>
          <cell r="E1405">
            <v>0</v>
          </cell>
          <cell r="F1405">
            <v>12</v>
          </cell>
          <cell r="G1405">
            <v>3</v>
          </cell>
          <cell r="H1405">
            <v>0</v>
          </cell>
          <cell r="I1405">
            <v>21</v>
          </cell>
          <cell r="J1405">
            <v>3</v>
          </cell>
          <cell r="K1405">
            <v>20</v>
          </cell>
          <cell r="L1405">
            <v>8</v>
          </cell>
          <cell r="M1405">
            <v>0</v>
          </cell>
          <cell r="N1405">
            <v>0</v>
          </cell>
          <cell r="O1405">
            <v>0</v>
          </cell>
          <cell r="P1405">
            <v>1</v>
          </cell>
          <cell r="Q1405">
            <v>0</v>
          </cell>
          <cell r="R1405">
            <v>0</v>
          </cell>
          <cell r="S1405">
            <v>0</v>
          </cell>
          <cell r="T1405">
            <v>0</v>
          </cell>
          <cell r="U1405">
            <v>4</v>
          </cell>
          <cell r="V1405">
            <v>0</v>
          </cell>
          <cell r="W1405">
            <v>0</v>
          </cell>
          <cell r="X1405">
            <v>0</v>
          </cell>
          <cell r="Y1405">
            <v>0</v>
          </cell>
          <cell r="Z1405">
            <v>0</v>
          </cell>
          <cell r="AA1405">
            <v>2</v>
          </cell>
          <cell r="AB1405">
            <v>0</v>
          </cell>
          <cell r="AC1405">
            <v>0.4</v>
          </cell>
          <cell r="AD1405">
            <v>2</v>
          </cell>
        </row>
        <row r="1406">
          <cell r="A1406">
            <v>42</v>
          </cell>
          <cell r="B1406">
            <v>2</v>
          </cell>
          <cell r="C1406">
            <v>2</v>
          </cell>
          <cell r="D1406">
            <v>4332</v>
          </cell>
          <cell r="E1406">
            <v>1</v>
          </cell>
          <cell r="F1406">
            <v>12</v>
          </cell>
          <cell r="G1406">
            <v>3</v>
          </cell>
          <cell r="H1406">
            <v>0</v>
          </cell>
          <cell r="I1406">
            <v>20</v>
          </cell>
          <cell r="J1406">
            <v>2</v>
          </cell>
          <cell r="K1406">
            <v>20</v>
          </cell>
          <cell r="L1406">
            <v>9</v>
          </cell>
          <cell r="M1406">
            <v>0</v>
          </cell>
          <cell r="N1406">
            <v>0</v>
          </cell>
          <cell r="O1406">
            <v>1</v>
          </cell>
          <cell r="P1406">
            <v>0</v>
          </cell>
          <cell r="Q1406">
            <v>0</v>
          </cell>
          <cell r="R1406">
            <v>0</v>
          </cell>
          <cell r="S1406">
            <v>0</v>
          </cell>
          <cell r="T1406">
            <v>2</v>
          </cell>
          <cell r="U1406">
            <v>0</v>
          </cell>
          <cell r="V1406">
            <v>0</v>
          </cell>
          <cell r="W1406">
            <v>0</v>
          </cell>
          <cell r="X1406">
            <v>0</v>
          </cell>
          <cell r="Y1406">
            <v>0</v>
          </cell>
          <cell r="Z1406">
            <v>0</v>
          </cell>
          <cell r="AA1406">
            <v>12</v>
          </cell>
          <cell r="AB1406">
            <v>0.05</v>
          </cell>
          <cell r="AC1406">
            <v>0.45</v>
          </cell>
          <cell r="AD1406">
            <v>48</v>
          </cell>
        </row>
        <row r="1407">
          <cell r="A1407">
            <v>31</v>
          </cell>
          <cell r="B1407">
            <v>3</v>
          </cell>
          <cell r="C1407">
            <v>3</v>
          </cell>
          <cell r="D1407">
            <v>11031</v>
          </cell>
          <cell r="E1407">
            <v>4</v>
          </cell>
          <cell r="F1407">
            <v>20</v>
          </cell>
          <cell r="G1407">
            <v>4</v>
          </cell>
          <cell r="H1407">
            <v>1</v>
          </cell>
          <cell r="I1407">
            <v>13</v>
          </cell>
          <cell r="J1407">
            <v>2</v>
          </cell>
          <cell r="K1407">
            <v>11</v>
          </cell>
          <cell r="L1407">
            <v>7</v>
          </cell>
          <cell r="M1407">
            <v>0</v>
          </cell>
          <cell r="N1407">
            <v>1</v>
          </cell>
          <cell r="O1407">
            <v>0</v>
          </cell>
          <cell r="P1407">
            <v>0</v>
          </cell>
          <cell r="Q1407">
            <v>1</v>
          </cell>
          <cell r="R1407">
            <v>0</v>
          </cell>
          <cell r="S1407">
            <v>0</v>
          </cell>
          <cell r="T1407">
            <v>0</v>
          </cell>
          <cell r="U1407">
            <v>0</v>
          </cell>
          <cell r="V1407">
            <v>3</v>
          </cell>
          <cell r="W1407">
            <v>0</v>
          </cell>
          <cell r="X1407">
            <v>0</v>
          </cell>
          <cell r="Y1407">
            <v>0</v>
          </cell>
          <cell r="Z1407">
            <v>0</v>
          </cell>
          <cell r="AA1407">
            <v>9</v>
          </cell>
          <cell r="AB1407">
            <v>0.30769230769230771</v>
          </cell>
          <cell r="AC1407">
            <v>0.63636363636363635</v>
          </cell>
          <cell r="AD1407">
            <v>27</v>
          </cell>
        </row>
        <row r="1408">
          <cell r="A1408">
            <v>54</v>
          </cell>
          <cell r="B1408">
            <v>3</v>
          </cell>
          <cell r="C1408">
            <v>3</v>
          </cell>
          <cell r="D1408">
            <v>4440</v>
          </cell>
          <cell r="E1408">
            <v>6</v>
          </cell>
          <cell r="F1408">
            <v>19</v>
          </cell>
          <cell r="G1408">
            <v>3</v>
          </cell>
          <cell r="H1408">
            <v>0</v>
          </cell>
          <cell r="I1408">
            <v>9</v>
          </cell>
          <cell r="J1408">
            <v>3</v>
          </cell>
          <cell r="K1408">
            <v>5</v>
          </cell>
          <cell r="L1408">
            <v>2</v>
          </cell>
          <cell r="M1408">
            <v>1</v>
          </cell>
          <cell r="N1408">
            <v>1</v>
          </cell>
          <cell r="O1408">
            <v>0</v>
          </cell>
          <cell r="P1408">
            <v>0</v>
          </cell>
          <cell r="Q1408">
            <v>1</v>
          </cell>
          <cell r="R1408">
            <v>0</v>
          </cell>
          <cell r="S1408">
            <v>0</v>
          </cell>
          <cell r="T1408">
            <v>0</v>
          </cell>
          <cell r="U1408">
            <v>0</v>
          </cell>
          <cell r="V1408">
            <v>3</v>
          </cell>
          <cell r="W1408">
            <v>0</v>
          </cell>
          <cell r="X1408">
            <v>0</v>
          </cell>
          <cell r="Y1408">
            <v>0</v>
          </cell>
          <cell r="Z1408">
            <v>0</v>
          </cell>
          <cell r="AA1408">
            <v>3</v>
          </cell>
          <cell r="AB1408">
            <v>0.66666666666666663</v>
          </cell>
          <cell r="AC1408">
            <v>0.4</v>
          </cell>
          <cell r="AD1408">
            <v>12</v>
          </cell>
        </row>
        <row r="1409">
          <cell r="A1409">
            <v>24</v>
          </cell>
          <cell r="B1409">
            <v>2</v>
          </cell>
          <cell r="C1409">
            <v>2</v>
          </cell>
          <cell r="D1409">
            <v>4617</v>
          </cell>
          <cell r="E1409">
            <v>1</v>
          </cell>
          <cell r="F1409">
            <v>12</v>
          </cell>
          <cell r="G1409">
            <v>3</v>
          </cell>
          <cell r="H1409">
            <v>0</v>
          </cell>
          <cell r="I1409">
            <v>4</v>
          </cell>
          <cell r="J1409">
            <v>2</v>
          </cell>
          <cell r="K1409">
            <v>4</v>
          </cell>
          <cell r="L1409">
            <v>3</v>
          </cell>
          <cell r="M1409">
            <v>0</v>
          </cell>
          <cell r="N1409">
            <v>0</v>
          </cell>
          <cell r="O1409">
            <v>1</v>
          </cell>
          <cell r="P1409">
            <v>0</v>
          </cell>
          <cell r="Q1409">
            <v>0</v>
          </cell>
          <cell r="R1409">
            <v>0</v>
          </cell>
          <cell r="S1409">
            <v>0</v>
          </cell>
          <cell r="T1409">
            <v>2</v>
          </cell>
          <cell r="U1409">
            <v>0</v>
          </cell>
          <cell r="V1409">
            <v>0</v>
          </cell>
          <cell r="W1409">
            <v>0</v>
          </cell>
          <cell r="X1409">
            <v>0</v>
          </cell>
          <cell r="Y1409">
            <v>0</v>
          </cell>
          <cell r="Z1409">
            <v>0</v>
          </cell>
          <cell r="AA1409">
            <v>6</v>
          </cell>
          <cell r="AB1409">
            <v>0.25</v>
          </cell>
          <cell r="AC1409">
            <v>0.75</v>
          </cell>
          <cell r="AD1409">
            <v>12</v>
          </cell>
        </row>
        <row r="1410">
          <cell r="A1410">
            <v>23</v>
          </cell>
          <cell r="B1410">
            <v>2</v>
          </cell>
          <cell r="C1410">
            <v>3</v>
          </cell>
          <cell r="D1410">
            <v>2647</v>
          </cell>
          <cell r="E1410">
            <v>1</v>
          </cell>
          <cell r="F1410">
            <v>13</v>
          </cell>
          <cell r="G1410">
            <v>3</v>
          </cell>
          <cell r="H1410">
            <v>0</v>
          </cell>
          <cell r="I1410">
            <v>5</v>
          </cell>
          <cell r="J1410">
            <v>6</v>
          </cell>
          <cell r="K1410">
            <v>5</v>
          </cell>
          <cell r="L1410">
            <v>2</v>
          </cell>
          <cell r="M1410">
            <v>0</v>
          </cell>
          <cell r="N1410">
            <v>0</v>
          </cell>
          <cell r="O1410">
            <v>0</v>
          </cell>
          <cell r="P1410">
            <v>0</v>
          </cell>
          <cell r="Q1410">
            <v>0</v>
          </cell>
          <cell r="R1410">
            <v>1</v>
          </cell>
          <cell r="S1410">
            <v>0</v>
          </cell>
          <cell r="T1410">
            <v>0</v>
          </cell>
          <cell r="U1410">
            <v>0</v>
          </cell>
          <cell r="V1410">
            <v>0</v>
          </cell>
          <cell r="W1410">
            <v>2</v>
          </cell>
          <cell r="X1410">
            <v>0</v>
          </cell>
          <cell r="Y1410">
            <v>0</v>
          </cell>
          <cell r="Z1410">
            <v>0</v>
          </cell>
          <cell r="AA1410">
            <v>16</v>
          </cell>
          <cell r="AB1410">
            <v>0.2</v>
          </cell>
          <cell r="AC1410">
            <v>0.4</v>
          </cell>
          <cell r="AD1410">
            <v>48</v>
          </cell>
        </row>
        <row r="1411">
          <cell r="A1411">
            <v>40</v>
          </cell>
          <cell r="B1411">
            <v>3</v>
          </cell>
          <cell r="C1411">
            <v>3</v>
          </cell>
          <cell r="D1411">
            <v>6323</v>
          </cell>
          <cell r="E1411">
            <v>1</v>
          </cell>
          <cell r="F1411">
            <v>11</v>
          </cell>
          <cell r="G1411">
            <v>3</v>
          </cell>
          <cell r="H1411">
            <v>1</v>
          </cell>
          <cell r="I1411">
            <v>10</v>
          </cell>
          <cell r="J1411">
            <v>2</v>
          </cell>
          <cell r="K1411">
            <v>10</v>
          </cell>
          <cell r="L1411">
            <v>9</v>
          </cell>
          <cell r="M1411">
            <v>0</v>
          </cell>
          <cell r="N1411">
            <v>1</v>
          </cell>
          <cell r="O1411">
            <v>0</v>
          </cell>
          <cell r="P1411">
            <v>0</v>
          </cell>
          <cell r="Q1411">
            <v>0</v>
          </cell>
          <cell r="R1411">
            <v>0</v>
          </cell>
          <cell r="S1411">
            <v>1</v>
          </cell>
          <cell r="T1411">
            <v>0</v>
          </cell>
          <cell r="U1411">
            <v>0</v>
          </cell>
          <cell r="V1411">
            <v>0</v>
          </cell>
          <cell r="W1411">
            <v>0</v>
          </cell>
          <cell r="X1411">
            <v>3</v>
          </cell>
          <cell r="Y1411">
            <v>1</v>
          </cell>
          <cell r="Z1411">
            <v>0</v>
          </cell>
          <cell r="AA1411">
            <v>12</v>
          </cell>
          <cell r="AB1411">
            <v>0.1</v>
          </cell>
          <cell r="AC1411">
            <v>0.9</v>
          </cell>
          <cell r="AD1411">
            <v>12</v>
          </cell>
        </row>
        <row r="1412">
          <cell r="A1412">
            <v>40</v>
          </cell>
          <cell r="B1412">
            <v>2</v>
          </cell>
          <cell r="C1412">
            <v>3</v>
          </cell>
          <cell r="D1412">
            <v>5677</v>
          </cell>
          <cell r="E1412">
            <v>3</v>
          </cell>
          <cell r="F1412">
            <v>14</v>
          </cell>
          <cell r="G1412">
            <v>3</v>
          </cell>
          <cell r="H1412">
            <v>1</v>
          </cell>
          <cell r="I1412">
            <v>15</v>
          </cell>
          <cell r="J1412">
            <v>4</v>
          </cell>
          <cell r="K1412">
            <v>11</v>
          </cell>
          <cell r="L1412">
            <v>8</v>
          </cell>
          <cell r="M1412">
            <v>0</v>
          </cell>
          <cell r="N1412">
            <v>1</v>
          </cell>
          <cell r="O1412">
            <v>0</v>
          </cell>
          <cell r="P1412">
            <v>1</v>
          </cell>
          <cell r="Q1412">
            <v>0</v>
          </cell>
          <cell r="R1412">
            <v>0</v>
          </cell>
          <cell r="S1412">
            <v>0</v>
          </cell>
          <cell r="T1412">
            <v>0</v>
          </cell>
          <cell r="U1412">
            <v>2</v>
          </cell>
          <cell r="V1412">
            <v>0</v>
          </cell>
          <cell r="W1412">
            <v>0</v>
          </cell>
          <cell r="X1412">
            <v>0</v>
          </cell>
          <cell r="Y1412">
            <v>0</v>
          </cell>
          <cell r="Z1412">
            <v>0</v>
          </cell>
          <cell r="AA1412">
            <v>4</v>
          </cell>
          <cell r="AB1412">
            <v>0.2</v>
          </cell>
          <cell r="AC1412">
            <v>0.72727272727272729</v>
          </cell>
          <cell r="AD1412">
            <v>12</v>
          </cell>
        </row>
        <row r="1413">
          <cell r="A1413">
            <v>25</v>
          </cell>
          <cell r="B1413">
            <v>3</v>
          </cell>
          <cell r="C1413">
            <v>3</v>
          </cell>
          <cell r="D1413">
            <v>2187</v>
          </cell>
          <cell r="E1413">
            <v>4</v>
          </cell>
          <cell r="F1413">
            <v>14</v>
          </cell>
          <cell r="G1413">
            <v>3</v>
          </cell>
          <cell r="H1413">
            <v>0</v>
          </cell>
          <cell r="I1413">
            <v>6</v>
          </cell>
          <cell r="J1413">
            <v>3</v>
          </cell>
          <cell r="K1413">
            <v>2</v>
          </cell>
          <cell r="L1413">
            <v>0</v>
          </cell>
          <cell r="M1413">
            <v>0</v>
          </cell>
          <cell r="N1413">
            <v>1</v>
          </cell>
          <cell r="O1413">
            <v>0</v>
          </cell>
          <cell r="P1413">
            <v>0</v>
          </cell>
          <cell r="Q1413">
            <v>0</v>
          </cell>
          <cell r="R1413">
            <v>0</v>
          </cell>
          <cell r="S1413">
            <v>0</v>
          </cell>
          <cell r="T1413">
            <v>0</v>
          </cell>
          <cell r="U1413">
            <v>0</v>
          </cell>
          <cell r="V1413">
            <v>0</v>
          </cell>
          <cell r="W1413">
            <v>0</v>
          </cell>
          <cell r="X1413">
            <v>0</v>
          </cell>
          <cell r="Y1413">
            <v>0</v>
          </cell>
          <cell r="Z1413">
            <v>0</v>
          </cell>
          <cell r="AA1413">
            <v>6</v>
          </cell>
          <cell r="AB1413">
            <v>0.66666666666666663</v>
          </cell>
          <cell r="AC1413">
            <v>0</v>
          </cell>
          <cell r="AD1413">
            <v>18</v>
          </cell>
        </row>
        <row r="1414">
          <cell r="A1414">
            <v>30</v>
          </cell>
          <cell r="B1414">
            <v>2</v>
          </cell>
          <cell r="C1414">
            <v>3</v>
          </cell>
          <cell r="D1414">
            <v>3748</v>
          </cell>
          <cell r="E1414">
            <v>1</v>
          </cell>
          <cell r="F1414">
            <v>13</v>
          </cell>
          <cell r="G1414">
            <v>3</v>
          </cell>
          <cell r="H1414">
            <v>0</v>
          </cell>
          <cell r="I1414">
            <v>12</v>
          </cell>
          <cell r="J1414">
            <v>6</v>
          </cell>
          <cell r="K1414">
            <v>12</v>
          </cell>
          <cell r="L1414">
            <v>8</v>
          </cell>
          <cell r="M1414">
            <v>0</v>
          </cell>
          <cell r="N1414">
            <v>0</v>
          </cell>
          <cell r="O1414">
            <v>0</v>
          </cell>
          <cell r="P1414">
            <v>0</v>
          </cell>
          <cell r="Q1414">
            <v>1</v>
          </cell>
          <cell r="R1414">
            <v>0</v>
          </cell>
          <cell r="S1414">
            <v>0</v>
          </cell>
          <cell r="T1414">
            <v>0</v>
          </cell>
          <cell r="U1414">
            <v>0</v>
          </cell>
          <cell r="V1414">
            <v>2</v>
          </cell>
          <cell r="W1414">
            <v>0</v>
          </cell>
          <cell r="X1414">
            <v>0</v>
          </cell>
          <cell r="Y1414">
            <v>0</v>
          </cell>
          <cell r="Z1414">
            <v>0</v>
          </cell>
          <cell r="AA1414">
            <v>8</v>
          </cell>
          <cell r="AB1414">
            <v>8.3333333333333329E-2</v>
          </cell>
          <cell r="AC1414">
            <v>0.66666666666666663</v>
          </cell>
          <cell r="AD1414">
            <v>24</v>
          </cell>
        </row>
        <row r="1415">
          <cell r="A1415">
            <v>25</v>
          </cell>
          <cell r="B1415">
            <v>1</v>
          </cell>
          <cell r="C1415">
            <v>3</v>
          </cell>
          <cell r="D1415">
            <v>3977</v>
          </cell>
          <cell r="E1415">
            <v>6</v>
          </cell>
          <cell r="F1415">
            <v>19</v>
          </cell>
          <cell r="G1415">
            <v>3</v>
          </cell>
          <cell r="H1415">
            <v>1</v>
          </cell>
          <cell r="I1415">
            <v>7</v>
          </cell>
          <cell r="J1415">
            <v>2</v>
          </cell>
          <cell r="K1415">
            <v>2</v>
          </cell>
          <cell r="L1415">
            <v>2</v>
          </cell>
          <cell r="M1415">
            <v>1</v>
          </cell>
          <cell r="N1415">
            <v>0</v>
          </cell>
          <cell r="O1415">
            <v>0</v>
          </cell>
          <cell r="P1415">
            <v>0</v>
          </cell>
          <cell r="Q1415">
            <v>0</v>
          </cell>
          <cell r="R1415">
            <v>1</v>
          </cell>
          <cell r="S1415">
            <v>0</v>
          </cell>
          <cell r="T1415">
            <v>0</v>
          </cell>
          <cell r="U1415">
            <v>0</v>
          </cell>
          <cell r="V1415">
            <v>0</v>
          </cell>
          <cell r="W1415">
            <v>1</v>
          </cell>
          <cell r="X1415">
            <v>0</v>
          </cell>
          <cell r="Y1415">
            <v>0</v>
          </cell>
          <cell r="Z1415">
            <v>0</v>
          </cell>
          <cell r="AA1415">
            <v>12</v>
          </cell>
          <cell r="AB1415">
            <v>0.8571428571428571</v>
          </cell>
          <cell r="AC1415">
            <v>1</v>
          </cell>
          <cell r="AD1415">
            <v>36</v>
          </cell>
        </row>
        <row r="1416">
          <cell r="A1416">
            <v>47</v>
          </cell>
          <cell r="B1416">
            <v>3</v>
          </cell>
          <cell r="C1416">
            <v>3</v>
          </cell>
          <cell r="D1416">
            <v>8633</v>
          </cell>
          <cell r="E1416">
            <v>2</v>
          </cell>
          <cell r="F1416">
            <v>23</v>
          </cell>
          <cell r="G1416">
            <v>4</v>
          </cell>
          <cell r="H1416">
            <v>0</v>
          </cell>
          <cell r="I1416">
            <v>25</v>
          </cell>
          <cell r="J1416">
            <v>3</v>
          </cell>
          <cell r="K1416">
            <v>17</v>
          </cell>
          <cell r="L1416">
            <v>14</v>
          </cell>
          <cell r="M1416">
            <v>0</v>
          </cell>
          <cell r="N1416">
            <v>0</v>
          </cell>
          <cell r="O1416">
            <v>0</v>
          </cell>
          <cell r="P1416">
            <v>0</v>
          </cell>
          <cell r="Q1416">
            <v>1</v>
          </cell>
          <cell r="R1416">
            <v>0</v>
          </cell>
          <cell r="S1416">
            <v>0</v>
          </cell>
          <cell r="T1416">
            <v>0</v>
          </cell>
          <cell r="U1416">
            <v>0</v>
          </cell>
          <cell r="V1416">
            <v>3</v>
          </cell>
          <cell r="W1416">
            <v>0</v>
          </cell>
          <cell r="X1416">
            <v>0</v>
          </cell>
          <cell r="Y1416">
            <v>0</v>
          </cell>
          <cell r="Z1416">
            <v>0</v>
          </cell>
          <cell r="AA1416">
            <v>3</v>
          </cell>
          <cell r="AB1416">
            <v>0.08</v>
          </cell>
          <cell r="AC1416">
            <v>0.82352941176470584</v>
          </cell>
          <cell r="AD1416">
            <v>6</v>
          </cell>
        </row>
        <row r="1417">
          <cell r="A1417">
            <v>33</v>
          </cell>
          <cell r="B1417">
            <v>2</v>
          </cell>
          <cell r="C1417">
            <v>2</v>
          </cell>
          <cell r="D1417">
            <v>2008</v>
          </cell>
          <cell r="E1417">
            <v>1</v>
          </cell>
          <cell r="F1417">
            <v>12</v>
          </cell>
          <cell r="G1417">
            <v>3</v>
          </cell>
          <cell r="H1417">
            <v>3</v>
          </cell>
          <cell r="I1417">
            <v>1</v>
          </cell>
          <cell r="J1417">
            <v>2</v>
          </cell>
          <cell r="K1417">
            <v>1</v>
          </cell>
          <cell r="L1417">
            <v>1</v>
          </cell>
          <cell r="M1417">
            <v>0</v>
          </cell>
          <cell r="N1417">
            <v>0</v>
          </cell>
          <cell r="O1417">
            <v>0</v>
          </cell>
          <cell r="P1417">
            <v>0</v>
          </cell>
          <cell r="Q1417">
            <v>1</v>
          </cell>
          <cell r="R1417">
            <v>0</v>
          </cell>
          <cell r="S1417">
            <v>0</v>
          </cell>
          <cell r="T1417">
            <v>0</v>
          </cell>
          <cell r="U1417">
            <v>0</v>
          </cell>
          <cell r="V1417">
            <v>2</v>
          </cell>
          <cell r="W1417">
            <v>0</v>
          </cell>
          <cell r="X1417">
            <v>0</v>
          </cell>
          <cell r="Y1417">
            <v>0</v>
          </cell>
          <cell r="Z1417">
            <v>0</v>
          </cell>
          <cell r="AA1417">
            <v>6</v>
          </cell>
          <cell r="AB1417">
            <v>1</v>
          </cell>
          <cell r="AC1417">
            <v>1</v>
          </cell>
          <cell r="AD1417">
            <v>18</v>
          </cell>
        </row>
        <row r="1418">
          <cell r="A1418">
            <v>38</v>
          </cell>
          <cell r="B1418">
            <v>4</v>
          </cell>
          <cell r="C1418">
            <v>3</v>
          </cell>
          <cell r="D1418">
            <v>4440</v>
          </cell>
          <cell r="E1418">
            <v>0</v>
          </cell>
          <cell r="F1418">
            <v>15</v>
          </cell>
          <cell r="G1418">
            <v>3</v>
          </cell>
          <cell r="H1418">
            <v>2</v>
          </cell>
          <cell r="I1418">
            <v>16</v>
          </cell>
          <cell r="J1418">
            <v>3</v>
          </cell>
          <cell r="K1418">
            <v>15</v>
          </cell>
          <cell r="L1418">
            <v>13</v>
          </cell>
          <cell r="M1418">
            <v>0</v>
          </cell>
          <cell r="N1418">
            <v>0</v>
          </cell>
          <cell r="O1418">
            <v>1</v>
          </cell>
          <cell r="P1418">
            <v>0</v>
          </cell>
          <cell r="Q1418">
            <v>0</v>
          </cell>
          <cell r="R1418">
            <v>0</v>
          </cell>
          <cell r="S1418">
            <v>0</v>
          </cell>
          <cell r="T1418">
            <v>4</v>
          </cell>
          <cell r="U1418">
            <v>0</v>
          </cell>
          <cell r="V1418">
            <v>0</v>
          </cell>
          <cell r="W1418">
            <v>0</v>
          </cell>
          <cell r="X1418">
            <v>0</v>
          </cell>
          <cell r="Y1418">
            <v>0</v>
          </cell>
          <cell r="Z1418">
            <v>0</v>
          </cell>
          <cell r="AA1418">
            <v>8</v>
          </cell>
          <cell r="AB1418">
            <v>0</v>
          </cell>
          <cell r="AC1418">
            <v>0.8666666666666667</v>
          </cell>
          <cell r="AD1418">
            <v>8</v>
          </cell>
        </row>
        <row r="1419">
          <cell r="A1419">
            <v>31</v>
          </cell>
          <cell r="B1419">
            <v>2</v>
          </cell>
          <cell r="C1419">
            <v>3</v>
          </cell>
          <cell r="D1419">
            <v>3067</v>
          </cell>
          <cell r="E1419">
            <v>0</v>
          </cell>
          <cell r="F1419">
            <v>19</v>
          </cell>
          <cell r="G1419">
            <v>3</v>
          </cell>
          <cell r="H1419">
            <v>1</v>
          </cell>
          <cell r="I1419">
            <v>3</v>
          </cell>
          <cell r="J1419">
            <v>1</v>
          </cell>
          <cell r="K1419">
            <v>2</v>
          </cell>
          <cell r="L1419">
            <v>2</v>
          </cell>
          <cell r="M1419">
            <v>0</v>
          </cell>
          <cell r="N1419">
            <v>0</v>
          </cell>
          <cell r="O1419">
            <v>1</v>
          </cell>
          <cell r="P1419">
            <v>0</v>
          </cell>
          <cell r="Q1419">
            <v>0</v>
          </cell>
          <cell r="R1419">
            <v>0</v>
          </cell>
          <cell r="S1419">
            <v>0</v>
          </cell>
          <cell r="T1419">
            <v>2</v>
          </cell>
          <cell r="U1419">
            <v>0</v>
          </cell>
          <cell r="V1419">
            <v>0</v>
          </cell>
          <cell r="W1419">
            <v>0</v>
          </cell>
          <cell r="X1419">
            <v>0</v>
          </cell>
          <cell r="Y1419">
            <v>0</v>
          </cell>
          <cell r="Z1419">
            <v>0</v>
          </cell>
          <cell r="AA1419">
            <v>3</v>
          </cell>
          <cell r="AB1419">
            <v>0</v>
          </cell>
          <cell r="AC1419">
            <v>1</v>
          </cell>
          <cell r="AD1419">
            <v>9</v>
          </cell>
        </row>
        <row r="1420">
          <cell r="A1420">
            <v>38</v>
          </cell>
          <cell r="B1420">
            <v>4</v>
          </cell>
          <cell r="C1420">
            <v>2</v>
          </cell>
          <cell r="D1420">
            <v>5321</v>
          </cell>
          <cell r="E1420">
            <v>2</v>
          </cell>
          <cell r="F1420">
            <v>11</v>
          </cell>
          <cell r="G1420">
            <v>3</v>
          </cell>
          <cell r="H1420">
            <v>1</v>
          </cell>
          <cell r="I1420">
            <v>10</v>
          </cell>
          <cell r="J1420">
            <v>1</v>
          </cell>
          <cell r="K1420">
            <v>8</v>
          </cell>
          <cell r="L1420">
            <v>3</v>
          </cell>
          <cell r="M1420">
            <v>0</v>
          </cell>
          <cell r="N1420">
            <v>0</v>
          </cell>
          <cell r="O1420">
            <v>1</v>
          </cell>
          <cell r="P1420">
            <v>0</v>
          </cell>
          <cell r="Q1420">
            <v>0</v>
          </cell>
          <cell r="R1420">
            <v>0</v>
          </cell>
          <cell r="S1420">
            <v>0</v>
          </cell>
          <cell r="T1420">
            <v>4</v>
          </cell>
          <cell r="U1420">
            <v>0</v>
          </cell>
          <cell r="V1420">
            <v>0</v>
          </cell>
          <cell r="W1420">
            <v>0</v>
          </cell>
          <cell r="X1420">
            <v>0</v>
          </cell>
          <cell r="Y1420">
            <v>1</v>
          </cell>
          <cell r="Z1420">
            <v>0</v>
          </cell>
          <cell r="AA1420">
            <v>3</v>
          </cell>
          <cell r="AB1420">
            <v>0.2</v>
          </cell>
          <cell r="AC1420">
            <v>0.375</v>
          </cell>
          <cell r="AD1420">
            <v>12</v>
          </cell>
        </row>
        <row r="1421">
          <cell r="A1421">
            <v>42</v>
          </cell>
          <cell r="B1421">
            <v>4</v>
          </cell>
          <cell r="C1421">
            <v>3</v>
          </cell>
          <cell r="D1421">
            <v>5410</v>
          </cell>
          <cell r="E1421">
            <v>6</v>
          </cell>
          <cell r="F1421">
            <v>17</v>
          </cell>
          <cell r="G1421">
            <v>3</v>
          </cell>
          <cell r="H1421">
            <v>1</v>
          </cell>
          <cell r="I1421">
            <v>9</v>
          </cell>
          <cell r="J1421">
            <v>3</v>
          </cell>
          <cell r="K1421">
            <v>4</v>
          </cell>
          <cell r="L1421">
            <v>3</v>
          </cell>
          <cell r="M1421">
            <v>1</v>
          </cell>
          <cell r="N1421">
            <v>0</v>
          </cell>
          <cell r="O1421">
            <v>1</v>
          </cell>
          <cell r="P1421">
            <v>0</v>
          </cell>
          <cell r="Q1421">
            <v>0</v>
          </cell>
          <cell r="R1421">
            <v>0</v>
          </cell>
          <cell r="S1421">
            <v>0</v>
          </cell>
          <cell r="T1421">
            <v>4</v>
          </cell>
          <cell r="U1421">
            <v>0</v>
          </cell>
          <cell r="V1421">
            <v>0</v>
          </cell>
          <cell r="W1421">
            <v>0</v>
          </cell>
          <cell r="X1421">
            <v>0</v>
          </cell>
          <cell r="Y1421">
            <v>0</v>
          </cell>
          <cell r="Z1421">
            <v>0</v>
          </cell>
          <cell r="AA1421">
            <v>4</v>
          </cell>
          <cell r="AB1421">
            <v>0.66666666666666663</v>
          </cell>
          <cell r="AC1421">
            <v>0.75</v>
          </cell>
          <cell r="AD1421">
            <v>12</v>
          </cell>
        </row>
        <row r="1422">
          <cell r="A1422">
            <v>41</v>
          </cell>
          <cell r="B1422">
            <v>3</v>
          </cell>
          <cell r="C1422">
            <v>3</v>
          </cell>
          <cell r="D1422">
            <v>2782</v>
          </cell>
          <cell r="E1422">
            <v>3</v>
          </cell>
          <cell r="F1422">
            <v>22</v>
          </cell>
          <cell r="G1422">
            <v>4</v>
          </cell>
          <cell r="H1422">
            <v>1</v>
          </cell>
          <cell r="I1422">
            <v>12</v>
          </cell>
          <cell r="J1422">
            <v>3</v>
          </cell>
          <cell r="K1422">
            <v>5</v>
          </cell>
          <cell r="L1422">
            <v>3</v>
          </cell>
          <cell r="M1422">
            <v>0</v>
          </cell>
          <cell r="N1422">
            <v>0</v>
          </cell>
          <cell r="O1422">
            <v>1</v>
          </cell>
          <cell r="P1422">
            <v>0</v>
          </cell>
          <cell r="Q1422">
            <v>0</v>
          </cell>
          <cell r="R1422">
            <v>0</v>
          </cell>
          <cell r="S1422">
            <v>0</v>
          </cell>
          <cell r="T1422">
            <v>3</v>
          </cell>
          <cell r="U1422">
            <v>0</v>
          </cell>
          <cell r="V1422">
            <v>0</v>
          </cell>
          <cell r="W1422">
            <v>0</v>
          </cell>
          <cell r="X1422">
            <v>0</v>
          </cell>
          <cell r="Y1422">
            <v>0</v>
          </cell>
          <cell r="Z1422">
            <v>0</v>
          </cell>
          <cell r="AA1422">
            <v>16</v>
          </cell>
          <cell r="AB1422">
            <v>0.25</v>
          </cell>
          <cell r="AC1422">
            <v>0.6</v>
          </cell>
          <cell r="AD1422">
            <v>16</v>
          </cell>
        </row>
        <row r="1423">
          <cell r="A1423">
            <v>47</v>
          </cell>
          <cell r="B1423">
            <v>1</v>
          </cell>
          <cell r="C1423">
            <v>3</v>
          </cell>
          <cell r="D1423">
            <v>11957</v>
          </cell>
          <cell r="E1423">
            <v>0</v>
          </cell>
          <cell r="F1423">
            <v>18</v>
          </cell>
          <cell r="G1423">
            <v>3</v>
          </cell>
          <cell r="H1423">
            <v>2</v>
          </cell>
          <cell r="I1423">
            <v>14</v>
          </cell>
          <cell r="J1423">
            <v>3</v>
          </cell>
          <cell r="K1423">
            <v>13</v>
          </cell>
          <cell r="L1423">
            <v>8</v>
          </cell>
          <cell r="M1423">
            <v>0</v>
          </cell>
          <cell r="N1423">
            <v>1</v>
          </cell>
          <cell r="O1423">
            <v>0</v>
          </cell>
          <cell r="P1423">
            <v>0</v>
          </cell>
          <cell r="Q1423">
            <v>1</v>
          </cell>
          <cell r="R1423">
            <v>0</v>
          </cell>
          <cell r="S1423">
            <v>0</v>
          </cell>
          <cell r="T1423">
            <v>0</v>
          </cell>
          <cell r="U1423">
            <v>0</v>
          </cell>
          <cell r="V1423">
            <v>1</v>
          </cell>
          <cell r="W1423">
            <v>0</v>
          </cell>
          <cell r="X1423">
            <v>0</v>
          </cell>
          <cell r="Y1423">
            <v>0</v>
          </cell>
          <cell r="Z1423">
            <v>0</v>
          </cell>
          <cell r="AA1423">
            <v>6</v>
          </cell>
          <cell r="AB1423">
            <v>0</v>
          </cell>
          <cell r="AC1423">
            <v>0.61538461538461542</v>
          </cell>
          <cell r="AD1423">
            <v>6</v>
          </cell>
        </row>
        <row r="1424">
          <cell r="A1424">
            <v>35</v>
          </cell>
          <cell r="B1424">
            <v>4</v>
          </cell>
          <cell r="C1424">
            <v>3</v>
          </cell>
          <cell r="D1424">
            <v>2660</v>
          </cell>
          <cell r="E1424">
            <v>7</v>
          </cell>
          <cell r="F1424">
            <v>11</v>
          </cell>
          <cell r="G1424">
            <v>3</v>
          </cell>
          <cell r="H1424">
            <v>1</v>
          </cell>
          <cell r="I1424">
            <v>5</v>
          </cell>
          <cell r="J1424">
            <v>3</v>
          </cell>
          <cell r="K1424">
            <v>2</v>
          </cell>
          <cell r="L1424">
            <v>2</v>
          </cell>
          <cell r="M1424">
            <v>1</v>
          </cell>
          <cell r="N1424">
            <v>0</v>
          </cell>
          <cell r="O1424">
            <v>0</v>
          </cell>
          <cell r="P1424">
            <v>0</v>
          </cell>
          <cell r="Q1424">
            <v>1</v>
          </cell>
          <cell r="R1424">
            <v>0</v>
          </cell>
          <cell r="S1424">
            <v>0</v>
          </cell>
          <cell r="T1424">
            <v>0</v>
          </cell>
          <cell r="U1424">
            <v>0</v>
          </cell>
          <cell r="V1424">
            <v>4</v>
          </cell>
          <cell r="W1424">
            <v>0</v>
          </cell>
          <cell r="X1424">
            <v>0</v>
          </cell>
          <cell r="Y1424">
            <v>0</v>
          </cell>
          <cell r="Z1424">
            <v>1</v>
          </cell>
          <cell r="AA1424">
            <v>12</v>
          </cell>
          <cell r="AB1424">
            <v>1.4</v>
          </cell>
          <cell r="AC1424">
            <v>1</v>
          </cell>
          <cell r="AD1424">
            <v>36</v>
          </cell>
        </row>
        <row r="1425">
          <cell r="A1425">
            <v>22</v>
          </cell>
          <cell r="B1425">
            <v>2</v>
          </cell>
          <cell r="C1425">
            <v>3</v>
          </cell>
          <cell r="D1425">
            <v>3375</v>
          </cell>
          <cell r="E1425">
            <v>0</v>
          </cell>
          <cell r="F1425">
            <v>12</v>
          </cell>
          <cell r="G1425">
            <v>3</v>
          </cell>
          <cell r="H1425">
            <v>0</v>
          </cell>
          <cell r="I1425">
            <v>4</v>
          </cell>
          <cell r="J1425">
            <v>2</v>
          </cell>
          <cell r="K1425">
            <v>3</v>
          </cell>
          <cell r="L1425">
            <v>2</v>
          </cell>
          <cell r="M1425">
            <v>0</v>
          </cell>
          <cell r="N1425">
            <v>0</v>
          </cell>
          <cell r="O1425">
            <v>1</v>
          </cell>
          <cell r="P1425">
            <v>0</v>
          </cell>
          <cell r="Q1425">
            <v>0</v>
          </cell>
          <cell r="R1425">
            <v>0</v>
          </cell>
          <cell r="S1425">
            <v>0</v>
          </cell>
          <cell r="T1425">
            <v>2</v>
          </cell>
          <cell r="U1425">
            <v>0</v>
          </cell>
          <cell r="V1425">
            <v>0</v>
          </cell>
          <cell r="W1425">
            <v>0</v>
          </cell>
          <cell r="X1425">
            <v>0</v>
          </cell>
          <cell r="Y1425">
            <v>0</v>
          </cell>
          <cell r="Z1425">
            <v>0</v>
          </cell>
          <cell r="AA1425">
            <v>12</v>
          </cell>
          <cell r="AB1425">
            <v>0</v>
          </cell>
          <cell r="AC1425">
            <v>0.66666666666666663</v>
          </cell>
          <cell r="AD1425">
            <v>48</v>
          </cell>
        </row>
        <row r="1426">
          <cell r="A1426">
            <v>35</v>
          </cell>
          <cell r="B1426">
            <v>4</v>
          </cell>
          <cell r="C1426">
            <v>3</v>
          </cell>
          <cell r="D1426">
            <v>5098</v>
          </cell>
          <cell r="E1426">
            <v>1</v>
          </cell>
          <cell r="F1426">
            <v>19</v>
          </cell>
          <cell r="G1426">
            <v>3</v>
          </cell>
          <cell r="H1426">
            <v>0</v>
          </cell>
          <cell r="I1426">
            <v>10</v>
          </cell>
          <cell r="J1426">
            <v>5</v>
          </cell>
          <cell r="K1426">
            <v>10</v>
          </cell>
          <cell r="L1426">
            <v>7</v>
          </cell>
          <cell r="M1426">
            <v>0</v>
          </cell>
          <cell r="N1426">
            <v>0</v>
          </cell>
          <cell r="O1426">
            <v>0</v>
          </cell>
          <cell r="P1426">
            <v>0</v>
          </cell>
          <cell r="Q1426">
            <v>1</v>
          </cell>
          <cell r="R1426">
            <v>0</v>
          </cell>
          <cell r="S1426">
            <v>0</v>
          </cell>
          <cell r="T1426">
            <v>0</v>
          </cell>
          <cell r="U1426">
            <v>0</v>
          </cell>
          <cell r="V1426">
            <v>4</v>
          </cell>
          <cell r="W1426">
            <v>0</v>
          </cell>
          <cell r="X1426">
            <v>0</v>
          </cell>
          <cell r="Y1426">
            <v>0</v>
          </cell>
          <cell r="Z1426">
            <v>0</v>
          </cell>
          <cell r="AA1426">
            <v>6</v>
          </cell>
          <cell r="AB1426">
            <v>0.1</v>
          </cell>
          <cell r="AC1426">
            <v>0.7</v>
          </cell>
          <cell r="AD1426">
            <v>12</v>
          </cell>
        </row>
        <row r="1427">
          <cell r="A1427">
            <v>33</v>
          </cell>
          <cell r="B1427">
            <v>2</v>
          </cell>
          <cell r="C1427">
            <v>3</v>
          </cell>
          <cell r="D1427">
            <v>4878</v>
          </cell>
          <cell r="E1427">
            <v>0</v>
          </cell>
          <cell r="F1427">
            <v>13</v>
          </cell>
          <cell r="G1427">
            <v>3</v>
          </cell>
          <cell r="H1427">
            <v>1</v>
          </cell>
          <cell r="I1427">
            <v>10</v>
          </cell>
          <cell r="J1427">
            <v>6</v>
          </cell>
          <cell r="K1427">
            <v>9</v>
          </cell>
          <cell r="L1427">
            <v>7</v>
          </cell>
          <cell r="M1427">
            <v>1</v>
          </cell>
          <cell r="N1427">
            <v>1</v>
          </cell>
          <cell r="O1427">
            <v>0</v>
          </cell>
          <cell r="P1427">
            <v>0</v>
          </cell>
          <cell r="Q1427">
            <v>1</v>
          </cell>
          <cell r="R1427">
            <v>0</v>
          </cell>
          <cell r="S1427">
            <v>0</v>
          </cell>
          <cell r="T1427">
            <v>0</v>
          </cell>
          <cell r="U1427">
            <v>0</v>
          </cell>
          <cell r="V1427">
            <v>2</v>
          </cell>
          <cell r="W1427">
            <v>0</v>
          </cell>
          <cell r="X1427">
            <v>0</v>
          </cell>
          <cell r="Y1427">
            <v>0</v>
          </cell>
          <cell r="Z1427">
            <v>1</v>
          </cell>
          <cell r="AA1427">
            <v>8</v>
          </cell>
          <cell r="AB1427">
            <v>0</v>
          </cell>
          <cell r="AC1427">
            <v>0.77777777777777779</v>
          </cell>
          <cell r="AD1427">
            <v>8</v>
          </cell>
        </row>
        <row r="1428">
          <cell r="A1428">
            <v>32</v>
          </cell>
          <cell r="B1428">
            <v>4</v>
          </cell>
          <cell r="C1428">
            <v>2</v>
          </cell>
          <cell r="D1428">
            <v>2837</v>
          </cell>
          <cell r="E1428">
            <v>1</v>
          </cell>
          <cell r="F1428">
            <v>13</v>
          </cell>
          <cell r="G1428">
            <v>3</v>
          </cell>
          <cell r="H1428">
            <v>0</v>
          </cell>
          <cell r="I1428">
            <v>6</v>
          </cell>
          <cell r="J1428">
            <v>3</v>
          </cell>
          <cell r="K1428">
            <v>6</v>
          </cell>
          <cell r="L1428">
            <v>2</v>
          </cell>
          <cell r="M1428">
            <v>0</v>
          </cell>
          <cell r="N1428">
            <v>1</v>
          </cell>
          <cell r="O1428">
            <v>1</v>
          </cell>
          <cell r="P1428">
            <v>0</v>
          </cell>
          <cell r="Q1428">
            <v>0</v>
          </cell>
          <cell r="R1428">
            <v>0</v>
          </cell>
          <cell r="S1428">
            <v>0</v>
          </cell>
          <cell r="T1428">
            <v>4</v>
          </cell>
          <cell r="U1428">
            <v>0</v>
          </cell>
          <cell r="V1428">
            <v>0</v>
          </cell>
          <cell r="W1428">
            <v>0</v>
          </cell>
          <cell r="X1428">
            <v>0</v>
          </cell>
          <cell r="Y1428">
            <v>0</v>
          </cell>
          <cell r="Z1428">
            <v>0</v>
          </cell>
          <cell r="AA1428">
            <v>6</v>
          </cell>
          <cell r="AB1428">
            <v>0.16666666666666666</v>
          </cell>
          <cell r="AC1428">
            <v>0.33333333333333331</v>
          </cell>
          <cell r="AD1428">
            <v>18</v>
          </cell>
        </row>
        <row r="1429">
          <cell r="A1429">
            <v>40</v>
          </cell>
          <cell r="B1429">
            <v>4</v>
          </cell>
          <cell r="C1429">
            <v>3</v>
          </cell>
          <cell r="D1429">
            <v>2406</v>
          </cell>
          <cell r="E1429">
            <v>8</v>
          </cell>
          <cell r="F1429">
            <v>19</v>
          </cell>
          <cell r="G1429">
            <v>3</v>
          </cell>
          <cell r="H1429">
            <v>2</v>
          </cell>
          <cell r="I1429">
            <v>8</v>
          </cell>
          <cell r="J1429">
            <v>3</v>
          </cell>
          <cell r="K1429">
            <v>1</v>
          </cell>
          <cell r="L1429">
            <v>0</v>
          </cell>
          <cell r="M1429">
            <v>0</v>
          </cell>
          <cell r="N1429">
            <v>0</v>
          </cell>
          <cell r="O1429">
            <v>1</v>
          </cell>
          <cell r="P1429">
            <v>0</v>
          </cell>
          <cell r="Q1429">
            <v>0</v>
          </cell>
          <cell r="R1429">
            <v>0</v>
          </cell>
          <cell r="S1429">
            <v>0</v>
          </cell>
          <cell r="T1429">
            <v>4</v>
          </cell>
          <cell r="U1429">
            <v>0</v>
          </cell>
          <cell r="V1429">
            <v>0</v>
          </cell>
          <cell r="W1429">
            <v>0</v>
          </cell>
          <cell r="X1429">
            <v>0</v>
          </cell>
          <cell r="Y1429">
            <v>0</v>
          </cell>
          <cell r="Z1429">
            <v>0</v>
          </cell>
          <cell r="AA1429">
            <v>4</v>
          </cell>
          <cell r="AB1429">
            <v>1</v>
          </cell>
          <cell r="AC1429">
            <v>0</v>
          </cell>
          <cell r="AD1429">
            <v>12</v>
          </cell>
        </row>
        <row r="1430">
          <cell r="A1430">
            <v>32</v>
          </cell>
          <cell r="B1430">
            <v>4</v>
          </cell>
          <cell r="C1430">
            <v>2</v>
          </cell>
          <cell r="D1430">
            <v>2269</v>
          </cell>
          <cell r="E1430">
            <v>0</v>
          </cell>
          <cell r="F1430">
            <v>14</v>
          </cell>
          <cell r="G1430">
            <v>3</v>
          </cell>
          <cell r="H1430">
            <v>1</v>
          </cell>
          <cell r="I1430">
            <v>3</v>
          </cell>
          <cell r="J1430">
            <v>2</v>
          </cell>
          <cell r="K1430">
            <v>2</v>
          </cell>
          <cell r="L1430">
            <v>2</v>
          </cell>
          <cell r="M1430">
            <v>0</v>
          </cell>
          <cell r="N1430">
            <v>0</v>
          </cell>
          <cell r="O1430">
            <v>0</v>
          </cell>
          <cell r="P1430">
            <v>0</v>
          </cell>
          <cell r="Q1430">
            <v>1</v>
          </cell>
          <cell r="R1430">
            <v>0</v>
          </cell>
          <cell r="S1430">
            <v>0</v>
          </cell>
          <cell r="T1430">
            <v>0</v>
          </cell>
          <cell r="U1430">
            <v>0</v>
          </cell>
          <cell r="V1430">
            <v>4</v>
          </cell>
          <cell r="W1430">
            <v>0</v>
          </cell>
          <cell r="X1430">
            <v>0</v>
          </cell>
          <cell r="Y1430">
            <v>0</v>
          </cell>
          <cell r="Z1430">
            <v>0</v>
          </cell>
          <cell r="AA1430">
            <v>4</v>
          </cell>
          <cell r="AB1430">
            <v>0</v>
          </cell>
          <cell r="AC1430">
            <v>1</v>
          </cell>
          <cell r="AD1430">
            <v>8</v>
          </cell>
        </row>
        <row r="1431">
          <cell r="A1431">
            <v>39</v>
          </cell>
          <cell r="B1431">
            <v>1</v>
          </cell>
          <cell r="C1431">
            <v>3</v>
          </cell>
          <cell r="D1431">
            <v>4108</v>
          </cell>
          <cell r="E1431">
            <v>7</v>
          </cell>
          <cell r="F1431">
            <v>13</v>
          </cell>
          <cell r="G1431">
            <v>3</v>
          </cell>
          <cell r="H1431">
            <v>0</v>
          </cell>
          <cell r="I1431">
            <v>18</v>
          </cell>
          <cell r="J1431">
            <v>2</v>
          </cell>
          <cell r="K1431">
            <v>7</v>
          </cell>
          <cell r="L1431">
            <v>7</v>
          </cell>
          <cell r="M1431">
            <v>0</v>
          </cell>
          <cell r="N1431">
            <v>0</v>
          </cell>
          <cell r="O1431">
            <v>1</v>
          </cell>
          <cell r="P1431">
            <v>0</v>
          </cell>
          <cell r="Q1431">
            <v>0</v>
          </cell>
          <cell r="R1431">
            <v>0</v>
          </cell>
          <cell r="S1431">
            <v>0</v>
          </cell>
          <cell r="T1431">
            <v>1</v>
          </cell>
          <cell r="U1431">
            <v>0</v>
          </cell>
          <cell r="V1431">
            <v>0</v>
          </cell>
          <cell r="W1431">
            <v>0</v>
          </cell>
          <cell r="X1431">
            <v>0</v>
          </cell>
          <cell r="Y1431">
            <v>0</v>
          </cell>
          <cell r="Z1431">
            <v>0</v>
          </cell>
          <cell r="AA1431">
            <v>4</v>
          </cell>
          <cell r="AB1431">
            <v>0.3888888888888889</v>
          </cell>
          <cell r="AC1431">
            <v>1</v>
          </cell>
          <cell r="AD1431">
            <v>4</v>
          </cell>
        </row>
        <row r="1432">
          <cell r="A1432">
            <v>38</v>
          </cell>
          <cell r="B1432">
            <v>3</v>
          </cell>
          <cell r="C1432">
            <v>1</v>
          </cell>
          <cell r="D1432">
            <v>13206</v>
          </cell>
          <cell r="E1432">
            <v>3</v>
          </cell>
          <cell r="F1432">
            <v>12</v>
          </cell>
          <cell r="G1432">
            <v>3</v>
          </cell>
          <cell r="H1432">
            <v>1</v>
          </cell>
          <cell r="I1432">
            <v>20</v>
          </cell>
          <cell r="J1432">
            <v>3</v>
          </cell>
          <cell r="K1432">
            <v>18</v>
          </cell>
          <cell r="L1432">
            <v>16</v>
          </cell>
          <cell r="M1432">
            <v>0</v>
          </cell>
          <cell r="N1432">
            <v>1</v>
          </cell>
          <cell r="O1432">
            <v>0</v>
          </cell>
          <cell r="P1432">
            <v>0</v>
          </cell>
          <cell r="Q1432">
            <v>1</v>
          </cell>
          <cell r="R1432">
            <v>0</v>
          </cell>
          <cell r="S1432">
            <v>0</v>
          </cell>
          <cell r="T1432">
            <v>0</v>
          </cell>
          <cell r="U1432">
            <v>0</v>
          </cell>
          <cell r="V1432">
            <v>3</v>
          </cell>
          <cell r="W1432">
            <v>0</v>
          </cell>
          <cell r="X1432">
            <v>0</v>
          </cell>
          <cell r="Y1432">
            <v>0</v>
          </cell>
          <cell r="Z1432">
            <v>0</v>
          </cell>
          <cell r="AA1432">
            <v>6</v>
          </cell>
          <cell r="AB1432">
            <v>0.15</v>
          </cell>
          <cell r="AC1432">
            <v>0.88888888888888884</v>
          </cell>
          <cell r="AD1432">
            <v>6</v>
          </cell>
        </row>
        <row r="1433">
          <cell r="A1433">
            <v>32</v>
          </cell>
          <cell r="B1433">
            <v>4</v>
          </cell>
          <cell r="C1433">
            <v>3</v>
          </cell>
          <cell r="D1433">
            <v>10422</v>
          </cell>
          <cell r="E1433">
            <v>1</v>
          </cell>
          <cell r="F1433">
            <v>19</v>
          </cell>
          <cell r="G1433">
            <v>3</v>
          </cell>
          <cell r="H1433">
            <v>2</v>
          </cell>
          <cell r="I1433">
            <v>14</v>
          </cell>
          <cell r="J1433">
            <v>3</v>
          </cell>
          <cell r="K1433">
            <v>14</v>
          </cell>
          <cell r="L1433">
            <v>10</v>
          </cell>
          <cell r="M1433">
            <v>0</v>
          </cell>
          <cell r="N1433">
            <v>1</v>
          </cell>
          <cell r="O1433">
            <v>0</v>
          </cell>
          <cell r="P1433">
            <v>1</v>
          </cell>
          <cell r="Q1433">
            <v>0</v>
          </cell>
          <cell r="R1433">
            <v>0</v>
          </cell>
          <cell r="S1433">
            <v>0</v>
          </cell>
          <cell r="T1433">
            <v>0</v>
          </cell>
          <cell r="U1433">
            <v>4</v>
          </cell>
          <cell r="V1433">
            <v>0</v>
          </cell>
          <cell r="W1433">
            <v>0</v>
          </cell>
          <cell r="X1433">
            <v>0</v>
          </cell>
          <cell r="Y1433">
            <v>0</v>
          </cell>
          <cell r="Z1433">
            <v>0</v>
          </cell>
          <cell r="AA1433">
            <v>12</v>
          </cell>
          <cell r="AB1433">
            <v>7.1428571428571425E-2</v>
          </cell>
          <cell r="AC1433">
            <v>0.7142857142857143</v>
          </cell>
          <cell r="AD1433">
            <v>36</v>
          </cell>
        </row>
        <row r="1434">
          <cell r="A1434">
            <v>37</v>
          </cell>
          <cell r="B1434">
            <v>3</v>
          </cell>
          <cell r="C1434">
            <v>4</v>
          </cell>
          <cell r="D1434">
            <v>13744</v>
          </cell>
          <cell r="E1434">
            <v>1</v>
          </cell>
          <cell r="F1434">
            <v>25</v>
          </cell>
          <cell r="G1434">
            <v>4</v>
          </cell>
          <cell r="H1434">
            <v>1</v>
          </cell>
          <cell r="I1434">
            <v>16</v>
          </cell>
          <cell r="J1434">
            <v>2</v>
          </cell>
          <cell r="K1434">
            <v>16</v>
          </cell>
          <cell r="L1434">
            <v>11</v>
          </cell>
          <cell r="M1434">
            <v>1</v>
          </cell>
          <cell r="N1434">
            <v>1</v>
          </cell>
          <cell r="O1434">
            <v>1</v>
          </cell>
          <cell r="P1434">
            <v>0</v>
          </cell>
          <cell r="Q1434">
            <v>0</v>
          </cell>
          <cell r="R1434">
            <v>0</v>
          </cell>
          <cell r="S1434">
            <v>0</v>
          </cell>
          <cell r="T1434">
            <v>3</v>
          </cell>
          <cell r="U1434">
            <v>0</v>
          </cell>
          <cell r="V1434">
            <v>0</v>
          </cell>
          <cell r="W1434">
            <v>0</v>
          </cell>
          <cell r="X1434">
            <v>0</v>
          </cell>
          <cell r="Y1434">
            <v>0</v>
          </cell>
          <cell r="Z1434">
            <v>1</v>
          </cell>
          <cell r="AA1434">
            <v>12</v>
          </cell>
          <cell r="AB1434">
            <v>6.25E-2</v>
          </cell>
          <cell r="AC1434">
            <v>0.6875</v>
          </cell>
          <cell r="AD1434">
            <v>12</v>
          </cell>
        </row>
        <row r="1435">
          <cell r="A1435">
            <v>25</v>
          </cell>
          <cell r="B1435">
            <v>2</v>
          </cell>
          <cell r="C1435">
            <v>3</v>
          </cell>
          <cell r="D1435">
            <v>4907</v>
          </cell>
          <cell r="E1435">
            <v>0</v>
          </cell>
          <cell r="F1435">
            <v>22</v>
          </cell>
          <cell r="G1435">
            <v>4</v>
          </cell>
          <cell r="H1435">
            <v>1</v>
          </cell>
          <cell r="I1435">
            <v>6</v>
          </cell>
          <cell r="J1435">
            <v>3</v>
          </cell>
          <cell r="K1435">
            <v>5</v>
          </cell>
          <cell r="L1435">
            <v>3</v>
          </cell>
          <cell r="M1435">
            <v>1</v>
          </cell>
          <cell r="N1435">
            <v>1</v>
          </cell>
          <cell r="O1435">
            <v>0</v>
          </cell>
          <cell r="P1435">
            <v>0</v>
          </cell>
          <cell r="Q1435">
            <v>0</v>
          </cell>
          <cell r="R1435">
            <v>1</v>
          </cell>
          <cell r="S1435">
            <v>0</v>
          </cell>
          <cell r="T1435">
            <v>0</v>
          </cell>
          <cell r="U1435">
            <v>0</v>
          </cell>
          <cell r="V1435">
            <v>0</v>
          </cell>
          <cell r="W1435">
            <v>2</v>
          </cell>
          <cell r="X1435">
            <v>0</v>
          </cell>
          <cell r="Y1435">
            <v>0</v>
          </cell>
          <cell r="Z1435">
            <v>0</v>
          </cell>
          <cell r="AA1435">
            <v>3</v>
          </cell>
          <cell r="AB1435">
            <v>0</v>
          </cell>
          <cell r="AC1435">
            <v>0.6</v>
          </cell>
          <cell r="AD1435">
            <v>6</v>
          </cell>
        </row>
        <row r="1436">
          <cell r="A1436">
            <v>52</v>
          </cell>
          <cell r="B1436">
            <v>4</v>
          </cell>
          <cell r="C1436">
            <v>3</v>
          </cell>
          <cell r="D1436">
            <v>3482</v>
          </cell>
          <cell r="E1436">
            <v>2</v>
          </cell>
          <cell r="F1436">
            <v>15</v>
          </cell>
          <cell r="G1436">
            <v>3</v>
          </cell>
          <cell r="H1436">
            <v>2</v>
          </cell>
          <cell r="I1436">
            <v>16</v>
          </cell>
          <cell r="J1436">
            <v>3</v>
          </cell>
          <cell r="K1436">
            <v>9</v>
          </cell>
          <cell r="L1436">
            <v>8</v>
          </cell>
          <cell r="M1436">
            <v>0</v>
          </cell>
          <cell r="N1436">
            <v>0</v>
          </cell>
          <cell r="O1436">
            <v>1</v>
          </cell>
          <cell r="P1436">
            <v>0</v>
          </cell>
          <cell r="Q1436">
            <v>0</v>
          </cell>
          <cell r="R1436">
            <v>0</v>
          </cell>
          <cell r="S1436">
            <v>0</v>
          </cell>
          <cell r="T1436">
            <v>4</v>
          </cell>
          <cell r="U1436">
            <v>0</v>
          </cell>
          <cell r="V1436">
            <v>0</v>
          </cell>
          <cell r="W1436">
            <v>0</v>
          </cell>
          <cell r="X1436">
            <v>0</v>
          </cell>
          <cell r="Y1436">
            <v>0</v>
          </cell>
          <cell r="Z1436">
            <v>0</v>
          </cell>
          <cell r="AA1436">
            <v>4</v>
          </cell>
          <cell r="AB1436">
            <v>0.125</v>
          </cell>
          <cell r="AC1436">
            <v>0.88888888888888884</v>
          </cell>
          <cell r="AD1436">
            <v>8</v>
          </cell>
        </row>
        <row r="1437">
          <cell r="A1437">
            <v>44</v>
          </cell>
          <cell r="B1437">
            <v>3</v>
          </cell>
          <cell r="C1437">
            <v>3</v>
          </cell>
          <cell r="D1437">
            <v>2436</v>
          </cell>
          <cell r="E1437">
            <v>6</v>
          </cell>
          <cell r="F1437">
            <v>12</v>
          </cell>
          <cell r="G1437">
            <v>3</v>
          </cell>
          <cell r="H1437">
            <v>0</v>
          </cell>
          <cell r="I1437">
            <v>6</v>
          </cell>
          <cell r="J1437">
            <v>2</v>
          </cell>
          <cell r="K1437">
            <v>4</v>
          </cell>
          <cell r="L1437">
            <v>3</v>
          </cell>
          <cell r="M1437">
            <v>1</v>
          </cell>
          <cell r="N1437">
            <v>0</v>
          </cell>
          <cell r="O1437">
            <v>0</v>
          </cell>
          <cell r="P1437">
            <v>0</v>
          </cell>
          <cell r="Q1437">
            <v>1</v>
          </cell>
          <cell r="R1437">
            <v>0</v>
          </cell>
          <cell r="S1437">
            <v>0</v>
          </cell>
          <cell r="T1437">
            <v>0</v>
          </cell>
          <cell r="U1437">
            <v>0</v>
          </cell>
          <cell r="V1437">
            <v>3</v>
          </cell>
          <cell r="W1437">
            <v>0</v>
          </cell>
          <cell r="X1437">
            <v>0</v>
          </cell>
          <cell r="Y1437">
            <v>0</v>
          </cell>
          <cell r="Z1437">
            <v>0</v>
          </cell>
          <cell r="AA1437">
            <v>8</v>
          </cell>
          <cell r="AB1437">
            <v>1</v>
          </cell>
          <cell r="AC1437">
            <v>0.75</v>
          </cell>
          <cell r="AD1437">
            <v>24</v>
          </cell>
        </row>
        <row r="1438">
          <cell r="A1438">
            <v>21</v>
          </cell>
          <cell r="B1438">
            <v>1</v>
          </cell>
          <cell r="C1438">
            <v>3</v>
          </cell>
          <cell r="D1438">
            <v>2380</v>
          </cell>
          <cell r="E1438">
            <v>1</v>
          </cell>
          <cell r="F1438">
            <v>11</v>
          </cell>
          <cell r="G1438">
            <v>3</v>
          </cell>
          <cell r="H1438">
            <v>0</v>
          </cell>
          <cell r="I1438">
            <v>2</v>
          </cell>
          <cell r="J1438">
            <v>6</v>
          </cell>
          <cell r="K1438">
            <v>2</v>
          </cell>
          <cell r="L1438">
            <v>2</v>
          </cell>
          <cell r="M1438">
            <v>1</v>
          </cell>
          <cell r="N1438">
            <v>0</v>
          </cell>
          <cell r="O1438">
            <v>0</v>
          </cell>
          <cell r="P1438">
            <v>0</v>
          </cell>
          <cell r="Q1438">
            <v>1</v>
          </cell>
          <cell r="R1438">
            <v>0</v>
          </cell>
          <cell r="S1438">
            <v>0</v>
          </cell>
          <cell r="T1438">
            <v>0</v>
          </cell>
          <cell r="U1438">
            <v>0</v>
          </cell>
          <cell r="V1438">
            <v>1</v>
          </cell>
          <cell r="W1438">
            <v>0</v>
          </cell>
          <cell r="X1438">
            <v>0</v>
          </cell>
          <cell r="Y1438">
            <v>0</v>
          </cell>
          <cell r="Z1438">
            <v>0</v>
          </cell>
          <cell r="AA1438">
            <v>3</v>
          </cell>
          <cell r="AB1438">
            <v>0.5</v>
          </cell>
          <cell r="AC1438">
            <v>1</v>
          </cell>
          <cell r="AD1438">
            <v>12</v>
          </cell>
        </row>
        <row r="1439">
          <cell r="A1439">
            <v>39</v>
          </cell>
          <cell r="B1439">
            <v>3</v>
          </cell>
          <cell r="C1439">
            <v>3</v>
          </cell>
          <cell r="D1439">
            <v>19431</v>
          </cell>
          <cell r="E1439">
            <v>2</v>
          </cell>
          <cell r="F1439">
            <v>13</v>
          </cell>
          <cell r="G1439">
            <v>3</v>
          </cell>
          <cell r="H1439">
            <v>0</v>
          </cell>
          <cell r="I1439">
            <v>21</v>
          </cell>
          <cell r="J1439">
            <v>3</v>
          </cell>
          <cell r="K1439">
            <v>6</v>
          </cell>
          <cell r="L1439">
            <v>0</v>
          </cell>
          <cell r="M1439">
            <v>0</v>
          </cell>
          <cell r="N1439">
            <v>0</v>
          </cell>
          <cell r="O1439">
            <v>1</v>
          </cell>
          <cell r="P1439">
            <v>0</v>
          </cell>
          <cell r="Q1439">
            <v>0</v>
          </cell>
          <cell r="R1439">
            <v>0</v>
          </cell>
          <cell r="S1439">
            <v>0</v>
          </cell>
          <cell r="T1439">
            <v>3</v>
          </cell>
          <cell r="U1439">
            <v>0</v>
          </cell>
          <cell r="V1439">
            <v>0</v>
          </cell>
          <cell r="W1439">
            <v>0</v>
          </cell>
          <cell r="X1439">
            <v>0</v>
          </cell>
          <cell r="Y1439">
            <v>0</v>
          </cell>
          <cell r="Z1439">
            <v>0</v>
          </cell>
          <cell r="AA1439">
            <v>16</v>
          </cell>
          <cell r="AB1439">
            <v>9.5238095238095233E-2</v>
          </cell>
          <cell r="AC1439">
            <v>0</v>
          </cell>
          <cell r="AD1439">
            <v>48</v>
          </cell>
        </row>
        <row r="1440">
          <cell r="A1440">
            <v>23</v>
          </cell>
          <cell r="B1440">
            <v>3</v>
          </cell>
          <cell r="C1440">
            <v>3</v>
          </cell>
          <cell r="D1440">
            <v>1790</v>
          </cell>
          <cell r="E1440">
            <v>1</v>
          </cell>
          <cell r="F1440">
            <v>19</v>
          </cell>
          <cell r="G1440">
            <v>3</v>
          </cell>
          <cell r="H1440">
            <v>1</v>
          </cell>
          <cell r="I1440">
            <v>1</v>
          </cell>
          <cell r="J1440">
            <v>3</v>
          </cell>
          <cell r="K1440">
            <v>1</v>
          </cell>
          <cell r="L1440">
            <v>0</v>
          </cell>
          <cell r="M1440">
            <v>0</v>
          </cell>
          <cell r="N1440">
            <v>0</v>
          </cell>
          <cell r="O1440">
            <v>0</v>
          </cell>
          <cell r="P1440">
            <v>1</v>
          </cell>
          <cell r="Q1440">
            <v>0</v>
          </cell>
          <cell r="R1440">
            <v>0</v>
          </cell>
          <cell r="S1440">
            <v>0</v>
          </cell>
          <cell r="T1440">
            <v>0</v>
          </cell>
          <cell r="U1440">
            <v>3</v>
          </cell>
          <cell r="V1440">
            <v>0</v>
          </cell>
          <cell r="W1440">
            <v>0</v>
          </cell>
          <cell r="X1440">
            <v>0</v>
          </cell>
          <cell r="Y1440">
            <v>1</v>
          </cell>
          <cell r="Z1440">
            <v>0</v>
          </cell>
          <cell r="AA1440">
            <v>4</v>
          </cell>
          <cell r="AB1440">
            <v>1</v>
          </cell>
          <cell r="AC1440">
            <v>0</v>
          </cell>
          <cell r="AD1440">
            <v>4</v>
          </cell>
        </row>
        <row r="1441">
          <cell r="A1441">
            <v>36</v>
          </cell>
          <cell r="B1441">
            <v>3</v>
          </cell>
          <cell r="C1441">
            <v>2</v>
          </cell>
          <cell r="D1441">
            <v>7644</v>
          </cell>
          <cell r="E1441">
            <v>0</v>
          </cell>
          <cell r="F1441">
            <v>19</v>
          </cell>
          <cell r="G1441">
            <v>3</v>
          </cell>
          <cell r="H1441">
            <v>2</v>
          </cell>
          <cell r="I1441">
            <v>10</v>
          </cell>
          <cell r="J1441">
            <v>2</v>
          </cell>
          <cell r="K1441">
            <v>9</v>
          </cell>
          <cell r="L1441">
            <v>7</v>
          </cell>
          <cell r="M1441">
            <v>0</v>
          </cell>
          <cell r="N1441">
            <v>1</v>
          </cell>
          <cell r="O1441">
            <v>0</v>
          </cell>
          <cell r="P1441">
            <v>0</v>
          </cell>
          <cell r="Q1441">
            <v>1</v>
          </cell>
          <cell r="R1441">
            <v>0</v>
          </cell>
          <cell r="S1441">
            <v>0</v>
          </cell>
          <cell r="T1441">
            <v>0</v>
          </cell>
          <cell r="U1441">
            <v>0</v>
          </cell>
          <cell r="V1441">
            <v>3</v>
          </cell>
          <cell r="W1441">
            <v>0</v>
          </cell>
          <cell r="X1441">
            <v>0</v>
          </cell>
          <cell r="Y1441">
            <v>0</v>
          </cell>
          <cell r="Z1441">
            <v>0</v>
          </cell>
          <cell r="AA1441">
            <v>4</v>
          </cell>
          <cell r="AB1441">
            <v>0</v>
          </cell>
          <cell r="AC1441">
            <v>0.77777777777777779</v>
          </cell>
          <cell r="AD1441">
            <v>12</v>
          </cell>
        </row>
        <row r="1442">
          <cell r="A1442">
            <v>36</v>
          </cell>
          <cell r="B1442">
            <v>2</v>
          </cell>
          <cell r="C1442">
            <v>3</v>
          </cell>
          <cell r="D1442">
            <v>5131</v>
          </cell>
          <cell r="E1442">
            <v>7</v>
          </cell>
          <cell r="F1442">
            <v>13</v>
          </cell>
          <cell r="G1442">
            <v>3</v>
          </cell>
          <cell r="H1442">
            <v>3</v>
          </cell>
          <cell r="I1442">
            <v>18</v>
          </cell>
          <cell r="J1442">
            <v>3</v>
          </cell>
          <cell r="K1442">
            <v>4</v>
          </cell>
          <cell r="L1442">
            <v>2</v>
          </cell>
          <cell r="M1442">
            <v>0</v>
          </cell>
          <cell r="N1442">
            <v>1</v>
          </cell>
          <cell r="O1442">
            <v>1</v>
          </cell>
          <cell r="P1442">
            <v>0</v>
          </cell>
          <cell r="Q1442">
            <v>0</v>
          </cell>
          <cell r="R1442">
            <v>0</v>
          </cell>
          <cell r="S1442">
            <v>0</v>
          </cell>
          <cell r="T1442">
            <v>2</v>
          </cell>
          <cell r="U1442">
            <v>0</v>
          </cell>
          <cell r="V1442">
            <v>0</v>
          </cell>
          <cell r="W1442">
            <v>0</v>
          </cell>
          <cell r="X1442">
            <v>0</v>
          </cell>
          <cell r="Y1442">
            <v>0</v>
          </cell>
          <cell r="Z1442">
            <v>0</v>
          </cell>
          <cell r="AA1442">
            <v>8</v>
          </cell>
          <cell r="AB1442">
            <v>0.3888888888888889</v>
          </cell>
          <cell r="AC1442">
            <v>0.5</v>
          </cell>
          <cell r="AD1442">
            <v>16</v>
          </cell>
        </row>
        <row r="1443">
          <cell r="A1443">
            <v>56</v>
          </cell>
          <cell r="B1443">
            <v>4</v>
          </cell>
          <cell r="C1443">
            <v>3</v>
          </cell>
          <cell r="D1443">
            <v>6306</v>
          </cell>
          <cell r="E1443">
            <v>1</v>
          </cell>
          <cell r="F1443">
            <v>21</v>
          </cell>
          <cell r="G1443">
            <v>4</v>
          </cell>
          <cell r="H1443">
            <v>1</v>
          </cell>
          <cell r="I1443">
            <v>13</v>
          </cell>
          <cell r="J1443">
            <v>2</v>
          </cell>
          <cell r="K1443">
            <v>13</v>
          </cell>
          <cell r="L1443">
            <v>12</v>
          </cell>
          <cell r="M1443">
            <v>0</v>
          </cell>
          <cell r="N1443">
            <v>0</v>
          </cell>
          <cell r="O1443">
            <v>1</v>
          </cell>
          <cell r="P1443">
            <v>0</v>
          </cell>
          <cell r="Q1443">
            <v>0</v>
          </cell>
          <cell r="R1443">
            <v>0</v>
          </cell>
          <cell r="S1443">
            <v>0</v>
          </cell>
          <cell r="T1443">
            <v>4</v>
          </cell>
          <cell r="U1443">
            <v>0</v>
          </cell>
          <cell r="V1443">
            <v>0</v>
          </cell>
          <cell r="W1443">
            <v>0</v>
          </cell>
          <cell r="X1443">
            <v>0</v>
          </cell>
          <cell r="Y1443">
            <v>0</v>
          </cell>
          <cell r="Z1443">
            <v>0</v>
          </cell>
          <cell r="AA1443">
            <v>9</v>
          </cell>
          <cell r="AB1443">
            <v>7.6923076923076927E-2</v>
          </cell>
          <cell r="AC1443">
            <v>0.92307692307692313</v>
          </cell>
          <cell r="AD1443">
            <v>9</v>
          </cell>
        </row>
        <row r="1444">
          <cell r="A1444">
            <v>29</v>
          </cell>
          <cell r="B1444">
            <v>4</v>
          </cell>
          <cell r="C1444">
            <v>3</v>
          </cell>
          <cell r="D1444">
            <v>4787</v>
          </cell>
          <cell r="E1444">
            <v>9</v>
          </cell>
          <cell r="F1444">
            <v>14</v>
          </cell>
          <cell r="G1444">
            <v>3</v>
          </cell>
          <cell r="H1444">
            <v>3</v>
          </cell>
          <cell r="I1444">
            <v>4</v>
          </cell>
          <cell r="J1444">
            <v>3</v>
          </cell>
          <cell r="K1444">
            <v>2</v>
          </cell>
          <cell r="L1444">
            <v>2</v>
          </cell>
          <cell r="M1444">
            <v>1</v>
          </cell>
          <cell r="N1444">
            <v>0</v>
          </cell>
          <cell r="O1444">
            <v>0</v>
          </cell>
          <cell r="P1444">
            <v>0</v>
          </cell>
          <cell r="Q1444">
            <v>1</v>
          </cell>
          <cell r="R1444">
            <v>0</v>
          </cell>
          <cell r="S1444">
            <v>0</v>
          </cell>
          <cell r="T1444">
            <v>0</v>
          </cell>
          <cell r="U1444">
            <v>0</v>
          </cell>
          <cell r="V1444">
            <v>4</v>
          </cell>
          <cell r="W1444">
            <v>0</v>
          </cell>
          <cell r="X1444">
            <v>0</v>
          </cell>
          <cell r="Y1444">
            <v>0</v>
          </cell>
          <cell r="Z1444">
            <v>1</v>
          </cell>
          <cell r="AA1444">
            <v>4</v>
          </cell>
          <cell r="AB1444">
            <v>2.25</v>
          </cell>
          <cell r="AC1444">
            <v>1</v>
          </cell>
          <cell r="AD1444">
            <v>8</v>
          </cell>
        </row>
        <row r="1445">
          <cell r="A1445">
            <v>42</v>
          </cell>
          <cell r="B1445">
            <v>3</v>
          </cell>
          <cell r="C1445">
            <v>3</v>
          </cell>
          <cell r="D1445">
            <v>18880</v>
          </cell>
          <cell r="E1445">
            <v>5</v>
          </cell>
          <cell r="F1445">
            <v>11</v>
          </cell>
          <cell r="G1445">
            <v>3</v>
          </cell>
          <cell r="H1445">
            <v>0</v>
          </cell>
          <cell r="I1445">
            <v>24</v>
          </cell>
          <cell r="J1445">
            <v>2</v>
          </cell>
          <cell r="K1445">
            <v>22</v>
          </cell>
          <cell r="L1445">
            <v>6</v>
          </cell>
          <cell r="M1445">
            <v>0</v>
          </cell>
          <cell r="N1445">
            <v>0</v>
          </cell>
          <cell r="O1445">
            <v>1</v>
          </cell>
          <cell r="P1445">
            <v>0</v>
          </cell>
          <cell r="Q1445">
            <v>0</v>
          </cell>
          <cell r="R1445">
            <v>0</v>
          </cell>
          <cell r="S1445">
            <v>0</v>
          </cell>
          <cell r="T1445">
            <v>3</v>
          </cell>
          <cell r="U1445">
            <v>0</v>
          </cell>
          <cell r="V1445">
            <v>0</v>
          </cell>
          <cell r="W1445">
            <v>0</v>
          </cell>
          <cell r="X1445">
            <v>0</v>
          </cell>
          <cell r="Y1445">
            <v>0</v>
          </cell>
          <cell r="Z1445">
            <v>0</v>
          </cell>
          <cell r="AA1445">
            <v>3</v>
          </cell>
          <cell r="AB1445">
            <v>0.20833333333333334</v>
          </cell>
          <cell r="AC1445">
            <v>0.27272727272727271</v>
          </cell>
          <cell r="AD1445">
            <v>3</v>
          </cell>
        </row>
        <row r="1446">
          <cell r="A1446">
            <v>56</v>
          </cell>
          <cell r="B1446">
            <v>2</v>
          </cell>
          <cell r="C1446">
            <v>3</v>
          </cell>
          <cell r="D1446">
            <v>2339</v>
          </cell>
          <cell r="E1446">
            <v>8</v>
          </cell>
          <cell r="F1446">
            <v>11</v>
          </cell>
          <cell r="G1446">
            <v>3</v>
          </cell>
          <cell r="H1446">
            <v>1</v>
          </cell>
          <cell r="I1446">
            <v>14</v>
          </cell>
          <cell r="J1446">
            <v>4</v>
          </cell>
          <cell r="K1446">
            <v>10</v>
          </cell>
          <cell r="L1446">
            <v>9</v>
          </cell>
          <cell r="M1446">
            <v>0</v>
          </cell>
          <cell r="N1446">
            <v>0</v>
          </cell>
          <cell r="O1446">
            <v>0</v>
          </cell>
          <cell r="P1446">
            <v>0</v>
          </cell>
          <cell r="Q1446">
            <v>0</v>
          </cell>
          <cell r="R1446">
            <v>0</v>
          </cell>
          <cell r="S1446">
            <v>1</v>
          </cell>
          <cell r="T1446">
            <v>0</v>
          </cell>
          <cell r="U1446">
            <v>0</v>
          </cell>
          <cell r="V1446">
            <v>0</v>
          </cell>
          <cell r="W1446">
            <v>0</v>
          </cell>
          <cell r="X1446">
            <v>2</v>
          </cell>
          <cell r="Y1446">
            <v>0</v>
          </cell>
          <cell r="Z1446">
            <v>0</v>
          </cell>
          <cell r="AA1446">
            <v>12</v>
          </cell>
          <cell r="AB1446">
            <v>0.5714285714285714</v>
          </cell>
          <cell r="AC1446">
            <v>0.9</v>
          </cell>
          <cell r="AD1446">
            <v>48</v>
          </cell>
        </row>
        <row r="1447">
          <cell r="A1447">
            <v>41</v>
          </cell>
          <cell r="B1447">
            <v>4</v>
          </cell>
          <cell r="C1447">
            <v>2</v>
          </cell>
          <cell r="D1447">
            <v>13570</v>
          </cell>
          <cell r="E1447">
            <v>0</v>
          </cell>
          <cell r="F1447">
            <v>23</v>
          </cell>
          <cell r="G1447">
            <v>4</v>
          </cell>
          <cell r="H1447">
            <v>1</v>
          </cell>
          <cell r="I1447">
            <v>21</v>
          </cell>
          <cell r="J1447">
            <v>3</v>
          </cell>
          <cell r="K1447">
            <v>20</v>
          </cell>
          <cell r="L1447">
            <v>7</v>
          </cell>
          <cell r="M1447">
            <v>0</v>
          </cell>
          <cell r="N1447">
            <v>1</v>
          </cell>
          <cell r="O1447">
            <v>1</v>
          </cell>
          <cell r="P1447">
            <v>0</v>
          </cell>
          <cell r="Q1447">
            <v>0</v>
          </cell>
          <cell r="R1447">
            <v>0</v>
          </cell>
          <cell r="S1447">
            <v>0</v>
          </cell>
          <cell r="T1447">
            <v>4</v>
          </cell>
          <cell r="U1447">
            <v>0</v>
          </cell>
          <cell r="V1447">
            <v>0</v>
          </cell>
          <cell r="W1447">
            <v>0</v>
          </cell>
          <cell r="X1447">
            <v>0</v>
          </cell>
          <cell r="Y1447">
            <v>0</v>
          </cell>
          <cell r="Z1447">
            <v>0</v>
          </cell>
          <cell r="AA1447">
            <v>2</v>
          </cell>
          <cell r="AB1447">
            <v>0</v>
          </cell>
          <cell r="AC1447">
            <v>0.35</v>
          </cell>
          <cell r="AD1447">
            <v>6</v>
          </cell>
        </row>
        <row r="1448">
          <cell r="A1448">
            <v>34</v>
          </cell>
          <cell r="B1448">
            <v>3</v>
          </cell>
          <cell r="C1448">
            <v>2</v>
          </cell>
          <cell r="D1448">
            <v>6712</v>
          </cell>
          <cell r="E1448">
            <v>1</v>
          </cell>
          <cell r="F1448">
            <v>21</v>
          </cell>
          <cell r="G1448">
            <v>4</v>
          </cell>
          <cell r="H1448">
            <v>2</v>
          </cell>
          <cell r="I1448">
            <v>8</v>
          </cell>
          <cell r="J1448">
            <v>2</v>
          </cell>
          <cell r="K1448">
            <v>8</v>
          </cell>
          <cell r="L1448">
            <v>7</v>
          </cell>
          <cell r="M1448">
            <v>0</v>
          </cell>
          <cell r="N1448">
            <v>1</v>
          </cell>
          <cell r="O1448">
            <v>0</v>
          </cell>
          <cell r="P1448">
            <v>1</v>
          </cell>
          <cell r="Q1448">
            <v>0</v>
          </cell>
          <cell r="R1448">
            <v>0</v>
          </cell>
          <cell r="S1448">
            <v>0</v>
          </cell>
          <cell r="T1448">
            <v>0</v>
          </cell>
          <cell r="U1448">
            <v>3</v>
          </cell>
          <cell r="V1448">
            <v>0</v>
          </cell>
          <cell r="W1448">
            <v>0</v>
          </cell>
          <cell r="X1448">
            <v>0</v>
          </cell>
          <cell r="Y1448">
            <v>0</v>
          </cell>
          <cell r="Z1448">
            <v>0</v>
          </cell>
          <cell r="AA1448">
            <v>12</v>
          </cell>
          <cell r="AB1448">
            <v>0.125</v>
          </cell>
          <cell r="AC1448">
            <v>0.875</v>
          </cell>
          <cell r="AD1448">
            <v>48</v>
          </cell>
        </row>
        <row r="1449">
          <cell r="A1449">
            <v>36</v>
          </cell>
          <cell r="B1449">
            <v>4</v>
          </cell>
          <cell r="C1449">
            <v>1</v>
          </cell>
          <cell r="D1449">
            <v>5406</v>
          </cell>
          <cell r="E1449">
            <v>1</v>
          </cell>
          <cell r="F1449">
            <v>24</v>
          </cell>
          <cell r="G1449">
            <v>4</v>
          </cell>
          <cell r="H1449">
            <v>1</v>
          </cell>
          <cell r="I1449">
            <v>15</v>
          </cell>
          <cell r="J1449">
            <v>4</v>
          </cell>
          <cell r="K1449">
            <v>15</v>
          </cell>
          <cell r="L1449">
            <v>12</v>
          </cell>
          <cell r="M1449">
            <v>0</v>
          </cell>
          <cell r="N1449">
            <v>0</v>
          </cell>
          <cell r="O1449">
            <v>0</v>
          </cell>
          <cell r="P1449">
            <v>1</v>
          </cell>
          <cell r="Q1449">
            <v>0</v>
          </cell>
          <cell r="R1449">
            <v>0</v>
          </cell>
          <cell r="S1449">
            <v>0</v>
          </cell>
          <cell r="T1449">
            <v>0</v>
          </cell>
          <cell r="U1449">
            <v>4</v>
          </cell>
          <cell r="V1449">
            <v>0</v>
          </cell>
          <cell r="W1449">
            <v>0</v>
          </cell>
          <cell r="X1449">
            <v>0</v>
          </cell>
          <cell r="Y1449">
            <v>0</v>
          </cell>
          <cell r="Z1449">
            <v>0</v>
          </cell>
          <cell r="AA1449">
            <v>16</v>
          </cell>
          <cell r="AB1449">
            <v>6.6666666666666666E-2</v>
          </cell>
          <cell r="AC1449">
            <v>0.8</v>
          </cell>
          <cell r="AD1449">
            <v>16</v>
          </cell>
        </row>
        <row r="1450">
          <cell r="A1450">
            <v>41</v>
          </cell>
          <cell r="B1450">
            <v>3</v>
          </cell>
          <cell r="C1450">
            <v>2</v>
          </cell>
          <cell r="D1450">
            <v>8938</v>
          </cell>
          <cell r="E1450">
            <v>2</v>
          </cell>
          <cell r="F1450">
            <v>11</v>
          </cell>
          <cell r="G1450">
            <v>3</v>
          </cell>
          <cell r="H1450">
            <v>1</v>
          </cell>
          <cell r="I1450">
            <v>14</v>
          </cell>
          <cell r="J1450">
            <v>5</v>
          </cell>
          <cell r="K1450">
            <v>5</v>
          </cell>
          <cell r="L1450">
            <v>4</v>
          </cell>
          <cell r="M1450">
            <v>0</v>
          </cell>
          <cell r="N1450">
            <v>0</v>
          </cell>
          <cell r="O1450">
            <v>1</v>
          </cell>
          <cell r="P1450">
            <v>0</v>
          </cell>
          <cell r="Q1450">
            <v>0</v>
          </cell>
          <cell r="R1450">
            <v>0</v>
          </cell>
          <cell r="S1450">
            <v>0</v>
          </cell>
          <cell r="T1450">
            <v>3</v>
          </cell>
          <cell r="U1450">
            <v>0</v>
          </cell>
          <cell r="V1450">
            <v>0</v>
          </cell>
          <cell r="W1450">
            <v>0</v>
          </cell>
          <cell r="X1450">
            <v>0</v>
          </cell>
          <cell r="Y1450">
            <v>0</v>
          </cell>
          <cell r="Z1450">
            <v>0</v>
          </cell>
          <cell r="AA1450">
            <v>6</v>
          </cell>
          <cell r="AB1450">
            <v>0.14285714285714285</v>
          </cell>
          <cell r="AC1450">
            <v>0.8</v>
          </cell>
          <cell r="AD1450">
            <v>18</v>
          </cell>
        </row>
        <row r="1451">
          <cell r="A1451">
            <v>32</v>
          </cell>
          <cell r="B1451">
            <v>3</v>
          </cell>
          <cell r="C1451">
            <v>3</v>
          </cell>
          <cell r="D1451">
            <v>2439</v>
          </cell>
          <cell r="E1451">
            <v>1</v>
          </cell>
          <cell r="F1451">
            <v>14</v>
          </cell>
          <cell r="G1451">
            <v>3</v>
          </cell>
          <cell r="H1451">
            <v>0</v>
          </cell>
          <cell r="I1451">
            <v>4</v>
          </cell>
          <cell r="J1451">
            <v>4</v>
          </cell>
          <cell r="K1451">
            <v>4</v>
          </cell>
          <cell r="L1451">
            <v>2</v>
          </cell>
          <cell r="M1451">
            <v>0</v>
          </cell>
          <cell r="N1451">
            <v>0</v>
          </cell>
          <cell r="O1451">
            <v>0</v>
          </cell>
          <cell r="P1451">
            <v>0</v>
          </cell>
          <cell r="Q1451">
            <v>0</v>
          </cell>
          <cell r="R1451">
            <v>0</v>
          </cell>
          <cell r="S1451">
            <v>1</v>
          </cell>
          <cell r="T1451">
            <v>0</v>
          </cell>
          <cell r="U1451">
            <v>0</v>
          </cell>
          <cell r="V1451">
            <v>0</v>
          </cell>
          <cell r="W1451">
            <v>0</v>
          </cell>
          <cell r="X1451">
            <v>3</v>
          </cell>
          <cell r="Y1451">
            <v>0</v>
          </cell>
          <cell r="Z1451">
            <v>0</v>
          </cell>
          <cell r="AA1451">
            <v>4</v>
          </cell>
          <cell r="AB1451">
            <v>0.25</v>
          </cell>
          <cell r="AC1451">
            <v>0.5</v>
          </cell>
          <cell r="AD1451">
            <v>16</v>
          </cell>
        </row>
        <row r="1452">
          <cell r="A1452">
            <v>35</v>
          </cell>
          <cell r="B1452">
            <v>4</v>
          </cell>
          <cell r="C1452">
            <v>3</v>
          </cell>
          <cell r="D1452">
            <v>8837</v>
          </cell>
          <cell r="E1452">
            <v>1</v>
          </cell>
          <cell r="F1452">
            <v>16</v>
          </cell>
          <cell r="G1452">
            <v>3</v>
          </cell>
          <cell r="H1452">
            <v>0</v>
          </cell>
          <cell r="I1452">
            <v>9</v>
          </cell>
          <cell r="J1452">
            <v>2</v>
          </cell>
          <cell r="K1452">
            <v>9</v>
          </cell>
          <cell r="L1452">
            <v>0</v>
          </cell>
          <cell r="M1452">
            <v>1</v>
          </cell>
          <cell r="N1452">
            <v>1</v>
          </cell>
          <cell r="O1452">
            <v>1</v>
          </cell>
          <cell r="P1452">
            <v>0</v>
          </cell>
          <cell r="Q1452">
            <v>0</v>
          </cell>
          <cell r="R1452">
            <v>0</v>
          </cell>
          <cell r="S1452">
            <v>0</v>
          </cell>
          <cell r="T1452">
            <v>4</v>
          </cell>
          <cell r="U1452">
            <v>0</v>
          </cell>
          <cell r="V1452">
            <v>0</v>
          </cell>
          <cell r="W1452">
            <v>0</v>
          </cell>
          <cell r="X1452">
            <v>0</v>
          </cell>
          <cell r="Y1452">
            <v>0</v>
          </cell>
          <cell r="Z1452">
            <v>0</v>
          </cell>
          <cell r="AA1452">
            <v>12</v>
          </cell>
          <cell r="AB1452">
            <v>0.1111111111111111</v>
          </cell>
          <cell r="AC1452">
            <v>0</v>
          </cell>
          <cell r="AD1452">
            <v>36</v>
          </cell>
        </row>
        <row r="1453">
          <cell r="A1453">
            <v>38</v>
          </cell>
          <cell r="B1453">
            <v>2</v>
          </cell>
          <cell r="C1453">
            <v>3</v>
          </cell>
          <cell r="D1453">
            <v>5343</v>
          </cell>
          <cell r="E1453">
            <v>1</v>
          </cell>
          <cell r="F1453">
            <v>11</v>
          </cell>
          <cell r="G1453">
            <v>3</v>
          </cell>
          <cell r="H1453">
            <v>1</v>
          </cell>
          <cell r="I1453">
            <v>10</v>
          </cell>
          <cell r="J1453">
            <v>1</v>
          </cell>
          <cell r="K1453">
            <v>10</v>
          </cell>
          <cell r="L1453">
            <v>7</v>
          </cell>
          <cell r="M1453">
            <v>0</v>
          </cell>
          <cell r="N1453">
            <v>1</v>
          </cell>
          <cell r="O1453">
            <v>1</v>
          </cell>
          <cell r="P1453">
            <v>0</v>
          </cell>
          <cell r="Q1453">
            <v>0</v>
          </cell>
          <cell r="R1453">
            <v>0</v>
          </cell>
          <cell r="S1453">
            <v>0</v>
          </cell>
          <cell r="T1453">
            <v>2</v>
          </cell>
          <cell r="U1453">
            <v>0</v>
          </cell>
          <cell r="V1453">
            <v>0</v>
          </cell>
          <cell r="W1453">
            <v>0</v>
          </cell>
          <cell r="X1453">
            <v>0</v>
          </cell>
          <cell r="Y1453">
            <v>0</v>
          </cell>
          <cell r="Z1453">
            <v>0</v>
          </cell>
          <cell r="AA1453">
            <v>4</v>
          </cell>
          <cell r="AB1453">
            <v>0.1</v>
          </cell>
          <cell r="AC1453">
            <v>0.7</v>
          </cell>
          <cell r="AD1453">
            <v>12</v>
          </cell>
        </row>
        <row r="1454">
          <cell r="A1454">
            <v>50</v>
          </cell>
          <cell r="B1454">
            <v>4</v>
          </cell>
          <cell r="C1454">
            <v>3</v>
          </cell>
          <cell r="D1454">
            <v>6728</v>
          </cell>
          <cell r="E1454">
            <v>7</v>
          </cell>
          <cell r="F1454">
            <v>12</v>
          </cell>
          <cell r="G1454">
            <v>3</v>
          </cell>
          <cell r="H1454">
            <v>2</v>
          </cell>
          <cell r="I1454">
            <v>12</v>
          </cell>
          <cell r="J1454">
            <v>3</v>
          </cell>
          <cell r="K1454">
            <v>6</v>
          </cell>
          <cell r="L1454">
            <v>3</v>
          </cell>
          <cell r="M1454">
            <v>0</v>
          </cell>
          <cell r="N1454">
            <v>0</v>
          </cell>
          <cell r="O1454">
            <v>1</v>
          </cell>
          <cell r="P1454">
            <v>0</v>
          </cell>
          <cell r="Q1454">
            <v>0</v>
          </cell>
          <cell r="R1454">
            <v>0</v>
          </cell>
          <cell r="S1454">
            <v>0</v>
          </cell>
          <cell r="T1454">
            <v>4</v>
          </cell>
          <cell r="U1454">
            <v>0</v>
          </cell>
          <cell r="V1454">
            <v>0</v>
          </cell>
          <cell r="W1454">
            <v>0</v>
          </cell>
          <cell r="X1454">
            <v>0</v>
          </cell>
          <cell r="Y1454">
            <v>0</v>
          </cell>
          <cell r="Z1454">
            <v>0</v>
          </cell>
          <cell r="AA1454">
            <v>6</v>
          </cell>
          <cell r="AB1454">
            <v>0.58333333333333337</v>
          </cell>
          <cell r="AC1454">
            <v>0.5</v>
          </cell>
          <cell r="AD1454">
            <v>24</v>
          </cell>
        </row>
        <row r="1455">
          <cell r="A1455">
            <v>36</v>
          </cell>
          <cell r="B1455">
            <v>4</v>
          </cell>
          <cell r="C1455">
            <v>2</v>
          </cell>
          <cell r="D1455">
            <v>6652</v>
          </cell>
          <cell r="E1455">
            <v>4</v>
          </cell>
          <cell r="F1455">
            <v>13</v>
          </cell>
          <cell r="G1455">
            <v>3</v>
          </cell>
          <cell r="H1455">
            <v>1</v>
          </cell>
          <cell r="I1455">
            <v>8</v>
          </cell>
          <cell r="J1455">
            <v>2</v>
          </cell>
          <cell r="K1455">
            <v>6</v>
          </cell>
          <cell r="L1455">
            <v>3</v>
          </cell>
          <cell r="M1455">
            <v>0</v>
          </cell>
          <cell r="N1455">
            <v>1</v>
          </cell>
          <cell r="O1455">
            <v>0</v>
          </cell>
          <cell r="P1455">
            <v>1</v>
          </cell>
          <cell r="Q1455">
            <v>0</v>
          </cell>
          <cell r="R1455">
            <v>0</v>
          </cell>
          <cell r="S1455">
            <v>0</v>
          </cell>
          <cell r="T1455">
            <v>0</v>
          </cell>
          <cell r="U1455">
            <v>4</v>
          </cell>
          <cell r="V1455">
            <v>0</v>
          </cell>
          <cell r="W1455">
            <v>0</v>
          </cell>
          <cell r="X1455">
            <v>0</v>
          </cell>
          <cell r="Y1455">
            <v>0</v>
          </cell>
          <cell r="Z1455">
            <v>0</v>
          </cell>
          <cell r="AA1455">
            <v>8</v>
          </cell>
          <cell r="AB1455">
            <v>0.5</v>
          </cell>
          <cell r="AC1455">
            <v>0.5</v>
          </cell>
          <cell r="AD1455">
            <v>8</v>
          </cell>
        </row>
        <row r="1456">
          <cell r="A1456">
            <v>45</v>
          </cell>
          <cell r="B1456">
            <v>3</v>
          </cell>
          <cell r="C1456">
            <v>3</v>
          </cell>
          <cell r="D1456">
            <v>4850</v>
          </cell>
          <cell r="E1456">
            <v>8</v>
          </cell>
          <cell r="F1456">
            <v>15</v>
          </cell>
          <cell r="G1456">
            <v>3</v>
          </cell>
          <cell r="H1456">
            <v>0</v>
          </cell>
          <cell r="I1456">
            <v>8</v>
          </cell>
          <cell r="J1456">
            <v>3</v>
          </cell>
          <cell r="K1456">
            <v>5</v>
          </cell>
          <cell r="L1456">
            <v>3</v>
          </cell>
          <cell r="M1456">
            <v>0</v>
          </cell>
          <cell r="N1456">
            <v>1</v>
          </cell>
          <cell r="O1456">
            <v>1</v>
          </cell>
          <cell r="P1456">
            <v>0</v>
          </cell>
          <cell r="Q1456">
            <v>0</v>
          </cell>
          <cell r="R1456">
            <v>0</v>
          </cell>
          <cell r="S1456">
            <v>0</v>
          </cell>
          <cell r="T1456">
            <v>3</v>
          </cell>
          <cell r="U1456">
            <v>0</v>
          </cell>
          <cell r="V1456">
            <v>0</v>
          </cell>
          <cell r="W1456">
            <v>0</v>
          </cell>
          <cell r="X1456">
            <v>0</v>
          </cell>
          <cell r="Y1456">
            <v>0</v>
          </cell>
          <cell r="Z1456">
            <v>0</v>
          </cell>
          <cell r="AA1456">
            <v>12</v>
          </cell>
          <cell r="AB1456">
            <v>1</v>
          </cell>
          <cell r="AC1456">
            <v>0.6</v>
          </cell>
          <cell r="AD1456">
            <v>36</v>
          </cell>
        </row>
        <row r="1457">
          <cell r="A1457">
            <v>40</v>
          </cell>
          <cell r="B1457">
            <v>4</v>
          </cell>
          <cell r="C1457">
            <v>2</v>
          </cell>
          <cell r="D1457">
            <v>2809</v>
          </cell>
          <cell r="E1457">
            <v>2</v>
          </cell>
          <cell r="F1457">
            <v>14</v>
          </cell>
          <cell r="G1457">
            <v>3</v>
          </cell>
          <cell r="H1457">
            <v>0</v>
          </cell>
          <cell r="I1457">
            <v>8</v>
          </cell>
          <cell r="J1457">
            <v>2</v>
          </cell>
          <cell r="K1457">
            <v>2</v>
          </cell>
          <cell r="L1457">
            <v>2</v>
          </cell>
          <cell r="M1457">
            <v>0</v>
          </cell>
          <cell r="N1457">
            <v>0</v>
          </cell>
          <cell r="O1457">
            <v>1</v>
          </cell>
          <cell r="P1457">
            <v>0</v>
          </cell>
          <cell r="Q1457">
            <v>0</v>
          </cell>
          <cell r="R1457">
            <v>0</v>
          </cell>
          <cell r="S1457">
            <v>0</v>
          </cell>
          <cell r="T1457">
            <v>4</v>
          </cell>
          <cell r="U1457">
            <v>0</v>
          </cell>
          <cell r="V1457">
            <v>0</v>
          </cell>
          <cell r="W1457">
            <v>0</v>
          </cell>
          <cell r="X1457">
            <v>0</v>
          </cell>
          <cell r="Y1457">
            <v>0</v>
          </cell>
          <cell r="Z1457">
            <v>0</v>
          </cell>
          <cell r="AA1457">
            <v>9</v>
          </cell>
          <cell r="AB1457">
            <v>0.25</v>
          </cell>
          <cell r="AC1457">
            <v>1</v>
          </cell>
          <cell r="AD1457">
            <v>36</v>
          </cell>
        </row>
        <row r="1458">
          <cell r="A1458">
            <v>35</v>
          </cell>
          <cell r="B1458">
            <v>4</v>
          </cell>
          <cell r="C1458">
            <v>3</v>
          </cell>
          <cell r="D1458">
            <v>5689</v>
          </cell>
          <cell r="E1458">
            <v>1</v>
          </cell>
          <cell r="F1458">
            <v>14</v>
          </cell>
          <cell r="G1458">
            <v>3</v>
          </cell>
          <cell r="H1458">
            <v>2</v>
          </cell>
          <cell r="I1458">
            <v>10</v>
          </cell>
          <cell r="J1458">
            <v>2</v>
          </cell>
          <cell r="K1458">
            <v>10</v>
          </cell>
          <cell r="L1458">
            <v>2</v>
          </cell>
          <cell r="M1458">
            <v>1</v>
          </cell>
          <cell r="N1458">
            <v>0</v>
          </cell>
          <cell r="O1458">
            <v>1</v>
          </cell>
          <cell r="P1458">
            <v>0</v>
          </cell>
          <cell r="Q1458">
            <v>0</v>
          </cell>
          <cell r="R1458">
            <v>0</v>
          </cell>
          <cell r="S1458">
            <v>0</v>
          </cell>
          <cell r="T1458">
            <v>4</v>
          </cell>
          <cell r="U1458">
            <v>0</v>
          </cell>
          <cell r="V1458">
            <v>0</v>
          </cell>
          <cell r="W1458">
            <v>0</v>
          </cell>
          <cell r="X1458">
            <v>0</v>
          </cell>
          <cell r="Y1458">
            <v>1</v>
          </cell>
          <cell r="Z1458">
            <v>1</v>
          </cell>
          <cell r="AA1458">
            <v>9</v>
          </cell>
          <cell r="AB1458">
            <v>0.1</v>
          </cell>
          <cell r="AC1458">
            <v>0.2</v>
          </cell>
          <cell r="AD1458">
            <v>36</v>
          </cell>
        </row>
        <row r="1459">
          <cell r="A1459">
            <v>40</v>
          </cell>
          <cell r="B1459">
            <v>4</v>
          </cell>
          <cell r="C1459">
            <v>3</v>
          </cell>
          <cell r="D1459">
            <v>2001</v>
          </cell>
          <cell r="E1459">
            <v>2</v>
          </cell>
          <cell r="F1459">
            <v>14</v>
          </cell>
          <cell r="G1459">
            <v>3</v>
          </cell>
          <cell r="H1459">
            <v>3</v>
          </cell>
          <cell r="I1459">
            <v>20</v>
          </cell>
          <cell r="J1459">
            <v>2</v>
          </cell>
          <cell r="K1459">
            <v>5</v>
          </cell>
          <cell r="L1459">
            <v>3</v>
          </cell>
          <cell r="M1459">
            <v>0</v>
          </cell>
          <cell r="N1459">
            <v>1</v>
          </cell>
          <cell r="O1459">
            <v>0</v>
          </cell>
          <cell r="P1459">
            <v>0</v>
          </cell>
          <cell r="Q1459">
            <v>1</v>
          </cell>
          <cell r="R1459">
            <v>0</v>
          </cell>
          <cell r="S1459">
            <v>0</v>
          </cell>
          <cell r="T1459">
            <v>0</v>
          </cell>
          <cell r="U1459">
            <v>0</v>
          </cell>
          <cell r="V1459">
            <v>4</v>
          </cell>
          <cell r="W1459">
            <v>0</v>
          </cell>
          <cell r="X1459">
            <v>0</v>
          </cell>
          <cell r="Y1459">
            <v>0</v>
          </cell>
          <cell r="Z1459">
            <v>0</v>
          </cell>
          <cell r="AA1459">
            <v>9</v>
          </cell>
          <cell r="AB1459">
            <v>0.1</v>
          </cell>
          <cell r="AC1459">
            <v>0.6</v>
          </cell>
          <cell r="AD1459">
            <v>18</v>
          </cell>
        </row>
        <row r="1460">
          <cell r="A1460">
            <v>35</v>
          </cell>
          <cell r="B1460">
            <v>4</v>
          </cell>
          <cell r="C1460">
            <v>1</v>
          </cell>
          <cell r="D1460">
            <v>2977</v>
          </cell>
          <cell r="E1460">
            <v>1</v>
          </cell>
          <cell r="F1460">
            <v>12</v>
          </cell>
          <cell r="G1460">
            <v>3</v>
          </cell>
          <cell r="H1460">
            <v>1</v>
          </cell>
          <cell r="I1460">
            <v>4</v>
          </cell>
          <cell r="J1460">
            <v>5</v>
          </cell>
          <cell r="K1460">
            <v>4</v>
          </cell>
          <cell r="L1460">
            <v>3</v>
          </cell>
          <cell r="M1460">
            <v>0</v>
          </cell>
          <cell r="N1460">
            <v>1</v>
          </cell>
          <cell r="O1460">
            <v>1</v>
          </cell>
          <cell r="P1460">
            <v>0</v>
          </cell>
          <cell r="Q1460">
            <v>0</v>
          </cell>
          <cell r="R1460">
            <v>0</v>
          </cell>
          <cell r="S1460">
            <v>0</v>
          </cell>
          <cell r="T1460">
            <v>4</v>
          </cell>
          <cell r="U1460">
            <v>0</v>
          </cell>
          <cell r="V1460">
            <v>0</v>
          </cell>
          <cell r="W1460">
            <v>0</v>
          </cell>
          <cell r="X1460">
            <v>0</v>
          </cell>
          <cell r="Y1460">
            <v>0</v>
          </cell>
          <cell r="Z1460">
            <v>0</v>
          </cell>
          <cell r="AA1460">
            <v>12</v>
          </cell>
          <cell r="AB1460">
            <v>0.25</v>
          </cell>
          <cell r="AC1460">
            <v>0.75</v>
          </cell>
          <cell r="AD1460">
            <v>48</v>
          </cell>
        </row>
        <row r="1461">
          <cell r="A1461">
            <v>29</v>
          </cell>
          <cell r="B1461">
            <v>2</v>
          </cell>
          <cell r="C1461">
            <v>2</v>
          </cell>
          <cell r="D1461">
            <v>4025</v>
          </cell>
          <cell r="E1461">
            <v>4</v>
          </cell>
          <cell r="F1461">
            <v>13</v>
          </cell>
          <cell r="G1461">
            <v>3</v>
          </cell>
          <cell r="H1461">
            <v>1</v>
          </cell>
          <cell r="I1461">
            <v>10</v>
          </cell>
          <cell r="J1461">
            <v>2</v>
          </cell>
          <cell r="K1461">
            <v>4</v>
          </cell>
          <cell r="L1461">
            <v>3</v>
          </cell>
          <cell r="M1461">
            <v>1</v>
          </cell>
          <cell r="N1461">
            <v>0</v>
          </cell>
          <cell r="O1461">
            <v>0</v>
          </cell>
          <cell r="P1461">
            <v>0</v>
          </cell>
          <cell r="Q1461">
            <v>0</v>
          </cell>
          <cell r="R1461">
            <v>1</v>
          </cell>
          <cell r="S1461">
            <v>0</v>
          </cell>
          <cell r="T1461">
            <v>0</v>
          </cell>
          <cell r="U1461">
            <v>0</v>
          </cell>
          <cell r="V1461">
            <v>0</v>
          </cell>
          <cell r="W1461">
            <v>2</v>
          </cell>
          <cell r="X1461">
            <v>0</v>
          </cell>
          <cell r="Y1461">
            <v>0</v>
          </cell>
          <cell r="Z1461">
            <v>1</v>
          </cell>
          <cell r="AA1461">
            <v>8</v>
          </cell>
          <cell r="AB1461">
            <v>0.4</v>
          </cell>
          <cell r="AC1461">
            <v>0.75</v>
          </cell>
          <cell r="AD1461">
            <v>8</v>
          </cell>
        </row>
        <row r="1462">
          <cell r="A1462">
            <v>29</v>
          </cell>
          <cell r="B1462">
            <v>4</v>
          </cell>
          <cell r="C1462">
            <v>2</v>
          </cell>
          <cell r="D1462">
            <v>3785</v>
          </cell>
          <cell r="E1462">
            <v>1</v>
          </cell>
          <cell r="F1462">
            <v>14</v>
          </cell>
          <cell r="G1462">
            <v>3</v>
          </cell>
          <cell r="H1462">
            <v>0</v>
          </cell>
          <cell r="I1462">
            <v>5</v>
          </cell>
          <cell r="J1462">
            <v>3</v>
          </cell>
          <cell r="K1462">
            <v>5</v>
          </cell>
          <cell r="L1462">
            <v>4</v>
          </cell>
          <cell r="M1462">
            <v>0</v>
          </cell>
          <cell r="N1462">
            <v>1</v>
          </cell>
          <cell r="O1462">
            <v>0</v>
          </cell>
          <cell r="P1462">
            <v>0</v>
          </cell>
          <cell r="Q1462">
            <v>1</v>
          </cell>
          <cell r="R1462">
            <v>0</v>
          </cell>
          <cell r="S1462">
            <v>0</v>
          </cell>
          <cell r="T1462">
            <v>0</v>
          </cell>
          <cell r="U1462">
            <v>0</v>
          </cell>
          <cell r="V1462">
            <v>4</v>
          </cell>
          <cell r="W1462">
            <v>0</v>
          </cell>
          <cell r="X1462">
            <v>0</v>
          </cell>
          <cell r="Y1462">
            <v>0</v>
          </cell>
          <cell r="Z1462">
            <v>0</v>
          </cell>
          <cell r="AA1462">
            <v>4</v>
          </cell>
          <cell r="AB1462">
            <v>0.2</v>
          </cell>
          <cell r="AC1462">
            <v>0.8</v>
          </cell>
          <cell r="AD1462">
            <v>8</v>
          </cell>
        </row>
        <row r="1463">
          <cell r="A1463">
            <v>50</v>
          </cell>
          <cell r="B1463">
            <v>3</v>
          </cell>
          <cell r="C1463">
            <v>2</v>
          </cell>
          <cell r="D1463">
            <v>10854</v>
          </cell>
          <cell r="E1463">
            <v>4</v>
          </cell>
          <cell r="F1463">
            <v>13</v>
          </cell>
          <cell r="G1463">
            <v>3</v>
          </cell>
          <cell r="H1463">
            <v>1</v>
          </cell>
          <cell r="I1463">
            <v>20</v>
          </cell>
          <cell r="J1463">
            <v>3</v>
          </cell>
          <cell r="K1463">
            <v>3</v>
          </cell>
          <cell r="L1463">
            <v>2</v>
          </cell>
          <cell r="M1463">
            <v>1</v>
          </cell>
          <cell r="N1463">
            <v>0</v>
          </cell>
          <cell r="O1463">
            <v>0</v>
          </cell>
          <cell r="P1463">
            <v>1</v>
          </cell>
          <cell r="Q1463">
            <v>0</v>
          </cell>
          <cell r="R1463">
            <v>0</v>
          </cell>
          <cell r="S1463">
            <v>0</v>
          </cell>
          <cell r="T1463">
            <v>0</v>
          </cell>
          <cell r="U1463">
            <v>3</v>
          </cell>
          <cell r="V1463">
            <v>0</v>
          </cell>
          <cell r="W1463">
            <v>0</v>
          </cell>
          <cell r="X1463">
            <v>0</v>
          </cell>
          <cell r="Y1463">
            <v>0</v>
          </cell>
          <cell r="Z1463">
            <v>0</v>
          </cell>
          <cell r="AA1463">
            <v>4</v>
          </cell>
          <cell r="AB1463">
            <v>0.2</v>
          </cell>
          <cell r="AC1463">
            <v>0.66666666666666663</v>
          </cell>
          <cell r="AD1463">
            <v>8</v>
          </cell>
        </row>
        <row r="1464">
          <cell r="A1464">
            <v>39</v>
          </cell>
          <cell r="B1464">
            <v>1</v>
          </cell>
          <cell r="C1464">
            <v>2</v>
          </cell>
          <cell r="D1464">
            <v>12031</v>
          </cell>
          <cell r="E1464">
            <v>0</v>
          </cell>
          <cell r="F1464">
            <v>11</v>
          </cell>
          <cell r="G1464">
            <v>3</v>
          </cell>
          <cell r="H1464">
            <v>1</v>
          </cell>
          <cell r="I1464">
            <v>21</v>
          </cell>
          <cell r="J1464">
            <v>2</v>
          </cell>
          <cell r="K1464">
            <v>20</v>
          </cell>
          <cell r="L1464">
            <v>9</v>
          </cell>
          <cell r="M1464">
            <v>0</v>
          </cell>
          <cell r="N1464">
            <v>1</v>
          </cell>
          <cell r="O1464">
            <v>0</v>
          </cell>
          <cell r="P1464">
            <v>1</v>
          </cell>
          <cell r="Q1464">
            <v>0</v>
          </cell>
          <cell r="R1464">
            <v>0</v>
          </cell>
          <cell r="S1464">
            <v>0</v>
          </cell>
          <cell r="T1464">
            <v>0</v>
          </cell>
          <cell r="U1464">
            <v>1</v>
          </cell>
          <cell r="V1464">
            <v>0</v>
          </cell>
          <cell r="W1464">
            <v>0</v>
          </cell>
          <cell r="X1464">
            <v>0</v>
          </cell>
          <cell r="Y1464">
            <v>0</v>
          </cell>
          <cell r="Z1464">
            <v>0</v>
          </cell>
          <cell r="AA1464">
            <v>8</v>
          </cell>
          <cell r="AB1464">
            <v>0</v>
          </cell>
          <cell r="AC1464">
            <v>0.45</v>
          </cell>
          <cell r="AD1464">
            <v>8</v>
          </cell>
        </row>
        <row r="1465">
          <cell r="A1465">
            <v>31</v>
          </cell>
          <cell r="B1465">
            <v>3</v>
          </cell>
          <cell r="C1465">
            <v>3</v>
          </cell>
          <cell r="D1465">
            <v>9936</v>
          </cell>
          <cell r="E1465">
            <v>0</v>
          </cell>
          <cell r="F1465">
            <v>19</v>
          </cell>
          <cell r="G1465">
            <v>3</v>
          </cell>
          <cell r="H1465">
            <v>0</v>
          </cell>
          <cell r="I1465">
            <v>10</v>
          </cell>
          <cell r="J1465">
            <v>2</v>
          </cell>
          <cell r="K1465">
            <v>9</v>
          </cell>
          <cell r="L1465">
            <v>4</v>
          </cell>
          <cell r="M1465">
            <v>0</v>
          </cell>
          <cell r="N1465">
            <v>0</v>
          </cell>
          <cell r="O1465">
            <v>0</v>
          </cell>
          <cell r="P1465">
            <v>0</v>
          </cell>
          <cell r="Q1465">
            <v>1</v>
          </cell>
          <cell r="R1465">
            <v>0</v>
          </cell>
          <cell r="S1465">
            <v>0</v>
          </cell>
          <cell r="T1465">
            <v>0</v>
          </cell>
          <cell r="U1465">
            <v>0</v>
          </cell>
          <cell r="V1465">
            <v>3</v>
          </cell>
          <cell r="W1465">
            <v>0</v>
          </cell>
          <cell r="X1465">
            <v>0</v>
          </cell>
          <cell r="Y1465">
            <v>0</v>
          </cell>
          <cell r="Z1465">
            <v>0</v>
          </cell>
          <cell r="AA1465">
            <v>2</v>
          </cell>
          <cell r="AB1465">
            <v>0</v>
          </cell>
          <cell r="AC1465">
            <v>0.44444444444444442</v>
          </cell>
          <cell r="AD1465">
            <v>4</v>
          </cell>
        </row>
        <row r="1466">
          <cell r="A1466">
            <v>26</v>
          </cell>
          <cell r="B1466">
            <v>3</v>
          </cell>
          <cell r="C1466">
            <v>2</v>
          </cell>
          <cell r="D1466">
            <v>2966</v>
          </cell>
          <cell r="E1466">
            <v>0</v>
          </cell>
          <cell r="F1466">
            <v>18</v>
          </cell>
          <cell r="G1466">
            <v>3</v>
          </cell>
          <cell r="H1466">
            <v>0</v>
          </cell>
          <cell r="I1466">
            <v>5</v>
          </cell>
          <cell r="J1466">
            <v>2</v>
          </cell>
          <cell r="K1466">
            <v>4</v>
          </cell>
          <cell r="L1466">
            <v>2</v>
          </cell>
          <cell r="M1466">
            <v>0</v>
          </cell>
          <cell r="N1466">
            <v>1</v>
          </cell>
          <cell r="O1466">
            <v>0</v>
          </cell>
          <cell r="P1466">
            <v>0</v>
          </cell>
          <cell r="Q1466">
            <v>0</v>
          </cell>
          <cell r="R1466">
            <v>1</v>
          </cell>
          <cell r="S1466">
            <v>0</v>
          </cell>
          <cell r="T1466">
            <v>0</v>
          </cell>
          <cell r="U1466">
            <v>0</v>
          </cell>
          <cell r="V1466">
            <v>0</v>
          </cell>
          <cell r="W1466">
            <v>3</v>
          </cell>
          <cell r="X1466">
            <v>0</v>
          </cell>
          <cell r="Y1466">
            <v>0</v>
          </cell>
          <cell r="Z1466">
            <v>0</v>
          </cell>
          <cell r="AA1466">
            <v>12</v>
          </cell>
          <cell r="AB1466">
            <v>0</v>
          </cell>
          <cell r="AC1466">
            <v>0.5</v>
          </cell>
          <cell r="AD1466">
            <v>48</v>
          </cell>
        </row>
        <row r="1467">
          <cell r="A1467">
            <v>36</v>
          </cell>
          <cell r="B1467">
            <v>2</v>
          </cell>
          <cell r="C1467">
            <v>4</v>
          </cell>
          <cell r="D1467">
            <v>2571</v>
          </cell>
          <cell r="E1467">
            <v>4</v>
          </cell>
          <cell r="F1467">
            <v>17</v>
          </cell>
          <cell r="G1467">
            <v>3</v>
          </cell>
          <cell r="H1467">
            <v>1</v>
          </cell>
          <cell r="I1467">
            <v>17</v>
          </cell>
          <cell r="J1467">
            <v>3</v>
          </cell>
          <cell r="K1467">
            <v>5</v>
          </cell>
          <cell r="L1467">
            <v>2</v>
          </cell>
          <cell r="M1467">
            <v>0</v>
          </cell>
          <cell r="N1467">
            <v>0</v>
          </cell>
          <cell r="O1467">
            <v>0</v>
          </cell>
          <cell r="P1467">
            <v>0</v>
          </cell>
          <cell r="Q1467">
            <v>1</v>
          </cell>
          <cell r="R1467">
            <v>0</v>
          </cell>
          <cell r="S1467">
            <v>0</v>
          </cell>
          <cell r="T1467">
            <v>0</v>
          </cell>
          <cell r="U1467">
            <v>0</v>
          </cell>
          <cell r="V1467">
            <v>2</v>
          </cell>
          <cell r="W1467">
            <v>0</v>
          </cell>
          <cell r="X1467">
            <v>0</v>
          </cell>
          <cell r="Y1467">
            <v>1</v>
          </cell>
          <cell r="Z1467">
            <v>0</v>
          </cell>
          <cell r="AA1467">
            <v>12</v>
          </cell>
          <cell r="AB1467">
            <v>0.23529411764705882</v>
          </cell>
          <cell r="AC1467">
            <v>0.4</v>
          </cell>
          <cell r="AD1467">
            <v>36</v>
          </cell>
        </row>
        <row r="1468">
          <cell r="A1468">
            <v>39</v>
          </cell>
          <cell r="B1468">
            <v>1</v>
          </cell>
          <cell r="C1468">
            <v>2</v>
          </cell>
          <cell r="D1468">
            <v>9991</v>
          </cell>
          <cell r="E1468">
            <v>4</v>
          </cell>
          <cell r="F1468">
            <v>15</v>
          </cell>
          <cell r="G1468">
            <v>3</v>
          </cell>
          <cell r="H1468">
            <v>1</v>
          </cell>
          <cell r="I1468">
            <v>9</v>
          </cell>
          <cell r="J1468">
            <v>5</v>
          </cell>
          <cell r="K1468">
            <v>7</v>
          </cell>
          <cell r="L1468">
            <v>7</v>
          </cell>
          <cell r="M1468">
            <v>0</v>
          </cell>
          <cell r="N1468">
            <v>0</v>
          </cell>
          <cell r="O1468">
            <v>0</v>
          </cell>
          <cell r="P1468">
            <v>0</v>
          </cell>
          <cell r="Q1468">
            <v>1</v>
          </cell>
          <cell r="R1468">
            <v>0</v>
          </cell>
          <cell r="S1468">
            <v>0</v>
          </cell>
          <cell r="T1468">
            <v>0</v>
          </cell>
          <cell r="U1468">
            <v>0</v>
          </cell>
          <cell r="V1468">
            <v>1</v>
          </cell>
          <cell r="W1468">
            <v>0</v>
          </cell>
          <cell r="X1468">
            <v>0</v>
          </cell>
          <cell r="Y1468">
            <v>0</v>
          </cell>
          <cell r="Z1468">
            <v>0</v>
          </cell>
          <cell r="AA1468">
            <v>4</v>
          </cell>
          <cell r="AB1468">
            <v>0.44444444444444442</v>
          </cell>
          <cell r="AC1468">
            <v>1</v>
          </cell>
          <cell r="AD1468">
            <v>4</v>
          </cell>
        </row>
        <row r="1469">
          <cell r="A1469">
            <v>27</v>
          </cell>
          <cell r="B1469">
            <v>3</v>
          </cell>
          <cell r="C1469">
            <v>4</v>
          </cell>
          <cell r="D1469">
            <v>6142</v>
          </cell>
          <cell r="E1469">
            <v>1</v>
          </cell>
          <cell r="F1469">
            <v>20</v>
          </cell>
          <cell r="G1469">
            <v>4</v>
          </cell>
          <cell r="H1469">
            <v>1</v>
          </cell>
          <cell r="I1469">
            <v>6</v>
          </cell>
          <cell r="J1469">
            <v>0</v>
          </cell>
          <cell r="K1469">
            <v>6</v>
          </cell>
          <cell r="L1469">
            <v>2</v>
          </cell>
          <cell r="M1469">
            <v>1</v>
          </cell>
          <cell r="N1469">
            <v>0</v>
          </cell>
          <cell r="O1469">
            <v>1</v>
          </cell>
          <cell r="P1469">
            <v>0</v>
          </cell>
          <cell r="Q1469">
            <v>0</v>
          </cell>
          <cell r="R1469">
            <v>0</v>
          </cell>
          <cell r="S1469">
            <v>0</v>
          </cell>
          <cell r="T1469">
            <v>3</v>
          </cell>
          <cell r="U1469">
            <v>0</v>
          </cell>
          <cell r="V1469">
            <v>0</v>
          </cell>
          <cell r="W1469">
            <v>0</v>
          </cell>
          <cell r="X1469">
            <v>0</v>
          </cell>
          <cell r="Y1469">
            <v>0</v>
          </cell>
          <cell r="Z1469">
            <v>1</v>
          </cell>
          <cell r="AA1469">
            <v>4</v>
          </cell>
          <cell r="AB1469">
            <v>0.16666666666666666</v>
          </cell>
          <cell r="AC1469">
            <v>0.33333333333333331</v>
          </cell>
          <cell r="AD1469">
            <v>8</v>
          </cell>
        </row>
        <row r="1470">
          <cell r="A1470">
            <v>49</v>
          </cell>
          <cell r="B1470">
            <v>3</v>
          </cell>
          <cell r="C1470">
            <v>2</v>
          </cell>
          <cell r="D1470">
            <v>5390</v>
          </cell>
          <cell r="E1470">
            <v>2</v>
          </cell>
          <cell r="F1470">
            <v>14</v>
          </cell>
          <cell r="G1470">
            <v>3</v>
          </cell>
          <cell r="H1470">
            <v>0</v>
          </cell>
          <cell r="I1470">
            <v>17</v>
          </cell>
          <cell r="J1470">
            <v>3</v>
          </cell>
          <cell r="K1470">
            <v>9</v>
          </cell>
          <cell r="L1470">
            <v>6</v>
          </cell>
          <cell r="M1470">
            <v>0</v>
          </cell>
          <cell r="N1470">
            <v>0</v>
          </cell>
          <cell r="O1470">
            <v>0</v>
          </cell>
          <cell r="P1470">
            <v>0</v>
          </cell>
          <cell r="Q1470">
            <v>1</v>
          </cell>
          <cell r="R1470">
            <v>0</v>
          </cell>
          <cell r="S1470">
            <v>0</v>
          </cell>
          <cell r="T1470">
            <v>0</v>
          </cell>
          <cell r="U1470">
            <v>0</v>
          </cell>
          <cell r="V1470">
            <v>3</v>
          </cell>
          <cell r="W1470">
            <v>0</v>
          </cell>
          <cell r="X1470">
            <v>0</v>
          </cell>
          <cell r="Y1470">
            <v>1</v>
          </cell>
          <cell r="Z1470">
            <v>0</v>
          </cell>
          <cell r="AA1470">
            <v>8</v>
          </cell>
          <cell r="AB1470">
            <v>0.11764705882352941</v>
          </cell>
          <cell r="AC1470">
            <v>0.66666666666666663</v>
          </cell>
          <cell r="AD1470">
            <v>32</v>
          </cell>
        </row>
        <row r="1471">
          <cell r="A1471">
            <v>34</v>
          </cell>
          <cell r="B1471">
            <v>3</v>
          </cell>
          <cell r="C1471">
            <v>4</v>
          </cell>
          <cell r="D1471">
            <v>4404</v>
          </cell>
          <cell r="E1471">
            <v>2</v>
          </cell>
          <cell r="F1471">
            <v>12</v>
          </cell>
          <cell r="G1471">
            <v>3</v>
          </cell>
          <cell r="H1471">
            <v>0</v>
          </cell>
          <cell r="I1471">
            <v>6</v>
          </cell>
          <cell r="J1471">
            <v>3</v>
          </cell>
          <cell r="K1471">
            <v>4</v>
          </cell>
          <cell r="L1471">
            <v>3</v>
          </cell>
          <cell r="M1471">
            <v>0</v>
          </cell>
          <cell r="N1471">
            <v>0</v>
          </cell>
          <cell r="O1471">
            <v>0</v>
          </cell>
          <cell r="P1471">
            <v>0</v>
          </cell>
          <cell r="Q1471">
            <v>1</v>
          </cell>
          <cell r="R1471">
            <v>0</v>
          </cell>
          <cell r="S1471">
            <v>0</v>
          </cell>
          <cell r="T1471">
            <v>0</v>
          </cell>
          <cell r="U1471">
            <v>0</v>
          </cell>
          <cell r="V1471">
            <v>3</v>
          </cell>
          <cell r="W1471">
            <v>0</v>
          </cell>
          <cell r="X1471">
            <v>0</v>
          </cell>
          <cell r="Y1471">
            <v>0</v>
          </cell>
          <cell r="Z1471">
            <v>0</v>
          </cell>
          <cell r="AA1471">
            <v>6</v>
          </cell>
          <cell r="AB1471">
            <v>0.33333333333333331</v>
          </cell>
          <cell r="AC1471">
            <v>0.75</v>
          </cell>
          <cell r="AD1471">
            <v>6</v>
          </cell>
        </row>
      </sheetData>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Dictionary"/>
      <sheetName val="Data"/>
      <sheetName val="Pivot"/>
      <sheetName val="Initial Data View"/>
      <sheetName val="Visualizations"/>
      <sheetName val="_PalUtilTempWorksheet"/>
      <sheetName val="Linear_Joblevel_YrsCurrentMgr"/>
      <sheetName val="Correlation without Dummy"/>
      <sheetName val="Correlation w Dummy"/>
      <sheetName val="Scatterplot for Salary"/>
      <sheetName val="Linear on all Salary Variables"/>
      <sheetName val="Linear Regression w significant"/>
      <sheetName val="pivot for Interaction"/>
      <sheetName val="Linear Regression Interaction"/>
      <sheetName val="Logit_Gender_NoCompWorked"/>
      <sheetName val="Logistic Regression Before"/>
      <sheetName val="Logistic  with Significant var"/>
      <sheetName val="Hypothesis Testing"/>
      <sheetName val="Scatterplot for Attrition"/>
      <sheetName val="_Palisade_DataViewerSettings"/>
      <sheetName val="Data View After winsorize"/>
      <sheetName val="Numerical Descriptive Technique"/>
      <sheetName val="_STDS_DG194D4B04"/>
    </sheetNames>
    <sheetDataSet>
      <sheetData sheetId="0"/>
      <sheetData sheetId="1">
        <row r="2">
          <cell r="A2">
            <v>41</v>
          </cell>
          <cell r="B2">
            <v>41</v>
          </cell>
          <cell r="D2">
            <v>1</v>
          </cell>
          <cell r="F2">
            <v>0</v>
          </cell>
          <cell r="G2">
            <v>1</v>
          </cell>
          <cell r="I2">
            <v>0</v>
          </cell>
          <cell r="J2">
            <v>1</v>
          </cell>
          <cell r="K2">
            <v>1</v>
          </cell>
          <cell r="L2">
            <v>1</v>
          </cell>
          <cell r="M2">
            <v>2</v>
          </cell>
          <cell r="O2">
            <v>1</v>
          </cell>
          <cell r="P2">
            <v>0</v>
          </cell>
          <cell r="Q2">
            <v>0</v>
          </cell>
          <cell r="R2">
            <v>0</v>
          </cell>
          <cell r="S2">
            <v>0</v>
          </cell>
          <cell r="T2">
            <v>2</v>
          </cell>
          <cell r="V2">
            <v>1</v>
          </cell>
          <cell r="W2">
            <v>94</v>
          </cell>
          <cell r="X2">
            <v>3</v>
          </cell>
          <cell r="Y2">
            <v>2</v>
          </cell>
          <cell r="AA2">
            <v>0</v>
          </cell>
          <cell r="AB2">
            <v>1</v>
          </cell>
          <cell r="AC2">
            <v>0</v>
          </cell>
          <cell r="AD2">
            <v>0</v>
          </cell>
          <cell r="AE2">
            <v>0</v>
          </cell>
          <cell r="AF2">
            <v>0</v>
          </cell>
          <cell r="AG2">
            <v>0</v>
          </cell>
          <cell r="AH2">
            <v>0</v>
          </cell>
          <cell r="AI2">
            <v>4</v>
          </cell>
          <cell r="AK2">
            <v>1</v>
          </cell>
          <cell r="AL2">
            <v>0</v>
          </cell>
          <cell r="AN2">
            <v>5993</v>
          </cell>
          <cell r="AO2">
            <v>8</v>
          </cell>
          <cell r="AQ2">
            <v>1</v>
          </cell>
          <cell r="AR2">
            <v>11</v>
          </cell>
          <cell r="AS2">
            <v>3</v>
          </cell>
          <cell r="AT2">
            <v>1</v>
          </cell>
          <cell r="AU2">
            <v>0</v>
          </cell>
          <cell r="AV2">
            <v>8</v>
          </cell>
          <cell r="AW2">
            <v>8</v>
          </cell>
          <cell r="AX2">
            <v>0</v>
          </cell>
          <cell r="AY2">
            <v>1</v>
          </cell>
          <cell r="AZ2">
            <v>6</v>
          </cell>
          <cell r="BA2">
            <v>6</v>
          </cell>
          <cell r="BB2">
            <v>4</v>
          </cell>
          <cell r="BC2">
            <v>0</v>
          </cell>
          <cell r="BD2">
            <v>0</v>
          </cell>
          <cell r="BE2">
            <v>5</v>
          </cell>
          <cell r="BF2">
            <v>5</v>
          </cell>
          <cell r="BG2">
            <v>10</v>
          </cell>
          <cell r="BH2">
            <v>1</v>
          </cell>
          <cell r="BI2">
            <v>0</v>
          </cell>
          <cell r="BJ2">
            <v>0</v>
          </cell>
          <cell r="BK2">
            <v>0</v>
          </cell>
          <cell r="BL2">
            <v>0</v>
          </cell>
          <cell r="BM2">
            <v>1</v>
          </cell>
          <cell r="BN2">
            <v>0</v>
          </cell>
          <cell r="BO2">
            <v>0</v>
          </cell>
          <cell r="BP2">
            <v>0</v>
          </cell>
          <cell r="BQ2">
            <v>0</v>
          </cell>
          <cell r="BR2">
            <v>5</v>
          </cell>
          <cell r="BS2">
            <v>0</v>
          </cell>
          <cell r="BT2">
            <v>0</v>
          </cell>
          <cell r="BU2">
            <v>8</v>
          </cell>
        </row>
        <row r="3">
          <cell r="A3">
            <v>49</v>
          </cell>
          <cell r="B3">
            <v>49</v>
          </cell>
          <cell r="D3">
            <v>0</v>
          </cell>
          <cell r="F3">
            <v>1</v>
          </cell>
          <cell r="G3">
            <v>0</v>
          </cell>
          <cell r="I3">
            <v>1</v>
          </cell>
          <cell r="J3">
            <v>0</v>
          </cell>
          <cell r="K3">
            <v>8</v>
          </cell>
          <cell r="L3">
            <v>8</v>
          </cell>
          <cell r="M3">
            <v>1</v>
          </cell>
          <cell r="O3">
            <v>1</v>
          </cell>
          <cell r="P3">
            <v>0</v>
          </cell>
          <cell r="Q3">
            <v>0</v>
          </cell>
          <cell r="R3">
            <v>0</v>
          </cell>
          <cell r="S3">
            <v>0</v>
          </cell>
          <cell r="T3">
            <v>3</v>
          </cell>
          <cell r="V3">
            <v>0</v>
          </cell>
          <cell r="W3">
            <v>61</v>
          </cell>
          <cell r="X3">
            <v>2</v>
          </cell>
          <cell r="Y3">
            <v>2</v>
          </cell>
          <cell r="AA3">
            <v>0</v>
          </cell>
          <cell r="AB3">
            <v>0</v>
          </cell>
          <cell r="AC3">
            <v>0</v>
          </cell>
          <cell r="AD3">
            <v>0</v>
          </cell>
          <cell r="AE3">
            <v>0</v>
          </cell>
          <cell r="AF3">
            <v>0</v>
          </cell>
          <cell r="AG3">
            <v>0</v>
          </cell>
          <cell r="AH3">
            <v>1</v>
          </cell>
          <cell r="AI3">
            <v>2</v>
          </cell>
          <cell r="AK3">
            <v>0</v>
          </cell>
          <cell r="AL3">
            <v>1</v>
          </cell>
          <cell r="AN3">
            <v>5130</v>
          </cell>
          <cell r="AO3">
            <v>1</v>
          </cell>
          <cell r="AQ3">
            <v>0</v>
          </cell>
          <cell r="AR3">
            <v>23</v>
          </cell>
          <cell r="AS3">
            <v>4</v>
          </cell>
          <cell r="AT3">
            <v>4</v>
          </cell>
          <cell r="AU3">
            <v>1</v>
          </cell>
          <cell r="AV3">
            <v>10</v>
          </cell>
          <cell r="AW3">
            <v>10</v>
          </cell>
          <cell r="AX3">
            <v>3</v>
          </cell>
          <cell r="AY3">
            <v>3</v>
          </cell>
          <cell r="AZ3">
            <v>10</v>
          </cell>
          <cell r="BA3">
            <v>10</v>
          </cell>
          <cell r="BB3">
            <v>7</v>
          </cell>
          <cell r="BC3">
            <v>1</v>
          </cell>
          <cell r="BD3">
            <v>1</v>
          </cell>
          <cell r="BE3">
            <v>7</v>
          </cell>
          <cell r="BF3">
            <v>7</v>
          </cell>
          <cell r="BG3">
            <v>14</v>
          </cell>
          <cell r="BH3">
            <v>0</v>
          </cell>
          <cell r="BI3">
            <v>0</v>
          </cell>
          <cell r="BJ3">
            <v>0</v>
          </cell>
          <cell r="BK3">
            <v>1</v>
          </cell>
          <cell r="BL3">
            <v>0</v>
          </cell>
          <cell r="BM3">
            <v>0</v>
          </cell>
          <cell r="BN3">
            <v>1</v>
          </cell>
          <cell r="BO3">
            <v>0</v>
          </cell>
          <cell r="BP3">
            <v>0</v>
          </cell>
          <cell r="BQ3">
            <v>7</v>
          </cell>
          <cell r="BR3">
            <v>0</v>
          </cell>
          <cell r="BS3">
            <v>0</v>
          </cell>
          <cell r="BT3">
            <v>10</v>
          </cell>
          <cell r="BU3">
            <v>0</v>
          </cell>
        </row>
        <row r="4">
          <cell r="A4">
            <v>37</v>
          </cell>
          <cell r="B4">
            <v>37</v>
          </cell>
          <cell r="D4">
            <v>1</v>
          </cell>
          <cell r="F4">
            <v>0</v>
          </cell>
          <cell r="G4">
            <v>1</v>
          </cell>
          <cell r="I4">
            <v>1</v>
          </cell>
          <cell r="J4">
            <v>0</v>
          </cell>
          <cell r="K4">
            <v>2</v>
          </cell>
          <cell r="L4">
            <v>2</v>
          </cell>
          <cell r="M4">
            <v>2</v>
          </cell>
          <cell r="O4">
            <v>0</v>
          </cell>
          <cell r="P4">
            <v>1</v>
          </cell>
          <cell r="Q4">
            <v>0</v>
          </cell>
          <cell r="R4">
            <v>0</v>
          </cell>
          <cell r="S4">
            <v>0</v>
          </cell>
          <cell r="T4">
            <v>4</v>
          </cell>
          <cell r="V4">
            <v>0</v>
          </cell>
          <cell r="W4">
            <v>92</v>
          </cell>
          <cell r="X4">
            <v>2</v>
          </cell>
          <cell r="Y4">
            <v>1</v>
          </cell>
          <cell r="AA4">
            <v>0</v>
          </cell>
          <cell r="AB4">
            <v>0</v>
          </cell>
          <cell r="AC4">
            <v>1</v>
          </cell>
          <cell r="AD4">
            <v>0</v>
          </cell>
          <cell r="AE4">
            <v>0</v>
          </cell>
          <cell r="AF4">
            <v>0</v>
          </cell>
          <cell r="AG4">
            <v>0</v>
          </cell>
          <cell r="AH4">
            <v>0</v>
          </cell>
          <cell r="AI4">
            <v>3</v>
          </cell>
          <cell r="AK4">
            <v>1</v>
          </cell>
          <cell r="AL4">
            <v>0</v>
          </cell>
          <cell r="AN4">
            <v>2090</v>
          </cell>
          <cell r="AO4">
            <v>6</v>
          </cell>
          <cell r="AQ4">
            <v>1</v>
          </cell>
          <cell r="AR4">
            <v>15</v>
          </cell>
          <cell r="AS4">
            <v>3</v>
          </cell>
          <cell r="AT4">
            <v>2</v>
          </cell>
          <cell r="AU4">
            <v>0</v>
          </cell>
          <cell r="AV4">
            <v>7</v>
          </cell>
          <cell r="AW4">
            <v>7</v>
          </cell>
          <cell r="AX4">
            <v>3</v>
          </cell>
          <cell r="AY4">
            <v>3</v>
          </cell>
          <cell r="AZ4">
            <v>0</v>
          </cell>
          <cell r="BA4">
            <v>0</v>
          </cell>
          <cell r="BB4">
            <v>0</v>
          </cell>
          <cell r="BC4">
            <v>0</v>
          </cell>
          <cell r="BD4">
            <v>0</v>
          </cell>
          <cell r="BE4">
            <v>0</v>
          </cell>
          <cell r="BF4">
            <v>0</v>
          </cell>
          <cell r="BG4">
            <v>0</v>
          </cell>
          <cell r="BH4">
            <v>1</v>
          </cell>
          <cell r="BI4">
            <v>0</v>
          </cell>
          <cell r="BJ4">
            <v>0</v>
          </cell>
          <cell r="BK4">
            <v>0</v>
          </cell>
          <cell r="BL4">
            <v>0</v>
          </cell>
          <cell r="BM4">
            <v>1</v>
          </cell>
          <cell r="BN4">
            <v>0</v>
          </cell>
          <cell r="BO4">
            <v>0</v>
          </cell>
          <cell r="BP4">
            <v>0</v>
          </cell>
          <cell r="BQ4">
            <v>0</v>
          </cell>
          <cell r="BR4">
            <v>0</v>
          </cell>
          <cell r="BS4">
            <v>0</v>
          </cell>
          <cell r="BT4">
            <v>7</v>
          </cell>
          <cell r="BU4">
            <v>0</v>
          </cell>
        </row>
        <row r="5">
          <cell r="A5">
            <v>33</v>
          </cell>
          <cell r="B5">
            <v>33</v>
          </cell>
          <cell r="D5">
            <v>0</v>
          </cell>
          <cell r="F5">
            <v>1</v>
          </cell>
          <cell r="G5">
            <v>0</v>
          </cell>
          <cell r="I5">
            <v>1</v>
          </cell>
          <cell r="J5">
            <v>0</v>
          </cell>
          <cell r="K5">
            <v>3</v>
          </cell>
          <cell r="L5">
            <v>3</v>
          </cell>
          <cell r="M5">
            <v>4</v>
          </cell>
          <cell r="O5">
            <v>1</v>
          </cell>
          <cell r="P5">
            <v>0</v>
          </cell>
          <cell r="Q5">
            <v>0</v>
          </cell>
          <cell r="R5">
            <v>0</v>
          </cell>
          <cell r="S5">
            <v>0</v>
          </cell>
          <cell r="T5">
            <v>4</v>
          </cell>
          <cell r="V5">
            <v>1</v>
          </cell>
          <cell r="W5">
            <v>56</v>
          </cell>
          <cell r="X5">
            <v>3</v>
          </cell>
          <cell r="Y5">
            <v>1</v>
          </cell>
          <cell r="AA5">
            <v>0</v>
          </cell>
          <cell r="AB5">
            <v>0</v>
          </cell>
          <cell r="AC5">
            <v>0</v>
          </cell>
          <cell r="AD5">
            <v>0</v>
          </cell>
          <cell r="AE5">
            <v>0</v>
          </cell>
          <cell r="AF5">
            <v>0</v>
          </cell>
          <cell r="AG5">
            <v>0</v>
          </cell>
          <cell r="AH5">
            <v>1</v>
          </cell>
          <cell r="AI5">
            <v>3</v>
          </cell>
          <cell r="AK5">
            <v>0</v>
          </cell>
          <cell r="AL5">
            <v>1</v>
          </cell>
          <cell r="AN5">
            <v>2909</v>
          </cell>
          <cell r="AO5">
            <v>1</v>
          </cell>
          <cell r="AQ5">
            <v>1</v>
          </cell>
          <cell r="AR5">
            <v>11</v>
          </cell>
          <cell r="AS5">
            <v>3</v>
          </cell>
          <cell r="AT5">
            <v>3</v>
          </cell>
          <cell r="AU5">
            <v>0</v>
          </cell>
          <cell r="AV5">
            <v>8</v>
          </cell>
          <cell r="AW5">
            <v>8</v>
          </cell>
          <cell r="AX5">
            <v>3</v>
          </cell>
          <cell r="AY5">
            <v>3</v>
          </cell>
          <cell r="AZ5">
            <v>8</v>
          </cell>
          <cell r="BA5">
            <v>8</v>
          </cell>
          <cell r="BB5">
            <v>7</v>
          </cell>
          <cell r="BC5">
            <v>3</v>
          </cell>
          <cell r="BD5">
            <v>3</v>
          </cell>
          <cell r="BE5">
            <v>0</v>
          </cell>
          <cell r="BF5">
            <v>0</v>
          </cell>
          <cell r="BG5">
            <v>0</v>
          </cell>
          <cell r="BH5">
            <v>0</v>
          </cell>
          <cell r="BI5">
            <v>0</v>
          </cell>
          <cell r="BJ5">
            <v>0</v>
          </cell>
          <cell r="BK5">
            <v>1</v>
          </cell>
          <cell r="BL5">
            <v>0</v>
          </cell>
          <cell r="BM5">
            <v>0</v>
          </cell>
          <cell r="BN5">
            <v>0</v>
          </cell>
          <cell r="BO5">
            <v>1</v>
          </cell>
          <cell r="BP5">
            <v>0</v>
          </cell>
          <cell r="BQ5">
            <v>0</v>
          </cell>
          <cell r="BR5">
            <v>0</v>
          </cell>
          <cell r="BS5">
            <v>0</v>
          </cell>
          <cell r="BT5">
            <v>8</v>
          </cell>
          <cell r="BU5">
            <v>0</v>
          </cell>
        </row>
        <row r="6">
          <cell r="A6">
            <v>27</v>
          </cell>
          <cell r="B6">
            <v>27</v>
          </cell>
          <cell r="D6">
            <v>0</v>
          </cell>
          <cell r="F6">
            <v>0</v>
          </cell>
          <cell r="G6">
            <v>1</v>
          </cell>
          <cell r="I6">
            <v>1</v>
          </cell>
          <cell r="J6">
            <v>0</v>
          </cell>
          <cell r="K6">
            <v>2</v>
          </cell>
          <cell r="L6">
            <v>2</v>
          </cell>
          <cell r="M6">
            <v>1</v>
          </cell>
          <cell r="O6">
            <v>0</v>
          </cell>
          <cell r="P6">
            <v>0</v>
          </cell>
          <cell r="Q6">
            <v>1</v>
          </cell>
          <cell r="R6">
            <v>0</v>
          </cell>
          <cell r="S6">
            <v>0</v>
          </cell>
          <cell r="T6">
            <v>1</v>
          </cell>
          <cell r="V6">
            <v>0</v>
          </cell>
          <cell r="W6">
            <v>40</v>
          </cell>
          <cell r="X6">
            <v>3</v>
          </cell>
          <cell r="Y6">
            <v>1</v>
          </cell>
          <cell r="AA6">
            <v>0</v>
          </cell>
          <cell r="AB6">
            <v>0</v>
          </cell>
          <cell r="AC6">
            <v>1</v>
          </cell>
          <cell r="AD6">
            <v>0</v>
          </cell>
          <cell r="AE6">
            <v>0</v>
          </cell>
          <cell r="AF6">
            <v>0</v>
          </cell>
          <cell r="AG6">
            <v>0</v>
          </cell>
          <cell r="AH6">
            <v>0</v>
          </cell>
          <cell r="AI6">
            <v>2</v>
          </cell>
          <cell r="AK6">
            <v>0</v>
          </cell>
          <cell r="AL6">
            <v>1</v>
          </cell>
          <cell r="AN6">
            <v>3468</v>
          </cell>
          <cell r="AO6">
            <v>9</v>
          </cell>
          <cell r="AQ6">
            <v>0</v>
          </cell>
          <cell r="AR6">
            <v>12</v>
          </cell>
          <cell r="AS6">
            <v>3</v>
          </cell>
          <cell r="AT6">
            <v>4</v>
          </cell>
          <cell r="AU6">
            <v>1</v>
          </cell>
          <cell r="AV6">
            <v>6</v>
          </cell>
          <cell r="AW6">
            <v>6</v>
          </cell>
          <cell r="AX6">
            <v>3</v>
          </cell>
          <cell r="AY6">
            <v>3</v>
          </cell>
          <cell r="AZ6">
            <v>2</v>
          </cell>
          <cell r="BA6">
            <v>2</v>
          </cell>
          <cell r="BB6">
            <v>2</v>
          </cell>
          <cell r="BC6">
            <v>2</v>
          </cell>
          <cell r="BD6">
            <v>2</v>
          </cell>
          <cell r="BE6">
            <v>2</v>
          </cell>
          <cell r="BF6">
            <v>2</v>
          </cell>
          <cell r="BG6">
            <v>2</v>
          </cell>
          <cell r="BH6">
            <v>0</v>
          </cell>
          <cell r="BI6">
            <v>1</v>
          </cell>
          <cell r="BJ6">
            <v>0</v>
          </cell>
          <cell r="BK6">
            <v>0</v>
          </cell>
          <cell r="BL6">
            <v>0</v>
          </cell>
          <cell r="BM6">
            <v>0</v>
          </cell>
          <cell r="BN6">
            <v>1</v>
          </cell>
          <cell r="BO6">
            <v>0</v>
          </cell>
          <cell r="BP6">
            <v>0</v>
          </cell>
          <cell r="BQ6">
            <v>2</v>
          </cell>
          <cell r="BR6">
            <v>0</v>
          </cell>
          <cell r="BS6">
            <v>0</v>
          </cell>
          <cell r="BT6">
            <v>6</v>
          </cell>
          <cell r="BU6">
            <v>0</v>
          </cell>
        </row>
        <row r="7">
          <cell r="A7">
            <v>32</v>
          </cell>
          <cell r="B7">
            <v>32</v>
          </cell>
          <cell r="D7">
            <v>0</v>
          </cell>
          <cell r="F7">
            <v>1</v>
          </cell>
          <cell r="G7">
            <v>0</v>
          </cell>
          <cell r="I7">
            <v>1</v>
          </cell>
          <cell r="J7">
            <v>0</v>
          </cell>
          <cell r="K7">
            <v>2</v>
          </cell>
          <cell r="L7">
            <v>2</v>
          </cell>
          <cell r="M7">
            <v>2</v>
          </cell>
          <cell r="O7">
            <v>1</v>
          </cell>
          <cell r="P7">
            <v>0</v>
          </cell>
          <cell r="Q7">
            <v>0</v>
          </cell>
          <cell r="R7">
            <v>0</v>
          </cell>
          <cell r="S7">
            <v>0</v>
          </cell>
          <cell r="T7">
            <v>4</v>
          </cell>
          <cell r="V7">
            <v>0</v>
          </cell>
          <cell r="W7">
            <v>79</v>
          </cell>
          <cell r="X7">
            <v>3</v>
          </cell>
          <cell r="Y7">
            <v>1</v>
          </cell>
          <cell r="AA7">
            <v>0</v>
          </cell>
          <cell r="AB7">
            <v>0</v>
          </cell>
          <cell r="AC7">
            <v>1</v>
          </cell>
          <cell r="AD7">
            <v>0</v>
          </cell>
          <cell r="AE7">
            <v>0</v>
          </cell>
          <cell r="AF7">
            <v>0</v>
          </cell>
          <cell r="AG7">
            <v>0</v>
          </cell>
          <cell r="AH7">
            <v>0</v>
          </cell>
          <cell r="AI7">
            <v>4</v>
          </cell>
          <cell r="AK7">
            <v>1</v>
          </cell>
          <cell r="AL7">
            <v>0</v>
          </cell>
          <cell r="AN7">
            <v>3068</v>
          </cell>
          <cell r="AO7">
            <v>0</v>
          </cell>
          <cell r="AQ7">
            <v>0</v>
          </cell>
          <cell r="AR7">
            <v>13</v>
          </cell>
          <cell r="AS7">
            <v>3</v>
          </cell>
          <cell r="AT7">
            <v>3</v>
          </cell>
          <cell r="AU7">
            <v>0</v>
          </cell>
          <cell r="AV7">
            <v>8</v>
          </cell>
          <cell r="AW7">
            <v>8</v>
          </cell>
          <cell r="AX7">
            <v>2</v>
          </cell>
          <cell r="AY7">
            <v>2</v>
          </cell>
          <cell r="AZ7">
            <v>7</v>
          </cell>
          <cell r="BA7">
            <v>7</v>
          </cell>
          <cell r="BB7">
            <v>7</v>
          </cell>
          <cell r="BC7">
            <v>3</v>
          </cell>
          <cell r="BD7">
            <v>3</v>
          </cell>
          <cell r="BE7">
            <v>6</v>
          </cell>
          <cell r="BF7">
            <v>6</v>
          </cell>
          <cell r="BG7">
            <v>6</v>
          </cell>
          <cell r="BH7">
            <v>0</v>
          </cell>
          <cell r="BI7">
            <v>0</v>
          </cell>
          <cell r="BJ7">
            <v>1</v>
          </cell>
          <cell r="BK7">
            <v>0</v>
          </cell>
          <cell r="BL7">
            <v>1</v>
          </cell>
          <cell r="BM7">
            <v>0</v>
          </cell>
          <cell r="BN7">
            <v>0</v>
          </cell>
          <cell r="BO7">
            <v>0</v>
          </cell>
          <cell r="BP7">
            <v>0</v>
          </cell>
          <cell r="BQ7">
            <v>6</v>
          </cell>
          <cell r="BR7">
            <v>0</v>
          </cell>
          <cell r="BS7">
            <v>0</v>
          </cell>
          <cell r="BT7">
            <v>8</v>
          </cell>
          <cell r="BU7">
            <v>0</v>
          </cell>
        </row>
        <row r="8">
          <cell r="A8">
            <v>59</v>
          </cell>
          <cell r="B8">
            <v>58.309999999999945</v>
          </cell>
          <cell r="D8">
            <v>0</v>
          </cell>
          <cell r="F8">
            <v>0</v>
          </cell>
          <cell r="G8">
            <v>1</v>
          </cell>
          <cell r="I8">
            <v>1</v>
          </cell>
          <cell r="J8">
            <v>0</v>
          </cell>
          <cell r="K8">
            <v>3</v>
          </cell>
          <cell r="L8">
            <v>3</v>
          </cell>
          <cell r="M8">
            <v>3</v>
          </cell>
          <cell r="O8">
            <v>0</v>
          </cell>
          <cell r="P8">
            <v>0</v>
          </cell>
          <cell r="Q8">
            <v>1</v>
          </cell>
          <cell r="R8">
            <v>0</v>
          </cell>
          <cell r="S8">
            <v>0</v>
          </cell>
          <cell r="T8">
            <v>3</v>
          </cell>
          <cell r="V8">
            <v>1</v>
          </cell>
          <cell r="W8">
            <v>81</v>
          </cell>
          <cell r="X8">
            <v>4</v>
          </cell>
          <cell r="Y8">
            <v>1</v>
          </cell>
          <cell r="AA8">
            <v>0</v>
          </cell>
          <cell r="AB8">
            <v>0</v>
          </cell>
          <cell r="AC8">
            <v>1</v>
          </cell>
          <cell r="AD8">
            <v>0</v>
          </cell>
          <cell r="AE8">
            <v>0</v>
          </cell>
          <cell r="AF8">
            <v>0</v>
          </cell>
          <cell r="AG8">
            <v>0</v>
          </cell>
          <cell r="AH8">
            <v>0</v>
          </cell>
          <cell r="AI8">
            <v>1</v>
          </cell>
          <cell r="AK8">
            <v>0</v>
          </cell>
          <cell r="AL8">
            <v>1</v>
          </cell>
          <cell r="AN8">
            <v>2670</v>
          </cell>
          <cell r="AO8">
            <v>4</v>
          </cell>
          <cell r="AQ8">
            <v>1</v>
          </cell>
          <cell r="AR8">
            <v>20</v>
          </cell>
          <cell r="AS8">
            <v>4</v>
          </cell>
          <cell r="AT8">
            <v>1</v>
          </cell>
          <cell r="AU8">
            <v>3</v>
          </cell>
          <cell r="AV8">
            <v>12</v>
          </cell>
          <cell r="AW8">
            <v>12</v>
          </cell>
          <cell r="AX8">
            <v>3</v>
          </cell>
          <cell r="AY8">
            <v>2</v>
          </cell>
          <cell r="AZ8">
            <v>1</v>
          </cell>
          <cell r="BA8">
            <v>1</v>
          </cell>
          <cell r="BB8">
            <v>0</v>
          </cell>
          <cell r="BC8">
            <v>0</v>
          </cell>
          <cell r="BD8">
            <v>0</v>
          </cell>
          <cell r="BE8">
            <v>0</v>
          </cell>
          <cell r="BF8">
            <v>0</v>
          </cell>
          <cell r="BG8">
            <v>0</v>
          </cell>
          <cell r="BH8">
            <v>0</v>
          </cell>
          <cell r="BI8">
            <v>1</v>
          </cell>
          <cell r="BJ8">
            <v>0</v>
          </cell>
          <cell r="BK8">
            <v>0</v>
          </cell>
          <cell r="BL8">
            <v>0</v>
          </cell>
          <cell r="BM8">
            <v>0</v>
          </cell>
          <cell r="BN8">
            <v>0</v>
          </cell>
          <cell r="BO8">
            <v>1</v>
          </cell>
          <cell r="BP8">
            <v>0</v>
          </cell>
          <cell r="BQ8">
            <v>0</v>
          </cell>
          <cell r="BR8">
            <v>0</v>
          </cell>
          <cell r="BS8">
            <v>0</v>
          </cell>
          <cell r="BT8">
            <v>12</v>
          </cell>
          <cell r="BU8">
            <v>0</v>
          </cell>
        </row>
        <row r="9">
          <cell r="A9">
            <v>30</v>
          </cell>
          <cell r="B9">
            <v>30</v>
          </cell>
          <cell r="D9">
            <v>0</v>
          </cell>
          <cell r="F9">
            <v>0</v>
          </cell>
          <cell r="G9">
            <v>1</v>
          </cell>
          <cell r="I9">
            <v>1</v>
          </cell>
          <cell r="J9">
            <v>0</v>
          </cell>
          <cell r="K9">
            <v>24</v>
          </cell>
          <cell r="L9">
            <v>24</v>
          </cell>
          <cell r="M9">
            <v>1</v>
          </cell>
          <cell r="O9">
            <v>1</v>
          </cell>
          <cell r="P9">
            <v>0</v>
          </cell>
          <cell r="Q9">
            <v>0</v>
          </cell>
          <cell r="R9">
            <v>0</v>
          </cell>
          <cell r="S9">
            <v>0</v>
          </cell>
          <cell r="T9">
            <v>4</v>
          </cell>
          <cell r="V9">
            <v>0</v>
          </cell>
          <cell r="W9">
            <v>67</v>
          </cell>
          <cell r="X9">
            <v>3</v>
          </cell>
          <cell r="Y9">
            <v>1</v>
          </cell>
          <cell r="AA9">
            <v>0</v>
          </cell>
          <cell r="AB9">
            <v>0</v>
          </cell>
          <cell r="AC9">
            <v>1</v>
          </cell>
          <cell r="AD9">
            <v>0</v>
          </cell>
          <cell r="AE9">
            <v>0</v>
          </cell>
          <cell r="AF9">
            <v>0</v>
          </cell>
          <cell r="AG9">
            <v>0</v>
          </cell>
          <cell r="AH9">
            <v>0</v>
          </cell>
          <cell r="AI9">
            <v>3</v>
          </cell>
          <cell r="AK9">
            <v>0</v>
          </cell>
          <cell r="AL9">
            <v>0</v>
          </cell>
          <cell r="AN9">
            <v>2693</v>
          </cell>
          <cell r="AO9">
            <v>1</v>
          </cell>
          <cell r="AQ9">
            <v>0</v>
          </cell>
          <cell r="AR9">
            <v>22</v>
          </cell>
          <cell r="AS9">
            <v>4</v>
          </cell>
          <cell r="AT9">
            <v>2</v>
          </cell>
          <cell r="AU9">
            <v>1</v>
          </cell>
          <cell r="AV9">
            <v>1</v>
          </cell>
          <cell r="AW9">
            <v>1</v>
          </cell>
          <cell r="AX9">
            <v>2</v>
          </cell>
          <cell r="AY9">
            <v>3</v>
          </cell>
          <cell r="AZ9">
            <v>1</v>
          </cell>
          <cell r="BA9">
            <v>1</v>
          </cell>
          <cell r="BB9">
            <v>0</v>
          </cell>
          <cell r="BC9">
            <v>0</v>
          </cell>
          <cell r="BD9">
            <v>0</v>
          </cell>
          <cell r="BE9">
            <v>0</v>
          </cell>
          <cell r="BF9">
            <v>0</v>
          </cell>
          <cell r="BG9">
            <v>0</v>
          </cell>
          <cell r="BH9">
            <v>1</v>
          </cell>
          <cell r="BI9">
            <v>0</v>
          </cell>
          <cell r="BJ9">
            <v>0</v>
          </cell>
          <cell r="BK9">
            <v>0</v>
          </cell>
          <cell r="BL9">
            <v>1</v>
          </cell>
          <cell r="BM9">
            <v>0</v>
          </cell>
          <cell r="BN9">
            <v>0</v>
          </cell>
          <cell r="BO9">
            <v>0</v>
          </cell>
          <cell r="BP9">
            <v>0</v>
          </cell>
          <cell r="BQ9">
            <v>0</v>
          </cell>
          <cell r="BR9">
            <v>0</v>
          </cell>
          <cell r="BS9">
            <v>0</v>
          </cell>
          <cell r="BT9">
            <v>1</v>
          </cell>
          <cell r="BU9">
            <v>0</v>
          </cell>
        </row>
        <row r="10">
          <cell r="A10">
            <v>38</v>
          </cell>
          <cell r="B10">
            <v>38</v>
          </cell>
          <cell r="D10">
            <v>0</v>
          </cell>
          <cell r="F10">
            <v>1</v>
          </cell>
          <cell r="G10">
            <v>0</v>
          </cell>
          <cell r="I10">
            <v>1</v>
          </cell>
          <cell r="J10">
            <v>0</v>
          </cell>
          <cell r="K10">
            <v>23</v>
          </cell>
          <cell r="L10">
            <v>23</v>
          </cell>
          <cell r="M10">
            <v>3</v>
          </cell>
          <cell r="O10">
            <v>1</v>
          </cell>
          <cell r="P10">
            <v>0</v>
          </cell>
          <cell r="Q10">
            <v>0</v>
          </cell>
          <cell r="R10">
            <v>0</v>
          </cell>
          <cell r="S10">
            <v>0</v>
          </cell>
          <cell r="T10">
            <v>4</v>
          </cell>
          <cell r="V10">
            <v>0</v>
          </cell>
          <cell r="W10">
            <v>44</v>
          </cell>
          <cell r="X10">
            <v>2</v>
          </cell>
          <cell r="Y10">
            <v>3</v>
          </cell>
          <cell r="AA10">
            <v>0</v>
          </cell>
          <cell r="AB10">
            <v>0</v>
          </cell>
          <cell r="AC10">
            <v>0</v>
          </cell>
          <cell r="AD10">
            <v>0</v>
          </cell>
          <cell r="AE10">
            <v>1</v>
          </cell>
          <cell r="AF10">
            <v>1</v>
          </cell>
          <cell r="AG10">
            <v>0</v>
          </cell>
          <cell r="AH10">
            <v>0</v>
          </cell>
          <cell r="AI10">
            <v>3</v>
          </cell>
          <cell r="AK10">
            <v>1</v>
          </cell>
          <cell r="AL10">
            <v>0</v>
          </cell>
          <cell r="AN10">
            <v>9526</v>
          </cell>
          <cell r="AO10">
            <v>0</v>
          </cell>
          <cell r="AQ10">
            <v>0</v>
          </cell>
          <cell r="AR10">
            <v>21</v>
          </cell>
          <cell r="AS10">
            <v>4</v>
          </cell>
          <cell r="AT10">
            <v>2</v>
          </cell>
          <cell r="AU10">
            <v>0</v>
          </cell>
          <cell r="AV10">
            <v>10</v>
          </cell>
          <cell r="AW10">
            <v>10</v>
          </cell>
          <cell r="AX10">
            <v>2</v>
          </cell>
          <cell r="AY10">
            <v>3</v>
          </cell>
          <cell r="AZ10">
            <v>9</v>
          </cell>
          <cell r="BA10">
            <v>9</v>
          </cell>
          <cell r="BB10">
            <v>7</v>
          </cell>
          <cell r="BC10">
            <v>1</v>
          </cell>
          <cell r="BD10">
            <v>1</v>
          </cell>
          <cell r="BE10">
            <v>8</v>
          </cell>
          <cell r="BF10">
            <v>8</v>
          </cell>
          <cell r="BG10">
            <v>24</v>
          </cell>
          <cell r="BH10">
            <v>0</v>
          </cell>
          <cell r="BI10">
            <v>0</v>
          </cell>
          <cell r="BJ10">
            <v>1</v>
          </cell>
          <cell r="BK10">
            <v>0</v>
          </cell>
          <cell r="BL10">
            <v>1</v>
          </cell>
          <cell r="BM10">
            <v>0</v>
          </cell>
          <cell r="BN10">
            <v>0</v>
          </cell>
          <cell r="BO10">
            <v>0</v>
          </cell>
          <cell r="BP10">
            <v>0</v>
          </cell>
          <cell r="BQ10">
            <v>8</v>
          </cell>
          <cell r="BR10">
            <v>0</v>
          </cell>
          <cell r="BS10">
            <v>0</v>
          </cell>
          <cell r="BT10">
            <v>10</v>
          </cell>
          <cell r="BU10">
            <v>0</v>
          </cell>
        </row>
        <row r="11">
          <cell r="A11">
            <v>36</v>
          </cell>
          <cell r="B11">
            <v>36</v>
          </cell>
          <cell r="D11">
            <v>0</v>
          </cell>
          <cell r="F11">
            <v>0</v>
          </cell>
          <cell r="G11">
            <v>1</v>
          </cell>
          <cell r="I11">
            <v>1</v>
          </cell>
          <cell r="J11">
            <v>0</v>
          </cell>
          <cell r="K11">
            <v>27</v>
          </cell>
          <cell r="L11">
            <v>27</v>
          </cell>
          <cell r="M11">
            <v>3</v>
          </cell>
          <cell r="O11">
            <v>0</v>
          </cell>
          <cell r="P11">
            <v>0</v>
          </cell>
          <cell r="Q11">
            <v>1</v>
          </cell>
          <cell r="R11">
            <v>0</v>
          </cell>
          <cell r="S11">
            <v>0</v>
          </cell>
          <cell r="T11">
            <v>3</v>
          </cell>
          <cell r="V11">
            <v>0</v>
          </cell>
          <cell r="W11">
            <v>94</v>
          </cell>
          <cell r="X11">
            <v>3</v>
          </cell>
          <cell r="Y11">
            <v>2</v>
          </cell>
          <cell r="AA11">
            <v>1</v>
          </cell>
          <cell r="AB11">
            <v>0</v>
          </cell>
          <cell r="AC11">
            <v>0</v>
          </cell>
          <cell r="AD11">
            <v>0</v>
          </cell>
          <cell r="AE11">
            <v>0</v>
          </cell>
          <cell r="AF11">
            <v>0</v>
          </cell>
          <cell r="AG11">
            <v>0</v>
          </cell>
          <cell r="AH11">
            <v>0</v>
          </cell>
          <cell r="AI11">
            <v>3</v>
          </cell>
          <cell r="AK11">
            <v>0</v>
          </cell>
          <cell r="AL11">
            <v>1</v>
          </cell>
          <cell r="AN11">
            <v>5237</v>
          </cell>
          <cell r="AO11">
            <v>6</v>
          </cell>
          <cell r="AQ11">
            <v>0</v>
          </cell>
          <cell r="AR11">
            <v>13</v>
          </cell>
          <cell r="AS11">
            <v>3</v>
          </cell>
          <cell r="AT11">
            <v>2</v>
          </cell>
          <cell r="AU11">
            <v>2</v>
          </cell>
          <cell r="AV11">
            <v>17</v>
          </cell>
          <cell r="AW11">
            <v>17</v>
          </cell>
          <cell r="AX11">
            <v>3</v>
          </cell>
          <cell r="AY11">
            <v>2</v>
          </cell>
          <cell r="AZ11">
            <v>7</v>
          </cell>
          <cell r="BA11">
            <v>7</v>
          </cell>
          <cell r="BB11">
            <v>7</v>
          </cell>
          <cell r="BC11">
            <v>7</v>
          </cell>
          <cell r="BD11">
            <v>7</v>
          </cell>
          <cell r="BE11">
            <v>7</v>
          </cell>
          <cell r="BF11">
            <v>7</v>
          </cell>
          <cell r="BG11">
            <v>14</v>
          </cell>
          <cell r="BH11">
            <v>0</v>
          </cell>
          <cell r="BI11">
            <v>1</v>
          </cell>
          <cell r="BJ11">
            <v>0</v>
          </cell>
          <cell r="BK11">
            <v>0</v>
          </cell>
          <cell r="BL11">
            <v>0</v>
          </cell>
          <cell r="BM11">
            <v>0</v>
          </cell>
          <cell r="BN11">
            <v>1</v>
          </cell>
          <cell r="BO11">
            <v>0</v>
          </cell>
          <cell r="BP11">
            <v>0</v>
          </cell>
          <cell r="BQ11">
            <v>7</v>
          </cell>
          <cell r="BR11">
            <v>0</v>
          </cell>
          <cell r="BS11">
            <v>0</v>
          </cell>
          <cell r="BT11">
            <v>17</v>
          </cell>
          <cell r="BU11">
            <v>0</v>
          </cell>
        </row>
        <row r="12">
          <cell r="A12">
            <v>35</v>
          </cell>
          <cell r="B12">
            <v>35</v>
          </cell>
          <cell r="D12">
            <v>0</v>
          </cell>
          <cell r="F12">
            <v>0</v>
          </cell>
          <cell r="G12">
            <v>1</v>
          </cell>
          <cell r="I12">
            <v>1</v>
          </cell>
          <cell r="J12">
            <v>0</v>
          </cell>
          <cell r="K12">
            <v>16</v>
          </cell>
          <cell r="L12">
            <v>16</v>
          </cell>
          <cell r="M12">
            <v>3</v>
          </cell>
          <cell r="O12">
            <v>0</v>
          </cell>
          <cell r="P12">
            <v>0</v>
          </cell>
          <cell r="Q12">
            <v>1</v>
          </cell>
          <cell r="R12">
            <v>0</v>
          </cell>
          <cell r="S12">
            <v>0</v>
          </cell>
          <cell r="T12">
            <v>1</v>
          </cell>
          <cell r="V12">
            <v>0</v>
          </cell>
          <cell r="W12">
            <v>84</v>
          </cell>
          <cell r="X12">
            <v>4</v>
          </cell>
          <cell r="Y12">
            <v>1</v>
          </cell>
          <cell r="AA12">
            <v>0</v>
          </cell>
          <cell r="AB12">
            <v>0</v>
          </cell>
          <cell r="AC12">
            <v>1</v>
          </cell>
          <cell r="AD12">
            <v>0</v>
          </cell>
          <cell r="AE12">
            <v>0</v>
          </cell>
          <cell r="AF12">
            <v>0</v>
          </cell>
          <cell r="AG12">
            <v>0</v>
          </cell>
          <cell r="AH12">
            <v>0</v>
          </cell>
          <cell r="AI12">
            <v>2</v>
          </cell>
          <cell r="AK12">
            <v>0</v>
          </cell>
          <cell r="AL12">
            <v>1</v>
          </cell>
          <cell r="AN12">
            <v>2426</v>
          </cell>
          <cell r="AO12">
            <v>0</v>
          </cell>
          <cell r="AQ12">
            <v>0</v>
          </cell>
          <cell r="AR12">
            <v>13</v>
          </cell>
          <cell r="AS12">
            <v>3</v>
          </cell>
          <cell r="AT12">
            <v>3</v>
          </cell>
          <cell r="AU12">
            <v>1</v>
          </cell>
          <cell r="AV12">
            <v>6</v>
          </cell>
          <cell r="AW12">
            <v>6</v>
          </cell>
          <cell r="AX12">
            <v>5</v>
          </cell>
          <cell r="AY12">
            <v>3</v>
          </cell>
          <cell r="AZ12">
            <v>5</v>
          </cell>
          <cell r="BA12">
            <v>5</v>
          </cell>
          <cell r="BB12">
            <v>4</v>
          </cell>
          <cell r="BC12">
            <v>0</v>
          </cell>
          <cell r="BD12">
            <v>0</v>
          </cell>
          <cell r="BE12">
            <v>3</v>
          </cell>
          <cell r="BF12">
            <v>3</v>
          </cell>
          <cell r="BG12">
            <v>3</v>
          </cell>
          <cell r="BH12">
            <v>0</v>
          </cell>
          <cell r="BI12">
            <v>1</v>
          </cell>
          <cell r="BJ12">
            <v>0</v>
          </cell>
          <cell r="BK12">
            <v>0</v>
          </cell>
          <cell r="BL12">
            <v>0</v>
          </cell>
          <cell r="BM12">
            <v>0</v>
          </cell>
          <cell r="BN12">
            <v>1</v>
          </cell>
          <cell r="BO12">
            <v>0</v>
          </cell>
          <cell r="BP12">
            <v>0</v>
          </cell>
          <cell r="BQ12">
            <v>3</v>
          </cell>
          <cell r="BR12">
            <v>0</v>
          </cell>
          <cell r="BS12">
            <v>0</v>
          </cell>
          <cell r="BT12">
            <v>6</v>
          </cell>
          <cell r="BU12">
            <v>0</v>
          </cell>
        </row>
        <row r="13">
          <cell r="A13">
            <v>29</v>
          </cell>
          <cell r="B13">
            <v>29</v>
          </cell>
          <cell r="D13">
            <v>0</v>
          </cell>
          <cell r="F13">
            <v>0</v>
          </cell>
          <cell r="G13">
            <v>1</v>
          </cell>
          <cell r="I13">
            <v>1</v>
          </cell>
          <cell r="J13">
            <v>0</v>
          </cell>
          <cell r="K13">
            <v>15</v>
          </cell>
          <cell r="L13">
            <v>15</v>
          </cell>
          <cell r="M13">
            <v>2</v>
          </cell>
          <cell r="O13">
            <v>1</v>
          </cell>
          <cell r="P13">
            <v>0</v>
          </cell>
          <cell r="Q13">
            <v>0</v>
          </cell>
          <cell r="R13">
            <v>0</v>
          </cell>
          <cell r="S13">
            <v>0</v>
          </cell>
          <cell r="T13">
            <v>4</v>
          </cell>
          <cell r="V13">
            <v>1</v>
          </cell>
          <cell r="W13">
            <v>49</v>
          </cell>
          <cell r="X13">
            <v>2</v>
          </cell>
          <cell r="Y13">
            <v>2</v>
          </cell>
          <cell r="AA13">
            <v>0</v>
          </cell>
          <cell r="AB13">
            <v>0</v>
          </cell>
          <cell r="AC13">
            <v>1</v>
          </cell>
          <cell r="AD13">
            <v>0</v>
          </cell>
          <cell r="AE13">
            <v>0</v>
          </cell>
          <cell r="AF13">
            <v>0</v>
          </cell>
          <cell r="AG13">
            <v>0</v>
          </cell>
          <cell r="AH13">
            <v>0</v>
          </cell>
          <cell r="AI13">
            <v>3</v>
          </cell>
          <cell r="AK13">
            <v>1</v>
          </cell>
          <cell r="AL13">
            <v>0</v>
          </cell>
          <cell r="AN13">
            <v>4193</v>
          </cell>
          <cell r="AO13">
            <v>0</v>
          </cell>
          <cell r="AQ13">
            <v>1</v>
          </cell>
          <cell r="AR13">
            <v>12</v>
          </cell>
          <cell r="AS13">
            <v>3</v>
          </cell>
          <cell r="AT13">
            <v>4</v>
          </cell>
          <cell r="AU13">
            <v>0</v>
          </cell>
          <cell r="AV13">
            <v>10</v>
          </cell>
          <cell r="AW13">
            <v>10</v>
          </cell>
          <cell r="AX13">
            <v>3</v>
          </cell>
          <cell r="AY13">
            <v>3</v>
          </cell>
          <cell r="AZ13">
            <v>9</v>
          </cell>
          <cell r="BA13">
            <v>9</v>
          </cell>
          <cell r="BB13">
            <v>5</v>
          </cell>
          <cell r="BC13">
            <v>0</v>
          </cell>
          <cell r="BD13">
            <v>0</v>
          </cell>
          <cell r="BE13">
            <v>8</v>
          </cell>
          <cell r="BF13">
            <v>8</v>
          </cell>
          <cell r="BG13">
            <v>16</v>
          </cell>
          <cell r="BH13">
            <v>1</v>
          </cell>
          <cell r="BI13">
            <v>0</v>
          </cell>
          <cell r="BJ13">
            <v>0</v>
          </cell>
          <cell r="BK13">
            <v>0</v>
          </cell>
          <cell r="BL13">
            <v>0</v>
          </cell>
          <cell r="BM13">
            <v>1</v>
          </cell>
          <cell r="BN13">
            <v>0</v>
          </cell>
          <cell r="BO13">
            <v>0</v>
          </cell>
          <cell r="BP13">
            <v>0</v>
          </cell>
          <cell r="BQ13">
            <v>8</v>
          </cell>
          <cell r="BR13">
            <v>0</v>
          </cell>
          <cell r="BS13">
            <v>0</v>
          </cell>
          <cell r="BT13">
            <v>10</v>
          </cell>
          <cell r="BU13">
            <v>0</v>
          </cell>
        </row>
        <row r="14">
          <cell r="A14">
            <v>31</v>
          </cell>
          <cell r="B14">
            <v>31</v>
          </cell>
          <cell r="D14">
            <v>0</v>
          </cell>
          <cell r="F14">
            <v>0</v>
          </cell>
          <cell r="G14">
            <v>1</v>
          </cell>
          <cell r="I14">
            <v>1</v>
          </cell>
          <cell r="J14">
            <v>0</v>
          </cell>
          <cell r="K14">
            <v>26</v>
          </cell>
          <cell r="L14">
            <v>26</v>
          </cell>
          <cell r="M14">
            <v>1</v>
          </cell>
          <cell r="O14">
            <v>1</v>
          </cell>
          <cell r="P14">
            <v>0</v>
          </cell>
          <cell r="Q14">
            <v>0</v>
          </cell>
          <cell r="R14">
            <v>0</v>
          </cell>
          <cell r="S14">
            <v>0</v>
          </cell>
          <cell r="T14">
            <v>1</v>
          </cell>
          <cell r="V14">
            <v>0</v>
          </cell>
          <cell r="W14">
            <v>31</v>
          </cell>
          <cell r="X14">
            <v>3</v>
          </cell>
          <cell r="Y14">
            <v>1</v>
          </cell>
          <cell r="AA14">
            <v>0</v>
          </cell>
          <cell r="AB14">
            <v>0</v>
          </cell>
          <cell r="AC14">
            <v>0</v>
          </cell>
          <cell r="AD14">
            <v>0</v>
          </cell>
          <cell r="AE14">
            <v>0</v>
          </cell>
          <cell r="AF14">
            <v>0</v>
          </cell>
          <cell r="AG14">
            <v>0</v>
          </cell>
          <cell r="AH14">
            <v>1</v>
          </cell>
          <cell r="AI14">
            <v>3</v>
          </cell>
          <cell r="AK14">
            <v>0</v>
          </cell>
          <cell r="AL14">
            <v>0</v>
          </cell>
          <cell r="AN14">
            <v>2911</v>
          </cell>
          <cell r="AO14">
            <v>1</v>
          </cell>
          <cell r="AQ14">
            <v>0</v>
          </cell>
          <cell r="AR14">
            <v>17</v>
          </cell>
          <cell r="AS14">
            <v>3</v>
          </cell>
          <cell r="AT14">
            <v>4</v>
          </cell>
          <cell r="AU14">
            <v>1</v>
          </cell>
          <cell r="AV14">
            <v>5</v>
          </cell>
          <cell r="AW14">
            <v>5</v>
          </cell>
          <cell r="AX14">
            <v>1</v>
          </cell>
          <cell r="AY14">
            <v>2</v>
          </cell>
          <cell r="AZ14">
            <v>5</v>
          </cell>
          <cell r="BA14">
            <v>5</v>
          </cell>
          <cell r="BB14">
            <v>2</v>
          </cell>
          <cell r="BC14">
            <v>4</v>
          </cell>
          <cell r="BD14">
            <v>4</v>
          </cell>
          <cell r="BE14">
            <v>3</v>
          </cell>
          <cell r="BF14">
            <v>3</v>
          </cell>
          <cell r="BG14">
            <v>3</v>
          </cell>
          <cell r="BH14">
            <v>1</v>
          </cell>
          <cell r="BI14">
            <v>0</v>
          </cell>
          <cell r="BJ14">
            <v>0</v>
          </cell>
          <cell r="BK14">
            <v>0</v>
          </cell>
          <cell r="BL14">
            <v>1</v>
          </cell>
          <cell r="BM14">
            <v>0</v>
          </cell>
          <cell r="BN14">
            <v>0</v>
          </cell>
          <cell r="BO14">
            <v>0</v>
          </cell>
          <cell r="BP14">
            <v>0</v>
          </cell>
          <cell r="BQ14">
            <v>3</v>
          </cell>
          <cell r="BR14">
            <v>0</v>
          </cell>
          <cell r="BS14">
            <v>0</v>
          </cell>
          <cell r="BT14">
            <v>5</v>
          </cell>
          <cell r="BU14">
            <v>0</v>
          </cell>
        </row>
        <row r="15">
          <cell r="A15">
            <v>34</v>
          </cell>
          <cell r="B15">
            <v>34</v>
          </cell>
          <cell r="D15">
            <v>0</v>
          </cell>
          <cell r="F15">
            <v>0</v>
          </cell>
          <cell r="G15">
            <v>1</v>
          </cell>
          <cell r="I15">
            <v>1</v>
          </cell>
          <cell r="J15">
            <v>0</v>
          </cell>
          <cell r="K15">
            <v>19</v>
          </cell>
          <cell r="L15">
            <v>19</v>
          </cell>
          <cell r="M15">
            <v>2</v>
          </cell>
          <cell r="O15">
            <v>0</v>
          </cell>
          <cell r="P15">
            <v>0</v>
          </cell>
          <cell r="Q15">
            <v>1</v>
          </cell>
          <cell r="R15">
            <v>0</v>
          </cell>
          <cell r="S15">
            <v>0</v>
          </cell>
          <cell r="T15">
            <v>2</v>
          </cell>
          <cell r="V15">
            <v>0</v>
          </cell>
          <cell r="W15">
            <v>93</v>
          </cell>
          <cell r="X15">
            <v>3</v>
          </cell>
          <cell r="Y15">
            <v>1</v>
          </cell>
          <cell r="AA15">
            <v>0</v>
          </cell>
          <cell r="AB15">
            <v>0</v>
          </cell>
          <cell r="AC15">
            <v>1</v>
          </cell>
          <cell r="AD15">
            <v>0</v>
          </cell>
          <cell r="AE15">
            <v>0</v>
          </cell>
          <cell r="AF15">
            <v>0</v>
          </cell>
          <cell r="AG15">
            <v>0</v>
          </cell>
          <cell r="AH15">
            <v>0</v>
          </cell>
          <cell r="AI15">
            <v>4</v>
          </cell>
          <cell r="AK15">
            <v>0</v>
          </cell>
          <cell r="AL15">
            <v>0</v>
          </cell>
          <cell r="AN15">
            <v>2661</v>
          </cell>
          <cell r="AO15">
            <v>0</v>
          </cell>
          <cell r="AQ15">
            <v>0</v>
          </cell>
          <cell r="AR15">
            <v>11</v>
          </cell>
          <cell r="AS15">
            <v>3</v>
          </cell>
          <cell r="AT15">
            <v>3</v>
          </cell>
          <cell r="AU15">
            <v>1</v>
          </cell>
          <cell r="AV15">
            <v>3</v>
          </cell>
          <cell r="AW15">
            <v>3</v>
          </cell>
          <cell r="AX15">
            <v>2</v>
          </cell>
          <cell r="AY15">
            <v>3</v>
          </cell>
          <cell r="AZ15">
            <v>2</v>
          </cell>
          <cell r="BA15">
            <v>2</v>
          </cell>
          <cell r="BB15">
            <v>2</v>
          </cell>
          <cell r="BC15">
            <v>1</v>
          </cell>
          <cell r="BD15">
            <v>1</v>
          </cell>
          <cell r="BE15">
            <v>2</v>
          </cell>
          <cell r="BF15">
            <v>2</v>
          </cell>
          <cell r="BG15">
            <v>2</v>
          </cell>
          <cell r="BH15">
            <v>1</v>
          </cell>
          <cell r="BI15">
            <v>0</v>
          </cell>
          <cell r="BJ15">
            <v>0</v>
          </cell>
          <cell r="BK15">
            <v>0</v>
          </cell>
          <cell r="BL15">
            <v>1</v>
          </cell>
          <cell r="BM15">
            <v>0</v>
          </cell>
          <cell r="BN15">
            <v>0</v>
          </cell>
          <cell r="BO15">
            <v>0</v>
          </cell>
          <cell r="BP15">
            <v>0</v>
          </cell>
          <cell r="BQ15">
            <v>2</v>
          </cell>
          <cell r="BR15">
            <v>0</v>
          </cell>
          <cell r="BS15">
            <v>0</v>
          </cell>
          <cell r="BT15">
            <v>3</v>
          </cell>
          <cell r="BU15">
            <v>0</v>
          </cell>
        </row>
        <row r="16">
          <cell r="A16">
            <v>28</v>
          </cell>
          <cell r="B16">
            <v>28</v>
          </cell>
          <cell r="D16">
            <v>1</v>
          </cell>
          <cell r="F16">
            <v>0</v>
          </cell>
          <cell r="G16">
            <v>1</v>
          </cell>
          <cell r="I16">
            <v>1</v>
          </cell>
          <cell r="J16">
            <v>0</v>
          </cell>
          <cell r="K16">
            <v>24</v>
          </cell>
          <cell r="L16">
            <v>24</v>
          </cell>
          <cell r="M16">
            <v>3</v>
          </cell>
          <cell r="O16">
            <v>1</v>
          </cell>
          <cell r="P16">
            <v>0</v>
          </cell>
          <cell r="Q16">
            <v>0</v>
          </cell>
          <cell r="R16">
            <v>0</v>
          </cell>
          <cell r="S16">
            <v>0</v>
          </cell>
          <cell r="T16">
            <v>3</v>
          </cell>
          <cell r="V16">
            <v>0</v>
          </cell>
          <cell r="W16">
            <v>50</v>
          </cell>
          <cell r="X16">
            <v>2</v>
          </cell>
          <cell r="Y16">
            <v>1</v>
          </cell>
          <cell r="AA16">
            <v>0</v>
          </cell>
          <cell r="AB16">
            <v>0</v>
          </cell>
          <cell r="AC16">
            <v>1</v>
          </cell>
          <cell r="AD16">
            <v>0</v>
          </cell>
          <cell r="AE16">
            <v>0</v>
          </cell>
          <cell r="AF16">
            <v>0</v>
          </cell>
          <cell r="AG16">
            <v>0</v>
          </cell>
          <cell r="AH16">
            <v>0</v>
          </cell>
          <cell r="AI16">
            <v>3</v>
          </cell>
          <cell r="AK16">
            <v>1</v>
          </cell>
          <cell r="AL16">
            <v>0</v>
          </cell>
          <cell r="AN16">
            <v>2028</v>
          </cell>
          <cell r="AO16">
            <v>5</v>
          </cell>
          <cell r="AQ16">
            <v>1</v>
          </cell>
          <cell r="AR16">
            <v>14</v>
          </cell>
          <cell r="AS16">
            <v>3</v>
          </cell>
          <cell r="AT16">
            <v>2</v>
          </cell>
          <cell r="AU16">
            <v>0</v>
          </cell>
          <cell r="AV16">
            <v>6</v>
          </cell>
          <cell r="AW16">
            <v>6</v>
          </cell>
          <cell r="AX16">
            <v>4</v>
          </cell>
          <cell r="AY16">
            <v>3</v>
          </cell>
          <cell r="AZ16">
            <v>4</v>
          </cell>
          <cell r="BA16">
            <v>4</v>
          </cell>
          <cell r="BB16">
            <v>2</v>
          </cell>
          <cell r="BC16">
            <v>0</v>
          </cell>
          <cell r="BD16">
            <v>0</v>
          </cell>
          <cell r="BE16">
            <v>3</v>
          </cell>
          <cell r="BF16">
            <v>3</v>
          </cell>
          <cell r="BG16">
            <v>3</v>
          </cell>
          <cell r="BH16">
            <v>1</v>
          </cell>
          <cell r="BI16">
            <v>0</v>
          </cell>
          <cell r="BJ16">
            <v>0</v>
          </cell>
          <cell r="BK16">
            <v>0</v>
          </cell>
          <cell r="BL16">
            <v>0</v>
          </cell>
          <cell r="BM16">
            <v>1</v>
          </cell>
          <cell r="BN16">
            <v>0</v>
          </cell>
          <cell r="BO16">
            <v>0</v>
          </cell>
          <cell r="BP16">
            <v>0</v>
          </cell>
          <cell r="BQ16">
            <v>3</v>
          </cell>
          <cell r="BR16">
            <v>0</v>
          </cell>
          <cell r="BS16">
            <v>0</v>
          </cell>
          <cell r="BT16">
            <v>6</v>
          </cell>
          <cell r="BU16">
            <v>0</v>
          </cell>
        </row>
        <row r="17">
          <cell r="A17">
            <v>29</v>
          </cell>
          <cell r="B17">
            <v>29</v>
          </cell>
          <cell r="D17">
            <v>0</v>
          </cell>
          <cell r="F17">
            <v>0</v>
          </cell>
          <cell r="G17">
            <v>1</v>
          </cell>
          <cell r="I17">
            <v>1</v>
          </cell>
          <cell r="J17">
            <v>0</v>
          </cell>
          <cell r="K17">
            <v>21</v>
          </cell>
          <cell r="L17">
            <v>21</v>
          </cell>
          <cell r="M17">
            <v>4</v>
          </cell>
          <cell r="O17">
            <v>1</v>
          </cell>
          <cell r="P17">
            <v>0</v>
          </cell>
          <cell r="Q17">
            <v>0</v>
          </cell>
          <cell r="R17">
            <v>0</v>
          </cell>
          <cell r="S17">
            <v>0</v>
          </cell>
          <cell r="T17">
            <v>2</v>
          </cell>
          <cell r="V17">
            <v>1</v>
          </cell>
          <cell r="W17">
            <v>51</v>
          </cell>
          <cell r="X17">
            <v>4</v>
          </cell>
          <cell r="Y17">
            <v>3</v>
          </cell>
          <cell r="AA17">
            <v>0</v>
          </cell>
          <cell r="AB17">
            <v>0</v>
          </cell>
          <cell r="AC17">
            <v>0</v>
          </cell>
          <cell r="AD17">
            <v>0</v>
          </cell>
          <cell r="AE17">
            <v>1</v>
          </cell>
          <cell r="AF17">
            <v>1</v>
          </cell>
          <cell r="AG17">
            <v>0</v>
          </cell>
          <cell r="AH17">
            <v>0</v>
          </cell>
          <cell r="AI17">
            <v>1</v>
          </cell>
          <cell r="AK17">
            <v>0</v>
          </cell>
          <cell r="AL17">
            <v>0</v>
          </cell>
          <cell r="AN17">
            <v>9980</v>
          </cell>
          <cell r="AO17">
            <v>1</v>
          </cell>
          <cell r="AQ17">
            <v>0</v>
          </cell>
          <cell r="AR17">
            <v>11</v>
          </cell>
          <cell r="AS17">
            <v>3</v>
          </cell>
          <cell r="AT17">
            <v>3</v>
          </cell>
          <cell r="AU17">
            <v>1</v>
          </cell>
          <cell r="AV17">
            <v>10</v>
          </cell>
          <cell r="AW17">
            <v>10</v>
          </cell>
          <cell r="AX17">
            <v>1</v>
          </cell>
          <cell r="AY17">
            <v>3</v>
          </cell>
          <cell r="AZ17">
            <v>10</v>
          </cell>
          <cell r="BA17">
            <v>10</v>
          </cell>
          <cell r="BB17">
            <v>9</v>
          </cell>
          <cell r="BC17">
            <v>8</v>
          </cell>
          <cell r="BD17">
            <v>8</v>
          </cell>
          <cell r="BE17">
            <v>8</v>
          </cell>
          <cell r="BF17">
            <v>8</v>
          </cell>
          <cell r="BG17">
            <v>24</v>
          </cell>
          <cell r="BH17">
            <v>1</v>
          </cell>
          <cell r="BI17">
            <v>0</v>
          </cell>
          <cell r="BJ17">
            <v>0</v>
          </cell>
          <cell r="BK17">
            <v>0</v>
          </cell>
          <cell r="BL17">
            <v>1</v>
          </cell>
          <cell r="BM17">
            <v>0</v>
          </cell>
          <cell r="BN17">
            <v>0</v>
          </cell>
          <cell r="BO17">
            <v>0</v>
          </cell>
          <cell r="BP17">
            <v>0</v>
          </cell>
          <cell r="BQ17">
            <v>8</v>
          </cell>
          <cell r="BR17">
            <v>0</v>
          </cell>
          <cell r="BS17">
            <v>0</v>
          </cell>
          <cell r="BT17">
            <v>10</v>
          </cell>
          <cell r="BU17">
            <v>0</v>
          </cell>
        </row>
        <row r="18">
          <cell r="A18">
            <v>32</v>
          </cell>
          <cell r="B18">
            <v>32</v>
          </cell>
          <cell r="D18">
            <v>0</v>
          </cell>
          <cell r="F18">
            <v>0</v>
          </cell>
          <cell r="G18">
            <v>1</v>
          </cell>
          <cell r="I18">
            <v>1</v>
          </cell>
          <cell r="J18">
            <v>0</v>
          </cell>
          <cell r="K18">
            <v>5</v>
          </cell>
          <cell r="L18">
            <v>5</v>
          </cell>
          <cell r="M18">
            <v>2</v>
          </cell>
          <cell r="O18">
            <v>1</v>
          </cell>
          <cell r="P18">
            <v>0</v>
          </cell>
          <cell r="Q18">
            <v>0</v>
          </cell>
          <cell r="R18">
            <v>0</v>
          </cell>
          <cell r="S18">
            <v>0</v>
          </cell>
          <cell r="T18">
            <v>1</v>
          </cell>
          <cell r="V18">
            <v>0</v>
          </cell>
          <cell r="W18">
            <v>80</v>
          </cell>
          <cell r="X18">
            <v>4</v>
          </cell>
          <cell r="Y18">
            <v>1</v>
          </cell>
          <cell r="AA18">
            <v>0</v>
          </cell>
          <cell r="AB18">
            <v>0</v>
          </cell>
          <cell r="AC18">
            <v>0</v>
          </cell>
          <cell r="AD18">
            <v>0</v>
          </cell>
          <cell r="AE18">
            <v>0</v>
          </cell>
          <cell r="AF18">
            <v>0</v>
          </cell>
          <cell r="AG18">
            <v>0</v>
          </cell>
          <cell r="AH18">
            <v>1</v>
          </cell>
          <cell r="AI18">
            <v>2</v>
          </cell>
          <cell r="AK18">
            <v>0</v>
          </cell>
          <cell r="AL18">
            <v>0</v>
          </cell>
          <cell r="AN18">
            <v>3298</v>
          </cell>
          <cell r="AO18">
            <v>0</v>
          </cell>
          <cell r="AQ18">
            <v>1</v>
          </cell>
          <cell r="AR18">
            <v>12</v>
          </cell>
          <cell r="AS18">
            <v>3</v>
          </cell>
          <cell r="AT18">
            <v>4</v>
          </cell>
          <cell r="AU18">
            <v>2</v>
          </cell>
          <cell r="AV18">
            <v>7</v>
          </cell>
          <cell r="AW18">
            <v>7</v>
          </cell>
          <cell r="AX18">
            <v>5</v>
          </cell>
          <cell r="AY18">
            <v>2</v>
          </cell>
          <cell r="AZ18">
            <v>6</v>
          </cell>
          <cell r="BA18">
            <v>6</v>
          </cell>
          <cell r="BB18">
            <v>2</v>
          </cell>
          <cell r="BC18">
            <v>0</v>
          </cell>
          <cell r="BD18">
            <v>0</v>
          </cell>
          <cell r="BE18">
            <v>5</v>
          </cell>
          <cell r="BF18">
            <v>5</v>
          </cell>
          <cell r="BG18">
            <v>5</v>
          </cell>
          <cell r="BH18">
            <v>1</v>
          </cell>
          <cell r="BI18">
            <v>0</v>
          </cell>
          <cell r="BJ18">
            <v>0</v>
          </cell>
          <cell r="BK18">
            <v>0</v>
          </cell>
          <cell r="BL18">
            <v>0</v>
          </cell>
          <cell r="BM18">
            <v>1</v>
          </cell>
          <cell r="BN18">
            <v>0</v>
          </cell>
          <cell r="BO18">
            <v>0</v>
          </cell>
          <cell r="BP18">
            <v>0</v>
          </cell>
          <cell r="BQ18">
            <v>5</v>
          </cell>
          <cell r="BR18">
            <v>0</v>
          </cell>
          <cell r="BS18">
            <v>0</v>
          </cell>
          <cell r="BT18">
            <v>7</v>
          </cell>
          <cell r="BU18">
            <v>0</v>
          </cell>
        </row>
        <row r="19">
          <cell r="A19">
            <v>22</v>
          </cell>
          <cell r="B19">
            <v>22</v>
          </cell>
          <cell r="D19">
            <v>0</v>
          </cell>
          <cell r="F19">
            <v>0</v>
          </cell>
          <cell r="G19">
            <v>0</v>
          </cell>
          <cell r="I19">
            <v>1</v>
          </cell>
          <cell r="J19">
            <v>0</v>
          </cell>
          <cell r="K19">
            <v>16</v>
          </cell>
          <cell r="L19">
            <v>16</v>
          </cell>
          <cell r="M19">
            <v>2</v>
          </cell>
          <cell r="O19">
            <v>0</v>
          </cell>
          <cell r="P19">
            <v>0</v>
          </cell>
          <cell r="Q19">
            <v>1</v>
          </cell>
          <cell r="R19">
            <v>0</v>
          </cell>
          <cell r="S19">
            <v>0</v>
          </cell>
          <cell r="T19">
            <v>4</v>
          </cell>
          <cell r="V19">
            <v>0</v>
          </cell>
          <cell r="W19">
            <v>96</v>
          </cell>
          <cell r="X19">
            <v>4</v>
          </cell>
          <cell r="Y19">
            <v>1</v>
          </cell>
          <cell r="AA19">
            <v>0</v>
          </cell>
          <cell r="AB19">
            <v>0</v>
          </cell>
          <cell r="AC19">
            <v>1</v>
          </cell>
          <cell r="AD19">
            <v>0</v>
          </cell>
          <cell r="AE19">
            <v>0</v>
          </cell>
          <cell r="AF19">
            <v>0</v>
          </cell>
          <cell r="AG19">
            <v>0</v>
          </cell>
          <cell r="AH19">
            <v>0</v>
          </cell>
          <cell r="AI19">
            <v>4</v>
          </cell>
          <cell r="AK19">
            <v>0</v>
          </cell>
          <cell r="AL19">
            <v>0</v>
          </cell>
          <cell r="AN19">
            <v>2935</v>
          </cell>
          <cell r="AO19">
            <v>1</v>
          </cell>
          <cell r="AQ19">
            <v>1</v>
          </cell>
          <cell r="AR19">
            <v>13</v>
          </cell>
          <cell r="AS19">
            <v>3</v>
          </cell>
          <cell r="AT19">
            <v>2</v>
          </cell>
          <cell r="AU19">
            <v>2</v>
          </cell>
          <cell r="AV19">
            <v>1</v>
          </cell>
          <cell r="AW19">
            <v>1</v>
          </cell>
          <cell r="AX19">
            <v>2</v>
          </cell>
          <cell r="AY19">
            <v>2</v>
          </cell>
          <cell r="AZ19">
            <v>1</v>
          </cell>
          <cell r="BA19">
            <v>1</v>
          </cell>
          <cell r="BB19">
            <v>0</v>
          </cell>
          <cell r="BC19">
            <v>0</v>
          </cell>
          <cell r="BD19">
            <v>0</v>
          </cell>
          <cell r="BE19">
            <v>0</v>
          </cell>
          <cell r="BF19">
            <v>0</v>
          </cell>
          <cell r="BG19">
            <v>0</v>
          </cell>
          <cell r="BH19">
            <v>1</v>
          </cell>
          <cell r="BI19">
            <v>0</v>
          </cell>
          <cell r="BJ19">
            <v>0</v>
          </cell>
          <cell r="BK19">
            <v>0</v>
          </cell>
          <cell r="BL19">
            <v>0</v>
          </cell>
          <cell r="BM19">
            <v>1</v>
          </cell>
          <cell r="BN19">
            <v>0</v>
          </cell>
          <cell r="BO19">
            <v>0</v>
          </cell>
          <cell r="BP19">
            <v>0</v>
          </cell>
          <cell r="BQ19">
            <v>0</v>
          </cell>
          <cell r="BR19">
            <v>0</v>
          </cell>
          <cell r="BS19">
            <v>0</v>
          </cell>
          <cell r="BT19">
            <v>1</v>
          </cell>
          <cell r="BU19">
            <v>0</v>
          </cell>
        </row>
        <row r="20">
          <cell r="A20">
            <v>53</v>
          </cell>
          <cell r="B20">
            <v>53</v>
          </cell>
          <cell r="D20">
            <v>0</v>
          </cell>
          <cell r="F20">
            <v>0</v>
          </cell>
          <cell r="G20">
            <v>1</v>
          </cell>
          <cell r="I20">
            <v>0</v>
          </cell>
          <cell r="J20">
            <v>1</v>
          </cell>
          <cell r="K20">
            <v>2</v>
          </cell>
          <cell r="L20">
            <v>2</v>
          </cell>
          <cell r="M20">
            <v>4</v>
          </cell>
          <cell r="O20">
            <v>1</v>
          </cell>
          <cell r="P20">
            <v>0</v>
          </cell>
          <cell r="Q20">
            <v>0</v>
          </cell>
          <cell r="R20">
            <v>0</v>
          </cell>
          <cell r="S20">
            <v>0</v>
          </cell>
          <cell r="T20">
            <v>1</v>
          </cell>
          <cell r="V20">
            <v>1</v>
          </cell>
          <cell r="W20">
            <v>78</v>
          </cell>
          <cell r="X20">
            <v>2</v>
          </cell>
          <cell r="Y20">
            <v>4</v>
          </cell>
          <cell r="AA20">
            <v>0</v>
          </cell>
          <cell r="AB20">
            <v>0</v>
          </cell>
          <cell r="AC20">
            <v>0</v>
          </cell>
          <cell r="AD20">
            <v>1</v>
          </cell>
          <cell r="AE20">
            <v>0</v>
          </cell>
          <cell r="AF20">
            <v>0</v>
          </cell>
          <cell r="AG20">
            <v>0</v>
          </cell>
          <cell r="AH20">
            <v>0</v>
          </cell>
          <cell r="AI20">
            <v>4</v>
          </cell>
          <cell r="AK20">
            <v>0</v>
          </cell>
          <cell r="AL20">
            <v>1</v>
          </cell>
          <cell r="AN20">
            <v>15427</v>
          </cell>
          <cell r="AO20">
            <v>2</v>
          </cell>
          <cell r="AQ20">
            <v>0</v>
          </cell>
          <cell r="AR20">
            <v>16</v>
          </cell>
          <cell r="AS20">
            <v>3</v>
          </cell>
          <cell r="AT20">
            <v>3</v>
          </cell>
          <cell r="AU20">
            <v>0</v>
          </cell>
          <cell r="AV20">
            <v>31</v>
          </cell>
          <cell r="AW20">
            <v>31</v>
          </cell>
          <cell r="AX20">
            <v>3</v>
          </cell>
          <cell r="AY20">
            <v>3</v>
          </cell>
          <cell r="AZ20">
            <v>25</v>
          </cell>
          <cell r="BA20">
            <v>25</v>
          </cell>
          <cell r="BB20">
            <v>8</v>
          </cell>
          <cell r="BC20">
            <v>3</v>
          </cell>
          <cell r="BD20">
            <v>3</v>
          </cell>
          <cell r="BE20">
            <v>7</v>
          </cell>
          <cell r="BF20">
            <v>7</v>
          </cell>
          <cell r="BG20">
            <v>28</v>
          </cell>
          <cell r="BH20">
            <v>0</v>
          </cell>
          <cell r="BI20">
            <v>1</v>
          </cell>
          <cell r="BJ20">
            <v>0</v>
          </cell>
          <cell r="BK20">
            <v>0</v>
          </cell>
          <cell r="BL20">
            <v>0</v>
          </cell>
          <cell r="BM20">
            <v>0</v>
          </cell>
          <cell r="BN20">
            <v>1</v>
          </cell>
          <cell r="BO20">
            <v>0</v>
          </cell>
          <cell r="BP20">
            <v>0</v>
          </cell>
          <cell r="BQ20">
            <v>0</v>
          </cell>
          <cell r="BR20">
            <v>7</v>
          </cell>
          <cell r="BS20">
            <v>0</v>
          </cell>
          <cell r="BT20">
            <v>0</v>
          </cell>
          <cell r="BU20">
            <v>31</v>
          </cell>
        </row>
        <row r="21">
          <cell r="A21">
            <v>38</v>
          </cell>
          <cell r="B21">
            <v>38</v>
          </cell>
          <cell r="D21">
            <v>0</v>
          </cell>
          <cell r="F21">
            <v>0</v>
          </cell>
          <cell r="G21">
            <v>1</v>
          </cell>
          <cell r="I21">
            <v>1</v>
          </cell>
          <cell r="J21">
            <v>0</v>
          </cell>
          <cell r="K21">
            <v>2</v>
          </cell>
          <cell r="L21">
            <v>2</v>
          </cell>
          <cell r="M21">
            <v>3</v>
          </cell>
          <cell r="O21">
            <v>1</v>
          </cell>
          <cell r="P21">
            <v>0</v>
          </cell>
          <cell r="Q21">
            <v>0</v>
          </cell>
          <cell r="R21">
            <v>0</v>
          </cell>
          <cell r="S21">
            <v>0</v>
          </cell>
          <cell r="T21">
            <v>4</v>
          </cell>
          <cell r="V21">
            <v>0</v>
          </cell>
          <cell r="W21">
            <v>45</v>
          </cell>
          <cell r="X21">
            <v>3</v>
          </cell>
          <cell r="Y21">
            <v>1</v>
          </cell>
          <cell r="AA21">
            <v>0</v>
          </cell>
          <cell r="AB21">
            <v>0</v>
          </cell>
          <cell r="AC21">
            <v>0</v>
          </cell>
          <cell r="AD21">
            <v>0</v>
          </cell>
          <cell r="AE21">
            <v>0</v>
          </cell>
          <cell r="AF21">
            <v>0</v>
          </cell>
          <cell r="AG21">
            <v>0</v>
          </cell>
          <cell r="AH21">
            <v>1</v>
          </cell>
          <cell r="AI21">
            <v>4</v>
          </cell>
          <cell r="AK21">
            <v>1</v>
          </cell>
          <cell r="AL21">
            <v>0</v>
          </cell>
          <cell r="AN21">
            <v>3944</v>
          </cell>
          <cell r="AO21">
            <v>5</v>
          </cell>
          <cell r="AQ21">
            <v>1</v>
          </cell>
          <cell r="AR21">
            <v>11</v>
          </cell>
          <cell r="AS21">
            <v>3</v>
          </cell>
          <cell r="AT21">
            <v>3</v>
          </cell>
          <cell r="AU21">
            <v>0</v>
          </cell>
          <cell r="AV21">
            <v>6</v>
          </cell>
          <cell r="AW21">
            <v>6</v>
          </cell>
          <cell r="AX21">
            <v>3</v>
          </cell>
          <cell r="AY21">
            <v>3</v>
          </cell>
          <cell r="AZ21">
            <v>3</v>
          </cell>
          <cell r="BA21">
            <v>3</v>
          </cell>
          <cell r="BB21">
            <v>2</v>
          </cell>
          <cell r="BC21">
            <v>1</v>
          </cell>
          <cell r="BD21">
            <v>1</v>
          </cell>
          <cell r="BE21">
            <v>2</v>
          </cell>
          <cell r="BF21">
            <v>2</v>
          </cell>
          <cell r="BG21">
            <v>2</v>
          </cell>
          <cell r="BH21">
            <v>1</v>
          </cell>
          <cell r="BI21">
            <v>0</v>
          </cell>
          <cell r="BJ21">
            <v>0</v>
          </cell>
          <cell r="BK21">
            <v>0</v>
          </cell>
          <cell r="BL21">
            <v>0</v>
          </cell>
          <cell r="BM21">
            <v>1</v>
          </cell>
          <cell r="BN21">
            <v>0</v>
          </cell>
          <cell r="BO21">
            <v>0</v>
          </cell>
          <cell r="BP21">
            <v>0</v>
          </cell>
          <cell r="BQ21">
            <v>2</v>
          </cell>
          <cell r="BR21">
            <v>0</v>
          </cell>
          <cell r="BS21">
            <v>0</v>
          </cell>
          <cell r="BT21">
            <v>6</v>
          </cell>
          <cell r="BU21">
            <v>0</v>
          </cell>
        </row>
        <row r="22">
          <cell r="A22">
            <v>24</v>
          </cell>
          <cell r="B22">
            <v>24</v>
          </cell>
          <cell r="D22">
            <v>0</v>
          </cell>
          <cell r="F22">
            <v>0</v>
          </cell>
          <cell r="G22">
            <v>0</v>
          </cell>
          <cell r="I22">
            <v>1</v>
          </cell>
          <cell r="J22">
            <v>0</v>
          </cell>
          <cell r="K22">
            <v>11</v>
          </cell>
          <cell r="L22">
            <v>11</v>
          </cell>
          <cell r="M22">
            <v>2</v>
          </cell>
          <cell r="O22">
            <v>0</v>
          </cell>
          <cell r="P22">
            <v>1</v>
          </cell>
          <cell r="Q22">
            <v>0</v>
          </cell>
          <cell r="R22">
            <v>0</v>
          </cell>
          <cell r="S22">
            <v>0</v>
          </cell>
          <cell r="T22">
            <v>1</v>
          </cell>
          <cell r="V22">
            <v>1</v>
          </cell>
          <cell r="W22">
            <v>96</v>
          </cell>
          <cell r="X22">
            <v>4</v>
          </cell>
          <cell r="Y22">
            <v>2</v>
          </cell>
          <cell r="AA22">
            <v>0</v>
          </cell>
          <cell r="AB22">
            <v>0</v>
          </cell>
          <cell r="AC22">
            <v>0</v>
          </cell>
          <cell r="AD22">
            <v>0</v>
          </cell>
          <cell r="AE22">
            <v>1</v>
          </cell>
          <cell r="AF22">
            <v>1</v>
          </cell>
          <cell r="AG22">
            <v>0</v>
          </cell>
          <cell r="AH22">
            <v>0</v>
          </cell>
          <cell r="AI22">
            <v>3</v>
          </cell>
          <cell r="AK22">
            <v>0</v>
          </cell>
          <cell r="AL22">
            <v>0</v>
          </cell>
          <cell r="AN22">
            <v>4011</v>
          </cell>
          <cell r="AO22">
            <v>0</v>
          </cell>
          <cell r="AQ22">
            <v>0</v>
          </cell>
          <cell r="AR22">
            <v>18</v>
          </cell>
          <cell r="AS22">
            <v>3</v>
          </cell>
          <cell r="AT22">
            <v>4</v>
          </cell>
          <cell r="AU22">
            <v>1</v>
          </cell>
          <cell r="AV22">
            <v>5</v>
          </cell>
          <cell r="AW22">
            <v>5</v>
          </cell>
          <cell r="AX22">
            <v>5</v>
          </cell>
          <cell r="AY22">
            <v>2</v>
          </cell>
          <cell r="AZ22">
            <v>4</v>
          </cell>
          <cell r="BA22">
            <v>4</v>
          </cell>
          <cell r="BB22">
            <v>2</v>
          </cell>
          <cell r="BC22">
            <v>1</v>
          </cell>
          <cell r="BD22">
            <v>1</v>
          </cell>
          <cell r="BE22">
            <v>3</v>
          </cell>
          <cell r="BF22">
            <v>3</v>
          </cell>
          <cell r="BG22">
            <v>6</v>
          </cell>
          <cell r="BH22">
            <v>1</v>
          </cell>
          <cell r="BI22">
            <v>0</v>
          </cell>
          <cell r="BJ22">
            <v>0</v>
          </cell>
          <cell r="BK22">
            <v>0</v>
          </cell>
          <cell r="BL22">
            <v>1</v>
          </cell>
          <cell r="BM22">
            <v>0</v>
          </cell>
          <cell r="BN22">
            <v>0</v>
          </cell>
          <cell r="BO22">
            <v>0</v>
          </cell>
          <cell r="BP22">
            <v>0</v>
          </cell>
          <cell r="BQ22">
            <v>3</v>
          </cell>
          <cell r="BR22">
            <v>0</v>
          </cell>
          <cell r="BS22">
            <v>0</v>
          </cell>
          <cell r="BT22">
            <v>5</v>
          </cell>
          <cell r="BU22">
            <v>0</v>
          </cell>
        </row>
        <row r="23">
          <cell r="A23">
            <v>36</v>
          </cell>
          <cell r="B23">
            <v>36</v>
          </cell>
          <cell r="D23">
            <v>1</v>
          </cell>
          <cell r="F23">
            <v>0</v>
          </cell>
          <cell r="G23">
            <v>1</v>
          </cell>
          <cell r="I23">
            <v>0</v>
          </cell>
          <cell r="J23">
            <v>1</v>
          </cell>
          <cell r="K23">
            <v>9</v>
          </cell>
          <cell r="L23">
            <v>9</v>
          </cell>
          <cell r="M23">
            <v>4</v>
          </cell>
          <cell r="O23">
            <v>1</v>
          </cell>
          <cell r="P23">
            <v>0</v>
          </cell>
          <cell r="Q23">
            <v>0</v>
          </cell>
          <cell r="R23">
            <v>0</v>
          </cell>
          <cell r="S23">
            <v>0</v>
          </cell>
          <cell r="T23">
            <v>3</v>
          </cell>
          <cell r="V23">
            <v>0</v>
          </cell>
          <cell r="W23">
            <v>82</v>
          </cell>
          <cell r="X23">
            <v>2</v>
          </cell>
          <cell r="Y23">
            <v>1</v>
          </cell>
          <cell r="AA23">
            <v>0</v>
          </cell>
          <cell r="AB23">
            <v>0</v>
          </cell>
          <cell r="AC23">
            <v>0</v>
          </cell>
          <cell r="AD23">
            <v>0</v>
          </cell>
          <cell r="AE23">
            <v>0</v>
          </cell>
          <cell r="AF23">
            <v>0</v>
          </cell>
          <cell r="AG23">
            <v>1</v>
          </cell>
          <cell r="AH23">
            <v>0</v>
          </cell>
          <cell r="AI23">
            <v>1</v>
          </cell>
          <cell r="AK23">
            <v>1</v>
          </cell>
          <cell r="AL23">
            <v>0</v>
          </cell>
          <cell r="AN23">
            <v>3407</v>
          </cell>
          <cell r="AO23">
            <v>7</v>
          </cell>
          <cell r="AQ23">
            <v>0</v>
          </cell>
          <cell r="AR23">
            <v>23</v>
          </cell>
          <cell r="AS23">
            <v>4</v>
          </cell>
          <cell r="AT23">
            <v>2</v>
          </cell>
          <cell r="AU23">
            <v>0</v>
          </cell>
          <cell r="AV23">
            <v>10</v>
          </cell>
          <cell r="AW23">
            <v>10</v>
          </cell>
          <cell r="AX23">
            <v>4</v>
          </cell>
          <cell r="AY23">
            <v>3</v>
          </cell>
          <cell r="AZ23">
            <v>5</v>
          </cell>
          <cell r="BA23">
            <v>5</v>
          </cell>
          <cell r="BB23">
            <v>3</v>
          </cell>
          <cell r="BC23">
            <v>0</v>
          </cell>
          <cell r="BD23">
            <v>0</v>
          </cell>
          <cell r="BE23">
            <v>3</v>
          </cell>
          <cell r="BF23">
            <v>3</v>
          </cell>
          <cell r="BG23">
            <v>3</v>
          </cell>
          <cell r="BH23">
            <v>1</v>
          </cell>
          <cell r="BI23">
            <v>0</v>
          </cell>
          <cell r="BJ23">
            <v>0</v>
          </cell>
          <cell r="BK23">
            <v>0</v>
          </cell>
          <cell r="BL23">
            <v>1</v>
          </cell>
          <cell r="BM23">
            <v>0</v>
          </cell>
          <cell r="BN23">
            <v>0</v>
          </cell>
          <cell r="BO23">
            <v>0</v>
          </cell>
          <cell r="BP23">
            <v>0</v>
          </cell>
          <cell r="BQ23">
            <v>0</v>
          </cell>
          <cell r="BR23">
            <v>3</v>
          </cell>
          <cell r="BS23">
            <v>0</v>
          </cell>
          <cell r="BT23">
            <v>0</v>
          </cell>
          <cell r="BU23">
            <v>10</v>
          </cell>
        </row>
        <row r="24">
          <cell r="A24">
            <v>34</v>
          </cell>
          <cell r="B24">
            <v>34</v>
          </cell>
          <cell r="D24">
            <v>0</v>
          </cell>
          <cell r="F24">
            <v>0</v>
          </cell>
          <cell r="G24">
            <v>1</v>
          </cell>
          <cell r="I24">
            <v>1</v>
          </cell>
          <cell r="J24">
            <v>0</v>
          </cell>
          <cell r="K24">
            <v>7</v>
          </cell>
          <cell r="L24">
            <v>7</v>
          </cell>
          <cell r="M24">
            <v>4</v>
          </cell>
          <cell r="O24">
            <v>1</v>
          </cell>
          <cell r="P24">
            <v>0</v>
          </cell>
          <cell r="Q24">
            <v>0</v>
          </cell>
          <cell r="R24">
            <v>0</v>
          </cell>
          <cell r="S24">
            <v>0</v>
          </cell>
          <cell r="T24">
            <v>1</v>
          </cell>
          <cell r="V24">
            <v>1</v>
          </cell>
          <cell r="W24">
            <v>53</v>
          </cell>
          <cell r="X24">
            <v>3</v>
          </cell>
          <cell r="Y24">
            <v>3</v>
          </cell>
          <cell r="AA24">
            <v>0</v>
          </cell>
          <cell r="AB24">
            <v>0</v>
          </cell>
          <cell r="AC24">
            <v>0</v>
          </cell>
          <cell r="AD24">
            <v>0</v>
          </cell>
          <cell r="AE24">
            <v>0</v>
          </cell>
          <cell r="AF24">
            <v>0</v>
          </cell>
          <cell r="AG24">
            <v>0</v>
          </cell>
          <cell r="AH24">
            <v>0</v>
          </cell>
          <cell r="AI24">
            <v>2</v>
          </cell>
          <cell r="AK24">
            <v>1</v>
          </cell>
          <cell r="AL24">
            <v>0</v>
          </cell>
          <cell r="AN24">
            <v>11994</v>
          </cell>
          <cell r="AO24">
            <v>0</v>
          </cell>
          <cell r="AQ24">
            <v>0</v>
          </cell>
          <cell r="AR24">
            <v>11</v>
          </cell>
          <cell r="AS24">
            <v>3</v>
          </cell>
          <cell r="AT24">
            <v>3</v>
          </cell>
          <cell r="AU24">
            <v>0</v>
          </cell>
          <cell r="AV24">
            <v>13</v>
          </cell>
          <cell r="AW24">
            <v>13</v>
          </cell>
          <cell r="AX24">
            <v>4</v>
          </cell>
          <cell r="AY24">
            <v>3</v>
          </cell>
          <cell r="AZ24">
            <v>12</v>
          </cell>
          <cell r="BA24">
            <v>12</v>
          </cell>
          <cell r="BB24">
            <v>6</v>
          </cell>
          <cell r="BC24">
            <v>2</v>
          </cell>
          <cell r="BD24">
            <v>2</v>
          </cell>
          <cell r="BE24">
            <v>11</v>
          </cell>
          <cell r="BF24">
            <v>11</v>
          </cell>
          <cell r="BG24">
            <v>33</v>
          </cell>
          <cell r="BH24">
            <v>1</v>
          </cell>
          <cell r="BI24">
            <v>0</v>
          </cell>
          <cell r="BJ24">
            <v>0</v>
          </cell>
          <cell r="BK24">
            <v>0</v>
          </cell>
          <cell r="BL24">
            <v>1</v>
          </cell>
          <cell r="BM24">
            <v>0</v>
          </cell>
          <cell r="BN24">
            <v>0</v>
          </cell>
          <cell r="BO24">
            <v>0</v>
          </cell>
          <cell r="BP24">
            <v>0</v>
          </cell>
          <cell r="BQ24">
            <v>11</v>
          </cell>
          <cell r="BR24">
            <v>0</v>
          </cell>
          <cell r="BS24">
            <v>0</v>
          </cell>
          <cell r="BT24">
            <v>13</v>
          </cell>
          <cell r="BU24">
            <v>0</v>
          </cell>
        </row>
        <row r="25">
          <cell r="A25">
            <v>21</v>
          </cell>
          <cell r="B25">
            <v>21</v>
          </cell>
          <cell r="D25">
            <v>0</v>
          </cell>
          <cell r="F25">
            <v>0</v>
          </cell>
          <cell r="G25">
            <v>1</v>
          </cell>
          <cell r="I25">
            <v>1</v>
          </cell>
          <cell r="J25">
            <v>0</v>
          </cell>
          <cell r="K25">
            <v>15</v>
          </cell>
          <cell r="L25">
            <v>15</v>
          </cell>
          <cell r="M25">
            <v>2</v>
          </cell>
          <cell r="O25">
            <v>1</v>
          </cell>
          <cell r="P25">
            <v>0</v>
          </cell>
          <cell r="Q25">
            <v>0</v>
          </cell>
          <cell r="R25">
            <v>0</v>
          </cell>
          <cell r="S25">
            <v>0</v>
          </cell>
          <cell r="T25">
            <v>3</v>
          </cell>
          <cell r="V25">
            <v>0</v>
          </cell>
          <cell r="W25">
            <v>96</v>
          </cell>
          <cell r="X25">
            <v>3</v>
          </cell>
          <cell r="Y25">
            <v>1</v>
          </cell>
          <cell r="AA25">
            <v>0</v>
          </cell>
          <cell r="AB25">
            <v>0</v>
          </cell>
          <cell r="AC25">
            <v>0</v>
          </cell>
          <cell r="AD25">
            <v>0</v>
          </cell>
          <cell r="AE25">
            <v>0</v>
          </cell>
          <cell r="AF25">
            <v>0</v>
          </cell>
          <cell r="AG25">
            <v>0</v>
          </cell>
          <cell r="AH25">
            <v>1</v>
          </cell>
          <cell r="AI25">
            <v>4</v>
          </cell>
          <cell r="AK25">
            <v>1</v>
          </cell>
          <cell r="AL25">
            <v>0</v>
          </cell>
          <cell r="AN25">
            <v>1382.46</v>
          </cell>
          <cell r="AO25">
            <v>1</v>
          </cell>
          <cell r="AQ25">
            <v>0</v>
          </cell>
          <cell r="AR25">
            <v>14</v>
          </cell>
          <cell r="AS25">
            <v>3</v>
          </cell>
          <cell r="AT25">
            <v>4</v>
          </cell>
          <cell r="AU25">
            <v>0</v>
          </cell>
          <cell r="AV25">
            <v>0</v>
          </cell>
          <cell r="AW25">
            <v>1</v>
          </cell>
          <cell r="AX25">
            <v>6</v>
          </cell>
          <cell r="AY25">
            <v>3</v>
          </cell>
          <cell r="AZ25">
            <v>0</v>
          </cell>
          <cell r="BA25">
            <v>0</v>
          </cell>
          <cell r="BB25">
            <v>0</v>
          </cell>
          <cell r="BC25">
            <v>0</v>
          </cell>
          <cell r="BD25">
            <v>0</v>
          </cell>
          <cell r="BE25">
            <v>0</v>
          </cell>
          <cell r="BF25">
            <v>0</v>
          </cell>
          <cell r="BG25">
            <v>0</v>
          </cell>
          <cell r="BH25">
            <v>1</v>
          </cell>
          <cell r="BI25">
            <v>0</v>
          </cell>
          <cell r="BJ25">
            <v>0</v>
          </cell>
          <cell r="BK25">
            <v>0</v>
          </cell>
          <cell r="BL25">
            <v>1</v>
          </cell>
          <cell r="BM25">
            <v>0</v>
          </cell>
          <cell r="BN25">
            <v>0</v>
          </cell>
          <cell r="BO25">
            <v>0</v>
          </cell>
          <cell r="BP25">
            <v>0</v>
          </cell>
          <cell r="BQ25">
            <v>0</v>
          </cell>
          <cell r="BR25">
            <v>0</v>
          </cell>
          <cell r="BS25">
            <v>0</v>
          </cell>
          <cell r="BT25">
            <v>1</v>
          </cell>
          <cell r="BU25">
            <v>0</v>
          </cell>
        </row>
        <row r="26">
          <cell r="A26">
            <v>34</v>
          </cell>
          <cell r="B26">
            <v>34</v>
          </cell>
          <cell r="D26">
            <v>1</v>
          </cell>
          <cell r="F26">
            <v>0</v>
          </cell>
          <cell r="G26">
            <v>1</v>
          </cell>
          <cell r="I26">
            <v>1</v>
          </cell>
          <cell r="J26">
            <v>0</v>
          </cell>
          <cell r="K26">
            <v>6</v>
          </cell>
          <cell r="L26">
            <v>6</v>
          </cell>
          <cell r="M26">
            <v>1</v>
          </cell>
          <cell r="O26">
            <v>0</v>
          </cell>
          <cell r="P26">
            <v>0</v>
          </cell>
          <cell r="Q26">
            <v>1</v>
          </cell>
          <cell r="R26">
            <v>0</v>
          </cell>
          <cell r="S26">
            <v>0</v>
          </cell>
          <cell r="T26">
            <v>2</v>
          </cell>
          <cell r="V26">
            <v>0</v>
          </cell>
          <cell r="W26">
            <v>83</v>
          </cell>
          <cell r="X26">
            <v>3</v>
          </cell>
          <cell r="Y26">
            <v>1</v>
          </cell>
          <cell r="AA26">
            <v>0</v>
          </cell>
          <cell r="AB26">
            <v>0</v>
          </cell>
          <cell r="AC26">
            <v>0</v>
          </cell>
          <cell r="AD26">
            <v>0</v>
          </cell>
          <cell r="AE26">
            <v>0</v>
          </cell>
          <cell r="AF26">
            <v>0</v>
          </cell>
          <cell r="AG26">
            <v>0</v>
          </cell>
          <cell r="AH26">
            <v>1</v>
          </cell>
          <cell r="AI26">
            <v>1</v>
          </cell>
          <cell r="AK26">
            <v>1</v>
          </cell>
          <cell r="AL26">
            <v>0</v>
          </cell>
          <cell r="AN26">
            <v>2960</v>
          </cell>
          <cell r="AO26">
            <v>2</v>
          </cell>
          <cell r="AQ26">
            <v>0</v>
          </cell>
          <cell r="AR26">
            <v>11</v>
          </cell>
          <cell r="AS26">
            <v>3</v>
          </cell>
          <cell r="AT26">
            <v>3</v>
          </cell>
          <cell r="AU26">
            <v>0</v>
          </cell>
          <cell r="AV26">
            <v>8</v>
          </cell>
          <cell r="AW26">
            <v>8</v>
          </cell>
          <cell r="AX26">
            <v>2</v>
          </cell>
          <cell r="AY26">
            <v>3</v>
          </cell>
          <cell r="AZ26">
            <v>4</v>
          </cell>
          <cell r="BA26">
            <v>4</v>
          </cell>
          <cell r="BB26">
            <v>2</v>
          </cell>
          <cell r="BC26">
            <v>1</v>
          </cell>
          <cell r="BD26">
            <v>1</v>
          </cell>
          <cell r="BE26">
            <v>3</v>
          </cell>
          <cell r="BF26">
            <v>3</v>
          </cell>
          <cell r="BG26">
            <v>3</v>
          </cell>
          <cell r="BH26">
            <v>1</v>
          </cell>
          <cell r="BI26">
            <v>0</v>
          </cell>
          <cell r="BJ26">
            <v>0</v>
          </cell>
          <cell r="BK26">
            <v>0</v>
          </cell>
          <cell r="BL26">
            <v>1</v>
          </cell>
          <cell r="BM26">
            <v>0</v>
          </cell>
          <cell r="BN26">
            <v>0</v>
          </cell>
          <cell r="BO26">
            <v>0</v>
          </cell>
          <cell r="BP26">
            <v>0</v>
          </cell>
          <cell r="BQ26">
            <v>3</v>
          </cell>
          <cell r="BR26">
            <v>0</v>
          </cell>
          <cell r="BS26">
            <v>0</v>
          </cell>
          <cell r="BT26">
            <v>8</v>
          </cell>
          <cell r="BU26">
            <v>0</v>
          </cell>
        </row>
        <row r="27">
          <cell r="A27">
            <v>53</v>
          </cell>
          <cell r="B27">
            <v>53</v>
          </cell>
          <cell r="D27">
            <v>0</v>
          </cell>
          <cell r="F27">
            <v>0</v>
          </cell>
          <cell r="G27">
            <v>1</v>
          </cell>
          <cell r="I27">
            <v>1</v>
          </cell>
          <cell r="J27">
            <v>0</v>
          </cell>
          <cell r="K27">
            <v>5</v>
          </cell>
          <cell r="L27">
            <v>5</v>
          </cell>
          <cell r="M27">
            <v>3</v>
          </cell>
          <cell r="O27">
            <v>0</v>
          </cell>
          <cell r="P27">
            <v>1</v>
          </cell>
          <cell r="Q27">
            <v>0</v>
          </cell>
          <cell r="R27">
            <v>0</v>
          </cell>
          <cell r="S27">
            <v>0</v>
          </cell>
          <cell r="T27">
            <v>3</v>
          </cell>
          <cell r="V27">
            <v>1</v>
          </cell>
          <cell r="W27">
            <v>58</v>
          </cell>
          <cell r="X27">
            <v>3</v>
          </cell>
          <cell r="Y27">
            <v>5</v>
          </cell>
          <cell r="AA27">
            <v>0</v>
          </cell>
          <cell r="AB27">
            <v>0</v>
          </cell>
          <cell r="AC27">
            <v>0</v>
          </cell>
          <cell r="AD27">
            <v>1</v>
          </cell>
          <cell r="AE27">
            <v>0</v>
          </cell>
          <cell r="AF27">
            <v>0</v>
          </cell>
          <cell r="AG27">
            <v>0</v>
          </cell>
          <cell r="AH27">
            <v>0</v>
          </cell>
          <cell r="AI27">
            <v>3</v>
          </cell>
          <cell r="AK27">
            <v>0</v>
          </cell>
          <cell r="AL27">
            <v>0</v>
          </cell>
          <cell r="AN27">
            <v>19094</v>
          </cell>
          <cell r="AO27">
            <v>4</v>
          </cell>
          <cell r="AQ27">
            <v>0</v>
          </cell>
          <cell r="AR27">
            <v>11</v>
          </cell>
          <cell r="AS27">
            <v>3</v>
          </cell>
          <cell r="AT27">
            <v>4</v>
          </cell>
          <cell r="AU27">
            <v>1</v>
          </cell>
          <cell r="AV27">
            <v>26</v>
          </cell>
          <cell r="AW27">
            <v>26</v>
          </cell>
          <cell r="AX27">
            <v>3</v>
          </cell>
          <cell r="AY27">
            <v>2</v>
          </cell>
          <cell r="AZ27">
            <v>14</v>
          </cell>
          <cell r="BA27">
            <v>14</v>
          </cell>
          <cell r="BB27">
            <v>13</v>
          </cell>
          <cell r="BC27">
            <v>4</v>
          </cell>
          <cell r="BD27">
            <v>4</v>
          </cell>
          <cell r="BE27">
            <v>8</v>
          </cell>
          <cell r="BF27">
            <v>8</v>
          </cell>
          <cell r="BG27">
            <v>40</v>
          </cell>
          <cell r="BH27">
            <v>1</v>
          </cell>
          <cell r="BI27">
            <v>0</v>
          </cell>
          <cell r="BJ27">
            <v>0</v>
          </cell>
          <cell r="BK27">
            <v>0</v>
          </cell>
          <cell r="BL27">
            <v>1</v>
          </cell>
          <cell r="BM27">
            <v>0</v>
          </cell>
          <cell r="BN27">
            <v>0</v>
          </cell>
          <cell r="BO27">
            <v>0</v>
          </cell>
          <cell r="BP27">
            <v>0</v>
          </cell>
          <cell r="BQ27">
            <v>8</v>
          </cell>
          <cell r="BR27">
            <v>0</v>
          </cell>
          <cell r="BS27">
            <v>0</v>
          </cell>
          <cell r="BT27">
            <v>26</v>
          </cell>
          <cell r="BU27">
            <v>0</v>
          </cell>
        </row>
        <row r="28">
          <cell r="A28">
            <v>32</v>
          </cell>
          <cell r="B28">
            <v>32</v>
          </cell>
          <cell r="D28">
            <v>1</v>
          </cell>
          <cell r="F28">
            <v>1</v>
          </cell>
          <cell r="G28">
            <v>0</v>
          </cell>
          <cell r="I28">
            <v>1</v>
          </cell>
          <cell r="J28">
            <v>0</v>
          </cell>
          <cell r="K28">
            <v>16</v>
          </cell>
          <cell r="L28">
            <v>16</v>
          </cell>
          <cell r="M28">
            <v>1</v>
          </cell>
          <cell r="O28">
            <v>1</v>
          </cell>
          <cell r="P28">
            <v>0</v>
          </cell>
          <cell r="Q28">
            <v>0</v>
          </cell>
          <cell r="R28">
            <v>0</v>
          </cell>
          <cell r="S28">
            <v>0</v>
          </cell>
          <cell r="T28">
            <v>2</v>
          </cell>
          <cell r="V28">
            <v>1</v>
          </cell>
          <cell r="W28">
            <v>72</v>
          </cell>
          <cell r="X28">
            <v>1</v>
          </cell>
          <cell r="Y28">
            <v>1</v>
          </cell>
          <cell r="AA28">
            <v>0</v>
          </cell>
          <cell r="AB28">
            <v>0</v>
          </cell>
          <cell r="AC28">
            <v>0</v>
          </cell>
          <cell r="AD28">
            <v>0</v>
          </cell>
          <cell r="AE28">
            <v>0</v>
          </cell>
          <cell r="AF28">
            <v>0</v>
          </cell>
          <cell r="AG28">
            <v>0</v>
          </cell>
          <cell r="AH28">
            <v>1</v>
          </cell>
          <cell r="AI28">
            <v>1</v>
          </cell>
          <cell r="AK28">
            <v>1</v>
          </cell>
          <cell r="AL28">
            <v>0</v>
          </cell>
          <cell r="AN28">
            <v>3919</v>
          </cell>
          <cell r="AO28">
            <v>1</v>
          </cell>
          <cell r="AQ28">
            <v>1</v>
          </cell>
          <cell r="AR28">
            <v>22</v>
          </cell>
          <cell r="AS28">
            <v>4</v>
          </cell>
          <cell r="AT28">
            <v>2</v>
          </cell>
          <cell r="AU28">
            <v>0</v>
          </cell>
          <cell r="AV28">
            <v>10</v>
          </cell>
          <cell r="AW28">
            <v>10</v>
          </cell>
          <cell r="AX28">
            <v>5</v>
          </cell>
          <cell r="AY28">
            <v>3</v>
          </cell>
          <cell r="AZ28">
            <v>10</v>
          </cell>
          <cell r="BA28">
            <v>10</v>
          </cell>
          <cell r="BB28">
            <v>2</v>
          </cell>
          <cell r="BC28">
            <v>6</v>
          </cell>
          <cell r="BD28">
            <v>6</v>
          </cell>
          <cell r="BE28">
            <v>7</v>
          </cell>
          <cell r="BF28">
            <v>7</v>
          </cell>
          <cell r="BG28">
            <v>7</v>
          </cell>
          <cell r="BH28">
            <v>0</v>
          </cell>
          <cell r="BI28">
            <v>0</v>
          </cell>
          <cell r="BJ28">
            <v>1</v>
          </cell>
          <cell r="BK28">
            <v>0</v>
          </cell>
          <cell r="BL28">
            <v>0</v>
          </cell>
          <cell r="BM28">
            <v>1</v>
          </cell>
          <cell r="BN28">
            <v>0</v>
          </cell>
          <cell r="BO28">
            <v>0</v>
          </cell>
          <cell r="BP28">
            <v>0</v>
          </cell>
          <cell r="BQ28">
            <v>7</v>
          </cell>
          <cell r="BR28">
            <v>0</v>
          </cell>
          <cell r="BS28">
            <v>0</v>
          </cell>
          <cell r="BT28">
            <v>10</v>
          </cell>
          <cell r="BU28">
            <v>0</v>
          </cell>
        </row>
        <row r="29">
          <cell r="A29">
            <v>42</v>
          </cell>
          <cell r="B29">
            <v>42</v>
          </cell>
          <cell r="D29">
            <v>0</v>
          </cell>
          <cell r="F29">
            <v>0</v>
          </cell>
          <cell r="G29">
            <v>1</v>
          </cell>
          <cell r="I29">
            <v>0</v>
          </cell>
          <cell r="J29">
            <v>1</v>
          </cell>
          <cell r="K29">
            <v>8</v>
          </cell>
          <cell r="L29">
            <v>8</v>
          </cell>
          <cell r="M29">
            <v>4</v>
          </cell>
          <cell r="O29">
            <v>0</v>
          </cell>
          <cell r="P29">
            <v>0</v>
          </cell>
          <cell r="Q29">
            <v>0</v>
          </cell>
          <cell r="R29">
            <v>1</v>
          </cell>
          <cell r="S29">
            <v>0</v>
          </cell>
          <cell r="T29">
            <v>3</v>
          </cell>
          <cell r="V29">
            <v>0</v>
          </cell>
          <cell r="W29">
            <v>48</v>
          </cell>
          <cell r="X29">
            <v>3</v>
          </cell>
          <cell r="Y29">
            <v>2</v>
          </cell>
          <cell r="AA29">
            <v>0</v>
          </cell>
          <cell r="AB29">
            <v>1</v>
          </cell>
          <cell r="AC29">
            <v>0</v>
          </cell>
          <cell r="AD29">
            <v>0</v>
          </cell>
          <cell r="AE29">
            <v>0</v>
          </cell>
          <cell r="AF29">
            <v>0</v>
          </cell>
          <cell r="AG29">
            <v>0</v>
          </cell>
          <cell r="AH29">
            <v>0</v>
          </cell>
          <cell r="AI29">
            <v>2</v>
          </cell>
          <cell r="AK29">
            <v>0</v>
          </cell>
          <cell r="AL29">
            <v>1</v>
          </cell>
          <cell r="AN29">
            <v>6825</v>
          </cell>
          <cell r="AO29">
            <v>0</v>
          </cell>
          <cell r="AQ29">
            <v>0</v>
          </cell>
          <cell r="AR29">
            <v>11</v>
          </cell>
          <cell r="AS29">
            <v>3</v>
          </cell>
          <cell r="AT29">
            <v>4</v>
          </cell>
          <cell r="AU29">
            <v>1</v>
          </cell>
          <cell r="AV29">
            <v>10</v>
          </cell>
          <cell r="AW29">
            <v>10</v>
          </cell>
          <cell r="AX29">
            <v>2</v>
          </cell>
          <cell r="AY29">
            <v>3</v>
          </cell>
          <cell r="AZ29">
            <v>9</v>
          </cell>
          <cell r="BA29">
            <v>9</v>
          </cell>
          <cell r="BB29">
            <v>7</v>
          </cell>
          <cell r="BC29">
            <v>4</v>
          </cell>
          <cell r="BD29">
            <v>4</v>
          </cell>
          <cell r="BE29">
            <v>2</v>
          </cell>
          <cell r="BF29">
            <v>2</v>
          </cell>
          <cell r="BG29">
            <v>4</v>
          </cell>
          <cell r="BH29">
            <v>0</v>
          </cell>
          <cell r="BI29">
            <v>1</v>
          </cell>
          <cell r="BJ29">
            <v>0</v>
          </cell>
          <cell r="BK29">
            <v>0</v>
          </cell>
          <cell r="BL29">
            <v>0</v>
          </cell>
          <cell r="BM29">
            <v>0</v>
          </cell>
          <cell r="BN29">
            <v>1</v>
          </cell>
          <cell r="BO29">
            <v>0</v>
          </cell>
          <cell r="BP29">
            <v>0</v>
          </cell>
          <cell r="BQ29">
            <v>0</v>
          </cell>
          <cell r="BR29">
            <v>2</v>
          </cell>
          <cell r="BS29">
            <v>0</v>
          </cell>
          <cell r="BT29">
            <v>0</v>
          </cell>
          <cell r="BU29">
            <v>10</v>
          </cell>
        </row>
        <row r="30">
          <cell r="A30">
            <v>44</v>
          </cell>
          <cell r="B30">
            <v>44</v>
          </cell>
          <cell r="D30">
            <v>0</v>
          </cell>
          <cell r="F30">
            <v>0</v>
          </cell>
          <cell r="G30">
            <v>1</v>
          </cell>
          <cell r="I30">
            <v>1</v>
          </cell>
          <cell r="J30">
            <v>0</v>
          </cell>
          <cell r="K30">
            <v>7</v>
          </cell>
          <cell r="L30">
            <v>7</v>
          </cell>
          <cell r="M30">
            <v>4</v>
          </cell>
          <cell r="O30">
            <v>0</v>
          </cell>
          <cell r="P30">
            <v>0</v>
          </cell>
          <cell r="Q30">
            <v>1</v>
          </cell>
          <cell r="R30">
            <v>0</v>
          </cell>
          <cell r="S30">
            <v>0</v>
          </cell>
          <cell r="T30">
            <v>1</v>
          </cell>
          <cell r="V30">
            <v>1</v>
          </cell>
          <cell r="W30">
            <v>42</v>
          </cell>
          <cell r="X30">
            <v>2</v>
          </cell>
          <cell r="Y30">
            <v>3</v>
          </cell>
          <cell r="AA30">
            <v>1</v>
          </cell>
          <cell r="AB30">
            <v>0</v>
          </cell>
          <cell r="AC30">
            <v>0</v>
          </cell>
          <cell r="AD30">
            <v>0</v>
          </cell>
          <cell r="AE30">
            <v>0</v>
          </cell>
          <cell r="AF30">
            <v>0</v>
          </cell>
          <cell r="AG30">
            <v>0</v>
          </cell>
          <cell r="AH30">
            <v>0</v>
          </cell>
          <cell r="AI30">
            <v>4</v>
          </cell>
          <cell r="AK30">
            <v>0</v>
          </cell>
          <cell r="AL30">
            <v>1</v>
          </cell>
          <cell r="AN30">
            <v>10248</v>
          </cell>
          <cell r="AO30">
            <v>3</v>
          </cell>
          <cell r="AQ30">
            <v>0</v>
          </cell>
          <cell r="AR30">
            <v>14</v>
          </cell>
          <cell r="AS30">
            <v>3</v>
          </cell>
          <cell r="AT30">
            <v>4</v>
          </cell>
          <cell r="AU30">
            <v>1</v>
          </cell>
          <cell r="AV30">
            <v>24</v>
          </cell>
          <cell r="AW30">
            <v>24</v>
          </cell>
          <cell r="AX30">
            <v>4</v>
          </cell>
          <cell r="AY30">
            <v>3</v>
          </cell>
          <cell r="AZ30">
            <v>22</v>
          </cell>
          <cell r="BA30">
            <v>22</v>
          </cell>
          <cell r="BB30">
            <v>6</v>
          </cell>
          <cell r="BC30">
            <v>5</v>
          </cell>
          <cell r="BD30">
            <v>5</v>
          </cell>
          <cell r="BE30">
            <v>17</v>
          </cell>
          <cell r="BF30">
            <v>14</v>
          </cell>
          <cell r="BG30">
            <v>42</v>
          </cell>
          <cell r="BH30">
            <v>0</v>
          </cell>
          <cell r="BI30">
            <v>1</v>
          </cell>
          <cell r="BJ30">
            <v>0</v>
          </cell>
          <cell r="BK30">
            <v>0</v>
          </cell>
          <cell r="BL30">
            <v>0</v>
          </cell>
          <cell r="BM30">
            <v>0</v>
          </cell>
          <cell r="BN30">
            <v>1</v>
          </cell>
          <cell r="BO30">
            <v>0</v>
          </cell>
          <cell r="BP30">
            <v>0</v>
          </cell>
          <cell r="BQ30">
            <v>14</v>
          </cell>
          <cell r="BR30">
            <v>0</v>
          </cell>
          <cell r="BS30">
            <v>0</v>
          </cell>
          <cell r="BT30">
            <v>24</v>
          </cell>
          <cell r="BU30">
            <v>0</v>
          </cell>
        </row>
        <row r="31">
          <cell r="A31">
            <v>46</v>
          </cell>
          <cell r="B31">
            <v>46</v>
          </cell>
          <cell r="D31">
            <v>0</v>
          </cell>
          <cell r="F31">
            <v>0</v>
          </cell>
          <cell r="G31">
            <v>1</v>
          </cell>
          <cell r="I31">
            <v>0</v>
          </cell>
          <cell r="J31">
            <v>1</v>
          </cell>
          <cell r="K31">
            <v>2</v>
          </cell>
          <cell r="L31">
            <v>2</v>
          </cell>
          <cell r="M31">
            <v>4</v>
          </cell>
          <cell r="O31">
            <v>0</v>
          </cell>
          <cell r="P31">
            <v>0</v>
          </cell>
          <cell r="Q31">
            <v>0</v>
          </cell>
          <cell r="R31">
            <v>1</v>
          </cell>
          <cell r="S31">
            <v>0</v>
          </cell>
          <cell r="T31">
            <v>2</v>
          </cell>
          <cell r="V31">
            <v>1</v>
          </cell>
          <cell r="W31">
            <v>83</v>
          </cell>
          <cell r="X31">
            <v>3</v>
          </cell>
          <cell r="Y31">
            <v>5</v>
          </cell>
          <cell r="AA31">
            <v>0</v>
          </cell>
          <cell r="AB31">
            <v>0</v>
          </cell>
          <cell r="AC31">
            <v>0</v>
          </cell>
          <cell r="AD31">
            <v>1</v>
          </cell>
          <cell r="AE31">
            <v>0</v>
          </cell>
          <cell r="AF31">
            <v>0</v>
          </cell>
          <cell r="AG31">
            <v>0</v>
          </cell>
          <cell r="AH31">
            <v>0</v>
          </cell>
          <cell r="AI31">
            <v>1</v>
          </cell>
          <cell r="AK31">
            <v>1</v>
          </cell>
          <cell r="AL31">
            <v>0</v>
          </cell>
          <cell r="AN31">
            <v>18947</v>
          </cell>
          <cell r="AO31">
            <v>3</v>
          </cell>
          <cell r="AQ31">
            <v>0</v>
          </cell>
          <cell r="AR31">
            <v>12</v>
          </cell>
          <cell r="AS31">
            <v>3</v>
          </cell>
          <cell r="AT31">
            <v>4</v>
          </cell>
          <cell r="AU31">
            <v>0</v>
          </cell>
          <cell r="AV31">
            <v>22</v>
          </cell>
          <cell r="AW31">
            <v>22</v>
          </cell>
          <cell r="AX31">
            <v>2</v>
          </cell>
          <cell r="AY31">
            <v>2</v>
          </cell>
          <cell r="AZ31">
            <v>2</v>
          </cell>
          <cell r="BA31">
            <v>2</v>
          </cell>
          <cell r="BB31">
            <v>2</v>
          </cell>
          <cell r="BC31">
            <v>2</v>
          </cell>
          <cell r="BD31">
            <v>2</v>
          </cell>
          <cell r="BE31">
            <v>1</v>
          </cell>
          <cell r="BF31">
            <v>1</v>
          </cell>
          <cell r="BG31">
            <v>5</v>
          </cell>
          <cell r="BH31">
            <v>1</v>
          </cell>
          <cell r="BI31">
            <v>0</v>
          </cell>
          <cell r="BJ31">
            <v>0</v>
          </cell>
          <cell r="BK31">
            <v>0</v>
          </cell>
          <cell r="BL31">
            <v>1</v>
          </cell>
          <cell r="BM31">
            <v>0</v>
          </cell>
          <cell r="BN31">
            <v>0</v>
          </cell>
          <cell r="BO31">
            <v>0</v>
          </cell>
          <cell r="BP31">
            <v>0</v>
          </cell>
          <cell r="BQ31">
            <v>0</v>
          </cell>
          <cell r="BR31">
            <v>1</v>
          </cell>
          <cell r="BS31">
            <v>0</v>
          </cell>
          <cell r="BT31">
            <v>0</v>
          </cell>
          <cell r="BU31">
            <v>22</v>
          </cell>
        </row>
        <row r="32">
          <cell r="A32">
            <v>33</v>
          </cell>
          <cell r="B32">
            <v>33</v>
          </cell>
          <cell r="D32">
            <v>0</v>
          </cell>
          <cell r="F32">
            <v>0</v>
          </cell>
          <cell r="G32">
            <v>1</v>
          </cell>
          <cell r="I32">
            <v>1</v>
          </cell>
          <cell r="J32">
            <v>0</v>
          </cell>
          <cell r="K32">
            <v>2</v>
          </cell>
          <cell r="L32">
            <v>2</v>
          </cell>
          <cell r="M32">
            <v>3</v>
          </cell>
          <cell r="O32">
            <v>0</v>
          </cell>
          <cell r="P32">
            <v>0</v>
          </cell>
          <cell r="Q32">
            <v>1</v>
          </cell>
          <cell r="R32">
            <v>0</v>
          </cell>
          <cell r="S32">
            <v>0</v>
          </cell>
          <cell r="T32">
            <v>3</v>
          </cell>
          <cell r="V32">
            <v>0</v>
          </cell>
          <cell r="W32">
            <v>78</v>
          </cell>
          <cell r="X32">
            <v>3</v>
          </cell>
          <cell r="Y32">
            <v>1</v>
          </cell>
          <cell r="AA32">
            <v>0</v>
          </cell>
          <cell r="AB32">
            <v>0</v>
          </cell>
          <cell r="AC32">
            <v>1</v>
          </cell>
          <cell r="AD32">
            <v>0</v>
          </cell>
          <cell r="AE32">
            <v>0</v>
          </cell>
          <cell r="AF32">
            <v>0</v>
          </cell>
          <cell r="AG32">
            <v>0</v>
          </cell>
          <cell r="AH32">
            <v>0</v>
          </cell>
          <cell r="AI32">
            <v>4</v>
          </cell>
          <cell r="AK32">
            <v>1</v>
          </cell>
          <cell r="AL32">
            <v>0</v>
          </cell>
          <cell r="AN32">
            <v>2496</v>
          </cell>
          <cell r="AO32">
            <v>4</v>
          </cell>
          <cell r="AQ32">
            <v>0</v>
          </cell>
          <cell r="AR32">
            <v>11</v>
          </cell>
          <cell r="AS32">
            <v>3</v>
          </cell>
          <cell r="AT32">
            <v>4</v>
          </cell>
          <cell r="AU32">
            <v>0</v>
          </cell>
          <cell r="AV32">
            <v>7</v>
          </cell>
          <cell r="AW32">
            <v>7</v>
          </cell>
          <cell r="AX32">
            <v>3</v>
          </cell>
          <cell r="AY32">
            <v>3</v>
          </cell>
          <cell r="AZ32">
            <v>1</v>
          </cell>
          <cell r="BA32">
            <v>1</v>
          </cell>
          <cell r="BB32">
            <v>1</v>
          </cell>
          <cell r="BC32">
            <v>0</v>
          </cell>
          <cell r="BD32">
            <v>0</v>
          </cell>
          <cell r="BE32">
            <v>0</v>
          </cell>
          <cell r="BF32">
            <v>0</v>
          </cell>
          <cell r="BG32">
            <v>0</v>
          </cell>
          <cell r="BH32">
            <v>1</v>
          </cell>
          <cell r="BI32">
            <v>0</v>
          </cell>
          <cell r="BJ32">
            <v>0</v>
          </cell>
          <cell r="BK32">
            <v>0</v>
          </cell>
          <cell r="BL32">
            <v>1</v>
          </cell>
          <cell r="BM32">
            <v>0</v>
          </cell>
          <cell r="BN32">
            <v>0</v>
          </cell>
          <cell r="BO32">
            <v>0</v>
          </cell>
          <cell r="BP32">
            <v>0</v>
          </cell>
          <cell r="BQ32">
            <v>0</v>
          </cell>
          <cell r="BR32">
            <v>0</v>
          </cell>
          <cell r="BS32">
            <v>0</v>
          </cell>
          <cell r="BT32">
            <v>7</v>
          </cell>
          <cell r="BU32">
            <v>0</v>
          </cell>
        </row>
        <row r="33">
          <cell r="A33">
            <v>44</v>
          </cell>
          <cell r="B33">
            <v>44</v>
          </cell>
          <cell r="D33">
            <v>0</v>
          </cell>
          <cell r="F33">
            <v>0</v>
          </cell>
          <cell r="G33">
            <v>1</v>
          </cell>
          <cell r="I33">
            <v>1</v>
          </cell>
          <cell r="J33">
            <v>0</v>
          </cell>
          <cell r="K33">
            <v>10</v>
          </cell>
          <cell r="L33">
            <v>10</v>
          </cell>
          <cell r="M33">
            <v>4</v>
          </cell>
          <cell r="O33">
            <v>0</v>
          </cell>
          <cell r="P33">
            <v>1</v>
          </cell>
          <cell r="Q33">
            <v>0</v>
          </cell>
          <cell r="R33">
            <v>0</v>
          </cell>
          <cell r="S33">
            <v>0</v>
          </cell>
          <cell r="T33">
            <v>4</v>
          </cell>
          <cell r="V33">
            <v>0</v>
          </cell>
          <cell r="W33">
            <v>41</v>
          </cell>
          <cell r="X33">
            <v>3</v>
          </cell>
          <cell r="Y33">
            <v>2</v>
          </cell>
          <cell r="AA33">
            <v>1</v>
          </cell>
          <cell r="AB33">
            <v>0</v>
          </cell>
          <cell r="AC33">
            <v>0</v>
          </cell>
          <cell r="AD33">
            <v>0</v>
          </cell>
          <cell r="AE33">
            <v>0</v>
          </cell>
          <cell r="AF33">
            <v>0</v>
          </cell>
          <cell r="AG33">
            <v>0</v>
          </cell>
          <cell r="AH33">
            <v>0</v>
          </cell>
          <cell r="AI33">
            <v>4</v>
          </cell>
          <cell r="AK33">
            <v>0</v>
          </cell>
          <cell r="AL33">
            <v>1</v>
          </cell>
          <cell r="AN33">
            <v>6465</v>
          </cell>
          <cell r="AO33">
            <v>2</v>
          </cell>
          <cell r="AQ33">
            <v>1</v>
          </cell>
          <cell r="AR33">
            <v>13</v>
          </cell>
          <cell r="AS33">
            <v>3</v>
          </cell>
          <cell r="AT33">
            <v>4</v>
          </cell>
          <cell r="AU33">
            <v>0</v>
          </cell>
          <cell r="AV33">
            <v>9</v>
          </cell>
          <cell r="AW33">
            <v>9</v>
          </cell>
          <cell r="AX33">
            <v>5</v>
          </cell>
          <cell r="AY33">
            <v>4</v>
          </cell>
          <cell r="AZ33">
            <v>4</v>
          </cell>
          <cell r="BA33">
            <v>4</v>
          </cell>
          <cell r="BB33">
            <v>2</v>
          </cell>
          <cell r="BC33">
            <v>1</v>
          </cell>
          <cell r="BD33">
            <v>1</v>
          </cell>
          <cell r="BE33">
            <v>3</v>
          </cell>
          <cell r="BF33">
            <v>3</v>
          </cell>
          <cell r="BG33">
            <v>6</v>
          </cell>
          <cell r="BH33">
            <v>0</v>
          </cell>
          <cell r="BI33">
            <v>1</v>
          </cell>
          <cell r="BJ33">
            <v>0</v>
          </cell>
          <cell r="BK33">
            <v>0</v>
          </cell>
          <cell r="BL33">
            <v>0</v>
          </cell>
          <cell r="BM33">
            <v>0</v>
          </cell>
          <cell r="BN33">
            <v>0</v>
          </cell>
          <cell r="BO33">
            <v>1</v>
          </cell>
          <cell r="BP33">
            <v>0</v>
          </cell>
          <cell r="BQ33">
            <v>3</v>
          </cell>
          <cell r="BR33">
            <v>0</v>
          </cell>
          <cell r="BS33">
            <v>0</v>
          </cell>
          <cell r="BT33">
            <v>9</v>
          </cell>
          <cell r="BU33">
            <v>0</v>
          </cell>
        </row>
        <row r="34">
          <cell r="A34">
            <v>30</v>
          </cell>
          <cell r="B34">
            <v>30</v>
          </cell>
          <cell r="D34">
            <v>0</v>
          </cell>
          <cell r="F34">
            <v>0</v>
          </cell>
          <cell r="G34">
            <v>1</v>
          </cell>
          <cell r="I34">
            <v>1</v>
          </cell>
          <cell r="J34">
            <v>0</v>
          </cell>
          <cell r="K34">
            <v>9</v>
          </cell>
          <cell r="L34">
            <v>9</v>
          </cell>
          <cell r="M34">
            <v>2</v>
          </cell>
          <cell r="O34">
            <v>0</v>
          </cell>
          <cell r="P34">
            <v>0</v>
          </cell>
          <cell r="Q34">
            <v>1</v>
          </cell>
          <cell r="R34">
            <v>0</v>
          </cell>
          <cell r="S34">
            <v>0</v>
          </cell>
          <cell r="T34">
            <v>4</v>
          </cell>
          <cell r="V34">
            <v>0</v>
          </cell>
          <cell r="W34">
            <v>83</v>
          </cell>
          <cell r="X34">
            <v>2</v>
          </cell>
          <cell r="Y34">
            <v>1</v>
          </cell>
          <cell r="AA34">
            <v>0</v>
          </cell>
          <cell r="AB34">
            <v>0</v>
          </cell>
          <cell r="AC34">
            <v>1</v>
          </cell>
          <cell r="AD34">
            <v>0</v>
          </cell>
          <cell r="AE34">
            <v>0</v>
          </cell>
          <cell r="AF34">
            <v>0</v>
          </cell>
          <cell r="AG34">
            <v>0</v>
          </cell>
          <cell r="AH34">
            <v>0</v>
          </cell>
          <cell r="AI34">
            <v>3</v>
          </cell>
          <cell r="AK34">
            <v>1</v>
          </cell>
          <cell r="AL34">
            <v>0</v>
          </cell>
          <cell r="AN34">
            <v>2206</v>
          </cell>
          <cell r="AO34">
            <v>1</v>
          </cell>
          <cell r="AQ34">
            <v>0</v>
          </cell>
          <cell r="AR34">
            <v>13</v>
          </cell>
          <cell r="AS34">
            <v>3</v>
          </cell>
          <cell r="AT34">
            <v>1</v>
          </cell>
          <cell r="AU34">
            <v>0</v>
          </cell>
          <cell r="AV34">
            <v>10</v>
          </cell>
          <cell r="AW34">
            <v>10</v>
          </cell>
          <cell r="AX34">
            <v>5</v>
          </cell>
          <cell r="AY34">
            <v>3</v>
          </cell>
          <cell r="AZ34">
            <v>10</v>
          </cell>
          <cell r="BA34">
            <v>10</v>
          </cell>
          <cell r="BB34">
            <v>0</v>
          </cell>
          <cell r="BC34">
            <v>1</v>
          </cell>
          <cell r="BD34">
            <v>1</v>
          </cell>
          <cell r="BE34">
            <v>8</v>
          </cell>
          <cell r="BF34">
            <v>8</v>
          </cell>
          <cell r="BG34">
            <v>8</v>
          </cell>
          <cell r="BH34">
            <v>1</v>
          </cell>
          <cell r="BI34">
            <v>0</v>
          </cell>
          <cell r="BJ34">
            <v>0</v>
          </cell>
          <cell r="BK34">
            <v>0</v>
          </cell>
          <cell r="BL34">
            <v>1</v>
          </cell>
          <cell r="BM34">
            <v>0</v>
          </cell>
          <cell r="BN34">
            <v>0</v>
          </cell>
          <cell r="BO34">
            <v>0</v>
          </cell>
          <cell r="BP34">
            <v>0</v>
          </cell>
          <cell r="BQ34">
            <v>8</v>
          </cell>
          <cell r="BR34">
            <v>0</v>
          </cell>
          <cell r="BS34">
            <v>0</v>
          </cell>
          <cell r="BT34">
            <v>10</v>
          </cell>
          <cell r="BU34">
            <v>0</v>
          </cell>
        </row>
        <row r="35">
          <cell r="A35">
            <v>39</v>
          </cell>
          <cell r="B35">
            <v>39</v>
          </cell>
          <cell r="D35">
            <v>1</v>
          </cell>
          <cell r="F35">
            <v>0</v>
          </cell>
          <cell r="G35">
            <v>1</v>
          </cell>
          <cell r="I35">
            <v>0</v>
          </cell>
          <cell r="J35">
            <v>1</v>
          </cell>
          <cell r="K35">
            <v>5</v>
          </cell>
          <cell r="L35">
            <v>5</v>
          </cell>
          <cell r="M35">
            <v>3</v>
          </cell>
          <cell r="O35">
            <v>0</v>
          </cell>
          <cell r="P35">
            <v>0</v>
          </cell>
          <cell r="Q35">
            <v>0</v>
          </cell>
          <cell r="R35">
            <v>0</v>
          </cell>
          <cell r="S35">
            <v>1</v>
          </cell>
          <cell r="T35">
            <v>4</v>
          </cell>
          <cell r="V35">
            <v>0</v>
          </cell>
          <cell r="W35">
            <v>56</v>
          </cell>
          <cell r="X35">
            <v>3</v>
          </cell>
          <cell r="Y35">
            <v>2</v>
          </cell>
          <cell r="AA35">
            <v>0</v>
          </cell>
          <cell r="AB35">
            <v>0</v>
          </cell>
          <cell r="AC35">
            <v>0</v>
          </cell>
          <cell r="AD35">
            <v>0</v>
          </cell>
          <cell r="AE35">
            <v>0</v>
          </cell>
          <cell r="AF35">
            <v>0</v>
          </cell>
          <cell r="AG35">
            <v>1</v>
          </cell>
          <cell r="AH35">
            <v>0</v>
          </cell>
          <cell r="AI35">
            <v>4</v>
          </cell>
          <cell r="AK35">
            <v>0</v>
          </cell>
          <cell r="AL35">
            <v>1</v>
          </cell>
          <cell r="AN35">
            <v>2086</v>
          </cell>
          <cell r="AO35">
            <v>3</v>
          </cell>
          <cell r="AQ35">
            <v>0</v>
          </cell>
          <cell r="AR35">
            <v>14</v>
          </cell>
          <cell r="AS35">
            <v>3</v>
          </cell>
          <cell r="AT35">
            <v>3</v>
          </cell>
          <cell r="AU35">
            <v>1</v>
          </cell>
          <cell r="AV35">
            <v>19</v>
          </cell>
          <cell r="AW35">
            <v>19</v>
          </cell>
          <cell r="AX35">
            <v>6</v>
          </cell>
          <cell r="AY35">
            <v>4</v>
          </cell>
          <cell r="AZ35">
            <v>1</v>
          </cell>
          <cell r="BA35">
            <v>1</v>
          </cell>
          <cell r="BB35">
            <v>0</v>
          </cell>
          <cell r="BC35">
            <v>0</v>
          </cell>
          <cell r="BD35">
            <v>0</v>
          </cell>
          <cell r="BE35">
            <v>0</v>
          </cell>
          <cell r="BF35">
            <v>0</v>
          </cell>
          <cell r="BG35">
            <v>0</v>
          </cell>
          <cell r="BH35">
            <v>0</v>
          </cell>
          <cell r="BI35">
            <v>1</v>
          </cell>
          <cell r="BJ35">
            <v>0</v>
          </cell>
          <cell r="BK35">
            <v>0</v>
          </cell>
          <cell r="BL35">
            <v>0</v>
          </cell>
          <cell r="BM35">
            <v>0</v>
          </cell>
          <cell r="BN35">
            <v>1</v>
          </cell>
          <cell r="BO35">
            <v>0</v>
          </cell>
          <cell r="BP35">
            <v>0</v>
          </cell>
          <cell r="BQ35">
            <v>0</v>
          </cell>
          <cell r="BR35">
            <v>0</v>
          </cell>
          <cell r="BS35">
            <v>0</v>
          </cell>
          <cell r="BT35">
            <v>0</v>
          </cell>
          <cell r="BU35">
            <v>19</v>
          </cell>
        </row>
        <row r="36">
          <cell r="A36">
            <v>24</v>
          </cell>
          <cell r="B36">
            <v>24</v>
          </cell>
          <cell r="D36">
            <v>1</v>
          </cell>
          <cell r="F36">
            <v>0</v>
          </cell>
          <cell r="G36">
            <v>1</v>
          </cell>
          <cell r="I36">
            <v>1</v>
          </cell>
          <cell r="J36">
            <v>0</v>
          </cell>
          <cell r="K36">
            <v>1</v>
          </cell>
          <cell r="L36">
            <v>1</v>
          </cell>
          <cell r="M36">
            <v>3</v>
          </cell>
          <cell r="O36">
            <v>0</v>
          </cell>
          <cell r="P36">
            <v>0</v>
          </cell>
          <cell r="Q36">
            <v>1</v>
          </cell>
          <cell r="R36">
            <v>0</v>
          </cell>
          <cell r="S36">
            <v>0</v>
          </cell>
          <cell r="T36">
            <v>2</v>
          </cell>
          <cell r="V36">
            <v>0</v>
          </cell>
          <cell r="W36">
            <v>61</v>
          </cell>
          <cell r="X36">
            <v>3</v>
          </cell>
          <cell r="Y36">
            <v>1</v>
          </cell>
          <cell r="AA36">
            <v>0</v>
          </cell>
          <cell r="AB36">
            <v>0</v>
          </cell>
          <cell r="AC36">
            <v>0</v>
          </cell>
          <cell r="AD36">
            <v>0</v>
          </cell>
          <cell r="AE36">
            <v>0</v>
          </cell>
          <cell r="AF36">
            <v>0</v>
          </cell>
          <cell r="AG36">
            <v>0</v>
          </cell>
          <cell r="AH36">
            <v>1</v>
          </cell>
          <cell r="AI36">
            <v>4</v>
          </cell>
          <cell r="AK36">
            <v>0</v>
          </cell>
          <cell r="AL36">
            <v>1</v>
          </cell>
          <cell r="AN36">
            <v>2293</v>
          </cell>
          <cell r="AO36">
            <v>2</v>
          </cell>
          <cell r="AQ36">
            <v>1</v>
          </cell>
          <cell r="AR36">
            <v>16</v>
          </cell>
          <cell r="AS36">
            <v>3</v>
          </cell>
          <cell r="AT36">
            <v>1</v>
          </cell>
          <cell r="AU36">
            <v>1</v>
          </cell>
          <cell r="AV36">
            <v>6</v>
          </cell>
          <cell r="AW36">
            <v>6</v>
          </cell>
          <cell r="AX36">
            <v>2</v>
          </cell>
          <cell r="AY36">
            <v>2</v>
          </cell>
          <cell r="AZ36">
            <v>2</v>
          </cell>
          <cell r="BA36">
            <v>2</v>
          </cell>
          <cell r="BB36">
            <v>0</v>
          </cell>
          <cell r="BC36">
            <v>2</v>
          </cell>
          <cell r="BD36">
            <v>2</v>
          </cell>
          <cell r="BE36">
            <v>0</v>
          </cell>
          <cell r="BF36">
            <v>0</v>
          </cell>
          <cell r="BG36">
            <v>0</v>
          </cell>
          <cell r="BH36">
            <v>0</v>
          </cell>
          <cell r="BI36">
            <v>1</v>
          </cell>
          <cell r="BJ36">
            <v>0</v>
          </cell>
          <cell r="BK36">
            <v>0</v>
          </cell>
          <cell r="BL36">
            <v>0</v>
          </cell>
          <cell r="BM36">
            <v>0</v>
          </cell>
          <cell r="BN36">
            <v>0</v>
          </cell>
          <cell r="BO36">
            <v>1</v>
          </cell>
          <cell r="BP36">
            <v>0</v>
          </cell>
          <cell r="BQ36">
            <v>0</v>
          </cell>
          <cell r="BR36">
            <v>0</v>
          </cell>
          <cell r="BS36">
            <v>0</v>
          </cell>
          <cell r="BT36">
            <v>6</v>
          </cell>
          <cell r="BU36">
            <v>0</v>
          </cell>
        </row>
        <row r="37">
          <cell r="A37">
            <v>43</v>
          </cell>
          <cell r="B37">
            <v>43</v>
          </cell>
          <cell r="D37">
            <v>0</v>
          </cell>
          <cell r="F37">
            <v>0</v>
          </cell>
          <cell r="G37">
            <v>1</v>
          </cell>
          <cell r="I37">
            <v>1</v>
          </cell>
          <cell r="J37">
            <v>0</v>
          </cell>
          <cell r="K37">
            <v>2</v>
          </cell>
          <cell r="L37">
            <v>2</v>
          </cell>
          <cell r="M37">
            <v>2</v>
          </cell>
          <cell r="O37">
            <v>0</v>
          </cell>
          <cell r="P37">
            <v>0</v>
          </cell>
          <cell r="Q37">
            <v>1</v>
          </cell>
          <cell r="R37">
            <v>0</v>
          </cell>
          <cell r="S37">
            <v>0</v>
          </cell>
          <cell r="T37">
            <v>4</v>
          </cell>
          <cell r="V37">
            <v>1</v>
          </cell>
          <cell r="W37">
            <v>72</v>
          </cell>
          <cell r="X37">
            <v>4</v>
          </cell>
          <cell r="Y37">
            <v>1</v>
          </cell>
          <cell r="AA37">
            <v>0</v>
          </cell>
          <cell r="AB37">
            <v>0</v>
          </cell>
          <cell r="AC37">
            <v>0</v>
          </cell>
          <cell r="AD37">
            <v>0</v>
          </cell>
          <cell r="AE37">
            <v>0</v>
          </cell>
          <cell r="AF37">
            <v>0</v>
          </cell>
          <cell r="AG37">
            <v>0</v>
          </cell>
          <cell r="AH37">
            <v>1</v>
          </cell>
          <cell r="AI37">
            <v>3</v>
          </cell>
          <cell r="AK37">
            <v>0</v>
          </cell>
          <cell r="AL37">
            <v>0</v>
          </cell>
          <cell r="AN37">
            <v>2645</v>
          </cell>
          <cell r="AO37">
            <v>1</v>
          </cell>
          <cell r="AQ37">
            <v>0</v>
          </cell>
          <cell r="AR37">
            <v>12</v>
          </cell>
          <cell r="AS37">
            <v>3</v>
          </cell>
          <cell r="AT37">
            <v>4</v>
          </cell>
          <cell r="AU37">
            <v>2</v>
          </cell>
          <cell r="AV37">
            <v>6</v>
          </cell>
          <cell r="AW37">
            <v>6</v>
          </cell>
          <cell r="AX37">
            <v>3</v>
          </cell>
          <cell r="AY37">
            <v>2</v>
          </cell>
          <cell r="AZ37">
            <v>5</v>
          </cell>
          <cell r="BA37">
            <v>5</v>
          </cell>
          <cell r="BB37">
            <v>3</v>
          </cell>
          <cell r="BC37">
            <v>1</v>
          </cell>
          <cell r="BD37">
            <v>1</v>
          </cell>
          <cell r="BE37">
            <v>4</v>
          </cell>
          <cell r="BF37">
            <v>4</v>
          </cell>
          <cell r="BG37">
            <v>4</v>
          </cell>
          <cell r="BH37">
            <v>1</v>
          </cell>
          <cell r="BI37">
            <v>0</v>
          </cell>
          <cell r="BJ37">
            <v>0</v>
          </cell>
          <cell r="BK37">
            <v>0</v>
          </cell>
          <cell r="BL37">
            <v>1</v>
          </cell>
          <cell r="BM37">
            <v>0</v>
          </cell>
          <cell r="BN37">
            <v>0</v>
          </cell>
          <cell r="BO37">
            <v>0</v>
          </cell>
          <cell r="BP37">
            <v>0</v>
          </cell>
          <cell r="BQ37">
            <v>4</v>
          </cell>
          <cell r="BR37">
            <v>0</v>
          </cell>
          <cell r="BS37">
            <v>0</v>
          </cell>
          <cell r="BT37">
            <v>6</v>
          </cell>
          <cell r="BU37">
            <v>0</v>
          </cell>
        </row>
        <row r="38">
          <cell r="A38">
            <v>50</v>
          </cell>
          <cell r="B38">
            <v>50</v>
          </cell>
          <cell r="D38">
            <v>1</v>
          </cell>
          <cell r="F38">
            <v>0</v>
          </cell>
          <cell r="G38">
            <v>1</v>
          </cell>
          <cell r="I38">
            <v>0</v>
          </cell>
          <cell r="J38">
            <v>1</v>
          </cell>
          <cell r="K38">
            <v>3</v>
          </cell>
          <cell r="L38">
            <v>3</v>
          </cell>
          <cell r="M38">
            <v>2</v>
          </cell>
          <cell r="O38">
            <v>0</v>
          </cell>
          <cell r="P38">
            <v>0</v>
          </cell>
          <cell r="Q38">
            <v>0</v>
          </cell>
          <cell r="R38">
            <v>1</v>
          </cell>
          <cell r="S38">
            <v>0</v>
          </cell>
          <cell r="T38">
            <v>1</v>
          </cell>
          <cell r="V38">
            <v>0</v>
          </cell>
          <cell r="W38">
            <v>86</v>
          </cell>
          <cell r="X38">
            <v>2</v>
          </cell>
          <cell r="Y38">
            <v>1</v>
          </cell>
          <cell r="AA38">
            <v>0</v>
          </cell>
          <cell r="AB38">
            <v>0</v>
          </cell>
          <cell r="AC38">
            <v>0</v>
          </cell>
          <cell r="AD38">
            <v>0</v>
          </cell>
          <cell r="AE38">
            <v>0</v>
          </cell>
          <cell r="AF38">
            <v>0</v>
          </cell>
          <cell r="AG38">
            <v>1</v>
          </cell>
          <cell r="AH38">
            <v>0</v>
          </cell>
          <cell r="AI38">
            <v>3</v>
          </cell>
          <cell r="AK38">
            <v>0</v>
          </cell>
          <cell r="AL38">
            <v>1</v>
          </cell>
          <cell r="AN38">
            <v>2683</v>
          </cell>
          <cell r="AO38">
            <v>1</v>
          </cell>
          <cell r="AQ38">
            <v>1</v>
          </cell>
          <cell r="AR38">
            <v>14</v>
          </cell>
          <cell r="AS38">
            <v>3</v>
          </cell>
          <cell r="AT38">
            <v>3</v>
          </cell>
          <cell r="AU38">
            <v>0</v>
          </cell>
          <cell r="AV38">
            <v>3</v>
          </cell>
          <cell r="AW38">
            <v>3</v>
          </cell>
          <cell r="AX38">
            <v>2</v>
          </cell>
          <cell r="AY38">
            <v>3</v>
          </cell>
          <cell r="AZ38">
            <v>3</v>
          </cell>
          <cell r="BA38">
            <v>3</v>
          </cell>
          <cell r="BB38">
            <v>2</v>
          </cell>
          <cell r="BC38">
            <v>0</v>
          </cell>
          <cell r="BD38">
            <v>0</v>
          </cell>
          <cell r="BE38">
            <v>2</v>
          </cell>
          <cell r="BF38">
            <v>2</v>
          </cell>
          <cell r="BG38">
            <v>2</v>
          </cell>
          <cell r="BH38">
            <v>0</v>
          </cell>
          <cell r="BI38">
            <v>1</v>
          </cell>
          <cell r="BJ38">
            <v>0</v>
          </cell>
          <cell r="BK38">
            <v>0</v>
          </cell>
          <cell r="BL38">
            <v>0</v>
          </cell>
          <cell r="BM38">
            <v>0</v>
          </cell>
          <cell r="BN38">
            <v>0</v>
          </cell>
          <cell r="BO38">
            <v>1</v>
          </cell>
          <cell r="BP38">
            <v>0</v>
          </cell>
          <cell r="BQ38">
            <v>0</v>
          </cell>
          <cell r="BR38">
            <v>2</v>
          </cell>
          <cell r="BS38">
            <v>0</v>
          </cell>
          <cell r="BT38">
            <v>0</v>
          </cell>
          <cell r="BU38">
            <v>3</v>
          </cell>
        </row>
        <row r="39">
          <cell r="A39">
            <v>35</v>
          </cell>
          <cell r="B39">
            <v>35</v>
          </cell>
          <cell r="D39">
            <v>0</v>
          </cell>
          <cell r="F39">
            <v>0</v>
          </cell>
          <cell r="G39">
            <v>1</v>
          </cell>
          <cell r="I39">
            <v>0</v>
          </cell>
          <cell r="J39">
            <v>1</v>
          </cell>
          <cell r="K39">
            <v>2</v>
          </cell>
          <cell r="L39">
            <v>2</v>
          </cell>
          <cell r="M39">
            <v>3</v>
          </cell>
          <cell r="O39">
            <v>0</v>
          </cell>
          <cell r="P39">
            <v>0</v>
          </cell>
          <cell r="Q39">
            <v>0</v>
          </cell>
          <cell r="R39">
            <v>1</v>
          </cell>
          <cell r="S39">
            <v>0</v>
          </cell>
          <cell r="T39">
            <v>4</v>
          </cell>
          <cell r="V39">
            <v>1</v>
          </cell>
          <cell r="W39">
            <v>97</v>
          </cell>
          <cell r="X39">
            <v>3</v>
          </cell>
          <cell r="Y39">
            <v>1</v>
          </cell>
          <cell r="AA39">
            <v>0</v>
          </cell>
          <cell r="AB39">
            <v>0</v>
          </cell>
          <cell r="AC39">
            <v>0</v>
          </cell>
          <cell r="AD39">
            <v>0</v>
          </cell>
          <cell r="AE39">
            <v>0</v>
          </cell>
          <cell r="AF39">
            <v>0</v>
          </cell>
          <cell r="AG39">
            <v>1</v>
          </cell>
          <cell r="AH39">
            <v>0</v>
          </cell>
          <cell r="AI39">
            <v>4</v>
          </cell>
          <cell r="AK39">
            <v>0</v>
          </cell>
          <cell r="AL39">
            <v>1</v>
          </cell>
          <cell r="AN39">
            <v>2014</v>
          </cell>
          <cell r="AO39">
            <v>1</v>
          </cell>
          <cell r="AQ39">
            <v>0</v>
          </cell>
          <cell r="AR39">
            <v>13</v>
          </cell>
          <cell r="AS39">
            <v>3</v>
          </cell>
          <cell r="AT39">
            <v>1</v>
          </cell>
          <cell r="AU39">
            <v>0</v>
          </cell>
          <cell r="AV39">
            <v>2</v>
          </cell>
          <cell r="AW39">
            <v>2</v>
          </cell>
          <cell r="AX39">
            <v>3</v>
          </cell>
          <cell r="AY39">
            <v>3</v>
          </cell>
          <cell r="AZ39">
            <v>2</v>
          </cell>
          <cell r="BA39">
            <v>2</v>
          </cell>
          <cell r="BB39">
            <v>2</v>
          </cell>
          <cell r="BC39">
            <v>2</v>
          </cell>
          <cell r="BD39">
            <v>2</v>
          </cell>
          <cell r="BE39">
            <v>2</v>
          </cell>
          <cell r="BF39">
            <v>2</v>
          </cell>
          <cell r="BG39">
            <v>2</v>
          </cell>
          <cell r="BH39">
            <v>0</v>
          </cell>
          <cell r="BI39">
            <v>1</v>
          </cell>
          <cell r="BJ39">
            <v>0</v>
          </cell>
          <cell r="BK39">
            <v>0</v>
          </cell>
          <cell r="BL39">
            <v>0</v>
          </cell>
          <cell r="BM39">
            <v>0</v>
          </cell>
          <cell r="BN39">
            <v>1</v>
          </cell>
          <cell r="BO39">
            <v>0</v>
          </cell>
          <cell r="BP39">
            <v>0</v>
          </cell>
          <cell r="BQ39">
            <v>0</v>
          </cell>
          <cell r="BR39">
            <v>2</v>
          </cell>
          <cell r="BS39">
            <v>0</v>
          </cell>
          <cell r="BT39">
            <v>0</v>
          </cell>
          <cell r="BU39">
            <v>2</v>
          </cell>
        </row>
        <row r="40">
          <cell r="A40">
            <v>36</v>
          </cell>
          <cell r="B40">
            <v>36</v>
          </cell>
          <cell r="D40">
            <v>0</v>
          </cell>
          <cell r="F40">
            <v>0</v>
          </cell>
          <cell r="G40">
            <v>1</v>
          </cell>
          <cell r="I40">
            <v>1</v>
          </cell>
          <cell r="J40">
            <v>0</v>
          </cell>
          <cell r="K40">
            <v>5</v>
          </cell>
          <cell r="L40">
            <v>5</v>
          </cell>
          <cell r="M40">
            <v>4</v>
          </cell>
          <cell r="O40">
            <v>1</v>
          </cell>
          <cell r="P40">
            <v>0</v>
          </cell>
          <cell r="Q40">
            <v>0</v>
          </cell>
          <cell r="R40">
            <v>0</v>
          </cell>
          <cell r="S40">
            <v>0</v>
          </cell>
          <cell r="T40">
            <v>2</v>
          </cell>
          <cell r="V40">
            <v>1</v>
          </cell>
          <cell r="W40">
            <v>82</v>
          </cell>
          <cell r="X40">
            <v>2</v>
          </cell>
          <cell r="Y40">
            <v>1</v>
          </cell>
          <cell r="AA40">
            <v>0</v>
          </cell>
          <cell r="AB40">
            <v>0</v>
          </cell>
          <cell r="AC40">
            <v>0</v>
          </cell>
          <cell r="AD40">
            <v>0</v>
          </cell>
          <cell r="AE40">
            <v>0</v>
          </cell>
          <cell r="AF40">
            <v>0</v>
          </cell>
          <cell r="AG40">
            <v>0</v>
          </cell>
          <cell r="AH40">
            <v>1</v>
          </cell>
          <cell r="AI40">
            <v>1</v>
          </cell>
          <cell r="AK40">
            <v>0</v>
          </cell>
          <cell r="AL40">
            <v>1</v>
          </cell>
          <cell r="AN40">
            <v>3419</v>
          </cell>
          <cell r="AO40">
            <v>9</v>
          </cell>
          <cell r="AQ40">
            <v>1</v>
          </cell>
          <cell r="AR40">
            <v>14</v>
          </cell>
          <cell r="AS40">
            <v>3</v>
          </cell>
          <cell r="AT40">
            <v>4</v>
          </cell>
          <cell r="AU40">
            <v>1</v>
          </cell>
          <cell r="AV40">
            <v>6</v>
          </cell>
          <cell r="AW40">
            <v>6</v>
          </cell>
          <cell r="AX40">
            <v>3</v>
          </cell>
          <cell r="AY40">
            <v>4</v>
          </cell>
          <cell r="AZ40">
            <v>1</v>
          </cell>
          <cell r="BA40">
            <v>1</v>
          </cell>
          <cell r="BB40">
            <v>1</v>
          </cell>
          <cell r="BC40">
            <v>0</v>
          </cell>
          <cell r="BD40">
            <v>0</v>
          </cell>
          <cell r="BE40">
            <v>0</v>
          </cell>
          <cell r="BF40">
            <v>0</v>
          </cell>
          <cell r="BG40">
            <v>0</v>
          </cell>
          <cell r="BH40">
            <v>0</v>
          </cell>
          <cell r="BI40">
            <v>1</v>
          </cell>
          <cell r="BJ40">
            <v>0</v>
          </cell>
          <cell r="BK40">
            <v>0</v>
          </cell>
          <cell r="BL40">
            <v>0</v>
          </cell>
          <cell r="BM40">
            <v>0</v>
          </cell>
          <cell r="BN40">
            <v>0</v>
          </cell>
          <cell r="BO40">
            <v>1</v>
          </cell>
          <cell r="BP40">
            <v>0</v>
          </cell>
          <cell r="BQ40">
            <v>0</v>
          </cell>
          <cell r="BR40">
            <v>0</v>
          </cell>
          <cell r="BS40">
            <v>0</v>
          </cell>
          <cell r="BT40">
            <v>6</v>
          </cell>
          <cell r="BU40">
            <v>0</v>
          </cell>
        </row>
        <row r="41">
          <cell r="A41">
            <v>33</v>
          </cell>
          <cell r="B41">
            <v>33</v>
          </cell>
          <cell r="D41">
            <v>0</v>
          </cell>
          <cell r="F41">
            <v>1</v>
          </cell>
          <cell r="G41">
            <v>0</v>
          </cell>
          <cell r="I41">
            <v>0</v>
          </cell>
          <cell r="J41">
            <v>1</v>
          </cell>
          <cell r="K41">
            <v>1</v>
          </cell>
          <cell r="L41">
            <v>1</v>
          </cell>
          <cell r="M41">
            <v>3</v>
          </cell>
          <cell r="O41">
            <v>1</v>
          </cell>
          <cell r="P41">
            <v>0</v>
          </cell>
          <cell r="Q41">
            <v>0</v>
          </cell>
          <cell r="R41">
            <v>0</v>
          </cell>
          <cell r="S41">
            <v>0</v>
          </cell>
          <cell r="T41">
            <v>3</v>
          </cell>
          <cell r="V41">
            <v>1</v>
          </cell>
          <cell r="W41">
            <v>42</v>
          </cell>
          <cell r="X41">
            <v>4</v>
          </cell>
          <cell r="Y41">
            <v>2</v>
          </cell>
          <cell r="AA41">
            <v>0</v>
          </cell>
          <cell r="AB41">
            <v>1</v>
          </cell>
          <cell r="AC41">
            <v>0</v>
          </cell>
          <cell r="AD41">
            <v>0</v>
          </cell>
          <cell r="AE41">
            <v>0</v>
          </cell>
          <cell r="AF41">
            <v>0</v>
          </cell>
          <cell r="AG41">
            <v>0</v>
          </cell>
          <cell r="AH41">
            <v>0</v>
          </cell>
          <cell r="AI41">
            <v>1</v>
          </cell>
          <cell r="AK41">
            <v>0</v>
          </cell>
          <cell r="AL41">
            <v>1</v>
          </cell>
          <cell r="AN41">
            <v>5376</v>
          </cell>
          <cell r="AO41">
            <v>2</v>
          </cell>
          <cell r="AQ41">
            <v>0</v>
          </cell>
          <cell r="AR41">
            <v>19</v>
          </cell>
          <cell r="AS41">
            <v>3</v>
          </cell>
          <cell r="AT41">
            <v>1</v>
          </cell>
          <cell r="AU41">
            <v>2</v>
          </cell>
          <cell r="AV41">
            <v>10</v>
          </cell>
          <cell r="AW41">
            <v>10</v>
          </cell>
          <cell r="AX41">
            <v>3</v>
          </cell>
          <cell r="AY41">
            <v>3</v>
          </cell>
          <cell r="AZ41">
            <v>5</v>
          </cell>
          <cell r="BA41">
            <v>5</v>
          </cell>
          <cell r="BB41">
            <v>3</v>
          </cell>
          <cell r="BC41">
            <v>1</v>
          </cell>
          <cell r="BD41">
            <v>1</v>
          </cell>
          <cell r="BE41">
            <v>3</v>
          </cell>
          <cell r="BF41">
            <v>3</v>
          </cell>
          <cell r="BG41">
            <v>6</v>
          </cell>
          <cell r="BH41">
            <v>0</v>
          </cell>
          <cell r="BI41">
            <v>0</v>
          </cell>
          <cell r="BJ41">
            <v>0</v>
          </cell>
          <cell r="BK41">
            <v>1</v>
          </cell>
          <cell r="BL41">
            <v>0</v>
          </cell>
          <cell r="BM41">
            <v>0</v>
          </cell>
          <cell r="BN41">
            <v>1</v>
          </cell>
          <cell r="BO41">
            <v>0</v>
          </cell>
          <cell r="BP41">
            <v>0</v>
          </cell>
          <cell r="BQ41">
            <v>0</v>
          </cell>
          <cell r="BR41">
            <v>3</v>
          </cell>
          <cell r="BS41">
            <v>0</v>
          </cell>
          <cell r="BT41">
            <v>0</v>
          </cell>
          <cell r="BU41">
            <v>10</v>
          </cell>
        </row>
        <row r="42">
          <cell r="A42">
            <v>35</v>
          </cell>
          <cell r="B42">
            <v>35</v>
          </cell>
          <cell r="D42">
            <v>0</v>
          </cell>
          <cell r="F42">
            <v>0</v>
          </cell>
          <cell r="G42">
            <v>1</v>
          </cell>
          <cell r="I42">
            <v>1</v>
          </cell>
          <cell r="J42">
            <v>0</v>
          </cell>
          <cell r="K42">
            <v>4</v>
          </cell>
          <cell r="L42">
            <v>4</v>
          </cell>
          <cell r="M42">
            <v>2</v>
          </cell>
          <cell r="O42">
            <v>0</v>
          </cell>
          <cell r="P42">
            <v>1</v>
          </cell>
          <cell r="Q42">
            <v>0</v>
          </cell>
          <cell r="R42">
            <v>0</v>
          </cell>
          <cell r="S42">
            <v>0</v>
          </cell>
          <cell r="T42">
            <v>3</v>
          </cell>
          <cell r="V42">
            <v>0</v>
          </cell>
          <cell r="W42">
            <v>75</v>
          </cell>
          <cell r="X42">
            <v>3</v>
          </cell>
          <cell r="Y42">
            <v>1</v>
          </cell>
          <cell r="AA42">
            <v>0</v>
          </cell>
          <cell r="AB42">
            <v>0</v>
          </cell>
          <cell r="AC42">
            <v>1</v>
          </cell>
          <cell r="AD42">
            <v>0</v>
          </cell>
          <cell r="AE42">
            <v>0</v>
          </cell>
          <cell r="AF42">
            <v>0</v>
          </cell>
          <cell r="AG42">
            <v>0</v>
          </cell>
          <cell r="AH42">
            <v>0</v>
          </cell>
          <cell r="AI42">
            <v>4</v>
          </cell>
          <cell r="AK42">
            <v>0</v>
          </cell>
          <cell r="AL42">
            <v>0</v>
          </cell>
          <cell r="AN42">
            <v>1951</v>
          </cell>
          <cell r="AO42">
            <v>1</v>
          </cell>
          <cell r="AQ42">
            <v>0</v>
          </cell>
          <cell r="AR42">
            <v>12</v>
          </cell>
          <cell r="AS42">
            <v>3</v>
          </cell>
          <cell r="AT42">
            <v>3</v>
          </cell>
          <cell r="AU42">
            <v>1</v>
          </cell>
          <cell r="AV42">
            <v>1</v>
          </cell>
          <cell r="AW42">
            <v>1</v>
          </cell>
          <cell r="AX42">
            <v>3</v>
          </cell>
          <cell r="AY42">
            <v>3</v>
          </cell>
          <cell r="AZ42">
            <v>1</v>
          </cell>
          <cell r="BA42">
            <v>1</v>
          </cell>
          <cell r="BB42">
            <v>0</v>
          </cell>
          <cell r="BC42">
            <v>0</v>
          </cell>
          <cell r="BD42">
            <v>0</v>
          </cell>
          <cell r="BE42">
            <v>0</v>
          </cell>
          <cell r="BF42">
            <v>0</v>
          </cell>
          <cell r="BG42">
            <v>0</v>
          </cell>
          <cell r="BH42">
            <v>1</v>
          </cell>
          <cell r="BI42">
            <v>0</v>
          </cell>
          <cell r="BJ42">
            <v>0</v>
          </cell>
          <cell r="BK42">
            <v>0</v>
          </cell>
          <cell r="BL42">
            <v>1</v>
          </cell>
          <cell r="BM42">
            <v>0</v>
          </cell>
          <cell r="BN42">
            <v>0</v>
          </cell>
          <cell r="BO42">
            <v>0</v>
          </cell>
          <cell r="BP42">
            <v>0</v>
          </cell>
          <cell r="BQ42">
            <v>0</v>
          </cell>
          <cell r="BR42">
            <v>0</v>
          </cell>
          <cell r="BS42">
            <v>0</v>
          </cell>
          <cell r="BT42">
            <v>1</v>
          </cell>
          <cell r="BU42">
            <v>0</v>
          </cell>
        </row>
        <row r="43">
          <cell r="A43">
            <v>27</v>
          </cell>
          <cell r="B43">
            <v>27</v>
          </cell>
          <cell r="D43">
            <v>0</v>
          </cell>
          <cell r="F43">
            <v>0</v>
          </cell>
          <cell r="G43">
            <v>1</v>
          </cell>
          <cell r="I43">
            <v>1</v>
          </cell>
          <cell r="J43">
            <v>0</v>
          </cell>
          <cell r="K43">
            <v>2</v>
          </cell>
          <cell r="L43">
            <v>2</v>
          </cell>
          <cell r="M43">
            <v>4</v>
          </cell>
          <cell r="O43">
            <v>1</v>
          </cell>
          <cell r="P43">
            <v>0</v>
          </cell>
          <cell r="Q43">
            <v>0</v>
          </cell>
          <cell r="R43">
            <v>0</v>
          </cell>
          <cell r="S43">
            <v>0</v>
          </cell>
          <cell r="T43">
            <v>4</v>
          </cell>
          <cell r="V43">
            <v>1</v>
          </cell>
          <cell r="W43">
            <v>33</v>
          </cell>
          <cell r="X43">
            <v>3</v>
          </cell>
          <cell r="Y43">
            <v>1</v>
          </cell>
          <cell r="AA43">
            <v>0</v>
          </cell>
          <cell r="AB43">
            <v>0</v>
          </cell>
          <cell r="AC43">
            <v>1</v>
          </cell>
          <cell r="AD43">
            <v>0</v>
          </cell>
          <cell r="AE43">
            <v>0</v>
          </cell>
          <cell r="AF43">
            <v>0</v>
          </cell>
          <cell r="AG43">
            <v>0</v>
          </cell>
          <cell r="AH43">
            <v>0</v>
          </cell>
          <cell r="AI43">
            <v>1</v>
          </cell>
          <cell r="AK43">
            <v>0</v>
          </cell>
          <cell r="AL43">
            <v>0</v>
          </cell>
          <cell r="AN43">
            <v>2341</v>
          </cell>
          <cell r="AO43">
            <v>1</v>
          </cell>
          <cell r="AQ43">
            <v>0</v>
          </cell>
          <cell r="AR43">
            <v>13</v>
          </cell>
          <cell r="AS43">
            <v>3</v>
          </cell>
          <cell r="AT43">
            <v>4</v>
          </cell>
          <cell r="AU43">
            <v>1</v>
          </cell>
          <cell r="AV43">
            <v>1</v>
          </cell>
          <cell r="AW43">
            <v>1</v>
          </cell>
          <cell r="AX43">
            <v>6</v>
          </cell>
          <cell r="AY43">
            <v>3</v>
          </cell>
          <cell r="AZ43">
            <v>1</v>
          </cell>
          <cell r="BA43">
            <v>1</v>
          </cell>
          <cell r="BB43">
            <v>0</v>
          </cell>
          <cell r="BC43">
            <v>0</v>
          </cell>
          <cell r="BD43">
            <v>0</v>
          </cell>
          <cell r="BE43">
            <v>0</v>
          </cell>
          <cell r="BF43">
            <v>0</v>
          </cell>
          <cell r="BG43">
            <v>0</v>
          </cell>
          <cell r="BH43">
            <v>1</v>
          </cell>
          <cell r="BI43">
            <v>0</v>
          </cell>
          <cell r="BJ43">
            <v>0</v>
          </cell>
          <cell r="BK43">
            <v>0</v>
          </cell>
          <cell r="BL43">
            <v>1</v>
          </cell>
          <cell r="BM43">
            <v>0</v>
          </cell>
          <cell r="BN43">
            <v>0</v>
          </cell>
          <cell r="BO43">
            <v>0</v>
          </cell>
          <cell r="BP43">
            <v>0</v>
          </cell>
          <cell r="BQ43">
            <v>0</v>
          </cell>
          <cell r="BR43">
            <v>0</v>
          </cell>
          <cell r="BS43">
            <v>0</v>
          </cell>
          <cell r="BT43">
            <v>1</v>
          </cell>
          <cell r="BU43">
            <v>0</v>
          </cell>
        </row>
        <row r="44">
          <cell r="A44">
            <v>26</v>
          </cell>
          <cell r="B44">
            <v>26</v>
          </cell>
          <cell r="D44">
            <v>1</v>
          </cell>
          <cell r="F44">
            <v>0</v>
          </cell>
          <cell r="G44">
            <v>1</v>
          </cell>
          <cell r="I44">
            <v>1</v>
          </cell>
          <cell r="J44">
            <v>0</v>
          </cell>
          <cell r="K44">
            <v>25</v>
          </cell>
          <cell r="L44">
            <v>25</v>
          </cell>
          <cell r="M44">
            <v>3</v>
          </cell>
          <cell r="O44">
            <v>1</v>
          </cell>
          <cell r="P44">
            <v>0</v>
          </cell>
          <cell r="Q44">
            <v>0</v>
          </cell>
          <cell r="R44">
            <v>0</v>
          </cell>
          <cell r="S44">
            <v>0</v>
          </cell>
          <cell r="T44">
            <v>1</v>
          </cell>
          <cell r="V44">
            <v>0</v>
          </cell>
          <cell r="W44">
            <v>48</v>
          </cell>
          <cell r="X44">
            <v>1</v>
          </cell>
          <cell r="Y44">
            <v>1</v>
          </cell>
          <cell r="AA44">
            <v>0</v>
          </cell>
          <cell r="AB44">
            <v>0</v>
          </cell>
          <cell r="AC44">
            <v>1</v>
          </cell>
          <cell r="AD44">
            <v>0</v>
          </cell>
          <cell r="AE44">
            <v>0</v>
          </cell>
          <cell r="AF44">
            <v>0</v>
          </cell>
          <cell r="AG44">
            <v>0</v>
          </cell>
          <cell r="AH44">
            <v>0</v>
          </cell>
          <cell r="AI44">
            <v>3</v>
          </cell>
          <cell r="AK44">
            <v>1</v>
          </cell>
          <cell r="AL44">
            <v>0</v>
          </cell>
          <cell r="AN44">
            <v>2293</v>
          </cell>
          <cell r="AO44">
            <v>1</v>
          </cell>
          <cell r="AQ44">
            <v>0</v>
          </cell>
          <cell r="AR44">
            <v>12</v>
          </cell>
          <cell r="AS44">
            <v>3</v>
          </cell>
          <cell r="AT44">
            <v>3</v>
          </cell>
          <cell r="AU44">
            <v>0</v>
          </cell>
          <cell r="AV44">
            <v>1</v>
          </cell>
          <cell r="AW44">
            <v>1</v>
          </cell>
          <cell r="AX44">
            <v>2</v>
          </cell>
          <cell r="AY44">
            <v>2</v>
          </cell>
          <cell r="AZ44">
            <v>1</v>
          </cell>
          <cell r="BA44">
            <v>1</v>
          </cell>
          <cell r="BB44">
            <v>0</v>
          </cell>
          <cell r="BC44">
            <v>0</v>
          </cell>
          <cell r="BD44">
            <v>0</v>
          </cell>
          <cell r="BE44">
            <v>1</v>
          </cell>
          <cell r="BF44">
            <v>1</v>
          </cell>
          <cell r="BG44">
            <v>1</v>
          </cell>
          <cell r="BH44">
            <v>1</v>
          </cell>
          <cell r="BI44">
            <v>0</v>
          </cell>
          <cell r="BJ44">
            <v>0</v>
          </cell>
          <cell r="BK44">
            <v>0</v>
          </cell>
          <cell r="BL44">
            <v>1</v>
          </cell>
          <cell r="BM44">
            <v>0</v>
          </cell>
          <cell r="BN44">
            <v>0</v>
          </cell>
          <cell r="BO44">
            <v>0</v>
          </cell>
          <cell r="BP44">
            <v>0</v>
          </cell>
          <cell r="BQ44">
            <v>1</v>
          </cell>
          <cell r="BR44">
            <v>0</v>
          </cell>
          <cell r="BS44">
            <v>0</v>
          </cell>
          <cell r="BT44">
            <v>1</v>
          </cell>
          <cell r="BU44">
            <v>0</v>
          </cell>
        </row>
        <row r="45">
          <cell r="A45">
            <v>27</v>
          </cell>
          <cell r="B45">
            <v>27</v>
          </cell>
          <cell r="D45">
            <v>0</v>
          </cell>
          <cell r="F45">
            <v>1</v>
          </cell>
          <cell r="G45">
            <v>0</v>
          </cell>
          <cell r="I45">
            <v>0</v>
          </cell>
          <cell r="J45">
            <v>1</v>
          </cell>
          <cell r="K45">
            <v>8</v>
          </cell>
          <cell r="L45">
            <v>8</v>
          </cell>
          <cell r="M45">
            <v>3</v>
          </cell>
          <cell r="O45">
            <v>1</v>
          </cell>
          <cell r="P45">
            <v>0</v>
          </cell>
          <cell r="Q45">
            <v>0</v>
          </cell>
          <cell r="R45">
            <v>0</v>
          </cell>
          <cell r="S45">
            <v>0</v>
          </cell>
          <cell r="T45">
            <v>4</v>
          </cell>
          <cell r="V45">
            <v>0</v>
          </cell>
          <cell r="W45">
            <v>37</v>
          </cell>
          <cell r="X45">
            <v>3</v>
          </cell>
          <cell r="Y45">
            <v>3</v>
          </cell>
          <cell r="AA45">
            <v>0</v>
          </cell>
          <cell r="AB45">
            <v>1</v>
          </cell>
          <cell r="AC45">
            <v>0</v>
          </cell>
          <cell r="AD45">
            <v>0</v>
          </cell>
          <cell r="AE45">
            <v>0</v>
          </cell>
          <cell r="AF45">
            <v>0</v>
          </cell>
          <cell r="AG45">
            <v>0</v>
          </cell>
          <cell r="AH45">
            <v>0</v>
          </cell>
          <cell r="AI45">
            <v>3</v>
          </cell>
          <cell r="AK45">
            <v>1</v>
          </cell>
          <cell r="AL45">
            <v>0</v>
          </cell>
          <cell r="AN45">
            <v>8726</v>
          </cell>
          <cell r="AO45">
            <v>1</v>
          </cell>
          <cell r="AQ45">
            <v>0</v>
          </cell>
          <cell r="AR45">
            <v>15</v>
          </cell>
          <cell r="AS45">
            <v>3</v>
          </cell>
          <cell r="AT45">
            <v>4</v>
          </cell>
          <cell r="AU45">
            <v>0</v>
          </cell>
          <cell r="AV45">
            <v>9</v>
          </cell>
          <cell r="AW45">
            <v>9</v>
          </cell>
          <cell r="AX45">
            <v>0</v>
          </cell>
          <cell r="AY45">
            <v>3</v>
          </cell>
          <cell r="AZ45">
            <v>9</v>
          </cell>
          <cell r="BA45">
            <v>9</v>
          </cell>
          <cell r="BB45">
            <v>8</v>
          </cell>
          <cell r="BC45">
            <v>1</v>
          </cell>
          <cell r="BD45">
            <v>1</v>
          </cell>
          <cell r="BE45">
            <v>7</v>
          </cell>
          <cell r="BF45">
            <v>7</v>
          </cell>
          <cell r="BG45">
            <v>21</v>
          </cell>
          <cell r="BH45">
            <v>0</v>
          </cell>
          <cell r="BI45">
            <v>0</v>
          </cell>
          <cell r="BJ45">
            <v>1</v>
          </cell>
          <cell r="BK45">
            <v>0</v>
          </cell>
          <cell r="BL45">
            <v>1</v>
          </cell>
          <cell r="BM45">
            <v>0</v>
          </cell>
          <cell r="BN45">
            <v>0</v>
          </cell>
          <cell r="BO45">
            <v>0</v>
          </cell>
          <cell r="BP45">
            <v>0</v>
          </cell>
          <cell r="BQ45">
            <v>0</v>
          </cell>
          <cell r="BR45">
            <v>7</v>
          </cell>
          <cell r="BS45">
            <v>0</v>
          </cell>
          <cell r="BT45">
            <v>0</v>
          </cell>
          <cell r="BU45">
            <v>9</v>
          </cell>
        </row>
        <row r="46">
          <cell r="A46">
            <v>30</v>
          </cell>
          <cell r="B46">
            <v>30</v>
          </cell>
          <cell r="D46">
            <v>0</v>
          </cell>
          <cell r="F46">
            <v>1</v>
          </cell>
          <cell r="G46">
            <v>0</v>
          </cell>
          <cell r="I46">
            <v>1</v>
          </cell>
          <cell r="J46">
            <v>0</v>
          </cell>
          <cell r="K46">
            <v>1</v>
          </cell>
          <cell r="L46">
            <v>1</v>
          </cell>
          <cell r="M46">
            <v>2</v>
          </cell>
          <cell r="O46">
            <v>0</v>
          </cell>
          <cell r="P46">
            <v>0</v>
          </cell>
          <cell r="Q46">
            <v>1</v>
          </cell>
          <cell r="R46">
            <v>0</v>
          </cell>
          <cell r="S46">
            <v>0</v>
          </cell>
          <cell r="T46">
            <v>3</v>
          </cell>
          <cell r="V46">
            <v>1</v>
          </cell>
          <cell r="W46">
            <v>58</v>
          </cell>
          <cell r="X46">
            <v>3</v>
          </cell>
          <cell r="Y46">
            <v>2</v>
          </cell>
          <cell r="AA46">
            <v>0</v>
          </cell>
          <cell r="AB46">
            <v>0</v>
          </cell>
          <cell r="AC46">
            <v>1</v>
          </cell>
          <cell r="AD46">
            <v>0</v>
          </cell>
          <cell r="AE46">
            <v>0</v>
          </cell>
          <cell r="AF46">
            <v>0</v>
          </cell>
          <cell r="AG46">
            <v>0</v>
          </cell>
          <cell r="AH46">
            <v>0</v>
          </cell>
          <cell r="AI46">
            <v>4</v>
          </cell>
          <cell r="AK46">
            <v>1</v>
          </cell>
          <cell r="AL46">
            <v>0</v>
          </cell>
          <cell r="AN46">
            <v>4011</v>
          </cell>
          <cell r="AO46">
            <v>1</v>
          </cell>
          <cell r="AQ46">
            <v>0</v>
          </cell>
          <cell r="AR46">
            <v>23</v>
          </cell>
          <cell r="AS46">
            <v>4</v>
          </cell>
          <cell r="AT46">
            <v>4</v>
          </cell>
          <cell r="AU46">
            <v>0</v>
          </cell>
          <cell r="AV46">
            <v>12</v>
          </cell>
          <cell r="AW46">
            <v>12</v>
          </cell>
          <cell r="AX46">
            <v>2</v>
          </cell>
          <cell r="AY46">
            <v>3</v>
          </cell>
          <cell r="AZ46">
            <v>12</v>
          </cell>
          <cell r="BA46">
            <v>12</v>
          </cell>
          <cell r="BB46">
            <v>8</v>
          </cell>
          <cell r="BC46">
            <v>3</v>
          </cell>
          <cell r="BD46">
            <v>3</v>
          </cell>
          <cell r="BE46">
            <v>7</v>
          </cell>
          <cell r="BF46">
            <v>7</v>
          </cell>
          <cell r="BG46">
            <v>14</v>
          </cell>
          <cell r="BH46">
            <v>0</v>
          </cell>
          <cell r="BI46">
            <v>0</v>
          </cell>
          <cell r="BJ46">
            <v>1</v>
          </cell>
          <cell r="BK46">
            <v>0</v>
          </cell>
          <cell r="BL46">
            <v>1</v>
          </cell>
          <cell r="BM46">
            <v>0</v>
          </cell>
          <cell r="BN46">
            <v>0</v>
          </cell>
          <cell r="BO46">
            <v>0</v>
          </cell>
          <cell r="BP46">
            <v>0</v>
          </cell>
          <cell r="BQ46">
            <v>7</v>
          </cell>
          <cell r="BR46">
            <v>0</v>
          </cell>
          <cell r="BS46">
            <v>0</v>
          </cell>
          <cell r="BT46">
            <v>12</v>
          </cell>
          <cell r="BU46">
            <v>0</v>
          </cell>
        </row>
        <row r="47">
          <cell r="A47">
            <v>41</v>
          </cell>
          <cell r="B47">
            <v>41</v>
          </cell>
          <cell r="D47">
            <v>1</v>
          </cell>
          <cell r="F47">
            <v>0</v>
          </cell>
          <cell r="G47">
            <v>1</v>
          </cell>
          <cell r="I47">
            <v>1</v>
          </cell>
          <cell r="J47">
            <v>0</v>
          </cell>
          <cell r="K47">
            <v>12</v>
          </cell>
          <cell r="L47">
            <v>12</v>
          </cell>
          <cell r="M47">
            <v>3</v>
          </cell>
          <cell r="O47">
            <v>0</v>
          </cell>
          <cell r="P47">
            <v>0</v>
          </cell>
          <cell r="Q47">
            <v>0</v>
          </cell>
          <cell r="R47">
            <v>0</v>
          </cell>
          <cell r="S47">
            <v>1</v>
          </cell>
          <cell r="T47">
            <v>2</v>
          </cell>
          <cell r="V47">
            <v>1</v>
          </cell>
          <cell r="W47">
            <v>49</v>
          </cell>
          <cell r="X47">
            <v>3</v>
          </cell>
          <cell r="Y47">
            <v>5</v>
          </cell>
          <cell r="AA47">
            <v>0</v>
          </cell>
          <cell r="AB47">
            <v>0</v>
          </cell>
          <cell r="AC47">
            <v>0</v>
          </cell>
          <cell r="AD47">
            <v>0</v>
          </cell>
          <cell r="AE47">
            <v>0</v>
          </cell>
          <cell r="AF47">
            <v>0</v>
          </cell>
          <cell r="AG47">
            <v>0</v>
          </cell>
          <cell r="AH47">
            <v>0</v>
          </cell>
          <cell r="AI47">
            <v>3</v>
          </cell>
          <cell r="AK47">
            <v>0</v>
          </cell>
          <cell r="AL47">
            <v>1</v>
          </cell>
          <cell r="AN47">
            <v>19545</v>
          </cell>
          <cell r="AO47">
            <v>1</v>
          </cell>
          <cell r="AQ47">
            <v>0</v>
          </cell>
          <cell r="AR47">
            <v>12</v>
          </cell>
          <cell r="AS47">
            <v>3</v>
          </cell>
          <cell r="AT47">
            <v>4</v>
          </cell>
          <cell r="AU47">
            <v>0</v>
          </cell>
          <cell r="AV47">
            <v>23</v>
          </cell>
          <cell r="AW47">
            <v>23</v>
          </cell>
          <cell r="AX47">
            <v>0</v>
          </cell>
          <cell r="AY47">
            <v>3</v>
          </cell>
          <cell r="AZ47">
            <v>22</v>
          </cell>
          <cell r="BA47">
            <v>22</v>
          </cell>
          <cell r="BB47">
            <v>15</v>
          </cell>
          <cell r="BC47">
            <v>15</v>
          </cell>
          <cell r="BD47">
            <v>14</v>
          </cell>
          <cell r="BE47">
            <v>8</v>
          </cell>
          <cell r="BF47">
            <v>8</v>
          </cell>
          <cell r="BG47">
            <v>40</v>
          </cell>
          <cell r="BH47">
            <v>0</v>
          </cell>
          <cell r="BI47">
            <v>1</v>
          </cell>
          <cell r="BJ47">
            <v>0</v>
          </cell>
          <cell r="BK47">
            <v>0</v>
          </cell>
          <cell r="BL47">
            <v>0</v>
          </cell>
          <cell r="BM47">
            <v>0</v>
          </cell>
          <cell r="BN47">
            <v>1</v>
          </cell>
          <cell r="BO47">
            <v>0</v>
          </cell>
          <cell r="BP47">
            <v>0</v>
          </cell>
          <cell r="BQ47">
            <v>8</v>
          </cell>
          <cell r="BR47">
            <v>0</v>
          </cell>
          <cell r="BS47">
            <v>0</v>
          </cell>
          <cell r="BT47">
            <v>23</v>
          </cell>
          <cell r="BU47">
            <v>0</v>
          </cell>
        </row>
        <row r="48">
          <cell r="A48">
            <v>34</v>
          </cell>
          <cell r="B48">
            <v>34</v>
          </cell>
          <cell r="D48">
            <v>0</v>
          </cell>
          <cell r="F48">
            <v>0</v>
          </cell>
          <cell r="G48">
            <v>0</v>
          </cell>
          <cell r="I48">
            <v>0</v>
          </cell>
          <cell r="J48">
            <v>1</v>
          </cell>
          <cell r="K48">
            <v>23</v>
          </cell>
          <cell r="L48">
            <v>23</v>
          </cell>
          <cell r="M48">
            <v>4</v>
          </cell>
          <cell r="O48">
            <v>0</v>
          </cell>
          <cell r="P48">
            <v>0</v>
          </cell>
          <cell r="Q48">
            <v>0</v>
          </cell>
          <cell r="R48">
            <v>1</v>
          </cell>
          <cell r="S48">
            <v>0</v>
          </cell>
          <cell r="T48">
            <v>2</v>
          </cell>
          <cell r="V48">
            <v>0</v>
          </cell>
          <cell r="W48">
            <v>72</v>
          </cell>
          <cell r="X48">
            <v>3</v>
          </cell>
          <cell r="Y48">
            <v>2</v>
          </cell>
          <cell r="AA48">
            <v>0</v>
          </cell>
          <cell r="AB48">
            <v>1</v>
          </cell>
          <cell r="AC48">
            <v>0</v>
          </cell>
          <cell r="AD48">
            <v>0</v>
          </cell>
          <cell r="AE48">
            <v>0</v>
          </cell>
          <cell r="AF48">
            <v>0</v>
          </cell>
          <cell r="AG48">
            <v>0</v>
          </cell>
          <cell r="AH48">
            <v>0</v>
          </cell>
          <cell r="AI48">
            <v>3</v>
          </cell>
          <cell r="AK48">
            <v>1</v>
          </cell>
          <cell r="AL48">
            <v>0</v>
          </cell>
          <cell r="AN48">
            <v>4568</v>
          </cell>
          <cell r="AO48">
            <v>0</v>
          </cell>
          <cell r="AQ48">
            <v>0</v>
          </cell>
          <cell r="AR48">
            <v>20</v>
          </cell>
          <cell r="AS48">
            <v>4</v>
          </cell>
          <cell r="AT48">
            <v>3</v>
          </cell>
          <cell r="AU48">
            <v>0</v>
          </cell>
          <cell r="AV48">
            <v>10</v>
          </cell>
          <cell r="AW48">
            <v>10</v>
          </cell>
          <cell r="AX48">
            <v>2</v>
          </cell>
          <cell r="AY48">
            <v>3</v>
          </cell>
          <cell r="AZ48">
            <v>9</v>
          </cell>
          <cell r="BA48">
            <v>9</v>
          </cell>
          <cell r="BB48">
            <v>5</v>
          </cell>
          <cell r="BC48">
            <v>8</v>
          </cell>
          <cell r="BD48">
            <v>8</v>
          </cell>
          <cell r="BE48">
            <v>7</v>
          </cell>
          <cell r="BF48">
            <v>7</v>
          </cell>
          <cell r="BG48">
            <v>14</v>
          </cell>
          <cell r="BH48">
            <v>1</v>
          </cell>
          <cell r="BI48">
            <v>0</v>
          </cell>
          <cell r="BJ48">
            <v>0</v>
          </cell>
          <cell r="BK48">
            <v>0</v>
          </cell>
          <cell r="BL48">
            <v>1</v>
          </cell>
          <cell r="BM48">
            <v>0</v>
          </cell>
          <cell r="BN48">
            <v>0</v>
          </cell>
          <cell r="BO48">
            <v>0</v>
          </cell>
          <cell r="BP48">
            <v>0</v>
          </cell>
          <cell r="BQ48">
            <v>0</v>
          </cell>
          <cell r="BR48">
            <v>7</v>
          </cell>
          <cell r="BS48">
            <v>0</v>
          </cell>
          <cell r="BT48">
            <v>0</v>
          </cell>
          <cell r="BU48">
            <v>10</v>
          </cell>
        </row>
        <row r="49">
          <cell r="A49">
            <v>37</v>
          </cell>
          <cell r="B49">
            <v>37</v>
          </cell>
          <cell r="D49">
            <v>0</v>
          </cell>
          <cell r="F49">
            <v>0</v>
          </cell>
          <cell r="G49">
            <v>1</v>
          </cell>
          <cell r="I49">
            <v>1</v>
          </cell>
          <cell r="J49">
            <v>0</v>
          </cell>
          <cell r="K49">
            <v>19</v>
          </cell>
          <cell r="L49">
            <v>19</v>
          </cell>
          <cell r="M49">
            <v>2</v>
          </cell>
          <cell r="O49">
            <v>1</v>
          </cell>
          <cell r="P49">
            <v>0</v>
          </cell>
          <cell r="Q49">
            <v>0</v>
          </cell>
          <cell r="R49">
            <v>0</v>
          </cell>
          <cell r="S49">
            <v>0</v>
          </cell>
          <cell r="T49">
            <v>2</v>
          </cell>
          <cell r="V49">
            <v>0</v>
          </cell>
          <cell r="W49">
            <v>73</v>
          </cell>
          <cell r="X49">
            <v>3</v>
          </cell>
          <cell r="Y49">
            <v>1</v>
          </cell>
          <cell r="AA49">
            <v>0</v>
          </cell>
          <cell r="AB49">
            <v>0</v>
          </cell>
          <cell r="AC49">
            <v>0</v>
          </cell>
          <cell r="AD49">
            <v>0</v>
          </cell>
          <cell r="AE49">
            <v>0</v>
          </cell>
          <cell r="AF49">
            <v>0</v>
          </cell>
          <cell r="AG49">
            <v>0</v>
          </cell>
          <cell r="AH49">
            <v>1</v>
          </cell>
          <cell r="AI49">
            <v>2</v>
          </cell>
          <cell r="AK49">
            <v>0</v>
          </cell>
          <cell r="AL49">
            <v>1</v>
          </cell>
          <cell r="AN49">
            <v>3022</v>
          </cell>
          <cell r="AO49">
            <v>4</v>
          </cell>
          <cell r="AQ49">
            <v>0</v>
          </cell>
          <cell r="AR49">
            <v>21</v>
          </cell>
          <cell r="AS49">
            <v>4</v>
          </cell>
          <cell r="AT49">
            <v>1</v>
          </cell>
          <cell r="AU49">
            <v>0</v>
          </cell>
          <cell r="AV49">
            <v>8</v>
          </cell>
          <cell r="AW49">
            <v>8</v>
          </cell>
          <cell r="AX49">
            <v>1</v>
          </cell>
          <cell r="AY49">
            <v>3</v>
          </cell>
          <cell r="AZ49">
            <v>1</v>
          </cell>
          <cell r="BA49">
            <v>1</v>
          </cell>
          <cell r="BB49">
            <v>0</v>
          </cell>
          <cell r="BC49">
            <v>0</v>
          </cell>
          <cell r="BD49">
            <v>0</v>
          </cell>
          <cell r="BE49">
            <v>0</v>
          </cell>
          <cell r="BF49">
            <v>0</v>
          </cell>
          <cell r="BG49">
            <v>0</v>
          </cell>
          <cell r="BH49">
            <v>0</v>
          </cell>
          <cell r="BI49">
            <v>1</v>
          </cell>
          <cell r="BJ49">
            <v>0</v>
          </cell>
          <cell r="BK49">
            <v>0</v>
          </cell>
          <cell r="BL49">
            <v>0</v>
          </cell>
          <cell r="BM49">
            <v>0</v>
          </cell>
          <cell r="BN49">
            <v>1</v>
          </cell>
          <cell r="BO49">
            <v>0</v>
          </cell>
          <cell r="BP49">
            <v>0</v>
          </cell>
          <cell r="BQ49">
            <v>0</v>
          </cell>
          <cell r="BR49">
            <v>0</v>
          </cell>
          <cell r="BS49">
            <v>0</v>
          </cell>
          <cell r="BT49">
            <v>8</v>
          </cell>
          <cell r="BU49">
            <v>0</v>
          </cell>
        </row>
        <row r="50">
          <cell r="A50">
            <v>46</v>
          </cell>
          <cell r="B50">
            <v>46</v>
          </cell>
          <cell r="D50">
            <v>0</v>
          </cell>
          <cell r="F50">
            <v>1</v>
          </cell>
          <cell r="G50">
            <v>0</v>
          </cell>
          <cell r="I50">
            <v>0</v>
          </cell>
          <cell r="J50">
            <v>1</v>
          </cell>
          <cell r="K50">
            <v>5</v>
          </cell>
          <cell r="L50">
            <v>5</v>
          </cell>
          <cell r="M50">
            <v>4</v>
          </cell>
          <cell r="O50">
            <v>0</v>
          </cell>
          <cell r="P50">
            <v>0</v>
          </cell>
          <cell r="Q50">
            <v>0</v>
          </cell>
          <cell r="R50">
            <v>1</v>
          </cell>
          <cell r="S50">
            <v>0</v>
          </cell>
          <cell r="T50">
            <v>1</v>
          </cell>
          <cell r="V50">
            <v>0</v>
          </cell>
          <cell r="W50">
            <v>98</v>
          </cell>
          <cell r="X50">
            <v>3</v>
          </cell>
          <cell r="Y50">
            <v>2</v>
          </cell>
          <cell r="AA50">
            <v>0</v>
          </cell>
          <cell r="AB50">
            <v>1</v>
          </cell>
          <cell r="AC50">
            <v>0</v>
          </cell>
          <cell r="AD50">
            <v>0</v>
          </cell>
          <cell r="AE50">
            <v>0</v>
          </cell>
          <cell r="AF50">
            <v>0</v>
          </cell>
          <cell r="AG50">
            <v>0</v>
          </cell>
          <cell r="AH50">
            <v>0</v>
          </cell>
          <cell r="AI50">
            <v>4</v>
          </cell>
          <cell r="AK50">
            <v>1</v>
          </cell>
          <cell r="AL50">
            <v>0</v>
          </cell>
          <cell r="AN50">
            <v>5772</v>
          </cell>
          <cell r="AO50">
            <v>4</v>
          </cell>
          <cell r="AQ50">
            <v>1</v>
          </cell>
          <cell r="AR50">
            <v>21</v>
          </cell>
          <cell r="AS50">
            <v>4</v>
          </cell>
          <cell r="AT50">
            <v>3</v>
          </cell>
          <cell r="AU50">
            <v>0</v>
          </cell>
          <cell r="AV50">
            <v>14</v>
          </cell>
          <cell r="AW50">
            <v>14</v>
          </cell>
          <cell r="AX50">
            <v>4</v>
          </cell>
          <cell r="AY50">
            <v>3</v>
          </cell>
          <cell r="AZ50">
            <v>9</v>
          </cell>
          <cell r="BA50">
            <v>9</v>
          </cell>
          <cell r="BB50">
            <v>6</v>
          </cell>
          <cell r="BC50">
            <v>0</v>
          </cell>
          <cell r="BD50">
            <v>0</v>
          </cell>
          <cell r="BE50">
            <v>8</v>
          </cell>
          <cell r="BF50">
            <v>8</v>
          </cell>
          <cell r="BG50">
            <v>16</v>
          </cell>
          <cell r="BH50">
            <v>0</v>
          </cell>
          <cell r="BI50">
            <v>0</v>
          </cell>
          <cell r="BJ50">
            <v>1</v>
          </cell>
          <cell r="BK50">
            <v>0</v>
          </cell>
          <cell r="BL50">
            <v>0</v>
          </cell>
          <cell r="BM50">
            <v>1</v>
          </cell>
          <cell r="BN50">
            <v>0</v>
          </cell>
          <cell r="BO50">
            <v>0</v>
          </cell>
          <cell r="BP50">
            <v>0</v>
          </cell>
          <cell r="BQ50">
            <v>0</v>
          </cell>
          <cell r="BR50">
            <v>8</v>
          </cell>
          <cell r="BS50">
            <v>0</v>
          </cell>
          <cell r="BT50">
            <v>0</v>
          </cell>
          <cell r="BU50">
            <v>14</v>
          </cell>
        </row>
        <row r="51">
          <cell r="A51">
            <v>35</v>
          </cell>
          <cell r="B51">
            <v>35</v>
          </cell>
          <cell r="D51">
            <v>0</v>
          </cell>
          <cell r="F51">
            <v>0</v>
          </cell>
          <cell r="G51">
            <v>1</v>
          </cell>
          <cell r="I51">
            <v>1</v>
          </cell>
          <cell r="J51">
            <v>0</v>
          </cell>
          <cell r="K51">
            <v>8</v>
          </cell>
          <cell r="L51">
            <v>8</v>
          </cell>
          <cell r="M51">
            <v>1</v>
          </cell>
          <cell r="O51">
            <v>1</v>
          </cell>
          <cell r="P51">
            <v>0</v>
          </cell>
          <cell r="Q51">
            <v>0</v>
          </cell>
          <cell r="R51">
            <v>0</v>
          </cell>
          <cell r="S51">
            <v>0</v>
          </cell>
          <cell r="T51">
            <v>4</v>
          </cell>
          <cell r="V51">
            <v>0</v>
          </cell>
          <cell r="W51">
            <v>36</v>
          </cell>
          <cell r="X51">
            <v>4</v>
          </cell>
          <cell r="Y51">
            <v>1</v>
          </cell>
          <cell r="AA51">
            <v>0</v>
          </cell>
          <cell r="AB51">
            <v>0</v>
          </cell>
          <cell r="AC51">
            <v>1</v>
          </cell>
          <cell r="AD51">
            <v>0</v>
          </cell>
          <cell r="AE51">
            <v>0</v>
          </cell>
          <cell r="AF51">
            <v>0</v>
          </cell>
          <cell r="AG51">
            <v>0</v>
          </cell>
          <cell r="AH51">
            <v>0</v>
          </cell>
          <cell r="AI51">
            <v>4</v>
          </cell>
          <cell r="AK51">
            <v>0</v>
          </cell>
          <cell r="AL51">
            <v>1</v>
          </cell>
          <cell r="AN51">
            <v>2269</v>
          </cell>
          <cell r="AO51">
            <v>1</v>
          </cell>
          <cell r="AQ51">
            <v>0</v>
          </cell>
          <cell r="AR51">
            <v>19</v>
          </cell>
          <cell r="AS51">
            <v>3</v>
          </cell>
          <cell r="AT51">
            <v>4</v>
          </cell>
          <cell r="AU51">
            <v>0</v>
          </cell>
          <cell r="AV51">
            <v>1</v>
          </cell>
          <cell r="AW51">
            <v>1</v>
          </cell>
          <cell r="AX51">
            <v>2</v>
          </cell>
          <cell r="AY51">
            <v>3</v>
          </cell>
          <cell r="AZ51">
            <v>1</v>
          </cell>
          <cell r="BA51">
            <v>1</v>
          </cell>
          <cell r="BB51">
            <v>0</v>
          </cell>
          <cell r="BC51">
            <v>0</v>
          </cell>
          <cell r="BD51">
            <v>0</v>
          </cell>
          <cell r="BE51">
            <v>1</v>
          </cell>
          <cell r="BF51">
            <v>1</v>
          </cell>
          <cell r="BG51">
            <v>1</v>
          </cell>
          <cell r="BH51">
            <v>0</v>
          </cell>
          <cell r="BI51">
            <v>1</v>
          </cell>
          <cell r="BJ51">
            <v>0</v>
          </cell>
          <cell r="BK51">
            <v>0</v>
          </cell>
          <cell r="BL51">
            <v>0</v>
          </cell>
          <cell r="BM51">
            <v>0</v>
          </cell>
          <cell r="BN51">
            <v>1</v>
          </cell>
          <cell r="BO51">
            <v>0</v>
          </cell>
          <cell r="BP51">
            <v>0</v>
          </cell>
          <cell r="BQ51">
            <v>1</v>
          </cell>
          <cell r="BR51">
            <v>0</v>
          </cell>
          <cell r="BS51">
            <v>0</v>
          </cell>
          <cell r="BT51">
            <v>1</v>
          </cell>
          <cell r="BU51">
            <v>0</v>
          </cell>
        </row>
        <row r="52">
          <cell r="A52">
            <v>48</v>
          </cell>
          <cell r="B52">
            <v>48</v>
          </cell>
          <cell r="D52">
            <v>1</v>
          </cell>
          <cell r="F52">
            <v>0</v>
          </cell>
          <cell r="G52">
            <v>1</v>
          </cell>
          <cell r="I52">
            <v>1</v>
          </cell>
          <cell r="J52">
            <v>0</v>
          </cell>
          <cell r="K52">
            <v>1</v>
          </cell>
          <cell r="L52">
            <v>1</v>
          </cell>
          <cell r="M52">
            <v>2</v>
          </cell>
          <cell r="O52">
            <v>1</v>
          </cell>
          <cell r="P52">
            <v>0</v>
          </cell>
          <cell r="Q52">
            <v>0</v>
          </cell>
          <cell r="R52">
            <v>0</v>
          </cell>
          <cell r="S52">
            <v>0</v>
          </cell>
          <cell r="T52">
            <v>1</v>
          </cell>
          <cell r="V52">
            <v>0</v>
          </cell>
          <cell r="W52">
            <v>98</v>
          </cell>
          <cell r="X52">
            <v>2</v>
          </cell>
          <cell r="Y52">
            <v>3</v>
          </cell>
          <cell r="AA52">
            <v>0</v>
          </cell>
          <cell r="AB52">
            <v>0</v>
          </cell>
          <cell r="AC52">
            <v>1</v>
          </cell>
          <cell r="AD52">
            <v>0</v>
          </cell>
          <cell r="AE52">
            <v>0</v>
          </cell>
          <cell r="AF52">
            <v>0</v>
          </cell>
          <cell r="AG52">
            <v>0</v>
          </cell>
          <cell r="AH52">
            <v>0</v>
          </cell>
          <cell r="AI52">
            <v>3</v>
          </cell>
          <cell r="AK52">
            <v>1</v>
          </cell>
          <cell r="AL52">
            <v>0</v>
          </cell>
          <cell r="AN52">
            <v>5381</v>
          </cell>
          <cell r="AO52">
            <v>9</v>
          </cell>
          <cell r="AQ52">
            <v>1</v>
          </cell>
          <cell r="AR52">
            <v>13</v>
          </cell>
          <cell r="AS52">
            <v>3</v>
          </cell>
          <cell r="AT52">
            <v>4</v>
          </cell>
          <cell r="AU52">
            <v>0</v>
          </cell>
          <cell r="AV52">
            <v>23</v>
          </cell>
          <cell r="AW52">
            <v>23</v>
          </cell>
          <cell r="AX52">
            <v>2</v>
          </cell>
          <cell r="AY52">
            <v>3</v>
          </cell>
          <cell r="AZ52">
            <v>1</v>
          </cell>
          <cell r="BA52">
            <v>1</v>
          </cell>
          <cell r="BB52">
            <v>0</v>
          </cell>
          <cell r="BC52">
            <v>0</v>
          </cell>
          <cell r="BD52">
            <v>0</v>
          </cell>
          <cell r="BE52">
            <v>0</v>
          </cell>
          <cell r="BF52">
            <v>0</v>
          </cell>
          <cell r="BG52">
            <v>0</v>
          </cell>
          <cell r="BH52">
            <v>1</v>
          </cell>
          <cell r="BI52">
            <v>0</v>
          </cell>
          <cell r="BJ52">
            <v>0</v>
          </cell>
          <cell r="BK52">
            <v>0</v>
          </cell>
          <cell r="BL52">
            <v>0</v>
          </cell>
          <cell r="BM52">
            <v>1</v>
          </cell>
          <cell r="BN52">
            <v>0</v>
          </cell>
          <cell r="BO52">
            <v>0</v>
          </cell>
          <cell r="BP52">
            <v>0</v>
          </cell>
          <cell r="BQ52">
            <v>0</v>
          </cell>
          <cell r="BR52">
            <v>0</v>
          </cell>
          <cell r="BS52">
            <v>0</v>
          </cell>
          <cell r="BT52">
            <v>23</v>
          </cell>
          <cell r="BU52">
            <v>0</v>
          </cell>
        </row>
        <row r="53">
          <cell r="A53">
            <v>28</v>
          </cell>
          <cell r="B53">
            <v>28</v>
          </cell>
          <cell r="D53">
            <v>1</v>
          </cell>
          <cell r="F53">
            <v>0</v>
          </cell>
          <cell r="G53">
            <v>1</v>
          </cell>
          <cell r="I53">
            <v>1</v>
          </cell>
          <cell r="J53">
            <v>0</v>
          </cell>
          <cell r="K53">
            <v>5</v>
          </cell>
          <cell r="L53">
            <v>5</v>
          </cell>
          <cell r="M53">
            <v>4</v>
          </cell>
          <cell r="O53">
            <v>0</v>
          </cell>
          <cell r="P53">
            <v>0</v>
          </cell>
          <cell r="Q53">
            <v>0</v>
          </cell>
          <cell r="R53">
            <v>0</v>
          </cell>
          <cell r="S53">
            <v>1</v>
          </cell>
          <cell r="T53">
            <v>3</v>
          </cell>
          <cell r="V53">
            <v>0</v>
          </cell>
          <cell r="W53">
            <v>50</v>
          </cell>
          <cell r="X53">
            <v>3</v>
          </cell>
          <cell r="Y53">
            <v>1</v>
          </cell>
          <cell r="AA53">
            <v>0</v>
          </cell>
          <cell r="AB53">
            <v>0</v>
          </cell>
          <cell r="AC53">
            <v>1</v>
          </cell>
          <cell r="AD53">
            <v>0</v>
          </cell>
          <cell r="AE53">
            <v>0</v>
          </cell>
          <cell r="AF53">
            <v>0</v>
          </cell>
          <cell r="AG53">
            <v>0</v>
          </cell>
          <cell r="AH53">
            <v>0</v>
          </cell>
          <cell r="AI53">
            <v>3</v>
          </cell>
          <cell r="AK53">
            <v>1</v>
          </cell>
          <cell r="AL53">
            <v>0</v>
          </cell>
          <cell r="AN53">
            <v>3441</v>
          </cell>
          <cell r="AO53">
            <v>1</v>
          </cell>
          <cell r="AQ53">
            <v>1</v>
          </cell>
          <cell r="AR53">
            <v>13</v>
          </cell>
          <cell r="AS53">
            <v>3</v>
          </cell>
          <cell r="AT53">
            <v>3</v>
          </cell>
          <cell r="AU53">
            <v>0</v>
          </cell>
          <cell r="AV53">
            <v>2</v>
          </cell>
          <cell r="AW53">
            <v>2</v>
          </cell>
          <cell r="AX53">
            <v>3</v>
          </cell>
          <cell r="AY53">
            <v>2</v>
          </cell>
          <cell r="AZ53">
            <v>2</v>
          </cell>
          <cell r="BA53">
            <v>2</v>
          </cell>
          <cell r="BB53">
            <v>2</v>
          </cell>
          <cell r="BC53">
            <v>2</v>
          </cell>
          <cell r="BD53">
            <v>2</v>
          </cell>
          <cell r="BE53">
            <v>2</v>
          </cell>
          <cell r="BF53">
            <v>2</v>
          </cell>
          <cell r="BG53">
            <v>2</v>
          </cell>
          <cell r="BH53">
            <v>1</v>
          </cell>
          <cell r="BI53">
            <v>0</v>
          </cell>
          <cell r="BJ53">
            <v>0</v>
          </cell>
          <cell r="BK53">
            <v>0</v>
          </cell>
          <cell r="BL53">
            <v>0</v>
          </cell>
          <cell r="BM53">
            <v>1</v>
          </cell>
          <cell r="BN53">
            <v>0</v>
          </cell>
          <cell r="BO53">
            <v>0</v>
          </cell>
          <cell r="BP53">
            <v>0</v>
          </cell>
          <cell r="BQ53">
            <v>2</v>
          </cell>
          <cell r="BR53">
            <v>0</v>
          </cell>
          <cell r="BS53">
            <v>0</v>
          </cell>
          <cell r="BT53">
            <v>2</v>
          </cell>
          <cell r="BU53">
            <v>0</v>
          </cell>
        </row>
        <row r="54">
          <cell r="A54">
            <v>44</v>
          </cell>
          <cell r="B54">
            <v>44</v>
          </cell>
          <cell r="D54">
            <v>0</v>
          </cell>
          <cell r="F54">
            <v>0</v>
          </cell>
          <cell r="G54">
            <v>1</v>
          </cell>
          <cell r="I54">
            <v>0</v>
          </cell>
          <cell r="J54">
            <v>1</v>
          </cell>
          <cell r="K54">
            <v>1</v>
          </cell>
          <cell r="L54">
            <v>1</v>
          </cell>
          <cell r="M54">
            <v>5</v>
          </cell>
          <cell r="O54">
            <v>0</v>
          </cell>
          <cell r="P54">
            <v>0</v>
          </cell>
          <cell r="Q54">
            <v>0</v>
          </cell>
          <cell r="R54">
            <v>1</v>
          </cell>
          <cell r="S54">
            <v>0</v>
          </cell>
          <cell r="T54">
            <v>2</v>
          </cell>
          <cell r="V54">
            <v>1</v>
          </cell>
          <cell r="W54">
            <v>75</v>
          </cell>
          <cell r="X54">
            <v>3</v>
          </cell>
          <cell r="Y54">
            <v>2</v>
          </cell>
          <cell r="AA54">
            <v>0</v>
          </cell>
          <cell r="AB54">
            <v>1</v>
          </cell>
          <cell r="AC54">
            <v>0</v>
          </cell>
          <cell r="AD54">
            <v>0</v>
          </cell>
          <cell r="AE54">
            <v>0</v>
          </cell>
          <cell r="AF54">
            <v>0</v>
          </cell>
          <cell r="AG54">
            <v>0</v>
          </cell>
          <cell r="AH54">
            <v>0</v>
          </cell>
          <cell r="AI54">
            <v>1</v>
          </cell>
          <cell r="AK54">
            <v>0</v>
          </cell>
          <cell r="AL54">
            <v>0</v>
          </cell>
          <cell r="AN54">
            <v>5454</v>
          </cell>
          <cell r="AO54">
            <v>5</v>
          </cell>
          <cell r="AQ54">
            <v>1</v>
          </cell>
          <cell r="AR54">
            <v>21</v>
          </cell>
          <cell r="AS54">
            <v>4</v>
          </cell>
          <cell r="AT54">
            <v>3</v>
          </cell>
          <cell r="AU54">
            <v>1</v>
          </cell>
          <cell r="AV54">
            <v>9</v>
          </cell>
          <cell r="AW54">
            <v>9</v>
          </cell>
          <cell r="AX54">
            <v>2</v>
          </cell>
          <cell r="AY54">
            <v>2</v>
          </cell>
          <cell r="AZ54">
            <v>4</v>
          </cell>
          <cell r="BA54">
            <v>4</v>
          </cell>
          <cell r="BB54">
            <v>3</v>
          </cell>
          <cell r="BC54">
            <v>1</v>
          </cell>
          <cell r="BD54">
            <v>1</v>
          </cell>
          <cell r="BE54">
            <v>3</v>
          </cell>
          <cell r="BF54">
            <v>3</v>
          </cell>
          <cell r="BG54">
            <v>6</v>
          </cell>
          <cell r="BH54">
            <v>1</v>
          </cell>
          <cell r="BI54">
            <v>0</v>
          </cell>
          <cell r="BJ54">
            <v>0</v>
          </cell>
          <cell r="BK54">
            <v>0</v>
          </cell>
          <cell r="BL54">
            <v>0</v>
          </cell>
          <cell r="BM54">
            <v>1</v>
          </cell>
          <cell r="BN54">
            <v>0</v>
          </cell>
          <cell r="BO54">
            <v>0</v>
          </cell>
          <cell r="BP54">
            <v>0</v>
          </cell>
          <cell r="BQ54">
            <v>0</v>
          </cell>
          <cell r="BR54">
            <v>3</v>
          </cell>
          <cell r="BS54">
            <v>0</v>
          </cell>
          <cell r="BT54">
            <v>0</v>
          </cell>
          <cell r="BU54">
            <v>9</v>
          </cell>
        </row>
        <row r="55">
          <cell r="A55">
            <v>35</v>
          </cell>
          <cell r="B55">
            <v>35</v>
          </cell>
          <cell r="D55">
            <v>0</v>
          </cell>
          <cell r="F55">
            <v>0</v>
          </cell>
          <cell r="G55">
            <v>0</v>
          </cell>
          <cell r="I55">
            <v>1</v>
          </cell>
          <cell r="J55">
            <v>0</v>
          </cell>
          <cell r="K55">
            <v>11</v>
          </cell>
          <cell r="L55">
            <v>11</v>
          </cell>
          <cell r="M55">
            <v>2</v>
          </cell>
          <cell r="O55">
            <v>0</v>
          </cell>
          <cell r="P55">
            <v>0</v>
          </cell>
          <cell r="Q55">
            <v>1</v>
          </cell>
          <cell r="R55">
            <v>0</v>
          </cell>
          <cell r="S55">
            <v>0</v>
          </cell>
          <cell r="T55">
            <v>3</v>
          </cell>
          <cell r="V55">
            <v>0</v>
          </cell>
          <cell r="W55">
            <v>79</v>
          </cell>
          <cell r="X55">
            <v>2</v>
          </cell>
          <cell r="Y55">
            <v>3</v>
          </cell>
          <cell r="AA55">
            <v>1</v>
          </cell>
          <cell r="AB55">
            <v>0</v>
          </cell>
          <cell r="AC55">
            <v>0</v>
          </cell>
          <cell r="AD55">
            <v>0</v>
          </cell>
          <cell r="AE55">
            <v>0</v>
          </cell>
          <cell r="AF55">
            <v>0</v>
          </cell>
          <cell r="AG55">
            <v>0</v>
          </cell>
          <cell r="AH55">
            <v>0</v>
          </cell>
          <cell r="AI55">
            <v>1</v>
          </cell>
          <cell r="AK55">
            <v>0</v>
          </cell>
          <cell r="AL55">
            <v>1</v>
          </cell>
          <cell r="AN55">
            <v>9884</v>
          </cell>
          <cell r="AO55">
            <v>2</v>
          </cell>
          <cell r="AQ55">
            <v>1</v>
          </cell>
          <cell r="AR55">
            <v>13</v>
          </cell>
          <cell r="AS55">
            <v>3</v>
          </cell>
          <cell r="AT55">
            <v>3</v>
          </cell>
          <cell r="AU55">
            <v>1</v>
          </cell>
          <cell r="AV55">
            <v>10</v>
          </cell>
          <cell r="AW55">
            <v>10</v>
          </cell>
          <cell r="AX55">
            <v>3</v>
          </cell>
          <cell r="AY55">
            <v>3</v>
          </cell>
          <cell r="AZ55">
            <v>4</v>
          </cell>
          <cell r="BA55">
            <v>4</v>
          </cell>
          <cell r="BB55">
            <v>0</v>
          </cell>
          <cell r="BC55">
            <v>2</v>
          </cell>
          <cell r="BD55">
            <v>2</v>
          </cell>
          <cell r="BE55">
            <v>3</v>
          </cell>
          <cell r="BF55">
            <v>3</v>
          </cell>
          <cell r="BG55">
            <v>9</v>
          </cell>
          <cell r="BH55">
            <v>0</v>
          </cell>
          <cell r="BI55">
            <v>1</v>
          </cell>
          <cell r="BJ55">
            <v>0</v>
          </cell>
          <cell r="BK55">
            <v>0</v>
          </cell>
          <cell r="BL55">
            <v>0</v>
          </cell>
          <cell r="BM55">
            <v>0</v>
          </cell>
          <cell r="BN55">
            <v>0</v>
          </cell>
          <cell r="BO55">
            <v>1</v>
          </cell>
          <cell r="BP55">
            <v>0</v>
          </cell>
          <cell r="BQ55">
            <v>3</v>
          </cell>
          <cell r="BR55">
            <v>0</v>
          </cell>
          <cell r="BS55">
            <v>0</v>
          </cell>
          <cell r="BT55">
            <v>10</v>
          </cell>
          <cell r="BU55">
            <v>0</v>
          </cell>
        </row>
        <row r="56">
          <cell r="A56">
            <v>26</v>
          </cell>
          <cell r="B56">
            <v>26</v>
          </cell>
          <cell r="D56">
            <v>0</v>
          </cell>
          <cell r="F56">
            <v>0</v>
          </cell>
          <cell r="G56">
            <v>1</v>
          </cell>
          <cell r="I56">
            <v>0</v>
          </cell>
          <cell r="J56">
            <v>1</v>
          </cell>
          <cell r="K56">
            <v>23</v>
          </cell>
          <cell r="L56">
            <v>23</v>
          </cell>
          <cell r="M56">
            <v>3</v>
          </cell>
          <cell r="O56">
            <v>0</v>
          </cell>
          <cell r="P56">
            <v>0</v>
          </cell>
          <cell r="Q56">
            <v>0</v>
          </cell>
          <cell r="R56">
            <v>1</v>
          </cell>
          <cell r="S56">
            <v>0</v>
          </cell>
          <cell r="T56">
            <v>3</v>
          </cell>
          <cell r="V56">
            <v>1</v>
          </cell>
          <cell r="W56">
            <v>47</v>
          </cell>
          <cell r="X56">
            <v>2</v>
          </cell>
          <cell r="Y56">
            <v>2</v>
          </cell>
          <cell r="AA56">
            <v>0</v>
          </cell>
          <cell r="AB56">
            <v>1</v>
          </cell>
          <cell r="AC56">
            <v>0</v>
          </cell>
          <cell r="AD56">
            <v>0</v>
          </cell>
          <cell r="AE56">
            <v>0</v>
          </cell>
          <cell r="AF56">
            <v>0</v>
          </cell>
          <cell r="AG56">
            <v>0</v>
          </cell>
          <cell r="AH56">
            <v>0</v>
          </cell>
          <cell r="AI56">
            <v>4</v>
          </cell>
          <cell r="AK56">
            <v>0</v>
          </cell>
          <cell r="AL56">
            <v>1</v>
          </cell>
          <cell r="AN56">
            <v>4157</v>
          </cell>
          <cell r="AO56">
            <v>7</v>
          </cell>
          <cell r="AQ56">
            <v>1</v>
          </cell>
          <cell r="AR56">
            <v>19</v>
          </cell>
          <cell r="AS56">
            <v>3</v>
          </cell>
          <cell r="AT56">
            <v>3</v>
          </cell>
          <cell r="AU56">
            <v>1</v>
          </cell>
          <cell r="AV56">
            <v>5</v>
          </cell>
          <cell r="AW56">
            <v>5</v>
          </cell>
          <cell r="AX56">
            <v>2</v>
          </cell>
          <cell r="AY56">
            <v>2</v>
          </cell>
          <cell r="AZ56">
            <v>2</v>
          </cell>
          <cell r="BA56">
            <v>2</v>
          </cell>
          <cell r="BB56">
            <v>2</v>
          </cell>
          <cell r="BC56">
            <v>0</v>
          </cell>
          <cell r="BD56">
            <v>0</v>
          </cell>
          <cell r="BE56">
            <v>0</v>
          </cell>
          <cell r="BF56">
            <v>0</v>
          </cell>
          <cell r="BG56">
            <v>0</v>
          </cell>
          <cell r="BH56">
            <v>0</v>
          </cell>
          <cell r="BI56">
            <v>1</v>
          </cell>
          <cell r="BJ56">
            <v>0</v>
          </cell>
          <cell r="BK56">
            <v>0</v>
          </cell>
          <cell r="BL56">
            <v>0</v>
          </cell>
          <cell r="BM56">
            <v>0</v>
          </cell>
          <cell r="BN56">
            <v>0</v>
          </cell>
          <cell r="BO56">
            <v>1</v>
          </cell>
          <cell r="BP56">
            <v>0</v>
          </cell>
          <cell r="BQ56">
            <v>0</v>
          </cell>
          <cell r="BR56">
            <v>0</v>
          </cell>
          <cell r="BS56">
            <v>0</v>
          </cell>
          <cell r="BT56">
            <v>0</v>
          </cell>
          <cell r="BU56">
            <v>5</v>
          </cell>
        </row>
        <row r="57">
          <cell r="A57">
            <v>33</v>
          </cell>
          <cell r="B57">
            <v>33</v>
          </cell>
          <cell r="D57">
            <v>0</v>
          </cell>
          <cell r="F57">
            <v>1</v>
          </cell>
          <cell r="G57">
            <v>0</v>
          </cell>
          <cell r="I57">
            <v>1</v>
          </cell>
          <cell r="J57">
            <v>0</v>
          </cell>
          <cell r="K57">
            <v>1</v>
          </cell>
          <cell r="L57">
            <v>1</v>
          </cell>
          <cell r="M57">
            <v>2</v>
          </cell>
          <cell r="O57">
            <v>1</v>
          </cell>
          <cell r="P57">
            <v>0</v>
          </cell>
          <cell r="Q57">
            <v>0</v>
          </cell>
          <cell r="R57">
            <v>0</v>
          </cell>
          <cell r="S57">
            <v>0</v>
          </cell>
          <cell r="T57">
            <v>1</v>
          </cell>
          <cell r="V57">
            <v>1</v>
          </cell>
          <cell r="W57">
            <v>98</v>
          </cell>
          <cell r="X57">
            <v>3</v>
          </cell>
          <cell r="Y57">
            <v>3</v>
          </cell>
          <cell r="AA57">
            <v>0</v>
          </cell>
          <cell r="AB57">
            <v>0</v>
          </cell>
          <cell r="AC57">
            <v>0</v>
          </cell>
          <cell r="AD57">
            <v>0</v>
          </cell>
          <cell r="AE57">
            <v>0</v>
          </cell>
          <cell r="AF57">
            <v>0</v>
          </cell>
          <cell r="AG57">
            <v>0</v>
          </cell>
          <cell r="AH57">
            <v>0</v>
          </cell>
          <cell r="AI57">
            <v>4</v>
          </cell>
          <cell r="AK57">
            <v>1</v>
          </cell>
          <cell r="AL57">
            <v>0</v>
          </cell>
          <cell r="AN57">
            <v>13458</v>
          </cell>
          <cell r="AO57">
            <v>1</v>
          </cell>
          <cell r="AQ57">
            <v>1</v>
          </cell>
          <cell r="AR57">
            <v>12</v>
          </cell>
          <cell r="AS57">
            <v>3</v>
          </cell>
          <cell r="AT57">
            <v>3</v>
          </cell>
          <cell r="AU57">
            <v>0</v>
          </cell>
          <cell r="AV57">
            <v>15</v>
          </cell>
          <cell r="AW57">
            <v>15</v>
          </cell>
          <cell r="AX57">
            <v>1</v>
          </cell>
          <cell r="AY57">
            <v>3</v>
          </cell>
          <cell r="AZ57">
            <v>15</v>
          </cell>
          <cell r="BA57">
            <v>15</v>
          </cell>
          <cell r="BB57">
            <v>14</v>
          </cell>
          <cell r="BC57">
            <v>8</v>
          </cell>
          <cell r="BD57">
            <v>8</v>
          </cell>
          <cell r="BE57">
            <v>12</v>
          </cell>
          <cell r="BF57">
            <v>12</v>
          </cell>
          <cell r="BG57">
            <v>36</v>
          </cell>
          <cell r="BH57">
            <v>0</v>
          </cell>
          <cell r="BI57">
            <v>0</v>
          </cell>
          <cell r="BJ57">
            <v>1</v>
          </cell>
          <cell r="BK57">
            <v>0</v>
          </cell>
          <cell r="BL57">
            <v>0</v>
          </cell>
          <cell r="BM57">
            <v>1</v>
          </cell>
          <cell r="BN57">
            <v>0</v>
          </cell>
          <cell r="BO57">
            <v>0</v>
          </cell>
          <cell r="BP57">
            <v>0</v>
          </cell>
          <cell r="BQ57">
            <v>12</v>
          </cell>
          <cell r="BR57">
            <v>0</v>
          </cell>
          <cell r="BS57">
            <v>0</v>
          </cell>
          <cell r="BT57">
            <v>15</v>
          </cell>
          <cell r="BU57">
            <v>0</v>
          </cell>
        </row>
        <row r="58">
          <cell r="A58">
            <v>35</v>
          </cell>
          <cell r="B58">
            <v>35</v>
          </cell>
          <cell r="D58">
            <v>0</v>
          </cell>
          <cell r="F58">
            <v>1</v>
          </cell>
          <cell r="G58">
            <v>0</v>
          </cell>
          <cell r="I58">
            <v>0</v>
          </cell>
          <cell r="J58">
            <v>1</v>
          </cell>
          <cell r="K58">
            <v>18</v>
          </cell>
          <cell r="L58">
            <v>18</v>
          </cell>
          <cell r="M58">
            <v>5</v>
          </cell>
          <cell r="O58">
            <v>1</v>
          </cell>
          <cell r="P58">
            <v>0</v>
          </cell>
          <cell r="Q58">
            <v>0</v>
          </cell>
          <cell r="R58">
            <v>0</v>
          </cell>
          <cell r="S58">
            <v>0</v>
          </cell>
          <cell r="T58">
            <v>2</v>
          </cell>
          <cell r="V58">
            <v>0</v>
          </cell>
          <cell r="W58">
            <v>71</v>
          </cell>
          <cell r="X58">
            <v>3</v>
          </cell>
          <cell r="Y58">
            <v>3</v>
          </cell>
          <cell r="AA58">
            <v>0</v>
          </cell>
          <cell r="AB58">
            <v>1</v>
          </cell>
          <cell r="AC58">
            <v>0</v>
          </cell>
          <cell r="AD58">
            <v>0</v>
          </cell>
          <cell r="AE58">
            <v>0</v>
          </cell>
          <cell r="AF58">
            <v>0</v>
          </cell>
          <cell r="AG58">
            <v>0</v>
          </cell>
          <cell r="AH58">
            <v>0</v>
          </cell>
          <cell r="AI58">
            <v>1</v>
          </cell>
          <cell r="AK58">
            <v>0</v>
          </cell>
          <cell r="AL58">
            <v>1</v>
          </cell>
          <cell r="AN58">
            <v>9069</v>
          </cell>
          <cell r="AO58">
            <v>1</v>
          </cell>
          <cell r="AQ58">
            <v>0</v>
          </cell>
          <cell r="AR58">
            <v>22</v>
          </cell>
          <cell r="AS58">
            <v>4</v>
          </cell>
          <cell r="AT58">
            <v>4</v>
          </cell>
          <cell r="AU58">
            <v>1</v>
          </cell>
          <cell r="AV58">
            <v>9</v>
          </cell>
          <cell r="AW58">
            <v>9</v>
          </cell>
          <cell r="AX58">
            <v>3</v>
          </cell>
          <cell r="AY58">
            <v>2</v>
          </cell>
          <cell r="AZ58">
            <v>9</v>
          </cell>
          <cell r="BA58">
            <v>9</v>
          </cell>
          <cell r="BB58">
            <v>8</v>
          </cell>
          <cell r="BC58">
            <v>1</v>
          </cell>
          <cell r="BD58">
            <v>1</v>
          </cell>
          <cell r="BE58">
            <v>8</v>
          </cell>
          <cell r="BF58">
            <v>8</v>
          </cell>
          <cell r="BG58">
            <v>24</v>
          </cell>
          <cell r="BH58">
            <v>0</v>
          </cell>
          <cell r="BI58">
            <v>0</v>
          </cell>
          <cell r="BJ58">
            <v>0</v>
          </cell>
          <cell r="BK58">
            <v>1</v>
          </cell>
          <cell r="BL58">
            <v>0</v>
          </cell>
          <cell r="BM58">
            <v>0</v>
          </cell>
          <cell r="BN58">
            <v>1</v>
          </cell>
          <cell r="BO58">
            <v>0</v>
          </cell>
          <cell r="BP58">
            <v>0</v>
          </cell>
          <cell r="BQ58">
            <v>0</v>
          </cell>
          <cell r="BR58">
            <v>8</v>
          </cell>
          <cell r="BS58">
            <v>0</v>
          </cell>
          <cell r="BT58">
            <v>0</v>
          </cell>
          <cell r="BU58">
            <v>9</v>
          </cell>
        </row>
        <row r="59">
          <cell r="A59">
            <v>35</v>
          </cell>
          <cell r="B59">
            <v>35</v>
          </cell>
          <cell r="D59">
            <v>0</v>
          </cell>
          <cell r="F59">
            <v>0</v>
          </cell>
          <cell r="G59">
            <v>1</v>
          </cell>
          <cell r="I59">
            <v>1</v>
          </cell>
          <cell r="J59">
            <v>0</v>
          </cell>
          <cell r="K59">
            <v>23</v>
          </cell>
          <cell r="L59">
            <v>23</v>
          </cell>
          <cell r="M59">
            <v>4</v>
          </cell>
          <cell r="O59">
            <v>0</v>
          </cell>
          <cell r="P59">
            <v>0</v>
          </cell>
          <cell r="Q59">
            <v>1</v>
          </cell>
          <cell r="R59">
            <v>0</v>
          </cell>
          <cell r="S59">
            <v>0</v>
          </cell>
          <cell r="T59">
            <v>3</v>
          </cell>
          <cell r="V59">
            <v>1</v>
          </cell>
          <cell r="W59">
            <v>30</v>
          </cell>
          <cell r="X59">
            <v>3</v>
          </cell>
          <cell r="Y59">
            <v>1</v>
          </cell>
          <cell r="AA59">
            <v>0</v>
          </cell>
          <cell r="AB59">
            <v>0</v>
          </cell>
          <cell r="AC59">
            <v>1</v>
          </cell>
          <cell r="AD59">
            <v>0</v>
          </cell>
          <cell r="AE59">
            <v>0</v>
          </cell>
          <cell r="AF59">
            <v>0</v>
          </cell>
          <cell r="AG59">
            <v>0</v>
          </cell>
          <cell r="AH59">
            <v>0</v>
          </cell>
          <cell r="AI59">
            <v>1</v>
          </cell>
          <cell r="AK59">
            <v>0</v>
          </cell>
          <cell r="AL59">
            <v>1</v>
          </cell>
          <cell r="AN59">
            <v>4014</v>
          </cell>
          <cell r="AO59">
            <v>3</v>
          </cell>
          <cell r="AQ59">
            <v>1</v>
          </cell>
          <cell r="AR59">
            <v>15</v>
          </cell>
          <cell r="AS59">
            <v>3</v>
          </cell>
          <cell r="AT59">
            <v>3</v>
          </cell>
          <cell r="AU59">
            <v>1</v>
          </cell>
          <cell r="AV59">
            <v>4</v>
          </cell>
          <cell r="AW59">
            <v>4</v>
          </cell>
          <cell r="AX59">
            <v>3</v>
          </cell>
          <cell r="AY59">
            <v>3</v>
          </cell>
          <cell r="AZ59">
            <v>2</v>
          </cell>
          <cell r="BA59">
            <v>2</v>
          </cell>
          <cell r="BB59">
            <v>2</v>
          </cell>
          <cell r="BC59">
            <v>2</v>
          </cell>
          <cell r="BD59">
            <v>2</v>
          </cell>
          <cell r="BE59">
            <v>2</v>
          </cell>
          <cell r="BF59">
            <v>2</v>
          </cell>
          <cell r="BG59">
            <v>2</v>
          </cell>
          <cell r="BH59">
            <v>0</v>
          </cell>
          <cell r="BI59">
            <v>1</v>
          </cell>
          <cell r="BJ59">
            <v>0</v>
          </cell>
          <cell r="BK59">
            <v>0</v>
          </cell>
          <cell r="BL59">
            <v>0</v>
          </cell>
          <cell r="BM59">
            <v>0</v>
          </cell>
          <cell r="BN59">
            <v>0</v>
          </cell>
          <cell r="BO59">
            <v>1</v>
          </cell>
          <cell r="BP59">
            <v>0</v>
          </cell>
          <cell r="BQ59">
            <v>2</v>
          </cell>
          <cell r="BR59">
            <v>0</v>
          </cell>
          <cell r="BS59">
            <v>0</v>
          </cell>
          <cell r="BT59">
            <v>4</v>
          </cell>
          <cell r="BU59">
            <v>0</v>
          </cell>
        </row>
        <row r="60">
          <cell r="A60">
            <v>31</v>
          </cell>
          <cell r="B60">
            <v>31</v>
          </cell>
          <cell r="D60">
            <v>0</v>
          </cell>
          <cell r="F60">
            <v>0</v>
          </cell>
          <cell r="G60">
            <v>1</v>
          </cell>
          <cell r="I60">
            <v>1</v>
          </cell>
          <cell r="J60">
            <v>0</v>
          </cell>
          <cell r="K60">
            <v>7</v>
          </cell>
          <cell r="L60">
            <v>7</v>
          </cell>
          <cell r="M60">
            <v>4</v>
          </cell>
          <cell r="O60">
            <v>1</v>
          </cell>
          <cell r="P60">
            <v>0</v>
          </cell>
          <cell r="Q60">
            <v>0</v>
          </cell>
          <cell r="R60">
            <v>0</v>
          </cell>
          <cell r="S60">
            <v>0</v>
          </cell>
          <cell r="T60">
            <v>4</v>
          </cell>
          <cell r="V60">
            <v>0</v>
          </cell>
          <cell r="W60">
            <v>48</v>
          </cell>
          <cell r="X60">
            <v>3</v>
          </cell>
          <cell r="Y60">
            <v>2</v>
          </cell>
          <cell r="AA60">
            <v>0</v>
          </cell>
          <cell r="AB60">
            <v>0</v>
          </cell>
          <cell r="AC60">
            <v>1</v>
          </cell>
          <cell r="AD60">
            <v>0</v>
          </cell>
          <cell r="AE60">
            <v>0</v>
          </cell>
          <cell r="AF60">
            <v>0</v>
          </cell>
          <cell r="AG60">
            <v>0</v>
          </cell>
          <cell r="AH60">
            <v>0</v>
          </cell>
          <cell r="AI60">
            <v>4</v>
          </cell>
          <cell r="AK60">
            <v>0</v>
          </cell>
          <cell r="AL60">
            <v>0</v>
          </cell>
          <cell r="AN60">
            <v>5915</v>
          </cell>
          <cell r="AO60">
            <v>3</v>
          </cell>
          <cell r="AQ60">
            <v>0</v>
          </cell>
          <cell r="AR60">
            <v>22</v>
          </cell>
          <cell r="AS60">
            <v>4</v>
          </cell>
          <cell r="AT60">
            <v>4</v>
          </cell>
          <cell r="AU60">
            <v>1</v>
          </cell>
          <cell r="AV60">
            <v>10</v>
          </cell>
          <cell r="AW60">
            <v>10</v>
          </cell>
          <cell r="AX60">
            <v>3</v>
          </cell>
          <cell r="AY60">
            <v>2</v>
          </cell>
          <cell r="AZ60">
            <v>7</v>
          </cell>
          <cell r="BA60">
            <v>7</v>
          </cell>
          <cell r="BB60">
            <v>7</v>
          </cell>
          <cell r="BC60">
            <v>1</v>
          </cell>
          <cell r="BD60">
            <v>1</v>
          </cell>
          <cell r="BE60">
            <v>7</v>
          </cell>
          <cell r="BF60">
            <v>7</v>
          </cell>
          <cell r="BG60">
            <v>14</v>
          </cell>
          <cell r="BH60">
            <v>1</v>
          </cell>
          <cell r="BI60">
            <v>0</v>
          </cell>
          <cell r="BJ60">
            <v>0</v>
          </cell>
          <cell r="BK60">
            <v>0</v>
          </cell>
          <cell r="BL60">
            <v>1</v>
          </cell>
          <cell r="BM60">
            <v>0</v>
          </cell>
          <cell r="BN60">
            <v>0</v>
          </cell>
          <cell r="BO60">
            <v>0</v>
          </cell>
          <cell r="BP60">
            <v>0</v>
          </cell>
          <cell r="BQ60">
            <v>7</v>
          </cell>
          <cell r="BR60">
            <v>0</v>
          </cell>
          <cell r="BS60">
            <v>0</v>
          </cell>
          <cell r="BT60">
            <v>10</v>
          </cell>
          <cell r="BU60">
            <v>0</v>
          </cell>
        </row>
        <row r="61">
          <cell r="A61">
            <v>37</v>
          </cell>
          <cell r="B61">
            <v>37</v>
          </cell>
          <cell r="D61">
            <v>0</v>
          </cell>
          <cell r="F61">
            <v>0</v>
          </cell>
          <cell r="G61">
            <v>1</v>
          </cell>
          <cell r="I61">
            <v>1</v>
          </cell>
          <cell r="J61">
            <v>0</v>
          </cell>
          <cell r="K61">
            <v>1</v>
          </cell>
          <cell r="L61">
            <v>1</v>
          </cell>
          <cell r="M61">
            <v>4</v>
          </cell>
          <cell r="O61">
            <v>1</v>
          </cell>
          <cell r="P61">
            <v>0</v>
          </cell>
          <cell r="Q61">
            <v>0</v>
          </cell>
          <cell r="R61">
            <v>0</v>
          </cell>
          <cell r="S61">
            <v>0</v>
          </cell>
          <cell r="T61">
            <v>1</v>
          </cell>
          <cell r="V61">
            <v>0</v>
          </cell>
          <cell r="W61">
            <v>51</v>
          </cell>
          <cell r="X61">
            <v>2</v>
          </cell>
          <cell r="Y61">
            <v>2</v>
          </cell>
          <cell r="AA61">
            <v>0</v>
          </cell>
          <cell r="AB61">
            <v>0</v>
          </cell>
          <cell r="AC61">
            <v>0</v>
          </cell>
          <cell r="AD61">
            <v>0</v>
          </cell>
          <cell r="AE61">
            <v>1</v>
          </cell>
          <cell r="AF61">
            <v>1</v>
          </cell>
          <cell r="AG61">
            <v>0</v>
          </cell>
          <cell r="AH61">
            <v>0</v>
          </cell>
          <cell r="AI61">
            <v>3</v>
          </cell>
          <cell r="AK61">
            <v>0</v>
          </cell>
          <cell r="AL61">
            <v>0</v>
          </cell>
          <cell r="AN61">
            <v>5993</v>
          </cell>
          <cell r="AO61">
            <v>1</v>
          </cell>
          <cell r="AQ61">
            <v>0</v>
          </cell>
          <cell r="AR61">
            <v>18</v>
          </cell>
          <cell r="AS61">
            <v>3</v>
          </cell>
          <cell r="AT61">
            <v>3</v>
          </cell>
          <cell r="AU61">
            <v>1</v>
          </cell>
          <cell r="AV61">
            <v>7</v>
          </cell>
          <cell r="AW61">
            <v>7</v>
          </cell>
          <cell r="AX61">
            <v>2</v>
          </cell>
          <cell r="AY61">
            <v>4</v>
          </cell>
          <cell r="AZ61">
            <v>7</v>
          </cell>
          <cell r="BA61">
            <v>7</v>
          </cell>
          <cell r="BB61">
            <v>5</v>
          </cell>
          <cell r="BC61">
            <v>0</v>
          </cell>
          <cell r="BD61">
            <v>0</v>
          </cell>
          <cell r="BE61">
            <v>7</v>
          </cell>
          <cell r="BF61">
            <v>7</v>
          </cell>
          <cell r="BG61">
            <v>14</v>
          </cell>
          <cell r="BH61">
            <v>1</v>
          </cell>
          <cell r="BI61">
            <v>0</v>
          </cell>
          <cell r="BJ61">
            <v>0</v>
          </cell>
          <cell r="BK61">
            <v>0</v>
          </cell>
          <cell r="BL61">
            <v>1</v>
          </cell>
          <cell r="BM61">
            <v>0</v>
          </cell>
          <cell r="BN61">
            <v>0</v>
          </cell>
          <cell r="BO61">
            <v>0</v>
          </cell>
          <cell r="BP61">
            <v>0</v>
          </cell>
          <cell r="BQ61">
            <v>7</v>
          </cell>
          <cell r="BR61">
            <v>0</v>
          </cell>
          <cell r="BS61">
            <v>0</v>
          </cell>
          <cell r="BT61">
            <v>7</v>
          </cell>
          <cell r="BU61">
            <v>0</v>
          </cell>
        </row>
        <row r="62">
          <cell r="A62">
            <v>32</v>
          </cell>
          <cell r="B62">
            <v>32</v>
          </cell>
          <cell r="D62">
            <v>0</v>
          </cell>
          <cell r="F62">
            <v>0</v>
          </cell>
          <cell r="G62">
            <v>1</v>
          </cell>
          <cell r="I62">
            <v>1</v>
          </cell>
          <cell r="J62">
            <v>0</v>
          </cell>
          <cell r="K62">
            <v>1</v>
          </cell>
          <cell r="L62">
            <v>1</v>
          </cell>
          <cell r="M62">
            <v>3</v>
          </cell>
          <cell r="O62">
            <v>0</v>
          </cell>
          <cell r="P62">
            <v>0</v>
          </cell>
          <cell r="Q62">
            <v>1</v>
          </cell>
          <cell r="R62">
            <v>0</v>
          </cell>
          <cell r="S62">
            <v>0</v>
          </cell>
          <cell r="T62">
            <v>1</v>
          </cell>
          <cell r="V62">
            <v>0</v>
          </cell>
          <cell r="W62">
            <v>33</v>
          </cell>
          <cell r="X62">
            <v>3</v>
          </cell>
          <cell r="Y62">
            <v>2</v>
          </cell>
          <cell r="AA62">
            <v>0</v>
          </cell>
          <cell r="AB62">
            <v>0</v>
          </cell>
          <cell r="AC62">
            <v>0</v>
          </cell>
          <cell r="AD62">
            <v>0</v>
          </cell>
          <cell r="AE62">
            <v>1</v>
          </cell>
          <cell r="AF62">
            <v>1</v>
          </cell>
          <cell r="AG62">
            <v>0</v>
          </cell>
          <cell r="AH62">
            <v>0</v>
          </cell>
          <cell r="AI62">
            <v>4</v>
          </cell>
          <cell r="AK62">
            <v>0</v>
          </cell>
          <cell r="AL62">
            <v>1</v>
          </cell>
          <cell r="AN62">
            <v>6162</v>
          </cell>
          <cell r="AO62">
            <v>1</v>
          </cell>
          <cell r="AQ62">
            <v>1</v>
          </cell>
          <cell r="AR62">
            <v>22</v>
          </cell>
          <cell r="AS62">
            <v>4</v>
          </cell>
          <cell r="AT62">
            <v>2</v>
          </cell>
          <cell r="AU62">
            <v>1</v>
          </cell>
          <cell r="AV62">
            <v>9</v>
          </cell>
          <cell r="AW62">
            <v>9</v>
          </cell>
          <cell r="AX62">
            <v>3</v>
          </cell>
          <cell r="AY62">
            <v>3</v>
          </cell>
          <cell r="AZ62">
            <v>9</v>
          </cell>
          <cell r="BA62">
            <v>9</v>
          </cell>
          <cell r="BB62">
            <v>8</v>
          </cell>
          <cell r="BC62">
            <v>7</v>
          </cell>
          <cell r="BD62">
            <v>7</v>
          </cell>
          <cell r="BE62">
            <v>8</v>
          </cell>
          <cell r="BF62">
            <v>8</v>
          </cell>
          <cell r="BG62">
            <v>16</v>
          </cell>
          <cell r="BH62">
            <v>0</v>
          </cell>
          <cell r="BI62">
            <v>1</v>
          </cell>
          <cell r="BJ62">
            <v>0</v>
          </cell>
          <cell r="BK62">
            <v>0</v>
          </cell>
          <cell r="BL62">
            <v>0</v>
          </cell>
          <cell r="BM62">
            <v>0</v>
          </cell>
          <cell r="BN62">
            <v>0</v>
          </cell>
          <cell r="BO62">
            <v>1</v>
          </cell>
          <cell r="BP62">
            <v>0</v>
          </cell>
          <cell r="BQ62">
            <v>8</v>
          </cell>
          <cell r="BR62">
            <v>0</v>
          </cell>
          <cell r="BS62">
            <v>0</v>
          </cell>
          <cell r="BT62">
            <v>9</v>
          </cell>
          <cell r="BU62">
            <v>0</v>
          </cell>
        </row>
        <row r="63">
          <cell r="A63">
            <v>38</v>
          </cell>
          <cell r="B63">
            <v>38</v>
          </cell>
          <cell r="D63">
            <v>0</v>
          </cell>
          <cell r="F63">
            <v>1</v>
          </cell>
          <cell r="G63">
            <v>0</v>
          </cell>
          <cell r="I63">
            <v>1</v>
          </cell>
          <cell r="J63">
            <v>0</v>
          </cell>
          <cell r="K63">
            <v>29</v>
          </cell>
          <cell r="L63">
            <v>29</v>
          </cell>
          <cell r="M63">
            <v>5</v>
          </cell>
          <cell r="O63">
            <v>1</v>
          </cell>
          <cell r="P63">
            <v>0</v>
          </cell>
          <cell r="Q63">
            <v>0</v>
          </cell>
          <cell r="R63">
            <v>0</v>
          </cell>
          <cell r="S63">
            <v>0</v>
          </cell>
          <cell r="T63">
            <v>4</v>
          </cell>
          <cell r="V63">
            <v>1</v>
          </cell>
          <cell r="W63">
            <v>50</v>
          </cell>
          <cell r="X63">
            <v>3</v>
          </cell>
          <cell r="Y63">
            <v>2</v>
          </cell>
          <cell r="AA63">
            <v>0</v>
          </cell>
          <cell r="AB63">
            <v>0</v>
          </cell>
          <cell r="AC63">
            <v>1</v>
          </cell>
          <cell r="AD63">
            <v>0</v>
          </cell>
          <cell r="AE63">
            <v>0</v>
          </cell>
          <cell r="AF63">
            <v>0</v>
          </cell>
          <cell r="AG63">
            <v>0</v>
          </cell>
          <cell r="AH63">
            <v>0</v>
          </cell>
          <cell r="AI63">
            <v>4</v>
          </cell>
          <cell r="AK63">
            <v>1</v>
          </cell>
          <cell r="AL63">
            <v>0</v>
          </cell>
          <cell r="AN63">
            <v>2406</v>
          </cell>
          <cell r="AO63">
            <v>1</v>
          </cell>
          <cell r="AQ63">
            <v>0</v>
          </cell>
          <cell r="AR63">
            <v>11</v>
          </cell>
          <cell r="AS63">
            <v>3</v>
          </cell>
          <cell r="AT63">
            <v>4</v>
          </cell>
          <cell r="AU63">
            <v>0</v>
          </cell>
          <cell r="AV63">
            <v>10</v>
          </cell>
          <cell r="AW63">
            <v>10</v>
          </cell>
          <cell r="AX63">
            <v>2</v>
          </cell>
          <cell r="AY63">
            <v>3</v>
          </cell>
          <cell r="AZ63">
            <v>10</v>
          </cell>
          <cell r="BA63">
            <v>10</v>
          </cell>
          <cell r="BB63">
            <v>3</v>
          </cell>
          <cell r="BC63">
            <v>9</v>
          </cell>
          <cell r="BD63">
            <v>9</v>
          </cell>
          <cell r="BE63">
            <v>9</v>
          </cell>
          <cell r="BF63">
            <v>9</v>
          </cell>
          <cell r="BG63">
            <v>18</v>
          </cell>
          <cell r="BH63">
            <v>0</v>
          </cell>
          <cell r="BI63">
            <v>0</v>
          </cell>
          <cell r="BJ63">
            <v>1</v>
          </cell>
          <cell r="BK63">
            <v>0</v>
          </cell>
          <cell r="BL63">
            <v>1</v>
          </cell>
          <cell r="BM63">
            <v>0</v>
          </cell>
          <cell r="BN63">
            <v>0</v>
          </cell>
          <cell r="BO63">
            <v>0</v>
          </cell>
          <cell r="BP63">
            <v>0</v>
          </cell>
          <cell r="BQ63">
            <v>9</v>
          </cell>
          <cell r="BR63">
            <v>0</v>
          </cell>
          <cell r="BS63">
            <v>0</v>
          </cell>
          <cell r="BT63">
            <v>10</v>
          </cell>
          <cell r="BU63">
            <v>0</v>
          </cell>
        </row>
        <row r="64">
          <cell r="A64">
            <v>50</v>
          </cell>
          <cell r="B64">
            <v>50</v>
          </cell>
          <cell r="D64">
            <v>0</v>
          </cell>
          <cell r="F64">
            <v>0</v>
          </cell>
          <cell r="G64">
            <v>1</v>
          </cell>
          <cell r="I64">
            <v>1</v>
          </cell>
          <cell r="J64">
            <v>0</v>
          </cell>
          <cell r="K64">
            <v>7</v>
          </cell>
          <cell r="L64">
            <v>7</v>
          </cell>
          <cell r="M64">
            <v>2</v>
          </cell>
          <cell r="O64">
            <v>0</v>
          </cell>
          <cell r="P64">
            <v>0</v>
          </cell>
          <cell r="Q64">
            <v>1</v>
          </cell>
          <cell r="R64">
            <v>0</v>
          </cell>
          <cell r="S64">
            <v>0</v>
          </cell>
          <cell r="T64">
            <v>2</v>
          </cell>
          <cell r="V64">
            <v>1</v>
          </cell>
          <cell r="W64">
            <v>43</v>
          </cell>
          <cell r="X64">
            <v>2</v>
          </cell>
          <cell r="Y64">
            <v>5</v>
          </cell>
          <cell r="AA64">
            <v>0</v>
          </cell>
          <cell r="AB64">
            <v>0</v>
          </cell>
          <cell r="AC64">
            <v>0</v>
          </cell>
          <cell r="AD64">
            <v>0</v>
          </cell>
          <cell r="AE64">
            <v>0</v>
          </cell>
          <cell r="AF64">
            <v>0</v>
          </cell>
          <cell r="AG64">
            <v>0</v>
          </cell>
          <cell r="AH64">
            <v>0</v>
          </cell>
          <cell r="AI64">
            <v>3</v>
          </cell>
          <cell r="AK64">
            <v>0</v>
          </cell>
          <cell r="AL64">
            <v>0</v>
          </cell>
          <cell r="AN64">
            <v>18740</v>
          </cell>
          <cell r="AO64">
            <v>5</v>
          </cell>
          <cell r="AQ64">
            <v>1</v>
          </cell>
          <cell r="AR64">
            <v>12</v>
          </cell>
          <cell r="AS64">
            <v>3</v>
          </cell>
          <cell r="AT64">
            <v>4</v>
          </cell>
          <cell r="AU64">
            <v>1</v>
          </cell>
          <cell r="AV64">
            <v>29</v>
          </cell>
          <cell r="AW64">
            <v>29</v>
          </cell>
          <cell r="AX64">
            <v>2</v>
          </cell>
          <cell r="AY64">
            <v>2</v>
          </cell>
          <cell r="AZ64">
            <v>27</v>
          </cell>
          <cell r="BA64">
            <v>27</v>
          </cell>
          <cell r="BB64">
            <v>3</v>
          </cell>
          <cell r="BC64">
            <v>13</v>
          </cell>
          <cell r="BD64">
            <v>13</v>
          </cell>
          <cell r="BE64">
            <v>8</v>
          </cell>
          <cell r="BF64">
            <v>8</v>
          </cell>
          <cell r="BG64">
            <v>40</v>
          </cell>
          <cell r="BH64">
            <v>1</v>
          </cell>
          <cell r="BI64">
            <v>0</v>
          </cell>
          <cell r="BJ64">
            <v>0</v>
          </cell>
          <cell r="BK64">
            <v>0</v>
          </cell>
          <cell r="BL64">
            <v>0</v>
          </cell>
          <cell r="BM64">
            <v>1</v>
          </cell>
          <cell r="BN64">
            <v>0</v>
          </cell>
          <cell r="BO64">
            <v>0</v>
          </cell>
          <cell r="BP64">
            <v>0</v>
          </cell>
          <cell r="BQ64">
            <v>8</v>
          </cell>
          <cell r="BR64">
            <v>0</v>
          </cell>
          <cell r="BS64">
            <v>0</v>
          </cell>
          <cell r="BT64">
            <v>29</v>
          </cell>
          <cell r="BU64">
            <v>0</v>
          </cell>
        </row>
        <row r="65">
          <cell r="A65">
            <v>59</v>
          </cell>
          <cell r="B65">
            <v>58.309999999999945</v>
          </cell>
          <cell r="D65">
            <v>0</v>
          </cell>
          <cell r="F65">
            <v>0</v>
          </cell>
          <cell r="G65">
            <v>1</v>
          </cell>
          <cell r="I65">
            <v>0</v>
          </cell>
          <cell r="J65">
            <v>1</v>
          </cell>
          <cell r="K65">
            <v>25</v>
          </cell>
          <cell r="L65">
            <v>25</v>
          </cell>
          <cell r="M65">
            <v>3</v>
          </cell>
          <cell r="O65">
            <v>1</v>
          </cell>
          <cell r="P65">
            <v>0</v>
          </cell>
          <cell r="Q65">
            <v>0</v>
          </cell>
          <cell r="R65">
            <v>0</v>
          </cell>
          <cell r="S65">
            <v>0</v>
          </cell>
          <cell r="T65">
            <v>1</v>
          </cell>
          <cell r="V65">
            <v>1</v>
          </cell>
          <cell r="W65">
            <v>99</v>
          </cell>
          <cell r="X65">
            <v>3</v>
          </cell>
          <cell r="Y65">
            <v>3</v>
          </cell>
          <cell r="AA65">
            <v>0</v>
          </cell>
          <cell r="AB65">
            <v>1</v>
          </cell>
          <cell r="AC65">
            <v>0</v>
          </cell>
          <cell r="AD65">
            <v>0</v>
          </cell>
          <cell r="AE65">
            <v>0</v>
          </cell>
          <cell r="AF65">
            <v>0</v>
          </cell>
          <cell r="AG65">
            <v>0</v>
          </cell>
          <cell r="AH65">
            <v>0</v>
          </cell>
          <cell r="AI65">
            <v>1</v>
          </cell>
          <cell r="AK65">
            <v>1</v>
          </cell>
          <cell r="AL65">
            <v>0</v>
          </cell>
          <cell r="AN65">
            <v>7637</v>
          </cell>
          <cell r="AO65">
            <v>7</v>
          </cell>
          <cell r="AQ65">
            <v>0</v>
          </cell>
          <cell r="AR65">
            <v>11</v>
          </cell>
          <cell r="AS65">
            <v>3</v>
          </cell>
          <cell r="AT65">
            <v>4</v>
          </cell>
          <cell r="AU65">
            <v>0</v>
          </cell>
          <cell r="AV65">
            <v>28</v>
          </cell>
          <cell r="AW65">
            <v>28</v>
          </cell>
          <cell r="AX65">
            <v>3</v>
          </cell>
          <cell r="AY65">
            <v>2</v>
          </cell>
          <cell r="AZ65">
            <v>21</v>
          </cell>
          <cell r="BA65">
            <v>21</v>
          </cell>
          <cell r="BB65">
            <v>16</v>
          </cell>
          <cell r="BC65">
            <v>7</v>
          </cell>
          <cell r="BD65">
            <v>7</v>
          </cell>
          <cell r="BE65">
            <v>9</v>
          </cell>
          <cell r="BF65">
            <v>9</v>
          </cell>
          <cell r="BG65">
            <v>27</v>
          </cell>
          <cell r="BH65">
            <v>1</v>
          </cell>
          <cell r="BI65">
            <v>0</v>
          </cell>
          <cell r="BJ65">
            <v>0</v>
          </cell>
          <cell r="BK65">
            <v>0</v>
          </cell>
          <cell r="BL65">
            <v>1</v>
          </cell>
          <cell r="BM65">
            <v>0</v>
          </cell>
          <cell r="BN65">
            <v>0</v>
          </cell>
          <cell r="BO65">
            <v>0</v>
          </cell>
          <cell r="BP65">
            <v>0</v>
          </cell>
          <cell r="BQ65">
            <v>0</v>
          </cell>
          <cell r="BR65">
            <v>9</v>
          </cell>
          <cell r="BS65">
            <v>0</v>
          </cell>
          <cell r="BT65">
            <v>0</v>
          </cell>
          <cell r="BU65">
            <v>28</v>
          </cell>
        </row>
        <row r="66">
          <cell r="A66">
            <v>36</v>
          </cell>
          <cell r="B66">
            <v>36</v>
          </cell>
          <cell r="D66">
            <v>0</v>
          </cell>
          <cell r="F66">
            <v>0</v>
          </cell>
          <cell r="G66">
            <v>1</v>
          </cell>
          <cell r="I66">
            <v>1</v>
          </cell>
          <cell r="J66">
            <v>0</v>
          </cell>
          <cell r="K66">
            <v>8</v>
          </cell>
          <cell r="L66">
            <v>8</v>
          </cell>
          <cell r="M66">
            <v>3</v>
          </cell>
          <cell r="O66">
            <v>0</v>
          </cell>
          <cell r="P66">
            <v>0</v>
          </cell>
          <cell r="Q66">
            <v>0</v>
          </cell>
          <cell r="R66">
            <v>0</v>
          </cell>
          <cell r="S66">
            <v>1</v>
          </cell>
          <cell r="T66">
            <v>3</v>
          </cell>
          <cell r="V66">
            <v>1</v>
          </cell>
          <cell r="W66">
            <v>59</v>
          </cell>
          <cell r="X66">
            <v>3</v>
          </cell>
          <cell r="Y66">
            <v>3</v>
          </cell>
          <cell r="AA66">
            <v>1</v>
          </cell>
          <cell r="AB66">
            <v>0</v>
          </cell>
          <cell r="AC66">
            <v>0</v>
          </cell>
          <cell r="AD66">
            <v>0</v>
          </cell>
          <cell r="AE66">
            <v>0</v>
          </cell>
          <cell r="AF66">
            <v>0</v>
          </cell>
          <cell r="AG66">
            <v>0</v>
          </cell>
          <cell r="AH66">
            <v>0</v>
          </cell>
          <cell r="AI66">
            <v>3</v>
          </cell>
          <cell r="AK66">
            <v>0</v>
          </cell>
          <cell r="AL66">
            <v>0</v>
          </cell>
          <cell r="AN66">
            <v>10096</v>
          </cell>
          <cell r="AO66">
            <v>1</v>
          </cell>
          <cell r="AQ66">
            <v>0</v>
          </cell>
          <cell r="AR66">
            <v>13</v>
          </cell>
          <cell r="AS66">
            <v>3</v>
          </cell>
          <cell r="AT66">
            <v>2</v>
          </cell>
          <cell r="AU66">
            <v>3</v>
          </cell>
          <cell r="AV66">
            <v>17</v>
          </cell>
          <cell r="AW66">
            <v>17</v>
          </cell>
          <cell r="AX66">
            <v>2</v>
          </cell>
          <cell r="AY66">
            <v>3</v>
          </cell>
          <cell r="AZ66">
            <v>17</v>
          </cell>
          <cell r="BA66">
            <v>17</v>
          </cell>
          <cell r="BB66">
            <v>14</v>
          </cell>
          <cell r="BC66">
            <v>12</v>
          </cell>
          <cell r="BD66">
            <v>12</v>
          </cell>
          <cell r="BE66">
            <v>8</v>
          </cell>
          <cell r="BF66">
            <v>8</v>
          </cell>
          <cell r="BG66">
            <v>24</v>
          </cell>
          <cell r="BH66">
            <v>1</v>
          </cell>
          <cell r="BI66">
            <v>0</v>
          </cell>
          <cell r="BJ66">
            <v>0</v>
          </cell>
          <cell r="BK66">
            <v>0</v>
          </cell>
          <cell r="BL66">
            <v>1</v>
          </cell>
          <cell r="BM66">
            <v>0</v>
          </cell>
          <cell r="BN66">
            <v>0</v>
          </cell>
          <cell r="BO66">
            <v>0</v>
          </cell>
          <cell r="BP66">
            <v>0</v>
          </cell>
          <cell r="BQ66">
            <v>8</v>
          </cell>
          <cell r="BR66">
            <v>0</v>
          </cell>
          <cell r="BS66">
            <v>0</v>
          </cell>
          <cell r="BT66">
            <v>17</v>
          </cell>
          <cell r="BU66">
            <v>0</v>
          </cell>
        </row>
        <row r="67">
          <cell r="A67">
            <v>55</v>
          </cell>
          <cell r="B67">
            <v>55</v>
          </cell>
          <cell r="D67">
            <v>0</v>
          </cell>
          <cell r="F67">
            <v>0</v>
          </cell>
          <cell r="G67">
            <v>1</v>
          </cell>
          <cell r="I67">
            <v>1</v>
          </cell>
          <cell r="J67">
            <v>0</v>
          </cell>
          <cell r="K67">
            <v>8</v>
          </cell>
          <cell r="L67">
            <v>8</v>
          </cell>
          <cell r="M67">
            <v>3</v>
          </cell>
          <cell r="O67">
            <v>0</v>
          </cell>
          <cell r="P67">
            <v>0</v>
          </cell>
          <cell r="Q67">
            <v>1</v>
          </cell>
          <cell r="R67">
            <v>0</v>
          </cell>
          <cell r="S67">
            <v>0</v>
          </cell>
          <cell r="T67">
            <v>4</v>
          </cell>
          <cell r="V67">
            <v>1</v>
          </cell>
          <cell r="W67">
            <v>33</v>
          </cell>
          <cell r="X67">
            <v>3</v>
          </cell>
          <cell r="Y67">
            <v>4</v>
          </cell>
          <cell r="AA67">
            <v>0</v>
          </cell>
          <cell r="AB67">
            <v>0</v>
          </cell>
          <cell r="AC67">
            <v>0</v>
          </cell>
          <cell r="AD67">
            <v>1</v>
          </cell>
          <cell r="AE67">
            <v>0</v>
          </cell>
          <cell r="AF67">
            <v>0</v>
          </cell>
          <cell r="AG67">
            <v>0</v>
          </cell>
          <cell r="AH67">
            <v>0</v>
          </cell>
          <cell r="AI67">
            <v>3</v>
          </cell>
          <cell r="AK67">
            <v>0</v>
          </cell>
          <cell r="AL67">
            <v>0</v>
          </cell>
          <cell r="AN67">
            <v>14756</v>
          </cell>
          <cell r="AO67">
            <v>2</v>
          </cell>
          <cell r="AQ67">
            <v>1</v>
          </cell>
          <cell r="AR67">
            <v>14</v>
          </cell>
          <cell r="AS67">
            <v>3</v>
          </cell>
          <cell r="AT67">
            <v>3</v>
          </cell>
          <cell r="AU67">
            <v>3</v>
          </cell>
          <cell r="AV67">
            <v>21</v>
          </cell>
          <cell r="AW67">
            <v>21</v>
          </cell>
          <cell r="AX67">
            <v>2</v>
          </cell>
          <cell r="AY67">
            <v>3</v>
          </cell>
          <cell r="AZ67">
            <v>5</v>
          </cell>
          <cell r="BA67">
            <v>5</v>
          </cell>
          <cell r="BB67">
            <v>0</v>
          </cell>
          <cell r="BC67">
            <v>0</v>
          </cell>
          <cell r="BD67">
            <v>0</v>
          </cell>
          <cell r="BE67">
            <v>2</v>
          </cell>
          <cell r="BF67">
            <v>2</v>
          </cell>
          <cell r="BG67">
            <v>8</v>
          </cell>
          <cell r="BH67">
            <v>1</v>
          </cell>
          <cell r="BI67">
            <v>0</v>
          </cell>
          <cell r="BJ67">
            <v>0</v>
          </cell>
          <cell r="BK67">
            <v>0</v>
          </cell>
          <cell r="BL67">
            <v>0</v>
          </cell>
          <cell r="BM67">
            <v>1</v>
          </cell>
          <cell r="BN67">
            <v>0</v>
          </cell>
          <cell r="BO67">
            <v>0</v>
          </cell>
          <cell r="BP67">
            <v>0</v>
          </cell>
          <cell r="BQ67">
            <v>2</v>
          </cell>
          <cell r="BR67">
            <v>0</v>
          </cell>
          <cell r="BS67">
            <v>0</v>
          </cell>
          <cell r="BT67">
            <v>21</v>
          </cell>
          <cell r="BU67">
            <v>0</v>
          </cell>
        </row>
        <row r="68">
          <cell r="A68">
            <v>36</v>
          </cell>
          <cell r="B68">
            <v>36</v>
          </cell>
          <cell r="D68">
            <v>0</v>
          </cell>
          <cell r="F68">
            <v>1</v>
          </cell>
          <cell r="G68">
            <v>0</v>
          </cell>
          <cell r="I68">
            <v>1</v>
          </cell>
          <cell r="J68">
            <v>0</v>
          </cell>
          <cell r="K68">
            <v>11</v>
          </cell>
          <cell r="L68">
            <v>11</v>
          </cell>
          <cell r="M68">
            <v>3</v>
          </cell>
          <cell r="O68">
            <v>1</v>
          </cell>
          <cell r="P68">
            <v>0</v>
          </cell>
          <cell r="Q68">
            <v>0</v>
          </cell>
          <cell r="R68">
            <v>0</v>
          </cell>
          <cell r="S68">
            <v>0</v>
          </cell>
          <cell r="T68">
            <v>2</v>
          </cell>
          <cell r="V68">
            <v>0</v>
          </cell>
          <cell r="W68">
            <v>95</v>
          </cell>
          <cell r="X68">
            <v>2</v>
          </cell>
          <cell r="Y68">
            <v>2</v>
          </cell>
          <cell r="AA68">
            <v>0</v>
          </cell>
          <cell r="AB68">
            <v>0</v>
          </cell>
          <cell r="AC68">
            <v>0</v>
          </cell>
          <cell r="AD68">
            <v>0</v>
          </cell>
          <cell r="AE68">
            <v>1</v>
          </cell>
          <cell r="AF68">
            <v>1</v>
          </cell>
          <cell r="AG68">
            <v>0</v>
          </cell>
          <cell r="AH68">
            <v>0</v>
          </cell>
          <cell r="AI68">
            <v>2</v>
          </cell>
          <cell r="AK68">
            <v>1</v>
          </cell>
          <cell r="AL68">
            <v>0</v>
          </cell>
          <cell r="AN68">
            <v>6499</v>
          </cell>
          <cell r="AO68">
            <v>1</v>
          </cell>
          <cell r="AQ68">
            <v>0</v>
          </cell>
          <cell r="AR68">
            <v>13</v>
          </cell>
          <cell r="AS68">
            <v>3</v>
          </cell>
          <cell r="AT68">
            <v>3</v>
          </cell>
          <cell r="AU68">
            <v>0</v>
          </cell>
          <cell r="AV68">
            <v>6</v>
          </cell>
          <cell r="AW68">
            <v>6</v>
          </cell>
          <cell r="AX68">
            <v>3</v>
          </cell>
          <cell r="AY68">
            <v>3</v>
          </cell>
          <cell r="AZ68">
            <v>6</v>
          </cell>
          <cell r="BA68">
            <v>6</v>
          </cell>
          <cell r="BB68">
            <v>5</v>
          </cell>
          <cell r="BC68">
            <v>0</v>
          </cell>
          <cell r="BD68">
            <v>0</v>
          </cell>
          <cell r="BE68">
            <v>3</v>
          </cell>
          <cell r="BF68">
            <v>3</v>
          </cell>
          <cell r="BG68">
            <v>6</v>
          </cell>
          <cell r="BH68">
            <v>0</v>
          </cell>
          <cell r="BI68">
            <v>0</v>
          </cell>
          <cell r="BJ68">
            <v>1</v>
          </cell>
          <cell r="BK68">
            <v>0</v>
          </cell>
          <cell r="BL68">
            <v>1</v>
          </cell>
          <cell r="BM68">
            <v>0</v>
          </cell>
          <cell r="BN68">
            <v>0</v>
          </cell>
          <cell r="BO68">
            <v>0</v>
          </cell>
          <cell r="BP68">
            <v>0</v>
          </cell>
          <cell r="BQ68">
            <v>3</v>
          </cell>
          <cell r="BR68">
            <v>0</v>
          </cell>
          <cell r="BS68">
            <v>0</v>
          </cell>
          <cell r="BT68">
            <v>6</v>
          </cell>
          <cell r="BU68">
            <v>0</v>
          </cell>
        </row>
        <row r="69">
          <cell r="A69">
            <v>45</v>
          </cell>
          <cell r="B69">
            <v>45</v>
          </cell>
          <cell r="D69">
            <v>0</v>
          </cell>
          <cell r="F69">
            <v>0</v>
          </cell>
          <cell r="G69">
            <v>1</v>
          </cell>
          <cell r="I69">
            <v>1</v>
          </cell>
          <cell r="J69">
            <v>0</v>
          </cell>
          <cell r="K69">
            <v>7</v>
          </cell>
          <cell r="L69">
            <v>7</v>
          </cell>
          <cell r="M69">
            <v>3</v>
          </cell>
          <cell r="O69">
            <v>1</v>
          </cell>
          <cell r="P69">
            <v>0</v>
          </cell>
          <cell r="Q69">
            <v>0</v>
          </cell>
          <cell r="R69">
            <v>0</v>
          </cell>
          <cell r="S69">
            <v>0</v>
          </cell>
          <cell r="T69">
            <v>2</v>
          </cell>
          <cell r="V69">
            <v>0</v>
          </cell>
          <cell r="W69">
            <v>59</v>
          </cell>
          <cell r="X69">
            <v>3</v>
          </cell>
          <cell r="Y69">
            <v>3</v>
          </cell>
          <cell r="AA69">
            <v>0</v>
          </cell>
          <cell r="AB69">
            <v>0</v>
          </cell>
          <cell r="AC69">
            <v>0</v>
          </cell>
          <cell r="AD69">
            <v>0</v>
          </cell>
          <cell r="AE69">
            <v>0</v>
          </cell>
          <cell r="AF69">
            <v>0</v>
          </cell>
          <cell r="AG69">
            <v>0</v>
          </cell>
          <cell r="AH69">
            <v>1</v>
          </cell>
          <cell r="AI69">
            <v>1</v>
          </cell>
          <cell r="AK69">
            <v>0</v>
          </cell>
          <cell r="AL69">
            <v>0</v>
          </cell>
          <cell r="AN69">
            <v>9724</v>
          </cell>
          <cell r="AO69">
            <v>2</v>
          </cell>
          <cell r="AQ69">
            <v>0</v>
          </cell>
          <cell r="AR69">
            <v>17</v>
          </cell>
          <cell r="AS69">
            <v>3</v>
          </cell>
          <cell r="AT69">
            <v>3</v>
          </cell>
          <cell r="AU69">
            <v>1</v>
          </cell>
          <cell r="AV69">
            <v>25</v>
          </cell>
          <cell r="AW69">
            <v>25</v>
          </cell>
          <cell r="AX69">
            <v>2</v>
          </cell>
          <cell r="AY69">
            <v>3</v>
          </cell>
          <cell r="AZ69">
            <v>1</v>
          </cell>
          <cell r="BA69">
            <v>1</v>
          </cell>
          <cell r="BB69">
            <v>0</v>
          </cell>
          <cell r="BC69">
            <v>0</v>
          </cell>
          <cell r="BD69">
            <v>0</v>
          </cell>
          <cell r="BE69">
            <v>0</v>
          </cell>
          <cell r="BF69">
            <v>0</v>
          </cell>
          <cell r="BG69">
            <v>0</v>
          </cell>
          <cell r="BH69">
            <v>1</v>
          </cell>
          <cell r="BI69">
            <v>0</v>
          </cell>
          <cell r="BJ69">
            <v>0</v>
          </cell>
          <cell r="BK69">
            <v>0</v>
          </cell>
          <cell r="BL69">
            <v>1</v>
          </cell>
          <cell r="BM69">
            <v>0</v>
          </cell>
          <cell r="BN69">
            <v>0</v>
          </cell>
          <cell r="BO69">
            <v>0</v>
          </cell>
          <cell r="BP69">
            <v>0</v>
          </cell>
          <cell r="BQ69">
            <v>0</v>
          </cell>
          <cell r="BR69">
            <v>0</v>
          </cell>
          <cell r="BS69">
            <v>0</v>
          </cell>
          <cell r="BT69">
            <v>25</v>
          </cell>
          <cell r="BU69">
            <v>0</v>
          </cell>
        </row>
        <row r="70">
          <cell r="A70">
            <v>35</v>
          </cell>
          <cell r="B70">
            <v>35</v>
          </cell>
          <cell r="D70">
            <v>0</v>
          </cell>
          <cell r="F70">
            <v>1</v>
          </cell>
          <cell r="G70">
            <v>0</v>
          </cell>
          <cell r="I70">
            <v>1</v>
          </cell>
          <cell r="J70">
            <v>0</v>
          </cell>
          <cell r="K70">
            <v>1</v>
          </cell>
          <cell r="L70">
            <v>1</v>
          </cell>
          <cell r="M70">
            <v>3</v>
          </cell>
          <cell r="O70">
            <v>0</v>
          </cell>
          <cell r="P70">
            <v>0</v>
          </cell>
          <cell r="Q70">
            <v>1</v>
          </cell>
          <cell r="R70">
            <v>0</v>
          </cell>
          <cell r="S70">
            <v>0</v>
          </cell>
          <cell r="T70">
            <v>2</v>
          </cell>
          <cell r="V70">
            <v>0</v>
          </cell>
          <cell r="W70">
            <v>79</v>
          </cell>
          <cell r="X70">
            <v>3</v>
          </cell>
          <cell r="Y70">
            <v>1</v>
          </cell>
          <cell r="AA70">
            <v>0</v>
          </cell>
          <cell r="AB70">
            <v>0</v>
          </cell>
          <cell r="AC70">
            <v>0</v>
          </cell>
          <cell r="AD70">
            <v>0</v>
          </cell>
          <cell r="AE70">
            <v>0</v>
          </cell>
          <cell r="AF70">
            <v>0</v>
          </cell>
          <cell r="AG70">
            <v>0</v>
          </cell>
          <cell r="AH70">
            <v>1</v>
          </cell>
          <cell r="AI70">
            <v>1</v>
          </cell>
          <cell r="AK70">
            <v>0</v>
          </cell>
          <cell r="AL70">
            <v>1</v>
          </cell>
          <cell r="AN70">
            <v>2194</v>
          </cell>
          <cell r="AO70">
            <v>4</v>
          </cell>
          <cell r="AQ70">
            <v>0</v>
          </cell>
          <cell r="AR70">
            <v>13</v>
          </cell>
          <cell r="AS70">
            <v>3</v>
          </cell>
          <cell r="AT70">
            <v>4</v>
          </cell>
          <cell r="AU70">
            <v>1</v>
          </cell>
          <cell r="AV70">
            <v>5</v>
          </cell>
          <cell r="AW70">
            <v>5</v>
          </cell>
          <cell r="AX70">
            <v>2</v>
          </cell>
          <cell r="AY70">
            <v>2</v>
          </cell>
          <cell r="AZ70">
            <v>3</v>
          </cell>
          <cell r="BA70">
            <v>3</v>
          </cell>
          <cell r="BB70">
            <v>2</v>
          </cell>
          <cell r="BC70">
            <v>1</v>
          </cell>
          <cell r="BD70">
            <v>1</v>
          </cell>
          <cell r="BE70">
            <v>2</v>
          </cell>
          <cell r="BF70">
            <v>2</v>
          </cell>
          <cell r="BG70">
            <v>2</v>
          </cell>
          <cell r="BH70">
            <v>0</v>
          </cell>
          <cell r="BI70">
            <v>0</v>
          </cell>
          <cell r="BJ70">
            <v>0</v>
          </cell>
          <cell r="BK70">
            <v>1</v>
          </cell>
          <cell r="BL70">
            <v>0</v>
          </cell>
          <cell r="BM70">
            <v>0</v>
          </cell>
          <cell r="BN70">
            <v>1</v>
          </cell>
          <cell r="BO70">
            <v>0</v>
          </cell>
          <cell r="BP70">
            <v>0</v>
          </cell>
          <cell r="BQ70">
            <v>2</v>
          </cell>
          <cell r="BR70">
            <v>0</v>
          </cell>
          <cell r="BS70">
            <v>0</v>
          </cell>
          <cell r="BT70">
            <v>5</v>
          </cell>
          <cell r="BU70">
            <v>0</v>
          </cell>
        </row>
        <row r="71">
          <cell r="A71">
            <v>36</v>
          </cell>
          <cell r="B71">
            <v>36</v>
          </cell>
          <cell r="D71">
            <v>1</v>
          </cell>
          <cell r="F71">
            <v>0</v>
          </cell>
          <cell r="G71">
            <v>1</v>
          </cell>
          <cell r="I71">
            <v>1</v>
          </cell>
          <cell r="J71">
            <v>0</v>
          </cell>
          <cell r="K71">
            <v>9</v>
          </cell>
          <cell r="L71">
            <v>9</v>
          </cell>
          <cell r="M71">
            <v>3</v>
          </cell>
          <cell r="O71">
            <v>0</v>
          </cell>
          <cell r="P71">
            <v>0</v>
          </cell>
          <cell r="Q71">
            <v>1</v>
          </cell>
          <cell r="R71">
            <v>0</v>
          </cell>
          <cell r="S71">
            <v>0</v>
          </cell>
          <cell r="T71">
            <v>4</v>
          </cell>
          <cell r="V71">
            <v>0</v>
          </cell>
          <cell r="W71">
            <v>79</v>
          </cell>
          <cell r="X71">
            <v>2</v>
          </cell>
          <cell r="Y71">
            <v>1</v>
          </cell>
          <cell r="AA71">
            <v>0</v>
          </cell>
          <cell r="AB71">
            <v>0</v>
          </cell>
          <cell r="AC71">
            <v>0</v>
          </cell>
          <cell r="AD71">
            <v>0</v>
          </cell>
          <cell r="AE71">
            <v>0</v>
          </cell>
          <cell r="AF71">
            <v>0</v>
          </cell>
          <cell r="AG71">
            <v>0</v>
          </cell>
          <cell r="AH71">
            <v>1</v>
          </cell>
          <cell r="AI71">
            <v>3</v>
          </cell>
          <cell r="AK71">
            <v>0</v>
          </cell>
          <cell r="AL71">
            <v>1</v>
          </cell>
          <cell r="AN71">
            <v>3388</v>
          </cell>
          <cell r="AO71">
            <v>0</v>
          </cell>
          <cell r="AQ71">
            <v>1</v>
          </cell>
          <cell r="AR71">
            <v>17</v>
          </cell>
          <cell r="AS71">
            <v>3</v>
          </cell>
          <cell r="AT71">
            <v>1</v>
          </cell>
          <cell r="AU71">
            <v>1</v>
          </cell>
          <cell r="AV71">
            <v>2</v>
          </cell>
          <cell r="AW71">
            <v>2</v>
          </cell>
          <cell r="AX71">
            <v>0</v>
          </cell>
          <cell r="AY71">
            <v>2</v>
          </cell>
          <cell r="AZ71">
            <v>1</v>
          </cell>
          <cell r="BA71">
            <v>1</v>
          </cell>
          <cell r="BB71">
            <v>0</v>
          </cell>
          <cell r="BC71">
            <v>0</v>
          </cell>
          <cell r="BD71">
            <v>0</v>
          </cell>
          <cell r="BE71">
            <v>0</v>
          </cell>
          <cell r="BF71">
            <v>0</v>
          </cell>
          <cell r="BG71">
            <v>0</v>
          </cell>
          <cell r="BH71">
            <v>0</v>
          </cell>
          <cell r="BI71">
            <v>1</v>
          </cell>
          <cell r="BJ71">
            <v>0</v>
          </cell>
          <cell r="BK71">
            <v>0</v>
          </cell>
          <cell r="BL71">
            <v>0</v>
          </cell>
          <cell r="BM71">
            <v>0</v>
          </cell>
          <cell r="BN71">
            <v>0</v>
          </cell>
          <cell r="BO71">
            <v>1</v>
          </cell>
          <cell r="BP71">
            <v>0</v>
          </cell>
          <cell r="BQ71">
            <v>0</v>
          </cell>
          <cell r="BR71">
            <v>0</v>
          </cell>
          <cell r="BS71">
            <v>0</v>
          </cell>
          <cell r="BT71">
            <v>2</v>
          </cell>
          <cell r="BU71">
            <v>0</v>
          </cell>
        </row>
        <row r="72">
          <cell r="A72">
            <v>59</v>
          </cell>
          <cell r="B72">
            <v>58.309999999999945</v>
          </cell>
          <cell r="D72">
            <v>0</v>
          </cell>
          <cell r="F72">
            <v>1</v>
          </cell>
          <cell r="G72">
            <v>0</v>
          </cell>
          <cell r="I72">
            <v>0</v>
          </cell>
          <cell r="J72">
            <v>1</v>
          </cell>
          <cell r="K72">
            <v>1</v>
          </cell>
          <cell r="L72">
            <v>1</v>
          </cell>
          <cell r="M72">
            <v>1</v>
          </cell>
          <cell r="O72">
            <v>1</v>
          </cell>
          <cell r="P72">
            <v>0</v>
          </cell>
          <cell r="Q72">
            <v>0</v>
          </cell>
          <cell r="R72">
            <v>0</v>
          </cell>
          <cell r="S72">
            <v>0</v>
          </cell>
          <cell r="T72">
            <v>1</v>
          </cell>
          <cell r="V72">
            <v>1</v>
          </cell>
          <cell r="W72">
            <v>57</v>
          </cell>
          <cell r="X72">
            <v>2</v>
          </cell>
          <cell r="Y72">
            <v>2</v>
          </cell>
          <cell r="AA72">
            <v>0</v>
          </cell>
          <cell r="AB72">
            <v>1</v>
          </cell>
          <cell r="AC72">
            <v>0</v>
          </cell>
          <cell r="AD72">
            <v>0</v>
          </cell>
          <cell r="AE72">
            <v>0</v>
          </cell>
          <cell r="AF72">
            <v>0</v>
          </cell>
          <cell r="AG72">
            <v>0</v>
          </cell>
          <cell r="AH72">
            <v>0</v>
          </cell>
          <cell r="AI72">
            <v>3</v>
          </cell>
          <cell r="AK72">
            <v>1</v>
          </cell>
          <cell r="AL72">
            <v>0</v>
          </cell>
          <cell r="AN72">
            <v>5473</v>
          </cell>
          <cell r="AO72">
            <v>7</v>
          </cell>
          <cell r="AQ72">
            <v>0</v>
          </cell>
          <cell r="AR72">
            <v>11</v>
          </cell>
          <cell r="AS72">
            <v>3</v>
          </cell>
          <cell r="AT72">
            <v>4</v>
          </cell>
          <cell r="AU72">
            <v>0</v>
          </cell>
          <cell r="AV72">
            <v>20</v>
          </cell>
          <cell r="AW72">
            <v>20</v>
          </cell>
          <cell r="AX72">
            <v>2</v>
          </cell>
          <cell r="AY72">
            <v>2</v>
          </cell>
          <cell r="AZ72">
            <v>4</v>
          </cell>
          <cell r="BA72">
            <v>4</v>
          </cell>
          <cell r="BB72">
            <v>3</v>
          </cell>
          <cell r="BC72">
            <v>1</v>
          </cell>
          <cell r="BD72">
            <v>1</v>
          </cell>
          <cell r="BE72">
            <v>3</v>
          </cell>
          <cell r="BF72">
            <v>3</v>
          </cell>
          <cell r="BG72">
            <v>6</v>
          </cell>
          <cell r="BH72">
            <v>0</v>
          </cell>
          <cell r="BI72">
            <v>0</v>
          </cell>
          <cell r="BJ72">
            <v>1</v>
          </cell>
          <cell r="BK72">
            <v>0</v>
          </cell>
          <cell r="BL72">
            <v>1</v>
          </cell>
          <cell r="BM72">
            <v>0</v>
          </cell>
          <cell r="BN72">
            <v>0</v>
          </cell>
          <cell r="BO72">
            <v>0</v>
          </cell>
          <cell r="BP72">
            <v>0</v>
          </cell>
          <cell r="BQ72">
            <v>0</v>
          </cell>
          <cell r="BR72">
            <v>3</v>
          </cell>
          <cell r="BS72">
            <v>0</v>
          </cell>
          <cell r="BT72">
            <v>0</v>
          </cell>
          <cell r="BU72">
            <v>20</v>
          </cell>
        </row>
        <row r="73">
          <cell r="A73">
            <v>29</v>
          </cell>
          <cell r="B73">
            <v>29</v>
          </cell>
          <cell r="D73">
            <v>0</v>
          </cell>
          <cell r="F73">
            <v>0</v>
          </cell>
          <cell r="G73">
            <v>1</v>
          </cell>
          <cell r="I73">
            <v>1</v>
          </cell>
          <cell r="J73">
            <v>0</v>
          </cell>
          <cell r="K73">
            <v>2</v>
          </cell>
          <cell r="L73">
            <v>2</v>
          </cell>
          <cell r="M73">
            <v>3</v>
          </cell>
          <cell r="O73">
            <v>1</v>
          </cell>
          <cell r="P73">
            <v>0</v>
          </cell>
          <cell r="Q73">
            <v>0</v>
          </cell>
          <cell r="R73">
            <v>0</v>
          </cell>
          <cell r="S73">
            <v>0</v>
          </cell>
          <cell r="T73">
            <v>3</v>
          </cell>
          <cell r="V73">
            <v>0</v>
          </cell>
          <cell r="W73">
            <v>76</v>
          </cell>
          <cell r="X73">
            <v>3</v>
          </cell>
          <cell r="Y73">
            <v>1</v>
          </cell>
          <cell r="AA73">
            <v>0</v>
          </cell>
          <cell r="AB73">
            <v>0</v>
          </cell>
          <cell r="AC73">
            <v>0</v>
          </cell>
          <cell r="AD73">
            <v>0</v>
          </cell>
          <cell r="AE73">
            <v>0</v>
          </cell>
          <cell r="AF73">
            <v>0</v>
          </cell>
          <cell r="AG73">
            <v>0</v>
          </cell>
          <cell r="AH73">
            <v>1</v>
          </cell>
          <cell r="AI73">
            <v>2</v>
          </cell>
          <cell r="AK73">
            <v>0</v>
          </cell>
          <cell r="AL73">
            <v>1</v>
          </cell>
          <cell r="AN73">
            <v>2703</v>
          </cell>
          <cell r="AO73">
            <v>0</v>
          </cell>
          <cell r="AQ73">
            <v>0</v>
          </cell>
          <cell r="AR73">
            <v>23</v>
          </cell>
          <cell r="AS73">
            <v>4</v>
          </cell>
          <cell r="AT73">
            <v>4</v>
          </cell>
          <cell r="AU73">
            <v>1</v>
          </cell>
          <cell r="AV73">
            <v>6</v>
          </cell>
          <cell r="AW73">
            <v>6</v>
          </cell>
          <cell r="AX73">
            <v>3</v>
          </cell>
          <cell r="AY73">
            <v>3</v>
          </cell>
          <cell r="AZ73">
            <v>5</v>
          </cell>
          <cell r="BA73">
            <v>5</v>
          </cell>
          <cell r="BB73">
            <v>4</v>
          </cell>
          <cell r="BC73">
            <v>0</v>
          </cell>
          <cell r="BD73">
            <v>0</v>
          </cell>
          <cell r="BE73">
            <v>4</v>
          </cell>
          <cell r="BF73">
            <v>4</v>
          </cell>
          <cell r="BG73">
            <v>4</v>
          </cell>
          <cell r="BH73">
            <v>0</v>
          </cell>
          <cell r="BI73">
            <v>1</v>
          </cell>
          <cell r="BJ73">
            <v>0</v>
          </cell>
          <cell r="BK73">
            <v>0</v>
          </cell>
          <cell r="BL73">
            <v>0</v>
          </cell>
          <cell r="BM73">
            <v>0</v>
          </cell>
          <cell r="BN73">
            <v>1</v>
          </cell>
          <cell r="BO73">
            <v>0</v>
          </cell>
          <cell r="BP73">
            <v>0</v>
          </cell>
          <cell r="BQ73">
            <v>4</v>
          </cell>
          <cell r="BR73">
            <v>0</v>
          </cell>
          <cell r="BS73">
            <v>0</v>
          </cell>
          <cell r="BT73">
            <v>6</v>
          </cell>
          <cell r="BU73">
            <v>0</v>
          </cell>
        </row>
        <row r="74">
          <cell r="A74">
            <v>31</v>
          </cell>
          <cell r="B74">
            <v>31</v>
          </cell>
          <cell r="D74">
            <v>0</v>
          </cell>
          <cell r="F74">
            <v>0</v>
          </cell>
          <cell r="G74">
            <v>1</v>
          </cell>
          <cell r="I74">
            <v>1</v>
          </cell>
          <cell r="J74">
            <v>0</v>
          </cell>
          <cell r="K74">
            <v>1</v>
          </cell>
          <cell r="L74">
            <v>1</v>
          </cell>
          <cell r="M74">
            <v>4</v>
          </cell>
          <cell r="O74">
            <v>0</v>
          </cell>
          <cell r="P74">
            <v>0</v>
          </cell>
          <cell r="Q74">
            <v>1</v>
          </cell>
          <cell r="R74">
            <v>0</v>
          </cell>
          <cell r="S74">
            <v>0</v>
          </cell>
          <cell r="T74">
            <v>3</v>
          </cell>
          <cell r="V74">
            <v>0</v>
          </cell>
          <cell r="W74">
            <v>87</v>
          </cell>
          <cell r="X74">
            <v>3</v>
          </cell>
          <cell r="Y74">
            <v>1</v>
          </cell>
          <cell r="AA74">
            <v>0</v>
          </cell>
          <cell r="AB74">
            <v>0</v>
          </cell>
          <cell r="AC74">
            <v>0</v>
          </cell>
          <cell r="AD74">
            <v>0</v>
          </cell>
          <cell r="AE74">
            <v>0</v>
          </cell>
          <cell r="AF74">
            <v>0</v>
          </cell>
          <cell r="AG74">
            <v>0</v>
          </cell>
          <cell r="AH74">
            <v>1</v>
          </cell>
          <cell r="AI74">
            <v>2</v>
          </cell>
          <cell r="AK74">
            <v>1</v>
          </cell>
          <cell r="AL74">
            <v>0</v>
          </cell>
          <cell r="AN74">
            <v>2501</v>
          </cell>
          <cell r="AO74">
            <v>1</v>
          </cell>
          <cell r="AQ74">
            <v>0</v>
          </cell>
          <cell r="AR74">
            <v>17</v>
          </cell>
          <cell r="AS74">
            <v>3</v>
          </cell>
          <cell r="AT74">
            <v>2</v>
          </cell>
          <cell r="AU74">
            <v>0</v>
          </cell>
          <cell r="AV74">
            <v>1</v>
          </cell>
          <cell r="AW74">
            <v>1</v>
          </cell>
          <cell r="AX74">
            <v>4</v>
          </cell>
          <cell r="AY74">
            <v>3</v>
          </cell>
          <cell r="AZ74">
            <v>1</v>
          </cell>
          <cell r="BA74">
            <v>1</v>
          </cell>
          <cell r="BB74">
            <v>1</v>
          </cell>
          <cell r="BC74">
            <v>1</v>
          </cell>
          <cell r="BD74">
            <v>1</v>
          </cell>
          <cell r="BE74">
            <v>0</v>
          </cell>
          <cell r="BF74">
            <v>0</v>
          </cell>
          <cell r="BG74">
            <v>0</v>
          </cell>
          <cell r="BH74">
            <v>1</v>
          </cell>
          <cell r="BI74">
            <v>0</v>
          </cell>
          <cell r="BJ74">
            <v>0</v>
          </cell>
          <cell r="BK74">
            <v>0</v>
          </cell>
          <cell r="BL74">
            <v>1</v>
          </cell>
          <cell r="BM74">
            <v>0</v>
          </cell>
          <cell r="BN74">
            <v>0</v>
          </cell>
          <cell r="BO74">
            <v>0</v>
          </cell>
          <cell r="BP74">
            <v>0</v>
          </cell>
          <cell r="BQ74">
            <v>0</v>
          </cell>
          <cell r="BR74">
            <v>0</v>
          </cell>
          <cell r="BS74">
            <v>0</v>
          </cell>
          <cell r="BT74">
            <v>1</v>
          </cell>
          <cell r="BU74">
            <v>0</v>
          </cell>
        </row>
        <row r="75">
          <cell r="A75">
            <v>32</v>
          </cell>
          <cell r="B75">
            <v>32</v>
          </cell>
          <cell r="D75">
            <v>0</v>
          </cell>
          <cell r="F75">
            <v>0</v>
          </cell>
          <cell r="G75">
            <v>1</v>
          </cell>
          <cell r="I75">
            <v>1</v>
          </cell>
          <cell r="J75">
            <v>0</v>
          </cell>
          <cell r="K75">
            <v>1</v>
          </cell>
          <cell r="L75">
            <v>1</v>
          </cell>
          <cell r="M75">
            <v>3</v>
          </cell>
          <cell r="O75">
            <v>1</v>
          </cell>
          <cell r="P75">
            <v>0</v>
          </cell>
          <cell r="Q75">
            <v>0</v>
          </cell>
          <cell r="R75">
            <v>0</v>
          </cell>
          <cell r="S75">
            <v>0</v>
          </cell>
          <cell r="T75">
            <v>2</v>
          </cell>
          <cell r="V75">
            <v>0</v>
          </cell>
          <cell r="W75">
            <v>66</v>
          </cell>
          <cell r="X75">
            <v>3</v>
          </cell>
          <cell r="Y75">
            <v>2</v>
          </cell>
          <cell r="AA75">
            <v>0</v>
          </cell>
          <cell r="AB75">
            <v>0</v>
          </cell>
          <cell r="AC75">
            <v>0</v>
          </cell>
          <cell r="AD75">
            <v>0</v>
          </cell>
          <cell r="AE75">
            <v>0</v>
          </cell>
          <cell r="AF75">
            <v>0</v>
          </cell>
          <cell r="AG75">
            <v>0</v>
          </cell>
          <cell r="AH75">
            <v>1</v>
          </cell>
          <cell r="AI75">
            <v>2</v>
          </cell>
          <cell r="AK75">
            <v>0</v>
          </cell>
          <cell r="AL75">
            <v>1</v>
          </cell>
          <cell r="AN75">
            <v>6220</v>
          </cell>
          <cell r="AO75">
            <v>1</v>
          </cell>
          <cell r="AQ75">
            <v>0</v>
          </cell>
          <cell r="AR75">
            <v>17</v>
          </cell>
          <cell r="AS75">
            <v>3</v>
          </cell>
          <cell r="AT75">
            <v>2</v>
          </cell>
          <cell r="AU75">
            <v>2</v>
          </cell>
          <cell r="AV75">
            <v>10</v>
          </cell>
          <cell r="AW75">
            <v>10</v>
          </cell>
          <cell r="AX75">
            <v>3</v>
          </cell>
          <cell r="AY75">
            <v>3</v>
          </cell>
          <cell r="AZ75">
            <v>10</v>
          </cell>
          <cell r="BA75">
            <v>10</v>
          </cell>
          <cell r="BB75">
            <v>4</v>
          </cell>
          <cell r="BC75">
            <v>0</v>
          </cell>
          <cell r="BD75">
            <v>0</v>
          </cell>
          <cell r="BE75">
            <v>9</v>
          </cell>
          <cell r="BF75">
            <v>9</v>
          </cell>
          <cell r="BG75">
            <v>18</v>
          </cell>
          <cell r="BH75">
            <v>0</v>
          </cell>
          <cell r="BI75">
            <v>1</v>
          </cell>
          <cell r="BJ75">
            <v>0</v>
          </cell>
          <cell r="BK75">
            <v>0</v>
          </cell>
          <cell r="BL75">
            <v>0</v>
          </cell>
          <cell r="BM75">
            <v>0</v>
          </cell>
          <cell r="BN75">
            <v>1</v>
          </cell>
          <cell r="BO75">
            <v>0</v>
          </cell>
          <cell r="BP75">
            <v>0</v>
          </cell>
          <cell r="BQ75">
            <v>9</v>
          </cell>
          <cell r="BR75">
            <v>0</v>
          </cell>
          <cell r="BS75">
            <v>0</v>
          </cell>
          <cell r="BT75">
            <v>10</v>
          </cell>
          <cell r="BU75">
            <v>0</v>
          </cell>
        </row>
        <row r="76">
          <cell r="A76">
            <v>36</v>
          </cell>
          <cell r="B76">
            <v>36</v>
          </cell>
          <cell r="D76">
            <v>0</v>
          </cell>
          <cell r="F76">
            <v>0</v>
          </cell>
          <cell r="G76">
            <v>1</v>
          </cell>
          <cell r="I76">
            <v>1</v>
          </cell>
          <cell r="J76">
            <v>0</v>
          </cell>
          <cell r="K76">
            <v>6</v>
          </cell>
          <cell r="L76">
            <v>6</v>
          </cell>
          <cell r="M76">
            <v>3</v>
          </cell>
          <cell r="O76">
            <v>1</v>
          </cell>
          <cell r="P76">
            <v>0</v>
          </cell>
          <cell r="Q76">
            <v>0</v>
          </cell>
          <cell r="R76">
            <v>0</v>
          </cell>
          <cell r="S76">
            <v>0</v>
          </cell>
          <cell r="T76">
            <v>2</v>
          </cell>
          <cell r="V76">
            <v>1</v>
          </cell>
          <cell r="W76">
            <v>55</v>
          </cell>
          <cell r="X76">
            <v>4</v>
          </cell>
          <cell r="Y76">
            <v>1</v>
          </cell>
          <cell r="AA76">
            <v>0</v>
          </cell>
          <cell r="AB76">
            <v>0</v>
          </cell>
          <cell r="AC76">
            <v>1</v>
          </cell>
          <cell r="AD76">
            <v>0</v>
          </cell>
          <cell r="AE76">
            <v>0</v>
          </cell>
          <cell r="AF76">
            <v>0</v>
          </cell>
          <cell r="AG76">
            <v>0</v>
          </cell>
          <cell r="AH76">
            <v>0</v>
          </cell>
          <cell r="AI76">
            <v>4</v>
          </cell>
          <cell r="AK76">
            <v>0</v>
          </cell>
          <cell r="AL76">
            <v>1</v>
          </cell>
          <cell r="AN76">
            <v>3038</v>
          </cell>
          <cell r="AO76">
            <v>3</v>
          </cell>
          <cell r="AQ76">
            <v>0</v>
          </cell>
          <cell r="AR76">
            <v>12</v>
          </cell>
          <cell r="AS76">
            <v>3</v>
          </cell>
          <cell r="AT76">
            <v>2</v>
          </cell>
          <cell r="AU76">
            <v>0</v>
          </cell>
          <cell r="AV76">
            <v>5</v>
          </cell>
          <cell r="AW76">
            <v>5</v>
          </cell>
          <cell r="AX76">
            <v>3</v>
          </cell>
          <cell r="AY76">
            <v>3</v>
          </cell>
          <cell r="AZ76">
            <v>1</v>
          </cell>
          <cell r="BA76">
            <v>1</v>
          </cell>
          <cell r="BB76">
            <v>0</v>
          </cell>
          <cell r="BC76">
            <v>0</v>
          </cell>
          <cell r="BD76">
            <v>0</v>
          </cell>
          <cell r="BE76">
            <v>0</v>
          </cell>
          <cell r="BF76">
            <v>0</v>
          </cell>
          <cell r="BG76">
            <v>0</v>
          </cell>
          <cell r="BH76">
            <v>0</v>
          </cell>
          <cell r="BI76">
            <v>1</v>
          </cell>
          <cell r="BJ76">
            <v>0</v>
          </cell>
          <cell r="BK76">
            <v>0</v>
          </cell>
          <cell r="BL76">
            <v>0</v>
          </cell>
          <cell r="BM76">
            <v>0</v>
          </cell>
          <cell r="BN76">
            <v>1</v>
          </cell>
          <cell r="BO76">
            <v>0</v>
          </cell>
          <cell r="BP76">
            <v>0</v>
          </cell>
          <cell r="BQ76">
            <v>0</v>
          </cell>
          <cell r="BR76">
            <v>0</v>
          </cell>
          <cell r="BS76">
            <v>0</v>
          </cell>
          <cell r="BT76">
            <v>5</v>
          </cell>
          <cell r="BU76">
            <v>0</v>
          </cell>
        </row>
        <row r="77">
          <cell r="A77">
            <v>31</v>
          </cell>
          <cell r="B77">
            <v>31</v>
          </cell>
          <cell r="D77">
            <v>0</v>
          </cell>
          <cell r="F77">
            <v>0</v>
          </cell>
          <cell r="G77">
            <v>1</v>
          </cell>
          <cell r="I77">
            <v>1</v>
          </cell>
          <cell r="J77">
            <v>0</v>
          </cell>
          <cell r="K77">
            <v>8</v>
          </cell>
          <cell r="L77">
            <v>8</v>
          </cell>
          <cell r="M77">
            <v>4</v>
          </cell>
          <cell r="O77">
            <v>1</v>
          </cell>
          <cell r="P77">
            <v>0</v>
          </cell>
          <cell r="Q77">
            <v>0</v>
          </cell>
          <cell r="R77">
            <v>0</v>
          </cell>
          <cell r="S77">
            <v>0</v>
          </cell>
          <cell r="T77">
            <v>3</v>
          </cell>
          <cell r="V77">
            <v>1</v>
          </cell>
          <cell r="W77">
            <v>61</v>
          </cell>
          <cell r="X77">
            <v>3</v>
          </cell>
          <cell r="Y77">
            <v>2</v>
          </cell>
          <cell r="AA77">
            <v>0</v>
          </cell>
          <cell r="AB77">
            <v>0</v>
          </cell>
          <cell r="AC77">
            <v>0</v>
          </cell>
          <cell r="AD77">
            <v>0</v>
          </cell>
          <cell r="AE77">
            <v>1</v>
          </cell>
          <cell r="AF77">
            <v>1</v>
          </cell>
          <cell r="AG77">
            <v>0</v>
          </cell>
          <cell r="AH77">
            <v>0</v>
          </cell>
          <cell r="AI77">
            <v>4</v>
          </cell>
          <cell r="AK77">
            <v>1</v>
          </cell>
          <cell r="AL77">
            <v>0</v>
          </cell>
          <cell r="AN77">
            <v>4424</v>
          </cell>
          <cell r="AO77">
            <v>1</v>
          </cell>
          <cell r="AQ77">
            <v>0</v>
          </cell>
          <cell r="AR77">
            <v>23</v>
          </cell>
          <cell r="AS77">
            <v>4</v>
          </cell>
          <cell r="AT77">
            <v>4</v>
          </cell>
          <cell r="AU77">
            <v>0</v>
          </cell>
          <cell r="AV77">
            <v>11</v>
          </cell>
          <cell r="AW77">
            <v>11</v>
          </cell>
          <cell r="AX77">
            <v>2</v>
          </cell>
          <cell r="AY77">
            <v>3</v>
          </cell>
          <cell r="AZ77">
            <v>11</v>
          </cell>
          <cell r="BA77">
            <v>11</v>
          </cell>
          <cell r="BB77">
            <v>7</v>
          </cell>
          <cell r="BC77">
            <v>1</v>
          </cell>
          <cell r="BD77">
            <v>1</v>
          </cell>
          <cell r="BE77">
            <v>8</v>
          </cell>
          <cell r="BF77">
            <v>8</v>
          </cell>
          <cell r="BG77">
            <v>16</v>
          </cell>
          <cell r="BH77">
            <v>1</v>
          </cell>
          <cell r="BI77">
            <v>0</v>
          </cell>
          <cell r="BJ77">
            <v>0</v>
          </cell>
          <cell r="BK77">
            <v>0</v>
          </cell>
          <cell r="BL77">
            <v>1</v>
          </cell>
          <cell r="BM77">
            <v>0</v>
          </cell>
          <cell r="BN77">
            <v>0</v>
          </cell>
          <cell r="BO77">
            <v>0</v>
          </cell>
          <cell r="BP77">
            <v>0</v>
          </cell>
          <cell r="BQ77">
            <v>8</v>
          </cell>
          <cell r="BR77">
            <v>0</v>
          </cell>
          <cell r="BS77">
            <v>0</v>
          </cell>
          <cell r="BT77">
            <v>11</v>
          </cell>
          <cell r="BU77">
            <v>0</v>
          </cell>
        </row>
        <row r="78">
          <cell r="A78">
            <v>35</v>
          </cell>
          <cell r="B78">
            <v>35</v>
          </cell>
          <cell r="D78">
            <v>0</v>
          </cell>
          <cell r="F78">
            <v>0</v>
          </cell>
          <cell r="G78">
            <v>1</v>
          </cell>
          <cell r="I78">
            <v>0</v>
          </cell>
          <cell r="J78">
            <v>1</v>
          </cell>
          <cell r="K78">
            <v>1</v>
          </cell>
          <cell r="L78">
            <v>1</v>
          </cell>
          <cell r="M78">
            <v>4</v>
          </cell>
          <cell r="O78">
            <v>0</v>
          </cell>
          <cell r="P78">
            <v>0</v>
          </cell>
          <cell r="Q78">
            <v>0</v>
          </cell>
          <cell r="R78">
            <v>1</v>
          </cell>
          <cell r="S78">
            <v>0</v>
          </cell>
          <cell r="T78">
            <v>3</v>
          </cell>
          <cell r="V78">
            <v>0</v>
          </cell>
          <cell r="W78">
            <v>32</v>
          </cell>
          <cell r="X78">
            <v>2</v>
          </cell>
          <cell r="Y78">
            <v>2</v>
          </cell>
          <cell r="AA78">
            <v>0</v>
          </cell>
          <cell r="AB78">
            <v>1</v>
          </cell>
          <cell r="AC78">
            <v>0</v>
          </cell>
          <cell r="AD78">
            <v>0</v>
          </cell>
          <cell r="AE78">
            <v>0</v>
          </cell>
          <cell r="AF78">
            <v>0</v>
          </cell>
          <cell r="AG78">
            <v>0</v>
          </cell>
          <cell r="AH78">
            <v>0</v>
          </cell>
          <cell r="AI78">
            <v>1</v>
          </cell>
          <cell r="AK78">
            <v>1</v>
          </cell>
          <cell r="AL78">
            <v>0</v>
          </cell>
          <cell r="AN78">
            <v>4312</v>
          </cell>
          <cell r="AO78">
            <v>0</v>
          </cell>
          <cell r="AQ78">
            <v>0</v>
          </cell>
          <cell r="AR78">
            <v>14</v>
          </cell>
          <cell r="AS78">
            <v>3</v>
          </cell>
          <cell r="AT78">
            <v>2</v>
          </cell>
          <cell r="AU78">
            <v>0</v>
          </cell>
          <cell r="AV78">
            <v>16</v>
          </cell>
          <cell r="AW78">
            <v>16</v>
          </cell>
          <cell r="AX78">
            <v>2</v>
          </cell>
          <cell r="AY78">
            <v>3</v>
          </cell>
          <cell r="AZ78">
            <v>15</v>
          </cell>
          <cell r="BA78">
            <v>15</v>
          </cell>
          <cell r="BB78">
            <v>13</v>
          </cell>
          <cell r="BC78">
            <v>2</v>
          </cell>
          <cell r="BD78">
            <v>2</v>
          </cell>
          <cell r="BE78">
            <v>8</v>
          </cell>
          <cell r="BF78">
            <v>8</v>
          </cell>
          <cell r="BG78">
            <v>16</v>
          </cell>
          <cell r="BH78">
            <v>1</v>
          </cell>
          <cell r="BI78">
            <v>0</v>
          </cell>
          <cell r="BJ78">
            <v>0</v>
          </cell>
          <cell r="BK78">
            <v>0</v>
          </cell>
          <cell r="BL78">
            <v>1</v>
          </cell>
          <cell r="BM78">
            <v>0</v>
          </cell>
          <cell r="BN78">
            <v>0</v>
          </cell>
          <cell r="BO78">
            <v>0</v>
          </cell>
          <cell r="BP78">
            <v>0</v>
          </cell>
          <cell r="BQ78">
            <v>0</v>
          </cell>
          <cell r="BR78">
            <v>8</v>
          </cell>
          <cell r="BS78">
            <v>0</v>
          </cell>
          <cell r="BT78">
            <v>0</v>
          </cell>
          <cell r="BU78">
            <v>16</v>
          </cell>
        </row>
        <row r="79">
          <cell r="A79">
            <v>45</v>
          </cell>
          <cell r="B79">
            <v>45</v>
          </cell>
          <cell r="D79">
            <v>0</v>
          </cell>
          <cell r="F79">
            <v>0</v>
          </cell>
          <cell r="G79">
            <v>1</v>
          </cell>
          <cell r="I79">
            <v>1</v>
          </cell>
          <cell r="J79">
            <v>0</v>
          </cell>
          <cell r="K79">
            <v>6</v>
          </cell>
          <cell r="L79">
            <v>6</v>
          </cell>
          <cell r="M79">
            <v>4</v>
          </cell>
          <cell r="O79">
            <v>0</v>
          </cell>
          <cell r="P79">
            <v>1</v>
          </cell>
          <cell r="Q79">
            <v>0</v>
          </cell>
          <cell r="R79">
            <v>0</v>
          </cell>
          <cell r="S79">
            <v>0</v>
          </cell>
          <cell r="T79">
            <v>4</v>
          </cell>
          <cell r="V79">
            <v>0</v>
          </cell>
          <cell r="W79">
            <v>52</v>
          </cell>
          <cell r="X79">
            <v>3</v>
          </cell>
          <cell r="Y79">
            <v>3</v>
          </cell>
          <cell r="AA79">
            <v>0</v>
          </cell>
          <cell r="AB79">
            <v>0</v>
          </cell>
          <cell r="AC79">
            <v>0</v>
          </cell>
          <cell r="AD79">
            <v>0</v>
          </cell>
          <cell r="AE79">
            <v>0</v>
          </cell>
          <cell r="AF79">
            <v>0</v>
          </cell>
          <cell r="AG79">
            <v>0</v>
          </cell>
          <cell r="AH79">
            <v>0</v>
          </cell>
          <cell r="AI79">
            <v>1</v>
          </cell>
          <cell r="AK79">
            <v>0</v>
          </cell>
          <cell r="AL79">
            <v>1</v>
          </cell>
          <cell r="AN79">
            <v>13245</v>
          </cell>
          <cell r="AO79">
            <v>4</v>
          </cell>
          <cell r="AQ79">
            <v>1</v>
          </cell>
          <cell r="AR79">
            <v>14</v>
          </cell>
          <cell r="AS79">
            <v>3</v>
          </cell>
          <cell r="AT79">
            <v>2</v>
          </cell>
          <cell r="AU79">
            <v>0</v>
          </cell>
          <cell r="AV79">
            <v>17</v>
          </cell>
          <cell r="AW79">
            <v>17</v>
          </cell>
          <cell r="AX79">
            <v>3</v>
          </cell>
          <cell r="AY79">
            <v>4</v>
          </cell>
          <cell r="AZ79">
            <v>0</v>
          </cell>
          <cell r="BA79">
            <v>0</v>
          </cell>
          <cell r="BB79">
            <v>0</v>
          </cell>
          <cell r="BC79">
            <v>0</v>
          </cell>
          <cell r="BD79">
            <v>0</v>
          </cell>
          <cell r="BE79">
            <v>0</v>
          </cell>
          <cell r="BF79">
            <v>0</v>
          </cell>
          <cell r="BG79">
            <v>0</v>
          </cell>
          <cell r="BH79">
            <v>0</v>
          </cell>
          <cell r="BI79">
            <v>1</v>
          </cell>
          <cell r="BJ79">
            <v>0</v>
          </cell>
          <cell r="BK79">
            <v>0</v>
          </cell>
          <cell r="BL79">
            <v>0</v>
          </cell>
          <cell r="BM79">
            <v>0</v>
          </cell>
          <cell r="BN79">
            <v>0</v>
          </cell>
          <cell r="BO79">
            <v>1</v>
          </cell>
          <cell r="BP79">
            <v>0</v>
          </cell>
          <cell r="BQ79">
            <v>0</v>
          </cell>
          <cell r="BR79">
            <v>0</v>
          </cell>
          <cell r="BS79">
            <v>0</v>
          </cell>
          <cell r="BT79">
            <v>17</v>
          </cell>
          <cell r="BU79">
            <v>0</v>
          </cell>
        </row>
        <row r="80">
          <cell r="A80">
            <v>37</v>
          </cell>
          <cell r="B80">
            <v>37</v>
          </cell>
          <cell r="D80">
            <v>0</v>
          </cell>
          <cell r="F80">
            <v>0</v>
          </cell>
          <cell r="G80">
            <v>1</v>
          </cell>
          <cell r="I80">
            <v>1</v>
          </cell>
          <cell r="J80">
            <v>0</v>
          </cell>
          <cell r="K80">
            <v>7</v>
          </cell>
          <cell r="L80">
            <v>7</v>
          </cell>
          <cell r="M80">
            <v>4</v>
          </cell>
          <cell r="O80">
            <v>0</v>
          </cell>
          <cell r="P80">
            <v>0</v>
          </cell>
          <cell r="Q80">
            <v>1</v>
          </cell>
          <cell r="R80">
            <v>0</v>
          </cell>
          <cell r="S80">
            <v>0</v>
          </cell>
          <cell r="T80">
            <v>1</v>
          </cell>
          <cell r="V80">
            <v>0</v>
          </cell>
          <cell r="W80">
            <v>30</v>
          </cell>
          <cell r="X80">
            <v>3</v>
          </cell>
          <cell r="Y80">
            <v>3</v>
          </cell>
          <cell r="AA80">
            <v>0</v>
          </cell>
          <cell r="AB80">
            <v>0</v>
          </cell>
          <cell r="AC80">
            <v>0</v>
          </cell>
          <cell r="AD80">
            <v>0</v>
          </cell>
          <cell r="AE80">
            <v>0</v>
          </cell>
          <cell r="AF80">
            <v>0</v>
          </cell>
          <cell r="AG80">
            <v>0</v>
          </cell>
          <cell r="AH80">
            <v>0</v>
          </cell>
          <cell r="AI80">
            <v>3</v>
          </cell>
          <cell r="AK80">
            <v>1</v>
          </cell>
          <cell r="AL80">
            <v>0</v>
          </cell>
          <cell r="AN80">
            <v>13664</v>
          </cell>
          <cell r="AO80">
            <v>4</v>
          </cell>
          <cell r="AQ80">
            <v>0</v>
          </cell>
          <cell r="AR80">
            <v>13</v>
          </cell>
          <cell r="AS80">
            <v>3</v>
          </cell>
          <cell r="AT80">
            <v>1</v>
          </cell>
          <cell r="AU80">
            <v>0</v>
          </cell>
          <cell r="AV80">
            <v>16</v>
          </cell>
          <cell r="AW80">
            <v>16</v>
          </cell>
          <cell r="AX80">
            <v>3</v>
          </cell>
          <cell r="AY80">
            <v>4</v>
          </cell>
          <cell r="AZ80">
            <v>5</v>
          </cell>
          <cell r="BA80">
            <v>5</v>
          </cell>
          <cell r="BB80">
            <v>2</v>
          </cell>
          <cell r="BC80">
            <v>0</v>
          </cell>
          <cell r="BD80">
            <v>0</v>
          </cell>
          <cell r="BE80">
            <v>2</v>
          </cell>
          <cell r="BF80">
            <v>2</v>
          </cell>
          <cell r="BG80">
            <v>6</v>
          </cell>
          <cell r="BH80">
            <v>1</v>
          </cell>
          <cell r="BI80">
            <v>0</v>
          </cell>
          <cell r="BJ80">
            <v>0</v>
          </cell>
          <cell r="BK80">
            <v>0</v>
          </cell>
          <cell r="BL80">
            <v>1</v>
          </cell>
          <cell r="BM80">
            <v>0</v>
          </cell>
          <cell r="BN80">
            <v>0</v>
          </cell>
          <cell r="BO80">
            <v>0</v>
          </cell>
          <cell r="BP80">
            <v>0</v>
          </cell>
          <cell r="BQ80">
            <v>2</v>
          </cell>
          <cell r="BR80">
            <v>0</v>
          </cell>
          <cell r="BS80">
            <v>0</v>
          </cell>
          <cell r="BT80">
            <v>16</v>
          </cell>
          <cell r="BU80">
            <v>0</v>
          </cell>
        </row>
        <row r="81">
          <cell r="A81">
            <v>46</v>
          </cell>
          <cell r="B81">
            <v>46</v>
          </cell>
          <cell r="D81">
            <v>0</v>
          </cell>
          <cell r="F81">
            <v>0</v>
          </cell>
          <cell r="G81">
            <v>1</v>
          </cell>
          <cell r="I81">
            <v>0</v>
          </cell>
          <cell r="J81">
            <v>0</v>
          </cell>
          <cell r="K81">
            <v>5</v>
          </cell>
          <cell r="L81">
            <v>5</v>
          </cell>
          <cell r="M81">
            <v>2</v>
          </cell>
          <cell r="O81">
            <v>0</v>
          </cell>
          <cell r="P81">
            <v>0</v>
          </cell>
          <cell r="Q81">
            <v>1</v>
          </cell>
          <cell r="R81">
            <v>0</v>
          </cell>
          <cell r="S81">
            <v>0</v>
          </cell>
          <cell r="T81">
            <v>2</v>
          </cell>
          <cell r="V81">
            <v>0</v>
          </cell>
          <cell r="W81">
            <v>80</v>
          </cell>
          <cell r="X81">
            <v>3</v>
          </cell>
          <cell r="Y81">
            <v>2</v>
          </cell>
          <cell r="AA81">
            <v>0</v>
          </cell>
          <cell r="AB81">
            <v>0</v>
          </cell>
          <cell r="AC81">
            <v>0</v>
          </cell>
          <cell r="AD81">
            <v>0</v>
          </cell>
          <cell r="AE81">
            <v>0</v>
          </cell>
          <cell r="AF81">
            <v>0</v>
          </cell>
          <cell r="AG81">
            <v>0</v>
          </cell>
          <cell r="AH81">
            <v>0</v>
          </cell>
          <cell r="AI81">
            <v>2</v>
          </cell>
          <cell r="AK81">
            <v>0</v>
          </cell>
          <cell r="AL81">
            <v>0</v>
          </cell>
          <cell r="AN81">
            <v>5021</v>
          </cell>
          <cell r="AO81">
            <v>8</v>
          </cell>
          <cell r="AQ81">
            <v>1</v>
          </cell>
          <cell r="AR81">
            <v>22</v>
          </cell>
          <cell r="AS81">
            <v>4</v>
          </cell>
          <cell r="AT81">
            <v>4</v>
          </cell>
          <cell r="AU81">
            <v>1</v>
          </cell>
          <cell r="AV81">
            <v>16</v>
          </cell>
          <cell r="AW81">
            <v>16</v>
          </cell>
          <cell r="AX81">
            <v>2</v>
          </cell>
          <cell r="AY81">
            <v>3</v>
          </cell>
          <cell r="AZ81">
            <v>4</v>
          </cell>
          <cell r="BA81">
            <v>4</v>
          </cell>
          <cell r="BB81">
            <v>2</v>
          </cell>
          <cell r="BC81">
            <v>0</v>
          </cell>
          <cell r="BD81">
            <v>0</v>
          </cell>
          <cell r="BE81">
            <v>2</v>
          </cell>
          <cell r="BF81">
            <v>2</v>
          </cell>
          <cell r="BG81">
            <v>4</v>
          </cell>
          <cell r="BH81">
            <v>1</v>
          </cell>
          <cell r="BI81">
            <v>0</v>
          </cell>
          <cell r="BJ81">
            <v>0</v>
          </cell>
          <cell r="BK81">
            <v>0</v>
          </cell>
          <cell r="BL81">
            <v>0</v>
          </cell>
          <cell r="BM81">
            <v>1</v>
          </cell>
          <cell r="BN81">
            <v>0</v>
          </cell>
          <cell r="BO81">
            <v>0</v>
          </cell>
          <cell r="BP81">
            <v>2</v>
          </cell>
          <cell r="BQ81">
            <v>0</v>
          </cell>
          <cell r="BR81">
            <v>0</v>
          </cell>
          <cell r="BS81">
            <v>16</v>
          </cell>
          <cell r="BT81">
            <v>0</v>
          </cell>
          <cell r="BU81">
            <v>0</v>
          </cell>
        </row>
        <row r="82">
          <cell r="A82">
            <v>30</v>
          </cell>
          <cell r="B82">
            <v>30</v>
          </cell>
          <cell r="D82">
            <v>0</v>
          </cell>
          <cell r="F82">
            <v>0</v>
          </cell>
          <cell r="G82">
            <v>1</v>
          </cell>
          <cell r="I82">
            <v>1</v>
          </cell>
          <cell r="J82">
            <v>0</v>
          </cell>
          <cell r="K82">
            <v>1</v>
          </cell>
          <cell r="L82">
            <v>1</v>
          </cell>
          <cell r="M82">
            <v>1</v>
          </cell>
          <cell r="O82">
            <v>1</v>
          </cell>
          <cell r="P82">
            <v>0</v>
          </cell>
          <cell r="Q82">
            <v>0</v>
          </cell>
          <cell r="R82">
            <v>0</v>
          </cell>
          <cell r="S82">
            <v>0</v>
          </cell>
          <cell r="T82">
            <v>4</v>
          </cell>
          <cell r="V82">
            <v>0</v>
          </cell>
          <cell r="W82">
            <v>55</v>
          </cell>
          <cell r="X82">
            <v>2</v>
          </cell>
          <cell r="Y82">
            <v>2</v>
          </cell>
          <cell r="AA82">
            <v>0</v>
          </cell>
          <cell r="AB82">
            <v>0</v>
          </cell>
          <cell r="AC82">
            <v>1</v>
          </cell>
          <cell r="AD82">
            <v>0</v>
          </cell>
          <cell r="AE82">
            <v>0</v>
          </cell>
          <cell r="AF82">
            <v>0</v>
          </cell>
          <cell r="AG82">
            <v>0</v>
          </cell>
          <cell r="AH82">
            <v>0</v>
          </cell>
          <cell r="AI82">
            <v>4</v>
          </cell>
          <cell r="AK82">
            <v>0</v>
          </cell>
          <cell r="AL82">
            <v>1</v>
          </cell>
          <cell r="AN82">
            <v>5126</v>
          </cell>
          <cell r="AO82">
            <v>1</v>
          </cell>
          <cell r="AQ82">
            <v>1</v>
          </cell>
          <cell r="AR82">
            <v>12</v>
          </cell>
          <cell r="AS82">
            <v>3</v>
          </cell>
          <cell r="AT82">
            <v>3</v>
          </cell>
          <cell r="AU82">
            <v>2</v>
          </cell>
          <cell r="AV82">
            <v>10</v>
          </cell>
          <cell r="AW82">
            <v>10</v>
          </cell>
          <cell r="AX82">
            <v>1</v>
          </cell>
          <cell r="AY82">
            <v>2</v>
          </cell>
          <cell r="AZ82">
            <v>10</v>
          </cell>
          <cell r="BA82">
            <v>10</v>
          </cell>
          <cell r="BB82">
            <v>8</v>
          </cell>
          <cell r="BC82">
            <v>3</v>
          </cell>
          <cell r="BD82">
            <v>3</v>
          </cell>
          <cell r="BE82">
            <v>0</v>
          </cell>
          <cell r="BF82">
            <v>0</v>
          </cell>
          <cell r="BG82">
            <v>0</v>
          </cell>
          <cell r="BH82">
            <v>0</v>
          </cell>
          <cell r="BI82">
            <v>1</v>
          </cell>
          <cell r="BJ82">
            <v>0</v>
          </cell>
          <cell r="BK82">
            <v>0</v>
          </cell>
          <cell r="BL82">
            <v>0</v>
          </cell>
          <cell r="BM82">
            <v>0</v>
          </cell>
          <cell r="BN82">
            <v>0</v>
          </cell>
          <cell r="BO82">
            <v>1</v>
          </cell>
          <cell r="BP82">
            <v>0</v>
          </cell>
          <cell r="BQ82">
            <v>0</v>
          </cell>
          <cell r="BR82">
            <v>0</v>
          </cell>
          <cell r="BS82">
            <v>0</v>
          </cell>
          <cell r="BT82">
            <v>10</v>
          </cell>
          <cell r="BU82">
            <v>0</v>
          </cell>
        </row>
        <row r="83">
          <cell r="A83">
            <v>35</v>
          </cell>
          <cell r="B83">
            <v>35</v>
          </cell>
          <cell r="D83">
            <v>0</v>
          </cell>
          <cell r="F83">
            <v>0</v>
          </cell>
          <cell r="G83">
            <v>1</v>
          </cell>
          <cell r="I83">
            <v>1</v>
          </cell>
          <cell r="J83">
            <v>0</v>
          </cell>
          <cell r="K83">
            <v>1</v>
          </cell>
          <cell r="L83">
            <v>1</v>
          </cell>
          <cell r="M83">
            <v>3</v>
          </cell>
          <cell r="O83">
            <v>0</v>
          </cell>
          <cell r="P83">
            <v>0</v>
          </cell>
          <cell r="Q83">
            <v>1</v>
          </cell>
          <cell r="R83">
            <v>0</v>
          </cell>
          <cell r="S83">
            <v>0</v>
          </cell>
          <cell r="T83">
            <v>2</v>
          </cell>
          <cell r="V83">
            <v>0</v>
          </cell>
          <cell r="W83">
            <v>30</v>
          </cell>
          <cell r="X83">
            <v>2</v>
          </cell>
          <cell r="Y83">
            <v>1</v>
          </cell>
          <cell r="AA83">
            <v>0</v>
          </cell>
          <cell r="AB83">
            <v>0</v>
          </cell>
          <cell r="AC83">
            <v>0</v>
          </cell>
          <cell r="AD83">
            <v>0</v>
          </cell>
          <cell r="AE83">
            <v>0</v>
          </cell>
          <cell r="AF83">
            <v>0</v>
          </cell>
          <cell r="AG83">
            <v>0</v>
          </cell>
          <cell r="AH83">
            <v>1</v>
          </cell>
          <cell r="AI83">
            <v>3</v>
          </cell>
          <cell r="AK83">
            <v>1</v>
          </cell>
          <cell r="AL83">
            <v>0</v>
          </cell>
          <cell r="AN83">
            <v>2859</v>
          </cell>
          <cell r="AO83">
            <v>1</v>
          </cell>
          <cell r="AQ83">
            <v>0</v>
          </cell>
          <cell r="AR83">
            <v>18</v>
          </cell>
          <cell r="AS83">
            <v>3</v>
          </cell>
          <cell r="AT83">
            <v>1</v>
          </cell>
          <cell r="AU83">
            <v>0</v>
          </cell>
          <cell r="AV83">
            <v>6</v>
          </cell>
          <cell r="AW83">
            <v>6</v>
          </cell>
          <cell r="AX83">
            <v>3</v>
          </cell>
          <cell r="AY83">
            <v>3</v>
          </cell>
          <cell r="AZ83">
            <v>6</v>
          </cell>
          <cell r="BA83">
            <v>6</v>
          </cell>
          <cell r="BB83">
            <v>4</v>
          </cell>
          <cell r="BC83">
            <v>0</v>
          </cell>
          <cell r="BD83">
            <v>0</v>
          </cell>
          <cell r="BE83">
            <v>4</v>
          </cell>
          <cell r="BF83">
            <v>4</v>
          </cell>
          <cell r="BG83">
            <v>4</v>
          </cell>
          <cell r="BH83">
            <v>1</v>
          </cell>
          <cell r="BI83">
            <v>0</v>
          </cell>
          <cell r="BJ83">
            <v>0</v>
          </cell>
          <cell r="BK83">
            <v>0</v>
          </cell>
          <cell r="BL83">
            <v>1</v>
          </cell>
          <cell r="BM83">
            <v>0</v>
          </cell>
          <cell r="BN83">
            <v>0</v>
          </cell>
          <cell r="BO83">
            <v>0</v>
          </cell>
          <cell r="BP83">
            <v>0</v>
          </cell>
          <cell r="BQ83">
            <v>4</v>
          </cell>
          <cell r="BR83">
            <v>0</v>
          </cell>
          <cell r="BS83">
            <v>0</v>
          </cell>
          <cell r="BT83">
            <v>6</v>
          </cell>
          <cell r="BU83">
            <v>0</v>
          </cell>
        </row>
        <row r="84">
          <cell r="A84">
            <v>55</v>
          </cell>
          <cell r="B84">
            <v>55</v>
          </cell>
          <cell r="D84">
            <v>0</v>
          </cell>
          <cell r="F84">
            <v>0</v>
          </cell>
          <cell r="G84">
            <v>1</v>
          </cell>
          <cell r="I84">
            <v>0</v>
          </cell>
          <cell r="J84">
            <v>1</v>
          </cell>
          <cell r="K84">
            <v>1</v>
          </cell>
          <cell r="L84">
            <v>1</v>
          </cell>
          <cell r="M84">
            <v>2</v>
          </cell>
          <cell r="O84">
            <v>1</v>
          </cell>
          <cell r="P84">
            <v>0</v>
          </cell>
          <cell r="Q84">
            <v>0</v>
          </cell>
          <cell r="R84">
            <v>0</v>
          </cell>
          <cell r="S84">
            <v>0</v>
          </cell>
          <cell r="T84">
            <v>1</v>
          </cell>
          <cell r="V84">
            <v>0</v>
          </cell>
          <cell r="W84">
            <v>70</v>
          </cell>
          <cell r="X84">
            <v>3</v>
          </cell>
          <cell r="Y84">
            <v>3</v>
          </cell>
          <cell r="AA84">
            <v>0</v>
          </cell>
          <cell r="AB84">
            <v>1</v>
          </cell>
          <cell r="AC84">
            <v>0</v>
          </cell>
          <cell r="AD84">
            <v>0</v>
          </cell>
          <cell r="AE84">
            <v>0</v>
          </cell>
          <cell r="AF84">
            <v>0</v>
          </cell>
          <cell r="AG84">
            <v>0</v>
          </cell>
          <cell r="AH84">
            <v>0</v>
          </cell>
          <cell r="AI84">
            <v>4</v>
          </cell>
          <cell r="AK84">
            <v>0</v>
          </cell>
          <cell r="AL84">
            <v>1</v>
          </cell>
          <cell r="AN84">
            <v>10239</v>
          </cell>
          <cell r="AO84">
            <v>3</v>
          </cell>
          <cell r="AQ84">
            <v>0</v>
          </cell>
          <cell r="AR84">
            <v>14</v>
          </cell>
          <cell r="AS84">
            <v>3</v>
          </cell>
          <cell r="AT84">
            <v>4</v>
          </cell>
          <cell r="AU84">
            <v>1</v>
          </cell>
          <cell r="AV84">
            <v>24</v>
          </cell>
          <cell r="AW84">
            <v>24</v>
          </cell>
          <cell r="AX84">
            <v>4</v>
          </cell>
          <cell r="AY84">
            <v>3</v>
          </cell>
          <cell r="AZ84">
            <v>1</v>
          </cell>
          <cell r="BA84">
            <v>1</v>
          </cell>
          <cell r="BB84">
            <v>0</v>
          </cell>
          <cell r="BC84">
            <v>1</v>
          </cell>
          <cell r="BD84">
            <v>1</v>
          </cell>
          <cell r="BE84">
            <v>0</v>
          </cell>
          <cell r="BF84">
            <v>0</v>
          </cell>
          <cell r="BG84">
            <v>0</v>
          </cell>
          <cell r="BH84">
            <v>0</v>
          </cell>
          <cell r="BI84">
            <v>1</v>
          </cell>
          <cell r="BJ84">
            <v>0</v>
          </cell>
          <cell r="BK84">
            <v>0</v>
          </cell>
          <cell r="BL84">
            <v>0</v>
          </cell>
          <cell r="BM84">
            <v>0</v>
          </cell>
          <cell r="BN84">
            <v>1</v>
          </cell>
          <cell r="BO84">
            <v>0</v>
          </cell>
          <cell r="BP84">
            <v>0</v>
          </cell>
          <cell r="BQ84">
            <v>0</v>
          </cell>
          <cell r="BR84">
            <v>0</v>
          </cell>
          <cell r="BS84">
            <v>0</v>
          </cell>
          <cell r="BT84">
            <v>0</v>
          </cell>
          <cell r="BU84">
            <v>24</v>
          </cell>
        </row>
        <row r="85">
          <cell r="A85">
            <v>38</v>
          </cell>
          <cell r="B85">
            <v>38</v>
          </cell>
          <cell r="D85">
            <v>0</v>
          </cell>
          <cell r="F85">
            <v>0</v>
          </cell>
          <cell r="G85">
            <v>0</v>
          </cell>
          <cell r="I85">
            <v>1</v>
          </cell>
          <cell r="J85">
            <v>0</v>
          </cell>
          <cell r="K85">
            <v>6</v>
          </cell>
          <cell r="L85">
            <v>6</v>
          </cell>
          <cell r="M85">
            <v>3</v>
          </cell>
          <cell r="O85">
            <v>0</v>
          </cell>
          <cell r="P85">
            <v>0</v>
          </cell>
          <cell r="Q85">
            <v>1</v>
          </cell>
          <cell r="R85">
            <v>0</v>
          </cell>
          <cell r="S85">
            <v>0</v>
          </cell>
          <cell r="T85">
            <v>2</v>
          </cell>
          <cell r="V85">
            <v>1</v>
          </cell>
          <cell r="W85">
            <v>79</v>
          </cell>
          <cell r="X85">
            <v>1</v>
          </cell>
          <cell r="Y85">
            <v>2</v>
          </cell>
          <cell r="AA85">
            <v>0</v>
          </cell>
          <cell r="AB85">
            <v>0</v>
          </cell>
          <cell r="AC85">
            <v>0</v>
          </cell>
          <cell r="AD85">
            <v>0</v>
          </cell>
          <cell r="AE85">
            <v>0</v>
          </cell>
          <cell r="AF85">
            <v>0</v>
          </cell>
          <cell r="AG85">
            <v>0</v>
          </cell>
          <cell r="AH85">
            <v>1</v>
          </cell>
          <cell r="AI85">
            <v>4</v>
          </cell>
          <cell r="AK85">
            <v>0</v>
          </cell>
          <cell r="AL85">
            <v>0</v>
          </cell>
          <cell r="AN85">
            <v>5329</v>
          </cell>
          <cell r="AO85">
            <v>7</v>
          </cell>
          <cell r="AQ85">
            <v>1</v>
          </cell>
          <cell r="AR85">
            <v>12</v>
          </cell>
          <cell r="AS85">
            <v>3</v>
          </cell>
          <cell r="AT85">
            <v>4</v>
          </cell>
          <cell r="AU85">
            <v>3</v>
          </cell>
          <cell r="AV85">
            <v>17</v>
          </cell>
          <cell r="AW85">
            <v>17</v>
          </cell>
          <cell r="AX85">
            <v>3</v>
          </cell>
          <cell r="AY85">
            <v>3</v>
          </cell>
          <cell r="AZ85">
            <v>13</v>
          </cell>
          <cell r="BA85">
            <v>13</v>
          </cell>
          <cell r="BB85">
            <v>11</v>
          </cell>
          <cell r="BC85">
            <v>1</v>
          </cell>
          <cell r="BD85">
            <v>1</v>
          </cell>
          <cell r="BE85">
            <v>9</v>
          </cell>
          <cell r="BF85">
            <v>9</v>
          </cell>
          <cell r="BG85">
            <v>18</v>
          </cell>
          <cell r="BH85">
            <v>1</v>
          </cell>
          <cell r="BI85">
            <v>0</v>
          </cell>
          <cell r="BJ85">
            <v>0</v>
          </cell>
          <cell r="BK85">
            <v>0</v>
          </cell>
          <cell r="BL85">
            <v>0</v>
          </cell>
          <cell r="BM85">
            <v>1</v>
          </cell>
          <cell r="BN85">
            <v>0</v>
          </cell>
          <cell r="BO85">
            <v>0</v>
          </cell>
          <cell r="BP85">
            <v>0</v>
          </cell>
          <cell r="BQ85">
            <v>9</v>
          </cell>
          <cell r="BR85">
            <v>0</v>
          </cell>
          <cell r="BS85">
            <v>0</v>
          </cell>
          <cell r="BT85">
            <v>17</v>
          </cell>
          <cell r="BU85">
            <v>0</v>
          </cell>
        </row>
        <row r="86">
          <cell r="A86">
            <v>34</v>
          </cell>
          <cell r="B86">
            <v>34</v>
          </cell>
          <cell r="D86">
            <v>0</v>
          </cell>
          <cell r="F86">
            <v>0</v>
          </cell>
          <cell r="G86">
            <v>1</v>
          </cell>
          <cell r="I86">
            <v>1</v>
          </cell>
          <cell r="J86">
            <v>0</v>
          </cell>
          <cell r="K86">
            <v>1</v>
          </cell>
          <cell r="L86">
            <v>1</v>
          </cell>
          <cell r="M86">
            <v>2</v>
          </cell>
          <cell r="O86">
            <v>0</v>
          </cell>
          <cell r="P86">
            <v>0</v>
          </cell>
          <cell r="Q86">
            <v>1</v>
          </cell>
          <cell r="R86">
            <v>0</v>
          </cell>
          <cell r="S86">
            <v>0</v>
          </cell>
          <cell r="T86">
            <v>1</v>
          </cell>
          <cell r="V86">
            <v>0</v>
          </cell>
          <cell r="W86">
            <v>94</v>
          </cell>
          <cell r="X86">
            <v>3</v>
          </cell>
          <cell r="Y86">
            <v>2</v>
          </cell>
          <cell r="AA86">
            <v>0</v>
          </cell>
          <cell r="AB86">
            <v>0</v>
          </cell>
          <cell r="AC86">
            <v>0</v>
          </cell>
          <cell r="AD86">
            <v>0</v>
          </cell>
          <cell r="AE86">
            <v>1</v>
          </cell>
          <cell r="AF86">
            <v>1</v>
          </cell>
          <cell r="AG86">
            <v>0</v>
          </cell>
          <cell r="AH86">
            <v>0</v>
          </cell>
          <cell r="AI86">
            <v>2</v>
          </cell>
          <cell r="AK86">
            <v>0</v>
          </cell>
          <cell r="AL86">
            <v>1</v>
          </cell>
          <cell r="AN86">
            <v>4325</v>
          </cell>
          <cell r="AO86">
            <v>1</v>
          </cell>
          <cell r="AQ86">
            <v>0</v>
          </cell>
          <cell r="AR86">
            <v>15</v>
          </cell>
          <cell r="AS86">
            <v>3</v>
          </cell>
          <cell r="AT86">
            <v>3</v>
          </cell>
          <cell r="AU86">
            <v>0</v>
          </cell>
          <cell r="AV86">
            <v>5</v>
          </cell>
          <cell r="AW86">
            <v>5</v>
          </cell>
          <cell r="AX86">
            <v>2</v>
          </cell>
          <cell r="AY86">
            <v>3</v>
          </cell>
          <cell r="AZ86">
            <v>5</v>
          </cell>
          <cell r="BA86">
            <v>5</v>
          </cell>
          <cell r="BB86">
            <v>2</v>
          </cell>
          <cell r="BC86">
            <v>1</v>
          </cell>
          <cell r="BD86">
            <v>1</v>
          </cell>
          <cell r="BE86">
            <v>3</v>
          </cell>
          <cell r="BF86">
            <v>3</v>
          </cell>
          <cell r="BG86">
            <v>6</v>
          </cell>
          <cell r="BH86">
            <v>0</v>
          </cell>
          <cell r="BI86">
            <v>1</v>
          </cell>
          <cell r="BJ86">
            <v>0</v>
          </cell>
          <cell r="BK86">
            <v>0</v>
          </cell>
          <cell r="BL86">
            <v>0</v>
          </cell>
          <cell r="BM86">
            <v>0</v>
          </cell>
          <cell r="BN86">
            <v>1</v>
          </cell>
          <cell r="BO86">
            <v>0</v>
          </cell>
          <cell r="BP86">
            <v>0</v>
          </cell>
          <cell r="BQ86">
            <v>3</v>
          </cell>
          <cell r="BR86">
            <v>0</v>
          </cell>
          <cell r="BS86">
            <v>0</v>
          </cell>
          <cell r="BT86">
            <v>5</v>
          </cell>
          <cell r="BU86">
            <v>0</v>
          </cell>
        </row>
        <row r="87">
          <cell r="A87">
            <v>56</v>
          </cell>
          <cell r="B87">
            <v>56</v>
          </cell>
          <cell r="D87">
            <v>0</v>
          </cell>
          <cell r="F87">
            <v>0</v>
          </cell>
          <cell r="G87">
            <v>1</v>
          </cell>
          <cell r="I87">
            <v>1</v>
          </cell>
          <cell r="J87">
            <v>0</v>
          </cell>
          <cell r="K87">
            <v>7</v>
          </cell>
          <cell r="L87">
            <v>7</v>
          </cell>
          <cell r="M87">
            <v>3</v>
          </cell>
          <cell r="O87">
            <v>1</v>
          </cell>
          <cell r="P87">
            <v>0</v>
          </cell>
          <cell r="Q87">
            <v>0</v>
          </cell>
          <cell r="R87">
            <v>0</v>
          </cell>
          <cell r="S87">
            <v>0</v>
          </cell>
          <cell r="T87">
            <v>4</v>
          </cell>
          <cell r="V87">
            <v>0</v>
          </cell>
          <cell r="W87">
            <v>49</v>
          </cell>
          <cell r="X87">
            <v>1</v>
          </cell>
          <cell r="Y87">
            <v>3</v>
          </cell>
          <cell r="AA87">
            <v>0</v>
          </cell>
          <cell r="AB87">
            <v>0</v>
          </cell>
          <cell r="AC87">
            <v>0</v>
          </cell>
          <cell r="AD87">
            <v>0</v>
          </cell>
          <cell r="AE87">
            <v>1</v>
          </cell>
          <cell r="AF87">
            <v>1</v>
          </cell>
          <cell r="AG87">
            <v>0</v>
          </cell>
          <cell r="AH87">
            <v>0</v>
          </cell>
          <cell r="AI87">
            <v>4</v>
          </cell>
          <cell r="AK87">
            <v>1</v>
          </cell>
          <cell r="AL87">
            <v>0</v>
          </cell>
          <cell r="AN87">
            <v>7260</v>
          </cell>
          <cell r="AO87">
            <v>4</v>
          </cell>
          <cell r="AQ87">
            <v>0</v>
          </cell>
          <cell r="AR87">
            <v>11</v>
          </cell>
          <cell r="AS87">
            <v>3</v>
          </cell>
          <cell r="AT87">
            <v>1</v>
          </cell>
          <cell r="AU87">
            <v>0</v>
          </cell>
          <cell r="AV87">
            <v>37</v>
          </cell>
          <cell r="AW87">
            <v>35</v>
          </cell>
          <cell r="AX87">
            <v>3</v>
          </cell>
          <cell r="AY87">
            <v>2</v>
          </cell>
          <cell r="AZ87">
            <v>6</v>
          </cell>
          <cell r="BA87">
            <v>6</v>
          </cell>
          <cell r="BB87">
            <v>4</v>
          </cell>
          <cell r="BC87">
            <v>0</v>
          </cell>
          <cell r="BD87">
            <v>0</v>
          </cell>
          <cell r="BE87">
            <v>2</v>
          </cell>
          <cell r="BF87">
            <v>2</v>
          </cell>
          <cell r="BG87">
            <v>6</v>
          </cell>
          <cell r="BH87">
            <v>1</v>
          </cell>
          <cell r="BI87">
            <v>0</v>
          </cell>
          <cell r="BJ87">
            <v>0</v>
          </cell>
          <cell r="BK87">
            <v>0</v>
          </cell>
          <cell r="BL87">
            <v>1</v>
          </cell>
          <cell r="BM87">
            <v>0</v>
          </cell>
          <cell r="BN87">
            <v>0</v>
          </cell>
          <cell r="BO87">
            <v>0</v>
          </cell>
          <cell r="BP87">
            <v>0</v>
          </cell>
          <cell r="BQ87">
            <v>2</v>
          </cell>
          <cell r="BR87">
            <v>0</v>
          </cell>
          <cell r="BS87">
            <v>0</v>
          </cell>
          <cell r="BT87">
            <v>35</v>
          </cell>
          <cell r="BU87">
            <v>0</v>
          </cell>
        </row>
        <row r="88">
          <cell r="A88">
            <v>23</v>
          </cell>
          <cell r="B88">
            <v>23</v>
          </cell>
          <cell r="D88">
            <v>0</v>
          </cell>
          <cell r="F88">
            <v>0</v>
          </cell>
          <cell r="G88">
            <v>1</v>
          </cell>
          <cell r="I88">
            <v>0</v>
          </cell>
          <cell r="J88">
            <v>1</v>
          </cell>
          <cell r="K88">
            <v>2</v>
          </cell>
          <cell r="L88">
            <v>2</v>
          </cell>
          <cell r="M88">
            <v>1</v>
          </cell>
          <cell r="O88">
            <v>0</v>
          </cell>
          <cell r="P88">
            <v>0</v>
          </cell>
          <cell r="Q88">
            <v>0</v>
          </cell>
          <cell r="R88">
            <v>0</v>
          </cell>
          <cell r="S88">
            <v>1</v>
          </cell>
          <cell r="T88">
            <v>3</v>
          </cell>
          <cell r="V88">
            <v>0</v>
          </cell>
          <cell r="W88">
            <v>62</v>
          </cell>
          <cell r="X88">
            <v>3</v>
          </cell>
          <cell r="Y88">
            <v>1</v>
          </cell>
          <cell r="AA88">
            <v>0</v>
          </cell>
          <cell r="AB88">
            <v>0</v>
          </cell>
          <cell r="AC88">
            <v>0</v>
          </cell>
          <cell r="AD88">
            <v>0</v>
          </cell>
          <cell r="AE88">
            <v>0</v>
          </cell>
          <cell r="AF88">
            <v>0</v>
          </cell>
          <cell r="AG88">
            <v>1</v>
          </cell>
          <cell r="AH88">
            <v>0</v>
          </cell>
          <cell r="AI88">
            <v>1</v>
          </cell>
          <cell r="AK88">
            <v>0</v>
          </cell>
          <cell r="AL88">
            <v>0</v>
          </cell>
          <cell r="AN88">
            <v>2322</v>
          </cell>
          <cell r="AO88">
            <v>3</v>
          </cell>
          <cell r="AQ88">
            <v>0</v>
          </cell>
          <cell r="AR88">
            <v>13</v>
          </cell>
          <cell r="AS88">
            <v>3</v>
          </cell>
          <cell r="AT88">
            <v>3</v>
          </cell>
          <cell r="AU88">
            <v>1</v>
          </cell>
          <cell r="AV88">
            <v>3</v>
          </cell>
          <cell r="AW88">
            <v>3</v>
          </cell>
          <cell r="AX88">
            <v>3</v>
          </cell>
          <cell r="AY88">
            <v>3</v>
          </cell>
          <cell r="AZ88">
            <v>0</v>
          </cell>
          <cell r="BA88">
            <v>0</v>
          </cell>
          <cell r="BB88">
            <v>0</v>
          </cell>
          <cell r="BC88">
            <v>0</v>
          </cell>
          <cell r="BD88">
            <v>0</v>
          </cell>
          <cell r="BE88">
            <v>0</v>
          </cell>
          <cell r="BF88">
            <v>0</v>
          </cell>
          <cell r="BG88">
            <v>0</v>
          </cell>
          <cell r="BH88">
            <v>1</v>
          </cell>
          <cell r="BI88">
            <v>0</v>
          </cell>
          <cell r="BJ88">
            <v>0</v>
          </cell>
          <cell r="BK88">
            <v>0</v>
          </cell>
          <cell r="BL88">
            <v>1</v>
          </cell>
          <cell r="BM88">
            <v>0</v>
          </cell>
          <cell r="BN88">
            <v>0</v>
          </cell>
          <cell r="BO88">
            <v>0</v>
          </cell>
          <cell r="BP88">
            <v>0</v>
          </cell>
          <cell r="BQ88">
            <v>0</v>
          </cell>
          <cell r="BR88">
            <v>0</v>
          </cell>
          <cell r="BS88">
            <v>0</v>
          </cell>
          <cell r="BT88">
            <v>0</v>
          </cell>
          <cell r="BU88">
            <v>3</v>
          </cell>
        </row>
        <row r="89">
          <cell r="A89">
            <v>51</v>
          </cell>
          <cell r="B89">
            <v>51</v>
          </cell>
          <cell r="D89">
            <v>0</v>
          </cell>
          <cell r="F89">
            <v>0</v>
          </cell>
          <cell r="G89">
            <v>1</v>
          </cell>
          <cell r="I89">
            <v>1</v>
          </cell>
          <cell r="J89">
            <v>0</v>
          </cell>
          <cell r="K89">
            <v>9</v>
          </cell>
          <cell r="L89">
            <v>9</v>
          </cell>
          <cell r="M89">
            <v>4</v>
          </cell>
          <cell r="O89">
            <v>1</v>
          </cell>
          <cell r="P89">
            <v>0</v>
          </cell>
          <cell r="Q89">
            <v>0</v>
          </cell>
          <cell r="R89">
            <v>0</v>
          </cell>
          <cell r="S89">
            <v>0</v>
          </cell>
          <cell r="T89">
            <v>4</v>
          </cell>
          <cell r="V89">
            <v>0</v>
          </cell>
          <cell r="W89">
            <v>96</v>
          </cell>
          <cell r="X89">
            <v>3</v>
          </cell>
          <cell r="Y89">
            <v>1</v>
          </cell>
          <cell r="AA89">
            <v>0</v>
          </cell>
          <cell r="AB89">
            <v>0</v>
          </cell>
          <cell r="AC89">
            <v>1</v>
          </cell>
          <cell r="AD89">
            <v>0</v>
          </cell>
          <cell r="AE89">
            <v>0</v>
          </cell>
          <cell r="AF89">
            <v>0</v>
          </cell>
          <cell r="AG89">
            <v>0</v>
          </cell>
          <cell r="AH89">
            <v>0</v>
          </cell>
          <cell r="AI89">
            <v>4</v>
          </cell>
          <cell r="AK89">
            <v>0</v>
          </cell>
          <cell r="AL89">
            <v>1</v>
          </cell>
          <cell r="AN89">
            <v>2075</v>
          </cell>
          <cell r="AO89">
            <v>3</v>
          </cell>
          <cell r="AQ89">
            <v>0</v>
          </cell>
          <cell r="AR89">
            <v>23</v>
          </cell>
          <cell r="AS89">
            <v>4</v>
          </cell>
          <cell r="AT89">
            <v>2</v>
          </cell>
          <cell r="AU89">
            <v>2</v>
          </cell>
          <cell r="AV89">
            <v>10</v>
          </cell>
          <cell r="AW89">
            <v>10</v>
          </cell>
          <cell r="AX89">
            <v>4</v>
          </cell>
          <cell r="AY89">
            <v>3</v>
          </cell>
          <cell r="AZ89">
            <v>4</v>
          </cell>
          <cell r="BA89">
            <v>4</v>
          </cell>
          <cell r="BB89">
            <v>2</v>
          </cell>
          <cell r="BC89">
            <v>0</v>
          </cell>
          <cell r="BD89">
            <v>0</v>
          </cell>
          <cell r="BE89">
            <v>3</v>
          </cell>
          <cell r="BF89">
            <v>3</v>
          </cell>
          <cell r="BG89">
            <v>3</v>
          </cell>
          <cell r="BH89">
            <v>0</v>
          </cell>
          <cell r="BI89">
            <v>1</v>
          </cell>
          <cell r="BJ89">
            <v>0</v>
          </cell>
          <cell r="BK89">
            <v>0</v>
          </cell>
          <cell r="BL89">
            <v>0</v>
          </cell>
          <cell r="BM89">
            <v>0</v>
          </cell>
          <cell r="BN89">
            <v>1</v>
          </cell>
          <cell r="BO89">
            <v>0</v>
          </cell>
          <cell r="BP89">
            <v>0</v>
          </cell>
          <cell r="BQ89">
            <v>3</v>
          </cell>
          <cell r="BR89">
            <v>0</v>
          </cell>
          <cell r="BS89">
            <v>0</v>
          </cell>
          <cell r="BT89">
            <v>10</v>
          </cell>
          <cell r="BU89">
            <v>0</v>
          </cell>
        </row>
        <row r="90">
          <cell r="A90">
            <v>30</v>
          </cell>
          <cell r="B90">
            <v>30</v>
          </cell>
          <cell r="D90">
            <v>0</v>
          </cell>
          <cell r="F90">
            <v>0</v>
          </cell>
          <cell r="G90">
            <v>1</v>
          </cell>
          <cell r="I90">
            <v>1</v>
          </cell>
          <cell r="J90">
            <v>0</v>
          </cell>
          <cell r="K90">
            <v>2</v>
          </cell>
          <cell r="L90">
            <v>2</v>
          </cell>
          <cell r="M90">
            <v>3</v>
          </cell>
          <cell r="O90">
            <v>1</v>
          </cell>
          <cell r="P90">
            <v>0</v>
          </cell>
          <cell r="Q90">
            <v>0</v>
          </cell>
          <cell r="R90">
            <v>0</v>
          </cell>
          <cell r="S90">
            <v>0</v>
          </cell>
          <cell r="T90">
            <v>3</v>
          </cell>
          <cell r="V90">
            <v>0</v>
          </cell>
          <cell r="W90">
            <v>99</v>
          </cell>
          <cell r="X90">
            <v>2</v>
          </cell>
          <cell r="Y90">
            <v>2</v>
          </cell>
          <cell r="AA90">
            <v>1</v>
          </cell>
          <cell r="AB90">
            <v>0</v>
          </cell>
          <cell r="AC90">
            <v>0</v>
          </cell>
          <cell r="AD90">
            <v>0</v>
          </cell>
          <cell r="AE90">
            <v>0</v>
          </cell>
          <cell r="AF90">
            <v>0</v>
          </cell>
          <cell r="AG90">
            <v>0</v>
          </cell>
          <cell r="AH90">
            <v>0</v>
          </cell>
          <cell r="AI90">
            <v>4</v>
          </cell>
          <cell r="AK90">
            <v>0</v>
          </cell>
          <cell r="AL90">
            <v>1</v>
          </cell>
          <cell r="AN90">
            <v>4152</v>
          </cell>
          <cell r="AO90">
            <v>1</v>
          </cell>
          <cell r="AQ90">
            <v>0</v>
          </cell>
          <cell r="AR90">
            <v>19</v>
          </cell>
          <cell r="AS90">
            <v>3</v>
          </cell>
          <cell r="AT90">
            <v>1</v>
          </cell>
          <cell r="AU90">
            <v>3</v>
          </cell>
          <cell r="AV90">
            <v>11</v>
          </cell>
          <cell r="AW90">
            <v>11</v>
          </cell>
          <cell r="AX90">
            <v>3</v>
          </cell>
          <cell r="AY90">
            <v>3</v>
          </cell>
          <cell r="AZ90">
            <v>11</v>
          </cell>
          <cell r="BA90">
            <v>11</v>
          </cell>
          <cell r="BB90">
            <v>10</v>
          </cell>
          <cell r="BC90">
            <v>10</v>
          </cell>
          <cell r="BD90">
            <v>10</v>
          </cell>
          <cell r="BE90">
            <v>8</v>
          </cell>
          <cell r="BF90">
            <v>8</v>
          </cell>
          <cell r="BG90">
            <v>16</v>
          </cell>
          <cell r="BH90">
            <v>0</v>
          </cell>
          <cell r="BI90">
            <v>1</v>
          </cell>
          <cell r="BJ90">
            <v>0</v>
          </cell>
          <cell r="BK90">
            <v>0</v>
          </cell>
          <cell r="BL90">
            <v>0</v>
          </cell>
          <cell r="BM90">
            <v>0</v>
          </cell>
          <cell r="BN90">
            <v>1</v>
          </cell>
          <cell r="BO90">
            <v>0</v>
          </cell>
          <cell r="BP90">
            <v>0</v>
          </cell>
          <cell r="BQ90">
            <v>8</v>
          </cell>
          <cell r="BR90">
            <v>0</v>
          </cell>
          <cell r="BS90">
            <v>0</v>
          </cell>
          <cell r="BT90">
            <v>11</v>
          </cell>
          <cell r="BU90">
            <v>0</v>
          </cell>
        </row>
        <row r="91">
          <cell r="A91">
            <v>46</v>
          </cell>
          <cell r="B91">
            <v>46</v>
          </cell>
          <cell r="D91">
            <v>1</v>
          </cell>
          <cell r="F91">
            <v>0</v>
          </cell>
          <cell r="G91">
            <v>1</v>
          </cell>
          <cell r="I91">
            <v>0</v>
          </cell>
          <cell r="J91">
            <v>1</v>
          </cell>
          <cell r="K91">
            <v>9</v>
          </cell>
          <cell r="L91">
            <v>9</v>
          </cell>
          <cell r="M91">
            <v>2</v>
          </cell>
          <cell r="O91">
            <v>0</v>
          </cell>
          <cell r="P91">
            <v>0</v>
          </cell>
          <cell r="Q91">
            <v>1</v>
          </cell>
          <cell r="R91">
            <v>0</v>
          </cell>
          <cell r="S91">
            <v>0</v>
          </cell>
          <cell r="T91">
            <v>3</v>
          </cell>
          <cell r="V91">
            <v>0</v>
          </cell>
          <cell r="W91">
            <v>64</v>
          </cell>
          <cell r="X91">
            <v>2</v>
          </cell>
          <cell r="Y91">
            <v>3</v>
          </cell>
          <cell r="AA91">
            <v>0</v>
          </cell>
          <cell r="AB91">
            <v>1</v>
          </cell>
          <cell r="AC91">
            <v>0</v>
          </cell>
          <cell r="AD91">
            <v>0</v>
          </cell>
          <cell r="AE91">
            <v>0</v>
          </cell>
          <cell r="AF91">
            <v>0</v>
          </cell>
          <cell r="AG91">
            <v>0</v>
          </cell>
          <cell r="AH91">
            <v>0</v>
          </cell>
          <cell r="AI91">
            <v>4</v>
          </cell>
          <cell r="AK91">
            <v>1</v>
          </cell>
          <cell r="AL91">
            <v>0</v>
          </cell>
          <cell r="AN91">
            <v>9619</v>
          </cell>
          <cell r="AO91">
            <v>1</v>
          </cell>
          <cell r="AQ91">
            <v>0</v>
          </cell>
          <cell r="AR91">
            <v>16</v>
          </cell>
          <cell r="AS91">
            <v>3</v>
          </cell>
          <cell r="AT91">
            <v>4</v>
          </cell>
          <cell r="AU91">
            <v>0</v>
          </cell>
          <cell r="AV91">
            <v>9</v>
          </cell>
          <cell r="AW91">
            <v>9</v>
          </cell>
          <cell r="AX91">
            <v>3</v>
          </cell>
          <cell r="AY91">
            <v>3</v>
          </cell>
          <cell r="AZ91">
            <v>9</v>
          </cell>
          <cell r="BA91">
            <v>9</v>
          </cell>
          <cell r="BB91">
            <v>8</v>
          </cell>
          <cell r="BC91">
            <v>4</v>
          </cell>
          <cell r="BD91">
            <v>4</v>
          </cell>
          <cell r="BE91">
            <v>7</v>
          </cell>
          <cell r="BF91">
            <v>7</v>
          </cell>
          <cell r="BG91">
            <v>21</v>
          </cell>
          <cell r="BH91">
            <v>1</v>
          </cell>
          <cell r="BI91">
            <v>0</v>
          </cell>
          <cell r="BJ91">
            <v>0</v>
          </cell>
          <cell r="BK91">
            <v>0</v>
          </cell>
          <cell r="BL91">
            <v>1</v>
          </cell>
          <cell r="BM91">
            <v>0</v>
          </cell>
          <cell r="BN91">
            <v>0</v>
          </cell>
          <cell r="BO91">
            <v>0</v>
          </cell>
          <cell r="BP91">
            <v>0</v>
          </cell>
          <cell r="BQ91">
            <v>0</v>
          </cell>
          <cell r="BR91">
            <v>7</v>
          </cell>
          <cell r="BS91">
            <v>0</v>
          </cell>
          <cell r="BT91">
            <v>0</v>
          </cell>
          <cell r="BU91">
            <v>9</v>
          </cell>
        </row>
        <row r="92">
          <cell r="A92">
            <v>40</v>
          </cell>
          <cell r="B92">
            <v>40</v>
          </cell>
          <cell r="D92">
            <v>0</v>
          </cell>
          <cell r="F92">
            <v>1</v>
          </cell>
          <cell r="G92">
            <v>0</v>
          </cell>
          <cell r="I92">
            <v>1</v>
          </cell>
          <cell r="J92">
            <v>0</v>
          </cell>
          <cell r="K92">
            <v>1</v>
          </cell>
          <cell r="L92">
            <v>1</v>
          </cell>
          <cell r="M92">
            <v>4</v>
          </cell>
          <cell r="O92">
            <v>1</v>
          </cell>
          <cell r="P92">
            <v>0</v>
          </cell>
          <cell r="Q92">
            <v>0</v>
          </cell>
          <cell r="R92">
            <v>0</v>
          </cell>
          <cell r="S92">
            <v>0</v>
          </cell>
          <cell r="T92">
            <v>3</v>
          </cell>
          <cell r="V92">
            <v>0</v>
          </cell>
          <cell r="W92">
            <v>78</v>
          </cell>
          <cell r="X92">
            <v>2</v>
          </cell>
          <cell r="Y92">
            <v>4</v>
          </cell>
          <cell r="AA92">
            <v>1</v>
          </cell>
          <cell r="AB92">
            <v>0</v>
          </cell>
          <cell r="AC92">
            <v>0</v>
          </cell>
          <cell r="AD92">
            <v>0</v>
          </cell>
          <cell r="AE92">
            <v>0</v>
          </cell>
          <cell r="AF92">
            <v>0</v>
          </cell>
          <cell r="AG92">
            <v>0</v>
          </cell>
          <cell r="AH92">
            <v>0</v>
          </cell>
          <cell r="AI92">
            <v>2</v>
          </cell>
          <cell r="AK92">
            <v>0</v>
          </cell>
          <cell r="AL92">
            <v>1</v>
          </cell>
          <cell r="AN92">
            <v>13503</v>
          </cell>
          <cell r="AO92">
            <v>1</v>
          </cell>
          <cell r="AQ92">
            <v>0</v>
          </cell>
          <cell r="AR92">
            <v>22</v>
          </cell>
          <cell r="AS92">
            <v>4</v>
          </cell>
          <cell r="AT92">
            <v>4</v>
          </cell>
          <cell r="AU92">
            <v>1</v>
          </cell>
          <cell r="AV92">
            <v>22</v>
          </cell>
          <cell r="AW92">
            <v>22</v>
          </cell>
          <cell r="AX92">
            <v>3</v>
          </cell>
          <cell r="AY92">
            <v>2</v>
          </cell>
          <cell r="AZ92">
            <v>22</v>
          </cell>
          <cell r="BA92">
            <v>22</v>
          </cell>
          <cell r="BB92">
            <v>3</v>
          </cell>
          <cell r="BC92">
            <v>11</v>
          </cell>
          <cell r="BD92">
            <v>11</v>
          </cell>
          <cell r="BE92">
            <v>11</v>
          </cell>
          <cell r="BF92">
            <v>11</v>
          </cell>
          <cell r="BG92">
            <v>44</v>
          </cell>
          <cell r="BH92">
            <v>0</v>
          </cell>
          <cell r="BI92">
            <v>0</v>
          </cell>
          <cell r="BJ92">
            <v>0</v>
          </cell>
          <cell r="BK92">
            <v>1</v>
          </cell>
          <cell r="BL92">
            <v>0</v>
          </cell>
          <cell r="BM92">
            <v>0</v>
          </cell>
          <cell r="BN92">
            <v>1</v>
          </cell>
          <cell r="BO92">
            <v>0</v>
          </cell>
          <cell r="BP92">
            <v>0</v>
          </cell>
          <cell r="BQ92">
            <v>11</v>
          </cell>
          <cell r="BR92">
            <v>0</v>
          </cell>
          <cell r="BS92">
            <v>0</v>
          </cell>
          <cell r="BT92">
            <v>22</v>
          </cell>
          <cell r="BU92">
            <v>0</v>
          </cell>
        </row>
        <row r="93">
          <cell r="A93">
            <v>51</v>
          </cell>
          <cell r="B93">
            <v>51</v>
          </cell>
          <cell r="D93">
            <v>0</v>
          </cell>
          <cell r="F93">
            <v>0</v>
          </cell>
          <cell r="G93">
            <v>1</v>
          </cell>
          <cell r="I93">
            <v>0</v>
          </cell>
          <cell r="J93">
            <v>1</v>
          </cell>
          <cell r="K93">
            <v>21</v>
          </cell>
          <cell r="L93">
            <v>21</v>
          </cell>
          <cell r="M93">
            <v>4</v>
          </cell>
          <cell r="O93">
            <v>0</v>
          </cell>
          <cell r="P93">
            <v>0</v>
          </cell>
          <cell r="Q93">
            <v>0</v>
          </cell>
          <cell r="R93">
            <v>1</v>
          </cell>
          <cell r="S93">
            <v>0</v>
          </cell>
          <cell r="T93">
            <v>3</v>
          </cell>
          <cell r="V93">
            <v>0</v>
          </cell>
          <cell r="W93">
            <v>71</v>
          </cell>
          <cell r="X93">
            <v>3</v>
          </cell>
          <cell r="Y93">
            <v>2</v>
          </cell>
          <cell r="AA93">
            <v>0</v>
          </cell>
          <cell r="AB93">
            <v>1</v>
          </cell>
          <cell r="AC93">
            <v>0</v>
          </cell>
          <cell r="AD93">
            <v>0</v>
          </cell>
          <cell r="AE93">
            <v>0</v>
          </cell>
          <cell r="AF93">
            <v>0</v>
          </cell>
          <cell r="AG93">
            <v>0</v>
          </cell>
          <cell r="AH93">
            <v>0</v>
          </cell>
          <cell r="AI93">
            <v>4</v>
          </cell>
          <cell r="AK93">
            <v>1</v>
          </cell>
          <cell r="AL93">
            <v>0</v>
          </cell>
          <cell r="AN93">
            <v>5441</v>
          </cell>
          <cell r="AO93">
            <v>0</v>
          </cell>
          <cell r="AQ93">
            <v>1</v>
          </cell>
          <cell r="AR93">
            <v>22</v>
          </cell>
          <cell r="AS93">
            <v>4</v>
          </cell>
          <cell r="AT93">
            <v>4</v>
          </cell>
          <cell r="AU93">
            <v>0</v>
          </cell>
          <cell r="AV93">
            <v>11</v>
          </cell>
          <cell r="AW93">
            <v>11</v>
          </cell>
          <cell r="AX93">
            <v>2</v>
          </cell>
          <cell r="AY93">
            <v>1</v>
          </cell>
          <cell r="AZ93">
            <v>10</v>
          </cell>
          <cell r="BA93">
            <v>10</v>
          </cell>
          <cell r="BB93">
            <v>7</v>
          </cell>
          <cell r="BC93">
            <v>1</v>
          </cell>
          <cell r="BD93">
            <v>1</v>
          </cell>
          <cell r="BE93">
            <v>0</v>
          </cell>
          <cell r="BF93">
            <v>0</v>
          </cell>
          <cell r="BG93">
            <v>0</v>
          </cell>
          <cell r="BH93">
            <v>1</v>
          </cell>
          <cell r="BI93">
            <v>0</v>
          </cell>
          <cell r="BJ93">
            <v>0</v>
          </cell>
          <cell r="BK93">
            <v>0</v>
          </cell>
          <cell r="BL93">
            <v>0</v>
          </cell>
          <cell r="BM93">
            <v>1</v>
          </cell>
          <cell r="BN93">
            <v>0</v>
          </cell>
          <cell r="BO93">
            <v>0</v>
          </cell>
          <cell r="BP93">
            <v>0</v>
          </cell>
          <cell r="BQ93">
            <v>0</v>
          </cell>
          <cell r="BR93">
            <v>0</v>
          </cell>
          <cell r="BS93">
            <v>0</v>
          </cell>
          <cell r="BT93">
            <v>0</v>
          </cell>
          <cell r="BU93">
            <v>11</v>
          </cell>
        </row>
        <row r="94">
          <cell r="A94">
            <v>30</v>
          </cell>
          <cell r="B94">
            <v>30</v>
          </cell>
          <cell r="D94">
            <v>0</v>
          </cell>
          <cell r="F94">
            <v>0</v>
          </cell>
          <cell r="G94">
            <v>1</v>
          </cell>
          <cell r="I94">
            <v>0</v>
          </cell>
          <cell r="J94">
            <v>1</v>
          </cell>
          <cell r="K94">
            <v>4</v>
          </cell>
          <cell r="L94">
            <v>4</v>
          </cell>
          <cell r="M94">
            <v>2</v>
          </cell>
          <cell r="O94">
            <v>0</v>
          </cell>
          <cell r="P94">
            <v>0</v>
          </cell>
          <cell r="Q94">
            <v>1</v>
          </cell>
          <cell r="R94">
            <v>0</v>
          </cell>
          <cell r="S94">
            <v>0</v>
          </cell>
          <cell r="T94">
            <v>3</v>
          </cell>
          <cell r="V94">
            <v>1</v>
          </cell>
          <cell r="W94">
            <v>63</v>
          </cell>
          <cell r="X94">
            <v>2</v>
          </cell>
          <cell r="Y94">
            <v>2</v>
          </cell>
          <cell r="AA94">
            <v>0</v>
          </cell>
          <cell r="AB94">
            <v>1</v>
          </cell>
          <cell r="AC94">
            <v>0</v>
          </cell>
          <cell r="AD94">
            <v>0</v>
          </cell>
          <cell r="AE94">
            <v>0</v>
          </cell>
          <cell r="AF94">
            <v>0</v>
          </cell>
          <cell r="AG94">
            <v>0</v>
          </cell>
          <cell r="AH94">
            <v>0</v>
          </cell>
          <cell r="AI94">
            <v>2</v>
          </cell>
          <cell r="AK94">
            <v>0</v>
          </cell>
          <cell r="AL94">
            <v>0</v>
          </cell>
          <cell r="AN94">
            <v>5209</v>
          </cell>
          <cell r="AO94">
            <v>1</v>
          </cell>
          <cell r="AQ94">
            <v>1</v>
          </cell>
          <cell r="AR94">
            <v>12</v>
          </cell>
          <cell r="AS94">
            <v>3</v>
          </cell>
          <cell r="AT94">
            <v>2</v>
          </cell>
          <cell r="AU94">
            <v>3</v>
          </cell>
          <cell r="AV94">
            <v>11</v>
          </cell>
          <cell r="AW94">
            <v>11</v>
          </cell>
          <cell r="AX94">
            <v>4</v>
          </cell>
          <cell r="AY94">
            <v>2</v>
          </cell>
          <cell r="AZ94">
            <v>11</v>
          </cell>
          <cell r="BA94">
            <v>11</v>
          </cell>
          <cell r="BB94">
            <v>8</v>
          </cell>
          <cell r="BC94">
            <v>2</v>
          </cell>
          <cell r="BD94">
            <v>2</v>
          </cell>
          <cell r="BE94">
            <v>7</v>
          </cell>
          <cell r="BF94">
            <v>7</v>
          </cell>
          <cell r="BG94">
            <v>14</v>
          </cell>
          <cell r="BH94">
            <v>1</v>
          </cell>
          <cell r="BI94">
            <v>0</v>
          </cell>
          <cell r="BJ94">
            <v>0</v>
          </cell>
          <cell r="BK94">
            <v>0</v>
          </cell>
          <cell r="BL94">
            <v>0</v>
          </cell>
          <cell r="BM94">
            <v>1</v>
          </cell>
          <cell r="BN94">
            <v>0</v>
          </cell>
          <cell r="BO94">
            <v>0</v>
          </cell>
          <cell r="BP94">
            <v>0</v>
          </cell>
          <cell r="BQ94">
            <v>0</v>
          </cell>
          <cell r="BR94">
            <v>7</v>
          </cell>
          <cell r="BS94">
            <v>0</v>
          </cell>
          <cell r="BT94">
            <v>0</v>
          </cell>
          <cell r="BU94">
            <v>11</v>
          </cell>
        </row>
        <row r="95">
          <cell r="A95">
            <v>46</v>
          </cell>
          <cell r="B95">
            <v>46</v>
          </cell>
          <cell r="D95">
            <v>0</v>
          </cell>
          <cell r="F95">
            <v>1</v>
          </cell>
          <cell r="G95">
            <v>0</v>
          </cell>
          <cell r="I95">
            <v>1</v>
          </cell>
          <cell r="J95">
            <v>0</v>
          </cell>
          <cell r="K95">
            <v>1</v>
          </cell>
          <cell r="L95">
            <v>1</v>
          </cell>
          <cell r="M95">
            <v>3</v>
          </cell>
          <cell r="O95">
            <v>0</v>
          </cell>
          <cell r="P95">
            <v>0</v>
          </cell>
          <cell r="Q95">
            <v>1</v>
          </cell>
          <cell r="R95">
            <v>0</v>
          </cell>
          <cell r="S95">
            <v>0</v>
          </cell>
          <cell r="T95">
            <v>3</v>
          </cell>
          <cell r="V95">
            <v>0</v>
          </cell>
          <cell r="W95">
            <v>40</v>
          </cell>
          <cell r="X95">
            <v>2</v>
          </cell>
          <cell r="Y95">
            <v>3</v>
          </cell>
          <cell r="AA95">
            <v>1</v>
          </cell>
          <cell r="AB95">
            <v>0</v>
          </cell>
          <cell r="AC95">
            <v>0</v>
          </cell>
          <cell r="AD95">
            <v>0</v>
          </cell>
          <cell r="AE95">
            <v>0</v>
          </cell>
          <cell r="AF95">
            <v>0</v>
          </cell>
          <cell r="AG95">
            <v>0</v>
          </cell>
          <cell r="AH95">
            <v>0</v>
          </cell>
          <cell r="AI95">
            <v>1</v>
          </cell>
          <cell r="AK95">
            <v>0</v>
          </cell>
          <cell r="AL95">
            <v>1</v>
          </cell>
          <cell r="AN95">
            <v>10673</v>
          </cell>
          <cell r="AO95">
            <v>2</v>
          </cell>
          <cell r="AQ95">
            <v>1</v>
          </cell>
          <cell r="AR95">
            <v>13</v>
          </cell>
          <cell r="AS95">
            <v>3</v>
          </cell>
          <cell r="AT95">
            <v>3</v>
          </cell>
          <cell r="AU95">
            <v>1</v>
          </cell>
          <cell r="AV95">
            <v>21</v>
          </cell>
          <cell r="AW95">
            <v>21</v>
          </cell>
          <cell r="AX95">
            <v>5</v>
          </cell>
          <cell r="AY95">
            <v>2</v>
          </cell>
          <cell r="AZ95">
            <v>10</v>
          </cell>
          <cell r="BA95">
            <v>10</v>
          </cell>
          <cell r="BB95">
            <v>9</v>
          </cell>
          <cell r="BC95">
            <v>9</v>
          </cell>
          <cell r="BD95">
            <v>9</v>
          </cell>
          <cell r="BE95">
            <v>5</v>
          </cell>
          <cell r="BF95">
            <v>5</v>
          </cell>
          <cell r="BG95">
            <v>15</v>
          </cell>
          <cell r="BH95">
            <v>0</v>
          </cell>
          <cell r="BI95">
            <v>0</v>
          </cell>
          <cell r="BJ95">
            <v>0</v>
          </cell>
          <cell r="BK95">
            <v>1</v>
          </cell>
          <cell r="BL95">
            <v>0</v>
          </cell>
          <cell r="BM95">
            <v>0</v>
          </cell>
          <cell r="BN95">
            <v>0</v>
          </cell>
          <cell r="BO95">
            <v>1</v>
          </cell>
          <cell r="BP95">
            <v>0</v>
          </cell>
          <cell r="BQ95">
            <v>5</v>
          </cell>
          <cell r="BR95">
            <v>0</v>
          </cell>
          <cell r="BS95">
            <v>0</v>
          </cell>
          <cell r="BT95">
            <v>21</v>
          </cell>
          <cell r="BU95">
            <v>0</v>
          </cell>
        </row>
        <row r="96">
          <cell r="A96">
            <v>32</v>
          </cell>
          <cell r="B96">
            <v>32</v>
          </cell>
          <cell r="D96">
            <v>0</v>
          </cell>
          <cell r="F96">
            <v>0</v>
          </cell>
          <cell r="G96">
            <v>1</v>
          </cell>
          <cell r="I96">
            <v>0</v>
          </cell>
          <cell r="J96">
            <v>1</v>
          </cell>
          <cell r="K96">
            <v>6</v>
          </cell>
          <cell r="L96">
            <v>6</v>
          </cell>
          <cell r="M96">
            <v>4</v>
          </cell>
          <cell r="O96">
            <v>0</v>
          </cell>
          <cell r="P96">
            <v>0</v>
          </cell>
          <cell r="Q96">
            <v>1</v>
          </cell>
          <cell r="R96">
            <v>0</v>
          </cell>
          <cell r="S96">
            <v>0</v>
          </cell>
          <cell r="T96">
            <v>2</v>
          </cell>
          <cell r="V96">
            <v>0</v>
          </cell>
          <cell r="W96">
            <v>87</v>
          </cell>
          <cell r="X96">
            <v>3</v>
          </cell>
          <cell r="Y96">
            <v>2</v>
          </cell>
          <cell r="AA96">
            <v>0</v>
          </cell>
          <cell r="AB96">
            <v>1</v>
          </cell>
          <cell r="AC96">
            <v>0</v>
          </cell>
          <cell r="AD96">
            <v>0</v>
          </cell>
          <cell r="AE96">
            <v>0</v>
          </cell>
          <cell r="AF96">
            <v>0</v>
          </cell>
          <cell r="AG96">
            <v>0</v>
          </cell>
          <cell r="AH96">
            <v>0</v>
          </cell>
          <cell r="AI96">
            <v>3</v>
          </cell>
          <cell r="AK96">
            <v>1</v>
          </cell>
          <cell r="AL96">
            <v>0</v>
          </cell>
          <cell r="AN96">
            <v>5010</v>
          </cell>
          <cell r="AO96">
            <v>1</v>
          </cell>
          <cell r="AQ96">
            <v>0</v>
          </cell>
          <cell r="AR96">
            <v>16</v>
          </cell>
          <cell r="AS96">
            <v>3</v>
          </cell>
          <cell r="AT96">
            <v>1</v>
          </cell>
          <cell r="AU96">
            <v>0</v>
          </cell>
          <cell r="AV96">
            <v>12</v>
          </cell>
          <cell r="AW96">
            <v>12</v>
          </cell>
          <cell r="AX96">
            <v>0</v>
          </cell>
          <cell r="AY96">
            <v>3</v>
          </cell>
          <cell r="AZ96">
            <v>11</v>
          </cell>
          <cell r="BA96">
            <v>11</v>
          </cell>
          <cell r="BB96">
            <v>8</v>
          </cell>
          <cell r="BC96">
            <v>5</v>
          </cell>
          <cell r="BD96">
            <v>5</v>
          </cell>
          <cell r="BE96">
            <v>7</v>
          </cell>
          <cell r="BF96">
            <v>7</v>
          </cell>
          <cell r="BG96">
            <v>14</v>
          </cell>
          <cell r="BH96">
            <v>1</v>
          </cell>
          <cell r="BI96">
            <v>0</v>
          </cell>
          <cell r="BJ96">
            <v>0</v>
          </cell>
          <cell r="BK96">
            <v>0</v>
          </cell>
          <cell r="BL96">
            <v>1</v>
          </cell>
          <cell r="BM96">
            <v>0</v>
          </cell>
          <cell r="BN96">
            <v>0</v>
          </cell>
          <cell r="BO96">
            <v>0</v>
          </cell>
          <cell r="BP96">
            <v>0</v>
          </cell>
          <cell r="BQ96">
            <v>0</v>
          </cell>
          <cell r="BR96">
            <v>7</v>
          </cell>
          <cell r="BS96">
            <v>0</v>
          </cell>
          <cell r="BT96">
            <v>0</v>
          </cell>
          <cell r="BU96">
            <v>12</v>
          </cell>
        </row>
        <row r="97">
          <cell r="A97">
            <v>54</v>
          </cell>
          <cell r="B97">
            <v>54</v>
          </cell>
          <cell r="D97">
            <v>0</v>
          </cell>
          <cell r="F97">
            <v>0</v>
          </cell>
          <cell r="G97">
            <v>1</v>
          </cell>
          <cell r="I97">
            <v>1</v>
          </cell>
          <cell r="J97">
            <v>0</v>
          </cell>
          <cell r="K97">
            <v>2</v>
          </cell>
          <cell r="L97">
            <v>2</v>
          </cell>
          <cell r="M97">
            <v>4</v>
          </cell>
          <cell r="O97">
            <v>0</v>
          </cell>
          <cell r="P97">
            <v>0</v>
          </cell>
          <cell r="Q97">
            <v>0</v>
          </cell>
          <cell r="R97">
            <v>0</v>
          </cell>
          <cell r="S97">
            <v>1</v>
          </cell>
          <cell r="T97">
            <v>1</v>
          </cell>
          <cell r="V97">
            <v>1</v>
          </cell>
          <cell r="W97">
            <v>60</v>
          </cell>
          <cell r="X97">
            <v>3</v>
          </cell>
          <cell r="Y97">
            <v>3</v>
          </cell>
          <cell r="AA97">
            <v>0</v>
          </cell>
          <cell r="AB97">
            <v>0</v>
          </cell>
          <cell r="AC97">
            <v>0</v>
          </cell>
          <cell r="AD97">
            <v>0</v>
          </cell>
          <cell r="AE97">
            <v>0</v>
          </cell>
          <cell r="AF97">
            <v>0</v>
          </cell>
          <cell r="AG97">
            <v>0</v>
          </cell>
          <cell r="AH97">
            <v>0</v>
          </cell>
          <cell r="AI97">
            <v>3</v>
          </cell>
          <cell r="AK97">
            <v>0</v>
          </cell>
          <cell r="AL97">
            <v>1</v>
          </cell>
          <cell r="AN97">
            <v>13549</v>
          </cell>
          <cell r="AO97">
            <v>9</v>
          </cell>
          <cell r="AQ97">
            <v>0</v>
          </cell>
          <cell r="AR97">
            <v>12</v>
          </cell>
          <cell r="AS97">
            <v>3</v>
          </cell>
          <cell r="AT97">
            <v>1</v>
          </cell>
          <cell r="AU97">
            <v>1</v>
          </cell>
          <cell r="AV97">
            <v>16</v>
          </cell>
          <cell r="AW97">
            <v>16</v>
          </cell>
          <cell r="AX97">
            <v>5</v>
          </cell>
          <cell r="AY97">
            <v>1</v>
          </cell>
          <cell r="AZ97">
            <v>4</v>
          </cell>
          <cell r="BA97">
            <v>4</v>
          </cell>
          <cell r="BB97">
            <v>3</v>
          </cell>
          <cell r="BC97">
            <v>0</v>
          </cell>
          <cell r="BD97">
            <v>0</v>
          </cell>
          <cell r="BE97">
            <v>3</v>
          </cell>
          <cell r="BF97">
            <v>3</v>
          </cell>
          <cell r="BG97">
            <v>9</v>
          </cell>
          <cell r="BH97">
            <v>0</v>
          </cell>
          <cell r="BI97">
            <v>1</v>
          </cell>
          <cell r="BJ97">
            <v>0</v>
          </cell>
          <cell r="BK97">
            <v>0</v>
          </cell>
          <cell r="BL97">
            <v>0</v>
          </cell>
          <cell r="BM97">
            <v>0</v>
          </cell>
          <cell r="BN97">
            <v>1</v>
          </cell>
          <cell r="BO97">
            <v>0</v>
          </cell>
          <cell r="BP97">
            <v>0</v>
          </cell>
          <cell r="BQ97">
            <v>3</v>
          </cell>
          <cell r="BR97">
            <v>0</v>
          </cell>
          <cell r="BS97">
            <v>0</v>
          </cell>
          <cell r="BT97">
            <v>16</v>
          </cell>
          <cell r="BU97">
            <v>0</v>
          </cell>
        </row>
        <row r="98">
          <cell r="A98">
            <v>24</v>
          </cell>
          <cell r="B98">
            <v>24</v>
          </cell>
          <cell r="D98">
            <v>0</v>
          </cell>
          <cell r="F98">
            <v>0</v>
          </cell>
          <cell r="G98">
            <v>1</v>
          </cell>
          <cell r="I98">
            <v>0</v>
          </cell>
          <cell r="J98">
            <v>1</v>
          </cell>
          <cell r="K98">
            <v>3</v>
          </cell>
          <cell r="L98">
            <v>3</v>
          </cell>
          <cell r="M98">
            <v>2</v>
          </cell>
          <cell r="O98">
            <v>0</v>
          </cell>
          <cell r="P98">
            <v>1</v>
          </cell>
          <cell r="Q98">
            <v>0</v>
          </cell>
          <cell r="R98">
            <v>0</v>
          </cell>
          <cell r="S98">
            <v>0</v>
          </cell>
          <cell r="T98">
            <v>1</v>
          </cell>
          <cell r="V98">
            <v>1</v>
          </cell>
          <cell r="W98">
            <v>33</v>
          </cell>
          <cell r="X98">
            <v>3</v>
          </cell>
          <cell r="Y98">
            <v>2</v>
          </cell>
          <cell r="AA98">
            <v>0</v>
          </cell>
          <cell r="AB98">
            <v>1</v>
          </cell>
          <cell r="AC98">
            <v>0</v>
          </cell>
          <cell r="AD98">
            <v>0</v>
          </cell>
          <cell r="AE98">
            <v>0</v>
          </cell>
          <cell r="AF98">
            <v>0</v>
          </cell>
          <cell r="AG98">
            <v>0</v>
          </cell>
          <cell r="AH98">
            <v>0</v>
          </cell>
          <cell r="AI98">
            <v>3</v>
          </cell>
          <cell r="AK98">
            <v>0</v>
          </cell>
          <cell r="AL98">
            <v>1</v>
          </cell>
          <cell r="AN98">
            <v>4999</v>
          </cell>
          <cell r="AO98">
            <v>0</v>
          </cell>
          <cell r="AQ98">
            <v>0</v>
          </cell>
          <cell r="AR98">
            <v>21</v>
          </cell>
          <cell r="AS98">
            <v>4</v>
          </cell>
          <cell r="AT98">
            <v>1</v>
          </cell>
          <cell r="AU98">
            <v>1</v>
          </cell>
          <cell r="AV98">
            <v>4</v>
          </cell>
          <cell r="AW98">
            <v>4</v>
          </cell>
          <cell r="AX98">
            <v>2</v>
          </cell>
          <cell r="AY98">
            <v>2</v>
          </cell>
          <cell r="AZ98">
            <v>3</v>
          </cell>
          <cell r="BA98">
            <v>3</v>
          </cell>
          <cell r="BB98">
            <v>2</v>
          </cell>
          <cell r="BC98">
            <v>0</v>
          </cell>
          <cell r="BD98">
            <v>0</v>
          </cell>
          <cell r="BE98">
            <v>2</v>
          </cell>
          <cell r="BF98">
            <v>2</v>
          </cell>
          <cell r="BG98">
            <v>4</v>
          </cell>
          <cell r="BH98">
            <v>0</v>
          </cell>
          <cell r="BI98">
            <v>1</v>
          </cell>
          <cell r="BJ98">
            <v>0</v>
          </cell>
          <cell r="BK98">
            <v>0</v>
          </cell>
          <cell r="BL98">
            <v>0</v>
          </cell>
          <cell r="BM98">
            <v>0</v>
          </cell>
          <cell r="BN98">
            <v>1</v>
          </cell>
          <cell r="BO98">
            <v>0</v>
          </cell>
          <cell r="BP98">
            <v>0</v>
          </cell>
          <cell r="BQ98">
            <v>0</v>
          </cell>
          <cell r="BR98">
            <v>2</v>
          </cell>
          <cell r="BS98">
            <v>0</v>
          </cell>
          <cell r="BT98">
            <v>0</v>
          </cell>
          <cell r="BU98">
            <v>4</v>
          </cell>
        </row>
        <row r="99">
          <cell r="A99">
            <v>28</v>
          </cell>
          <cell r="B99">
            <v>28</v>
          </cell>
          <cell r="D99">
            <v>0</v>
          </cell>
          <cell r="F99">
            <v>0</v>
          </cell>
          <cell r="G99">
            <v>0</v>
          </cell>
          <cell r="I99">
            <v>0</v>
          </cell>
          <cell r="J99">
            <v>1</v>
          </cell>
          <cell r="K99">
            <v>4</v>
          </cell>
          <cell r="L99">
            <v>4</v>
          </cell>
          <cell r="M99">
            <v>3</v>
          </cell>
          <cell r="O99">
            <v>0</v>
          </cell>
          <cell r="P99">
            <v>0</v>
          </cell>
          <cell r="Q99">
            <v>1</v>
          </cell>
          <cell r="R99">
            <v>0</v>
          </cell>
          <cell r="S99">
            <v>0</v>
          </cell>
          <cell r="T99">
            <v>2</v>
          </cell>
          <cell r="V99">
            <v>0</v>
          </cell>
          <cell r="W99">
            <v>43</v>
          </cell>
          <cell r="X99">
            <v>3</v>
          </cell>
          <cell r="Y99">
            <v>2</v>
          </cell>
          <cell r="AA99">
            <v>0</v>
          </cell>
          <cell r="AB99">
            <v>1</v>
          </cell>
          <cell r="AC99">
            <v>0</v>
          </cell>
          <cell r="AD99">
            <v>0</v>
          </cell>
          <cell r="AE99">
            <v>0</v>
          </cell>
          <cell r="AF99">
            <v>0</v>
          </cell>
          <cell r="AG99">
            <v>0</v>
          </cell>
          <cell r="AH99">
            <v>0</v>
          </cell>
          <cell r="AI99">
            <v>3</v>
          </cell>
          <cell r="AK99">
            <v>0</v>
          </cell>
          <cell r="AL99">
            <v>1</v>
          </cell>
          <cell r="AN99">
            <v>4221</v>
          </cell>
          <cell r="AO99">
            <v>1</v>
          </cell>
          <cell r="AQ99">
            <v>0</v>
          </cell>
          <cell r="AR99">
            <v>15</v>
          </cell>
          <cell r="AS99">
            <v>3</v>
          </cell>
          <cell r="AT99">
            <v>2</v>
          </cell>
          <cell r="AU99">
            <v>0</v>
          </cell>
          <cell r="AV99">
            <v>5</v>
          </cell>
          <cell r="AW99">
            <v>5</v>
          </cell>
          <cell r="AX99">
            <v>3</v>
          </cell>
          <cell r="AY99">
            <v>4</v>
          </cell>
          <cell r="AZ99">
            <v>5</v>
          </cell>
          <cell r="BA99">
            <v>5</v>
          </cell>
          <cell r="BB99">
            <v>4</v>
          </cell>
          <cell r="BC99">
            <v>0</v>
          </cell>
          <cell r="BD99">
            <v>0</v>
          </cell>
          <cell r="BE99">
            <v>4</v>
          </cell>
          <cell r="BF99">
            <v>4</v>
          </cell>
          <cell r="BG99">
            <v>8</v>
          </cell>
          <cell r="BH99">
            <v>0</v>
          </cell>
          <cell r="BI99">
            <v>1</v>
          </cell>
          <cell r="BJ99">
            <v>0</v>
          </cell>
          <cell r="BK99">
            <v>0</v>
          </cell>
          <cell r="BL99">
            <v>0</v>
          </cell>
          <cell r="BM99">
            <v>0</v>
          </cell>
          <cell r="BN99">
            <v>1</v>
          </cell>
          <cell r="BO99">
            <v>0</v>
          </cell>
          <cell r="BP99">
            <v>0</v>
          </cell>
          <cell r="BQ99">
            <v>0</v>
          </cell>
          <cell r="BR99">
            <v>4</v>
          </cell>
          <cell r="BS99">
            <v>0</v>
          </cell>
          <cell r="BT99">
            <v>0</v>
          </cell>
          <cell r="BU99">
            <v>5</v>
          </cell>
        </row>
        <row r="100">
          <cell r="A100">
            <v>58</v>
          </cell>
          <cell r="B100">
            <v>58</v>
          </cell>
          <cell r="D100">
            <v>0</v>
          </cell>
          <cell r="F100">
            <v>0</v>
          </cell>
          <cell r="G100">
            <v>1</v>
          </cell>
          <cell r="I100">
            <v>0</v>
          </cell>
          <cell r="J100">
            <v>1</v>
          </cell>
          <cell r="K100">
            <v>10</v>
          </cell>
          <cell r="L100">
            <v>10</v>
          </cell>
          <cell r="M100">
            <v>4</v>
          </cell>
          <cell r="O100">
            <v>0</v>
          </cell>
          <cell r="P100">
            <v>0</v>
          </cell>
          <cell r="Q100">
            <v>1</v>
          </cell>
          <cell r="R100">
            <v>0</v>
          </cell>
          <cell r="S100">
            <v>0</v>
          </cell>
          <cell r="T100">
            <v>4</v>
          </cell>
          <cell r="V100">
            <v>0</v>
          </cell>
          <cell r="W100">
            <v>37</v>
          </cell>
          <cell r="X100">
            <v>3</v>
          </cell>
          <cell r="Y100">
            <v>4</v>
          </cell>
          <cell r="AA100">
            <v>0</v>
          </cell>
          <cell r="AB100">
            <v>1</v>
          </cell>
          <cell r="AC100">
            <v>0</v>
          </cell>
          <cell r="AD100">
            <v>0</v>
          </cell>
          <cell r="AE100">
            <v>0</v>
          </cell>
          <cell r="AF100">
            <v>0</v>
          </cell>
          <cell r="AG100">
            <v>0</v>
          </cell>
          <cell r="AH100">
            <v>0</v>
          </cell>
          <cell r="AI100">
            <v>3</v>
          </cell>
          <cell r="AK100">
            <v>1</v>
          </cell>
          <cell r="AL100">
            <v>0</v>
          </cell>
          <cell r="AN100">
            <v>13872</v>
          </cell>
          <cell r="AO100">
            <v>0</v>
          </cell>
          <cell r="AQ100">
            <v>0</v>
          </cell>
          <cell r="AR100">
            <v>13</v>
          </cell>
          <cell r="AS100">
            <v>3</v>
          </cell>
          <cell r="AT100">
            <v>3</v>
          </cell>
          <cell r="AU100">
            <v>0</v>
          </cell>
          <cell r="AV100">
            <v>38</v>
          </cell>
          <cell r="AW100">
            <v>35</v>
          </cell>
          <cell r="AX100">
            <v>1</v>
          </cell>
          <cell r="AY100">
            <v>2</v>
          </cell>
          <cell r="AZ100">
            <v>37</v>
          </cell>
          <cell r="BA100">
            <v>31</v>
          </cell>
          <cell r="BB100">
            <v>10</v>
          </cell>
          <cell r="BC100">
            <v>1</v>
          </cell>
          <cell r="BD100">
            <v>1</v>
          </cell>
          <cell r="BE100">
            <v>8</v>
          </cell>
          <cell r="BF100">
            <v>8</v>
          </cell>
          <cell r="BG100">
            <v>32</v>
          </cell>
          <cell r="BH100">
            <v>1</v>
          </cell>
          <cell r="BI100">
            <v>0</v>
          </cell>
          <cell r="BJ100">
            <v>0</v>
          </cell>
          <cell r="BK100">
            <v>0</v>
          </cell>
          <cell r="BL100">
            <v>1</v>
          </cell>
          <cell r="BM100">
            <v>0</v>
          </cell>
          <cell r="BN100">
            <v>0</v>
          </cell>
          <cell r="BO100">
            <v>0</v>
          </cell>
          <cell r="BP100">
            <v>0</v>
          </cell>
          <cell r="BQ100">
            <v>0</v>
          </cell>
          <cell r="BR100">
            <v>8</v>
          </cell>
          <cell r="BS100">
            <v>0</v>
          </cell>
          <cell r="BT100">
            <v>0</v>
          </cell>
          <cell r="BU100">
            <v>35</v>
          </cell>
        </row>
        <row r="101">
          <cell r="A101">
            <v>44</v>
          </cell>
          <cell r="B101">
            <v>44</v>
          </cell>
          <cell r="D101">
            <v>0</v>
          </cell>
          <cell r="F101">
            <v>0</v>
          </cell>
          <cell r="G101">
            <v>0</v>
          </cell>
          <cell r="I101">
            <v>1</v>
          </cell>
          <cell r="J101">
            <v>0</v>
          </cell>
          <cell r="K101">
            <v>23</v>
          </cell>
          <cell r="L101">
            <v>23</v>
          </cell>
          <cell r="M101">
            <v>3</v>
          </cell>
          <cell r="O101">
            <v>0</v>
          </cell>
          <cell r="P101">
            <v>0</v>
          </cell>
          <cell r="Q101">
            <v>1</v>
          </cell>
          <cell r="R101">
            <v>0</v>
          </cell>
          <cell r="S101">
            <v>0</v>
          </cell>
          <cell r="T101">
            <v>2</v>
          </cell>
          <cell r="V101">
            <v>0</v>
          </cell>
          <cell r="W101">
            <v>67</v>
          </cell>
          <cell r="X101">
            <v>3</v>
          </cell>
          <cell r="Y101">
            <v>2</v>
          </cell>
          <cell r="AA101">
            <v>0</v>
          </cell>
          <cell r="AB101">
            <v>0</v>
          </cell>
          <cell r="AC101">
            <v>1</v>
          </cell>
          <cell r="AD101">
            <v>0</v>
          </cell>
          <cell r="AE101">
            <v>0</v>
          </cell>
          <cell r="AF101">
            <v>0</v>
          </cell>
          <cell r="AG101">
            <v>0</v>
          </cell>
          <cell r="AH101">
            <v>0</v>
          </cell>
          <cell r="AI101">
            <v>2</v>
          </cell>
          <cell r="AK101">
            <v>0</v>
          </cell>
          <cell r="AL101">
            <v>1</v>
          </cell>
          <cell r="AN101">
            <v>2042</v>
          </cell>
          <cell r="AO101">
            <v>4</v>
          </cell>
          <cell r="AQ101">
            <v>0</v>
          </cell>
          <cell r="AR101">
            <v>12</v>
          </cell>
          <cell r="AS101">
            <v>3</v>
          </cell>
          <cell r="AT101">
            <v>3</v>
          </cell>
          <cell r="AU101">
            <v>1</v>
          </cell>
          <cell r="AV101">
            <v>17</v>
          </cell>
          <cell r="AW101">
            <v>17</v>
          </cell>
          <cell r="AX101">
            <v>3</v>
          </cell>
          <cell r="AY101">
            <v>4</v>
          </cell>
          <cell r="AZ101">
            <v>3</v>
          </cell>
          <cell r="BA101">
            <v>3</v>
          </cell>
          <cell r="BB101">
            <v>2</v>
          </cell>
          <cell r="BC101">
            <v>1</v>
          </cell>
          <cell r="BD101">
            <v>1</v>
          </cell>
          <cell r="BE101">
            <v>2</v>
          </cell>
          <cell r="BF101">
            <v>2</v>
          </cell>
          <cell r="BG101">
            <v>4</v>
          </cell>
          <cell r="BH101">
            <v>0</v>
          </cell>
          <cell r="BI101">
            <v>1</v>
          </cell>
          <cell r="BJ101">
            <v>0</v>
          </cell>
          <cell r="BK101">
            <v>0</v>
          </cell>
          <cell r="BL101">
            <v>0</v>
          </cell>
          <cell r="BM101">
            <v>0</v>
          </cell>
          <cell r="BN101">
            <v>1</v>
          </cell>
          <cell r="BO101">
            <v>0</v>
          </cell>
          <cell r="BP101">
            <v>0</v>
          </cell>
          <cell r="BQ101">
            <v>2</v>
          </cell>
          <cell r="BR101">
            <v>0</v>
          </cell>
          <cell r="BS101">
            <v>0</v>
          </cell>
          <cell r="BT101">
            <v>17</v>
          </cell>
          <cell r="BU101">
            <v>0</v>
          </cell>
        </row>
        <row r="102">
          <cell r="A102">
            <v>37</v>
          </cell>
          <cell r="B102">
            <v>37</v>
          </cell>
          <cell r="D102">
            <v>1</v>
          </cell>
          <cell r="F102">
            <v>0</v>
          </cell>
          <cell r="G102">
            <v>1</v>
          </cell>
          <cell r="I102">
            <v>0</v>
          </cell>
          <cell r="J102">
            <v>0</v>
          </cell>
          <cell r="K102">
            <v>6</v>
          </cell>
          <cell r="L102">
            <v>6</v>
          </cell>
          <cell r="M102">
            <v>4</v>
          </cell>
          <cell r="O102">
            <v>0</v>
          </cell>
          <cell r="P102">
            <v>0</v>
          </cell>
          <cell r="Q102">
            <v>0</v>
          </cell>
          <cell r="R102">
            <v>0</v>
          </cell>
          <cell r="S102">
            <v>0</v>
          </cell>
          <cell r="T102">
            <v>3</v>
          </cell>
          <cell r="V102">
            <v>0</v>
          </cell>
          <cell r="W102">
            <v>63</v>
          </cell>
          <cell r="X102">
            <v>3</v>
          </cell>
          <cell r="Y102">
            <v>1</v>
          </cell>
          <cell r="AA102">
            <v>0</v>
          </cell>
          <cell r="AB102">
            <v>0</v>
          </cell>
          <cell r="AC102">
            <v>0</v>
          </cell>
          <cell r="AD102">
            <v>0</v>
          </cell>
          <cell r="AE102">
            <v>0</v>
          </cell>
          <cell r="AF102">
            <v>0</v>
          </cell>
          <cell r="AG102">
            <v>0</v>
          </cell>
          <cell r="AH102">
            <v>0</v>
          </cell>
          <cell r="AI102">
            <v>1</v>
          </cell>
          <cell r="AK102">
            <v>0</v>
          </cell>
          <cell r="AL102">
            <v>0</v>
          </cell>
          <cell r="AN102">
            <v>2073</v>
          </cell>
          <cell r="AO102">
            <v>4</v>
          </cell>
          <cell r="AQ102">
            <v>1</v>
          </cell>
          <cell r="AR102">
            <v>22</v>
          </cell>
          <cell r="AS102">
            <v>4</v>
          </cell>
          <cell r="AT102">
            <v>4</v>
          </cell>
          <cell r="AU102">
            <v>0</v>
          </cell>
          <cell r="AV102">
            <v>7</v>
          </cell>
          <cell r="AW102">
            <v>7</v>
          </cell>
          <cell r="AX102">
            <v>3</v>
          </cell>
          <cell r="AY102">
            <v>3</v>
          </cell>
          <cell r="AZ102">
            <v>3</v>
          </cell>
          <cell r="BA102">
            <v>3</v>
          </cell>
          <cell r="BB102">
            <v>2</v>
          </cell>
          <cell r="BC102">
            <v>0</v>
          </cell>
          <cell r="BD102">
            <v>0</v>
          </cell>
          <cell r="BE102">
            <v>2</v>
          </cell>
          <cell r="BF102">
            <v>2</v>
          </cell>
          <cell r="BG102">
            <v>2</v>
          </cell>
          <cell r="BH102">
            <v>1</v>
          </cell>
          <cell r="BI102">
            <v>0</v>
          </cell>
          <cell r="BJ102">
            <v>0</v>
          </cell>
          <cell r="BK102">
            <v>0</v>
          </cell>
          <cell r="BL102">
            <v>0</v>
          </cell>
          <cell r="BM102">
            <v>1</v>
          </cell>
          <cell r="BN102">
            <v>0</v>
          </cell>
          <cell r="BO102">
            <v>0</v>
          </cell>
          <cell r="BP102">
            <v>2</v>
          </cell>
          <cell r="BQ102">
            <v>0</v>
          </cell>
          <cell r="BR102">
            <v>0</v>
          </cell>
          <cell r="BS102">
            <v>7</v>
          </cell>
          <cell r="BT102">
            <v>0</v>
          </cell>
          <cell r="BU102">
            <v>0</v>
          </cell>
        </row>
        <row r="103">
          <cell r="A103">
            <v>32</v>
          </cell>
          <cell r="B103">
            <v>32</v>
          </cell>
          <cell r="D103">
            <v>0</v>
          </cell>
          <cell r="F103">
            <v>0</v>
          </cell>
          <cell r="G103">
            <v>1</v>
          </cell>
          <cell r="I103">
            <v>1</v>
          </cell>
          <cell r="J103">
            <v>0</v>
          </cell>
          <cell r="K103">
            <v>1</v>
          </cell>
          <cell r="L103">
            <v>1</v>
          </cell>
          <cell r="M103">
            <v>1</v>
          </cell>
          <cell r="O103">
            <v>1</v>
          </cell>
          <cell r="P103">
            <v>0</v>
          </cell>
          <cell r="Q103">
            <v>0</v>
          </cell>
          <cell r="R103">
            <v>0</v>
          </cell>
          <cell r="S103">
            <v>0</v>
          </cell>
          <cell r="T103">
            <v>4</v>
          </cell>
          <cell r="V103">
            <v>0</v>
          </cell>
          <cell r="W103">
            <v>71</v>
          </cell>
          <cell r="X103">
            <v>3</v>
          </cell>
          <cell r="Y103">
            <v>1</v>
          </cell>
          <cell r="AA103">
            <v>0</v>
          </cell>
          <cell r="AB103">
            <v>0</v>
          </cell>
          <cell r="AC103">
            <v>0</v>
          </cell>
          <cell r="AD103">
            <v>0</v>
          </cell>
          <cell r="AE103">
            <v>0</v>
          </cell>
          <cell r="AF103">
            <v>0</v>
          </cell>
          <cell r="AG103">
            <v>0</v>
          </cell>
          <cell r="AH103">
            <v>1</v>
          </cell>
          <cell r="AI103">
            <v>1</v>
          </cell>
          <cell r="AK103">
            <v>1</v>
          </cell>
          <cell r="AL103">
            <v>0</v>
          </cell>
          <cell r="AN103">
            <v>2956</v>
          </cell>
          <cell r="AO103">
            <v>1</v>
          </cell>
          <cell r="AQ103">
            <v>0</v>
          </cell>
          <cell r="AR103">
            <v>13</v>
          </cell>
          <cell r="AS103">
            <v>3</v>
          </cell>
          <cell r="AT103">
            <v>4</v>
          </cell>
          <cell r="AU103">
            <v>0</v>
          </cell>
          <cell r="AV103">
            <v>1</v>
          </cell>
          <cell r="AW103">
            <v>1</v>
          </cell>
          <cell r="AX103">
            <v>2</v>
          </cell>
          <cell r="AY103">
            <v>3</v>
          </cell>
          <cell r="AZ103">
            <v>1</v>
          </cell>
          <cell r="BA103">
            <v>1</v>
          </cell>
          <cell r="BB103">
            <v>0</v>
          </cell>
          <cell r="BC103">
            <v>0</v>
          </cell>
          <cell r="BD103">
            <v>0</v>
          </cell>
          <cell r="BE103">
            <v>0</v>
          </cell>
          <cell r="BF103">
            <v>0</v>
          </cell>
          <cell r="BG103">
            <v>0</v>
          </cell>
          <cell r="BH103">
            <v>1</v>
          </cell>
          <cell r="BI103">
            <v>0</v>
          </cell>
          <cell r="BJ103">
            <v>0</v>
          </cell>
          <cell r="BK103">
            <v>0</v>
          </cell>
          <cell r="BL103">
            <v>1</v>
          </cell>
          <cell r="BM103">
            <v>0</v>
          </cell>
          <cell r="BN103">
            <v>0</v>
          </cell>
          <cell r="BO103">
            <v>0</v>
          </cell>
          <cell r="BP103">
            <v>0</v>
          </cell>
          <cell r="BQ103">
            <v>0</v>
          </cell>
          <cell r="BR103">
            <v>0</v>
          </cell>
          <cell r="BS103">
            <v>0</v>
          </cell>
          <cell r="BT103">
            <v>1</v>
          </cell>
          <cell r="BU103">
            <v>0</v>
          </cell>
        </row>
        <row r="104">
          <cell r="A104">
            <v>20</v>
          </cell>
          <cell r="B104">
            <v>20</v>
          </cell>
          <cell r="D104">
            <v>1</v>
          </cell>
          <cell r="F104">
            <v>1</v>
          </cell>
          <cell r="G104">
            <v>0</v>
          </cell>
          <cell r="I104">
            <v>1</v>
          </cell>
          <cell r="J104">
            <v>0</v>
          </cell>
          <cell r="K104">
            <v>6</v>
          </cell>
          <cell r="L104">
            <v>6</v>
          </cell>
          <cell r="M104">
            <v>3</v>
          </cell>
          <cell r="O104">
            <v>1</v>
          </cell>
          <cell r="P104">
            <v>0</v>
          </cell>
          <cell r="Q104">
            <v>0</v>
          </cell>
          <cell r="R104">
            <v>0</v>
          </cell>
          <cell r="S104">
            <v>0</v>
          </cell>
          <cell r="T104">
            <v>4</v>
          </cell>
          <cell r="V104">
            <v>1</v>
          </cell>
          <cell r="W104">
            <v>66</v>
          </cell>
          <cell r="X104">
            <v>2</v>
          </cell>
          <cell r="Y104">
            <v>1</v>
          </cell>
          <cell r="AA104">
            <v>0</v>
          </cell>
          <cell r="AB104">
            <v>0</v>
          </cell>
          <cell r="AC104">
            <v>1</v>
          </cell>
          <cell r="AD104">
            <v>0</v>
          </cell>
          <cell r="AE104">
            <v>0</v>
          </cell>
          <cell r="AF104">
            <v>0</v>
          </cell>
          <cell r="AG104">
            <v>0</v>
          </cell>
          <cell r="AH104">
            <v>0</v>
          </cell>
          <cell r="AI104">
            <v>4</v>
          </cell>
          <cell r="AK104">
            <v>1</v>
          </cell>
          <cell r="AL104">
            <v>0</v>
          </cell>
          <cell r="AN104">
            <v>2926</v>
          </cell>
          <cell r="AO104">
            <v>1</v>
          </cell>
          <cell r="AQ104">
            <v>1</v>
          </cell>
          <cell r="AR104">
            <v>18</v>
          </cell>
          <cell r="AS104">
            <v>3</v>
          </cell>
          <cell r="AT104">
            <v>2</v>
          </cell>
          <cell r="AU104">
            <v>0</v>
          </cell>
          <cell r="AV104">
            <v>1</v>
          </cell>
          <cell r="AW104">
            <v>1</v>
          </cell>
          <cell r="AX104">
            <v>5</v>
          </cell>
          <cell r="AY104">
            <v>3</v>
          </cell>
          <cell r="AZ104">
            <v>1</v>
          </cell>
          <cell r="BA104">
            <v>1</v>
          </cell>
          <cell r="BB104">
            <v>0</v>
          </cell>
          <cell r="BC104">
            <v>1</v>
          </cell>
          <cell r="BD104">
            <v>1</v>
          </cell>
          <cell r="BE104">
            <v>0</v>
          </cell>
          <cell r="BF104">
            <v>0</v>
          </cell>
          <cell r="BG104">
            <v>0</v>
          </cell>
          <cell r="BH104">
            <v>0</v>
          </cell>
          <cell r="BI104">
            <v>0</v>
          </cell>
          <cell r="BJ104">
            <v>1</v>
          </cell>
          <cell r="BK104">
            <v>0</v>
          </cell>
          <cell r="BL104">
            <v>0</v>
          </cell>
          <cell r="BM104">
            <v>1</v>
          </cell>
          <cell r="BN104">
            <v>0</v>
          </cell>
          <cell r="BO104">
            <v>0</v>
          </cell>
          <cell r="BP104">
            <v>0</v>
          </cell>
          <cell r="BQ104">
            <v>0</v>
          </cell>
          <cell r="BR104">
            <v>0</v>
          </cell>
          <cell r="BS104">
            <v>0</v>
          </cell>
          <cell r="BT104">
            <v>1</v>
          </cell>
          <cell r="BU104">
            <v>0</v>
          </cell>
        </row>
        <row r="105">
          <cell r="A105">
            <v>34</v>
          </cell>
          <cell r="B105">
            <v>34</v>
          </cell>
          <cell r="D105">
            <v>0</v>
          </cell>
          <cell r="F105">
            <v>0</v>
          </cell>
          <cell r="G105">
            <v>1</v>
          </cell>
          <cell r="I105">
            <v>1</v>
          </cell>
          <cell r="J105">
            <v>0</v>
          </cell>
          <cell r="K105">
            <v>6</v>
          </cell>
          <cell r="L105">
            <v>6</v>
          </cell>
          <cell r="M105">
            <v>4</v>
          </cell>
          <cell r="O105">
            <v>0</v>
          </cell>
          <cell r="P105">
            <v>1</v>
          </cell>
          <cell r="Q105">
            <v>0</v>
          </cell>
          <cell r="R105">
            <v>0</v>
          </cell>
          <cell r="S105">
            <v>0</v>
          </cell>
          <cell r="T105">
            <v>1</v>
          </cell>
          <cell r="V105">
            <v>1</v>
          </cell>
          <cell r="W105">
            <v>41</v>
          </cell>
          <cell r="X105">
            <v>3</v>
          </cell>
          <cell r="Y105">
            <v>2</v>
          </cell>
          <cell r="AA105">
            <v>0</v>
          </cell>
          <cell r="AB105">
            <v>0</v>
          </cell>
          <cell r="AC105">
            <v>0</v>
          </cell>
          <cell r="AD105">
            <v>0</v>
          </cell>
          <cell r="AE105">
            <v>0</v>
          </cell>
          <cell r="AF105">
            <v>0</v>
          </cell>
          <cell r="AG105">
            <v>0</v>
          </cell>
          <cell r="AH105">
            <v>1</v>
          </cell>
          <cell r="AI105">
            <v>3</v>
          </cell>
          <cell r="AK105">
            <v>1</v>
          </cell>
          <cell r="AL105">
            <v>0</v>
          </cell>
          <cell r="AN105">
            <v>4809</v>
          </cell>
          <cell r="AO105">
            <v>1</v>
          </cell>
          <cell r="AQ105">
            <v>0</v>
          </cell>
          <cell r="AR105">
            <v>14</v>
          </cell>
          <cell r="AS105">
            <v>3</v>
          </cell>
          <cell r="AT105">
            <v>3</v>
          </cell>
          <cell r="AU105">
            <v>0</v>
          </cell>
          <cell r="AV105">
            <v>16</v>
          </cell>
          <cell r="AW105">
            <v>16</v>
          </cell>
          <cell r="AX105">
            <v>3</v>
          </cell>
          <cell r="AY105">
            <v>3</v>
          </cell>
          <cell r="AZ105">
            <v>16</v>
          </cell>
          <cell r="BA105">
            <v>16</v>
          </cell>
          <cell r="BB105">
            <v>13</v>
          </cell>
          <cell r="BC105">
            <v>2</v>
          </cell>
          <cell r="BD105">
            <v>2</v>
          </cell>
          <cell r="BE105">
            <v>10</v>
          </cell>
          <cell r="BF105">
            <v>10</v>
          </cell>
          <cell r="BG105">
            <v>20</v>
          </cell>
          <cell r="BH105">
            <v>1</v>
          </cell>
          <cell r="BI105">
            <v>0</v>
          </cell>
          <cell r="BJ105">
            <v>0</v>
          </cell>
          <cell r="BK105">
            <v>0</v>
          </cell>
          <cell r="BL105">
            <v>1</v>
          </cell>
          <cell r="BM105">
            <v>0</v>
          </cell>
          <cell r="BN105">
            <v>0</v>
          </cell>
          <cell r="BO105">
            <v>0</v>
          </cell>
          <cell r="BP105">
            <v>0</v>
          </cell>
          <cell r="BQ105">
            <v>10</v>
          </cell>
          <cell r="BR105">
            <v>0</v>
          </cell>
          <cell r="BS105">
            <v>0</v>
          </cell>
          <cell r="BT105">
            <v>16</v>
          </cell>
          <cell r="BU105">
            <v>0</v>
          </cell>
        </row>
        <row r="106">
          <cell r="A106">
            <v>37</v>
          </cell>
          <cell r="B106">
            <v>37</v>
          </cell>
          <cell r="D106">
            <v>0</v>
          </cell>
          <cell r="F106">
            <v>0</v>
          </cell>
          <cell r="G106">
            <v>0</v>
          </cell>
          <cell r="I106">
            <v>1</v>
          </cell>
          <cell r="J106">
            <v>0</v>
          </cell>
          <cell r="K106">
            <v>2</v>
          </cell>
          <cell r="L106">
            <v>2</v>
          </cell>
          <cell r="M106">
            <v>2</v>
          </cell>
          <cell r="O106">
            <v>1</v>
          </cell>
          <cell r="P106">
            <v>0</v>
          </cell>
          <cell r="Q106">
            <v>0</v>
          </cell>
          <cell r="R106">
            <v>0</v>
          </cell>
          <cell r="S106">
            <v>0</v>
          </cell>
          <cell r="T106">
            <v>3</v>
          </cell>
          <cell r="V106">
            <v>0</v>
          </cell>
          <cell r="W106">
            <v>100</v>
          </cell>
          <cell r="X106">
            <v>2</v>
          </cell>
          <cell r="Y106">
            <v>2</v>
          </cell>
          <cell r="AA106">
            <v>1</v>
          </cell>
          <cell r="AB106">
            <v>0</v>
          </cell>
          <cell r="AC106">
            <v>0</v>
          </cell>
          <cell r="AD106">
            <v>0</v>
          </cell>
          <cell r="AE106">
            <v>0</v>
          </cell>
          <cell r="AF106">
            <v>0</v>
          </cell>
          <cell r="AG106">
            <v>0</v>
          </cell>
          <cell r="AH106">
            <v>0</v>
          </cell>
          <cell r="AI106">
            <v>4</v>
          </cell>
          <cell r="AK106">
            <v>0</v>
          </cell>
          <cell r="AL106">
            <v>0</v>
          </cell>
          <cell r="AN106">
            <v>5163</v>
          </cell>
          <cell r="AO106">
            <v>5</v>
          </cell>
          <cell r="AQ106">
            <v>0</v>
          </cell>
          <cell r="AR106">
            <v>14</v>
          </cell>
          <cell r="AS106">
            <v>3</v>
          </cell>
          <cell r="AT106">
            <v>4</v>
          </cell>
          <cell r="AU106">
            <v>1</v>
          </cell>
          <cell r="AV106">
            <v>17</v>
          </cell>
          <cell r="AW106">
            <v>17</v>
          </cell>
          <cell r="AX106">
            <v>2</v>
          </cell>
          <cell r="AY106">
            <v>4</v>
          </cell>
          <cell r="AZ106">
            <v>1</v>
          </cell>
          <cell r="BA106">
            <v>1</v>
          </cell>
          <cell r="BB106">
            <v>0</v>
          </cell>
          <cell r="BC106">
            <v>0</v>
          </cell>
          <cell r="BD106">
            <v>0</v>
          </cell>
          <cell r="BE106">
            <v>0</v>
          </cell>
          <cell r="BF106">
            <v>0</v>
          </cell>
          <cell r="BG106">
            <v>0</v>
          </cell>
          <cell r="BH106">
            <v>1</v>
          </cell>
          <cell r="BI106">
            <v>0</v>
          </cell>
          <cell r="BJ106">
            <v>0</v>
          </cell>
          <cell r="BK106">
            <v>0</v>
          </cell>
          <cell r="BL106">
            <v>1</v>
          </cell>
          <cell r="BM106">
            <v>0</v>
          </cell>
          <cell r="BN106">
            <v>0</v>
          </cell>
          <cell r="BO106">
            <v>0</v>
          </cell>
          <cell r="BP106">
            <v>0</v>
          </cell>
          <cell r="BQ106">
            <v>0</v>
          </cell>
          <cell r="BR106">
            <v>0</v>
          </cell>
          <cell r="BS106">
            <v>0</v>
          </cell>
          <cell r="BT106">
            <v>17</v>
          </cell>
          <cell r="BU106">
            <v>0</v>
          </cell>
        </row>
        <row r="107">
          <cell r="A107">
            <v>59</v>
          </cell>
          <cell r="B107">
            <v>58.309999999999945</v>
          </cell>
          <cell r="D107">
            <v>0</v>
          </cell>
          <cell r="F107">
            <v>0</v>
          </cell>
          <cell r="G107">
            <v>0</v>
          </cell>
          <cell r="I107">
            <v>0</v>
          </cell>
          <cell r="J107">
            <v>0</v>
          </cell>
          <cell r="K107">
            <v>2</v>
          </cell>
          <cell r="L107">
            <v>2</v>
          </cell>
          <cell r="M107">
            <v>4</v>
          </cell>
          <cell r="O107">
            <v>0</v>
          </cell>
          <cell r="P107">
            <v>0</v>
          </cell>
          <cell r="Q107">
            <v>0</v>
          </cell>
          <cell r="R107">
            <v>0</v>
          </cell>
          <cell r="S107">
            <v>0</v>
          </cell>
          <cell r="T107">
            <v>3</v>
          </cell>
          <cell r="V107">
            <v>1</v>
          </cell>
          <cell r="W107">
            <v>32</v>
          </cell>
          <cell r="X107">
            <v>2</v>
          </cell>
          <cell r="Y107">
            <v>5</v>
          </cell>
          <cell r="AA107">
            <v>0</v>
          </cell>
          <cell r="AB107">
            <v>0</v>
          </cell>
          <cell r="AC107">
            <v>0</v>
          </cell>
          <cell r="AD107">
            <v>1</v>
          </cell>
          <cell r="AE107">
            <v>0</v>
          </cell>
          <cell r="AF107">
            <v>0</v>
          </cell>
          <cell r="AG107">
            <v>0</v>
          </cell>
          <cell r="AH107">
            <v>0</v>
          </cell>
          <cell r="AI107">
            <v>4</v>
          </cell>
          <cell r="AK107">
            <v>0</v>
          </cell>
          <cell r="AL107">
            <v>1</v>
          </cell>
          <cell r="AN107">
            <v>18844</v>
          </cell>
          <cell r="AO107">
            <v>9</v>
          </cell>
          <cell r="AQ107">
            <v>0</v>
          </cell>
          <cell r="AR107">
            <v>21</v>
          </cell>
          <cell r="AS107">
            <v>4</v>
          </cell>
          <cell r="AT107">
            <v>4</v>
          </cell>
          <cell r="AU107">
            <v>1</v>
          </cell>
          <cell r="AV107">
            <v>30</v>
          </cell>
          <cell r="AW107">
            <v>30</v>
          </cell>
          <cell r="AX107">
            <v>3</v>
          </cell>
          <cell r="AY107">
            <v>3</v>
          </cell>
          <cell r="AZ107">
            <v>3</v>
          </cell>
          <cell r="BA107">
            <v>3</v>
          </cell>
          <cell r="BB107">
            <v>2</v>
          </cell>
          <cell r="BC107">
            <v>2</v>
          </cell>
          <cell r="BD107">
            <v>2</v>
          </cell>
          <cell r="BE107">
            <v>2</v>
          </cell>
          <cell r="BF107">
            <v>2</v>
          </cell>
          <cell r="BG107">
            <v>10</v>
          </cell>
          <cell r="BH107">
            <v>0</v>
          </cell>
          <cell r="BI107">
            <v>1</v>
          </cell>
          <cell r="BJ107">
            <v>0</v>
          </cell>
          <cell r="BK107">
            <v>0</v>
          </cell>
          <cell r="BL107">
            <v>0</v>
          </cell>
          <cell r="BM107">
            <v>0</v>
          </cell>
          <cell r="BN107">
            <v>1</v>
          </cell>
          <cell r="BO107">
            <v>0</v>
          </cell>
          <cell r="BP107">
            <v>2</v>
          </cell>
          <cell r="BQ107">
            <v>0</v>
          </cell>
          <cell r="BR107">
            <v>0</v>
          </cell>
          <cell r="BS107">
            <v>30</v>
          </cell>
          <cell r="BT107">
            <v>0</v>
          </cell>
          <cell r="BU107">
            <v>0</v>
          </cell>
        </row>
        <row r="108">
          <cell r="A108">
            <v>50</v>
          </cell>
          <cell r="B108">
            <v>50</v>
          </cell>
          <cell r="D108">
            <v>0</v>
          </cell>
          <cell r="F108">
            <v>1</v>
          </cell>
          <cell r="G108">
            <v>0</v>
          </cell>
          <cell r="I108">
            <v>1</v>
          </cell>
          <cell r="J108">
            <v>0</v>
          </cell>
          <cell r="K108">
            <v>1</v>
          </cell>
          <cell r="L108">
            <v>1</v>
          </cell>
          <cell r="M108">
            <v>3</v>
          </cell>
          <cell r="O108">
            <v>1</v>
          </cell>
          <cell r="P108">
            <v>0</v>
          </cell>
          <cell r="Q108">
            <v>0</v>
          </cell>
          <cell r="R108">
            <v>0</v>
          </cell>
          <cell r="S108">
            <v>0</v>
          </cell>
          <cell r="T108">
            <v>1</v>
          </cell>
          <cell r="V108">
            <v>1</v>
          </cell>
          <cell r="W108">
            <v>73</v>
          </cell>
          <cell r="X108">
            <v>3</v>
          </cell>
          <cell r="Y108">
            <v>5</v>
          </cell>
          <cell r="AA108">
            <v>0</v>
          </cell>
          <cell r="AB108">
            <v>0</v>
          </cell>
          <cell r="AC108">
            <v>0</v>
          </cell>
          <cell r="AD108">
            <v>0</v>
          </cell>
          <cell r="AE108">
            <v>0</v>
          </cell>
          <cell r="AF108">
            <v>0</v>
          </cell>
          <cell r="AG108">
            <v>0</v>
          </cell>
          <cell r="AH108">
            <v>0</v>
          </cell>
          <cell r="AI108">
            <v>2</v>
          </cell>
          <cell r="AK108">
            <v>0</v>
          </cell>
          <cell r="AL108">
            <v>1</v>
          </cell>
          <cell r="AN108">
            <v>18172</v>
          </cell>
          <cell r="AO108">
            <v>3</v>
          </cell>
          <cell r="AQ108">
            <v>1</v>
          </cell>
          <cell r="AR108">
            <v>19</v>
          </cell>
          <cell r="AS108">
            <v>3</v>
          </cell>
          <cell r="AT108">
            <v>1</v>
          </cell>
          <cell r="AU108">
            <v>0</v>
          </cell>
          <cell r="AV108">
            <v>28</v>
          </cell>
          <cell r="AW108">
            <v>28</v>
          </cell>
          <cell r="AX108">
            <v>1</v>
          </cell>
          <cell r="AY108">
            <v>2</v>
          </cell>
          <cell r="AZ108">
            <v>8</v>
          </cell>
          <cell r="BA108">
            <v>8</v>
          </cell>
          <cell r="BB108">
            <v>3</v>
          </cell>
          <cell r="BC108">
            <v>0</v>
          </cell>
          <cell r="BD108">
            <v>0</v>
          </cell>
          <cell r="BE108">
            <v>7</v>
          </cell>
          <cell r="BF108">
            <v>7</v>
          </cell>
          <cell r="BG108">
            <v>35</v>
          </cell>
          <cell r="BH108">
            <v>0</v>
          </cell>
          <cell r="BI108">
            <v>0</v>
          </cell>
          <cell r="BJ108">
            <v>0</v>
          </cell>
          <cell r="BK108">
            <v>1</v>
          </cell>
          <cell r="BL108">
            <v>0</v>
          </cell>
          <cell r="BM108">
            <v>0</v>
          </cell>
          <cell r="BN108">
            <v>0</v>
          </cell>
          <cell r="BO108">
            <v>1</v>
          </cell>
          <cell r="BP108">
            <v>0</v>
          </cell>
          <cell r="BQ108">
            <v>7</v>
          </cell>
          <cell r="BR108">
            <v>0</v>
          </cell>
          <cell r="BS108">
            <v>0</v>
          </cell>
          <cell r="BT108">
            <v>28</v>
          </cell>
          <cell r="BU108">
            <v>0</v>
          </cell>
        </row>
        <row r="109">
          <cell r="A109">
            <v>25</v>
          </cell>
          <cell r="B109">
            <v>25</v>
          </cell>
          <cell r="D109">
            <v>1</v>
          </cell>
          <cell r="F109">
            <v>0</v>
          </cell>
          <cell r="G109">
            <v>1</v>
          </cell>
          <cell r="I109">
            <v>0</v>
          </cell>
          <cell r="J109">
            <v>1</v>
          </cell>
          <cell r="K109">
            <v>5</v>
          </cell>
          <cell r="L109">
            <v>5</v>
          </cell>
          <cell r="M109">
            <v>3</v>
          </cell>
          <cell r="O109">
            <v>0</v>
          </cell>
          <cell r="P109">
            <v>0</v>
          </cell>
          <cell r="Q109">
            <v>0</v>
          </cell>
          <cell r="R109">
            <v>1</v>
          </cell>
          <cell r="S109">
            <v>0</v>
          </cell>
          <cell r="T109">
            <v>3</v>
          </cell>
          <cell r="V109">
            <v>0</v>
          </cell>
          <cell r="W109">
            <v>46</v>
          </cell>
          <cell r="X109">
            <v>2</v>
          </cell>
          <cell r="Y109">
            <v>2</v>
          </cell>
          <cell r="AA109">
            <v>0</v>
          </cell>
          <cell r="AB109">
            <v>1</v>
          </cell>
          <cell r="AC109">
            <v>0</v>
          </cell>
          <cell r="AD109">
            <v>0</v>
          </cell>
          <cell r="AE109">
            <v>0</v>
          </cell>
          <cell r="AF109">
            <v>0</v>
          </cell>
          <cell r="AG109">
            <v>0</v>
          </cell>
          <cell r="AH109">
            <v>0</v>
          </cell>
          <cell r="AI109">
            <v>3</v>
          </cell>
          <cell r="AK109">
            <v>1</v>
          </cell>
          <cell r="AL109">
            <v>0</v>
          </cell>
          <cell r="AN109">
            <v>5744</v>
          </cell>
          <cell r="AO109">
            <v>1</v>
          </cell>
          <cell r="AQ109">
            <v>1</v>
          </cell>
          <cell r="AR109">
            <v>11</v>
          </cell>
          <cell r="AS109">
            <v>3</v>
          </cell>
          <cell r="AT109">
            <v>4</v>
          </cell>
          <cell r="AU109">
            <v>0</v>
          </cell>
          <cell r="AV109">
            <v>6</v>
          </cell>
          <cell r="AW109">
            <v>6</v>
          </cell>
          <cell r="AX109">
            <v>1</v>
          </cell>
          <cell r="AY109">
            <v>3</v>
          </cell>
          <cell r="AZ109">
            <v>6</v>
          </cell>
          <cell r="BA109">
            <v>6</v>
          </cell>
          <cell r="BB109">
            <v>4</v>
          </cell>
          <cell r="BC109">
            <v>0</v>
          </cell>
          <cell r="BD109">
            <v>0</v>
          </cell>
          <cell r="BE109">
            <v>3</v>
          </cell>
          <cell r="BF109">
            <v>3</v>
          </cell>
          <cell r="BG109">
            <v>6</v>
          </cell>
          <cell r="BH109">
            <v>1</v>
          </cell>
          <cell r="BI109">
            <v>0</v>
          </cell>
          <cell r="BJ109">
            <v>0</v>
          </cell>
          <cell r="BK109">
            <v>0</v>
          </cell>
          <cell r="BL109">
            <v>0</v>
          </cell>
          <cell r="BM109">
            <v>1</v>
          </cell>
          <cell r="BN109">
            <v>0</v>
          </cell>
          <cell r="BO109">
            <v>0</v>
          </cell>
          <cell r="BP109">
            <v>0</v>
          </cell>
          <cell r="BQ109">
            <v>0</v>
          </cell>
          <cell r="BR109">
            <v>3</v>
          </cell>
          <cell r="BS109">
            <v>0</v>
          </cell>
          <cell r="BT109">
            <v>0</v>
          </cell>
          <cell r="BU109">
            <v>6</v>
          </cell>
        </row>
        <row r="110">
          <cell r="A110">
            <v>25</v>
          </cell>
          <cell r="B110">
            <v>25</v>
          </cell>
          <cell r="D110">
            <v>0</v>
          </cell>
          <cell r="F110">
            <v>0</v>
          </cell>
          <cell r="G110">
            <v>1</v>
          </cell>
          <cell r="I110">
            <v>1</v>
          </cell>
          <cell r="J110">
            <v>0</v>
          </cell>
          <cell r="K110">
            <v>7</v>
          </cell>
          <cell r="L110">
            <v>7</v>
          </cell>
          <cell r="M110">
            <v>1</v>
          </cell>
          <cell r="O110">
            <v>0</v>
          </cell>
          <cell r="P110">
            <v>0</v>
          </cell>
          <cell r="Q110">
            <v>1</v>
          </cell>
          <cell r="R110">
            <v>0</v>
          </cell>
          <cell r="S110">
            <v>0</v>
          </cell>
          <cell r="T110">
            <v>4</v>
          </cell>
          <cell r="V110">
            <v>0</v>
          </cell>
          <cell r="W110">
            <v>64</v>
          </cell>
          <cell r="X110">
            <v>2</v>
          </cell>
          <cell r="Y110">
            <v>1</v>
          </cell>
          <cell r="AA110">
            <v>0</v>
          </cell>
          <cell r="AB110">
            <v>0</v>
          </cell>
          <cell r="AC110">
            <v>0</v>
          </cell>
          <cell r="AD110">
            <v>0</v>
          </cell>
          <cell r="AE110">
            <v>0</v>
          </cell>
          <cell r="AF110">
            <v>0</v>
          </cell>
          <cell r="AG110">
            <v>0</v>
          </cell>
          <cell r="AH110">
            <v>1</v>
          </cell>
          <cell r="AI110">
            <v>4</v>
          </cell>
          <cell r="AK110">
            <v>0</v>
          </cell>
          <cell r="AL110">
            <v>1</v>
          </cell>
          <cell r="AN110">
            <v>2889</v>
          </cell>
          <cell r="AO110">
            <v>1</v>
          </cell>
          <cell r="AQ110">
            <v>0</v>
          </cell>
          <cell r="AR110">
            <v>11</v>
          </cell>
          <cell r="AS110">
            <v>3</v>
          </cell>
          <cell r="AT110">
            <v>3</v>
          </cell>
          <cell r="AU110">
            <v>2</v>
          </cell>
          <cell r="AV110">
            <v>2</v>
          </cell>
          <cell r="AW110">
            <v>2</v>
          </cell>
          <cell r="AX110">
            <v>2</v>
          </cell>
          <cell r="AY110">
            <v>3</v>
          </cell>
          <cell r="AZ110">
            <v>2</v>
          </cell>
          <cell r="BA110">
            <v>2</v>
          </cell>
          <cell r="BB110">
            <v>2</v>
          </cell>
          <cell r="BC110">
            <v>2</v>
          </cell>
          <cell r="BD110">
            <v>2</v>
          </cell>
          <cell r="BE110">
            <v>1</v>
          </cell>
          <cell r="BF110">
            <v>1</v>
          </cell>
          <cell r="BG110">
            <v>1</v>
          </cell>
          <cell r="BH110">
            <v>0</v>
          </cell>
          <cell r="BI110">
            <v>1</v>
          </cell>
          <cell r="BJ110">
            <v>0</v>
          </cell>
          <cell r="BK110">
            <v>0</v>
          </cell>
          <cell r="BL110">
            <v>0</v>
          </cell>
          <cell r="BM110">
            <v>0</v>
          </cell>
          <cell r="BN110">
            <v>1</v>
          </cell>
          <cell r="BO110">
            <v>0</v>
          </cell>
          <cell r="BP110">
            <v>0</v>
          </cell>
          <cell r="BQ110">
            <v>1</v>
          </cell>
          <cell r="BR110">
            <v>0</v>
          </cell>
          <cell r="BS110">
            <v>0</v>
          </cell>
          <cell r="BT110">
            <v>2</v>
          </cell>
          <cell r="BU110">
            <v>0</v>
          </cell>
        </row>
        <row r="111">
          <cell r="A111">
            <v>22</v>
          </cell>
          <cell r="B111">
            <v>22</v>
          </cell>
          <cell r="D111">
            <v>0</v>
          </cell>
          <cell r="F111">
            <v>0</v>
          </cell>
          <cell r="G111">
            <v>1</v>
          </cell>
          <cell r="I111">
            <v>1</v>
          </cell>
          <cell r="J111">
            <v>0</v>
          </cell>
          <cell r="K111">
            <v>15</v>
          </cell>
          <cell r="L111">
            <v>15</v>
          </cell>
          <cell r="M111">
            <v>3</v>
          </cell>
          <cell r="O111">
            <v>0</v>
          </cell>
          <cell r="P111">
            <v>0</v>
          </cell>
          <cell r="Q111">
            <v>1</v>
          </cell>
          <cell r="R111">
            <v>0</v>
          </cell>
          <cell r="S111">
            <v>0</v>
          </cell>
          <cell r="T111">
            <v>2</v>
          </cell>
          <cell r="V111">
            <v>1</v>
          </cell>
          <cell r="W111">
            <v>59</v>
          </cell>
          <cell r="X111">
            <v>3</v>
          </cell>
          <cell r="Y111">
            <v>1</v>
          </cell>
          <cell r="AA111">
            <v>0</v>
          </cell>
          <cell r="AB111">
            <v>0</v>
          </cell>
          <cell r="AC111">
            <v>1</v>
          </cell>
          <cell r="AD111">
            <v>0</v>
          </cell>
          <cell r="AE111">
            <v>0</v>
          </cell>
          <cell r="AF111">
            <v>0</v>
          </cell>
          <cell r="AG111">
            <v>0</v>
          </cell>
          <cell r="AH111">
            <v>0</v>
          </cell>
          <cell r="AI111">
            <v>4</v>
          </cell>
          <cell r="AK111">
            <v>1</v>
          </cell>
          <cell r="AL111">
            <v>0</v>
          </cell>
          <cell r="AN111">
            <v>2871</v>
          </cell>
          <cell r="AO111">
            <v>1</v>
          </cell>
          <cell r="AQ111">
            <v>0</v>
          </cell>
          <cell r="AR111">
            <v>15</v>
          </cell>
          <cell r="AS111">
            <v>3</v>
          </cell>
          <cell r="AT111">
            <v>3</v>
          </cell>
          <cell r="AU111">
            <v>0</v>
          </cell>
          <cell r="AV111">
            <v>1</v>
          </cell>
          <cell r="AW111">
            <v>1</v>
          </cell>
          <cell r="AX111">
            <v>5</v>
          </cell>
          <cell r="AY111">
            <v>3</v>
          </cell>
          <cell r="AZ111">
            <v>0</v>
          </cell>
          <cell r="BA111">
            <v>0</v>
          </cell>
          <cell r="BB111">
            <v>0</v>
          </cell>
          <cell r="BC111">
            <v>0</v>
          </cell>
          <cell r="BD111">
            <v>0</v>
          </cell>
          <cell r="BE111">
            <v>0</v>
          </cell>
          <cell r="BF111">
            <v>0</v>
          </cell>
          <cell r="BG111">
            <v>0</v>
          </cell>
          <cell r="BH111">
            <v>1</v>
          </cell>
          <cell r="BI111">
            <v>0</v>
          </cell>
          <cell r="BJ111">
            <v>0</v>
          </cell>
          <cell r="BK111">
            <v>0</v>
          </cell>
          <cell r="BL111">
            <v>1</v>
          </cell>
          <cell r="BM111">
            <v>0</v>
          </cell>
          <cell r="BN111">
            <v>0</v>
          </cell>
          <cell r="BO111">
            <v>0</v>
          </cell>
          <cell r="BP111">
            <v>0</v>
          </cell>
          <cell r="BQ111">
            <v>0</v>
          </cell>
          <cell r="BR111">
            <v>0</v>
          </cell>
          <cell r="BS111">
            <v>0</v>
          </cell>
          <cell r="BT111">
            <v>1</v>
          </cell>
          <cell r="BU111">
            <v>0</v>
          </cell>
        </row>
        <row r="112">
          <cell r="A112">
            <v>51</v>
          </cell>
          <cell r="B112">
            <v>51</v>
          </cell>
          <cell r="D112">
            <v>0</v>
          </cell>
          <cell r="F112">
            <v>1</v>
          </cell>
          <cell r="G112">
            <v>0</v>
          </cell>
          <cell r="I112">
            <v>1</v>
          </cell>
          <cell r="J112">
            <v>0</v>
          </cell>
          <cell r="K112">
            <v>1</v>
          </cell>
          <cell r="L112">
            <v>1</v>
          </cell>
          <cell r="M112">
            <v>4</v>
          </cell>
          <cell r="O112">
            <v>0</v>
          </cell>
          <cell r="P112">
            <v>0</v>
          </cell>
          <cell r="Q112">
            <v>1</v>
          </cell>
          <cell r="R112">
            <v>0</v>
          </cell>
          <cell r="S112">
            <v>0</v>
          </cell>
          <cell r="T112">
            <v>1</v>
          </cell>
          <cell r="V112">
            <v>1</v>
          </cell>
          <cell r="W112">
            <v>30</v>
          </cell>
          <cell r="X112">
            <v>2</v>
          </cell>
          <cell r="Y112">
            <v>3</v>
          </cell>
          <cell r="AA112">
            <v>1</v>
          </cell>
          <cell r="AB112">
            <v>0</v>
          </cell>
          <cell r="AC112">
            <v>0</v>
          </cell>
          <cell r="AD112">
            <v>0</v>
          </cell>
          <cell r="AE112">
            <v>0</v>
          </cell>
          <cell r="AF112">
            <v>0</v>
          </cell>
          <cell r="AG112">
            <v>0</v>
          </cell>
          <cell r="AH112">
            <v>0</v>
          </cell>
          <cell r="AI112">
            <v>1</v>
          </cell>
          <cell r="AK112">
            <v>1</v>
          </cell>
          <cell r="AL112">
            <v>0</v>
          </cell>
          <cell r="AN112">
            <v>7484</v>
          </cell>
          <cell r="AO112">
            <v>3</v>
          </cell>
          <cell r="AQ112">
            <v>0</v>
          </cell>
          <cell r="AR112">
            <v>20</v>
          </cell>
          <cell r="AS112">
            <v>4</v>
          </cell>
          <cell r="AT112">
            <v>3</v>
          </cell>
          <cell r="AU112">
            <v>0</v>
          </cell>
          <cell r="AV112">
            <v>23</v>
          </cell>
          <cell r="AW112">
            <v>23</v>
          </cell>
          <cell r="AX112">
            <v>1</v>
          </cell>
          <cell r="AY112">
            <v>2</v>
          </cell>
          <cell r="AZ112">
            <v>13</v>
          </cell>
          <cell r="BA112">
            <v>13</v>
          </cell>
          <cell r="BB112">
            <v>12</v>
          </cell>
          <cell r="BC112">
            <v>12</v>
          </cell>
          <cell r="BD112">
            <v>12</v>
          </cell>
          <cell r="BE112">
            <v>8</v>
          </cell>
          <cell r="BF112">
            <v>8</v>
          </cell>
          <cell r="BG112">
            <v>24</v>
          </cell>
          <cell r="BH112">
            <v>0</v>
          </cell>
          <cell r="BI112">
            <v>0</v>
          </cell>
          <cell r="BJ112">
            <v>1</v>
          </cell>
          <cell r="BK112">
            <v>0</v>
          </cell>
          <cell r="BL112">
            <v>1</v>
          </cell>
          <cell r="BM112">
            <v>0</v>
          </cell>
          <cell r="BN112">
            <v>0</v>
          </cell>
          <cell r="BO112">
            <v>0</v>
          </cell>
          <cell r="BP112">
            <v>0</v>
          </cell>
          <cell r="BQ112">
            <v>8</v>
          </cell>
          <cell r="BR112">
            <v>0</v>
          </cell>
          <cell r="BS112">
            <v>0</v>
          </cell>
          <cell r="BT112">
            <v>23</v>
          </cell>
          <cell r="BU112">
            <v>0</v>
          </cell>
        </row>
        <row r="113">
          <cell r="A113">
            <v>34</v>
          </cell>
          <cell r="B113">
            <v>34</v>
          </cell>
          <cell r="D113">
            <v>1</v>
          </cell>
          <cell r="F113">
            <v>1</v>
          </cell>
          <cell r="G113">
            <v>0</v>
          </cell>
          <cell r="I113">
            <v>1</v>
          </cell>
          <cell r="J113">
            <v>0</v>
          </cell>
          <cell r="K113">
            <v>7</v>
          </cell>
          <cell r="L113">
            <v>7</v>
          </cell>
          <cell r="M113">
            <v>3</v>
          </cell>
          <cell r="O113">
            <v>1</v>
          </cell>
          <cell r="P113">
            <v>0</v>
          </cell>
          <cell r="Q113">
            <v>0</v>
          </cell>
          <cell r="R113">
            <v>0</v>
          </cell>
          <cell r="S113">
            <v>0</v>
          </cell>
          <cell r="T113">
            <v>1</v>
          </cell>
          <cell r="V113">
            <v>0</v>
          </cell>
          <cell r="W113">
            <v>66</v>
          </cell>
          <cell r="X113">
            <v>1</v>
          </cell>
          <cell r="Y113">
            <v>2</v>
          </cell>
          <cell r="AA113">
            <v>0</v>
          </cell>
          <cell r="AB113">
            <v>0</v>
          </cell>
          <cell r="AC113">
            <v>1</v>
          </cell>
          <cell r="AD113">
            <v>0</v>
          </cell>
          <cell r="AE113">
            <v>0</v>
          </cell>
          <cell r="AF113">
            <v>0</v>
          </cell>
          <cell r="AG113">
            <v>0</v>
          </cell>
          <cell r="AH113">
            <v>0</v>
          </cell>
          <cell r="AI113">
            <v>3</v>
          </cell>
          <cell r="AK113">
            <v>1</v>
          </cell>
          <cell r="AL113">
            <v>0</v>
          </cell>
          <cell r="AN113">
            <v>6074</v>
          </cell>
          <cell r="AO113">
            <v>1</v>
          </cell>
          <cell r="AQ113">
            <v>1</v>
          </cell>
          <cell r="AR113">
            <v>24</v>
          </cell>
          <cell r="AS113">
            <v>4</v>
          </cell>
          <cell r="AT113">
            <v>4</v>
          </cell>
          <cell r="AU113">
            <v>0</v>
          </cell>
          <cell r="AV113">
            <v>9</v>
          </cell>
          <cell r="AW113">
            <v>9</v>
          </cell>
          <cell r="AX113">
            <v>3</v>
          </cell>
          <cell r="AY113">
            <v>3</v>
          </cell>
          <cell r="AZ113">
            <v>9</v>
          </cell>
          <cell r="BA113">
            <v>9</v>
          </cell>
          <cell r="BB113">
            <v>7</v>
          </cell>
          <cell r="BC113">
            <v>0</v>
          </cell>
          <cell r="BD113">
            <v>0</v>
          </cell>
          <cell r="BE113">
            <v>6</v>
          </cell>
          <cell r="BF113">
            <v>6</v>
          </cell>
          <cell r="BG113">
            <v>12</v>
          </cell>
          <cell r="BH113">
            <v>0</v>
          </cell>
          <cell r="BI113">
            <v>0</v>
          </cell>
          <cell r="BJ113">
            <v>1</v>
          </cell>
          <cell r="BK113">
            <v>0</v>
          </cell>
          <cell r="BL113">
            <v>0</v>
          </cell>
          <cell r="BM113">
            <v>1</v>
          </cell>
          <cell r="BN113">
            <v>0</v>
          </cell>
          <cell r="BO113">
            <v>0</v>
          </cell>
          <cell r="BP113">
            <v>0</v>
          </cell>
          <cell r="BQ113">
            <v>6</v>
          </cell>
          <cell r="BR113">
            <v>0</v>
          </cell>
          <cell r="BS113">
            <v>0</v>
          </cell>
          <cell r="BT113">
            <v>9</v>
          </cell>
          <cell r="BU113">
            <v>0</v>
          </cell>
        </row>
        <row r="114">
          <cell r="A114">
            <v>54</v>
          </cell>
          <cell r="B114">
            <v>54</v>
          </cell>
          <cell r="D114">
            <v>0</v>
          </cell>
          <cell r="F114">
            <v>0</v>
          </cell>
          <cell r="G114">
            <v>0</v>
          </cell>
          <cell r="I114">
            <v>0</v>
          </cell>
          <cell r="J114">
            <v>0</v>
          </cell>
          <cell r="K114">
            <v>26</v>
          </cell>
          <cell r="L114">
            <v>26</v>
          </cell>
          <cell r="M114">
            <v>3</v>
          </cell>
          <cell r="O114">
            <v>0</v>
          </cell>
          <cell r="P114">
            <v>0</v>
          </cell>
          <cell r="Q114">
            <v>0</v>
          </cell>
          <cell r="R114">
            <v>0</v>
          </cell>
          <cell r="S114">
            <v>0</v>
          </cell>
          <cell r="T114">
            <v>4</v>
          </cell>
          <cell r="V114">
            <v>1</v>
          </cell>
          <cell r="W114">
            <v>30</v>
          </cell>
          <cell r="X114">
            <v>4</v>
          </cell>
          <cell r="Y114">
            <v>4</v>
          </cell>
          <cell r="AA114">
            <v>0</v>
          </cell>
          <cell r="AB114">
            <v>0</v>
          </cell>
          <cell r="AC114">
            <v>0</v>
          </cell>
          <cell r="AD114">
            <v>1</v>
          </cell>
          <cell r="AE114">
            <v>0</v>
          </cell>
          <cell r="AF114">
            <v>0</v>
          </cell>
          <cell r="AG114">
            <v>0</v>
          </cell>
          <cell r="AH114">
            <v>0</v>
          </cell>
          <cell r="AI114">
            <v>4</v>
          </cell>
          <cell r="AK114">
            <v>1</v>
          </cell>
          <cell r="AL114">
            <v>0</v>
          </cell>
          <cell r="AN114">
            <v>17328</v>
          </cell>
          <cell r="AO114">
            <v>2</v>
          </cell>
          <cell r="AQ114">
            <v>1</v>
          </cell>
          <cell r="AR114">
            <v>12</v>
          </cell>
          <cell r="AS114">
            <v>3</v>
          </cell>
          <cell r="AT114">
            <v>3</v>
          </cell>
          <cell r="AU114">
            <v>0</v>
          </cell>
          <cell r="AV114">
            <v>23</v>
          </cell>
          <cell r="AW114">
            <v>23</v>
          </cell>
          <cell r="AX114">
            <v>3</v>
          </cell>
          <cell r="AY114">
            <v>3</v>
          </cell>
          <cell r="AZ114">
            <v>5</v>
          </cell>
          <cell r="BA114">
            <v>5</v>
          </cell>
          <cell r="BB114">
            <v>3</v>
          </cell>
          <cell r="BC114">
            <v>4</v>
          </cell>
          <cell r="BD114">
            <v>4</v>
          </cell>
          <cell r="BE114">
            <v>4</v>
          </cell>
          <cell r="BF114">
            <v>4</v>
          </cell>
          <cell r="BG114">
            <v>16</v>
          </cell>
          <cell r="BH114">
            <v>1</v>
          </cell>
          <cell r="BI114">
            <v>0</v>
          </cell>
          <cell r="BJ114">
            <v>0</v>
          </cell>
          <cell r="BK114">
            <v>0</v>
          </cell>
          <cell r="BL114">
            <v>0</v>
          </cell>
          <cell r="BM114">
            <v>1</v>
          </cell>
          <cell r="BN114">
            <v>0</v>
          </cell>
          <cell r="BO114">
            <v>0</v>
          </cell>
          <cell r="BP114">
            <v>4</v>
          </cell>
          <cell r="BQ114">
            <v>0</v>
          </cell>
          <cell r="BR114">
            <v>0</v>
          </cell>
          <cell r="BS114">
            <v>23</v>
          </cell>
          <cell r="BT114">
            <v>0</v>
          </cell>
          <cell r="BU114">
            <v>0</v>
          </cell>
        </row>
        <row r="115">
          <cell r="A115">
            <v>24</v>
          </cell>
          <cell r="B115">
            <v>24</v>
          </cell>
          <cell r="D115">
            <v>0</v>
          </cell>
          <cell r="F115">
            <v>0</v>
          </cell>
          <cell r="G115">
            <v>1</v>
          </cell>
          <cell r="I115">
            <v>1</v>
          </cell>
          <cell r="J115">
            <v>0</v>
          </cell>
          <cell r="K115">
            <v>18</v>
          </cell>
          <cell r="L115">
            <v>18</v>
          </cell>
          <cell r="M115">
            <v>1</v>
          </cell>
          <cell r="O115">
            <v>1</v>
          </cell>
          <cell r="P115">
            <v>0</v>
          </cell>
          <cell r="Q115">
            <v>0</v>
          </cell>
          <cell r="R115">
            <v>0</v>
          </cell>
          <cell r="S115">
            <v>0</v>
          </cell>
          <cell r="T115">
            <v>2</v>
          </cell>
          <cell r="V115">
            <v>0</v>
          </cell>
          <cell r="W115">
            <v>52</v>
          </cell>
          <cell r="X115">
            <v>3</v>
          </cell>
          <cell r="Y115">
            <v>1</v>
          </cell>
          <cell r="AA115">
            <v>0</v>
          </cell>
          <cell r="AB115">
            <v>0</v>
          </cell>
          <cell r="AC115">
            <v>1</v>
          </cell>
          <cell r="AD115">
            <v>0</v>
          </cell>
          <cell r="AE115">
            <v>0</v>
          </cell>
          <cell r="AF115">
            <v>0</v>
          </cell>
          <cell r="AG115">
            <v>0</v>
          </cell>
          <cell r="AH115">
            <v>0</v>
          </cell>
          <cell r="AI115">
            <v>3</v>
          </cell>
          <cell r="AK115">
            <v>0</v>
          </cell>
          <cell r="AL115">
            <v>1</v>
          </cell>
          <cell r="AN115">
            <v>2774</v>
          </cell>
          <cell r="AO115">
            <v>0</v>
          </cell>
          <cell r="AQ115">
            <v>0</v>
          </cell>
          <cell r="AR115">
            <v>12</v>
          </cell>
          <cell r="AS115">
            <v>3</v>
          </cell>
          <cell r="AT115">
            <v>3</v>
          </cell>
          <cell r="AU115">
            <v>1</v>
          </cell>
          <cell r="AV115">
            <v>6</v>
          </cell>
          <cell r="AW115">
            <v>6</v>
          </cell>
          <cell r="AX115">
            <v>2</v>
          </cell>
          <cell r="AY115">
            <v>3</v>
          </cell>
          <cell r="AZ115">
            <v>5</v>
          </cell>
          <cell r="BA115">
            <v>5</v>
          </cell>
          <cell r="BB115">
            <v>3</v>
          </cell>
          <cell r="BC115">
            <v>1</v>
          </cell>
          <cell r="BD115">
            <v>1</v>
          </cell>
          <cell r="BE115">
            <v>2</v>
          </cell>
          <cell r="BF115">
            <v>2</v>
          </cell>
          <cell r="BG115">
            <v>2</v>
          </cell>
          <cell r="BH115">
            <v>0</v>
          </cell>
          <cell r="BI115">
            <v>1</v>
          </cell>
          <cell r="BJ115">
            <v>0</v>
          </cell>
          <cell r="BK115">
            <v>0</v>
          </cell>
          <cell r="BL115">
            <v>0</v>
          </cell>
          <cell r="BM115">
            <v>0</v>
          </cell>
          <cell r="BN115">
            <v>1</v>
          </cell>
          <cell r="BO115">
            <v>0</v>
          </cell>
          <cell r="BP115">
            <v>0</v>
          </cell>
          <cell r="BQ115">
            <v>2</v>
          </cell>
          <cell r="BR115">
            <v>0</v>
          </cell>
          <cell r="BS115">
            <v>0</v>
          </cell>
          <cell r="BT115">
            <v>6</v>
          </cell>
          <cell r="BU115">
            <v>0</v>
          </cell>
        </row>
        <row r="116">
          <cell r="A116">
            <v>34</v>
          </cell>
          <cell r="B116">
            <v>34</v>
          </cell>
          <cell r="D116">
            <v>0</v>
          </cell>
          <cell r="F116">
            <v>0</v>
          </cell>
          <cell r="G116">
            <v>1</v>
          </cell>
          <cell r="I116">
            <v>1</v>
          </cell>
          <cell r="J116">
            <v>0</v>
          </cell>
          <cell r="K116">
            <v>6</v>
          </cell>
          <cell r="L116">
            <v>6</v>
          </cell>
          <cell r="M116">
            <v>4</v>
          </cell>
          <cell r="O116">
            <v>1</v>
          </cell>
          <cell r="P116">
            <v>0</v>
          </cell>
          <cell r="Q116">
            <v>0</v>
          </cell>
          <cell r="R116">
            <v>0</v>
          </cell>
          <cell r="S116">
            <v>0</v>
          </cell>
          <cell r="T116">
            <v>3</v>
          </cell>
          <cell r="V116">
            <v>1</v>
          </cell>
          <cell r="W116">
            <v>45</v>
          </cell>
          <cell r="X116">
            <v>2</v>
          </cell>
          <cell r="Y116">
            <v>2</v>
          </cell>
          <cell r="AA116">
            <v>0</v>
          </cell>
          <cell r="AB116">
            <v>0</v>
          </cell>
          <cell r="AC116">
            <v>0</v>
          </cell>
          <cell r="AD116">
            <v>0</v>
          </cell>
          <cell r="AE116">
            <v>0</v>
          </cell>
          <cell r="AF116">
            <v>0</v>
          </cell>
          <cell r="AG116">
            <v>0</v>
          </cell>
          <cell r="AH116">
            <v>1</v>
          </cell>
          <cell r="AI116">
            <v>2</v>
          </cell>
          <cell r="AK116">
            <v>0</v>
          </cell>
          <cell r="AL116">
            <v>0</v>
          </cell>
          <cell r="AN116">
            <v>4505</v>
          </cell>
          <cell r="AO116">
            <v>6</v>
          </cell>
          <cell r="AQ116">
            <v>0</v>
          </cell>
          <cell r="AR116">
            <v>15</v>
          </cell>
          <cell r="AS116">
            <v>3</v>
          </cell>
          <cell r="AT116">
            <v>3</v>
          </cell>
          <cell r="AU116">
            <v>1</v>
          </cell>
          <cell r="AV116">
            <v>12</v>
          </cell>
          <cell r="AW116">
            <v>12</v>
          </cell>
          <cell r="AX116">
            <v>3</v>
          </cell>
          <cell r="AY116">
            <v>3</v>
          </cell>
          <cell r="AZ116">
            <v>1</v>
          </cell>
          <cell r="BA116">
            <v>1</v>
          </cell>
          <cell r="BB116">
            <v>0</v>
          </cell>
          <cell r="BC116">
            <v>0</v>
          </cell>
          <cell r="BD116">
            <v>0</v>
          </cell>
          <cell r="BE116">
            <v>0</v>
          </cell>
          <cell r="BF116">
            <v>0</v>
          </cell>
          <cell r="BG116">
            <v>0</v>
          </cell>
          <cell r="BH116">
            <v>1</v>
          </cell>
          <cell r="BI116">
            <v>0</v>
          </cell>
          <cell r="BJ116">
            <v>0</v>
          </cell>
          <cell r="BK116">
            <v>0</v>
          </cell>
          <cell r="BL116">
            <v>1</v>
          </cell>
          <cell r="BM116">
            <v>0</v>
          </cell>
          <cell r="BN116">
            <v>0</v>
          </cell>
          <cell r="BO116">
            <v>0</v>
          </cell>
          <cell r="BP116">
            <v>0</v>
          </cell>
          <cell r="BQ116">
            <v>0</v>
          </cell>
          <cell r="BR116">
            <v>0</v>
          </cell>
          <cell r="BS116">
            <v>0</v>
          </cell>
          <cell r="BT116">
            <v>12</v>
          </cell>
          <cell r="BU116">
            <v>0</v>
          </cell>
        </row>
        <row r="117">
          <cell r="A117">
            <v>37</v>
          </cell>
          <cell r="B117">
            <v>37</v>
          </cell>
          <cell r="D117">
            <v>0</v>
          </cell>
          <cell r="F117">
            <v>0</v>
          </cell>
          <cell r="G117">
            <v>1</v>
          </cell>
          <cell r="I117">
            <v>0</v>
          </cell>
          <cell r="J117">
            <v>1</v>
          </cell>
          <cell r="K117">
            <v>3</v>
          </cell>
          <cell r="L117">
            <v>3</v>
          </cell>
          <cell r="M117">
            <v>3</v>
          </cell>
          <cell r="O117">
            <v>1</v>
          </cell>
          <cell r="P117">
            <v>0</v>
          </cell>
          <cell r="Q117">
            <v>0</v>
          </cell>
          <cell r="R117">
            <v>0</v>
          </cell>
          <cell r="S117">
            <v>0</v>
          </cell>
          <cell r="T117">
            <v>3</v>
          </cell>
          <cell r="V117">
            <v>0</v>
          </cell>
          <cell r="W117">
            <v>87</v>
          </cell>
          <cell r="X117">
            <v>3</v>
          </cell>
          <cell r="Y117">
            <v>3</v>
          </cell>
          <cell r="AA117">
            <v>0</v>
          </cell>
          <cell r="AB117">
            <v>1</v>
          </cell>
          <cell r="AC117">
            <v>0</v>
          </cell>
          <cell r="AD117">
            <v>0</v>
          </cell>
          <cell r="AE117">
            <v>0</v>
          </cell>
          <cell r="AF117">
            <v>0</v>
          </cell>
          <cell r="AG117">
            <v>0</v>
          </cell>
          <cell r="AH117">
            <v>0</v>
          </cell>
          <cell r="AI117">
            <v>4</v>
          </cell>
          <cell r="AK117">
            <v>1</v>
          </cell>
          <cell r="AL117">
            <v>0</v>
          </cell>
          <cell r="AN117">
            <v>7428</v>
          </cell>
          <cell r="AO117">
            <v>2</v>
          </cell>
          <cell r="AQ117">
            <v>0</v>
          </cell>
          <cell r="AR117">
            <v>12</v>
          </cell>
          <cell r="AS117">
            <v>3</v>
          </cell>
          <cell r="AT117">
            <v>1</v>
          </cell>
          <cell r="AU117">
            <v>0</v>
          </cell>
          <cell r="AV117">
            <v>12</v>
          </cell>
          <cell r="AW117">
            <v>12</v>
          </cell>
          <cell r="AX117">
            <v>3</v>
          </cell>
          <cell r="AY117">
            <v>3</v>
          </cell>
          <cell r="AZ117">
            <v>5</v>
          </cell>
          <cell r="BA117">
            <v>5</v>
          </cell>
          <cell r="BB117">
            <v>3</v>
          </cell>
          <cell r="BC117">
            <v>1</v>
          </cell>
          <cell r="BD117">
            <v>1</v>
          </cell>
          <cell r="BE117">
            <v>3</v>
          </cell>
          <cell r="BF117">
            <v>3</v>
          </cell>
          <cell r="BG117">
            <v>9</v>
          </cell>
          <cell r="BH117">
            <v>1</v>
          </cell>
          <cell r="BI117">
            <v>0</v>
          </cell>
          <cell r="BJ117">
            <v>0</v>
          </cell>
          <cell r="BK117">
            <v>0</v>
          </cell>
          <cell r="BL117">
            <v>1</v>
          </cell>
          <cell r="BM117">
            <v>0</v>
          </cell>
          <cell r="BN117">
            <v>0</v>
          </cell>
          <cell r="BO117">
            <v>0</v>
          </cell>
          <cell r="BP117">
            <v>0</v>
          </cell>
          <cell r="BQ117">
            <v>0</v>
          </cell>
          <cell r="BR117">
            <v>3</v>
          </cell>
          <cell r="BS117">
            <v>0</v>
          </cell>
          <cell r="BT117">
            <v>0</v>
          </cell>
          <cell r="BU117">
            <v>12</v>
          </cell>
        </row>
        <row r="118">
          <cell r="A118">
            <v>34</v>
          </cell>
          <cell r="B118">
            <v>34</v>
          </cell>
          <cell r="D118">
            <v>0</v>
          </cell>
          <cell r="F118">
            <v>0</v>
          </cell>
          <cell r="G118">
            <v>1</v>
          </cell>
          <cell r="I118">
            <v>1</v>
          </cell>
          <cell r="J118">
            <v>0</v>
          </cell>
          <cell r="K118">
            <v>5</v>
          </cell>
          <cell r="L118">
            <v>5</v>
          </cell>
          <cell r="M118">
            <v>3</v>
          </cell>
          <cell r="O118">
            <v>0</v>
          </cell>
          <cell r="P118">
            <v>0</v>
          </cell>
          <cell r="Q118">
            <v>1</v>
          </cell>
          <cell r="R118">
            <v>0</v>
          </cell>
          <cell r="S118">
            <v>0</v>
          </cell>
          <cell r="T118">
            <v>3</v>
          </cell>
          <cell r="V118">
            <v>1</v>
          </cell>
          <cell r="W118">
            <v>45</v>
          </cell>
          <cell r="X118">
            <v>2</v>
          </cell>
          <cell r="Y118">
            <v>3</v>
          </cell>
          <cell r="AA118">
            <v>0</v>
          </cell>
          <cell r="AB118">
            <v>0</v>
          </cell>
          <cell r="AC118">
            <v>0</v>
          </cell>
          <cell r="AD118">
            <v>1</v>
          </cell>
          <cell r="AE118">
            <v>0</v>
          </cell>
          <cell r="AF118">
            <v>0</v>
          </cell>
          <cell r="AG118">
            <v>0</v>
          </cell>
          <cell r="AH118">
            <v>0</v>
          </cell>
          <cell r="AI118">
            <v>1</v>
          </cell>
          <cell r="AK118">
            <v>1</v>
          </cell>
          <cell r="AL118">
            <v>0</v>
          </cell>
          <cell r="AN118">
            <v>11631</v>
          </cell>
          <cell r="AO118">
            <v>2</v>
          </cell>
          <cell r="AQ118">
            <v>0</v>
          </cell>
          <cell r="AR118">
            <v>12</v>
          </cell>
          <cell r="AS118">
            <v>3</v>
          </cell>
          <cell r="AT118">
            <v>4</v>
          </cell>
          <cell r="AU118">
            <v>0</v>
          </cell>
          <cell r="AV118">
            <v>14</v>
          </cell>
          <cell r="AW118">
            <v>14</v>
          </cell>
          <cell r="AX118">
            <v>6</v>
          </cell>
          <cell r="AY118">
            <v>3</v>
          </cell>
          <cell r="AZ118">
            <v>11</v>
          </cell>
          <cell r="BA118">
            <v>11</v>
          </cell>
          <cell r="BB118">
            <v>10</v>
          </cell>
          <cell r="BC118">
            <v>5</v>
          </cell>
          <cell r="BD118">
            <v>5</v>
          </cell>
          <cell r="BE118">
            <v>8</v>
          </cell>
          <cell r="BF118">
            <v>8</v>
          </cell>
          <cell r="BG118">
            <v>24</v>
          </cell>
          <cell r="BH118">
            <v>1</v>
          </cell>
          <cell r="BI118">
            <v>0</v>
          </cell>
          <cell r="BJ118">
            <v>0</v>
          </cell>
          <cell r="BK118">
            <v>0</v>
          </cell>
          <cell r="BL118">
            <v>1</v>
          </cell>
          <cell r="BM118">
            <v>0</v>
          </cell>
          <cell r="BN118">
            <v>0</v>
          </cell>
          <cell r="BO118">
            <v>0</v>
          </cell>
          <cell r="BP118">
            <v>0</v>
          </cell>
          <cell r="BQ118">
            <v>8</v>
          </cell>
          <cell r="BR118">
            <v>0</v>
          </cell>
          <cell r="BS118">
            <v>0</v>
          </cell>
          <cell r="BT118">
            <v>14</v>
          </cell>
          <cell r="BU118">
            <v>0</v>
          </cell>
        </row>
        <row r="119">
          <cell r="A119">
            <v>36</v>
          </cell>
          <cell r="B119">
            <v>36</v>
          </cell>
          <cell r="D119">
            <v>0</v>
          </cell>
          <cell r="F119">
            <v>1</v>
          </cell>
          <cell r="G119">
            <v>0</v>
          </cell>
          <cell r="I119">
            <v>0</v>
          </cell>
          <cell r="J119">
            <v>1</v>
          </cell>
          <cell r="K119">
            <v>11</v>
          </cell>
          <cell r="L119">
            <v>11</v>
          </cell>
          <cell r="M119">
            <v>2</v>
          </cell>
          <cell r="O119">
            <v>0</v>
          </cell>
          <cell r="P119">
            <v>0</v>
          </cell>
          <cell r="Q119">
            <v>0</v>
          </cell>
          <cell r="R119">
            <v>0</v>
          </cell>
          <cell r="S119">
            <v>1</v>
          </cell>
          <cell r="T119">
            <v>2</v>
          </cell>
          <cell r="V119">
            <v>1</v>
          </cell>
          <cell r="W119">
            <v>92</v>
          </cell>
          <cell r="X119">
            <v>3</v>
          </cell>
          <cell r="Y119">
            <v>3</v>
          </cell>
          <cell r="AA119">
            <v>0</v>
          </cell>
          <cell r="AB119">
            <v>1</v>
          </cell>
          <cell r="AC119">
            <v>0</v>
          </cell>
          <cell r="AD119">
            <v>0</v>
          </cell>
          <cell r="AE119">
            <v>0</v>
          </cell>
          <cell r="AF119">
            <v>0</v>
          </cell>
          <cell r="AG119">
            <v>0</v>
          </cell>
          <cell r="AH119">
            <v>0</v>
          </cell>
          <cell r="AI119">
            <v>4</v>
          </cell>
          <cell r="AK119">
            <v>0</v>
          </cell>
          <cell r="AL119">
            <v>1</v>
          </cell>
          <cell r="AN119">
            <v>9738</v>
          </cell>
          <cell r="AO119">
            <v>0</v>
          </cell>
          <cell r="AQ119">
            <v>0</v>
          </cell>
          <cell r="AR119">
            <v>14</v>
          </cell>
          <cell r="AS119">
            <v>3</v>
          </cell>
          <cell r="AT119">
            <v>3</v>
          </cell>
          <cell r="AU119">
            <v>1</v>
          </cell>
          <cell r="AV119">
            <v>10</v>
          </cell>
          <cell r="AW119">
            <v>10</v>
          </cell>
          <cell r="AX119">
            <v>6</v>
          </cell>
          <cell r="AY119">
            <v>3</v>
          </cell>
          <cell r="AZ119">
            <v>9</v>
          </cell>
          <cell r="BA119">
            <v>9</v>
          </cell>
          <cell r="BB119">
            <v>7</v>
          </cell>
          <cell r="BC119">
            <v>2</v>
          </cell>
          <cell r="BD119">
            <v>2</v>
          </cell>
          <cell r="BE119">
            <v>8</v>
          </cell>
          <cell r="BF119">
            <v>8</v>
          </cell>
          <cell r="BG119">
            <v>24</v>
          </cell>
          <cell r="BH119">
            <v>0</v>
          </cell>
          <cell r="BI119">
            <v>0</v>
          </cell>
          <cell r="BJ119">
            <v>0</v>
          </cell>
          <cell r="BK119">
            <v>1</v>
          </cell>
          <cell r="BL119">
            <v>0</v>
          </cell>
          <cell r="BM119">
            <v>0</v>
          </cell>
          <cell r="BN119">
            <v>1</v>
          </cell>
          <cell r="BO119">
            <v>0</v>
          </cell>
          <cell r="BP119">
            <v>0</v>
          </cell>
          <cell r="BQ119">
            <v>0</v>
          </cell>
          <cell r="BR119">
            <v>8</v>
          </cell>
          <cell r="BS119">
            <v>0</v>
          </cell>
          <cell r="BT119">
            <v>0</v>
          </cell>
          <cell r="BU119">
            <v>10</v>
          </cell>
        </row>
        <row r="120">
          <cell r="A120">
            <v>36</v>
          </cell>
          <cell r="B120">
            <v>36</v>
          </cell>
          <cell r="D120">
            <v>0</v>
          </cell>
          <cell r="F120">
            <v>0</v>
          </cell>
          <cell r="G120">
            <v>1</v>
          </cell>
          <cell r="I120">
            <v>1</v>
          </cell>
          <cell r="J120">
            <v>0</v>
          </cell>
          <cell r="K120">
            <v>3</v>
          </cell>
          <cell r="L120">
            <v>3</v>
          </cell>
          <cell r="M120">
            <v>2</v>
          </cell>
          <cell r="O120">
            <v>1</v>
          </cell>
          <cell r="P120">
            <v>0</v>
          </cell>
          <cell r="Q120">
            <v>0</v>
          </cell>
          <cell r="R120">
            <v>0</v>
          </cell>
          <cell r="S120">
            <v>0</v>
          </cell>
          <cell r="T120">
            <v>1</v>
          </cell>
          <cell r="V120">
            <v>1</v>
          </cell>
          <cell r="W120">
            <v>39</v>
          </cell>
          <cell r="X120">
            <v>3</v>
          </cell>
          <cell r="Y120">
            <v>1</v>
          </cell>
          <cell r="AA120">
            <v>0</v>
          </cell>
          <cell r="AB120">
            <v>0</v>
          </cell>
          <cell r="AC120">
            <v>1</v>
          </cell>
          <cell r="AD120">
            <v>0</v>
          </cell>
          <cell r="AE120">
            <v>0</v>
          </cell>
          <cell r="AF120">
            <v>0</v>
          </cell>
          <cell r="AG120">
            <v>0</v>
          </cell>
          <cell r="AH120">
            <v>0</v>
          </cell>
          <cell r="AI120">
            <v>4</v>
          </cell>
          <cell r="AK120">
            <v>0</v>
          </cell>
          <cell r="AL120">
            <v>0</v>
          </cell>
          <cell r="AN120">
            <v>2835</v>
          </cell>
          <cell r="AO120">
            <v>5</v>
          </cell>
          <cell r="AQ120">
            <v>0</v>
          </cell>
          <cell r="AR120">
            <v>22</v>
          </cell>
          <cell r="AS120">
            <v>4</v>
          </cell>
          <cell r="AT120">
            <v>1</v>
          </cell>
          <cell r="AU120">
            <v>1</v>
          </cell>
          <cell r="AV120">
            <v>7</v>
          </cell>
          <cell r="AW120">
            <v>7</v>
          </cell>
          <cell r="AX120">
            <v>2</v>
          </cell>
          <cell r="AY120">
            <v>3</v>
          </cell>
          <cell r="AZ120">
            <v>1</v>
          </cell>
          <cell r="BA120">
            <v>1</v>
          </cell>
          <cell r="BB120">
            <v>0</v>
          </cell>
          <cell r="BC120">
            <v>0</v>
          </cell>
          <cell r="BD120">
            <v>0</v>
          </cell>
          <cell r="BE120">
            <v>0</v>
          </cell>
          <cell r="BF120">
            <v>0</v>
          </cell>
          <cell r="BG120">
            <v>0</v>
          </cell>
          <cell r="BH120">
            <v>1</v>
          </cell>
          <cell r="BI120">
            <v>0</v>
          </cell>
          <cell r="BJ120">
            <v>0</v>
          </cell>
          <cell r="BK120">
            <v>0</v>
          </cell>
          <cell r="BL120">
            <v>1</v>
          </cell>
          <cell r="BM120">
            <v>0</v>
          </cell>
          <cell r="BN120">
            <v>0</v>
          </cell>
          <cell r="BO120">
            <v>0</v>
          </cell>
          <cell r="BP120">
            <v>0</v>
          </cell>
          <cell r="BQ120">
            <v>0</v>
          </cell>
          <cell r="BR120">
            <v>0</v>
          </cell>
          <cell r="BS120">
            <v>0</v>
          </cell>
          <cell r="BT120">
            <v>7</v>
          </cell>
          <cell r="BU120">
            <v>0</v>
          </cell>
        </row>
        <row r="121">
          <cell r="A121">
            <v>43</v>
          </cell>
          <cell r="B121">
            <v>43</v>
          </cell>
          <cell r="D121">
            <v>0</v>
          </cell>
          <cell r="F121">
            <v>1</v>
          </cell>
          <cell r="G121">
            <v>0</v>
          </cell>
          <cell r="I121">
            <v>0</v>
          </cell>
          <cell r="J121">
            <v>1</v>
          </cell>
          <cell r="K121">
            <v>26</v>
          </cell>
          <cell r="L121">
            <v>26</v>
          </cell>
          <cell r="M121">
            <v>2</v>
          </cell>
          <cell r="O121">
            <v>1</v>
          </cell>
          <cell r="P121">
            <v>0</v>
          </cell>
          <cell r="Q121">
            <v>0</v>
          </cell>
          <cell r="R121">
            <v>0</v>
          </cell>
          <cell r="S121">
            <v>0</v>
          </cell>
          <cell r="T121">
            <v>3</v>
          </cell>
          <cell r="V121">
            <v>0</v>
          </cell>
          <cell r="W121">
            <v>92</v>
          </cell>
          <cell r="X121">
            <v>3</v>
          </cell>
          <cell r="Y121">
            <v>4</v>
          </cell>
          <cell r="AA121">
            <v>0</v>
          </cell>
          <cell r="AB121">
            <v>0</v>
          </cell>
          <cell r="AC121">
            <v>0</v>
          </cell>
          <cell r="AD121">
            <v>1</v>
          </cell>
          <cell r="AE121">
            <v>0</v>
          </cell>
          <cell r="AF121">
            <v>0</v>
          </cell>
          <cell r="AG121">
            <v>0</v>
          </cell>
          <cell r="AH121">
            <v>0</v>
          </cell>
          <cell r="AI121">
            <v>4</v>
          </cell>
          <cell r="AK121">
            <v>0</v>
          </cell>
          <cell r="AL121">
            <v>1</v>
          </cell>
          <cell r="AN121">
            <v>16959</v>
          </cell>
          <cell r="AO121">
            <v>1</v>
          </cell>
          <cell r="AQ121">
            <v>1</v>
          </cell>
          <cell r="AR121">
            <v>12</v>
          </cell>
          <cell r="AS121">
            <v>3</v>
          </cell>
          <cell r="AT121">
            <v>4</v>
          </cell>
          <cell r="AU121">
            <v>2</v>
          </cell>
          <cell r="AV121">
            <v>25</v>
          </cell>
          <cell r="AW121">
            <v>25</v>
          </cell>
          <cell r="AX121">
            <v>3</v>
          </cell>
          <cell r="AY121">
            <v>4</v>
          </cell>
          <cell r="AZ121">
            <v>25</v>
          </cell>
          <cell r="BA121">
            <v>25</v>
          </cell>
          <cell r="BB121">
            <v>12</v>
          </cell>
          <cell r="BC121">
            <v>4</v>
          </cell>
          <cell r="BD121">
            <v>4</v>
          </cell>
          <cell r="BE121">
            <v>12</v>
          </cell>
          <cell r="BF121">
            <v>12</v>
          </cell>
          <cell r="BG121">
            <v>48</v>
          </cell>
          <cell r="BH121">
            <v>0</v>
          </cell>
          <cell r="BI121">
            <v>0</v>
          </cell>
          <cell r="BJ121">
            <v>0</v>
          </cell>
          <cell r="BK121">
            <v>1</v>
          </cell>
          <cell r="BL121">
            <v>0</v>
          </cell>
          <cell r="BM121">
            <v>0</v>
          </cell>
          <cell r="BN121">
            <v>0</v>
          </cell>
          <cell r="BO121">
            <v>1</v>
          </cell>
          <cell r="BP121">
            <v>0</v>
          </cell>
          <cell r="BQ121">
            <v>0</v>
          </cell>
          <cell r="BR121">
            <v>12</v>
          </cell>
          <cell r="BS121">
            <v>0</v>
          </cell>
          <cell r="BT121">
            <v>0</v>
          </cell>
          <cell r="BU121">
            <v>25</v>
          </cell>
        </row>
        <row r="122">
          <cell r="A122">
            <v>30</v>
          </cell>
          <cell r="B122">
            <v>30</v>
          </cell>
          <cell r="D122">
            <v>0</v>
          </cell>
          <cell r="F122">
            <v>1</v>
          </cell>
          <cell r="G122">
            <v>0</v>
          </cell>
          <cell r="I122">
            <v>1</v>
          </cell>
          <cell r="J122">
            <v>0</v>
          </cell>
          <cell r="K122">
            <v>23</v>
          </cell>
          <cell r="L122">
            <v>23</v>
          </cell>
          <cell r="M122">
            <v>3</v>
          </cell>
          <cell r="O122">
            <v>1</v>
          </cell>
          <cell r="P122">
            <v>0</v>
          </cell>
          <cell r="Q122">
            <v>0</v>
          </cell>
          <cell r="R122">
            <v>0</v>
          </cell>
          <cell r="S122">
            <v>0</v>
          </cell>
          <cell r="T122">
            <v>1</v>
          </cell>
          <cell r="V122">
            <v>0</v>
          </cell>
          <cell r="W122">
            <v>96</v>
          </cell>
          <cell r="X122">
            <v>1</v>
          </cell>
          <cell r="Y122">
            <v>1</v>
          </cell>
          <cell r="AA122">
            <v>0</v>
          </cell>
          <cell r="AB122">
            <v>0</v>
          </cell>
          <cell r="AC122">
            <v>0</v>
          </cell>
          <cell r="AD122">
            <v>0</v>
          </cell>
          <cell r="AE122">
            <v>0</v>
          </cell>
          <cell r="AF122">
            <v>0</v>
          </cell>
          <cell r="AG122">
            <v>0</v>
          </cell>
          <cell r="AH122">
            <v>1</v>
          </cell>
          <cell r="AI122">
            <v>3</v>
          </cell>
          <cell r="AK122">
            <v>0</v>
          </cell>
          <cell r="AL122">
            <v>0</v>
          </cell>
          <cell r="AN122">
            <v>2613</v>
          </cell>
          <cell r="AO122">
            <v>1</v>
          </cell>
          <cell r="AQ122">
            <v>0</v>
          </cell>
          <cell r="AR122">
            <v>25</v>
          </cell>
          <cell r="AS122">
            <v>4</v>
          </cell>
          <cell r="AT122">
            <v>3</v>
          </cell>
          <cell r="AU122">
            <v>3</v>
          </cell>
          <cell r="AV122">
            <v>10</v>
          </cell>
          <cell r="AW122">
            <v>10</v>
          </cell>
          <cell r="AX122">
            <v>2</v>
          </cell>
          <cell r="AY122">
            <v>2</v>
          </cell>
          <cell r="AZ122">
            <v>10</v>
          </cell>
          <cell r="BA122">
            <v>10</v>
          </cell>
          <cell r="BB122">
            <v>7</v>
          </cell>
          <cell r="BC122">
            <v>0</v>
          </cell>
          <cell r="BD122">
            <v>0</v>
          </cell>
          <cell r="BE122">
            <v>9</v>
          </cell>
          <cell r="BF122">
            <v>9</v>
          </cell>
          <cell r="BG122">
            <v>9</v>
          </cell>
          <cell r="BH122">
            <v>0</v>
          </cell>
          <cell r="BI122">
            <v>0</v>
          </cell>
          <cell r="BJ122">
            <v>1</v>
          </cell>
          <cell r="BK122">
            <v>0</v>
          </cell>
          <cell r="BL122">
            <v>1</v>
          </cell>
          <cell r="BM122">
            <v>0</v>
          </cell>
          <cell r="BN122">
            <v>0</v>
          </cell>
          <cell r="BO122">
            <v>0</v>
          </cell>
          <cell r="BP122">
            <v>0</v>
          </cell>
          <cell r="BQ122">
            <v>9</v>
          </cell>
          <cell r="BR122">
            <v>0</v>
          </cell>
          <cell r="BS122">
            <v>0</v>
          </cell>
          <cell r="BT122">
            <v>10</v>
          </cell>
          <cell r="BU122">
            <v>0</v>
          </cell>
        </row>
        <row r="123">
          <cell r="A123">
            <v>33</v>
          </cell>
          <cell r="B123">
            <v>33</v>
          </cell>
          <cell r="D123">
            <v>0</v>
          </cell>
          <cell r="F123">
            <v>0</v>
          </cell>
          <cell r="G123">
            <v>0</v>
          </cell>
          <cell r="I123">
            <v>0</v>
          </cell>
          <cell r="J123">
            <v>1</v>
          </cell>
          <cell r="K123">
            <v>22</v>
          </cell>
          <cell r="L123">
            <v>22</v>
          </cell>
          <cell r="M123">
            <v>2</v>
          </cell>
          <cell r="O123">
            <v>0</v>
          </cell>
          <cell r="P123">
            <v>0</v>
          </cell>
          <cell r="Q123">
            <v>0</v>
          </cell>
          <cell r="R123">
            <v>1</v>
          </cell>
          <cell r="S123">
            <v>0</v>
          </cell>
          <cell r="T123">
            <v>3</v>
          </cell>
          <cell r="V123">
            <v>0</v>
          </cell>
          <cell r="W123">
            <v>95</v>
          </cell>
          <cell r="X123">
            <v>3</v>
          </cell>
          <cell r="Y123">
            <v>2</v>
          </cell>
          <cell r="AA123">
            <v>0</v>
          </cell>
          <cell r="AB123">
            <v>1</v>
          </cell>
          <cell r="AC123">
            <v>0</v>
          </cell>
          <cell r="AD123">
            <v>0</v>
          </cell>
          <cell r="AE123">
            <v>0</v>
          </cell>
          <cell r="AF123">
            <v>0</v>
          </cell>
          <cell r="AG123">
            <v>0</v>
          </cell>
          <cell r="AH123">
            <v>0</v>
          </cell>
          <cell r="AI123">
            <v>2</v>
          </cell>
          <cell r="AK123">
            <v>0</v>
          </cell>
          <cell r="AL123">
            <v>1</v>
          </cell>
          <cell r="AN123">
            <v>6146</v>
          </cell>
          <cell r="AO123">
            <v>0</v>
          </cell>
          <cell r="AQ123">
            <v>0</v>
          </cell>
          <cell r="AR123">
            <v>13</v>
          </cell>
          <cell r="AS123">
            <v>3</v>
          </cell>
          <cell r="AT123">
            <v>1</v>
          </cell>
          <cell r="AU123">
            <v>1</v>
          </cell>
          <cell r="AV123">
            <v>8</v>
          </cell>
          <cell r="AW123">
            <v>8</v>
          </cell>
          <cell r="AX123">
            <v>2</v>
          </cell>
          <cell r="AY123">
            <v>4</v>
          </cell>
          <cell r="AZ123">
            <v>7</v>
          </cell>
          <cell r="BA123">
            <v>7</v>
          </cell>
          <cell r="BB123">
            <v>7</v>
          </cell>
          <cell r="BC123">
            <v>0</v>
          </cell>
          <cell r="BD123">
            <v>0</v>
          </cell>
          <cell r="BE123">
            <v>7</v>
          </cell>
          <cell r="BF123">
            <v>7</v>
          </cell>
          <cell r="BG123">
            <v>14</v>
          </cell>
          <cell r="BH123">
            <v>0</v>
          </cell>
          <cell r="BI123">
            <v>1</v>
          </cell>
          <cell r="BJ123">
            <v>0</v>
          </cell>
          <cell r="BK123">
            <v>0</v>
          </cell>
          <cell r="BL123">
            <v>0</v>
          </cell>
          <cell r="BM123">
            <v>0</v>
          </cell>
          <cell r="BN123">
            <v>1</v>
          </cell>
          <cell r="BO123">
            <v>0</v>
          </cell>
          <cell r="BP123">
            <v>0</v>
          </cell>
          <cell r="BQ123">
            <v>0</v>
          </cell>
          <cell r="BR123">
            <v>7</v>
          </cell>
          <cell r="BS123">
            <v>0</v>
          </cell>
          <cell r="BT123">
            <v>0</v>
          </cell>
          <cell r="BU123">
            <v>8</v>
          </cell>
        </row>
        <row r="124">
          <cell r="A124">
            <v>56</v>
          </cell>
          <cell r="B124">
            <v>56</v>
          </cell>
          <cell r="D124">
            <v>1</v>
          </cell>
          <cell r="F124">
            <v>0</v>
          </cell>
          <cell r="G124">
            <v>1</v>
          </cell>
          <cell r="I124">
            <v>1</v>
          </cell>
          <cell r="J124">
            <v>0</v>
          </cell>
          <cell r="K124">
            <v>14</v>
          </cell>
          <cell r="L124">
            <v>14</v>
          </cell>
          <cell r="M124">
            <v>4</v>
          </cell>
          <cell r="O124">
            <v>1</v>
          </cell>
          <cell r="P124">
            <v>0</v>
          </cell>
          <cell r="Q124">
            <v>0</v>
          </cell>
          <cell r="R124">
            <v>0</v>
          </cell>
          <cell r="S124">
            <v>0</v>
          </cell>
          <cell r="T124">
            <v>2</v>
          </cell>
          <cell r="V124">
            <v>1</v>
          </cell>
          <cell r="W124">
            <v>72</v>
          </cell>
          <cell r="X124">
            <v>3</v>
          </cell>
          <cell r="Y124">
            <v>1</v>
          </cell>
          <cell r="AA124">
            <v>0</v>
          </cell>
          <cell r="AB124">
            <v>0</v>
          </cell>
          <cell r="AC124">
            <v>0</v>
          </cell>
          <cell r="AD124">
            <v>0</v>
          </cell>
          <cell r="AE124">
            <v>0</v>
          </cell>
          <cell r="AF124">
            <v>0</v>
          </cell>
          <cell r="AG124">
            <v>0</v>
          </cell>
          <cell r="AH124">
            <v>1</v>
          </cell>
          <cell r="AI124">
            <v>2</v>
          </cell>
          <cell r="AK124">
            <v>0</v>
          </cell>
          <cell r="AL124">
            <v>1</v>
          </cell>
          <cell r="AN124">
            <v>4963</v>
          </cell>
          <cell r="AO124">
            <v>9</v>
          </cell>
          <cell r="AQ124">
            <v>1</v>
          </cell>
          <cell r="AR124">
            <v>18</v>
          </cell>
          <cell r="AS124">
            <v>3</v>
          </cell>
          <cell r="AT124">
            <v>1</v>
          </cell>
          <cell r="AU124">
            <v>3</v>
          </cell>
          <cell r="AV124">
            <v>7</v>
          </cell>
          <cell r="AW124">
            <v>7</v>
          </cell>
          <cell r="AX124">
            <v>2</v>
          </cell>
          <cell r="AY124">
            <v>3</v>
          </cell>
          <cell r="AZ124">
            <v>5</v>
          </cell>
          <cell r="BA124">
            <v>5</v>
          </cell>
          <cell r="BB124">
            <v>4</v>
          </cell>
          <cell r="BC124">
            <v>4</v>
          </cell>
          <cell r="BD124">
            <v>4</v>
          </cell>
          <cell r="BE124">
            <v>3</v>
          </cell>
          <cell r="BF124">
            <v>3</v>
          </cell>
          <cell r="BG124">
            <v>3</v>
          </cell>
          <cell r="BH124">
            <v>0</v>
          </cell>
          <cell r="BI124">
            <v>1</v>
          </cell>
          <cell r="BJ124">
            <v>0</v>
          </cell>
          <cell r="BK124">
            <v>0</v>
          </cell>
          <cell r="BL124">
            <v>0</v>
          </cell>
          <cell r="BM124">
            <v>0</v>
          </cell>
          <cell r="BN124">
            <v>0</v>
          </cell>
          <cell r="BO124">
            <v>1</v>
          </cell>
          <cell r="BP124">
            <v>0</v>
          </cell>
          <cell r="BQ124">
            <v>3</v>
          </cell>
          <cell r="BR124">
            <v>0</v>
          </cell>
          <cell r="BS124">
            <v>0</v>
          </cell>
          <cell r="BT124">
            <v>7</v>
          </cell>
          <cell r="BU124">
            <v>0</v>
          </cell>
        </row>
        <row r="125">
          <cell r="A125">
            <v>51</v>
          </cell>
          <cell r="B125">
            <v>51</v>
          </cell>
          <cell r="D125">
            <v>0</v>
          </cell>
          <cell r="F125">
            <v>0</v>
          </cell>
          <cell r="G125">
            <v>1</v>
          </cell>
          <cell r="I125">
            <v>1</v>
          </cell>
          <cell r="J125">
            <v>0</v>
          </cell>
          <cell r="K125">
            <v>6</v>
          </cell>
          <cell r="L125">
            <v>6</v>
          </cell>
          <cell r="M125">
            <v>3</v>
          </cell>
          <cell r="O125">
            <v>1</v>
          </cell>
          <cell r="P125">
            <v>0</v>
          </cell>
          <cell r="Q125">
            <v>0</v>
          </cell>
          <cell r="R125">
            <v>0</v>
          </cell>
          <cell r="S125">
            <v>0</v>
          </cell>
          <cell r="T125">
            <v>1</v>
          </cell>
          <cell r="V125">
            <v>0</v>
          </cell>
          <cell r="W125">
            <v>51</v>
          </cell>
          <cell r="X125">
            <v>3</v>
          </cell>
          <cell r="Y125">
            <v>5</v>
          </cell>
          <cell r="AA125">
            <v>0</v>
          </cell>
          <cell r="AB125">
            <v>0</v>
          </cell>
          <cell r="AC125">
            <v>0</v>
          </cell>
          <cell r="AD125">
            <v>0</v>
          </cell>
          <cell r="AE125">
            <v>0</v>
          </cell>
          <cell r="AF125">
            <v>0</v>
          </cell>
          <cell r="AG125">
            <v>0</v>
          </cell>
          <cell r="AH125">
            <v>0</v>
          </cell>
          <cell r="AI125">
            <v>3</v>
          </cell>
          <cell r="AK125">
            <v>1</v>
          </cell>
          <cell r="AL125">
            <v>0</v>
          </cell>
          <cell r="AN125">
            <v>19537</v>
          </cell>
          <cell r="AO125">
            <v>7</v>
          </cell>
          <cell r="AQ125">
            <v>0</v>
          </cell>
          <cell r="AR125">
            <v>13</v>
          </cell>
          <cell r="AS125">
            <v>3</v>
          </cell>
          <cell r="AT125">
            <v>3</v>
          </cell>
          <cell r="AU125">
            <v>0</v>
          </cell>
          <cell r="AV125">
            <v>23</v>
          </cell>
          <cell r="AW125">
            <v>23</v>
          </cell>
          <cell r="AX125">
            <v>5</v>
          </cell>
          <cell r="AY125">
            <v>3</v>
          </cell>
          <cell r="AZ125">
            <v>20</v>
          </cell>
          <cell r="BA125">
            <v>20</v>
          </cell>
          <cell r="BB125">
            <v>18</v>
          </cell>
          <cell r="BC125">
            <v>15</v>
          </cell>
          <cell r="BD125">
            <v>14</v>
          </cell>
          <cell r="BE125">
            <v>15</v>
          </cell>
          <cell r="BF125">
            <v>14</v>
          </cell>
          <cell r="BG125">
            <v>70</v>
          </cell>
          <cell r="BH125">
            <v>1</v>
          </cell>
          <cell r="BI125">
            <v>0</v>
          </cell>
          <cell r="BJ125">
            <v>0</v>
          </cell>
          <cell r="BK125">
            <v>0</v>
          </cell>
          <cell r="BL125">
            <v>1</v>
          </cell>
          <cell r="BM125">
            <v>0</v>
          </cell>
          <cell r="BN125">
            <v>0</v>
          </cell>
          <cell r="BO125">
            <v>0</v>
          </cell>
          <cell r="BP125">
            <v>0</v>
          </cell>
          <cell r="BQ125">
            <v>14</v>
          </cell>
          <cell r="BR125">
            <v>0</v>
          </cell>
          <cell r="BS125">
            <v>0</v>
          </cell>
          <cell r="BT125">
            <v>23</v>
          </cell>
          <cell r="BU125">
            <v>0</v>
          </cell>
        </row>
        <row r="126">
          <cell r="A126">
            <v>31</v>
          </cell>
          <cell r="B126">
            <v>31</v>
          </cell>
          <cell r="D126">
            <v>1</v>
          </cell>
          <cell r="F126">
            <v>0</v>
          </cell>
          <cell r="G126">
            <v>1</v>
          </cell>
          <cell r="I126">
            <v>0</v>
          </cell>
          <cell r="J126">
            <v>1</v>
          </cell>
          <cell r="K126">
            <v>6</v>
          </cell>
          <cell r="L126">
            <v>6</v>
          </cell>
          <cell r="M126">
            <v>4</v>
          </cell>
          <cell r="O126">
            <v>1</v>
          </cell>
          <cell r="P126">
            <v>0</v>
          </cell>
          <cell r="Q126">
            <v>0</v>
          </cell>
          <cell r="R126">
            <v>0</v>
          </cell>
          <cell r="S126">
            <v>0</v>
          </cell>
          <cell r="T126">
            <v>2</v>
          </cell>
          <cell r="V126">
            <v>0</v>
          </cell>
          <cell r="W126">
            <v>76</v>
          </cell>
          <cell r="X126">
            <v>1</v>
          </cell>
          <cell r="Y126">
            <v>2</v>
          </cell>
          <cell r="AA126">
            <v>0</v>
          </cell>
          <cell r="AB126">
            <v>1</v>
          </cell>
          <cell r="AC126">
            <v>0</v>
          </cell>
          <cell r="AD126">
            <v>0</v>
          </cell>
          <cell r="AE126">
            <v>0</v>
          </cell>
          <cell r="AF126">
            <v>0</v>
          </cell>
          <cell r="AG126">
            <v>0</v>
          </cell>
          <cell r="AH126">
            <v>0</v>
          </cell>
          <cell r="AI126">
            <v>3</v>
          </cell>
          <cell r="AK126">
            <v>0</v>
          </cell>
          <cell r="AL126">
            <v>1</v>
          </cell>
          <cell r="AN126">
            <v>6172</v>
          </cell>
          <cell r="AO126">
            <v>4</v>
          </cell>
          <cell r="AQ126">
            <v>1</v>
          </cell>
          <cell r="AR126">
            <v>18</v>
          </cell>
          <cell r="AS126">
            <v>3</v>
          </cell>
          <cell r="AT126">
            <v>2</v>
          </cell>
          <cell r="AU126">
            <v>0</v>
          </cell>
          <cell r="AV126">
            <v>12</v>
          </cell>
          <cell r="AW126">
            <v>12</v>
          </cell>
          <cell r="AX126">
            <v>3</v>
          </cell>
          <cell r="AY126">
            <v>2</v>
          </cell>
          <cell r="AZ126">
            <v>7</v>
          </cell>
          <cell r="BA126">
            <v>7</v>
          </cell>
          <cell r="BB126">
            <v>7</v>
          </cell>
          <cell r="BC126">
            <v>7</v>
          </cell>
          <cell r="BD126">
            <v>7</v>
          </cell>
          <cell r="BE126">
            <v>7</v>
          </cell>
          <cell r="BF126">
            <v>7</v>
          </cell>
          <cell r="BG126">
            <v>14</v>
          </cell>
          <cell r="BH126">
            <v>0</v>
          </cell>
          <cell r="BI126">
            <v>1</v>
          </cell>
          <cell r="BJ126">
            <v>0</v>
          </cell>
          <cell r="BK126">
            <v>0</v>
          </cell>
          <cell r="BL126">
            <v>0</v>
          </cell>
          <cell r="BM126">
            <v>0</v>
          </cell>
          <cell r="BN126">
            <v>0</v>
          </cell>
          <cell r="BO126">
            <v>1</v>
          </cell>
          <cell r="BP126">
            <v>0</v>
          </cell>
          <cell r="BQ126">
            <v>0</v>
          </cell>
          <cell r="BR126">
            <v>7</v>
          </cell>
          <cell r="BS126">
            <v>0</v>
          </cell>
          <cell r="BT126">
            <v>0</v>
          </cell>
          <cell r="BU126">
            <v>12</v>
          </cell>
        </row>
        <row r="127">
          <cell r="A127">
            <v>26</v>
          </cell>
          <cell r="B127">
            <v>26</v>
          </cell>
          <cell r="D127">
            <v>0</v>
          </cell>
          <cell r="F127">
            <v>0</v>
          </cell>
          <cell r="G127">
            <v>1</v>
          </cell>
          <cell r="I127">
            <v>1</v>
          </cell>
          <cell r="J127">
            <v>0</v>
          </cell>
          <cell r="K127">
            <v>6</v>
          </cell>
          <cell r="L127">
            <v>6</v>
          </cell>
          <cell r="M127">
            <v>3</v>
          </cell>
          <cell r="O127">
            <v>0</v>
          </cell>
          <cell r="P127">
            <v>1</v>
          </cell>
          <cell r="Q127">
            <v>0</v>
          </cell>
          <cell r="R127">
            <v>0</v>
          </cell>
          <cell r="S127">
            <v>0</v>
          </cell>
          <cell r="T127">
            <v>3</v>
          </cell>
          <cell r="V127">
            <v>1</v>
          </cell>
          <cell r="W127">
            <v>46</v>
          </cell>
          <cell r="X127">
            <v>2</v>
          </cell>
          <cell r="Y127">
            <v>1</v>
          </cell>
          <cell r="AA127">
            <v>0</v>
          </cell>
          <cell r="AB127">
            <v>0</v>
          </cell>
          <cell r="AC127">
            <v>0</v>
          </cell>
          <cell r="AD127">
            <v>0</v>
          </cell>
          <cell r="AE127">
            <v>0</v>
          </cell>
          <cell r="AF127">
            <v>0</v>
          </cell>
          <cell r="AG127">
            <v>0</v>
          </cell>
          <cell r="AH127">
            <v>1</v>
          </cell>
          <cell r="AI127">
            <v>2</v>
          </cell>
          <cell r="AK127">
            <v>0</v>
          </cell>
          <cell r="AL127">
            <v>1</v>
          </cell>
          <cell r="AN127">
            <v>2368</v>
          </cell>
          <cell r="AO127">
            <v>1</v>
          </cell>
          <cell r="AQ127">
            <v>0</v>
          </cell>
          <cell r="AR127">
            <v>19</v>
          </cell>
          <cell r="AS127">
            <v>3</v>
          </cell>
          <cell r="AT127">
            <v>3</v>
          </cell>
          <cell r="AU127">
            <v>0</v>
          </cell>
          <cell r="AV127">
            <v>5</v>
          </cell>
          <cell r="AW127">
            <v>5</v>
          </cell>
          <cell r="AX127">
            <v>3</v>
          </cell>
          <cell r="AY127">
            <v>2</v>
          </cell>
          <cell r="AZ127">
            <v>5</v>
          </cell>
          <cell r="BA127">
            <v>5</v>
          </cell>
          <cell r="BB127">
            <v>4</v>
          </cell>
          <cell r="BC127">
            <v>4</v>
          </cell>
          <cell r="BD127">
            <v>4</v>
          </cell>
          <cell r="BE127">
            <v>3</v>
          </cell>
          <cell r="BF127">
            <v>3</v>
          </cell>
          <cell r="BG127">
            <v>3</v>
          </cell>
          <cell r="BH127">
            <v>0</v>
          </cell>
          <cell r="BI127">
            <v>1</v>
          </cell>
          <cell r="BJ127">
            <v>0</v>
          </cell>
          <cell r="BK127">
            <v>0</v>
          </cell>
          <cell r="BL127">
            <v>0</v>
          </cell>
          <cell r="BM127">
            <v>0</v>
          </cell>
          <cell r="BN127">
            <v>1</v>
          </cell>
          <cell r="BO127">
            <v>0</v>
          </cell>
          <cell r="BP127">
            <v>0</v>
          </cell>
          <cell r="BQ127">
            <v>3</v>
          </cell>
          <cell r="BR127">
            <v>0</v>
          </cell>
          <cell r="BS127">
            <v>0</v>
          </cell>
          <cell r="BT127">
            <v>5</v>
          </cell>
          <cell r="BU127">
            <v>0</v>
          </cell>
        </row>
        <row r="128">
          <cell r="A128">
            <v>58</v>
          </cell>
          <cell r="B128">
            <v>58</v>
          </cell>
          <cell r="D128">
            <v>1</v>
          </cell>
          <cell r="F128">
            <v>0</v>
          </cell>
          <cell r="G128">
            <v>1</v>
          </cell>
          <cell r="I128">
            <v>1</v>
          </cell>
          <cell r="J128">
            <v>0</v>
          </cell>
          <cell r="K128">
            <v>23</v>
          </cell>
          <cell r="L128">
            <v>23</v>
          </cell>
          <cell r="M128">
            <v>4</v>
          </cell>
          <cell r="O128">
            <v>0</v>
          </cell>
          <cell r="P128">
            <v>0</v>
          </cell>
          <cell r="Q128">
            <v>1</v>
          </cell>
          <cell r="R128">
            <v>0</v>
          </cell>
          <cell r="S128">
            <v>0</v>
          </cell>
          <cell r="T128">
            <v>4</v>
          </cell>
          <cell r="V128">
            <v>1</v>
          </cell>
          <cell r="W128">
            <v>94</v>
          </cell>
          <cell r="X128">
            <v>3</v>
          </cell>
          <cell r="Y128">
            <v>3</v>
          </cell>
          <cell r="AA128">
            <v>1</v>
          </cell>
          <cell r="AB128">
            <v>0</v>
          </cell>
          <cell r="AC128">
            <v>0</v>
          </cell>
          <cell r="AD128">
            <v>0</v>
          </cell>
          <cell r="AE128">
            <v>0</v>
          </cell>
          <cell r="AF128">
            <v>0</v>
          </cell>
          <cell r="AG128">
            <v>0</v>
          </cell>
          <cell r="AH128">
            <v>0</v>
          </cell>
          <cell r="AI128">
            <v>4</v>
          </cell>
          <cell r="AK128">
            <v>0</v>
          </cell>
          <cell r="AL128">
            <v>1</v>
          </cell>
          <cell r="AN128">
            <v>10312</v>
          </cell>
          <cell r="AO128">
            <v>1</v>
          </cell>
          <cell r="AQ128">
            <v>0</v>
          </cell>
          <cell r="AR128">
            <v>12</v>
          </cell>
          <cell r="AS128">
            <v>3</v>
          </cell>
          <cell r="AT128">
            <v>4</v>
          </cell>
          <cell r="AU128">
            <v>1</v>
          </cell>
          <cell r="AV128">
            <v>40</v>
          </cell>
          <cell r="AW128">
            <v>35</v>
          </cell>
          <cell r="AX128">
            <v>3</v>
          </cell>
          <cell r="AY128">
            <v>2</v>
          </cell>
          <cell r="AZ128">
            <v>40</v>
          </cell>
          <cell r="BA128">
            <v>31</v>
          </cell>
          <cell r="BB128">
            <v>10</v>
          </cell>
          <cell r="BC128">
            <v>15</v>
          </cell>
          <cell r="BD128">
            <v>14</v>
          </cell>
          <cell r="BE128">
            <v>6</v>
          </cell>
          <cell r="BF128">
            <v>6</v>
          </cell>
          <cell r="BG128">
            <v>18</v>
          </cell>
          <cell r="BH128">
            <v>0</v>
          </cell>
          <cell r="BI128">
            <v>1</v>
          </cell>
          <cell r="BJ128">
            <v>0</v>
          </cell>
          <cell r="BK128">
            <v>0</v>
          </cell>
          <cell r="BL128">
            <v>0</v>
          </cell>
          <cell r="BM128">
            <v>0</v>
          </cell>
          <cell r="BN128">
            <v>1</v>
          </cell>
          <cell r="BO128">
            <v>0</v>
          </cell>
          <cell r="BP128">
            <v>0</v>
          </cell>
          <cell r="BQ128">
            <v>6</v>
          </cell>
          <cell r="BR128">
            <v>0</v>
          </cell>
          <cell r="BS128">
            <v>0</v>
          </cell>
          <cell r="BT128">
            <v>35</v>
          </cell>
          <cell r="BU128">
            <v>0</v>
          </cell>
        </row>
        <row r="129">
          <cell r="A129">
            <v>19</v>
          </cell>
          <cell r="B129">
            <v>19</v>
          </cell>
          <cell r="D129">
            <v>1</v>
          </cell>
          <cell r="F129">
            <v>0</v>
          </cell>
          <cell r="G129">
            <v>1</v>
          </cell>
          <cell r="I129">
            <v>0</v>
          </cell>
          <cell r="J129">
            <v>1</v>
          </cell>
          <cell r="K129">
            <v>22</v>
          </cell>
          <cell r="L129">
            <v>22</v>
          </cell>
          <cell r="M129">
            <v>1</v>
          </cell>
          <cell r="O129">
            <v>0</v>
          </cell>
          <cell r="P129">
            <v>0</v>
          </cell>
          <cell r="Q129">
            <v>0</v>
          </cell>
          <cell r="R129">
            <v>1</v>
          </cell>
          <cell r="S129">
            <v>0</v>
          </cell>
          <cell r="T129">
            <v>4</v>
          </cell>
          <cell r="V129">
            <v>0</v>
          </cell>
          <cell r="W129">
            <v>50</v>
          </cell>
          <cell r="X129">
            <v>3</v>
          </cell>
          <cell r="Y129">
            <v>1</v>
          </cell>
          <cell r="AA129">
            <v>0</v>
          </cell>
          <cell r="AB129">
            <v>0</v>
          </cell>
          <cell r="AC129">
            <v>0</v>
          </cell>
          <cell r="AD129">
            <v>0</v>
          </cell>
          <cell r="AE129">
            <v>0</v>
          </cell>
          <cell r="AF129">
            <v>0</v>
          </cell>
          <cell r="AG129">
            <v>1</v>
          </cell>
          <cell r="AH129">
            <v>0</v>
          </cell>
          <cell r="AI129">
            <v>3</v>
          </cell>
          <cell r="AK129">
            <v>1</v>
          </cell>
          <cell r="AL129">
            <v>0</v>
          </cell>
          <cell r="AN129">
            <v>1675</v>
          </cell>
          <cell r="AO129">
            <v>1</v>
          </cell>
          <cell r="AQ129">
            <v>1</v>
          </cell>
          <cell r="AR129">
            <v>19</v>
          </cell>
          <cell r="AS129">
            <v>3</v>
          </cell>
          <cell r="AT129">
            <v>4</v>
          </cell>
          <cell r="AU129">
            <v>0</v>
          </cell>
          <cell r="AV129">
            <v>0</v>
          </cell>
          <cell r="AW129">
            <v>1</v>
          </cell>
          <cell r="AX129">
            <v>2</v>
          </cell>
          <cell r="AY129">
            <v>2</v>
          </cell>
          <cell r="AZ129">
            <v>0</v>
          </cell>
          <cell r="BA129">
            <v>0</v>
          </cell>
          <cell r="BB129">
            <v>0</v>
          </cell>
          <cell r="BC129">
            <v>0</v>
          </cell>
          <cell r="BD129">
            <v>0</v>
          </cell>
          <cell r="BE129">
            <v>0</v>
          </cell>
          <cell r="BF129">
            <v>0</v>
          </cell>
          <cell r="BG129">
            <v>0</v>
          </cell>
          <cell r="BH129">
            <v>1</v>
          </cell>
          <cell r="BI129">
            <v>0</v>
          </cell>
          <cell r="BJ129">
            <v>0</v>
          </cell>
          <cell r="BK129">
            <v>0</v>
          </cell>
          <cell r="BL129">
            <v>0</v>
          </cell>
          <cell r="BM129">
            <v>1</v>
          </cell>
          <cell r="BN129">
            <v>0</v>
          </cell>
          <cell r="BO129">
            <v>0</v>
          </cell>
          <cell r="BP129">
            <v>0</v>
          </cell>
          <cell r="BQ129">
            <v>0</v>
          </cell>
          <cell r="BR129">
            <v>0</v>
          </cell>
          <cell r="BS129">
            <v>0</v>
          </cell>
          <cell r="BT129">
            <v>0</v>
          </cell>
          <cell r="BU129">
            <v>1</v>
          </cell>
        </row>
        <row r="130">
          <cell r="A130">
            <v>22</v>
          </cell>
          <cell r="B130">
            <v>22</v>
          </cell>
          <cell r="D130">
            <v>0</v>
          </cell>
          <cell r="F130">
            <v>0</v>
          </cell>
          <cell r="G130">
            <v>1</v>
          </cell>
          <cell r="I130">
            <v>1</v>
          </cell>
          <cell r="J130">
            <v>0</v>
          </cell>
          <cell r="K130">
            <v>2</v>
          </cell>
          <cell r="L130">
            <v>2</v>
          </cell>
          <cell r="M130">
            <v>1</v>
          </cell>
          <cell r="O130">
            <v>0</v>
          </cell>
          <cell r="P130">
            <v>0</v>
          </cell>
          <cell r="Q130">
            <v>0</v>
          </cell>
          <cell r="R130">
            <v>0</v>
          </cell>
          <cell r="S130">
            <v>1</v>
          </cell>
          <cell r="T130">
            <v>3</v>
          </cell>
          <cell r="V130">
            <v>0</v>
          </cell>
          <cell r="W130">
            <v>100</v>
          </cell>
          <cell r="X130">
            <v>3</v>
          </cell>
          <cell r="Y130">
            <v>1</v>
          </cell>
          <cell r="AA130">
            <v>0</v>
          </cell>
          <cell r="AB130">
            <v>0</v>
          </cell>
          <cell r="AC130">
            <v>1</v>
          </cell>
          <cell r="AD130">
            <v>0</v>
          </cell>
          <cell r="AE130">
            <v>0</v>
          </cell>
          <cell r="AF130">
            <v>0</v>
          </cell>
          <cell r="AG130">
            <v>0</v>
          </cell>
          <cell r="AH130">
            <v>0</v>
          </cell>
          <cell r="AI130">
            <v>4</v>
          </cell>
          <cell r="AK130">
            <v>0</v>
          </cell>
          <cell r="AL130">
            <v>1</v>
          </cell>
          <cell r="AN130">
            <v>2523</v>
          </cell>
          <cell r="AO130">
            <v>0</v>
          </cell>
          <cell r="AQ130">
            <v>0</v>
          </cell>
          <cell r="AR130">
            <v>14</v>
          </cell>
          <cell r="AS130">
            <v>3</v>
          </cell>
          <cell r="AT130">
            <v>3</v>
          </cell>
          <cell r="AU130">
            <v>1</v>
          </cell>
          <cell r="AV130">
            <v>3</v>
          </cell>
          <cell r="AW130">
            <v>3</v>
          </cell>
          <cell r="AX130">
            <v>2</v>
          </cell>
          <cell r="AY130">
            <v>3</v>
          </cell>
          <cell r="AZ130">
            <v>2</v>
          </cell>
          <cell r="BA130">
            <v>2</v>
          </cell>
          <cell r="BB130">
            <v>1</v>
          </cell>
          <cell r="BC130">
            <v>2</v>
          </cell>
          <cell r="BD130">
            <v>2</v>
          </cell>
          <cell r="BE130">
            <v>1</v>
          </cell>
          <cell r="BF130">
            <v>1</v>
          </cell>
          <cell r="BG130">
            <v>1</v>
          </cell>
          <cell r="BH130">
            <v>0</v>
          </cell>
          <cell r="BI130">
            <v>1</v>
          </cell>
          <cell r="BJ130">
            <v>0</v>
          </cell>
          <cell r="BK130">
            <v>0</v>
          </cell>
          <cell r="BL130">
            <v>0</v>
          </cell>
          <cell r="BM130">
            <v>0</v>
          </cell>
          <cell r="BN130">
            <v>1</v>
          </cell>
          <cell r="BO130">
            <v>0</v>
          </cell>
          <cell r="BP130">
            <v>0</v>
          </cell>
          <cell r="BQ130">
            <v>1</v>
          </cell>
          <cell r="BR130">
            <v>0</v>
          </cell>
          <cell r="BS130">
            <v>0</v>
          </cell>
          <cell r="BT130">
            <v>3</v>
          </cell>
          <cell r="BU130">
            <v>0</v>
          </cell>
        </row>
        <row r="131">
          <cell r="A131">
            <v>49</v>
          </cell>
          <cell r="B131">
            <v>49</v>
          </cell>
          <cell r="D131">
            <v>0</v>
          </cell>
          <cell r="F131">
            <v>0</v>
          </cell>
          <cell r="G131">
            <v>1</v>
          </cell>
          <cell r="I131">
            <v>1</v>
          </cell>
          <cell r="J131">
            <v>0</v>
          </cell>
          <cell r="K131">
            <v>20</v>
          </cell>
          <cell r="L131">
            <v>20</v>
          </cell>
          <cell r="M131">
            <v>4</v>
          </cell>
          <cell r="O131">
            <v>0</v>
          </cell>
          <cell r="P131">
            <v>0</v>
          </cell>
          <cell r="Q131">
            <v>1</v>
          </cell>
          <cell r="R131">
            <v>0</v>
          </cell>
          <cell r="S131">
            <v>0</v>
          </cell>
          <cell r="T131">
            <v>3</v>
          </cell>
          <cell r="V131">
            <v>1</v>
          </cell>
          <cell r="W131">
            <v>96</v>
          </cell>
          <cell r="X131">
            <v>3</v>
          </cell>
          <cell r="Y131">
            <v>2</v>
          </cell>
          <cell r="AA131">
            <v>0</v>
          </cell>
          <cell r="AB131">
            <v>0</v>
          </cell>
          <cell r="AC131">
            <v>0</v>
          </cell>
          <cell r="AD131">
            <v>0</v>
          </cell>
          <cell r="AE131">
            <v>1</v>
          </cell>
          <cell r="AF131">
            <v>1</v>
          </cell>
          <cell r="AG131">
            <v>0</v>
          </cell>
          <cell r="AH131">
            <v>0</v>
          </cell>
          <cell r="AI131">
            <v>1</v>
          </cell>
          <cell r="AK131">
            <v>0</v>
          </cell>
          <cell r="AL131">
            <v>1</v>
          </cell>
          <cell r="AN131">
            <v>6567</v>
          </cell>
          <cell r="AO131">
            <v>1</v>
          </cell>
          <cell r="AQ131">
            <v>0</v>
          </cell>
          <cell r="AR131">
            <v>14</v>
          </cell>
          <cell r="AS131">
            <v>3</v>
          </cell>
          <cell r="AT131">
            <v>3</v>
          </cell>
          <cell r="AU131">
            <v>0</v>
          </cell>
          <cell r="AV131">
            <v>16</v>
          </cell>
          <cell r="AW131">
            <v>16</v>
          </cell>
          <cell r="AX131">
            <v>2</v>
          </cell>
          <cell r="AY131">
            <v>2</v>
          </cell>
          <cell r="AZ131">
            <v>15</v>
          </cell>
          <cell r="BA131">
            <v>15</v>
          </cell>
          <cell r="BB131">
            <v>11</v>
          </cell>
          <cell r="BC131">
            <v>5</v>
          </cell>
          <cell r="BD131">
            <v>5</v>
          </cell>
          <cell r="BE131">
            <v>11</v>
          </cell>
          <cell r="BF131">
            <v>11</v>
          </cell>
          <cell r="BG131">
            <v>22</v>
          </cell>
          <cell r="BH131">
            <v>0</v>
          </cell>
          <cell r="BI131">
            <v>1</v>
          </cell>
          <cell r="BJ131">
            <v>0</v>
          </cell>
          <cell r="BK131">
            <v>0</v>
          </cell>
          <cell r="BL131">
            <v>0</v>
          </cell>
          <cell r="BM131">
            <v>0</v>
          </cell>
          <cell r="BN131">
            <v>1</v>
          </cell>
          <cell r="BO131">
            <v>0</v>
          </cell>
          <cell r="BP131">
            <v>0</v>
          </cell>
          <cell r="BQ131">
            <v>11</v>
          </cell>
          <cell r="BR131">
            <v>0</v>
          </cell>
          <cell r="BS131">
            <v>0</v>
          </cell>
          <cell r="BT131">
            <v>16</v>
          </cell>
          <cell r="BU131">
            <v>0</v>
          </cell>
        </row>
        <row r="132">
          <cell r="A132">
            <v>43</v>
          </cell>
          <cell r="B132">
            <v>43</v>
          </cell>
          <cell r="D132">
            <v>0</v>
          </cell>
          <cell r="F132">
            <v>1</v>
          </cell>
          <cell r="G132">
            <v>0</v>
          </cell>
          <cell r="I132">
            <v>1</v>
          </cell>
          <cell r="J132">
            <v>0</v>
          </cell>
          <cell r="K132">
            <v>28</v>
          </cell>
          <cell r="L132">
            <v>28</v>
          </cell>
          <cell r="M132">
            <v>3</v>
          </cell>
          <cell r="O132">
            <v>0</v>
          </cell>
          <cell r="P132">
            <v>0</v>
          </cell>
          <cell r="Q132">
            <v>1</v>
          </cell>
          <cell r="R132">
            <v>0</v>
          </cell>
          <cell r="S132">
            <v>0</v>
          </cell>
          <cell r="T132">
            <v>2</v>
          </cell>
          <cell r="V132">
            <v>1</v>
          </cell>
          <cell r="W132">
            <v>72</v>
          </cell>
          <cell r="X132">
            <v>4</v>
          </cell>
          <cell r="Y132">
            <v>1</v>
          </cell>
          <cell r="AA132">
            <v>0</v>
          </cell>
          <cell r="AB132">
            <v>0</v>
          </cell>
          <cell r="AC132">
            <v>0</v>
          </cell>
          <cell r="AD132">
            <v>0</v>
          </cell>
          <cell r="AE132">
            <v>0</v>
          </cell>
          <cell r="AF132">
            <v>0</v>
          </cell>
          <cell r="AG132">
            <v>0</v>
          </cell>
          <cell r="AH132">
            <v>1</v>
          </cell>
          <cell r="AI132">
            <v>3</v>
          </cell>
          <cell r="AK132">
            <v>1</v>
          </cell>
          <cell r="AL132">
            <v>0</v>
          </cell>
          <cell r="AN132">
            <v>4739</v>
          </cell>
          <cell r="AO132">
            <v>4</v>
          </cell>
          <cell r="AQ132">
            <v>0</v>
          </cell>
          <cell r="AR132">
            <v>12</v>
          </cell>
          <cell r="AS132">
            <v>3</v>
          </cell>
          <cell r="AT132">
            <v>4</v>
          </cell>
          <cell r="AU132">
            <v>0</v>
          </cell>
          <cell r="AV132">
            <v>18</v>
          </cell>
          <cell r="AW132">
            <v>18</v>
          </cell>
          <cell r="AX132">
            <v>2</v>
          </cell>
          <cell r="AY132">
            <v>3</v>
          </cell>
          <cell r="AZ132">
            <v>3</v>
          </cell>
          <cell r="BA132">
            <v>3</v>
          </cell>
          <cell r="BB132">
            <v>2</v>
          </cell>
          <cell r="BC132">
            <v>1</v>
          </cell>
          <cell r="BD132">
            <v>1</v>
          </cell>
          <cell r="BE132">
            <v>2</v>
          </cell>
          <cell r="BF132">
            <v>2</v>
          </cell>
          <cell r="BG132">
            <v>2</v>
          </cell>
          <cell r="BH132">
            <v>0</v>
          </cell>
          <cell r="BI132">
            <v>0</v>
          </cell>
          <cell r="BJ132">
            <v>1</v>
          </cell>
          <cell r="BK132">
            <v>0</v>
          </cell>
          <cell r="BL132">
            <v>1</v>
          </cell>
          <cell r="BM132">
            <v>0</v>
          </cell>
          <cell r="BN132">
            <v>0</v>
          </cell>
          <cell r="BO132">
            <v>0</v>
          </cell>
          <cell r="BP132">
            <v>0</v>
          </cell>
          <cell r="BQ132">
            <v>2</v>
          </cell>
          <cell r="BR132">
            <v>0</v>
          </cell>
          <cell r="BS132">
            <v>0</v>
          </cell>
          <cell r="BT132">
            <v>18</v>
          </cell>
          <cell r="BU132">
            <v>0</v>
          </cell>
        </row>
        <row r="133">
          <cell r="A133">
            <v>50</v>
          </cell>
          <cell r="B133">
            <v>50</v>
          </cell>
          <cell r="D133">
            <v>0</v>
          </cell>
          <cell r="F133">
            <v>1</v>
          </cell>
          <cell r="G133">
            <v>0</v>
          </cell>
          <cell r="I133">
            <v>0</v>
          </cell>
          <cell r="J133">
            <v>1</v>
          </cell>
          <cell r="K133">
            <v>12</v>
          </cell>
          <cell r="L133">
            <v>12</v>
          </cell>
          <cell r="M133">
            <v>3</v>
          </cell>
          <cell r="O133">
            <v>0</v>
          </cell>
          <cell r="P133">
            <v>0</v>
          </cell>
          <cell r="Q133">
            <v>0</v>
          </cell>
          <cell r="R133">
            <v>1</v>
          </cell>
          <cell r="S133">
            <v>0</v>
          </cell>
          <cell r="T133">
            <v>3</v>
          </cell>
          <cell r="V133">
            <v>1</v>
          </cell>
          <cell r="W133">
            <v>77</v>
          </cell>
          <cell r="X133">
            <v>3</v>
          </cell>
          <cell r="Y133">
            <v>3</v>
          </cell>
          <cell r="AA133">
            <v>0</v>
          </cell>
          <cell r="AB133">
            <v>1</v>
          </cell>
          <cell r="AC133">
            <v>0</v>
          </cell>
          <cell r="AD133">
            <v>0</v>
          </cell>
          <cell r="AE133">
            <v>0</v>
          </cell>
          <cell r="AF133">
            <v>0</v>
          </cell>
          <cell r="AG133">
            <v>0</v>
          </cell>
          <cell r="AH133">
            <v>0</v>
          </cell>
          <cell r="AI133">
            <v>4</v>
          </cell>
          <cell r="AK133">
            <v>1</v>
          </cell>
          <cell r="AL133">
            <v>0</v>
          </cell>
          <cell r="AN133">
            <v>9208</v>
          </cell>
          <cell r="AO133">
            <v>4</v>
          </cell>
          <cell r="AQ133">
            <v>0</v>
          </cell>
          <cell r="AR133">
            <v>11</v>
          </cell>
          <cell r="AS133">
            <v>3</v>
          </cell>
          <cell r="AT133">
            <v>4</v>
          </cell>
          <cell r="AU133">
            <v>0</v>
          </cell>
          <cell r="AV133">
            <v>16</v>
          </cell>
          <cell r="AW133">
            <v>16</v>
          </cell>
          <cell r="AX133">
            <v>3</v>
          </cell>
          <cell r="AY133">
            <v>3</v>
          </cell>
          <cell r="AZ133">
            <v>2</v>
          </cell>
          <cell r="BA133">
            <v>2</v>
          </cell>
          <cell r="BB133">
            <v>2</v>
          </cell>
          <cell r="BC133">
            <v>2</v>
          </cell>
          <cell r="BD133">
            <v>2</v>
          </cell>
          <cell r="BE133">
            <v>1</v>
          </cell>
          <cell r="BF133">
            <v>1</v>
          </cell>
          <cell r="BG133">
            <v>3</v>
          </cell>
          <cell r="BH133">
            <v>0</v>
          </cell>
          <cell r="BI133">
            <v>0</v>
          </cell>
          <cell r="BJ133">
            <v>1</v>
          </cell>
          <cell r="BK133">
            <v>0</v>
          </cell>
          <cell r="BL133">
            <v>1</v>
          </cell>
          <cell r="BM133">
            <v>0</v>
          </cell>
          <cell r="BN133">
            <v>0</v>
          </cell>
          <cell r="BO133">
            <v>0</v>
          </cell>
          <cell r="BP133">
            <v>0</v>
          </cell>
          <cell r="BQ133">
            <v>0</v>
          </cell>
          <cell r="BR133">
            <v>1</v>
          </cell>
          <cell r="BS133">
            <v>0</v>
          </cell>
          <cell r="BT133">
            <v>0</v>
          </cell>
          <cell r="BU133">
            <v>16</v>
          </cell>
        </row>
        <row r="134">
          <cell r="A134">
            <v>31</v>
          </cell>
          <cell r="B134">
            <v>31</v>
          </cell>
          <cell r="D134">
            <v>1</v>
          </cell>
          <cell r="F134">
            <v>0</v>
          </cell>
          <cell r="G134">
            <v>1</v>
          </cell>
          <cell r="I134">
            <v>0</v>
          </cell>
          <cell r="J134">
            <v>1</v>
          </cell>
          <cell r="K134">
            <v>20</v>
          </cell>
          <cell r="L134">
            <v>20</v>
          </cell>
          <cell r="M134">
            <v>3</v>
          </cell>
          <cell r="O134">
            <v>1</v>
          </cell>
          <cell r="P134">
            <v>0</v>
          </cell>
          <cell r="Q134">
            <v>0</v>
          </cell>
          <cell r="R134">
            <v>0</v>
          </cell>
          <cell r="S134">
            <v>0</v>
          </cell>
          <cell r="T134">
            <v>2</v>
          </cell>
          <cell r="V134">
            <v>1</v>
          </cell>
          <cell r="W134">
            <v>71</v>
          </cell>
          <cell r="X134">
            <v>1</v>
          </cell>
          <cell r="Y134">
            <v>2</v>
          </cell>
          <cell r="AA134">
            <v>0</v>
          </cell>
          <cell r="AB134">
            <v>1</v>
          </cell>
          <cell r="AC134">
            <v>0</v>
          </cell>
          <cell r="AD134">
            <v>0</v>
          </cell>
          <cell r="AE134">
            <v>0</v>
          </cell>
          <cell r="AF134">
            <v>0</v>
          </cell>
          <cell r="AG134">
            <v>0</v>
          </cell>
          <cell r="AH134">
            <v>0</v>
          </cell>
          <cell r="AI134">
            <v>3</v>
          </cell>
          <cell r="AK134">
            <v>0</v>
          </cell>
          <cell r="AL134">
            <v>1</v>
          </cell>
          <cell r="AN134">
            <v>4559</v>
          </cell>
          <cell r="AO134">
            <v>3</v>
          </cell>
          <cell r="AQ134">
            <v>1</v>
          </cell>
          <cell r="AR134">
            <v>11</v>
          </cell>
          <cell r="AS134">
            <v>3</v>
          </cell>
          <cell r="AT134">
            <v>3</v>
          </cell>
          <cell r="AU134">
            <v>1</v>
          </cell>
          <cell r="AV134">
            <v>4</v>
          </cell>
          <cell r="AW134">
            <v>4</v>
          </cell>
          <cell r="AX134">
            <v>2</v>
          </cell>
          <cell r="AY134">
            <v>3</v>
          </cell>
          <cell r="AZ134">
            <v>2</v>
          </cell>
          <cell r="BA134">
            <v>2</v>
          </cell>
          <cell r="BB134">
            <v>2</v>
          </cell>
          <cell r="BC134">
            <v>2</v>
          </cell>
          <cell r="BD134">
            <v>2</v>
          </cell>
          <cell r="BE134">
            <v>2</v>
          </cell>
          <cell r="BF134">
            <v>2</v>
          </cell>
          <cell r="BG134">
            <v>4</v>
          </cell>
          <cell r="BH134">
            <v>0</v>
          </cell>
          <cell r="BI134">
            <v>1</v>
          </cell>
          <cell r="BJ134">
            <v>0</v>
          </cell>
          <cell r="BK134">
            <v>0</v>
          </cell>
          <cell r="BL134">
            <v>0</v>
          </cell>
          <cell r="BM134">
            <v>0</v>
          </cell>
          <cell r="BN134">
            <v>0</v>
          </cell>
          <cell r="BO134">
            <v>1</v>
          </cell>
          <cell r="BP134">
            <v>0</v>
          </cell>
          <cell r="BQ134">
            <v>0</v>
          </cell>
          <cell r="BR134">
            <v>2</v>
          </cell>
          <cell r="BS134">
            <v>0</v>
          </cell>
          <cell r="BT134">
            <v>0</v>
          </cell>
          <cell r="BU134">
            <v>4</v>
          </cell>
        </row>
        <row r="135">
          <cell r="A135">
            <v>41</v>
          </cell>
          <cell r="B135">
            <v>41</v>
          </cell>
          <cell r="D135">
            <v>0</v>
          </cell>
          <cell r="F135">
            <v>0</v>
          </cell>
          <cell r="G135">
            <v>1</v>
          </cell>
          <cell r="I135">
            <v>0</v>
          </cell>
          <cell r="J135">
            <v>1</v>
          </cell>
          <cell r="K135">
            <v>9</v>
          </cell>
          <cell r="L135">
            <v>9</v>
          </cell>
          <cell r="M135">
            <v>1</v>
          </cell>
          <cell r="O135">
            <v>1</v>
          </cell>
          <cell r="P135">
            <v>0</v>
          </cell>
          <cell r="Q135">
            <v>0</v>
          </cell>
          <cell r="R135">
            <v>0</v>
          </cell>
          <cell r="S135">
            <v>0</v>
          </cell>
          <cell r="T135">
            <v>3</v>
          </cell>
          <cell r="V135">
            <v>0</v>
          </cell>
          <cell r="W135">
            <v>96</v>
          </cell>
          <cell r="X135">
            <v>3</v>
          </cell>
          <cell r="Y135">
            <v>3</v>
          </cell>
          <cell r="AA135">
            <v>0</v>
          </cell>
          <cell r="AB135">
            <v>1</v>
          </cell>
          <cell r="AC135">
            <v>0</v>
          </cell>
          <cell r="AD135">
            <v>0</v>
          </cell>
          <cell r="AE135">
            <v>0</v>
          </cell>
          <cell r="AF135">
            <v>0</v>
          </cell>
          <cell r="AG135">
            <v>0</v>
          </cell>
          <cell r="AH135">
            <v>0</v>
          </cell>
          <cell r="AI135">
            <v>3</v>
          </cell>
          <cell r="AK135">
            <v>0</v>
          </cell>
          <cell r="AL135">
            <v>0</v>
          </cell>
          <cell r="AN135">
            <v>8189</v>
          </cell>
          <cell r="AO135">
            <v>3</v>
          </cell>
          <cell r="AQ135">
            <v>1</v>
          </cell>
          <cell r="AR135">
            <v>13</v>
          </cell>
          <cell r="AS135">
            <v>3</v>
          </cell>
          <cell r="AT135">
            <v>3</v>
          </cell>
          <cell r="AU135">
            <v>1</v>
          </cell>
          <cell r="AV135">
            <v>12</v>
          </cell>
          <cell r="AW135">
            <v>12</v>
          </cell>
          <cell r="AX135">
            <v>2</v>
          </cell>
          <cell r="AY135">
            <v>3</v>
          </cell>
          <cell r="AZ135">
            <v>9</v>
          </cell>
          <cell r="BA135">
            <v>9</v>
          </cell>
          <cell r="BB135">
            <v>7</v>
          </cell>
          <cell r="BC135">
            <v>0</v>
          </cell>
          <cell r="BD135">
            <v>0</v>
          </cell>
          <cell r="BE135">
            <v>7</v>
          </cell>
          <cell r="BF135">
            <v>7</v>
          </cell>
          <cell r="BG135">
            <v>21</v>
          </cell>
          <cell r="BH135">
            <v>1</v>
          </cell>
          <cell r="BI135">
            <v>0</v>
          </cell>
          <cell r="BJ135">
            <v>0</v>
          </cell>
          <cell r="BK135">
            <v>0</v>
          </cell>
          <cell r="BL135">
            <v>0</v>
          </cell>
          <cell r="BM135">
            <v>1</v>
          </cell>
          <cell r="BN135">
            <v>0</v>
          </cell>
          <cell r="BO135">
            <v>0</v>
          </cell>
          <cell r="BP135">
            <v>0</v>
          </cell>
          <cell r="BQ135">
            <v>0</v>
          </cell>
          <cell r="BR135">
            <v>7</v>
          </cell>
          <cell r="BS135">
            <v>0</v>
          </cell>
          <cell r="BT135">
            <v>0</v>
          </cell>
          <cell r="BU135">
            <v>12</v>
          </cell>
        </row>
        <row r="136">
          <cell r="A136">
            <v>26</v>
          </cell>
          <cell r="B136">
            <v>26</v>
          </cell>
          <cell r="D136">
            <v>0</v>
          </cell>
          <cell r="F136">
            <v>0</v>
          </cell>
          <cell r="G136">
            <v>1</v>
          </cell>
          <cell r="I136">
            <v>0</v>
          </cell>
          <cell r="J136">
            <v>0</v>
          </cell>
          <cell r="K136">
            <v>25</v>
          </cell>
          <cell r="L136">
            <v>25</v>
          </cell>
          <cell r="M136">
            <v>1</v>
          </cell>
          <cell r="O136">
            <v>1</v>
          </cell>
          <cell r="P136">
            <v>0</v>
          </cell>
          <cell r="Q136">
            <v>0</v>
          </cell>
          <cell r="R136">
            <v>0</v>
          </cell>
          <cell r="S136">
            <v>0</v>
          </cell>
          <cell r="T136">
            <v>3</v>
          </cell>
          <cell r="V136">
            <v>1</v>
          </cell>
          <cell r="W136">
            <v>61</v>
          </cell>
          <cell r="X136">
            <v>3</v>
          </cell>
          <cell r="Y136">
            <v>1</v>
          </cell>
          <cell r="AA136">
            <v>0</v>
          </cell>
          <cell r="AB136">
            <v>0</v>
          </cell>
          <cell r="AC136">
            <v>0</v>
          </cell>
          <cell r="AD136">
            <v>0</v>
          </cell>
          <cell r="AE136">
            <v>0</v>
          </cell>
          <cell r="AF136">
            <v>0</v>
          </cell>
          <cell r="AG136">
            <v>0</v>
          </cell>
          <cell r="AH136">
            <v>0</v>
          </cell>
          <cell r="AI136">
            <v>3</v>
          </cell>
          <cell r="AK136">
            <v>0</v>
          </cell>
          <cell r="AL136">
            <v>1</v>
          </cell>
          <cell r="AN136">
            <v>2942</v>
          </cell>
          <cell r="AO136">
            <v>1</v>
          </cell>
          <cell r="AQ136">
            <v>0</v>
          </cell>
          <cell r="AR136">
            <v>23</v>
          </cell>
          <cell r="AS136">
            <v>4</v>
          </cell>
          <cell r="AT136">
            <v>4</v>
          </cell>
          <cell r="AU136">
            <v>1</v>
          </cell>
          <cell r="AV136">
            <v>8</v>
          </cell>
          <cell r="AW136">
            <v>8</v>
          </cell>
          <cell r="AX136">
            <v>3</v>
          </cell>
          <cell r="AY136">
            <v>3</v>
          </cell>
          <cell r="AZ136">
            <v>8</v>
          </cell>
          <cell r="BA136">
            <v>8</v>
          </cell>
          <cell r="BB136">
            <v>7</v>
          </cell>
          <cell r="BC136">
            <v>5</v>
          </cell>
          <cell r="BD136">
            <v>5</v>
          </cell>
          <cell r="BE136">
            <v>7</v>
          </cell>
          <cell r="BF136">
            <v>7</v>
          </cell>
          <cell r="BG136">
            <v>7</v>
          </cell>
          <cell r="BH136">
            <v>0</v>
          </cell>
          <cell r="BI136">
            <v>1</v>
          </cell>
          <cell r="BJ136">
            <v>0</v>
          </cell>
          <cell r="BK136">
            <v>0</v>
          </cell>
          <cell r="BL136">
            <v>0</v>
          </cell>
          <cell r="BM136">
            <v>0</v>
          </cell>
          <cell r="BN136">
            <v>1</v>
          </cell>
          <cell r="BO136">
            <v>0</v>
          </cell>
          <cell r="BP136">
            <v>7</v>
          </cell>
          <cell r="BQ136">
            <v>0</v>
          </cell>
          <cell r="BR136">
            <v>0</v>
          </cell>
          <cell r="BS136">
            <v>8</v>
          </cell>
          <cell r="BT136">
            <v>0</v>
          </cell>
          <cell r="BU136">
            <v>0</v>
          </cell>
        </row>
        <row r="137">
          <cell r="A137">
            <v>36</v>
          </cell>
          <cell r="B137">
            <v>36</v>
          </cell>
          <cell r="D137">
            <v>0</v>
          </cell>
          <cell r="F137">
            <v>0</v>
          </cell>
          <cell r="G137">
            <v>1</v>
          </cell>
          <cell r="I137">
            <v>1</v>
          </cell>
          <cell r="J137">
            <v>0</v>
          </cell>
          <cell r="K137">
            <v>6</v>
          </cell>
          <cell r="L137">
            <v>6</v>
          </cell>
          <cell r="M137">
            <v>2</v>
          </cell>
          <cell r="O137">
            <v>0</v>
          </cell>
          <cell r="P137">
            <v>0</v>
          </cell>
          <cell r="Q137">
            <v>1</v>
          </cell>
          <cell r="R137">
            <v>0</v>
          </cell>
          <cell r="S137">
            <v>0</v>
          </cell>
          <cell r="T137">
            <v>2</v>
          </cell>
          <cell r="V137">
            <v>0</v>
          </cell>
          <cell r="W137">
            <v>84</v>
          </cell>
          <cell r="X137">
            <v>3</v>
          </cell>
          <cell r="Y137">
            <v>2</v>
          </cell>
          <cell r="AA137">
            <v>0</v>
          </cell>
          <cell r="AB137">
            <v>0</v>
          </cell>
          <cell r="AC137">
            <v>0</v>
          </cell>
          <cell r="AD137">
            <v>0</v>
          </cell>
          <cell r="AE137">
            <v>1</v>
          </cell>
          <cell r="AF137">
            <v>1</v>
          </cell>
          <cell r="AG137">
            <v>0</v>
          </cell>
          <cell r="AH137">
            <v>0</v>
          </cell>
          <cell r="AI137">
            <v>2</v>
          </cell>
          <cell r="AK137">
            <v>0</v>
          </cell>
          <cell r="AL137">
            <v>0</v>
          </cell>
          <cell r="AN137">
            <v>4941</v>
          </cell>
          <cell r="AO137">
            <v>6</v>
          </cell>
          <cell r="AQ137">
            <v>0</v>
          </cell>
          <cell r="AR137">
            <v>20</v>
          </cell>
          <cell r="AS137">
            <v>4</v>
          </cell>
          <cell r="AT137">
            <v>4</v>
          </cell>
          <cell r="AU137">
            <v>2</v>
          </cell>
          <cell r="AV137">
            <v>7</v>
          </cell>
          <cell r="AW137">
            <v>7</v>
          </cell>
          <cell r="AX137">
            <v>0</v>
          </cell>
          <cell r="AY137">
            <v>3</v>
          </cell>
          <cell r="AZ137">
            <v>3</v>
          </cell>
          <cell r="BA137">
            <v>3</v>
          </cell>
          <cell r="BB137">
            <v>2</v>
          </cell>
          <cell r="BC137">
            <v>0</v>
          </cell>
          <cell r="BD137">
            <v>0</v>
          </cell>
          <cell r="BE137">
            <v>1</v>
          </cell>
          <cell r="BF137">
            <v>1</v>
          </cell>
          <cell r="BG137">
            <v>2</v>
          </cell>
          <cell r="BH137">
            <v>1</v>
          </cell>
          <cell r="BI137">
            <v>0</v>
          </cell>
          <cell r="BJ137">
            <v>0</v>
          </cell>
          <cell r="BK137">
            <v>0</v>
          </cell>
          <cell r="BL137">
            <v>1</v>
          </cell>
          <cell r="BM137">
            <v>0</v>
          </cell>
          <cell r="BN137">
            <v>0</v>
          </cell>
          <cell r="BO137">
            <v>0</v>
          </cell>
          <cell r="BP137">
            <v>0</v>
          </cell>
          <cell r="BQ137">
            <v>1</v>
          </cell>
          <cell r="BR137">
            <v>0</v>
          </cell>
          <cell r="BS137">
            <v>0</v>
          </cell>
          <cell r="BT137">
            <v>7</v>
          </cell>
          <cell r="BU137">
            <v>0</v>
          </cell>
        </row>
        <row r="138">
          <cell r="A138">
            <v>51</v>
          </cell>
          <cell r="B138">
            <v>51</v>
          </cell>
          <cell r="D138">
            <v>1</v>
          </cell>
          <cell r="F138">
            <v>1</v>
          </cell>
          <cell r="G138">
            <v>0</v>
          </cell>
          <cell r="I138">
            <v>1</v>
          </cell>
          <cell r="J138">
            <v>0</v>
          </cell>
          <cell r="K138">
            <v>8</v>
          </cell>
          <cell r="L138">
            <v>8</v>
          </cell>
          <cell r="M138">
            <v>4</v>
          </cell>
          <cell r="O138">
            <v>1</v>
          </cell>
          <cell r="P138">
            <v>0</v>
          </cell>
          <cell r="Q138">
            <v>0</v>
          </cell>
          <cell r="R138">
            <v>0</v>
          </cell>
          <cell r="S138">
            <v>0</v>
          </cell>
          <cell r="T138">
            <v>1</v>
          </cell>
          <cell r="V138">
            <v>0</v>
          </cell>
          <cell r="W138">
            <v>53</v>
          </cell>
          <cell r="X138">
            <v>1</v>
          </cell>
          <cell r="Y138">
            <v>3</v>
          </cell>
          <cell r="AA138">
            <v>0</v>
          </cell>
          <cell r="AB138">
            <v>0</v>
          </cell>
          <cell r="AC138">
            <v>0</v>
          </cell>
          <cell r="AD138">
            <v>0</v>
          </cell>
          <cell r="AE138">
            <v>1</v>
          </cell>
          <cell r="AF138">
            <v>1</v>
          </cell>
          <cell r="AG138">
            <v>0</v>
          </cell>
          <cell r="AH138">
            <v>0</v>
          </cell>
          <cell r="AI138">
            <v>4</v>
          </cell>
          <cell r="AK138">
            <v>1</v>
          </cell>
          <cell r="AL138">
            <v>0</v>
          </cell>
          <cell r="AN138">
            <v>10650</v>
          </cell>
          <cell r="AO138">
            <v>2</v>
          </cell>
          <cell r="AQ138">
            <v>0</v>
          </cell>
          <cell r="AR138">
            <v>15</v>
          </cell>
          <cell r="AS138">
            <v>3</v>
          </cell>
          <cell r="AT138">
            <v>4</v>
          </cell>
          <cell r="AU138">
            <v>0</v>
          </cell>
          <cell r="AV138">
            <v>18</v>
          </cell>
          <cell r="AW138">
            <v>18</v>
          </cell>
          <cell r="AX138">
            <v>2</v>
          </cell>
          <cell r="AY138">
            <v>3</v>
          </cell>
          <cell r="AZ138">
            <v>4</v>
          </cell>
          <cell r="BA138">
            <v>4</v>
          </cell>
          <cell r="BB138">
            <v>2</v>
          </cell>
          <cell r="BC138">
            <v>0</v>
          </cell>
          <cell r="BD138">
            <v>0</v>
          </cell>
          <cell r="BE138">
            <v>3</v>
          </cell>
          <cell r="BF138">
            <v>3</v>
          </cell>
          <cell r="BG138">
            <v>9</v>
          </cell>
          <cell r="BH138">
            <v>0</v>
          </cell>
          <cell r="BI138">
            <v>0</v>
          </cell>
          <cell r="BJ138">
            <v>1</v>
          </cell>
          <cell r="BK138">
            <v>0</v>
          </cell>
          <cell r="BL138">
            <v>1</v>
          </cell>
          <cell r="BM138">
            <v>0</v>
          </cell>
          <cell r="BN138">
            <v>0</v>
          </cell>
          <cell r="BO138">
            <v>0</v>
          </cell>
          <cell r="BP138">
            <v>0</v>
          </cell>
          <cell r="BQ138">
            <v>3</v>
          </cell>
          <cell r="BR138">
            <v>0</v>
          </cell>
          <cell r="BS138">
            <v>0</v>
          </cell>
          <cell r="BT138">
            <v>18</v>
          </cell>
          <cell r="BU138">
            <v>0</v>
          </cell>
        </row>
        <row r="139">
          <cell r="A139">
            <v>39</v>
          </cell>
          <cell r="B139">
            <v>39</v>
          </cell>
          <cell r="D139">
            <v>0</v>
          </cell>
          <cell r="F139">
            <v>0</v>
          </cell>
          <cell r="G139">
            <v>1</v>
          </cell>
          <cell r="I139">
            <v>0</v>
          </cell>
          <cell r="J139">
            <v>1</v>
          </cell>
          <cell r="K139">
            <v>4</v>
          </cell>
          <cell r="L139">
            <v>4</v>
          </cell>
          <cell r="M139">
            <v>4</v>
          </cell>
          <cell r="O139">
            <v>1</v>
          </cell>
          <cell r="P139">
            <v>0</v>
          </cell>
          <cell r="Q139">
            <v>0</v>
          </cell>
          <cell r="R139">
            <v>0</v>
          </cell>
          <cell r="S139">
            <v>0</v>
          </cell>
          <cell r="T139">
            <v>4</v>
          </cell>
          <cell r="V139">
            <v>1</v>
          </cell>
          <cell r="W139">
            <v>47</v>
          </cell>
          <cell r="X139">
            <v>2</v>
          </cell>
          <cell r="Y139">
            <v>2</v>
          </cell>
          <cell r="AA139">
            <v>0</v>
          </cell>
          <cell r="AB139">
            <v>1</v>
          </cell>
          <cell r="AC139">
            <v>0</v>
          </cell>
          <cell r="AD139">
            <v>0</v>
          </cell>
          <cell r="AE139">
            <v>0</v>
          </cell>
          <cell r="AF139">
            <v>0</v>
          </cell>
          <cell r="AG139">
            <v>0</v>
          </cell>
          <cell r="AH139">
            <v>0</v>
          </cell>
          <cell r="AI139">
            <v>3</v>
          </cell>
          <cell r="AK139">
            <v>0</v>
          </cell>
          <cell r="AL139">
            <v>1</v>
          </cell>
          <cell r="AN139">
            <v>5902</v>
          </cell>
          <cell r="AO139">
            <v>4</v>
          </cell>
          <cell r="AQ139">
            <v>0</v>
          </cell>
          <cell r="AR139">
            <v>14</v>
          </cell>
          <cell r="AS139">
            <v>3</v>
          </cell>
          <cell r="AT139">
            <v>3</v>
          </cell>
          <cell r="AU139">
            <v>1</v>
          </cell>
          <cell r="AV139">
            <v>17</v>
          </cell>
          <cell r="AW139">
            <v>17</v>
          </cell>
          <cell r="AX139">
            <v>1</v>
          </cell>
          <cell r="AY139">
            <v>4</v>
          </cell>
          <cell r="AZ139">
            <v>15</v>
          </cell>
          <cell r="BA139">
            <v>15</v>
          </cell>
          <cell r="BB139">
            <v>11</v>
          </cell>
          <cell r="BC139">
            <v>5</v>
          </cell>
          <cell r="BD139">
            <v>5</v>
          </cell>
          <cell r="BE139">
            <v>9</v>
          </cell>
          <cell r="BF139">
            <v>9</v>
          </cell>
          <cell r="BG139">
            <v>18</v>
          </cell>
          <cell r="BH139">
            <v>0</v>
          </cell>
          <cell r="BI139">
            <v>1</v>
          </cell>
          <cell r="BJ139">
            <v>0</v>
          </cell>
          <cell r="BK139">
            <v>0</v>
          </cell>
          <cell r="BL139">
            <v>0</v>
          </cell>
          <cell r="BM139">
            <v>0</v>
          </cell>
          <cell r="BN139">
            <v>1</v>
          </cell>
          <cell r="BO139">
            <v>0</v>
          </cell>
          <cell r="BP139">
            <v>0</v>
          </cell>
          <cell r="BQ139">
            <v>0</v>
          </cell>
          <cell r="BR139">
            <v>9</v>
          </cell>
          <cell r="BS139">
            <v>0</v>
          </cell>
          <cell r="BT139">
            <v>0</v>
          </cell>
          <cell r="BU139">
            <v>17</v>
          </cell>
        </row>
        <row r="140">
          <cell r="A140">
            <v>25</v>
          </cell>
          <cell r="B140">
            <v>25</v>
          </cell>
          <cell r="D140">
            <v>0</v>
          </cell>
          <cell r="F140">
            <v>0</v>
          </cell>
          <cell r="G140">
            <v>1</v>
          </cell>
          <cell r="I140">
            <v>0</v>
          </cell>
          <cell r="J140">
            <v>1</v>
          </cell>
          <cell r="K140">
            <v>28</v>
          </cell>
          <cell r="L140">
            <v>28</v>
          </cell>
          <cell r="M140">
            <v>3</v>
          </cell>
          <cell r="O140">
            <v>1</v>
          </cell>
          <cell r="P140">
            <v>0</v>
          </cell>
          <cell r="Q140">
            <v>0</v>
          </cell>
          <cell r="R140">
            <v>0</v>
          </cell>
          <cell r="S140">
            <v>0</v>
          </cell>
          <cell r="T140">
            <v>1</v>
          </cell>
          <cell r="V140">
            <v>0</v>
          </cell>
          <cell r="W140">
            <v>41</v>
          </cell>
          <cell r="X140">
            <v>2</v>
          </cell>
          <cell r="Y140">
            <v>2</v>
          </cell>
          <cell r="AA140">
            <v>0</v>
          </cell>
          <cell r="AB140">
            <v>1</v>
          </cell>
          <cell r="AC140">
            <v>0</v>
          </cell>
          <cell r="AD140">
            <v>0</v>
          </cell>
          <cell r="AE140">
            <v>0</v>
          </cell>
          <cell r="AF140">
            <v>0</v>
          </cell>
          <cell r="AG140">
            <v>0</v>
          </cell>
          <cell r="AH140">
            <v>0</v>
          </cell>
          <cell r="AI140">
            <v>3</v>
          </cell>
          <cell r="AK140">
            <v>0</v>
          </cell>
          <cell r="AL140">
            <v>1</v>
          </cell>
          <cell r="AN140">
            <v>8639</v>
          </cell>
          <cell r="AO140">
            <v>2</v>
          </cell>
          <cell r="AQ140">
            <v>0</v>
          </cell>
          <cell r="AR140">
            <v>18</v>
          </cell>
          <cell r="AS140">
            <v>3</v>
          </cell>
          <cell r="AT140">
            <v>4</v>
          </cell>
          <cell r="AU140">
            <v>0</v>
          </cell>
          <cell r="AV140">
            <v>6</v>
          </cell>
          <cell r="AW140">
            <v>6</v>
          </cell>
          <cell r="AX140">
            <v>3</v>
          </cell>
          <cell r="AY140">
            <v>3</v>
          </cell>
          <cell r="AZ140">
            <v>2</v>
          </cell>
          <cell r="BA140">
            <v>2</v>
          </cell>
          <cell r="BB140">
            <v>2</v>
          </cell>
          <cell r="BC140">
            <v>2</v>
          </cell>
          <cell r="BD140">
            <v>2</v>
          </cell>
          <cell r="BE140">
            <v>2</v>
          </cell>
          <cell r="BF140">
            <v>2</v>
          </cell>
          <cell r="BG140">
            <v>4</v>
          </cell>
          <cell r="BH140">
            <v>0</v>
          </cell>
          <cell r="BI140">
            <v>1</v>
          </cell>
          <cell r="BJ140">
            <v>0</v>
          </cell>
          <cell r="BK140">
            <v>0</v>
          </cell>
          <cell r="BL140">
            <v>0</v>
          </cell>
          <cell r="BM140">
            <v>0</v>
          </cell>
          <cell r="BN140">
            <v>1</v>
          </cell>
          <cell r="BO140">
            <v>0</v>
          </cell>
          <cell r="BP140">
            <v>0</v>
          </cell>
          <cell r="BQ140">
            <v>0</v>
          </cell>
          <cell r="BR140">
            <v>2</v>
          </cell>
          <cell r="BS140">
            <v>0</v>
          </cell>
          <cell r="BT140">
            <v>0</v>
          </cell>
          <cell r="BU140">
            <v>6</v>
          </cell>
        </row>
        <row r="141">
          <cell r="A141">
            <v>30</v>
          </cell>
          <cell r="B141">
            <v>30</v>
          </cell>
          <cell r="D141">
            <v>0</v>
          </cell>
          <cell r="F141">
            <v>0</v>
          </cell>
          <cell r="G141">
            <v>1</v>
          </cell>
          <cell r="I141">
            <v>0</v>
          </cell>
          <cell r="J141">
            <v>0</v>
          </cell>
          <cell r="K141">
            <v>9</v>
          </cell>
          <cell r="L141">
            <v>9</v>
          </cell>
          <cell r="M141">
            <v>3</v>
          </cell>
          <cell r="O141">
            <v>0</v>
          </cell>
          <cell r="P141">
            <v>0</v>
          </cell>
          <cell r="Q141">
            <v>0</v>
          </cell>
          <cell r="R141">
            <v>0</v>
          </cell>
          <cell r="S141">
            <v>0</v>
          </cell>
          <cell r="T141">
            <v>3</v>
          </cell>
          <cell r="V141">
            <v>0</v>
          </cell>
          <cell r="W141">
            <v>48</v>
          </cell>
          <cell r="X141">
            <v>3</v>
          </cell>
          <cell r="Y141">
            <v>2</v>
          </cell>
          <cell r="AA141">
            <v>0</v>
          </cell>
          <cell r="AB141">
            <v>0</v>
          </cell>
          <cell r="AC141">
            <v>0</v>
          </cell>
          <cell r="AD141">
            <v>0</v>
          </cell>
          <cell r="AE141">
            <v>0</v>
          </cell>
          <cell r="AF141">
            <v>0</v>
          </cell>
          <cell r="AG141">
            <v>0</v>
          </cell>
          <cell r="AH141">
            <v>0</v>
          </cell>
          <cell r="AI141">
            <v>4</v>
          </cell>
          <cell r="AK141">
            <v>0</v>
          </cell>
          <cell r="AL141">
            <v>1</v>
          </cell>
          <cell r="AN141">
            <v>6347</v>
          </cell>
          <cell r="AO141">
            <v>0</v>
          </cell>
          <cell r="AQ141">
            <v>1</v>
          </cell>
          <cell r="AR141">
            <v>19</v>
          </cell>
          <cell r="AS141">
            <v>3</v>
          </cell>
          <cell r="AT141">
            <v>4</v>
          </cell>
          <cell r="AU141">
            <v>0</v>
          </cell>
          <cell r="AV141">
            <v>12</v>
          </cell>
          <cell r="AW141">
            <v>12</v>
          </cell>
          <cell r="AX141">
            <v>2</v>
          </cell>
          <cell r="AY141">
            <v>1</v>
          </cell>
          <cell r="AZ141">
            <v>11</v>
          </cell>
          <cell r="BA141">
            <v>11</v>
          </cell>
          <cell r="BB141">
            <v>9</v>
          </cell>
          <cell r="BC141">
            <v>4</v>
          </cell>
          <cell r="BD141">
            <v>4</v>
          </cell>
          <cell r="BE141">
            <v>7</v>
          </cell>
          <cell r="BF141">
            <v>7</v>
          </cell>
          <cell r="BG141">
            <v>14</v>
          </cell>
          <cell r="BH141">
            <v>0</v>
          </cell>
          <cell r="BI141">
            <v>1</v>
          </cell>
          <cell r="BJ141">
            <v>0</v>
          </cell>
          <cell r="BK141">
            <v>0</v>
          </cell>
          <cell r="BL141">
            <v>0</v>
          </cell>
          <cell r="BM141">
            <v>0</v>
          </cell>
          <cell r="BN141">
            <v>0</v>
          </cell>
          <cell r="BO141">
            <v>1</v>
          </cell>
          <cell r="BP141">
            <v>7</v>
          </cell>
          <cell r="BQ141">
            <v>0</v>
          </cell>
          <cell r="BR141">
            <v>0</v>
          </cell>
          <cell r="BS141">
            <v>12</v>
          </cell>
          <cell r="BT141">
            <v>0</v>
          </cell>
          <cell r="BU141">
            <v>0</v>
          </cell>
        </row>
        <row r="142">
          <cell r="A142">
            <v>32</v>
          </cell>
          <cell r="B142">
            <v>32</v>
          </cell>
          <cell r="D142">
            <v>1</v>
          </cell>
          <cell r="F142">
            <v>0</v>
          </cell>
          <cell r="G142">
            <v>1</v>
          </cell>
          <cell r="I142">
            <v>1</v>
          </cell>
          <cell r="J142">
            <v>0</v>
          </cell>
          <cell r="K142">
            <v>9</v>
          </cell>
          <cell r="L142">
            <v>9</v>
          </cell>
          <cell r="M142">
            <v>3</v>
          </cell>
          <cell r="O142">
            <v>0</v>
          </cell>
          <cell r="P142">
            <v>0</v>
          </cell>
          <cell r="Q142">
            <v>1</v>
          </cell>
          <cell r="R142">
            <v>0</v>
          </cell>
          <cell r="S142">
            <v>0</v>
          </cell>
          <cell r="T142">
            <v>1</v>
          </cell>
          <cell r="V142">
            <v>1</v>
          </cell>
          <cell r="W142">
            <v>41</v>
          </cell>
          <cell r="X142">
            <v>3</v>
          </cell>
          <cell r="Y142">
            <v>1</v>
          </cell>
          <cell r="AA142">
            <v>0</v>
          </cell>
          <cell r="AB142">
            <v>0</v>
          </cell>
          <cell r="AC142">
            <v>1</v>
          </cell>
          <cell r="AD142">
            <v>0</v>
          </cell>
          <cell r="AE142">
            <v>0</v>
          </cell>
          <cell r="AF142">
            <v>0</v>
          </cell>
          <cell r="AG142">
            <v>0</v>
          </cell>
          <cell r="AH142">
            <v>0</v>
          </cell>
          <cell r="AI142">
            <v>1</v>
          </cell>
          <cell r="AK142">
            <v>1</v>
          </cell>
          <cell r="AL142">
            <v>0</v>
          </cell>
          <cell r="AN142">
            <v>4200</v>
          </cell>
          <cell r="AO142">
            <v>7</v>
          </cell>
          <cell r="AQ142">
            <v>0</v>
          </cell>
          <cell r="AR142">
            <v>22</v>
          </cell>
          <cell r="AS142">
            <v>4</v>
          </cell>
          <cell r="AT142">
            <v>1</v>
          </cell>
          <cell r="AU142">
            <v>0</v>
          </cell>
          <cell r="AV142">
            <v>10</v>
          </cell>
          <cell r="AW142">
            <v>10</v>
          </cell>
          <cell r="AX142">
            <v>2</v>
          </cell>
          <cell r="AY142">
            <v>4</v>
          </cell>
          <cell r="AZ142">
            <v>5</v>
          </cell>
          <cell r="BA142">
            <v>5</v>
          </cell>
          <cell r="BB142">
            <v>4</v>
          </cell>
          <cell r="BC142">
            <v>0</v>
          </cell>
          <cell r="BD142">
            <v>0</v>
          </cell>
          <cell r="BE142">
            <v>4</v>
          </cell>
          <cell r="BF142">
            <v>4</v>
          </cell>
          <cell r="BG142">
            <v>4</v>
          </cell>
          <cell r="BH142">
            <v>1</v>
          </cell>
          <cell r="BI142">
            <v>0</v>
          </cell>
          <cell r="BJ142">
            <v>0</v>
          </cell>
          <cell r="BK142">
            <v>0</v>
          </cell>
          <cell r="BL142">
            <v>1</v>
          </cell>
          <cell r="BM142">
            <v>0</v>
          </cell>
          <cell r="BN142">
            <v>0</v>
          </cell>
          <cell r="BO142">
            <v>0</v>
          </cell>
          <cell r="BP142">
            <v>0</v>
          </cell>
          <cell r="BQ142">
            <v>4</v>
          </cell>
          <cell r="BR142">
            <v>0</v>
          </cell>
          <cell r="BS142">
            <v>0</v>
          </cell>
          <cell r="BT142">
            <v>10</v>
          </cell>
          <cell r="BU142">
            <v>0</v>
          </cell>
        </row>
        <row r="143">
          <cell r="A143">
            <v>45</v>
          </cell>
          <cell r="B143">
            <v>45</v>
          </cell>
          <cell r="D143">
            <v>0</v>
          </cell>
          <cell r="F143">
            <v>0</v>
          </cell>
          <cell r="G143">
            <v>1</v>
          </cell>
          <cell r="I143">
            <v>1</v>
          </cell>
          <cell r="J143">
            <v>0</v>
          </cell>
          <cell r="K143">
            <v>29</v>
          </cell>
          <cell r="L143">
            <v>29</v>
          </cell>
          <cell r="M143">
            <v>3</v>
          </cell>
          <cell r="O143">
            <v>0</v>
          </cell>
          <cell r="P143">
            <v>0</v>
          </cell>
          <cell r="Q143">
            <v>1</v>
          </cell>
          <cell r="R143">
            <v>0</v>
          </cell>
          <cell r="S143">
            <v>0</v>
          </cell>
          <cell r="T143">
            <v>3</v>
          </cell>
          <cell r="V143">
            <v>0</v>
          </cell>
          <cell r="W143">
            <v>83</v>
          </cell>
          <cell r="X143">
            <v>3</v>
          </cell>
          <cell r="Y143">
            <v>1</v>
          </cell>
          <cell r="AA143">
            <v>0</v>
          </cell>
          <cell r="AB143">
            <v>0</v>
          </cell>
          <cell r="AC143">
            <v>0</v>
          </cell>
          <cell r="AD143">
            <v>0</v>
          </cell>
          <cell r="AE143">
            <v>0</v>
          </cell>
          <cell r="AF143">
            <v>0</v>
          </cell>
          <cell r="AG143">
            <v>0</v>
          </cell>
          <cell r="AH143">
            <v>1</v>
          </cell>
          <cell r="AI143">
            <v>4</v>
          </cell>
          <cell r="AK143">
            <v>1</v>
          </cell>
          <cell r="AL143">
            <v>0</v>
          </cell>
          <cell r="AN143">
            <v>3452</v>
          </cell>
          <cell r="AO143">
            <v>5</v>
          </cell>
          <cell r="AQ143">
            <v>0</v>
          </cell>
          <cell r="AR143">
            <v>13</v>
          </cell>
          <cell r="AS143">
            <v>3</v>
          </cell>
          <cell r="AT143">
            <v>2</v>
          </cell>
          <cell r="AU143">
            <v>0</v>
          </cell>
          <cell r="AV143">
            <v>9</v>
          </cell>
          <cell r="AW143">
            <v>9</v>
          </cell>
          <cell r="AX143">
            <v>2</v>
          </cell>
          <cell r="AY143">
            <v>2</v>
          </cell>
          <cell r="AZ143">
            <v>6</v>
          </cell>
          <cell r="BA143">
            <v>6</v>
          </cell>
          <cell r="BB143">
            <v>5</v>
          </cell>
          <cell r="BC143">
            <v>0</v>
          </cell>
          <cell r="BD143">
            <v>0</v>
          </cell>
          <cell r="BE143">
            <v>3</v>
          </cell>
          <cell r="BF143">
            <v>3</v>
          </cell>
          <cell r="BG143">
            <v>3</v>
          </cell>
          <cell r="BH143">
            <v>1</v>
          </cell>
          <cell r="BI143">
            <v>0</v>
          </cell>
          <cell r="BJ143">
            <v>0</v>
          </cell>
          <cell r="BK143">
            <v>0</v>
          </cell>
          <cell r="BL143">
            <v>1</v>
          </cell>
          <cell r="BM143">
            <v>0</v>
          </cell>
          <cell r="BN143">
            <v>0</v>
          </cell>
          <cell r="BO143">
            <v>0</v>
          </cell>
          <cell r="BP143">
            <v>0</v>
          </cell>
          <cell r="BQ143">
            <v>3</v>
          </cell>
          <cell r="BR143">
            <v>0</v>
          </cell>
          <cell r="BS143">
            <v>0</v>
          </cell>
          <cell r="BT143">
            <v>9</v>
          </cell>
          <cell r="BU143">
            <v>0</v>
          </cell>
        </row>
        <row r="144">
          <cell r="A144">
            <v>38</v>
          </cell>
          <cell r="B144">
            <v>38</v>
          </cell>
          <cell r="D144">
            <v>0</v>
          </cell>
          <cell r="F144">
            <v>0</v>
          </cell>
          <cell r="G144">
            <v>1</v>
          </cell>
          <cell r="I144">
            <v>1</v>
          </cell>
          <cell r="J144">
            <v>0</v>
          </cell>
          <cell r="K144">
            <v>3</v>
          </cell>
          <cell r="L144">
            <v>3</v>
          </cell>
          <cell r="M144">
            <v>5</v>
          </cell>
          <cell r="O144">
            <v>0</v>
          </cell>
          <cell r="P144">
            <v>0</v>
          </cell>
          <cell r="Q144">
            <v>0</v>
          </cell>
          <cell r="R144">
            <v>0</v>
          </cell>
          <cell r="S144">
            <v>1</v>
          </cell>
          <cell r="T144">
            <v>4</v>
          </cell>
          <cell r="V144">
            <v>1</v>
          </cell>
          <cell r="W144">
            <v>32</v>
          </cell>
          <cell r="X144">
            <v>3</v>
          </cell>
          <cell r="Y144">
            <v>2</v>
          </cell>
          <cell r="AA144">
            <v>0</v>
          </cell>
          <cell r="AB144">
            <v>0</v>
          </cell>
          <cell r="AC144">
            <v>0</v>
          </cell>
          <cell r="AD144">
            <v>0</v>
          </cell>
          <cell r="AE144">
            <v>0</v>
          </cell>
          <cell r="AF144">
            <v>0</v>
          </cell>
          <cell r="AG144">
            <v>0</v>
          </cell>
          <cell r="AH144">
            <v>1</v>
          </cell>
          <cell r="AI144">
            <v>3</v>
          </cell>
          <cell r="AK144">
            <v>1</v>
          </cell>
          <cell r="AL144">
            <v>0</v>
          </cell>
          <cell r="AN144">
            <v>4317</v>
          </cell>
          <cell r="AO144">
            <v>3</v>
          </cell>
          <cell r="AQ144">
            <v>1</v>
          </cell>
          <cell r="AR144">
            <v>20</v>
          </cell>
          <cell r="AS144">
            <v>4</v>
          </cell>
          <cell r="AT144">
            <v>2</v>
          </cell>
          <cell r="AU144">
            <v>0</v>
          </cell>
          <cell r="AV144">
            <v>19</v>
          </cell>
          <cell r="AW144">
            <v>19</v>
          </cell>
          <cell r="AX144">
            <v>2</v>
          </cell>
          <cell r="AY144">
            <v>3</v>
          </cell>
          <cell r="AZ144">
            <v>3</v>
          </cell>
          <cell r="BA144">
            <v>3</v>
          </cell>
          <cell r="BB144">
            <v>2</v>
          </cell>
          <cell r="BC144">
            <v>2</v>
          </cell>
          <cell r="BD144">
            <v>2</v>
          </cell>
          <cell r="BE144">
            <v>2</v>
          </cell>
          <cell r="BF144">
            <v>2</v>
          </cell>
          <cell r="BG144">
            <v>4</v>
          </cell>
          <cell r="BH144">
            <v>1</v>
          </cell>
          <cell r="BI144">
            <v>0</v>
          </cell>
          <cell r="BJ144">
            <v>0</v>
          </cell>
          <cell r="BK144">
            <v>0</v>
          </cell>
          <cell r="BL144">
            <v>0</v>
          </cell>
          <cell r="BM144">
            <v>1</v>
          </cell>
          <cell r="BN144">
            <v>0</v>
          </cell>
          <cell r="BO144">
            <v>0</v>
          </cell>
          <cell r="BP144">
            <v>0</v>
          </cell>
          <cell r="BQ144">
            <v>2</v>
          </cell>
          <cell r="BR144">
            <v>0</v>
          </cell>
          <cell r="BS144">
            <v>0</v>
          </cell>
          <cell r="BT144">
            <v>19</v>
          </cell>
          <cell r="BU144">
            <v>0</v>
          </cell>
        </row>
        <row r="145">
          <cell r="A145">
            <v>30</v>
          </cell>
          <cell r="B145">
            <v>30</v>
          </cell>
          <cell r="D145">
            <v>0</v>
          </cell>
          <cell r="F145">
            <v>0</v>
          </cell>
          <cell r="G145">
            <v>1</v>
          </cell>
          <cell r="I145">
            <v>1</v>
          </cell>
          <cell r="J145">
            <v>0</v>
          </cell>
          <cell r="K145">
            <v>18</v>
          </cell>
          <cell r="L145">
            <v>18</v>
          </cell>
          <cell r="M145">
            <v>3</v>
          </cell>
          <cell r="O145">
            <v>1</v>
          </cell>
          <cell r="P145">
            <v>0</v>
          </cell>
          <cell r="Q145">
            <v>0</v>
          </cell>
          <cell r="R145">
            <v>0</v>
          </cell>
          <cell r="S145">
            <v>0</v>
          </cell>
          <cell r="T145">
            <v>1</v>
          </cell>
          <cell r="V145">
            <v>1</v>
          </cell>
          <cell r="W145">
            <v>75</v>
          </cell>
          <cell r="X145">
            <v>3</v>
          </cell>
          <cell r="Y145">
            <v>1</v>
          </cell>
          <cell r="AA145">
            <v>0</v>
          </cell>
          <cell r="AB145">
            <v>0</v>
          </cell>
          <cell r="AC145">
            <v>0</v>
          </cell>
          <cell r="AD145">
            <v>0</v>
          </cell>
          <cell r="AE145">
            <v>0</v>
          </cell>
          <cell r="AF145">
            <v>0</v>
          </cell>
          <cell r="AG145">
            <v>0</v>
          </cell>
          <cell r="AH145">
            <v>1</v>
          </cell>
          <cell r="AI145">
            <v>3</v>
          </cell>
          <cell r="AK145">
            <v>1</v>
          </cell>
          <cell r="AL145">
            <v>0</v>
          </cell>
          <cell r="AN145">
            <v>2632</v>
          </cell>
          <cell r="AO145">
            <v>1</v>
          </cell>
          <cell r="AQ145">
            <v>0</v>
          </cell>
          <cell r="AR145">
            <v>14</v>
          </cell>
          <cell r="AS145">
            <v>3</v>
          </cell>
          <cell r="AT145">
            <v>3</v>
          </cell>
          <cell r="AU145">
            <v>0</v>
          </cell>
          <cell r="AV145">
            <v>5</v>
          </cell>
          <cell r="AW145">
            <v>5</v>
          </cell>
          <cell r="AX145">
            <v>4</v>
          </cell>
          <cell r="AY145">
            <v>2</v>
          </cell>
          <cell r="AZ145">
            <v>5</v>
          </cell>
          <cell r="BA145">
            <v>5</v>
          </cell>
          <cell r="BB145">
            <v>4</v>
          </cell>
          <cell r="BC145">
            <v>0</v>
          </cell>
          <cell r="BD145">
            <v>0</v>
          </cell>
          <cell r="BE145">
            <v>4</v>
          </cell>
          <cell r="BF145">
            <v>4</v>
          </cell>
          <cell r="BG145">
            <v>4</v>
          </cell>
          <cell r="BH145">
            <v>1</v>
          </cell>
          <cell r="BI145">
            <v>0</v>
          </cell>
          <cell r="BJ145">
            <v>0</v>
          </cell>
          <cell r="BK145">
            <v>0</v>
          </cell>
          <cell r="BL145">
            <v>1</v>
          </cell>
          <cell r="BM145">
            <v>0</v>
          </cell>
          <cell r="BN145">
            <v>0</v>
          </cell>
          <cell r="BO145">
            <v>0</v>
          </cell>
          <cell r="BP145">
            <v>0</v>
          </cell>
          <cell r="BQ145">
            <v>4</v>
          </cell>
          <cell r="BR145">
            <v>0</v>
          </cell>
          <cell r="BS145">
            <v>0</v>
          </cell>
          <cell r="BT145">
            <v>5</v>
          </cell>
          <cell r="BU145">
            <v>0</v>
          </cell>
        </row>
        <row r="146">
          <cell r="A146">
            <v>32</v>
          </cell>
          <cell r="B146">
            <v>32</v>
          </cell>
          <cell r="D146">
            <v>0</v>
          </cell>
          <cell r="F146">
            <v>1</v>
          </cell>
          <cell r="G146">
            <v>0</v>
          </cell>
          <cell r="I146">
            <v>0</v>
          </cell>
          <cell r="J146">
            <v>1</v>
          </cell>
          <cell r="K146">
            <v>9</v>
          </cell>
          <cell r="L146">
            <v>9</v>
          </cell>
          <cell r="M146">
            <v>2</v>
          </cell>
          <cell r="O146">
            <v>0</v>
          </cell>
          <cell r="P146">
            <v>0</v>
          </cell>
          <cell r="Q146">
            <v>1</v>
          </cell>
          <cell r="R146">
            <v>0</v>
          </cell>
          <cell r="S146">
            <v>0</v>
          </cell>
          <cell r="T146">
            <v>4</v>
          </cell>
          <cell r="V146">
            <v>0</v>
          </cell>
          <cell r="W146">
            <v>35</v>
          </cell>
          <cell r="X146">
            <v>1</v>
          </cell>
          <cell r="Y146">
            <v>2</v>
          </cell>
          <cell r="AA146">
            <v>0</v>
          </cell>
          <cell r="AB146">
            <v>1</v>
          </cell>
          <cell r="AC146">
            <v>0</v>
          </cell>
          <cell r="AD146">
            <v>0</v>
          </cell>
          <cell r="AE146">
            <v>0</v>
          </cell>
          <cell r="AF146">
            <v>0</v>
          </cell>
          <cell r="AG146">
            <v>0</v>
          </cell>
          <cell r="AH146">
            <v>0</v>
          </cell>
          <cell r="AI146">
            <v>4</v>
          </cell>
          <cell r="AK146">
            <v>0</v>
          </cell>
          <cell r="AL146">
            <v>0</v>
          </cell>
          <cell r="AN146">
            <v>4668</v>
          </cell>
          <cell r="AO146">
            <v>0</v>
          </cell>
          <cell r="AQ146">
            <v>0</v>
          </cell>
          <cell r="AR146">
            <v>17</v>
          </cell>
          <cell r="AS146">
            <v>3</v>
          </cell>
          <cell r="AT146">
            <v>4</v>
          </cell>
          <cell r="AU146">
            <v>3</v>
          </cell>
          <cell r="AV146">
            <v>9</v>
          </cell>
          <cell r="AW146">
            <v>9</v>
          </cell>
          <cell r="AX146">
            <v>2</v>
          </cell>
          <cell r="AY146">
            <v>4</v>
          </cell>
          <cell r="AZ146">
            <v>8</v>
          </cell>
          <cell r="BA146">
            <v>8</v>
          </cell>
          <cell r="BB146">
            <v>7</v>
          </cell>
          <cell r="BC146">
            <v>0</v>
          </cell>
          <cell r="BD146">
            <v>0</v>
          </cell>
          <cell r="BE146">
            <v>7</v>
          </cell>
          <cell r="BF146">
            <v>7</v>
          </cell>
          <cell r="BG146">
            <v>14</v>
          </cell>
          <cell r="BH146">
            <v>0</v>
          </cell>
          <cell r="BI146">
            <v>0</v>
          </cell>
          <cell r="BJ146">
            <v>1</v>
          </cell>
          <cell r="BK146">
            <v>0</v>
          </cell>
          <cell r="BL146">
            <v>1</v>
          </cell>
          <cell r="BM146">
            <v>0</v>
          </cell>
          <cell r="BN146">
            <v>0</v>
          </cell>
          <cell r="BO146">
            <v>0</v>
          </cell>
          <cell r="BP146">
            <v>0</v>
          </cell>
          <cell r="BQ146">
            <v>0</v>
          </cell>
          <cell r="BR146">
            <v>7</v>
          </cell>
          <cell r="BS146">
            <v>0</v>
          </cell>
          <cell r="BT146">
            <v>0</v>
          </cell>
          <cell r="BU146">
            <v>9</v>
          </cell>
        </row>
        <row r="147">
          <cell r="A147">
            <v>30</v>
          </cell>
          <cell r="B147">
            <v>30</v>
          </cell>
          <cell r="D147">
            <v>0</v>
          </cell>
          <cell r="F147">
            <v>0</v>
          </cell>
          <cell r="G147">
            <v>1</v>
          </cell>
          <cell r="I147">
            <v>1</v>
          </cell>
          <cell r="J147">
            <v>0</v>
          </cell>
          <cell r="K147">
            <v>5</v>
          </cell>
          <cell r="L147">
            <v>5</v>
          </cell>
          <cell r="M147">
            <v>3</v>
          </cell>
          <cell r="O147">
            <v>0</v>
          </cell>
          <cell r="P147">
            <v>0</v>
          </cell>
          <cell r="Q147">
            <v>0</v>
          </cell>
          <cell r="R147">
            <v>0</v>
          </cell>
          <cell r="S147">
            <v>1</v>
          </cell>
          <cell r="T147">
            <v>4</v>
          </cell>
          <cell r="V147">
            <v>1</v>
          </cell>
          <cell r="W147">
            <v>84</v>
          </cell>
          <cell r="X147">
            <v>3</v>
          </cell>
          <cell r="Y147">
            <v>1</v>
          </cell>
          <cell r="AA147">
            <v>0</v>
          </cell>
          <cell r="AB147">
            <v>0</v>
          </cell>
          <cell r="AC147">
            <v>0</v>
          </cell>
          <cell r="AD147">
            <v>0</v>
          </cell>
          <cell r="AE147">
            <v>0</v>
          </cell>
          <cell r="AF147">
            <v>0</v>
          </cell>
          <cell r="AG147">
            <v>0</v>
          </cell>
          <cell r="AH147">
            <v>1</v>
          </cell>
          <cell r="AI147">
            <v>1</v>
          </cell>
          <cell r="AK147">
            <v>0</v>
          </cell>
          <cell r="AL147">
            <v>0</v>
          </cell>
          <cell r="AN147">
            <v>3204</v>
          </cell>
          <cell r="AO147">
            <v>5</v>
          </cell>
          <cell r="AQ147">
            <v>0</v>
          </cell>
          <cell r="AR147">
            <v>14</v>
          </cell>
          <cell r="AS147">
            <v>3</v>
          </cell>
          <cell r="AT147">
            <v>4</v>
          </cell>
          <cell r="AU147">
            <v>1</v>
          </cell>
          <cell r="AV147">
            <v>8</v>
          </cell>
          <cell r="AW147">
            <v>8</v>
          </cell>
          <cell r="AX147">
            <v>3</v>
          </cell>
          <cell r="AY147">
            <v>3</v>
          </cell>
          <cell r="AZ147">
            <v>3</v>
          </cell>
          <cell r="BA147">
            <v>3</v>
          </cell>
          <cell r="BB147">
            <v>2</v>
          </cell>
          <cell r="BC147">
            <v>2</v>
          </cell>
          <cell r="BD147">
            <v>2</v>
          </cell>
          <cell r="BE147">
            <v>2</v>
          </cell>
          <cell r="BF147">
            <v>2</v>
          </cell>
          <cell r="BG147">
            <v>2</v>
          </cell>
          <cell r="BH147">
            <v>1</v>
          </cell>
          <cell r="BI147">
            <v>0</v>
          </cell>
          <cell r="BJ147">
            <v>0</v>
          </cell>
          <cell r="BK147">
            <v>0</v>
          </cell>
          <cell r="BL147">
            <v>1</v>
          </cell>
          <cell r="BM147">
            <v>0</v>
          </cell>
          <cell r="BN147">
            <v>0</v>
          </cell>
          <cell r="BO147">
            <v>0</v>
          </cell>
          <cell r="BP147">
            <v>0</v>
          </cell>
          <cell r="BQ147">
            <v>2</v>
          </cell>
          <cell r="BR147">
            <v>0</v>
          </cell>
          <cell r="BS147">
            <v>0</v>
          </cell>
          <cell r="BT147">
            <v>8</v>
          </cell>
          <cell r="BU147">
            <v>0</v>
          </cell>
        </row>
        <row r="148">
          <cell r="A148">
            <v>30</v>
          </cell>
          <cell r="B148">
            <v>30</v>
          </cell>
          <cell r="D148">
            <v>0</v>
          </cell>
          <cell r="F148">
            <v>0</v>
          </cell>
          <cell r="G148">
            <v>1</v>
          </cell>
          <cell r="I148">
            <v>1</v>
          </cell>
          <cell r="J148">
            <v>0</v>
          </cell>
          <cell r="K148">
            <v>2</v>
          </cell>
          <cell r="L148">
            <v>2</v>
          </cell>
          <cell r="M148">
            <v>1</v>
          </cell>
          <cell r="O148">
            <v>0</v>
          </cell>
          <cell r="P148">
            <v>0</v>
          </cell>
          <cell r="Q148">
            <v>1</v>
          </cell>
          <cell r="R148">
            <v>0</v>
          </cell>
          <cell r="S148">
            <v>0</v>
          </cell>
          <cell r="T148">
            <v>2</v>
          </cell>
          <cell r="V148">
            <v>0</v>
          </cell>
          <cell r="W148">
            <v>35</v>
          </cell>
          <cell r="X148">
            <v>2</v>
          </cell>
          <cell r="Y148">
            <v>1</v>
          </cell>
          <cell r="AA148">
            <v>0</v>
          </cell>
          <cell r="AB148">
            <v>0</v>
          </cell>
          <cell r="AC148">
            <v>1</v>
          </cell>
          <cell r="AD148">
            <v>0</v>
          </cell>
          <cell r="AE148">
            <v>0</v>
          </cell>
          <cell r="AF148">
            <v>0</v>
          </cell>
          <cell r="AG148">
            <v>0</v>
          </cell>
          <cell r="AH148">
            <v>0</v>
          </cell>
          <cell r="AI148">
            <v>4</v>
          </cell>
          <cell r="AK148">
            <v>1</v>
          </cell>
          <cell r="AL148">
            <v>0</v>
          </cell>
          <cell r="AN148">
            <v>2720</v>
          </cell>
          <cell r="AO148">
            <v>0</v>
          </cell>
          <cell r="AQ148">
            <v>0</v>
          </cell>
          <cell r="AR148">
            <v>13</v>
          </cell>
          <cell r="AS148">
            <v>3</v>
          </cell>
          <cell r="AT148">
            <v>4</v>
          </cell>
          <cell r="AU148">
            <v>0</v>
          </cell>
          <cell r="AV148">
            <v>6</v>
          </cell>
          <cell r="AW148">
            <v>6</v>
          </cell>
          <cell r="AX148">
            <v>3</v>
          </cell>
          <cell r="AY148">
            <v>3</v>
          </cell>
          <cell r="AZ148">
            <v>5</v>
          </cell>
          <cell r="BA148">
            <v>5</v>
          </cell>
          <cell r="BB148">
            <v>3</v>
          </cell>
          <cell r="BC148">
            <v>1</v>
          </cell>
          <cell r="BD148">
            <v>1</v>
          </cell>
          <cell r="BE148">
            <v>2</v>
          </cell>
          <cell r="BF148">
            <v>2</v>
          </cell>
          <cell r="BG148">
            <v>2</v>
          </cell>
          <cell r="BH148">
            <v>1</v>
          </cell>
          <cell r="BI148">
            <v>0</v>
          </cell>
          <cell r="BJ148">
            <v>0</v>
          </cell>
          <cell r="BK148">
            <v>0</v>
          </cell>
          <cell r="BL148">
            <v>1</v>
          </cell>
          <cell r="BM148">
            <v>0</v>
          </cell>
          <cell r="BN148">
            <v>0</v>
          </cell>
          <cell r="BO148">
            <v>0</v>
          </cell>
          <cell r="BP148">
            <v>0</v>
          </cell>
          <cell r="BQ148">
            <v>2</v>
          </cell>
          <cell r="BR148">
            <v>0</v>
          </cell>
          <cell r="BS148">
            <v>0</v>
          </cell>
          <cell r="BT148">
            <v>6</v>
          </cell>
          <cell r="BU148">
            <v>0</v>
          </cell>
        </row>
        <row r="149">
          <cell r="A149">
            <v>41</v>
          </cell>
          <cell r="B149">
            <v>41</v>
          </cell>
          <cell r="D149">
            <v>0</v>
          </cell>
          <cell r="F149">
            <v>1</v>
          </cell>
          <cell r="G149">
            <v>0</v>
          </cell>
          <cell r="I149">
            <v>1</v>
          </cell>
          <cell r="J149">
            <v>0</v>
          </cell>
          <cell r="K149">
            <v>10</v>
          </cell>
          <cell r="L149">
            <v>10</v>
          </cell>
          <cell r="M149">
            <v>3</v>
          </cell>
          <cell r="O149">
            <v>1</v>
          </cell>
          <cell r="P149">
            <v>0</v>
          </cell>
          <cell r="Q149">
            <v>0</v>
          </cell>
          <cell r="R149">
            <v>0</v>
          </cell>
          <cell r="S149">
            <v>0</v>
          </cell>
          <cell r="T149">
            <v>4</v>
          </cell>
          <cell r="V149">
            <v>0</v>
          </cell>
          <cell r="W149">
            <v>91</v>
          </cell>
          <cell r="X149">
            <v>2</v>
          </cell>
          <cell r="Y149">
            <v>4</v>
          </cell>
          <cell r="AA149">
            <v>0</v>
          </cell>
          <cell r="AB149">
            <v>0</v>
          </cell>
          <cell r="AC149">
            <v>0</v>
          </cell>
          <cell r="AD149">
            <v>1</v>
          </cell>
          <cell r="AE149">
            <v>0</v>
          </cell>
          <cell r="AF149">
            <v>0</v>
          </cell>
          <cell r="AG149">
            <v>0</v>
          </cell>
          <cell r="AH149">
            <v>0</v>
          </cell>
          <cell r="AI149">
            <v>1</v>
          </cell>
          <cell r="AK149">
            <v>0</v>
          </cell>
          <cell r="AL149">
            <v>0</v>
          </cell>
          <cell r="AN149">
            <v>17181</v>
          </cell>
          <cell r="AO149">
            <v>4</v>
          </cell>
          <cell r="AQ149">
            <v>0</v>
          </cell>
          <cell r="AR149">
            <v>13</v>
          </cell>
          <cell r="AS149">
            <v>3</v>
          </cell>
          <cell r="AT149">
            <v>2</v>
          </cell>
          <cell r="AU149">
            <v>1</v>
          </cell>
          <cell r="AV149">
            <v>21</v>
          </cell>
          <cell r="AW149">
            <v>21</v>
          </cell>
          <cell r="AX149">
            <v>2</v>
          </cell>
          <cell r="AY149">
            <v>2</v>
          </cell>
          <cell r="AZ149">
            <v>7</v>
          </cell>
          <cell r="BA149">
            <v>7</v>
          </cell>
          <cell r="BB149">
            <v>6</v>
          </cell>
          <cell r="BC149">
            <v>7</v>
          </cell>
          <cell r="BD149">
            <v>7</v>
          </cell>
          <cell r="BE149">
            <v>7</v>
          </cell>
          <cell r="BF149">
            <v>7</v>
          </cell>
          <cell r="BG149">
            <v>28</v>
          </cell>
          <cell r="BH149">
            <v>0</v>
          </cell>
          <cell r="BI149">
            <v>0</v>
          </cell>
          <cell r="BJ149">
            <v>1</v>
          </cell>
          <cell r="BK149">
            <v>0</v>
          </cell>
          <cell r="BL149">
            <v>1</v>
          </cell>
          <cell r="BM149">
            <v>0</v>
          </cell>
          <cell r="BN149">
            <v>0</v>
          </cell>
          <cell r="BO149">
            <v>0</v>
          </cell>
          <cell r="BP149">
            <v>0</v>
          </cell>
          <cell r="BQ149">
            <v>7</v>
          </cell>
          <cell r="BR149">
            <v>0</v>
          </cell>
          <cell r="BS149">
            <v>0</v>
          </cell>
          <cell r="BT149">
            <v>21</v>
          </cell>
          <cell r="BU149">
            <v>0</v>
          </cell>
        </row>
        <row r="150">
          <cell r="A150">
            <v>41</v>
          </cell>
          <cell r="B150">
            <v>41</v>
          </cell>
          <cell r="D150">
            <v>0</v>
          </cell>
          <cell r="F150">
            <v>0</v>
          </cell>
          <cell r="G150">
            <v>1</v>
          </cell>
          <cell r="I150">
            <v>1</v>
          </cell>
          <cell r="J150">
            <v>0</v>
          </cell>
          <cell r="K150">
            <v>9</v>
          </cell>
          <cell r="L150">
            <v>9</v>
          </cell>
          <cell r="M150">
            <v>4</v>
          </cell>
          <cell r="O150">
            <v>1</v>
          </cell>
          <cell r="P150">
            <v>0</v>
          </cell>
          <cell r="Q150">
            <v>0</v>
          </cell>
          <cell r="R150">
            <v>0</v>
          </cell>
          <cell r="S150">
            <v>0</v>
          </cell>
          <cell r="T150">
            <v>3</v>
          </cell>
          <cell r="V150">
            <v>0</v>
          </cell>
          <cell r="W150">
            <v>94</v>
          </cell>
          <cell r="X150">
            <v>3</v>
          </cell>
          <cell r="Y150">
            <v>1</v>
          </cell>
          <cell r="AA150">
            <v>0</v>
          </cell>
          <cell r="AB150">
            <v>0</v>
          </cell>
          <cell r="AC150">
            <v>1</v>
          </cell>
          <cell r="AD150">
            <v>0</v>
          </cell>
          <cell r="AE150">
            <v>0</v>
          </cell>
          <cell r="AF150">
            <v>0</v>
          </cell>
          <cell r="AG150">
            <v>0</v>
          </cell>
          <cell r="AH150">
            <v>0</v>
          </cell>
          <cell r="AI150">
            <v>1</v>
          </cell>
          <cell r="AK150">
            <v>0</v>
          </cell>
          <cell r="AL150">
            <v>1</v>
          </cell>
          <cell r="AN150">
            <v>2238</v>
          </cell>
          <cell r="AO150">
            <v>2</v>
          </cell>
          <cell r="AQ150">
            <v>0</v>
          </cell>
          <cell r="AR150">
            <v>21</v>
          </cell>
          <cell r="AS150">
            <v>4</v>
          </cell>
          <cell r="AT150">
            <v>4</v>
          </cell>
          <cell r="AU150">
            <v>1</v>
          </cell>
          <cell r="AV150">
            <v>7</v>
          </cell>
          <cell r="AW150">
            <v>7</v>
          </cell>
          <cell r="AX150">
            <v>2</v>
          </cell>
          <cell r="AY150">
            <v>3</v>
          </cell>
          <cell r="AZ150">
            <v>5</v>
          </cell>
          <cell r="BA150">
            <v>5</v>
          </cell>
          <cell r="BB150">
            <v>0</v>
          </cell>
          <cell r="BC150">
            <v>1</v>
          </cell>
          <cell r="BD150">
            <v>1</v>
          </cell>
          <cell r="BE150">
            <v>4</v>
          </cell>
          <cell r="BF150">
            <v>4</v>
          </cell>
          <cell r="BG150">
            <v>4</v>
          </cell>
          <cell r="BH150">
            <v>0</v>
          </cell>
          <cell r="BI150">
            <v>1</v>
          </cell>
          <cell r="BJ150">
            <v>0</v>
          </cell>
          <cell r="BK150">
            <v>0</v>
          </cell>
          <cell r="BL150">
            <v>0</v>
          </cell>
          <cell r="BM150">
            <v>0</v>
          </cell>
          <cell r="BN150">
            <v>1</v>
          </cell>
          <cell r="BO150">
            <v>0</v>
          </cell>
          <cell r="BP150">
            <v>0</v>
          </cell>
          <cell r="BQ150">
            <v>4</v>
          </cell>
          <cell r="BR150">
            <v>0</v>
          </cell>
          <cell r="BS150">
            <v>0</v>
          </cell>
          <cell r="BT150">
            <v>7</v>
          </cell>
          <cell r="BU150">
            <v>0</v>
          </cell>
        </row>
        <row r="151">
          <cell r="A151">
            <v>19</v>
          </cell>
          <cell r="B151">
            <v>19</v>
          </cell>
          <cell r="D151">
            <v>0</v>
          </cell>
          <cell r="F151">
            <v>0</v>
          </cell>
          <cell r="G151">
            <v>1</v>
          </cell>
          <cell r="I151">
            <v>1</v>
          </cell>
          <cell r="J151">
            <v>0</v>
          </cell>
          <cell r="K151">
            <v>3</v>
          </cell>
          <cell r="L151">
            <v>3</v>
          </cell>
          <cell r="M151">
            <v>1</v>
          </cell>
          <cell r="O151">
            <v>0</v>
          </cell>
          <cell r="P151">
            <v>0</v>
          </cell>
          <cell r="Q151">
            <v>1</v>
          </cell>
          <cell r="R151">
            <v>0</v>
          </cell>
          <cell r="S151">
            <v>0</v>
          </cell>
          <cell r="T151">
            <v>2</v>
          </cell>
          <cell r="V151">
            <v>1</v>
          </cell>
          <cell r="W151">
            <v>79</v>
          </cell>
          <cell r="X151">
            <v>3</v>
          </cell>
          <cell r="Y151">
            <v>1</v>
          </cell>
          <cell r="AA151">
            <v>0</v>
          </cell>
          <cell r="AB151">
            <v>0</v>
          </cell>
          <cell r="AC151">
            <v>1</v>
          </cell>
          <cell r="AD151">
            <v>0</v>
          </cell>
          <cell r="AE151">
            <v>0</v>
          </cell>
          <cell r="AF151">
            <v>0</v>
          </cell>
          <cell r="AG151">
            <v>0</v>
          </cell>
          <cell r="AH151">
            <v>0</v>
          </cell>
          <cell r="AI151">
            <v>2</v>
          </cell>
          <cell r="AK151">
            <v>1</v>
          </cell>
          <cell r="AL151">
            <v>0</v>
          </cell>
          <cell r="AN151">
            <v>1483</v>
          </cell>
          <cell r="AO151">
            <v>1</v>
          </cell>
          <cell r="AQ151">
            <v>0</v>
          </cell>
          <cell r="AR151">
            <v>14</v>
          </cell>
          <cell r="AS151">
            <v>3</v>
          </cell>
          <cell r="AT151">
            <v>4</v>
          </cell>
          <cell r="AU151">
            <v>0</v>
          </cell>
          <cell r="AV151">
            <v>1</v>
          </cell>
          <cell r="AW151">
            <v>1</v>
          </cell>
          <cell r="AX151">
            <v>3</v>
          </cell>
          <cell r="AY151">
            <v>3</v>
          </cell>
          <cell r="AZ151">
            <v>1</v>
          </cell>
          <cell r="BA151">
            <v>1</v>
          </cell>
          <cell r="BB151">
            <v>0</v>
          </cell>
          <cell r="BC151">
            <v>0</v>
          </cell>
          <cell r="BD151">
            <v>0</v>
          </cell>
          <cell r="BE151">
            <v>0</v>
          </cell>
          <cell r="BF151">
            <v>0</v>
          </cell>
          <cell r="BG151">
            <v>0</v>
          </cell>
          <cell r="BH151">
            <v>1</v>
          </cell>
          <cell r="BI151">
            <v>0</v>
          </cell>
          <cell r="BJ151">
            <v>0</v>
          </cell>
          <cell r="BK151">
            <v>0</v>
          </cell>
          <cell r="BL151">
            <v>1</v>
          </cell>
          <cell r="BM151">
            <v>0</v>
          </cell>
          <cell r="BN151">
            <v>0</v>
          </cell>
          <cell r="BO151">
            <v>0</v>
          </cell>
          <cell r="BP151">
            <v>0</v>
          </cell>
          <cell r="BQ151">
            <v>0</v>
          </cell>
          <cell r="BR151">
            <v>0</v>
          </cell>
          <cell r="BS151">
            <v>0</v>
          </cell>
          <cell r="BT151">
            <v>1</v>
          </cell>
          <cell r="BU151">
            <v>0</v>
          </cell>
        </row>
        <row r="152">
          <cell r="A152">
            <v>40</v>
          </cell>
          <cell r="B152">
            <v>40</v>
          </cell>
          <cell r="D152">
            <v>0</v>
          </cell>
          <cell r="F152">
            <v>1</v>
          </cell>
          <cell r="G152">
            <v>0</v>
          </cell>
          <cell r="I152">
            <v>1</v>
          </cell>
          <cell r="J152">
            <v>0</v>
          </cell>
          <cell r="K152">
            <v>26</v>
          </cell>
          <cell r="L152">
            <v>26</v>
          </cell>
          <cell r="M152">
            <v>3</v>
          </cell>
          <cell r="O152">
            <v>0</v>
          </cell>
          <cell r="P152">
            <v>0</v>
          </cell>
          <cell r="Q152">
            <v>1</v>
          </cell>
          <cell r="R152">
            <v>0</v>
          </cell>
          <cell r="S152">
            <v>0</v>
          </cell>
          <cell r="T152">
            <v>2</v>
          </cell>
          <cell r="V152">
            <v>1</v>
          </cell>
          <cell r="W152">
            <v>54</v>
          </cell>
          <cell r="X152">
            <v>3</v>
          </cell>
          <cell r="Y152">
            <v>2</v>
          </cell>
          <cell r="AA152">
            <v>0</v>
          </cell>
          <cell r="AB152">
            <v>0</v>
          </cell>
          <cell r="AC152">
            <v>0</v>
          </cell>
          <cell r="AD152">
            <v>0</v>
          </cell>
          <cell r="AE152">
            <v>0</v>
          </cell>
          <cell r="AF152">
            <v>0</v>
          </cell>
          <cell r="AG152">
            <v>0</v>
          </cell>
          <cell r="AH152">
            <v>1</v>
          </cell>
          <cell r="AI152">
            <v>2</v>
          </cell>
          <cell r="AK152">
            <v>0</v>
          </cell>
          <cell r="AL152">
            <v>0</v>
          </cell>
          <cell r="AN152">
            <v>5605</v>
          </cell>
          <cell r="AO152">
            <v>1</v>
          </cell>
          <cell r="AQ152">
            <v>0</v>
          </cell>
          <cell r="AR152">
            <v>11</v>
          </cell>
          <cell r="AS152">
            <v>3</v>
          </cell>
          <cell r="AT152">
            <v>1</v>
          </cell>
          <cell r="AU152">
            <v>1</v>
          </cell>
          <cell r="AV152">
            <v>20</v>
          </cell>
          <cell r="AW152">
            <v>20</v>
          </cell>
          <cell r="AX152">
            <v>2</v>
          </cell>
          <cell r="AY152">
            <v>3</v>
          </cell>
          <cell r="AZ152">
            <v>20</v>
          </cell>
          <cell r="BA152">
            <v>20</v>
          </cell>
          <cell r="BB152">
            <v>7</v>
          </cell>
          <cell r="BC152">
            <v>2</v>
          </cell>
          <cell r="BD152">
            <v>2</v>
          </cell>
          <cell r="BE152">
            <v>13</v>
          </cell>
          <cell r="BF152">
            <v>13</v>
          </cell>
          <cell r="BG152">
            <v>26</v>
          </cell>
          <cell r="BH152">
            <v>0</v>
          </cell>
          <cell r="BI152">
            <v>0</v>
          </cell>
          <cell r="BJ152">
            <v>1</v>
          </cell>
          <cell r="BK152">
            <v>0</v>
          </cell>
          <cell r="BL152">
            <v>1</v>
          </cell>
          <cell r="BM152">
            <v>0</v>
          </cell>
          <cell r="BN152">
            <v>0</v>
          </cell>
          <cell r="BO152">
            <v>0</v>
          </cell>
          <cell r="BP152">
            <v>0</v>
          </cell>
          <cell r="BQ152">
            <v>13</v>
          </cell>
          <cell r="BR152">
            <v>0</v>
          </cell>
          <cell r="BS152">
            <v>0</v>
          </cell>
          <cell r="BT152">
            <v>20</v>
          </cell>
          <cell r="BU152">
            <v>0</v>
          </cell>
        </row>
        <row r="153">
          <cell r="A153">
            <v>35</v>
          </cell>
          <cell r="B153">
            <v>35</v>
          </cell>
          <cell r="D153">
            <v>0</v>
          </cell>
          <cell r="F153">
            <v>0</v>
          </cell>
          <cell r="G153">
            <v>1</v>
          </cell>
          <cell r="I153">
            <v>0</v>
          </cell>
          <cell r="J153">
            <v>1</v>
          </cell>
          <cell r="K153">
            <v>1</v>
          </cell>
          <cell r="L153">
            <v>1</v>
          </cell>
          <cell r="M153">
            <v>5</v>
          </cell>
          <cell r="O153">
            <v>0</v>
          </cell>
          <cell r="P153">
            <v>0</v>
          </cell>
          <cell r="Q153">
            <v>0</v>
          </cell>
          <cell r="R153">
            <v>1</v>
          </cell>
          <cell r="S153">
            <v>0</v>
          </cell>
          <cell r="T153">
            <v>3</v>
          </cell>
          <cell r="V153">
            <v>0</v>
          </cell>
          <cell r="W153">
            <v>94</v>
          </cell>
          <cell r="X153">
            <v>3</v>
          </cell>
          <cell r="Y153">
            <v>3</v>
          </cell>
          <cell r="AA153">
            <v>0</v>
          </cell>
          <cell r="AB153">
            <v>1</v>
          </cell>
          <cell r="AC153">
            <v>0</v>
          </cell>
          <cell r="AD153">
            <v>0</v>
          </cell>
          <cell r="AE153">
            <v>0</v>
          </cell>
          <cell r="AF153">
            <v>0</v>
          </cell>
          <cell r="AG153">
            <v>0</v>
          </cell>
          <cell r="AH153">
            <v>0</v>
          </cell>
          <cell r="AI153">
            <v>2</v>
          </cell>
          <cell r="AK153">
            <v>0</v>
          </cell>
          <cell r="AL153">
            <v>1</v>
          </cell>
          <cell r="AN153">
            <v>7295</v>
          </cell>
          <cell r="AO153">
            <v>1</v>
          </cell>
          <cell r="AQ153">
            <v>0</v>
          </cell>
          <cell r="AR153">
            <v>13</v>
          </cell>
          <cell r="AS153">
            <v>3</v>
          </cell>
          <cell r="AT153">
            <v>1</v>
          </cell>
          <cell r="AU153">
            <v>2</v>
          </cell>
          <cell r="AV153">
            <v>10</v>
          </cell>
          <cell r="AW153">
            <v>10</v>
          </cell>
          <cell r="AX153">
            <v>3</v>
          </cell>
          <cell r="AY153">
            <v>3</v>
          </cell>
          <cell r="AZ153">
            <v>10</v>
          </cell>
          <cell r="BA153">
            <v>10</v>
          </cell>
          <cell r="BB153">
            <v>8</v>
          </cell>
          <cell r="BC153">
            <v>0</v>
          </cell>
          <cell r="BD153">
            <v>0</v>
          </cell>
          <cell r="BE153">
            <v>6</v>
          </cell>
          <cell r="BF153">
            <v>6</v>
          </cell>
          <cell r="BG153">
            <v>18</v>
          </cell>
          <cell r="BH153">
            <v>0</v>
          </cell>
          <cell r="BI153">
            <v>1</v>
          </cell>
          <cell r="BJ153">
            <v>0</v>
          </cell>
          <cell r="BK153">
            <v>0</v>
          </cell>
          <cell r="BL153">
            <v>0</v>
          </cell>
          <cell r="BM153">
            <v>0</v>
          </cell>
          <cell r="BN153">
            <v>1</v>
          </cell>
          <cell r="BO153">
            <v>0</v>
          </cell>
          <cell r="BP153">
            <v>0</v>
          </cell>
          <cell r="BQ153">
            <v>0</v>
          </cell>
          <cell r="BR153">
            <v>6</v>
          </cell>
          <cell r="BS153">
            <v>0</v>
          </cell>
          <cell r="BT153">
            <v>0</v>
          </cell>
          <cell r="BU153">
            <v>10</v>
          </cell>
        </row>
        <row r="154">
          <cell r="A154">
            <v>53</v>
          </cell>
          <cell r="B154">
            <v>53</v>
          </cell>
          <cell r="D154">
            <v>0</v>
          </cell>
          <cell r="F154">
            <v>0</v>
          </cell>
          <cell r="G154">
            <v>1</v>
          </cell>
          <cell r="I154">
            <v>0</v>
          </cell>
          <cell r="J154">
            <v>1</v>
          </cell>
          <cell r="K154">
            <v>6</v>
          </cell>
          <cell r="L154">
            <v>6</v>
          </cell>
          <cell r="M154">
            <v>2</v>
          </cell>
          <cell r="O154">
            <v>0</v>
          </cell>
          <cell r="P154">
            <v>0</v>
          </cell>
          <cell r="Q154">
            <v>0</v>
          </cell>
          <cell r="R154">
            <v>1</v>
          </cell>
          <cell r="S154">
            <v>0</v>
          </cell>
          <cell r="T154">
            <v>2</v>
          </cell>
          <cell r="V154">
            <v>0</v>
          </cell>
          <cell r="W154">
            <v>34</v>
          </cell>
          <cell r="X154">
            <v>3</v>
          </cell>
          <cell r="Y154">
            <v>2</v>
          </cell>
          <cell r="AA154">
            <v>0</v>
          </cell>
          <cell r="AB154">
            <v>0</v>
          </cell>
          <cell r="AC154">
            <v>0</v>
          </cell>
          <cell r="AD154">
            <v>0</v>
          </cell>
          <cell r="AE154">
            <v>0</v>
          </cell>
          <cell r="AF154">
            <v>0</v>
          </cell>
          <cell r="AG154">
            <v>1</v>
          </cell>
          <cell r="AH154">
            <v>0</v>
          </cell>
          <cell r="AI154">
            <v>3</v>
          </cell>
          <cell r="AK154">
            <v>0</v>
          </cell>
          <cell r="AL154">
            <v>1</v>
          </cell>
          <cell r="AN154">
            <v>2306</v>
          </cell>
          <cell r="AO154">
            <v>2</v>
          </cell>
          <cell r="AQ154">
            <v>1</v>
          </cell>
          <cell r="AR154">
            <v>20</v>
          </cell>
          <cell r="AS154">
            <v>4</v>
          </cell>
          <cell r="AT154">
            <v>4</v>
          </cell>
          <cell r="AU154">
            <v>1</v>
          </cell>
          <cell r="AV154">
            <v>13</v>
          </cell>
          <cell r="AW154">
            <v>13</v>
          </cell>
          <cell r="AX154">
            <v>3</v>
          </cell>
          <cell r="AY154">
            <v>1</v>
          </cell>
          <cell r="AZ154">
            <v>7</v>
          </cell>
          <cell r="BA154">
            <v>7</v>
          </cell>
          <cell r="BB154">
            <v>7</v>
          </cell>
          <cell r="BC154">
            <v>4</v>
          </cell>
          <cell r="BD154">
            <v>4</v>
          </cell>
          <cell r="BE154">
            <v>5</v>
          </cell>
          <cell r="BF154">
            <v>5</v>
          </cell>
          <cell r="BG154">
            <v>10</v>
          </cell>
          <cell r="BH154">
            <v>0</v>
          </cell>
          <cell r="BI154">
            <v>1</v>
          </cell>
          <cell r="BJ154">
            <v>0</v>
          </cell>
          <cell r="BK154">
            <v>0</v>
          </cell>
          <cell r="BL154">
            <v>0</v>
          </cell>
          <cell r="BM154">
            <v>0</v>
          </cell>
          <cell r="BN154">
            <v>0</v>
          </cell>
          <cell r="BO154">
            <v>1</v>
          </cell>
          <cell r="BP154">
            <v>0</v>
          </cell>
          <cell r="BQ154">
            <v>0</v>
          </cell>
          <cell r="BR154">
            <v>5</v>
          </cell>
          <cell r="BS154">
            <v>0</v>
          </cell>
          <cell r="BT154">
            <v>0</v>
          </cell>
          <cell r="BU154">
            <v>13</v>
          </cell>
        </row>
        <row r="155">
          <cell r="A155">
            <v>45</v>
          </cell>
          <cell r="B155">
            <v>45</v>
          </cell>
          <cell r="D155">
            <v>0</v>
          </cell>
          <cell r="F155">
            <v>0</v>
          </cell>
          <cell r="G155">
            <v>1</v>
          </cell>
          <cell r="I155">
            <v>1</v>
          </cell>
          <cell r="J155">
            <v>0</v>
          </cell>
          <cell r="K155">
            <v>9</v>
          </cell>
          <cell r="L155">
            <v>9</v>
          </cell>
          <cell r="M155">
            <v>3</v>
          </cell>
          <cell r="O155">
            <v>1</v>
          </cell>
          <cell r="P155">
            <v>0</v>
          </cell>
          <cell r="Q155">
            <v>0</v>
          </cell>
          <cell r="R155">
            <v>0</v>
          </cell>
          <cell r="S155">
            <v>0</v>
          </cell>
          <cell r="T155">
            <v>2</v>
          </cell>
          <cell r="V155">
            <v>0</v>
          </cell>
          <cell r="W155">
            <v>60</v>
          </cell>
          <cell r="X155">
            <v>3</v>
          </cell>
          <cell r="Y155">
            <v>2</v>
          </cell>
          <cell r="AA155">
            <v>0</v>
          </cell>
          <cell r="AB155">
            <v>0</v>
          </cell>
          <cell r="AC155">
            <v>1</v>
          </cell>
          <cell r="AD155">
            <v>0</v>
          </cell>
          <cell r="AE155">
            <v>0</v>
          </cell>
          <cell r="AF155">
            <v>0</v>
          </cell>
          <cell r="AG155">
            <v>0</v>
          </cell>
          <cell r="AH155">
            <v>0</v>
          </cell>
          <cell r="AI155">
            <v>2</v>
          </cell>
          <cell r="AK155">
            <v>0</v>
          </cell>
          <cell r="AL155">
            <v>0</v>
          </cell>
          <cell r="AN155">
            <v>2348</v>
          </cell>
          <cell r="AO155">
            <v>8</v>
          </cell>
          <cell r="AQ155">
            <v>0</v>
          </cell>
          <cell r="AR155">
            <v>18</v>
          </cell>
          <cell r="AS155">
            <v>3</v>
          </cell>
          <cell r="AT155">
            <v>3</v>
          </cell>
          <cell r="AU155">
            <v>1</v>
          </cell>
          <cell r="AV155">
            <v>20</v>
          </cell>
          <cell r="AW155">
            <v>20</v>
          </cell>
          <cell r="AX155">
            <v>2</v>
          </cell>
          <cell r="AY155">
            <v>1</v>
          </cell>
          <cell r="AZ155">
            <v>17</v>
          </cell>
          <cell r="BA155">
            <v>17</v>
          </cell>
          <cell r="BB155">
            <v>9</v>
          </cell>
          <cell r="BC155">
            <v>0</v>
          </cell>
          <cell r="BD155">
            <v>0</v>
          </cell>
          <cell r="BE155">
            <v>15</v>
          </cell>
          <cell r="BF155">
            <v>14</v>
          </cell>
          <cell r="BG155">
            <v>28</v>
          </cell>
          <cell r="BH155">
            <v>1</v>
          </cell>
          <cell r="BI155">
            <v>0</v>
          </cell>
          <cell r="BJ155">
            <v>0</v>
          </cell>
          <cell r="BK155">
            <v>0</v>
          </cell>
          <cell r="BL155">
            <v>1</v>
          </cell>
          <cell r="BM155">
            <v>0</v>
          </cell>
          <cell r="BN155">
            <v>0</v>
          </cell>
          <cell r="BO155">
            <v>0</v>
          </cell>
          <cell r="BP155">
            <v>0</v>
          </cell>
          <cell r="BQ155">
            <v>14</v>
          </cell>
          <cell r="BR155">
            <v>0</v>
          </cell>
          <cell r="BS155">
            <v>0</v>
          </cell>
          <cell r="BT155">
            <v>20</v>
          </cell>
          <cell r="BU155">
            <v>0</v>
          </cell>
        </row>
        <row r="156">
          <cell r="A156">
            <v>32</v>
          </cell>
          <cell r="B156">
            <v>32</v>
          </cell>
          <cell r="D156">
            <v>0</v>
          </cell>
          <cell r="F156">
            <v>1</v>
          </cell>
          <cell r="G156">
            <v>0</v>
          </cell>
          <cell r="I156">
            <v>0</v>
          </cell>
          <cell r="J156">
            <v>1</v>
          </cell>
          <cell r="K156">
            <v>8</v>
          </cell>
          <cell r="L156">
            <v>8</v>
          </cell>
          <cell r="M156">
            <v>3</v>
          </cell>
          <cell r="O156">
            <v>0</v>
          </cell>
          <cell r="P156">
            <v>0</v>
          </cell>
          <cell r="Q156">
            <v>0</v>
          </cell>
          <cell r="R156">
            <v>1</v>
          </cell>
          <cell r="S156">
            <v>0</v>
          </cell>
          <cell r="T156">
            <v>2</v>
          </cell>
          <cell r="V156">
            <v>1</v>
          </cell>
          <cell r="W156">
            <v>43</v>
          </cell>
          <cell r="X156">
            <v>3</v>
          </cell>
          <cell r="Y156">
            <v>3</v>
          </cell>
          <cell r="AA156">
            <v>0</v>
          </cell>
          <cell r="AB156">
            <v>1</v>
          </cell>
          <cell r="AC156">
            <v>0</v>
          </cell>
          <cell r="AD156">
            <v>0</v>
          </cell>
          <cell r="AE156">
            <v>0</v>
          </cell>
          <cell r="AF156">
            <v>0</v>
          </cell>
          <cell r="AG156">
            <v>0</v>
          </cell>
          <cell r="AH156">
            <v>0</v>
          </cell>
          <cell r="AI156">
            <v>4</v>
          </cell>
          <cell r="AK156">
            <v>1</v>
          </cell>
          <cell r="AL156">
            <v>0</v>
          </cell>
          <cell r="AN156">
            <v>8998</v>
          </cell>
          <cell r="AO156">
            <v>1</v>
          </cell>
          <cell r="AQ156">
            <v>0</v>
          </cell>
          <cell r="AR156">
            <v>14</v>
          </cell>
          <cell r="AS156">
            <v>3</v>
          </cell>
          <cell r="AT156">
            <v>4</v>
          </cell>
          <cell r="AU156">
            <v>0</v>
          </cell>
          <cell r="AV156">
            <v>9</v>
          </cell>
          <cell r="AW156">
            <v>9</v>
          </cell>
          <cell r="AX156">
            <v>2</v>
          </cell>
          <cell r="AY156">
            <v>3</v>
          </cell>
          <cell r="AZ156">
            <v>9</v>
          </cell>
          <cell r="BA156">
            <v>9</v>
          </cell>
          <cell r="BB156">
            <v>8</v>
          </cell>
          <cell r="BC156">
            <v>3</v>
          </cell>
          <cell r="BD156">
            <v>3</v>
          </cell>
          <cell r="BE156">
            <v>7</v>
          </cell>
          <cell r="BF156">
            <v>7</v>
          </cell>
          <cell r="BG156">
            <v>21</v>
          </cell>
          <cell r="BH156">
            <v>0</v>
          </cell>
          <cell r="BI156">
            <v>0</v>
          </cell>
          <cell r="BJ156">
            <v>1</v>
          </cell>
          <cell r="BK156">
            <v>0</v>
          </cell>
          <cell r="BL156">
            <v>1</v>
          </cell>
          <cell r="BM156">
            <v>0</v>
          </cell>
          <cell r="BN156">
            <v>0</v>
          </cell>
          <cell r="BO156">
            <v>0</v>
          </cell>
          <cell r="BP156">
            <v>0</v>
          </cell>
          <cell r="BQ156">
            <v>0</v>
          </cell>
          <cell r="BR156">
            <v>7</v>
          </cell>
          <cell r="BS156">
            <v>0</v>
          </cell>
          <cell r="BT156">
            <v>0</v>
          </cell>
          <cell r="BU156">
            <v>9</v>
          </cell>
        </row>
        <row r="157">
          <cell r="A157">
            <v>29</v>
          </cell>
          <cell r="B157">
            <v>29</v>
          </cell>
          <cell r="D157">
            <v>0</v>
          </cell>
          <cell r="F157">
            <v>0</v>
          </cell>
          <cell r="G157">
            <v>0</v>
          </cell>
          <cell r="I157">
            <v>1</v>
          </cell>
          <cell r="J157">
            <v>0</v>
          </cell>
          <cell r="K157">
            <v>1</v>
          </cell>
          <cell r="L157">
            <v>1</v>
          </cell>
          <cell r="M157">
            <v>1</v>
          </cell>
          <cell r="O157">
            <v>0</v>
          </cell>
          <cell r="P157">
            <v>0</v>
          </cell>
          <cell r="Q157">
            <v>0</v>
          </cell>
          <cell r="R157">
            <v>0</v>
          </cell>
          <cell r="S157">
            <v>1</v>
          </cell>
          <cell r="T157">
            <v>4</v>
          </cell>
          <cell r="V157">
            <v>0</v>
          </cell>
          <cell r="W157">
            <v>41</v>
          </cell>
          <cell r="X157">
            <v>3</v>
          </cell>
          <cell r="Y157">
            <v>2</v>
          </cell>
          <cell r="AA157">
            <v>0</v>
          </cell>
          <cell r="AB157">
            <v>0</v>
          </cell>
          <cell r="AC157">
            <v>0</v>
          </cell>
          <cell r="AD157">
            <v>0</v>
          </cell>
          <cell r="AE157">
            <v>1</v>
          </cell>
          <cell r="AF157">
            <v>1</v>
          </cell>
          <cell r="AG157">
            <v>0</v>
          </cell>
          <cell r="AH157">
            <v>0</v>
          </cell>
          <cell r="AI157">
            <v>3</v>
          </cell>
          <cell r="AK157">
            <v>0</v>
          </cell>
          <cell r="AL157">
            <v>1</v>
          </cell>
          <cell r="AN157">
            <v>4319</v>
          </cell>
          <cell r="AO157">
            <v>1</v>
          </cell>
          <cell r="AQ157">
            <v>0</v>
          </cell>
          <cell r="AR157">
            <v>13</v>
          </cell>
          <cell r="AS157">
            <v>3</v>
          </cell>
          <cell r="AT157">
            <v>1</v>
          </cell>
          <cell r="AU157">
            <v>1</v>
          </cell>
          <cell r="AV157">
            <v>10</v>
          </cell>
          <cell r="AW157">
            <v>10</v>
          </cell>
          <cell r="AX157">
            <v>1</v>
          </cell>
          <cell r="AY157">
            <v>3</v>
          </cell>
          <cell r="AZ157">
            <v>10</v>
          </cell>
          <cell r="BA157">
            <v>10</v>
          </cell>
          <cell r="BB157">
            <v>7</v>
          </cell>
          <cell r="BC157">
            <v>0</v>
          </cell>
          <cell r="BD157">
            <v>0</v>
          </cell>
          <cell r="BE157">
            <v>9</v>
          </cell>
          <cell r="BF157">
            <v>9</v>
          </cell>
          <cell r="BG157">
            <v>18</v>
          </cell>
          <cell r="BH157">
            <v>0</v>
          </cell>
          <cell r="BI157">
            <v>1</v>
          </cell>
          <cell r="BJ157">
            <v>0</v>
          </cell>
          <cell r="BK157">
            <v>0</v>
          </cell>
          <cell r="BL157">
            <v>0</v>
          </cell>
          <cell r="BM157">
            <v>0</v>
          </cell>
          <cell r="BN157">
            <v>1</v>
          </cell>
          <cell r="BO157">
            <v>0</v>
          </cell>
          <cell r="BP157">
            <v>0</v>
          </cell>
          <cell r="BQ157">
            <v>9</v>
          </cell>
          <cell r="BR157">
            <v>0</v>
          </cell>
          <cell r="BS157">
            <v>0</v>
          </cell>
          <cell r="BT157">
            <v>10</v>
          </cell>
          <cell r="BU157">
            <v>0</v>
          </cell>
        </row>
        <row r="158">
          <cell r="A158">
            <v>51</v>
          </cell>
          <cell r="B158">
            <v>51</v>
          </cell>
          <cell r="D158">
            <v>0</v>
          </cell>
          <cell r="F158">
            <v>0</v>
          </cell>
          <cell r="G158">
            <v>1</v>
          </cell>
          <cell r="I158">
            <v>1</v>
          </cell>
          <cell r="J158">
            <v>0</v>
          </cell>
          <cell r="K158">
            <v>7</v>
          </cell>
          <cell r="L158">
            <v>7</v>
          </cell>
          <cell r="M158">
            <v>4</v>
          </cell>
          <cell r="O158">
            <v>0</v>
          </cell>
          <cell r="P158">
            <v>0</v>
          </cell>
          <cell r="Q158">
            <v>1</v>
          </cell>
          <cell r="R158">
            <v>0</v>
          </cell>
          <cell r="S158">
            <v>0</v>
          </cell>
          <cell r="T158">
            <v>2</v>
          </cell>
          <cell r="V158">
            <v>0</v>
          </cell>
          <cell r="W158">
            <v>34</v>
          </cell>
          <cell r="X158">
            <v>2</v>
          </cell>
          <cell r="Y158">
            <v>2</v>
          </cell>
          <cell r="AA158">
            <v>0</v>
          </cell>
          <cell r="AB158">
            <v>0</v>
          </cell>
          <cell r="AC158">
            <v>0</v>
          </cell>
          <cell r="AD158">
            <v>0</v>
          </cell>
          <cell r="AE158">
            <v>1</v>
          </cell>
          <cell r="AF158">
            <v>1</v>
          </cell>
          <cell r="AG158">
            <v>0</v>
          </cell>
          <cell r="AH158">
            <v>0</v>
          </cell>
          <cell r="AI158">
            <v>3</v>
          </cell>
          <cell r="AK158">
            <v>0</v>
          </cell>
          <cell r="AL158">
            <v>1</v>
          </cell>
          <cell r="AN158">
            <v>6132</v>
          </cell>
          <cell r="AO158">
            <v>2</v>
          </cell>
          <cell r="AQ158">
            <v>0</v>
          </cell>
          <cell r="AR158">
            <v>17</v>
          </cell>
          <cell r="AS158">
            <v>3</v>
          </cell>
          <cell r="AT158">
            <v>3</v>
          </cell>
          <cell r="AU158">
            <v>0</v>
          </cell>
          <cell r="AV158">
            <v>10</v>
          </cell>
          <cell r="AW158">
            <v>10</v>
          </cell>
          <cell r="AX158">
            <v>2</v>
          </cell>
          <cell r="AY158">
            <v>3</v>
          </cell>
          <cell r="AZ158">
            <v>1</v>
          </cell>
          <cell r="BA158">
            <v>1</v>
          </cell>
          <cell r="BB158">
            <v>0</v>
          </cell>
          <cell r="BC158">
            <v>0</v>
          </cell>
          <cell r="BD158">
            <v>0</v>
          </cell>
          <cell r="BE158">
            <v>0</v>
          </cell>
          <cell r="BF158">
            <v>0</v>
          </cell>
          <cell r="BG158">
            <v>0</v>
          </cell>
          <cell r="BH158">
            <v>0</v>
          </cell>
          <cell r="BI158">
            <v>1</v>
          </cell>
          <cell r="BJ158">
            <v>0</v>
          </cell>
          <cell r="BK158">
            <v>0</v>
          </cell>
          <cell r="BL158">
            <v>0</v>
          </cell>
          <cell r="BM158">
            <v>0</v>
          </cell>
          <cell r="BN158">
            <v>1</v>
          </cell>
          <cell r="BO158">
            <v>0</v>
          </cell>
          <cell r="BP158">
            <v>0</v>
          </cell>
          <cell r="BQ158">
            <v>0</v>
          </cell>
          <cell r="BR158">
            <v>0</v>
          </cell>
          <cell r="BS158">
            <v>0</v>
          </cell>
          <cell r="BT158">
            <v>10</v>
          </cell>
          <cell r="BU158">
            <v>0</v>
          </cell>
        </row>
        <row r="159">
          <cell r="A159">
            <v>58</v>
          </cell>
          <cell r="B159">
            <v>58</v>
          </cell>
          <cell r="D159">
            <v>0</v>
          </cell>
          <cell r="F159">
            <v>0</v>
          </cell>
          <cell r="G159">
            <v>1</v>
          </cell>
          <cell r="I159">
            <v>1</v>
          </cell>
          <cell r="J159">
            <v>0</v>
          </cell>
          <cell r="K159">
            <v>9</v>
          </cell>
          <cell r="L159">
            <v>9</v>
          </cell>
          <cell r="M159">
            <v>3</v>
          </cell>
          <cell r="O159">
            <v>0</v>
          </cell>
          <cell r="P159">
            <v>0</v>
          </cell>
          <cell r="Q159">
            <v>1</v>
          </cell>
          <cell r="R159">
            <v>0</v>
          </cell>
          <cell r="S159">
            <v>0</v>
          </cell>
          <cell r="T159">
            <v>2</v>
          </cell>
          <cell r="V159">
            <v>1</v>
          </cell>
          <cell r="W159">
            <v>75</v>
          </cell>
          <cell r="X159">
            <v>2</v>
          </cell>
          <cell r="Y159">
            <v>1</v>
          </cell>
          <cell r="AA159">
            <v>0</v>
          </cell>
          <cell r="AB159">
            <v>0</v>
          </cell>
          <cell r="AC159">
            <v>0</v>
          </cell>
          <cell r="AD159">
            <v>0</v>
          </cell>
          <cell r="AE159">
            <v>0</v>
          </cell>
          <cell r="AF159">
            <v>0</v>
          </cell>
          <cell r="AG159">
            <v>0</v>
          </cell>
          <cell r="AH159">
            <v>1</v>
          </cell>
          <cell r="AI159">
            <v>2</v>
          </cell>
          <cell r="AK159">
            <v>0</v>
          </cell>
          <cell r="AL159">
            <v>1</v>
          </cell>
          <cell r="AN159">
            <v>3346</v>
          </cell>
          <cell r="AO159">
            <v>4</v>
          </cell>
          <cell r="AQ159">
            <v>1</v>
          </cell>
          <cell r="AR159">
            <v>20</v>
          </cell>
          <cell r="AS159">
            <v>4</v>
          </cell>
          <cell r="AT159">
            <v>2</v>
          </cell>
          <cell r="AU159">
            <v>1</v>
          </cell>
          <cell r="AV159">
            <v>9</v>
          </cell>
          <cell r="AW159">
            <v>9</v>
          </cell>
          <cell r="AX159">
            <v>3</v>
          </cell>
          <cell r="AY159">
            <v>2</v>
          </cell>
          <cell r="AZ159">
            <v>1</v>
          </cell>
          <cell r="BA159">
            <v>1</v>
          </cell>
          <cell r="BB159">
            <v>0</v>
          </cell>
          <cell r="BC159">
            <v>0</v>
          </cell>
          <cell r="BD159">
            <v>0</v>
          </cell>
          <cell r="BE159">
            <v>0</v>
          </cell>
          <cell r="BF159">
            <v>0</v>
          </cell>
          <cell r="BG159">
            <v>0</v>
          </cell>
          <cell r="BH159">
            <v>0</v>
          </cell>
          <cell r="BI159">
            <v>1</v>
          </cell>
          <cell r="BJ159">
            <v>0</v>
          </cell>
          <cell r="BK159">
            <v>0</v>
          </cell>
          <cell r="BL159">
            <v>0</v>
          </cell>
          <cell r="BM159">
            <v>0</v>
          </cell>
          <cell r="BN159">
            <v>0</v>
          </cell>
          <cell r="BO159">
            <v>1</v>
          </cell>
          <cell r="BP159">
            <v>0</v>
          </cell>
          <cell r="BQ159">
            <v>0</v>
          </cell>
          <cell r="BR159">
            <v>0</v>
          </cell>
          <cell r="BS159">
            <v>0</v>
          </cell>
          <cell r="BT159">
            <v>9</v>
          </cell>
          <cell r="BU159">
            <v>0</v>
          </cell>
        </row>
        <row r="160">
          <cell r="A160">
            <v>40</v>
          </cell>
          <cell r="B160">
            <v>40</v>
          </cell>
          <cell r="D160">
            <v>0</v>
          </cell>
          <cell r="F160">
            <v>0</v>
          </cell>
          <cell r="G160">
            <v>1</v>
          </cell>
          <cell r="I160">
            <v>0</v>
          </cell>
          <cell r="J160">
            <v>1</v>
          </cell>
          <cell r="K160">
            <v>4</v>
          </cell>
          <cell r="L160">
            <v>4</v>
          </cell>
          <cell r="M160">
            <v>4</v>
          </cell>
          <cell r="O160">
            <v>0</v>
          </cell>
          <cell r="P160">
            <v>0</v>
          </cell>
          <cell r="Q160">
            <v>0</v>
          </cell>
          <cell r="R160">
            <v>1</v>
          </cell>
          <cell r="S160">
            <v>0</v>
          </cell>
          <cell r="T160">
            <v>3</v>
          </cell>
          <cell r="V160">
            <v>0</v>
          </cell>
          <cell r="W160">
            <v>67</v>
          </cell>
          <cell r="X160">
            <v>2</v>
          </cell>
          <cell r="Y160">
            <v>3</v>
          </cell>
          <cell r="AA160">
            <v>0</v>
          </cell>
          <cell r="AB160">
            <v>1</v>
          </cell>
          <cell r="AC160">
            <v>0</v>
          </cell>
          <cell r="AD160">
            <v>0</v>
          </cell>
          <cell r="AE160">
            <v>0</v>
          </cell>
          <cell r="AF160">
            <v>0</v>
          </cell>
          <cell r="AG160">
            <v>0</v>
          </cell>
          <cell r="AH160">
            <v>0</v>
          </cell>
          <cell r="AI160">
            <v>4</v>
          </cell>
          <cell r="AK160">
            <v>0</v>
          </cell>
          <cell r="AL160">
            <v>1</v>
          </cell>
          <cell r="AN160">
            <v>10855</v>
          </cell>
          <cell r="AO160">
            <v>7</v>
          </cell>
          <cell r="AQ160">
            <v>0</v>
          </cell>
          <cell r="AR160">
            <v>11</v>
          </cell>
          <cell r="AS160">
            <v>3</v>
          </cell>
          <cell r="AT160">
            <v>1</v>
          </cell>
          <cell r="AU160">
            <v>1</v>
          </cell>
          <cell r="AV160">
            <v>15</v>
          </cell>
          <cell r="AW160">
            <v>15</v>
          </cell>
          <cell r="AX160">
            <v>2</v>
          </cell>
          <cell r="AY160">
            <v>2</v>
          </cell>
          <cell r="AZ160">
            <v>12</v>
          </cell>
          <cell r="BA160">
            <v>12</v>
          </cell>
          <cell r="BB160">
            <v>11</v>
          </cell>
          <cell r="BC160">
            <v>2</v>
          </cell>
          <cell r="BD160">
            <v>2</v>
          </cell>
          <cell r="BE160">
            <v>11</v>
          </cell>
          <cell r="BF160">
            <v>11</v>
          </cell>
          <cell r="BG160">
            <v>33</v>
          </cell>
          <cell r="BH160">
            <v>0</v>
          </cell>
          <cell r="BI160">
            <v>1</v>
          </cell>
          <cell r="BJ160">
            <v>0</v>
          </cell>
          <cell r="BK160">
            <v>0</v>
          </cell>
          <cell r="BL160">
            <v>0</v>
          </cell>
          <cell r="BM160">
            <v>0</v>
          </cell>
          <cell r="BN160">
            <v>1</v>
          </cell>
          <cell r="BO160">
            <v>0</v>
          </cell>
          <cell r="BP160">
            <v>0</v>
          </cell>
          <cell r="BQ160">
            <v>0</v>
          </cell>
          <cell r="BR160">
            <v>11</v>
          </cell>
          <cell r="BS160">
            <v>0</v>
          </cell>
          <cell r="BT160">
            <v>0</v>
          </cell>
          <cell r="BU160">
            <v>15</v>
          </cell>
        </row>
        <row r="161">
          <cell r="A161">
            <v>34</v>
          </cell>
          <cell r="B161">
            <v>34</v>
          </cell>
          <cell r="D161">
            <v>0</v>
          </cell>
          <cell r="F161">
            <v>1</v>
          </cell>
          <cell r="G161">
            <v>0</v>
          </cell>
          <cell r="I161">
            <v>0</v>
          </cell>
          <cell r="J161">
            <v>1</v>
          </cell>
          <cell r="K161">
            <v>2</v>
          </cell>
          <cell r="L161">
            <v>2</v>
          </cell>
          <cell r="M161">
            <v>4</v>
          </cell>
          <cell r="O161">
            <v>0</v>
          </cell>
          <cell r="P161">
            <v>0</v>
          </cell>
          <cell r="Q161">
            <v>0</v>
          </cell>
          <cell r="R161">
            <v>1</v>
          </cell>
          <cell r="S161">
            <v>0</v>
          </cell>
          <cell r="T161">
            <v>3</v>
          </cell>
          <cell r="V161">
            <v>1</v>
          </cell>
          <cell r="W161">
            <v>75</v>
          </cell>
          <cell r="X161">
            <v>3</v>
          </cell>
          <cell r="Y161">
            <v>1</v>
          </cell>
          <cell r="AA161">
            <v>0</v>
          </cell>
          <cell r="AB161">
            <v>0</v>
          </cell>
          <cell r="AC161">
            <v>0</v>
          </cell>
          <cell r="AD161">
            <v>0</v>
          </cell>
          <cell r="AE161">
            <v>0</v>
          </cell>
          <cell r="AF161">
            <v>0</v>
          </cell>
          <cell r="AG161">
            <v>1</v>
          </cell>
          <cell r="AH161">
            <v>0</v>
          </cell>
          <cell r="AI161">
            <v>3</v>
          </cell>
          <cell r="AK161">
            <v>0</v>
          </cell>
          <cell r="AL161">
            <v>1</v>
          </cell>
          <cell r="AN161">
            <v>2231</v>
          </cell>
          <cell r="AO161">
            <v>6</v>
          </cell>
          <cell r="AQ161">
            <v>0</v>
          </cell>
          <cell r="AR161">
            <v>18</v>
          </cell>
          <cell r="AS161">
            <v>3</v>
          </cell>
          <cell r="AT161">
            <v>4</v>
          </cell>
          <cell r="AU161">
            <v>1</v>
          </cell>
          <cell r="AV161">
            <v>6</v>
          </cell>
          <cell r="AW161">
            <v>6</v>
          </cell>
          <cell r="AX161">
            <v>3</v>
          </cell>
          <cell r="AY161">
            <v>3</v>
          </cell>
          <cell r="AZ161">
            <v>4</v>
          </cell>
          <cell r="BA161">
            <v>4</v>
          </cell>
          <cell r="BB161">
            <v>3</v>
          </cell>
          <cell r="BC161">
            <v>1</v>
          </cell>
          <cell r="BD161">
            <v>1</v>
          </cell>
          <cell r="BE161">
            <v>2</v>
          </cell>
          <cell r="BF161">
            <v>2</v>
          </cell>
          <cell r="BG161">
            <v>2</v>
          </cell>
          <cell r="BH161">
            <v>0</v>
          </cell>
          <cell r="BI161">
            <v>0</v>
          </cell>
          <cell r="BJ161">
            <v>0</v>
          </cell>
          <cell r="BK161">
            <v>1</v>
          </cell>
          <cell r="BL161">
            <v>0</v>
          </cell>
          <cell r="BM161">
            <v>0</v>
          </cell>
          <cell r="BN161">
            <v>1</v>
          </cell>
          <cell r="BO161">
            <v>0</v>
          </cell>
          <cell r="BP161">
            <v>0</v>
          </cell>
          <cell r="BQ161">
            <v>0</v>
          </cell>
          <cell r="BR161">
            <v>2</v>
          </cell>
          <cell r="BS161">
            <v>0</v>
          </cell>
          <cell r="BT161">
            <v>0</v>
          </cell>
          <cell r="BU161">
            <v>6</v>
          </cell>
        </row>
        <row r="162">
          <cell r="A162">
            <v>22</v>
          </cell>
          <cell r="B162">
            <v>22</v>
          </cell>
          <cell r="D162">
            <v>0</v>
          </cell>
          <cell r="F162">
            <v>0</v>
          </cell>
          <cell r="G162">
            <v>1</v>
          </cell>
          <cell r="I162">
            <v>1</v>
          </cell>
          <cell r="J162">
            <v>0</v>
          </cell>
          <cell r="K162">
            <v>19</v>
          </cell>
          <cell r="L162">
            <v>19</v>
          </cell>
          <cell r="M162">
            <v>1</v>
          </cell>
          <cell r="O162">
            <v>0</v>
          </cell>
          <cell r="P162">
            <v>0</v>
          </cell>
          <cell r="Q162">
            <v>1</v>
          </cell>
          <cell r="R162">
            <v>0</v>
          </cell>
          <cell r="S162">
            <v>0</v>
          </cell>
          <cell r="T162">
            <v>3</v>
          </cell>
          <cell r="V162">
            <v>0</v>
          </cell>
          <cell r="W162">
            <v>80</v>
          </cell>
          <cell r="X162">
            <v>3</v>
          </cell>
          <cell r="Y162">
            <v>1</v>
          </cell>
          <cell r="AA162">
            <v>0</v>
          </cell>
          <cell r="AB162">
            <v>0</v>
          </cell>
          <cell r="AC162">
            <v>0</v>
          </cell>
          <cell r="AD162">
            <v>0</v>
          </cell>
          <cell r="AE162">
            <v>0</v>
          </cell>
          <cell r="AF162">
            <v>0</v>
          </cell>
          <cell r="AG162">
            <v>0</v>
          </cell>
          <cell r="AH162">
            <v>1</v>
          </cell>
          <cell r="AI162">
            <v>4</v>
          </cell>
          <cell r="AK162">
            <v>0</v>
          </cell>
          <cell r="AL162">
            <v>1</v>
          </cell>
          <cell r="AN162">
            <v>2323</v>
          </cell>
          <cell r="AO162">
            <v>1</v>
          </cell>
          <cell r="AQ162">
            <v>0</v>
          </cell>
          <cell r="AR162">
            <v>24</v>
          </cell>
          <cell r="AS162">
            <v>4</v>
          </cell>
          <cell r="AT162">
            <v>1</v>
          </cell>
          <cell r="AU162">
            <v>2</v>
          </cell>
          <cell r="AV162">
            <v>2</v>
          </cell>
          <cell r="AW162">
            <v>2</v>
          </cell>
          <cell r="AX162">
            <v>6</v>
          </cell>
          <cell r="AY162">
            <v>3</v>
          </cell>
          <cell r="AZ162">
            <v>2</v>
          </cell>
          <cell r="BA162">
            <v>2</v>
          </cell>
          <cell r="BB162">
            <v>2</v>
          </cell>
          <cell r="BC162">
            <v>2</v>
          </cell>
          <cell r="BD162">
            <v>2</v>
          </cell>
          <cell r="BE162">
            <v>2</v>
          </cell>
          <cell r="BF162">
            <v>2</v>
          </cell>
          <cell r="BG162">
            <v>2</v>
          </cell>
          <cell r="BH162">
            <v>0</v>
          </cell>
          <cell r="BI162">
            <v>1</v>
          </cell>
          <cell r="BJ162">
            <v>0</v>
          </cell>
          <cell r="BK162">
            <v>0</v>
          </cell>
          <cell r="BL162">
            <v>0</v>
          </cell>
          <cell r="BM162">
            <v>0</v>
          </cell>
          <cell r="BN162">
            <v>1</v>
          </cell>
          <cell r="BO162">
            <v>0</v>
          </cell>
          <cell r="BP162">
            <v>0</v>
          </cell>
          <cell r="BQ162">
            <v>2</v>
          </cell>
          <cell r="BR162">
            <v>0</v>
          </cell>
          <cell r="BS162">
            <v>0</v>
          </cell>
          <cell r="BT162">
            <v>2</v>
          </cell>
          <cell r="BU162">
            <v>0</v>
          </cell>
        </row>
        <row r="163">
          <cell r="A163">
            <v>27</v>
          </cell>
          <cell r="B163">
            <v>27</v>
          </cell>
          <cell r="D163">
            <v>0</v>
          </cell>
          <cell r="F163">
            <v>0</v>
          </cell>
          <cell r="G163">
            <v>0</v>
          </cell>
          <cell r="I163">
            <v>1</v>
          </cell>
          <cell r="J163">
            <v>0</v>
          </cell>
          <cell r="K163">
            <v>9</v>
          </cell>
          <cell r="L163">
            <v>9</v>
          </cell>
          <cell r="M163">
            <v>3</v>
          </cell>
          <cell r="O163">
            <v>0</v>
          </cell>
          <cell r="P163">
            <v>0</v>
          </cell>
          <cell r="Q163">
            <v>1</v>
          </cell>
          <cell r="R163">
            <v>0</v>
          </cell>
          <cell r="S163">
            <v>0</v>
          </cell>
          <cell r="T163">
            <v>4</v>
          </cell>
          <cell r="V163">
            <v>0</v>
          </cell>
          <cell r="W163">
            <v>57</v>
          </cell>
          <cell r="X163">
            <v>3</v>
          </cell>
          <cell r="Y163">
            <v>1</v>
          </cell>
          <cell r="AA163">
            <v>0</v>
          </cell>
          <cell r="AB163">
            <v>0</v>
          </cell>
          <cell r="AC163">
            <v>0</v>
          </cell>
          <cell r="AD163">
            <v>0</v>
          </cell>
          <cell r="AE163">
            <v>0</v>
          </cell>
          <cell r="AF163">
            <v>0</v>
          </cell>
          <cell r="AG163">
            <v>0</v>
          </cell>
          <cell r="AH163">
            <v>1</v>
          </cell>
          <cell r="AI163">
            <v>2</v>
          </cell>
          <cell r="AK163">
            <v>0</v>
          </cell>
          <cell r="AL163">
            <v>0</v>
          </cell>
          <cell r="AN163">
            <v>2024</v>
          </cell>
          <cell r="AO163">
            <v>6</v>
          </cell>
          <cell r="AQ163">
            <v>0</v>
          </cell>
          <cell r="AR163">
            <v>18</v>
          </cell>
          <cell r="AS163">
            <v>3</v>
          </cell>
          <cell r="AT163">
            <v>4</v>
          </cell>
          <cell r="AU163">
            <v>1</v>
          </cell>
          <cell r="AV163">
            <v>6</v>
          </cell>
          <cell r="AW163">
            <v>6</v>
          </cell>
          <cell r="AX163">
            <v>1</v>
          </cell>
          <cell r="AY163">
            <v>1</v>
          </cell>
          <cell r="AZ163">
            <v>2</v>
          </cell>
          <cell r="BA163">
            <v>2</v>
          </cell>
          <cell r="BB163">
            <v>2</v>
          </cell>
          <cell r="BC163">
            <v>2</v>
          </cell>
          <cell r="BD163">
            <v>2</v>
          </cell>
          <cell r="BE163">
            <v>2</v>
          </cell>
          <cell r="BF163">
            <v>2</v>
          </cell>
          <cell r="BG163">
            <v>2</v>
          </cell>
          <cell r="BH163">
            <v>1</v>
          </cell>
          <cell r="BI163">
            <v>0</v>
          </cell>
          <cell r="BJ163">
            <v>0</v>
          </cell>
          <cell r="BK163">
            <v>0</v>
          </cell>
          <cell r="BL163">
            <v>1</v>
          </cell>
          <cell r="BM163">
            <v>0</v>
          </cell>
          <cell r="BN163">
            <v>0</v>
          </cell>
          <cell r="BO163">
            <v>0</v>
          </cell>
          <cell r="BP163">
            <v>0</v>
          </cell>
          <cell r="BQ163">
            <v>2</v>
          </cell>
          <cell r="BR163">
            <v>0</v>
          </cell>
          <cell r="BS163">
            <v>0</v>
          </cell>
          <cell r="BT163">
            <v>6</v>
          </cell>
          <cell r="BU163">
            <v>0</v>
          </cell>
        </row>
        <row r="164">
          <cell r="A164">
            <v>28</v>
          </cell>
          <cell r="B164">
            <v>28</v>
          </cell>
          <cell r="D164">
            <v>0</v>
          </cell>
          <cell r="F164">
            <v>0</v>
          </cell>
          <cell r="G164">
            <v>1</v>
          </cell>
          <cell r="I164">
            <v>1</v>
          </cell>
          <cell r="J164">
            <v>0</v>
          </cell>
          <cell r="K164">
            <v>21</v>
          </cell>
          <cell r="L164">
            <v>21</v>
          </cell>
          <cell r="M164">
            <v>3</v>
          </cell>
          <cell r="O164">
            <v>0</v>
          </cell>
          <cell r="P164">
            <v>0</v>
          </cell>
          <cell r="Q164">
            <v>1</v>
          </cell>
          <cell r="R164">
            <v>0</v>
          </cell>
          <cell r="S164">
            <v>0</v>
          </cell>
          <cell r="T164">
            <v>3</v>
          </cell>
          <cell r="V164">
            <v>0</v>
          </cell>
          <cell r="W164">
            <v>42</v>
          </cell>
          <cell r="X164">
            <v>3</v>
          </cell>
          <cell r="Y164">
            <v>1</v>
          </cell>
          <cell r="AA164">
            <v>0</v>
          </cell>
          <cell r="AB164">
            <v>0</v>
          </cell>
          <cell r="AC164">
            <v>0</v>
          </cell>
          <cell r="AD164">
            <v>0</v>
          </cell>
          <cell r="AE164">
            <v>0</v>
          </cell>
          <cell r="AF164">
            <v>0</v>
          </cell>
          <cell r="AG164">
            <v>0</v>
          </cell>
          <cell r="AH164">
            <v>1</v>
          </cell>
          <cell r="AI164">
            <v>4</v>
          </cell>
          <cell r="AK164">
            <v>0</v>
          </cell>
          <cell r="AL164">
            <v>1</v>
          </cell>
          <cell r="AN164">
            <v>2713</v>
          </cell>
          <cell r="AO164">
            <v>1</v>
          </cell>
          <cell r="AQ164">
            <v>0</v>
          </cell>
          <cell r="AR164">
            <v>11</v>
          </cell>
          <cell r="AS164">
            <v>3</v>
          </cell>
          <cell r="AT164">
            <v>3</v>
          </cell>
          <cell r="AU164">
            <v>1</v>
          </cell>
          <cell r="AV164">
            <v>5</v>
          </cell>
          <cell r="AW164">
            <v>5</v>
          </cell>
          <cell r="AX164">
            <v>2</v>
          </cell>
          <cell r="AY164">
            <v>1</v>
          </cell>
          <cell r="AZ164">
            <v>5</v>
          </cell>
          <cell r="BA164">
            <v>5</v>
          </cell>
          <cell r="BB164">
            <v>2</v>
          </cell>
          <cell r="BC164">
            <v>0</v>
          </cell>
          <cell r="BD164">
            <v>0</v>
          </cell>
          <cell r="BE164">
            <v>2</v>
          </cell>
          <cell r="BF164">
            <v>2</v>
          </cell>
          <cell r="BG164">
            <v>2</v>
          </cell>
          <cell r="BH164">
            <v>0</v>
          </cell>
          <cell r="BI164">
            <v>1</v>
          </cell>
          <cell r="BJ164">
            <v>0</v>
          </cell>
          <cell r="BK164">
            <v>0</v>
          </cell>
          <cell r="BL164">
            <v>0</v>
          </cell>
          <cell r="BM164">
            <v>0</v>
          </cell>
          <cell r="BN164">
            <v>1</v>
          </cell>
          <cell r="BO164">
            <v>0</v>
          </cell>
          <cell r="BP164">
            <v>0</v>
          </cell>
          <cell r="BQ164">
            <v>2</v>
          </cell>
          <cell r="BR164">
            <v>0</v>
          </cell>
          <cell r="BS164">
            <v>0</v>
          </cell>
          <cell r="BT164">
            <v>5</v>
          </cell>
          <cell r="BU164">
            <v>0</v>
          </cell>
        </row>
        <row r="165">
          <cell r="A165">
            <v>57</v>
          </cell>
          <cell r="B165">
            <v>57</v>
          </cell>
          <cell r="D165">
            <v>0</v>
          </cell>
          <cell r="F165">
            <v>0</v>
          </cell>
          <cell r="G165">
            <v>1</v>
          </cell>
          <cell r="I165">
            <v>1</v>
          </cell>
          <cell r="J165">
            <v>0</v>
          </cell>
          <cell r="K165">
            <v>24</v>
          </cell>
          <cell r="L165">
            <v>24</v>
          </cell>
          <cell r="M165">
            <v>2</v>
          </cell>
          <cell r="O165">
            <v>1</v>
          </cell>
          <cell r="P165">
            <v>0</v>
          </cell>
          <cell r="Q165">
            <v>0</v>
          </cell>
          <cell r="R165">
            <v>0</v>
          </cell>
          <cell r="S165">
            <v>0</v>
          </cell>
          <cell r="T165">
            <v>3</v>
          </cell>
          <cell r="V165">
            <v>0</v>
          </cell>
          <cell r="W165">
            <v>83</v>
          </cell>
          <cell r="X165">
            <v>4</v>
          </cell>
          <cell r="Y165">
            <v>3</v>
          </cell>
          <cell r="AA165">
            <v>1</v>
          </cell>
          <cell r="AB165">
            <v>0</v>
          </cell>
          <cell r="AC165">
            <v>0</v>
          </cell>
          <cell r="AD165">
            <v>0</v>
          </cell>
          <cell r="AE165">
            <v>0</v>
          </cell>
          <cell r="AF165">
            <v>0</v>
          </cell>
          <cell r="AG165">
            <v>0</v>
          </cell>
          <cell r="AH165">
            <v>0</v>
          </cell>
          <cell r="AI165">
            <v>4</v>
          </cell>
          <cell r="AK165">
            <v>0</v>
          </cell>
          <cell r="AL165">
            <v>0</v>
          </cell>
          <cell r="AN165">
            <v>9439</v>
          </cell>
          <cell r="AO165">
            <v>3</v>
          </cell>
          <cell r="AQ165">
            <v>1</v>
          </cell>
          <cell r="AR165">
            <v>16</v>
          </cell>
          <cell r="AS165">
            <v>3</v>
          </cell>
          <cell r="AT165">
            <v>2</v>
          </cell>
          <cell r="AU165">
            <v>1</v>
          </cell>
          <cell r="AV165">
            <v>12</v>
          </cell>
          <cell r="AW165">
            <v>12</v>
          </cell>
          <cell r="AX165">
            <v>2</v>
          </cell>
          <cell r="AY165">
            <v>1</v>
          </cell>
          <cell r="AZ165">
            <v>5</v>
          </cell>
          <cell r="BA165">
            <v>5</v>
          </cell>
          <cell r="BB165">
            <v>3</v>
          </cell>
          <cell r="BC165">
            <v>1</v>
          </cell>
          <cell r="BD165">
            <v>1</v>
          </cell>
          <cell r="BE165">
            <v>4</v>
          </cell>
          <cell r="BF165">
            <v>4</v>
          </cell>
          <cell r="BG165">
            <v>12</v>
          </cell>
          <cell r="BH165">
            <v>1</v>
          </cell>
          <cell r="BI165">
            <v>0</v>
          </cell>
          <cell r="BJ165">
            <v>0</v>
          </cell>
          <cell r="BK165">
            <v>0</v>
          </cell>
          <cell r="BL165">
            <v>0</v>
          </cell>
          <cell r="BM165">
            <v>1</v>
          </cell>
          <cell r="BN165">
            <v>0</v>
          </cell>
          <cell r="BO165">
            <v>0</v>
          </cell>
          <cell r="BP165">
            <v>0</v>
          </cell>
          <cell r="BQ165">
            <v>4</v>
          </cell>
          <cell r="BR165">
            <v>0</v>
          </cell>
          <cell r="BS165">
            <v>0</v>
          </cell>
          <cell r="BT165">
            <v>12</v>
          </cell>
          <cell r="BU165">
            <v>0</v>
          </cell>
        </row>
        <row r="166">
          <cell r="A166">
            <v>27</v>
          </cell>
          <cell r="B166">
            <v>27</v>
          </cell>
          <cell r="D166">
            <v>0</v>
          </cell>
          <cell r="F166">
            <v>0</v>
          </cell>
          <cell r="G166">
            <v>0</v>
          </cell>
          <cell r="I166">
            <v>1</v>
          </cell>
          <cell r="J166">
            <v>0</v>
          </cell>
          <cell r="K166">
            <v>3</v>
          </cell>
          <cell r="L166">
            <v>3</v>
          </cell>
          <cell r="M166">
            <v>3</v>
          </cell>
          <cell r="O166">
            <v>0</v>
          </cell>
          <cell r="P166">
            <v>0</v>
          </cell>
          <cell r="Q166">
            <v>1</v>
          </cell>
          <cell r="R166">
            <v>0</v>
          </cell>
          <cell r="S166">
            <v>0</v>
          </cell>
          <cell r="T166">
            <v>3</v>
          </cell>
          <cell r="V166">
            <v>0</v>
          </cell>
          <cell r="W166">
            <v>79</v>
          </cell>
          <cell r="X166">
            <v>2</v>
          </cell>
          <cell r="Y166">
            <v>1</v>
          </cell>
          <cell r="AA166">
            <v>0</v>
          </cell>
          <cell r="AB166">
            <v>0</v>
          </cell>
          <cell r="AC166">
            <v>0</v>
          </cell>
          <cell r="AD166">
            <v>0</v>
          </cell>
          <cell r="AE166">
            <v>0</v>
          </cell>
          <cell r="AF166">
            <v>0</v>
          </cell>
          <cell r="AG166">
            <v>0</v>
          </cell>
          <cell r="AH166">
            <v>1</v>
          </cell>
          <cell r="AI166">
            <v>3</v>
          </cell>
          <cell r="AK166">
            <v>0</v>
          </cell>
          <cell r="AL166">
            <v>0</v>
          </cell>
          <cell r="AN166">
            <v>2566</v>
          </cell>
          <cell r="AO166">
            <v>1</v>
          </cell>
          <cell r="AQ166">
            <v>1</v>
          </cell>
          <cell r="AR166">
            <v>15</v>
          </cell>
          <cell r="AS166">
            <v>3</v>
          </cell>
          <cell r="AT166">
            <v>4</v>
          </cell>
          <cell r="AU166">
            <v>1</v>
          </cell>
          <cell r="AV166">
            <v>1</v>
          </cell>
          <cell r="AW166">
            <v>1</v>
          </cell>
          <cell r="AX166">
            <v>2</v>
          </cell>
          <cell r="AY166">
            <v>2</v>
          </cell>
          <cell r="AZ166">
            <v>1</v>
          </cell>
          <cell r="BA166">
            <v>1</v>
          </cell>
          <cell r="BB166">
            <v>1</v>
          </cell>
          <cell r="BC166">
            <v>0</v>
          </cell>
          <cell r="BD166">
            <v>0</v>
          </cell>
          <cell r="BE166">
            <v>1</v>
          </cell>
          <cell r="BF166">
            <v>1</v>
          </cell>
          <cell r="BG166">
            <v>1</v>
          </cell>
          <cell r="BH166">
            <v>1</v>
          </cell>
          <cell r="BI166">
            <v>0</v>
          </cell>
          <cell r="BJ166">
            <v>0</v>
          </cell>
          <cell r="BK166">
            <v>0</v>
          </cell>
          <cell r="BL166">
            <v>0</v>
          </cell>
          <cell r="BM166">
            <v>1</v>
          </cell>
          <cell r="BN166">
            <v>0</v>
          </cell>
          <cell r="BO166">
            <v>0</v>
          </cell>
          <cell r="BP166">
            <v>0</v>
          </cell>
          <cell r="BQ166">
            <v>1</v>
          </cell>
          <cell r="BR166">
            <v>0</v>
          </cell>
          <cell r="BS166">
            <v>0</v>
          </cell>
          <cell r="BT166">
            <v>1</v>
          </cell>
          <cell r="BU166">
            <v>0</v>
          </cell>
        </row>
        <row r="167">
          <cell r="A167">
            <v>50</v>
          </cell>
          <cell r="B167">
            <v>50</v>
          </cell>
          <cell r="D167">
            <v>0</v>
          </cell>
          <cell r="F167">
            <v>0</v>
          </cell>
          <cell r="G167">
            <v>1</v>
          </cell>
          <cell r="I167">
            <v>1</v>
          </cell>
          <cell r="J167">
            <v>0</v>
          </cell>
          <cell r="K167">
            <v>11</v>
          </cell>
          <cell r="L167">
            <v>11</v>
          </cell>
          <cell r="M167">
            <v>3</v>
          </cell>
          <cell r="O167">
            <v>1</v>
          </cell>
          <cell r="P167">
            <v>0</v>
          </cell>
          <cell r="Q167">
            <v>0</v>
          </cell>
          <cell r="R167">
            <v>0</v>
          </cell>
          <cell r="S167">
            <v>0</v>
          </cell>
          <cell r="T167">
            <v>3</v>
          </cell>
          <cell r="V167">
            <v>1</v>
          </cell>
          <cell r="W167">
            <v>53</v>
          </cell>
          <cell r="X167">
            <v>3</v>
          </cell>
          <cell r="Y167">
            <v>5</v>
          </cell>
          <cell r="AA167">
            <v>0</v>
          </cell>
          <cell r="AB167">
            <v>0</v>
          </cell>
          <cell r="AC167">
            <v>0</v>
          </cell>
          <cell r="AD167">
            <v>1</v>
          </cell>
          <cell r="AE167">
            <v>0</v>
          </cell>
          <cell r="AF167">
            <v>0</v>
          </cell>
          <cell r="AG167">
            <v>0</v>
          </cell>
          <cell r="AH167">
            <v>0</v>
          </cell>
          <cell r="AI167">
            <v>2</v>
          </cell>
          <cell r="AK167">
            <v>1</v>
          </cell>
          <cell r="AL167">
            <v>0</v>
          </cell>
          <cell r="AN167">
            <v>19626.310000000001</v>
          </cell>
          <cell r="AO167">
            <v>3</v>
          </cell>
          <cell r="AQ167">
            <v>0</v>
          </cell>
          <cell r="AR167">
            <v>15</v>
          </cell>
          <cell r="AS167">
            <v>3</v>
          </cell>
          <cell r="AT167">
            <v>2</v>
          </cell>
          <cell r="AU167">
            <v>0</v>
          </cell>
          <cell r="AV167">
            <v>21</v>
          </cell>
          <cell r="AW167">
            <v>21</v>
          </cell>
          <cell r="AX167">
            <v>5</v>
          </cell>
          <cell r="AY167">
            <v>3</v>
          </cell>
          <cell r="AZ167">
            <v>5</v>
          </cell>
          <cell r="BA167">
            <v>5</v>
          </cell>
          <cell r="BB167">
            <v>4</v>
          </cell>
          <cell r="BC167">
            <v>4</v>
          </cell>
          <cell r="BD167">
            <v>4</v>
          </cell>
          <cell r="BE167">
            <v>4</v>
          </cell>
          <cell r="BF167">
            <v>4</v>
          </cell>
          <cell r="BG167">
            <v>20</v>
          </cell>
          <cell r="BH167">
            <v>1</v>
          </cell>
          <cell r="BI167">
            <v>0</v>
          </cell>
          <cell r="BJ167">
            <v>0</v>
          </cell>
          <cell r="BK167">
            <v>0</v>
          </cell>
          <cell r="BL167">
            <v>1</v>
          </cell>
          <cell r="BM167">
            <v>0</v>
          </cell>
          <cell r="BN167">
            <v>0</v>
          </cell>
          <cell r="BO167">
            <v>0</v>
          </cell>
          <cell r="BP167">
            <v>0</v>
          </cell>
          <cell r="BQ167">
            <v>4</v>
          </cell>
          <cell r="BR167">
            <v>0</v>
          </cell>
          <cell r="BS167">
            <v>0</v>
          </cell>
          <cell r="BT167">
            <v>21</v>
          </cell>
          <cell r="BU167">
            <v>0</v>
          </cell>
        </row>
        <row r="168">
          <cell r="A168">
            <v>41</v>
          </cell>
          <cell r="B168">
            <v>41</v>
          </cell>
          <cell r="D168">
            <v>0</v>
          </cell>
          <cell r="F168">
            <v>0</v>
          </cell>
          <cell r="G168">
            <v>1</v>
          </cell>
          <cell r="I168">
            <v>1</v>
          </cell>
          <cell r="J168">
            <v>0</v>
          </cell>
          <cell r="K168">
            <v>14</v>
          </cell>
          <cell r="L168">
            <v>14</v>
          </cell>
          <cell r="M168">
            <v>3</v>
          </cell>
          <cell r="O168">
            <v>1</v>
          </cell>
          <cell r="P168">
            <v>0</v>
          </cell>
          <cell r="Q168">
            <v>0</v>
          </cell>
          <cell r="R168">
            <v>0</v>
          </cell>
          <cell r="S168">
            <v>0</v>
          </cell>
          <cell r="T168">
            <v>1</v>
          </cell>
          <cell r="V168">
            <v>0</v>
          </cell>
          <cell r="W168">
            <v>56</v>
          </cell>
          <cell r="X168">
            <v>3</v>
          </cell>
          <cell r="Y168">
            <v>1</v>
          </cell>
          <cell r="AA168">
            <v>0</v>
          </cell>
          <cell r="AB168">
            <v>0</v>
          </cell>
          <cell r="AC168">
            <v>0</v>
          </cell>
          <cell r="AD168">
            <v>0</v>
          </cell>
          <cell r="AE168">
            <v>0</v>
          </cell>
          <cell r="AF168">
            <v>0</v>
          </cell>
          <cell r="AG168">
            <v>0</v>
          </cell>
          <cell r="AH168">
            <v>1</v>
          </cell>
          <cell r="AI168">
            <v>3</v>
          </cell>
          <cell r="AK168">
            <v>0</v>
          </cell>
          <cell r="AL168">
            <v>0</v>
          </cell>
          <cell r="AN168">
            <v>2451</v>
          </cell>
          <cell r="AO168">
            <v>4</v>
          </cell>
          <cell r="AQ168">
            <v>0</v>
          </cell>
          <cell r="AR168">
            <v>12</v>
          </cell>
          <cell r="AS168">
            <v>3</v>
          </cell>
          <cell r="AT168">
            <v>1</v>
          </cell>
          <cell r="AU168">
            <v>1</v>
          </cell>
          <cell r="AV168">
            <v>13</v>
          </cell>
          <cell r="AW168">
            <v>13</v>
          </cell>
          <cell r="AX168">
            <v>2</v>
          </cell>
          <cell r="AY168">
            <v>3</v>
          </cell>
          <cell r="AZ168">
            <v>9</v>
          </cell>
          <cell r="BA168">
            <v>9</v>
          </cell>
          <cell r="BB168">
            <v>8</v>
          </cell>
          <cell r="BC168">
            <v>1</v>
          </cell>
          <cell r="BD168">
            <v>1</v>
          </cell>
          <cell r="BE168">
            <v>8</v>
          </cell>
          <cell r="BF168">
            <v>8</v>
          </cell>
          <cell r="BG168">
            <v>8</v>
          </cell>
          <cell r="BH168">
            <v>1</v>
          </cell>
          <cell r="BI168">
            <v>0</v>
          </cell>
          <cell r="BJ168">
            <v>0</v>
          </cell>
          <cell r="BK168">
            <v>0</v>
          </cell>
          <cell r="BL168">
            <v>1</v>
          </cell>
          <cell r="BM168">
            <v>0</v>
          </cell>
          <cell r="BN168">
            <v>0</v>
          </cell>
          <cell r="BO168">
            <v>0</v>
          </cell>
          <cell r="BP168">
            <v>0</v>
          </cell>
          <cell r="BQ168">
            <v>8</v>
          </cell>
          <cell r="BR168">
            <v>0</v>
          </cell>
          <cell r="BS168">
            <v>0</v>
          </cell>
          <cell r="BT168">
            <v>13</v>
          </cell>
          <cell r="BU168">
            <v>0</v>
          </cell>
        </row>
        <row r="169">
          <cell r="A169">
            <v>30</v>
          </cell>
          <cell r="B169">
            <v>30</v>
          </cell>
          <cell r="D169">
            <v>0</v>
          </cell>
          <cell r="F169">
            <v>0</v>
          </cell>
          <cell r="G169">
            <v>1</v>
          </cell>
          <cell r="I169">
            <v>0</v>
          </cell>
          <cell r="J169">
            <v>1</v>
          </cell>
          <cell r="K169">
            <v>5</v>
          </cell>
          <cell r="L169">
            <v>5</v>
          </cell>
          <cell r="M169">
            <v>3</v>
          </cell>
          <cell r="O169">
            <v>1</v>
          </cell>
          <cell r="P169">
            <v>0</v>
          </cell>
          <cell r="Q169">
            <v>0</v>
          </cell>
          <cell r="R169">
            <v>0</v>
          </cell>
          <cell r="S169">
            <v>0</v>
          </cell>
          <cell r="T169">
            <v>2</v>
          </cell>
          <cell r="V169">
            <v>1</v>
          </cell>
          <cell r="W169">
            <v>41</v>
          </cell>
          <cell r="X169">
            <v>3</v>
          </cell>
          <cell r="Y169">
            <v>3</v>
          </cell>
          <cell r="AA169">
            <v>0</v>
          </cell>
          <cell r="AB169">
            <v>1</v>
          </cell>
          <cell r="AC169">
            <v>0</v>
          </cell>
          <cell r="AD169">
            <v>0</v>
          </cell>
          <cell r="AE169">
            <v>0</v>
          </cell>
          <cell r="AF169">
            <v>0</v>
          </cell>
          <cell r="AG169">
            <v>0</v>
          </cell>
          <cell r="AH169">
            <v>0</v>
          </cell>
          <cell r="AI169">
            <v>4</v>
          </cell>
          <cell r="AK169">
            <v>0</v>
          </cell>
          <cell r="AL169">
            <v>1</v>
          </cell>
          <cell r="AN169">
            <v>9419</v>
          </cell>
          <cell r="AO169">
            <v>2</v>
          </cell>
          <cell r="AQ169">
            <v>0</v>
          </cell>
          <cell r="AR169">
            <v>12</v>
          </cell>
          <cell r="AS169">
            <v>3</v>
          </cell>
          <cell r="AT169">
            <v>3</v>
          </cell>
          <cell r="AU169">
            <v>1</v>
          </cell>
          <cell r="AV169">
            <v>12</v>
          </cell>
          <cell r="AW169">
            <v>12</v>
          </cell>
          <cell r="AX169">
            <v>2</v>
          </cell>
          <cell r="AY169">
            <v>3</v>
          </cell>
          <cell r="AZ169">
            <v>10</v>
          </cell>
          <cell r="BA169">
            <v>10</v>
          </cell>
          <cell r="BB169">
            <v>9</v>
          </cell>
          <cell r="BC169">
            <v>7</v>
          </cell>
          <cell r="BD169">
            <v>7</v>
          </cell>
          <cell r="BE169">
            <v>4</v>
          </cell>
          <cell r="BF169">
            <v>4</v>
          </cell>
          <cell r="BG169">
            <v>12</v>
          </cell>
          <cell r="BH169">
            <v>0</v>
          </cell>
          <cell r="BI169">
            <v>1</v>
          </cell>
          <cell r="BJ169">
            <v>0</v>
          </cell>
          <cell r="BK169">
            <v>0</v>
          </cell>
          <cell r="BL169">
            <v>0</v>
          </cell>
          <cell r="BM169">
            <v>0</v>
          </cell>
          <cell r="BN169">
            <v>1</v>
          </cell>
          <cell r="BO169">
            <v>0</v>
          </cell>
          <cell r="BP169">
            <v>0</v>
          </cell>
          <cell r="BQ169">
            <v>0</v>
          </cell>
          <cell r="BR169">
            <v>4</v>
          </cell>
          <cell r="BS169">
            <v>0</v>
          </cell>
          <cell r="BT169">
            <v>0</v>
          </cell>
          <cell r="BU169">
            <v>12</v>
          </cell>
        </row>
        <row r="170">
          <cell r="A170">
            <v>38</v>
          </cell>
          <cell r="B170">
            <v>38</v>
          </cell>
          <cell r="D170">
            <v>0</v>
          </cell>
          <cell r="F170">
            <v>0</v>
          </cell>
          <cell r="G170">
            <v>1</v>
          </cell>
          <cell r="I170">
            <v>0</v>
          </cell>
          <cell r="J170">
            <v>1</v>
          </cell>
          <cell r="K170">
            <v>1</v>
          </cell>
          <cell r="L170">
            <v>1</v>
          </cell>
          <cell r="M170">
            <v>4</v>
          </cell>
          <cell r="O170">
            <v>1</v>
          </cell>
          <cell r="P170">
            <v>0</v>
          </cell>
          <cell r="Q170">
            <v>0</v>
          </cell>
          <cell r="R170">
            <v>0</v>
          </cell>
          <cell r="S170">
            <v>0</v>
          </cell>
          <cell r="T170">
            <v>1</v>
          </cell>
          <cell r="V170">
            <v>1</v>
          </cell>
          <cell r="W170">
            <v>59</v>
          </cell>
          <cell r="X170">
            <v>2</v>
          </cell>
          <cell r="Y170">
            <v>2</v>
          </cell>
          <cell r="AA170">
            <v>0</v>
          </cell>
          <cell r="AB170">
            <v>1</v>
          </cell>
          <cell r="AC170">
            <v>0</v>
          </cell>
          <cell r="AD170">
            <v>0</v>
          </cell>
          <cell r="AE170">
            <v>0</v>
          </cell>
          <cell r="AF170">
            <v>0</v>
          </cell>
          <cell r="AG170">
            <v>0</v>
          </cell>
          <cell r="AH170">
            <v>0</v>
          </cell>
          <cell r="AI170">
            <v>4</v>
          </cell>
          <cell r="AK170">
            <v>1</v>
          </cell>
          <cell r="AL170">
            <v>0</v>
          </cell>
          <cell r="AN170">
            <v>8686</v>
          </cell>
          <cell r="AO170">
            <v>4</v>
          </cell>
          <cell r="AQ170">
            <v>0</v>
          </cell>
          <cell r="AR170">
            <v>22</v>
          </cell>
          <cell r="AS170">
            <v>4</v>
          </cell>
          <cell r="AT170">
            <v>3</v>
          </cell>
          <cell r="AU170">
            <v>0</v>
          </cell>
          <cell r="AV170">
            <v>12</v>
          </cell>
          <cell r="AW170">
            <v>12</v>
          </cell>
          <cell r="AX170">
            <v>2</v>
          </cell>
          <cell r="AY170">
            <v>4</v>
          </cell>
          <cell r="AZ170">
            <v>8</v>
          </cell>
          <cell r="BA170">
            <v>8</v>
          </cell>
          <cell r="BB170">
            <v>3</v>
          </cell>
          <cell r="BC170">
            <v>0</v>
          </cell>
          <cell r="BD170">
            <v>0</v>
          </cell>
          <cell r="BE170">
            <v>7</v>
          </cell>
          <cell r="BF170">
            <v>7</v>
          </cell>
          <cell r="BG170">
            <v>14</v>
          </cell>
          <cell r="BH170">
            <v>1</v>
          </cell>
          <cell r="BI170">
            <v>0</v>
          </cell>
          <cell r="BJ170">
            <v>0</v>
          </cell>
          <cell r="BK170">
            <v>0</v>
          </cell>
          <cell r="BL170">
            <v>1</v>
          </cell>
          <cell r="BM170">
            <v>0</v>
          </cell>
          <cell r="BN170">
            <v>0</v>
          </cell>
          <cell r="BO170">
            <v>0</v>
          </cell>
          <cell r="BP170">
            <v>0</v>
          </cell>
          <cell r="BQ170">
            <v>0</v>
          </cell>
          <cell r="BR170">
            <v>7</v>
          </cell>
          <cell r="BS170">
            <v>0</v>
          </cell>
          <cell r="BT170">
            <v>0</v>
          </cell>
          <cell r="BU170">
            <v>12</v>
          </cell>
        </row>
        <row r="171">
          <cell r="A171">
            <v>32</v>
          </cell>
          <cell r="B171">
            <v>32</v>
          </cell>
          <cell r="D171">
            <v>0</v>
          </cell>
          <cell r="F171">
            <v>0</v>
          </cell>
          <cell r="G171">
            <v>1</v>
          </cell>
          <cell r="I171">
            <v>1</v>
          </cell>
          <cell r="J171">
            <v>0</v>
          </cell>
          <cell r="K171">
            <v>6</v>
          </cell>
          <cell r="L171">
            <v>6</v>
          </cell>
          <cell r="M171">
            <v>5</v>
          </cell>
          <cell r="O171">
            <v>1</v>
          </cell>
          <cell r="P171">
            <v>0</v>
          </cell>
          <cell r="Q171">
            <v>0</v>
          </cell>
          <cell r="R171">
            <v>0</v>
          </cell>
          <cell r="S171">
            <v>0</v>
          </cell>
          <cell r="T171">
            <v>3</v>
          </cell>
          <cell r="V171">
            <v>0</v>
          </cell>
          <cell r="W171">
            <v>43</v>
          </cell>
          <cell r="X171">
            <v>3</v>
          </cell>
          <cell r="Y171">
            <v>1</v>
          </cell>
          <cell r="AA171">
            <v>0</v>
          </cell>
          <cell r="AB171">
            <v>0</v>
          </cell>
          <cell r="AC171">
            <v>0</v>
          </cell>
          <cell r="AD171">
            <v>0</v>
          </cell>
          <cell r="AE171">
            <v>0</v>
          </cell>
          <cell r="AF171">
            <v>0</v>
          </cell>
          <cell r="AG171">
            <v>0</v>
          </cell>
          <cell r="AH171">
            <v>1</v>
          </cell>
          <cell r="AI171">
            <v>3</v>
          </cell>
          <cell r="AK171">
            <v>1</v>
          </cell>
          <cell r="AL171">
            <v>0</v>
          </cell>
          <cell r="AN171">
            <v>3038</v>
          </cell>
          <cell r="AO171">
            <v>3</v>
          </cell>
          <cell r="AQ171">
            <v>0</v>
          </cell>
          <cell r="AR171">
            <v>20</v>
          </cell>
          <cell r="AS171">
            <v>4</v>
          </cell>
          <cell r="AT171">
            <v>1</v>
          </cell>
          <cell r="AU171">
            <v>0</v>
          </cell>
          <cell r="AV171">
            <v>8</v>
          </cell>
          <cell r="AW171">
            <v>8</v>
          </cell>
          <cell r="AX171">
            <v>2</v>
          </cell>
          <cell r="AY171">
            <v>3</v>
          </cell>
          <cell r="AZ171">
            <v>5</v>
          </cell>
          <cell r="BA171">
            <v>5</v>
          </cell>
          <cell r="BB171">
            <v>4</v>
          </cell>
          <cell r="BC171">
            <v>1</v>
          </cell>
          <cell r="BD171">
            <v>1</v>
          </cell>
          <cell r="BE171">
            <v>4</v>
          </cell>
          <cell r="BF171">
            <v>4</v>
          </cell>
          <cell r="BG171">
            <v>4</v>
          </cell>
          <cell r="BH171">
            <v>1</v>
          </cell>
          <cell r="BI171">
            <v>0</v>
          </cell>
          <cell r="BJ171">
            <v>0</v>
          </cell>
          <cell r="BK171">
            <v>0</v>
          </cell>
          <cell r="BL171">
            <v>1</v>
          </cell>
          <cell r="BM171">
            <v>0</v>
          </cell>
          <cell r="BN171">
            <v>0</v>
          </cell>
          <cell r="BO171">
            <v>0</v>
          </cell>
          <cell r="BP171">
            <v>0</v>
          </cell>
          <cell r="BQ171">
            <v>4</v>
          </cell>
          <cell r="BR171">
            <v>0</v>
          </cell>
          <cell r="BS171">
            <v>0</v>
          </cell>
          <cell r="BT171">
            <v>8</v>
          </cell>
          <cell r="BU171">
            <v>0</v>
          </cell>
        </row>
        <row r="172">
          <cell r="A172">
            <v>27</v>
          </cell>
          <cell r="B172">
            <v>27</v>
          </cell>
          <cell r="D172">
            <v>0</v>
          </cell>
          <cell r="F172">
            <v>0</v>
          </cell>
          <cell r="G172">
            <v>1</v>
          </cell>
          <cell r="I172">
            <v>1</v>
          </cell>
          <cell r="J172">
            <v>0</v>
          </cell>
          <cell r="K172">
            <v>17</v>
          </cell>
          <cell r="L172">
            <v>17</v>
          </cell>
          <cell r="M172">
            <v>3</v>
          </cell>
          <cell r="O172">
            <v>0</v>
          </cell>
          <cell r="P172">
            <v>0</v>
          </cell>
          <cell r="Q172">
            <v>0</v>
          </cell>
          <cell r="R172">
            <v>0</v>
          </cell>
          <cell r="S172">
            <v>1</v>
          </cell>
          <cell r="T172">
            <v>3</v>
          </cell>
          <cell r="V172">
            <v>0</v>
          </cell>
          <cell r="W172">
            <v>51</v>
          </cell>
          <cell r="X172">
            <v>3</v>
          </cell>
          <cell r="Y172">
            <v>1</v>
          </cell>
          <cell r="AA172">
            <v>0</v>
          </cell>
          <cell r="AB172">
            <v>0</v>
          </cell>
          <cell r="AC172">
            <v>0</v>
          </cell>
          <cell r="AD172">
            <v>0</v>
          </cell>
          <cell r="AE172">
            <v>0</v>
          </cell>
          <cell r="AF172">
            <v>0</v>
          </cell>
          <cell r="AG172">
            <v>0</v>
          </cell>
          <cell r="AH172">
            <v>1</v>
          </cell>
          <cell r="AI172">
            <v>2</v>
          </cell>
          <cell r="AK172">
            <v>0</v>
          </cell>
          <cell r="AL172">
            <v>1</v>
          </cell>
          <cell r="AN172">
            <v>3058</v>
          </cell>
          <cell r="AO172">
            <v>0</v>
          </cell>
          <cell r="AQ172">
            <v>1</v>
          </cell>
          <cell r="AR172">
            <v>16</v>
          </cell>
          <cell r="AS172">
            <v>3</v>
          </cell>
          <cell r="AT172">
            <v>4</v>
          </cell>
          <cell r="AU172">
            <v>1</v>
          </cell>
          <cell r="AV172">
            <v>6</v>
          </cell>
          <cell r="AW172">
            <v>6</v>
          </cell>
          <cell r="AX172">
            <v>3</v>
          </cell>
          <cell r="AY172">
            <v>2</v>
          </cell>
          <cell r="AZ172">
            <v>5</v>
          </cell>
          <cell r="BA172">
            <v>5</v>
          </cell>
          <cell r="BB172">
            <v>2</v>
          </cell>
          <cell r="BC172">
            <v>1</v>
          </cell>
          <cell r="BD172">
            <v>1</v>
          </cell>
          <cell r="BE172">
            <v>1</v>
          </cell>
          <cell r="BF172">
            <v>1</v>
          </cell>
          <cell r="BG172">
            <v>1</v>
          </cell>
          <cell r="BH172">
            <v>0</v>
          </cell>
          <cell r="BI172">
            <v>1</v>
          </cell>
          <cell r="BJ172">
            <v>0</v>
          </cell>
          <cell r="BK172">
            <v>0</v>
          </cell>
          <cell r="BL172">
            <v>0</v>
          </cell>
          <cell r="BM172">
            <v>0</v>
          </cell>
          <cell r="BN172">
            <v>0</v>
          </cell>
          <cell r="BO172">
            <v>1</v>
          </cell>
          <cell r="BP172">
            <v>0</v>
          </cell>
          <cell r="BQ172">
            <v>1</v>
          </cell>
          <cell r="BR172">
            <v>0</v>
          </cell>
          <cell r="BS172">
            <v>0</v>
          </cell>
          <cell r="BT172">
            <v>6</v>
          </cell>
          <cell r="BU172">
            <v>0</v>
          </cell>
        </row>
        <row r="173">
          <cell r="A173">
            <v>19</v>
          </cell>
          <cell r="B173">
            <v>19</v>
          </cell>
          <cell r="D173">
            <v>1</v>
          </cell>
          <cell r="F173">
            <v>1</v>
          </cell>
          <cell r="G173">
            <v>0</v>
          </cell>
          <cell r="I173">
            <v>0</v>
          </cell>
          <cell r="J173">
            <v>1</v>
          </cell>
          <cell r="K173">
            <v>1</v>
          </cell>
          <cell r="L173">
            <v>1</v>
          </cell>
          <cell r="M173">
            <v>1</v>
          </cell>
          <cell r="O173">
            <v>0</v>
          </cell>
          <cell r="P173">
            <v>0</v>
          </cell>
          <cell r="Q173">
            <v>0</v>
          </cell>
          <cell r="R173">
            <v>0</v>
          </cell>
          <cell r="S173">
            <v>1</v>
          </cell>
          <cell r="T173">
            <v>3</v>
          </cell>
          <cell r="V173">
            <v>1</v>
          </cell>
          <cell r="W173">
            <v>100</v>
          </cell>
          <cell r="X173">
            <v>1</v>
          </cell>
          <cell r="Y173">
            <v>1</v>
          </cell>
          <cell r="AA173">
            <v>0</v>
          </cell>
          <cell r="AB173">
            <v>0</v>
          </cell>
          <cell r="AC173">
            <v>0</v>
          </cell>
          <cell r="AD173">
            <v>0</v>
          </cell>
          <cell r="AE173">
            <v>0</v>
          </cell>
          <cell r="AF173">
            <v>0</v>
          </cell>
          <cell r="AG173">
            <v>1</v>
          </cell>
          <cell r="AH173">
            <v>0</v>
          </cell>
          <cell r="AI173">
            <v>1</v>
          </cell>
          <cell r="AK173">
            <v>1</v>
          </cell>
          <cell r="AL173">
            <v>0</v>
          </cell>
          <cell r="AN173">
            <v>2325</v>
          </cell>
          <cell r="AO173">
            <v>0</v>
          </cell>
          <cell r="AQ173">
            <v>0</v>
          </cell>
          <cell r="AR173">
            <v>21</v>
          </cell>
          <cell r="AS173">
            <v>4</v>
          </cell>
          <cell r="AT173">
            <v>1</v>
          </cell>
          <cell r="AU173">
            <v>0</v>
          </cell>
          <cell r="AV173">
            <v>1</v>
          </cell>
          <cell r="AW173">
            <v>1</v>
          </cell>
          <cell r="AX173">
            <v>5</v>
          </cell>
          <cell r="AY173">
            <v>4</v>
          </cell>
          <cell r="AZ173">
            <v>0</v>
          </cell>
          <cell r="BA173">
            <v>0</v>
          </cell>
          <cell r="BB173">
            <v>0</v>
          </cell>
          <cell r="BC173">
            <v>0</v>
          </cell>
          <cell r="BD173">
            <v>0</v>
          </cell>
          <cell r="BE173">
            <v>0</v>
          </cell>
          <cell r="BF173">
            <v>0</v>
          </cell>
          <cell r="BG173">
            <v>0</v>
          </cell>
          <cell r="BH173">
            <v>0</v>
          </cell>
          <cell r="BI173">
            <v>0</v>
          </cell>
          <cell r="BJ173">
            <v>1</v>
          </cell>
          <cell r="BK173">
            <v>0</v>
          </cell>
          <cell r="BL173">
            <v>1</v>
          </cell>
          <cell r="BM173">
            <v>0</v>
          </cell>
          <cell r="BN173">
            <v>0</v>
          </cell>
          <cell r="BO173">
            <v>0</v>
          </cell>
          <cell r="BP173">
            <v>0</v>
          </cell>
          <cell r="BQ173">
            <v>0</v>
          </cell>
          <cell r="BR173">
            <v>0</v>
          </cell>
          <cell r="BS173">
            <v>0</v>
          </cell>
          <cell r="BT173">
            <v>0</v>
          </cell>
          <cell r="BU173">
            <v>1</v>
          </cell>
        </row>
        <row r="174">
          <cell r="A174">
            <v>36</v>
          </cell>
          <cell r="B174">
            <v>36</v>
          </cell>
          <cell r="D174">
            <v>0</v>
          </cell>
          <cell r="F174">
            <v>1</v>
          </cell>
          <cell r="G174">
            <v>0</v>
          </cell>
          <cell r="I174">
            <v>1</v>
          </cell>
          <cell r="J174">
            <v>0</v>
          </cell>
          <cell r="K174">
            <v>3</v>
          </cell>
          <cell r="L174">
            <v>3</v>
          </cell>
          <cell r="M174">
            <v>2</v>
          </cell>
          <cell r="O174">
            <v>0</v>
          </cell>
          <cell r="P174">
            <v>0</v>
          </cell>
          <cell r="Q174">
            <v>1</v>
          </cell>
          <cell r="R174">
            <v>0</v>
          </cell>
          <cell r="S174">
            <v>0</v>
          </cell>
          <cell r="T174">
            <v>4</v>
          </cell>
          <cell r="V174">
            <v>0</v>
          </cell>
          <cell r="W174">
            <v>30</v>
          </cell>
          <cell r="X174">
            <v>3</v>
          </cell>
          <cell r="Y174">
            <v>1</v>
          </cell>
          <cell r="AA174">
            <v>0</v>
          </cell>
          <cell r="AB174">
            <v>0</v>
          </cell>
          <cell r="AC174">
            <v>1</v>
          </cell>
          <cell r="AD174">
            <v>0</v>
          </cell>
          <cell r="AE174">
            <v>0</v>
          </cell>
          <cell r="AF174">
            <v>0</v>
          </cell>
          <cell r="AG174">
            <v>0</v>
          </cell>
          <cell r="AH174">
            <v>0</v>
          </cell>
          <cell r="AI174">
            <v>2</v>
          </cell>
          <cell r="AK174">
            <v>1</v>
          </cell>
          <cell r="AL174">
            <v>0</v>
          </cell>
          <cell r="AN174">
            <v>2088</v>
          </cell>
          <cell r="AO174">
            <v>4</v>
          </cell>
          <cell r="AQ174">
            <v>0</v>
          </cell>
          <cell r="AR174">
            <v>12</v>
          </cell>
          <cell r="AS174">
            <v>3</v>
          </cell>
          <cell r="AT174">
            <v>3</v>
          </cell>
          <cell r="AU174">
            <v>0</v>
          </cell>
          <cell r="AV174">
            <v>13</v>
          </cell>
          <cell r="AW174">
            <v>13</v>
          </cell>
          <cell r="AX174">
            <v>3</v>
          </cell>
          <cell r="AY174">
            <v>2</v>
          </cell>
          <cell r="AZ174">
            <v>8</v>
          </cell>
          <cell r="BA174">
            <v>8</v>
          </cell>
          <cell r="BB174">
            <v>7</v>
          </cell>
          <cell r="BC174">
            <v>7</v>
          </cell>
          <cell r="BD174">
            <v>7</v>
          </cell>
          <cell r="BE174">
            <v>2</v>
          </cell>
          <cell r="BF174">
            <v>2</v>
          </cell>
          <cell r="BG174">
            <v>2</v>
          </cell>
          <cell r="BH174">
            <v>0</v>
          </cell>
          <cell r="BI174">
            <v>0</v>
          </cell>
          <cell r="BJ174">
            <v>1</v>
          </cell>
          <cell r="BK174">
            <v>0</v>
          </cell>
          <cell r="BL174">
            <v>1</v>
          </cell>
          <cell r="BM174">
            <v>0</v>
          </cell>
          <cell r="BN174">
            <v>0</v>
          </cell>
          <cell r="BO174">
            <v>0</v>
          </cell>
          <cell r="BP174">
            <v>0</v>
          </cell>
          <cell r="BQ174">
            <v>2</v>
          </cell>
          <cell r="BR174">
            <v>0</v>
          </cell>
          <cell r="BS174">
            <v>0</v>
          </cell>
          <cell r="BT174">
            <v>13</v>
          </cell>
          <cell r="BU174">
            <v>0</v>
          </cell>
        </row>
        <row r="175">
          <cell r="A175">
            <v>30</v>
          </cell>
          <cell r="B175">
            <v>30</v>
          </cell>
          <cell r="D175">
            <v>0</v>
          </cell>
          <cell r="F175">
            <v>0</v>
          </cell>
          <cell r="G175">
            <v>0</v>
          </cell>
          <cell r="I175">
            <v>1</v>
          </cell>
          <cell r="J175">
            <v>0</v>
          </cell>
          <cell r="K175">
            <v>9</v>
          </cell>
          <cell r="L175">
            <v>9</v>
          </cell>
          <cell r="M175">
            <v>3</v>
          </cell>
          <cell r="O175">
            <v>0</v>
          </cell>
          <cell r="P175">
            <v>0</v>
          </cell>
          <cell r="Q175">
            <v>1</v>
          </cell>
          <cell r="R175">
            <v>0</v>
          </cell>
          <cell r="S175">
            <v>0</v>
          </cell>
          <cell r="T175">
            <v>3</v>
          </cell>
          <cell r="V175">
            <v>0</v>
          </cell>
          <cell r="W175">
            <v>66</v>
          </cell>
          <cell r="X175">
            <v>3</v>
          </cell>
          <cell r="Y175">
            <v>2</v>
          </cell>
          <cell r="AA175">
            <v>0</v>
          </cell>
          <cell r="AB175">
            <v>0</v>
          </cell>
          <cell r="AC175">
            <v>1</v>
          </cell>
          <cell r="AD175">
            <v>0</v>
          </cell>
          <cell r="AE175">
            <v>0</v>
          </cell>
          <cell r="AF175">
            <v>0</v>
          </cell>
          <cell r="AG175">
            <v>0</v>
          </cell>
          <cell r="AH175">
            <v>0</v>
          </cell>
          <cell r="AI175">
            <v>1</v>
          </cell>
          <cell r="AK175">
            <v>0</v>
          </cell>
          <cell r="AL175">
            <v>0</v>
          </cell>
          <cell r="AN175">
            <v>3072</v>
          </cell>
          <cell r="AO175">
            <v>1</v>
          </cell>
          <cell r="AQ175">
            <v>0</v>
          </cell>
          <cell r="AR175">
            <v>11</v>
          </cell>
          <cell r="AS175">
            <v>3</v>
          </cell>
          <cell r="AT175">
            <v>3</v>
          </cell>
          <cell r="AU175">
            <v>2</v>
          </cell>
          <cell r="AV175">
            <v>12</v>
          </cell>
          <cell r="AW175">
            <v>12</v>
          </cell>
          <cell r="AX175">
            <v>4</v>
          </cell>
          <cell r="AY175">
            <v>3</v>
          </cell>
          <cell r="AZ175">
            <v>12</v>
          </cell>
          <cell r="BA175">
            <v>12</v>
          </cell>
          <cell r="BB175">
            <v>9</v>
          </cell>
          <cell r="BC175">
            <v>6</v>
          </cell>
          <cell r="BD175">
            <v>6</v>
          </cell>
          <cell r="BE175">
            <v>10</v>
          </cell>
          <cell r="BF175">
            <v>10</v>
          </cell>
          <cell r="BG175">
            <v>20</v>
          </cell>
          <cell r="BH175">
            <v>1</v>
          </cell>
          <cell r="BI175">
            <v>0</v>
          </cell>
          <cell r="BJ175">
            <v>0</v>
          </cell>
          <cell r="BK175">
            <v>0</v>
          </cell>
          <cell r="BL175">
            <v>1</v>
          </cell>
          <cell r="BM175">
            <v>0</v>
          </cell>
          <cell r="BN175">
            <v>0</v>
          </cell>
          <cell r="BO175">
            <v>0</v>
          </cell>
          <cell r="BP175">
            <v>0</v>
          </cell>
          <cell r="BQ175">
            <v>10</v>
          </cell>
          <cell r="BR175">
            <v>0</v>
          </cell>
          <cell r="BS175">
            <v>0</v>
          </cell>
          <cell r="BT175">
            <v>12</v>
          </cell>
          <cell r="BU175">
            <v>0</v>
          </cell>
        </row>
        <row r="176">
          <cell r="A176">
            <v>45</v>
          </cell>
          <cell r="B176">
            <v>45</v>
          </cell>
          <cell r="D176">
            <v>0</v>
          </cell>
          <cell r="F176">
            <v>0</v>
          </cell>
          <cell r="G176">
            <v>1</v>
          </cell>
          <cell r="I176">
            <v>0</v>
          </cell>
          <cell r="J176">
            <v>1</v>
          </cell>
          <cell r="K176">
            <v>4</v>
          </cell>
          <cell r="L176">
            <v>4</v>
          </cell>
          <cell r="M176">
            <v>2</v>
          </cell>
          <cell r="O176">
            <v>1</v>
          </cell>
          <cell r="P176">
            <v>0</v>
          </cell>
          <cell r="Q176">
            <v>0</v>
          </cell>
          <cell r="R176">
            <v>0</v>
          </cell>
          <cell r="S176">
            <v>0</v>
          </cell>
          <cell r="T176">
            <v>3</v>
          </cell>
          <cell r="V176">
            <v>1</v>
          </cell>
          <cell r="W176">
            <v>30</v>
          </cell>
          <cell r="X176">
            <v>3</v>
          </cell>
          <cell r="Y176">
            <v>2</v>
          </cell>
          <cell r="AA176">
            <v>0</v>
          </cell>
          <cell r="AB176">
            <v>1</v>
          </cell>
          <cell r="AC176">
            <v>0</v>
          </cell>
          <cell r="AD176">
            <v>0</v>
          </cell>
          <cell r="AE176">
            <v>0</v>
          </cell>
          <cell r="AF176">
            <v>0</v>
          </cell>
          <cell r="AG176">
            <v>0</v>
          </cell>
          <cell r="AH176">
            <v>0</v>
          </cell>
          <cell r="AI176">
            <v>1</v>
          </cell>
          <cell r="AK176">
            <v>0</v>
          </cell>
          <cell r="AL176">
            <v>0</v>
          </cell>
          <cell r="AN176">
            <v>5006</v>
          </cell>
          <cell r="AO176">
            <v>4</v>
          </cell>
          <cell r="AQ176">
            <v>1</v>
          </cell>
          <cell r="AR176">
            <v>11</v>
          </cell>
          <cell r="AS176">
            <v>3</v>
          </cell>
          <cell r="AT176">
            <v>1</v>
          </cell>
          <cell r="AU176">
            <v>1</v>
          </cell>
          <cell r="AV176">
            <v>9</v>
          </cell>
          <cell r="AW176">
            <v>9</v>
          </cell>
          <cell r="AX176">
            <v>3</v>
          </cell>
          <cell r="AY176">
            <v>4</v>
          </cell>
          <cell r="AZ176">
            <v>5</v>
          </cell>
          <cell r="BA176">
            <v>5</v>
          </cell>
          <cell r="BB176">
            <v>4</v>
          </cell>
          <cell r="BC176">
            <v>0</v>
          </cell>
          <cell r="BD176">
            <v>0</v>
          </cell>
          <cell r="BE176">
            <v>3</v>
          </cell>
          <cell r="BF176">
            <v>3</v>
          </cell>
          <cell r="BG176">
            <v>6</v>
          </cell>
          <cell r="BH176">
            <v>1</v>
          </cell>
          <cell r="BI176">
            <v>0</v>
          </cell>
          <cell r="BJ176">
            <v>0</v>
          </cell>
          <cell r="BK176">
            <v>0</v>
          </cell>
          <cell r="BL176">
            <v>0</v>
          </cell>
          <cell r="BM176">
            <v>1</v>
          </cell>
          <cell r="BN176">
            <v>0</v>
          </cell>
          <cell r="BO176">
            <v>0</v>
          </cell>
          <cell r="BP176">
            <v>0</v>
          </cell>
          <cell r="BQ176">
            <v>0</v>
          </cell>
          <cell r="BR176">
            <v>3</v>
          </cell>
          <cell r="BS176">
            <v>0</v>
          </cell>
          <cell r="BT176">
            <v>0</v>
          </cell>
          <cell r="BU176">
            <v>9</v>
          </cell>
        </row>
        <row r="177">
          <cell r="A177">
            <v>56</v>
          </cell>
          <cell r="B177">
            <v>56</v>
          </cell>
          <cell r="D177">
            <v>0</v>
          </cell>
          <cell r="F177">
            <v>0</v>
          </cell>
          <cell r="G177">
            <v>1</v>
          </cell>
          <cell r="I177">
            <v>1</v>
          </cell>
          <cell r="J177">
            <v>0</v>
          </cell>
          <cell r="K177">
            <v>8</v>
          </cell>
          <cell r="L177">
            <v>8</v>
          </cell>
          <cell r="M177">
            <v>3</v>
          </cell>
          <cell r="O177">
            <v>1</v>
          </cell>
          <cell r="P177">
            <v>0</v>
          </cell>
          <cell r="Q177">
            <v>0</v>
          </cell>
          <cell r="R177">
            <v>0</v>
          </cell>
          <cell r="S177">
            <v>0</v>
          </cell>
          <cell r="T177">
            <v>3</v>
          </cell>
          <cell r="V177">
            <v>1</v>
          </cell>
          <cell r="W177">
            <v>67</v>
          </cell>
          <cell r="X177">
            <v>3</v>
          </cell>
          <cell r="Y177">
            <v>1</v>
          </cell>
          <cell r="AA177">
            <v>0</v>
          </cell>
          <cell r="AB177">
            <v>0</v>
          </cell>
          <cell r="AC177">
            <v>0</v>
          </cell>
          <cell r="AD177">
            <v>0</v>
          </cell>
          <cell r="AE177">
            <v>0</v>
          </cell>
          <cell r="AF177">
            <v>0</v>
          </cell>
          <cell r="AG177">
            <v>0</v>
          </cell>
          <cell r="AH177">
            <v>1</v>
          </cell>
          <cell r="AI177">
            <v>1</v>
          </cell>
          <cell r="AK177">
            <v>0</v>
          </cell>
          <cell r="AL177">
            <v>0</v>
          </cell>
          <cell r="AN177">
            <v>4257</v>
          </cell>
          <cell r="AO177">
            <v>4</v>
          </cell>
          <cell r="AQ177">
            <v>1</v>
          </cell>
          <cell r="AR177">
            <v>18</v>
          </cell>
          <cell r="AS177">
            <v>3</v>
          </cell>
          <cell r="AT177">
            <v>3</v>
          </cell>
          <cell r="AU177">
            <v>1</v>
          </cell>
          <cell r="AV177">
            <v>19</v>
          </cell>
          <cell r="AW177">
            <v>19</v>
          </cell>
          <cell r="AX177">
            <v>3</v>
          </cell>
          <cell r="AY177">
            <v>3</v>
          </cell>
          <cell r="AZ177">
            <v>2</v>
          </cell>
          <cell r="BA177">
            <v>2</v>
          </cell>
          <cell r="BB177">
            <v>2</v>
          </cell>
          <cell r="BC177">
            <v>2</v>
          </cell>
          <cell r="BD177">
            <v>2</v>
          </cell>
          <cell r="BE177">
            <v>2</v>
          </cell>
          <cell r="BF177">
            <v>2</v>
          </cell>
          <cell r="BG177">
            <v>2</v>
          </cell>
          <cell r="BH177">
            <v>1</v>
          </cell>
          <cell r="BI177">
            <v>0</v>
          </cell>
          <cell r="BJ177">
            <v>0</v>
          </cell>
          <cell r="BK177">
            <v>0</v>
          </cell>
          <cell r="BL177">
            <v>0</v>
          </cell>
          <cell r="BM177">
            <v>1</v>
          </cell>
          <cell r="BN177">
            <v>0</v>
          </cell>
          <cell r="BO177">
            <v>0</v>
          </cell>
          <cell r="BP177">
            <v>0</v>
          </cell>
          <cell r="BQ177">
            <v>2</v>
          </cell>
          <cell r="BR177">
            <v>0</v>
          </cell>
          <cell r="BS177">
            <v>0</v>
          </cell>
          <cell r="BT177">
            <v>19</v>
          </cell>
          <cell r="BU177">
            <v>0</v>
          </cell>
        </row>
        <row r="178">
          <cell r="A178">
            <v>33</v>
          </cell>
          <cell r="B178">
            <v>33</v>
          </cell>
          <cell r="D178">
            <v>0</v>
          </cell>
          <cell r="F178">
            <v>0</v>
          </cell>
          <cell r="G178">
            <v>1</v>
          </cell>
          <cell r="I178">
            <v>1</v>
          </cell>
          <cell r="J178">
            <v>0</v>
          </cell>
          <cell r="K178">
            <v>2</v>
          </cell>
          <cell r="L178">
            <v>2</v>
          </cell>
          <cell r="M178">
            <v>3</v>
          </cell>
          <cell r="O178">
            <v>1</v>
          </cell>
          <cell r="P178">
            <v>0</v>
          </cell>
          <cell r="Q178">
            <v>0</v>
          </cell>
          <cell r="R178">
            <v>0</v>
          </cell>
          <cell r="S178">
            <v>0</v>
          </cell>
          <cell r="T178">
            <v>3</v>
          </cell>
          <cell r="V178">
            <v>0</v>
          </cell>
          <cell r="W178">
            <v>90</v>
          </cell>
          <cell r="X178">
            <v>3</v>
          </cell>
          <cell r="Y178">
            <v>1</v>
          </cell>
          <cell r="AA178">
            <v>0</v>
          </cell>
          <cell r="AB178">
            <v>0</v>
          </cell>
          <cell r="AC178">
            <v>0</v>
          </cell>
          <cell r="AD178">
            <v>0</v>
          </cell>
          <cell r="AE178">
            <v>0</v>
          </cell>
          <cell r="AF178">
            <v>0</v>
          </cell>
          <cell r="AG178">
            <v>0</v>
          </cell>
          <cell r="AH178">
            <v>1</v>
          </cell>
          <cell r="AI178">
            <v>4</v>
          </cell>
          <cell r="AK178">
            <v>1</v>
          </cell>
          <cell r="AL178">
            <v>0</v>
          </cell>
          <cell r="AN178">
            <v>2500</v>
          </cell>
          <cell r="AO178">
            <v>0</v>
          </cell>
          <cell r="AQ178">
            <v>0</v>
          </cell>
          <cell r="AR178">
            <v>14</v>
          </cell>
          <cell r="AS178">
            <v>3</v>
          </cell>
          <cell r="AT178">
            <v>1</v>
          </cell>
          <cell r="AU178">
            <v>0</v>
          </cell>
          <cell r="AV178">
            <v>4</v>
          </cell>
          <cell r="AW178">
            <v>4</v>
          </cell>
          <cell r="AX178">
            <v>2</v>
          </cell>
          <cell r="AY178">
            <v>4</v>
          </cell>
          <cell r="AZ178">
            <v>3</v>
          </cell>
          <cell r="BA178">
            <v>3</v>
          </cell>
          <cell r="BB178">
            <v>1</v>
          </cell>
          <cell r="BC178">
            <v>0</v>
          </cell>
          <cell r="BD178">
            <v>0</v>
          </cell>
          <cell r="BE178">
            <v>2</v>
          </cell>
          <cell r="BF178">
            <v>2</v>
          </cell>
          <cell r="BG178">
            <v>2</v>
          </cell>
          <cell r="BH178">
            <v>1</v>
          </cell>
          <cell r="BI178">
            <v>0</v>
          </cell>
          <cell r="BJ178">
            <v>0</v>
          </cell>
          <cell r="BK178">
            <v>0</v>
          </cell>
          <cell r="BL178">
            <v>1</v>
          </cell>
          <cell r="BM178">
            <v>0</v>
          </cell>
          <cell r="BN178">
            <v>0</v>
          </cell>
          <cell r="BO178">
            <v>0</v>
          </cell>
          <cell r="BP178">
            <v>0</v>
          </cell>
          <cell r="BQ178">
            <v>2</v>
          </cell>
          <cell r="BR178">
            <v>0</v>
          </cell>
          <cell r="BS178">
            <v>0</v>
          </cell>
          <cell r="BT178">
            <v>4</v>
          </cell>
          <cell r="BU178">
            <v>0</v>
          </cell>
        </row>
        <row r="179">
          <cell r="A179">
            <v>19</v>
          </cell>
          <cell r="B179">
            <v>19</v>
          </cell>
          <cell r="D179">
            <v>1</v>
          </cell>
          <cell r="F179">
            <v>0</v>
          </cell>
          <cell r="G179">
            <v>1</v>
          </cell>
          <cell r="I179">
            <v>1</v>
          </cell>
          <cell r="J179">
            <v>0</v>
          </cell>
          <cell r="K179">
            <v>2</v>
          </cell>
          <cell r="L179">
            <v>2</v>
          </cell>
          <cell r="M179">
            <v>3</v>
          </cell>
          <cell r="O179">
            <v>1</v>
          </cell>
          <cell r="P179">
            <v>0</v>
          </cell>
          <cell r="Q179">
            <v>0</v>
          </cell>
          <cell r="R179">
            <v>0</v>
          </cell>
          <cell r="S179">
            <v>0</v>
          </cell>
          <cell r="T179">
            <v>2</v>
          </cell>
          <cell r="V179">
            <v>0</v>
          </cell>
          <cell r="W179">
            <v>47</v>
          </cell>
          <cell r="X179">
            <v>2</v>
          </cell>
          <cell r="Y179">
            <v>1</v>
          </cell>
          <cell r="AA179">
            <v>0</v>
          </cell>
          <cell r="AB179">
            <v>0</v>
          </cell>
          <cell r="AC179">
            <v>1</v>
          </cell>
          <cell r="AD179">
            <v>0</v>
          </cell>
          <cell r="AE179">
            <v>0</v>
          </cell>
          <cell r="AF179">
            <v>0</v>
          </cell>
          <cell r="AG179">
            <v>0</v>
          </cell>
          <cell r="AH179">
            <v>0</v>
          </cell>
          <cell r="AI179">
            <v>4</v>
          </cell>
          <cell r="AK179">
            <v>1</v>
          </cell>
          <cell r="AL179">
            <v>0</v>
          </cell>
          <cell r="AN179">
            <v>1382.46</v>
          </cell>
          <cell r="AO179">
            <v>1</v>
          </cell>
          <cell r="AQ179">
            <v>0</v>
          </cell>
          <cell r="AR179">
            <v>22</v>
          </cell>
          <cell r="AS179">
            <v>4</v>
          </cell>
          <cell r="AT179">
            <v>3</v>
          </cell>
          <cell r="AU179">
            <v>0</v>
          </cell>
          <cell r="AV179">
            <v>1</v>
          </cell>
          <cell r="AW179">
            <v>1</v>
          </cell>
          <cell r="AX179">
            <v>3</v>
          </cell>
          <cell r="AY179">
            <v>2</v>
          </cell>
          <cell r="AZ179">
            <v>1</v>
          </cell>
          <cell r="BA179">
            <v>1</v>
          </cell>
          <cell r="BB179">
            <v>0</v>
          </cell>
          <cell r="BC179">
            <v>1</v>
          </cell>
          <cell r="BD179">
            <v>1</v>
          </cell>
          <cell r="BE179">
            <v>0</v>
          </cell>
          <cell r="BF179">
            <v>0</v>
          </cell>
          <cell r="BG179">
            <v>0</v>
          </cell>
          <cell r="BH179">
            <v>1</v>
          </cell>
          <cell r="BI179">
            <v>0</v>
          </cell>
          <cell r="BJ179">
            <v>0</v>
          </cell>
          <cell r="BK179">
            <v>0</v>
          </cell>
          <cell r="BL179">
            <v>1</v>
          </cell>
          <cell r="BM179">
            <v>0</v>
          </cell>
          <cell r="BN179">
            <v>0</v>
          </cell>
          <cell r="BO179">
            <v>0</v>
          </cell>
          <cell r="BP179">
            <v>0</v>
          </cell>
          <cell r="BQ179">
            <v>0</v>
          </cell>
          <cell r="BR179">
            <v>0</v>
          </cell>
          <cell r="BS179">
            <v>0</v>
          </cell>
          <cell r="BT179">
            <v>1</v>
          </cell>
          <cell r="BU179">
            <v>0</v>
          </cell>
        </row>
        <row r="180">
          <cell r="A180">
            <v>46</v>
          </cell>
          <cell r="B180">
            <v>46</v>
          </cell>
          <cell r="D180">
            <v>0</v>
          </cell>
          <cell r="F180">
            <v>0</v>
          </cell>
          <cell r="G180">
            <v>1</v>
          </cell>
          <cell r="I180">
            <v>0</v>
          </cell>
          <cell r="J180">
            <v>1</v>
          </cell>
          <cell r="K180">
            <v>1</v>
          </cell>
          <cell r="L180">
            <v>1</v>
          </cell>
          <cell r="M180">
            <v>2</v>
          </cell>
          <cell r="O180">
            <v>0</v>
          </cell>
          <cell r="P180">
            <v>0</v>
          </cell>
          <cell r="Q180">
            <v>0</v>
          </cell>
          <cell r="R180">
            <v>1</v>
          </cell>
          <cell r="S180">
            <v>0</v>
          </cell>
          <cell r="T180">
            <v>2</v>
          </cell>
          <cell r="V180">
            <v>1</v>
          </cell>
          <cell r="W180">
            <v>92</v>
          </cell>
          <cell r="X180">
            <v>3</v>
          </cell>
          <cell r="Y180">
            <v>3</v>
          </cell>
          <cell r="AA180">
            <v>0</v>
          </cell>
          <cell r="AB180">
            <v>1</v>
          </cell>
          <cell r="AC180">
            <v>0</v>
          </cell>
          <cell r="AD180">
            <v>0</v>
          </cell>
          <cell r="AE180">
            <v>0</v>
          </cell>
          <cell r="AF180">
            <v>0</v>
          </cell>
          <cell r="AG180">
            <v>0</v>
          </cell>
          <cell r="AH180">
            <v>0</v>
          </cell>
          <cell r="AI180">
            <v>1</v>
          </cell>
          <cell r="AK180">
            <v>0</v>
          </cell>
          <cell r="AL180">
            <v>0</v>
          </cell>
          <cell r="AN180">
            <v>10453</v>
          </cell>
          <cell r="AO180">
            <v>1</v>
          </cell>
          <cell r="AQ180">
            <v>0</v>
          </cell>
          <cell r="AR180">
            <v>25</v>
          </cell>
          <cell r="AS180">
            <v>4</v>
          </cell>
          <cell r="AT180">
            <v>3</v>
          </cell>
          <cell r="AU180">
            <v>3</v>
          </cell>
          <cell r="AV180">
            <v>24</v>
          </cell>
          <cell r="AW180">
            <v>24</v>
          </cell>
          <cell r="AX180">
            <v>2</v>
          </cell>
          <cell r="AY180">
            <v>3</v>
          </cell>
          <cell r="AZ180">
            <v>24</v>
          </cell>
          <cell r="BA180">
            <v>24</v>
          </cell>
          <cell r="BB180">
            <v>13</v>
          </cell>
          <cell r="BC180">
            <v>15</v>
          </cell>
          <cell r="BD180">
            <v>14</v>
          </cell>
          <cell r="BE180">
            <v>7</v>
          </cell>
          <cell r="BF180">
            <v>7</v>
          </cell>
          <cell r="BG180">
            <v>21</v>
          </cell>
          <cell r="BH180">
            <v>1</v>
          </cell>
          <cell r="BI180">
            <v>0</v>
          </cell>
          <cell r="BJ180">
            <v>0</v>
          </cell>
          <cell r="BK180">
            <v>0</v>
          </cell>
          <cell r="BL180">
            <v>1</v>
          </cell>
          <cell r="BM180">
            <v>0</v>
          </cell>
          <cell r="BN180">
            <v>0</v>
          </cell>
          <cell r="BO180">
            <v>0</v>
          </cell>
          <cell r="BP180">
            <v>0</v>
          </cell>
          <cell r="BQ180">
            <v>0</v>
          </cell>
          <cell r="BR180">
            <v>7</v>
          </cell>
          <cell r="BS180">
            <v>0</v>
          </cell>
          <cell r="BT180">
            <v>0</v>
          </cell>
          <cell r="BU180">
            <v>24</v>
          </cell>
        </row>
        <row r="181">
          <cell r="A181">
            <v>38</v>
          </cell>
          <cell r="B181">
            <v>38</v>
          </cell>
          <cell r="D181">
            <v>0</v>
          </cell>
          <cell r="F181">
            <v>0</v>
          </cell>
          <cell r="G181">
            <v>1</v>
          </cell>
          <cell r="I181">
            <v>1</v>
          </cell>
          <cell r="J181">
            <v>0</v>
          </cell>
          <cell r="K181">
            <v>9</v>
          </cell>
          <cell r="L181">
            <v>9</v>
          </cell>
          <cell r="M181">
            <v>2</v>
          </cell>
          <cell r="O181">
            <v>1</v>
          </cell>
          <cell r="P181">
            <v>0</v>
          </cell>
          <cell r="Q181">
            <v>0</v>
          </cell>
          <cell r="R181">
            <v>0</v>
          </cell>
          <cell r="S181">
            <v>0</v>
          </cell>
          <cell r="T181">
            <v>3</v>
          </cell>
          <cell r="V181">
            <v>1</v>
          </cell>
          <cell r="W181">
            <v>75</v>
          </cell>
          <cell r="X181">
            <v>3</v>
          </cell>
          <cell r="Y181">
            <v>1</v>
          </cell>
          <cell r="AA181">
            <v>0</v>
          </cell>
          <cell r="AB181">
            <v>0</v>
          </cell>
          <cell r="AC181">
            <v>1</v>
          </cell>
          <cell r="AD181">
            <v>0</v>
          </cell>
          <cell r="AE181">
            <v>0</v>
          </cell>
          <cell r="AF181">
            <v>0</v>
          </cell>
          <cell r="AG181">
            <v>0</v>
          </cell>
          <cell r="AH181">
            <v>0</v>
          </cell>
          <cell r="AI181">
            <v>4</v>
          </cell>
          <cell r="AK181">
            <v>1</v>
          </cell>
          <cell r="AL181">
            <v>0</v>
          </cell>
          <cell r="AN181">
            <v>2288</v>
          </cell>
          <cell r="AO181">
            <v>1</v>
          </cell>
          <cell r="AQ181">
            <v>0</v>
          </cell>
          <cell r="AR181">
            <v>12</v>
          </cell>
          <cell r="AS181">
            <v>3</v>
          </cell>
          <cell r="AT181">
            <v>3</v>
          </cell>
          <cell r="AU181">
            <v>0</v>
          </cell>
          <cell r="AV181">
            <v>2</v>
          </cell>
          <cell r="AW181">
            <v>2</v>
          </cell>
          <cell r="AX181">
            <v>3</v>
          </cell>
          <cell r="AY181">
            <v>3</v>
          </cell>
          <cell r="AZ181">
            <v>2</v>
          </cell>
          <cell r="BA181">
            <v>2</v>
          </cell>
          <cell r="BB181">
            <v>2</v>
          </cell>
          <cell r="BC181">
            <v>2</v>
          </cell>
          <cell r="BD181">
            <v>2</v>
          </cell>
          <cell r="BE181">
            <v>1</v>
          </cell>
          <cell r="BF181">
            <v>1</v>
          </cell>
          <cell r="BG181">
            <v>1</v>
          </cell>
          <cell r="BH181">
            <v>1</v>
          </cell>
          <cell r="BI181">
            <v>0</v>
          </cell>
          <cell r="BJ181">
            <v>0</v>
          </cell>
          <cell r="BK181">
            <v>0</v>
          </cell>
          <cell r="BL181">
            <v>1</v>
          </cell>
          <cell r="BM181">
            <v>0</v>
          </cell>
          <cell r="BN181">
            <v>0</v>
          </cell>
          <cell r="BO181">
            <v>0</v>
          </cell>
          <cell r="BP181">
            <v>0</v>
          </cell>
          <cell r="BQ181">
            <v>1</v>
          </cell>
          <cell r="BR181">
            <v>0</v>
          </cell>
          <cell r="BS181">
            <v>0</v>
          </cell>
          <cell r="BT181">
            <v>2</v>
          </cell>
          <cell r="BU181">
            <v>0</v>
          </cell>
        </row>
        <row r="182">
          <cell r="A182">
            <v>31</v>
          </cell>
          <cell r="B182">
            <v>31</v>
          </cell>
          <cell r="D182">
            <v>0</v>
          </cell>
          <cell r="F182">
            <v>0</v>
          </cell>
          <cell r="G182">
            <v>1</v>
          </cell>
          <cell r="I182">
            <v>1</v>
          </cell>
          <cell r="J182">
            <v>0</v>
          </cell>
          <cell r="K182">
            <v>12</v>
          </cell>
          <cell r="L182">
            <v>12</v>
          </cell>
          <cell r="M182">
            <v>1</v>
          </cell>
          <cell r="O182">
            <v>0</v>
          </cell>
          <cell r="P182">
            <v>0</v>
          </cell>
          <cell r="Q182">
            <v>1</v>
          </cell>
          <cell r="R182">
            <v>0</v>
          </cell>
          <cell r="S182">
            <v>0</v>
          </cell>
          <cell r="T182">
            <v>3</v>
          </cell>
          <cell r="V182">
            <v>1</v>
          </cell>
          <cell r="W182">
            <v>95</v>
          </cell>
          <cell r="X182">
            <v>3</v>
          </cell>
          <cell r="Y182">
            <v>1</v>
          </cell>
          <cell r="AA182">
            <v>0</v>
          </cell>
          <cell r="AB182">
            <v>0</v>
          </cell>
          <cell r="AC182">
            <v>0</v>
          </cell>
          <cell r="AD182">
            <v>0</v>
          </cell>
          <cell r="AE182">
            <v>0</v>
          </cell>
          <cell r="AF182">
            <v>0</v>
          </cell>
          <cell r="AG182">
            <v>0</v>
          </cell>
          <cell r="AH182">
            <v>1</v>
          </cell>
          <cell r="AI182">
            <v>4</v>
          </cell>
          <cell r="AK182">
            <v>0</v>
          </cell>
          <cell r="AL182">
            <v>1</v>
          </cell>
          <cell r="AN182">
            <v>3929</v>
          </cell>
          <cell r="AO182">
            <v>8</v>
          </cell>
          <cell r="AQ182">
            <v>1</v>
          </cell>
          <cell r="AR182">
            <v>23</v>
          </cell>
          <cell r="AS182">
            <v>4</v>
          </cell>
          <cell r="AT182">
            <v>3</v>
          </cell>
          <cell r="AU182">
            <v>1</v>
          </cell>
          <cell r="AV182">
            <v>7</v>
          </cell>
          <cell r="AW182">
            <v>7</v>
          </cell>
          <cell r="AX182">
            <v>0</v>
          </cell>
          <cell r="AY182">
            <v>3</v>
          </cell>
          <cell r="AZ182">
            <v>4</v>
          </cell>
          <cell r="BA182">
            <v>4</v>
          </cell>
          <cell r="BB182">
            <v>2</v>
          </cell>
          <cell r="BC182">
            <v>0</v>
          </cell>
          <cell r="BD182">
            <v>0</v>
          </cell>
          <cell r="BE182">
            <v>2</v>
          </cell>
          <cell r="BF182">
            <v>2</v>
          </cell>
          <cell r="BG182">
            <v>2</v>
          </cell>
          <cell r="BH182">
            <v>0</v>
          </cell>
          <cell r="BI182">
            <v>1</v>
          </cell>
          <cell r="BJ182">
            <v>0</v>
          </cell>
          <cell r="BK182">
            <v>0</v>
          </cell>
          <cell r="BL182">
            <v>0</v>
          </cell>
          <cell r="BM182">
            <v>0</v>
          </cell>
          <cell r="BN182">
            <v>0</v>
          </cell>
          <cell r="BO182">
            <v>1</v>
          </cell>
          <cell r="BP182">
            <v>0</v>
          </cell>
          <cell r="BQ182">
            <v>2</v>
          </cell>
          <cell r="BR182">
            <v>0</v>
          </cell>
          <cell r="BS182">
            <v>0</v>
          </cell>
          <cell r="BT182">
            <v>7</v>
          </cell>
          <cell r="BU182">
            <v>0</v>
          </cell>
        </row>
        <row r="183">
          <cell r="A183">
            <v>34</v>
          </cell>
          <cell r="B183">
            <v>34</v>
          </cell>
          <cell r="D183">
            <v>0</v>
          </cell>
          <cell r="F183">
            <v>0</v>
          </cell>
          <cell r="G183">
            <v>1</v>
          </cell>
          <cell r="I183">
            <v>1</v>
          </cell>
          <cell r="J183">
            <v>0</v>
          </cell>
          <cell r="K183">
            <v>27</v>
          </cell>
          <cell r="L183">
            <v>27</v>
          </cell>
          <cell r="M183">
            <v>2</v>
          </cell>
          <cell r="O183">
            <v>0</v>
          </cell>
          <cell r="P183">
            <v>0</v>
          </cell>
          <cell r="Q183">
            <v>1</v>
          </cell>
          <cell r="R183">
            <v>0</v>
          </cell>
          <cell r="S183">
            <v>0</v>
          </cell>
          <cell r="T183">
            <v>4</v>
          </cell>
          <cell r="V183">
            <v>1</v>
          </cell>
          <cell r="W183">
            <v>95</v>
          </cell>
          <cell r="X183">
            <v>3</v>
          </cell>
          <cell r="Y183">
            <v>1</v>
          </cell>
          <cell r="AA183">
            <v>0</v>
          </cell>
          <cell r="AB183">
            <v>0</v>
          </cell>
          <cell r="AC183">
            <v>0</v>
          </cell>
          <cell r="AD183">
            <v>0</v>
          </cell>
          <cell r="AE183">
            <v>0</v>
          </cell>
          <cell r="AF183">
            <v>0</v>
          </cell>
          <cell r="AG183">
            <v>0</v>
          </cell>
          <cell r="AH183">
            <v>1</v>
          </cell>
          <cell r="AI183">
            <v>2</v>
          </cell>
          <cell r="AK183">
            <v>1</v>
          </cell>
          <cell r="AL183">
            <v>0</v>
          </cell>
          <cell r="AN183">
            <v>2311</v>
          </cell>
          <cell r="AO183">
            <v>2</v>
          </cell>
          <cell r="AQ183">
            <v>0</v>
          </cell>
          <cell r="AR183">
            <v>15</v>
          </cell>
          <cell r="AS183">
            <v>3</v>
          </cell>
          <cell r="AT183">
            <v>4</v>
          </cell>
          <cell r="AU183">
            <v>0</v>
          </cell>
          <cell r="AV183">
            <v>9</v>
          </cell>
          <cell r="AW183">
            <v>9</v>
          </cell>
          <cell r="AX183">
            <v>3</v>
          </cell>
          <cell r="AY183">
            <v>3</v>
          </cell>
          <cell r="AZ183">
            <v>3</v>
          </cell>
          <cell r="BA183">
            <v>3</v>
          </cell>
          <cell r="BB183">
            <v>2</v>
          </cell>
          <cell r="BC183">
            <v>1</v>
          </cell>
          <cell r="BD183">
            <v>1</v>
          </cell>
          <cell r="BE183">
            <v>2</v>
          </cell>
          <cell r="BF183">
            <v>2</v>
          </cell>
          <cell r="BG183">
            <v>2</v>
          </cell>
          <cell r="BH183">
            <v>1</v>
          </cell>
          <cell r="BI183">
            <v>0</v>
          </cell>
          <cell r="BJ183">
            <v>0</v>
          </cell>
          <cell r="BK183">
            <v>0</v>
          </cell>
          <cell r="BL183">
            <v>1</v>
          </cell>
          <cell r="BM183">
            <v>0</v>
          </cell>
          <cell r="BN183">
            <v>0</v>
          </cell>
          <cell r="BO183">
            <v>0</v>
          </cell>
          <cell r="BP183">
            <v>0</v>
          </cell>
          <cell r="BQ183">
            <v>2</v>
          </cell>
          <cell r="BR183">
            <v>0</v>
          </cell>
          <cell r="BS183">
            <v>0</v>
          </cell>
          <cell r="BT183">
            <v>9</v>
          </cell>
          <cell r="BU183">
            <v>0</v>
          </cell>
        </row>
        <row r="184">
          <cell r="A184">
            <v>41</v>
          </cell>
          <cell r="B184">
            <v>41</v>
          </cell>
          <cell r="D184">
            <v>1</v>
          </cell>
          <cell r="F184">
            <v>0</v>
          </cell>
          <cell r="G184">
            <v>1</v>
          </cell>
          <cell r="I184">
            <v>0</v>
          </cell>
          <cell r="J184">
            <v>1</v>
          </cell>
          <cell r="K184">
            <v>20</v>
          </cell>
          <cell r="L184">
            <v>20</v>
          </cell>
          <cell r="M184">
            <v>2</v>
          </cell>
          <cell r="O184">
            <v>0</v>
          </cell>
          <cell r="P184">
            <v>0</v>
          </cell>
          <cell r="Q184">
            <v>0</v>
          </cell>
          <cell r="R184">
            <v>1</v>
          </cell>
          <cell r="S184">
            <v>0</v>
          </cell>
          <cell r="T184">
            <v>2</v>
          </cell>
          <cell r="V184">
            <v>1</v>
          </cell>
          <cell r="W184">
            <v>70</v>
          </cell>
          <cell r="X184">
            <v>3</v>
          </cell>
          <cell r="Y184">
            <v>1</v>
          </cell>
          <cell r="AA184">
            <v>0</v>
          </cell>
          <cell r="AB184">
            <v>0</v>
          </cell>
          <cell r="AC184">
            <v>0</v>
          </cell>
          <cell r="AD184">
            <v>0</v>
          </cell>
          <cell r="AE184">
            <v>0</v>
          </cell>
          <cell r="AF184">
            <v>0</v>
          </cell>
          <cell r="AG184">
            <v>1</v>
          </cell>
          <cell r="AH184">
            <v>0</v>
          </cell>
          <cell r="AI184">
            <v>2</v>
          </cell>
          <cell r="AK184">
            <v>1</v>
          </cell>
          <cell r="AL184">
            <v>0</v>
          </cell>
          <cell r="AN184">
            <v>3140</v>
          </cell>
          <cell r="AO184">
            <v>1</v>
          </cell>
          <cell r="AQ184">
            <v>1</v>
          </cell>
          <cell r="AR184">
            <v>22</v>
          </cell>
          <cell r="AS184">
            <v>4</v>
          </cell>
          <cell r="AT184">
            <v>4</v>
          </cell>
          <cell r="AU184">
            <v>0</v>
          </cell>
          <cell r="AV184">
            <v>4</v>
          </cell>
          <cell r="AW184">
            <v>4</v>
          </cell>
          <cell r="AX184">
            <v>5</v>
          </cell>
          <cell r="AY184">
            <v>2</v>
          </cell>
          <cell r="AZ184">
            <v>4</v>
          </cell>
          <cell r="BA184">
            <v>4</v>
          </cell>
          <cell r="BB184">
            <v>3</v>
          </cell>
          <cell r="BC184">
            <v>0</v>
          </cell>
          <cell r="BD184">
            <v>0</v>
          </cell>
          <cell r="BE184">
            <v>2</v>
          </cell>
          <cell r="BF184">
            <v>2</v>
          </cell>
          <cell r="BG184">
            <v>2</v>
          </cell>
          <cell r="BH184">
            <v>1</v>
          </cell>
          <cell r="BI184">
            <v>0</v>
          </cell>
          <cell r="BJ184">
            <v>0</v>
          </cell>
          <cell r="BK184">
            <v>0</v>
          </cell>
          <cell r="BL184">
            <v>0</v>
          </cell>
          <cell r="BM184">
            <v>1</v>
          </cell>
          <cell r="BN184">
            <v>0</v>
          </cell>
          <cell r="BO184">
            <v>0</v>
          </cell>
          <cell r="BP184">
            <v>0</v>
          </cell>
          <cell r="BQ184">
            <v>0</v>
          </cell>
          <cell r="BR184">
            <v>2</v>
          </cell>
          <cell r="BS184">
            <v>0</v>
          </cell>
          <cell r="BT184">
            <v>0</v>
          </cell>
          <cell r="BU184">
            <v>4</v>
          </cell>
        </row>
        <row r="185">
          <cell r="A185">
            <v>50</v>
          </cell>
          <cell r="B185">
            <v>50</v>
          </cell>
          <cell r="D185">
            <v>0</v>
          </cell>
          <cell r="F185">
            <v>0</v>
          </cell>
          <cell r="G185">
            <v>1</v>
          </cell>
          <cell r="I185">
            <v>1</v>
          </cell>
          <cell r="J185">
            <v>0</v>
          </cell>
          <cell r="K185">
            <v>1</v>
          </cell>
          <cell r="L185">
            <v>1</v>
          </cell>
          <cell r="M185">
            <v>3</v>
          </cell>
          <cell r="O185">
            <v>0</v>
          </cell>
          <cell r="P185">
            <v>0</v>
          </cell>
          <cell r="Q185">
            <v>1</v>
          </cell>
          <cell r="R185">
            <v>0</v>
          </cell>
          <cell r="S185">
            <v>0</v>
          </cell>
          <cell r="T185">
            <v>3</v>
          </cell>
          <cell r="V185">
            <v>0</v>
          </cell>
          <cell r="W185">
            <v>86</v>
          </cell>
          <cell r="X185">
            <v>2</v>
          </cell>
          <cell r="Y185">
            <v>1</v>
          </cell>
          <cell r="AA185">
            <v>0</v>
          </cell>
          <cell r="AB185">
            <v>0</v>
          </cell>
          <cell r="AC185">
            <v>1</v>
          </cell>
          <cell r="AD185">
            <v>0</v>
          </cell>
          <cell r="AE185">
            <v>0</v>
          </cell>
          <cell r="AF185">
            <v>0</v>
          </cell>
          <cell r="AG185">
            <v>0</v>
          </cell>
          <cell r="AH185">
            <v>0</v>
          </cell>
          <cell r="AI185">
            <v>3</v>
          </cell>
          <cell r="AK185">
            <v>0</v>
          </cell>
          <cell r="AL185">
            <v>1</v>
          </cell>
          <cell r="AN185">
            <v>3690</v>
          </cell>
          <cell r="AO185">
            <v>2</v>
          </cell>
          <cell r="AQ185">
            <v>0</v>
          </cell>
          <cell r="AR185">
            <v>15</v>
          </cell>
          <cell r="AS185">
            <v>3</v>
          </cell>
          <cell r="AT185">
            <v>4</v>
          </cell>
          <cell r="AU185">
            <v>1</v>
          </cell>
          <cell r="AV185">
            <v>5</v>
          </cell>
          <cell r="AW185">
            <v>5</v>
          </cell>
          <cell r="AX185">
            <v>2</v>
          </cell>
          <cell r="AY185">
            <v>2</v>
          </cell>
          <cell r="AZ185">
            <v>3</v>
          </cell>
          <cell r="BA185">
            <v>3</v>
          </cell>
          <cell r="BB185">
            <v>2</v>
          </cell>
          <cell r="BC185">
            <v>0</v>
          </cell>
          <cell r="BD185">
            <v>0</v>
          </cell>
          <cell r="BE185">
            <v>2</v>
          </cell>
          <cell r="BF185">
            <v>2</v>
          </cell>
          <cell r="BG185">
            <v>2</v>
          </cell>
          <cell r="BH185">
            <v>0</v>
          </cell>
          <cell r="BI185">
            <v>1</v>
          </cell>
          <cell r="BJ185">
            <v>0</v>
          </cell>
          <cell r="BK185">
            <v>0</v>
          </cell>
          <cell r="BL185">
            <v>0</v>
          </cell>
          <cell r="BM185">
            <v>0</v>
          </cell>
          <cell r="BN185">
            <v>1</v>
          </cell>
          <cell r="BO185">
            <v>0</v>
          </cell>
          <cell r="BP185">
            <v>0</v>
          </cell>
          <cell r="BQ185">
            <v>2</v>
          </cell>
          <cell r="BR185">
            <v>0</v>
          </cell>
          <cell r="BS185">
            <v>0</v>
          </cell>
          <cell r="BT185">
            <v>5</v>
          </cell>
          <cell r="BU185">
            <v>0</v>
          </cell>
        </row>
        <row r="186">
          <cell r="A186">
            <v>53</v>
          </cell>
          <cell r="B186">
            <v>53</v>
          </cell>
          <cell r="D186">
            <v>0</v>
          </cell>
          <cell r="F186">
            <v>0</v>
          </cell>
          <cell r="G186">
            <v>1</v>
          </cell>
          <cell r="I186">
            <v>1</v>
          </cell>
          <cell r="J186">
            <v>0</v>
          </cell>
          <cell r="K186">
            <v>13</v>
          </cell>
          <cell r="L186">
            <v>13</v>
          </cell>
          <cell r="M186">
            <v>2</v>
          </cell>
          <cell r="O186">
            <v>0</v>
          </cell>
          <cell r="P186">
            <v>0</v>
          </cell>
          <cell r="Q186">
            <v>1</v>
          </cell>
          <cell r="R186">
            <v>0</v>
          </cell>
          <cell r="S186">
            <v>0</v>
          </cell>
          <cell r="T186">
            <v>4</v>
          </cell>
          <cell r="V186">
            <v>1</v>
          </cell>
          <cell r="W186">
            <v>57</v>
          </cell>
          <cell r="X186">
            <v>4</v>
          </cell>
          <cell r="Y186">
            <v>2</v>
          </cell>
          <cell r="AA186">
            <v>0</v>
          </cell>
          <cell r="AB186">
            <v>0</v>
          </cell>
          <cell r="AC186">
            <v>0</v>
          </cell>
          <cell r="AD186">
            <v>0</v>
          </cell>
          <cell r="AE186">
            <v>1</v>
          </cell>
          <cell r="AF186">
            <v>1</v>
          </cell>
          <cell r="AG186">
            <v>0</v>
          </cell>
          <cell r="AH186">
            <v>0</v>
          </cell>
          <cell r="AI186">
            <v>1</v>
          </cell>
          <cell r="AK186">
            <v>0</v>
          </cell>
          <cell r="AL186">
            <v>0</v>
          </cell>
          <cell r="AN186">
            <v>4450</v>
          </cell>
          <cell r="AO186">
            <v>1</v>
          </cell>
          <cell r="AQ186">
            <v>0</v>
          </cell>
          <cell r="AR186">
            <v>11</v>
          </cell>
          <cell r="AS186">
            <v>3</v>
          </cell>
          <cell r="AT186">
            <v>3</v>
          </cell>
          <cell r="AU186">
            <v>2</v>
          </cell>
          <cell r="AV186">
            <v>5</v>
          </cell>
          <cell r="AW186">
            <v>5</v>
          </cell>
          <cell r="AX186">
            <v>3</v>
          </cell>
          <cell r="AY186">
            <v>3</v>
          </cell>
          <cell r="AZ186">
            <v>4</v>
          </cell>
          <cell r="BA186">
            <v>4</v>
          </cell>
          <cell r="BB186">
            <v>2</v>
          </cell>
          <cell r="BC186">
            <v>1</v>
          </cell>
          <cell r="BD186">
            <v>1</v>
          </cell>
          <cell r="BE186">
            <v>3</v>
          </cell>
          <cell r="BF186">
            <v>3</v>
          </cell>
          <cell r="BG186">
            <v>6</v>
          </cell>
          <cell r="BH186">
            <v>1</v>
          </cell>
          <cell r="BI186">
            <v>0</v>
          </cell>
          <cell r="BJ186">
            <v>0</v>
          </cell>
          <cell r="BK186">
            <v>0</v>
          </cell>
          <cell r="BL186">
            <v>1</v>
          </cell>
          <cell r="BM186">
            <v>0</v>
          </cell>
          <cell r="BN186">
            <v>0</v>
          </cell>
          <cell r="BO186">
            <v>0</v>
          </cell>
          <cell r="BP186">
            <v>0</v>
          </cell>
          <cell r="BQ186">
            <v>3</v>
          </cell>
          <cell r="BR186">
            <v>0</v>
          </cell>
          <cell r="BS186">
            <v>0</v>
          </cell>
          <cell r="BT186">
            <v>5</v>
          </cell>
          <cell r="BU186">
            <v>0</v>
          </cell>
        </row>
        <row r="187">
          <cell r="A187">
            <v>33</v>
          </cell>
          <cell r="B187">
            <v>33</v>
          </cell>
          <cell r="D187">
            <v>0</v>
          </cell>
          <cell r="F187">
            <v>0</v>
          </cell>
          <cell r="G187">
            <v>1</v>
          </cell>
          <cell r="I187">
            <v>1</v>
          </cell>
          <cell r="J187">
            <v>0</v>
          </cell>
          <cell r="K187">
            <v>14</v>
          </cell>
          <cell r="L187">
            <v>14</v>
          </cell>
          <cell r="M187">
            <v>3</v>
          </cell>
          <cell r="O187">
            <v>0</v>
          </cell>
          <cell r="P187">
            <v>0</v>
          </cell>
          <cell r="Q187">
            <v>1</v>
          </cell>
          <cell r="R187">
            <v>0</v>
          </cell>
          <cell r="S187">
            <v>0</v>
          </cell>
          <cell r="T187">
            <v>4</v>
          </cell>
          <cell r="V187">
            <v>1</v>
          </cell>
          <cell r="W187">
            <v>72</v>
          </cell>
          <cell r="X187">
            <v>3</v>
          </cell>
          <cell r="Y187">
            <v>1</v>
          </cell>
          <cell r="AA187">
            <v>0</v>
          </cell>
          <cell r="AB187">
            <v>0</v>
          </cell>
          <cell r="AC187">
            <v>0</v>
          </cell>
          <cell r="AD187">
            <v>0</v>
          </cell>
          <cell r="AE187">
            <v>0</v>
          </cell>
          <cell r="AF187">
            <v>0</v>
          </cell>
          <cell r="AG187">
            <v>0</v>
          </cell>
          <cell r="AH187">
            <v>1</v>
          </cell>
          <cell r="AI187">
            <v>2</v>
          </cell>
          <cell r="AK187">
            <v>0</v>
          </cell>
          <cell r="AL187">
            <v>1</v>
          </cell>
          <cell r="AN187">
            <v>2756</v>
          </cell>
          <cell r="AO187">
            <v>1</v>
          </cell>
          <cell r="AQ187">
            <v>0</v>
          </cell>
          <cell r="AR187">
            <v>13</v>
          </cell>
          <cell r="AS187">
            <v>3</v>
          </cell>
          <cell r="AT187">
            <v>4</v>
          </cell>
          <cell r="AU187">
            <v>1</v>
          </cell>
          <cell r="AV187">
            <v>8</v>
          </cell>
          <cell r="AW187">
            <v>8</v>
          </cell>
          <cell r="AX187">
            <v>5</v>
          </cell>
          <cell r="AY187">
            <v>3</v>
          </cell>
          <cell r="AZ187">
            <v>8</v>
          </cell>
          <cell r="BA187">
            <v>8</v>
          </cell>
          <cell r="BB187">
            <v>7</v>
          </cell>
          <cell r="BC187">
            <v>1</v>
          </cell>
          <cell r="BD187">
            <v>1</v>
          </cell>
          <cell r="BE187">
            <v>6</v>
          </cell>
          <cell r="BF187">
            <v>6</v>
          </cell>
          <cell r="BG187">
            <v>6</v>
          </cell>
          <cell r="BH187">
            <v>0</v>
          </cell>
          <cell r="BI187">
            <v>1</v>
          </cell>
          <cell r="BJ187">
            <v>0</v>
          </cell>
          <cell r="BK187">
            <v>0</v>
          </cell>
          <cell r="BL187">
            <v>0</v>
          </cell>
          <cell r="BM187">
            <v>0</v>
          </cell>
          <cell r="BN187">
            <v>1</v>
          </cell>
          <cell r="BO187">
            <v>0</v>
          </cell>
          <cell r="BP187">
            <v>0</v>
          </cell>
          <cell r="BQ187">
            <v>6</v>
          </cell>
          <cell r="BR187">
            <v>0</v>
          </cell>
          <cell r="BS187">
            <v>0</v>
          </cell>
          <cell r="BT187">
            <v>8</v>
          </cell>
          <cell r="BU187">
            <v>0</v>
          </cell>
        </row>
        <row r="188">
          <cell r="A188">
            <v>40</v>
          </cell>
          <cell r="B188">
            <v>40</v>
          </cell>
          <cell r="D188">
            <v>0</v>
          </cell>
          <cell r="F188">
            <v>0</v>
          </cell>
          <cell r="G188">
            <v>1</v>
          </cell>
          <cell r="I188">
            <v>1</v>
          </cell>
          <cell r="J188">
            <v>0</v>
          </cell>
          <cell r="K188">
            <v>4</v>
          </cell>
          <cell r="L188">
            <v>4</v>
          </cell>
          <cell r="M188">
            <v>1</v>
          </cell>
          <cell r="O188">
            <v>0</v>
          </cell>
          <cell r="P188">
            <v>0</v>
          </cell>
          <cell r="Q188">
            <v>1</v>
          </cell>
          <cell r="R188">
            <v>0</v>
          </cell>
          <cell r="S188">
            <v>0</v>
          </cell>
          <cell r="T188">
            <v>4</v>
          </cell>
          <cell r="V188">
            <v>1</v>
          </cell>
          <cell r="W188">
            <v>46</v>
          </cell>
          <cell r="X188">
            <v>3</v>
          </cell>
          <cell r="Y188">
            <v>5</v>
          </cell>
          <cell r="AA188">
            <v>0</v>
          </cell>
          <cell r="AB188">
            <v>0</v>
          </cell>
          <cell r="AC188">
            <v>0</v>
          </cell>
          <cell r="AD188">
            <v>1</v>
          </cell>
          <cell r="AE188">
            <v>0</v>
          </cell>
          <cell r="AF188">
            <v>0</v>
          </cell>
          <cell r="AG188">
            <v>0</v>
          </cell>
          <cell r="AH188">
            <v>0</v>
          </cell>
          <cell r="AI188">
            <v>3</v>
          </cell>
          <cell r="AK188">
            <v>0</v>
          </cell>
          <cell r="AL188">
            <v>1</v>
          </cell>
          <cell r="AN188">
            <v>19033</v>
          </cell>
          <cell r="AO188">
            <v>1</v>
          </cell>
          <cell r="AQ188">
            <v>0</v>
          </cell>
          <cell r="AR188">
            <v>14</v>
          </cell>
          <cell r="AS188">
            <v>3</v>
          </cell>
          <cell r="AT188">
            <v>2</v>
          </cell>
          <cell r="AU188">
            <v>1</v>
          </cell>
          <cell r="AV188">
            <v>21</v>
          </cell>
          <cell r="AW188">
            <v>21</v>
          </cell>
          <cell r="AX188">
            <v>2</v>
          </cell>
          <cell r="AY188">
            <v>3</v>
          </cell>
          <cell r="AZ188">
            <v>20</v>
          </cell>
          <cell r="BA188">
            <v>20</v>
          </cell>
          <cell r="BB188">
            <v>8</v>
          </cell>
          <cell r="BC188">
            <v>9</v>
          </cell>
          <cell r="BD188">
            <v>9</v>
          </cell>
          <cell r="BE188">
            <v>9</v>
          </cell>
          <cell r="BF188">
            <v>9</v>
          </cell>
          <cell r="BG188">
            <v>45</v>
          </cell>
          <cell r="BH188">
            <v>0</v>
          </cell>
          <cell r="BI188">
            <v>1</v>
          </cell>
          <cell r="BJ188">
            <v>0</v>
          </cell>
          <cell r="BK188">
            <v>0</v>
          </cell>
          <cell r="BL188">
            <v>0</v>
          </cell>
          <cell r="BM188">
            <v>0</v>
          </cell>
          <cell r="BN188">
            <v>1</v>
          </cell>
          <cell r="BO188">
            <v>0</v>
          </cell>
          <cell r="BP188">
            <v>0</v>
          </cell>
          <cell r="BQ188">
            <v>9</v>
          </cell>
          <cell r="BR188">
            <v>0</v>
          </cell>
          <cell r="BS188">
            <v>0</v>
          </cell>
          <cell r="BT188">
            <v>21</v>
          </cell>
          <cell r="BU188">
            <v>0</v>
          </cell>
        </row>
        <row r="189">
          <cell r="A189">
            <v>55</v>
          </cell>
          <cell r="B189">
            <v>55</v>
          </cell>
          <cell r="D189">
            <v>0</v>
          </cell>
          <cell r="F189">
            <v>0</v>
          </cell>
          <cell r="G189">
            <v>1</v>
          </cell>
          <cell r="I189">
            <v>1</v>
          </cell>
          <cell r="J189">
            <v>0</v>
          </cell>
          <cell r="K189">
            <v>14</v>
          </cell>
          <cell r="L189">
            <v>14</v>
          </cell>
          <cell r="M189">
            <v>4</v>
          </cell>
          <cell r="O189">
            <v>0</v>
          </cell>
          <cell r="P189">
            <v>0</v>
          </cell>
          <cell r="Q189">
            <v>1</v>
          </cell>
          <cell r="R189">
            <v>0</v>
          </cell>
          <cell r="S189">
            <v>0</v>
          </cell>
          <cell r="T189">
            <v>3</v>
          </cell>
          <cell r="V189">
            <v>0</v>
          </cell>
          <cell r="W189">
            <v>61</v>
          </cell>
          <cell r="X189">
            <v>4</v>
          </cell>
          <cell r="Y189">
            <v>5</v>
          </cell>
          <cell r="AA189">
            <v>0</v>
          </cell>
          <cell r="AB189">
            <v>0</v>
          </cell>
          <cell r="AC189">
            <v>0</v>
          </cell>
          <cell r="AD189">
            <v>0</v>
          </cell>
          <cell r="AE189">
            <v>0</v>
          </cell>
          <cell r="AF189">
            <v>0</v>
          </cell>
          <cell r="AG189">
            <v>0</v>
          </cell>
          <cell r="AH189">
            <v>0</v>
          </cell>
          <cell r="AI189">
            <v>2</v>
          </cell>
          <cell r="AK189">
            <v>1</v>
          </cell>
          <cell r="AL189">
            <v>0</v>
          </cell>
          <cell r="AN189">
            <v>18722</v>
          </cell>
          <cell r="AO189">
            <v>8</v>
          </cell>
          <cell r="AQ189">
            <v>0</v>
          </cell>
          <cell r="AR189">
            <v>11</v>
          </cell>
          <cell r="AS189">
            <v>3</v>
          </cell>
          <cell r="AT189">
            <v>4</v>
          </cell>
          <cell r="AU189">
            <v>0</v>
          </cell>
          <cell r="AV189">
            <v>36</v>
          </cell>
          <cell r="AW189">
            <v>35</v>
          </cell>
          <cell r="AX189">
            <v>3</v>
          </cell>
          <cell r="AY189">
            <v>3</v>
          </cell>
          <cell r="AZ189">
            <v>24</v>
          </cell>
          <cell r="BA189">
            <v>24</v>
          </cell>
          <cell r="BB189">
            <v>15</v>
          </cell>
          <cell r="BC189">
            <v>2</v>
          </cell>
          <cell r="BD189">
            <v>2</v>
          </cell>
          <cell r="BE189">
            <v>15</v>
          </cell>
          <cell r="BF189">
            <v>14</v>
          </cell>
          <cell r="BG189">
            <v>70</v>
          </cell>
          <cell r="BH189">
            <v>1</v>
          </cell>
          <cell r="BI189">
            <v>0</v>
          </cell>
          <cell r="BJ189">
            <v>0</v>
          </cell>
          <cell r="BK189">
            <v>0</v>
          </cell>
          <cell r="BL189">
            <v>1</v>
          </cell>
          <cell r="BM189">
            <v>0</v>
          </cell>
          <cell r="BN189">
            <v>0</v>
          </cell>
          <cell r="BO189">
            <v>0</v>
          </cell>
          <cell r="BP189">
            <v>0</v>
          </cell>
          <cell r="BQ189">
            <v>14</v>
          </cell>
          <cell r="BR189">
            <v>0</v>
          </cell>
          <cell r="BS189">
            <v>0</v>
          </cell>
          <cell r="BT189">
            <v>35</v>
          </cell>
          <cell r="BU189">
            <v>0</v>
          </cell>
        </row>
        <row r="190">
          <cell r="A190">
            <v>34</v>
          </cell>
          <cell r="B190">
            <v>34</v>
          </cell>
          <cell r="D190">
            <v>0</v>
          </cell>
          <cell r="F190">
            <v>1</v>
          </cell>
          <cell r="G190">
            <v>0</v>
          </cell>
          <cell r="I190">
            <v>1</v>
          </cell>
          <cell r="J190">
            <v>0</v>
          </cell>
          <cell r="K190">
            <v>2</v>
          </cell>
          <cell r="L190">
            <v>2</v>
          </cell>
          <cell r="M190">
            <v>1</v>
          </cell>
          <cell r="O190">
            <v>1</v>
          </cell>
          <cell r="P190">
            <v>0</v>
          </cell>
          <cell r="Q190">
            <v>0</v>
          </cell>
          <cell r="R190">
            <v>0</v>
          </cell>
          <cell r="S190">
            <v>0</v>
          </cell>
          <cell r="T190">
            <v>4</v>
          </cell>
          <cell r="V190">
            <v>0</v>
          </cell>
          <cell r="W190">
            <v>45</v>
          </cell>
          <cell r="X190">
            <v>2</v>
          </cell>
          <cell r="Y190">
            <v>2</v>
          </cell>
          <cell r="AA190">
            <v>0</v>
          </cell>
          <cell r="AB190">
            <v>0</v>
          </cell>
          <cell r="AC190">
            <v>0</v>
          </cell>
          <cell r="AD190">
            <v>0</v>
          </cell>
          <cell r="AE190">
            <v>1</v>
          </cell>
          <cell r="AF190">
            <v>1</v>
          </cell>
          <cell r="AG190">
            <v>0</v>
          </cell>
          <cell r="AH190">
            <v>0</v>
          </cell>
          <cell r="AI190">
            <v>3</v>
          </cell>
          <cell r="AK190">
            <v>0</v>
          </cell>
          <cell r="AL190">
            <v>1</v>
          </cell>
          <cell r="AN190">
            <v>9547</v>
          </cell>
          <cell r="AO190">
            <v>1</v>
          </cell>
          <cell r="AQ190">
            <v>0</v>
          </cell>
          <cell r="AR190">
            <v>17</v>
          </cell>
          <cell r="AS190">
            <v>3</v>
          </cell>
          <cell r="AT190">
            <v>3</v>
          </cell>
          <cell r="AU190">
            <v>0</v>
          </cell>
          <cell r="AV190">
            <v>10</v>
          </cell>
          <cell r="AW190">
            <v>10</v>
          </cell>
          <cell r="AX190">
            <v>2</v>
          </cell>
          <cell r="AY190">
            <v>2</v>
          </cell>
          <cell r="AZ190">
            <v>10</v>
          </cell>
          <cell r="BA190">
            <v>10</v>
          </cell>
          <cell r="BB190">
            <v>9</v>
          </cell>
          <cell r="BC190">
            <v>1</v>
          </cell>
          <cell r="BD190">
            <v>1</v>
          </cell>
          <cell r="BE190">
            <v>9</v>
          </cell>
          <cell r="BF190">
            <v>9</v>
          </cell>
          <cell r="BG190">
            <v>18</v>
          </cell>
          <cell r="BH190">
            <v>0</v>
          </cell>
          <cell r="BI190">
            <v>0</v>
          </cell>
          <cell r="BJ190">
            <v>0</v>
          </cell>
          <cell r="BK190">
            <v>1</v>
          </cell>
          <cell r="BL190">
            <v>0</v>
          </cell>
          <cell r="BM190">
            <v>0</v>
          </cell>
          <cell r="BN190">
            <v>1</v>
          </cell>
          <cell r="BO190">
            <v>0</v>
          </cell>
          <cell r="BP190">
            <v>0</v>
          </cell>
          <cell r="BQ190">
            <v>9</v>
          </cell>
          <cell r="BR190">
            <v>0</v>
          </cell>
          <cell r="BS190">
            <v>0</v>
          </cell>
          <cell r="BT190">
            <v>10</v>
          </cell>
          <cell r="BU190">
            <v>0</v>
          </cell>
        </row>
        <row r="191">
          <cell r="A191">
            <v>51</v>
          </cell>
          <cell r="B191">
            <v>51</v>
          </cell>
          <cell r="D191">
            <v>0</v>
          </cell>
          <cell r="F191">
            <v>0</v>
          </cell>
          <cell r="G191">
            <v>1</v>
          </cell>
          <cell r="I191">
            <v>1</v>
          </cell>
          <cell r="J191">
            <v>0</v>
          </cell>
          <cell r="K191">
            <v>3</v>
          </cell>
          <cell r="L191">
            <v>3</v>
          </cell>
          <cell r="M191">
            <v>3</v>
          </cell>
          <cell r="O191">
            <v>0</v>
          </cell>
          <cell r="P191">
            <v>0</v>
          </cell>
          <cell r="Q191">
            <v>1</v>
          </cell>
          <cell r="R191">
            <v>0</v>
          </cell>
          <cell r="S191">
            <v>0</v>
          </cell>
          <cell r="T191">
            <v>4</v>
          </cell>
          <cell r="V191">
            <v>1</v>
          </cell>
          <cell r="W191">
            <v>98</v>
          </cell>
          <cell r="X191">
            <v>3</v>
          </cell>
          <cell r="Y191">
            <v>4</v>
          </cell>
          <cell r="AA191">
            <v>1</v>
          </cell>
          <cell r="AB191">
            <v>0</v>
          </cell>
          <cell r="AC191">
            <v>0</v>
          </cell>
          <cell r="AD191">
            <v>0</v>
          </cell>
          <cell r="AE191">
            <v>0</v>
          </cell>
          <cell r="AF191">
            <v>0</v>
          </cell>
          <cell r="AG191">
            <v>0</v>
          </cell>
          <cell r="AH191">
            <v>0</v>
          </cell>
          <cell r="AI191">
            <v>2</v>
          </cell>
          <cell r="AK191">
            <v>1</v>
          </cell>
          <cell r="AL191">
            <v>0</v>
          </cell>
          <cell r="AN191">
            <v>13734</v>
          </cell>
          <cell r="AO191">
            <v>3</v>
          </cell>
          <cell r="AQ191">
            <v>0</v>
          </cell>
          <cell r="AR191">
            <v>18</v>
          </cell>
          <cell r="AS191">
            <v>3</v>
          </cell>
          <cell r="AT191">
            <v>3</v>
          </cell>
          <cell r="AU191">
            <v>0</v>
          </cell>
          <cell r="AV191">
            <v>21</v>
          </cell>
          <cell r="AW191">
            <v>21</v>
          </cell>
          <cell r="AX191">
            <v>6</v>
          </cell>
          <cell r="AY191">
            <v>3</v>
          </cell>
          <cell r="AZ191">
            <v>7</v>
          </cell>
          <cell r="BA191">
            <v>7</v>
          </cell>
          <cell r="BB191">
            <v>7</v>
          </cell>
          <cell r="BC191">
            <v>1</v>
          </cell>
          <cell r="BD191">
            <v>1</v>
          </cell>
          <cell r="BE191">
            <v>0</v>
          </cell>
          <cell r="BF191">
            <v>0</v>
          </cell>
          <cell r="BG191">
            <v>0</v>
          </cell>
          <cell r="BH191">
            <v>1</v>
          </cell>
          <cell r="BI191">
            <v>0</v>
          </cell>
          <cell r="BJ191">
            <v>0</v>
          </cell>
          <cell r="BK191">
            <v>0</v>
          </cell>
          <cell r="BL191">
            <v>1</v>
          </cell>
          <cell r="BM191">
            <v>0</v>
          </cell>
          <cell r="BN191">
            <v>0</v>
          </cell>
          <cell r="BO191">
            <v>0</v>
          </cell>
          <cell r="BP191">
            <v>0</v>
          </cell>
          <cell r="BQ191">
            <v>0</v>
          </cell>
          <cell r="BR191">
            <v>0</v>
          </cell>
          <cell r="BS191">
            <v>0</v>
          </cell>
          <cell r="BT191">
            <v>21</v>
          </cell>
          <cell r="BU191">
            <v>0</v>
          </cell>
        </row>
        <row r="192">
          <cell r="A192">
            <v>52</v>
          </cell>
          <cell r="B192">
            <v>52</v>
          </cell>
          <cell r="D192">
            <v>0</v>
          </cell>
          <cell r="F192">
            <v>0</v>
          </cell>
          <cell r="G192">
            <v>1</v>
          </cell>
          <cell r="I192">
            <v>1</v>
          </cell>
          <cell r="J192">
            <v>0</v>
          </cell>
          <cell r="K192">
            <v>1</v>
          </cell>
          <cell r="L192">
            <v>1</v>
          </cell>
          <cell r="M192">
            <v>4</v>
          </cell>
          <cell r="O192">
            <v>1</v>
          </cell>
          <cell r="P192">
            <v>0</v>
          </cell>
          <cell r="Q192">
            <v>0</v>
          </cell>
          <cell r="R192">
            <v>0</v>
          </cell>
          <cell r="S192">
            <v>0</v>
          </cell>
          <cell r="T192">
            <v>3</v>
          </cell>
          <cell r="V192">
            <v>0</v>
          </cell>
          <cell r="W192">
            <v>65</v>
          </cell>
          <cell r="X192">
            <v>2</v>
          </cell>
          <cell r="Y192">
            <v>5</v>
          </cell>
          <cell r="AA192">
            <v>0</v>
          </cell>
          <cell r="AB192">
            <v>0</v>
          </cell>
          <cell r="AC192">
            <v>0</v>
          </cell>
          <cell r="AD192">
            <v>1</v>
          </cell>
          <cell r="AE192">
            <v>0</v>
          </cell>
          <cell r="AF192">
            <v>0</v>
          </cell>
          <cell r="AG192">
            <v>0</v>
          </cell>
          <cell r="AH192">
            <v>0</v>
          </cell>
          <cell r="AI192">
            <v>3</v>
          </cell>
          <cell r="AK192">
            <v>0</v>
          </cell>
          <cell r="AL192">
            <v>1</v>
          </cell>
          <cell r="AN192">
            <v>19626.310000000001</v>
          </cell>
          <cell r="AO192">
            <v>0</v>
          </cell>
          <cell r="AQ192">
            <v>0</v>
          </cell>
          <cell r="AR192">
            <v>14</v>
          </cell>
          <cell r="AS192">
            <v>3</v>
          </cell>
          <cell r="AT192">
            <v>1</v>
          </cell>
          <cell r="AU192">
            <v>1</v>
          </cell>
          <cell r="AV192">
            <v>34</v>
          </cell>
          <cell r="AW192">
            <v>34</v>
          </cell>
          <cell r="AX192">
            <v>5</v>
          </cell>
          <cell r="AY192">
            <v>3</v>
          </cell>
          <cell r="AZ192">
            <v>33</v>
          </cell>
          <cell r="BA192">
            <v>31</v>
          </cell>
          <cell r="BB192">
            <v>18</v>
          </cell>
          <cell r="BC192">
            <v>11</v>
          </cell>
          <cell r="BD192">
            <v>11</v>
          </cell>
          <cell r="BE192">
            <v>9</v>
          </cell>
          <cell r="BF192">
            <v>9</v>
          </cell>
          <cell r="BG192">
            <v>45</v>
          </cell>
          <cell r="BH192">
            <v>0</v>
          </cell>
          <cell r="BI192">
            <v>1</v>
          </cell>
          <cell r="BJ192">
            <v>0</v>
          </cell>
          <cell r="BK192">
            <v>0</v>
          </cell>
          <cell r="BL192">
            <v>0</v>
          </cell>
          <cell r="BM192">
            <v>0</v>
          </cell>
          <cell r="BN192">
            <v>1</v>
          </cell>
          <cell r="BO192">
            <v>0</v>
          </cell>
          <cell r="BP192">
            <v>0</v>
          </cell>
          <cell r="BQ192">
            <v>9</v>
          </cell>
          <cell r="BR192">
            <v>0</v>
          </cell>
          <cell r="BS192">
            <v>0</v>
          </cell>
          <cell r="BT192">
            <v>34</v>
          </cell>
          <cell r="BU192">
            <v>0</v>
          </cell>
        </row>
        <row r="193">
          <cell r="A193">
            <v>27</v>
          </cell>
          <cell r="B193">
            <v>27</v>
          </cell>
          <cell r="D193">
            <v>0</v>
          </cell>
          <cell r="F193">
            <v>0</v>
          </cell>
          <cell r="G193">
            <v>1</v>
          </cell>
          <cell r="I193">
            <v>1</v>
          </cell>
          <cell r="J193">
            <v>0</v>
          </cell>
          <cell r="K193">
            <v>9</v>
          </cell>
          <cell r="L193">
            <v>9</v>
          </cell>
          <cell r="M193">
            <v>3</v>
          </cell>
          <cell r="O193">
            <v>0</v>
          </cell>
          <cell r="P193">
            <v>0</v>
          </cell>
          <cell r="Q193">
            <v>1</v>
          </cell>
          <cell r="R193">
            <v>0</v>
          </cell>
          <cell r="S193">
            <v>0</v>
          </cell>
          <cell r="T193">
            <v>4</v>
          </cell>
          <cell r="V193">
            <v>1</v>
          </cell>
          <cell r="W193">
            <v>99</v>
          </cell>
          <cell r="X193">
            <v>3</v>
          </cell>
          <cell r="Y193">
            <v>1</v>
          </cell>
          <cell r="AA193">
            <v>0</v>
          </cell>
          <cell r="AB193">
            <v>0</v>
          </cell>
          <cell r="AC193">
            <v>0</v>
          </cell>
          <cell r="AD193">
            <v>0</v>
          </cell>
          <cell r="AE193">
            <v>0</v>
          </cell>
          <cell r="AF193">
            <v>0</v>
          </cell>
          <cell r="AG193">
            <v>0</v>
          </cell>
          <cell r="AH193">
            <v>1</v>
          </cell>
          <cell r="AI193">
            <v>2</v>
          </cell>
          <cell r="AK193">
            <v>1</v>
          </cell>
          <cell r="AL193">
            <v>0</v>
          </cell>
          <cell r="AN193">
            <v>2279</v>
          </cell>
          <cell r="AO193">
            <v>1</v>
          </cell>
          <cell r="AQ193">
            <v>0</v>
          </cell>
          <cell r="AR193">
            <v>16</v>
          </cell>
          <cell r="AS193">
            <v>3</v>
          </cell>
          <cell r="AT193">
            <v>4</v>
          </cell>
          <cell r="AU193">
            <v>0</v>
          </cell>
          <cell r="AV193">
            <v>7</v>
          </cell>
          <cell r="AW193">
            <v>7</v>
          </cell>
          <cell r="AX193">
            <v>2</v>
          </cell>
          <cell r="AY193">
            <v>2</v>
          </cell>
          <cell r="AZ193">
            <v>7</v>
          </cell>
          <cell r="BA193">
            <v>7</v>
          </cell>
          <cell r="BB193">
            <v>7</v>
          </cell>
          <cell r="BC193">
            <v>0</v>
          </cell>
          <cell r="BD193">
            <v>0</v>
          </cell>
          <cell r="BE193">
            <v>3</v>
          </cell>
          <cell r="BF193">
            <v>3</v>
          </cell>
          <cell r="BG193">
            <v>3</v>
          </cell>
          <cell r="BH193">
            <v>1</v>
          </cell>
          <cell r="BI193">
            <v>0</v>
          </cell>
          <cell r="BJ193">
            <v>0</v>
          </cell>
          <cell r="BK193">
            <v>0</v>
          </cell>
          <cell r="BL193">
            <v>1</v>
          </cell>
          <cell r="BM193">
            <v>0</v>
          </cell>
          <cell r="BN193">
            <v>0</v>
          </cell>
          <cell r="BO193">
            <v>0</v>
          </cell>
          <cell r="BP193">
            <v>0</v>
          </cell>
          <cell r="BQ193">
            <v>3</v>
          </cell>
          <cell r="BR193">
            <v>0</v>
          </cell>
          <cell r="BS193">
            <v>0</v>
          </cell>
          <cell r="BT193">
            <v>7</v>
          </cell>
          <cell r="BU193">
            <v>0</v>
          </cell>
        </row>
        <row r="194">
          <cell r="A194">
            <v>35</v>
          </cell>
          <cell r="B194">
            <v>35</v>
          </cell>
          <cell r="D194">
            <v>1</v>
          </cell>
          <cell r="F194">
            <v>0</v>
          </cell>
          <cell r="G194">
            <v>1</v>
          </cell>
          <cell r="I194">
            <v>1</v>
          </cell>
          <cell r="J194">
            <v>0</v>
          </cell>
          <cell r="K194">
            <v>23</v>
          </cell>
          <cell r="L194">
            <v>23</v>
          </cell>
          <cell r="M194">
            <v>2</v>
          </cell>
          <cell r="O194">
            <v>1</v>
          </cell>
          <cell r="P194">
            <v>0</v>
          </cell>
          <cell r="Q194">
            <v>0</v>
          </cell>
          <cell r="R194">
            <v>0</v>
          </cell>
          <cell r="S194">
            <v>0</v>
          </cell>
          <cell r="T194">
            <v>2</v>
          </cell>
          <cell r="V194">
            <v>0</v>
          </cell>
          <cell r="W194">
            <v>50</v>
          </cell>
          <cell r="X194">
            <v>2</v>
          </cell>
          <cell r="Y194">
            <v>2</v>
          </cell>
          <cell r="AA194">
            <v>0</v>
          </cell>
          <cell r="AB194">
            <v>0</v>
          </cell>
          <cell r="AC194">
            <v>0</v>
          </cell>
          <cell r="AD194">
            <v>0</v>
          </cell>
          <cell r="AE194">
            <v>1</v>
          </cell>
          <cell r="AF194">
            <v>1</v>
          </cell>
          <cell r="AG194">
            <v>0</v>
          </cell>
          <cell r="AH194">
            <v>0</v>
          </cell>
          <cell r="AI194">
            <v>3</v>
          </cell>
          <cell r="AK194">
            <v>0</v>
          </cell>
          <cell r="AL194">
            <v>1</v>
          </cell>
          <cell r="AN194">
            <v>5916</v>
          </cell>
          <cell r="AO194">
            <v>3</v>
          </cell>
          <cell r="AQ194">
            <v>1</v>
          </cell>
          <cell r="AR194">
            <v>13</v>
          </cell>
          <cell r="AS194">
            <v>3</v>
          </cell>
          <cell r="AT194">
            <v>1</v>
          </cell>
          <cell r="AU194">
            <v>0</v>
          </cell>
          <cell r="AV194">
            <v>8</v>
          </cell>
          <cell r="AW194">
            <v>8</v>
          </cell>
          <cell r="AX194">
            <v>1</v>
          </cell>
          <cell r="AY194">
            <v>3</v>
          </cell>
          <cell r="AZ194">
            <v>1</v>
          </cell>
          <cell r="BA194">
            <v>1</v>
          </cell>
          <cell r="BB194">
            <v>0</v>
          </cell>
          <cell r="BC194">
            <v>0</v>
          </cell>
          <cell r="BD194">
            <v>0</v>
          </cell>
          <cell r="BE194">
            <v>1</v>
          </cell>
          <cell r="BF194">
            <v>1</v>
          </cell>
          <cell r="BG194">
            <v>2</v>
          </cell>
          <cell r="BH194">
            <v>0</v>
          </cell>
          <cell r="BI194">
            <v>1</v>
          </cell>
          <cell r="BJ194">
            <v>0</v>
          </cell>
          <cell r="BK194">
            <v>0</v>
          </cell>
          <cell r="BL194">
            <v>0</v>
          </cell>
          <cell r="BM194">
            <v>0</v>
          </cell>
          <cell r="BN194">
            <v>0</v>
          </cell>
          <cell r="BO194">
            <v>1</v>
          </cell>
          <cell r="BP194">
            <v>0</v>
          </cell>
          <cell r="BQ194">
            <v>1</v>
          </cell>
          <cell r="BR194">
            <v>0</v>
          </cell>
          <cell r="BS194">
            <v>0</v>
          </cell>
          <cell r="BT194">
            <v>8</v>
          </cell>
          <cell r="BU194">
            <v>0</v>
          </cell>
        </row>
        <row r="195">
          <cell r="A195">
            <v>43</v>
          </cell>
          <cell r="B195">
            <v>43</v>
          </cell>
          <cell r="D195">
            <v>0</v>
          </cell>
          <cell r="F195">
            <v>0</v>
          </cell>
          <cell r="G195">
            <v>0</v>
          </cell>
          <cell r="I195">
            <v>1</v>
          </cell>
          <cell r="J195">
            <v>0</v>
          </cell>
          <cell r="K195">
            <v>7</v>
          </cell>
          <cell r="L195">
            <v>7</v>
          </cell>
          <cell r="M195">
            <v>3</v>
          </cell>
          <cell r="O195">
            <v>0</v>
          </cell>
          <cell r="P195">
            <v>0</v>
          </cell>
          <cell r="Q195">
            <v>1</v>
          </cell>
          <cell r="R195">
            <v>0</v>
          </cell>
          <cell r="S195">
            <v>0</v>
          </cell>
          <cell r="T195">
            <v>4</v>
          </cell>
          <cell r="V195">
            <v>0</v>
          </cell>
          <cell r="W195">
            <v>37</v>
          </cell>
          <cell r="X195">
            <v>4</v>
          </cell>
          <cell r="Y195">
            <v>1</v>
          </cell>
          <cell r="AA195">
            <v>0</v>
          </cell>
          <cell r="AB195">
            <v>0</v>
          </cell>
          <cell r="AC195">
            <v>0</v>
          </cell>
          <cell r="AD195">
            <v>0</v>
          </cell>
          <cell r="AE195">
            <v>0</v>
          </cell>
          <cell r="AF195">
            <v>0</v>
          </cell>
          <cell r="AG195">
            <v>0</v>
          </cell>
          <cell r="AH195">
            <v>1</v>
          </cell>
          <cell r="AI195">
            <v>4</v>
          </cell>
          <cell r="AK195">
            <v>0</v>
          </cell>
          <cell r="AL195">
            <v>0</v>
          </cell>
          <cell r="AN195">
            <v>2089</v>
          </cell>
          <cell r="AO195">
            <v>4</v>
          </cell>
          <cell r="AQ195">
            <v>0</v>
          </cell>
          <cell r="AR195">
            <v>14</v>
          </cell>
          <cell r="AS195">
            <v>3</v>
          </cell>
          <cell r="AT195">
            <v>4</v>
          </cell>
          <cell r="AU195">
            <v>3</v>
          </cell>
          <cell r="AV195">
            <v>7</v>
          </cell>
          <cell r="AW195">
            <v>7</v>
          </cell>
          <cell r="AX195">
            <v>3</v>
          </cell>
          <cell r="AY195">
            <v>4</v>
          </cell>
          <cell r="AZ195">
            <v>5</v>
          </cell>
          <cell r="BA195">
            <v>5</v>
          </cell>
          <cell r="BB195">
            <v>4</v>
          </cell>
          <cell r="BC195">
            <v>2</v>
          </cell>
          <cell r="BD195">
            <v>2</v>
          </cell>
          <cell r="BE195">
            <v>2</v>
          </cell>
          <cell r="BF195">
            <v>2</v>
          </cell>
          <cell r="BG195">
            <v>2</v>
          </cell>
          <cell r="BH195">
            <v>1</v>
          </cell>
          <cell r="BI195">
            <v>0</v>
          </cell>
          <cell r="BJ195">
            <v>0</v>
          </cell>
          <cell r="BK195">
            <v>0</v>
          </cell>
          <cell r="BL195">
            <v>1</v>
          </cell>
          <cell r="BM195">
            <v>0</v>
          </cell>
          <cell r="BN195">
            <v>0</v>
          </cell>
          <cell r="BO195">
            <v>0</v>
          </cell>
          <cell r="BP195">
            <v>0</v>
          </cell>
          <cell r="BQ195">
            <v>2</v>
          </cell>
          <cell r="BR195">
            <v>0</v>
          </cell>
          <cell r="BS195">
            <v>0</v>
          </cell>
          <cell r="BT195">
            <v>7</v>
          </cell>
          <cell r="BU195">
            <v>0</v>
          </cell>
        </row>
        <row r="196">
          <cell r="A196">
            <v>45</v>
          </cell>
          <cell r="B196">
            <v>45</v>
          </cell>
          <cell r="D196">
            <v>0</v>
          </cell>
          <cell r="F196">
            <v>0</v>
          </cell>
          <cell r="G196">
            <v>0</v>
          </cell>
          <cell r="I196">
            <v>1</v>
          </cell>
          <cell r="J196">
            <v>0</v>
          </cell>
          <cell r="K196">
            <v>2</v>
          </cell>
          <cell r="L196">
            <v>2</v>
          </cell>
          <cell r="M196">
            <v>2</v>
          </cell>
          <cell r="O196">
            <v>0</v>
          </cell>
          <cell r="P196">
            <v>0</v>
          </cell>
          <cell r="Q196">
            <v>1</v>
          </cell>
          <cell r="R196">
            <v>0</v>
          </cell>
          <cell r="S196">
            <v>0</v>
          </cell>
          <cell r="T196">
            <v>1</v>
          </cell>
          <cell r="V196">
            <v>0</v>
          </cell>
          <cell r="W196">
            <v>65</v>
          </cell>
          <cell r="X196">
            <v>2</v>
          </cell>
          <cell r="Y196">
            <v>4</v>
          </cell>
          <cell r="AA196">
            <v>0</v>
          </cell>
          <cell r="AB196">
            <v>0</v>
          </cell>
          <cell r="AC196">
            <v>0</v>
          </cell>
          <cell r="AD196">
            <v>1</v>
          </cell>
          <cell r="AE196">
            <v>0</v>
          </cell>
          <cell r="AF196">
            <v>0</v>
          </cell>
          <cell r="AG196">
            <v>0</v>
          </cell>
          <cell r="AH196">
            <v>0</v>
          </cell>
          <cell r="AI196">
            <v>4</v>
          </cell>
          <cell r="AK196">
            <v>0</v>
          </cell>
          <cell r="AL196">
            <v>1</v>
          </cell>
          <cell r="AN196">
            <v>16792</v>
          </cell>
          <cell r="AO196">
            <v>9</v>
          </cell>
          <cell r="AQ196">
            <v>0</v>
          </cell>
          <cell r="AR196">
            <v>23</v>
          </cell>
          <cell r="AS196">
            <v>4</v>
          </cell>
          <cell r="AT196">
            <v>4</v>
          </cell>
          <cell r="AU196">
            <v>1</v>
          </cell>
          <cell r="AV196">
            <v>22</v>
          </cell>
          <cell r="AW196">
            <v>22</v>
          </cell>
          <cell r="AX196">
            <v>1</v>
          </cell>
          <cell r="AY196">
            <v>3</v>
          </cell>
          <cell r="AZ196">
            <v>20</v>
          </cell>
          <cell r="BA196">
            <v>20</v>
          </cell>
          <cell r="BB196">
            <v>8</v>
          </cell>
          <cell r="BC196">
            <v>11</v>
          </cell>
          <cell r="BD196">
            <v>11</v>
          </cell>
          <cell r="BE196">
            <v>8</v>
          </cell>
          <cell r="BF196">
            <v>8</v>
          </cell>
          <cell r="BG196">
            <v>32</v>
          </cell>
          <cell r="BH196">
            <v>0</v>
          </cell>
          <cell r="BI196">
            <v>1</v>
          </cell>
          <cell r="BJ196">
            <v>0</v>
          </cell>
          <cell r="BK196">
            <v>0</v>
          </cell>
          <cell r="BL196">
            <v>0</v>
          </cell>
          <cell r="BM196">
            <v>0</v>
          </cell>
          <cell r="BN196">
            <v>1</v>
          </cell>
          <cell r="BO196">
            <v>0</v>
          </cell>
          <cell r="BP196">
            <v>0</v>
          </cell>
          <cell r="BQ196">
            <v>8</v>
          </cell>
          <cell r="BR196">
            <v>0</v>
          </cell>
          <cell r="BS196">
            <v>0</v>
          </cell>
          <cell r="BT196">
            <v>22</v>
          </cell>
          <cell r="BU196">
            <v>0</v>
          </cell>
        </row>
        <row r="197">
          <cell r="A197">
            <v>37</v>
          </cell>
          <cell r="B197">
            <v>37</v>
          </cell>
          <cell r="D197">
            <v>0</v>
          </cell>
          <cell r="F197">
            <v>0</v>
          </cell>
          <cell r="G197">
            <v>1</v>
          </cell>
          <cell r="I197">
            <v>1</v>
          </cell>
          <cell r="J197">
            <v>0</v>
          </cell>
          <cell r="K197">
            <v>21</v>
          </cell>
          <cell r="L197">
            <v>21</v>
          </cell>
          <cell r="M197">
            <v>3</v>
          </cell>
          <cell r="O197">
            <v>1</v>
          </cell>
          <cell r="P197">
            <v>0</v>
          </cell>
          <cell r="Q197">
            <v>0</v>
          </cell>
          <cell r="R197">
            <v>0</v>
          </cell>
          <cell r="S197">
            <v>0</v>
          </cell>
          <cell r="T197">
            <v>2</v>
          </cell>
          <cell r="V197">
            <v>0</v>
          </cell>
          <cell r="W197">
            <v>65</v>
          </cell>
          <cell r="X197">
            <v>4</v>
          </cell>
          <cell r="Y197">
            <v>1</v>
          </cell>
          <cell r="AA197">
            <v>0</v>
          </cell>
          <cell r="AB197">
            <v>0</v>
          </cell>
          <cell r="AC197">
            <v>0</v>
          </cell>
          <cell r="AD197">
            <v>0</v>
          </cell>
          <cell r="AE197">
            <v>0</v>
          </cell>
          <cell r="AF197">
            <v>0</v>
          </cell>
          <cell r="AG197">
            <v>0</v>
          </cell>
          <cell r="AH197">
            <v>1</v>
          </cell>
          <cell r="AI197">
            <v>1</v>
          </cell>
          <cell r="AK197">
            <v>0</v>
          </cell>
          <cell r="AL197">
            <v>1</v>
          </cell>
          <cell r="AN197">
            <v>3564</v>
          </cell>
          <cell r="AO197">
            <v>1</v>
          </cell>
          <cell r="AQ197">
            <v>1</v>
          </cell>
          <cell r="AR197">
            <v>12</v>
          </cell>
          <cell r="AS197">
            <v>3</v>
          </cell>
          <cell r="AT197">
            <v>1</v>
          </cell>
          <cell r="AU197">
            <v>1</v>
          </cell>
          <cell r="AV197">
            <v>8</v>
          </cell>
          <cell r="AW197">
            <v>8</v>
          </cell>
          <cell r="AX197">
            <v>3</v>
          </cell>
          <cell r="AY197">
            <v>2</v>
          </cell>
          <cell r="AZ197">
            <v>8</v>
          </cell>
          <cell r="BA197">
            <v>8</v>
          </cell>
          <cell r="BB197">
            <v>7</v>
          </cell>
          <cell r="BC197">
            <v>1</v>
          </cell>
          <cell r="BD197">
            <v>1</v>
          </cell>
          <cell r="BE197">
            <v>7</v>
          </cell>
          <cell r="BF197">
            <v>7</v>
          </cell>
          <cell r="BG197">
            <v>7</v>
          </cell>
          <cell r="BH197">
            <v>0</v>
          </cell>
          <cell r="BI197">
            <v>1</v>
          </cell>
          <cell r="BJ197">
            <v>0</v>
          </cell>
          <cell r="BK197">
            <v>0</v>
          </cell>
          <cell r="BL197">
            <v>0</v>
          </cell>
          <cell r="BM197">
            <v>0</v>
          </cell>
          <cell r="BN197">
            <v>0</v>
          </cell>
          <cell r="BO197">
            <v>1</v>
          </cell>
          <cell r="BP197">
            <v>0</v>
          </cell>
          <cell r="BQ197">
            <v>7</v>
          </cell>
          <cell r="BR197">
            <v>0</v>
          </cell>
          <cell r="BS197">
            <v>0</v>
          </cell>
          <cell r="BT197">
            <v>8</v>
          </cell>
          <cell r="BU197">
            <v>0</v>
          </cell>
        </row>
        <row r="198">
          <cell r="A198">
            <v>35</v>
          </cell>
          <cell r="B198">
            <v>35</v>
          </cell>
          <cell r="D198">
            <v>0</v>
          </cell>
          <cell r="F198">
            <v>1</v>
          </cell>
          <cell r="G198">
            <v>0</v>
          </cell>
          <cell r="I198">
            <v>1</v>
          </cell>
          <cell r="J198">
            <v>0</v>
          </cell>
          <cell r="K198">
            <v>2</v>
          </cell>
          <cell r="L198">
            <v>2</v>
          </cell>
          <cell r="M198">
            <v>3</v>
          </cell>
          <cell r="O198">
            <v>0</v>
          </cell>
          <cell r="P198">
            <v>0</v>
          </cell>
          <cell r="Q198">
            <v>1</v>
          </cell>
          <cell r="R198">
            <v>0</v>
          </cell>
          <cell r="S198">
            <v>0</v>
          </cell>
          <cell r="T198">
            <v>2</v>
          </cell>
          <cell r="V198">
            <v>1</v>
          </cell>
          <cell r="W198">
            <v>37</v>
          </cell>
          <cell r="X198">
            <v>3</v>
          </cell>
          <cell r="Y198">
            <v>2</v>
          </cell>
          <cell r="AA198">
            <v>0</v>
          </cell>
          <cell r="AB198">
            <v>0</v>
          </cell>
          <cell r="AC198">
            <v>1</v>
          </cell>
          <cell r="AD198">
            <v>0</v>
          </cell>
          <cell r="AE198">
            <v>0</v>
          </cell>
          <cell r="AF198">
            <v>0</v>
          </cell>
          <cell r="AG198">
            <v>0</v>
          </cell>
          <cell r="AH198">
            <v>0</v>
          </cell>
          <cell r="AI198">
            <v>2</v>
          </cell>
          <cell r="AK198">
            <v>1</v>
          </cell>
          <cell r="AL198">
            <v>0</v>
          </cell>
          <cell r="AN198">
            <v>4425</v>
          </cell>
          <cell r="AO198">
            <v>5</v>
          </cell>
          <cell r="AQ198">
            <v>0</v>
          </cell>
          <cell r="AR198">
            <v>11</v>
          </cell>
          <cell r="AS198">
            <v>3</v>
          </cell>
          <cell r="AT198">
            <v>4</v>
          </cell>
          <cell r="AU198">
            <v>0</v>
          </cell>
          <cell r="AV198">
            <v>10</v>
          </cell>
          <cell r="AW198">
            <v>10</v>
          </cell>
          <cell r="AX198">
            <v>5</v>
          </cell>
          <cell r="AY198">
            <v>3</v>
          </cell>
          <cell r="AZ198">
            <v>6</v>
          </cell>
          <cell r="BA198">
            <v>6</v>
          </cell>
          <cell r="BB198">
            <v>2</v>
          </cell>
          <cell r="BC198">
            <v>1</v>
          </cell>
          <cell r="BD198">
            <v>1</v>
          </cell>
          <cell r="BE198">
            <v>2</v>
          </cell>
          <cell r="BF198">
            <v>2</v>
          </cell>
          <cell r="BG198">
            <v>4</v>
          </cell>
          <cell r="BH198">
            <v>0</v>
          </cell>
          <cell r="BI198">
            <v>0</v>
          </cell>
          <cell r="BJ198">
            <v>1</v>
          </cell>
          <cell r="BK198">
            <v>0</v>
          </cell>
          <cell r="BL198">
            <v>1</v>
          </cell>
          <cell r="BM198">
            <v>0</v>
          </cell>
          <cell r="BN198">
            <v>0</v>
          </cell>
          <cell r="BO198">
            <v>0</v>
          </cell>
          <cell r="BP198">
            <v>0</v>
          </cell>
          <cell r="BQ198">
            <v>2</v>
          </cell>
          <cell r="BR198">
            <v>0</v>
          </cell>
          <cell r="BS198">
            <v>0</v>
          </cell>
          <cell r="BT198">
            <v>10</v>
          </cell>
          <cell r="BU198">
            <v>0</v>
          </cell>
        </row>
        <row r="199">
          <cell r="A199">
            <v>42</v>
          </cell>
          <cell r="B199">
            <v>42</v>
          </cell>
          <cell r="D199">
            <v>0</v>
          </cell>
          <cell r="F199">
            <v>0</v>
          </cell>
          <cell r="G199">
            <v>0</v>
          </cell>
          <cell r="I199">
            <v>1</v>
          </cell>
          <cell r="J199">
            <v>0</v>
          </cell>
          <cell r="K199">
            <v>21</v>
          </cell>
          <cell r="L199">
            <v>21</v>
          </cell>
          <cell r="M199">
            <v>2</v>
          </cell>
          <cell r="O199">
            <v>0</v>
          </cell>
          <cell r="P199">
            <v>0</v>
          </cell>
          <cell r="Q199">
            <v>1</v>
          </cell>
          <cell r="R199">
            <v>0</v>
          </cell>
          <cell r="S199">
            <v>0</v>
          </cell>
          <cell r="T199">
            <v>3</v>
          </cell>
          <cell r="V199">
            <v>1</v>
          </cell>
          <cell r="W199">
            <v>36</v>
          </cell>
          <cell r="X199">
            <v>3</v>
          </cell>
          <cell r="Y199">
            <v>2</v>
          </cell>
          <cell r="AA199">
            <v>0</v>
          </cell>
          <cell r="AB199">
            <v>0</v>
          </cell>
          <cell r="AC199">
            <v>0</v>
          </cell>
          <cell r="AD199">
            <v>0</v>
          </cell>
          <cell r="AE199">
            <v>1</v>
          </cell>
          <cell r="AF199">
            <v>1</v>
          </cell>
          <cell r="AG199">
            <v>0</v>
          </cell>
          <cell r="AH199">
            <v>0</v>
          </cell>
          <cell r="AI199">
            <v>3</v>
          </cell>
          <cell r="AK199">
            <v>0</v>
          </cell>
          <cell r="AL199">
            <v>0</v>
          </cell>
          <cell r="AN199">
            <v>5265</v>
          </cell>
          <cell r="AO199">
            <v>2</v>
          </cell>
          <cell r="AQ199">
            <v>0</v>
          </cell>
          <cell r="AR199">
            <v>16</v>
          </cell>
          <cell r="AS199">
            <v>3</v>
          </cell>
          <cell r="AT199">
            <v>2</v>
          </cell>
          <cell r="AU199">
            <v>1</v>
          </cell>
          <cell r="AV199">
            <v>11</v>
          </cell>
          <cell r="AW199">
            <v>11</v>
          </cell>
          <cell r="AX199">
            <v>5</v>
          </cell>
          <cell r="AY199">
            <v>3</v>
          </cell>
          <cell r="AZ199">
            <v>5</v>
          </cell>
          <cell r="BA199">
            <v>5</v>
          </cell>
          <cell r="BB199">
            <v>3</v>
          </cell>
          <cell r="BC199">
            <v>0</v>
          </cell>
          <cell r="BD199">
            <v>0</v>
          </cell>
          <cell r="BE199">
            <v>2</v>
          </cell>
          <cell r="BF199">
            <v>2</v>
          </cell>
          <cell r="BG199">
            <v>4</v>
          </cell>
          <cell r="BH199">
            <v>1</v>
          </cell>
          <cell r="BI199">
            <v>0</v>
          </cell>
          <cell r="BJ199">
            <v>0</v>
          </cell>
          <cell r="BK199">
            <v>0</v>
          </cell>
          <cell r="BL199">
            <v>1</v>
          </cell>
          <cell r="BM199">
            <v>0</v>
          </cell>
          <cell r="BN199">
            <v>0</v>
          </cell>
          <cell r="BO199">
            <v>0</v>
          </cell>
          <cell r="BP199">
            <v>0</v>
          </cell>
          <cell r="BQ199">
            <v>2</v>
          </cell>
          <cell r="BR199">
            <v>0</v>
          </cell>
          <cell r="BS199">
            <v>0</v>
          </cell>
          <cell r="BT199">
            <v>11</v>
          </cell>
          <cell r="BU199">
            <v>0</v>
          </cell>
        </row>
        <row r="200">
          <cell r="A200">
            <v>38</v>
          </cell>
          <cell r="B200">
            <v>38</v>
          </cell>
          <cell r="D200">
            <v>0</v>
          </cell>
          <cell r="F200">
            <v>0</v>
          </cell>
          <cell r="G200">
            <v>1</v>
          </cell>
          <cell r="I200">
            <v>1</v>
          </cell>
          <cell r="J200">
            <v>0</v>
          </cell>
          <cell r="K200">
            <v>2</v>
          </cell>
          <cell r="L200">
            <v>2</v>
          </cell>
          <cell r="M200">
            <v>4</v>
          </cell>
          <cell r="O200">
            <v>1</v>
          </cell>
          <cell r="P200">
            <v>0</v>
          </cell>
          <cell r="Q200">
            <v>0</v>
          </cell>
          <cell r="R200">
            <v>0</v>
          </cell>
          <cell r="S200">
            <v>0</v>
          </cell>
          <cell r="T200">
            <v>4</v>
          </cell>
          <cell r="V200">
            <v>0</v>
          </cell>
          <cell r="W200">
            <v>88</v>
          </cell>
          <cell r="X200">
            <v>3</v>
          </cell>
          <cell r="Y200">
            <v>2</v>
          </cell>
          <cell r="AA200">
            <v>0</v>
          </cell>
          <cell r="AB200">
            <v>0</v>
          </cell>
          <cell r="AC200">
            <v>0</v>
          </cell>
          <cell r="AD200">
            <v>0</v>
          </cell>
          <cell r="AE200">
            <v>1</v>
          </cell>
          <cell r="AF200">
            <v>1</v>
          </cell>
          <cell r="AG200">
            <v>0</v>
          </cell>
          <cell r="AH200">
            <v>0</v>
          </cell>
          <cell r="AI200">
            <v>3</v>
          </cell>
          <cell r="AK200">
            <v>0</v>
          </cell>
          <cell r="AL200">
            <v>1</v>
          </cell>
          <cell r="AN200">
            <v>6553</v>
          </cell>
          <cell r="AO200">
            <v>9</v>
          </cell>
          <cell r="AQ200">
            <v>0</v>
          </cell>
          <cell r="AR200">
            <v>14</v>
          </cell>
          <cell r="AS200">
            <v>3</v>
          </cell>
          <cell r="AT200">
            <v>2</v>
          </cell>
          <cell r="AU200">
            <v>0</v>
          </cell>
          <cell r="AV200">
            <v>14</v>
          </cell>
          <cell r="AW200">
            <v>14</v>
          </cell>
          <cell r="AX200">
            <v>3</v>
          </cell>
          <cell r="AY200">
            <v>3</v>
          </cell>
          <cell r="AZ200">
            <v>1</v>
          </cell>
          <cell r="BA200">
            <v>1</v>
          </cell>
          <cell r="BB200">
            <v>0</v>
          </cell>
          <cell r="BC200">
            <v>0</v>
          </cell>
          <cell r="BD200">
            <v>0</v>
          </cell>
          <cell r="BE200">
            <v>0</v>
          </cell>
          <cell r="BF200">
            <v>0</v>
          </cell>
          <cell r="BG200">
            <v>0</v>
          </cell>
          <cell r="BH200">
            <v>0</v>
          </cell>
          <cell r="BI200">
            <v>1</v>
          </cell>
          <cell r="BJ200">
            <v>0</v>
          </cell>
          <cell r="BK200">
            <v>0</v>
          </cell>
          <cell r="BL200">
            <v>0</v>
          </cell>
          <cell r="BM200">
            <v>0</v>
          </cell>
          <cell r="BN200">
            <v>1</v>
          </cell>
          <cell r="BO200">
            <v>0</v>
          </cell>
          <cell r="BP200">
            <v>0</v>
          </cell>
          <cell r="BQ200">
            <v>0</v>
          </cell>
          <cell r="BR200">
            <v>0</v>
          </cell>
          <cell r="BS200">
            <v>0</v>
          </cell>
          <cell r="BT200">
            <v>14</v>
          </cell>
          <cell r="BU200">
            <v>0</v>
          </cell>
        </row>
        <row r="201">
          <cell r="A201">
            <v>38</v>
          </cell>
          <cell r="B201">
            <v>38</v>
          </cell>
          <cell r="D201">
            <v>0</v>
          </cell>
          <cell r="F201">
            <v>0</v>
          </cell>
          <cell r="G201">
            <v>1</v>
          </cell>
          <cell r="I201">
            <v>1</v>
          </cell>
          <cell r="J201">
            <v>0</v>
          </cell>
          <cell r="K201">
            <v>29</v>
          </cell>
          <cell r="L201">
            <v>29</v>
          </cell>
          <cell r="M201">
            <v>3</v>
          </cell>
          <cell r="O201">
            <v>0</v>
          </cell>
          <cell r="P201">
            <v>0</v>
          </cell>
          <cell r="Q201">
            <v>0</v>
          </cell>
          <cell r="R201">
            <v>0</v>
          </cell>
          <cell r="S201">
            <v>1</v>
          </cell>
          <cell r="T201">
            <v>4</v>
          </cell>
          <cell r="V201">
            <v>0</v>
          </cell>
          <cell r="W201">
            <v>54</v>
          </cell>
          <cell r="X201">
            <v>3</v>
          </cell>
          <cell r="Y201">
            <v>2</v>
          </cell>
          <cell r="AA201">
            <v>0</v>
          </cell>
          <cell r="AB201">
            <v>0</v>
          </cell>
          <cell r="AC201">
            <v>0</v>
          </cell>
          <cell r="AD201">
            <v>0</v>
          </cell>
          <cell r="AE201">
            <v>1</v>
          </cell>
          <cell r="AF201">
            <v>1</v>
          </cell>
          <cell r="AG201">
            <v>0</v>
          </cell>
          <cell r="AH201">
            <v>0</v>
          </cell>
          <cell r="AI201">
            <v>4</v>
          </cell>
          <cell r="AK201">
            <v>0</v>
          </cell>
          <cell r="AL201">
            <v>1</v>
          </cell>
          <cell r="AN201">
            <v>6261</v>
          </cell>
          <cell r="AO201">
            <v>3</v>
          </cell>
          <cell r="AQ201">
            <v>0</v>
          </cell>
          <cell r="AR201">
            <v>18</v>
          </cell>
          <cell r="AS201">
            <v>3</v>
          </cell>
          <cell r="AT201">
            <v>1</v>
          </cell>
          <cell r="AU201">
            <v>1</v>
          </cell>
          <cell r="AV201">
            <v>9</v>
          </cell>
          <cell r="AW201">
            <v>9</v>
          </cell>
          <cell r="AX201">
            <v>3</v>
          </cell>
          <cell r="AY201">
            <v>1</v>
          </cell>
          <cell r="AZ201">
            <v>7</v>
          </cell>
          <cell r="BA201">
            <v>7</v>
          </cell>
          <cell r="BB201">
            <v>7</v>
          </cell>
          <cell r="BC201">
            <v>1</v>
          </cell>
          <cell r="BD201">
            <v>1</v>
          </cell>
          <cell r="BE201">
            <v>7</v>
          </cell>
          <cell r="BF201">
            <v>7</v>
          </cell>
          <cell r="BG201">
            <v>14</v>
          </cell>
          <cell r="BH201">
            <v>0</v>
          </cell>
          <cell r="BI201">
            <v>1</v>
          </cell>
          <cell r="BJ201">
            <v>0</v>
          </cell>
          <cell r="BK201">
            <v>0</v>
          </cell>
          <cell r="BL201">
            <v>0</v>
          </cell>
          <cell r="BM201">
            <v>0</v>
          </cell>
          <cell r="BN201">
            <v>1</v>
          </cell>
          <cell r="BO201">
            <v>0</v>
          </cell>
          <cell r="BP201">
            <v>0</v>
          </cell>
          <cell r="BQ201">
            <v>7</v>
          </cell>
          <cell r="BR201">
            <v>0</v>
          </cell>
          <cell r="BS201">
            <v>0</v>
          </cell>
          <cell r="BT201">
            <v>9</v>
          </cell>
          <cell r="BU201">
            <v>0</v>
          </cell>
        </row>
        <row r="202">
          <cell r="A202">
            <v>27</v>
          </cell>
          <cell r="B202">
            <v>27</v>
          </cell>
          <cell r="D202">
            <v>0</v>
          </cell>
          <cell r="F202">
            <v>1</v>
          </cell>
          <cell r="G202">
            <v>0</v>
          </cell>
          <cell r="I202">
            <v>1</v>
          </cell>
          <cell r="J202">
            <v>0</v>
          </cell>
          <cell r="K202">
            <v>1</v>
          </cell>
          <cell r="L202">
            <v>1</v>
          </cell>
          <cell r="M202">
            <v>1</v>
          </cell>
          <cell r="O202">
            <v>0</v>
          </cell>
          <cell r="P202">
            <v>0</v>
          </cell>
          <cell r="Q202">
            <v>0</v>
          </cell>
          <cell r="R202">
            <v>0</v>
          </cell>
          <cell r="S202">
            <v>1</v>
          </cell>
          <cell r="T202">
            <v>3</v>
          </cell>
          <cell r="V202">
            <v>0</v>
          </cell>
          <cell r="W202">
            <v>60</v>
          </cell>
          <cell r="X202">
            <v>2</v>
          </cell>
          <cell r="Y202">
            <v>2</v>
          </cell>
          <cell r="AA202">
            <v>0</v>
          </cell>
          <cell r="AB202">
            <v>0</v>
          </cell>
          <cell r="AC202">
            <v>0</v>
          </cell>
          <cell r="AD202">
            <v>0</v>
          </cell>
          <cell r="AE202">
            <v>1</v>
          </cell>
          <cell r="AF202">
            <v>1</v>
          </cell>
          <cell r="AG202">
            <v>0</v>
          </cell>
          <cell r="AH202">
            <v>0</v>
          </cell>
          <cell r="AI202">
            <v>1</v>
          </cell>
          <cell r="AK202">
            <v>0</v>
          </cell>
          <cell r="AL202">
            <v>1</v>
          </cell>
          <cell r="AN202">
            <v>4298</v>
          </cell>
          <cell r="AO202">
            <v>5</v>
          </cell>
          <cell r="AQ202">
            <v>0</v>
          </cell>
          <cell r="AR202">
            <v>19</v>
          </cell>
          <cell r="AS202">
            <v>3</v>
          </cell>
          <cell r="AT202">
            <v>3</v>
          </cell>
          <cell r="AU202">
            <v>1</v>
          </cell>
          <cell r="AV202">
            <v>6</v>
          </cell>
          <cell r="AW202">
            <v>6</v>
          </cell>
          <cell r="AX202">
            <v>1</v>
          </cell>
          <cell r="AY202">
            <v>3</v>
          </cell>
          <cell r="AZ202">
            <v>2</v>
          </cell>
          <cell r="BA202">
            <v>2</v>
          </cell>
          <cell r="BB202">
            <v>2</v>
          </cell>
          <cell r="BC202">
            <v>2</v>
          </cell>
          <cell r="BD202">
            <v>2</v>
          </cell>
          <cell r="BE202">
            <v>0</v>
          </cell>
          <cell r="BF202">
            <v>0</v>
          </cell>
          <cell r="BG202">
            <v>0</v>
          </cell>
          <cell r="BH202">
            <v>0</v>
          </cell>
          <cell r="BI202">
            <v>0</v>
          </cell>
          <cell r="BJ202">
            <v>0</v>
          </cell>
          <cell r="BK202">
            <v>1</v>
          </cell>
          <cell r="BL202">
            <v>0</v>
          </cell>
          <cell r="BM202">
            <v>0</v>
          </cell>
          <cell r="BN202">
            <v>1</v>
          </cell>
          <cell r="BO202">
            <v>0</v>
          </cell>
          <cell r="BP202">
            <v>0</v>
          </cell>
          <cell r="BQ202">
            <v>0</v>
          </cell>
          <cell r="BR202">
            <v>0</v>
          </cell>
          <cell r="BS202">
            <v>0</v>
          </cell>
          <cell r="BT202">
            <v>6</v>
          </cell>
          <cell r="BU202">
            <v>0</v>
          </cell>
        </row>
        <row r="203">
          <cell r="A203">
            <v>49</v>
          </cell>
          <cell r="B203">
            <v>49</v>
          </cell>
          <cell r="D203">
            <v>0</v>
          </cell>
          <cell r="F203">
            <v>0</v>
          </cell>
          <cell r="G203">
            <v>0</v>
          </cell>
          <cell r="I203">
            <v>1</v>
          </cell>
          <cell r="J203">
            <v>0</v>
          </cell>
          <cell r="K203">
            <v>18</v>
          </cell>
          <cell r="L203">
            <v>18</v>
          </cell>
          <cell r="M203">
            <v>4</v>
          </cell>
          <cell r="O203">
            <v>1</v>
          </cell>
          <cell r="P203">
            <v>0</v>
          </cell>
          <cell r="Q203">
            <v>0</v>
          </cell>
          <cell r="R203">
            <v>0</v>
          </cell>
          <cell r="S203">
            <v>0</v>
          </cell>
          <cell r="T203">
            <v>4</v>
          </cell>
          <cell r="V203">
            <v>0</v>
          </cell>
          <cell r="W203">
            <v>92</v>
          </cell>
          <cell r="X203">
            <v>3</v>
          </cell>
          <cell r="Y203">
            <v>2</v>
          </cell>
          <cell r="AA203">
            <v>0</v>
          </cell>
          <cell r="AB203">
            <v>0</v>
          </cell>
          <cell r="AC203">
            <v>0</v>
          </cell>
          <cell r="AD203">
            <v>0</v>
          </cell>
          <cell r="AE203">
            <v>1</v>
          </cell>
          <cell r="AF203">
            <v>1</v>
          </cell>
          <cell r="AG203">
            <v>0</v>
          </cell>
          <cell r="AH203">
            <v>0</v>
          </cell>
          <cell r="AI203">
            <v>4</v>
          </cell>
          <cell r="AK203">
            <v>0</v>
          </cell>
          <cell r="AL203">
            <v>0</v>
          </cell>
          <cell r="AN203">
            <v>6804</v>
          </cell>
          <cell r="AO203">
            <v>1</v>
          </cell>
          <cell r="AQ203">
            <v>1</v>
          </cell>
          <cell r="AR203">
            <v>15</v>
          </cell>
          <cell r="AS203">
            <v>3</v>
          </cell>
          <cell r="AT203">
            <v>1</v>
          </cell>
          <cell r="AU203">
            <v>2</v>
          </cell>
          <cell r="AV203">
            <v>7</v>
          </cell>
          <cell r="AW203">
            <v>7</v>
          </cell>
          <cell r="AX203">
            <v>0</v>
          </cell>
          <cell r="AY203">
            <v>3</v>
          </cell>
          <cell r="AZ203">
            <v>7</v>
          </cell>
          <cell r="BA203">
            <v>7</v>
          </cell>
          <cell r="BB203">
            <v>7</v>
          </cell>
          <cell r="BC203">
            <v>1</v>
          </cell>
          <cell r="BD203">
            <v>1</v>
          </cell>
          <cell r="BE203">
            <v>7</v>
          </cell>
          <cell r="BF203">
            <v>7</v>
          </cell>
          <cell r="BG203">
            <v>14</v>
          </cell>
          <cell r="BH203">
            <v>1</v>
          </cell>
          <cell r="BI203">
            <v>0</v>
          </cell>
          <cell r="BJ203">
            <v>0</v>
          </cell>
          <cell r="BK203">
            <v>0</v>
          </cell>
          <cell r="BL203">
            <v>0</v>
          </cell>
          <cell r="BM203">
            <v>1</v>
          </cell>
          <cell r="BN203">
            <v>0</v>
          </cell>
          <cell r="BO203">
            <v>0</v>
          </cell>
          <cell r="BP203">
            <v>0</v>
          </cell>
          <cell r="BQ203">
            <v>7</v>
          </cell>
          <cell r="BR203">
            <v>0</v>
          </cell>
          <cell r="BS203">
            <v>0</v>
          </cell>
          <cell r="BT203">
            <v>7</v>
          </cell>
          <cell r="BU203">
            <v>0</v>
          </cell>
        </row>
        <row r="204">
          <cell r="A204">
            <v>34</v>
          </cell>
          <cell r="B204">
            <v>34</v>
          </cell>
          <cell r="D204">
            <v>0</v>
          </cell>
          <cell r="F204">
            <v>1</v>
          </cell>
          <cell r="G204">
            <v>0</v>
          </cell>
          <cell r="I204">
            <v>1</v>
          </cell>
          <cell r="J204">
            <v>0</v>
          </cell>
          <cell r="K204">
            <v>10</v>
          </cell>
          <cell r="L204">
            <v>10</v>
          </cell>
          <cell r="M204">
            <v>4</v>
          </cell>
          <cell r="O204">
            <v>0</v>
          </cell>
          <cell r="P204">
            <v>0</v>
          </cell>
          <cell r="Q204">
            <v>1</v>
          </cell>
          <cell r="R204">
            <v>0</v>
          </cell>
          <cell r="S204">
            <v>0</v>
          </cell>
          <cell r="T204">
            <v>4</v>
          </cell>
          <cell r="V204">
            <v>0</v>
          </cell>
          <cell r="W204">
            <v>43</v>
          </cell>
          <cell r="X204">
            <v>3</v>
          </cell>
          <cell r="Y204">
            <v>1</v>
          </cell>
          <cell r="AA204">
            <v>0</v>
          </cell>
          <cell r="AB204">
            <v>0</v>
          </cell>
          <cell r="AC204">
            <v>0</v>
          </cell>
          <cell r="AD204">
            <v>0</v>
          </cell>
          <cell r="AE204">
            <v>0</v>
          </cell>
          <cell r="AF204">
            <v>0</v>
          </cell>
          <cell r="AG204">
            <v>0</v>
          </cell>
          <cell r="AH204">
            <v>1</v>
          </cell>
          <cell r="AI204">
            <v>3</v>
          </cell>
          <cell r="AK204">
            <v>0</v>
          </cell>
          <cell r="AL204">
            <v>0</v>
          </cell>
          <cell r="AN204">
            <v>3815</v>
          </cell>
          <cell r="AO204">
            <v>1</v>
          </cell>
          <cell r="AQ204">
            <v>1</v>
          </cell>
          <cell r="AR204">
            <v>17</v>
          </cell>
          <cell r="AS204">
            <v>3</v>
          </cell>
          <cell r="AT204">
            <v>4</v>
          </cell>
          <cell r="AU204">
            <v>1</v>
          </cell>
          <cell r="AV204">
            <v>5</v>
          </cell>
          <cell r="AW204">
            <v>5</v>
          </cell>
          <cell r="AX204">
            <v>4</v>
          </cell>
          <cell r="AY204">
            <v>4</v>
          </cell>
          <cell r="AZ204">
            <v>5</v>
          </cell>
          <cell r="BA204">
            <v>5</v>
          </cell>
          <cell r="BB204">
            <v>3</v>
          </cell>
          <cell r="BC204">
            <v>2</v>
          </cell>
          <cell r="BD204">
            <v>2</v>
          </cell>
          <cell r="BE204">
            <v>0</v>
          </cell>
          <cell r="BF204">
            <v>0</v>
          </cell>
          <cell r="BG204">
            <v>0</v>
          </cell>
          <cell r="BH204">
            <v>0</v>
          </cell>
          <cell r="BI204">
            <v>0</v>
          </cell>
          <cell r="BJ204">
            <v>1</v>
          </cell>
          <cell r="BK204">
            <v>0</v>
          </cell>
          <cell r="BL204">
            <v>0</v>
          </cell>
          <cell r="BM204">
            <v>1</v>
          </cell>
          <cell r="BN204">
            <v>0</v>
          </cell>
          <cell r="BO204">
            <v>0</v>
          </cell>
          <cell r="BP204">
            <v>0</v>
          </cell>
          <cell r="BQ204">
            <v>0</v>
          </cell>
          <cell r="BR204">
            <v>0</v>
          </cell>
          <cell r="BS204">
            <v>0</v>
          </cell>
          <cell r="BT204">
            <v>5</v>
          </cell>
          <cell r="BU204">
            <v>0</v>
          </cell>
        </row>
        <row r="205">
          <cell r="A205">
            <v>40</v>
          </cell>
          <cell r="B205">
            <v>40</v>
          </cell>
          <cell r="D205">
            <v>0</v>
          </cell>
          <cell r="F205">
            <v>0</v>
          </cell>
          <cell r="G205">
            <v>1</v>
          </cell>
          <cell r="I205">
            <v>1</v>
          </cell>
          <cell r="J205">
            <v>0</v>
          </cell>
          <cell r="K205">
            <v>19</v>
          </cell>
          <cell r="L205">
            <v>19</v>
          </cell>
          <cell r="M205">
            <v>2</v>
          </cell>
          <cell r="O205">
            <v>0</v>
          </cell>
          <cell r="P205">
            <v>0</v>
          </cell>
          <cell r="Q205">
            <v>1</v>
          </cell>
          <cell r="R205">
            <v>0</v>
          </cell>
          <cell r="S205">
            <v>0</v>
          </cell>
          <cell r="T205">
            <v>3</v>
          </cell>
          <cell r="V205">
            <v>0</v>
          </cell>
          <cell r="W205">
            <v>99</v>
          </cell>
          <cell r="X205">
            <v>3</v>
          </cell>
          <cell r="Y205">
            <v>2</v>
          </cell>
          <cell r="AA205">
            <v>0</v>
          </cell>
          <cell r="AB205">
            <v>0</v>
          </cell>
          <cell r="AC205">
            <v>1</v>
          </cell>
          <cell r="AD205">
            <v>0</v>
          </cell>
          <cell r="AE205">
            <v>0</v>
          </cell>
          <cell r="AF205">
            <v>0</v>
          </cell>
          <cell r="AG205">
            <v>0</v>
          </cell>
          <cell r="AH205">
            <v>0</v>
          </cell>
          <cell r="AI205">
            <v>4</v>
          </cell>
          <cell r="AK205">
            <v>0</v>
          </cell>
          <cell r="AL205">
            <v>1</v>
          </cell>
          <cell r="AN205">
            <v>2741</v>
          </cell>
          <cell r="AO205">
            <v>8</v>
          </cell>
          <cell r="AQ205">
            <v>1</v>
          </cell>
          <cell r="AR205">
            <v>15</v>
          </cell>
          <cell r="AS205">
            <v>3</v>
          </cell>
          <cell r="AT205">
            <v>3</v>
          </cell>
          <cell r="AU205">
            <v>1</v>
          </cell>
          <cell r="AV205">
            <v>15</v>
          </cell>
          <cell r="AW205">
            <v>15</v>
          </cell>
          <cell r="AX205">
            <v>2</v>
          </cell>
          <cell r="AY205">
            <v>4</v>
          </cell>
          <cell r="AZ205">
            <v>7</v>
          </cell>
          <cell r="BA205">
            <v>7</v>
          </cell>
          <cell r="BB205">
            <v>2</v>
          </cell>
          <cell r="BC205">
            <v>3</v>
          </cell>
          <cell r="BD205">
            <v>3</v>
          </cell>
          <cell r="BE205">
            <v>7</v>
          </cell>
          <cell r="BF205">
            <v>7</v>
          </cell>
          <cell r="BG205">
            <v>14</v>
          </cell>
          <cell r="BH205">
            <v>0</v>
          </cell>
          <cell r="BI205">
            <v>1</v>
          </cell>
          <cell r="BJ205">
            <v>0</v>
          </cell>
          <cell r="BK205">
            <v>0</v>
          </cell>
          <cell r="BL205">
            <v>0</v>
          </cell>
          <cell r="BM205">
            <v>0</v>
          </cell>
          <cell r="BN205">
            <v>0</v>
          </cell>
          <cell r="BO205">
            <v>1</v>
          </cell>
          <cell r="BP205">
            <v>0</v>
          </cell>
          <cell r="BQ205">
            <v>7</v>
          </cell>
          <cell r="BR205">
            <v>0</v>
          </cell>
          <cell r="BS205">
            <v>0</v>
          </cell>
          <cell r="BT205">
            <v>15</v>
          </cell>
          <cell r="BU205">
            <v>0</v>
          </cell>
        </row>
        <row r="206">
          <cell r="A206">
            <v>38</v>
          </cell>
          <cell r="B206">
            <v>38</v>
          </cell>
          <cell r="D206">
            <v>1</v>
          </cell>
          <cell r="F206">
            <v>0</v>
          </cell>
          <cell r="G206">
            <v>1</v>
          </cell>
          <cell r="I206">
            <v>1</v>
          </cell>
          <cell r="J206">
            <v>0</v>
          </cell>
          <cell r="K206">
            <v>29</v>
          </cell>
          <cell r="L206">
            <v>29</v>
          </cell>
          <cell r="M206">
            <v>1</v>
          </cell>
          <cell r="O206">
            <v>0</v>
          </cell>
          <cell r="P206">
            <v>0</v>
          </cell>
          <cell r="Q206">
            <v>1</v>
          </cell>
          <cell r="R206">
            <v>0</v>
          </cell>
          <cell r="S206">
            <v>0</v>
          </cell>
          <cell r="T206">
            <v>2</v>
          </cell>
          <cell r="V206">
            <v>0</v>
          </cell>
          <cell r="W206">
            <v>70</v>
          </cell>
          <cell r="X206">
            <v>3</v>
          </cell>
          <cell r="Y206">
            <v>2</v>
          </cell>
          <cell r="AA206">
            <v>1</v>
          </cell>
          <cell r="AB206">
            <v>0</v>
          </cell>
          <cell r="AC206">
            <v>0</v>
          </cell>
          <cell r="AD206">
            <v>0</v>
          </cell>
          <cell r="AE206">
            <v>0</v>
          </cell>
          <cell r="AF206">
            <v>0</v>
          </cell>
          <cell r="AG206">
            <v>0</v>
          </cell>
          <cell r="AH206">
            <v>0</v>
          </cell>
          <cell r="AI206">
            <v>1</v>
          </cell>
          <cell r="AK206">
            <v>0</v>
          </cell>
          <cell r="AL206">
            <v>1</v>
          </cell>
          <cell r="AN206">
            <v>6673</v>
          </cell>
          <cell r="AO206">
            <v>7</v>
          </cell>
          <cell r="AQ206">
            <v>1</v>
          </cell>
          <cell r="AR206">
            <v>19</v>
          </cell>
          <cell r="AS206">
            <v>3</v>
          </cell>
          <cell r="AT206">
            <v>2</v>
          </cell>
          <cell r="AU206">
            <v>0</v>
          </cell>
          <cell r="AV206">
            <v>17</v>
          </cell>
          <cell r="AW206">
            <v>17</v>
          </cell>
          <cell r="AX206">
            <v>2</v>
          </cell>
          <cell r="AY206">
            <v>3</v>
          </cell>
          <cell r="AZ206">
            <v>1</v>
          </cell>
          <cell r="BA206">
            <v>1</v>
          </cell>
          <cell r="BB206">
            <v>0</v>
          </cell>
          <cell r="BC206">
            <v>0</v>
          </cell>
          <cell r="BD206">
            <v>0</v>
          </cell>
          <cell r="BE206">
            <v>0</v>
          </cell>
          <cell r="BF206">
            <v>0</v>
          </cell>
          <cell r="BG206">
            <v>0</v>
          </cell>
          <cell r="BH206">
            <v>0</v>
          </cell>
          <cell r="BI206">
            <v>1</v>
          </cell>
          <cell r="BJ206">
            <v>0</v>
          </cell>
          <cell r="BK206">
            <v>0</v>
          </cell>
          <cell r="BL206">
            <v>0</v>
          </cell>
          <cell r="BM206">
            <v>0</v>
          </cell>
          <cell r="BN206">
            <v>0</v>
          </cell>
          <cell r="BO206">
            <v>1</v>
          </cell>
          <cell r="BP206">
            <v>0</v>
          </cell>
          <cell r="BQ206">
            <v>0</v>
          </cell>
          <cell r="BR206">
            <v>0</v>
          </cell>
          <cell r="BS206">
            <v>0</v>
          </cell>
          <cell r="BT206">
            <v>17</v>
          </cell>
          <cell r="BU206">
            <v>0</v>
          </cell>
        </row>
        <row r="207">
          <cell r="A207">
            <v>29</v>
          </cell>
          <cell r="B207">
            <v>29</v>
          </cell>
          <cell r="D207">
            <v>1</v>
          </cell>
          <cell r="F207">
            <v>0</v>
          </cell>
          <cell r="G207">
            <v>1</v>
          </cell>
          <cell r="I207">
            <v>0</v>
          </cell>
          <cell r="J207">
            <v>1</v>
          </cell>
          <cell r="K207">
            <v>27</v>
          </cell>
          <cell r="L207">
            <v>27</v>
          </cell>
          <cell r="M207">
            <v>3</v>
          </cell>
          <cell r="O207">
            <v>0</v>
          </cell>
          <cell r="P207">
            <v>0</v>
          </cell>
          <cell r="Q207">
            <v>0</v>
          </cell>
          <cell r="R207">
            <v>1</v>
          </cell>
          <cell r="S207">
            <v>0</v>
          </cell>
          <cell r="T207">
            <v>2</v>
          </cell>
          <cell r="V207">
            <v>1</v>
          </cell>
          <cell r="W207">
            <v>35</v>
          </cell>
          <cell r="X207">
            <v>3</v>
          </cell>
          <cell r="Y207">
            <v>3</v>
          </cell>
          <cell r="AA207">
            <v>0</v>
          </cell>
          <cell r="AB207">
            <v>1</v>
          </cell>
          <cell r="AC207">
            <v>0</v>
          </cell>
          <cell r="AD207">
            <v>0</v>
          </cell>
          <cell r="AE207">
            <v>0</v>
          </cell>
          <cell r="AF207">
            <v>0</v>
          </cell>
          <cell r="AG207">
            <v>0</v>
          </cell>
          <cell r="AH207">
            <v>0</v>
          </cell>
          <cell r="AI207">
            <v>4</v>
          </cell>
          <cell r="AK207">
            <v>0</v>
          </cell>
          <cell r="AL207">
            <v>1</v>
          </cell>
          <cell r="AN207">
            <v>7639</v>
          </cell>
          <cell r="AO207">
            <v>1</v>
          </cell>
          <cell r="AQ207">
            <v>0</v>
          </cell>
          <cell r="AR207">
            <v>22</v>
          </cell>
          <cell r="AS207">
            <v>4</v>
          </cell>
          <cell r="AT207">
            <v>4</v>
          </cell>
          <cell r="AU207">
            <v>3</v>
          </cell>
          <cell r="AV207">
            <v>10</v>
          </cell>
          <cell r="AW207">
            <v>10</v>
          </cell>
          <cell r="AX207">
            <v>3</v>
          </cell>
          <cell r="AY207">
            <v>2</v>
          </cell>
          <cell r="AZ207">
            <v>10</v>
          </cell>
          <cell r="BA207">
            <v>10</v>
          </cell>
          <cell r="BB207">
            <v>4</v>
          </cell>
          <cell r="BC207">
            <v>1</v>
          </cell>
          <cell r="BD207">
            <v>1</v>
          </cell>
          <cell r="BE207">
            <v>9</v>
          </cell>
          <cell r="BF207">
            <v>9</v>
          </cell>
          <cell r="BG207">
            <v>27</v>
          </cell>
          <cell r="BH207">
            <v>0</v>
          </cell>
          <cell r="BI207">
            <v>1</v>
          </cell>
          <cell r="BJ207">
            <v>0</v>
          </cell>
          <cell r="BK207">
            <v>0</v>
          </cell>
          <cell r="BL207">
            <v>0</v>
          </cell>
          <cell r="BM207">
            <v>0</v>
          </cell>
          <cell r="BN207">
            <v>1</v>
          </cell>
          <cell r="BO207">
            <v>0</v>
          </cell>
          <cell r="BP207">
            <v>0</v>
          </cell>
          <cell r="BQ207">
            <v>0</v>
          </cell>
          <cell r="BR207">
            <v>9</v>
          </cell>
          <cell r="BS207">
            <v>0</v>
          </cell>
          <cell r="BT207">
            <v>0</v>
          </cell>
          <cell r="BU207">
            <v>10</v>
          </cell>
        </row>
        <row r="208">
          <cell r="A208">
            <v>22</v>
          </cell>
          <cell r="B208">
            <v>22</v>
          </cell>
          <cell r="D208">
            <v>0</v>
          </cell>
          <cell r="F208">
            <v>0</v>
          </cell>
          <cell r="G208">
            <v>1</v>
          </cell>
          <cell r="I208">
            <v>1</v>
          </cell>
          <cell r="J208">
            <v>0</v>
          </cell>
          <cell r="K208">
            <v>5</v>
          </cell>
          <cell r="L208">
            <v>5</v>
          </cell>
          <cell r="M208">
            <v>3</v>
          </cell>
          <cell r="O208">
            <v>1</v>
          </cell>
          <cell r="P208">
            <v>0</v>
          </cell>
          <cell r="Q208">
            <v>0</v>
          </cell>
          <cell r="R208">
            <v>0</v>
          </cell>
          <cell r="S208">
            <v>0</v>
          </cell>
          <cell r="T208">
            <v>4</v>
          </cell>
          <cell r="V208">
            <v>0</v>
          </cell>
          <cell r="W208">
            <v>60</v>
          </cell>
          <cell r="X208">
            <v>4</v>
          </cell>
          <cell r="Y208">
            <v>1</v>
          </cell>
          <cell r="AA208">
            <v>0</v>
          </cell>
          <cell r="AB208">
            <v>0</v>
          </cell>
          <cell r="AC208">
            <v>0</v>
          </cell>
          <cell r="AD208">
            <v>0</v>
          </cell>
          <cell r="AE208">
            <v>0</v>
          </cell>
          <cell r="AF208">
            <v>0</v>
          </cell>
          <cell r="AG208">
            <v>0</v>
          </cell>
          <cell r="AH208">
            <v>1</v>
          </cell>
          <cell r="AI208">
            <v>2</v>
          </cell>
          <cell r="AK208">
            <v>0</v>
          </cell>
          <cell r="AL208">
            <v>0</v>
          </cell>
          <cell r="AN208">
            <v>2328</v>
          </cell>
          <cell r="AO208">
            <v>1</v>
          </cell>
          <cell r="AQ208">
            <v>1</v>
          </cell>
          <cell r="AR208">
            <v>16</v>
          </cell>
          <cell r="AS208">
            <v>3</v>
          </cell>
          <cell r="AT208">
            <v>1</v>
          </cell>
          <cell r="AU208">
            <v>1</v>
          </cell>
          <cell r="AV208">
            <v>4</v>
          </cell>
          <cell r="AW208">
            <v>4</v>
          </cell>
          <cell r="AX208">
            <v>2</v>
          </cell>
          <cell r="AY208">
            <v>2</v>
          </cell>
          <cell r="AZ208">
            <v>4</v>
          </cell>
          <cell r="BA208">
            <v>4</v>
          </cell>
          <cell r="BB208">
            <v>2</v>
          </cell>
          <cell r="BC208">
            <v>2</v>
          </cell>
          <cell r="BD208">
            <v>2</v>
          </cell>
          <cell r="BE208">
            <v>2</v>
          </cell>
          <cell r="BF208">
            <v>2</v>
          </cell>
          <cell r="BG208">
            <v>2</v>
          </cell>
          <cell r="BH208">
            <v>1</v>
          </cell>
          <cell r="BI208">
            <v>0</v>
          </cell>
          <cell r="BJ208">
            <v>0</v>
          </cell>
          <cell r="BK208">
            <v>0</v>
          </cell>
          <cell r="BL208">
            <v>0</v>
          </cell>
          <cell r="BM208">
            <v>1</v>
          </cell>
          <cell r="BN208">
            <v>0</v>
          </cell>
          <cell r="BO208">
            <v>0</v>
          </cell>
          <cell r="BP208">
            <v>0</v>
          </cell>
          <cell r="BQ208">
            <v>2</v>
          </cell>
          <cell r="BR208">
            <v>0</v>
          </cell>
          <cell r="BS208">
            <v>0</v>
          </cell>
          <cell r="BT208">
            <v>4</v>
          </cell>
          <cell r="BU208">
            <v>0</v>
          </cell>
        </row>
        <row r="209">
          <cell r="A209">
            <v>36</v>
          </cell>
          <cell r="B209">
            <v>36</v>
          </cell>
          <cell r="D209">
            <v>0</v>
          </cell>
          <cell r="F209">
            <v>1</v>
          </cell>
          <cell r="G209">
            <v>0</v>
          </cell>
          <cell r="I209">
            <v>1</v>
          </cell>
          <cell r="J209">
            <v>0</v>
          </cell>
          <cell r="K209">
            <v>18</v>
          </cell>
          <cell r="L209">
            <v>18</v>
          </cell>
          <cell r="M209">
            <v>1</v>
          </cell>
          <cell r="O209">
            <v>0</v>
          </cell>
          <cell r="P209">
            <v>0</v>
          </cell>
          <cell r="Q209">
            <v>1</v>
          </cell>
          <cell r="R209">
            <v>0</v>
          </cell>
          <cell r="S209">
            <v>0</v>
          </cell>
          <cell r="T209">
            <v>2</v>
          </cell>
          <cell r="V209">
            <v>1</v>
          </cell>
          <cell r="W209">
            <v>73</v>
          </cell>
          <cell r="X209">
            <v>3</v>
          </cell>
          <cell r="Y209">
            <v>1</v>
          </cell>
          <cell r="AA209">
            <v>0</v>
          </cell>
          <cell r="AB209">
            <v>0</v>
          </cell>
          <cell r="AC209">
            <v>1</v>
          </cell>
          <cell r="AD209">
            <v>0</v>
          </cell>
          <cell r="AE209">
            <v>0</v>
          </cell>
          <cell r="AF209">
            <v>0</v>
          </cell>
          <cell r="AG209">
            <v>0</v>
          </cell>
          <cell r="AH209">
            <v>0</v>
          </cell>
          <cell r="AI209">
            <v>4</v>
          </cell>
          <cell r="AK209">
            <v>1</v>
          </cell>
          <cell r="AL209">
            <v>0</v>
          </cell>
          <cell r="AN209">
            <v>2153</v>
          </cell>
          <cell r="AO209">
            <v>1</v>
          </cell>
          <cell r="AQ209">
            <v>0</v>
          </cell>
          <cell r="AR209">
            <v>13</v>
          </cell>
          <cell r="AS209">
            <v>3</v>
          </cell>
          <cell r="AT209">
            <v>1</v>
          </cell>
          <cell r="AU209">
            <v>0</v>
          </cell>
          <cell r="AV209">
            <v>8</v>
          </cell>
          <cell r="AW209">
            <v>8</v>
          </cell>
          <cell r="AX209">
            <v>2</v>
          </cell>
          <cell r="AY209">
            <v>3</v>
          </cell>
          <cell r="AZ209">
            <v>8</v>
          </cell>
          <cell r="BA209">
            <v>8</v>
          </cell>
          <cell r="BB209">
            <v>1</v>
          </cell>
          <cell r="BC209">
            <v>1</v>
          </cell>
          <cell r="BD209">
            <v>1</v>
          </cell>
          <cell r="BE209">
            <v>7</v>
          </cell>
          <cell r="BF209">
            <v>7</v>
          </cell>
          <cell r="BG209">
            <v>7</v>
          </cell>
          <cell r="BH209">
            <v>0</v>
          </cell>
          <cell r="BI209">
            <v>0</v>
          </cell>
          <cell r="BJ209">
            <v>1</v>
          </cell>
          <cell r="BK209">
            <v>0</v>
          </cell>
          <cell r="BL209">
            <v>1</v>
          </cell>
          <cell r="BM209">
            <v>0</v>
          </cell>
          <cell r="BN209">
            <v>0</v>
          </cell>
          <cell r="BO209">
            <v>0</v>
          </cell>
          <cell r="BP209">
            <v>0</v>
          </cell>
          <cell r="BQ209">
            <v>7</v>
          </cell>
          <cell r="BR209">
            <v>0</v>
          </cell>
          <cell r="BS209">
            <v>0</v>
          </cell>
          <cell r="BT209">
            <v>8</v>
          </cell>
          <cell r="BU209">
            <v>0</v>
          </cell>
        </row>
        <row r="210">
          <cell r="A210">
            <v>40</v>
          </cell>
          <cell r="B210">
            <v>40</v>
          </cell>
          <cell r="D210">
            <v>0</v>
          </cell>
          <cell r="F210">
            <v>0</v>
          </cell>
          <cell r="G210">
            <v>0</v>
          </cell>
          <cell r="I210">
            <v>1</v>
          </cell>
          <cell r="J210">
            <v>0</v>
          </cell>
          <cell r="K210">
            <v>9</v>
          </cell>
          <cell r="L210">
            <v>9</v>
          </cell>
          <cell r="M210">
            <v>5</v>
          </cell>
          <cell r="O210">
            <v>1</v>
          </cell>
          <cell r="P210">
            <v>0</v>
          </cell>
          <cell r="Q210">
            <v>0</v>
          </cell>
          <cell r="R210">
            <v>0</v>
          </cell>
          <cell r="S210">
            <v>0</v>
          </cell>
          <cell r="T210">
            <v>4</v>
          </cell>
          <cell r="V210">
            <v>0</v>
          </cell>
          <cell r="W210">
            <v>63</v>
          </cell>
          <cell r="X210">
            <v>2</v>
          </cell>
          <cell r="Y210">
            <v>2</v>
          </cell>
          <cell r="AA210">
            <v>1</v>
          </cell>
          <cell r="AB210">
            <v>0</v>
          </cell>
          <cell r="AC210">
            <v>0</v>
          </cell>
          <cell r="AD210">
            <v>0</v>
          </cell>
          <cell r="AE210">
            <v>0</v>
          </cell>
          <cell r="AF210">
            <v>0</v>
          </cell>
          <cell r="AG210">
            <v>0</v>
          </cell>
          <cell r="AH210">
            <v>0</v>
          </cell>
          <cell r="AI210">
            <v>4</v>
          </cell>
          <cell r="AK210">
            <v>0</v>
          </cell>
          <cell r="AL210">
            <v>1</v>
          </cell>
          <cell r="AN210">
            <v>4876</v>
          </cell>
          <cell r="AO210">
            <v>9</v>
          </cell>
          <cell r="AQ210">
            <v>0</v>
          </cell>
          <cell r="AR210">
            <v>14</v>
          </cell>
          <cell r="AS210">
            <v>3</v>
          </cell>
          <cell r="AT210">
            <v>4</v>
          </cell>
          <cell r="AU210">
            <v>1</v>
          </cell>
          <cell r="AV210">
            <v>5</v>
          </cell>
          <cell r="AW210">
            <v>5</v>
          </cell>
          <cell r="AX210">
            <v>5</v>
          </cell>
          <cell r="AY210">
            <v>1</v>
          </cell>
          <cell r="AZ210">
            <v>3</v>
          </cell>
          <cell r="BA210">
            <v>3</v>
          </cell>
          <cell r="BB210">
            <v>2</v>
          </cell>
          <cell r="BC210">
            <v>0</v>
          </cell>
          <cell r="BD210">
            <v>0</v>
          </cell>
          <cell r="BE210">
            <v>2</v>
          </cell>
          <cell r="BF210">
            <v>2</v>
          </cell>
          <cell r="BG210">
            <v>4</v>
          </cell>
          <cell r="BH210">
            <v>0</v>
          </cell>
          <cell r="BI210">
            <v>1</v>
          </cell>
          <cell r="BJ210">
            <v>0</v>
          </cell>
          <cell r="BK210">
            <v>0</v>
          </cell>
          <cell r="BL210">
            <v>0</v>
          </cell>
          <cell r="BM210">
            <v>0</v>
          </cell>
          <cell r="BN210">
            <v>1</v>
          </cell>
          <cell r="BO210">
            <v>0</v>
          </cell>
          <cell r="BP210">
            <v>0</v>
          </cell>
          <cell r="BQ210">
            <v>2</v>
          </cell>
          <cell r="BR210">
            <v>0</v>
          </cell>
          <cell r="BS210">
            <v>0</v>
          </cell>
          <cell r="BT210">
            <v>5</v>
          </cell>
          <cell r="BU210">
            <v>0</v>
          </cell>
        </row>
        <row r="211">
          <cell r="A211">
            <v>46</v>
          </cell>
          <cell r="B211">
            <v>46</v>
          </cell>
          <cell r="D211">
            <v>0</v>
          </cell>
          <cell r="F211">
            <v>0</v>
          </cell>
          <cell r="G211">
            <v>1</v>
          </cell>
          <cell r="I211">
            <v>1</v>
          </cell>
          <cell r="J211">
            <v>0</v>
          </cell>
          <cell r="K211">
            <v>1</v>
          </cell>
          <cell r="L211">
            <v>1</v>
          </cell>
          <cell r="M211">
            <v>4</v>
          </cell>
          <cell r="O211">
            <v>0</v>
          </cell>
          <cell r="P211">
            <v>0</v>
          </cell>
          <cell r="Q211">
            <v>1</v>
          </cell>
          <cell r="R211">
            <v>0</v>
          </cell>
          <cell r="S211">
            <v>0</v>
          </cell>
          <cell r="T211">
            <v>4</v>
          </cell>
          <cell r="V211">
            <v>0</v>
          </cell>
          <cell r="W211">
            <v>97</v>
          </cell>
          <cell r="X211">
            <v>3</v>
          </cell>
          <cell r="Y211">
            <v>3</v>
          </cell>
          <cell r="AA211">
            <v>1</v>
          </cell>
          <cell r="AB211">
            <v>0</v>
          </cell>
          <cell r="AC211">
            <v>0</v>
          </cell>
          <cell r="AD211">
            <v>0</v>
          </cell>
          <cell r="AE211">
            <v>0</v>
          </cell>
          <cell r="AF211">
            <v>0</v>
          </cell>
          <cell r="AG211">
            <v>0</v>
          </cell>
          <cell r="AH211">
            <v>0</v>
          </cell>
          <cell r="AI211">
            <v>1</v>
          </cell>
          <cell r="AK211">
            <v>0</v>
          </cell>
          <cell r="AL211">
            <v>0</v>
          </cell>
          <cell r="AN211">
            <v>9396</v>
          </cell>
          <cell r="AO211">
            <v>7</v>
          </cell>
          <cell r="AQ211">
            <v>0</v>
          </cell>
          <cell r="AR211">
            <v>16</v>
          </cell>
          <cell r="AS211">
            <v>3</v>
          </cell>
          <cell r="AT211">
            <v>3</v>
          </cell>
          <cell r="AU211">
            <v>1</v>
          </cell>
          <cell r="AV211">
            <v>17</v>
          </cell>
          <cell r="AW211">
            <v>17</v>
          </cell>
          <cell r="AX211">
            <v>3</v>
          </cell>
          <cell r="AY211">
            <v>3</v>
          </cell>
          <cell r="AZ211">
            <v>4</v>
          </cell>
          <cell r="BA211">
            <v>4</v>
          </cell>
          <cell r="BB211">
            <v>2</v>
          </cell>
          <cell r="BC211">
            <v>0</v>
          </cell>
          <cell r="BD211">
            <v>0</v>
          </cell>
          <cell r="BE211">
            <v>3</v>
          </cell>
          <cell r="BF211">
            <v>3</v>
          </cell>
          <cell r="BG211">
            <v>9</v>
          </cell>
          <cell r="BH211">
            <v>1</v>
          </cell>
          <cell r="BI211">
            <v>0</v>
          </cell>
          <cell r="BJ211">
            <v>0</v>
          </cell>
          <cell r="BK211">
            <v>0</v>
          </cell>
          <cell r="BL211">
            <v>1</v>
          </cell>
          <cell r="BM211">
            <v>0</v>
          </cell>
          <cell r="BN211">
            <v>0</v>
          </cell>
          <cell r="BO211">
            <v>0</v>
          </cell>
          <cell r="BP211">
            <v>0</v>
          </cell>
          <cell r="BQ211">
            <v>3</v>
          </cell>
          <cell r="BR211">
            <v>0</v>
          </cell>
          <cell r="BS211">
            <v>0</v>
          </cell>
          <cell r="BT211">
            <v>17</v>
          </cell>
          <cell r="BU211">
            <v>0</v>
          </cell>
        </row>
        <row r="212">
          <cell r="A212">
            <v>32</v>
          </cell>
          <cell r="B212">
            <v>32</v>
          </cell>
          <cell r="D212">
            <v>1</v>
          </cell>
          <cell r="F212">
            <v>0</v>
          </cell>
          <cell r="G212">
            <v>1</v>
          </cell>
          <cell r="I212">
            <v>0</v>
          </cell>
          <cell r="J212">
            <v>1</v>
          </cell>
          <cell r="K212">
            <v>4</v>
          </cell>
          <cell r="L212">
            <v>4</v>
          </cell>
          <cell r="M212">
            <v>4</v>
          </cell>
          <cell r="O212">
            <v>0</v>
          </cell>
          <cell r="P212">
            <v>0</v>
          </cell>
          <cell r="Q212">
            <v>1</v>
          </cell>
          <cell r="R212">
            <v>0</v>
          </cell>
          <cell r="S212">
            <v>0</v>
          </cell>
          <cell r="T212">
            <v>4</v>
          </cell>
          <cell r="V212">
            <v>0</v>
          </cell>
          <cell r="W212">
            <v>32</v>
          </cell>
          <cell r="X212">
            <v>1</v>
          </cell>
          <cell r="Y212">
            <v>3</v>
          </cell>
          <cell r="AA212">
            <v>0</v>
          </cell>
          <cell r="AB212">
            <v>1</v>
          </cell>
          <cell r="AC212">
            <v>0</v>
          </cell>
          <cell r="AD212">
            <v>0</v>
          </cell>
          <cell r="AE212">
            <v>0</v>
          </cell>
          <cell r="AF212">
            <v>0</v>
          </cell>
          <cell r="AG212">
            <v>0</v>
          </cell>
          <cell r="AH212">
            <v>0</v>
          </cell>
          <cell r="AI212">
            <v>4</v>
          </cell>
          <cell r="AK212">
            <v>0</v>
          </cell>
          <cell r="AL212">
            <v>1</v>
          </cell>
          <cell r="AN212">
            <v>10400</v>
          </cell>
          <cell r="AO212">
            <v>1</v>
          </cell>
          <cell r="AQ212">
            <v>0</v>
          </cell>
          <cell r="AR212">
            <v>11</v>
          </cell>
          <cell r="AS212">
            <v>3</v>
          </cell>
          <cell r="AT212">
            <v>3</v>
          </cell>
          <cell r="AU212">
            <v>0</v>
          </cell>
          <cell r="AV212">
            <v>14</v>
          </cell>
          <cell r="AW212">
            <v>14</v>
          </cell>
          <cell r="AX212">
            <v>2</v>
          </cell>
          <cell r="AY212">
            <v>2</v>
          </cell>
          <cell r="AZ212">
            <v>14</v>
          </cell>
          <cell r="BA212">
            <v>14</v>
          </cell>
          <cell r="BB212">
            <v>8</v>
          </cell>
          <cell r="BC212">
            <v>9</v>
          </cell>
          <cell r="BD212">
            <v>9</v>
          </cell>
          <cell r="BE212">
            <v>8</v>
          </cell>
          <cell r="BF212">
            <v>8</v>
          </cell>
          <cell r="BG212">
            <v>24</v>
          </cell>
          <cell r="BH212">
            <v>0</v>
          </cell>
          <cell r="BI212">
            <v>1</v>
          </cell>
          <cell r="BJ212">
            <v>0</v>
          </cell>
          <cell r="BK212">
            <v>0</v>
          </cell>
          <cell r="BL212">
            <v>0</v>
          </cell>
          <cell r="BM212">
            <v>0</v>
          </cell>
          <cell r="BN212">
            <v>1</v>
          </cell>
          <cell r="BO212">
            <v>0</v>
          </cell>
          <cell r="BP212">
            <v>0</v>
          </cell>
          <cell r="BQ212">
            <v>0</v>
          </cell>
          <cell r="BR212">
            <v>8</v>
          </cell>
          <cell r="BS212">
            <v>0</v>
          </cell>
          <cell r="BT212">
            <v>0</v>
          </cell>
          <cell r="BU212">
            <v>14</v>
          </cell>
        </row>
        <row r="213">
          <cell r="A213">
            <v>30</v>
          </cell>
          <cell r="B213">
            <v>30</v>
          </cell>
          <cell r="D213">
            <v>0</v>
          </cell>
          <cell r="F213">
            <v>0</v>
          </cell>
          <cell r="G213">
            <v>0</v>
          </cell>
          <cell r="I213">
            <v>1</v>
          </cell>
          <cell r="J213">
            <v>0</v>
          </cell>
          <cell r="K213">
            <v>1</v>
          </cell>
          <cell r="L213">
            <v>1</v>
          </cell>
          <cell r="M213">
            <v>1</v>
          </cell>
          <cell r="O213">
            <v>1</v>
          </cell>
          <cell r="P213">
            <v>0</v>
          </cell>
          <cell r="Q213">
            <v>0</v>
          </cell>
          <cell r="R213">
            <v>0</v>
          </cell>
          <cell r="S213">
            <v>0</v>
          </cell>
          <cell r="T213">
            <v>3</v>
          </cell>
          <cell r="V213">
            <v>0</v>
          </cell>
          <cell r="W213">
            <v>88</v>
          </cell>
          <cell r="X213">
            <v>2</v>
          </cell>
          <cell r="Y213">
            <v>3</v>
          </cell>
          <cell r="AA213">
            <v>0</v>
          </cell>
          <cell r="AB213">
            <v>0</v>
          </cell>
          <cell r="AC213">
            <v>0</v>
          </cell>
          <cell r="AD213">
            <v>0</v>
          </cell>
          <cell r="AE213">
            <v>1</v>
          </cell>
          <cell r="AF213">
            <v>1</v>
          </cell>
          <cell r="AG213">
            <v>0</v>
          </cell>
          <cell r="AH213">
            <v>0</v>
          </cell>
          <cell r="AI213">
            <v>3</v>
          </cell>
          <cell r="AK213">
            <v>1</v>
          </cell>
          <cell r="AL213">
            <v>0</v>
          </cell>
          <cell r="AN213">
            <v>8474</v>
          </cell>
          <cell r="AO213">
            <v>1</v>
          </cell>
          <cell r="AQ213">
            <v>0</v>
          </cell>
          <cell r="AR213">
            <v>22</v>
          </cell>
          <cell r="AS213">
            <v>4</v>
          </cell>
          <cell r="AT213">
            <v>3</v>
          </cell>
          <cell r="AU213">
            <v>0</v>
          </cell>
          <cell r="AV213">
            <v>12</v>
          </cell>
          <cell r="AW213">
            <v>12</v>
          </cell>
          <cell r="AX213">
            <v>2</v>
          </cell>
          <cell r="AY213">
            <v>3</v>
          </cell>
          <cell r="AZ213">
            <v>11</v>
          </cell>
          <cell r="BA213">
            <v>11</v>
          </cell>
          <cell r="BB213">
            <v>8</v>
          </cell>
          <cell r="BC213">
            <v>5</v>
          </cell>
          <cell r="BD213">
            <v>5</v>
          </cell>
          <cell r="BE213">
            <v>8</v>
          </cell>
          <cell r="BF213">
            <v>8</v>
          </cell>
          <cell r="BG213">
            <v>24</v>
          </cell>
          <cell r="BH213">
            <v>1</v>
          </cell>
          <cell r="BI213">
            <v>0</v>
          </cell>
          <cell r="BJ213">
            <v>0</v>
          </cell>
          <cell r="BK213">
            <v>0</v>
          </cell>
          <cell r="BL213">
            <v>1</v>
          </cell>
          <cell r="BM213">
            <v>0</v>
          </cell>
          <cell r="BN213">
            <v>0</v>
          </cell>
          <cell r="BO213">
            <v>0</v>
          </cell>
          <cell r="BP213">
            <v>0</v>
          </cell>
          <cell r="BQ213">
            <v>8</v>
          </cell>
          <cell r="BR213">
            <v>0</v>
          </cell>
          <cell r="BS213">
            <v>0</v>
          </cell>
          <cell r="BT213">
            <v>12</v>
          </cell>
          <cell r="BU213">
            <v>0</v>
          </cell>
        </row>
        <row r="214">
          <cell r="A214">
            <v>27</v>
          </cell>
          <cell r="B214">
            <v>27</v>
          </cell>
          <cell r="D214">
            <v>0</v>
          </cell>
          <cell r="F214">
            <v>1</v>
          </cell>
          <cell r="G214">
            <v>0</v>
          </cell>
          <cell r="I214">
            <v>0</v>
          </cell>
          <cell r="J214">
            <v>1</v>
          </cell>
          <cell r="K214">
            <v>20</v>
          </cell>
          <cell r="L214">
            <v>20</v>
          </cell>
          <cell r="M214">
            <v>3</v>
          </cell>
          <cell r="O214">
            <v>1</v>
          </cell>
          <cell r="P214">
            <v>0</v>
          </cell>
          <cell r="Q214">
            <v>0</v>
          </cell>
          <cell r="R214">
            <v>0</v>
          </cell>
          <cell r="S214">
            <v>0</v>
          </cell>
          <cell r="T214">
            <v>4</v>
          </cell>
          <cell r="V214">
            <v>1</v>
          </cell>
          <cell r="W214">
            <v>90</v>
          </cell>
          <cell r="X214">
            <v>3</v>
          </cell>
          <cell r="Y214">
            <v>2</v>
          </cell>
          <cell r="AA214">
            <v>0</v>
          </cell>
          <cell r="AB214">
            <v>1</v>
          </cell>
          <cell r="AC214">
            <v>0</v>
          </cell>
          <cell r="AD214">
            <v>0</v>
          </cell>
          <cell r="AE214">
            <v>0</v>
          </cell>
          <cell r="AF214">
            <v>0</v>
          </cell>
          <cell r="AG214">
            <v>0</v>
          </cell>
          <cell r="AH214">
            <v>0</v>
          </cell>
          <cell r="AI214">
            <v>3</v>
          </cell>
          <cell r="AK214">
            <v>1</v>
          </cell>
          <cell r="AL214">
            <v>0</v>
          </cell>
          <cell r="AN214">
            <v>9981</v>
          </cell>
          <cell r="AO214">
            <v>1</v>
          </cell>
          <cell r="AQ214">
            <v>0</v>
          </cell>
          <cell r="AR214">
            <v>14</v>
          </cell>
          <cell r="AS214">
            <v>3</v>
          </cell>
          <cell r="AT214">
            <v>4</v>
          </cell>
          <cell r="AU214">
            <v>0</v>
          </cell>
          <cell r="AV214">
            <v>7</v>
          </cell>
          <cell r="AW214">
            <v>7</v>
          </cell>
          <cell r="AX214">
            <v>2</v>
          </cell>
          <cell r="AY214">
            <v>3</v>
          </cell>
          <cell r="AZ214">
            <v>7</v>
          </cell>
          <cell r="BA214">
            <v>7</v>
          </cell>
          <cell r="BB214">
            <v>7</v>
          </cell>
          <cell r="BC214">
            <v>0</v>
          </cell>
          <cell r="BD214">
            <v>0</v>
          </cell>
          <cell r="BE214">
            <v>7</v>
          </cell>
          <cell r="BF214">
            <v>7</v>
          </cell>
          <cell r="BG214">
            <v>14</v>
          </cell>
          <cell r="BH214">
            <v>0</v>
          </cell>
          <cell r="BI214">
            <v>0</v>
          </cell>
          <cell r="BJ214">
            <v>1</v>
          </cell>
          <cell r="BK214">
            <v>0</v>
          </cell>
          <cell r="BL214">
            <v>1</v>
          </cell>
          <cell r="BM214">
            <v>0</v>
          </cell>
          <cell r="BN214">
            <v>0</v>
          </cell>
          <cell r="BO214">
            <v>0</v>
          </cell>
          <cell r="BP214">
            <v>0</v>
          </cell>
          <cell r="BQ214">
            <v>0</v>
          </cell>
          <cell r="BR214">
            <v>7</v>
          </cell>
          <cell r="BS214">
            <v>0</v>
          </cell>
          <cell r="BT214">
            <v>0</v>
          </cell>
          <cell r="BU214">
            <v>7</v>
          </cell>
        </row>
        <row r="215">
          <cell r="A215">
            <v>51</v>
          </cell>
          <cell r="B215">
            <v>51</v>
          </cell>
          <cell r="D215">
            <v>0</v>
          </cell>
          <cell r="F215">
            <v>0</v>
          </cell>
          <cell r="G215">
            <v>1</v>
          </cell>
          <cell r="I215">
            <v>1</v>
          </cell>
          <cell r="J215">
            <v>0</v>
          </cell>
          <cell r="K215">
            <v>8</v>
          </cell>
          <cell r="L215">
            <v>8</v>
          </cell>
          <cell r="M215">
            <v>4</v>
          </cell>
          <cell r="O215">
            <v>1</v>
          </cell>
          <cell r="P215">
            <v>0</v>
          </cell>
          <cell r="Q215">
            <v>0</v>
          </cell>
          <cell r="R215">
            <v>0</v>
          </cell>
          <cell r="S215">
            <v>0</v>
          </cell>
          <cell r="T215">
            <v>2</v>
          </cell>
          <cell r="V215">
            <v>0</v>
          </cell>
          <cell r="W215">
            <v>81</v>
          </cell>
          <cell r="X215">
            <v>2</v>
          </cell>
          <cell r="Y215">
            <v>3</v>
          </cell>
          <cell r="AA215">
            <v>0</v>
          </cell>
          <cell r="AB215">
            <v>0</v>
          </cell>
          <cell r="AC215">
            <v>0</v>
          </cell>
          <cell r="AD215">
            <v>0</v>
          </cell>
          <cell r="AE215">
            <v>0</v>
          </cell>
          <cell r="AF215">
            <v>0</v>
          </cell>
          <cell r="AG215">
            <v>0</v>
          </cell>
          <cell r="AH215">
            <v>0</v>
          </cell>
          <cell r="AI215">
            <v>2</v>
          </cell>
          <cell r="AK215">
            <v>0</v>
          </cell>
          <cell r="AL215">
            <v>1</v>
          </cell>
          <cell r="AN215">
            <v>12490</v>
          </cell>
          <cell r="AO215">
            <v>5</v>
          </cell>
          <cell r="AQ215">
            <v>0</v>
          </cell>
          <cell r="AR215">
            <v>16</v>
          </cell>
          <cell r="AS215">
            <v>3</v>
          </cell>
          <cell r="AT215">
            <v>4</v>
          </cell>
          <cell r="AU215">
            <v>2</v>
          </cell>
          <cell r="AV215">
            <v>16</v>
          </cell>
          <cell r="AW215">
            <v>16</v>
          </cell>
          <cell r="AX215">
            <v>5</v>
          </cell>
          <cell r="AY215">
            <v>1</v>
          </cell>
          <cell r="AZ215">
            <v>10</v>
          </cell>
          <cell r="BA215">
            <v>10</v>
          </cell>
          <cell r="BB215">
            <v>9</v>
          </cell>
          <cell r="BC215">
            <v>4</v>
          </cell>
          <cell r="BD215">
            <v>4</v>
          </cell>
          <cell r="BE215">
            <v>7</v>
          </cell>
          <cell r="BF215">
            <v>7</v>
          </cell>
          <cell r="BG215">
            <v>21</v>
          </cell>
          <cell r="BH215">
            <v>0</v>
          </cell>
          <cell r="BI215">
            <v>1</v>
          </cell>
          <cell r="BJ215">
            <v>0</v>
          </cell>
          <cell r="BK215">
            <v>0</v>
          </cell>
          <cell r="BL215">
            <v>0</v>
          </cell>
          <cell r="BM215">
            <v>0</v>
          </cell>
          <cell r="BN215">
            <v>1</v>
          </cell>
          <cell r="BO215">
            <v>0</v>
          </cell>
          <cell r="BP215">
            <v>0</v>
          </cell>
          <cell r="BQ215">
            <v>7</v>
          </cell>
          <cell r="BR215">
            <v>0</v>
          </cell>
          <cell r="BS215">
            <v>0</v>
          </cell>
          <cell r="BT215">
            <v>16</v>
          </cell>
          <cell r="BU215">
            <v>0</v>
          </cell>
        </row>
        <row r="216">
          <cell r="A216">
            <v>30</v>
          </cell>
          <cell r="B216">
            <v>30</v>
          </cell>
          <cell r="D216">
            <v>1</v>
          </cell>
          <cell r="F216">
            <v>0</v>
          </cell>
          <cell r="G216">
            <v>1</v>
          </cell>
          <cell r="I216">
            <v>1</v>
          </cell>
          <cell r="J216">
            <v>0</v>
          </cell>
          <cell r="K216">
            <v>3</v>
          </cell>
          <cell r="L216">
            <v>3</v>
          </cell>
          <cell r="M216">
            <v>3</v>
          </cell>
          <cell r="O216">
            <v>0</v>
          </cell>
          <cell r="P216">
            <v>0</v>
          </cell>
          <cell r="Q216">
            <v>0</v>
          </cell>
          <cell r="R216">
            <v>0</v>
          </cell>
          <cell r="S216">
            <v>1</v>
          </cell>
          <cell r="T216">
            <v>4</v>
          </cell>
          <cell r="V216">
            <v>1</v>
          </cell>
          <cell r="W216">
            <v>88</v>
          </cell>
          <cell r="X216">
            <v>3</v>
          </cell>
          <cell r="Y216">
            <v>1</v>
          </cell>
          <cell r="AA216">
            <v>0</v>
          </cell>
          <cell r="AB216">
            <v>0</v>
          </cell>
          <cell r="AC216">
            <v>0</v>
          </cell>
          <cell r="AD216">
            <v>0</v>
          </cell>
          <cell r="AE216">
            <v>0</v>
          </cell>
          <cell r="AF216">
            <v>0</v>
          </cell>
          <cell r="AG216">
            <v>0</v>
          </cell>
          <cell r="AH216">
            <v>1</v>
          </cell>
          <cell r="AI216">
            <v>1</v>
          </cell>
          <cell r="AK216">
            <v>1</v>
          </cell>
          <cell r="AL216">
            <v>0</v>
          </cell>
          <cell r="AN216">
            <v>2657</v>
          </cell>
          <cell r="AO216">
            <v>5</v>
          </cell>
          <cell r="AQ216">
            <v>1</v>
          </cell>
          <cell r="AR216">
            <v>11</v>
          </cell>
          <cell r="AS216">
            <v>3</v>
          </cell>
          <cell r="AT216">
            <v>3</v>
          </cell>
          <cell r="AU216">
            <v>0</v>
          </cell>
          <cell r="AV216">
            <v>8</v>
          </cell>
          <cell r="AW216">
            <v>8</v>
          </cell>
          <cell r="AX216">
            <v>5</v>
          </cell>
          <cell r="AY216">
            <v>3</v>
          </cell>
          <cell r="AZ216">
            <v>5</v>
          </cell>
          <cell r="BA216">
            <v>5</v>
          </cell>
          <cell r="BB216">
            <v>2</v>
          </cell>
          <cell r="BC216">
            <v>0</v>
          </cell>
          <cell r="BD216">
            <v>0</v>
          </cell>
          <cell r="BE216">
            <v>4</v>
          </cell>
          <cell r="BF216">
            <v>4</v>
          </cell>
          <cell r="BG216">
            <v>4</v>
          </cell>
          <cell r="BH216">
            <v>1</v>
          </cell>
          <cell r="BI216">
            <v>0</v>
          </cell>
          <cell r="BJ216">
            <v>0</v>
          </cell>
          <cell r="BK216">
            <v>0</v>
          </cell>
          <cell r="BL216">
            <v>0</v>
          </cell>
          <cell r="BM216">
            <v>1</v>
          </cell>
          <cell r="BN216">
            <v>0</v>
          </cell>
          <cell r="BO216">
            <v>0</v>
          </cell>
          <cell r="BP216">
            <v>0</v>
          </cell>
          <cell r="BQ216">
            <v>4</v>
          </cell>
          <cell r="BR216">
            <v>0</v>
          </cell>
          <cell r="BS216">
            <v>0</v>
          </cell>
          <cell r="BT216">
            <v>8</v>
          </cell>
          <cell r="BU216">
            <v>0</v>
          </cell>
        </row>
        <row r="217">
          <cell r="A217">
            <v>41</v>
          </cell>
          <cell r="B217">
            <v>41</v>
          </cell>
          <cell r="D217">
            <v>0</v>
          </cell>
          <cell r="F217">
            <v>0</v>
          </cell>
          <cell r="G217">
            <v>1</v>
          </cell>
          <cell r="I217">
            <v>0</v>
          </cell>
          <cell r="J217">
            <v>1</v>
          </cell>
          <cell r="K217">
            <v>6</v>
          </cell>
          <cell r="L217">
            <v>6</v>
          </cell>
          <cell r="M217">
            <v>3</v>
          </cell>
          <cell r="O217">
            <v>1</v>
          </cell>
          <cell r="P217">
            <v>0</v>
          </cell>
          <cell r="Q217">
            <v>0</v>
          </cell>
          <cell r="R217">
            <v>0</v>
          </cell>
          <cell r="S217">
            <v>0</v>
          </cell>
          <cell r="T217">
            <v>4</v>
          </cell>
          <cell r="V217">
            <v>1</v>
          </cell>
          <cell r="W217">
            <v>75</v>
          </cell>
          <cell r="X217">
            <v>3</v>
          </cell>
          <cell r="Y217">
            <v>3</v>
          </cell>
          <cell r="AA217">
            <v>0</v>
          </cell>
          <cell r="AB217">
            <v>0</v>
          </cell>
          <cell r="AC217">
            <v>0</v>
          </cell>
          <cell r="AD217">
            <v>1</v>
          </cell>
          <cell r="AE217">
            <v>0</v>
          </cell>
          <cell r="AF217">
            <v>0</v>
          </cell>
          <cell r="AG217">
            <v>0</v>
          </cell>
          <cell r="AH217">
            <v>0</v>
          </cell>
          <cell r="AI217">
            <v>4</v>
          </cell>
          <cell r="AK217">
            <v>1</v>
          </cell>
          <cell r="AL217">
            <v>0</v>
          </cell>
          <cell r="AN217">
            <v>13591</v>
          </cell>
          <cell r="AO217">
            <v>3</v>
          </cell>
          <cell r="AQ217">
            <v>1</v>
          </cell>
          <cell r="AR217">
            <v>18</v>
          </cell>
          <cell r="AS217">
            <v>3</v>
          </cell>
          <cell r="AT217">
            <v>3</v>
          </cell>
          <cell r="AU217">
            <v>0</v>
          </cell>
          <cell r="AV217">
            <v>16</v>
          </cell>
          <cell r="AW217">
            <v>16</v>
          </cell>
          <cell r="AX217">
            <v>3</v>
          </cell>
          <cell r="AY217">
            <v>3</v>
          </cell>
          <cell r="AZ217">
            <v>1</v>
          </cell>
          <cell r="BA217">
            <v>1</v>
          </cell>
          <cell r="BB217">
            <v>0</v>
          </cell>
          <cell r="BC217">
            <v>0</v>
          </cell>
          <cell r="BD217">
            <v>0</v>
          </cell>
          <cell r="BE217">
            <v>0</v>
          </cell>
          <cell r="BF217">
            <v>0</v>
          </cell>
          <cell r="BG217">
            <v>0</v>
          </cell>
          <cell r="BH217">
            <v>1</v>
          </cell>
          <cell r="BI217">
            <v>0</v>
          </cell>
          <cell r="BJ217">
            <v>0</v>
          </cell>
          <cell r="BK217">
            <v>0</v>
          </cell>
          <cell r="BL217">
            <v>0</v>
          </cell>
          <cell r="BM217">
            <v>1</v>
          </cell>
          <cell r="BN217">
            <v>0</v>
          </cell>
          <cell r="BO217">
            <v>0</v>
          </cell>
          <cell r="BP217">
            <v>0</v>
          </cell>
          <cell r="BQ217">
            <v>0</v>
          </cell>
          <cell r="BR217">
            <v>0</v>
          </cell>
          <cell r="BS217">
            <v>0</v>
          </cell>
          <cell r="BT217">
            <v>0</v>
          </cell>
          <cell r="BU217">
            <v>16</v>
          </cell>
        </row>
        <row r="218">
          <cell r="A218">
            <v>30</v>
          </cell>
          <cell r="B218">
            <v>30</v>
          </cell>
          <cell r="D218">
            <v>1</v>
          </cell>
          <cell r="F218">
            <v>1</v>
          </cell>
          <cell r="G218">
            <v>0</v>
          </cell>
          <cell r="I218">
            <v>0</v>
          </cell>
          <cell r="J218">
            <v>1</v>
          </cell>
          <cell r="K218">
            <v>26</v>
          </cell>
          <cell r="L218">
            <v>26</v>
          </cell>
          <cell r="M218">
            <v>4</v>
          </cell>
          <cell r="O218">
            <v>0</v>
          </cell>
          <cell r="P218">
            <v>0</v>
          </cell>
          <cell r="Q218">
            <v>0</v>
          </cell>
          <cell r="R218">
            <v>1</v>
          </cell>
          <cell r="S218">
            <v>0</v>
          </cell>
          <cell r="T218">
            <v>3</v>
          </cell>
          <cell r="V218">
            <v>1</v>
          </cell>
          <cell r="W218">
            <v>52</v>
          </cell>
          <cell r="X218">
            <v>2</v>
          </cell>
          <cell r="Y218">
            <v>2</v>
          </cell>
          <cell r="AA218">
            <v>0</v>
          </cell>
          <cell r="AB218">
            <v>1</v>
          </cell>
          <cell r="AC218">
            <v>0</v>
          </cell>
          <cell r="AD218">
            <v>0</v>
          </cell>
          <cell r="AE218">
            <v>0</v>
          </cell>
          <cell r="AF218">
            <v>0</v>
          </cell>
          <cell r="AG218">
            <v>0</v>
          </cell>
          <cell r="AH218">
            <v>0</v>
          </cell>
          <cell r="AI218">
            <v>1</v>
          </cell>
          <cell r="AK218">
            <v>1</v>
          </cell>
          <cell r="AL218">
            <v>0</v>
          </cell>
          <cell r="AN218">
            <v>6696</v>
          </cell>
          <cell r="AO218">
            <v>5</v>
          </cell>
          <cell r="AQ218">
            <v>0</v>
          </cell>
          <cell r="AR218">
            <v>15</v>
          </cell>
          <cell r="AS218">
            <v>3</v>
          </cell>
          <cell r="AT218">
            <v>3</v>
          </cell>
          <cell r="AU218">
            <v>0</v>
          </cell>
          <cell r="AV218">
            <v>9</v>
          </cell>
          <cell r="AW218">
            <v>9</v>
          </cell>
          <cell r="AX218">
            <v>5</v>
          </cell>
          <cell r="AY218">
            <v>2</v>
          </cell>
          <cell r="AZ218">
            <v>6</v>
          </cell>
          <cell r="BA218">
            <v>6</v>
          </cell>
          <cell r="BB218">
            <v>3</v>
          </cell>
          <cell r="BC218">
            <v>0</v>
          </cell>
          <cell r="BD218">
            <v>0</v>
          </cell>
          <cell r="BE218">
            <v>1</v>
          </cell>
          <cell r="BF218">
            <v>1</v>
          </cell>
          <cell r="BG218">
            <v>2</v>
          </cell>
          <cell r="BH218">
            <v>0</v>
          </cell>
          <cell r="BI218">
            <v>0</v>
          </cell>
          <cell r="BJ218">
            <v>1</v>
          </cell>
          <cell r="BK218">
            <v>0</v>
          </cell>
          <cell r="BL218">
            <v>1</v>
          </cell>
          <cell r="BM218">
            <v>0</v>
          </cell>
          <cell r="BN218">
            <v>0</v>
          </cell>
          <cell r="BO218">
            <v>0</v>
          </cell>
          <cell r="BP218">
            <v>0</v>
          </cell>
          <cell r="BQ218">
            <v>0</v>
          </cell>
          <cell r="BR218">
            <v>1</v>
          </cell>
          <cell r="BS218">
            <v>0</v>
          </cell>
          <cell r="BT218">
            <v>0</v>
          </cell>
          <cell r="BU218">
            <v>9</v>
          </cell>
        </row>
        <row r="219">
          <cell r="A219">
            <v>29</v>
          </cell>
          <cell r="B219">
            <v>29</v>
          </cell>
          <cell r="D219">
            <v>1</v>
          </cell>
          <cell r="F219">
            <v>0</v>
          </cell>
          <cell r="G219">
            <v>1</v>
          </cell>
          <cell r="I219">
            <v>1</v>
          </cell>
          <cell r="J219">
            <v>0</v>
          </cell>
          <cell r="K219">
            <v>1</v>
          </cell>
          <cell r="L219">
            <v>1</v>
          </cell>
          <cell r="M219">
            <v>3</v>
          </cell>
          <cell r="O219">
            <v>0</v>
          </cell>
          <cell r="P219">
            <v>0</v>
          </cell>
          <cell r="Q219">
            <v>0</v>
          </cell>
          <cell r="R219">
            <v>0</v>
          </cell>
          <cell r="S219">
            <v>1</v>
          </cell>
          <cell r="T219">
            <v>3</v>
          </cell>
          <cell r="V219">
            <v>0</v>
          </cell>
          <cell r="W219">
            <v>85</v>
          </cell>
          <cell r="X219">
            <v>3</v>
          </cell>
          <cell r="Y219">
            <v>1</v>
          </cell>
          <cell r="AA219">
            <v>0</v>
          </cell>
          <cell r="AB219">
            <v>0</v>
          </cell>
          <cell r="AC219">
            <v>0</v>
          </cell>
          <cell r="AD219">
            <v>0</v>
          </cell>
          <cell r="AE219">
            <v>0</v>
          </cell>
          <cell r="AF219">
            <v>0</v>
          </cell>
          <cell r="AG219">
            <v>0</v>
          </cell>
          <cell r="AH219">
            <v>1</v>
          </cell>
          <cell r="AI219">
            <v>3</v>
          </cell>
          <cell r="AK219">
            <v>1</v>
          </cell>
          <cell r="AL219">
            <v>0</v>
          </cell>
          <cell r="AN219">
            <v>2058</v>
          </cell>
          <cell r="AO219">
            <v>0</v>
          </cell>
          <cell r="AQ219">
            <v>0</v>
          </cell>
          <cell r="AR219">
            <v>14</v>
          </cell>
          <cell r="AS219">
            <v>3</v>
          </cell>
          <cell r="AT219">
            <v>4</v>
          </cell>
          <cell r="AU219">
            <v>0</v>
          </cell>
          <cell r="AV219">
            <v>7</v>
          </cell>
          <cell r="AW219">
            <v>7</v>
          </cell>
          <cell r="AX219">
            <v>1</v>
          </cell>
          <cell r="AY219">
            <v>2</v>
          </cell>
          <cell r="AZ219">
            <v>6</v>
          </cell>
          <cell r="BA219">
            <v>6</v>
          </cell>
          <cell r="BB219">
            <v>2</v>
          </cell>
          <cell r="BC219">
            <v>1</v>
          </cell>
          <cell r="BD219">
            <v>1</v>
          </cell>
          <cell r="BE219">
            <v>5</v>
          </cell>
          <cell r="BF219">
            <v>5</v>
          </cell>
          <cell r="BG219">
            <v>5</v>
          </cell>
          <cell r="BH219">
            <v>1</v>
          </cell>
          <cell r="BI219">
            <v>0</v>
          </cell>
          <cell r="BJ219">
            <v>0</v>
          </cell>
          <cell r="BK219">
            <v>0</v>
          </cell>
          <cell r="BL219">
            <v>1</v>
          </cell>
          <cell r="BM219">
            <v>0</v>
          </cell>
          <cell r="BN219">
            <v>0</v>
          </cell>
          <cell r="BO219">
            <v>0</v>
          </cell>
          <cell r="BP219">
            <v>0</v>
          </cell>
          <cell r="BQ219">
            <v>5</v>
          </cell>
          <cell r="BR219">
            <v>0</v>
          </cell>
          <cell r="BS219">
            <v>0</v>
          </cell>
          <cell r="BT219">
            <v>7</v>
          </cell>
          <cell r="BU219">
            <v>0</v>
          </cell>
        </row>
        <row r="220">
          <cell r="A220">
            <v>45</v>
          </cell>
          <cell r="B220">
            <v>45</v>
          </cell>
          <cell r="D220">
            <v>0</v>
          </cell>
          <cell r="F220">
            <v>0</v>
          </cell>
          <cell r="G220">
            <v>0</v>
          </cell>
          <cell r="I220">
            <v>0</v>
          </cell>
          <cell r="J220">
            <v>1</v>
          </cell>
          <cell r="K220">
            <v>6</v>
          </cell>
          <cell r="L220">
            <v>6</v>
          </cell>
          <cell r="M220">
            <v>3</v>
          </cell>
          <cell r="O220">
            <v>0</v>
          </cell>
          <cell r="P220">
            <v>0</v>
          </cell>
          <cell r="Q220">
            <v>1</v>
          </cell>
          <cell r="R220">
            <v>0</v>
          </cell>
          <cell r="S220">
            <v>0</v>
          </cell>
          <cell r="T220">
            <v>4</v>
          </cell>
          <cell r="V220">
            <v>1</v>
          </cell>
          <cell r="W220">
            <v>57</v>
          </cell>
          <cell r="X220">
            <v>2</v>
          </cell>
          <cell r="Y220">
            <v>3</v>
          </cell>
          <cell r="AA220">
            <v>0</v>
          </cell>
          <cell r="AB220">
            <v>1</v>
          </cell>
          <cell r="AC220">
            <v>0</v>
          </cell>
          <cell r="AD220">
            <v>0</v>
          </cell>
          <cell r="AE220">
            <v>0</v>
          </cell>
          <cell r="AF220">
            <v>0</v>
          </cell>
          <cell r="AG220">
            <v>0</v>
          </cell>
          <cell r="AH220">
            <v>0</v>
          </cell>
          <cell r="AI220">
            <v>4</v>
          </cell>
          <cell r="AK220">
            <v>1</v>
          </cell>
          <cell r="AL220">
            <v>0</v>
          </cell>
          <cell r="AN220">
            <v>8865</v>
          </cell>
          <cell r="AO220">
            <v>6</v>
          </cell>
          <cell r="AQ220">
            <v>0</v>
          </cell>
          <cell r="AR220">
            <v>12</v>
          </cell>
          <cell r="AS220">
            <v>3</v>
          </cell>
          <cell r="AT220">
            <v>4</v>
          </cell>
          <cell r="AU220">
            <v>0</v>
          </cell>
          <cell r="AV220">
            <v>23</v>
          </cell>
          <cell r="AW220">
            <v>23</v>
          </cell>
          <cell r="AX220">
            <v>2</v>
          </cell>
          <cell r="AY220">
            <v>3</v>
          </cell>
          <cell r="AZ220">
            <v>19</v>
          </cell>
          <cell r="BA220">
            <v>19</v>
          </cell>
          <cell r="BB220">
            <v>7</v>
          </cell>
          <cell r="BC220">
            <v>12</v>
          </cell>
          <cell r="BD220">
            <v>12</v>
          </cell>
          <cell r="BE220">
            <v>8</v>
          </cell>
          <cell r="BF220">
            <v>8</v>
          </cell>
          <cell r="BG220">
            <v>24</v>
          </cell>
          <cell r="BH220">
            <v>1</v>
          </cell>
          <cell r="BI220">
            <v>0</v>
          </cell>
          <cell r="BJ220">
            <v>0</v>
          </cell>
          <cell r="BK220">
            <v>0</v>
          </cell>
          <cell r="BL220">
            <v>1</v>
          </cell>
          <cell r="BM220">
            <v>0</v>
          </cell>
          <cell r="BN220">
            <v>0</v>
          </cell>
          <cell r="BO220">
            <v>0</v>
          </cell>
          <cell r="BP220">
            <v>0</v>
          </cell>
          <cell r="BQ220">
            <v>0</v>
          </cell>
          <cell r="BR220">
            <v>8</v>
          </cell>
          <cell r="BS220">
            <v>0</v>
          </cell>
          <cell r="BT220">
            <v>0</v>
          </cell>
          <cell r="BU220">
            <v>23</v>
          </cell>
        </row>
        <row r="221">
          <cell r="A221">
            <v>54</v>
          </cell>
          <cell r="B221">
            <v>54</v>
          </cell>
          <cell r="D221">
            <v>0</v>
          </cell>
          <cell r="F221">
            <v>0</v>
          </cell>
          <cell r="G221">
            <v>1</v>
          </cell>
          <cell r="I221">
            <v>0</v>
          </cell>
          <cell r="J221">
            <v>1</v>
          </cell>
          <cell r="K221">
            <v>3</v>
          </cell>
          <cell r="L221">
            <v>3</v>
          </cell>
          <cell r="M221">
            <v>3</v>
          </cell>
          <cell r="O221">
            <v>0</v>
          </cell>
          <cell r="P221">
            <v>0</v>
          </cell>
          <cell r="Q221">
            <v>0</v>
          </cell>
          <cell r="R221">
            <v>1</v>
          </cell>
          <cell r="S221">
            <v>0</v>
          </cell>
          <cell r="T221">
            <v>4</v>
          </cell>
          <cell r="V221">
            <v>1</v>
          </cell>
          <cell r="W221">
            <v>52</v>
          </cell>
          <cell r="X221">
            <v>3</v>
          </cell>
          <cell r="Y221">
            <v>2</v>
          </cell>
          <cell r="AA221">
            <v>0</v>
          </cell>
          <cell r="AB221">
            <v>1</v>
          </cell>
          <cell r="AC221">
            <v>0</v>
          </cell>
          <cell r="AD221">
            <v>0</v>
          </cell>
          <cell r="AE221">
            <v>0</v>
          </cell>
          <cell r="AF221">
            <v>0</v>
          </cell>
          <cell r="AG221">
            <v>0</v>
          </cell>
          <cell r="AH221">
            <v>0</v>
          </cell>
          <cell r="AI221">
            <v>1</v>
          </cell>
          <cell r="AK221">
            <v>0</v>
          </cell>
          <cell r="AL221">
            <v>1</v>
          </cell>
          <cell r="AN221">
            <v>5940</v>
          </cell>
          <cell r="AO221">
            <v>2</v>
          </cell>
          <cell r="AQ221">
            <v>0</v>
          </cell>
          <cell r="AR221">
            <v>14</v>
          </cell>
          <cell r="AS221">
            <v>3</v>
          </cell>
          <cell r="AT221">
            <v>4</v>
          </cell>
          <cell r="AU221">
            <v>1</v>
          </cell>
          <cell r="AV221">
            <v>16</v>
          </cell>
          <cell r="AW221">
            <v>16</v>
          </cell>
          <cell r="AX221">
            <v>4</v>
          </cell>
          <cell r="AY221">
            <v>3</v>
          </cell>
          <cell r="AZ221">
            <v>6</v>
          </cell>
          <cell r="BA221">
            <v>6</v>
          </cell>
          <cell r="BB221">
            <v>2</v>
          </cell>
          <cell r="BC221">
            <v>0</v>
          </cell>
          <cell r="BD221">
            <v>0</v>
          </cell>
          <cell r="BE221">
            <v>5</v>
          </cell>
          <cell r="BF221">
            <v>5</v>
          </cell>
          <cell r="BG221">
            <v>10</v>
          </cell>
          <cell r="BH221">
            <v>0</v>
          </cell>
          <cell r="BI221">
            <v>1</v>
          </cell>
          <cell r="BJ221">
            <v>0</v>
          </cell>
          <cell r="BK221">
            <v>0</v>
          </cell>
          <cell r="BL221">
            <v>0</v>
          </cell>
          <cell r="BM221">
            <v>0</v>
          </cell>
          <cell r="BN221">
            <v>1</v>
          </cell>
          <cell r="BO221">
            <v>0</v>
          </cell>
          <cell r="BP221">
            <v>0</v>
          </cell>
          <cell r="BQ221">
            <v>0</v>
          </cell>
          <cell r="BR221">
            <v>5</v>
          </cell>
          <cell r="BS221">
            <v>0</v>
          </cell>
          <cell r="BT221">
            <v>0</v>
          </cell>
          <cell r="BU221">
            <v>16</v>
          </cell>
        </row>
        <row r="222">
          <cell r="A222">
            <v>36</v>
          </cell>
          <cell r="B222">
            <v>36</v>
          </cell>
          <cell r="D222">
            <v>0</v>
          </cell>
          <cell r="F222">
            <v>0</v>
          </cell>
          <cell r="G222">
            <v>1</v>
          </cell>
          <cell r="I222">
            <v>1</v>
          </cell>
          <cell r="J222">
            <v>0</v>
          </cell>
          <cell r="K222">
            <v>5</v>
          </cell>
          <cell r="L222">
            <v>5</v>
          </cell>
          <cell r="M222">
            <v>2</v>
          </cell>
          <cell r="O222">
            <v>1</v>
          </cell>
          <cell r="P222">
            <v>0</v>
          </cell>
          <cell r="Q222">
            <v>0</v>
          </cell>
          <cell r="R222">
            <v>0</v>
          </cell>
          <cell r="S222">
            <v>0</v>
          </cell>
          <cell r="T222">
            <v>4</v>
          </cell>
          <cell r="V222">
            <v>0</v>
          </cell>
          <cell r="W222">
            <v>62</v>
          </cell>
          <cell r="X222">
            <v>3</v>
          </cell>
          <cell r="Y222">
            <v>2</v>
          </cell>
          <cell r="AA222">
            <v>0</v>
          </cell>
          <cell r="AB222">
            <v>0</v>
          </cell>
          <cell r="AC222">
            <v>1</v>
          </cell>
          <cell r="AD222">
            <v>0</v>
          </cell>
          <cell r="AE222">
            <v>0</v>
          </cell>
          <cell r="AF222">
            <v>0</v>
          </cell>
          <cell r="AG222">
            <v>0</v>
          </cell>
          <cell r="AH222">
            <v>0</v>
          </cell>
          <cell r="AI222">
            <v>2</v>
          </cell>
          <cell r="AK222">
            <v>1</v>
          </cell>
          <cell r="AL222">
            <v>0</v>
          </cell>
          <cell r="AN222">
            <v>5914</v>
          </cell>
          <cell r="AO222">
            <v>8</v>
          </cell>
          <cell r="AQ222">
            <v>0</v>
          </cell>
          <cell r="AR222">
            <v>16</v>
          </cell>
          <cell r="AS222">
            <v>3</v>
          </cell>
          <cell r="AT222">
            <v>4</v>
          </cell>
          <cell r="AU222">
            <v>0</v>
          </cell>
          <cell r="AV222">
            <v>16</v>
          </cell>
          <cell r="AW222">
            <v>16</v>
          </cell>
          <cell r="AX222">
            <v>3</v>
          </cell>
          <cell r="AY222">
            <v>4</v>
          </cell>
          <cell r="AZ222">
            <v>13</v>
          </cell>
          <cell r="BA222">
            <v>13</v>
          </cell>
          <cell r="BB222">
            <v>11</v>
          </cell>
          <cell r="BC222">
            <v>3</v>
          </cell>
          <cell r="BD222">
            <v>3</v>
          </cell>
          <cell r="BE222">
            <v>7</v>
          </cell>
          <cell r="BF222">
            <v>7</v>
          </cell>
          <cell r="BG222">
            <v>14</v>
          </cell>
          <cell r="BH222">
            <v>1</v>
          </cell>
          <cell r="BI222">
            <v>0</v>
          </cell>
          <cell r="BJ222">
            <v>0</v>
          </cell>
          <cell r="BK222">
            <v>0</v>
          </cell>
          <cell r="BL222">
            <v>1</v>
          </cell>
          <cell r="BM222">
            <v>0</v>
          </cell>
          <cell r="BN222">
            <v>0</v>
          </cell>
          <cell r="BO222">
            <v>0</v>
          </cell>
          <cell r="BP222">
            <v>0</v>
          </cell>
          <cell r="BQ222">
            <v>7</v>
          </cell>
          <cell r="BR222">
            <v>0</v>
          </cell>
          <cell r="BS222">
            <v>0</v>
          </cell>
          <cell r="BT222">
            <v>16</v>
          </cell>
          <cell r="BU222">
            <v>0</v>
          </cell>
        </row>
        <row r="223">
          <cell r="A223">
            <v>33</v>
          </cell>
          <cell r="B223">
            <v>33</v>
          </cell>
          <cell r="D223">
            <v>0</v>
          </cell>
          <cell r="F223">
            <v>0</v>
          </cell>
          <cell r="G223">
            <v>1</v>
          </cell>
          <cell r="I223">
            <v>1</v>
          </cell>
          <cell r="J223">
            <v>0</v>
          </cell>
          <cell r="K223">
            <v>4</v>
          </cell>
          <cell r="L223">
            <v>4</v>
          </cell>
          <cell r="M223">
            <v>4</v>
          </cell>
          <cell r="O223">
            <v>0</v>
          </cell>
          <cell r="P223">
            <v>0</v>
          </cell>
          <cell r="Q223">
            <v>1</v>
          </cell>
          <cell r="R223">
            <v>0</v>
          </cell>
          <cell r="S223">
            <v>0</v>
          </cell>
          <cell r="T223">
            <v>3</v>
          </cell>
          <cell r="V223">
            <v>1</v>
          </cell>
          <cell r="W223">
            <v>47</v>
          </cell>
          <cell r="X223">
            <v>2</v>
          </cell>
          <cell r="Y223">
            <v>1</v>
          </cell>
          <cell r="AA223">
            <v>0</v>
          </cell>
          <cell r="AB223">
            <v>0</v>
          </cell>
          <cell r="AC223">
            <v>0</v>
          </cell>
          <cell r="AD223">
            <v>0</v>
          </cell>
          <cell r="AE223">
            <v>0</v>
          </cell>
          <cell r="AF223">
            <v>0</v>
          </cell>
          <cell r="AG223">
            <v>0</v>
          </cell>
          <cell r="AH223">
            <v>1</v>
          </cell>
          <cell r="AI223">
            <v>2</v>
          </cell>
          <cell r="AK223">
            <v>0</v>
          </cell>
          <cell r="AL223">
            <v>1</v>
          </cell>
          <cell r="AN223">
            <v>2622</v>
          </cell>
          <cell r="AO223">
            <v>6</v>
          </cell>
          <cell r="AQ223">
            <v>0</v>
          </cell>
          <cell r="AR223">
            <v>21</v>
          </cell>
          <cell r="AS223">
            <v>4</v>
          </cell>
          <cell r="AT223">
            <v>4</v>
          </cell>
          <cell r="AU223">
            <v>0</v>
          </cell>
          <cell r="AV223">
            <v>7</v>
          </cell>
          <cell r="AW223">
            <v>7</v>
          </cell>
          <cell r="AX223">
            <v>3</v>
          </cell>
          <cell r="AY223">
            <v>3</v>
          </cell>
          <cell r="AZ223">
            <v>3</v>
          </cell>
          <cell r="BA223">
            <v>3</v>
          </cell>
          <cell r="BB223">
            <v>2</v>
          </cell>
          <cell r="BC223">
            <v>1</v>
          </cell>
          <cell r="BD223">
            <v>1</v>
          </cell>
          <cell r="BE223">
            <v>1</v>
          </cell>
          <cell r="BF223">
            <v>1</v>
          </cell>
          <cell r="BG223">
            <v>1</v>
          </cell>
          <cell r="BH223">
            <v>0</v>
          </cell>
          <cell r="BI223">
            <v>1</v>
          </cell>
          <cell r="BJ223">
            <v>0</v>
          </cell>
          <cell r="BK223">
            <v>0</v>
          </cell>
          <cell r="BL223">
            <v>0</v>
          </cell>
          <cell r="BM223">
            <v>0</v>
          </cell>
          <cell r="BN223">
            <v>1</v>
          </cell>
          <cell r="BO223">
            <v>0</v>
          </cell>
          <cell r="BP223">
            <v>0</v>
          </cell>
          <cell r="BQ223">
            <v>1</v>
          </cell>
          <cell r="BR223">
            <v>0</v>
          </cell>
          <cell r="BS223">
            <v>0</v>
          </cell>
          <cell r="BT223">
            <v>7</v>
          </cell>
          <cell r="BU223">
            <v>0</v>
          </cell>
        </row>
        <row r="224">
          <cell r="A224">
            <v>37</v>
          </cell>
          <cell r="B224">
            <v>37</v>
          </cell>
          <cell r="D224">
            <v>0</v>
          </cell>
          <cell r="F224">
            <v>1</v>
          </cell>
          <cell r="G224">
            <v>0</v>
          </cell>
          <cell r="I224">
            <v>1</v>
          </cell>
          <cell r="J224">
            <v>0</v>
          </cell>
          <cell r="K224">
            <v>11</v>
          </cell>
          <cell r="L224">
            <v>11</v>
          </cell>
          <cell r="M224">
            <v>3</v>
          </cell>
          <cell r="O224">
            <v>0</v>
          </cell>
          <cell r="P224">
            <v>1</v>
          </cell>
          <cell r="Q224">
            <v>0</v>
          </cell>
          <cell r="R224">
            <v>0</v>
          </cell>
          <cell r="S224">
            <v>0</v>
          </cell>
          <cell r="T224">
            <v>2</v>
          </cell>
          <cell r="V224">
            <v>0</v>
          </cell>
          <cell r="W224">
            <v>47</v>
          </cell>
          <cell r="X224">
            <v>3</v>
          </cell>
          <cell r="Y224">
            <v>3</v>
          </cell>
          <cell r="AA224">
            <v>0</v>
          </cell>
          <cell r="AB224">
            <v>0</v>
          </cell>
          <cell r="AC224">
            <v>0</v>
          </cell>
          <cell r="AD224">
            <v>0</v>
          </cell>
          <cell r="AE224">
            <v>0</v>
          </cell>
          <cell r="AF224">
            <v>0</v>
          </cell>
          <cell r="AG224">
            <v>0</v>
          </cell>
          <cell r="AH224">
            <v>0</v>
          </cell>
          <cell r="AI224">
            <v>4</v>
          </cell>
          <cell r="AK224">
            <v>0</v>
          </cell>
          <cell r="AL224">
            <v>0</v>
          </cell>
          <cell r="AN224">
            <v>12185</v>
          </cell>
          <cell r="AO224">
            <v>1</v>
          </cell>
          <cell r="AQ224">
            <v>1</v>
          </cell>
          <cell r="AR224">
            <v>14</v>
          </cell>
          <cell r="AS224">
            <v>3</v>
          </cell>
          <cell r="AT224">
            <v>3</v>
          </cell>
          <cell r="AU224">
            <v>3</v>
          </cell>
          <cell r="AV224">
            <v>10</v>
          </cell>
          <cell r="AW224">
            <v>10</v>
          </cell>
          <cell r="AX224">
            <v>1</v>
          </cell>
          <cell r="AY224">
            <v>3</v>
          </cell>
          <cell r="AZ224">
            <v>10</v>
          </cell>
          <cell r="BA224">
            <v>10</v>
          </cell>
          <cell r="BB224">
            <v>8</v>
          </cell>
          <cell r="BC224">
            <v>0</v>
          </cell>
          <cell r="BD224">
            <v>0</v>
          </cell>
          <cell r="BE224">
            <v>7</v>
          </cell>
          <cell r="BF224">
            <v>7</v>
          </cell>
          <cell r="BG224">
            <v>21</v>
          </cell>
          <cell r="BH224">
            <v>0</v>
          </cell>
          <cell r="BI224">
            <v>0</v>
          </cell>
          <cell r="BJ224">
            <v>1</v>
          </cell>
          <cell r="BK224">
            <v>0</v>
          </cell>
          <cell r="BL224">
            <v>0</v>
          </cell>
          <cell r="BM224">
            <v>1</v>
          </cell>
          <cell r="BN224">
            <v>0</v>
          </cell>
          <cell r="BO224">
            <v>0</v>
          </cell>
          <cell r="BP224">
            <v>0</v>
          </cell>
          <cell r="BQ224">
            <v>7</v>
          </cell>
          <cell r="BR224">
            <v>0</v>
          </cell>
          <cell r="BS224">
            <v>0</v>
          </cell>
          <cell r="BT224">
            <v>10</v>
          </cell>
          <cell r="BU224">
            <v>0</v>
          </cell>
        </row>
        <row r="225">
          <cell r="A225">
            <v>38</v>
          </cell>
          <cell r="B225">
            <v>38</v>
          </cell>
          <cell r="D225">
            <v>0</v>
          </cell>
          <cell r="F225">
            <v>0</v>
          </cell>
          <cell r="G225">
            <v>1</v>
          </cell>
          <cell r="I225">
            <v>0</v>
          </cell>
          <cell r="J225">
            <v>1</v>
          </cell>
          <cell r="K225">
            <v>3</v>
          </cell>
          <cell r="L225">
            <v>3</v>
          </cell>
          <cell r="M225">
            <v>3</v>
          </cell>
          <cell r="O225">
            <v>1</v>
          </cell>
          <cell r="P225">
            <v>0</v>
          </cell>
          <cell r="Q225">
            <v>0</v>
          </cell>
          <cell r="R225">
            <v>0</v>
          </cell>
          <cell r="S225">
            <v>0</v>
          </cell>
          <cell r="T225">
            <v>1</v>
          </cell>
          <cell r="V225">
            <v>0</v>
          </cell>
          <cell r="W225">
            <v>76</v>
          </cell>
          <cell r="X225">
            <v>3</v>
          </cell>
          <cell r="Y225">
            <v>3</v>
          </cell>
          <cell r="AA225">
            <v>0</v>
          </cell>
          <cell r="AB225">
            <v>1</v>
          </cell>
          <cell r="AC225">
            <v>0</v>
          </cell>
          <cell r="AD225">
            <v>0</v>
          </cell>
          <cell r="AE225">
            <v>0</v>
          </cell>
          <cell r="AF225">
            <v>0</v>
          </cell>
          <cell r="AG225">
            <v>0</v>
          </cell>
          <cell r="AH225">
            <v>0</v>
          </cell>
          <cell r="AI225">
            <v>3</v>
          </cell>
          <cell r="AK225">
            <v>0</v>
          </cell>
          <cell r="AL225">
            <v>0</v>
          </cell>
          <cell r="AN225">
            <v>10609</v>
          </cell>
          <cell r="AO225">
            <v>0</v>
          </cell>
          <cell r="AQ225">
            <v>0</v>
          </cell>
          <cell r="AR225">
            <v>12</v>
          </cell>
          <cell r="AS225">
            <v>3</v>
          </cell>
          <cell r="AT225">
            <v>3</v>
          </cell>
          <cell r="AU225">
            <v>2</v>
          </cell>
          <cell r="AV225">
            <v>17</v>
          </cell>
          <cell r="AW225">
            <v>17</v>
          </cell>
          <cell r="AX225">
            <v>6</v>
          </cell>
          <cell r="AY225">
            <v>2</v>
          </cell>
          <cell r="AZ225">
            <v>16</v>
          </cell>
          <cell r="BA225">
            <v>16</v>
          </cell>
          <cell r="BB225">
            <v>10</v>
          </cell>
          <cell r="BC225">
            <v>5</v>
          </cell>
          <cell r="BD225">
            <v>5</v>
          </cell>
          <cell r="BE225">
            <v>13</v>
          </cell>
          <cell r="BF225">
            <v>13</v>
          </cell>
          <cell r="BG225">
            <v>39</v>
          </cell>
          <cell r="BH225">
            <v>1</v>
          </cell>
          <cell r="BI225">
            <v>0</v>
          </cell>
          <cell r="BJ225">
            <v>0</v>
          </cell>
          <cell r="BK225">
            <v>0</v>
          </cell>
          <cell r="BL225">
            <v>1</v>
          </cell>
          <cell r="BM225">
            <v>0</v>
          </cell>
          <cell r="BN225">
            <v>0</v>
          </cell>
          <cell r="BO225">
            <v>0</v>
          </cell>
          <cell r="BP225">
            <v>0</v>
          </cell>
          <cell r="BQ225">
            <v>0</v>
          </cell>
          <cell r="BR225">
            <v>13</v>
          </cell>
          <cell r="BS225">
            <v>0</v>
          </cell>
          <cell r="BT225">
            <v>0</v>
          </cell>
          <cell r="BU225">
            <v>17</v>
          </cell>
        </row>
        <row r="226">
          <cell r="A226">
            <v>31</v>
          </cell>
          <cell r="B226">
            <v>31</v>
          </cell>
          <cell r="D226">
            <v>0</v>
          </cell>
          <cell r="F226">
            <v>0</v>
          </cell>
          <cell r="G226">
            <v>0</v>
          </cell>
          <cell r="I226">
            <v>1</v>
          </cell>
          <cell r="J226">
            <v>0</v>
          </cell>
          <cell r="K226">
            <v>1</v>
          </cell>
          <cell r="L226">
            <v>1</v>
          </cell>
          <cell r="M226">
            <v>4</v>
          </cell>
          <cell r="O226">
            <v>0</v>
          </cell>
          <cell r="P226">
            <v>0</v>
          </cell>
          <cell r="Q226">
            <v>1</v>
          </cell>
          <cell r="R226">
            <v>0</v>
          </cell>
          <cell r="S226">
            <v>0</v>
          </cell>
          <cell r="T226">
            <v>3</v>
          </cell>
          <cell r="V226">
            <v>0</v>
          </cell>
          <cell r="W226">
            <v>90</v>
          </cell>
          <cell r="X226">
            <v>1</v>
          </cell>
          <cell r="Y226">
            <v>2</v>
          </cell>
          <cell r="AA226">
            <v>0</v>
          </cell>
          <cell r="AB226">
            <v>0</v>
          </cell>
          <cell r="AC226">
            <v>0</v>
          </cell>
          <cell r="AD226">
            <v>0</v>
          </cell>
          <cell r="AE226">
            <v>1</v>
          </cell>
          <cell r="AF226">
            <v>1</v>
          </cell>
          <cell r="AG226">
            <v>0</v>
          </cell>
          <cell r="AH226">
            <v>0</v>
          </cell>
          <cell r="AI226">
            <v>3</v>
          </cell>
          <cell r="AK226">
            <v>0</v>
          </cell>
          <cell r="AL226">
            <v>1</v>
          </cell>
          <cell r="AN226">
            <v>4345</v>
          </cell>
          <cell r="AO226">
            <v>0</v>
          </cell>
          <cell r="AQ226">
            <v>0</v>
          </cell>
          <cell r="AR226">
            <v>12</v>
          </cell>
          <cell r="AS226">
            <v>3</v>
          </cell>
          <cell r="AT226">
            <v>4</v>
          </cell>
          <cell r="AU226">
            <v>1</v>
          </cell>
          <cell r="AV226">
            <v>6</v>
          </cell>
          <cell r="AW226">
            <v>6</v>
          </cell>
          <cell r="AX226">
            <v>2</v>
          </cell>
          <cell r="AY226">
            <v>3</v>
          </cell>
          <cell r="AZ226">
            <v>5</v>
          </cell>
          <cell r="BA226">
            <v>5</v>
          </cell>
          <cell r="BB226">
            <v>4</v>
          </cell>
          <cell r="BC226">
            <v>1</v>
          </cell>
          <cell r="BD226">
            <v>1</v>
          </cell>
          <cell r="BE226">
            <v>4</v>
          </cell>
          <cell r="BF226">
            <v>4</v>
          </cell>
          <cell r="BG226">
            <v>8</v>
          </cell>
          <cell r="BH226">
            <v>0</v>
          </cell>
          <cell r="BI226">
            <v>1</v>
          </cell>
          <cell r="BJ226">
            <v>0</v>
          </cell>
          <cell r="BK226">
            <v>0</v>
          </cell>
          <cell r="BL226">
            <v>0</v>
          </cell>
          <cell r="BM226">
            <v>0</v>
          </cell>
          <cell r="BN226">
            <v>1</v>
          </cell>
          <cell r="BO226">
            <v>0</v>
          </cell>
          <cell r="BP226">
            <v>0</v>
          </cell>
          <cell r="BQ226">
            <v>4</v>
          </cell>
          <cell r="BR226">
            <v>0</v>
          </cell>
          <cell r="BS226">
            <v>0</v>
          </cell>
          <cell r="BT226">
            <v>6</v>
          </cell>
          <cell r="BU226">
            <v>0</v>
          </cell>
        </row>
        <row r="227">
          <cell r="A227">
            <v>59</v>
          </cell>
          <cell r="B227">
            <v>58.309999999999945</v>
          </cell>
          <cell r="D227">
            <v>0</v>
          </cell>
          <cell r="F227">
            <v>0</v>
          </cell>
          <cell r="G227">
            <v>1</v>
          </cell>
          <cell r="I227">
            <v>1</v>
          </cell>
          <cell r="J227">
            <v>0</v>
          </cell>
          <cell r="K227">
            <v>3</v>
          </cell>
          <cell r="L227">
            <v>3</v>
          </cell>
          <cell r="M227">
            <v>3</v>
          </cell>
          <cell r="O227">
            <v>1</v>
          </cell>
          <cell r="P227">
            <v>0</v>
          </cell>
          <cell r="Q227">
            <v>0</v>
          </cell>
          <cell r="R227">
            <v>0</v>
          </cell>
          <cell r="S227">
            <v>0</v>
          </cell>
          <cell r="T227">
            <v>3</v>
          </cell>
          <cell r="V227">
            <v>0</v>
          </cell>
          <cell r="W227">
            <v>70</v>
          </cell>
          <cell r="X227">
            <v>2</v>
          </cell>
          <cell r="Y227">
            <v>1</v>
          </cell>
          <cell r="AA227">
            <v>0</v>
          </cell>
          <cell r="AB227">
            <v>0</v>
          </cell>
          <cell r="AC227">
            <v>0</v>
          </cell>
          <cell r="AD227">
            <v>0</v>
          </cell>
          <cell r="AE227">
            <v>0</v>
          </cell>
          <cell r="AF227">
            <v>0</v>
          </cell>
          <cell r="AG227">
            <v>0</v>
          </cell>
          <cell r="AH227">
            <v>1</v>
          </cell>
          <cell r="AI227">
            <v>4</v>
          </cell>
          <cell r="AK227">
            <v>0</v>
          </cell>
          <cell r="AL227">
            <v>1</v>
          </cell>
          <cell r="AN227">
            <v>2177</v>
          </cell>
          <cell r="AO227">
            <v>3</v>
          </cell>
          <cell r="AQ227">
            <v>0</v>
          </cell>
          <cell r="AR227">
            <v>17</v>
          </cell>
          <cell r="AS227">
            <v>3</v>
          </cell>
          <cell r="AT227">
            <v>1</v>
          </cell>
          <cell r="AU227">
            <v>1</v>
          </cell>
          <cell r="AV227">
            <v>7</v>
          </cell>
          <cell r="AW227">
            <v>7</v>
          </cell>
          <cell r="AX227">
            <v>6</v>
          </cell>
          <cell r="AY227">
            <v>3</v>
          </cell>
          <cell r="AZ227">
            <v>1</v>
          </cell>
          <cell r="BA227">
            <v>1</v>
          </cell>
          <cell r="BB227">
            <v>0</v>
          </cell>
          <cell r="BC227">
            <v>0</v>
          </cell>
          <cell r="BD227">
            <v>0</v>
          </cell>
          <cell r="BE227">
            <v>0</v>
          </cell>
          <cell r="BF227">
            <v>0</v>
          </cell>
          <cell r="BG227">
            <v>0</v>
          </cell>
          <cell r="BH227">
            <v>0</v>
          </cell>
          <cell r="BI227">
            <v>1</v>
          </cell>
          <cell r="BJ227">
            <v>0</v>
          </cell>
          <cell r="BK227">
            <v>0</v>
          </cell>
          <cell r="BL227">
            <v>0</v>
          </cell>
          <cell r="BM227">
            <v>0</v>
          </cell>
          <cell r="BN227">
            <v>1</v>
          </cell>
          <cell r="BO227">
            <v>0</v>
          </cell>
          <cell r="BP227">
            <v>0</v>
          </cell>
          <cell r="BQ227">
            <v>0</v>
          </cell>
          <cell r="BR227">
            <v>0</v>
          </cell>
          <cell r="BS227">
            <v>0</v>
          </cell>
          <cell r="BT227">
            <v>7</v>
          </cell>
          <cell r="BU227">
            <v>0</v>
          </cell>
        </row>
        <row r="228">
          <cell r="A228">
            <v>37</v>
          </cell>
          <cell r="B228">
            <v>37</v>
          </cell>
          <cell r="D228">
            <v>0</v>
          </cell>
          <cell r="F228">
            <v>1</v>
          </cell>
          <cell r="G228">
            <v>0</v>
          </cell>
          <cell r="I228">
            <v>0</v>
          </cell>
          <cell r="J228">
            <v>1</v>
          </cell>
          <cell r="K228">
            <v>4</v>
          </cell>
          <cell r="L228">
            <v>4</v>
          </cell>
          <cell r="M228">
            <v>4</v>
          </cell>
          <cell r="O228">
            <v>0</v>
          </cell>
          <cell r="P228">
            <v>0</v>
          </cell>
          <cell r="Q228">
            <v>0</v>
          </cell>
          <cell r="R228">
            <v>1</v>
          </cell>
          <cell r="S228">
            <v>0</v>
          </cell>
          <cell r="T228">
            <v>1</v>
          </cell>
          <cell r="V228">
            <v>0</v>
          </cell>
          <cell r="W228">
            <v>41</v>
          </cell>
          <cell r="X228">
            <v>3</v>
          </cell>
          <cell r="Y228">
            <v>1</v>
          </cell>
          <cell r="AA228">
            <v>0</v>
          </cell>
          <cell r="AB228">
            <v>0</v>
          </cell>
          <cell r="AC228">
            <v>0</v>
          </cell>
          <cell r="AD228">
            <v>0</v>
          </cell>
          <cell r="AE228">
            <v>0</v>
          </cell>
          <cell r="AF228">
            <v>0</v>
          </cell>
          <cell r="AG228">
            <v>1</v>
          </cell>
          <cell r="AH228">
            <v>0</v>
          </cell>
          <cell r="AI228">
            <v>4</v>
          </cell>
          <cell r="AK228">
            <v>0</v>
          </cell>
          <cell r="AL228">
            <v>0</v>
          </cell>
          <cell r="AN228">
            <v>2793</v>
          </cell>
          <cell r="AO228">
            <v>4</v>
          </cell>
          <cell r="AQ228">
            <v>0</v>
          </cell>
          <cell r="AR228">
            <v>17</v>
          </cell>
          <cell r="AS228">
            <v>3</v>
          </cell>
          <cell r="AT228">
            <v>3</v>
          </cell>
          <cell r="AU228">
            <v>1</v>
          </cell>
          <cell r="AV228">
            <v>13</v>
          </cell>
          <cell r="AW228">
            <v>13</v>
          </cell>
          <cell r="AX228">
            <v>2</v>
          </cell>
          <cell r="AY228">
            <v>3</v>
          </cell>
          <cell r="AZ228">
            <v>9</v>
          </cell>
          <cell r="BA228">
            <v>9</v>
          </cell>
          <cell r="BB228">
            <v>8</v>
          </cell>
          <cell r="BC228">
            <v>5</v>
          </cell>
          <cell r="BD228">
            <v>5</v>
          </cell>
          <cell r="BE228">
            <v>8</v>
          </cell>
          <cell r="BF228">
            <v>8</v>
          </cell>
          <cell r="BG228">
            <v>8</v>
          </cell>
          <cell r="BH228">
            <v>0</v>
          </cell>
          <cell r="BI228">
            <v>0</v>
          </cell>
          <cell r="BJ228">
            <v>1</v>
          </cell>
          <cell r="BK228">
            <v>0</v>
          </cell>
          <cell r="BL228">
            <v>1</v>
          </cell>
          <cell r="BM228">
            <v>0</v>
          </cell>
          <cell r="BN228">
            <v>0</v>
          </cell>
          <cell r="BO228">
            <v>0</v>
          </cell>
          <cell r="BP228">
            <v>0</v>
          </cell>
          <cell r="BQ228">
            <v>0</v>
          </cell>
          <cell r="BR228">
            <v>8</v>
          </cell>
          <cell r="BS228">
            <v>0</v>
          </cell>
          <cell r="BT228">
            <v>0</v>
          </cell>
          <cell r="BU228">
            <v>13</v>
          </cell>
        </row>
        <row r="229">
          <cell r="A229">
            <v>29</v>
          </cell>
          <cell r="B229">
            <v>29</v>
          </cell>
          <cell r="D229">
            <v>0</v>
          </cell>
          <cell r="F229">
            <v>1</v>
          </cell>
          <cell r="G229">
            <v>0</v>
          </cell>
          <cell r="I229">
            <v>0</v>
          </cell>
          <cell r="J229">
            <v>1</v>
          </cell>
          <cell r="K229">
            <v>1</v>
          </cell>
          <cell r="L229">
            <v>1</v>
          </cell>
          <cell r="M229">
            <v>1</v>
          </cell>
          <cell r="O229">
            <v>0</v>
          </cell>
          <cell r="P229">
            <v>0</v>
          </cell>
          <cell r="Q229">
            <v>1</v>
          </cell>
          <cell r="R229">
            <v>0</v>
          </cell>
          <cell r="S229">
            <v>0</v>
          </cell>
          <cell r="T229">
            <v>2</v>
          </cell>
          <cell r="V229">
            <v>1</v>
          </cell>
          <cell r="W229">
            <v>42</v>
          </cell>
          <cell r="X229">
            <v>3</v>
          </cell>
          <cell r="Y229">
            <v>3</v>
          </cell>
          <cell r="AA229">
            <v>0</v>
          </cell>
          <cell r="AB229">
            <v>1</v>
          </cell>
          <cell r="AC229">
            <v>0</v>
          </cell>
          <cell r="AD229">
            <v>0</v>
          </cell>
          <cell r="AE229">
            <v>0</v>
          </cell>
          <cell r="AF229">
            <v>0</v>
          </cell>
          <cell r="AG229">
            <v>0</v>
          </cell>
          <cell r="AH229">
            <v>0</v>
          </cell>
          <cell r="AI229">
            <v>4</v>
          </cell>
          <cell r="AK229">
            <v>0</v>
          </cell>
          <cell r="AL229">
            <v>1</v>
          </cell>
          <cell r="AN229">
            <v>7918</v>
          </cell>
          <cell r="AO229">
            <v>1</v>
          </cell>
          <cell r="AQ229">
            <v>0</v>
          </cell>
          <cell r="AR229">
            <v>14</v>
          </cell>
          <cell r="AS229">
            <v>3</v>
          </cell>
          <cell r="AT229">
            <v>4</v>
          </cell>
          <cell r="AU229">
            <v>1</v>
          </cell>
          <cell r="AV229">
            <v>11</v>
          </cell>
          <cell r="AW229">
            <v>11</v>
          </cell>
          <cell r="AX229">
            <v>5</v>
          </cell>
          <cell r="AY229">
            <v>3</v>
          </cell>
          <cell r="AZ229">
            <v>11</v>
          </cell>
          <cell r="BA229">
            <v>11</v>
          </cell>
          <cell r="BB229">
            <v>10</v>
          </cell>
          <cell r="BC229">
            <v>4</v>
          </cell>
          <cell r="BD229">
            <v>4</v>
          </cell>
          <cell r="BE229">
            <v>1</v>
          </cell>
          <cell r="BF229">
            <v>1</v>
          </cell>
          <cell r="BG229">
            <v>3</v>
          </cell>
          <cell r="BH229">
            <v>0</v>
          </cell>
          <cell r="BI229">
            <v>0</v>
          </cell>
          <cell r="BJ229">
            <v>0</v>
          </cell>
          <cell r="BK229">
            <v>1</v>
          </cell>
          <cell r="BL229">
            <v>0</v>
          </cell>
          <cell r="BM229">
            <v>0</v>
          </cell>
          <cell r="BN229">
            <v>1</v>
          </cell>
          <cell r="BO229">
            <v>0</v>
          </cell>
          <cell r="BP229">
            <v>0</v>
          </cell>
          <cell r="BQ229">
            <v>0</v>
          </cell>
          <cell r="BR229">
            <v>1</v>
          </cell>
          <cell r="BS229">
            <v>0</v>
          </cell>
          <cell r="BT229">
            <v>0</v>
          </cell>
          <cell r="BU229">
            <v>11</v>
          </cell>
        </row>
        <row r="230">
          <cell r="A230">
            <v>35</v>
          </cell>
          <cell r="B230">
            <v>35</v>
          </cell>
          <cell r="D230">
            <v>0</v>
          </cell>
          <cell r="F230">
            <v>1</v>
          </cell>
          <cell r="G230">
            <v>0</v>
          </cell>
          <cell r="I230">
            <v>0</v>
          </cell>
          <cell r="J230">
            <v>1</v>
          </cell>
          <cell r="K230">
            <v>1</v>
          </cell>
          <cell r="L230">
            <v>1</v>
          </cell>
          <cell r="M230">
            <v>3</v>
          </cell>
          <cell r="O230">
            <v>0</v>
          </cell>
          <cell r="P230">
            <v>0</v>
          </cell>
          <cell r="Q230">
            <v>0</v>
          </cell>
          <cell r="R230">
            <v>1</v>
          </cell>
          <cell r="S230">
            <v>0</v>
          </cell>
          <cell r="T230">
            <v>3</v>
          </cell>
          <cell r="V230">
            <v>1</v>
          </cell>
          <cell r="W230">
            <v>92</v>
          </cell>
          <cell r="X230">
            <v>3</v>
          </cell>
          <cell r="Y230">
            <v>3</v>
          </cell>
          <cell r="AA230">
            <v>0</v>
          </cell>
          <cell r="AB230">
            <v>1</v>
          </cell>
          <cell r="AC230">
            <v>0</v>
          </cell>
          <cell r="AD230">
            <v>0</v>
          </cell>
          <cell r="AE230">
            <v>0</v>
          </cell>
          <cell r="AF230">
            <v>0</v>
          </cell>
          <cell r="AG230">
            <v>0</v>
          </cell>
          <cell r="AH230">
            <v>0</v>
          </cell>
          <cell r="AI230">
            <v>3</v>
          </cell>
          <cell r="AK230">
            <v>1</v>
          </cell>
          <cell r="AL230">
            <v>0</v>
          </cell>
          <cell r="AN230">
            <v>8789</v>
          </cell>
          <cell r="AO230">
            <v>1</v>
          </cell>
          <cell r="AQ230">
            <v>0</v>
          </cell>
          <cell r="AR230">
            <v>14</v>
          </cell>
          <cell r="AS230">
            <v>3</v>
          </cell>
          <cell r="AT230">
            <v>1</v>
          </cell>
          <cell r="AU230">
            <v>0</v>
          </cell>
          <cell r="AV230">
            <v>10</v>
          </cell>
          <cell r="AW230">
            <v>10</v>
          </cell>
          <cell r="AX230">
            <v>3</v>
          </cell>
          <cell r="AY230">
            <v>4</v>
          </cell>
          <cell r="AZ230">
            <v>10</v>
          </cell>
          <cell r="BA230">
            <v>10</v>
          </cell>
          <cell r="BB230">
            <v>7</v>
          </cell>
          <cell r="BC230">
            <v>0</v>
          </cell>
          <cell r="BD230">
            <v>0</v>
          </cell>
          <cell r="BE230">
            <v>8</v>
          </cell>
          <cell r="BF230">
            <v>8</v>
          </cell>
          <cell r="BG230">
            <v>24</v>
          </cell>
          <cell r="BH230">
            <v>0</v>
          </cell>
          <cell r="BI230">
            <v>0</v>
          </cell>
          <cell r="BJ230">
            <v>1</v>
          </cell>
          <cell r="BK230">
            <v>0</v>
          </cell>
          <cell r="BL230">
            <v>1</v>
          </cell>
          <cell r="BM230">
            <v>0</v>
          </cell>
          <cell r="BN230">
            <v>0</v>
          </cell>
          <cell r="BO230">
            <v>0</v>
          </cell>
          <cell r="BP230">
            <v>0</v>
          </cell>
          <cell r="BQ230">
            <v>0</v>
          </cell>
          <cell r="BR230">
            <v>8</v>
          </cell>
          <cell r="BS230">
            <v>0</v>
          </cell>
          <cell r="BT230">
            <v>0</v>
          </cell>
          <cell r="BU230">
            <v>10</v>
          </cell>
        </row>
        <row r="231">
          <cell r="A231">
            <v>29</v>
          </cell>
          <cell r="B231">
            <v>29</v>
          </cell>
          <cell r="D231">
            <v>1</v>
          </cell>
          <cell r="F231">
            <v>0</v>
          </cell>
          <cell r="G231">
            <v>1</v>
          </cell>
          <cell r="I231">
            <v>1</v>
          </cell>
          <cell r="J231">
            <v>0</v>
          </cell>
          <cell r="K231">
            <v>18</v>
          </cell>
          <cell r="L231">
            <v>18</v>
          </cell>
          <cell r="M231">
            <v>1</v>
          </cell>
          <cell r="O231">
            <v>0</v>
          </cell>
          <cell r="P231">
            <v>0</v>
          </cell>
          <cell r="Q231">
            <v>1</v>
          </cell>
          <cell r="R231">
            <v>0</v>
          </cell>
          <cell r="S231">
            <v>0</v>
          </cell>
          <cell r="T231">
            <v>3</v>
          </cell>
          <cell r="V231">
            <v>0</v>
          </cell>
          <cell r="W231">
            <v>86</v>
          </cell>
          <cell r="X231">
            <v>2</v>
          </cell>
          <cell r="Y231">
            <v>1</v>
          </cell>
          <cell r="AA231">
            <v>0</v>
          </cell>
          <cell r="AB231">
            <v>0</v>
          </cell>
          <cell r="AC231">
            <v>0</v>
          </cell>
          <cell r="AD231">
            <v>0</v>
          </cell>
          <cell r="AE231">
            <v>0</v>
          </cell>
          <cell r="AF231">
            <v>0</v>
          </cell>
          <cell r="AG231">
            <v>0</v>
          </cell>
          <cell r="AH231">
            <v>1</v>
          </cell>
          <cell r="AI231">
            <v>4</v>
          </cell>
          <cell r="AK231">
            <v>1</v>
          </cell>
          <cell r="AL231">
            <v>0</v>
          </cell>
          <cell r="AN231">
            <v>2389</v>
          </cell>
          <cell r="AO231">
            <v>1</v>
          </cell>
          <cell r="AQ231">
            <v>1</v>
          </cell>
          <cell r="AR231">
            <v>13</v>
          </cell>
          <cell r="AS231">
            <v>3</v>
          </cell>
          <cell r="AT231">
            <v>3</v>
          </cell>
          <cell r="AU231">
            <v>0</v>
          </cell>
          <cell r="AV231">
            <v>4</v>
          </cell>
          <cell r="AW231">
            <v>4</v>
          </cell>
          <cell r="AX231">
            <v>3</v>
          </cell>
          <cell r="AY231">
            <v>2</v>
          </cell>
          <cell r="AZ231">
            <v>4</v>
          </cell>
          <cell r="BA231">
            <v>4</v>
          </cell>
          <cell r="BB231">
            <v>3</v>
          </cell>
          <cell r="BC231">
            <v>0</v>
          </cell>
          <cell r="BD231">
            <v>0</v>
          </cell>
          <cell r="BE231">
            <v>1</v>
          </cell>
          <cell r="BF231">
            <v>1</v>
          </cell>
          <cell r="BG231">
            <v>1</v>
          </cell>
          <cell r="BH231">
            <v>1</v>
          </cell>
          <cell r="BI231">
            <v>0</v>
          </cell>
          <cell r="BJ231">
            <v>0</v>
          </cell>
          <cell r="BK231">
            <v>0</v>
          </cell>
          <cell r="BL231">
            <v>0</v>
          </cell>
          <cell r="BM231">
            <v>1</v>
          </cell>
          <cell r="BN231">
            <v>0</v>
          </cell>
          <cell r="BO231">
            <v>0</v>
          </cell>
          <cell r="BP231">
            <v>0</v>
          </cell>
          <cell r="BQ231">
            <v>1</v>
          </cell>
          <cell r="BR231">
            <v>0</v>
          </cell>
          <cell r="BS231">
            <v>0</v>
          </cell>
          <cell r="BT231">
            <v>4</v>
          </cell>
          <cell r="BU231">
            <v>0</v>
          </cell>
        </row>
        <row r="232">
          <cell r="A232">
            <v>52</v>
          </cell>
          <cell r="B232">
            <v>52</v>
          </cell>
          <cell r="D232">
            <v>0</v>
          </cell>
          <cell r="F232">
            <v>0</v>
          </cell>
          <cell r="G232">
            <v>1</v>
          </cell>
          <cell r="I232">
            <v>1</v>
          </cell>
          <cell r="J232">
            <v>0</v>
          </cell>
          <cell r="K232">
            <v>2</v>
          </cell>
          <cell r="L232">
            <v>2</v>
          </cell>
          <cell r="M232">
            <v>3</v>
          </cell>
          <cell r="O232">
            <v>1</v>
          </cell>
          <cell r="P232">
            <v>0</v>
          </cell>
          <cell r="Q232">
            <v>0</v>
          </cell>
          <cell r="R232">
            <v>0</v>
          </cell>
          <cell r="S232">
            <v>0</v>
          </cell>
          <cell r="T232">
            <v>3</v>
          </cell>
          <cell r="V232">
            <v>1</v>
          </cell>
          <cell r="W232">
            <v>89</v>
          </cell>
          <cell r="X232">
            <v>2</v>
          </cell>
          <cell r="Y232">
            <v>1</v>
          </cell>
          <cell r="AA232">
            <v>0</v>
          </cell>
          <cell r="AB232">
            <v>0</v>
          </cell>
          <cell r="AC232">
            <v>1</v>
          </cell>
          <cell r="AD232">
            <v>0</v>
          </cell>
          <cell r="AE232">
            <v>0</v>
          </cell>
          <cell r="AF232">
            <v>0</v>
          </cell>
          <cell r="AG232">
            <v>0</v>
          </cell>
          <cell r="AH232">
            <v>0</v>
          </cell>
          <cell r="AI232">
            <v>4</v>
          </cell>
          <cell r="AK232">
            <v>1</v>
          </cell>
          <cell r="AL232">
            <v>0</v>
          </cell>
          <cell r="AN232">
            <v>3212</v>
          </cell>
          <cell r="AO232">
            <v>7</v>
          </cell>
          <cell r="AQ232">
            <v>0</v>
          </cell>
          <cell r="AR232">
            <v>15</v>
          </cell>
          <cell r="AS232">
            <v>3</v>
          </cell>
          <cell r="AT232">
            <v>2</v>
          </cell>
          <cell r="AU232">
            <v>0</v>
          </cell>
          <cell r="AV232">
            <v>6</v>
          </cell>
          <cell r="AW232">
            <v>6</v>
          </cell>
          <cell r="AX232">
            <v>3</v>
          </cell>
          <cell r="AY232">
            <v>2</v>
          </cell>
          <cell r="AZ232">
            <v>2</v>
          </cell>
          <cell r="BA232">
            <v>2</v>
          </cell>
          <cell r="BB232">
            <v>2</v>
          </cell>
          <cell r="BC232">
            <v>2</v>
          </cell>
          <cell r="BD232">
            <v>2</v>
          </cell>
          <cell r="BE232">
            <v>2</v>
          </cell>
          <cell r="BF232">
            <v>2</v>
          </cell>
          <cell r="BG232">
            <v>2</v>
          </cell>
          <cell r="BH232">
            <v>1</v>
          </cell>
          <cell r="BI232">
            <v>0</v>
          </cell>
          <cell r="BJ232">
            <v>0</v>
          </cell>
          <cell r="BK232">
            <v>0</v>
          </cell>
          <cell r="BL232">
            <v>1</v>
          </cell>
          <cell r="BM232">
            <v>0</v>
          </cell>
          <cell r="BN232">
            <v>0</v>
          </cell>
          <cell r="BO232">
            <v>0</v>
          </cell>
          <cell r="BP232">
            <v>0</v>
          </cell>
          <cell r="BQ232">
            <v>2</v>
          </cell>
          <cell r="BR232">
            <v>0</v>
          </cell>
          <cell r="BS232">
            <v>0</v>
          </cell>
          <cell r="BT232">
            <v>6</v>
          </cell>
          <cell r="BU232">
            <v>0</v>
          </cell>
        </row>
        <row r="233">
          <cell r="A233">
            <v>42</v>
          </cell>
          <cell r="B233">
            <v>42</v>
          </cell>
          <cell r="D233">
            <v>0</v>
          </cell>
          <cell r="F233">
            <v>0</v>
          </cell>
          <cell r="G233">
            <v>1</v>
          </cell>
          <cell r="I233">
            <v>1</v>
          </cell>
          <cell r="J233">
            <v>0</v>
          </cell>
          <cell r="K233">
            <v>4</v>
          </cell>
          <cell r="L233">
            <v>4</v>
          </cell>
          <cell r="M233">
            <v>2</v>
          </cell>
          <cell r="O233">
            <v>0</v>
          </cell>
          <cell r="P233">
            <v>0</v>
          </cell>
          <cell r="Q233">
            <v>0</v>
          </cell>
          <cell r="R233">
            <v>0</v>
          </cell>
          <cell r="S233">
            <v>1</v>
          </cell>
          <cell r="T233">
            <v>3</v>
          </cell>
          <cell r="V233">
            <v>0</v>
          </cell>
          <cell r="W233">
            <v>58</v>
          </cell>
          <cell r="X233">
            <v>3</v>
          </cell>
          <cell r="Y233">
            <v>5</v>
          </cell>
          <cell r="AA233">
            <v>0</v>
          </cell>
          <cell r="AB233">
            <v>0</v>
          </cell>
          <cell r="AC233">
            <v>0</v>
          </cell>
          <cell r="AD233">
            <v>1</v>
          </cell>
          <cell r="AE233">
            <v>0</v>
          </cell>
          <cell r="AF233">
            <v>0</v>
          </cell>
          <cell r="AG233">
            <v>0</v>
          </cell>
          <cell r="AH233">
            <v>0</v>
          </cell>
          <cell r="AI233">
            <v>4</v>
          </cell>
          <cell r="AK233">
            <v>0</v>
          </cell>
          <cell r="AL233">
            <v>1</v>
          </cell>
          <cell r="AN233">
            <v>19232</v>
          </cell>
          <cell r="AO233">
            <v>1</v>
          </cell>
          <cell r="AQ233">
            <v>0</v>
          </cell>
          <cell r="AR233">
            <v>11</v>
          </cell>
          <cell r="AS233">
            <v>3</v>
          </cell>
          <cell r="AT233">
            <v>4</v>
          </cell>
          <cell r="AU233">
            <v>0</v>
          </cell>
          <cell r="AV233">
            <v>22</v>
          </cell>
          <cell r="AW233">
            <v>22</v>
          </cell>
          <cell r="AX233">
            <v>3</v>
          </cell>
          <cell r="AY233">
            <v>3</v>
          </cell>
          <cell r="AZ233">
            <v>22</v>
          </cell>
          <cell r="BA233">
            <v>22</v>
          </cell>
          <cell r="BB233">
            <v>17</v>
          </cell>
          <cell r="BC233">
            <v>11</v>
          </cell>
          <cell r="BD233">
            <v>11</v>
          </cell>
          <cell r="BE233">
            <v>15</v>
          </cell>
          <cell r="BF233">
            <v>14</v>
          </cell>
          <cell r="BG233">
            <v>70</v>
          </cell>
          <cell r="BH233">
            <v>0</v>
          </cell>
          <cell r="BI233">
            <v>1</v>
          </cell>
          <cell r="BJ233">
            <v>0</v>
          </cell>
          <cell r="BK233">
            <v>0</v>
          </cell>
          <cell r="BL233">
            <v>0</v>
          </cell>
          <cell r="BM233">
            <v>0</v>
          </cell>
          <cell r="BN233">
            <v>1</v>
          </cell>
          <cell r="BO233">
            <v>0</v>
          </cell>
          <cell r="BP233">
            <v>0</v>
          </cell>
          <cell r="BQ233">
            <v>14</v>
          </cell>
          <cell r="BR233">
            <v>0</v>
          </cell>
          <cell r="BS233">
            <v>0</v>
          </cell>
          <cell r="BT233">
            <v>22</v>
          </cell>
          <cell r="BU233">
            <v>0</v>
          </cell>
        </row>
        <row r="234">
          <cell r="A234">
            <v>59</v>
          </cell>
          <cell r="B234">
            <v>58.309999999999945</v>
          </cell>
          <cell r="D234">
            <v>0</v>
          </cell>
          <cell r="F234">
            <v>0</v>
          </cell>
          <cell r="G234">
            <v>1</v>
          </cell>
          <cell r="I234">
            <v>0</v>
          </cell>
          <cell r="J234">
            <v>0</v>
          </cell>
          <cell r="K234">
            <v>6</v>
          </cell>
          <cell r="L234">
            <v>6</v>
          </cell>
          <cell r="M234">
            <v>2</v>
          </cell>
          <cell r="O234">
            <v>0</v>
          </cell>
          <cell r="P234">
            <v>0</v>
          </cell>
          <cell r="Q234">
            <v>1</v>
          </cell>
          <cell r="R234">
            <v>0</v>
          </cell>
          <cell r="S234">
            <v>0</v>
          </cell>
          <cell r="T234">
            <v>2</v>
          </cell>
          <cell r="V234">
            <v>0</v>
          </cell>
          <cell r="W234">
            <v>52</v>
          </cell>
          <cell r="X234">
            <v>3</v>
          </cell>
          <cell r="Y234">
            <v>1</v>
          </cell>
          <cell r="AA234">
            <v>0</v>
          </cell>
          <cell r="AB234">
            <v>0</v>
          </cell>
          <cell r="AC234">
            <v>0</v>
          </cell>
          <cell r="AD234">
            <v>0</v>
          </cell>
          <cell r="AE234">
            <v>0</v>
          </cell>
          <cell r="AF234">
            <v>0</v>
          </cell>
          <cell r="AG234">
            <v>0</v>
          </cell>
          <cell r="AH234">
            <v>0</v>
          </cell>
          <cell r="AI234">
            <v>3</v>
          </cell>
          <cell r="AK234">
            <v>0</v>
          </cell>
          <cell r="AL234">
            <v>1</v>
          </cell>
          <cell r="AN234">
            <v>2267</v>
          </cell>
          <cell r="AO234">
            <v>8</v>
          </cell>
          <cell r="AQ234">
            <v>0</v>
          </cell>
          <cell r="AR234">
            <v>17</v>
          </cell>
          <cell r="AS234">
            <v>3</v>
          </cell>
          <cell r="AT234">
            <v>4</v>
          </cell>
          <cell r="AU234">
            <v>0</v>
          </cell>
          <cell r="AV234">
            <v>7</v>
          </cell>
          <cell r="AW234">
            <v>7</v>
          </cell>
          <cell r="AX234">
            <v>2</v>
          </cell>
          <cell r="AY234">
            <v>2</v>
          </cell>
          <cell r="AZ234">
            <v>2</v>
          </cell>
          <cell r="BA234">
            <v>2</v>
          </cell>
          <cell r="BB234">
            <v>2</v>
          </cell>
          <cell r="BC234">
            <v>2</v>
          </cell>
          <cell r="BD234">
            <v>2</v>
          </cell>
          <cell r="BE234">
            <v>2</v>
          </cell>
          <cell r="BF234">
            <v>2</v>
          </cell>
          <cell r="BG234">
            <v>2</v>
          </cell>
          <cell r="BH234">
            <v>0</v>
          </cell>
          <cell r="BI234">
            <v>1</v>
          </cell>
          <cell r="BJ234">
            <v>0</v>
          </cell>
          <cell r="BK234">
            <v>0</v>
          </cell>
          <cell r="BL234">
            <v>0</v>
          </cell>
          <cell r="BM234">
            <v>0</v>
          </cell>
          <cell r="BN234">
            <v>1</v>
          </cell>
          <cell r="BO234">
            <v>0</v>
          </cell>
          <cell r="BP234">
            <v>2</v>
          </cell>
          <cell r="BQ234">
            <v>0</v>
          </cell>
          <cell r="BR234">
            <v>0</v>
          </cell>
          <cell r="BS234">
            <v>7</v>
          </cell>
          <cell r="BT234">
            <v>0</v>
          </cell>
          <cell r="BU234">
            <v>0</v>
          </cell>
        </row>
        <row r="235">
          <cell r="A235">
            <v>50</v>
          </cell>
          <cell r="B235">
            <v>50</v>
          </cell>
          <cell r="D235">
            <v>0</v>
          </cell>
          <cell r="F235">
            <v>0</v>
          </cell>
          <cell r="G235">
            <v>1</v>
          </cell>
          <cell r="I235">
            <v>0</v>
          </cell>
          <cell r="J235">
            <v>1</v>
          </cell>
          <cell r="K235">
            <v>1</v>
          </cell>
          <cell r="L235">
            <v>1</v>
          </cell>
          <cell r="M235">
            <v>4</v>
          </cell>
          <cell r="O235">
            <v>0</v>
          </cell>
          <cell r="P235">
            <v>0</v>
          </cell>
          <cell r="Q235">
            <v>1</v>
          </cell>
          <cell r="R235">
            <v>0</v>
          </cell>
          <cell r="S235">
            <v>0</v>
          </cell>
          <cell r="T235">
            <v>4</v>
          </cell>
          <cell r="V235">
            <v>1</v>
          </cell>
          <cell r="W235">
            <v>68</v>
          </cell>
          <cell r="X235">
            <v>3</v>
          </cell>
          <cell r="Y235">
            <v>5</v>
          </cell>
          <cell r="AA235">
            <v>0</v>
          </cell>
          <cell r="AB235">
            <v>0</v>
          </cell>
          <cell r="AC235">
            <v>0</v>
          </cell>
          <cell r="AD235">
            <v>1</v>
          </cell>
          <cell r="AE235">
            <v>0</v>
          </cell>
          <cell r="AF235">
            <v>0</v>
          </cell>
          <cell r="AG235">
            <v>0</v>
          </cell>
          <cell r="AH235">
            <v>0</v>
          </cell>
          <cell r="AI235">
            <v>4</v>
          </cell>
          <cell r="AK235">
            <v>0</v>
          </cell>
          <cell r="AL235">
            <v>0</v>
          </cell>
          <cell r="AN235">
            <v>19517</v>
          </cell>
          <cell r="AO235">
            <v>3</v>
          </cell>
          <cell r="AQ235">
            <v>0</v>
          </cell>
          <cell r="AR235">
            <v>11</v>
          </cell>
          <cell r="AS235">
            <v>3</v>
          </cell>
          <cell r="AT235">
            <v>3</v>
          </cell>
          <cell r="AU235">
            <v>1</v>
          </cell>
          <cell r="AV235">
            <v>32</v>
          </cell>
          <cell r="AW235">
            <v>32</v>
          </cell>
          <cell r="AX235">
            <v>3</v>
          </cell>
          <cell r="AY235">
            <v>2</v>
          </cell>
          <cell r="AZ235">
            <v>7</v>
          </cell>
          <cell r="BA235">
            <v>7</v>
          </cell>
          <cell r="BB235">
            <v>0</v>
          </cell>
          <cell r="BC235">
            <v>0</v>
          </cell>
          <cell r="BD235">
            <v>0</v>
          </cell>
          <cell r="BE235">
            <v>6</v>
          </cell>
          <cell r="BF235">
            <v>6</v>
          </cell>
          <cell r="BG235">
            <v>30</v>
          </cell>
          <cell r="BH235">
            <v>1</v>
          </cell>
          <cell r="BI235">
            <v>0</v>
          </cell>
          <cell r="BJ235">
            <v>0</v>
          </cell>
          <cell r="BK235">
            <v>0</v>
          </cell>
          <cell r="BL235">
            <v>1</v>
          </cell>
          <cell r="BM235">
            <v>0</v>
          </cell>
          <cell r="BN235">
            <v>0</v>
          </cell>
          <cell r="BO235">
            <v>0</v>
          </cell>
          <cell r="BP235">
            <v>0</v>
          </cell>
          <cell r="BQ235">
            <v>0</v>
          </cell>
          <cell r="BR235">
            <v>6</v>
          </cell>
          <cell r="BS235">
            <v>0</v>
          </cell>
          <cell r="BT235">
            <v>0</v>
          </cell>
          <cell r="BU235">
            <v>32</v>
          </cell>
        </row>
        <row r="236">
          <cell r="A236">
            <v>33</v>
          </cell>
          <cell r="B236">
            <v>33</v>
          </cell>
          <cell r="D236">
            <v>1</v>
          </cell>
          <cell r="F236">
            <v>0</v>
          </cell>
          <cell r="G236">
            <v>1</v>
          </cell>
          <cell r="I236">
            <v>1</v>
          </cell>
          <cell r="J236">
            <v>0</v>
          </cell>
          <cell r="K236">
            <v>14</v>
          </cell>
          <cell r="L236">
            <v>14</v>
          </cell>
          <cell r="M236">
            <v>3</v>
          </cell>
          <cell r="O236">
            <v>0</v>
          </cell>
          <cell r="P236">
            <v>0</v>
          </cell>
          <cell r="Q236">
            <v>1</v>
          </cell>
          <cell r="R236">
            <v>0</v>
          </cell>
          <cell r="S236">
            <v>0</v>
          </cell>
          <cell r="T236">
            <v>3</v>
          </cell>
          <cell r="V236">
            <v>0</v>
          </cell>
          <cell r="W236">
            <v>58</v>
          </cell>
          <cell r="X236">
            <v>3</v>
          </cell>
          <cell r="Y236">
            <v>1</v>
          </cell>
          <cell r="AA236">
            <v>0</v>
          </cell>
          <cell r="AB236">
            <v>0</v>
          </cell>
          <cell r="AC236">
            <v>1</v>
          </cell>
          <cell r="AD236">
            <v>0</v>
          </cell>
          <cell r="AE236">
            <v>0</v>
          </cell>
          <cell r="AF236">
            <v>0</v>
          </cell>
          <cell r="AG236">
            <v>0</v>
          </cell>
          <cell r="AH236">
            <v>0</v>
          </cell>
          <cell r="AI236">
            <v>4</v>
          </cell>
          <cell r="AK236">
            <v>0</v>
          </cell>
          <cell r="AL236">
            <v>1</v>
          </cell>
          <cell r="AN236">
            <v>2436</v>
          </cell>
          <cell r="AO236">
            <v>5</v>
          </cell>
          <cell r="AQ236">
            <v>1</v>
          </cell>
          <cell r="AR236">
            <v>13</v>
          </cell>
          <cell r="AS236">
            <v>3</v>
          </cell>
          <cell r="AT236">
            <v>3</v>
          </cell>
          <cell r="AU236">
            <v>1</v>
          </cell>
          <cell r="AV236">
            <v>8</v>
          </cell>
          <cell r="AW236">
            <v>8</v>
          </cell>
          <cell r="AX236">
            <v>2</v>
          </cell>
          <cell r="AY236">
            <v>1</v>
          </cell>
          <cell r="AZ236">
            <v>5</v>
          </cell>
          <cell r="BA236">
            <v>5</v>
          </cell>
          <cell r="BB236">
            <v>4</v>
          </cell>
          <cell r="BC236">
            <v>0</v>
          </cell>
          <cell r="BD236">
            <v>0</v>
          </cell>
          <cell r="BE236">
            <v>4</v>
          </cell>
          <cell r="BF236">
            <v>4</v>
          </cell>
          <cell r="BG236">
            <v>4</v>
          </cell>
          <cell r="BH236">
            <v>0</v>
          </cell>
          <cell r="BI236">
            <v>1</v>
          </cell>
          <cell r="BJ236">
            <v>0</v>
          </cell>
          <cell r="BK236">
            <v>0</v>
          </cell>
          <cell r="BL236">
            <v>0</v>
          </cell>
          <cell r="BM236">
            <v>0</v>
          </cell>
          <cell r="BN236">
            <v>0</v>
          </cell>
          <cell r="BO236">
            <v>1</v>
          </cell>
          <cell r="BP236">
            <v>0</v>
          </cell>
          <cell r="BQ236">
            <v>4</v>
          </cell>
          <cell r="BR236">
            <v>0</v>
          </cell>
          <cell r="BS236">
            <v>0</v>
          </cell>
          <cell r="BT236">
            <v>8</v>
          </cell>
          <cell r="BU236">
            <v>0</v>
          </cell>
        </row>
        <row r="237">
          <cell r="A237">
            <v>43</v>
          </cell>
          <cell r="B237">
            <v>43</v>
          </cell>
          <cell r="D237">
            <v>0</v>
          </cell>
          <cell r="F237">
            <v>0</v>
          </cell>
          <cell r="G237">
            <v>1</v>
          </cell>
          <cell r="I237">
            <v>0</v>
          </cell>
          <cell r="J237">
            <v>1</v>
          </cell>
          <cell r="K237">
            <v>16</v>
          </cell>
          <cell r="L237">
            <v>16</v>
          </cell>
          <cell r="M237">
            <v>3</v>
          </cell>
          <cell r="O237">
            <v>0</v>
          </cell>
          <cell r="P237">
            <v>0</v>
          </cell>
          <cell r="Q237">
            <v>0</v>
          </cell>
          <cell r="R237">
            <v>1</v>
          </cell>
          <cell r="S237">
            <v>0</v>
          </cell>
          <cell r="T237">
            <v>4</v>
          </cell>
          <cell r="V237">
            <v>1</v>
          </cell>
          <cell r="W237">
            <v>80</v>
          </cell>
          <cell r="X237">
            <v>3</v>
          </cell>
          <cell r="Y237">
            <v>4</v>
          </cell>
          <cell r="AA237">
            <v>0</v>
          </cell>
          <cell r="AB237">
            <v>0</v>
          </cell>
          <cell r="AC237">
            <v>0</v>
          </cell>
          <cell r="AD237">
            <v>1</v>
          </cell>
          <cell r="AE237">
            <v>0</v>
          </cell>
          <cell r="AF237">
            <v>0</v>
          </cell>
          <cell r="AG237">
            <v>0</v>
          </cell>
          <cell r="AH237">
            <v>0</v>
          </cell>
          <cell r="AI237">
            <v>4</v>
          </cell>
          <cell r="AK237">
            <v>0</v>
          </cell>
          <cell r="AL237">
            <v>1</v>
          </cell>
          <cell r="AN237">
            <v>16064</v>
          </cell>
          <cell r="AO237">
            <v>5</v>
          </cell>
          <cell r="AQ237">
            <v>1</v>
          </cell>
          <cell r="AR237">
            <v>22</v>
          </cell>
          <cell r="AS237">
            <v>4</v>
          </cell>
          <cell r="AT237">
            <v>3</v>
          </cell>
          <cell r="AU237">
            <v>1</v>
          </cell>
          <cell r="AV237">
            <v>22</v>
          </cell>
          <cell r="AW237">
            <v>22</v>
          </cell>
          <cell r="AX237">
            <v>3</v>
          </cell>
          <cell r="AY237">
            <v>3</v>
          </cell>
          <cell r="AZ237">
            <v>17</v>
          </cell>
          <cell r="BA237">
            <v>17</v>
          </cell>
          <cell r="BB237">
            <v>13</v>
          </cell>
          <cell r="BC237">
            <v>1</v>
          </cell>
          <cell r="BD237">
            <v>1</v>
          </cell>
          <cell r="BE237">
            <v>9</v>
          </cell>
          <cell r="BF237">
            <v>9</v>
          </cell>
          <cell r="BG237">
            <v>36</v>
          </cell>
          <cell r="BH237">
            <v>0</v>
          </cell>
          <cell r="BI237">
            <v>1</v>
          </cell>
          <cell r="BJ237">
            <v>0</v>
          </cell>
          <cell r="BK237">
            <v>0</v>
          </cell>
          <cell r="BL237">
            <v>0</v>
          </cell>
          <cell r="BM237">
            <v>0</v>
          </cell>
          <cell r="BN237">
            <v>0</v>
          </cell>
          <cell r="BO237">
            <v>1</v>
          </cell>
          <cell r="BP237">
            <v>0</v>
          </cell>
          <cell r="BQ237">
            <v>0</v>
          </cell>
          <cell r="BR237">
            <v>9</v>
          </cell>
          <cell r="BS237">
            <v>0</v>
          </cell>
          <cell r="BT237">
            <v>0</v>
          </cell>
          <cell r="BU237">
            <v>22</v>
          </cell>
        </row>
        <row r="238">
          <cell r="A238">
            <v>33</v>
          </cell>
          <cell r="B238">
            <v>33</v>
          </cell>
          <cell r="D238">
            <v>1</v>
          </cell>
          <cell r="F238">
            <v>0</v>
          </cell>
          <cell r="G238">
            <v>1</v>
          </cell>
          <cell r="I238">
            <v>1</v>
          </cell>
          <cell r="J238">
            <v>0</v>
          </cell>
          <cell r="K238">
            <v>2</v>
          </cell>
          <cell r="L238">
            <v>2</v>
          </cell>
          <cell r="M238">
            <v>2</v>
          </cell>
          <cell r="O238">
            <v>1</v>
          </cell>
          <cell r="P238">
            <v>0</v>
          </cell>
          <cell r="Q238">
            <v>0</v>
          </cell>
          <cell r="R238">
            <v>0</v>
          </cell>
          <cell r="S238">
            <v>0</v>
          </cell>
          <cell r="T238">
            <v>1</v>
          </cell>
          <cell r="V238">
            <v>1</v>
          </cell>
          <cell r="W238">
            <v>39</v>
          </cell>
          <cell r="X238">
            <v>3</v>
          </cell>
          <cell r="Y238">
            <v>1</v>
          </cell>
          <cell r="AA238">
            <v>0</v>
          </cell>
          <cell r="AB238">
            <v>0</v>
          </cell>
          <cell r="AC238">
            <v>1</v>
          </cell>
          <cell r="AD238">
            <v>0</v>
          </cell>
          <cell r="AE238">
            <v>0</v>
          </cell>
          <cell r="AF238">
            <v>0</v>
          </cell>
          <cell r="AG238">
            <v>0</v>
          </cell>
          <cell r="AH238">
            <v>0</v>
          </cell>
          <cell r="AI238">
            <v>1</v>
          </cell>
          <cell r="AK238">
            <v>0</v>
          </cell>
          <cell r="AL238">
            <v>1</v>
          </cell>
          <cell r="AN238">
            <v>2707</v>
          </cell>
          <cell r="AO238">
            <v>7</v>
          </cell>
          <cell r="AQ238">
            <v>0</v>
          </cell>
          <cell r="AR238">
            <v>20</v>
          </cell>
          <cell r="AS238">
            <v>4</v>
          </cell>
          <cell r="AT238">
            <v>1</v>
          </cell>
          <cell r="AU238">
            <v>0</v>
          </cell>
          <cell r="AV238">
            <v>13</v>
          </cell>
          <cell r="AW238">
            <v>13</v>
          </cell>
          <cell r="AX238">
            <v>3</v>
          </cell>
          <cell r="AY238">
            <v>4</v>
          </cell>
          <cell r="AZ238">
            <v>9</v>
          </cell>
          <cell r="BA238">
            <v>9</v>
          </cell>
          <cell r="BB238">
            <v>7</v>
          </cell>
          <cell r="BC238">
            <v>1</v>
          </cell>
          <cell r="BD238">
            <v>1</v>
          </cell>
          <cell r="BE238">
            <v>7</v>
          </cell>
          <cell r="BF238">
            <v>7</v>
          </cell>
          <cell r="BG238">
            <v>7</v>
          </cell>
          <cell r="BH238">
            <v>0</v>
          </cell>
          <cell r="BI238">
            <v>1</v>
          </cell>
          <cell r="BJ238">
            <v>0</v>
          </cell>
          <cell r="BK238">
            <v>0</v>
          </cell>
          <cell r="BL238">
            <v>0</v>
          </cell>
          <cell r="BM238">
            <v>0</v>
          </cell>
          <cell r="BN238">
            <v>1</v>
          </cell>
          <cell r="BO238">
            <v>0</v>
          </cell>
          <cell r="BP238">
            <v>0</v>
          </cell>
          <cell r="BQ238">
            <v>7</v>
          </cell>
          <cell r="BR238">
            <v>0</v>
          </cell>
          <cell r="BS238">
            <v>0</v>
          </cell>
          <cell r="BT238">
            <v>13</v>
          </cell>
          <cell r="BU238">
            <v>0</v>
          </cell>
        </row>
        <row r="239">
          <cell r="A239">
            <v>52</v>
          </cell>
          <cell r="B239">
            <v>52</v>
          </cell>
          <cell r="D239">
            <v>0</v>
          </cell>
          <cell r="F239">
            <v>0</v>
          </cell>
          <cell r="G239">
            <v>0</v>
          </cell>
          <cell r="I239">
            <v>0</v>
          </cell>
          <cell r="J239">
            <v>1</v>
          </cell>
          <cell r="K239">
            <v>2</v>
          </cell>
          <cell r="L239">
            <v>2</v>
          </cell>
          <cell r="M239">
            <v>4</v>
          </cell>
          <cell r="O239">
            <v>1</v>
          </cell>
          <cell r="P239">
            <v>0</v>
          </cell>
          <cell r="Q239">
            <v>0</v>
          </cell>
          <cell r="R239">
            <v>0</v>
          </cell>
          <cell r="S239">
            <v>0</v>
          </cell>
          <cell r="T239">
            <v>1</v>
          </cell>
          <cell r="V239">
            <v>0</v>
          </cell>
          <cell r="W239">
            <v>79</v>
          </cell>
          <cell r="X239">
            <v>2</v>
          </cell>
          <cell r="Y239">
            <v>5</v>
          </cell>
          <cell r="AA239">
            <v>0</v>
          </cell>
          <cell r="AB239">
            <v>0</v>
          </cell>
          <cell r="AC239">
            <v>0</v>
          </cell>
          <cell r="AD239">
            <v>1</v>
          </cell>
          <cell r="AE239">
            <v>0</v>
          </cell>
          <cell r="AF239">
            <v>0</v>
          </cell>
          <cell r="AG239">
            <v>0</v>
          </cell>
          <cell r="AH239">
            <v>0</v>
          </cell>
          <cell r="AI239">
            <v>3</v>
          </cell>
          <cell r="AK239">
            <v>1</v>
          </cell>
          <cell r="AL239">
            <v>0</v>
          </cell>
          <cell r="AN239">
            <v>19068</v>
          </cell>
          <cell r="AO239">
            <v>1</v>
          </cell>
          <cell r="AQ239">
            <v>1</v>
          </cell>
          <cell r="AR239">
            <v>18</v>
          </cell>
          <cell r="AS239">
            <v>3</v>
          </cell>
          <cell r="AT239">
            <v>4</v>
          </cell>
          <cell r="AU239">
            <v>0</v>
          </cell>
          <cell r="AV239">
            <v>33</v>
          </cell>
          <cell r="AW239">
            <v>33</v>
          </cell>
          <cell r="AX239">
            <v>2</v>
          </cell>
          <cell r="AY239">
            <v>4</v>
          </cell>
          <cell r="AZ239">
            <v>33</v>
          </cell>
          <cell r="BA239">
            <v>31</v>
          </cell>
          <cell r="BB239">
            <v>7</v>
          </cell>
          <cell r="BC239">
            <v>15</v>
          </cell>
          <cell r="BD239">
            <v>14</v>
          </cell>
          <cell r="BE239">
            <v>12</v>
          </cell>
          <cell r="BF239">
            <v>12</v>
          </cell>
          <cell r="BG239">
            <v>60</v>
          </cell>
          <cell r="BH239">
            <v>1</v>
          </cell>
          <cell r="BI239">
            <v>0</v>
          </cell>
          <cell r="BJ239">
            <v>0</v>
          </cell>
          <cell r="BK239">
            <v>0</v>
          </cell>
          <cell r="BL239">
            <v>0</v>
          </cell>
          <cell r="BM239">
            <v>1</v>
          </cell>
          <cell r="BN239">
            <v>0</v>
          </cell>
          <cell r="BO239">
            <v>0</v>
          </cell>
          <cell r="BP239">
            <v>0</v>
          </cell>
          <cell r="BQ239">
            <v>0</v>
          </cell>
          <cell r="BR239">
            <v>12</v>
          </cell>
          <cell r="BS239">
            <v>0</v>
          </cell>
          <cell r="BT239">
            <v>0</v>
          </cell>
          <cell r="BU239">
            <v>33</v>
          </cell>
        </row>
        <row r="240">
          <cell r="A240">
            <v>32</v>
          </cell>
          <cell r="B240">
            <v>32</v>
          </cell>
          <cell r="D240">
            <v>0</v>
          </cell>
          <cell r="F240">
            <v>0</v>
          </cell>
          <cell r="G240">
            <v>1</v>
          </cell>
          <cell r="I240">
            <v>0</v>
          </cell>
          <cell r="J240">
            <v>1</v>
          </cell>
          <cell r="K240">
            <v>4</v>
          </cell>
          <cell r="L240">
            <v>4</v>
          </cell>
          <cell r="M240">
            <v>2</v>
          </cell>
          <cell r="O240">
            <v>1</v>
          </cell>
          <cell r="P240">
            <v>0</v>
          </cell>
          <cell r="Q240">
            <v>0</v>
          </cell>
          <cell r="R240">
            <v>0</v>
          </cell>
          <cell r="S240">
            <v>0</v>
          </cell>
          <cell r="T240">
            <v>3</v>
          </cell>
          <cell r="V240">
            <v>1</v>
          </cell>
          <cell r="W240">
            <v>56</v>
          </cell>
          <cell r="X240">
            <v>3</v>
          </cell>
          <cell r="Y240">
            <v>1</v>
          </cell>
          <cell r="AA240">
            <v>0</v>
          </cell>
          <cell r="AB240">
            <v>0</v>
          </cell>
          <cell r="AC240">
            <v>0</v>
          </cell>
          <cell r="AD240">
            <v>0</v>
          </cell>
          <cell r="AE240">
            <v>0</v>
          </cell>
          <cell r="AF240">
            <v>0</v>
          </cell>
          <cell r="AG240">
            <v>1</v>
          </cell>
          <cell r="AH240">
            <v>0</v>
          </cell>
          <cell r="AI240">
            <v>2</v>
          </cell>
          <cell r="AK240">
            <v>0</v>
          </cell>
          <cell r="AL240">
            <v>1</v>
          </cell>
          <cell r="AN240">
            <v>3931</v>
          </cell>
          <cell r="AO240">
            <v>2</v>
          </cell>
          <cell r="AQ240">
            <v>0</v>
          </cell>
          <cell r="AR240">
            <v>11</v>
          </cell>
          <cell r="AS240">
            <v>3</v>
          </cell>
          <cell r="AT240">
            <v>1</v>
          </cell>
          <cell r="AU240">
            <v>1</v>
          </cell>
          <cell r="AV240">
            <v>6</v>
          </cell>
          <cell r="AW240">
            <v>6</v>
          </cell>
          <cell r="AX240">
            <v>5</v>
          </cell>
          <cell r="AY240">
            <v>3</v>
          </cell>
          <cell r="AZ240">
            <v>4</v>
          </cell>
          <cell r="BA240">
            <v>4</v>
          </cell>
          <cell r="BB240">
            <v>3</v>
          </cell>
          <cell r="BC240">
            <v>1</v>
          </cell>
          <cell r="BD240">
            <v>1</v>
          </cell>
          <cell r="BE240">
            <v>2</v>
          </cell>
          <cell r="BF240">
            <v>2</v>
          </cell>
          <cell r="BG240">
            <v>2</v>
          </cell>
          <cell r="BH240">
            <v>0</v>
          </cell>
          <cell r="BI240">
            <v>1</v>
          </cell>
          <cell r="BJ240">
            <v>0</v>
          </cell>
          <cell r="BK240">
            <v>0</v>
          </cell>
          <cell r="BL240">
            <v>0</v>
          </cell>
          <cell r="BM240">
            <v>0</v>
          </cell>
          <cell r="BN240">
            <v>1</v>
          </cell>
          <cell r="BO240">
            <v>0</v>
          </cell>
          <cell r="BP240">
            <v>0</v>
          </cell>
          <cell r="BQ240">
            <v>0</v>
          </cell>
          <cell r="BR240">
            <v>2</v>
          </cell>
          <cell r="BS240">
            <v>0</v>
          </cell>
          <cell r="BT240">
            <v>0</v>
          </cell>
          <cell r="BU240">
            <v>6</v>
          </cell>
        </row>
        <row r="241">
          <cell r="A241">
            <v>32</v>
          </cell>
          <cell r="B241">
            <v>32</v>
          </cell>
          <cell r="D241">
            <v>1</v>
          </cell>
          <cell r="F241">
            <v>0</v>
          </cell>
          <cell r="G241">
            <v>1</v>
          </cell>
          <cell r="I241">
            <v>1</v>
          </cell>
          <cell r="J241">
            <v>0</v>
          </cell>
          <cell r="K241">
            <v>1</v>
          </cell>
          <cell r="L241">
            <v>1</v>
          </cell>
          <cell r="M241">
            <v>3</v>
          </cell>
          <cell r="O241">
            <v>1</v>
          </cell>
          <cell r="P241">
            <v>0</v>
          </cell>
          <cell r="Q241">
            <v>0</v>
          </cell>
          <cell r="R241">
            <v>0</v>
          </cell>
          <cell r="S241">
            <v>0</v>
          </cell>
          <cell r="T241">
            <v>4</v>
          </cell>
          <cell r="V241">
            <v>0</v>
          </cell>
          <cell r="W241">
            <v>62</v>
          </cell>
          <cell r="X241">
            <v>2</v>
          </cell>
          <cell r="Y241">
            <v>1</v>
          </cell>
          <cell r="AA241">
            <v>0</v>
          </cell>
          <cell r="AB241">
            <v>0</v>
          </cell>
          <cell r="AC241">
            <v>1</v>
          </cell>
          <cell r="AD241">
            <v>0</v>
          </cell>
          <cell r="AE241">
            <v>0</v>
          </cell>
          <cell r="AF241">
            <v>0</v>
          </cell>
          <cell r="AG241">
            <v>0</v>
          </cell>
          <cell r="AH241">
            <v>0</v>
          </cell>
          <cell r="AI241">
            <v>3</v>
          </cell>
          <cell r="AK241">
            <v>1</v>
          </cell>
          <cell r="AL241">
            <v>0</v>
          </cell>
          <cell r="AN241">
            <v>3730</v>
          </cell>
          <cell r="AO241">
            <v>0</v>
          </cell>
          <cell r="AQ241">
            <v>1</v>
          </cell>
          <cell r="AR241">
            <v>14</v>
          </cell>
          <cell r="AS241">
            <v>3</v>
          </cell>
          <cell r="AT241">
            <v>4</v>
          </cell>
          <cell r="AU241">
            <v>0</v>
          </cell>
          <cell r="AV241">
            <v>4</v>
          </cell>
          <cell r="AW241">
            <v>4</v>
          </cell>
          <cell r="AX241">
            <v>2</v>
          </cell>
          <cell r="AY241">
            <v>1</v>
          </cell>
          <cell r="AZ241">
            <v>3</v>
          </cell>
          <cell r="BA241">
            <v>3</v>
          </cell>
          <cell r="BB241">
            <v>2</v>
          </cell>
          <cell r="BC241">
            <v>1</v>
          </cell>
          <cell r="BD241">
            <v>1</v>
          </cell>
          <cell r="BE241">
            <v>2</v>
          </cell>
          <cell r="BF241">
            <v>2</v>
          </cell>
          <cell r="BG241">
            <v>2</v>
          </cell>
          <cell r="BH241">
            <v>1</v>
          </cell>
          <cell r="BI241">
            <v>0</v>
          </cell>
          <cell r="BJ241">
            <v>0</v>
          </cell>
          <cell r="BK241">
            <v>0</v>
          </cell>
          <cell r="BL241">
            <v>0</v>
          </cell>
          <cell r="BM241">
            <v>1</v>
          </cell>
          <cell r="BN241">
            <v>0</v>
          </cell>
          <cell r="BO241">
            <v>0</v>
          </cell>
          <cell r="BP241">
            <v>0</v>
          </cell>
          <cell r="BQ241">
            <v>2</v>
          </cell>
          <cell r="BR241">
            <v>0</v>
          </cell>
          <cell r="BS241">
            <v>0</v>
          </cell>
          <cell r="BT241">
            <v>4</v>
          </cell>
          <cell r="BU241">
            <v>0</v>
          </cell>
        </row>
        <row r="242">
          <cell r="A242">
            <v>39</v>
          </cell>
          <cell r="B242">
            <v>39</v>
          </cell>
          <cell r="D242">
            <v>0</v>
          </cell>
          <cell r="F242">
            <v>0</v>
          </cell>
          <cell r="G242">
            <v>1</v>
          </cell>
          <cell r="I242">
            <v>1</v>
          </cell>
          <cell r="J242">
            <v>0</v>
          </cell>
          <cell r="K242">
            <v>1</v>
          </cell>
          <cell r="L242">
            <v>1</v>
          </cell>
          <cell r="M242">
            <v>4</v>
          </cell>
          <cell r="O242">
            <v>0</v>
          </cell>
          <cell r="P242">
            <v>0</v>
          </cell>
          <cell r="Q242">
            <v>1</v>
          </cell>
          <cell r="R242">
            <v>0</v>
          </cell>
          <cell r="S242">
            <v>0</v>
          </cell>
          <cell r="T242">
            <v>3</v>
          </cell>
          <cell r="V242">
            <v>1</v>
          </cell>
          <cell r="W242">
            <v>96</v>
          </cell>
          <cell r="X242">
            <v>3</v>
          </cell>
          <cell r="Y242">
            <v>1</v>
          </cell>
          <cell r="AA242">
            <v>0</v>
          </cell>
          <cell r="AB242">
            <v>0</v>
          </cell>
          <cell r="AC242">
            <v>1</v>
          </cell>
          <cell r="AD242">
            <v>0</v>
          </cell>
          <cell r="AE242">
            <v>0</v>
          </cell>
          <cell r="AF242">
            <v>0</v>
          </cell>
          <cell r="AG242">
            <v>0</v>
          </cell>
          <cell r="AH242">
            <v>0</v>
          </cell>
          <cell r="AI242">
            <v>3</v>
          </cell>
          <cell r="AK242">
            <v>0</v>
          </cell>
          <cell r="AL242">
            <v>0</v>
          </cell>
          <cell r="AN242">
            <v>2232</v>
          </cell>
          <cell r="AO242">
            <v>7</v>
          </cell>
          <cell r="AQ242">
            <v>0</v>
          </cell>
          <cell r="AR242">
            <v>14</v>
          </cell>
          <cell r="AS242">
            <v>3</v>
          </cell>
          <cell r="AT242">
            <v>3</v>
          </cell>
          <cell r="AU242">
            <v>3</v>
          </cell>
          <cell r="AV242">
            <v>7</v>
          </cell>
          <cell r="AW242">
            <v>7</v>
          </cell>
          <cell r="AX242">
            <v>1</v>
          </cell>
          <cell r="AY242">
            <v>3</v>
          </cell>
          <cell r="AZ242">
            <v>3</v>
          </cell>
          <cell r="BA242">
            <v>3</v>
          </cell>
          <cell r="BB242">
            <v>2</v>
          </cell>
          <cell r="BC242">
            <v>1</v>
          </cell>
          <cell r="BD242">
            <v>1</v>
          </cell>
          <cell r="BE242">
            <v>2</v>
          </cell>
          <cell r="BF242">
            <v>2</v>
          </cell>
          <cell r="BG242">
            <v>2</v>
          </cell>
          <cell r="BH242">
            <v>1</v>
          </cell>
          <cell r="BI242">
            <v>0</v>
          </cell>
          <cell r="BJ242">
            <v>0</v>
          </cell>
          <cell r="BK242">
            <v>0</v>
          </cell>
          <cell r="BL242">
            <v>1</v>
          </cell>
          <cell r="BM242">
            <v>0</v>
          </cell>
          <cell r="BN242">
            <v>0</v>
          </cell>
          <cell r="BO242">
            <v>0</v>
          </cell>
          <cell r="BP242">
            <v>0</v>
          </cell>
          <cell r="BQ242">
            <v>2</v>
          </cell>
          <cell r="BR242">
            <v>0</v>
          </cell>
          <cell r="BS242">
            <v>0</v>
          </cell>
          <cell r="BT242">
            <v>7</v>
          </cell>
          <cell r="BU242">
            <v>0</v>
          </cell>
        </row>
        <row r="243">
          <cell r="A243">
            <v>32</v>
          </cell>
          <cell r="B243">
            <v>32</v>
          </cell>
          <cell r="D243">
            <v>0</v>
          </cell>
          <cell r="F243">
            <v>0</v>
          </cell>
          <cell r="G243">
            <v>0</v>
          </cell>
          <cell r="I243">
            <v>0</v>
          </cell>
          <cell r="J243">
            <v>1</v>
          </cell>
          <cell r="K243">
            <v>26</v>
          </cell>
          <cell r="L243">
            <v>26</v>
          </cell>
          <cell r="M243">
            <v>4</v>
          </cell>
          <cell r="O243">
            <v>0</v>
          </cell>
          <cell r="P243">
            <v>0</v>
          </cell>
          <cell r="Q243">
            <v>0</v>
          </cell>
          <cell r="R243">
            <v>1</v>
          </cell>
          <cell r="S243">
            <v>0</v>
          </cell>
          <cell r="T243">
            <v>3</v>
          </cell>
          <cell r="V243">
            <v>0</v>
          </cell>
          <cell r="W243">
            <v>100</v>
          </cell>
          <cell r="X243">
            <v>3</v>
          </cell>
          <cell r="Y243">
            <v>2</v>
          </cell>
          <cell r="AA243">
            <v>0</v>
          </cell>
          <cell r="AB243">
            <v>1</v>
          </cell>
          <cell r="AC243">
            <v>0</v>
          </cell>
          <cell r="AD243">
            <v>0</v>
          </cell>
          <cell r="AE243">
            <v>0</v>
          </cell>
          <cell r="AF243">
            <v>0</v>
          </cell>
          <cell r="AG243">
            <v>0</v>
          </cell>
          <cell r="AH243">
            <v>0</v>
          </cell>
          <cell r="AI243">
            <v>4</v>
          </cell>
          <cell r="AK243">
            <v>0</v>
          </cell>
          <cell r="AL243">
            <v>1</v>
          </cell>
          <cell r="AN243">
            <v>4465</v>
          </cell>
          <cell r="AO243">
            <v>0</v>
          </cell>
          <cell r="AQ243">
            <v>0</v>
          </cell>
          <cell r="AR243">
            <v>18</v>
          </cell>
          <cell r="AS243">
            <v>3</v>
          </cell>
          <cell r="AT243">
            <v>1</v>
          </cell>
          <cell r="AU243">
            <v>0</v>
          </cell>
          <cell r="AV243">
            <v>4</v>
          </cell>
          <cell r="AW243">
            <v>4</v>
          </cell>
          <cell r="AX243">
            <v>2</v>
          </cell>
          <cell r="AY243">
            <v>3</v>
          </cell>
          <cell r="AZ243">
            <v>3</v>
          </cell>
          <cell r="BA243">
            <v>3</v>
          </cell>
          <cell r="BB243">
            <v>2</v>
          </cell>
          <cell r="BC243">
            <v>2</v>
          </cell>
          <cell r="BD243">
            <v>2</v>
          </cell>
          <cell r="BE243">
            <v>2</v>
          </cell>
          <cell r="BF243">
            <v>2</v>
          </cell>
          <cell r="BG243">
            <v>4</v>
          </cell>
          <cell r="BH243">
            <v>0</v>
          </cell>
          <cell r="BI243">
            <v>1</v>
          </cell>
          <cell r="BJ243">
            <v>0</v>
          </cell>
          <cell r="BK243">
            <v>0</v>
          </cell>
          <cell r="BL243">
            <v>0</v>
          </cell>
          <cell r="BM243">
            <v>0</v>
          </cell>
          <cell r="BN243">
            <v>1</v>
          </cell>
          <cell r="BO243">
            <v>0</v>
          </cell>
          <cell r="BP243">
            <v>0</v>
          </cell>
          <cell r="BQ243">
            <v>0</v>
          </cell>
          <cell r="BR243">
            <v>2</v>
          </cell>
          <cell r="BS243">
            <v>0</v>
          </cell>
          <cell r="BT243">
            <v>0</v>
          </cell>
          <cell r="BU243">
            <v>4</v>
          </cell>
        </row>
        <row r="244">
          <cell r="A244">
            <v>41</v>
          </cell>
          <cell r="B244">
            <v>41</v>
          </cell>
          <cell r="D244">
            <v>0</v>
          </cell>
          <cell r="F244">
            <v>0</v>
          </cell>
          <cell r="G244">
            <v>1</v>
          </cell>
          <cell r="I244">
            <v>1</v>
          </cell>
          <cell r="J244">
            <v>0</v>
          </cell>
          <cell r="K244">
            <v>19</v>
          </cell>
          <cell r="L244">
            <v>19</v>
          </cell>
          <cell r="M244">
            <v>2</v>
          </cell>
          <cell r="O244">
            <v>1</v>
          </cell>
          <cell r="P244">
            <v>0</v>
          </cell>
          <cell r="Q244">
            <v>0</v>
          </cell>
          <cell r="R244">
            <v>0</v>
          </cell>
          <cell r="S244">
            <v>0</v>
          </cell>
          <cell r="T244">
            <v>3</v>
          </cell>
          <cell r="V244">
            <v>0</v>
          </cell>
          <cell r="W244">
            <v>36</v>
          </cell>
          <cell r="X244">
            <v>3</v>
          </cell>
          <cell r="Y244">
            <v>2</v>
          </cell>
          <cell r="AA244">
            <v>0</v>
          </cell>
          <cell r="AB244">
            <v>0</v>
          </cell>
          <cell r="AC244">
            <v>0</v>
          </cell>
          <cell r="AD244">
            <v>0</v>
          </cell>
          <cell r="AE244">
            <v>0</v>
          </cell>
          <cell r="AF244">
            <v>0</v>
          </cell>
          <cell r="AG244">
            <v>0</v>
          </cell>
          <cell r="AH244">
            <v>1</v>
          </cell>
          <cell r="AI244">
            <v>1</v>
          </cell>
          <cell r="AK244">
            <v>0</v>
          </cell>
          <cell r="AL244">
            <v>0</v>
          </cell>
          <cell r="AN244">
            <v>3072</v>
          </cell>
          <cell r="AO244">
            <v>2</v>
          </cell>
          <cell r="AQ244">
            <v>0</v>
          </cell>
          <cell r="AR244">
            <v>16</v>
          </cell>
          <cell r="AS244">
            <v>3</v>
          </cell>
          <cell r="AT244">
            <v>1</v>
          </cell>
          <cell r="AU244">
            <v>2</v>
          </cell>
          <cell r="AV244">
            <v>17</v>
          </cell>
          <cell r="AW244">
            <v>17</v>
          </cell>
          <cell r="AX244">
            <v>2</v>
          </cell>
          <cell r="AY244">
            <v>2</v>
          </cell>
          <cell r="AZ244">
            <v>1</v>
          </cell>
          <cell r="BA244">
            <v>1</v>
          </cell>
          <cell r="BB244">
            <v>0</v>
          </cell>
          <cell r="BC244">
            <v>0</v>
          </cell>
          <cell r="BD244">
            <v>0</v>
          </cell>
          <cell r="BE244">
            <v>0</v>
          </cell>
          <cell r="BF244">
            <v>0</v>
          </cell>
          <cell r="BG244">
            <v>0</v>
          </cell>
          <cell r="BH244">
            <v>1</v>
          </cell>
          <cell r="BI244">
            <v>0</v>
          </cell>
          <cell r="BJ244">
            <v>0</v>
          </cell>
          <cell r="BK244">
            <v>0</v>
          </cell>
          <cell r="BL244">
            <v>1</v>
          </cell>
          <cell r="BM244">
            <v>0</v>
          </cell>
          <cell r="BN244">
            <v>0</v>
          </cell>
          <cell r="BO244">
            <v>0</v>
          </cell>
          <cell r="BP244">
            <v>0</v>
          </cell>
          <cell r="BQ244">
            <v>0</v>
          </cell>
          <cell r="BR244">
            <v>0</v>
          </cell>
          <cell r="BS244">
            <v>0</v>
          </cell>
          <cell r="BT244">
            <v>17</v>
          </cell>
          <cell r="BU244">
            <v>0</v>
          </cell>
        </row>
        <row r="245">
          <cell r="A245">
            <v>40</v>
          </cell>
          <cell r="B245">
            <v>40</v>
          </cell>
          <cell r="D245">
            <v>0</v>
          </cell>
          <cell r="F245">
            <v>0</v>
          </cell>
          <cell r="G245">
            <v>1</v>
          </cell>
          <cell r="I245">
            <v>1</v>
          </cell>
          <cell r="J245">
            <v>0</v>
          </cell>
          <cell r="K245">
            <v>24</v>
          </cell>
          <cell r="L245">
            <v>24</v>
          </cell>
          <cell r="M245">
            <v>2</v>
          </cell>
          <cell r="O245">
            <v>0</v>
          </cell>
          <cell r="P245">
            <v>0</v>
          </cell>
          <cell r="Q245">
            <v>0</v>
          </cell>
          <cell r="R245">
            <v>0</v>
          </cell>
          <cell r="S245">
            <v>1</v>
          </cell>
          <cell r="T245">
            <v>1</v>
          </cell>
          <cell r="V245">
            <v>0</v>
          </cell>
          <cell r="W245">
            <v>62</v>
          </cell>
          <cell r="X245">
            <v>3</v>
          </cell>
          <cell r="Y245">
            <v>2</v>
          </cell>
          <cell r="AA245">
            <v>0</v>
          </cell>
          <cell r="AB245">
            <v>0</v>
          </cell>
          <cell r="AC245">
            <v>0</v>
          </cell>
          <cell r="AD245">
            <v>0</v>
          </cell>
          <cell r="AE245">
            <v>0</v>
          </cell>
          <cell r="AF245">
            <v>0</v>
          </cell>
          <cell r="AG245">
            <v>0</v>
          </cell>
          <cell r="AH245">
            <v>1</v>
          </cell>
          <cell r="AI245">
            <v>4</v>
          </cell>
          <cell r="AK245">
            <v>0</v>
          </cell>
          <cell r="AL245">
            <v>0</v>
          </cell>
          <cell r="AN245">
            <v>3319</v>
          </cell>
          <cell r="AO245">
            <v>1</v>
          </cell>
          <cell r="AQ245">
            <v>0</v>
          </cell>
          <cell r="AR245">
            <v>17</v>
          </cell>
          <cell r="AS245">
            <v>3</v>
          </cell>
          <cell r="AT245">
            <v>1</v>
          </cell>
          <cell r="AU245">
            <v>2</v>
          </cell>
          <cell r="AV245">
            <v>9</v>
          </cell>
          <cell r="AW245">
            <v>9</v>
          </cell>
          <cell r="AX245">
            <v>3</v>
          </cell>
          <cell r="AY245">
            <v>3</v>
          </cell>
          <cell r="AZ245">
            <v>9</v>
          </cell>
          <cell r="BA245">
            <v>9</v>
          </cell>
          <cell r="BB245">
            <v>8</v>
          </cell>
          <cell r="BC245">
            <v>4</v>
          </cell>
          <cell r="BD245">
            <v>4</v>
          </cell>
          <cell r="BE245">
            <v>7</v>
          </cell>
          <cell r="BF245">
            <v>7</v>
          </cell>
          <cell r="BG245">
            <v>14</v>
          </cell>
          <cell r="BH245">
            <v>1</v>
          </cell>
          <cell r="BI245">
            <v>0</v>
          </cell>
          <cell r="BJ245">
            <v>0</v>
          </cell>
          <cell r="BK245">
            <v>0</v>
          </cell>
          <cell r="BL245">
            <v>1</v>
          </cell>
          <cell r="BM245">
            <v>0</v>
          </cell>
          <cell r="BN245">
            <v>0</v>
          </cell>
          <cell r="BO245">
            <v>0</v>
          </cell>
          <cell r="BP245">
            <v>0</v>
          </cell>
          <cell r="BQ245">
            <v>7</v>
          </cell>
          <cell r="BR245">
            <v>0</v>
          </cell>
          <cell r="BS245">
            <v>0</v>
          </cell>
          <cell r="BT245">
            <v>9</v>
          </cell>
          <cell r="BU245">
            <v>0</v>
          </cell>
        </row>
        <row r="246">
          <cell r="A246">
            <v>45</v>
          </cell>
          <cell r="B246">
            <v>45</v>
          </cell>
          <cell r="D246">
            <v>0</v>
          </cell>
          <cell r="F246">
            <v>0</v>
          </cell>
          <cell r="G246">
            <v>1</v>
          </cell>
          <cell r="I246">
            <v>1</v>
          </cell>
          <cell r="J246">
            <v>0</v>
          </cell>
          <cell r="K246">
            <v>1</v>
          </cell>
          <cell r="L246">
            <v>1</v>
          </cell>
          <cell r="M246">
            <v>3</v>
          </cell>
          <cell r="O246">
            <v>0</v>
          </cell>
          <cell r="P246">
            <v>1</v>
          </cell>
          <cell r="Q246">
            <v>0</v>
          </cell>
          <cell r="R246">
            <v>0</v>
          </cell>
          <cell r="S246">
            <v>0</v>
          </cell>
          <cell r="T246">
            <v>3</v>
          </cell>
          <cell r="V246">
            <v>0</v>
          </cell>
          <cell r="W246">
            <v>70</v>
          </cell>
          <cell r="X246">
            <v>4</v>
          </cell>
          <cell r="Y246">
            <v>5</v>
          </cell>
          <cell r="AA246">
            <v>0</v>
          </cell>
          <cell r="AB246">
            <v>0</v>
          </cell>
          <cell r="AC246">
            <v>0</v>
          </cell>
          <cell r="AD246">
            <v>1</v>
          </cell>
          <cell r="AE246">
            <v>0</v>
          </cell>
          <cell r="AF246">
            <v>0</v>
          </cell>
          <cell r="AG246">
            <v>0</v>
          </cell>
          <cell r="AH246">
            <v>0</v>
          </cell>
          <cell r="AI246">
            <v>4</v>
          </cell>
          <cell r="AK246">
            <v>0</v>
          </cell>
          <cell r="AL246">
            <v>1</v>
          </cell>
          <cell r="AN246">
            <v>19202</v>
          </cell>
          <cell r="AO246">
            <v>0</v>
          </cell>
          <cell r="AQ246">
            <v>0</v>
          </cell>
          <cell r="AR246">
            <v>11</v>
          </cell>
          <cell r="AS246">
            <v>3</v>
          </cell>
          <cell r="AT246">
            <v>3</v>
          </cell>
          <cell r="AU246">
            <v>1</v>
          </cell>
          <cell r="AV246">
            <v>25</v>
          </cell>
          <cell r="AW246">
            <v>25</v>
          </cell>
          <cell r="AX246">
            <v>2</v>
          </cell>
          <cell r="AY246">
            <v>3</v>
          </cell>
          <cell r="AZ246">
            <v>24</v>
          </cell>
          <cell r="BA246">
            <v>24</v>
          </cell>
          <cell r="BB246">
            <v>0</v>
          </cell>
          <cell r="BC246">
            <v>1</v>
          </cell>
          <cell r="BD246">
            <v>1</v>
          </cell>
          <cell r="BE246">
            <v>7</v>
          </cell>
          <cell r="BF246">
            <v>7</v>
          </cell>
          <cell r="BG246">
            <v>35</v>
          </cell>
          <cell r="BH246">
            <v>0</v>
          </cell>
          <cell r="BI246">
            <v>1</v>
          </cell>
          <cell r="BJ246">
            <v>0</v>
          </cell>
          <cell r="BK246">
            <v>0</v>
          </cell>
          <cell r="BL246">
            <v>0</v>
          </cell>
          <cell r="BM246">
            <v>0</v>
          </cell>
          <cell r="BN246">
            <v>1</v>
          </cell>
          <cell r="BO246">
            <v>0</v>
          </cell>
          <cell r="BP246">
            <v>0</v>
          </cell>
          <cell r="BQ246">
            <v>7</v>
          </cell>
          <cell r="BR246">
            <v>0</v>
          </cell>
          <cell r="BS246">
            <v>0</v>
          </cell>
          <cell r="BT246">
            <v>25</v>
          </cell>
          <cell r="BU246">
            <v>0</v>
          </cell>
        </row>
        <row r="247">
          <cell r="A247">
            <v>31</v>
          </cell>
          <cell r="B247">
            <v>31</v>
          </cell>
          <cell r="D247">
            <v>0</v>
          </cell>
          <cell r="F247">
            <v>1</v>
          </cell>
          <cell r="G247">
            <v>0</v>
          </cell>
          <cell r="I247">
            <v>1</v>
          </cell>
          <cell r="J247">
            <v>0</v>
          </cell>
          <cell r="K247">
            <v>3</v>
          </cell>
          <cell r="L247">
            <v>3</v>
          </cell>
          <cell r="M247">
            <v>4</v>
          </cell>
          <cell r="O247">
            <v>0</v>
          </cell>
          <cell r="P247">
            <v>0</v>
          </cell>
          <cell r="Q247">
            <v>1</v>
          </cell>
          <cell r="R247">
            <v>0</v>
          </cell>
          <cell r="S247">
            <v>0</v>
          </cell>
          <cell r="T247">
            <v>2</v>
          </cell>
          <cell r="V247">
            <v>0</v>
          </cell>
          <cell r="W247">
            <v>73</v>
          </cell>
          <cell r="X247">
            <v>3</v>
          </cell>
          <cell r="Y247">
            <v>3</v>
          </cell>
          <cell r="AA247">
            <v>0</v>
          </cell>
          <cell r="AB247">
            <v>0</v>
          </cell>
          <cell r="AC247">
            <v>0</v>
          </cell>
          <cell r="AD247">
            <v>0</v>
          </cell>
          <cell r="AE247">
            <v>0</v>
          </cell>
          <cell r="AF247">
            <v>0</v>
          </cell>
          <cell r="AG247">
            <v>0</v>
          </cell>
          <cell r="AH247">
            <v>0</v>
          </cell>
          <cell r="AI247">
            <v>3</v>
          </cell>
          <cell r="AK247">
            <v>0</v>
          </cell>
          <cell r="AL247">
            <v>0</v>
          </cell>
          <cell r="AN247">
            <v>13675</v>
          </cell>
          <cell r="AO247">
            <v>9</v>
          </cell>
          <cell r="AQ247">
            <v>0</v>
          </cell>
          <cell r="AR247">
            <v>12</v>
          </cell>
          <cell r="AS247">
            <v>3</v>
          </cell>
          <cell r="AT247">
            <v>1</v>
          </cell>
          <cell r="AU247">
            <v>1</v>
          </cell>
          <cell r="AV247">
            <v>9</v>
          </cell>
          <cell r="AW247">
            <v>9</v>
          </cell>
          <cell r="AX247">
            <v>3</v>
          </cell>
          <cell r="AY247">
            <v>3</v>
          </cell>
          <cell r="AZ247">
            <v>2</v>
          </cell>
          <cell r="BA247">
            <v>2</v>
          </cell>
          <cell r="BB247">
            <v>2</v>
          </cell>
          <cell r="BC247">
            <v>2</v>
          </cell>
          <cell r="BD247">
            <v>2</v>
          </cell>
          <cell r="BE247">
            <v>2</v>
          </cell>
          <cell r="BF247">
            <v>2</v>
          </cell>
          <cell r="BG247">
            <v>6</v>
          </cell>
          <cell r="BH247">
            <v>0</v>
          </cell>
          <cell r="BI247">
            <v>0</v>
          </cell>
          <cell r="BJ247">
            <v>1</v>
          </cell>
          <cell r="BK247">
            <v>0</v>
          </cell>
          <cell r="BL247">
            <v>1</v>
          </cell>
          <cell r="BM247">
            <v>0</v>
          </cell>
          <cell r="BN247">
            <v>0</v>
          </cell>
          <cell r="BO247">
            <v>0</v>
          </cell>
          <cell r="BP247">
            <v>0</v>
          </cell>
          <cell r="BQ247">
            <v>2</v>
          </cell>
          <cell r="BR247">
            <v>0</v>
          </cell>
          <cell r="BS247">
            <v>0</v>
          </cell>
          <cell r="BT247">
            <v>9</v>
          </cell>
          <cell r="BU247">
            <v>0</v>
          </cell>
        </row>
        <row r="248">
          <cell r="A248">
            <v>33</v>
          </cell>
          <cell r="B248">
            <v>33</v>
          </cell>
          <cell r="D248">
            <v>0</v>
          </cell>
          <cell r="F248">
            <v>0</v>
          </cell>
          <cell r="G248">
            <v>1</v>
          </cell>
          <cell r="I248">
            <v>1</v>
          </cell>
          <cell r="J248">
            <v>0</v>
          </cell>
          <cell r="K248">
            <v>5</v>
          </cell>
          <cell r="L248">
            <v>5</v>
          </cell>
          <cell r="M248">
            <v>4</v>
          </cell>
          <cell r="O248">
            <v>1</v>
          </cell>
          <cell r="P248">
            <v>0</v>
          </cell>
          <cell r="Q248">
            <v>0</v>
          </cell>
          <cell r="R248">
            <v>0</v>
          </cell>
          <cell r="S248">
            <v>0</v>
          </cell>
          <cell r="T248">
            <v>3</v>
          </cell>
          <cell r="V248">
            <v>1</v>
          </cell>
          <cell r="W248">
            <v>63</v>
          </cell>
          <cell r="X248">
            <v>2</v>
          </cell>
          <cell r="Y248">
            <v>1</v>
          </cell>
          <cell r="AA248">
            <v>0</v>
          </cell>
          <cell r="AB248">
            <v>0</v>
          </cell>
          <cell r="AC248">
            <v>0</v>
          </cell>
          <cell r="AD248">
            <v>0</v>
          </cell>
          <cell r="AE248">
            <v>0</v>
          </cell>
          <cell r="AF248">
            <v>0</v>
          </cell>
          <cell r="AG248">
            <v>0</v>
          </cell>
          <cell r="AH248">
            <v>1</v>
          </cell>
          <cell r="AI248">
            <v>4</v>
          </cell>
          <cell r="AK248">
            <v>0</v>
          </cell>
          <cell r="AL248">
            <v>1</v>
          </cell>
          <cell r="AN248">
            <v>2911</v>
          </cell>
          <cell r="AO248">
            <v>1</v>
          </cell>
          <cell r="AQ248">
            <v>0</v>
          </cell>
          <cell r="AR248">
            <v>13</v>
          </cell>
          <cell r="AS248">
            <v>3</v>
          </cell>
          <cell r="AT248">
            <v>3</v>
          </cell>
          <cell r="AU248">
            <v>1</v>
          </cell>
          <cell r="AV248">
            <v>2</v>
          </cell>
          <cell r="AW248">
            <v>2</v>
          </cell>
          <cell r="AX248">
            <v>2</v>
          </cell>
          <cell r="AY248">
            <v>2</v>
          </cell>
          <cell r="AZ248">
            <v>2</v>
          </cell>
          <cell r="BA248">
            <v>2</v>
          </cell>
          <cell r="BB248">
            <v>2</v>
          </cell>
          <cell r="BC248">
            <v>0</v>
          </cell>
          <cell r="BD248">
            <v>0</v>
          </cell>
          <cell r="BE248">
            <v>2</v>
          </cell>
          <cell r="BF248">
            <v>2</v>
          </cell>
          <cell r="BG248">
            <v>2</v>
          </cell>
          <cell r="BH248">
            <v>0</v>
          </cell>
          <cell r="BI248">
            <v>1</v>
          </cell>
          <cell r="BJ248">
            <v>0</v>
          </cell>
          <cell r="BK248">
            <v>0</v>
          </cell>
          <cell r="BL248">
            <v>0</v>
          </cell>
          <cell r="BM248">
            <v>0</v>
          </cell>
          <cell r="BN248">
            <v>1</v>
          </cell>
          <cell r="BO248">
            <v>0</v>
          </cell>
          <cell r="BP248">
            <v>0</v>
          </cell>
          <cell r="BQ248">
            <v>2</v>
          </cell>
          <cell r="BR248">
            <v>0</v>
          </cell>
          <cell r="BS248">
            <v>0</v>
          </cell>
          <cell r="BT248">
            <v>2</v>
          </cell>
          <cell r="BU248">
            <v>0</v>
          </cell>
        </row>
        <row r="249">
          <cell r="A249">
            <v>34</v>
          </cell>
          <cell r="B249">
            <v>34</v>
          </cell>
          <cell r="D249">
            <v>0</v>
          </cell>
          <cell r="F249">
            <v>0</v>
          </cell>
          <cell r="G249">
            <v>1</v>
          </cell>
          <cell r="I249">
            <v>1</v>
          </cell>
          <cell r="J249">
            <v>0</v>
          </cell>
          <cell r="K249">
            <v>2</v>
          </cell>
          <cell r="L249">
            <v>2</v>
          </cell>
          <cell r="M249">
            <v>4</v>
          </cell>
          <cell r="O249">
            <v>1</v>
          </cell>
          <cell r="P249">
            <v>0</v>
          </cell>
          <cell r="Q249">
            <v>0</v>
          </cell>
          <cell r="R249">
            <v>0</v>
          </cell>
          <cell r="S249">
            <v>0</v>
          </cell>
          <cell r="T249">
            <v>4</v>
          </cell>
          <cell r="V249">
            <v>0</v>
          </cell>
          <cell r="W249">
            <v>84</v>
          </cell>
          <cell r="X249">
            <v>2</v>
          </cell>
          <cell r="Y249">
            <v>2</v>
          </cell>
          <cell r="AA249">
            <v>0</v>
          </cell>
          <cell r="AB249">
            <v>0</v>
          </cell>
          <cell r="AC249">
            <v>0</v>
          </cell>
          <cell r="AD249">
            <v>0</v>
          </cell>
          <cell r="AE249">
            <v>1</v>
          </cell>
          <cell r="AF249">
            <v>1</v>
          </cell>
          <cell r="AG249">
            <v>0</v>
          </cell>
          <cell r="AH249">
            <v>0</v>
          </cell>
          <cell r="AI249">
            <v>1</v>
          </cell>
          <cell r="AK249">
            <v>0</v>
          </cell>
          <cell r="AL249">
            <v>1</v>
          </cell>
          <cell r="AN249">
            <v>5957</v>
          </cell>
          <cell r="AO249">
            <v>6</v>
          </cell>
          <cell r="AQ249">
            <v>0</v>
          </cell>
          <cell r="AR249">
            <v>13</v>
          </cell>
          <cell r="AS249">
            <v>3</v>
          </cell>
          <cell r="AT249">
            <v>2</v>
          </cell>
          <cell r="AU249">
            <v>1</v>
          </cell>
          <cell r="AV249">
            <v>13</v>
          </cell>
          <cell r="AW249">
            <v>13</v>
          </cell>
          <cell r="AX249">
            <v>3</v>
          </cell>
          <cell r="AY249">
            <v>3</v>
          </cell>
          <cell r="AZ249">
            <v>11</v>
          </cell>
          <cell r="BA249">
            <v>11</v>
          </cell>
          <cell r="BB249">
            <v>9</v>
          </cell>
          <cell r="BC249">
            <v>5</v>
          </cell>
          <cell r="BD249">
            <v>5</v>
          </cell>
          <cell r="BE249">
            <v>9</v>
          </cell>
          <cell r="BF249">
            <v>9</v>
          </cell>
          <cell r="BG249">
            <v>18</v>
          </cell>
          <cell r="BH249">
            <v>0</v>
          </cell>
          <cell r="BI249">
            <v>1</v>
          </cell>
          <cell r="BJ249">
            <v>0</v>
          </cell>
          <cell r="BK249">
            <v>0</v>
          </cell>
          <cell r="BL249">
            <v>0</v>
          </cell>
          <cell r="BM249">
            <v>0</v>
          </cell>
          <cell r="BN249">
            <v>1</v>
          </cell>
          <cell r="BO249">
            <v>0</v>
          </cell>
          <cell r="BP249">
            <v>0</v>
          </cell>
          <cell r="BQ249">
            <v>9</v>
          </cell>
          <cell r="BR249">
            <v>0</v>
          </cell>
          <cell r="BS249">
            <v>0</v>
          </cell>
          <cell r="BT249">
            <v>13</v>
          </cell>
          <cell r="BU249">
            <v>0</v>
          </cell>
        </row>
        <row r="250">
          <cell r="A250">
            <v>37</v>
          </cell>
          <cell r="B250">
            <v>37</v>
          </cell>
          <cell r="D250">
            <v>0</v>
          </cell>
          <cell r="F250">
            <v>0</v>
          </cell>
          <cell r="G250">
            <v>1</v>
          </cell>
          <cell r="I250">
            <v>1</v>
          </cell>
          <cell r="J250">
            <v>0</v>
          </cell>
          <cell r="K250">
            <v>1</v>
          </cell>
          <cell r="L250">
            <v>1</v>
          </cell>
          <cell r="M250">
            <v>2</v>
          </cell>
          <cell r="O250">
            <v>0</v>
          </cell>
          <cell r="P250">
            <v>0</v>
          </cell>
          <cell r="Q250">
            <v>1</v>
          </cell>
          <cell r="R250">
            <v>0</v>
          </cell>
          <cell r="S250">
            <v>0</v>
          </cell>
          <cell r="T250">
            <v>3</v>
          </cell>
          <cell r="V250">
            <v>1</v>
          </cell>
          <cell r="W250">
            <v>83</v>
          </cell>
          <cell r="X250">
            <v>2</v>
          </cell>
          <cell r="Y250">
            <v>1</v>
          </cell>
          <cell r="AA250">
            <v>0</v>
          </cell>
          <cell r="AB250">
            <v>0</v>
          </cell>
          <cell r="AC250">
            <v>0</v>
          </cell>
          <cell r="AD250">
            <v>0</v>
          </cell>
          <cell r="AE250">
            <v>0</v>
          </cell>
          <cell r="AF250">
            <v>0</v>
          </cell>
          <cell r="AG250">
            <v>0</v>
          </cell>
          <cell r="AH250">
            <v>1</v>
          </cell>
          <cell r="AI250">
            <v>1</v>
          </cell>
          <cell r="AK250">
            <v>0</v>
          </cell>
          <cell r="AL250">
            <v>1</v>
          </cell>
          <cell r="AN250">
            <v>3920</v>
          </cell>
          <cell r="AO250">
            <v>2</v>
          </cell>
          <cell r="AQ250">
            <v>0</v>
          </cell>
          <cell r="AR250">
            <v>14</v>
          </cell>
          <cell r="AS250">
            <v>3</v>
          </cell>
          <cell r="AT250">
            <v>1</v>
          </cell>
          <cell r="AU250">
            <v>1</v>
          </cell>
          <cell r="AV250">
            <v>17</v>
          </cell>
          <cell r="AW250">
            <v>17</v>
          </cell>
          <cell r="AX250">
            <v>2</v>
          </cell>
          <cell r="AY250">
            <v>2</v>
          </cell>
          <cell r="AZ250">
            <v>3</v>
          </cell>
          <cell r="BA250">
            <v>3</v>
          </cell>
          <cell r="BB250">
            <v>1</v>
          </cell>
          <cell r="BC250">
            <v>0</v>
          </cell>
          <cell r="BD250">
            <v>0</v>
          </cell>
          <cell r="BE250">
            <v>2</v>
          </cell>
          <cell r="BF250">
            <v>2</v>
          </cell>
          <cell r="BG250">
            <v>2</v>
          </cell>
          <cell r="BH250">
            <v>0</v>
          </cell>
          <cell r="BI250">
            <v>1</v>
          </cell>
          <cell r="BJ250">
            <v>0</v>
          </cell>
          <cell r="BK250">
            <v>0</v>
          </cell>
          <cell r="BL250">
            <v>0</v>
          </cell>
          <cell r="BM250">
            <v>0</v>
          </cell>
          <cell r="BN250">
            <v>1</v>
          </cell>
          <cell r="BO250">
            <v>0</v>
          </cell>
          <cell r="BP250">
            <v>0</v>
          </cell>
          <cell r="BQ250">
            <v>2</v>
          </cell>
          <cell r="BR250">
            <v>0</v>
          </cell>
          <cell r="BS250">
            <v>0</v>
          </cell>
          <cell r="BT250">
            <v>17</v>
          </cell>
          <cell r="BU250">
            <v>0</v>
          </cell>
        </row>
        <row r="251">
          <cell r="A251">
            <v>45</v>
          </cell>
          <cell r="B251">
            <v>45</v>
          </cell>
          <cell r="D251">
            <v>0</v>
          </cell>
          <cell r="F251">
            <v>1</v>
          </cell>
          <cell r="G251">
            <v>0</v>
          </cell>
          <cell r="I251">
            <v>1</v>
          </cell>
          <cell r="J251">
            <v>0</v>
          </cell>
          <cell r="K251">
            <v>7</v>
          </cell>
          <cell r="L251">
            <v>7</v>
          </cell>
          <cell r="M251">
            <v>4</v>
          </cell>
          <cell r="O251">
            <v>1</v>
          </cell>
          <cell r="P251">
            <v>0</v>
          </cell>
          <cell r="Q251">
            <v>0</v>
          </cell>
          <cell r="R251">
            <v>0</v>
          </cell>
          <cell r="S251">
            <v>0</v>
          </cell>
          <cell r="T251">
            <v>1</v>
          </cell>
          <cell r="V251">
            <v>0</v>
          </cell>
          <cell r="W251">
            <v>77</v>
          </cell>
          <cell r="X251">
            <v>4</v>
          </cell>
          <cell r="Y251">
            <v>2</v>
          </cell>
          <cell r="AA251">
            <v>0</v>
          </cell>
          <cell r="AB251">
            <v>0</v>
          </cell>
          <cell r="AC251">
            <v>0</v>
          </cell>
          <cell r="AD251">
            <v>0</v>
          </cell>
          <cell r="AE251">
            <v>1</v>
          </cell>
          <cell r="AF251">
            <v>1</v>
          </cell>
          <cell r="AG251">
            <v>0</v>
          </cell>
          <cell r="AH251">
            <v>0</v>
          </cell>
          <cell r="AI251">
            <v>3</v>
          </cell>
          <cell r="AK251">
            <v>0</v>
          </cell>
          <cell r="AL251">
            <v>1</v>
          </cell>
          <cell r="AN251">
            <v>6434</v>
          </cell>
          <cell r="AO251">
            <v>4</v>
          </cell>
          <cell r="AQ251">
            <v>0</v>
          </cell>
          <cell r="AR251">
            <v>17</v>
          </cell>
          <cell r="AS251">
            <v>3</v>
          </cell>
          <cell r="AT251">
            <v>4</v>
          </cell>
          <cell r="AU251">
            <v>1</v>
          </cell>
          <cell r="AV251">
            <v>9</v>
          </cell>
          <cell r="AW251">
            <v>9</v>
          </cell>
          <cell r="AX251">
            <v>1</v>
          </cell>
          <cell r="AY251">
            <v>3</v>
          </cell>
          <cell r="AZ251">
            <v>3</v>
          </cell>
          <cell r="BA251">
            <v>3</v>
          </cell>
          <cell r="BB251">
            <v>2</v>
          </cell>
          <cell r="BC251">
            <v>0</v>
          </cell>
          <cell r="BD251">
            <v>0</v>
          </cell>
          <cell r="BE251">
            <v>2</v>
          </cell>
          <cell r="BF251">
            <v>2</v>
          </cell>
          <cell r="BG251">
            <v>4</v>
          </cell>
          <cell r="BH251">
            <v>0</v>
          </cell>
          <cell r="BI251">
            <v>0</v>
          </cell>
          <cell r="BJ251">
            <v>0</v>
          </cell>
          <cell r="BK251">
            <v>1</v>
          </cell>
          <cell r="BL251">
            <v>0</v>
          </cell>
          <cell r="BM251">
            <v>0</v>
          </cell>
          <cell r="BN251">
            <v>1</v>
          </cell>
          <cell r="BO251">
            <v>0</v>
          </cell>
          <cell r="BP251">
            <v>0</v>
          </cell>
          <cell r="BQ251">
            <v>2</v>
          </cell>
          <cell r="BR251">
            <v>0</v>
          </cell>
          <cell r="BS251">
            <v>0</v>
          </cell>
          <cell r="BT251">
            <v>9</v>
          </cell>
          <cell r="BU251">
            <v>0</v>
          </cell>
        </row>
        <row r="252">
          <cell r="A252">
            <v>37</v>
          </cell>
          <cell r="B252">
            <v>37</v>
          </cell>
          <cell r="D252">
            <v>1</v>
          </cell>
          <cell r="F252">
            <v>1</v>
          </cell>
          <cell r="G252">
            <v>0</v>
          </cell>
          <cell r="I252">
            <v>1</v>
          </cell>
          <cell r="J252">
            <v>0</v>
          </cell>
          <cell r="K252">
            <v>10</v>
          </cell>
          <cell r="L252">
            <v>10</v>
          </cell>
          <cell r="M252">
            <v>3</v>
          </cell>
          <cell r="O252">
            <v>0</v>
          </cell>
          <cell r="P252">
            <v>0</v>
          </cell>
          <cell r="Q252">
            <v>1</v>
          </cell>
          <cell r="R252">
            <v>0</v>
          </cell>
          <cell r="S252">
            <v>0</v>
          </cell>
          <cell r="T252">
            <v>1</v>
          </cell>
          <cell r="V252">
            <v>0</v>
          </cell>
          <cell r="W252">
            <v>61</v>
          </cell>
          <cell r="X252">
            <v>3</v>
          </cell>
          <cell r="Y252">
            <v>3</v>
          </cell>
          <cell r="AA252">
            <v>0</v>
          </cell>
          <cell r="AB252">
            <v>0</v>
          </cell>
          <cell r="AC252">
            <v>0</v>
          </cell>
          <cell r="AD252">
            <v>0</v>
          </cell>
          <cell r="AE252">
            <v>1</v>
          </cell>
          <cell r="AF252">
            <v>1</v>
          </cell>
          <cell r="AG252">
            <v>0</v>
          </cell>
          <cell r="AH252">
            <v>0</v>
          </cell>
          <cell r="AI252">
            <v>3</v>
          </cell>
          <cell r="AK252">
            <v>0</v>
          </cell>
          <cell r="AL252">
            <v>0</v>
          </cell>
          <cell r="AN252">
            <v>10048</v>
          </cell>
          <cell r="AO252">
            <v>6</v>
          </cell>
          <cell r="AQ252">
            <v>0</v>
          </cell>
          <cell r="AR252">
            <v>11</v>
          </cell>
          <cell r="AS252">
            <v>3</v>
          </cell>
          <cell r="AT252">
            <v>2</v>
          </cell>
          <cell r="AU252">
            <v>2</v>
          </cell>
          <cell r="AV252">
            <v>17</v>
          </cell>
          <cell r="AW252">
            <v>17</v>
          </cell>
          <cell r="AX252">
            <v>5</v>
          </cell>
          <cell r="AY252">
            <v>3</v>
          </cell>
          <cell r="AZ252">
            <v>1</v>
          </cell>
          <cell r="BA252">
            <v>1</v>
          </cell>
          <cell r="BB252">
            <v>0</v>
          </cell>
          <cell r="BC252">
            <v>0</v>
          </cell>
          <cell r="BD252">
            <v>0</v>
          </cell>
          <cell r="BE252">
            <v>0</v>
          </cell>
          <cell r="BF252">
            <v>0</v>
          </cell>
          <cell r="BG252">
            <v>0</v>
          </cell>
          <cell r="BH252">
            <v>0</v>
          </cell>
          <cell r="BI252">
            <v>0</v>
          </cell>
          <cell r="BJ252">
            <v>1</v>
          </cell>
          <cell r="BK252">
            <v>0</v>
          </cell>
          <cell r="BL252">
            <v>1</v>
          </cell>
          <cell r="BM252">
            <v>0</v>
          </cell>
          <cell r="BN252">
            <v>0</v>
          </cell>
          <cell r="BO252">
            <v>0</v>
          </cell>
          <cell r="BP252">
            <v>0</v>
          </cell>
          <cell r="BQ252">
            <v>0</v>
          </cell>
          <cell r="BR252">
            <v>0</v>
          </cell>
          <cell r="BS252">
            <v>0</v>
          </cell>
          <cell r="BT252">
            <v>17</v>
          </cell>
          <cell r="BU252">
            <v>0</v>
          </cell>
        </row>
        <row r="253">
          <cell r="A253">
            <v>39</v>
          </cell>
          <cell r="B253">
            <v>39</v>
          </cell>
          <cell r="D253">
            <v>0</v>
          </cell>
          <cell r="F253">
            <v>1</v>
          </cell>
          <cell r="G253">
            <v>0</v>
          </cell>
          <cell r="I253">
            <v>1</v>
          </cell>
          <cell r="J253">
            <v>0</v>
          </cell>
          <cell r="K253">
            <v>2</v>
          </cell>
          <cell r="L253">
            <v>2</v>
          </cell>
          <cell r="M253">
            <v>4</v>
          </cell>
          <cell r="O253">
            <v>0</v>
          </cell>
          <cell r="P253">
            <v>0</v>
          </cell>
          <cell r="Q253">
            <v>0</v>
          </cell>
          <cell r="R253">
            <v>0</v>
          </cell>
          <cell r="S253">
            <v>1</v>
          </cell>
          <cell r="T253">
            <v>3</v>
          </cell>
          <cell r="V253">
            <v>1</v>
          </cell>
          <cell r="W253">
            <v>64</v>
          </cell>
          <cell r="X253">
            <v>3</v>
          </cell>
          <cell r="Y253">
            <v>3</v>
          </cell>
          <cell r="AA253">
            <v>1</v>
          </cell>
          <cell r="AB253">
            <v>0</v>
          </cell>
          <cell r="AC253">
            <v>0</v>
          </cell>
          <cell r="AD253">
            <v>0</v>
          </cell>
          <cell r="AE253">
            <v>0</v>
          </cell>
          <cell r="AF253">
            <v>0</v>
          </cell>
          <cell r="AG253">
            <v>0</v>
          </cell>
          <cell r="AH253">
            <v>0</v>
          </cell>
          <cell r="AI253">
            <v>3</v>
          </cell>
          <cell r="AK253">
            <v>1</v>
          </cell>
          <cell r="AL253">
            <v>0</v>
          </cell>
          <cell r="AN253">
            <v>10938</v>
          </cell>
          <cell r="AO253">
            <v>0</v>
          </cell>
          <cell r="AQ253">
            <v>0</v>
          </cell>
          <cell r="AR253">
            <v>25</v>
          </cell>
          <cell r="AS253">
            <v>4</v>
          </cell>
          <cell r="AT253">
            <v>4</v>
          </cell>
          <cell r="AU253">
            <v>0</v>
          </cell>
          <cell r="AV253">
            <v>20</v>
          </cell>
          <cell r="AW253">
            <v>20</v>
          </cell>
          <cell r="AX253">
            <v>1</v>
          </cell>
          <cell r="AY253">
            <v>3</v>
          </cell>
          <cell r="AZ253">
            <v>19</v>
          </cell>
          <cell r="BA253">
            <v>19</v>
          </cell>
          <cell r="BB253">
            <v>6</v>
          </cell>
          <cell r="BC253">
            <v>11</v>
          </cell>
          <cell r="BD253">
            <v>11</v>
          </cell>
          <cell r="BE253">
            <v>8</v>
          </cell>
          <cell r="BF253">
            <v>8</v>
          </cell>
          <cell r="BG253">
            <v>24</v>
          </cell>
          <cell r="BH253">
            <v>0</v>
          </cell>
          <cell r="BI253">
            <v>0</v>
          </cell>
          <cell r="BJ253">
            <v>1</v>
          </cell>
          <cell r="BK253">
            <v>0</v>
          </cell>
          <cell r="BL253">
            <v>1</v>
          </cell>
          <cell r="BM253">
            <v>0</v>
          </cell>
          <cell r="BN253">
            <v>0</v>
          </cell>
          <cell r="BO253">
            <v>0</v>
          </cell>
          <cell r="BP253">
            <v>0</v>
          </cell>
          <cell r="BQ253">
            <v>8</v>
          </cell>
          <cell r="BR253">
            <v>0</v>
          </cell>
          <cell r="BS253">
            <v>0</v>
          </cell>
          <cell r="BT253">
            <v>20</v>
          </cell>
          <cell r="BU253">
            <v>0</v>
          </cell>
        </row>
        <row r="254">
          <cell r="A254">
            <v>29</v>
          </cell>
          <cell r="B254">
            <v>29</v>
          </cell>
          <cell r="D254">
            <v>0</v>
          </cell>
          <cell r="F254">
            <v>0</v>
          </cell>
          <cell r="G254">
            <v>1</v>
          </cell>
          <cell r="I254">
            <v>1</v>
          </cell>
          <cell r="J254">
            <v>0</v>
          </cell>
          <cell r="K254">
            <v>15</v>
          </cell>
          <cell r="L254">
            <v>15</v>
          </cell>
          <cell r="M254">
            <v>3</v>
          </cell>
          <cell r="O254">
            <v>1</v>
          </cell>
          <cell r="P254">
            <v>0</v>
          </cell>
          <cell r="Q254">
            <v>0</v>
          </cell>
          <cell r="R254">
            <v>0</v>
          </cell>
          <cell r="S254">
            <v>0</v>
          </cell>
          <cell r="T254">
            <v>3</v>
          </cell>
          <cell r="V254">
            <v>0</v>
          </cell>
          <cell r="W254">
            <v>60</v>
          </cell>
          <cell r="X254">
            <v>3</v>
          </cell>
          <cell r="Y254">
            <v>1</v>
          </cell>
          <cell r="AA254">
            <v>0</v>
          </cell>
          <cell r="AB254">
            <v>0</v>
          </cell>
          <cell r="AC254">
            <v>0</v>
          </cell>
          <cell r="AD254">
            <v>0</v>
          </cell>
          <cell r="AE254">
            <v>0</v>
          </cell>
          <cell r="AF254">
            <v>0</v>
          </cell>
          <cell r="AG254">
            <v>0</v>
          </cell>
          <cell r="AH254">
            <v>1</v>
          </cell>
          <cell r="AI254">
            <v>4</v>
          </cell>
          <cell r="AK254">
            <v>1</v>
          </cell>
          <cell r="AL254">
            <v>0</v>
          </cell>
          <cell r="AN254">
            <v>2340</v>
          </cell>
          <cell r="AO254">
            <v>1</v>
          </cell>
          <cell r="AQ254">
            <v>0</v>
          </cell>
          <cell r="AR254">
            <v>19</v>
          </cell>
          <cell r="AS254">
            <v>3</v>
          </cell>
          <cell r="AT254">
            <v>1</v>
          </cell>
          <cell r="AU254">
            <v>0</v>
          </cell>
          <cell r="AV254">
            <v>6</v>
          </cell>
          <cell r="AW254">
            <v>6</v>
          </cell>
          <cell r="AX254">
            <v>1</v>
          </cell>
          <cell r="AY254">
            <v>3</v>
          </cell>
          <cell r="AZ254">
            <v>6</v>
          </cell>
          <cell r="BA254">
            <v>6</v>
          </cell>
          <cell r="BB254">
            <v>5</v>
          </cell>
          <cell r="BC254">
            <v>1</v>
          </cell>
          <cell r="BD254">
            <v>1</v>
          </cell>
          <cell r="BE254">
            <v>5</v>
          </cell>
          <cell r="BF254">
            <v>5</v>
          </cell>
          <cell r="BG254">
            <v>5</v>
          </cell>
          <cell r="BH254">
            <v>1</v>
          </cell>
          <cell r="BI254">
            <v>0</v>
          </cell>
          <cell r="BJ254">
            <v>0</v>
          </cell>
          <cell r="BK254">
            <v>0</v>
          </cell>
          <cell r="BL254">
            <v>1</v>
          </cell>
          <cell r="BM254">
            <v>0</v>
          </cell>
          <cell r="BN254">
            <v>0</v>
          </cell>
          <cell r="BO254">
            <v>0</v>
          </cell>
          <cell r="BP254">
            <v>0</v>
          </cell>
          <cell r="BQ254">
            <v>5</v>
          </cell>
          <cell r="BR254">
            <v>0</v>
          </cell>
          <cell r="BS254">
            <v>0</v>
          </cell>
          <cell r="BT254">
            <v>6</v>
          </cell>
          <cell r="BU254">
            <v>0</v>
          </cell>
        </row>
        <row r="255">
          <cell r="A255">
            <v>42</v>
          </cell>
          <cell r="B255">
            <v>42</v>
          </cell>
          <cell r="D255">
            <v>0</v>
          </cell>
          <cell r="F255">
            <v>0</v>
          </cell>
          <cell r="G255">
            <v>1</v>
          </cell>
          <cell r="I255">
            <v>1</v>
          </cell>
          <cell r="J255">
            <v>0</v>
          </cell>
          <cell r="K255">
            <v>17</v>
          </cell>
          <cell r="L255">
            <v>17</v>
          </cell>
          <cell r="M255">
            <v>2</v>
          </cell>
          <cell r="O255">
            <v>1</v>
          </cell>
          <cell r="P255">
            <v>0</v>
          </cell>
          <cell r="Q255">
            <v>0</v>
          </cell>
          <cell r="R255">
            <v>0</v>
          </cell>
          <cell r="S255">
            <v>0</v>
          </cell>
          <cell r="T255">
            <v>4</v>
          </cell>
          <cell r="V255">
            <v>1</v>
          </cell>
          <cell r="W255">
            <v>82</v>
          </cell>
          <cell r="X255">
            <v>4</v>
          </cell>
          <cell r="Y255">
            <v>2</v>
          </cell>
          <cell r="AA255">
            <v>0</v>
          </cell>
          <cell r="AB255">
            <v>0</v>
          </cell>
          <cell r="AC255">
            <v>0</v>
          </cell>
          <cell r="AD255">
            <v>0</v>
          </cell>
          <cell r="AE255">
            <v>0</v>
          </cell>
          <cell r="AF255">
            <v>0</v>
          </cell>
          <cell r="AG255">
            <v>0</v>
          </cell>
          <cell r="AH255">
            <v>1</v>
          </cell>
          <cell r="AI255">
            <v>1</v>
          </cell>
          <cell r="AK255">
            <v>1</v>
          </cell>
          <cell r="AL255">
            <v>0</v>
          </cell>
          <cell r="AN255">
            <v>6545</v>
          </cell>
          <cell r="AO255">
            <v>3</v>
          </cell>
          <cell r="AQ255">
            <v>1</v>
          </cell>
          <cell r="AR255">
            <v>13</v>
          </cell>
          <cell r="AS255">
            <v>3</v>
          </cell>
          <cell r="AT255">
            <v>3</v>
          </cell>
          <cell r="AU255">
            <v>0</v>
          </cell>
          <cell r="AV255">
            <v>10</v>
          </cell>
          <cell r="AW255">
            <v>10</v>
          </cell>
          <cell r="AX255">
            <v>1</v>
          </cell>
          <cell r="AY255">
            <v>3</v>
          </cell>
          <cell r="AZ255">
            <v>3</v>
          </cell>
          <cell r="BA255">
            <v>3</v>
          </cell>
          <cell r="BB255">
            <v>2</v>
          </cell>
          <cell r="BC255">
            <v>0</v>
          </cell>
          <cell r="BD255">
            <v>0</v>
          </cell>
          <cell r="BE255">
            <v>2</v>
          </cell>
          <cell r="BF255">
            <v>2</v>
          </cell>
          <cell r="BG255">
            <v>4</v>
          </cell>
          <cell r="BH255">
            <v>1</v>
          </cell>
          <cell r="BI255">
            <v>0</v>
          </cell>
          <cell r="BJ255">
            <v>0</v>
          </cell>
          <cell r="BK255">
            <v>0</v>
          </cell>
          <cell r="BL255">
            <v>0</v>
          </cell>
          <cell r="BM255">
            <v>1</v>
          </cell>
          <cell r="BN255">
            <v>0</v>
          </cell>
          <cell r="BO255">
            <v>0</v>
          </cell>
          <cell r="BP255">
            <v>0</v>
          </cell>
          <cell r="BQ255">
            <v>2</v>
          </cell>
          <cell r="BR255">
            <v>0</v>
          </cell>
          <cell r="BS255">
            <v>0</v>
          </cell>
          <cell r="BT255">
            <v>10</v>
          </cell>
          <cell r="BU255">
            <v>0</v>
          </cell>
        </row>
        <row r="256">
          <cell r="A256">
            <v>29</v>
          </cell>
          <cell r="B256">
            <v>29</v>
          </cell>
          <cell r="D256">
            <v>0</v>
          </cell>
          <cell r="F256">
            <v>0</v>
          </cell>
          <cell r="G256">
            <v>1</v>
          </cell>
          <cell r="I256">
            <v>0</v>
          </cell>
          <cell r="J256">
            <v>1</v>
          </cell>
          <cell r="K256">
            <v>20</v>
          </cell>
          <cell r="L256">
            <v>20</v>
          </cell>
          <cell r="M256">
            <v>2</v>
          </cell>
          <cell r="O256">
            <v>0</v>
          </cell>
          <cell r="P256">
            <v>0</v>
          </cell>
          <cell r="Q256">
            <v>0</v>
          </cell>
          <cell r="R256">
            <v>1</v>
          </cell>
          <cell r="S256">
            <v>0</v>
          </cell>
          <cell r="T256">
            <v>4</v>
          </cell>
          <cell r="V256">
            <v>0</v>
          </cell>
          <cell r="W256">
            <v>45</v>
          </cell>
          <cell r="X256">
            <v>3</v>
          </cell>
          <cell r="Y256">
            <v>2</v>
          </cell>
          <cell r="AA256">
            <v>0</v>
          </cell>
          <cell r="AB256">
            <v>1</v>
          </cell>
          <cell r="AC256">
            <v>0</v>
          </cell>
          <cell r="AD256">
            <v>0</v>
          </cell>
          <cell r="AE256">
            <v>0</v>
          </cell>
          <cell r="AF256">
            <v>0</v>
          </cell>
          <cell r="AG256">
            <v>0</v>
          </cell>
          <cell r="AH256">
            <v>0</v>
          </cell>
          <cell r="AI256">
            <v>4</v>
          </cell>
          <cell r="AK256">
            <v>0</v>
          </cell>
          <cell r="AL256">
            <v>0</v>
          </cell>
          <cell r="AN256">
            <v>6931</v>
          </cell>
          <cell r="AO256">
            <v>2</v>
          </cell>
          <cell r="AQ256">
            <v>0</v>
          </cell>
          <cell r="AR256">
            <v>14</v>
          </cell>
          <cell r="AS256">
            <v>3</v>
          </cell>
          <cell r="AT256">
            <v>4</v>
          </cell>
          <cell r="AU256">
            <v>1</v>
          </cell>
          <cell r="AV256">
            <v>10</v>
          </cell>
          <cell r="AW256">
            <v>10</v>
          </cell>
          <cell r="AX256">
            <v>2</v>
          </cell>
          <cell r="AY256">
            <v>3</v>
          </cell>
          <cell r="AZ256">
            <v>3</v>
          </cell>
          <cell r="BA256">
            <v>3</v>
          </cell>
          <cell r="BB256">
            <v>2</v>
          </cell>
          <cell r="BC256">
            <v>0</v>
          </cell>
          <cell r="BD256">
            <v>0</v>
          </cell>
          <cell r="BE256">
            <v>2</v>
          </cell>
          <cell r="BF256">
            <v>2</v>
          </cell>
          <cell r="BG256">
            <v>4</v>
          </cell>
          <cell r="BH256">
            <v>1</v>
          </cell>
          <cell r="BI256">
            <v>0</v>
          </cell>
          <cell r="BJ256">
            <v>0</v>
          </cell>
          <cell r="BK256">
            <v>0</v>
          </cell>
          <cell r="BL256">
            <v>1</v>
          </cell>
          <cell r="BM256">
            <v>0</v>
          </cell>
          <cell r="BN256">
            <v>0</v>
          </cell>
          <cell r="BO256">
            <v>0</v>
          </cell>
          <cell r="BP256">
            <v>0</v>
          </cell>
          <cell r="BQ256">
            <v>0</v>
          </cell>
          <cell r="BR256">
            <v>2</v>
          </cell>
          <cell r="BS256">
            <v>0</v>
          </cell>
          <cell r="BT256">
            <v>0</v>
          </cell>
          <cell r="BU256">
            <v>10</v>
          </cell>
        </row>
        <row r="257">
          <cell r="A257">
            <v>25</v>
          </cell>
          <cell r="B257">
            <v>25</v>
          </cell>
          <cell r="D257">
            <v>0</v>
          </cell>
          <cell r="F257">
            <v>0</v>
          </cell>
          <cell r="G257">
            <v>1</v>
          </cell>
          <cell r="I257">
            <v>1</v>
          </cell>
          <cell r="J257">
            <v>0</v>
          </cell>
          <cell r="K257">
            <v>1</v>
          </cell>
          <cell r="L257">
            <v>1</v>
          </cell>
          <cell r="M257">
            <v>3</v>
          </cell>
          <cell r="O257">
            <v>1</v>
          </cell>
          <cell r="P257">
            <v>0</v>
          </cell>
          <cell r="Q257">
            <v>0</v>
          </cell>
          <cell r="R257">
            <v>0</v>
          </cell>
          <cell r="S257">
            <v>0</v>
          </cell>
          <cell r="T257">
            <v>1</v>
          </cell>
          <cell r="V257">
            <v>1</v>
          </cell>
          <cell r="W257">
            <v>62</v>
          </cell>
          <cell r="X257">
            <v>3</v>
          </cell>
          <cell r="Y257">
            <v>2</v>
          </cell>
          <cell r="AA257">
            <v>0</v>
          </cell>
          <cell r="AB257">
            <v>0</v>
          </cell>
          <cell r="AC257">
            <v>0</v>
          </cell>
          <cell r="AD257">
            <v>0</v>
          </cell>
          <cell r="AE257">
            <v>1</v>
          </cell>
          <cell r="AF257">
            <v>1</v>
          </cell>
          <cell r="AG257">
            <v>0</v>
          </cell>
          <cell r="AH257">
            <v>0</v>
          </cell>
          <cell r="AI257">
            <v>3</v>
          </cell>
          <cell r="AK257">
            <v>0</v>
          </cell>
          <cell r="AL257">
            <v>1</v>
          </cell>
          <cell r="AN257">
            <v>4898</v>
          </cell>
          <cell r="AO257">
            <v>0</v>
          </cell>
          <cell r="AQ257">
            <v>0</v>
          </cell>
          <cell r="AR257">
            <v>12</v>
          </cell>
          <cell r="AS257">
            <v>3</v>
          </cell>
          <cell r="AT257">
            <v>4</v>
          </cell>
          <cell r="AU257">
            <v>2</v>
          </cell>
          <cell r="AV257">
            <v>5</v>
          </cell>
          <cell r="AW257">
            <v>5</v>
          </cell>
          <cell r="AX257">
            <v>3</v>
          </cell>
          <cell r="AY257">
            <v>3</v>
          </cell>
          <cell r="AZ257">
            <v>4</v>
          </cell>
          <cell r="BA257">
            <v>4</v>
          </cell>
          <cell r="BB257">
            <v>2</v>
          </cell>
          <cell r="BC257">
            <v>1</v>
          </cell>
          <cell r="BD257">
            <v>1</v>
          </cell>
          <cell r="BE257">
            <v>2</v>
          </cell>
          <cell r="BF257">
            <v>2</v>
          </cell>
          <cell r="BG257">
            <v>4</v>
          </cell>
          <cell r="BH257">
            <v>0</v>
          </cell>
          <cell r="BI257">
            <v>1</v>
          </cell>
          <cell r="BJ257">
            <v>0</v>
          </cell>
          <cell r="BK257">
            <v>0</v>
          </cell>
          <cell r="BL257">
            <v>0</v>
          </cell>
          <cell r="BM257">
            <v>0</v>
          </cell>
          <cell r="BN257">
            <v>1</v>
          </cell>
          <cell r="BO257">
            <v>0</v>
          </cell>
          <cell r="BP257">
            <v>0</v>
          </cell>
          <cell r="BQ257">
            <v>2</v>
          </cell>
          <cell r="BR257">
            <v>0</v>
          </cell>
          <cell r="BS257">
            <v>0</v>
          </cell>
          <cell r="BT257">
            <v>5</v>
          </cell>
          <cell r="BU257">
            <v>0</v>
          </cell>
        </row>
        <row r="258">
          <cell r="A258">
            <v>42</v>
          </cell>
          <cell r="B258">
            <v>42</v>
          </cell>
          <cell r="D258">
            <v>0</v>
          </cell>
          <cell r="F258">
            <v>0</v>
          </cell>
          <cell r="G258">
            <v>1</v>
          </cell>
          <cell r="I258">
            <v>1</v>
          </cell>
          <cell r="J258">
            <v>0</v>
          </cell>
          <cell r="K258">
            <v>2</v>
          </cell>
          <cell r="L258">
            <v>2</v>
          </cell>
          <cell r="M258">
            <v>3</v>
          </cell>
          <cell r="O258">
            <v>0</v>
          </cell>
          <cell r="P258">
            <v>0</v>
          </cell>
          <cell r="Q258">
            <v>1</v>
          </cell>
          <cell r="R258">
            <v>0</v>
          </cell>
          <cell r="S258">
            <v>0</v>
          </cell>
          <cell r="T258">
            <v>4</v>
          </cell>
          <cell r="V258">
            <v>1</v>
          </cell>
          <cell r="W258">
            <v>56</v>
          </cell>
          <cell r="X258">
            <v>2</v>
          </cell>
          <cell r="Y258">
            <v>1</v>
          </cell>
          <cell r="AA258">
            <v>0</v>
          </cell>
          <cell r="AB258">
            <v>0</v>
          </cell>
          <cell r="AC258">
            <v>1</v>
          </cell>
          <cell r="AD258">
            <v>0</v>
          </cell>
          <cell r="AE258">
            <v>0</v>
          </cell>
          <cell r="AF258">
            <v>0</v>
          </cell>
          <cell r="AG258">
            <v>0</v>
          </cell>
          <cell r="AH258">
            <v>0</v>
          </cell>
          <cell r="AI258">
            <v>1</v>
          </cell>
          <cell r="AK258">
            <v>0</v>
          </cell>
          <cell r="AL258">
            <v>0</v>
          </cell>
          <cell r="AN258">
            <v>2593</v>
          </cell>
          <cell r="AO258">
            <v>0</v>
          </cell>
          <cell r="AQ258">
            <v>1</v>
          </cell>
          <cell r="AR258">
            <v>11</v>
          </cell>
          <cell r="AS258">
            <v>3</v>
          </cell>
          <cell r="AT258">
            <v>3</v>
          </cell>
          <cell r="AU258">
            <v>1</v>
          </cell>
          <cell r="AV258">
            <v>10</v>
          </cell>
          <cell r="AW258">
            <v>10</v>
          </cell>
          <cell r="AX258">
            <v>4</v>
          </cell>
          <cell r="AY258">
            <v>3</v>
          </cell>
          <cell r="AZ258">
            <v>9</v>
          </cell>
          <cell r="BA258">
            <v>9</v>
          </cell>
          <cell r="BB258">
            <v>6</v>
          </cell>
          <cell r="BC258">
            <v>7</v>
          </cell>
          <cell r="BD258">
            <v>7</v>
          </cell>
          <cell r="BE258">
            <v>8</v>
          </cell>
          <cell r="BF258">
            <v>8</v>
          </cell>
          <cell r="BG258">
            <v>8</v>
          </cell>
          <cell r="BH258">
            <v>1</v>
          </cell>
          <cell r="BI258">
            <v>0</v>
          </cell>
          <cell r="BJ258">
            <v>0</v>
          </cell>
          <cell r="BK258">
            <v>0</v>
          </cell>
          <cell r="BL258">
            <v>0</v>
          </cell>
          <cell r="BM258">
            <v>1</v>
          </cell>
          <cell r="BN258">
            <v>0</v>
          </cell>
          <cell r="BO258">
            <v>0</v>
          </cell>
          <cell r="BP258">
            <v>0</v>
          </cell>
          <cell r="BQ258">
            <v>8</v>
          </cell>
          <cell r="BR258">
            <v>0</v>
          </cell>
          <cell r="BS258">
            <v>0</v>
          </cell>
          <cell r="BT258">
            <v>10</v>
          </cell>
          <cell r="BU258">
            <v>0</v>
          </cell>
        </row>
        <row r="259">
          <cell r="A259">
            <v>40</v>
          </cell>
          <cell r="B259">
            <v>40</v>
          </cell>
          <cell r="D259">
            <v>0</v>
          </cell>
          <cell r="F259">
            <v>0</v>
          </cell>
          <cell r="G259">
            <v>1</v>
          </cell>
          <cell r="I259">
            <v>1</v>
          </cell>
          <cell r="J259">
            <v>0</v>
          </cell>
          <cell r="K259">
            <v>2</v>
          </cell>
          <cell r="L259">
            <v>2</v>
          </cell>
          <cell r="M259">
            <v>2</v>
          </cell>
          <cell r="O259">
            <v>0</v>
          </cell>
          <cell r="P259">
            <v>0</v>
          </cell>
          <cell r="Q259">
            <v>1</v>
          </cell>
          <cell r="R259">
            <v>0</v>
          </cell>
          <cell r="S259">
            <v>0</v>
          </cell>
          <cell r="T259">
            <v>1</v>
          </cell>
          <cell r="V259">
            <v>0</v>
          </cell>
          <cell r="W259">
            <v>49</v>
          </cell>
          <cell r="X259">
            <v>3</v>
          </cell>
          <cell r="Y259">
            <v>5</v>
          </cell>
          <cell r="AA259">
            <v>0</v>
          </cell>
          <cell r="AB259">
            <v>0</v>
          </cell>
          <cell r="AC259">
            <v>0</v>
          </cell>
          <cell r="AD259">
            <v>0</v>
          </cell>
          <cell r="AE259">
            <v>0</v>
          </cell>
          <cell r="AF259">
            <v>0</v>
          </cell>
          <cell r="AG259">
            <v>0</v>
          </cell>
          <cell r="AH259">
            <v>0</v>
          </cell>
          <cell r="AI259">
            <v>3</v>
          </cell>
          <cell r="AK259">
            <v>0</v>
          </cell>
          <cell r="AL259">
            <v>0</v>
          </cell>
          <cell r="AN259">
            <v>19436</v>
          </cell>
          <cell r="AO259">
            <v>0</v>
          </cell>
          <cell r="AQ259">
            <v>0</v>
          </cell>
          <cell r="AR259">
            <v>19</v>
          </cell>
          <cell r="AS259">
            <v>3</v>
          </cell>
          <cell r="AT259">
            <v>4</v>
          </cell>
          <cell r="AU259">
            <v>1</v>
          </cell>
          <cell r="AV259">
            <v>22</v>
          </cell>
          <cell r="AW259">
            <v>22</v>
          </cell>
          <cell r="AX259">
            <v>5</v>
          </cell>
          <cell r="AY259">
            <v>3</v>
          </cell>
          <cell r="AZ259">
            <v>21</v>
          </cell>
          <cell r="BA259">
            <v>21</v>
          </cell>
          <cell r="BB259">
            <v>7</v>
          </cell>
          <cell r="BC259">
            <v>3</v>
          </cell>
          <cell r="BD259">
            <v>3</v>
          </cell>
          <cell r="BE259">
            <v>9</v>
          </cell>
          <cell r="BF259">
            <v>9</v>
          </cell>
          <cell r="BG259">
            <v>45</v>
          </cell>
          <cell r="BH259">
            <v>1</v>
          </cell>
          <cell r="BI259">
            <v>0</v>
          </cell>
          <cell r="BJ259">
            <v>0</v>
          </cell>
          <cell r="BK259">
            <v>0</v>
          </cell>
          <cell r="BL259">
            <v>1</v>
          </cell>
          <cell r="BM259">
            <v>0</v>
          </cell>
          <cell r="BN259">
            <v>0</v>
          </cell>
          <cell r="BO259">
            <v>0</v>
          </cell>
          <cell r="BP259">
            <v>0</v>
          </cell>
          <cell r="BQ259">
            <v>9</v>
          </cell>
          <cell r="BR259">
            <v>0</v>
          </cell>
          <cell r="BS259">
            <v>0</v>
          </cell>
          <cell r="BT259">
            <v>22</v>
          </cell>
          <cell r="BU259">
            <v>0</v>
          </cell>
        </row>
        <row r="260">
          <cell r="A260">
            <v>51</v>
          </cell>
          <cell r="B260">
            <v>51</v>
          </cell>
          <cell r="D260">
            <v>0</v>
          </cell>
          <cell r="F260">
            <v>0</v>
          </cell>
          <cell r="G260">
            <v>1</v>
          </cell>
          <cell r="I260">
            <v>1</v>
          </cell>
          <cell r="J260">
            <v>0</v>
          </cell>
          <cell r="K260">
            <v>1</v>
          </cell>
          <cell r="L260">
            <v>1</v>
          </cell>
          <cell r="M260">
            <v>3</v>
          </cell>
          <cell r="O260">
            <v>1</v>
          </cell>
          <cell r="P260">
            <v>0</v>
          </cell>
          <cell r="Q260">
            <v>0</v>
          </cell>
          <cell r="R260">
            <v>0</v>
          </cell>
          <cell r="S260">
            <v>0</v>
          </cell>
          <cell r="T260">
            <v>3</v>
          </cell>
          <cell r="V260">
            <v>0</v>
          </cell>
          <cell r="W260">
            <v>96</v>
          </cell>
          <cell r="X260">
            <v>3</v>
          </cell>
          <cell r="Y260">
            <v>1</v>
          </cell>
          <cell r="AA260">
            <v>0</v>
          </cell>
          <cell r="AB260">
            <v>0</v>
          </cell>
          <cell r="AC260">
            <v>0</v>
          </cell>
          <cell r="AD260">
            <v>0</v>
          </cell>
          <cell r="AE260">
            <v>0</v>
          </cell>
          <cell r="AF260">
            <v>0</v>
          </cell>
          <cell r="AG260">
            <v>0</v>
          </cell>
          <cell r="AH260">
            <v>1</v>
          </cell>
          <cell r="AI260">
            <v>4</v>
          </cell>
          <cell r="AK260">
            <v>0</v>
          </cell>
          <cell r="AL260">
            <v>1</v>
          </cell>
          <cell r="AN260">
            <v>2723</v>
          </cell>
          <cell r="AO260">
            <v>1</v>
          </cell>
          <cell r="AQ260">
            <v>0</v>
          </cell>
          <cell r="AR260">
            <v>11</v>
          </cell>
          <cell r="AS260">
            <v>3</v>
          </cell>
          <cell r="AT260">
            <v>2</v>
          </cell>
          <cell r="AU260">
            <v>0</v>
          </cell>
          <cell r="AV260">
            <v>1</v>
          </cell>
          <cell r="AW260">
            <v>1</v>
          </cell>
          <cell r="AX260">
            <v>0</v>
          </cell>
          <cell r="AY260">
            <v>2</v>
          </cell>
          <cell r="AZ260">
            <v>1</v>
          </cell>
          <cell r="BA260">
            <v>1</v>
          </cell>
          <cell r="BB260">
            <v>0</v>
          </cell>
          <cell r="BC260">
            <v>0</v>
          </cell>
          <cell r="BD260">
            <v>0</v>
          </cell>
          <cell r="BE260">
            <v>0</v>
          </cell>
          <cell r="BF260">
            <v>0</v>
          </cell>
          <cell r="BG260">
            <v>0</v>
          </cell>
          <cell r="BH260">
            <v>0</v>
          </cell>
          <cell r="BI260">
            <v>1</v>
          </cell>
          <cell r="BJ260">
            <v>0</v>
          </cell>
          <cell r="BK260">
            <v>0</v>
          </cell>
          <cell r="BL260">
            <v>0</v>
          </cell>
          <cell r="BM260">
            <v>0</v>
          </cell>
          <cell r="BN260">
            <v>1</v>
          </cell>
          <cell r="BO260">
            <v>0</v>
          </cell>
          <cell r="BP260">
            <v>0</v>
          </cell>
          <cell r="BQ260">
            <v>0</v>
          </cell>
          <cell r="BR260">
            <v>0</v>
          </cell>
          <cell r="BS260">
            <v>0</v>
          </cell>
          <cell r="BT260">
            <v>1</v>
          </cell>
          <cell r="BU260">
            <v>0</v>
          </cell>
        </row>
        <row r="261">
          <cell r="A261">
            <v>31</v>
          </cell>
          <cell r="B261">
            <v>31</v>
          </cell>
          <cell r="D261">
            <v>1</v>
          </cell>
          <cell r="F261">
            <v>1</v>
          </cell>
          <cell r="G261">
            <v>0</v>
          </cell>
          <cell r="I261">
            <v>1</v>
          </cell>
          <cell r="J261">
            <v>0</v>
          </cell>
          <cell r="K261">
            <v>29</v>
          </cell>
          <cell r="L261">
            <v>29</v>
          </cell>
          <cell r="M261">
            <v>2</v>
          </cell>
          <cell r="O261">
            <v>0</v>
          </cell>
          <cell r="P261">
            <v>0</v>
          </cell>
          <cell r="Q261">
            <v>1</v>
          </cell>
          <cell r="R261">
            <v>0</v>
          </cell>
          <cell r="S261">
            <v>0</v>
          </cell>
          <cell r="T261">
            <v>3</v>
          </cell>
          <cell r="V261">
            <v>0</v>
          </cell>
          <cell r="W261">
            <v>71</v>
          </cell>
          <cell r="X261">
            <v>2</v>
          </cell>
          <cell r="Y261">
            <v>1</v>
          </cell>
          <cell r="AA261">
            <v>0</v>
          </cell>
          <cell r="AB261">
            <v>0</v>
          </cell>
          <cell r="AC261">
            <v>1</v>
          </cell>
          <cell r="AD261">
            <v>0</v>
          </cell>
          <cell r="AE261">
            <v>0</v>
          </cell>
          <cell r="AF261">
            <v>0</v>
          </cell>
          <cell r="AG261">
            <v>0</v>
          </cell>
          <cell r="AH261">
            <v>0</v>
          </cell>
          <cell r="AI261">
            <v>2</v>
          </cell>
          <cell r="AK261">
            <v>1</v>
          </cell>
          <cell r="AL261">
            <v>0</v>
          </cell>
          <cell r="AN261">
            <v>3479</v>
          </cell>
          <cell r="AO261">
            <v>0</v>
          </cell>
          <cell r="AQ261">
            <v>0</v>
          </cell>
          <cell r="AR261">
            <v>11</v>
          </cell>
          <cell r="AS261">
            <v>3</v>
          </cell>
          <cell r="AT261">
            <v>2</v>
          </cell>
          <cell r="AU261">
            <v>0</v>
          </cell>
          <cell r="AV261">
            <v>6</v>
          </cell>
          <cell r="AW261">
            <v>6</v>
          </cell>
          <cell r="AX261">
            <v>2</v>
          </cell>
          <cell r="AY261">
            <v>4</v>
          </cell>
          <cell r="AZ261">
            <v>5</v>
          </cell>
          <cell r="BA261">
            <v>5</v>
          </cell>
          <cell r="BB261">
            <v>4</v>
          </cell>
          <cell r="BC261">
            <v>1</v>
          </cell>
          <cell r="BD261">
            <v>1</v>
          </cell>
          <cell r="BE261">
            <v>4</v>
          </cell>
          <cell r="BF261">
            <v>4</v>
          </cell>
          <cell r="BG261">
            <v>4</v>
          </cell>
          <cell r="BH261">
            <v>0</v>
          </cell>
          <cell r="BI261">
            <v>0</v>
          </cell>
          <cell r="BJ261">
            <v>1</v>
          </cell>
          <cell r="BK261">
            <v>0</v>
          </cell>
          <cell r="BL261">
            <v>1</v>
          </cell>
          <cell r="BM261">
            <v>0</v>
          </cell>
          <cell r="BN261">
            <v>0</v>
          </cell>
          <cell r="BO261">
            <v>0</v>
          </cell>
          <cell r="BP261">
            <v>0</v>
          </cell>
          <cell r="BQ261">
            <v>4</v>
          </cell>
          <cell r="BR261">
            <v>0</v>
          </cell>
          <cell r="BS261">
            <v>0</v>
          </cell>
          <cell r="BT261">
            <v>6</v>
          </cell>
          <cell r="BU261">
            <v>0</v>
          </cell>
        </row>
        <row r="262">
          <cell r="A262">
            <v>32</v>
          </cell>
          <cell r="B262">
            <v>32</v>
          </cell>
          <cell r="D262">
            <v>0</v>
          </cell>
          <cell r="F262">
            <v>1</v>
          </cell>
          <cell r="G262">
            <v>0</v>
          </cell>
          <cell r="I262">
            <v>1</v>
          </cell>
          <cell r="J262">
            <v>0</v>
          </cell>
          <cell r="K262">
            <v>7</v>
          </cell>
          <cell r="L262">
            <v>7</v>
          </cell>
          <cell r="M262">
            <v>3</v>
          </cell>
          <cell r="O262">
            <v>1</v>
          </cell>
          <cell r="P262">
            <v>0</v>
          </cell>
          <cell r="Q262">
            <v>0</v>
          </cell>
          <cell r="R262">
            <v>0</v>
          </cell>
          <cell r="S262">
            <v>0</v>
          </cell>
          <cell r="T262">
            <v>2</v>
          </cell>
          <cell r="V262">
            <v>0</v>
          </cell>
          <cell r="W262">
            <v>100</v>
          </cell>
          <cell r="X262">
            <v>4</v>
          </cell>
          <cell r="Y262">
            <v>1</v>
          </cell>
          <cell r="AA262">
            <v>0</v>
          </cell>
          <cell r="AB262">
            <v>0</v>
          </cell>
          <cell r="AC262">
            <v>1</v>
          </cell>
          <cell r="AD262">
            <v>0</v>
          </cell>
          <cell r="AE262">
            <v>0</v>
          </cell>
          <cell r="AF262">
            <v>0</v>
          </cell>
          <cell r="AG262">
            <v>0</v>
          </cell>
          <cell r="AH262">
            <v>0</v>
          </cell>
          <cell r="AI262">
            <v>2</v>
          </cell>
          <cell r="AK262">
            <v>0</v>
          </cell>
          <cell r="AL262">
            <v>1</v>
          </cell>
          <cell r="AN262">
            <v>2794</v>
          </cell>
          <cell r="AO262">
            <v>1</v>
          </cell>
          <cell r="AQ262">
            <v>0</v>
          </cell>
          <cell r="AR262">
            <v>20</v>
          </cell>
          <cell r="AS262">
            <v>4</v>
          </cell>
          <cell r="AT262">
            <v>3</v>
          </cell>
          <cell r="AU262">
            <v>0</v>
          </cell>
          <cell r="AV262">
            <v>5</v>
          </cell>
          <cell r="AW262">
            <v>5</v>
          </cell>
          <cell r="AX262">
            <v>3</v>
          </cell>
          <cell r="AY262">
            <v>1</v>
          </cell>
          <cell r="AZ262">
            <v>5</v>
          </cell>
          <cell r="BA262">
            <v>5</v>
          </cell>
          <cell r="BB262">
            <v>1</v>
          </cell>
          <cell r="BC262">
            <v>0</v>
          </cell>
          <cell r="BD262">
            <v>0</v>
          </cell>
          <cell r="BE262">
            <v>3</v>
          </cell>
          <cell r="BF262">
            <v>3</v>
          </cell>
          <cell r="BG262">
            <v>3</v>
          </cell>
          <cell r="BH262">
            <v>0</v>
          </cell>
          <cell r="BI262">
            <v>0</v>
          </cell>
          <cell r="BJ262">
            <v>0</v>
          </cell>
          <cell r="BK262">
            <v>1</v>
          </cell>
          <cell r="BL262">
            <v>0</v>
          </cell>
          <cell r="BM262">
            <v>0</v>
          </cell>
          <cell r="BN262">
            <v>1</v>
          </cell>
          <cell r="BO262">
            <v>0</v>
          </cell>
          <cell r="BP262">
            <v>0</v>
          </cell>
          <cell r="BQ262">
            <v>3</v>
          </cell>
          <cell r="BR262">
            <v>0</v>
          </cell>
          <cell r="BS262">
            <v>0</v>
          </cell>
          <cell r="BT262">
            <v>5</v>
          </cell>
          <cell r="BU262">
            <v>0</v>
          </cell>
        </row>
        <row r="263">
          <cell r="A263">
            <v>38</v>
          </cell>
          <cell r="B263">
            <v>38</v>
          </cell>
          <cell r="D263">
            <v>0</v>
          </cell>
          <cell r="F263">
            <v>0</v>
          </cell>
          <cell r="G263">
            <v>0</v>
          </cell>
          <cell r="I263">
            <v>0</v>
          </cell>
          <cell r="J263">
            <v>1</v>
          </cell>
          <cell r="K263">
            <v>2</v>
          </cell>
          <cell r="L263">
            <v>2</v>
          </cell>
          <cell r="M263">
            <v>2</v>
          </cell>
          <cell r="O263">
            <v>1</v>
          </cell>
          <cell r="P263">
            <v>0</v>
          </cell>
          <cell r="Q263">
            <v>0</v>
          </cell>
          <cell r="R263">
            <v>0</v>
          </cell>
          <cell r="S263">
            <v>0</v>
          </cell>
          <cell r="T263">
            <v>4</v>
          </cell>
          <cell r="V263">
            <v>0</v>
          </cell>
          <cell r="W263">
            <v>39</v>
          </cell>
          <cell r="X263">
            <v>2</v>
          </cell>
          <cell r="Y263">
            <v>2</v>
          </cell>
          <cell r="AA263">
            <v>0</v>
          </cell>
          <cell r="AB263">
            <v>1</v>
          </cell>
          <cell r="AC263">
            <v>0</v>
          </cell>
          <cell r="AD263">
            <v>0</v>
          </cell>
          <cell r="AE263">
            <v>0</v>
          </cell>
          <cell r="AF263">
            <v>0</v>
          </cell>
          <cell r="AG263">
            <v>0</v>
          </cell>
          <cell r="AH263">
            <v>0</v>
          </cell>
          <cell r="AI263">
            <v>4</v>
          </cell>
          <cell r="AK263">
            <v>0</v>
          </cell>
          <cell r="AL263">
            <v>1</v>
          </cell>
          <cell r="AN263">
            <v>5249</v>
          </cell>
          <cell r="AO263">
            <v>3</v>
          </cell>
          <cell r="AQ263">
            <v>0</v>
          </cell>
          <cell r="AR263">
            <v>18</v>
          </cell>
          <cell r="AS263">
            <v>3</v>
          </cell>
          <cell r="AT263">
            <v>4</v>
          </cell>
          <cell r="AU263">
            <v>1</v>
          </cell>
          <cell r="AV263">
            <v>13</v>
          </cell>
          <cell r="AW263">
            <v>13</v>
          </cell>
          <cell r="AX263">
            <v>0</v>
          </cell>
          <cell r="AY263">
            <v>3</v>
          </cell>
          <cell r="AZ263">
            <v>8</v>
          </cell>
          <cell r="BA263">
            <v>8</v>
          </cell>
          <cell r="BB263">
            <v>7</v>
          </cell>
          <cell r="BC263">
            <v>7</v>
          </cell>
          <cell r="BD263">
            <v>7</v>
          </cell>
          <cell r="BE263">
            <v>5</v>
          </cell>
          <cell r="BF263">
            <v>5</v>
          </cell>
          <cell r="BG263">
            <v>10</v>
          </cell>
          <cell r="BH263">
            <v>0</v>
          </cell>
          <cell r="BI263">
            <v>1</v>
          </cell>
          <cell r="BJ263">
            <v>0</v>
          </cell>
          <cell r="BK263">
            <v>0</v>
          </cell>
          <cell r="BL263">
            <v>0</v>
          </cell>
          <cell r="BM263">
            <v>0</v>
          </cell>
          <cell r="BN263">
            <v>1</v>
          </cell>
          <cell r="BO263">
            <v>0</v>
          </cell>
          <cell r="BP263">
            <v>0</v>
          </cell>
          <cell r="BQ263">
            <v>0</v>
          </cell>
          <cell r="BR263">
            <v>5</v>
          </cell>
          <cell r="BS263">
            <v>0</v>
          </cell>
          <cell r="BT263">
            <v>0</v>
          </cell>
          <cell r="BU263">
            <v>13</v>
          </cell>
        </row>
        <row r="264">
          <cell r="A264">
            <v>32</v>
          </cell>
          <cell r="B264">
            <v>32</v>
          </cell>
          <cell r="D264">
            <v>0</v>
          </cell>
          <cell r="F264">
            <v>0</v>
          </cell>
          <cell r="G264">
            <v>1</v>
          </cell>
          <cell r="I264">
            <v>1</v>
          </cell>
          <cell r="J264">
            <v>0</v>
          </cell>
          <cell r="K264">
            <v>2</v>
          </cell>
          <cell r="L264">
            <v>2</v>
          </cell>
          <cell r="M264">
            <v>1</v>
          </cell>
          <cell r="O264">
            <v>0</v>
          </cell>
          <cell r="P264">
            <v>0</v>
          </cell>
          <cell r="Q264">
            <v>0</v>
          </cell>
          <cell r="R264">
            <v>0</v>
          </cell>
          <cell r="S264">
            <v>1</v>
          </cell>
          <cell r="T264">
            <v>4</v>
          </cell>
          <cell r="V264">
            <v>0</v>
          </cell>
          <cell r="W264">
            <v>84</v>
          </cell>
          <cell r="X264">
            <v>2</v>
          </cell>
          <cell r="Y264">
            <v>2</v>
          </cell>
          <cell r="AA264">
            <v>0</v>
          </cell>
          <cell r="AB264">
            <v>0</v>
          </cell>
          <cell r="AC264">
            <v>1</v>
          </cell>
          <cell r="AD264">
            <v>0</v>
          </cell>
          <cell r="AE264">
            <v>0</v>
          </cell>
          <cell r="AF264">
            <v>0</v>
          </cell>
          <cell r="AG264">
            <v>0</v>
          </cell>
          <cell r="AH264">
            <v>0</v>
          </cell>
          <cell r="AI264">
            <v>1</v>
          </cell>
          <cell r="AK264">
            <v>1</v>
          </cell>
          <cell r="AL264">
            <v>0</v>
          </cell>
          <cell r="AN264">
            <v>2176</v>
          </cell>
          <cell r="AO264">
            <v>4</v>
          </cell>
          <cell r="AQ264">
            <v>0</v>
          </cell>
          <cell r="AR264">
            <v>13</v>
          </cell>
          <cell r="AS264">
            <v>3</v>
          </cell>
          <cell r="AT264">
            <v>4</v>
          </cell>
          <cell r="AU264">
            <v>0</v>
          </cell>
          <cell r="AV264">
            <v>9</v>
          </cell>
          <cell r="AW264">
            <v>9</v>
          </cell>
          <cell r="AX264">
            <v>5</v>
          </cell>
          <cell r="AY264">
            <v>3</v>
          </cell>
          <cell r="AZ264">
            <v>6</v>
          </cell>
          <cell r="BA264">
            <v>6</v>
          </cell>
          <cell r="BB264">
            <v>2</v>
          </cell>
          <cell r="BC264">
            <v>0</v>
          </cell>
          <cell r="BD264">
            <v>0</v>
          </cell>
          <cell r="BE264">
            <v>4</v>
          </cell>
          <cell r="BF264">
            <v>4</v>
          </cell>
          <cell r="BG264">
            <v>8</v>
          </cell>
          <cell r="BH264">
            <v>1</v>
          </cell>
          <cell r="BI264">
            <v>0</v>
          </cell>
          <cell r="BJ264">
            <v>0</v>
          </cell>
          <cell r="BK264">
            <v>0</v>
          </cell>
          <cell r="BL264">
            <v>1</v>
          </cell>
          <cell r="BM264">
            <v>0</v>
          </cell>
          <cell r="BN264">
            <v>0</v>
          </cell>
          <cell r="BO264">
            <v>0</v>
          </cell>
          <cell r="BP264">
            <v>0</v>
          </cell>
          <cell r="BQ264">
            <v>4</v>
          </cell>
          <cell r="BR264">
            <v>0</v>
          </cell>
          <cell r="BS264">
            <v>0</v>
          </cell>
          <cell r="BT264">
            <v>9</v>
          </cell>
          <cell r="BU264">
            <v>0</v>
          </cell>
        </row>
        <row r="265">
          <cell r="A265">
            <v>46</v>
          </cell>
          <cell r="B265">
            <v>46</v>
          </cell>
          <cell r="D265">
            <v>0</v>
          </cell>
          <cell r="F265">
            <v>0</v>
          </cell>
          <cell r="G265">
            <v>1</v>
          </cell>
          <cell r="I265">
            <v>0</v>
          </cell>
          <cell r="J265">
            <v>1</v>
          </cell>
          <cell r="K265">
            <v>2</v>
          </cell>
          <cell r="L265">
            <v>2</v>
          </cell>
          <cell r="M265">
            <v>3</v>
          </cell>
          <cell r="O265">
            <v>0</v>
          </cell>
          <cell r="P265">
            <v>0</v>
          </cell>
          <cell r="Q265">
            <v>0</v>
          </cell>
          <cell r="R265">
            <v>0</v>
          </cell>
          <cell r="S265">
            <v>1</v>
          </cell>
          <cell r="T265">
            <v>3</v>
          </cell>
          <cell r="V265">
            <v>1</v>
          </cell>
          <cell r="W265">
            <v>75</v>
          </cell>
          <cell r="X265">
            <v>1</v>
          </cell>
          <cell r="Y265">
            <v>4</v>
          </cell>
          <cell r="AA265">
            <v>0</v>
          </cell>
          <cell r="AB265">
            <v>0</v>
          </cell>
          <cell r="AC265">
            <v>0</v>
          </cell>
          <cell r="AD265">
            <v>1</v>
          </cell>
          <cell r="AE265">
            <v>0</v>
          </cell>
          <cell r="AF265">
            <v>0</v>
          </cell>
          <cell r="AG265">
            <v>0</v>
          </cell>
          <cell r="AH265">
            <v>0</v>
          </cell>
          <cell r="AI265">
            <v>2</v>
          </cell>
          <cell r="AK265">
            <v>0</v>
          </cell>
          <cell r="AL265">
            <v>1</v>
          </cell>
          <cell r="AN265">
            <v>16872</v>
          </cell>
          <cell r="AO265">
            <v>3</v>
          </cell>
          <cell r="AQ265">
            <v>1</v>
          </cell>
          <cell r="AR265">
            <v>12</v>
          </cell>
          <cell r="AS265">
            <v>3</v>
          </cell>
          <cell r="AT265">
            <v>2</v>
          </cell>
          <cell r="AU265">
            <v>1</v>
          </cell>
          <cell r="AV265">
            <v>28</v>
          </cell>
          <cell r="AW265">
            <v>28</v>
          </cell>
          <cell r="AX265">
            <v>2</v>
          </cell>
          <cell r="AY265">
            <v>2</v>
          </cell>
          <cell r="AZ265">
            <v>7</v>
          </cell>
          <cell r="BA265">
            <v>7</v>
          </cell>
          <cell r="BB265">
            <v>7</v>
          </cell>
          <cell r="BC265">
            <v>7</v>
          </cell>
          <cell r="BD265">
            <v>7</v>
          </cell>
          <cell r="BE265">
            <v>7</v>
          </cell>
          <cell r="BF265">
            <v>7</v>
          </cell>
          <cell r="BG265">
            <v>28</v>
          </cell>
          <cell r="BH265">
            <v>0</v>
          </cell>
          <cell r="BI265">
            <v>1</v>
          </cell>
          <cell r="BJ265">
            <v>0</v>
          </cell>
          <cell r="BK265">
            <v>0</v>
          </cell>
          <cell r="BL265">
            <v>0</v>
          </cell>
          <cell r="BM265">
            <v>0</v>
          </cell>
          <cell r="BN265">
            <v>0</v>
          </cell>
          <cell r="BO265">
            <v>1</v>
          </cell>
          <cell r="BP265">
            <v>0</v>
          </cell>
          <cell r="BQ265">
            <v>0</v>
          </cell>
          <cell r="BR265">
            <v>7</v>
          </cell>
          <cell r="BS265">
            <v>0</v>
          </cell>
          <cell r="BT265">
            <v>0</v>
          </cell>
          <cell r="BU265">
            <v>28</v>
          </cell>
        </row>
        <row r="266">
          <cell r="A266">
            <v>28</v>
          </cell>
          <cell r="B266">
            <v>28</v>
          </cell>
          <cell r="D266">
            <v>1</v>
          </cell>
          <cell r="F266">
            <v>0</v>
          </cell>
          <cell r="G266">
            <v>1</v>
          </cell>
          <cell r="I266">
            <v>1</v>
          </cell>
          <cell r="J266">
            <v>0</v>
          </cell>
          <cell r="K266">
            <v>2</v>
          </cell>
          <cell r="L266">
            <v>2</v>
          </cell>
          <cell r="M266">
            <v>4</v>
          </cell>
          <cell r="O266">
            <v>1</v>
          </cell>
          <cell r="P266">
            <v>0</v>
          </cell>
          <cell r="Q266">
            <v>0</v>
          </cell>
          <cell r="R266">
            <v>0</v>
          </cell>
          <cell r="S266">
            <v>0</v>
          </cell>
          <cell r="T266">
            <v>1</v>
          </cell>
          <cell r="V266">
            <v>0</v>
          </cell>
          <cell r="W266">
            <v>79</v>
          </cell>
          <cell r="X266">
            <v>3</v>
          </cell>
          <cell r="Y266">
            <v>1</v>
          </cell>
          <cell r="AA266">
            <v>0</v>
          </cell>
          <cell r="AB266">
            <v>0</v>
          </cell>
          <cell r="AC266">
            <v>1</v>
          </cell>
          <cell r="AD266">
            <v>0</v>
          </cell>
          <cell r="AE266">
            <v>0</v>
          </cell>
          <cell r="AF266">
            <v>0</v>
          </cell>
          <cell r="AG266">
            <v>0</v>
          </cell>
          <cell r="AH266">
            <v>0</v>
          </cell>
          <cell r="AI266">
            <v>3</v>
          </cell>
          <cell r="AK266">
            <v>1</v>
          </cell>
          <cell r="AL266">
            <v>0</v>
          </cell>
          <cell r="AN266">
            <v>3485</v>
          </cell>
          <cell r="AO266">
            <v>2</v>
          </cell>
          <cell r="AQ266">
            <v>0</v>
          </cell>
          <cell r="AR266">
            <v>11</v>
          </cell>
          <cell r="AS266">
            <v>3</v>
          </cell>
          <cell r="AT266">
            <v>3</v>
          </cell>
          <cell r="AU266">
            <v>0</v>
          </cell>
          <cell r="AV266">
            <v>5</v>
          </cell>
          <cell r="AW266">
            <v>5</v>
          </cell>
          <cell r="AX266">
            <v>5</v>
          </cell>
          <cell r="AY266">
            <v>1</v>
          </cell>
          <cell r="AZ266">
            <v>0</v>
          </cell>
          <cell r="BA266">
            <v>0</v>
          </cell>
          <cell r="BB266">
            <v>0</v>
          </cell>
          <cell r="BC266">
            <v>0</v>
          </cell>
          <cell r="BD266">
            <v>0</v>
          </cell>
          <cell r="BE266">
            <v>0</v>
          </cell>
          <cell r="BF266">
            <v>0</v>
          </cell>
          <cell r="BG266">
            <v>0</v>
          </cell>
          <cell r="BH266">
            <v>1</v>
          </cell>
          <cell r="BI266">
            <v>0</v>
          </cell>
          <cell r="BJ266">
            <v>0</v>
          </cell>
          <cell r="BK266">
            <v>0</v>
          </cell>
          <cell r="BL266">
            <v>1</v>
          </cell>
          <cell r="BM266">
            <v>0</v>
          </cell>
          <cell r="BN266">
            <v>0</v>
          </cell>
          <cell r="BO266">
            <v>0</v>
          </cell>
          <cell r="BP266">
            <v>0</v>
          </cell>
          <cell r="BQ266">
            <v>0</v>
          </cell>
          <cell r="BR266">
            <v>0</v>
          </cell>
          <cell r="BS266">
            <v>0</v>
          </cell>
          <cell r="BT266">
            <v>5</v>
          </cell>
          <cell r="BU266">
            <v>0</v>
          </cell>
        </row>
        <row r="267">
          <cell r="A267">
            <v>29</v>
          </cell>
          <cell r="B267">
            <v>29</v>
          </cell>
          <cell r="D267">
            <v>0</v>
          </cell>
          <cell r="F267">
            <v>0</v>
          </cell>
          <cell r="G267">
            <v>1</v>
          </cell>
          <cell r="I267">
            <v>0</v>
          </cell>
          <cell r="J267">
            <v>1</v>
          </cell>
          <cell r="K267">
            <v>2</v>
          </cell>
          <cell r="L267">
            <v>2</v>
          </cell>
          <cell r="M267">
            <v>3</v>
          </cell>
          <cell r="O267">
            <v>0</v>
          </cell>
          <cell r="P267">
            <v>0</v>
          </cell>
          <cell r="Q267">
            <v>1</v>
          </cell>
          <cell r="R267">
            <v>0</v>
          </cell>
          <cell r="S267">
            <v>0</v>
          </cell>
          <cell r="T267">
            <v>1</v>
          </cell>
          <cell r="V267">
            <v>0</v>
          </cell>
          <cell r="W267">
            <v>78</v>
          </cell>
          <cell r="X267">
            <v>2</v>
          </cell>
          <cell r="Y267">
            <v>2</v>
          </cell>
          <cell r="AA267">
            <v>0</v>
          </cell>
          <cell r="AB267">
            <v>1</v>
          </cell>
          <cell r="AC267">
            <v>0</v>
          </cell>
          <cell r="AD267">
            <v>0</v>
          </cell>
          <cell r="AE267">
            <v>0</v>
          </cell>
          <cell r="AF267">
            <v>0</v>
          </cell>
          <cell r="AG267">
            <v>0</v>
          </cell>
          <cell r="AH267">
            <v>0</v>
          </cell>
          <cell r="AI267">
            <v>2</v>
          </cell>
          <cell r="AK267">
            <v>0</v>
          </cell>
          <cell r="AL267">
            <v>1</v>
          </cell>
          <cell r="AN267">
            <v>6644</v>
          </cell>
          <cell r="AO267">
            <v>2</v>
          </cell>
          <cell r="AQ267">
            <v>0</v>
          </cell>
          <cell r="AR267">
            <v>19</v>
          </cell>
          <cell r="AS267">
            <v>3</v>
          </cell>
          <cell r="AT267">
            <v>2</v>
          </cell>
          <cell r="AU267">
            <v>2</v>
          </cell>
          <cell r="AV267">
            <v>10</v>
          </cell>
          <cell r="AW267">
            <v>10</v>
          </cell>
          <cell r="AX267">
            <v>2</v>
          </cell>
          <cell r="AY267">
            <v>3</v>
          </cell>
          <cell r="AZ267">
            <v>0</v>
          </cell>
          <cell r="BA267">
            <v>0</v>
          </cell>
          <cell r="BB267">
            <v>0</v>
          </cell>
          <cell r="BC267">
            <v>0</v>
          </cell>
          <cell r="BD267">
            <v>0</v>
          </cell>
          <cell r="BE267">
            <v>0</v>
          </cell>
          <cell r="BF267">
            <v>0</v>
          </cell>
          <cell r="BG267">
            <v>0</v>
          </cell>
          <cell r="BH267">
            <v>0</v>
          </cell>
          <cell r="BI267">
            <v>1</v>
          </cell>
          <cell r="BJ267">
            <v>0</v>
          </cell>
          <cell r="BK267">
            <v>0</v>
          </cell>
          <cell r="BL267">
            <v>0</v>
          </cell>
          <cell r="BM267">
            <v>0</v>
          </cell>
          <cell r="BN267">
            <v>1</v>
          </cell>
          <cell r="BO267">
            <v>0</v>
          </cell>
          <cell r="BP267">
            <v>0</v>
          </cell>
          <cell r="BQ267">
            <v>0</v>
          </cell>
          <cell r="BR267">
            <v>0</v>
          </cell>
          <cell r="BS267">
            <v>0</v>
          </cell>
          <cell r="BT267">
            <v>0</v>
          </cell>
          <cell r="BU267">
            <v>10</v>
          </cell>
        </row>
        <row r="268">
          <cell r="A268">
            <v>31</v>
          </cell>
          <cell r="B268">
            <v>31</v>
          </cell>
          <cell r="D268">
            <v>0</v>
          </cell>
          <cell r="F268">
            <v>0</v>
          </cell>
          <cell r="G268">
            <v>1</v>
          </cell>
          <cell r="I268">
            <v>1</v>
          </cell>
          <cell r="J268">
            <v>0</v>
          </cell>
          <cell r="K268">
            <v>23</v>
          </cell>
          <cell r="L268">
            <v>23</v>
          </cell>
          <cell r="M268">
            <v>3</v>
          </cell>
          <cell r="O268">
            <v>0</v>
          </cell>
          <cell r="P268">
            <v>0</v>
          </cell>
          <cell r="Q268">
            <v>1</v>
          </cell>
          <cell r="R268">
            <v>0</v>
          </cell>
          <cell r="S268">
            <v>0</v>
          </cell>
          <cell r="T268">
            <v>2</v>
          </cell>
          <cell r="V268">
            <v>0</v>
          </cell>
          <cell r="W268">
            <v>64</v>
          </cell>
          <cell r="X268">
            <v>2</v>
          </cell>
          <cell r="Y268">
            <v>2</v>
          </cell>
          <cell r="AA268">
            <v>1</v>
          </cell>
          <cell r="AB268">
            <v>0</v>
          </cell>
          <cell r="AC268">
            <v>0</v>
          </cell>
          <cell r="AD268">
            <v>0</v>
          </cell>
          <cell r="AE268">
            <v>0</v>
          </cell>
          <cell r="AF268">
            <v>0</v>
          </cell>
          <cell r="AG268">
            <v>0</v>
          </cell>
          <cell r="AH268">
            <v>0</v>
          </cell>
          <cell r="AI268">
            <v>4</v>
          </cell>
          <cell r="AK268">
            <v>0</v>
          </cell>
          <cell r="AL268">
            <v>1</v>
          </cell>
          <cell r="AN268">
            <v>5582</v>
          </cell>
          <cell r="AO268">
            <v>0</v>
          </cell>
          <cell r="AQ268">
            <v>0</v>
          </cell>
          <cell r="AR268">
            <v>21</v>
          </cell>
          <cell r="AS268">
            <v>4</v>
          </cell>
          <cell r="AT268">
            <v>2</v>
          </cell>
          <cell r="AU268">
            <v>1</v>
          </cell>
          <cell r="AV268">
            <v>10</v>
          </cell>
          <cell r="AW268">
            <v>10</v>
          </cell>
          <cell r="AX268">
            <v>2</v>
          </cell>
          <cell r="AY268">
            <v>3</v>
          </cell>
          <cell r="AZ268">
            <v>9</v>
          </cell>
          <cell r="BA268">
            <v>9</v>
          </cell>
          <cell r="BB268">
            <v>0</v>
          </cell>
          <cell r="BC268">
            <v>7</v>
          </cell>
          <cell r="BD268">
            <v>7</v>
          </cell>
          <cell r="BE268">
            <v>8</v>
          </cell>
          <cell r="BF268">
            <v>8</v>
          </cell>
          <cell r="BG268">
            <v>16</v>
          </cell>
          <cell r="BH268">
            <v>0</v>
          </cell>
          <cell r="BI268">
            <v>1</v>
          </cell>
          <cell r="BJ268">
            <v>0</v>
          </cell>
          <cell r="BK268">
            <v>0</v>
          </cell>
          <cell r="BL268">
            <v>0</v>
          </cell>
          <cell r="BM268">
            <v>0</v>
          </cell>
          <cell r="BN268">
            <v>1</v>
          </cell>
          <cell r="BO268">
            <v>0</v>
          </cell>
          <cell r="BP268">
            <v>0</v>
          </cell>
          <cell r="BQ268">
            <v>8</v>
          </cell>
          <cell r="BR268">
            <v>0</v>
          </cell>
          <cell r="BS268">
            <v>0</v>
          </cell>
          <cell r="BT268">
            <v>10</v>
          </cell>
          <cell r="BU268">
            <v>0</v>
          </cell>
        </row>
        <row r="269">
          <cell r="A269">
            <v>25</v>
          </cell>
          <cell r="B269">
            <v>25</v>
          </cell>
          <cell r="D269">
            <v>0</v>
          </cell>
          <cell r="F269">
            <v>0</v>
          </cell>
          <cell r="G269">
            <v>0</v>
          </cell>
          <cell r="I269">
            <v>1</v>
          </cell>
          <cell r="J269">
            <v>0</v>
          </cell>
          <cell r="K269">
            <v>5</v>
          </cell>
          <cell r="L269">
            <v>5</v>
          </cell>
          <cell r="M269">
            <v>2</v>
          </cell>
          <cell r="O269">
            <v>1</v>
          </cell>
          <cell r="P269">
            <v>0</v>
          </cell>
          <cell r="Q269">
            <v>0</v>
          </cell>
          <cell r="R269">
            <v>0</v>
          </cell>
          <cell r="S269">
            <v>0</v>
          </cell>
          <cell r="T269">
            <v>2</v>
          </cell>
          <cell r="V269">
            <v>0</v>
          </cell>
          <cell r="W269">
            <v>85</v>
          </cell>
          <cell r="X269">
            <v>4</v>
          </cell>
          <cell r="Y269">
            <v>2</v>
          </cell>
          <cell r="AA269">
            <v>1</v>
          </cell>
          <cell r="AB269">
            <v>0</v>
          </cell>
          <cell r="AC269">
            <v>0</v>
          </cell>
          <cell r="AD269">
            <v>0</v>
          </cell>
          <cell r="AE269">
            <v>0</v>
          </cell>
          <cell r="AF269">
            <v>0</v>
          </cell>
          <cell r="AG269">
            <v>0</v>
          </cell>
          <cell r="AH269">
            <v>0</v>
          </cell>
          <cell r="AI269">
            <v>1</v>
          </cell>
          <cell r="AK269">
            <v>0</v>
          </cell>
          <cell r="AL269">
            <v>0</v>
          </cell>
          <cell r="AN269">
            <v>4000</v>
          </cell>
          <cell r="AO269">
            <v>1</v>
          </cell>
          <cell r="AQ269">
            <v>0</v>
          </cell>
          <cell r="AR269">
            <v>12</v>
          </cell>
          <cell r="AS269">
            <v>3</v>
          </cell>
          <cell r="AT269">
            <v>4</v>
          </cell>
          <cell r="AU269">
            <v>2</v>
          </cell>
          <cell r="AV269">
            <v>6</v>
          </cell>
          <cell r="AW269">
            <v>6</v>
          </cell>
          <cell r="AX269">
            <v>2</v>
          </cell>
          <cell r="AY269">
            <v>3</v>
          </cell>
          <cell r="AZ269">
            <v>6</v>
          </cell>
          <cell r="BA269">
            <v>6</v>
          </cell>
          <cell r="BB269">
            <v>3</v>
          </cell>
          <cell r="BC269">
            <v>1</v>
          </cell>
          <cell r="BD269">
            <v>1</v>
          </cell>
          <cell r="BE269">
            <v>5</v>
          </cell>
          <cell r="BF269">
            <v>5</v>
          </cell>
          <cell r="BG269">
            <v>10</v>
          </cell>
          <cell r="BH269">
            <v>1</v>
          </cell>
          <cell r="BI269">
            <v>0</v>
          </cell>
          <cell r="BJ269">
            <v>0</v>
          </cell>
          <cell r="BK269">
            <v>0</v>
          </cell>
          <cell r="BL269">
            <v>1</v>
          </cell>
          <cell r="BM269">
            <v>0</v>
          </cell>
          <cell r="BN269">
            <v>0</v>
          </cell>
          <cell r="BO269">
            <v>0</v>
          </cell>
          <cell r="BP269">
            <v>0</v>
          </cell>
          <cell r="BQ269">
            <v>5</v>
          </cell>
          <cell r="BR269">
            <v>0</v>
          </cell>
          <cell r="BS269">
            <v>0</v>
          </cell>
          <cell r="BT269">
            <v>6</v>
          </cell>
          <cell r="BU269">
            <v>0</v>
          </cell>
        </row>
        <row r="270">
          <cell r="A270">
            <v>45</v>
          </cell>
          <cell r="B270">
            <v>45</v>
          </cell>
          <cell r="D270">
            <v>0</v>
          </cell>
          <cell r="F270">
            <v>0</v>
          </cell>
          <cell r="G270">
            <v>1</v>
          </cell>
          <cell r="I270">
            <v>1</v>
          </cell>
          <cell r="J270">
            <v>0</v>
          </cell>
          <cell r="K270">
            <v>20</v>
          </cell>
          <cell r="L270">
            <v>20</v>
          </cell>
          <cell r="M270">
            <v>2</v>
          </cell>
          <cell r="O270">
            <v>0</v>
          </cell>
          <cell r="P270">
            <v>0</v>
          </cell>
          <cell r="Q270">
            <v>1</v>
          </cell>
          <cell r="R270">
            <v>0</v>
          </cell>
          <cell r="S270">
            <v>0</v>
          </cell>
          <cell r="T270">
            <v>3</v>
          </cell>
          <cell r="V270">
            <v>0</v>
          </cell>
          <cell r="W270">
            <v>79</v>
          </cell>
          <cell r="X270">
            <v>3</v>
          </cell>
          <cell r="Y270">
            <v>4</v>
          </cell>
          <cell r="AA270">
            <v>1</v>
          </cell>
          <cell r="AB270">
            <v>0</v>
          </cell>
          <cell r="AC270">
            <v>0</v>
          </cell>
          <cell r="AD270">
            <v>0</v>
          </cell>
          <cell r="AE270">
            <v>0</v>
          </cell>
          <cell r="AF270">
            <v>0</v>
          </cell>
          <cell r="AG270">
            <v>0</v>
          </cell>
          <cell r="AH270">
            <v>0</v>
          </cell>
          <cell r="AI270">
            <v>4</v>
          </cell>
          <cell r="AK270">
            <v>0</v>
          </cell>
          <cell r="AL270">
            <v>1</v>
          </cell>
          <cell r="AN270">
            <v>13496</v>
          </cell>
          <cell r="AO270">
            <v>0</v>
          </cell>
          <cell r="AQ270">
            <v>1</v>
          </cell>
          <cell r="AR270">
            <v>14</v>
          </cell>
          <cell r="AS270">
            <v>3</v>
          </cell>
          <cell r="AT270">
            <v>2</v>
          </cell>
          <cell r="AU270">
            <v>0</v>
          </cell>
          <cell r="AV270">
            <v>21</v>
          </cell>
          <cell r="AW270">
            <v>21</v>
          </cell>
          <cell r="AX270">
            <v>2</v>
          </cell>
          <cell r="AY270">
            <v>3</v>
          </cell>
          <cell r="AZ270">
            <v>20</v>
          </cell>
          <cell r="BA270">
            <v>20</v>
          </cell>
          <cell r="BB270">
            <v>7</v>
          </cell>
          <cell r="BC270">
            <v>4</v>
          </cell>
          <cell r="BD270">
            <v>4</v>
          </cell>
          <cell r="BE270">
            <v>10</v>
          </cell>
          <cell r="BF270">
            <v>10</v>
          </cell>
          <cell r="BG270">
            <v>40</v>
          </cell>
          <cell r="BH270">
            <v>0</v>
          </cell>
          <cell r="BI270">
            <v>1</v>
          </cell>
          <cell r="BJ270">
            <v>0</v>
          </cell>
          <cell r="BK270">
            <v>0</v>
          </cell>
          <cell r="BL270">
            <v>0</v>
          </cell>
          <cell r="BM270">
            <v>0</v>
          </cell>
          <cell r="BN270">
            <v>0</v>
          </cell>
          <cell r="BO270">
            <v>1</v>
          </cell>
          <cell r="BP270">
            <v>0</v>
          </cell>
          <cell r="BQ270">
            <v>10</v>
          </cell>
          <cell r="BR270">
            <v>0</v>
          </cell>
          <cell r="BS270">
            <v>0</v>
          </cell>
          <cell r="BT270">
            <v>21</v>
          </cell>
          <cell r="BU270">
            <v>0</v>
          </cell>
        </row>
        <row r="271">
          <cell r="A271">
            <v>36</v>
          </cell>
          <cell r="B271">
            <v>36</v>
          </cell>
          <cell r="D271">
            <v>0</v>
          </cell>
          <cell r="F271">
            <v>0</v>
          </cell>
          <cell r="G271">
            <v>1</v>
          </cell>
          <cell r="I271">
            <v>1</v>
          </cell>
          <cell r="J271">
            <v>0</v>
          </cell>
          <cell r="K271">
            <v>6</v>
          </cell>
          <cell r="L271">
            <v>6</v>
          </cell>
          <cell r="M271">
            <v>3</v>
          </cell>
          <cell r="O271">
            <v>1</v>
          </cell>
          <cell r="P271">
            <v>0</v>
          </cell>
          <cell r="Q271">
            <v>0</v>
          </cell>
          <cell r="R271">
            <v>0</v>
          </cell>
          <cell r="S271">
            <v>0</v>
          </cell>
          <cell r="T271">
            <v>4</v>
          </cell>
          <cell r="V271">
            <v>0</v>
          </cell>
          <cell r="W271">
            <v>47</v>
          </cell>
          <cell r="X271">
            <v>3</v>
          </cell>
          <cell r="Y271">
            <v>1</v>
          </cell>
          <cell r="AA271">
            <v>0</v>
          </cell>
          <cell r="AB271">
            <v>0</v>
          </cell>
          <cell r="AC271">
            <v>1</v>
          </cell>
          <cell r="AD271">
            <v>0</v>
          </cell>
          <cell r="AE271">
            <v>0</v>
          </cell>
          <cell r="AF271">
            <v>0</v>
          </cell>
          <cell r="AG271">
            <v>0</v>
          </cell>
          <cell r="AH271">
            <v>0</v>
          </cell>
          <cell r="AI271">
            <v>4</v>
          </cell>
          <cell r="AK271">
            <v>0</v>
          </cell>
          <cell r="AL271">
            <v>1</v>
          </cell>
          <cell r="AN271">
            <v>3210</v>
          </cell>
          <cell r="AO271">
            <v>0</v>
          </cell>
          <cell r="AQ271">
            <v>0</v>
          </cell>
          <cell r="AR271">
            <v>11</v>
          </cell>
          <cell r="AS271">
            <v>3</v>
          </cell>
          <cell r="AT271">
            <v>3</v>
          </cell>
          <cell r="AU271">
            <v>1</v>
          </cell>
          <cell r="AV271">
            <v>16</v>
          </cell>
          <cell r="AW271">
            <v>16</v>
          </cell>
          <cell r="AX271">
            <v>4</v>
          </cell>
          <cell r="AY271">
            <v>3</v>
          </cell>
          <cell r="AZ271">
            <v>15</v>
          </cell>
          <cell r="BA271">
            <v>15</v>
          </cell>
          <cell r="BB271">
            <v>13</v>
          </cell>
          <cell r="BC271">
            <v>10</v>
          </cell>
          <cell r="BD271">
            <v>10</v>
          </cell>
          <cell r="BE271">
            <v>11</v>
          </cell>
          <cell r="BF271">
            <v>11</v>
          </cell>
          <cell r="BG271">
            <v>11</v>
          </cell>
          <cell r="BH271">
            <v>0</v>
          </cell>
          <cell r="BI271">
            <v>1</v>
          </cell>
          <cell r="BJ271">
            <v>0</v>
          </cell>
          <cell r="BK271">
            <v>0</v>
          </cell>
          <cell r="BL271">
            <v>0</v>
          </cell>
          <cell r="BM271">
            <v>0</v>
          </cell>
          <cell r="BN271">
            <v>1</v>
          </cell>
          <cell r="BO271">
            <v>0</v>
          </cell>
          <cell r="BP271">
            <v>0</v>
          </cell>
          <cell r="BQ271">
            <v>11</v>
          </cell>
          <cell r="BR271">
            <v>0</v>
          </cell>
          <cell r="BS271">
            <v>0</v>
          </cell>
          <cell r="BT271">
            <v>16</v>
          </cell>
          <cell r="BU271">
            <v>0</v>
          </cell>
        </row>
        <row r="272">
          <cell r="A272">
            <v>55</v>
          </cell>
          <cell r="B272">
            <v>55</v>
          </cell>
          <cell r="D272">
            <v>0</v>
          </cell>
          <cell r="F272">
            <v>0</v>
          </cell>
          <cell r="G272">
            <v>1</v>
          </cell>
          <cell r="I272">
            <v>1</v>
          </cell>
          <cell r="J272">
            <v>0</v>
          </cell>
          <cell r="K272">
            <v>1</v>
          </cell>
          <cell r="L272">
            <v>1</v>
          </cell>
          <cell r="M272">
            <v>3</v>
          </cell>
          <cell r="O272">
            <v>0</v>
          </cell>
          <cell r="P272">
            <v>0</v>
          </cell>
          <cell r="Q272">
            <v>1</v>
          </cell>
          <cell r="R272">
            <v>0</v>
          </cell>
          <cell r="S272">
            <v>0</v>
          </cell>
          <cell r="T272">
            <v>4</v>
          </cell>
          <cell r="V272">
            <v>0</v>
          </cell>
          <cell r="W272">
            <v>81</v>
          </cell>
          <cell r="X272">
            <v>3</v>
          </cell>
          <cell r="Y272">
            <v>5</v>
          </cell>
          <cell r="AA272">
            <v>0</v>
          </cell>
          <cell r="AB272">
            <v>0</v>
          </cell>
          <cell r="AC272">
            <v>0</v>
          </cell>
          <cell r="AD272">
            <v>1</v>
          </cell>
          <cell r="AE272">
            <v>0</v>
          </cell>
          <cell r="AF272">
            <v>0</v>
          </cell>
          <cell r="AG272">
            <v>0</v>
          </cell>
          <cell r="AH272">
            <v>0</v>
          </cell>
          <cell r="AI272">
            <v>1</v>
          </cell>
          <cell r="AK272">
            <v>1</v>
          </cell>
          <cell r="AL272">
            <v>0</v>
          </cell>
          <cell r="AN272">
            <v>19045</v>
          </cell>
          <cell r="AO272">
            <v>0</v>
          </cell>
          <cell r="AQ272">
            <v>1</v>
          </cell>
          <cell r="AR272">
            <v>14</v>
          </cell>
          <cell r="AS272">
            <v>3</v>
          </cell>
          <cell r="AT272">
            <v>3</v>
          </cell>
          <cell r="AU272">
            <v>0</v>
          </cell>
          <cell r="AV272">
            <v>37</v>
          </cell>
          <cell r="AW272">
            <v>35</v>
          </cell>
          <cell r="AX272">
            <v>2</v>
          </cell>
          <cell r="AY272">
            <v>3</v>
          </cell>
          <cell r="AZ272">
            <v>36</v>
          </cell>
          <cell r="BA272">
            <v>31</v>
          </cell>
          <cell r="BB272">
            <v>10</v>
          </cell>
          <cell r="BC272">
            <v>4</v>
          </cell>
          <cell r="BD272">
            <v>4</v>
          </cell>
          <cell r="BE272">
            <v>13</v>
          </cell>
          <cell r="BF272">
            <v>13</v>
          </cell>
          <cell r="BG272">
            <v>65</v>
          </cell>
          <cell r="BH272">
            <v>1</v>
          </cell>
          <cell r="BI272">
            <v>0</v>
          </cell>
          <cell r="BJ272">
            <v>0</v>
          </cell>
          <cell r="BK272">
            <v>0</v>
          </cell>
          <cell r="BL272">
            <v>0</v>
          </cell>
          <cell r="BM272">
            <v>1</v>
          </cell>
          <cell r="BN272">
            <v>0</v>
          </cell>
          <cell r="BO272">
            <v>0</v>
          </cell>
          <cell r="BP272">
            <v>0</v>
          </cell>
          <cell r="BQ272">
            <v>13</v>
          </cell>
          <cell r="BR272">
            <v>0</v>
          </cell>
          <cell r="BS272">
            <v>0</v>
          </cell>
          <cell r="BT272">
            <v>35</v>
          </cell>
          <cell r="BU272">
            <v>0</v>
          </cell>
        </row>
        <row r="273">
          <cell r="A273">
            <v>47</v>
          </cell>
          <cell r="B273">
            <v>47</v>
          </cell>
          <cell r="D273">
            <v>1</v>
          </cell>
          <cell r="F273">
            <v>0</v>
          </cell>
          <cell r="G273">
            <v>0</v>
          </cell>
          <cell r="I273">
            <v>1</v>
          </cell>
          <cell r="J273">
            <v>0</v>
          </cell>
          <cell r="K273">
            <v>29</v>
          </cell>
          <cell r="L273">
            <v>29</v>
          </cell>
          <cell r="M273">
            <v>4</v>
          </cell>
          <cell r="O273">
            <v>1</v>
          </cell>
          <cell r="P273">
            <v>0</v>
          </cell>
          <cell r="Q273">
            <v>0</v>
          </cell>
          <cell r="R273">
            <v>0</v>
          </cell>
          <cell r="S273">
            <v>0</v>
          </cell>
          <cell r="T273">
            <v>1</v>
          </cell>
          <cell r="V273">
            <v>0</v>
          </cell>
          <cell r="W273">
            <v>88</v>
          </cell>
          <cell r="X273">
            <v>3</v>
          </cell>
          <cell r="Y273">
            <v>3</v>
          </cell>
          <cell r="AA273">
            <v>0</v>
          </cell>
          <cell r="AB273">
            <v>0</v>
          </cell>
          <cell r="AC273">
            <v>0</v>
          </cell>
          <cell r="AD273">
            <v>1</v>
          </cell>
          <cell r="AE273">
            <v>0</v>
          </cell>
          <cell r="AF273">
            <v>0</v>
          </cell>
          <cell r="AG273">
            <v>0</v>
          </cell>
          <cell r="AH273">
            <v>0</v>
          </cell>
          <cell r="AI273">
            <v>2</v>
          </cell>
          <cell r="AK273">
            <v>0</v>
          </cell>
          <cell r="AL273">
            <v>1</v>
          </cell>
          <cell r="AN273">
            <v>11849</v>
          </cell>
          <cell r="AO273">
            <v>1</v>
          </cell>
          <cell r="AQ273">
            <v>1</v>
          </cell>
          <cell r="AR273">
            <v>12</v>
          </cell>
          <cell r="AS273">
            <v>3</v>
          </cell>
          <cell r="AT273">
            <v>4</v>
          </cell>
          <cell r="AU273">
            <v>1</v>
          </cell>
          <cell r="AV273">
            <v>10</v>
          </cell>
          <cell r="AW273">
            <v>10</v>
          </cell>
          <cell r="AX273">
            <v>2</v>
          </cell>
          <cell r="AY273">
            <v>2</v>
          </cell>
          <cell r="AZ273">
            <v>10</v>
          </cell>
          <cell r="BA273">
            <v>10</v>
          </cell>
          <cell r="BB273">
            <v>7</v>
          </cell>
          <cell r="BC273">
            <v>9</v>
          </cell>
          <cell r="BD273">
            <v>9</v>
          </cell>
          <cell r="BE273">
            <v>9</v>
          </cell>
          <cell r="BF273">
            <v>9</v>
          </cell>
          <cell r="BG273">
            <v>27</v>
          </cell>
          <cell r="BH273">
            <v>0</v>
          </cell>
          <cell r="BI273">
            <v>1</v>
          </cell>
          <cell r="BJ273">
            <v>0</v>
          </cell>
          <cell r="BK273">
            <v>0</v>
          </cell>
          <cell r="BL273">
            <v>0</v>
          </cell>
          <cell r="BM273">
            <v>0</v>
          </cell>
          <cell r="BN273">
            <v>0</v>
          </cell>
          <cell r="BO273">
            <v>1</v>
          </cell>
          <cell r="BP273">
            <v>0</v>
          </cell>
          <cell r="BQ273">
            <v>9</v>
          </cell>
          <cell r="BR273">
            <v>0</v>
          </cell>
          <cell r="BS273">
            <v>0</v>
          </cell>
          <cell r="BT273">
            <v>10</v>
          </cell>
          <cell r="BU273">
            <v>0</v>
          </cell>
        </row>
        <row r="274">
          <cell r="A274">
            <v>28</v>
          </cell>
          <cell r="B274">
            <v>28</v>
          </cell>
          <cell r="D274">
            <v>0</v>
          </cell>
          <cell r="F274">
            <v>0</v>
          </cell>
          <cell r="G274">
            <v>1</v>
          </cell>
          <cell r="I274">
            <v>1</v>
          </cell>
          <cell r="J274">
            <v>0</v>
          </cell>
          <cell r="K274">
            <v>9</v>
          </cell>
          <cell r="L274">
            <v>9</v>
          </cell>
          <cell r="M274">
            <v>3</v>
          </cell>
          <cell r="O274">
            <v>0</v>
          </cell>
          <cell r="P274">
            <v>0</v>
          </cell>
          <cell r="Q274">
            <v>1</v>
          </cell>
          <cell r="R274">
            <v>0</v>
          </cell>
          <cell r="S274">
            <v>0</v>
          </cell>
          <cell r="T274">
            <v>4</v>
          </cell>
          <cell r="V274">
            <v>0</v>
          </cell>
          <cell r="W274">
            <v>94</v>
          </cell>
          <cell r="X274">
            <v>3</v>
          </cell>
          <cell r="Y274">
            <v>1</v>
          </cell>
          <cell r="AA274">
            <v>0</v>
          </cell>
          <cell r="AB274">
            <v>0</v>
          </cell>
          <cell r="AC274">
            <v>0</v>
          </cell>
          <cell r="AD274">
            <v>0</v>
          </cell>
          <cell r="AE274">
            <v>0</v>
          </cell>
          <cell r="AF274">
            <v>0</v>
          </cell>
          <cell r="AG274">
            <v>0</v>
          </cell>
          <cell r="AH274">
            <v>1</v>
          </cell>
          <cell r="AI274">
            <v>4</v>
          </cell>
          <cell r="AK274">
            <v>0</v>
          </cell>
          <cell r="AL274">
            <v>1</v>
          </cell>
          <cell r="AN274">
            <v>2070</v>
          </cell>
          <cell r="AO274">
            <v>1</v>
          </cell>
          <cell r="AQ274">
            <v>0</v>
          </cell>
          <cell r="AR274">
            <v>23</v>
          </cell>
          <cell r="AS274">
            <v>4</v>
          </cell>
          <cell r="AT274">
            <v>4</v>
          </cell>
          <cell r="AU274">
            <v>1</v>
          </cell>
          <cell r="AV274">
            <v>5</v>
          </cell>
          <cell r="AW274">
            <v>5</v>
          </cell>
          <cell r="AX274">
            <v>3</v>
          </cell>
          <cell r="AY274">
            <v>2</v>
          </cell>
          <cell r="AZ274">
            <v>5</v>
          </cell>
          <cell r="BA274">
            <v>5</v>
          </cell>
          <cell r="BB274">
            <v>2</v>
          </cell>
          <cell r="BC274">
            <v>0</v>
          </cell>
          <cell r="BD274">
            <v>0</v>
          </cell>
          <cell r="BE274">
            <v>4</v>
          </cell>
          <cell r="BF274">
            <v>4</v>
          </cell>
          <cell r="BG274">
            <v>4</v>
          </cell>
          <cell r="BH274">
            <v>0</v>
          </cell>
          <cell r="BI274">
            <v>1</v>
          </cell>
          <cell r="BJ274">
            <v>0</v>
          </cell>
          <cell r="BK274">
            <v>0</v>
          </cell>
          <cell r="BL274">
            <v>0</v>
          </cell>
          <cell r="BM274">
            <v>0</v>
          </cell>
          <cell r="BN274">
            <v>1</v>
          </cell>
          <cell r="BO274">
            <v>0</v>
          </cell>
          <cell r="BP274">
            <v>0</v>
          </cell>
          <cell r="BQ274">
            <v>4</v>
          </cell>
          <cell r="BR274">
            <v>0</v>
          </cell>
          <cell r="BS274">
            <v>0</v>
          </cell>
          <cell r="BT274">
            <v>5</v>
          </cell>
          <cell r="BU274">
            <v>0</v>
          </cell>
        </row>
        <row r="275">
          <cell r="A275">
            <v>37</v>
          </cell>
          <cell r="B275">
            <v>37</v>
          </cell>
          <cell r="D275">
            <v>0</v>
          </cell>
          <cell r="F275">
            <v>0</v>
          </cell>
          <cell r="G275">
            <v>1</v>
          </cell>
          <cell r="I275">
            <v>0</v>
          </cell>
          <cell r="J275">
            <v>1</v>
          </cell>
          <cell r="K275">
            <v>6</v>
          </cell>
          <cell r="L275">
            <v>6</v>
          </cell>
          <cell r="M275">
            <v>4</v>
          </cell>
          <cell r="O275">
            <v>0</v>
          </cell>
          <cell r="P275">
            <v>0</v>
          </cell>
          <cell r="Q275">
            <v>1</v>
          </cell>
          <cell r="R275">
            <v>0</v>
          </cell>
          <cell r="S275">
            <v>0</v>
          </cell>
          <cell r="T275">
            <v>3</v>
          </cell>
          <cell r="V275">
            <v>0</v>
          </cell>
          <cell r="W275">
            <v>98</v>
          </cell>
          <cell r="X275">
            <v>3</v>
          </cell>
          <cell r="Y275">
            <v>2</v>
          </cell>
          <cell r="AA275">
            <v>0</v>
          </cell>
          <cell r="AB275">
            <v>1</v>
          </cell>
          <cell r="AC275">
            <v>0</v>
          </cell>
          <cell r="AD275">
            <v>0</v>
          </cell>
          <cell r="AE275">
            <v>0</v>
          </cell>
          <cell r="AF275">
            <v>0</v>
          </cell>
          <cell r="AG275">
            <v>0</v>
          </cell>
          <cell r="AH275">
            <v>0</v>
          </cell>
          <cell r="AI275">
            <v>4</v>
          </cell>
          <cell r="AK275">
            <v>0</v>
          </cell>
          <cell r="AL275">
            <v>1</v>
          </cell>
          <cell r="AN275">
            <v>6502</v>
          </cell>
          <cell r="AO275">
            <v>4</v>
          </cell>
          <cell r="AQ275">
            <v>0</v>
          </cell>
          <cell r="AR275">
            <v>14</v>
          </cell>
          <cell r="AS275">
            <v>3</v>
          </cell>
          <cell r="AT275">
            <v>2</v>
          </cell>
          <cell r="AU275">
            <v>1</v>
          </cell>
          <cell r="AV275">
            <v>7</v>
          </cell>
          <cell r="AW275">
            <v>7</v>
          </cell>
          <cell r="AX275">
            <v>5</v>
          </cell>
          <cell r="AY275">
            <v>4</v>
          </cell>
          <cell r="AZ275">
            <v>5</v>
          </cell>
          <cell r="BA275">
            <v>5</v>
          </cell>
          <cell r="BB275">
            <v>4</v>
          </cell>
          <cell r="BC275">
            <v>0</v>
          </cell>
          <cell r="BD275">
            <v>0</v>
          </cell>
          <cell r="BE275">
            <v>1</v>
          </cell>
          <cell r="BF275">
            <v>1</v>
          </cell>
          <cell r="BG275">
            <v>2</v>
          </cell>
          <cell r="BH275">
            <v>0</v>
          </cell>
          <cell r="BI275">
            <v>1</v>
          </cell>
          <cell r="BJ275">
            <v>0</v>
          </cell>
          <cell r="BK275">
            <v>0</v>
          </cell>
          <cell r="BL275">
            <v>0</v>
          </cell>
          <cell r="BM275">
            <v>0</v>
          </cell>
          <cell r="BN275">
            <v>1</v>
          </cell>
          <cell r="BO275">
            <v>0</v>
          </cell>
          <cell r="BP275">
            <v>0</v>
          </cell>
          <cell r="BQ275">
            <v>0</v>
          </cell>
          <cell r="BR275">
            <v>1</v>
          </cell>
          <cell r="BS275">
            <v>0</v>
          </cell>
          <cell r="BT275">
            <v>0</v>
          </cell>
          <cell r="BU275">
            <v>7</v>
          </cell>
        </row>
        <row r="276">
          <cell r="A276">
            <v>21</v>
          </cell>
          <cell r="B276">
            <v>21</v>
          </cell>
          <cell r="D276">
            <v>0</v>
          </cell>
          <cell r="F276">
            <v>0</v>
          </cell>
          <cell r="G276">
            <v>1</v>
          </cell>
          <cell r="I276">
            <v>1</v>
          </cell>
          <cell r="J276">
            <v>0</v>
          </cell>
          <cell r="K276">
            <v>3</v>
          </cell>
          <cell r="L276">
            <v>3</v>
          </cell>
          <cell r="M276">
            <v>2</v>
          </cell>
          <cell r="O276">
            <v>0</v>
          </cell>
          <cell r="P276">
            <v>0</v>
          </cell>
          <cell r="Q276">
            <v>1</v>
          </cell>
          <cell r="R276">
            <v>0</v>
          </cell>
          <cell r="S276">
            <v>0</v>
          </cell>
          <cell r="T276">
            <v>4</v>
          </cell>
          <cell r="V276">
            <v>0</v>
          </cell>
          <cell r="W276">
            <v>100</v>
          </cell>
          <cell r="X276">
            <v>2</v>
          </cell>
          <cell r="Y276">
            <v>1</v>
          </cell>
          <cell r="AA276">
            <v>0</v>
          </cell>
          <cell r="AB276">
            <v>0</v>
          </cell>
          <cell r="AC276">
            <v>0</v>
          </cell>
          <cell r="AD276">
            <v>0</v>
          </cell>
          <cell r="AE276">
            <v>0</v>
          </cell>
          <cell r="AF276">
            <v>0</v>
          </cell>
          <cell r="AG276">
            <v>0</v>
          </cell>
          <cell r="AH276">
            <v>1</v>
          </cell>
          <cell r="AI276">
            <v>3</v>
          </cell>
          <cell r="AK276">
            <v>1</v>
          </cell>
          <cell r="AL276">
            <v>0</v>
          </cell>
          <cell r="AN276">
            <v>3230</v>
          </cell>
          <cell r="AO276">
            <v>1</v>
          </cell>
          <cell r="AQ276">
            <v>0</v>
          </cell>
          <cell r="AR276">
            <v>17</v>
          </cell>
          <cell r="AS276">
            <v>3</v>
          </cell>
          <cell r="AT276">
            <v>1</v>
          </cell>
          <cell r="AU276">
            <v>0</v>
          </cell>
          <cell r="AV276">
            <v>3</v>
          </cell>
          <cell r="AW276">
            <v>3</v>
          </cell>
          <cell r="AX276">
            <v>4</v>
          </cell>
          <cell r="AY276">
            <v>4</v>
          </cell>
          <cell r="AZ276">
            <v>3</v>
          </cell>
          <cell r="BA276">
            <v>3</v>
          </cell>
          <cell r="BB276">
            <v>2</v>
          </cell>
          <cell r="BC276">
            <v>1</v>
          </cell>
          <cell r="BD276">
            <v>1</v>
          </cell>
          <cell r="BE276">
            <v>0</v>
          </cell>
          <cell r="BF276">
            <v>0</v>
          </cell>
          <cell r="BG276">
            <v>0</v>
          </cell>
          <cell r="BH276">
            <v>1</v>
          </cell>
          <cell r="BI276">
            <v>0</v>
          </cell>
          <cell r="BJ276">
            <v>0</v>
          </cell>
          <cell r="BK276">
            <v>0</v>
          </cell>
          <cell r="BL276">
            <v>1</v>
          </cell>
          <cell r="BM276">
            <v>0</v>
          </cell>
          <cell r="BN276">
            <v>0</v>
          </cell>
          <cell r="BO276">
            <v>0</v>
          </cell>
          <cell r="BP276">
            <v>0</v>
          </cell>
          <cell r="BQ276">
            <v>0</v>
          </cell>
          <cell r="BR276">
            <v>0</v>
          </cell>
          <cell r="BS276">
            <v>0</v>
          </cell>
          <cell r="BT276">
            <v>3</v>
          </cell>
          <cell r="BU276">
            <v>0</v>
          </cell>
        </row>
        <row r="277">
          <cell r="A277">
            <v>37</v>
          </cell>
          <cell r="B277">
            <v>37</v>
          </cell>
          <cell r="D277">
            <v>0</v>
          </cell>
          <cell r="F277">
            <v>0</v>
          </cell>
          <cell r="G277">
            <v>0</v>
          </cell>
          <cell r="I277">
            <v>1</v>
          </cell>
          <cell r="J277">
            <v>0</v>
          </cell>
          <cell r="K277">
            <v>1</v>
          </cell>
          <cell r="L277">
            <v>1</v>
          </cell>
          <cell r="M277">
            <v>4</v>
          </cell>
          <cell r="O277">
            <v>0</v>
          </cell>
          <cell r="P277">
            <v>0</v>
          </cell>
          <cell r="Q277">
            <v>1</v>
          </cell>
          <cell r="R277">
            <v>0</v>
          </cell>
          <cell r="S277">
            <v>0</v>
          </cell>
          <cell r="T277">
            <v>1</v>
          </cell>
          <cell r="V277">
            <v>1</v>
          </cell>
          <cell r="W277">
            <v>80</v>
          </cell>
          <cell r="X277">
            <v>3</v>
          </cell>
          <cell r="Y277">
            <v>3</v>
          </cell>
          <cell r="AA277">
            <v>0</v>
          </cell>
          <cell r="AB277">
            <v>0</v>
          </cell>
          <cell r="AC277">
            <v>0</v>
          </cell>
          <cell r="AD277">
            <v>0</v>
          </cell>
          <cell r="AE277">
            <v>0</v>
          </cell>
          <cell r="AF277">
            <v>0</v>
          </cell>
          <cell r="AG277">
            <v>0</v>
          </cell>
          <cell r="AH277">
            <v>0</v>
          </cell>
          <cell r="AI277">
            <v>4</v>
          </cell>
          <cell r="AK277">
            <v>0</v>
          </cell>
          <cell r="AL277">
            <v>0</v>
          </cell>
          <cell r="AN277">
            <v>13603</v>
          </cell>
          <cell r="AO277">
            <v>2</v>
          </cell>
          <cell r="AQ277">
            <v>1</v>
          </cell>
          <cell r="AR277">
            <v>18</v>
          </cell>
          <cell r="AS277">
            <v>3</v>
          </cell>
          <cell r="AT277">
            <v>1</v>
          </cell>
          <cell r="AU277">
            <v>2</v>
          </cell>
          <cell r="AV277">
            <v>15</v>
          </cell>
          <cell r="AW277">
            <v>15</v>
          </cell>
          <cell r="AX277">
            <v>2</v>
          </cell>
          <cell r="AY277">
            <v>3</v>
          </cell>
          <cell r="AZ277">
            <v>5</v>
          </cell>
          <cell r="BA277">
            <v>5</v>
          </cell>
          <cell r="BB277">
            <v>2</v>
          </cell>
          <cell r="BC277">
            <v>0</v>
          </cell>
          <cell r="BD277">
            <v>0</v>
          </cell>
          <cell r="BE277">
            <v>2</v>
          </cell>
          <cell r="BF277">
            <v>2</v>
          </cell>
          <cell r="BG277">
            <v>6</v>
          </cell>
          <cell r="BH277">
            <v>1</v>
          </cell>
          <cell r="BI277">
            <v>0</v>
          </cell>
          <cell r="BJ277">
            <v>0</v>
          </cell>
          <cell r="BK277">
            <v>0</v>
          </cell>
          <cell r="BL277">
            <v>0</v>
          </cell>
          <cell r="BM277">
            <v>1</v>
          </cell>
          <cell r="BN277">
            <v>0</v>
          </cell>
          <cell r="BO277">
            <v>0</v>
          </cell>
          <cell r="BP277">
            <v>0</v>
          </cell>
          <cell r="BQ277">
            <v>2</v>
          </cell>
          <cell r="BR277">
            <v>0</v>
          </cell>
          <cell r="BS277">
            <v>0</v>
          </cell>
          <cell r="BT277">
            <v>15</v>
          </cell>
          <cell r="BU277">
            <v>0</v>
          </cell>
        </row>
        <row r="278">
          <cell r="A278">
            <v>35</v>
          </cell>
          <cell r="B278">
            <v>35</v>
          </cell>
          <cell r="D278">
            <v>0</v>
          </cell>
          <cell r="F278">
            <v>0</v>
          </cell>
          <cell r="G278">
            <v>1</v>
          </cell>
          <cell r="I278">
            <v>1</v>
          </cell>
          <cell r="J278">
            <v>0</v>
          </cell>
          <cell r="K278">
            <v>22</v>
          </cell>
          <cell r="L278">
            <v>22</v>
          </cell>
          <cell r="M278">
            <v>3</v>
          </cell>
          <cell r="O278">
            <v>1</v>
          </cell>
          <cell r="P278">
            <v>0</v>
          </cell>
          <cell r="Q278">
            <v>0</v>
          </cell>
          <cell r="R278">
            <v>0</v>
          </cell>
          <cell r="S278">
            <v>0</v>
          </cell>
          <cell r="T278">
            <v>2</v>
          </cell>
          <cell r="V278">
            <v>1</v>
          </cell>
          <cell r="W278">
            <v>71</v>
          </cell>
          <cell r="X278">
            <v>4</v>
          </cell>
          <cell r="Y278">
            <v>3</v>
          </cell>
          <cell r="AA278">
            <v>0</v>
          </cell>
          <cell r="AB278">
            <v>0</v>
          </cell>
          <cell r="AC278">
            <v>0</v>
          </cell>
          <cell r="AD278">
            <v>1</v>
          </cell>
          <cell r="AE278">
            <v>0</v>
          </cell>
          <cell r="AF278">
            <v>0</v>
          </cell>
          <cell r="AG278">
            <v>0</v>
          </cell>
          <cell r="AH278">
            <v>0</v>
          </cell>
          <cell r="AI278">
            <v>2</v>
          </cell>
          <cell r="AK278">
            <v>0</v>
          </cell>
          <cell r="AL278">
            <v>0</v>
          </cell>
          <cell r="AN278">
            <v>11996</v>
          </cell>
          <cell r="AO278">
            <v>7</v>
          </cell>
          <cell r="AQ278">
            <v>0</v>
          </cell>
          <cell r="AR278">
            <v>18</v>
          </cell>
          <cell r="AS278">
            <v>3</v>
          </cell>
          <cell r="AT278">
            <v>2</v>
          </cell>
          <cell r="AU278">
            <v>1</v>
          </cell>
          <cell r="AV278">
            <v>10</v>
          </cell>
          <cell r="AW278">
            <v>10</v>
          </cell>
          <cell r="AX278">
            <v>6</v>
          </cell>
          <cell r="AY278">
            <v>2</v>
          </cell>
          <cell r="AZ278">
            <v>7</v>
          </cell>
          <cell r="BA278">
            <v>7</v>
          </cell>
          <cell r="BB278">
            <v>7</v>
          </cell>
          <cell r="BC278">
            <v>6</v>
          </cell>
          <cell r="BD278">
            <v>6</v>
          </cell>
          <cell r="BE278">
            <v>2</v>
          </cell>
          <cell r="BF278">
            <v>2</v>
          </cell>
          <cell r="BG278">
            <v>6</v>
          </cell>
          <cell r="BH278">
            <v>1</v>
          </cell>
          <cell r="BI278">
            <v>0</v>
          </cell>
          <cell r="BJ278">
            <v>0</v>
          </cell>
          <cell r="BK278">
            <v>0</v>
          </cell>
          <cell r="BL278">
            <v>1</v>
          </cell>
          <cell r="BM278">
            <v>0</v>
          </cell>
          <cell r="BN278">
            <v>0</v>
          </cell>
          <cell r="BO278">
            <v>0</v>
          </cell>
          <cell r="BP278">
            <v>0</v>
          </cell>
          <cell r="BQ278">
            <v>2</v>
          </cell>
          <cell r="BR278">
            <v>0</v>
          </cell>
          <cell r="BS278">
            <v>0</v>
          </cell>
          <cell r="BT278">
            <v>10</v>
          </cell>
          <cell r="BU278">
            <v>0</v>
          </cell>
        </row>
        <row r="279">
          <cell r="A279">
            <v>38</v>
          </cell>
          <cell r="B279">
            <v>38</v>
          </cell>
          <cell r="D279">
            <v>0</v>
          </cell>
          <cell r="F279">
            <v>0</v>
          </cell>
          <cell r="G279">
            <v>1</v>
          </cell>
          <cell r="I279">
            <v>0</v>
          </cell>
          <cell r="J279">
            <v>1</v>
          </cell>
          <cell r="K279">
            <v>7</v>
          </cell>
          <cell r="L279">
            <v>7</v>
          </cell>
          <cell r="M279">
            <v>2</v>
          </cell>
          <cell r="O279">
            <v>0</v>
          </cell>
          <cell r="P279">
            <v>0</v>
          </cell>
          <cell r="Q279">
            <v>1</v>
          </cell>
          <cell r="R279">
            <v>0</v>
          </cell>
          <cell r="S279">
            <v>0</v>
          </cell>
          <cell r="T279">
            <v>1</v>
          </cell>
          <cell r="V279">
            <v>1</v>
          </cell>
          <cell r="W279">
            <v>44</v>
          </cell>
          <cell r="X279">
            <v>4</v>
          </cell>
          <cell r="Y279">
            <v>2</v>
          </cell>
          <cell r="AA279">
            <v>0</v>
          </cell>
          <cell r="AB279">
            <v>1</v>
          </cell>
          <cell r="AC279">
            <v>0</v>
          </cell>
          <cell r="AD279">
            <v>0</v>
          </cell>
          <cell r="AE279">
            <v>0</v>
          </cell>
          <cell r="AF279">
            <v>0</v>
          </cell>
          <cell r="AG279">
            <v>0</v>
          </cell>
          <cell r="AH279">
            <v>0</v>
          </cell>
          <cell r="AI279">
            <v>1</v>
          </cell>
          <cell r="AK279">
            <v>0</v>
          </cell>
          <cell r="AL279">
            <v>0</v>
          </cell>
          <cell r="AN279">
            <v>5605</v>
          </cell>
          <cell r="AO279">
            <v>1</v>
          </cell>
          <cell r="AQ279">
            <v>1</v>
          </cell>
          <cell r="AR279">
            <v>24</v>
          </cell>
          <cell r="AS279">
            <v>4</v>
          </cell>
          <cell r="AT279">
            <v>3</v>
          </cell>
          <cell r="AU279">
            <v>1</v>
          </cell>
          <cell r="AV279">
            <v>8</v>
          </cell>
          <cell r="AW279">
            <v>8</v>
          </cell>
          <cell r="AX279">
            <v>3</v>
          </cell>
          <cell r="AY279">
            <v>3</v>
          </cell>
          <cell r="AZ279">
            <v>8</v>
          </cell>
          <cell r="BA279">
            <v>8</v>
          </cell>
          <cell r="BB279">
            <v>0</v>
          </cell>
          <cell r="BC279">
            <v>7</v>
          </cell>
          <cell r="BD279">
            <v>7</v>
          </cell>
          <cell r="BE279">
            <v>7</v>
          </cell>
          <cell r="BF279">
            <v>7</v>
          </cell>
          <cell r="BG279">
            <v>14</v>
          </cell>
          <cell r="BH279">
            <v>1</v>
          </cell>
          <cell r="BI279">
            <v>0</v>
          </cell>
          <cell r="BJ279">
            <v>0</v>
          </cell>
          <cell r="BK279">
            <v>0</v>
          </cell>
          <cell r="BL279">
            <v>0</v>
          </cell>
          <cell r="BM279">
            <v>1</v>
          </cell>
          <cell r="BN279">
            <v>0</v>
          </cell>
          <cell r="BO279">
            <v>0</v>
          </cell>
          <cell r="BP279">
            <v>0</v>
          </cell>
          <cell r="BQ279">
            <v>0</v>
          </cell>
          <cell r="BR279">
            <v>7</v>
          </cell>
          <cell r="BS279">
            <v>0</v>
          </cell>
          <cell r="BT279">
            <v>0</v>
          </cell>
          <cell r="BU279">
            <v>8</v>
          </cell>
        </row>
        <row r="280">
          <cell r="A280">
            <v>26</v>
          </cell>
          <cell r="B280">
            <v>26</v>
          </cell>
          <cell r="D280">
            <v>0</v>
          </cell>
          <cell r="F280">
            <v>1</v>
          </cell>
          <cell r="G280">
            <v>0</v>
          </cell>
          <cell r="I280">
            <v>1</v>
          </cell>
          <cell r="J280">
            <v>0</v>
          </cell>
          <cell r="K280">
            <v>1</v>
          </cell>
          <cell r="L280">
            <v>1</v>
          </cell>
          <cell r="M280">
            <v>3</v>
          </cell>
          <cell r="O280">
            <v>1</v>
          </cell>
          <cell r="P280">
            <v>0</v>
          </cell>
          <cell r="Q280">
            <v>0</v>
          </cell>
          <cell r="R280">
            <v>0</v>
          </cell>
          <cell r="S280">
            <v>0</v>
          </cell>
          <cell r="T280">
            <v>3</v>
          </cell>
          <cell r="V280">
            <v>1</v>
          </cell>
          <cell r="W280">
            <v>84</v>
          </cell>
          <cell r="X280">
            <v>3</v>
          </cell>
          <cell r="Y280">
            <v>2</v>
          </cell>
          <cell r="AA280">
            <v>0</v>
          </cell>
          <cell r="AB280">
            <v>0</v>
          </cell>
          <cell r="AC280">
            <v>0</v>
          </cell>
          <cell r="AD280">
            <v>0</v>
          </cell>
          <cell r="AE280">
            <v>1</v>
          </cell>
          <cell r="AF280">
            <v>1</v>
          </cell>
          <cell r="AG280">
            <v>0</v>
          </cell>
          <cell r="AH280">
            <v>0</v>
          </cell>
          <cell r="AI280">
            <v>2</v>
          </cell>
          <cell r="AK280">
            <v>0</v>
          </cell>
          <cell r="AL280">
            <v>0</v>
          </cell>
          <cell r="AN280">
            <v>6397</v>
          </cell>
          <cell r="AO280">
            <v>1</v>
          </cell>
          <cell r="AQ280">
            <v>0</v>
          </cell>
          <cell r="AR280">
            <v>20</v>
          </cell>
          <cell r="AS280">
            <v>4</v>
          </cell>
          <cell r="AT280">
            <v>1</v>
          </cell>
          <cell r="AU280">
            <v>1</v>
          </cell>
          <cell r="AV280">
            <v>6</v>
          </cell>
          <cell r="AW280">
            <v>6</v>
          </cell>
          <cell r="AX280">
            <v>6</v>
          </cell>
          <cell r="AY280">
            <v>1</v>
          </cell>
          <cell r="AZ280">
            <v>6</v>
          </cell>
          <cell r="BA280">
            <v>6</v>
          </cell>
          <cell r="BB280">
            <v>5</v>
          </cell>
          <cell r="BC280">
            <v>1</v>
          </cell>
          <cell r="BD280">
            <v>1</v>
          </cell>
          <cell r="BE280">
            <v>4</v>
          </cell>
          <cell r="BF280">
            <v>4</v>
          </cell>
          <cell r="BG280">
            <v>8</v>
          </cell>
          <cell r="BH280">
            <v>0</v>
          </cell>
          <cell r="BI280">
            <v>0</v>
          </cell>
          <cell r="BJ280">
            <v>1</v>
          </cell>
          <cell r="BK280">
            <v>0</v>
          </cell>
          <cell r="BL280">
            <v>1</v>
          </cell>
          <cell r="BM280">
            <v>0</v>
          </cell>
          <cell r="BN280">
            <v>0</v>
          </cell>
          <cell r="BO280">
            <v>0</v>
          </cell>
          <cell r="BP280">
            <v>0</v>
          </cell>
          <cell r="BQ280">
            <v>4</v>
          </cell>
          <cell r="BR280">
            <v>0</v>
          </cell>
          <cell r="BS280">
            <v>0</v>
          </cell>
          <cell r="BT280">
            <v>6</v>
          </cell>
          <cell r="BU280">
            <v>0</v>
          </cell>
        </row>
        <row r="281">
          <cell r="A281">
            <v>50</v>
          </cell>
          <cell r="B281">
            <v>50</v>
          </cell>
          <cell r="D281">
            <v>0</v>
          </cell>
          <cell r="F281">
            <v>0</v>
          </cell>
          <cell r="G281">
            <v>1</v>
          </cell>
          <cell r="I281">
            <v>1</v>
          </cell>
          <cell r="J281">
            <v>0</v>
          </cell>
          <cell r="K281">
            <v>4</v>
          </cell>
          <cell r="L281">
            <v>4</v>
          </cell>
          <cell r="M281">
            <v>1</v>
          </cell>
          <cell r="O281">
            <v>1</v>
          </cell>
          <cell r="P281">
            <v>0</v>
          </cell>
          <cell r="Q281">
            <v>0</v>
          </cell>
          <cell r="R281">
            <v>0</v>
          </cell>
          <cell r="S281">
            <v>0</v>
          </cell>
          <cell r="T281">
            <v>1</v>
          </cell>
          <cell r="V281">
            <v>0</v>
          </cell>
          <cell r="W281">
            <v>96</v>
          </cell>
          <cell r="X281">
            <v>3</v>
          </cell>
          <cell r="Y281">
            <v>5</v>
          </cell>
          <cell r="AA281">
            <v>0</v>
          </cell>
          <cell r="AB281">
            <v>0</v>
          </cell>
          <cell r="AC281">
            <v>0</v>
          </cell>
          <cell r="AD281">
            <v>0</v>
          </cell>
          <cell r="AE281">
            <v>0</v>
          </cell>
          <cell r="AF281">
            <v>0</v>
          </cell>
          <cell r="AG281">
            <v>0</v>
          </cell>
          <cell r="AH281">
            <v>0</v>
          </cell>
          <cell r="AI281">
            <v>2</v>
          </cell>
          <cell r="AK281">
            <v>0</v>
          </cell>
          <cell r="AL281">
            <v>0</v>
          </cell>
          <cell r="AN281">
            <v>19144</v>
          </cell>
          <cell r="AO281">
            <v>3</v>
          </cell>
          <cell r="AQ281">
            <v>0</v>
          </cell>
          <cell r="AR281">
            <v>14</v>
          </cell>
          <cell r="AS281">
            <v>3</v>
          </cell>
          <cell r="AT281">
            <v>1</v>
          </cell>
          <cell r="AU281">
            <v>2</v>
          </cell>
          <cell r="AV281">
            <v>28</v>
          </cell>
          <cell r="AW281">
            <v>28</v>
          </cell>
          <cell r="AX281">
            <v>4</v>
          </cell>
          <cell r="AY281">
            <v>2</v>
          </cell>
          <cell r="AZ281">
            <v>10</v>
          </cell>
          <cell r="BA281">
            <v>10</v>
          </cell>
          <cell r="BB281">
            <v>4</v>
          </cell>
          <cell r="BC281">
            <v>1</v>
          </cell>
          <cell r="BD281">
            <v>1</v>
          </cell>
          <cell r="BE281">
            <v>6</v>
          </cell>
          <cell r="BF281">
            <v>6</v>
          </cell>
          <cell r="BG281">
            <v>30</v>
          </cell>
          <cell r="BH281">
            <v>1</v>
          </cell>
          <cell r="BI281">
            <v>0</v>
          </cell>
          <cell r="BJ281">
            <v>0</v>
          </cell>
          <cell r="BK281">
            <v>0</v>
          </cell>
          <cell r="BL281">
            <v>1</v>
          </cell>
          <cell r="BM281">
            <v>0</v>
          </cell>
          <cell r="BN281">
            <v>0</v>
          </cell>
          <cell r="BO281">
            <v>0</v>
          </cell>
          <cell r="BP281">
            <v>0</v>
          </cell>
          <cell r="BQ281">
            <v>6</v>
          </cell>
          <cell r="BR281">
            <v>0</v>
          </cell>
          <cell r="BS281">
            <v>0</v>
          </cell>
          <cell r="BT281">
            <v>28</v>
          </cell>
          <cell r="BU281">
            <v>0</v>
          </cell>
        </row>
        <row r="282">
          <cell r="A282">
            <v>53</v>
          </cell>
          <cell r="B282">
            <v>53</v>
          </cell>
          <cell r="D282">
            <v>0</v>
          </cell>
          <cell r="F282">
            <v>0</v>
          </cell>
          <cell r="G282">
            <v>1</v>
          </cell>
          <cell r="I282">
            <v>1</v>
          </cell>
          <cell r="J282">
            <v>0</v>
          </cell>
          <cell r="K282">
            <v>3</v>
          </cell>
          <cell r="L282">
            <v>3</v>
          </cell>
          <cell r="M282">
            <v>4</v>
          </cell>
          <cell r="O282">
            <v>0</v>
          </cell>
          <cell r="P282">
            <v>0</v>
          </cell>
          <cell r="Q282">
            <v>1</v>
          </cell>
          <cell r="R282">
            <v>0</v>
          </cell>
          <cell r="S282">
            <v>0</v>
          </cell>
          <cell r="T282">
            <v>3</v>
          </cell>
          <cell r="V282">
            <v>0</v>
          </cell>
          <cell r="W282">
            <v>45</v>
          </cell>
          <cell r="X282">
            <v>3</v>
          </cell>
          <cell r="Y282">
            <v>4</v>
          </cell>
          <cell r="AA282">
            <v>0</v>
          </cell>
          <cell r="AB282">
            <v>0</v>
          </cell>
          <cell r="AC282">
            <v>0</v>
          </cell>
          <cell r="AD282">
            <v>0</v>
          </cell>
          <cell r="AE282">
            <v>0</v>
          </cell>
          <cell r="AF282">
            <v>0</v>
          </cell>
          <cell r="AG282">
            <v>0</v>
          </cell>
          <cell r="AH282">
            <v>0</v>
          </cell>
          <cell r="AI282">
            <v>3</v>
          </cell>
          <cell r="AK282">
            <v>0</v>
          </cell>
          <cell r="AL282">
            <v>1</v>
          </cell>
          <cell r="AN282">
            <v>17584</v>
          </cell>
          <cell r="AO282">
            <v>3</v>
          </cell>
          <cell r="AQ282">
            <v>1</v>
          </cell>
          <cell r="AR282">
            <v>16</v>
          </cell>
          <cell r="AS282">
            <v>3</v>
          </cell>
          <cell r="AT282">
            <v>4</v>
          </cell>
          <cell r="AU282">
            <v>3</v>
          </cell>
          <cell r="AV282">
            <v>21</v>
          </cell>
          <cell r="AW282">
            <v>21</v>
          </cell>
          <cell r="AX282">
            <v>5</v>
          </cell>
          <cell r="AY282">
            <v>2</v>
          </cell>
          <cell r="AZ282">
            <v>5</v>
          </cell>
          <cell r="BA282">
            <v>5</v>
          </cell>
          <cell r="BB282">
            <v>3</v>
          </cell>
          <cell r="BC282">
            <v>1</v>
          </cell>
          <cell r="BD282">
            <v>1</v>
          </cell>
          <cell r="BE282">
            <v>3</v>
          </cell>
          <cell r="BF282">
            <v>3</v>
          </cell>
          <cell r="BG282">
            <v>12</v>
          </cell>
          <cell r="BH282">
            <v>0</v>
          </cell>
          <cell r="BI282">
            <v>1</v>
          </cell>
          <cell r="BJ282">
            <v>0</v>
          </cell>
          <cell r="BK282">
            <v>0</v>
          </cell>
          <cell r="BL282">
            <v>0</v>
          </cell>
          <cell r="BM282">
            <v>0</v>
          </cell>
          <cell r="BN282">
            <v>0</v>
          </cell>
          <cell r="BO282">
            <v>1</v>
          </cell>
          <cell r="BP282">
            <v>0</v>
          </cell>
          <cell r="BQ282">
            <v>3</v>
          </cell>
          <cell r="BR282">
            <v>0</v>
          </cell>
          <cell r="BS282">
            <v>0</v>
          </cell>
          <cell r="BT282">
            <v>21</v>
          </cell>
          <cell r="BU282">
            <v>0</v>
          </cell>
        </row>
        <row r="283">
          <cell r="A283">
            <v>42</v>
          </cell>
          <cell r="B283">
            <v>42</v>
          </cell>
          <cell r="D283">
            <v>0</v>
          </cell>
          <cell r="F283">
            <v>0</v>
          </cell>
          <cell r="G283">
            <v>1</v>
          </cell>
          <cell r="I283">
            <v>0</v>
          </cell>
          <cell r="J283">
            <v>1</v>
          </cell>
          <cell r="K283">
            <v>1</v>
          </cell>
          <cell r="L283">
            <v>1</v>
          </cell>
          <cell r="M283">
            <v>1</v>
          </cell>
          <cell r="O283">
            <v>1</v>
          </cell>
          <cell r="P283">
            <v>0</v>
          </cell>
          <cell r="Q283">
            <v>0</v>
          </cell>
          <cell r="R283">
            <v>0</v>
          </cell>
          <cell r="S283">
            <v>0</v>
          </cell>
          <cell r="T283">
            <v>2</v>
          </cell>
          <cell r="V283">
            <v>0</v>
          </cell>
          <cell r="W283">
            <v>99</v>
          </cell>
          <cell r="X283">
            <v>3</v>
          </cell>
          <cell r="Y283">
            <v>2</v>
          </cell>
          <cell r="AA283">
            <v>0</v>
          </cell>
          <cell r="AB283">
            <v>1</v>
          </cell>
          <cell r="AC283">
            <v>0</v>
          </cell>
          <cell r="AD283">
            <v>0</v>
          </cell>
          <cell r="AE283">
            <v>0</v>
          </cell>
          <cell r="AF283">
            <v>0</v>
          </cell>
          <cell r="AG283">
            <v>0</v>
          </cell>
          <cell r="AH283">
            <v>0</v>
          </cell>
          <cell r="AI283">
            <v>3</v>
          </cell>
          <cell r="AK283">
            <v>0</v>
          </cell>
          <cell r="AL283">
            <v>1</v>
          </cell>
          <cell r="AN283">
            <v>4907</v>
          </cell>
          <cell r="AO283">
            <v>1</v>
          </cell>
          <cell r="AQ283">
            <v>0</v>
          </cell>
          <cell r="AR283">
            <v>25</v>
          </cell>
          <cell r="AS283">
            <v>4</v>
          </cell>
          <cell r="AT283">
            <v>3</v>
          </cell>
          <cell r="AU283">
            <v>0</v>
          </cell>
          <cell r="AV283">
            <v>20</v>
          </cell>
          <cell r="AW283">
            <v>20</v>
          </cell>
          <cell r="AX283">
            <v>3</v>
          </cell>
          <cell r="AY283">
            <v>3</v>
          </cell>
          <cell r="AZ283">
            <v>20</v>
          </cell>
          <cell r="BA283">
            <v>20</v>
          </cell>
          <cell r="BB283">
            <v>16</v>
          </cell>
          <cell r="BC283">
            <v>11</v>
          </cell>
          <cell r="BD283">
            <v>11</v>
          </cell>
          <cell r="BE283">
            <v>6</v>
          </cell>
          <cell r="BF283">
            <v>6</v>
          </cell>
          <cell r="BG283">
            <v>12</v>
          </cell>
          <cell r="BH283">
            <v>0</v>
          </cell>
          <cell r="BI283">
            <v>1</v>
          </cell>
          <cell r="BJ283">
            <v>0</v>
          </cell>
          <cell r="BK283">
            <v>0</v>
          </cell>
          <cell r="BL283">
            <v>0</v>
          </cell>
          <cell r="BM283">
            <v>0</v>
          </cell>
          <cell r="BN283">
            <v>1</v>
          </cell>
          <cell r="BO283">
            <v>0</v>
          </cell>
          <cell r="BP283">
            <v>0</v>
          </cell>
          <cell r="BQ283">
            <v>0</v>
          </cell>
          <cell r="BR283">
            <v>6</v>
          </cell>
          <cell r="BS283">
            <v>0</v>
          </cell>
          <cell r="BT283">
            <v>0</v>
          </cell>
          <cell r="BU283">
            <v>20</v>
          </cell>
        </row>
        <row r="284">
          <cell r="A284">
            <v>29</v>
          </cell>
          <cell r="B284">
            <v>29</v>
          </cell>
          <cell r="D284">
            <v>0</v>
          </cell>
          <cell r="F284">
            <v>1</v>
          </cell>
          <cell r="G284">
            <v>0</v>
          </cell>
          <cell r="I284">
            <v>0</v>
          </cell>
          <cell r="J284">
            <v>1</v>
          </cell>
          <cell r="K284">
            <v>2</v>
          </cell>
          <cell r="L284">
            <v>2</v>
          </cell>
          <cell r="M284">
            <v>2</v>
          </cell>
          <cell r="O284">
            <v>1</v>
          </cell>
          <cell r="P284">
            <v>0</v>
          </cell>
          <cell r="Q284">
            <v>0</v>
          </cell>
          <cell r="R284">
            <v>0</v>
          </cell>
          <cell r="S284">
            <v>0</v>
          </cell>
          <cell r="T284">
            <v>2</v>
          </cell>
          <cell r="V284">
            <v>0</v>
          </cell>
          <cell r="W284">
            <v>44</v>
          </cell>
          <cell r="X284">
            <v>3</v>
          </cell>
          <cell r="Y284">
            <v>2</v>
          </cell>
          <cell r="AA284">
            <v>0</v>
          </cell>
          <cell r="AB284">
            <v>1</v>
          </cell>
          <cell r="AC284">
            <v>0</v>
          </cell>
          <cell r="AD284">
            <v>0</v>
          </cell>
          <cell r="AE284">
            <v>0</v>
          </cell>
          <cell r="AF284">
            <v>0</v>
          </cell>
          <cell r="AG284">
            <v>0</v>
          </cell>
          <cell r="AH284">
            <v>0</v>
          </cell>
          <cell r="AI284">
            <v>4</v>
          </cell>
          <cell r="AK284">
            <v>1</v>
          </cell>
          <cell r="AL284">
            <v>0</v>
          </cell>
          <cell r="AN284">
            <v>4554</v>
          </cell>
          <cell r="AO284">
            <v>1</v>
          </cell>
          <cell r="AQ284">
            <v>0</v>
          </cell>
          <cell r="AR284">
            <v>18</v>
          </cell>
          <cell r="AS284">
            <v>3</v>
          </cell>
          <cell r="AT284">
            <v>1</v>
          </cell>
          <cell r="AU284">
            <v>0</v>
          </cell>
          <cell r="AV284">
            <v>10</v>
          </cell>
          <cell r="AW284">
            <v>10</v>
          </cell>
          <cell r="AX284">
            <v>3</v>
          </cell>
          <cell r="AY284">
            <v>2</v>
          </cell>
          <cell r="AZ284">
            <v>10</v>
          </cell>
          <cell r="BA284">
            <v>10</v>
          </cell>
          <cell r="BB284">
            <v>7</v>
          </cell>
          <cell r="BC284">
            <v>0</v>
          </cell>
          <cell r="BD284">
            <v>0</v>
          </cell>
          <cell r="BE284">
            <v>9</v>
          </cell>
          <cell r="BF284">
            <v>9</v>
          </cell>
          <cell r="BG284">
            <v>18</v>
          </cell>
          <cell r="BH284">
            <v>0</v>
          </cell>
          <cell r="BI284">
            <v>0</v>
          </cell>
          <cell r="BJ284">
            <v>1</v>
          </cell>
          <cell r="BK284">
            <v>0</v>
          </cell>
          <cell r="BL284">
            <v>1</v>
          </cell>
          <cell r="BM284">
            <v>0</v>
          </cell>
          <cell r="BN284">
            <v>0</v>
          </cell>
          <cell r="BO284">
            <v>0</v>
          </cell>
          <cell r="BP284">
            <v>0</v>
          </cell>
          <cell r="BQ284">
            <v>0</v>
          </cell>
          <cell r="BR284">
            <v>9</v>
          </cell>
          <cell r="BS284">
            <v>0</v>
          </cell>
          <cell r="BT284">
            <v>0</v>
          </cell>
          <cell r="BU284">
            <v>10</v>
          </cell>
        </row>
        <row r="285">
          <cell r="A285">
            <v>55</v>
          </cell>
          <cell r="B285">
            <v>55</v>
          </cell>
          <cell r="D285">
            <v>0</v>
          </cell>
          <cell r="F285">
            <v>0</v>
          </cell>
          <cell r="G285">
            <v>1</v>
          </cell>
          <cell r="I285">
            <v>1</v>
          </cell>
          <cell r="J285">
            <v>0</v>
          </cell>
          <cell r="K285">
            <v>20</v>
          </cell>
          <cell r="L285">
            <v>20</v>
          </cell>
          <cell r="M285">
            <v>2</v>
          </cell>
          <cell r="O285">
            <v>0</v>
          </cell>
          <cell r="P285">
            <v>0</v>
          </cell>
          <cell r="Q285">
            <v>0</v>
          </cell>
          <cell r="R285">
            <v>0</v>
          </cell>
          <cell r="S285">
            <v>1</v>
          </cell>
          <cell r="T285">
            <v>2</v>
          </cell>
          <cell r="V285">
            <v>0</v>
          </cell>
          <cell r="W285">
            <v>37</v>
          </cell>
          <cell r="X285">
            <v>3</v>
          </cell>
          <cell r="Y285">
            <v>2</v>
          </cell>
          <cell r="AA285">
            <v>0</v>
          </cell>
          <cell r="AB285">
            <v>0</v>
          </cell>
          <cell r="AC285">
            <v>1</v>
          </cell>
          <cell r="AD285">
            <v>0</v>
          </cell>
          <cell r="AE285">
            <v>0</v>
          </cell>
          <cell r="AF285">
            <v>0</v>
          </cell>
          <cell r="AG285">
            <v>0</v>
          </cell>
          <cell r="AH285">
            <v>0</v>
          </cell>
          <cell r="AI285">
            <v>4</v>
          </cell>
          <cell r="AK285">
            <v>0</v>
          </cell>
          <cell r="AL285">
            <v>1</v>
          </cell>
          <cell r="AN285">
            <v>5415</v>
          </cell>
          <cell r="AO285">
            <v>3</v>
          </cell>
          <cell r="AQ285">
            <v>1</v>
          </cell>
          <cell r="AR285">
            <v>19</v>
          </cell>
          <cell r="AS285">
            <v>3</v>
          </cell>
          <cell r="AT285">
            <v>4</v>
          </cell>
          <cell r="AU285">
            <v>1</v>
          </cell>
          <cell r="AV285">
            <v>12</v>
          </cell>
          <cell r="AW285">
            <v>12</v>
          </cell>
          <cell r="AX285">
            <v>4</v>
          </cell>
          <cell r="AY285">
            <v>3</v>
          </cell>
          <cell r="AZ285">
            <v>10</v>
          </cell>
          <cell r="BA285">
            <v>10</v>
          </cell>
          <cell r="BB285">
            <v>7</v>
          </cell>
          <cell r="BC285">
            <v>0</v>
          </cell>
          <cell r="BD285">
            <v>0</v>
          </cell>
          <cell r="BE285">
            <v>8</v>
          </cell>
          <cell r="BF285">
            <v>8</v>
          </cell>
          <cell r="BG285">
            <v>16</v>
          </cell>
          <cell r="BH285">
            <v>0</v>
          </cell>
          <cell r="BI285">
            <v>1</v>
          </cell>
          <cell r="BJ285">
            <v>0</v>
          </cell>
          <cell r="BK285">
            <v>0</v>
          </cell>
          <cell r="BL285">
            <v>0</v>
          </cell>
          <cell r="BM285">
            <v>0</v>
          </cell>
          <cell r="BN285">
            <v>0</v>
          </cell>
          <cell r="BO285">
            <v>1</v>
          </cell>
          <cell r="BP285">
            <v>0</v>
          </cell>
          <cell r="BQ285">
            <v>8</v>
          </cell>
          <cell r="BR285">
            <v>0</v>
          </cell>
          <cell r="BS285">
            <v>0</v>
          </cell>
          <cell r="BT285">
            <v>12</v>
          </cell>
          <cell r="BU285">
            <v>0</v>
          </cell>
        </row>
        <row r="286">
          <cell r="A286">
            <v>26</v>
          </cell>
          <cell r="B286">
            <v>26</v>
          </cell>
          <cell r="D286">
            <v>0</v>
          </cell>
          <cell r="F286">
            <v>1</v>
          </cell>
          <cell r="G286">
            <v>0</v>
          </cell>
          <cell r="I286">
            <v>1</v>
          </cell>
          <cell r="J286">
            <v>0</v>
          </cell>
          <cell r="K286">
            <v>11</v>
          </cell>
          <cell r="L286">
            <v>11</v>
          </cell>
          <cell r="M286">
            <v>2</v>
          </cell>
          <cell r="O286">
            <v>0</v>
          </cell>
          <cell r="P286">
            <v>0</v>
          </cell>
          <cell r="Q286">
            <v>1</v>
          </cell>
          <cell r="R286">
            <v>0</v>
          </cell>
          <cell r="S286">
            <v>0</v>
          </cell>
          <cell r="T286">
            <v>1</v>
          </cell>
          <cell r="V286">
            <v>0</v>
          </cell>
          <cell r="W286">
            <v>60</v>
          </cell>
          <cell r="X286">
            <v>3</v>
          </cell>
          <cell r="Y286">
            <v>2</v>
          </cell>
          <cell r="AA286">
            <v>1</v>
          </cell>
          <cell r="AB286">
            <v>0</v>
          </cell>
          <cell r="AC286">
            <v>0</v>
          </cell>
          <cell r="AD286">
            <v>0</v>
          </cell>
          <cell r="AE286">
            <v>0</v>
          </cell>
          <cell r="AF286">
            <v>0</v>
          </cell>
          <cell r="AG286">
            <v>0</v>
          </cell>
          <cell r="AH286">
            <v>0</v>
          </cell>
          <cell r="AI286">
            <v>1</v>
          </cell>
          <cell r="AK286">
            <v>0</v>
          </cell>
          <cell r="AL286">
            <v>1</v>
          </cell>
          <cell r="AN286">
            <v>4741</v>
          </cell>
          <cell r="AO286">
            <v>1</v>
          </cell>
          <cell r="AQ286">
            <v>1</v>
          </cell>
          <cell r="AR286">
            <v>13</v>
          </cell>
          <cell r="AS286">
            <v>3</v>
          </cell>
          <cell r="AT286">
            <v>3</v>
          </cell>
          <cell r="AU286">
            <v>1</v>
          </cell>
          <cell r="AV286">
            <v>5</v>
          </cell>
          <cell r="AW286">
            <v>5</v>
          </cell>
          <cell r="AX286">
            <v>3</v>
          </cell>
          <cell r="AY286">
            <v>3</v>
          </cell>
          <cell r="AZ286">
            <v>5</v>
          </cell>
          <cell r="BA286">
            <v>5</v>
          </cell>
          <cell r="BB286">
            <v>3</v>
          </cell>
          <cell r="BC286">
            <v>3</v>
          </cell>
          <cell r="BD286">
            <v>3</v>
          </cell>
          <cell r="BE286">
            <v>3</v>
          </cell>
          <cell r="BF286">
            <v>3</v>
          </cell>
          <cell r="BG286">
            <v>6</v>
          </cell>
          <cell r="BH286">
            <v>0</v>
          </cell>
          <cell r="BI286">
            <v>0</v>
          </cell>
          <cell r="BJ286">
            <v>0</v>
          </cell>
          <cell r="BK286">
            <v>1</v>
          </cell>
          <cell r="BL286">
            <v>0</v>
          </cell>
          <cell r="BM286">
            <v>0</v>
          </cell>
          <cell r="BN286">
            <v>0</v>
          </cell>
          <cell r="BO286">
            <v>1</v>
          </cell>
          <cell r="BP286">
            <v>0</v>
          </cell>
          <cell r="BQ286">
            <v>3</v>
          </cell>
          <cell r="BR286">
            <v>0</v>
          </cell>
          <cell r="BS286">
            <v>0</v>
          </cell>
          <cell r="BT286">
            <v>5</v>
          </cell>
          <cell r="BU286">
            <v>0</v>
          </cell>
        </row>
        <row r="287">
          <cell r="A287">
            <v>37</v>
          </cell>
          <cell r="B287">
            <v>37</v>
          </cell>
          <cell r="D287">
            <v>0</v>
          </cell>
          <cell r="F287">
            <v>0</v>
          </cell>
          <cell r="G287">
            <v>1</v>
          </cell>
          <cell r="I287">
            <v>1</v>
          </cell>
          <cell r="J287">
            <v>0</v>
          </cell>
          <cell r="K287">
            <v>1</v>
          </cell>
          <cell r="L287">
            <v>1</v>
          </cell>
          <cell r="M287">
            <v>3</v>
          </cell>
          <cell r="O287">
            <v>1</v>
          </cell>
          <cell r="P287">
            <v>0</v>
          </cell>
          <cell r="Q287">
            <v>0</v>
          </cell>
          <cell r="R287">
            <v>0</v>
          </cell>
          <cell r="S287">
            <v>0</v>
          </cell>
          <cell r="T287">
            <v>4</v>
          </cell>
          <cell r="V287">
            <v>1</v>
          </cell>
          <cell r="W287">
            <v>42</v>
          </cell>
          <cell r="X287">
            <v>3</v>
          </cell>
          <cell r="Y287">
            <v>1</v>
          </cell>
          <cell r="AA287">
            <v>0</v>
          </cell>
          <cell r="AB287">
            <v>0</v>
          </cell>
          <cell r="AC287">
            <v>0</v>
          </cell>
          <cell r="AD287">
            <v>0</v>
          </cell>
          <cell r="AE287">
            <v>0</v>
          </cell>
          <cell r="AF287">
            <v>0</v>
          </cell>
          <cell r="AG287">
            <v>0</v>
          </cell>
          <cell r="AH287">
            <v>1</v>
          </cell>
          <cell r="AI287">
            <v>4</v>
          </cell>
          <cell r="AK287">
            <v>1</v>
          </cell>
          <cell r="AL287">
            <v>0</v>
          </cell>
          <cell r="AN287">
            <v>2115</v>
          </cell>
          <cell r="AO287">
            <v>1</v>
          </cell>
          <cell r="AQ287">
            <v>0</v>
          </cell>
          <cell r="AR287">
            <v>12</v>
          </cell>
          <cell r="AS287">
            <v>3</v>
          </cell>
          <cell r="AT287">
            <v>2</v>
          </cell>
          <cell r="AU287">
            <v>0</v>
          </cell>
          <cell r="AV287">
            <v>17</v>
          </cell>
          <cell r="AW287">
            <v>17</v>
          </cell>
          <cell r="AX287">
            <v>3</v>
          </cell>
          <cell r="AY287">
            <v>3</v>
          </cell>
          <cell r="AZ287">
            <v>17</v>
          </cell>
          <cell r="BA287">
            <v>17</v>
          </cell>
          <cell r="BB287">
            <v>12</v>
          </cell>
          <cell r="BC287">
            <v>5</v>
          </cell>
          <cell r="BD287">
            <v>5</v>
          </cell>
          <cell r="BE287">
            <v>7</v>
          </cell>
          <cell r="BF287">
            <v>7</v>
          </cell>
          <cell r="BG287">
            <v>7</v>
          </cell>
          <cell r="BH287">
            <v>1</v>
          </cell>
          <cell r="BI287">
            <v>0</v>
          </cell>
          <cell r="BJ287">
            <v>0</v>
          </cell>
          <cell r="BK287">
            <v>0</v>
          </cell>
          <cell r="BL287">
            <v>1</v>
          </cell>
          <cell r="BM287">
            <v>0</v>
          </cell>
          <cell r="BN287">
            <v>0</v>
          </cell>
          <cell r="BO287">
            <v>0</v>
          </cell>
          <cell r="BP287">
            <v>0</v>
          </cell>
          <cell r="BQ287">
            <v>7</v>
          </cell>
          <cell r="BR287">
            <v>0</v>
          </cell>
          <cell r="BS287">
            <v>0</v>
          </cell>
          <cell r="BT287">
            <v>17</v>
          </cell>
          <cell r="BU287">
            <v>0</v>
          </cell>
        </row>
        <row r="288">
          <cell r="A288">
            <v>44</v>
          </cell>
          <cell r="B288">
            <v>44</v>
          </cell>
          <cell r="D288">
            <v>1</v>
          </cell>
          <cell r="F288">
            <v>1</v>
          </cell>
          <cell r="G288">
            <v>0</v>
          </cell>
          <cell r="I288">
            <v>1</v>
          </cell>
          <cell r="J288">
            <v>0</v>
          </cell>
          <cell r="K288">
            <v>24</v>
          </cell>
          <cell r="L288">
            <v>24</v>
          </cell>
          <cell r="M288">
            <v>3</v>
          </cell>
          <cell r="O288">
            <v>1</v>
          </cell>
          <cell r="P288">
            <v>0</v>
          </cell>
          <cell r="Q288">
            <v>0</v>
          </cell>
          <cell r="R288">
            <v>0</v>
          </cell>
          <cell r="S288">
            <v>0</v>
          </cell>
          <cell r="T288">
            <v>4</v>
          </cell>
          <cell r="V288">
            <v>0</v>
          </cell>
          <cell r="W288">
            <v>43</v>
          </cell>
          <cell r="X288">
            <v>3</v>
          </cell>
          <cell r="Y288">
            <v>1</v>
          </cell>
          <cell r="AA288">
            <v>0</v>
          </cell>
          <cell r="AB288">
            <v>0</v>
          </cell>
          <cell r="AC288">
            <v>1</v>
          </cell>
          <cell r="AD288">
            <v>0</v>
          </cell>
          <cell r="AE288">
            <v>0</v>
          </cell>
          <cell r="AF288">
            <v>0</v>
          </cell>
          <cell r="AG288">
            <v>0</v>
          </cell>
          <cell r="AH288">
            <v>0</v>
          </cell>
          <cell r="AI288">
            <v>3</v>
          </cell>
          <cell r="AK288">
            <v>0</v>
          </cell>
          <cell r="AL288">
            <v>0</v>
          </cell>
          <cell r="AN288">
            <v>3161</v>
          </cell>
          <cell r="AO288">
            <v>3</v>
          </cell>
          <cell r="AQ288">
            <v>1</v>
          </cell>
          <cell r="AR288">
            <v>22</v>
          </cell>
          <cell r="AS288">
            <v>4</v>
          </cell>
          <cell r="AT288">
            <v>4</v>
          </cell>
          <cell r="AU288">
            <v>1</v>
          </cell>
          <cell r="AV288">
            <v>19</v>
          </cell>
          <cell r="AW288">
            <v>19</v>
          </cell>
          <cell r="AX288">
            <v>0</v>
          </cell>
          <cell r="AY288">
            <v>1</v>
          </cell>
          <cell r="AZ288">
            <v>1</v>
          </cell>
          <cell r="BA288">
            <v>1</v>
          </cell>
          <cell r="BB288">
            <v>0</v>
          </cell>
          <cell r="BC288">
            <v>0</v>
          </cell>
          <cell r="BD288">
            <v>0</v>
          </cell>
          <cell r="BE288">
            <v>0</v>
          </cell>
          <cell r="BF288">
            <v>0</v>
          </cell>
          <cell r="BG288">
            <v>0</v>
          </cell>
          <cell r="BH288">
            <v>0</v>
          </cell>
          <cell r="BI288">
            <v>0</v>
          </cell>
          <cell r="BJ288">
            <v>1</v>
          </cell>
          <cell r="BK288">
            <v>0</v>
          </cell>
          <cell r="BL288">
            <v>0</v>
          </cell>
          <cell r="BM288">
            <v>1</v>
          </cell>
          <cell r="BN288">
            <v>0</v>
          </cell>
          <cell r="BO288">
            <v>0</v>
          </cell>
          <cell r="BP288">
            <v>0</v>
          </cell>
          <cell r="BQ288">
            <v>0</v>
          </cell>
          <cell r="BR288">
            <v>0</v>
          </cell>
          <cell r="BS288">
            <v>0</v>
          </cell>
          <cell r="BT288">
            <v>19</v>
          </cell>
          <cell r="BU288">
            <v>0</v>
          </cell>
        </row>
        <row r="289">
          <cell r="A289">
            <v>38</v>
          </cell>
          <cell r="B289">
            <v>38</v>
          </cell>
          <cell r="D289">
            <v>0</v>
          </cell>
          <cell r="F289">
            <v>0</v>
          </cell>
          <cell r="G289">
            <v>1</v>
          </cell>
          <cell r="I289">
            <v>1</v>
          </cell>
          <cell r="J289">
            <v>0</v>
          </cell>
          <cell r="K289">
            <v>23</v>
          </cell>
          <cell r="L289">
            <v>23</v>
          </cell>
          <cell r="M289">
            <v>4</v>
          </cell>
          <cell r="O289">
            <v>1</v>
          </cell>
          <cell r="P289">
            <v>0</v>
          </cell>
          <cell r="Q289">
            <v>0</v>
          </cell>
          <cell r="R289">
            <v>0</v>
          </cell>
          <cell r="S289">
            <v>0</v>
          </cell>
          <cell r="T289">
            <v>4</v>
          </cell>
          <cell r="V289">
            <v>0</v>
          </cell>
          <cell r="W289">
            <v>82</v>
          </cell>
          <cell r="X289">
            <v>3</v>
          </cell>
          <cell r="Y289">
            <v>2</v>
          </cell>
          <cell r="AA289">
            <v>1</v>
          </cell>
          <cell r="AB289">
            <v>0</v>
          </cell>
          <cell r="AC289">
            <v>0</v>
          </cell>
          <cell r="AD289">
            <v>0</v>
          </cell>
          <cell r="AE289">
            <v>0</v>
          </cell>
          <cell r="AF289">
            <v>0</v>
          </cell>
          <cell r="AG289">
            <v>0</v>
          </cell>
          <cell r="AH289">
            <v>0</v>
          </cell>
          <cell r="AI289">
            <v>4</v>
          </cell>
          <cell r="AK289">
            <v>0</v>
          </cell>
          <cell r="AL289">
            <v>0</v>
          </cell>
          <cell r="AN289">
            <v>5745</v>
          </cell>
          <cell r="AO289">
            <v>9</v>
          </cell>
          <cell r="AQ289">
            <v>0</v>
          </cell>
          <cell r="AR289">
            <v>14</v>
          </cell>
          <cell r="AS289">
            <v>3</v>
          </cell>
          <cell r="AT289">
            <v>2</v>
          </cell>
          <cell r="AU289">
            <v>1</v>
          </cell>
          <cell r="AV289">
            <v>10</v>
          </cell>
          <cell r="AW289">
            <v>10</v>
          </cell>
          <cell r="AX289">
            <v>2</v>
          </cell>
          <cell r="AY289">
            <v>3</v>
          </cell>
          <cell r="AZ289">
            <v>2</v>
          </cell>
          <cell r="BA289">
            <v>2</v>
          </cell>
          <cell r="BB289">
            <v>2</v>
          </cell>
          <cell r="BC289">
            <v>1</v>
          </cell>
          <cell r="BD289">
            <v>1</v>
          </cell>
          <cell r="BE289">
            <v>2</v>
          </cell>
          <cell r="BF289">
            <v>2</v>
          </cell>
          <cell r="BG289">
            <v>4</v>
          </cell>
          <cell r="BH289">
            <v>1</v>
          </cell>
          <cell r="BI289">
            <v>0</v>
          </cell>
          <cell r="BJ289">
            <v>0</v>
          </cell>
          <cell r="BK289">
            <v>0</v>
          </cell>
          <cell r="BL289">
            <v>1</v>
          </cell>
          <cell r="BM289">
            <v>0</v>
          </cell>
          <cell r="BN289">
            <v>0</v>
          </cell>
          <cell r="BO289">
            <v>0</v>
          </cell>
          <cell r="BP289">
            <v>0</v>
          </cell>
          <cell r="BQ289">
            <v>2</v>
          </cell>
          <cell r="BR289">
            <v>0</v>
          </cell>
          <cell r="BS289">
            <v>0</v>
          </cell>
          <cell r="BT289">
            <v>10</v>
          </cell>
          <cell r="BU289">
            <v>0</v>
          </cell>
        </row>
        <row r="290">
          <cell r="A290">
            <v>26</v>
          </cell>
          <cell r="B290">
            <v>26</v>
          </cell>
          <cell r="D290">
            <v>1</v>
          </cell>
          <cell r="F290">
            <v>0</v>
          </cell>
          <cell r="G290">
            <v>1</v>
          </cell>
          <cell r="I290">
            <v>1</v>
          </cell>
          <cell r="J290">
            <v>0</v>
          </cell>
          <cell r="K290">
            <v>16</v>
          </cell>
          <cell r="L290">
            <v>16</v>
          </cell>
          <cell r="M290">
            <v>4</v>
          </cell>
          <cell r="O290">
            <v>0</v>
          </cell>
          <cell r="P290">
            <v>0</v>
          </cell>
          <cell r="Q290">
            <v>1</v>
          </cell>
          <cell r="R290">
            <v>0</v>
          </cell>
          <cell r="S290">
            <v>0</v>
          </cell>
          <cell r="T290">
            <v>1</v>
          </cell>
          <cell r="V290">
            <v>0</v>
          </cell>
          <cell r="W290">
            <v>45</v>
          </cell>
          <cell r="X290">
            <v>3</v>
          </cell>
          <cell r="Y290">
            <v>1</v>
          </cell>
          <cell r="AA290">
            <v>0</v>
          </cell>
          <cell r="AB290">
            <v>0</v>
          </cell>
          <cell r="AC290">
            <v>1</v>
          </cell>
          <cell r="AD290">
            <v>0</v>
          </cell>
          <cell r="AE290">
            <v>0</v>
          </cell>
          <cell r="AF290">
            <v>0</v>
          </cell>
          <cell r="AG290">
            <v>0</v>
          </cell>
          <cell r="AH290">
            <v>0</v>
          </cell>
          <cell r="AI290">
            <v>2</v>
          </cell>
          <cell r="AK290">
            <v>0</v>
          </cell>
          <cell r="AL290">
            <v>0</v>
          </cell>
          <cell r="AN290">
            <v>2373</v>
          </cell>
          <cell r="AO290">
            <v>2</v>
          </cell>
          <cell r="AQ290">
            <v>1</v>
          </cell>
          <cell r="AR290">
            <v>13</v>
          </cell>
          <cell r="AS290">
            <v>3</v>
          </cell>
          <cell r="AT290">
            <v>4</v>
          </cell>
          <cell r="AU290">
            <v>1</v>
          </cell>
          <cell r="AV290">
            <v>5</v>
          </cell>
          <cell r="AW290">
            <v>5</v>
          </cell>
          <cell r="AX290">
            <v>2</v>
          </cell>
          <cell r="AY290">
            <v>3</v>
          </cell>
          <cell r="AZ290">
            <v>3</v>
          </cell>
          <cell r="BA290">
            <v>3</v>
          </cell>
          <cell r="BB290">
            <v>2</v>
          </cell>
          <cell r="BC290">
            <v>0</v>
          </cell>
          <cell r="BD290">
            <v>0</v>
          </cell>
          <cell r="BE290">
            <v>2</v>
          </cell>
          <cell r="BF290">
            <v>2</v>
          </cell>
          <cell r="BG290">
            <v>2</v>
          </cell>
          <cell r="BH290">
            <v>1</v>
          </cell>
          <cell r="BI290">
            <v>0</v>
          </cell>
          <cell r="BJ290">
            <v>0</v>
          </cell>
          <cell r="BK290">
            <v>0</v>
          </cell>
          <cell r="BL290">
            <v>0</v>
          </cell>
          <cell r="BM290">
            <v>1</v>
          </cell>
          <cell r="BN290">
            <v>0</v>
          </cell>
          <cell r="BO290">
            <v>0</v>
          </cell>
          <cell r="BP290">
            <v>0</v>
          </cell>
          <cell r="BQ290">
            <v>2</v>
          </cell>
          <cell r="BR290">
            <v>0</v>
          </cell>
          <cell r="BS290">
            <v>0</v>
          </cell>
          <cell r="BT290">
            <v>5</v>
          </cell>
          <cell r="BU290">
            <v>0</v>
          </cell>
        </row>
        <row r="291">
          <cell r="A291">
            <v>28</v>
          </cell>
          <cell r="B291">
            <v>28</v>
          </cell>
          <cell r="D291">
            <v>0</v>
          </cell>
          <cell r="F291">
            <v>0</v>
          </cell>
          <cell r="G291">
            <v>1</v>
          </cell>
          <cell r="I291">
            <v>1</v>
          </cell>
          <cell r="J291">
            <v>0</v>
          </cell>
          <cell r="K291">
            <v>8</v>
          </cell>
          <cell r="L291">
            <v>8</v>
          </cell>
          <cell r="M291">
            <v>2</v>
          </cell>
          <cell r="O291">
            <v>1</v>
          </cell>
          <cell r="P291">
            <v>0</v>
          </cell>
          <cell r="Q291">
            <v>0</v>
          </cell>
          <cell r="R291">
            <v>0</v>
          </cell>
          <cell r="S291">
            <v>0</v>
          </cell>
          <cell r="T291">
            <v>4</v>
          </cell>
          <cell r="V291">
            <v>1</v>
          </cell>
          <cell r="W291">
            <v>66</v>
          </cell>
          <cell r="X291">
            <v>3</v>
          </cell>
          <cell r="Y291">
            <v>1</v>
          </cell>
          <cell r="AA291">
            <v>0</v>
          </cell>
          <cell r="AB291">
            <v>0</v>
          </cell>
          <cell r="AC291">
            <v>0</v>
          </cell>
          <cell r="AD291">
            <v>0</v>
          </cell>
          <cell r="AE291">
            <v>0</v>
          </cell>
          <cell r="AF291">
            <v>0</v>
          </cell>
          <cell r="AG291">
            <v>0</v>
          </cell>
          <cell r="AH291">
            <v>1</v>
          </cell>
          <cell r="AI291">
            <v>4</v>
          </cell>
          <cell r="AK291">
            <v>1</v>
          </cell>
          <cell r="AL291">
            <v>0</v>
          </cell>
          <cell r="AN291">
            <v>3310</v>
          </cell>
          <cell r="AO291">
            <v>1</v>
          </cell>
          <cell r="AQ291">
            <v>0</v>
          </cell>
          <cell r="AR291">
            <v>21</v>
          </cell>
          <cell r="AS291">
            <v>4</v>
          </cell>
          <cell r="AT291">
            <v>4</v>
          </cell>
          <cell r="AU291">
            <v>0</v>
          </cell>
          <cell r="AV291">
            <v>5</v>
          </cell>
          <cell r="AW291">
            <v>5</v>
          </cell>
          <cell r="AX291">
            <v>3</v>
          </cell>
          <cell r="AY291">
            <v>3</v>
          </cell>
          <cell r="AZ291">
            <v>5</v>
          </cell>
          <cell r="BA291">
            <v>5</v>
          </cell>
          <cell r="BB291">
            <v>3</v>
          </cell>
          <cell r="BC291">
            <v>0</v>
          </cell>
          <cell r="BD291">
            <v>0</v>
          </cell>
          <cell r="BE291">
            <v>2</v>
          </cell>
          <cell r="BF291">
            <v>2</v>
          </cell>
          <cell r="BG291">
            <v>2</v>
          </cell>
          <cell r="BH291">
            <v>1</v>
          </cell>
          <cell r="BI291">
            <v>0</v>
          </cell>
          <cell r="BJ291">
            <v>0</v>
          </cell>
          <cell r="BK291">
            <v>0</v>
          </cell>
          <cell r="BL291">
            <v>1</v>
          </cell>
          <cell r="BM291">
            <v>0</v>
          </cell>
          <cell r="BN291">
            <v>0</v>
          </cell>
          <cell r="BO291">
            <v>0</v>
          </cell>
          <cell r="BP291">
            <v>0</v>
          </cell>
          <cell r="BQ291">
            <v>2</v>
          </cell>
          <cell r="BR291">
            <v>0</v>
          </cell>
          <cell r="BS291">
            <v>0</v>
          </cell>
          <cell r="BT291">
            <v>5</v>
          </cell>
          <cell r="BU291">
            <v>0</v>
          </cell>
        </row>
        <row r="292">
          <cell r="A292">
            <v>49</v>
          </cell>
          <cell r="B292">
            <v>49</v>
          </cell>
          <cell r="D292">
            <v>0</v>
          </cell>
          <cell r="F292">
            <v>1</v>
          </cell>
          <cell r="G292">
            <v>0</v>
          </cell>
          <cell r="I292">
            <v>1</v>
          </cell>
          <cell r="J292">
            <v>0</v>
          </cell>
          <cell r="K292">
            <v>10</v>
          </cell>
          <cell r="L292">
            <v>10</v>
          </cell>
          <cell r="M292">
            <v>4</v>
          </cell>
          <cell r="O292">
            <v>1</v>
          </cell>
          <cell r="P292">
            <v>0</v>
          </cell>
          <cell r="Q292">
            <v>0</v>
          </cell>
          <cell r="R292">
            <v>0</v>
          </cell>
          <cell r="S292">
            <v>0</v>
          </cell>
          <cell r="T292">
            <v>3</v>
          </cell>
          <cell r="V292">
            <v>1</v>
          </cell>
          <cell r="W292">
            <v>35</v>
          </cell>
          <cell r="X292">
            <v>3</v>
          </cell>
          <cell r="Y292">
            <v>5</v>
          </cell>
          <cell r="AA292">
            <v>0</v>
          </cell>
          <cell r="AB292">
            <v>0</v>
          </cell>
          <cell r="AC292">
            <v>0</v>
          </cell>
          <cell r="AD292">
            <v>0</v>
          </cell>
          <cell r="AE292">
            <v>0</v>
          </cell>
          <cell r="AF292">
            <v>0</v>
          </cell>
          <cell r="AG292">
            <v>0</v>
          </cell>
          <cell r="AH292">
            <v>0</v>
          </cell>
          <cell r="AI292">
            <v>1</v>
          </cell>
          <cell r="AK292">
            <v>1</v>
          </cell>
          <cell r="AL292">
            <v>0</v>
          </cell>
          <cell r="AN292">
            <v>18665</v>
          </cell>
          <cell r="AO292">
            <v>9</v>
          </cell>
          <cell r="AQ292">
            <v>1</v>
          </cell>
          <cell r="AR292">
            <v>11</v>
          </cell>
          <cell r="AS292">
            <v>3</v>
          </cell>
          <cell r="AT292">
            <v>4</v>
          </cell>
          <cell r="AU292">
            <v>0</v>
          </cell>
          <cell r="AV292">
            <v>22</v>
          </cell>
          <cell r="AW292">
            <v>22</v>
          </cell>
          <cell r="AX292">
            <v>4</v>
          </cell>
          <cell r="AY292">
            <v>3</v>
          </cell>
          <cell r="AZ292">
            <v>3</v>
          </cell>
          <cell r="BA292">
            <v>3</v>
          </cell>
          <cell r="BB292">
            <v>2</v>
          </cell>
          <cell r="BC292">
            <v>1</v>
          </cell>
          <cell r="BD292">
            <v>1</v>
          </cell>
          <cell r="BE292">
            <v>2</v>
          </cell>
          <cell r="BF292">
            <v>2</v>
          </cell>
          <cell r="BG292">
            <v>10</v>
          </cell>
          <cell r="BH292">
            <v>0</v>
          </cell>
          <cell r="BI292">
            <v>0</v>
          </cell>
          <cell r="BJ292">
            <v>1</v>
          </cell>
          <cell r="BK292">
            <v>0</v>
          </cell>
          <cell r="BL292">
            <v>0</v>
          </cell>
          <cell r="BM292">
            <v>1</v>
          </cell>
          <cell r="BN292">
            <v>0</v>
          </cell>
          <cell r="BO292">
            <v>0</v>
          </cell>
          <cell r="BP292">
            <v>0</v>
          </cell>
          <cell r="BQ292">
            <v>2</v>
          </cell>
          <cell r="BR292">
            <v>0</v>
          </cell>
          <cell r="BS292">
            <v>0</v>
          </cell>
          <cell r="BT292">
            <v>22</v>
          </cell>
          <cell r="BU292">
            <v>0</v>
          </cell>
        </row>
        <row r="293">
          <cell r="A293">
            <v>36</v>
          </cell>
          <cell r="B293">
            <v>36</v>
          </cell>
          <cell r="D293">
            <v>0</v>
          </cell>
          <cell r="F293">
            <v>0</v>
          </cell>
          <cell r="G293">
            <v>1</v>
          </cell>
          <cell r="I293">
            <v>1</v>
          </cell>
          <cell r="J293">
            <v>0</v>
          </cell>
          <cell r="K293">
            <v>3</v>
          </cell>
          <cell r="L293">
            <v>3</v>
          </cell>
          <cell r="M293">
            <v>3</v>
          </cell>
          <cell r="O293">
            <v>0</v>
          </cell>
          <cell r="P293">
            <v>0</v>
          </cell>
          <cell r="Q293">
            <v>0</v>
          </cell>
          <cell r="R293">
            <v>0</v>
          </cell>
          <cell r="S293">
            <v>1</v>
          </cell>
          <cell r="T293">
            <v>3</v>
          </cell>
          <cell r="V293">
            <v>0</v>
          </cell>
          <cell r="W293">
            <v>30</v>
          </cell>
          <cell r="X293">
            <v>3</v>
          </cell>
          <cell r="Y293">
            <v>2</v>
          </cell>
          <cell r="AA293">
            <v>0</v>
          </cell>
          <cell r="AB293">
            <v>0</v>
          </cell>
          <cell r="AC293">
            <v>0</v>
          </cell>
          <cell r="AD293">
            <v>0</v>
          </cell>
          <cell r="AE293">
            <v>0</v>
          </cell>
          <cell r="AF293">
            <v>0</v>
          </cell>
          <cell r="AG293">
            <v>0</v>
          </cell>
          <cell r="AH293">
            <v>1</v>
          </cell>
          <cell r="AI293">
            <v>2</v>
          </cell>
          <cell r="AK293">
            <v>1</v>
          </cell>
          <cell r="AL293">
            <v>0</v>
          </cell>
          <cell r="AN293">
            <v>4485</v>
          </cell>
          <cell r="AO293">
            <v>4</v>
          </cell>
          <cell r="AQ293">
            <v>0</v>
          </cell>
          <cell r="AR293">
            <v>12</v>
          </cell>
          <cell r="AS293">
            <v>3</v>
          </cell>
          <cell r="AT293">
            <v>4</v>
          </cell>
          <cell r="AU293">
            <v>0</v>
          </cell>
          <cell r="AV293">
            <v>10</v>
          </cell>
          <cell r="AW293">
            <v>10</v>
          </cell>
          <cell r="AX293">
            <v>2</v>
          </cell>
          <cell r="AY293">
            <v>3</v>
          </cell>
          <cell r="AZ293">
            <v>8</v>
          </cell>
          <cell r="BA293">
            <v>8</v>
          </cell>
          <cell r="BB293">
            <v>0</v>
          </cell>
          <cell r="BC293">
            <v>7</v>
          </cell>
          <cell r="BD293">
            <v>7</v>
          </cell>
          <cell r="BE293">
            <v>7</v>
          </cell>
          <cell r="BF293">
            <v>7</v>
          </cell>
          <cell r="BG293">
            <v>14</v>
          </cell>
          <cell r="BH293">
            <v>1</v>
          </cell>
          <cell r="BI293">
            <v>0</v>
          </cell>
          <cell r="BJ293">
            <v>0</v>
          </cell>
          <cell r="BK293">
            <v>0</v>
          </cell>
          <cell r="BL293">
            <v>1</v>
          </cell>
          <cell r="BM293">
            <v>0</v>
          </cell>
          <cell r="BN293">
            <v>0</v>
          </cell>
          <cell r="BO293">
            <v>0</v>
          </cell>
          <cell r="BP293">
            <v>0</v>
          </cell>
          <cell r="BQ293">
            <v>7</v>
          </cell>
          <cell r="BR293">
            <v>0</v>
          </cell>
          <cell r="BS293">
            <v>0</v>
          </cell>
          <cell r="BT293">
            <v>10</v>
          </cell>
          <cell r="BU293">
            <v>0</v>
          </cell>
        </row>
        <row r="294">
          <cell r="A294">
            <v>31</v>
          </cell>
          <cell r="B294">
            <v>31</v>
          </cell>
          <cell r="D294">
            <v>0</v>
          </cell>
          <cell r="F294">
            <v>1</v>
          </cell>
          <cell r="G294">
            <v>0</v>
          </cell>
          <cell r="I294">
            <v>0</v>
          </cell>
          <cell r="J294">
            <v>1</v>
          </cell>
          <cell r="K294">
            <v>5</v>
          </cell>
          <cell r="L294">
            <v>5</v>
          </cell>
          <cell r="M294">
            <v>3</v>
          </cell>
          <cell r="O294">
            <v>0</v>
          </cell>
          <cell r="P294">
            <v>0</v>
          </cell>
          <cell r="Q294">
            <v>0</v>
          </cell>
          <cell r="R294">
            <v>1</v>
          </cell>
          <cell r="S294">
            <v>0</v>
          </cell>
          <cell r="T294">
            <v>4</v>
          </cell>
          <cell r="V294">
            <v>1</v>
          </cell>
          <cell r="W294">
            <v>84</v>
          </cell>
          <cell r="X294">
            <v>3</v>
          </cell>
          <cell r="Y294">
            <v>1</v>
          </cell>
          <cell r="AA294">
            <v>0</v>
          </cell>
          <cell r="AB294">
            <v>0</v>
          </cell>
          <cell r="AC294">
            <v>0</v>
          </cell>
          <cell r="AD294">
            <v>0</v>
          </cell>
          <cell r="AE294">
            <v>0</v>
          </cell>
          <cell r="AF294">
            <v>0</v>
          </cell>
          <cell r="AG294">
            <v>1</v>
          </cell>
          <cell r="AH294">
            <v>0</v>
          </cell>
          <cell r="AI294">
            <v>2</v>
          </cell>
          <cell r="AK294">
            <v>0</v>
          </cell>
          <cell r="AL294">
            <v>0</v>
          </cell>
          <cell r="AN294">
            <v>2789</v>
          </cell>
          <cell r="AO294">
            <v>1</v>
          </cell>
          <cell r="AQ294">
            <v>0</v>
          </cell>
          <cell r="AR294">
            <v>11</v>
          </cell>
          <cell r="AS294">
            <v>3</v>
          </cell>
          <cell r="AT294">
            <v>3</v>
          </cell>
          <cell r="AU294">
            <v>1</v>
          </cell>
          <cell r="AV294">
            <v>2</v>
          </cell>
          <cell r="AW294">
            <v>2</v>
          </cell>
          <cell r="AX294">
            <v>5</v>
          </cell>
          <cell r="AY294">
            <v>2</v>
          </cell>
          <cell r="AZ294">
            <v>2</v>
          </cell>
          <cell r="BA294">
            <v>2</v>
          </cell>
          <cell r="BB294">
            <v>2</v>
          </cell>
          <cell r="BC294">
            <v>2</v>
          </cell>
          <cell r="BD294">
            <v>2</v>
          </cell>
          <cell r="BE294">
            <v>2</v>
          </cell>
          <cell r="BF294">
            <v>2</v>
          </cell>
          <cell r="BG294">
            <v>2</v>
          </cell>
          <cell r="BH294">
            <v>0</v>
          </cell>
          <cell r="BI294">
            <v>0</v>
          </cell>
          <cell r="BJ294">
            <v>1</v>
          </cell>
          <cell r="BK294">
            <v>0</v>
          </cell>
          <cell r="BL294">
            <v>1</v>
          </cell>
          <cell r="BM294">
            <v>0</v>
          </cell>
          <cell r="BN294">
            <v>0</v>
          </cell>
          <cell r="BO294">
            <v>0</v>
          </cell>
          <cell r="BP294">
            <v>0</v>
          </cell>
          <cell r="BQ294">
            <v>0</v>
          </cell>
          <cell r="BR294">
            <v>2</v>
          </cell>
          <cell r="BS294">
            <v>0</v>
          </cell>
          <cell r="BT294">
            <v>0</v>
          </cell>
          <cell r="BU294">
            <v>2</v>
          </cell>
        </row>
        <row r="295">
          <cell r="A295">
            <v>26</v>
          </cell>
          <cell r="B295">
            <v>26</v>
          </cell>
          <cell r="D295">
            <v>1</v>
          </cell>
          <cell r="F295">
            <v>0</v>
          </cell>
          <cell r="G295">
            <v>1</v>
          </cell>
          <cell r="I295">
            <v>0</v>
          </cell>
          <cell r="J295">
            <v>1</v>
          </cell>
          <cell r="K295">
            <v>4</v>
          </cell>
          <cell r="L295">
            <v>4</v>
          </cell>
          <cell r="M295">
            <v>4</v>
          </cell>
          <cell r="O295">
            <v>0</v>
          </cell>
          <cell r="P295">
            <v>0</v>
          </cell>
          <cell r="Q295">
            <v>0</v>
          </cell>
          <cell r="R295">
            <v>1</v>
          </cell>
          <cell r="S295">
            <v>0</v>
          </cell>
          <cell r="T295">
            <v>4</v>
          </cell>
          <cell r="V295">
            <v>0</v>
          </cell>
          <cell r="W295">
            <v>48</v>
          </cell>
          <cell r="X295">
            <v>2</v>
          </cell>
          <cell r="Y295">
            <v>2</v>
          </cell>
          <cell r="AA295">
            <v>0</v>
          </cell>
          <cell r="AB295">
            <v>1</v>
          </cell>
          <cell r="AC295">
            <v>0</v>
          </cell>
          <cell r="AD295">
            <v>0</v>
          </cell>
          <cell r="AE295">
            <v>0</v>
          </cell>
          <cell r="AF295">
            <v>0</v>
          </cell>
          <cell r="AG295">
            <v>0</v>
          </cell>
          <cell r="AH295">
            <v>0</v>
          </cell>
          <cell r="AI295">
            <v>4</v>
          </cell>
          <cell r="AK295">
            <v>1</v>
          </cell>
          <cell r="AL295">
            <v>0</v>
          </cell>
          <cell r="AN295">
            <v>5828</v>
          </cell>
          <cell r="AO295">
            <v>1</v>
          </cell>
          <cell r="AQ295">
            <v>1</v>
          </cell>
          <cell r="AR295">
            <v>12</v>
          </cell>
          <cell r="AS295">
            <v>3</v>
          </cell>
          <cell r="AT295">
            <v>2</v>
          </cell>
          <cell r="AU295">
            <v>0</v>
          </cell>
          <cell r="AV295">
            <v>8</v>
          </cell>
          <cell r="AW295">
            <v>8</v>
          </cell>
          <cell r="AX295">
            <v>0</v>
          </cell>
          <cell r="AY295">
            <v>3</v>
          </cell>
          <cell r="AZ295">
            <v>8</v>
          </cell>
          <cell r="BA295">
            <v>8</v>
          </cell>
          <cell r="BB295">
            <v>7</v>
          </cell>
          <cell r="BC295">
            <v>7</v>
          </cell>
          <cell r="BD295">
            <v>7</v>
          </cell>
          <cell r="BE295">
            <v>4</v>
          </cell>
          <cell r="BF295">
            <v>4</v>
          </cell>
          <cell r="BG295">
            <v>8</v>
          </cell>
          <cell r="BH295">
            <v>1</v>
          </cell>
          <cell r="BI295">
            <v>0</v>
          </cell>
          <cell r="BJ295">
            <v>0</v>
          </cell>
          <cell r="BK295">
            <v>0</v>
          </cell>
          <cell r="BL295">
            <v>0</v>
          </cell>
          <cell r="BM295">
            <v>1</v>
          </cell>
          <cell r="BN295">
            <v>0</v>
          </cell>
          <cell r="BO295">
            <v>0</v>
          </cell>
          <cell r="BP295">
            <v>0</v>
          </cell>
          <cell r="BQ295">
            <v>0</v>
          </cell>
          <cell r="BR295">
            <v>4</v>
          </cell>
          <cell r="BS295">
            <v>0</v>
          </cell>
          <cell r="BT295">
            <v>0</v>
          </cell>
          <cell r="BU295">
            <v>8</v>
          </cell>
        </row>
        <row r="296">
          <cell r="A296">
            <v>37</v>
          </cell>
          <cell r="B296">
            <v>37</v>
          </cell>
          <cell r="D296">
            <v>0</v>
          </cell>
          <cell r="F296">
            <v>1</v>
          </cell>
          <cell r="G296">
            <v>0</v>
          </cell>
          <cell r="I296">
            <v>1</v>
          </cell>
          <cell r="J296">
            <v>0</v>
          </cell>
          <cell r="K296">
            <v>9</v>
          </cell>
          <cell r="L296">
            <v>9</v>
          </cell>
          <cell r="M296">
            <v>3</v>
          </cell>
          <cell r="O296">
            <v>0</v>
          </cell>
          <cell r="P296">
            <v>0</v>
          </cell>
          <cell r="Q296">
            <v>1</v>
          </cell>
          <cell r="R296">
            <v>0</v>
          </cell>
          <cell r="S296">
            <v>0</v>
          </cell>
          <cell r="T296">
            <v>2</v>
          </cell>
          <cell r="V296">
            <v>0</v>
          </cell>
          <cell r="W296">
            <v>53</v>
          </cell>
          <cell r="X296">
            <v>3</v>
          </cell>
          <cell r="Y296">
            <v>1</v>
          </cell>
          <cell r="AA296">
            <v>0</v>
          </cell>
          <cell r="AB296">
            <v>0</v>
          </cell>
          <cell r="AC296">
            <v>0</v>
          </cell>
          <cell r="AD296">
            <v>0</v>
          </cell>
          <cell r="AE296">
            <v>0</v>
          </cell>
          <cell r="AF296">
            <v>0</v>
          </cell>
          <cell r="AG296">
            <v>0</v>
          </cell>
          <cell r="AH296">
            <v>1</v>
          </cell>
          <cell r="AI296">
            <v>4</v>
          </cell>
          <cell r="AK296">
            <v>0</v>
          </cell>
          <cell r="AL296">
            <v>1</v>
          </cell>
          <cell r="AN296">
            <v>2326</v>
          </cell>
          <cell r="AO296">
            <v>1</v>
          </cell>
          <cell r="AQ296">
            <v>1</v>
          </cell>
          <cell r="AR296">
            <v>12</v>
          </cell>
          <cell r="AS296">
            <v>3</v>
          </cell>
          <cell r="AT296">
            <v>3</v>
          </cell>
          <cell r="AU296">
            <v>3</v>
          </cell>
          <cell r="AV296">
            <v>4</v>
          </cell>
          <cell r="AW296">
            <v>4</v>
          </cell>
          <cell r="AX296">
            <v>3</v>
          </cell>
          <cell r="AY296">
            <v>2</v>
          </cell>
          <cell r="AZ296">
            <v>4</v>
          </cell>
          <cell r="BA296">
            <v>4</v>
          </cell>
          <cell r="BB296">
            <v>2</v>
          </cell>
          <cell r="BC296">
            <v>1</v>
          </cell>
          <cell r="BD296">
            <v>1</v>
          </cell>
          <cell r="BE296">
            <v>2</v>
          </cell>
          <cell r="BF296">
            <v>2</v>
          </cell>
          <cell r="BG296">
            <v>2</v>
          </cell>
          <cell r="BH296">
            <v>0</v>
          </cell>
          <cell r="BI296">
            <v>0</v>
          </cell>
          <cell r="BJ296">
            <v>0</v>
          </cell>
          <cell r="BK296">
            <v>1</v>
          </cell>
          <cell r="BL296">
            <v>0</v>
          </cell>
          <cell r="BM296">
            <v>0</v>
          </cell>
          <cell r="BN296">
            <v>0</v>
          </cell>
          <cell r="BO296">
            <v>1</v>
          </cell>
          <cell r="BP296">
            <v>0</v>
          </cell>
          <cell r="BQ296">
            <v>2</v>
          </cell>
          <cell r="BR296">
            <v>0</v>
          </cell>
          <cell r="BS296">
            <v>0</v>
          </cell>
          <cell r="BT296">
            <v>4</v>
          </cell>
          <cell r="BU296">
            <v>0</v>
          </cell>
        </row>
        <row r="297">
          <cell r="A297">
            <v>42</v>
          </cell>
          <cell r="B297">
            <v>42</v>
          </cell>
          <cell r="D297">
            <v>0</v>
          </cell>
          <cell r="F297">
            <v>1</v>
          </cell>
          <cell r="G297">
            <v>0</v>
          </cell>
          <cell r="I297">
            <v>0</v>
          </cell>
          <cell r="J297">
            <v>1</v>
          </cell>
          <cell r="K297">
            <v>26</v>
          </cell>
          <cell r="L297">
            <v>26</v>
          </cell>
          <cell r="M297">
            <v>3</v>
          </cell>
          <cell r="O297">
            <v>0</v>
          </cell>
          <cell r="P297">
            <v>0</v>
          </cell>
          <cell r="Q297">
            <v>0</v>
          </cell>
          <cell r="R297">
            <v>1</v>
          </cell>
          <cell r="S297">
            <v>0</v>
          </cell>
          <cell r="T297">
            <v>3</v>
          </cell>
          <cell r="V297">
            <v>1</v>
          </cell>
          <cell r="W297">
            <v>77</v>
          </cell>
          <cell r="X297">
            <v>3</v>
          </cell>
          <cell r="Y297">
            <v>4</v>
          </cell>
          <cell r="AA297">
            <v>0</v>
          </cell>
          <cell r="AB297">
            <v>1</v>
          </cell>
          <cell r="AC297">
            <v>0</v>
          </cell>
          <cell r="AD297">
            <v>0</v>
          </cell>
          <cell r="AE297">
            <v>0</v>
          </cell>
          <cell r="AF297">
            <v>0</v>
          </cell>
          <cell r="AG297">
            <v>0</v>
          </cell>
          <cell r="AH297">
            <v>0</v>
          </cell>
          <cell r="AI297">
            <v>2</v>
          </cell>
          <cell r="AK297">
            <v>0</v>
          </cell>
          <cell r="AL297">
            <v>1</v>
          </cell>
          <cell r="AN297">
            <v>13525</v>
          </cell>
          <cell r="AO297">
            <v>5</v>
          </cell>
          <cell r="AQ297">
            <v>0</v>
          </cell>
          <cell r="AR297">
            <v>14</v>
          </cell>
          <cell r="AS297">
            <v>3</v>
          </cell>
          <cell r="AT297">
            <v>4</v>
          </cell>
          <cell r="AU297">
            <v>1</v>
          </cell>
          <cell r="AV297">
            <v>23</v>
          </cell>
          <cell r="AW297">
            <v>23</v>
          </cell>
          <cell r="AX297">
            <v>2</v>
          </cell>
          <cell r="AY297">
            <v>4</v>
          </cell>
          <cell r="AZ297">
            <v>20</v>
          </cell>
          <cell r="BA297">
            <v>20</v>
          </cell>
          <cell r="BB297">
            <v>4</v>
          </cell>
          <cell r="BC297">
            <v>4</v>
          </cell>
          <cell r="BD297">
            <v>4</v>
          </cell>
          <cell r="BE297">
            <v>8</v>
          </cell>
          <cell r="BF297">
            <v>8</v>
          </cell>
          <cell r="BG297">
            <v>32</v>
          </cell>
          <cell r="BH297">
            <v>0</v>
          </cell>
          <cell r="BI297">
            <v>0</v>
          </cell>
          <cell r="BJ297">
            <v>0</v>
          </cell>
          <cell r="BK297">
            <v>1</v>
          </cell>
          <cell r="BL297">
            <v>0</v>
          </cell>
          <cell r="BM297">
            <v>0</v>
          </cell>
          <cell r="BN297">
            <v>1</v>
          </cell>
          <cell r="BO297">
            <v>0</v>
          </cell>
          <cell r="BP297">
            <v>0</v>
          </cell>
          <cell r="BQ297">
            <v>0</v>
          </cell>
          <cell r="BR297">
            <v>8</v>
          </cell>
          <cell r="BS297">
            <v>0</v>
          </cell>
          <cell r="BT297">
            <v>0</v>
          </cell>
          <cell r="BU297">
            <v>23</v>
          </cell>
        </row>
        <row r="298">
          <cell r="A298">
            <v>18</v>
          </cell>
          <cell r="B298">
            <v>19</v>
          </cell>
          <cell r="D298">
            <v>1</v>
          </cell>
          <cell r="F298">
            <v>0</v>
          </cell>
          <cell r="G298">
            <v>1</v>
          </cell>
          <cell r="I298">
            <v>1</v>
          </cell>
          <cell r="J298">
            <v>0</v>
          </cell>
          <cell r="K298">
            <v>3</v>
          </cell>
          <cell r="L298">
            <v>3</v>
          </cell>
          <cell r="M298">
            <v>3</v>
          </cell>
          <cell r="O298">
            <v>1</v>
          </cell>
          <cell r="P298">
            <v>0</v>
          </cell>
          <cell r="Q298">
            <v>0</v>
          </cell>
          <cell r="R298">
            <v>0</v>
          </cell>
          <cell r="S298">
            <v>0</v>
          </cell>
          <cell r="T298">
            <v>3</v>
          </cell>
          <cell r="V298">
            <v>0</v>
          </cell>
          <cell r="W298">
            <v>54</v>
          </cell>
          <cell r="X298">
            <v>3</v>
          </cell>
          <cell r="Y298">
            <v>1</v>
          </cell>
          <cell r="AA298">
            <v>0</v>
          </cell>
          <cell r="AB298">
            <v>0</v>
          </cell>
          <cell r="AC298">
            <v>1</v>
          </cell>
          <cell r="AD298">
            <v>0</v>
          </cell>
          <cell r="AE298">
            <v>0</v>
          </cell>
          <cell r="AF298">
            <v>0</v>
          </cell>
          <cell r="AG298">
            <v>0</v>
          </cell>
          <cell r="AH298">
            <v>0</v>
          </cell>
          <cell r="AI298">
            <v>3</v>
          </cell>
          <cell r="AK298">
            <v>1</v>
          </cell>
          <cell r="AL298">
            <v>0</v>
          </cell>
          <cell r="AN298">
            <v>1420</v>
          </cell>
          <cell r="AO298">
            <v>1</v>
          </cell>
          <cell r="AQ298">
            <v>0</v>
          </cell>
          <cell r="AR298">
            <v>13</v>
          </cell>
          <cell r="AS298">
            <v>3</v>
          </cell>
          <cell r="AT298">
            <v>3</v>
          </cell>
          <cell r="AU298">
            <v>0</v>
          </cell>
          <cell r="AV298">
            <v>0</v>
          </cell>
          <cell r="AW298">
            <v>1</v>
          </cell>
          <cell r="AX298">
            <v>2</v>
          </cell>
          <cell r="AY298">
            <v>3</v>
          </cell>
          <cell r="AZ298">
            <v>0</v>
          </cell>
          <cell r="BA298">
            <v>0</v>
          </cell>
          <cell r="BB298">
            <v>0</v>
          </cell>
          <cell r="BC298">
            <v>0</v>
          </cell>
          <cell r="BD298">
            <v>0</v>
          </cell>
          <cell r="BE298">
            <v>0</v>
          </cell>
          <cell r="BF298">
            <v>0</v>
          </cell>
          <cell r="BG298">
            <v>0</v>
          </cell>
          <cell r="BH298">
            <v>1</v>
          </cell>
          <cell r="BI298">
            <v>0</v>
          </cell>
          <cell r="BJ298">
            <v>0</v>
          </cell>
          <cell r="BK298">
            <v>0</v>
          </cell>
          <cell r="BL298">
            <v>1</v>
          </cell>
          <cell r="BM298">
            <v>0</v>
          </cell>
          <cell r="BN298">
            <v>0</v>
          </cell>
          <cell r="BO298">
            <v>0</v>
          </cell>
          <cell r="BP298">
            <v>0</v>
          </cell>
          <cell r="BQ298">
            <v>0</v>
          </cell>
          <cell r="BR298">
            <v>0</v>
          </cell>
          <cell r="BS298">
            <v>0</v>
          </cell>
          <cell r="BT298">
            <v>1</v>
          </cell>
          <cell r="BU298">
            <v>0</v>
          </cell>
        </row>
        <row r="299">
          <cell r="A299">
            <v>35</v>
          </cell>
          <cell r="B299">
            <v>35</v>
          </cell>
          <cell r="D299">
            <v>0</v>
          </cell>
          <cell r="F299">
            <v>0</v>
          </cell>
          <cell r="G299">
            <v>1</v>
          </cell>
          <cell r="I299">
            <v>0</v>
          </cell>
          <cell r="J299">
            <v>1</v>
          </cell>
          <cell r="K299">
            <v>16</v>
          </cell>
          <cell r="L299">
            <v>16</v>
          </cell>
          <cell r="M299">
            <v>3</v>
          </cell>
          <cell r="O299">
            <v>0</v>
          </cell>
          <cell r="P299">
            <v>0</v>
          </cell>
          <cell r="Q299">
            <v>0</v>
          </cell>
          <cell r="R299">
            <v>1</v>
          </cell>
          <cell r="S299">
            <v>0</v>
          </cell>
          <cell r="T299">
            <v>3</v>
          </cell>
          <cell r="V299">
            <v>0</v>
          </cell>
          <cell r="W299">
            <v>96</v>
          </cell>
          <cell r="X299">
            <v>3</v>
          </cell>
          <cell r="Y299">
            <v>3</v>
          </cell>
          <cell r="AA299">
            <v>0</v>
          </cell>
          <cell r="AB299">
            <v>1</v>
          </cell>
          <cell r="AC299">
            <v>0</v>
          </cell>
          <cell r="AD299">
            <v>0</v>
          </cell>
          <cell r="AE299">
            <v>0</v>
          </cell>
          <cell r="AF299">
            <v>0</v>
          </cell>
          <cell r="AG299">
            <v>0</v>
          </cell>
          <cell r="AH299">
            <v>0</v>
          </cell>
          <cell r="AI299">
            <v>2</v>
          </cell>
          <cell r="AK299">
            <v>0</v>
          </cell>
          <cell r="AL299">
            <v>1</v>
          </cell>
          <cell r="AN299">
            <v>8020</v>
          </cell>
          <cell r="AO299">
            <v>0</v>
          </cell>
          <cell r="AQ299">
            <v>0</v>
          </cell>
          <cell r="AR299">
            <v>15</v>
          </cell>
          <cell r="AS299">
            <v>3</v>
          </cell>
          <cell r="AT299">
            <v>3</v>
          </cell>
          <cell r="AU299">
            <v>2</v>
          </cell>
          <cell r="AV299">
            <v>12</v>
          </cell>
          <cell r="AW299">
            <v>12</v>
          </cell>
          <cell r="AX299">
            <v>3</v>
          </cell>
          <cell r="AY299">
            <v>2</v>
          </cell>
          <cell r="AZ299">
            <v>11</v>
          </cell>
          <cell r="BA299">
            <v>11</v>
          </cell>
          <cell r="BB299">
            <v>9</v>
          </cell>
          <cell r="BC299">
            <v>6</v>
          </cell>
          <cell r="BD299">
            <v>6</v>
          </cell>
          <cell r="BE299">
            <v>9</v>
          </cell>
          <cell r="BF299">
            <v>9</v>
          </cell>
          <cell r="BG299">
            <v>27</v>
          </cell>
          <cell r="BH299">
            <v>0</v>
          </cell>
          <cell r="BI299">
            <v>1</v>
          </cell>
          <cell r="BJ299">
            <v>0</v>
          </cell>
          <cell r="BK299">
            <v>0</v>
          </cell>
          <cell r="BL299">
            <v>0</v>
          </cell>
          <cell r="BM299">
            <v>0</v>
          </cell>
          <cell r="BN299">
            <v>1</v>
          </cell>
          <cell r="BO299">
            <v>0</v>
          </cell>
          <cell r="BP299">
            <v>0</v>
          </cell>
          <cell r="BQ299">
            <v>0</v>
          </cell>
          <cell r="BR299">
            <v>9</v>
          </cell>
          <cell r="BS299">
            <v>0</v>
          </cell>
          <cell r="BT299">
            <v>0</v>
          </cell>
          <cell r="BU299">
            <v>12</v>
          </cell>
        </row>
        <row r="300">
          <cell r="A300">
            <v>36</v>
          </cell>
          <cell r="B300">
            <v>36</v>
          </cell>
          <cell r="D300">
            <v>0</v>
          </cell>
          <cell r="F300">
            <v>1</v>
          </cell>
          <cell r="G300">
            <v>0</v>
          </cell>
          <cell r="I300">
            <v>1</v>
          </cell>
          <cell r="J300">
            <v>0</v>
          </cell>
          <cell r="K300">
            <v>18</v>
          </cell>
          <cell r="L300">
            <v>18</v>
          </cell>
          <cell r="M300">
            <v>4</v>
          </cell>
          <cell r="O300">
            <v>1</v>
          </cell>
          <cell r="P300">
            <v>0</v>
          </cell>
          <cell r="Q300">
            <v>0</v>
          </cell>
          <cell r="R300">
            <v>0</v>
          </cell>
          <cell r="S300">
            <v>0</v>
          </cell>
          <cell r="T300">
            <v>3</v>
          </cell>
          <cell r="V300">
            <v>0</v>
          </cell>
          <cell r="W300">
            <v>81</v>
          </cell>
          <cell r="X300">
            <v>4</v>
          </cell>
          <cell r="Y300">
            <v>1</v>
          </cell>
          <cell r="AA300">
            <v>0</v>
          </cell>
          <cell r="AB300">
            <v>0</v>
          </cell>
          <cell r="AC300">
            <v>1</v>
          </cell>
          <cell r="AD300">
            <v>0</v>
          </cell>
          <cell r="AE300">
            <v>0</v>
          </cell>
          <cell r="AF300">
            <v>0</v>
          </cell>
          <cell r="AG300">
            <v>0</v>
          </cell>
          <cell r="AH300">
            <v>0</v>
          </cell>
          <cell r="AI300">
            <v>4</v>
          </cell>
          <cell r="AK300">
            <v>0</v>
          </cell>
          <cell r="AL300">
            <v>1</v>
          </cell>
          <cell r="AN300">
            <v>3688</v>
          </cell>
          <cell r="AO300">
            <v>4</v>
          </cell>
          <cell r="AQ300">
            <v>0</v>
          </cell>
          <cell r="AR300">
            <v>18</v>
          </cell>
          <cell r="AS300">
            <v>3</v>
          </cell>
          <cell r="AT300">
            <v>4</v>
          </cell>
          <cell r="AU300">
            <v>2</v>
          </cell>
          <cell r="AV300">
            <v>4</v>
          </cell>
          <cell r="AW300">
            <v>4</v>
          </cell>
          <cell r="AX300">
            <v>2</v>
          </cell>
          <cell r="AY300">
            <v>3</v>
          </cell>
          <cell r="AZ300">
            <v>1</v>
          </cell>
          <cell r="BA300">
            <v>1</v>
          </cell>
          <cell r="BB300">
            <v>0</v>
          </cell>
          <cell r="BC300">
            <v>0</v>
          </cell>
          <cell r="BD300">
            <v>0</v>
          </cell>
          <cell r="BE300">
            <v>0</v>
          </cell>
          <cell r="BF300">
            <v>0</v>
          </cell>
          <cell r="BG300">
            <v>0</v>
          </cell>
          <cell r="BH300">
            <v>0</v>
          </cell>
          <cell r="BI300">
            <v>0</v>
          </cell>
          <cell r="BJ300">
            <v>0</v>
          </cell>
          <cell r="BK300">
            <v>1</v>
          </cell>
          <cell r="BL300">
            <v>0</v>
          </cell>
          <cell r="BM300">
            <v>0</v>
          </cell>
          <cell r="BN300">
            <v>1</v>
          </cell>
          <cell r="BO300">
            <v>0</v>
          </cell>
          <cell r="BP300">
            <v>0</v>
          </cell>
          <cell r="BQ300">
            <v>0</v>
          </cell>
          <cell r="BR300">
            <v>0</v>
          </cell>
          <cell r="BS300">
            <v>0</v>
          </cell>
          <cell r="BT300">
            <v>4</v>
          </cell>
          <cell r="BU300">
            <v>0</v>
          </cell>
        </row>
        <row r="301">
          <cell r="A301">
            <v>51</v>
          </cell>
          <cell r="B301">
            <v>51</v>
          </cell>
          <cell r="D301">
            <v>0</v>
          </cell>
          <cell r="F301">
            <v>0</v>
          </cell>
          <cell r="G301">
            <v>1</v>
          </cell>
          <cell r="I301">
            <v>1</v>
          </cell>
          <cell r="J301">
            <v>0</v>
          </cell>
          <cell r="K301">
            <v>2</v>
          </cell>
          <cell r="L301">
            <v>2</v>
          </cell>
          <cell r="M301">
            <v>3</v>
          </cell>
          <cell r="O301">
            <v>0</v>
          </cell>
          <cell r="P301">
            <v>0</v>
          </cell>
          <cell r="Q301">
            <v>1</v>
          </cell>
          <cell r="R301">
            <v>0</v>
          </cell>
          <cell r="S301">
            <v>0</v>
          </cell>
          <cell r="T301">
            <v>4</v>
          </cell>
          <cell r="V301">
            <v>0</v>
          </cell>
          <cell r="W301">
            <v>84</v>
          </cell>
          <cell r="X301">
            <v>1</v>
          </cell>
          <cell r="Y301">
            <v>2</v>
          </cell>
          <cell r="AA301">
            <v>0</v>
          </cell>
          <cell r="AB301">
            <v>0</v>
          </cell>
          <cell r="AC301">
            <v>0</v>
          </cell>
          <cell r="AD301">
            <v>0</v>
          </cell>
          <cell r="AE301">
            <v>1</v>
          </cell>
          <cell r="AF301">
            <v>1</v>
          </cell>
          <cell r="AG301">
            <v>0</v>
          </cell>
          <cell r="AH301">
            <v>0</v>
          </cell>
          <cell r="AI301">
            <v>2</v>
          </cell>
          <cell r="AK301">
            <v>0</v>
          </cell>
          <cell r="AL301">
            <v>0</v>
          </cell>
          <cell r="AN301">
            <v>5482</v>
          </cell>
          <cell r="AO301">
            <v>5</v>
          </cell>
          <cell r="AQ301">
            <v>0</v>
          </cell>
          <cell r="AR301">
            <v>18</v>
          </cell>
          <cell r="AS301">
            <v>3</v>
          </cell>
          <cell r="AT301">
            <v>4</v>
          </cell>
          <cell r="AU301">
            <v>1</v>
          </cell>
          <cell r="AV301">
            <v>13</v>
          </cell>
          <cell r="AW301">
            <v>13</v>
          </cell>
          <cell r="AX301">
            <v>3</v>
          </cell>
          <cell r="AY301">
            <v>3</v>
          </cell>
          <cell r="AZ301">
            <v>4</v>
          </cell>
          <cell r="BA301">
            <v>4</v>
          </cell>
          <cell r="BB301">
            <v>1</v>
          </cell>
          <cell r="BC301">
            <v>1</v>
          </cell>
          <cell r="BD301">
            <v>1</v>
          </cell>
          <cell r="BE301">
            <v>2</v>
          </cell>
          <cell r="BF301">
            <v>2</v>
          </cell>
          <cell r="BG301">
            <v>4</v>
          </cell>
          <cell r="BH301">
            <v>1</v>
          </cell>
          <cell r="BI301">
            <v>0</v>
          </cell>
          <cell r="BJ301">
            <v>0</v>
          </cell>
          <cell r="BK301">
            <v>0</v>
          </cell>
          <cell r="BL301">
            <v>1</v>
          </cell>
          <cell r="BM301">
            <v>0</v>
          </cell>
          <cell r="BN301">
            <v>0</v>
          </cell>
          <cell r="BO301">
            <v>0</v>
          </cell>
          <cell r="BP301">
            <v>0</v>
          </cell>
          <cell r="BQ301">
            <v>2</v>
          </cell>
          <cell r="BR301">
            <v>0</v>
          </cell>
          <cell r="BS301">
            <v>0</v>
          </cell>
          <cell r="BT301">
            <v>13</v>
          </cell>
          <cell r="BU301">
            <v>0</v>
          </cell>
        </row>
        <row r="302">
          <cell r="A302">
            <v>41</v>
          </cell>
          <cell r="B302">
            <v>41</v>
          </cell>
          <cell r="D302">
            <v>0</v>
          </cell>
          <cell r="F302">
            <v>0</v>
          </cell>
          <cell r="G302">
            <v>1</v>
          </cell>
          <cell r="I302">
            <v>0</v>
          </cell>
          <cell r="J302">
            <v>1</v>
          </cell>
          <cell r="K302">
            <v>2</v>
          </cell>
          <cell r="L302">
            <v>2</v>
          </cell>
          <cell r="M302">
            <v>4</v>
          </cell>
          <cell r="O302">
            <v>1</v>
          </cell>
          <cell r="P302">
            <v>0</v>
          </cell>
          <cell r="Q302">
            <v>0</v>
          </cell>
          <cell r="R302">
            <v>0</v>
          </cell>
          <cell r="S302">
            <v>0</v>
          </cell>
          <cell r="T302">
            <v>4</v>
          </cell>
          <cell r="V302">
            <v>0</v>
          </cell>
          <cell r="W302">
            <v>88</v>
          </cell>
          <cell r="X302">
            <v>3</v>
          </cell>
          <cell r="Y302">
            <v>4</v>
          </cell>
          <cell r="AA302">
            <v>0</v>
          </cell>
          <cell r="AB302">
            <v>0</v>
          </cell>
          <cell r="AC302">
            <v>0</v>
          </cell>
          <cell r="AD302">
            <v>1</v>
          </cell>
          <cell r="AE302">
            <v>0</v>
          </cell>
          <cell r="AF302">
            <v>0</v>
          </cell>
          <cell r="AG302">
            <v>0</v>
          </cell>
          <cell r="AH302">
            <v>0</v>
          </cell>
          <cell r="AI302">
            <v>2</v>
          </cell>
          <cell r="AK302">
            <v>1</v>
          </cell>
          <cell r="AL302">
            <v>0</v>
          </cell>
          <cell r="AN302">
            <v>16015</v>
          </cell>
          <cell r="AO302">
            <v>1</v>
          </cell>
          <cell r="AQ302">
            <v>0</v>
          </cell>
          <cell r="AR302">
            <v>19</v>
          </cell>
          <cell r="AS302">
            <v>3</v>
          </cell>
          <cell r="AT302">
            <v>2</v>
          </cell>
          <cell r="AU302">
            <v>0</v>
          </cell>
          <cell r="AV302">
            <v>22</v>
          </cell>
          <cell r="AW302">
            <v>22</v>
          </cell>
          <cell r="AX302">
            <v>2</v>
          </cell>
          <cell r="AY302">
            <v>3</v>
          </cell>
          <cell r="AZ302">
            <v>22</v>
          </cell>
          <cell r="BA302">
            <v>22</v>
          </cell>
          <cell r="BB302">
            <v>10</v>
          </cell>
          <cell r="BC302">
            <v>0</v>
          </cell>
          <cell r="BD302">
            <v>0</v>
          </cell>
          <cell r="BE302">
            <v>4</v>
          </cell>
          <cell r="BF302">
            <v>4</v>
          </cell>
          <cell r="BG302">
            <v>16</v>
          </cell>
          <cell r="BH302">
            <v>1</v>
          </cell>
          <cell r="BI302">
            <v>0</v>
          </cell>
          <cell r="BJ302">
            <v>0</v>
          </cell>
          <cell r="BK302">
            <v>0</v>
          </cell>
          <cell r="BL302">
            <v>1</v>
          </cell>
          <cell r="BM302">
            <v>0</v>
          </cell>
          <cell r="BN302">
            <v>0</v>
          </cell>
          <cell r="BO302">
            <v>0</v>
          </cell>
          <cell r="BP302">
            <v>0</v>
          </cell>
          <cell r="BQ302">
            <v>0</v>
          </cell>
          <cell r="BR302">
            <v>4</v>
          </cell>
          <cell r="BS302">
            <v>0</v>
          </cell>
          <cell r="BT302">
            <v>0</v>
          </cell>
          <cell r="BU302">
            <v>22</v>
          </cell>
        </row>
        <row r="303">
          <cell r="A303">
            <v>18</v>
          </cell>
          <cell r="B303">
            <v>19</v>
          </cell>
          <cell r="D303">
            <v>0</v>
          </cell>
          <cell r="F303">
            <v>0</v>
          </cell>
          <cell r="G303">
            <v>1</v>
          </cell>
          <cell r="I303">
            <v>0</v>
          </cell>
          <cell r="J303">
            <v>1</v>
          </cell>
          <cell r="K303">
            <v>10</v>
          </cell>
          <cell r="L303">
            <v>10</v>
          </cell>
          <cell r="M303">
            <v>3</v>
          </cell>
          <cell r="O303">
            <v>0</v>
          </cell>
          <cell r="P303">
            <v>0</v>
          </cell>
          <cell r="Q303">
            <v>1</v>
          </cell>
          <cell r="R303">
            <v>0</v>
          </cell>
          <cell r="S303">
            <v>0</v>
          </cell>
          <cell r="T303">
            <v>4</v>
          </cell>
          <cell r="V303">
            <v>1</v>
          </cell>
          <cell r="W303">
            <v>69</v>
          </cell>
          <cell r="X303">
            <v>2</v>
          </cell>
          <cell r="Y303">
            <v>1</v>
          </cell>
          <cell r="AA303">
            <v>0</v>
          </cell>
          <cell r="AB303">
            <v>0</v>
          </cell>
          <cell r="AC303">
            <v>0</v>
          </cell>
          <cell r="AD303">
            <v>0</v>
          </cell>
          <cell r="AE303">
            <v>0</v>
          </cell>
          <cell r="AF303">
            <v>0</v>
          </cell>
          <cell r="AG303">
            <v>1</v>
          </cell>
          <cell r="AH303">
            <v>0</v>
          </cell>
          <cell r="AI303">
            <v>3</v>
          </cell>
          <cell r="AK303">
            <v>1</v>
          </cell>
          <cell r="AL303">
            <v>0</v>
          </cell>
          <cell r="AN303">
            <v>1382.46</v>
          </cell>
          <cell r="AO303">
            <v>1</v>
          </cell>
          <cell r="AQ303">
            <v>0</v>
          </cell>
          <cell r="AR303">
            <v>12</v>
          </cell>
          <cell r="AS303">
            <v>3</v>
          </cell>
          <cell r="AT303">
            <v>1</v>
          </cell>
          <cell r="AU303">
            <v>0</v>
          </cell>
          <cell r="AV303">
            <v>0</v>
          </cell>
          <cell r="AW303">
            <v>1</v>
          </cell>
          <cell r="AX303">
            <v>2</v>
          </cell>
          <cell r="AY303">
            <v>3</v>
          </cell>
          <cell r="AZ303">
            <v>0</v>
          </cell>
          <cell r="BA303">
            <v>0</v>
          </cell>
          <cell r="BB303">
            <v>0</v>
          </cell>
          <cell r="BC303">
            <v>0</v>
          </cell>
          <cell r="BD303">
            <v>0</v>
          </cell>
          <cell r="BE303">
            <v>0</v>
          </cell>
          <cell r="BF303">
            <v>0</v>
          </cell>
          <cell r="BG303">
            <v>0</v>
          </cell>
          <cell r="BH303">
            <v>1</v>
          </cell>
          <cell r="BI303">
            <v>0</v>
          </cell>
          <cell r="BJ303">
            <v>0</v>
          </cell>
          <cell r="BK303">
            <v>0</v>
          </cell>
          <cell r="BL303">
            <v>1</v>
          </cell>
          <cell r="BM303">
            <v>0</v>
          </cell>
          <cell r="BN303">
            <v>0</v>
          </cell>
          <cell r="BO303">
            <v>0</v>
          </cell>
          <cell r="BP303">
            <v>0</v>
          </cell>
          <cell r="BQ303">
            <v>0</v>
          </cell>
          <cell r="BR303">
            <v>0</v>
          </cell>
          <cell r="BS303">
            <v>0</v>
          </cell>
          <cell r="BT303">
            <v>0</v>
          </cell>
          <cell r="BU303">
            <v>1</v>
          </cell>
        </row>
        <row r="304">
          <cell r="A304">
            <v>28</v>
          </cell>
          <cell r="B304">
            <v>28</v>
          </cell>
          <cell r="D304">
            <v>0</v>
          </cell>
          <cell r="F304">
            <v>0</v>
          </cell>
          <cell r="G304">
            <v>1</v>
          </cell>
          <cell r="I304">
            <v>1</v>
          </cell>
          <cell r="J304">
            <v>0</v>
          </cell>
          <cell r="K304">
            <v>16</v>
          </cell>
          <cell r="L304">
            <v>16</v>
          </cell>
          <cell r="M304">
            <v>2</v>
          </cell>
          <cell r="O304">
            <v>0</v>
          </cell>
          <cell r="P304">
            <v>0</v>
          </cell>
          <cell r="Q304">
            <v>1</v>
          </cell>
          <cell r="R304">
            <v>0</v>
          </cell>
          <cell r="S304">
            <v>0</v>
          </cell>
          <cell r="T304">
            <v>2</v>
          </cell>
          <cell r="V304">
            <v>0</v>
          </cell>
          <cell r="W304">
            <v>68</v>
          </cell>
          <cell r="X304">
            <v>4</v>
          </cell>
          <cell r="Y304">
            <v>2</v>
          </cell>
          <cell r="AA304">
            <v>1</v>
          </cell>
          <cell r="AB304">
            <v>0</v>
          </cell>
          <cell r="AC304">
            <v>0</v>
          </cell>
          <cell r="AD304">
            <v>0</v>
          </cell>
          <cell r="AE304">
            <v>0</v>
          </cell>
          <cell r="AF304">
            <v>0</v>
          </cell>
          <cell r="AG304">
            <v>0</v>
          </cell>
          <cell r="AH304">
            <v>0</v>
          </cell>
          <cell r="AI304">
            <v>1</v>
          </cell>
          <cell r="AK304">
            <v>1</v>
          </cell>
          <cell r="AL304">
            <v>0</v>
          </cell>
          <cell r="AN304">
            <v>5661</v>
          </cell>
          <cell r="AO304">
            <v>0</v>
          </cell>
          <cell r="AQ304">
            <v>0</v>
          </cell>
          <cell r="AR304">
            <v>19</v>
          </cell>
          <cell r="AS304">
            <v>3</v>
          </cell>
          <cell r="AT304">
            <v>3</v>
          </cell>
          <cell r="AU304">
            <v>0</v>
          </cell>
          <cell r="AV304">
            <v>9</v>
          </cell>
          <cell r="AW304">
            <v>9</v>
          </cell>
          <cell r="AX304">
            <v>2</v>
          </cell>
          <cell r="AY304">
            <v>3</v>
          </cell>
          <cell r="AZ304">
            <v>8</v>
          </cell>
          <cell r="BA304">
            <v>8</v>
          </cell>
          <cell r="BB304">
            <v>3</v>
          </cell>
          <cell r="BC304">
            <v>0</v>
          </cell>
          <cell r="BD304">
            <v>0</v>
          </cell>
          <cell r="BE304">
            <v>7</v>
          </cell>
          <cell r="BF304">
            <v>7</v>
          </cell>
          <cell r="BG304">
            <v>14</v>
          </cell>
          <cell r="BH304">
            <v>1</v>
          </cell>
          <cell r="BI304">
            <v>0</v>
          </cell>
          <cell r="BJ304">
            <v>0</v>
          </cell>
          <cell r="BK304">
            <v>0</v>
          </cell>
          <cell r="BL304">
            <v>1</v>
          </cell>
          <cell r="BM304">
            <v>0</v>
          </cell>
          <cell r="BN304">
            <v>0</v>
          </cell>
          <cell r="BO304">
            <v>0</v>
          </cell>
          <cell r="BP304">
            <v>0</v>
          </cell>
          <cell r="BQ304">
            <v>7</v>
          </cell>
          <cell r="BR304">
            <v>0</v>
          </cell>
          <cell r="BS304">
            <v>0</v>
          </cell>
          <cell r="BT304">
            <v>9</v>
          </cell>
          <cell r="BU304">
            <v>0</v>
          </cell>
        </row>
        <row r="305">
          <cell r="A305">
            <v>31</v>
          </cell>
          <cell r="B305">
            <v>31</v>
          </cell>
          <cell r="D305">
            <v>0</v>
          </cell>
          <cell r="F305">
            <v>0</v>
          </cell>
          <cell r="G305">
            <v>1</v>
          </cell>
          <cell r="I305">
            <v>0</v>
          </cell>
          <cell r="J305">
            <v>1</v>
          </cell>
          <cell r="K305">
            <v>7</v>
          </cell>
          <cell r="L305">
            <v>7</v>
          </cell>
          <cell r="M305">
            <v>3</v>
          </cell>
          <cell r="O305">
            <v>0</v>
          </cell>
          <cell r="P305">
            <v>0</v>
          </cell>
          <cell r="Q305">
            <v>0</v>
          </cell>
          <cell r="R305">
            <v>0</v>
          </cell>
          <cell r="S305">
            <v>1</v>
          </cell>
          <cell r="T305">
            <v>2</v>
          </cell>
          <cell r="V305">
            <v>0</v>
          </cell>
          <cell r="W305">
            <v>100</v>
          </cell>
          <cell r="X305">
            <v>4</v>
          </cell>
          <cell r="Y305">
            <v>2</v>
          </cell>
          <cell r="AA305">
            <v>0</v>
          </cell>
          <cell r="AB305">
            <v>1</v>
          </cell>
          <cell r="AC305">
            <v>0</v>
          </cell>
          <cell r="AD305">
            <v>0</v>
          </cell>
          <cell r="AE305">
            <v>0</v>
          </cell>
          <cell r="AF305">
            <v>0</v>
          </cell>
          <cell r="AG305">
            <v>0</v>
          </cell>
          <cell r="AH305">
            <v>0</v>
          </cell>
          <cell r="AI305">
            <v>4</v>
          </cell>
          <cell r="AK305">
            <v>0</v>
          </cell>
          <cell r="AL305">
            <v>1</v>
          </cell>
          <cell r="AN305">
            <v>6929</v>
          </cell>
          <cell r="AO305">
            <v>4</v>
          </cell>
          <cell r="AQ305">
            <v>0</v>
          </cell>
          <cell r="AR305">
            <v>11</v>
          </cell>
          <cell r="AS305">
            <v>3</v>
          </cell>
          <cell r="AT305">
            <v>2</v>
          </cell>
          <cell r="AU305">
            <v>1</v>
          </cell>
          <cell r="AV305">
            <v>10</v>
          </cell>
          <cell r="AW305">
            <v>10</v>
          </cell>
          <cell r="AX305">
            <v>3</v>
          </cell>
          <cell r="AY305">
            <v>2</v>
          </cell>
          <cell r="AZ305">
            <v>8</v>
          </cell>
          <cell r="BA305">
            <v>8</v>
          </cell>
          <cell r="BB305">
            <v>7</v>
          </cell>
          <cell r="BC305">
            <v>7</v>
          </cell>
          <cell r="BD305">
            <v>7</v>
          </cell>
          <cell r="BE305">
            <v>7</v>
          </cell>
          <cell r="BF305">
            <v>7</v>
          </cell>
          <cell r="BG305">
            <v>14</v>
          </cell>
          <cell r="BH305">
            <v>0</v>
          </cell>
          <cell r="BI305">
            <v>1</v>
          </cell>
          <cell r="BJ305">
            <v>0</v>
          </cell>
          <cell r="BK305">
            <v>0</v>
          </cell>
          <cell r="BL305">
            <v>0</v>
          </cell>
          <cell r="BM305">
            <v>0</v>
          </cell>
          <cell r="BN305">
            <v>1</v>
          </cell>
          <cell r="BO305">
            <v>0</v>
          </cell>
          <cell r="BP305">
            <v>0</v>
          </cell>
          <cell r="BQ305">
            <v>0</v>
          </cell>
          <cell r="BR305">
            <v>7</v>
          </cell>
          <cell r="BS305">
            <v>0</v>
          </cell>
          <cell r="BT305">
            <v>0</v>
          </cell>
          <cell r="BU305">
            <v>10</v>
          </cell>
        </row>
        <row r="306">
          <cell r="A306">
            <v>39</v>
          </cell>
          <cell r="B306">
            <v>39</v>
          </cell>
          <cell r="D306">
            <v>0</v>
          </cell>
          <cell r="F306">
            <v>0</v>
          </cell>
          <cell r="G306">
            <v>1</v>
          </cell>
          <cell r="I306">
            <v>1</v>
          </cell>
          <cell r="J306">
            <v>0</v>
          </cell>
          <cell r="K306">
            <v>1</v>
          </cell>
          <cell r="L306">
            <v>1</v>
          </cell>
          <cell r="M306">
            <v>3</v>
          </cell>
          <cell r="O306">
            <v>0</v>
          </cell>
          <cell r="P306">
            <v>0</v>
          </cell>
          <cell r="Q306">
            <v>1</v>
          </cell>
          <cell r="R306">
            <v>0</v>
          </cell>
          <cell r="S306">
            <v>0</v>
          </cell>
          <cell r="T306">
            <v>3</v>
          </cell>
          <cell r="V306">
            <v>0</v>
          </cell>
          <cell r="W306">
            <v>48</v>
          </cell>
          <cell r="X306">
            <v>4</v>
          </cell>
          <cell r="Y306">
            <v>3</v>
          </cell>
          <cell r="AA306">
            <v>1</v>
          </cell>
          <cell r="AB306">
            <v>0</v>
          </cell>
          <cell r="AC306">
            <v>0</v>
          </cell>
          <cell r="AD306">
            <v>0</v>
          </cell>
          <cell r="AE306">
            <v>0</v>
          </cell>
          <cell r="AF306">
            <v>0</v>
          </cell>
          <cell r="AG306">
            <v>0</v>
          </cell>
          <cell r="AH306">
            <v>0</v>
          </cell>
          <cell r="AI306">
            <v>4</v>
          </cell>
          <cell r="AK306">
            <v>0</v>
          </cell>
          <cell r="AL306">
            <v>0</v>
          </cell>
          <cell r="AN306">
            <v>9613</v>
          </cell>
          <cell r="AO306">
            <v>0</v>
          </cell>
          <cell r="AQ306">
            <v>0</v>
          </cell>
          <cell r="AR306">
            <v>17</v>
          </cell>
          <cell r="AS306">
            <v>3</v>
          </cell>
          <cell r="AT306">
            <v>1</v>
          </cell>
          <cell r="AU306">
            <v>3</v>
          </cell>
          <cell r="AV306">
            <v>19</v>
          </cell>
          <cell r="AW306">
            <v>19</v>
          </cell>
          <cell r="AX306">
            <v>5</v>
          </cell>
          <cell r="AY306">
            <v>2</v>
          </cell>
          <cell r="AZ306">
            <v>18</v>
          </cell>
          <cell r="BA306">
            <v>18</v>
          </cell>
          <cell r="BB306">
            <v>10</v>
          </cell>
          <cell r="BC306">
            <v>3</v>
          </cell>
          <cell r="BD306">
            <v>3</v>
          </cell>
          <cell r="BE306">
            <v>7</v>
          </cell>
          <cell r="BF306">
            <v>7</v>
          </cell>
          <cell r="BG306">
            <v>21</v>
          </cell>
          <cell r="BH306">
            <v>1</v>
          </cell>
          <cell r="BI306">
            <v>0</v>
          </cell>
          <cell r="BJ306">
            <v>0</v>
          </cell>
          <cell r="BK306">
            <v>0</v>
          </cell>
          <cell r="BL306">
            <v>1</v>
          </cell>
          <cell r="BM306">
            <v>0</v>
          </cell>
          <cell r="BN306">
            <v>0</v>
          </cell>
          <cell r="BO306">
            <v>0</v>
          </cell>
          <cell r="BP306">
            <v>0</v>
          </cell>
          <cell r="BQ306">
            <v>7</v>
          </cell>
          <cell r="BR306">
            <v>0</v>
          </cell>
          <cell r="BS306">
            <v>0</v>
          </cell>
          <cell r="BT306">
            <v>19</v>
          </cell>
          <cell r="BU306">
            <v>0</v>
          </cell>
        </row>
        <row r="307">
          <cell r="A307">
            <v>36</v>
          </cell>
          <cell r="B307">
            <v>36</v>
          </cell>
          <cell r="D307">
            <v>0</v>
          </cell>
          <cell r="F307">
            <v>0</v>
          </cell>
          <cell r="G307">
            <v>0</v>
          </cell>
          <cell r="I307">
            <v>1</v>
          </cell>
          <cell r="J307">
            <v>0</v>
          </cell>
          <cell r="K307">
            <v>24</v>
          </cell>
          <cell r="L307">
            <v>24</v>
          </cell>
          <cell r="M307">
            <v>4</v>
          </cell>
          <cell r="O307">
            <v>1</v>
          </cell>
          <cell r="P307">
            <v>0</v>
          </cell>
          <cell r="Q307">
            <v>0</v>
          </cell>
          <cell r="R307">
            <v>0</v>
          </cell>
          <cell r="S307">
            <v>0</v>
          </cell>
          <cell r="T307">
            <v>2</v>
          </cell>
          <cell r="V307">
            <v>1</v>
          </cell>
          <cell r="W307">
            <v>47</v>
          </cell>
          <cell r="X307">
            <v>3</v>
          </cell>
          <cell r="Y307">
            <v>2</v>
          </cell>
          <cell r="AA307">
            <v>0</v>
          </cell>
          <cell r="AB307">
            <v>0</v>
          </cell>
          <cell r="AC307">
            <v>1</v>
          </cell>
          <cell r="AD307">
            <v>0</v>
          </cell>
          <cell r="AE307">
            <v>0</v>
          </cell>
          <cell r="AF307">
            <v>0</v>
          </cell>
          <cell r="AG307">
            <v>0</v>
          </cell>
          <cell r="AH307">
            <v>0</v>
          </cell>
          <cell r="AI307">
            <v>2</v>
          </cell>
          <cell r="AK307">
            <v>0</v>
          </cell>
          <cell r="AL307">
            <v>1</v>
          </cell>
          <cell r="AN307">
            <v>5674</v>
          </cell>
          <cell r="AO307">
            <v>7</v>
          </cell>
          <cell r="AQ307">
            <v>0</v>
          </cell>
          <cell r="AR307">
            <v>15</v>
          </cell>
          <cell r="AS307">
            <v>3</v>
          </cell>
          <cell r="AT307">
            <v>3</v>
          </cell>
          <cell r="AU307">
            <v>1</v>
          </cell>
          <cell r="AV307">
            <v>11</v>
          </cell>
          <cell r="AW307">
            <v>11</v>
          </cell>
          <cell r="AX307">
            <v>3</v>
          </cell>
          <cell r="AY307">
            <v>3</v>
          </cell>
          <cell r="AZ307">
            <v>9</v>
          </cell>
          <cell r="BA307">
            <v>9</v>
          </cell>
          <cell r="BB307">
            <v>8</v>
          </cell>
          <cell r="BC307">
            <v>0</v>
          </cell>
          <cell r="BD307">
            <v>0</v>
          </cell>
          <cell r="BE307">
            <v>8</v>
          </cell>
          <cell r="BF307">
            <v>8</v>
          </cell>
          <cell r="BG307">
            <v>16</v>
          </cell>
          <cell r="BH307">
            <v>0</v>
          </cell>
          <cell r="BI307">
            <v>1</v>
          </cell>
          <cell r="BJ307">
            <v>0</v>
          </cell>
          <cell r="BK307">
            <v>0</v>
          </cell>
          <cell r="BL307">
            <v>0</v>
          </cell>
          <cell r="BM307">
            <v>0</v>
          </cell>
          <cell r="BN307">
            <v>1</v>
          </cell>
          <cell r="BO307">
            <v>0</v>
          </cell>
          <cell r="BP307">
            <v>0</v>
          </cell>
          <cell r="BQ307">
            <v>8</v>
          </cell>
          <cell r="BR307">
            <v>0</v>
          </cell>
          <cell r="BS307">
            <v>0</v>
          </cell>
          <cell r="BT307">
            <v>11</v>
          </cell>
          <cell r="BU307">
            <v>0</v>
          </cell>
        </row>
        <row r="308">
          <cell r="A308">
            <v>32</v>
          </cell>
          <cell r="B308">
            <v>32</v>
          </cell>
          <cell r="D308">
            <v>0</v>
          </cell>
          <cell r="F308">
            <v>0</v>
          </cell>
          <cell r="G308">
            <v>1</v>
          </cell>
          <cell r="I308">
            <v>0</v>
          </cell>
          <cell r="J308">
            <v>1</v>
          </cell>
          <cell r="K308">
            <v>7</v>
          </cell>
          <cell r="L308">
            <v>7</v>
          </cell>
          <cell r="M308">
            <v>3</v>
          </cell>
          <cell r="O308">
            <v>1</v>
          </cell>
          <cell r="P308">
            <v>0</v>
          </cell>
          <cell r="Q308">
            <v>0</v>
          </cell>
          <cell r="R308">
            <v>0</v>
          </cell>
          <cell r="S308">
            <v>0</v>
          </cell>
          <cell r="T308">
            <v>4</v>
          </cell>
          <cell r="V308">
            <v>0</v>
          </cell>
          <cell r="W308">
            <v>91</v>
          </cell>
          <cell r="X308">
            <v>2</v>
          </cell>
          <cell r="Y308">
            <v>2</v>
          </cell>
          <cell r="AA308">
            <v>0</v>
          </cell>
          <cell r="AB308">
            <v>1</v>
          </cell>
          <cell r="AC308">
            <v>0</v>
          </cell>
          <cell r="AD308">
            <v>0</v>
          </cell>
          <cell r="AE308">
            <v>0</v>
          </cell>
          <cell r="AF308">
            <v>0</v>
          </cell>
          <cell r="AG308">
            <v>0</v>
          </cell>
          <cell r="AH308">
            <v>0</v>
          </cell>
          <cell r="AI308">
            <v>3</v>
          </cell>
          <cell r="AK308">
            <v>0</v>
          </cell>
          <cell r="AL308">
            <v>1</v>
          </cell>
          <cell r="AN308">
            <v>5484</v>
          </cell>
          <cell r="AO308">
            <v>1</v>
          </cell>
          <cell r="AQ308">
            <v>0</v>
          </cell>
          <cell r="AR308">
            <v>14</v>
          </cell>
          <cell r="AS308">
            <v>3</v>
          </cell>
          <cell r="AT308">
            <v>3</v>
          </cell>
          <cell r="AU308">
            <v>1</v>
          </cell>
          <cell r="AV308">
            <v>13</v>
          </cell>
          <cell r="AW308">
            <v>13</v>
          </cell>
          <cell r="AX308">
            <v>3</v>
          </cell>
          <cell r="AY308">
            <v>2</v>
          </cell>
          <cell r="AZ308">
            <v>13</v>
          </cell>
          <cell r="BA308">
            <v>13</v>
          </cell>
          <cell r="BB308">
            <v>8</v>
          </cell>
          <cell r="BC308">
            <v>4</v>
          </cell>
          <cell r="BD308">
            <v>4</v>
          </cell>
          <cell r="BE308">
            <v>8</v>
          </cell>
          <cell r="BF308">
            <v>8</v>
          </cell>
          <cell r="BG308">
            <v>16</v>
          </cell>
          <cell r="BH308">
            <v>0</v>
          </cell>
          <cell r="BI308">
            <v>1</v>
          </cell>
          <cell r="BJ308">
            <v>0</v>
          </cell>
          <cell r="BK308">
            <v>0</v>
          </cell>
          <cell r="BL308">
            <v>0</v>
          </cell>
          <cell r="BM308">
            <v>0</v>
          </cell>
          <cell r="BN308">
            <v>1</v>
          </cell>
          <cell r="BO308">
            <v>0</v>
          </cell>
          <cell r="BP308">
            <v>0</v>
          </cell>
          <cell r="BQ308">
            <v>0</v>
          </cell>
          <cell r="BR308">
            <v>8</v>
          </cell>
          <cell r="BS308">
            <v>0</v>
          </cell>
          <cell r="BT308">
            <v>0</v>
          </cell>
          <cell r="BU308">
            <v>13</v>
          </cell>
        </row>
        <row r="309">
          <cell r="A309">
            <v>38</v>
          </cell>
          <cell r="B309">
            <v>38</v>
          </cell>
          <cell r="D309">
            <v>0</v>
          </cell>
          <cell r="F309">
            <v>0</v>
          </cell>
          <cell r="G309">
            <v>1</v>
          </cell>
          <cell r="I309">
            <v>1</v>
          </cell>
          <cell r="J309">
            <v>0</v>
          </cell>
          <cell r="K309">
            <v>25</v>
          </cell>
          <cell r="L309">
            <v>25</v>
          </cell>
          <cell r="M309">
            <v>2</v>
          </cell>
          <cell r="O309">
            <v>1</v>
          </cell>
          <cell r="P309">
            <v>0</v>
          </cell>
          <cell r="Q309">
            <v>0</v>
          </cell>
          <cell r="R309">
            <v>0</v>
          </cell>
          <cell r="S309">
            <v>0</v>
          </cell>
          <cell r="T309">
            <v>1</v>
          </cell>
          <cell r="V309">
            <v>1</v>
          </cell>
          <cell r="W309">
            <v>81</v>
          </cell>
          <cell r="X309">
            <v>2</v>
          </cell>
          <cell r="Y309">
            <v>3</v>
          </cell>
          <cell r="AA309">
            <v>0</v>
          </cell>
          <cell r="AB309">
            <v>0</v>
          </cell>
          <cell r="AC309">
            <v>0</v>
          </cell>
          <cell r="AD309">
            <v>0</v>
          </cell>
          <cell r="AE309">
            <v>0</v>
          </cell>
          <cell r="AF309">
            <v>0</v>
          </cell>
          <cell r="AG309">
            <v>0</v>
          </cell>
          <cell r="AH309">
            <v>0</v>
          </cell>
          <cell r="AI309">
            <v>2</v>
          </cell>
          <cell r="AK309">
            <v>0</v>
          </cell>
          <cell r="AL309">
            <v>1</v>
          </cell>
          <cell r="AN309">
            <v>12061</v>
          </cell>
          <cell r="AO309">
            <v>3</v>
          </cell>
          <cell r="AQ309">
            <v>0</v>
          </cell>
          <cell r="AR309">
            <v>17</v>
          </cell>
          <cell r="AS309">
            <v>3</v>
          </cell>
          <cell r="AT309">
            <v>3</v>
          </cell>
          <cell r="AU309">
            <v>1</v>
          </cell>
          <cell r="AV309">
            <v>19</v>
          </cell>
          <cell r="AW309">
            <v>19</v>
          </cell>
          <cell r="AX309">
            <v>2</v>
          </cell>
          <cell r="AY309">
            <v>3</v>
          </cell>
          <cell r="AZ309">
            <v>10</v>
          </cell>
          <cell r="BA309">
            <v>10</v>
          </cell>
          <cell r="BB309">
            <v>8</v>
          </cell>
          <cell r="BC309">
            <v>0</v>
          </cell>
          <cell r="BD309">
            <v>0</v>
          </cell>
          <cell r="BE309">
            <v>1</v>
          </cell>
          <cell r="BF309">
            <v>1</v>
          </cell>
          <cell r="BG309">
            <v>3</v>
          </cell>
          <cell r="BH309">
            <v>0</v>
          </cell>
          <cell r="BI309">
            <v>1</v>
          </cell>
          <cell r="BJ309">
            <v>0</v>
          </cell>
          <cell r="BK309">
            <v>0</v>
          </cell>
          <cell r="BL309">
            <v>0</v>
          </cell>
          <cell r="BM309">
            <v>0</v>
          </cell>
          <cell r="BN309">
            <v>1</v>
          </cell>
          <cell r="BO309">
            <v>0</v>
          </cell>
          <cell r="BP309">
            <v>0</v>
          </cell>
          <cell r="BQ309">
            <v>1</v>
          </cell>
          <cell r="BR309">
            <v>0</v>
          </cell>
          <cell r="BS309">
            <v>0</v>
          </cell>
          <cell r="BT309">
            <v>19</v>
          </cell>
          <cell r="BU309">
            <v>0</v>
          </cell>
        </row>
        <row r="310">
          <cell r="A310">
            <v>58</v>
          </cell>
          <cell r="B310">
            <v>58</v>
          </cell>
          <cell r="D310">
            <v>0</v>
          </cell>
          <cell r="F310">
            <v>0</v>
          </cell>
          <cell r="G310">
            <v>0</v>
          </cell>
          <cell r="I310">
            <v>1</v>
          </cell>
          <cell r="J310">
            <v>0</v>
          </cell>
          <cell r="K310">
            <v>1</v>
          </cell>
          <cell r="L310">
            <v>1</v>
          </cell>
          <cell r="M310">
            <v>4</v>
          </cell>
          <cell r="O310">
            <v>1</v>
          </cell>
          <cell r="P310">
            <v>0</v>
          </cell>
          <cell r="Q310">
            <v>0</v>
          </cell>
          <cell r="R310">
            <v>0</v>
          </cell>
          <cell r="S310">
            <v>0</v>
          </cell>
          <cell r="T310">
            <v>4</v>
          </cell>
          <cell r="V310">
            <v>0</v>
          </cell>
          <cell r="W310">
            <v>32</v>
          </cell>
          <cell r="X310">
            <v>1</v>
          </cell>
          <cell r="Y310">
            <v>2</v>
          </cell>
          <cell r="AA310">
            <v>1</v>
          </cell>
          <cell r="AB310">
            <v>0</v>
          </cell>
          <cell r="AC310">
            <v>0</v>
          </cell>
          <cell r="AD310">
            <v>0</v>
          </cell>
          <cell r="AE310">
            <v>0</v>
          </cell>
          <cell r="AF310">
            <v>0</v>
          </cell>
          <cell r="AG310">
            <v>0</v>
          </cell>
          <cell r="AH310">
            <v>0</v>
          </cell>
          <cell r="AI310">
            <v>3</v>
          </cell>
          <cell r="AK310">
            <v>0</v>
          </cell>
          <cell r="AL310">
            <v>0</v>
          </cell>
          <cell r="AN310">
            <v>5660</v>
          </cell>
          <cell r="AO310">
            <v>2</v>
          </cell>
          <cell r="AQ310">
            <v>1</v>
          </cell>
          <cell r="AR310">
            <v>13</v>
          </cell>
          <cell r="AS310">
            <v>3</v>
          </cell>
          <cell r="AT310">
            <v>4</v>
          </cell>
          <cell r="AU310">
            <v>1</v>
          </cell>
          <cell r="AV310">
            <v>12</v>
          </cell>
          <cell r="AW310">
            <v>12</v>
          </cell>
          <cell r="AX310">
            <v>2</v>
          </cell>
          <cell r="AY310">
            <v>3</v>
          </cell>
          <cell r="AZ310">
            <v>5</v>
          </cell>
          <cell r="BA310">
            <v>5</v>
          </cell>
          <cell r="BB310">
            <v>3</v>
          </cell>
          <cell r="BC310">
            <v>1</v>
          </cell>
          <cell r="BD310">
            <v>1</v>
          </cell>
          <cell r="BE310">
            <v>2</v>
          </cell>
          <cell r="BF310">
            <v>2</v>
          </cell>
          <cell r="BG310">
            <v>4</v>
          </cell>
          <cell r="BH310">
            <v>1</v>
          </cell>
          <cell r="BI310">
            <v>0</v>
          </cell>
          <cell r="BJ310">
            <v>0</v>
          </cell>
          <cell r="BK310">
            <v>0</v>
          </cell>
          <cell r="BL310">
            <v>0</v>
          </cell>
          <cell r="BM310">
            <v>1</v>
          </cell>
          <cell r="BN310">
            <v>0</v>
          </cell>
          <cell r="BO310">
            <v>0</v>
          </cell>
          <cell r="BP310">
            <v>0</v>
          </cell>
          <cell r="BQ310">
            <v>2</v>
          </cell>
          <cell r="BR310">
            <v>0</v>
          </cell>
          <cell r="BS310">
            <v>0</v>
          </cell>
          <cell r="BT310">
            <v>12</v>
          </cell>
          <cell r="BU310">
            <v>0</v>
          </cell>
        </row>
        <row r="311">
          <cell r="A311">
            <v>31</v>
          </cell>
          <cell r="B311">
            <v>31</v>
          </cell>
          <cell r="D311">
            <v>0</v>
          </cell>
          <cell r="F311">
            <v>0</v>
          </cell>
          <cell r="G311">
            <v>1</v>
          </cell>
          <cell r="I311">
            <v>1</v>
          </cell>
          <cell r="J311">
            <v>0</v>
          </cell>
          <cell r="K311">
            <v>5</v>
          </cell>
          <cell r="L311">
            <v>5</v>
          </cell>
          <cell r="M311">
            <v>4</v>
          </cell>
          <cell r="O311">
            <v>0</v>
          </cell>
          <cell r="P311">
            <v>0</v>
          </cell>
          <cell r="Q311">
            <v>0</v>
          </cell>
          <cell r="R311">
            <v>0</v>
          </cell>
          <cell r="S311">
            <v>1</v>
          </cell>
          <cell r="T311">
            <v>3</v>
          </cell>
          <cell r="V311">
            <v>0</v>
          </cell>
          <cell r="W311">
            <v>86</v>
          </cell>
          <cell r="X311">
            <v>3</v>
          </cell>
          <cell r="Y311">
            <v>1</v>
          </cell>
          <cell r="AA311">
            <v>0</v>
          </cell>
          <cell r="AB311">
            <v>0</v>
          </cell>
          <cell r="AC311">
            <v>0</v>
          </cell>
          <cell r="AD311">
            <v>0</v>
          </cell>
          <cell r="AE311">
            <v>0</v>
          </cell>
          <cell r="AF311">
            <v>0</v>
          </cell>
          <cell r="AG311">
            <v>0</v>
          </cell>
          <cell r="AH311">
            <v>1</v>
          </cell>
          <cell r="AI311">
            <v>4</v>
          </cell>
          <cell r="AK311">
            <v>0</v>
          </cell>
          <cell r="AL311">
            <v>1</v>
          </cell>
          <cell r="AN311">
            <v>4821</v>
          </cell>
          <cell r="AO311">
            <v>0</v>
          </cell>
          <cell r="AQ311">
            <v>1</v>
          </cell>
          <cell r="AR311">
            <v>12</v>
          </cell>
          <cell r="AS311">
            <v>3</v>
          </cell>
          <cell r="AT311">
            <v>3</v>
          </cell>
          <cell r="AU311">
            <v>1</v>
          </cell>
          <cell r="AV311">
            <v>6</v>
          </cell>
          <cell r="AW311">
            <v>6</v>
          </cell>
          <cell r="AX311">
            <v>4</v>
          </cell>
          <cell r="AY311">
            <v>3</v>
          </cell>
          <cell r="AZ311">
            <v>5</v>
          </cell>
          <cell r="BA311">
            <v>5</v>
          </cell>
          <cell r="BB311">
            <v>2</v>
          </cell>
          <cell r="BC311">
            <v>0</v>
          </cell>
          <cell r="BD311">
            <v>0</v>
          </cell>
          <cell r="BE311">
            <v>3</v>
          </cell>
          <cell r="BF311">
            <v>3</v>
          </cell>
          <cell r="BG311">
            <v>3</v>
          </cell>
          <cell r="BH311">
            <v>0</v>
          </cell>
          <cell r="BI311">
            <v>1</v>
          </cell>
          <cell r="BJ311">
            <v>0</v>
          </cell>
          <cell r="BK311">
            <v>0</v>
          </cell>
          <cell r="BL311">
            <v>0</v>
          </cell>
          <cell r="BM311">
            <v>0</v>
          </cell>
          <cell r="BN311">
            <v>0</v>
          </cell>
          <cell r="BO311">
            <v>1</v>
          </cell>
          <cell r="BP311">
            <v>0</v>
          </cell>
          <cell r="BQ311">
            <v>3</v>
          </cell>
          <cell r="BR311">
            <v>0</v>
          </cell>
          <cell r="BS311">
            <v>0</v>
          </cell>
          <cell r="BT311">
            <v>6</v>
          </cell>
          <cell r="BU311">
            <v>0</v>
          </cell>
        </row>
        <row r="312">
          <cell r="A312">
            <v>31</v>
          </cell>
          <cell r="B312">
            <v>31</v>
          </cell>
          <cell r="D312">
            <v>0</v>
          </cell>
          <cell r="F312">
            <v>0</v>
          </cell>
          <cell r="G312">
            <v>1</v>
          </cell>
          <cell r="I312">
            <v>0</v>
          </cell>
          <cell r="J312">
            <v>0</v>
          </cell>
          <cell r="K312">
            <v>2</v>
          </cell>
          <cell r="L312">
            <v>2</v>
          </cell>
          <cell r="M312">
            <v>3</v>
          </cell>
          <cell r="O312">
            <v>0</v>
          </cell>
          <cell r="P312">
            <v>0</v>
          </cell>
          <cell r="Q312">
            <v>0</v>
          </cell>
          <cell r="R312">
            <v>0</v>
          </cell>
          <cell r="S312">
            <v>0</v>
          </cell>
          <cell r="T312">
            <v>1</v>
          </cell>
          <cell r="V312">
            <v>0</v>
          </cell>
          <cell r="W312">
            <v>62</v>
          </cell>
          <cell r="X312">
            <v>2</v>
          </cell>
          <cell r="Y312">
            <v>2</v>
          </cell>
          <cell r="AA312">
            <v>0</v>
          </cell>
          <cell r="AB312">
            <v>0</v>
          </cell>
          <cell r="AC312">
            <v>0</v>
          </cell>
          <cell r="AD312">
            <v>0</v>
          </cell>
          <cell r="AE312">
            <v>0</v>
          </cell>
          <cell r="AF312">
            <v>0</v>
          </cell>
          <cell r="AG312">
            <v>0</v>
          </cell>
          <cell r="AH312">
            <v>0</v>
          </cell>
          <cell r="AI312">
            <v>1</v>
          </cell>
          <cell r="AK312">
            <v>0</v>
          </cell>
          <cell r="AL312">
            <v>1</v>
          </cell>
          <cell r="AN312">
            <v>6410</v>
          </cell>
          <cell r="AO312">
            <v>3</v>
          </cell>
          <cell r="AQ312">
            <v>0</v>
          </cell>
          <cell r="AR312">
            <v>12</v>
          </cell>
          <cell r="AS312">
            <v>3</v>
          </cell>
          <cell r="AT312">
            <v>4</v>
          </cell>
          <cell r="AU312">
            <v>0</v>
          </cell>
          <cell r="AV312">
            <v>9</v>
          </cell>
          <cell r="AW312">
            <v>9</v>
          </cell>
          <cell r="AX312">
            <v>1</v>
          </cell>
          <cell r="AY312">
            <v>3</v>
          </cell>
          <cell r="AZ312">
            <v>2</v>
          </cell>
          <cell r="BA312">
            <v>2</v>
          </cell>
          <cell r="BB312">
            <v>2</v>
          </cell>
          <cell r="BC312">
            <v>1</v>
          </cell>
          <cell r="BD312">
            <v>1</v>
          </cell>
          <cell r="BE312">
            <v>0</v>
          </cell>
          <cell r="BF312">
            <v>0</v>
          </cell>
          <cell r="BG312">
            <v>0</v>
          </cell>
          <cell r="BH312">
            <v>0</v>
          </cell>
          <cell r="BI312">
            <v>1</v>
          </cell>
          <cell r="BJ312">
            <v>0</v>
          </cell>
          <cell r="BK312">
            <v>0</v>
          </cell>
          <cell r="BL312">
            <v>0</v>
          </cell>
          <cell r="BM312">
            <v>0</v>
          </cell>
          <cell r="BN312">
            <v>1</v>
          </cell>
          <cell r="BO312">
            <v>0</v>
          </cell>
          <cell r="BP312">
            <v>0</v>
          </cell>
          <cell r="BQ312">
            <v>0</v>
          </cell>
          <cell r="BR312">
            <v>0</v>
          </cell>
          <cell r="BS312">
            <v>9</v>
          </cell>
          <cell r="BT312">
            <v>0</v>
          </cell>
          <cell r="BU312">
            <v>0</v>
          </cell>
        </row>
        <row r="313">
          <cell r="A313">
            <v>45</v>
          </cell>
          <cell r="B313">
            <v>45</v>
          </cell>
          <cell r="D313">
            <v>0</v>
          </cell>
          <cell r="F313">
            <v>1</v>
          </cell>
          <cell r="G313">
            <v>0</v>
          </cell>
          <cell r="I313">
            <v>1</v>
          </cell>
          <cell r="J313">
            <v>0</v>
          </cell>
          <cell r="K313">
            <v>7</v>
          </cell>
          <cell r="L313">
            <v>7</v>
          </cell>
          <cell r="M313">
            <v>3</v>
          </cell>
          <cell r="O313">
            <v>1</v>
          </cell>
          <cell r="P313">
            <v>0</v>
          </cell>
          <cell r="Q313">
            <v>0</v>
          </cell>
          <cell r="R313">
            <v>0</v>
          </cell>
          <cell r="S313">
            <v>0</v>
          </cell>
          <cell r="T313">
            <v>1</v>
          </cell>
          <cell r="V313">
            <v>0</v>
          </cell>
          <cell r="W313">
            <v>97</v>
          </cell>
          <cell r="X313">
            <v>3</v>
          </cell>
          <cell r="Y313">
            <v>3</v>
          </cell>
          <cell r="AA313">
            <v>0</v>
          </cell>
          <cell r="AB313">
            <v>0</v>
          </cell>
          <cell r="AC313">
            <v>1</v>
          </cell>
          <cell r="AD313">
            <v>0</v>
          </cell>
          <cell r="AE313">
            <v>0</v>
          </cell>
          <cell r="AF313">
            <v>0</v>
          </cell>
          <cell r="AG313">
            <v>0</v>
          </cell>
          <cell r="AH313">
            <v>0</v>
          </cell>
          <cell r="AI313">
            <v>1</v>
          </cell>
          <cell r="AK313">
            <v>0</v>
          </cell>
          <cell r="AL313">
            <v>0</v>
          </cell>
          <cell r="AN313">
            <v>5210</v>
          </cell>
          <cell r="AO313">
            <v>1</v>
          </cell>
          <cell r="AQ313">
            <v>0</v>
          </cell>
          <cell r="AR313">
            <v>18</v>
          </cell>
          <cell r="AS313">
            <v>3</v>
          </cell>
          <cell r="AT313">
            <v>1</v>
          </cell>
          <cell r="AU313">
            <v>1</v>
          </cell>
          <cell r="AV313">
            <v>24</v>
          </cell>
          <cell r="AW313">
            <v>24</v>
          </cell>
          <cell r="AX313">
            <v>2</v>
          </cell>
          <cell r="AY313">
            <v>3</v>
          </cell>
          <cell r="AZ313">
            <v>24</v>
          </cell>
          <cell r="BA313">
            <v>24</v>
          </cell>
          <cell r="BB313">
            <v>9</v>
          </cell>
          <cell r="BC313">
            <v>9</v>
          </cell>
          <cell r="BD313">
            <v>9</v>
          </cell>
          <cell r="BE313">
            <v>11</v>
          </cell>
          <cell r="BF313">
            <v>11</v>
          </cell>
          <cell r="BG313">
            <v>33</v>
          </cell>
          <cell r="BH313">
            <v>0</v>
          </cell>
          <cell r="BI313">
            <v>0</v>
          </cell>
          <cell r="BJ313">
            <v>1</v>
          </cell>
          <cell r="BK313">
            <v>0</v>
          </cell>
          <cell r="BL313">
            <v>1</v>
          </cell>
          <cell r="BM313">
            <v>0</v>
          </cell>
          <cell r="BN313">
            <v>0</v>
          </cell>
          <cell r="BO313">
            <v>0</v>
          </cell>
          <cell r="BP313">
            <v>0</v>
          </cell>
          <cell r="BQ313">
            <v>11</v>
          </cell>
          <cell r="BR313">
            <v>0</v>
          </cell>
          <cell r="BS313">
            <v>0</v>
          </cell>
          <cell r="BT313">
            <v>24</v>
          </cell>
          <cell r="BU313">
            <v>0</v>
          </cell>
        </row>
        <row r="314">
          <cell r="A314">
            <v>31</v>
          </cell>
          <cell r="B314">
            <v>31</v>
          </cell>
          <cell r="D314">
            <v>0</v>
          </cell>
          <cell r="F314">
            <v>0</v>
          </cell>
          <cell r="G314">
            <v>1</v>
          </cell>
          <cell r="I314">
            <v>1</v>
          </cell>
          <cell r="J314">
            <v>0</v>
          </cell>
          <cell r="K314">
            <v>2</v>
          </cell>
          <cell r="L314">
            <v>2</v>
          </cell>
          <cell r="M314">
            <v>4</v>
          </cell>
          <cell r="O314">
            <v>1</v>
          </cell>
          <cell r="P314">
            <v>0</v>
          </cell>
          <cell r="Q314">
            <v>0</v>
          </cell>
          <cell r="R314">
            <v>0</v>
          </cell>
          <cell r="S314">
            <v>0</v>
          </cell>
          <cell r="T314">
            <v>3</v>
          </cell>
          <cell r="V314">
            <v>0</v>
          </cell>
          <cell r="W314">
            <v>32</v>
          </cell>
          <cell r="X314">
            <v>3</v>
          </cell>
          <cell r="Y314">
            <v>1</v>
          </cell>
          <cell r="AA314">
            <v>0</v>
          </cell>
          <cell r="AB314">
            <v>0</v>
          </cell>
          <cell r="AC314">
            <v>0</v>
          </cell>
          <cell r="AD314">
            <v>0</v>
          </cell>
          <cell r="AE314">
            <v>0</v>
          </cell>
          <cell r="AF314">
            <v>0</v>
          </cell>
          <cell r="AG314">
            <v>0</v>
          </cell>
          <cell r="AH314">
            <v>1</v>
          </cell>
          <cell r="AI314">
            <v>4</v>
          </cell>
          <cell r="AK314">
            <v>0</v>
          </cell>
          <cell r="AL314">
            <v>0</v>
          </cell>
          <cell r="AN314">
            <v>2695</v>
          </cell>
          <cell r="AO314">
            <v>0</v>
          </cell>
          <cell r="AQ314">
            <v>1</v>
          </cell>
          <cell r="AR314">
            <v>18</v>
          </cell>
          <cell r="AS314">
            <v>3</v>
          </cell>
          <cell r="AT314">
            <v>2</v>
          </cell>
          <cell r="AU314">
            <v>1</v>
          </cell>
          <cell r="AV314">
            <v>3</v>
          </cell>
          <cell r="AW314">
            <v>3</v>
          </cell>
          <cell r="AX314">
            <v>2</v>
          </cell>
          <cell r="AY314">
            <v>1</v>
          </cell>
          <cell r="AZ314">
            <v>2</v>
          </cell>
          <cell r="BA314">
            <v>2</v>
          </cell>
          <cell r="BB314">
            <v>2</v>
          </cell>
          <cell r="BC314">
            <v>2</v>
          </cell>
          <cell r="BD314">
            <v>2</v>
          </cell>
          <cell r="BE314">
            <v>2</v>
          </cell>
          <cell r="BF314">
            <v>2</v>
          </cell>
          <cell r="BG314">
            <v>2</v>
          </cell>
          <cell r="BH314">
            <v>1</v>
          </cell>
          <cell r="BI314">
            <v>0</v>
          </cell>
          <cell r="BJ314">
            <v>0</v>
          </cell>
          <cell r="BK314">
            <v>0</v>
          </cell>
          <cell r="BL314">
            <v>0</v>
          </cell>
          <cell r="BM314">
            <v>1</v>
          </cell>
          <cell r="BN314">
            <v>0</v>
          </cell>
          <cell r="BO314">
            <v>0</v>
          </cell>
          <cell r="BP314">
            <v>0</v>
          </cell>
          <cell r="BQ314">
            <v>2</v>
          </cell>
          <cell r="BR314">
            <v>0</v>
          </cell>
          <cell r="BS314">
            <v>0</v>
          </cell>
          <cell r="BT314">
            <v>3</v>
          </cell>
          <cell r="BU314">
            <v>0</v>
          </cell>
        </row>
        <row r="315">
          <cell r="A315">
            <v>33</v>
          </cell>
          <cell r="B315">
            <v>33</v>
          </cell>
          <cell r="D315">
            <v>0</v>
          </cell>
          <cell r="F315">
            <v>1</v>
          </cell>
          <cell r="G315">
            <v>0</v>
          </cell>
          <cell r="I315">
            <v>1</v>
          </cell>
          <cell r="J315">
            <v>0</v>
          </cell>
          <cell r="K315">
            <v>5</v>
          </cell>
          <cell r="L315">
            <v>5</v>
          </cell>
          <cell r="M315">
            <v>4</v>
          </cell>
          <cell r="O315">
            <v>1</v>
          </cell>
          <cell r="P315">
            <v>0</v>
          </cell>
          <cell r="Q315">
            <v>0</v>
          </cell>
          <cell r="R315">
            <v>0</v>
          </cell>
          <cell r="S315">
            <v>0</v>
          </cell>
          <cell r="T315">
            <v>4</v>
          </cell>
          <cell r="V315">
            <v>1</v>
          </cell>
          <cell r="W315">
            <v>74</v>
          </cell>
          <cell r="X315">
            <v>3</v>
          </cell>
          <cell r="Y315">
            <v>3</v>
          </cell>
          <cell r="AA315">
            <v>0</v>
          </cell>
          <cell r="AB315">
            <v>0</v>
          </cell>
          <cell r="AC315">
            <v>0</v>
          </cell>
          <cell r="AD315">
            <v>1</v>
          </cell>
          <cell r="AE315">
            <v>0</v>
          </cell>
          <cell r="AF315">
            <v>0</v>
          </cell>
          <cell r="AG315">
            <v>0</v>
          </cell>
          <cell r="AH315">
            <v>0</v>
          </cell>
          <cell r="AI315">
            <v>2</v>
          </cell>
          <cell r="AK315">
            <v>0</v>
          </cell>
          <cell r="AL315">
            <v>1</v>
          </cell>
          <cell r="AN315">
            <v>11878</v>
          </cell>
          <cell r="AO315">
            <v>6</v>
          </cell>
          <cell r="AQ315">
            <v>0</v>
          </cell>
          <cell r="AR315">
            <v>11</v>
          </cell>
          <cell r="AS315">
            <v>3</v>
          </cell>
          <cell r="AT315">
            <v>2</v>
          </cell>
          <cell r="AU315">
            <v>2</v>
          </cell>
          <cell r="AV315">
            <v>12</v>
          </cell>
          <cell r="AW315">
            <v>12</v>
          </cell>
          <cell r="AX315">
            <v>2</v>
          </cell>
          <cell r="AY315">
            <v>3</v>
          </cell>
          <cell r="AZ315">
            <v>10</v>
          </cell>
          <cell r="BA315">
            <v>10</v>
          </cell>
          <cell r="BB315">
            <v>6</v>
          </cell>
          <cell r="BC315">
            <v>8</v>
          </cell>
          <cell r="BD315">
            <v>8</v>
          </cell>
          <cell r="BE315">
            <v>8</v>
          </cell>
          <cell r="BF315">
            <v>8</v>
          </cell>
          <cell r="BG315">
            <v>24</v>
          </cell>
          <cell r="BH315">
            <v>0</v>
          </cell>
          <cell r="BI315">
            <v>0</v>
          </cell>
          <cell r="BJ315">
            <v>0</v>
          </cell>
          <cell r="BK315">
            <v>1</v>
          </cell>
          <cell r="BL315">
            <v>0</v>
          </cell>
          <cell r="BM315">
            <v>0</v>
          </cell>
          <cell r="BN315">
            <v>1</v>
          </cell>
          <cell r="BO315">
            <v>0</v>
          </cell>
          <cell r="BP315">
            <v>0</v>
          </cell>
          <cell r="BQ315">
            <v>8</v>
          </cell>
          <cell r="BR315">
            <v>0</v>
          </cell>
          <cell r="BS315">
            <v>0</v>
          </cell>
          <cell r="BT315">
            <v>12</v>
          </cell>
          <cell r="BU315">
            <v>0</v>
          </cell>
        </row>
        <row r="316">
          <cell r="A316">
            <v>39</v>
          </cell>
          <cell r="B316">
            <v>39</v>
          </cell>
          <cell r="D316">
            <v>0</v>
          </cell>
          <cell r="F316">
            <v>0</v>
          </cell>
          <cell r="G316">
            <v>1</v>
          </cell>
          <cell r="I316">
            <v>1</v>
          </cell>
          <cell r="J316">
            <v>0</v>
          </cell>
          <cell r="K316">
            <v>10</v>
          </cell>
          <cell r="L316">
            <v>10</v>
          </cell>
          <cell r="M316">
            <v>1</v>
          </cell>
          <cell r="O316">
            <v>0</v>
          </cell>
          <cell r="P316">
            <v>0</v>
          </cell>
          <cell r="Q316">
            <v>1</v>
          </cell>
          <cell r="R316">
            <v>0</v>
          </cell>
          <cell r="S316">
            <v>0</v>
          </cell>
          <cell r="T316">
            <v>3</v>
          </cell>
          <cell r="V316">
            <v>0</v>
          </cell>
          <cell r="W316">
            <v>99</v>
          </cell>
          <cell r="X316">
            <v>3</v>
          </cell>
          <cell r="Y316">
            <v>4</v>
          </cell>
          <cell r="AA316">
            <v>0</v>
          </cell>
          <cell r="AB316">
            <v>0</v>
          </cell>
          <cell r="AC316">
            <v>0</v>
          </cell>
          <cell r="AD316">
            <v>1</v>
          </cell>
          <cell r="AE316">
            <v>0</v>
          </cell>
          <cell r="AF316">
            <v>0</v>
          </cell>
          <cell r="AG316">
            <v>0</v>
          </cell>
          <cell r="AH316">
            <v>0</v>
          </cell>
          <cell r="AI316">
            <v>1</v>
          </cell>
          <cell r="AK316">
            <v>0</v>
          </cell>
          <cell r="AL316">
            <v>1</v>
          </cell>
          <cell r="AN316">
            <v>17068</v>
          </cell>
          <cell r="AO316">
            <v>1</v>
          </cell>
          <cell r="AQ316">
            <v>1</v>
          </cell>
          <cell r="AR316">
            <v>14</v>
          </cell>
          <cell r="AS316">
            <v>3</v>
          </cell>
          <cell r="AT316">
            <v>4</v>
          </cell>
          <cell r="AU316">
            <v>0</v>
          </cell>
          <cell r="AV316">
            <v>21</v>
          </cell>
          <cell r="AW316">
            <v>21</v>
          </cell>
          <cell r="AX316">
            <v>3</v>
          </cell>
          <cell r="AY316">
            <v>3</v>
          </cell>
          <cell r="AZ316">
            <v>21</v>
          </cell>
          <cell r="BA316">
            <v>21</v>
          </cell>
          <cell r="BB316">
            <v>9</v>
          </cell>
          <cell r="BC316">
            <v>11</v>
          </cell>
          <cell r="BD316">
            <v>11</v>
          </cell>
          <cell r="BE316">
            <v>10</v>
          </cell>
          <cell r="BF316">
            <v>10</v>
          </cell>
          <cell r="BG316">
            <v>40</v>
          </cell>
          <cell r="BH316">
            <v>0</v>
          </cell>
          <cell r="BI316">
            <v>1</v>
          </cell>
          <cell r="BJ316">
            <v>0</v>
          </cell>
          <cell r="BK316">
            <v>0</v>
          </cell>
          <cell r="BL316">
            <v>0</v>
          </cell>
          <cell r="BM316">
            <v>0</v>
          </cell>
          <cell r="BN316">
            <v>0</v>
          </cell>
          <cell r="BO316">
            <v>1</v>
          </cell>
          <cell r="BP316">
            <v>0</v>
          </cell>
          <cell r="BQ316">
            <v>10</v>
          </cell>
          <cell r="BR316">
            <v>0</v>
          </cell>
          <cell r="BS316">
            <v>0</v>
          </cell>
          <cell r="BT316">
            <v>21</v>
          </cell>
          <cell r="BU316">
            <v>0</v>
          </cell>
        </row>
        <row r="317">
          <cell r="A317">
            <v>43</v>
          </cell>
          <cell r="B317">
            <v>43</v>
          </cell>
          <cell r="D317">
            <v>0</v>
          </cell>
          <cell r="F317">
            <v>1</v>
          </cell>
          <cell r="G317">
            <v>0</v>
          </cell>
          <cell r="I317">
            <v>1</v>
          </cell>
          <cell r="J317">
            <v>0</v>
          </cell>
          <cell r="K317">
            <v>10</v>
          </cell>
          <cell r="L317">
            <v>10</v>
          </cell>
          <cell r="M317">
            <v>4</v>
          </cell>
          <cell r="O317">
            <v>1</v>
          </cell>
          <cell r="P317">
            <v>0</v>
          </cell>
          <cell r="Q317">
            <v>0</v>
          </cell>
          <cell r="R317">
            <v>0</v>
          </cell>
          <cell r="S317">
            <v>0</v>
          </cell>
          <cell r="T317">
            <v>3</v>
          </cell>
          <cell r="V317">
            <v>1</v>
          </cell>
          <cell r="W317">
            <v>33</v>
          </cell>
          <cell r="X317">
            <v>3</v>
          </cell>
          <cell r="Y317">
            <v>1</v>
          </cell>
          <cell r="AA317">
            <v>0</v>
          </cell>
          <cell r="AB317">
            <v>0</v>
          </cell>
          <cell r="AC317">
            <v>1</v>
          </cell>
          <cell r="AD317">
            <v>0</v>
          </cell>
          <cell r="AE317">
            <v>0</v>
          </cell>
          <cell r="AF317">
            <v>0</v>
          </cell>
          <cell r="AG317">
            <v>0</v>
          </cell>
          <cell r="AH317">
            <v>0</v>
          </cell>
          <cell r="AI317">
            <v>4</v>
          </cell>
          <cell r="AK317">
            <v>1</v>
          </cell>
          <cell r="AL317">
            <v>0</v>
          </cell>
          <cell r="AN317">
            <v>2455</v>
          </cell>
          <cell r="AO317">
            <v>0</v>
          </cell>
          <cell r="AQ317">
            <v>0</v>
          </cell>
          <cell r="AR317">
            <v>19</v>
          </cell>
          <cell r="AS317">
            <v>3</v>
          </cell>
          <cell r="AT317">
            <v>1</v>
          </cell>
          <cell r="AU317">
            <v>0</v>
          </cell>
          <cell r="AV317">
            <v>9</v>
          </cell>
          <cell r="AW317">
            <v>9</v>
          </cell>
          <cell r="AX317">
            <v>5</v>
          </cell>
          <cell r="AY317">
            <v>3</v>
          </cell>
          <cell r="AZ317">
            <v>8</v>
          </cell>
          <cell r="BA317">
            <v>8</v>
          </cell>
          <cell r="BB317">
            <v>7</v>
          </cell>
          <cell r="BC317">
            <v>1</v>
          </cell>
          <cell r="BD317">
            <v>1</v>
          </cell>
          <cell r="BE317">
            <v>7</v>
          </cell>
          <cell r="BF317">
            <v>7</v>
          </cell>
          <cell r="BG317">
            <v>7</v>
          </cell>
          <cell r="BH317">
            <v>0</v>
          </cell>
          <cell r="BI317">
            <v>0</v>
          </cell>
          <cell r="BJ317">
            <v>1</v>
          </cell>
          <cell r="BK317">
            <v>0</v>
          </cell>
          <cell r="BL317">
            <v>1</v>
          </cell>
          <cell r="BM317">
            <v>0</v>
          </cell>
          <cell r="BN317">
            <v>0</v>
          </cell>
          <cell r="BO317">
            <v>0</v>
          </cell>
          <cell r="BP317">
            <v>0</v>
          </cell>
          <cell r="BQ317">
            <v>7</v>
          </cell>
          <cell r="BR317">
            <v>0</v>
          </cell>
          <cell r="BS317">
            <v>0</v>
          </cell>
          <cell r="BT317">
            <v>9</v>
          </cell>
          <cell r="BU317">
            <v>0</v>
          </cell>
        </row>
        <row r="318">
          <cell r="A318">
            <v>49</v>
          </cell>
          <cell r="B318">
            <v>49</v>
          </cell>
          <cell r="D318">
            <v>0</v>
          </cell>
          <cell r="F318">
            <v>0</v>
          </cell>
          <cell r="G318">
            <v>1</v>
          </cell>
          <cell r="I318">
            <v>1</v>
          </cell>
          <cell r="J318">
            <v>0</v>
          </cell>
          <cell r="K318">
            <v>1</v>
          </cell>
          <cell r="L318">
            <v>1</v>
          </cell>
          <cell r="M318">
            <v>2</v>
          </cell>
          <cell r="O318">
            <v>0</v>
          </cell>
          <cell r="P318">
            <v>0</v>
          </cell>
          <cell r="Q318">
            <v>0</v>
          </cell>
          <cell r="R318">
            <v>0</v>
          </cell>
          <cell r="S318">
            <v>1</v>
          </cell>
          <cell r="T318">
            <v>3</v>
          </cell>
          <cell r="V318">
            <v>1</v>
          </cell>
          <cell r="W318">
            <v>90</v>
          </cell>
          <cell r="X318">
            <v>2</v>
          </cell>
          <cell r="Y318">
            <v>4</v>
          </cell>
          <cell r="AA318">
            <v>1</v>
          </cell>
          <cell r="AB318">
            <v>0</v>
          </cell>
          <cell r="AC318">
            <v>0</v>
          </cell>
          <cell r="AD318">
            <v>0</v>
          </cell>
          <cell r="AE318">
            <v>0</v>
          </cell>
          <cell r="AF318">
            <v>0</v>
          </cell>
          <cell r="AG318">
            <v>0</v>
          </cell>
          <cell r="AH318">
            <v>0</v>
          </cell>
          <cell r="AI318">
            <v>3</v>
          </cell>
          <cell r="AK318">
            <v>1</v>
          </cell>
          <cell r="AL318">
            <v>0</v>
          </cell>
          <cell r="AN318">
            <v>13964</v>
          </cell>
          <cell r="AO318">
            <v>7</v>
          </cell>
          <cell r="AQ318">
            <v>1</v>
          </cell>
          <cell r="AR318">
            <v>12</v>
          </cell>
          <cell r="AS318">
            <v>3</v>
          </cell>
          <cell r="AT318">
            <v>4</v>
          </cell>
          <cell r="AU318">
            <v>0</v>
          </cell>
          <cell r="AV318">
            <v>25</v>
          </cell>
          <cell r="AW318">
            <v>25</v>
          </cell>
          <cell r="AX318">
            <v>2</v>
          </cell>
          <cell r="AY318">
            <v>3</v>
          </cell>
          <cell r="AZ318">
            <v>7</v>
          </cell>
          <cell r="BA318">
            <v>7</v>
          </cell>
          <cell r="BB318">
            <v>1</v>
          </cell>
          <cell r="BC318">
            <v>0</v>
          </cell>
          <cell r="BD318">
            <v>0</v>
          </cell>
          <cell r="BE318">
            <v>7</v>
          </cell>
          <cell r="BF318">
            <v>7</v>
          </cell>
          <cell r="BG318">
            <v>28</v>
          </cell>
          <cell r="BH318">
            <v>1</v>
          </cell>
          <cell r="BI318">
            <v>0</v>
          </cell>
          <cell r="BJ318">
            <v>0</v>
          </cell>
          <cell r="BK318">
            <v>0</v>
          </cell>
          <cell r="BL318">
            <v>0</v>
          </cell>
          <cell r="BM318">
            <v>1</v>
          </cell>
          <cell r="BN318">
            <v>0</v>
          </cell>
          <cell r="BO318">
            <v>0</v>
          </cell>
          <cell r="BP318">
            <v>0</v>
          </cell>
          <cell r="BQ318">
            <v>7</v>
          </cell>
          <cell r="BR318">
            <v>0</v>
          </cell>
          <cell r="BS318">
            <v>0</v>
          </cell>
          <cell r="BT318">
            <v>25</v>
          </cell>
          <cell r="BU318">
            <v>0</v>
          </cell>
        </row>
        <row r="319">
          <cell r="A319">
            <v>52</v>
          </cell>
          <cell r="B319">
            <v>52</v>
          </cell>
          <cell r="D319">
            <v>1</v>
          </cell>
          <cell r="F319">
            <v>0</v>
          </cell>
          <cell r="G319">
            <v>1</v>
          </cell>
          <cell r="I319">
            <v>1</v>
          </cell>
          <cell r="J319">
            <v>0</v>
          </cell>
          <cell r="K319">
            <v>8</v>
          </cell>
          <cell r="L319">
            <v>8</v>
          </cell>
          <cell r="M319">
            <v>4</v>
          </cell>
          <cell r="O319">
            <v>0</v>
          </cell>
          <cell r="P319">
            <v>0</v>
          </cell>
          <cell r="Q319">
            <v>1</v>
          </cell>
          <cell r="R319">
            <v>0</v>
          </cell>
          <cell r="S319">
            <v>0</v>
          </cell>
          <cell r="T319">
            <v>3</v>
          </cell>
          <cell r="V319">
            <v>0</v>
          </cell>
          <cell r="W319">
            <v>85</v>
          </cell>
          <cell r="X319">
            <v>2</v>
          </cell>
          <cell r="Y319">
            <v>2</v>
          </cell>
          <cell r="AA319">
            <v>0</v>
          </cell>
          <cell r="AB319">
            <v>0</v>
          </cell>
          <cell r="AC319">
            <v>0</v>
          </cell>
          <cell r="AD319">
            <v>0</v>
          </cell>
          <cell r="AE319">
            <v>0</v>
          </cell>
          <cell r="AF319">
            <v>0</v>
          </cell>
          <cell r="AG319">
            <v>0</v>
          </cell>
          <cell r="AH319">
            <v>1</v>
          </cell>
          <cell r="AI319">
            <v>2</v>
          </cell>
          <cell r="AK319">
            <v>0</v>
          </cell>
          <cell r="AL319">
            <v>1</v>
          </cell>
          <cell r="AN319">
            <v>4941</v>
          </cell>
          <cell r="AO319">
            <v>2</v>
          </cell>
          <cell r="AQ319">
            <v>0</v>
          </cell>
          <cell r="AR319">
            <v>15</v>
          </cell>
          <cell r="AS319">
            <v>3</v>
          </cell>
          <cell r="AT319">
            <v>1</v>
          </cell>
          <cell r="AU319">
            <v>0</v>
          </cell>
          <cell r="AV319">
            <v>11</v>
          </cell>
          <cell r="AW319">
            <v>11</v>
          </cell>
          <cell r="AX319">
            <v>3</v>
          </cell>
          <cell r="AY319">
            <v>2</v>
          </cell>
          <cell r="AZ319">
            <v>8</v>
          </cell>
          <cell r="BA319">
            <v>8</v>
          </cell>
          <cell r="BB319">
            <v>2</v>
          </cell>
          <cell r="BC319">
            <v>7</v>
          </cell>
          <cell r="BD319">
            <v>7</v>
          </cell>
          <cell r="BE319">
            <v>7</v>
          </cell>
          <cell r="BF319">
            <v>7</v>
          </cell>
          <cell r="BG319">
            <v>14</v>
          </cell>
          <cell r="BH319">
            <v>0</v>
          </cell>
          <cell r="BI319">
            <v>1</v>
          </cell>
          <cell r="BJ319">
            <v>0</v>
          </cell>
          <cell r="BK319">
            <v>0</v>
          </cell>
          <cell r="BL319">
            <v>0</v>
          </cell>
          <cell r="BM319">
            <v>0</v>
          </cell>
          <cell r="BN319">
            <v>1</v>
          </cell>
          <cell r="BO319">
            <v>0</v>
          </cell>
          <cell r="BP319">
            <v>0</v>
          </cell>
          <cell r="BQ319">
            <v>7</v>
          </cell>
          <cell r="BR319">
            <v>0</v>
          </cell>
          <cell r="BS319">
            <v>0</v>
          </cell>
          <cell r="BT319">
            <v>11</v>
          </cell>
          <cell r="BU319">
            <v>0</v>
          </cell>
        </row>
        <row r="320">
          <cell r="A320">
            <v>27</v>
          </cell>
          <cell r="B320">
            <v>27</v>
          </cell>
          <cell r="D320">
            <v>0</v>
          </cell>
          <cell r="F320">
            <v>0</v>
          </cell>
          <cell r="G320">
            <v>1</v>
          </cell>
          <cell r="I320">
            <v>1</v>
          </cell>
          <cell r="J320">
            <v>0</v>
          </cell>
          <cell r="K320">
            <v>5</v>
          </cell>
          <cell r="L320">
            <v>5</v>
          </cell>
          <cell r="M320">
            <v>3</v>
          </cell>
          <cell r="O320">
            <v>1</v>
          </cell>
          <cell r="P320">
            <v>0</v>
          </cell>
          <cell r="Q320">
            <v>0</v>
          </cell>
          <cell r="R320">
            <v>0</v>
          </cell>
          <cell r="S320">
            <v>0</v>
          </cell>
          <cell r="T320">
            <v>3</v>
          </cell>
          <cell r="V320">
            <v>1</v>
          </cell>
          <cell r="W320">
            <v>85</v>
          </cell>
          <cell r="X320">
            <v>3</v>
          </cell>
          <cell r="Y320">
            <v>1</v>
          </cell>
          <cell r="AA320">
            <v>0</v>
          </cell>
          <cell r="AB320">
            <v>0</v>
          </cell>
          <cell r="AC320">
            <v>0</v>
          </cell>
          <cell r="AD320">
            <v>0</v>
          </cell>
          <cell r="AE320">
            <v>0</v>
          </cell>
          <cell r="AF320">
            <v>0</v>
          </cell>
          <cell r="AG320">
            <v>0</v>
          </cell>
          <cell r="AH320">
            <v>1</v>
          </cell>
          <cell r="AI320">
            <v>2</v>
          </cell>
          <cell r="AK320">
            <v>1</v>
          </cell>
          <cell r="AL320">
            <v>0</v>
          </cell>
          <cell r="AN320">
            <v>2478</v>
          </cell>
          <cell r="AO320">
            <v>1</v>
          </cell>
          <cell r="AQ320">
            <v>1</v>
          </cell>
          <cell r="AR320">
            <v>12</v>
          </cell>
          <cell r="AS320">
            <v>3</v>
          </cell>
          <cell r="AT320">
            <v>2</v>
          </cell>
          <cell r="AU320">
            <v>0</v>
          </cell>
          <cell r="AV320">
            <v>4</v>
          </cell>
          <cell r="AW320">
            <v>4</v>
          </cell>
          <cell r="AX320">
            <v>2</v>
          </cell>
          <cell r="AY320">
            <v>2</v>
          </cell>
          <cell r="AZ320">
            <v>4</v>
          </cell>
          <cell r="BA320">
            <v>4</v>
          </cell>
          <cell r="BB320">
            <v>3</v>
          </cell>
          <cell r="BC320">
            <v>1</v>
          </cell>
          <cell r="BD320">
            <v>1</v>
          </cell>
          <cell r="BE320">
            <v>2</v>
          </cell>
          <cell r="BF320">
            <v>2</v>
          </cell>
          <cell r="BG320">
            <v>2</v>
          </cell>
          <cell r="BH320">
            <v>1</v>
          </cell>
          <cell r="BI320">
            <v>0</v>
          </cell>
          <cell r="BJ320">
            <v>0</v>
          </cell>
          <cell r="BK320">
            <v>0</v>
          </cell>
          <cell r="BL320">
            <v>0</v>
          </cell>
          <cell r="BM320">
            <v>1</v>
          </cell>
          <cell r="BN320">
            <v>0</v>
          </cell>
          <cell r="BO320">
            <v>0</v>
          </cell>
          <cell r="BP320">
            <v>0</v>
          </cell>
          <cell r="BQ320">
            <v>2</v>
          </cell>
          <cell r="BR320">
            <v>0</v>
          </cell>
          <cell r="BS320">
            <v>0</v>
          </cell>
          <cell r="BT320">
            <v>4</v>
          </cell>
          <cell r="BU320">
            <v>0</v>
          </cell>
        </row>
        <row r="321">
          <cell r="A321">
            <v>32</v>
          </cell>
          <cell r="B321">
            <v>32</v>
          </cell>
          <cell r="D321">
            <v>0</v>
          </cell>
          <cell r="F321">
            <v>0</v>
          </cell>
          <cell r="G321">
            <v>1</v>
          </cell>
          <cell r="I321">
            <v>0</v>
          </cell>
          <cell r="J321">
            <v>1</v>
          </cell>
          <cell r="K321">
            <v>8</v>
          </cell>
          <cell r="L321">
            <v>8</v>
          </cell>
          <cell r="M321">
            <v>2</v>
          </cell>
          <cell r="O321">
            <v>0</v>
          </cell>
          <cell r="P321">
            <v>0</v>
          </cell>
          <cell r="Q321">
            <v>0</v>
          </cell>
          <cell r="R321">
            <v>0</v>
          </cell>
          <cell r="S321">
            <v>1</v>
          </cell>
          <cell r="T321">
            <v>3</v>
          </cell>
          <cell r="V321">
            <v>1</v>
          </cell>
          <cell r="W321">
            <v>65</v>
          </cell>
          <cell r="X321">
            <v>2</v>
          </cell>
          <cell r="Y321">
            <v>2</v>
          </cell>
          <cell r="AA321">
            <v>0</v>
          </cell>
          <cell r="AB321">
            <v>1</v>
          </cell>
          <cell r="AC321">
            <v>0</v>
          </cell>
          <cell r="AD321">
            <v>0</v>
          </cell>
          <cell r="AE321">
            <v>0</v>
          </cell>
          <cell r="AF321">
            <v>0</v>
          </cell>
          <cell r="AG321">
            <v>0</v>
          </cell>
          <cell r="AH321">
            <v>0</v>
          </cell>
          <cell r="AI321">
            <v>2</v>
          </cell>
          <cell r="AK321">
            <v>0</v>
          </cell>
          <cell r="AL321">
            <v>1</v>
          </cell>
          <cell r="AN321">
            <v>5228</v>
          </cell>
          <cell r="AO321">
            <v>1</v>
          </cell>
          <cell r="AQ321">
            <v>1</v>
          </cell>
          <cell r="AR321">
            <v>11</v>
          </cell>
          <cell r="AS321">
            <v>3</v>
          </cell>
          <cell r="AT321">
            <v>4</v>
          </cell>
          <cell r="AU321">
            <v>0</v>
          </cell>
          <cell r="AV321">
            <v>13</v>
          </cell>
          <cell r="AW321">
            <v>13</v>
          </cell>
          <cell r="AX321">
            <v>2</v>
          </cell>
          <cell r="AY321">
            <v>3</v>
          </cell>
          <cell r="AZ321">
            <v>13</v>
          </cell>
          <cell r="BA321">
            <v>13</v>
          </cell>
          <cell r="BB321">
            <v>12</v>
          </cell>
          <cell r="BC321">
            <v>11</v>
          </cell>
          <cell r="BD321">
            <v>11</v>
          </cell>
          <cell r="BE321">
            <v>9</v>
          </cell>
          <cell r="BF321">
            <v>9</v>
          </cell>
          <cell r="BG321">
            <v>18</v>
          </cell>
          <cell r="BH321">
            <v>0</v>
          </cell>
          <cell r="BI321">
            <v>1</v>
          </cell>
          <cell r="BJ321">
            <v>0</v>
          </cell>
          <cell r="BK321">
            <v>0</v>
          </cell>
          <cell r="BL321">
            <v>0</v>
          </cell>
          <cell r="BM321">
            <v>0</v>
          </cell>
          <cell r="BN321">
            <v>0</v>
          </cell>
          <cell r="BO321">
            <v>1</v>
          </cell>
          <cell r="BP321">
            <v>0</v>
          </cell>
          <cell r="BQ321">
            <v>0</v>
          </cell>
          <cell r="BR321">
            <v>9</v>
          </cell>
          <cell r="BS321">
            <v>0</v>
          </cell>
          <cell r="BT321">
            <v>0</v>
          </cell>
          <cell r="BU321">
            <v>13</v>
          </cell>
        </row>
        <row r="322">
          <cell r="A322">
            <v>27</v>
          </cell>
          <cell r="B322">
            <v>27</v>
          </cell>
          <cell r="D322">
            <v>0</v>
          </cell>
          <cell r="F322">
            <v>0</v>
          </cell>
          <cell r="G322">
            <v>1</v>
          </cell>
          <cell r="I322">
            <v>0</v>
          </cell>
          <cell r="J322">
            <v>1</v>
          </cell>
          <cell r="K322">
            <v>2</v>
          </cell>
          <cell r="L322">
            <v>2</v>
          </cell>
          <cell r="M322">
            <v>3</v>
          </cell>
          <cell r="O322">
            <v>1</v>
          </cell>
          <cell r="P322">
            <v>0</v>
          </cell>
          <cell r="Q322">
            <v>0</v>
          </cell>
          <cell r="R322">
            <v>0</v>
          </cell>
          <cell r="S322">
            <v>0</v>
          </cell>
          <cell r="T322">
            <v>4</v>
          </cell>
          <cell r="V322">
            <v>0</v>
          </cell>
          <cell r="W322">
            <v>74</v>
          </cell>
          <cell r="X322">
            <v>3</v>
          </cell>
          <cell r="Y322">
            <v>2</v>
          </cell>
          <cell r="AA322">
            <v>0</v>
          </cell>
          <cell r="AB322">
            <v>1</v>
          </cell>
          <cell r="AC322">
            <v>0</v>
          </cell>
          <cell r="AD322">
            <v>0</v>
          </cell>
          <cell r="AE322">
            <v>0</v>
          </cell>
          <cell r="AF322">
            <v>0</v>
          </cell>
          <cell r="AG322">
            <v>0</v>
          </cell>
          <cell r="AH322">
            <v>0</v>
          </cell>
          <cell r="AI322">
            <v>3</v>
          </cell>
          <cell r="AK322">
            <v>1</v>
          </cell>
          <cell r="AL322">
            <v>0</v>
          </cell>
          <cell r="AN322">
            <v>4478</v>
          </cell>
          <cell r="AO322">
            <v>1</v>
          </cell>
          <cell r="AQ322">
            <v>1</v>
          </cell>
          <cell r="AR322">
            <v>11</v>
          </cell>
          <cell r="AS322">
            <v>3</v>
          </cell>
          <cell r="AT322">
            <v>1</v>
          </cell>
          <cell r="AU322">
            <v>0</v>
          </cell>
          <cell r="AV322">
            <v>5</v>
          </cell>
          <cell r="AW322">
            <v>5</v>
          </cell>
          <cell r="AX322">
            <v>3</v>
          </cell>
          <cell r="AY322">
            <v>3</v>
          </cell>
          <cell r="AZ322">
            <v>5</v>
          </cell>
          <cell r="BA322">
            <v>5</v>
          </cell>
          <cell r="BB322">
            <v>4</v>
          </cell>
          <cell r="BC322">
            <v>0</v>
          </cell>
          <cell r="BD322">
            <v>0</v>
          </cell>
          <cell r="BE322">
            <v>4</v>
          </cell>
          <cell r="BF322">
            <v>4</v>
          </cell>
          <cell r="BG322">
            <v>8</v>
          </cell>
          <cell r="BH322">
            <v>1</v>
          </cell>
          <cell r="BI322">
            <v>0</v>
          </cell>
          <cell r="BJ322">
            <v>0</v>
          </cell>
          <cell r="BK322">
            <v>0</v>
          </cell>
          <cell r="BL322">
            <v>0</v>
          </cell>
          <cell r="BM322">
            <v>1</v>
          </cell>
          <cell r="BN322">
            <v>0</v>
          </cell>
          <cell r="BO322">
            <v>0</v>
          </cell>
          <cell r="BP322">
            <v>0</v>
          </cell>
          <cell r="BQ322">
            <v>0</v>
          </cell>
          <cell r="BR322">
            <v>4</v>
          </cell>
          <cell r="BS322">
            <v>0</v>
          </cell>
          <cell r="BT322">
            <v>0</v>
          </cell>
          <cell r="BU322">
            <v>5</v>
          </cell>
        </row>
        <row r="323">
          <cell r="A323">
            <v>31</v>
          </cell>
          <cell r="B323">
            <v>31</v>
          </cell>
          <cell r="D323">
            <v>0</v>
          </cell>
          <cell r="F323">
            <v>0</v>
          </cell>
          <cell r="G323">
            <v>1</v>
          </cell>
          <cell r="I323">
            <v>0</v>
          </cell>
          <cell r="J323">
            <v>1</v>
          </cell>
          <cell r="K323">
            <v>7</v>
          </cell>
          <cell r="L323">
            <v>7</v>
          </cell>
          <cell r="M323">
            <v>3</v>
          </cell>
          <cell r="O323">
            <v>0</v>
          </cell>
          <cell r="P323">
            <v>0</v>
          </cell>
          <cell r="Q323">
            <v>0</v>
          </cell>
          <cell r="R323">
            <v>1</v>
          </cell>
          <cell r="S323">
            <v>0</v>
          </cell>
          <cell r="T323">
            <v>4</v>
          </cell>
          <cell r="V323">
            <v>0</v>
          </cell>
          <cell r="W323">
            <v>73</v>
          </cell>
          <cell r="X323">
            <v>3</v>
          </cell>
          <cell r="Y323">
            <v>2</v>
          </cell>
          <cell r="AA323">
            <v>0</v>
          </cell>
          <cell r="AB323">
            <v>1</v>
          </cell>
          <cell r="AC323">
            <v>0</v>
          </cell>
          <cell r="AD323">
            <v>0</v>
          </cell>
          <cell r="AE323">
            <v>0</v>
          </cell>
          <cell r="AF323">
            <v>0</v>
          </cell>
          <cell r="AG323">
            <v>0</v>
          </cell>
          <cell r="AH323">
            <v>0</v>
          </cell>
          <cell r="AI323">
            <v>4</v>
          </cell>
          <cell r="AK323">
            <v>0</v>
          </cell>
          <cell r="AL323">
            <v>0</v>
          </cell>
          <cell r="AN323">
            <v>7547</v>
          </cell>
          <cell r="AO323">
            <v>4</v>
          </cell>
          <cell r="AQ323">
            <v>0</v>
          </cell>
          <cell r="AR323">
            <v>12</v>
          </cell>
          <cell r="AS323">
            <v>3</v>
          </cell>
          <cell r="AT323">
            <v>4</v>
          </cell>
          <cell r="AU323">
            <v>3</v>
          </cell>
          <cell r="AV323">
            <v>13</v>
          </cell>
          <cell r="AW323">
            <v>13</v>
          </cell>
          <cell r="AX323">
            <v>3</v>
          </cell>
          <cell r="AY323">
            <v>3</v>
          </cell>
          <cell r="AZ323">
            <v>7</v>
          </cell>
          <cell r="BA323">
            <v>7</v>
          </cell>
          <cell r="BB323">
            <v>7</v>
          </cell>
          <cell r="BC323">
            <v>1</v>
          </cell>
          <cell r="BD323">
            <v>1</v>
          </cell>
          <cell r="BE323">
            <v>7</v>
          </cell>
          <cell r="BF323">
            <v>7</v>
          </cell>
          <cell r="BG323">
            <v>14</v>
          </cell>
          <cell r="BH323">
            <v>1</v>
          </cell>
          <cell r="BI323">
            <v>0</v>
          </cell>
          <cell r="BJ323">
            <v>0</v>
          </cell>
          <cell r="BK323">
            <v>0</v>
          </cell>
          <cell r="BL323">
            <v>1</v>
          </cell>
          <cell r="BM323">
            <v>0</v>
          </cell>
          <cell r="BN323">
            <v>0</v>
          </cell>
          <cell r="BO323">
            <v>0</v>
          </cell>
          <cell r="BP323">
            <v>0</v>
          </cell>
          <cell r="BQ323">
            <v>0</v>
          </cell>
          <cell r="BR323">
            <v>7</v>
          </cell>
          <cell r="BS323">
            <v>0</v>
          </cell>
          <cell r="BT323">
            <v>0</v>
          </cell>
          <cell r="BU323">
            <v>13</v>
          </cell>
        </row>
        <row r="324">
          <cell r="A324">
            <v>32</v>
          </cell>
          <cell r="B324">
            <v>32</v>
          </cell>
          <cell r="D324">
            <v>0</v>
          </cell>
          <cell r="F324">
            <v>0</v>
          </cell>
          <cell r="G324">
            <v>1</v>
          </cell>
          <cell r="I324">
            <v>1</v>
          </cell>
          <cell r="J324">
            <v>0</v>
          </cell>
          <cell r="K324">
            <v>2</v>
          </cell>
          <cell r="L324">
            <v>2</v>
          </cell>
          <cell r="M324">
            <v>4</v>
          </cell>
          <cell r="O324">
            <v>0</v>
          </cell>
          <cell r="P324">
            <v>0</v>
          </cell>
          <cell r="Q324">
            <v>1</v>
          </cell>
          <cell r="R324">
            <v>0</v>
          </cell>
          <cell r="S324">
            <v>0</v>
          </cell>
          <cell r="T324">
            <v>1</v>
          </cell>
          <cell r="V324">
            <v>1</v>
          </cell>
          <cell r="W324">
            <v>74</v>
          </cell>
          <cell r="X324">
            <v>4</v>
          </cell>
          <cell r="Y324">
            <v>2</v>
          </cell>
          <cell r="AA324">
            <v>0</v>
          </cell>
          <cell r="AB324">
            <v>0</v>
          </cell>
          <cell r="AC324">
            <v>0</v>
          </cell>
          <cell r="AD324">
            <v>0</v>
          </cell>
          <cell r="AE324">
            <v>0</v>
          </cell>
          <cell r="AF324">
            <v>0</v>
          </cell>
          <cell r="AG324">
            <v>0</v>
          </cell>
          <cell r="AH324">
            <v>1</v>
          </cell>
          <cell r="AI324">
            <v>4</v>
          </cell>
          <cell r="AK324">
            <v>1</v>
          </cell>
          <cell r="AL324">
            <v>0</v>
          </cell>
          <cell r="AN324">
            <v>5055</v>
          </cell>
          <cell r="AO324">
            <v>7</v>
          </cell>
          <cell r="AQ324">
            <v>0</v>
          </cell>
          <cell r="AR324">
            <v>16</v>
          </cell>
          <cell r="AS324">
            <v>3</v>
          </cell>
          <cell r="AT324">
            <v>3</v>
          </cell>
          <cell r="AU324">
            <v>0</v>
          </cell>
          <cell r="AV324">
            <v>10</v>
          </cell>
          <cell r="AW324">
            <v>10</v>
          </cell>
          <cell r="AX324">
            <v>0</v>
          </cell>
          <cell r="AY324">
            <v>2</v>
          </cell>
          <cell r="AZ324">
            <v>7</v>
          </cell>
          <cell r="BA324">
            <v>7</v>
          </cell>
          <cell r="BB324">
            <v>7</v>
          </cell>
          <cell r="BC324">
            <v>0</v>
          </cell>
          <cell r="BD324">
            <v>0</v>
          </cell>
          <cell r="BE324">
            <v>7</v>
          </cell>
          <cell r="BF324">
            <v>7</v>
          </cell>
          <cell r="BG324">
            <v>14</v>
          </cell>
          <cell r="BH324">
            <v>1</v>
          </cell>
          <cell r="BI324">
            <v>0</v>
          </cell>
          <cell r="BJ324">
            <v>0</v>
          </cell>
          <cell r="BK324">
            <v>0</v>
          </cell>
          <cell r="BL324">
            <v>1</v>
          </cell>
          <cell r="BM324">
            <v>0</v>
          </cell>
          <cell r="BN324">
            <v>0</v>
          </cell>
          <cell r="BO324">
            <v>0</v>
          </cell>
          <cell r="BP324">
            <v>0</v>
          </cell>
          <cell r="BQ324">
            <v>7</v>
          </cell>
          <cell r="BR324">
            <v>0</v>
          </cell>
          <cell r="BS324">
            <v>0</v>
          </cell>
          <cell r="BT324">
            <v>10</v>
          </cell>
          <cell r="BU324">
            <v>0</v>
          </cell>
        </row>
        <row r="325">
          <cell r="A325">
            <v>28</v>
          </cell>
          <cell r="B325">
            <v>28</v>
          </cell>
          <cell r="D325">
            <v>1</v>
          </cell>
          <cell r="F325">
            <v>0</v>
          </cell>
          <cell r="G325">
            <v>1</v>
          </cell>
          <cell r="I325">
            <v>1</v>
          </cell>
          <cell r="J325">
            <v>0</v>
          </cell>
          <cell r="K325">
            <v>2</v>
          </cell>
          <cell r="L325">
            <v>2</v>
          </cell>
          <cell r="M325">
            <v>4</v>
          </cell>
          <cell r="O325">
            <v>0</v>
          </cell>
          <cell r="P325">
            <v>0</v>
          </cell>
          <cell r="Q325">
            <v>1</v>
          </cell>
          <cell r="R325">
            <v>0</v>
          </cell>
          <cell r="S325">
            <v>0</v>
          </cell>
          <cell r="T325">
            <v>1</v>
          </cell>
          <cell r="V325">
            <v>0</v>
          </cell>
          <cell r="W325">
            <v>84</v>
          </cell>
          <cell r="X325">
            <v>1</v>
          </cell>
          <cell r="Y325">
            <v>1</v>
          </cell>
          <cell r="AA325">
            <v>0</v>
          </cell>
          <cell r="AB325">
            <v>0</v>
          </cell>
          <cell r="AC325">
            <v>0</v>
          </cell>
          <cell r="AD325">
            <v>0</v>
          </cell>
          <cell r="AE325">
            <v>0</v>
          </cell>
          <cell r="AF325">
            <v>0</v>
          </cell>
          <cell r="AG325">
            <v>0</v>
          </cell>
          <cell r="AH325">
            <v>1</v>
          </cell>
          <cell r="AI325">
            <v>4</v>
          </cell>
          <cell r="AK325">
            <v>0</v>
          </cell>
          <cell r="AL325">
            <v>1</v>
          </cell>
          <cell r="AN325">
            <v>3464</v>
          </cell>
          <cell r="AO325">
            <v>5</v>
          </cell>
          <cell r="AQ325">
            <v>1</v>
          </cell>
          <cell r="AR325">
            <v>13</v>
          </cell>
          <cell r="AS325">
            <v>3</v>
          </cell>
          <cell r="AT325">
            <v>4</v>
          </cell>
          <cell r="AU325">
            <v>0</v>
          </cell>
          <cell r="AV325">
            <v>5</v>
          </cell>
          <cell r="AW325">
            <v>5</v>
          </cell>
          <cell r="AX325">
            <v>4</v>
          </cell>
          <cell r="AY325">
            <v>2</v>
          </cell>
          <cell r="AZ325">
            <v>3</v>
          </cell>
          <cell r="BA325">
            <v>3</v>
          </cell>
          <cell r="BB325">
            <v>2</v>
          </cell>
          <cell r="BC325">
            <v>2</v>
          </cell>
          <cell r="BD325">
            <v>2</v>
          </cell>
          <cell r="BE325">
            <v>2</v>
          </cell>
          <cell r="BF325">
            <v>2</v>
          </cell>
          <cell r="BG325">
            <v>2</v>
          </cell>
          <cell r="BH325">
            <v>0</v>
          </cell>
          <cell r="BI325">
            <v>1</v>
          </cell>
          <cell r="BJ325">
            <v>0</v>
          </cell>
          <cell r="BK325">
            <v>0</v>
          </cell>
          <cell r="BL325">
            <v>0</v>
          </cell>
          <cell r="BM325">
            <v>0</v>
          </cell>
          <cell r="BN325">
            <v>0</v>
          </cell>
          <cell r="BO325">
            <v>1</v>
          </cell>
          <cell r="BP325">
            <v>0</v>
          </cell>
          <cell r="BQ325">
            <v>2</v>
          </cell>
          <cell r="BR325">
            <v>0</v>
          </cell>
          <cell r="BS325">
            <v>0</v>
          </cell>
          <cell r="BT325">
            <v>5</v>
          </cell>
          <cell r="BU325">
            <v>0</v>
          </cell>
        </row>
        <row r="326">
          <cell r="A326">
            <v>30</v>
          </cell>
          <cell r="B326">
            <v>30</v>
          </cell>
          <cell r="D326">
            <v>0</v>
          </cell>
          <cell r="F326">
            <v>0</v>
          </cell>
          <cell r="G326">
            <v>1</v>
          </cell>
          <cell r="I326">
            <v>1</v>
          </cell>
          <cell r="J326">
            <v>0</v>
          </cell>
          <cell r="K326">
            <v>28</v>
          </cell>
          <cell r="L326">
            <v>28</v>
          </cell>
          <cell r="M326">
            <v>2</v>
          </cell>
          <cell r="O326">
            <v>0</v>
          </cell>
          <cell r="P326">
            <v>0</v>
          </cell>
          <cell r="Q326">
            <v>1</v>
          </cell>
          <cell r="R326">
            <v>0</v>
          </cell>
          <cell r="S326">
            <v>0</v>
          </cell>
          <cell r="T326">
            <v>4</v>
          </cell>
          <cell r="V326">
            <v>1</v>
          </cell>
          <cell r="W326">
            <v>64</v>
          </cell>
          <cell r="X326">
            <v>3</v>
          </cell>
          <cell r="Y326">
            <v>2</v>
          </cell>
          <cell r="AA326">
            <v>0</v>
          </cell>
          <cell r="AB326">
            <v>0</v>
          </cell>
          <cell r="AC326">
            <v>0</v>
          </cell>
          <cell r="AD326">
            <v>0</v>
          </cell>
          <cell r="AE326">
            <v>0</v>
          </cell>
          <cell r="AF326">
            <v>0</v>
          </cell>
          <cell r="AG326">
            <v>0</v>
          </cell>
          <cell r="AH326">
            <v>1</v>
          </cell>
          <cell r="AI326">
            <v>4</v>
          </cell>
          <cell r="AK326">
            <v>0</v>
          </cell>
          <cell r="AL326">
            <v>1</v>
          </cell>
          <cell r="AN326">
            <v>5775</v>
          </cell>
          <cell r="AO326">
            <v>1</v>
          </cell>
          <cell r="AQ326">
            <v>0</v>
          </cell>
          <cell r="AR326">
            <v>13</v>
          </cell>
          <cell r="AS326">
            <v>3</v>
          </cell>
          <cell r="AT326">
            <v>4</v>
          </cell>
          <cell r="AU326">
            <v>2</v>
          </cell>
          <cell r="AV326">
            <v>11</v>
          </cell>
          <cell r="AW326">
            <v>11</v>
          </cell>
          <cell r="AX326">
            <v>2</v>
          </cell>
          <cell r="AY326">
            <v>3</v>
          </cell>
          <cell r="AZ326">
            <v>10</v>
          </cell>
          <cell r="BA326">
            <v>10</v>
          </cell>
          <cell r="BB326">
            <v>8</v>
          </cell>
          <cell r="BC326">
            <v>1</v>
          </cell>
          <cell r="BD326">
            <v>1</v>
          </cell>
          <cell r="BE326">
            <v>9</v>
          </cell>
          <cell r="BF326">
            <v>9</v>
          </cell>
          <cell r="BG326">
            <v>18</v>
          </cell>
          <cell r="BH326">
            <v>0</v>
          </cell>
          <cell r="BI326">
            <v>1</v>
          </cell>
          <cell r="BJ326">
            <v>0</v>
          </cell>
          <cell r="BK326">
            <v>0</v>
          </cell>
          <cell r="BL326">
            <v>0</v>
          </cell>
          <cell r="BM326">
            <v>0</v>
          </cell>
          <cell r="BN326">
            <v>1</v>
          </cell>
          <cell r="BO326">
            <v>0</v>
          </cell>
          <cell r="BP326">
            <v>0</v>
          </cell>
          <cell r="BQ326">
            <v>9</v>
          </cell>
          <cell r="BR326">
            <v>0</v>
          </cell>
          <cell r="BS326">
            <v>0</v>
          </cell>
          <cell r="BT326">
            <v>11</v>
          </cell>
          <cell r="BU326">
            <v>0</v>
          </cell>
        </row>
        <row r="327">
          <cell r="A327">
            <v>31</v>
          </cell>
          <cell r="B327">
            <v>31</v>
          </cell>
          <cell r="D327">
            <v>0</v>
          </cell>
          <cell r="F327">
            <v>1</v>
          </cell>
          <cell r="G327">
            <v>0</v>
          </cell>
          <cell r="I327">
            <v>1</v>
          </cell>
          <cell r="J327">
            <v>0</v>
          </cell>
          <cell r="K327">
            <v>7</v>
          </cell>
          <cell r="L327">
            <v>7</v>
          </cell>
          <cell r="M327">
            <v>2</v>
          </cell>
          <cell r="O327">
            <v>1</v>
          </cell>
          <cell r="P327">
            <v>0</v>
          </cell>
          <cell r="Q327">
            <v>0</v>
          </cell>
          <cell r="R327">
            <v>0</v>
          </cell>
          <cell r="S327">
            <v>0</v>
          </cell>
          <cell r="T327">
            <v>3</v>
          </cell>
          <cell r="V327">
            <v>1</v>
          </cell>
          <cell r="W327">
            <v>48</v>
          </cell>
          <cell r="X327">
            <v>2</v>
          </cell>
          <cell r="Y327">
            <v>3</v>
          </cell>
          <cell r="AA327">
            <v>0</v>
          </cell>
          <cell r="AB327">
            <v>0</v>
          </cell>
          <cell r="AC327">
            <v>0</v>
          </cell>
          <cell r="AD327">
            <v>0</v>
          </cell>
          <cell r="AE327">
            <v>1</v>
          </cell>
          <cell r="AF327">
            <v>1</v>
          </cell>
          <cell r="AG327">
            <v>0</v>
          </cell>
          <cell r="AH327">
            <v>0</v>
          </cell>
          <cell r="AI327">
            <v>3</v>
          </cell>
          <cell r="AK327">
            <v>0</v>
          </cell>
          <cell r="AL327">
            <v>1</v>
          </cell>
          <cell r="AN327">
            <v>8943</v>
          </cell>
          <cell r="AO327">
            <v>1</v>
          </cell>
          <cell r="AQ327">
            <v>0</v>
          </cell>
          <cell r="AR327">
            <v>24</v>
          </cell>
          <cell r="AS327">
            <v>4</v>
          </cell>
          <cell r="AT327">
            <v>1</v>
          </cell>
          <cell r="AU327">
            <v>1</v>
          </cell>
          <cell r="AV327">
            <v>10</v>
          </cell>
          <cell r="AW327">
            <v>10</v>
          </cell>
          <cell r="AX327">
            <v>2</v>
          </cell>
          <cell r="AY327">
            <v>3</v>
          </cell>
          <cell r="AZ327">
            <v>10</v>
          </cell>
          <cell r="BA327">
            <v>10</v>
          </cell>
          <cell r="BB327">
            <v>9</v>
          </cell>
          <cell r="BC327">
            <v>8</v>
          </cell>
          <cell r="BD327">
            <v>8</v>
          </cell>
          <cell r="BE327">
            <v>9</v>
          </cell>
          <cell r="BF327">
            <v>9</v>
          </cell>
          <cell r="BG327">
            <v>27</v>
          </cell>
          <cell r="BH327">
            <v>0</v>
          </cell>
          <cell r="BI327">
            <v>0</v>
          </cell>
          <cell r="BJ327">
            <v>0</v>
          </cell>
          <cell r="BK327">
            <v>1</v>
          </cell>
          <cell r="BL327">
            <v>0</v>
          </cell>
          <cell r="BM327">
            <v>0</v>
          </cell>
          <cell r="BN327">
            <v>1</v>
          </cell>
          <cell r="BO327">
            <v>0</v>
          </cell>
          <cell r="BP327">
            <v>0</v>
          </cell>
          <cell r="BQ327">
            <v>9</v>
          </cell>
          <cell r="BR327">
            <v>0</v>
          </cell>
          <cell r="BS327">
            <v>0</v>
          </cell>
          <cell r="BT327">
            <v>10</v>
          </cell>
          <cell r="BU327">
            <v>0</v>
          </cell>
        </row>
        <row r="328">
          <cell r="A328">
            <v>39</v>
          </cell>
          <cell r="B328">
            <v>39</v>
          </cell>
          <cell r="D328">
            <v>0</v>
          </cell>
          <cell r="F328">
            <v>1</v>
          </cell>
          <cell r="G328">
            <v>0</v>
          </cell>
          <cell r="I328">
            <v>1</v>
          </cell>
          <cell r="J328">
            <v>0</v>
          </cell>
          <cell r="K328">
            <v>7</v>
          </cell>
          <cell r="L328">
            <v>7</v>
          </cell>
          <cell r="M328">
            <v>2</v>
          </cell>
          <cell r="O328">
            <v>0</v>
          </cell>
          <cell r="P328">
            <v>0</v>
          </cell>
          <cell r="Q328">
            <v>1</v>
          </cell>
          <cell r="R328">
            <v>0</v>
          </cell>
          <cell r="S328">
            <v>0</v>
          </cell>
          <cell r="T328">
            <v>3</v>
          </cell>
          <cell r="V328">
            <v>0</v>
          </cell>
          <cell r="W328">
            <v>54</v>
          </cell>
          <cell r="X328">
            <v>2</v>
          </cell>
          <cell r="Y328">
            <v>5</v>
          </cell>
          <cell r="AA328">
            <v>0</v>
          </cell>
          <cell r="AB328">
            <v>0</v>
          </cell>
          <cell r="AC328">
            <v>0</v>
          </cell>
          <cell r="AD328">
            <v>1</v>
          </cell>
          <cell r="AE328">
            <v>0</v>
          </cell>
          <cell r="AF328">
            <v>0</v>
          </cell>
          <cell r="AG328">
            <v>0</v>
          </cell>
          <cell r="AH328">
            <v>0</v>
          </cell>
          <cell r="AI328">
            <v>4</v>
          </cell>
          <cell r="AK328">
            <v>0</v>
          </cell>
          <cell r="AL328">
            <v>1</v>
          </cell>
          <cell r="AN328">
            <v>19272</v>
          </cell>
          <cell r="AO328">
            <v>1</v>
          </cell>
          <cell r="AQ328">
            <v>0</v>
          </cell>
          <cell r="AR328">
            <v>15</v>
          </cell>
          <cell r="AS328">
            <v>3</v>
          </cell>
          <cell r="AT328">
            <v>1</v>
          </cell>
          <cell r="AU328">
            <v>1</v>
          </cell>
          <cell r="AV328">
            <v>21</v>
          </cell>
          <cell r="AW328">
            <v>21</v>
          </cell>
          <cell r="AX328">
            <v>2</v>
          </cell>
          <cell r="AY328">
            <v>3</v>
          </cell>
          <cell r="AZ328">
            <v>21</v>
          </cell>
          <cell r="BA328">
            <v>21</v>
          </cell>
          <cell r="BB328">
            <v>9</v>
          </cell>
          <cell r="BC328">
            <v>13</v>
          </cell>
          <cell r="BD328">
            <v>13</v>
          </cell>
          <cell r="BE328">
            <v>3</v>
          </cell>
          <cell r="BF328">
            <v>3</v>
          </cell>
          <cell r="BG328">
            <v>15</v>
          </cell>
          <cell r="BH328">
            <v>0</v>
          </cell>
          <cell r="BI328">
            <v>0</v>
          </cell>
          <cell r="BJ328">
            <v>0</v>
          </cell>
          <cell r="BK328">
            <v>1</v>
          </cell>
          <cell r="BL328">
            <v>0</v>
          </cell>
          <cell r="BM328">
            <v>0</v>
          </cell>
          <cell r="BN328">
            <v>1</v>
          </cell>
          <cell r="BO328">
            <v>0</v>
          </cell>
          <cell r="BP328">
            <v>0</v>
          </cell>
          <cell r="BQ328">
            <v>3</v>
          </cell>
          <cell r="BR328">
            <v>0</v>
          </cell>
          <cell r="BS328">
            <v>0</v>
          </cell>
          <cell r="BT328">
            <v>21</v>
          </cell>
          <cell r="BU328">
            <v>0</v>
          </cell>
        </row>
        <row r="329">
          <cell r="A329">
            <v>39</v>
          </cell>
          <cell r="B329">
            <v>39</v>
          </cell>
          <cell r="D329">
            <v>1</v>
          </cell>
          <cell r="F329">
            <v>0</v>
          </cell>
          <cell r="G329">
            <v>1</v>
          </cell>
          <cell r="I329">
            <v>0</v>
          </cell>
          <cell r="J329">
            <v>1</v>
          </cell>
          <cell r="K329">
            <v>3</v>
          </cell>
          <cell r="L329">
            <v>3</v>
          </cell>
          <cell r="M329">
            <v>2</v>
          </cell>
          <cell r="O329">
            <v>0</v>
          </cell>
          <cell r="P329">
            <v>0</v>
          </cell>
          <cell r="Q329">
            <v>1</v>
          </cell>
          <cell r="R329">
            <v>0</v>
          </cell>
          <cell r="S329">
            <v>0</v>
          </cell>
          <cell r="T329">
            <v>4</v>
          </cell>
          <cell r="V329">
            <v>1</v>
          </cell>
          <cell r="W329">
            <v>41</v>
          </cell>
          <cell r="X329">
            <v>3</v>
          </cell>
          <cell r="Y329">
            <v>2</v>
          </cell>
          <cell r="AA329">
            <v>0</v>
          </cell>
          <cell r="AB329">
            <v>1</v>
          </cell>
          <cell r="AC329">
            <v>0</v>
          </cell>
          <cell r="AD329">
            <v>0</v>
          </cell>
          <cell r="AE329">
            <v>0</v>
          </cell>
          <cell r="AF329">
            <v>0</v>
          </cell>
          <cell r="AG329">
            <v>0</v>
          </cell>
          <cell r="AH329">
            <v>0</v>
          </cell>
          <cell r="AI329">
            <v>3</v>
          </cell>
          <cell r="AK329">
            <v>0</v>
          </cell>
          <cell r="AL329">
            <v>1</v>
          </cell>
          <cell r="AN329">
            <v>5238</v>
          </cell>
          <cell r="AO329">
            <v>4</v>
          </cell>
          <cell r="AQ329">
            <v>1</v>
          </cell>
          <cell r="AR329">
            <v>18</v>
          </cell>
          <cell r="AS329">
            <v>3</v>
          </cell>
          <cell r="AT329">
            <v>1</v>
          </cell>
          <cell r="AU329">
            <v>0</v>
          </cell>
          <cell r="AV329">
            <v>12</v>
          </cell>
          <cell r="AW329">
            <v>12</v>
          </cell>
          <cell r="AX329">
            <v>3</v>
          </cell>
          <cell r="AY329">
            <v>2</v>
          </cell>
          <cell r="AZ329">
            <v>1</v>
          </cell>
          <cell r="BA329">
            <v>1</v>
          </cell>
          <cell r="BB329">
            <v>0</v>
          </cell>
          <cell r="BC329">
            <v>0</v>
          </cell>
          <cell r="BD329">
            <v>0</v>
          </cell>
          <cell r="BE329">
            <v>0</v>
          </cell>
          <cell r="BF329">
            <v>0</v>
          </cell>
          <cell r="BG329">
            <v>0</v>
          </cell>
          <cell r="BH329">
            <v>0</v>
          </cell>
          <cell r="BI329">
            <v>1</v>
          </cell>
          <cell r="BJ329">
            <v>0</v>
          </cell>
          <cell r="BK329">
            <v>0</v>
          </cell>
          <cell r="BL329">
            <v>0</v>
          </cell>
          <cell r="BM329">
            <v>0</v>
          </cell>
          <cell r="BN329">
            <v>0</v>
          </cell>
          <cell r="BO329">
            <v>1</v>
          </cell>
          <cell r="BP329">
            <v>0</v>
          </cell>
          <cell r="BQ329">
            <v>0</v>
          </cell>
          <cell r="BR329">
            <v>0</v>
          </cell>
          <cell r="BS329">
            <v>0</v>
          </cell>
          <cell r="BT329">
            <v>0</v>
          </cell>
          <cell r="BU329">
            <v>12</v>
          </cell>
        </row>
        <row r="330">
          <cell r="A330">
            <v>33</v>
          </cell>
          <cell r="B330">
            <v>33</v>
          </cell>
          <cell r="D330">
            <v>0</v>
          </cell>
          <cell r="F330">
            <v>1</v>
          </cell>
          <cell r="G330">
            <v>0</v>
          </cell>
          <cell r="I330">
            <v>0</v>
          </cell>
          <cell r="J330">
            <v>1</v>
          </cell>
          <cell r="K330">
            <v>10</v>
          </cell>
          <cell r="L330">
            <v>10</v>
          </cell>
          <cell r="M330">
            <v>3</v>
          </cell>
          <cell r="O330">
            <v>0</v>
          </cell>
          <cell r="P330">
            <v>0</v>
          </cell>
          <cell r="Q330">
            <v>0</v>
          </cell>
          <cell r="R330">
            <v>1</v>
          </cell>
          <cell r="S330">
            <v>0</v>
          </cell>
          <cell r="T330">
            <v>2</v>
          </cell>
          <cell r="V330">
            <v>0</v>
          </cell>
          <cell r="W330">
            <v>46</v>
          </cell>
          <cell r="X330">
            <v>2</v>
          </cell>
          <cell r="Y330">
            <v>2</v>
          </cell>
          <cell r="AA330">
            <v>0</v>
          </cell>
          <cell r="AB330">
            <v>1</v>
          </cell>
          <cell r="AC330">
            <v>0</v>
          </cell>
          <cell r="AD330">
            <v>0</v>
          </cell>
          <cell r="AE330">
            <v>0</v>
          </cell>
          <cell r="AF330">
            <v>0</v>
          </cell>
          <cell r="AG330">
            <v>0</v>
          </cell>
          <cell r="AH330">
            <v>0</v>
          </cell>
          <cell r="AI330">
            <v>4</v>
          </cell>
          <cell r="AK330">
            <v>1</v>
          </cell>
          <cell r="AL330">
            <v>0</v>
          </cell>
          <cell r="AN330">
            <v>4682</v>
          </cell>
          <cell r="AO330">
            <v>3</v>
          </cell>
          <cell r="AQ330">
            <v>0</v>
          </cell>
          <cell r="AR330">
            <v>14</v>
          </cell>
          <cell r="AS330">
            <v>3</v>
          </cell>
          <cell r="AT330">
            <v>3</v>
          </cell>
          <cell r="AU330">
            <v>0</v>
          </cell>
          <cell r="AV330">
            <v>9</v>
          </cell>
          <cell r="AW330">
            <v>9</v>
          </cell>
          <cell r="AX330">
            <v>6</v>
          </cell>
          <cell r="AY330">
            <v>2</v>
          </cell>
          <cell r="AZ330">
            <v>7</v>
          </cell>
          <cell r="BA330">
            <v>7</v>
          </cell>
          <cell r="BB330">
            <v>7</v>
          </cell>
          <cell r="BC330">
            <v>0</v>
          </cell>
          <cell r="BD330">
            <v>0</v>
          </cell>
          <cell r="BE330">
            <v>1</v>
          </cell>
          <cell r="BF330">
            <v>1</v>
          </cell>
          <cell r="BG330">
            <v>2</v>
          </cell>
          <cell r="BH330">
            <v>0</v>
          </cell>
          <cell r="BI330">
            <v>0</v>
          </cell>
          <cell r="BJ330">
            <v>1</v>
          </cell>
          <cell r="BK330">
            <v>0</v>
          </cell>
          <cell r="BL330">
            <v>1</v>
          </cell>
          <cell r="BM330">
            <v>0</v>
          </cell>
          <cell r="BN330">
            <v>0</v>
          </cell>
          <cell r="BO330">
            <v>0</v>
          </cell>
          <cell r="BP330">
            <v>0</v>
          </cell>
          <cell r="BQ330">
            <v>0</v>
          </cell>
          <cell r="BR330">
            <v>1</v>
          </cell>
          <cell r="BS330">
            <v>0</v>
          </cell>
          <cell r="BT330">
            <v>0</v>
          </cell>
          <cell r="BU330">
            <v>9</v>
          </cell>
        </row>
        <row r="331">
          <cell r="A331">
            <v>47</v>
          </cell>
          <cell r="B331">
            <v>47</v>
          </cell>
          <cell r="D331">
            <v>0</v>
          </cell>
          <cell r="F331">
            <v>0</v>
          </cell>
          <cell r="G331">
            <v>1</v>
          </cell>
          <cell r="I331">
            <v>1</v>
          </cell>
          <cell r="J331">
            <v>0</v>
          </cell>
          <cell r="K331">
            <v>5</v>
          </cell>
          <cell r="L331">
            <v>5</v>
          </cell>
          <cell r="M331">
            <v>5</v>
          </cell>
          <cell r="O331">
            <v>1</v>
          </cell>
          <cell r="P331">
            <v>0</v>
          </cell>
          <cell r="Q331">
            <v>0</v>
          </cell>
          <cell r="R331">
            <v>0</v>
          </cell>
          <cell r="S331">
            <v>0</v>
          </cell>
          <cell r="T331">
            <v>4</v>
          </cell>
          <cell r="V331">
            <v>0</v>
          </cell>
          <cell r="W331">
            <v>42</v>
          </cell>
          <cell r="X331">
            <v>3</v>
          </cell>
          <cell r="Y331">
            <v>5</v>
          </cell>
          <cell r="AA331">
            <v>0</v>
          </cell>
          <cell r="AB331">
            <v>0</v>
          </cell>
          <cell r="AC331">
            <v>0</v>
          </cell>
          <cell r="AD331">
            <v>0</v>
          </cell>
          <cell r="AE331">
            <v>0</v>
          </cell>
          <cell r="AF331">
            <v>0</v>
          </cell>
          <cell r="AG331">
            <v>0</v>
          </cell>
          <cell r="AH331">
            <v>0</v>
          </cell>
          <cell r="AI331">
            <v>3</v>
          </cell>
          <cell r="AK331">
            <v>0</v>
          </cell>
          <cell r="AL331">
            <v>1</v>
          </cell>
          <cell r="AN331">
            <v>18300</v>
          </cell>
          <cell r="AO331">
            <v>4</v>
          </cell>
          <cell r="AQ331">
            <v>0</v>
          </cell>
          <cell r="AR331">
            <v>11</v>
          </cell>
          <cell r="AS331">
            <v>3</v>
          </cell>
          <cell r="AT331">
            <v>2</v>
          </cell>
          <cell r="AU331">
            <v>1</v>
          </cell>
          <cell r="AV331">
            <v>21</v>
          </cell>
          <cell r="AW331">
            <v>21</v>
          </cell>
          <cell r="AX331">
            <v>2</v>
          </cell>
          <cell r="AY331">
            <v>3</v>
          </cell>
          <cell r="AZ331">
            <v>3</v>
          </cell>
          <cell r="BA331">
            <v>3</v>
          </cell>
          <cell r="BB331">
            <v>2</v>
          </cell>
          <cell r="BC331">
            <v>1</v>
          </cell>
          <cell r="BD331">
            <v>1</v>
          </cell>
          <cell r="BE331">
            <v>1</v>
          </cell>
          <cell r="BF331">
            <v>1</v>
          </cell>
          <cell r="BG331">
            <v>5</v>
          </cell>
          <cell r="BH331">
            <v>0</v>
          </cell>
          <cell r="BI331">
            <v>1</v>
          </cell>
          <cell r="BJ331">
            <v>0</v>
          </cell>
          <cell r="BK331">
            <v>0</v>
          </cell>
          <cell r="BL331">
            <v>0</v>
          </cell>
          <cell r="BM331">
            <v>0</v>
          </cell>
          <cell r="BN331">
            <v>1</v>
          </cell>
          <cell r="BO331">
            <v>0</v>
          </cell>
          <cell r="BP331">
            <v>0</v>
          </cell>
          <cell r="BQ331">
            <v>1</v>
          </cell>
          <cell r="BR331">
            <v>0</v>
          </cell>
          <cell r="BS331">
            <v>0</v>
          </cell>
          <cell r="BT331">
            <v>21</v>
          </cell>
          <cell r="BU331">
            <v>0</v>
          </cell>
        </row>
        <row r="332">
          <cell r="A332">
            <v>43</v>
          </cell>
          <cell r="B332">
            <v>43</v>
          </cell>
          <cell r="D332">
            <v>0</v>
          </cell>
          <cell r="F332">
            <v>1</v>
          </cell>
          <cell r="G332">
            <v>0</v>
          </cell>
          <cell r="I332">
            <v>1</v>
          </cell>
          <cell r="J332">
            <v>0</v>
          </cell>
          <cell r="K332">
            <v>10</v>
          </cell>
          <cell r="L332">
            <v>10</v>
          </cell>
          <cell r="M332">
            <v>4</v>
          </cell>
          <cell r="O332">
            <v>1</v>
          </cell>
          <cell r="P332">
            <v>0</v>
          </cell>
          <cell r="Q332">
            <v>0</v>
          </cell>
          <cell r="R332">
            <v>0</v>
          </cell>
          <cell r="S332">
            <v>0</v>
          </cell>
          <cell r="T332">
            <v>3</v>
          </cell>
          <cell r="V332">
            <v>1</v>
          </cell>
          <cell r="W332">
            <v>82</v>
          </cell>
          <cell r="X332">
            <v>2</v>
          </cell>
          <cell r="Y332">
            <v>2</v>
          </cell>
          <cell r="AA332">
            <v>0</v>
          </cell>
          <cell r="AB332">
            <v>0</v>
          </cell>
          <cell r="AC332">
            <v>1</v>
          </cell>
          <cell r="AD332">
            <v>0</v>
          </cell>
          <cell r="AE332">
            <v>0</v>
          </cell>
          <cell r="AF332">
            <v>0</v>
          </cell>
          <cell r="AG332">
            <v>0</v>
          </cell>
          <cell r="AH332">
            <v>0</v>
          </cell>
          <cell r="AI332">
            <v>3</v>
          </cell>
          <cell r="AK332">
            <v>0</v>
          </cell>
          <cell r="AL332">
            <v>0</v>
          </cell>
          <cell r="AN332">
            <v>5257</v>
          </cell>
          <cell r="AO332">
            <v>1</v>
          </cell>
          <cell r="AQ332">
            <v>0</v>
          </cell>
          <cell r="AR332">
            <v>11</v>
          </cell>
          <cell r="AS332">
            <v>3</v>
          </cell>
          <cell r="AT332">
            <v>2</v>
          </cell>
          <cell r="AU332">
            <v>1</v>
          </cell>
          <cell r="AV332">
            <v>9</v>
          </cell>
          <cell r="AW332">
            <v>9</v>
          </cell>
          <cell r="AX332">
            <v>3</v>
          </cell>
          <cell r="AY332">
            <v>4</v>
          </cell>
          <cell r="AZ332">
            <v>9</v>
          </cell>
          <cell r="BA332">
            <v>9</v>
          </cell>
          <cell r="BB332">
            <v>7</v>
          </cell>
          <cell r="BC332">
            <v>0</v>
          </cell>
          <cell r="BD332">
            <v>0</v>
          </cell>
          <cell r="BE332">
            <v>0</v>
          </cell>
          <cell r="BF332">
            <v>0</v>
          </cell>
          <cell r="BG332">
            <v>0</v>
          </cell>
          <cell r="BH332">
            <v>0</v>
          </cell>
          <cell r="BI332">
            <v>0</v>
          </cell>
          <cell r="BJ332">
            <v>1</v>
          </cell>
          <cell r="BK332">
            <v>0</v>
          </cell>
          <cell r="BL332">
            <v>1</v>
          </cell>
          <cell r="BM332">
            <v>0</v>
          </cell>
          <cell r="BN332">
            <v>0</v>
          </cell>
          <cell r="BO332">
            <v>0</v>
          </cell>
          <cell r="BP332">
            <v>0</v>
          </cell>
          <cell r="BQ332">
            <v>0</v>
          </cell>
          <cell r="BR332">
            <v>0</v>
          </cell>
          <cell r="BS332">
            <v>0</v>
          </cell>
          <cell r="BT332">
            <v>9</v>
          </cell>
          <cell r="BU332">
            <v>0</v>
          </cell>
        </row>
        <row r="333">
          <cell r="A333">
            <v>27</v>
          </cell>
          <cell r="B333">
            <v>27</v>
          </cell>
          <cell r="D333">
            <v>0</v>
          </cell>
          <cell r="F333">
            <v>0</v>
          </cell>
          <cell r="G333">
            <v>0</v>
          </cell>
          <cell r="I333">
            <v>0</v>
          </cell>
          <cell r="J333">
            <v>1</v>
          </cell>
          <cell r="K333">
            <v>1</v>
          </cell>
          <cell r="L333">
            <v>1</v>
          </cell>
          <cell r="M333">
            <v>1</v>
          </cell>
          <cell r="O333">
            <v>0</v>
          </cell>
          <cell r="P333">
            <v>0</v>
          </cell>
          <cell r="Q333">
            <v>0</v>
          </cell>
          <cell r="R333">
            <v>1</v>
          </cell>
          <cell r="S333">
            <v>0</v>
          </cell>
          <cell r="T333">
            <v>3</v>
          </cell>
          <cell r="V333">
            <v>0</v>
          </cell>
          <cell r="W333">
            <v>73</v>
          </cell>
          <cell r="X333">
            <v>3</v>
          </cell>
          <cell r="Y333">
            <v>2</v>
          </cell>
          <cell r="AA333">
            <v>0</v>
          </cell>
          <cell r="AB333">
            <v>1</v>
          </cell>
          <cell r="AC333">
            <v>0</v>
          </cell>
          <cell r="AD333">
            <v>0</v>
          </cell>
          <cell r="AE333">
            <v>0</v>
          </cell>
          <cell r="AF333">
            <v>0</v>
          </cell>
          <cell r="AG333">
            <v>0</v>
          </cell>
          <cell r="AH333">
            <v>0</v>
          </cell>
          <cell r="AI333">
            <v>2</v>
          </cell>
          <cell r="AK333">
            <v>0</v>
          </cell>
          <cell r="AL333">
            <v>1</v>
          </cell>
          <cell r="AN333">
            <v>6349</v>
          </cell>
          <cell r="AO333">
            <v>0</v>
          </cell>
          <cell r="AQ333">
            <v>1</v>
          </cell>
          <cell r="AR333">
            <v>13</v>
          </cell>
          <cell r="AS333">
            <v>3</v>
          </cell>
          <cell r="AT333">
            <v>4</v>
          </cell>
          <cell r="AU333">
            <v>1</v>
          </cell>
          <cell r="AV333">
            <v>6</v>
          </cell>
          <cell r="AW333">
            <v>6</v>
          </cell>
          <cell r="AX333">
            <v>0</v>
          </cell>
          <cell r="AY333">
            <v>3</v>
          </cell>
          <cell r="AZ333">
            <v>5</v>
          </cell>
          <cell r="BA333">
            <v>5</v>
          </cell>
          <cell r="BB333">
            <v>4</v>
          </cell>
          <cell r="BC333">
            <v>1</v>
          </cell>
          <cell r="BD333">
            <v>1</v>
          </cell>
          <cell r="BE333">
            <v>4</v>
          </cell>
          <cell r="BF333">
            <v>4</v>
          </cell>
          <cell r="BG333">
            <v>8</v>
          </cell>
          <cell r="BH333">
            <v>0</v>
          </cell>
          <cell r="BI333">
            <v>1</v>
          </cell>
          <cell r="BJ333">
            <v>0</v>
          </cell>
          <cell r="BK333">
            <v>0</v>
          </cell>
          <cell r="BL333">
            <v>0</v>
          </cell>
          <cell r="BM333">
            <v>0</v>
          </cell>
          <cell r="BN333">
            <v>0</v>
          </cell>
          <cell r="BO333">
            <v>1</v>
          </cell>
          <cell r="BP333">
            <v>0</v>
          </cell>
          <cell r="BQ333">
            <v>0</v>
          </cell>
          <cell r="BR333">
            <v>4</v>
          </cell>
          <cell r="BS333">
            <v>0</v>
          </cell>
          <cell r="BT333">
            <v>0</v>
          </cell>
          <cell r="BU333">
            <v>6</v>
          </cell>
        </row>
        <row r="334">
          <cell r="A334">
            <v>54</v>
          </cell>
          <cell r="B334">
            <v>54</v>
          </cell>
          <cell r="D334">
            <v>0</v>
          </cell>
          <cell r="F334">
            <v>1</v>
          </cell>
          <cell r="G334">
            <v>0</v>
          </cell>
          <cell r="I334">
            <v>1</v>
          </cell>
          <cell r="J334">
            <v>0</v>
          </cell>
          <cell r="K334">
            <v>20</v>
          </cell>
          <cell r="L334">
            <v>20</v>
          </cell>
          <cell r="M334">
            <v>4</v>
          </cell>
          <cell r="O334">
            <v>1</v>
          </cell>
          <cell r="P334">
            <v>0</v>
          </cell>
          <cell r="Q334">
            <v>0</v>
          </cell>
          <cell r="R334">
            <v>0</v>
          </cell>
          <cell r="S334">
            <v>0</v>
          </cell>
          <cell r="T334">
            <v>4</v>
          </cell>
          <cell r="V334">
            <v>1</v>
          </cell>
          <cell r="W334">
            <v>31</v>
          </cell>
          <cell r="X334">
            <v>3</v>
          </cell>
          <cell r="Y334">
            <v>2</v>
          </cell>
          <cell r="AA334">
            <v>0</v>
          </cell>
          <cell r="AB334">
            <v>0</v>
          </cell>
          <cell r="AC334">
            <v>0</v>
          </cell>
          <cell r="AD334">
            <v>0</v>
          </cell>
          <cell r="AE334">
            <v>0</v>
          </cell>
          <cell r="AF334">
            <v>0</v>
          </cell>
          <cell r="AG334">
            <v>0</v>
          </cell>
          <cell r="AH334">
            <v>1</v>
          </cell>
          <cell r="AI334">
            <v>3</v>
          </cell>
          <cell r="AK334">
            <v>1</v>
          </cell>
          <cell r="AL334">
            <v>0</v>
          </cell>
          <cell r="AN334">
            <v>4869</v>
          </cell>
          <cell r="AO334">
            <v>3</v>
          </cell>
          <cell r="AQ334">
            <v>0</v>
          </cell>
          <cell r="AR334">
            <v>12</v>
          </cell>
          <cell r="AS334">
            <v>3</v>
          </cell>
          <cell r="AT334">
            <v>4</v>
          </cell>
          <cell r="AU334">
            <v>0</v>
          </cell>
          <cell r="AV334">
            <v>20</v>
          </cell>
          <cell r="AW334">
            <v>20</v>
          </cell>
          <cell r="AX334">
            <v>4</v>
          </cell>
          <cell r="AY334">
            <v>2</v>
          </cell>
          <cell r="AZ334">
            <v>4</v>
          </cell>
          <cell r="BA334">
            <v>4</v>
          </cell>
          <cell r="BB334">
            <v>3</v>
          </cell>
          <cell r="BC334">
            <v>0</v>
          </cell>
          <cell r="BD334">
            <v>0</v>
          </cell>
          <cell r="BE334">
            <v>3</v>
          </cell>
          <cell r="BF334">
            <v>3</v>
          </cell>
          <cell r="BG334">
            <v>6</v>
          </cell>
          <cell r="BH334">
            <v>0</v>
          </cell>
          <cell r="BI334">
            <v>0</v>
          </cell>
          <cell r="BJ334">
            <v>1</v>
          </cell>
          <cell r="BK334">
            <v>0</v>
          </cell>
          <cell r="BL334">
            <v>1</v>
          </cell>
          <cell r="BM334">
            <v>0</v>
          </cell>
          <cell r="BN334">
            <v>0</v>
          </cell>
          <cell r="BO334">
            <v>0</v>
          </cell>
          <cell r="BP334">
            <v>0</v>
          </cell>
          <cell r="BQ334">
            <v>3</v>
          </cell>
          <cell r="BR334">
            <v>0</v>
          </cell>
          <cell r="BS334">
            <v>0</v>
          </cell>
          <cell r="BT334">
            <v>20</v>
          </cell>
          <cell r="BU334">
            <v>0</v>
          </cell>
        </row>
        <row r="335">
          <cell r="A335">
            <v>43</v>
          </cell>
          <cell r="B335">
            <v>43</v>
          </cell>
          <cell r="D335">
            <v>0</v>
          </cell>
          <cell r="F335">
            <v>0</v>
          </cell>
          <cell r="G335">
            <v>1</v>
          </cell>
          <cell r="I335">
            <v>1</v>
          </cell>
          <cell r="J335">
            <v>0</v>
          </cell>
          <cell r="K335">
            <v>7</v>
          </cell>
          <cell r="L335">
            <v>7</v>
          </cell>
          <cell r="M335">
            <v>3</v>
          </cell>
          <cell r="O335">
            <v>1</v>
          </cell>
          <cell r="P335">
            <v>0</v>
          </cell>
          <cell r="Q335">
            <v>0</v>
          </cell>
          <cell r="R335">
            <v>0</v>
          </cell>
          <cell r="S335">
            <v>0</v>
          </cell>
          <cell r="T335">
            <v>3</v>
          </cell>
          <cell r="V335">
            <v>1</v>
          </cell>
          <cell r="W335">
            <v>43</v>
          </cell>
          <cell r="X335">
            <v>3</v>
          </cell>
          <cell r="Y335">
            <v>3</v>
          </cell>
          <cell r="AA335">
            <v>1</v>
          </cell>
          <cell r="AB335">
            <v>0</v>
          </cell>
          <cell r="AC335">
            <v>0</v>
          </cell>
          <cell r="AD335">
            <v>0</v>
          </cell>
          <cell r="AE335">
            <v>0</v>
          </cell>
          <cell r="AF335">
            <v>0</v>
          </cell>
          <cell r="AG335">
            <v>0</v>
          </cell>
          <cell r="AH335">
            <v>0</v>
          </cell>
          <cell r="AI335">
            <v>1</v>
          </cell>
          <cell r="AK335">
            <v>0</v>
          </cell>
          <cell r="AL335">
            <v>1</v>
          </cell>
          <cell r="AN335">
            <v>9985</v>
          </cell>
          <cell r="AO335">
            <v>8</v>
          </cell>
          <cell r="AQ335">
            <v>0</v>
          </cell>
          <cell r="AR335">
            <v>16</v>
          </cell>
          <cell r="AS335">
            <v>3</v>
          </cell>
          <cell r="AT335">
            <v>1</v>
          </cell>
          <cell r="AU335">
            <v>1</v>
          </cell>
          <cell r="AV335">
            <v>10</v>
          </cell>
          <cell r="AW335">
            <v>10</v>
          </cell>
          <cell r="AX335">
            <v>1</v>
          </cell>
          <cell r="AY335">
            <v>2</v>
          </cell>
          <cell r="AZ335">
            <v>1</v>
          </cell>
          <cell r="BA335">
            <v>1</v>
          </cell>
          <cell r="BB335">
            <v>0</v>
          </cell>
          <cell r="BC335">
            <v>0</v>
          </cell>
          <cell r="BD335">
            <v>0</v>
          </cell>
          <cell r="BE335">
            <v>0</v>
          </cell>
          <cell r="BF335">
            <v>0</v>
          </cell>
          <cell r="BG335">
            <v>0</v>
          </cell>
          <cell r="BH335">
            <v>0</v>
          </cell>
          <cell r="BI335">
            <v>1</v>
          </cell>
          <cell r="BJ335">
            <v>0</v>
          </cell>
          <cell r="BK335">
            <v>0</v>
          </cell>
          <cell r="BL335">
            <v>0</v>
          </cell>
          <cell r="BM335">
            <v>0</v>
          </cell>
          <cell r="BN335">
            <v>1</v>
          </cell>
          <cell r="BO335">
            <v>0</v>
          </cell>
          <cell r="BP335">
            <v>0</v>
          </cell>
          <cell r="BQ335">
            <v>0</v>
          </cell>
          <cell r="BR335">
            <v>0</v>
          </cell>
          <cell r="BS335">
            <v>0</v>
          </cell>
          <cell r="BT335">
            <v>10</v>
          </cell>
          <cell r="BU335">
            <v>0</v>
          </cell>
        </row>
        <row r="336">
          <cell r="A336">
            <v>45</v>
          </cell>
          <cell r="B336">
            <v>45</v>
          </cell>
          <cell r="D336">
            <v>0</v>
          </cell>
          <cell r="F336">
            <v>0</v>
          </cell>
          <cell r="G336">
            <v>1</v>
          </cell>
          <cell r="I336">
            <v>1</v>
          </cell>
          <cell r="J336">
            <v>0</v>
          </cell>
          <cell r="K336">
            <v>8</v>
          </cell>
          <cell r="L336">
            <v>8</v>
          </cell>
          <cell r="M336">
            <v>4</v>
          </cell>
          <cell r="O336">
            <v>0</v>
          </cell>
          <cell r="P336">
            <v>1</v>
          </cell>
          <cell r="Q336">
            <v>0</v>
          </cell>
          <cell r="R336">
            <v>0</v>
          </cell>
          <cell r="S336">
            <v>0</v>
          </cell>
          <cell r="T336">
            <v>4</v>
          </cell>
          <cell r="V336">
            <v>0</v>
          </cell>
          <cell r="W336">
            <v>75</v>
          </cell>
          <cell r="X336">
            <v>3</v>
          </cell>
          <cell r="Y336">
            <v>2</v>
          </cell>
          <cell r="AA336">
            <v>0</v>
          </cell>
          <cell r="AB336">
            <v>0</v>
          </cell>
          <cell r="AC336">
            <v>0</v>
          </cell>
          <cell r="AD336">
            <v>0</v>
          </cell>
          <cell r="AE336">
            <v>0</v>
          </cell>
          <cell r="AF336">
            <v>0</v>
          </cell>
          <cell r="AG336">
            <v>0</v>
          </cell>
          <cell r="AH336">
            <v>1</v>
          </cell>
          <cell r="AI336">
            <v>4</v>
          </cell>
          <cell r="AK336">
            <v>0</v>
          </cell>
          <cell r="AL336">
            <v>1</v>
          </cell>
          <cell r="AN336">
            <v>3697</v>
          </cell>
          <cell r="AO336">
            <v>9</v>
          </cell>
          <cell r="AQ336">
            <v>0</v>
          </cell>
          <cell r="AR336">
            <v>14</v>
          </cell>
          <cell r="AS336">
            <v>3</v>
          </cell>
          <cell r="AT336">
            <v>1</v>
          </cell>
          <cell r="AU336">
            <v>2</v>
          </cell>
          <cell r="AV336">
            <v>12</v>
          </cell>
          <cell r="AW336">
            <v>12</v>
          </cell>
          <cell r="AX336">
            <v>3</v>
          </cell>
          <cell r="AY336">
            <v>3</v>
          </cell>
          <cell r="AZ336">
            <v>10</v>
          </cell>
          <cell r="BA336">
            <v>10</v>
          </cell>
          <cell r="BB336">
            <v>9</v>
          </cell>
          <cell r="BC336">
            <v>9</v>
          </cell>
          <cell r="BD336">
            <v>9</v>
          </cell>
          <cell r="BE336">
            <v>8</v>
          </cell>
          <cell r="BF336">
            <v>8</v>
          </cell>
          <cell r="BG336">
            <v>16</v>
          </cell>
          <cell r="BH336">
            <v>0</v>
          </cell>
          <cell r="BI336">
            <v>1</v>
          </cell>
          <cell r="BJ336">
            <v>0</v>
          </cell>
          <cell r="BK336">
            <v>0</v>
          </cell>
          <cell r="BL336">
            <v>0</v>
          </cell>
          <cell r="BM336">
            <v>0</v>
          </cell>
          <cell r="BN336">
            <v>1</v>
          </cell>
          <cell r="BO336">
            <v>0</v>
          </cell>
          <cell r="BP336">
            <v>0</v>
          </cell>
          <cell r="BQ336">
            <v>8</v>
          </cell>
          <cell r="BR336">
            <v>0</v>
          </cell>
          <cell r="BS336">
            <v>0</v>
          </cell>
          <cell r="BT336">
            <v>12</v>
          </cell>
          <cell r="BU336">
            <v>0</v>
          </cell>
        </row>
        <row r="337">
          <cell r="A337">
            <v>40</v>
          </cell>
          <cell r="B337">
            <v>40</v>
          </cell>
          <cell r="D337">
            <v>0</v>
          </cell>
          <cell r="F337">
            <v>0</v>
          </cell>
          <cell r="G337">
            <v>1</v>
          </cell>
          <cell r="I337">
            <v>0</v>
          </cell>
          <cell r="J337">
            <v>1</v>
          </cell>
          <cell r="K337">
            <v>1</v>
          </cell>
          <cell r="L337">
            <v>1</v>
          </cell>
          <cell r="M337">
            <v>2</v>
          </cell>
          <cell r="O337">
            <v>0</v>
          </cell>
          <cell r="P337">
            <v>0</v>
          </cell>
          <cell r="Q337">
            <v>1</v>
          </cell>
          <cell r="R337">
            <v>0</v>
          </cell>
          <cell r="S337">
            <v>0</v>
          </cell>
          <cell r="T337">
            <v>2</v>
          </cell>
          <cell r="V337">
            <v>0</v>
          </cell>
          <cell r="W337">
            <v>57</v>
          </cell>
          <cell r="X337">
            <v>1</v>
          </cell>
          <cell r="Y337">
            <v>2</v>
          </cell>
          <cell r="AA337">
            <v>0</v>
          </cell>
          <cell r="AB337">
            <v>1</v>
          </cell>
          <cell r="AC337">
            <v>0</v>
          </cell>
          <cell r="AD337">
            <v>0</v>
          </cell>
          <cell r="AE337">
            <v>0</v>
          </cell>
          <cell r="AF337">
            <v>0</v>
          </cell>
          <cell r="AG337">
            <v>0</v>
          </cell>
          <cell r="AH337">
            <v>0</v>
          </cell>
          <cell r="AI337">
            <v>4</v>
          </cell>
          <cell r="AK337">
            <v>0</v>
          </cell>
          <cell r="AL337">
            <v>1</v>
          </cell>
          <cell r="AN337">
            <v>7457</v>
          </cell>
          <cell r="AO337">
            <v>2</v>
          </cell>
          <cell r="AQ337">
            <v>1</v>
          </cell>
          <cell r="AR337">
            <v>22</v>
          </cell>
          <cell r="AS337">
            <v>4</v>
          </cell>
          <cell r="AT337">
            <v>3</v>
          </cell>
          <cell r="AU337">
            <v>3</v>
          </cell>
          <cell r="AV337">
            <v>6</v>
          </cell>
          <cell r="AW337">
            <v>6</v>
          </cell>
          <cell r="AX337">
            <v>2</v>
          </cell>
          <cell r="AY337">
            <v>2</v>
          </cell>
          <cell r="AZ337">
            <v>4</v>
          </cell>
          <cell r="BA337">
            <v>4</v>
          </cell>
          <cell r="BB337">
            <v>3</v>
          </cell>
          <cell r="BC337">
            <v>0</v>
          </cell>
          <cell r="BD337">
            <v>0</v>
          </cell>
          <cell r="BE337">
            <v>2</v>
          </cell>
          <cell r="BF337">
            <v>2</v>
          </cell>
          <cell r="BG337">
            <v>4</v>
          </cell>
          <cell r="BH337">
            <v>0</v>
          </cell>
          <cell r="BI337">
            <v>1</v>
          </cell>
          <cell r="BJ337">
            <v>0</v>
          </cell>
          <cell r="BK337">
            <v>0</v>
          </cell>
          <cell r="BL337">
            <v>0</v>
          </cell>
          <cell r="BM337">
            <v>0</v>
          </cell>
          <cell r="BN337">
            <v>0</v>
          </cell>
          <cell r="BO337">
            <v>1</v>
          </cell>
          <cell r="BP337">
            <v>0</v>
          </cell>
          <cell r="BQ337">
            <v>0</v>
          </cell>
          <cell r="BR337">
            <v>2</v>
          </cell>
          <cell r="BS337">
            <v>0</v>
          </cell>
          <cell r="BT337">
            <v>0</v>
          </cell>
          <cell r="BU337">
            <v>6</v>
          </cell>
        </row>
        <row r="338">
          <cell r="A338">
            <v>29</v>
          </cell>
          <cell r="B338">
            <v>29</v>
          </cell>
          <cell r="D338">
            <v>1</v>
          </cell>
          <cell r="F338">
            <v>0</v>
          </cell>
          <cell r="G338">
            <v>1</v>
          </cell>
          <cell r="I338">
            <v>1</v>
          </cell>
          <cell r="J338">
            <v>0</v>
          </cell>
          <cell r="K338">
            <v>8</v>
          </cell>
          <cell r="L338">
            <v>8</v>
          </cell>
          <cell r="M338">
            <v>4</v>
          </cell>
          <cell r="O338">
            <v>0</v>
          </cell>
          <cell r="P338">
            <v>1</v>
          </cell>
          <cell r="Q338">
            <v>0</v>
          </cell>
          <cell r="R338">
            <v>0</v>
          </cell>
          <cell r="S338">
            <v>0</v>
          </cell>
          <cell r="T338">
            <v>2</v>
          </cell>
          <cell r="V338">
            <v>0</v>
          </cell>
          <cell r="W338">
            <v>77</v>
          </cell>
          <cell r="X338">
            <v>1</v>
          </cell>
          <cell r="Y338">
            <v>1</v>
          </cell>
          <cell r="AA338">
            <v>0</v>
          </cell>
          <cell r="AB338">
            <v>0</v>
          </cell>
          <cell r="AC338">
            <v>1</v>
          </cell>
          <cell r="AD338">
            <v>0</v>
          </cell>
          <cell r="AE338">
            <v>0</v>
          </cell>
          <cell r="AF338">
            <v>0</v>
          </cell>
          <cell r="AG338">
            <v>0</v>
          </cell>
          <cell r="AH338">
            <v>0</v>
          </cell>
          <cell r="AI338">
            <v>1</v>
          </cell>
          <cell r="AK338">
            <v>0</v>
          </cell>
          <cell r="AL338">
            <v>1</v>
          </cell>
          <cell r="AN338">
            <v>2119</v>
          </cell>
          <cell r="AO338">
            <v>1</v>
          </cell>
          <cell r="AQ338">
            <v>1</v>
          </cell>
          <cell r="AR338">
            <v>11</v>
          </cell>
          <cell r="AS338">
            <v>3</v>
          </cell>
          <cell r="AT338">
            <v>4</v>
          </cell>
          <cell r="AU338">
            <v>0</v>
          </cell>
          <cell r="AV338">
            <v>7</v>
          </cell>
          <cell r="AW338">
            <v>7</v>
          </cell>
          <cell r="AX338">
            <v>4</v>
          </cell>
          <cell r="AY338">
            <v>2</v>
          </cell>
          <cell r="AZ338">
            <v>7</v>
          </cell>
          <cell r="BA338">
            <v>7</v>
          </cell>
          <cell r="BB338">
            <v>7</v>
          </cell>
          <cell r="BC338">
            <v>0</v>
          </cell>
          <cell r="BD338">
            <v>0</v>
          </cell>
          <cell r="BE338">
            <v>7</v>
          </cell>
          <cell r="BF338">
            <v>7</v>
          </cell>
          <cell r="BG338">
            <v>7</v>
          </cell>
          <cell r="BH338">
            <v>0</v>
          </cell>
          <cell r="BI338">
            <v>1</v>
          </cell>
          <cell r="BJ338">
            <v>0</v>
          </cell>
          <cell r="BK338">
            <v>0</v>
          </cell>
          <cell r="BL338">
            <v>0</v>
          </cell>
          <cell r="BM338">
            <v>0</v>
          </cell>
          <cell r="BN338">
            <v>0</v>
          </cell>
          <cell r="BO338">
            <v>1</v>
          </cell>
          <cell r="BP338">
            <v>0</v>
          </cell>
          <cell r="BQ338">
            <v>7</v>
          </cell>
          <cell r="BR338">
            <v>0</v>
          </cell>
          <cell r="BS338">
            <v>0</v>
          </cell>
          <cell r="BT338">
            <v>7</v>
          </cell>
          <cell r="BU338">
            <v>0</v>
          </cell>
        </row>
        <row r="339">
          <cell r="A339">
            <v>29</v>
          </cell>
          <cell r="B339">
            <v>29</v>
          </cell>
          <cell r="D339">
            <v>0</v>
          </cell>
          <cell r="F339">
            <v>0</v>
          </cell>
          <cell r="G339">
            <v>1</v>
          </cell>
          <cell r="I339">
            <v>1</v>
          </cell>
          <cell r="J339">
            <v>0</v>
          </cell>
          <cell r="K339">
            <v>9</v>
          </cell>
          <cell r="L339">
            <v>9</v>
          </cell>
          <cell r="M339">
            <v>5</v>
          </cell>
          <cell r="O339">
            <v>0</v>
          </cell>
          <cell r="P339">
            <v>1</v>
          </cell>
          <cell r="Q339">
            <v>0</v>
          </cell>
          <cell r="R339">
            <v>0</v>
          </cell>
          <cell r="S339">
            <v>0</v>
          </cell>
          <cell r="T339">
            <v>2</v>
          </cell>
          <cell r="V339">
            <v>0</v>
          </cell>
          <cell r="W339">
            <v>30</v>
          </cell>
          <cell r="X339">
            <v>2</v>
          </cell>
          <cell r="Y339">
            <v>1</v>
          </cell>
          <cell r="AA339">
            <v>0</v>
          </cell>
          <cell r="AB339">
            <v>0</v>
          </cell>
          <cell r="AC339">
            <v>1</v>
          </cell>
          <cell r="AD339">
            <v>0</v>
          </cell>
          <cell r="AE339">
            <v>0</v>
          </cell>
          <cell r="AF339">
            <v>0</v>
          </cell>
          <cell r="AG339">
            <v>0</v>
          </cell>
          <cell r="AH339">
            <v>0</v>
          </cell>
          <cell r="AI339">
            <v>4</v>
          </cell>
          <cell r="AK339">
            <v>1</v>
          </cell>
          <cell r="AL339">
            <v>0</v>
          </cell>
          <cell r="AN339">
            <v>3983</v>
          </cell>
          <cell r="AO339">
            <v>0</v>
          </cell>
          <cell r="AQ339">
            <v>0</v>
          </cell>
          <cell r="AR339">
            <v>17</v>
          </cell>
          <cell r="AS339">
            <v>3</v>
          </cell>
          <cell r="AT339">
            <v>3</v>
          </cell>
          <cell r="AU339">
            <v>0</v>
          </cell>
          <cell r="AV339">
            <v>4</v>
          </cell>
          <cell r="AW339">
            <v>4</v>
          </cell>
          <cell r="AX339">
            <v>2</v>
          </cell>
          <cell r="AY339">
            <v>3</v>
          </cell>
          <cell r="AZ339">
            <v>3</v>
          </cell>
          <cell r="BA339">
            <v>3</v>
          </cell>
          <cell r="BB339">
            <v>2</v>
          </cell>
          <cell r="BC339">
            <v>2</v>
          </cell>
          <cell r="BD339">
            <v>2</v>
          </cell>
          <cell r="BE339">
            <v>2</v>
          </cell>
          <cell r="BF339">
            <v>2</v>
          </cell>
          <cell r="BG339">
            <v>2</v>
          </cell>
          <cell r="BH339">
            <v>1</v>
          </cell>
          <cell r="BI339">
            <v>0</v>
          </cell>
          <cell r="BJ339">
            <v>0</v>
          </cell>
          <cell r="BK339">
            <v>0</v>
          </cell>
          <cell r="BL339">
            <v>1</v>
          </cell>
          <cell r="BM339">
            <v>0</v>
          </cell>
          <cell r="BN339">
            <v>0</v>
          </cell>
          <cell r="BO339">
            <v>0</v>
          </cell>
          <cell r="BP339">
            <v>0</v>
          </cell>
          <cell r="BQ339">
            <v>2</v>
          </cell>
          <cell r="BR339">
            <v>0</v>
          </cell>
          <cell r="BS339">
            <v>0</v>
          </cell>
          <cell r="BT339">
            <v>4</v>
          </cell>
          <cell r="BU339">
            <v>0</v>
          </cell>
        </row>
        <row r="340">
          <cell r="A340">
            <v>30</v>
          </cell>
          <cell r="B340">
            <v>30</v>
          </cell>
          <cell r="D340">
            <v>0</v>
          </cell>
          <cell r="F340">
            <v>0</v>
          </cell>
          <cell r="G340">
            <v>1</v>
          </cell>
          <cell r="I340">
            <v>0</v>
          </cell>
          <cell r="J340">
            <v>1</v>
          </cell>
          <cell r="K340">
            <v>5</v>
          </cell>
          <cell r="L340">
            <v>5</v>
          </cell>
          <cell r="M340">
            <v>3</v>
          </cell>
          <cell r="O340">
            <v>0</v>
          </cell>
          <cell r="P340">
            <v>0</v>
          </cell>
          <cell r="Q340">
            <v>0</v>
          </cell>
          <cell r="R340">
            <v>1</v>
          </cell>
          <cell r="S340">
            <v>0</v>
          </cell>
          <cell r="T340">
            <v>4</v>
          </cell>
          <cell r="V340">
            <v>1</v>
          </cell>
          <cell r="W340">
            <v>30</v>
          </cell>
          <cell r="X340">
            <v>2</v>
          </cell>
          <cell r="Y340">
            <v>2</v>
          </cell>
          <cell r="AA340">
            <v>0</v>
          </cell>
          <cell r="AB340">
            <v>1</v>
          </cell>
          <cell r="AC340">
            <v>0</v>
          </cell>
          <cell r="AD340">
            <v>0</v>
          </cell>
          <cell r="AE340">
            <v>0</v>
          </cell>
          <cell r="AF340">
            <v>0</v>
          </cell>
          <cell r="AG340">
            <v>0</v>
          </cell>
          <cell r="AH340">
            <v>0</v>
          </cell>
          <cell r="AI340">
            <v>3</v>
          </cell>
          <cell r="AK340">
            <v>0</v>
          </cell>
          <cell r="AL340">
            <v>0</v>
          </cell>
          <cell r="AN340">
            <v>6118</v>
          </cell>
          <cell r="AO340">
            <v>1</v>
          </cell>
          <cell r="AQ340">
            <v>0</v>
          </cell>
          <cell r="AR340">
            <v>13</v>
          </cell>
          <cell r="AS340">
            <v>3</v>
          </cell>
          <cell r="AT340">
            <v>3</v>
          </cell>
          <cell r="AU340">
            <v>3</v>
          </cell>
          <cell r="AV340">
            <v>10</v>
          </cell>
          <cell r="AW340">
            <v>10</v>
          </cell>
          <cell r="AX340">
            <v>2</v>
          </cell>
          <cell r="AY340">
            <v>3</v>
          </cell>
          <cell r="AZ340">
            <v>10</v>
          </cell>
          <cell r="BA340">
            <v>10</v>
          </cell>
          <cell r="BB340">
            <v>9</v>
          </cell>
          <cell r="BC340">
            <v>1</v>
          </cell>
          <cell r="BD340">
            <v>1</v>
          </cell>
          <cell r="BE340">
            <v>2</v>
          </cell>
          <cell r="BF340">
            <v>2</v>
          </cell>
          <cell r="BG340">
            <v>4</v>
          </cell>
          <cell r="BH340">
            <v>1</v>
          </cell>
          <cell r="BI340">
            <v>0</v>
          </cell>
          <cell r="BJ340">
            <v>0</v>
          </cell>
          <cell r="BK340">
            <v>0</v>
          </cell>
          <cell r="BL340">
            <v>1</v>
          </cell>
          <cell r="BM340">
            <v>0</v>
          </cell>
          <cell r="BN340">
            <v>0</v>
          </cell>
          <cell r="BO340">
            <v>0</v>
          </cell>
          <cell r="BP340">
            <v>0</v>
          </cell>
          <cell r="BQ340">
            <v>0</v>
          </cell>
          <cell r="BR340">
            <v>2</v>
          </cell>
          <cell r="BS340">
            <v>0</v>
          </cell>
          <cell r="BT340">
            <v>0</v>
          </cell>
          <cell r="BU340">
            <v>10</v>
          </cell>
        </row>
        <row r="341">
          <cell r="A341">
            <v>27</v>
          </cell>
          <cell r="B341">
            <v>27</v>
          </cell>
          <cell r="D341">
            <v>0</v>
          </cell>
          <cell r="F341">
            <v>0</v>
          </cell>
          <cell r="G341">
            <v>1</v>
          </cell>
          <cell r="I341">
            <v>0</v>
          </cell>
          <cell r="J341">
            <v>1</v>
          </cell>
          <cell r="K341">
            <v>8</v>
          </cell>
          <cell r="L341">
            <v>8</v>
          </cell>
          <cell r="M341">
            <v>4</v>
          </cell>
          <cell r="O341">
            <v>0</v>
          </cell>
          <cell r="P341">
            <v>0</v>
          </cell>
          <cell r="Q341">
            <v>0</v>
          </cell>
          <cell r="R341">
            <v>1</v>
          </cell>
          <cell r="S341">
            <v>0</v>
          </cell>
          <cell r="T341">
            <v>2</v>
          </cell>
          <cell r="V341">
            <v>1</v>
          </cell>
          <cell r="W341">
            <v>56</v>
          </cell>
          <cell r="X341">
            <v>3</v>
          </cell>
          <cell r="Y341">
            <v>2</v>
          </cell>
          <cell r="AA341">
            <v>0</v>
          </cell>
          <cell r="AB341">
            <v>1</v>
          </cell>
          <cell r="AC341">
            <v>0</v>
          </cell>
          <cell r="AD341">
            <v>0</v>
          </cell>
          <cell r="AE341">
            <v>0</v>
          </cell>
          <cell r="AF341">
            <v>0</v>
          </cell>
          <cell r="AG341">
            <v>0</v>
          </cell>
          <cell r="AH341">
            <v>0</v>
          </cell>
          <cell r="AI341">
            <v>2</v>
          </cell>
          <cell r="AK341">
            <v>0</v>
          </cell>
          <cell r="AL341">
            <v>1</v>
          </cell>
          <cell r="AN341">
            <v>6214</v>
          </cell>
          <cell r="AO341">
            <v>1</v>
          </cell>
          <cell r="AQ341">
            <v>0</v>
          </cell>
          <cell r="AR341">
            <v>18</v>
          </cell>
          <cell r="AS341">
            <v>3</v>
          </cell>
          <cell r="AT341">
            <v>1</v>
          </cell>
          <cell r="AU341">
            <v>1</v>
          </cell>
          <cell r="AV341">
            <v>8</v>
          </cell>
          <cell r="AW341">
            <v>8</v>
          </cell>
          <cell r="AX341">
            <v>3</v>
          </cell>
          <cell r="AY341">
            <v>3</v>
          </cell>
          <cell r="AZ341">
            <v>8</v>
          </cell>
          <cell r="BA341">
            <v>8</v>
          </cell>
          <cell r="BB341">
            <v>7</v>
          </cell>
          <cell r="BC341">
            <v>0</v>
          </cell>
          <cell r="BD341">
            <v>0</v>
          </cell>
          <cell r="BE341">
            <v>7</v>
          </cell>
          <cell r="BF341">
            <v>7</v>
          </cell>
          <cell r="BG341">
            <v>14</v>
          </cell>
          <cell r="BH341">
            <v>0</v>
          </cell>
          <cell r="BI341">
            <v>1</v>
          </cell>
          <cell r="BJ341">
            <v>0</v>
          </cell>
          <cell r="BK341">
            <v>0</v>
          </cell>
          <cell r="BL341">
            <v>0</v>
          </cell>
          <cell r="BM341">
            <v>0</v>
          </cell>
          <cell r="BN341">
            <v>1</v>
          </cell>
          <cell r="BO341">
            <v>0</v>
          </cell>
          <cell r="BP341">
            <v>0</v>
          </cell>
          <cell r="BQ341">
            <v>0</v>
          </cell>
          <cell r="BR341">
            <v>7</v>
          </cell>
          <cell r="BS341">
            <v>0</v>
          </cell>
          <cell r="BT341">
            <v>0</v>
          </cell>
          <cell r="BU341">
            <v>8</v>
          </cell>
        </row>
        <row r="342">
          <cell r="A342">
            <v>37</v>
          </cell>
          <cell r="B342">
            <v>37</v>
          </cell>
          <cell r="D342">
            <v>0</v>
          </cell>
          <cell r="F342">
            <v>0</v>
          </cell>
          <cell r="G342">
            <v>1</v>
          </cell>
          <cell r="I342">
            <v>1</v>
          </cell>
          <cell r="J342">
            <v>0</v>
          </cell>
          <cell r="K342">
            <v>5</v>
          </cell>
          <cell r="L342">
            <v>5</v>
          </cell>
          <cell r="M342">
            <v>2</v>
          </cell>
          <cell r="O342">
            <v>0</v>
          </cell>
          <cell r="P342">
            <v>0</v>
          </cell>
          <cell r="Q342">
            <v>1</v>
          </cell>
          <cell r="R342">
            <v>0</v>
          </cell>
          <cell r="S342">
            <v>0</v>
          </cell>
          <cell r="T342">
            <v>4</v>
          </cell>
          <cell r="V342">
            <v>0</v>
          </cell>
          <cell r="W342">
            <v>61</v>
          </cell>
          <cell r="X342">
            <v>3</v>
          </cell>
          <cell r="Y342">
            <v>2</v>
          </cell>
          <cell r="AA342">
            <v>0</v>
          </cell>
          <cell r="AB342">
            <v>0</v>
          </cell>
          <cell r="AC342">
            <v>0</v>
          </cell>
          <cell r="AD342">
            <v>0</v>
          </cell>
          <cell r="AE342">
            <v>1</v>
          </cell>
          <cell r="AF342">
            <v>1</v>
          </cell>
          <cell r="AG342">
            <v>0</v>
          </cell>
          <cell r="AH342">
            <v>0</v>
          </cell>
          <cell r="AI342">
            <v>4</v>
          </cell>
          <cell r="AK342">
            <v>0</v>
          </cell>
          <cell r="AL342">
            <v>0</v>
          </cell>
          <cell r="AN342">
            <v>6347</v>
          </cell>
          <cell r="AO342">
            <v>7</v>
          </cell>
          <cell r="AQ342">
            <v>0</v>
          </cell>
          <cell r="AR342">
            <v>16</v>
          </cell>
          <cell r="AS342">
            <v>3</v>
          </cell>
          <cell r="AT342">
            <v>3</v>
          </cell>
          <cell r="AU342">
            <v>2</v>
          </cell>
          <cell r="AV342">
            <v>8</v>
          </cell>
          <cell r="AW342">
            <v>8</v>
          </cell>
          <cell r="AX342">
            <v>2</v>
          </cell>
          <cell r="AY342">
            <v>2</v>
          </cell>
          <cell r="AZ342">
            <v>6</v>
          </cell>
          <cell r="BA342">
            <v>6</v>
          </cell>
          <cell r="BB342">
            <v>2</v>
          </cell>
          <cell r="BC342">
            <v>0</v>
          </cell>
          <cell r="BD342">
            <v>0</v>
          </cell>
          <cell r="BE342">
            <v>4</v>
          </cell>
          <cell r="BF342">
            <v>4</v>
          </cell>
          <cell r="BG342">
            <v>8</v>
          </cell>
          <cell r="BH342">
            <v>1</v>
          </cell>
          <cell r="BI342">
            <v>0</v>
          </cell>
          <cell r="BJ342">
            <v>0</v>
          </cell>
          <cell r="BK342">
            <v>0</v>
          </cell>
          <cell r="BL342">
            <v>1</v>
          </cell>
          <cell r="BM342">
            <v>0</v>
          </cell>
          <cell r="BN342">
            <v>0</v>
          </cell>
          <cell r="BO342">
            <v>0</v>
          </cell>
          <cell r="BP342">
            <v>0</v>
          </cell>
          <cell r="BQ342">
            <v>4</v>
          </cell>
          <cell r="BR342">
            <v>0</v>
          </cell>
          <cell r="BS342">
            <v>0</v>
          </cell>
          <cell r="BT342">
            <v>8</v>
          </cell>
          <cell r="BU342">
            <v>0</v>
          </cell>
        </row>
        <row r="343">
          <cell r="A343">
            <v>38</v>
          </cell>
          <cell r="B343">
            <v>38</v>
          </cell>
          <cell r="D343">
            <v>0</v>
          </cell>
          <cell r="F343">
            <v>0</v>
          </cell>
          <cell r="G343">
            <v>1</v>
          </cell>
          <cell r="I343">
            <v>1</v>
          </cell>
          <cell r="J343">
            <v>0</v>
          </cell>
          <cell r="K343">
            <v>15</v>
          </cell>
          <cell r="L343">
            <v>15</v>
          </cell>
          <cell r="M343">
            <v>2</v>
          </cell>
          <cell r="O343">
            <v>1</v>
          </cell>
          <cell r="P343">
            <v>0</v>
          </cell>
          <cell r="Q343">
            <v>0</v>
          </cell>
          <cell r="R343">
            <v>0</v>
          </cell>
          <cell r="S343">
            <v>0</v>
          </cell>
          <cell r="T343">
            <v>3</v>
          </cell>
          <cell r="V343">
            <v>0</v>
          </cell>
          <cell r="W343">
            <v>92</v>
          </cell>
          <cell r="X343">
            <v>2</v>
          </cell>
          <cell r="Y343">
            <v>3</v>
          </cell>
          <cell r="AA343">
            <v>0</v>
          </cell>
          <cell r="AB343">
            <v>0</v>
          </cell>
          <cell r="AC343">
            <v>0</v>
          </cell>
          <cell r="AD343">
            <v>0</v>
          </cell>
          <cell r="AE343">
            <v>0</v>
          </cell>
          <cell r="AF343">
            <v>0</v>
          </cell>
          <cell r="AG343">
            <v>0</v>
          </cell>
          <cell r="AH343">
            <v>0</v>
          </cell>
          <cell r="AI343">
            <v>4</v>
          </cell>
          <cell r="AK343">
            <v>0</v>
          </cell>
          <cell r="AL343">
            <v>0</v>
          </cell>
          <cell r="AN343">
            <v>11510</v>
          </cell>
          <cell r="AO343">
            <v>0</v>
          </cell>
          <cell r="AQ343">
            <v>1</v>
          </cell>
          <cell r="AR343">
            <v>14</v>
          </cell>
          <cell r="AS343">
            <v>3</v>
          </cell>
          <cell r="AT343">
            <v>2</v>
          </cell>
          <cell r="AU343">
            <v>1</v>
          </cell>
          <cell r="AV343">
            <v>12</v>
          </cell>
          <cell r="AW343">
            <v>12</v>
          </cell>
          <cell r="AX343">
            <v>3</v>
          </cell>
          <cell r="AY343">
            <v>3</v>
          </cell>
          <cell r="AZ343">
            <v>11</v>
          </cell>
          <cell r="BA343">
            <v>11</v>
          </cell>
          <cell r="BB343">
            <v>10</v>
          </cell>
          <cell r="BC343">
            <v>2</v>
          </cell>
          <cell r="BD343">
            <v>2</v>
          </cell>
          <cell r="BE343">
            <v>9</v>
          </cell>
          <cell r="BF343">
            <v>9</v>
          </cell>
          <cell r="BG343">
            <v>27</v>
          </cell>
          <cell r="BH343">
            <v>1</v>
          </cell>
          <cell r="BI343">
            <v>0</v>
          </cell>
          <cell r="BJ343">
            <v>0</v>
          </cell>
          <cell r="BK343">
            <v>0</v>
          </cell>
          <cell r="BL343">
            <v>0</v>
          </cell>
          <cell r="BM343">
            <v>1</v>
          </cell>
          <cell r="BN343">
            <v>0</v>
          </cell>
          <cell r="BO343">
            <v>0</v>
          </cell>
          <cell r="BP343">
            <v>0</v>
          </cell>
          <cell r="BQ343">
            <v>9</v>
          </cell>
          <cell r="BR343">
            <v>0</v>
          </cell>
          <cell r="BS343">
            <v>0</v>
          </cell>
          <cell r="BT343">
            <v>12</v>
          </cell>
          <cell r="BU343">
            <v>0</v>
          </cell>
        </row>
        <row r="344">
          <cell r="A344">
            <v>31</v>
          </cell>
          <cell r="B344">
            <v>31</v>
          </cell>
          <cell r="D344">
            <v>0</v>
          </cell>
          <cell r="F344">
            <v>0</v>
          </cell>
          <cell r="G344">
            <v>1</v>
          </cell>
          <cell r="I344">
            <v>1</v>
          </cell>
          <cell r="J344">
            <v>0</v>
          </cell>
          <cell r="K344">
            <v>7</v>
          </cell>
          <cell r="L344">
            <v>7</v>
          </cell>
          <cell r="M344">
            <v>4</v>
          </cell>
          <cell r="O344">
            <v>0</v>
          </cell>
          <cell r="P344">
            <v>0</v>
          </cell>
          <cell r="Q344">
            <v>1</v>
          </cell>
          <cell r="R344">
            <v>0</v>
          </cell>
          <cell r="S344">
            <v>0</v>
          </cell>
          <cell r="T344">
            <v>3</v>
          </cell>
          <cell r="V344">
            <v>1</v>
          </cell>
          <cell r="W344">
            <v>39</v>
          </cell>
          <cell r="X344">
            <v>3</v>
          </cell>
          <cell r="Y344">
            <v>3</v>
          </cell>
          <cell r="AA344">
            <v>0</v>
          </cell>
          <cell r="AB344">
            <v>0</v>
          </cell>
          <cell r="AC344">
            <v>0</v>
          </cell>
          <cell r="AD344">
            <v>0</v>
          </cell>
          <cell r="AE344">
            <v>1</v>
          </cell>
          <cell r="AF344">
            <v>1</v>
          </cell>
          <cell r="AG344">
            <v>0</v>
          </cell>
          <cell r="AH344">
            <v>0</v>
          </cell>
          <cell r="AI344">
            <v>4</v>
          </cell>
          <cell r="AK344">
            <v>1</v>
          </cell>
          <cell r="AL344">
            <v>0</v>
          </cell>
          <cell r="AN344">
            <v>7143</v>
          </cell>
          <cell r="AO344">
            <v>1</v>
          </cell>
          <cell r="AQ344">
            <v>1</v>
          </cell>
          <cell r="AR344">
            <v>14</v>
          </cell>
          <cell r="AS344">
            <v>3</v>
          </cell>
          <cell r="AT344">
            <v>3</v>
          </cell>
          <cell r="AU344">
            <v>0</v>
          </cell>
          <cell r="AV344">
            <v>11</v>
          </cell>
          <cell r="AW344">
            <v>11</v>
          </cell>
          <cell r="AX344">
            <v>2</v>
          </cell>
          <cell r="AY344">
            <v>2</v>
          </cell>
          <cell r="AZ344">
            <v>11</v>
          </cell>
          <cell r="BA344">
            <v>11</v>
          </cell>
          <cell r="BB344">
            <v>9</v>
          </cell>
          <cell r="BC344">
            <v>4</v>
          </cell>
          <cell r="BD344">
            <v>4</v>
          </cell>
          <cell r="BE344">
            <v>10</v>
          </cell>
          <cell r="BF344">
            <v>10</v>
          </cell>
          <cell r="BG344">
            <v>30</v>
          </cell>
          <cell r="BH344">
            <v>1</v>
          </cell>
          <cell r="BI344">
            <v>0</v>
          </cell>
          <cell r="BJ344">
            <v>0</v>
          </cell>
          <cell r="BK344">
            <v>0</v>
          </cell>
          <cell r="BL344">
            <v>0</v>
          </cell>
          <cell r="BM344">
            <v>1</v>
          </cell>
          <cell r="BN344">
            <v>0</v>
          </cell>
          <cell r="BO344">
            <v>0</v>
          </cell>
          <cell r="BP344">
            <v>0</v>
          </cell>
          <cell r="BQ344">
            <v>10</v>
          </cell>
          <cell r="BR344">
            <v>0</v>
          </cell>
          <cell r="BS344">
            <v>0</v>
          </cell>
          <cell r="BT344">
            <v>11</v>
          </cell>
          <cell r="BU344">
            <v>0</v>
          </cell>
        </row>
        <row r="345">
          <cell r="A345">
            <v>29</v>
          </cell>
          <cell r="B345">
            <v>29</v>
          </cell>
          <cell r="D345">
            <v>0</v>
          </cell>
          <cell r="F345">
            <v>0</v>
          </cell>
          <cell r="G345">
            <v>1</v>
          </cell>
          <cell r="I345">
            <v>0</v>
          </cell>
          <cell r="J345">
            <v>1</v>
          </cell>
          <cell r="K345">
            <v>10</v>
          </cell>
          <cell r="L345">
            <v>10</v>
          </cell>
          <cell r="M345">
            <v>1</v>
          </cell>
          <cell r="O345">
            <v>0</v>
          </cell>
          <cell r="P345">
            <v>0</v>
          </cell>
          <cell r="Q345">
            <v>0</v>
          </cell>
          <cell r="R345">
            <v>1</v>
          </cell>
          <cell r="S345">
            <v>0</v>
          </cell>
          <cell r="T345">
            <v>4</v>
          </cell>
          <cell r="V345">
            <v>1</v>
          </cell>
          <cell r="W345">
            <v>39</v>
          </cell>
          <cell r="X345">
            <v>2</v>
          </cell>
          <cell r="Y345">
            <v>2</v>
          </cell>
          <cell r="AA345">
            <v>0</v>
          </cell>
          <cell r="AB345">
            <v>1</v>
          </cell>
          <cell r="AC345">
            <v>0</v>
          </cell>
          <cell r="AD345">
            <v>0</v>
          </cell>
          <cell r="AE345">
            <v>0</v>
          </cell>
          <cell r="AF345">
            <v>0</v>
          </cell>
          <cell r="AG345">
            <v>0</v>
          </cell>
          <cell r="AH345">
            <v>0</v>
          </cell>
          <cell r="AI345">
            <v>2</v>
          </cell>
          <cell r="AK345">
            <v>0</v>
          </cell>
          <cell r="AL345">
            <v>0</v>
          </cell>
          <cell r="AN345">
            <v>8268</v>
          </cell>
          <cell r="AO345">
            <v>1</v>
          </cell>
          <cell r="AQ345">
            <v>1</v>
          </cell>
          <cell r="AR345">
            <v>14</v>
          </cell>
          <cell r="AS345">
            <v>3</v>
          </cell>
          <cell r="AT345">
            <v>1</v>
          </cell>
          <cell r="AU345">
            <v>2</v>
          </cell>
          <cell r="AV345">
            <v>7</v>
          </cell>
          <cell r="AW345">
            <v>7</v>
          </cell>
          <cell r="AX345">
            <v>2</v>
          </cell>
          <cell r="AY345">
            <v>3</v>
          </cell>
          <cell r="AZ345">
            <v>7</v>
          </cell>
          <cell r="BA345">
            <v>7</v>
          </cell>
          <cell r="BB345">
            <v>7</v>
          </cell>
          <cell r="BC345">
            <v>1</v>
          </cell>
          <cell r="BD345">
            <v>1</v>
          </cell>
          <cell r="BE345">
            <v>7</v>
          </cell>
          <cell r="BF345">
            <v>7</v>
          </cell>
          <cell r="BG345">
            <v>14</v>
          </cell>
          <cell r="BH345">
            <v>1</v>
          </cell>
          <cell r="BI345">
            <v>0</v>
          </cell>
          <cell r="BJ345">
            <v>0</v>
          </cell>
          <cell r="BK345">
            <v>0</v>
          </cell>
          <cell r="BL345">
            <v>0</v>
          </cell>
          <cell r="BM345">
            <v>1</v>
          </cell>
          <cell r="BN345">
            <v>0</v>
          </cell>
          <cell r="BO345">
            <v>0</v>
          </cell>
          <cell r="BP345">
            <v>0</v>
          </cell>
          <cell r="BQ345">
            <v>0</v>
          </cell>
          <cell r="BR345">
            <v>7</v>
          </cell>
          <cell r="BS345">
            <v>0</v>
          </cell>
          <cell r="BT345">
            <v>0</v>
          </cell>
          <cell r="BU345">
            <v>7</v>
          </cell>
        </row>
        <row r="346">
          <cell r="A346">
            <v>35</v>
          </cell>
          <cell r="B346">
            <v>35</v>
          </cell>
          <cell r="D346">
            <v>0</v>
          </cell>
          <cell r="F346">
            <v>0</v>
          </cell>
          <cell r="G346">
            <v>1</v>
          </cell>
          <cell r="I346">
            <v>1</v>
          </cell>
          <cell r="J346">
            <v>0</v>
          </cell>
          <cell r="K346">
            <v>5</v>
          </cell>
          <cell r="L346">
            <v>5</v>
          </cell>
          <cell r="M346">
            <v>4</v>
          </cell>
          <cell r="O346">
            <v>0</v>
          </cell>
          <cell r="P346">
            <v>0</v>
          </cell>
          <cell r="Q346">
            <v>0</v>
          </cell>
          <cell r="R346">
            <v>0</v>
          </cell>
          <cell r="S346">
            <v>1</v>
          </cell>
          <cell r="T346">
            <v>3</v>
          </cell>
          <cell r="V346">
            <v>0</v>
          </cell>
          <cell r="W346">
            <v>62</v>
          </cell>
          <cell r="X346">
            <v>3</v>
          </cell>
          <cell r="Y346">
            <v>3</v>
          </cell>
          <cell r="AA346">
            <v>0</v>
          </cell>
          <cell r="AB346">
            <v>0</v>
          </cell>
          <cell r="AC346">
            <v>0</v>
          </cell>
          <cell r="AD346">
            <v>0</v>
          </cell>
          <cell r="AE346">
            <v>1</v>
          </cell>
          <cell r="AF346">
            <v>1</v>
          </cell>
          <cell r="AG346">
            <v>0</v>
          </cell>
          <cell r="AH346">
            <v>0</v>
          </cell>
          <cell r="AI346">
            <v>2</v>
          </cell>
          <cell r="AK346">
            <v>1</v>
          </cell>
          <cell r="AL346">
            <v>0</v>
          </cell>
          <cell r="AN346">
            <v>8095</v>
          </cell>
          <cell r="AO346">
            <v>0</v>
          </cell>
          <cell r="AQ346">
            <v>0</v>
          </cell>
          <cell r="AR346">
            <v>13</v>
          </cell>
          <cell r="AS346">
            <v>3</v>
          </cell>
          <cell r="AT346">
            <v>4</v>
          </cell>
          <cell r="AU346">
            <v>0</v>
          </cell>
          <cell r="AV346">
            <v>17</v>
          </cell>
          <cell r="AW346">
            <v>17</v>
          </cell>
          <cell r="AX346">
            <v>5</v>
          </cell>
          <cell r="AY346">
            <v>3</v>
          </cell>
          <cell r="AZ346">
            <v>16</v>
          </cell>
          <cell r="BA346">
            <v>16</v>
          </cell>
          <cell r="BB346">
            <v>6</v>
          </cell>
          <cell r="BC346">
            <v>0</v>
          </cell>
          <cell r="BD346">
            <v>0</v>
          </cell>
          <cell r="BE346">
            <v>13</v>
          </cell>
          <cell r="BF346">
            <v>13</v>
          </cell>
          <cell r="BG346">
            <v>39</v>
          </cell>
          <cell r="BH346">
            <v>1</v>
          </cell>
          <cell r="BI346">
            <v>0</v>
          </cell>
          <cell r="BJ346">
            <v>0</v>
          </cell>
          <cell r="BK346">
            <v>0</v>
          </cell>
          <cell r="BL346">
            <v>1</v>
          </cell>
          <cell r="BM346">
            <v>0</v>
          </cell>
          <cell r="BN346">
            <v>0</v>
          </cell>
          <cell r="BO346">
            <v>0</v>
          </cell>
          <cell r="BP346">
            <v>0</v>
          </cell>
          <cell r="BQ346">
            <v>13</v>
          </cell>
          <cell r="BR346">
            <v>0</v>
          </cell>
          <cell r="BS346">
            <v>0</v>
          </cell>
          <cell r="BT346">
            <v>17</v>
          </cell>
          <cell r="BU346">
            <v>0</v>
          </cell>
        </row>
        <row r="347">
          <cell r="A347">
            <v>23</v>
          </cell>
          <cell r="B347">
            <v>23</v>
          </cell>
          <cell r="D347">
            <v>0</v>
          </cell>
          <cell r="F347">
            <v>0</v>
          </cell>
          <cell r="G347">
            <v>1</v>
          </cell>
          <cell r="I347">
            <v>1</v>
          </cell>
          <cell r="J347">
            <v>0</v>
          </cell>
          <cell r="K347">
            <v>26</v>
          </cell>
          <cell r="L347">
            <v>26</v>
          </cell>
          <cell r="M347">
            <v>1</v>
          </cell>
          <cell r="O347">
            <v>1</v>
          </cell>
          <cell r="P347">
            <v>0</v>
          </cell>
          <cell r="Q347">
            <v>0</v>
          </cell>
          <cell r="R347">
            <v>0</v>
          </cell>
          <cell r="S347">
            <v>0</v>
          </cell>
          <cell r="T347">
            <v>3</v>
          </cell>
          <cell r="V347">
            <v>0</v>
          </cell>
          <cell r="W347">
            <v>83</v>
          </cell>
          <cell r="X347">
            <v>3</v>
          </cell>
          <cell r="Y347">
            <v>1</v>
          </cell>
          <cell r="AA347">
            <v>0</v>
          </cell>
          <cell r="AB347">
            <v>0</v>
          </cell>
          <cell r="AC347">
            <v>0</v>
          </cell>
          <cell r="AD347">
            <v>0</v>
          </cell>
          <cell r="AE347">
            <v>0</v>
          </cell>
          <cell r="AF347">
            <v>0</v>
          </cell>
          <cell r="AG347">
            <v>0</v>
          </cell>
          <cell r="AH347">
            <v>1</v>
          </cell>
          <cell r="AI347">
            <v>4</v>
          </cell>
          <cell r="AK347">
            <v>0</v>
          </cell>
          <cell r="AL347">
            <v>0</v>
          </cell>
          <cell r="AN347">
            <v>2904</v>
          </cell>
          <cell r="AO347">
            <v>1</v>
          </cell>
          <cell r="AQ347">
            <v>0</v>
          </cell>
          <cell r="AR347">
            <v>12</v>
          </cell>
          <cell r="AS347">
            <v>3</v>
          </cell>
          <cell r="AT347">
            <v>3</v>
          </cell>
          <cell r="AU347">
            <v>2</v>
          </cell>
          <cell r="AV347">
            <v>4</v>
          </cell>
          <cell r="AW347">
            <v>4</v>
          </cell>
          <cell r="AX347">
            <v>2</v>
          </cell>
          <cell r="AY347">
            <v>2</v>
          </cell>
          <cell r="AZ347">
            <v>4</v>
          </cell>
          <cell r="BA347">
            <v>4</v>
          </cell>
          <cell r="BB347">
            <v>2</v>
          </cell>
          <cell r="BC347">
            <v>0</v>
          </cell>
          <cell r="BD347">
            <v>0</v>
          </cell>
          <cell r="BE347">
            <v>2</v>
          </cell>
          <cell r="BF347">
            <v>2</v>
          </cell>
          <cell r="BG347">
            <v>2</v>
          </cell>
          <cell r="BH347">
            <v>1</v>
          </cell>
          <cell r="BI347">
            <v>0</v>
          </cell>
          <cell r="BJ347">
            <v>0</v>
          </cell>
          <cell r="BK347">
            <v>0</v>
          </cell>
          <cell r="BL347">
            <v>1</v>
          </cell>
          <cell r="BM347">
            <v>0</v>
          </cell>
          <cell r="BN347">
            <v>0</v>
          </cell>
          <cell r="BO347">
            <v>0</v>
          </cell>
          <cell r="BP347">
            <v>0</v>
          </cell>
          <cell r="BQ347">
            <v>2</v>
          </cell>
          <cell r="BR347">
            <v>0</v>
          </cell>
          <cell r="BS347">
            <v>0</v>
          </cell>
          <cell r="BT347">
            <v>4</v>
          </cell>
          <cell r="BU347">
            <v>0</v>
          </cell>
        </row>
        <row r="348">
          <cell r="A348">
            <v>41</v>
          </cell>
          <cell r="B348">
            <v>41</v>
          </cell>
          <cell r="D348">
            <v>0</v>
          </cell>
          <cell r="F348">
            <v>0</v>
          </cell>
          <cell r="G348">
            <v>1</v>
          </cell>
          <cell r="I348">
            <v>1</v>
          </cell>
          <cell r="J348">
            <v>0</v>
          </cell>
          <cell r="K348">
            <v>6</v>
          </cell>
          <cell r="L348">
            <v>6</v>
          </cell>
          <cell r="M348">
            <v>3</v>
          </cell>
          <cell r="O348">
            <v>0</v>
          </cell>
          <cell r="P348">
            <v>0</v>
          </cell>
          <cell r="Q348">
            <v>1</v>
          </cell>
          <cell r="R348">
            <v>0</v>
          </cell>
          <cell r="S348">
            <v>0</v>
          </cell>
          <cell r="T348">
            <v>4</v>
          </cell>
          <cell r="V348">
            <v>0</v>
          </cell>
          <cell r="W348">
            <v>95</v>
          </cell>
          <cell r="X348">
            <v>2</v>
          </cell>
          <cell r="Y348">
            <v>2</v>
          </cell>
          <cell r="AA348">
            <v>0</v>
          </cell>
          <cell r="AB348">
            <v>0</v>
          </cell>
          <cell r="AC348">
            <v>0</v>
          </cell>
          <cell r="AD348">
            <v>0</v>
          </cell>
          <cell r="AE348">
            <v>1</v>
          </cell>
          <cell r="AF348">
            <v>1</v>
          </cell>
          <cell r="AG348">
            <v>0</v>
          </cell>
          <cell r="AH348">
            <v>0</v>
          </cell>
          <cell r="AI348">
            <v>2</v>
          </cell>
          <cell r="AK348">
            <v>1</v>
          </cell>
          <cell r="AL348">
            <v>0</v>
          </cell>
          <cell r="AN348">
            <v>6032</v>
          </cell>
          <cell r="AO348">
            <v>6</v>
          </cell>
          <cell r="AQ348">
            <v>1</v>
          </cell>
          <cell r="AR348">
            <v>15</v>
          </cell>
          <cell r="AS348">
            <v>3</v>
          </cell>
          <cell r="AT348">
            <v>4</v>
          </cell>
          <cell r="AU348">
            <v>0</v>
          </cell>
          <cell r="AV348">
            <v>8</v>
          </cell>
          <cell r="AW348">
            <v>8</v>
          </cell>
          <cell r="AX348">
            <v>3</v>
          </cell>
          <cell r="AY348">
            <v>3</v>
          </cell>
          <cell r="AZ348">
            <v>5</v>
          </cell>
          <cell r="BA348">
            <v>5</v>
          </cell>
          <cell r="BB348">
            <v>4</v>
          </cell>
          <cell r="BC348">
            <v>1</v>
          </cell>
          <cell r="BD348">
            <v>1</v>
          </cell>
          <cell r="BE348">
            <v>2</v>
          </cell>
          <cell r="BF348">
            <v>2</v>
          </cell>
          <cell r="BG348">
            <v>4</v>
          </cell>
          <cell r="BH348">
            <v>1</v>
          </cell>
          <cell r="BI348">
            <v>0</v>
          </cell>
          <cell r="BJ348">
            <v>0</v>
          </cell>
          <cell r="BK348">
            <v>0</v>
          </cell>
          <cell r="BL348">
            <v>0</v>
          </cell>
          <cell r="BM348">
            <v>1</v>
          </cell>
          <cell r="BN348">
            <v>0</v>
          </cell>
          <cell r="BO348">
            <v>0</v>
          </cell>
          <cell r="BP348">
            <v>0</v>
          </cell>
          <cell r="BQ348">
            <v>2</v>
          </cell>
          <cell r="BR348">
            <v>0</v>
          </cell>
          <cell r="BS348">
            <v>0</v>
          </cell>
          <cell r="BT348">
            <v>8</v>
          </cell>
          <cell r="BU348">
            <v>0</v>
          </cell>
        </row>
        <row r="349">
          <cell r="A349">
            <v>47</v>
          </cell>
          <cell r="B349">
            <v>47</v>
          </cell>
          <cell r="D349">
            <v>0</v>
          </cell>
          <cell r="F349">
            <v>1</v>
          </cell>
          <cell r="G349">
            <v>0</v>
          </cell>
          <cell r="I349">
            <v>0</v>
          </cell>
          <cell r="J349">
            <v>1</v>
          </cell>
          <cell r="K349">
            <v>4</v>
          </cell>
          <cell r="L349">
            <v>4</v>
          </cell>
          <cell r="M349">
            <v>1</v>
          </cell>
          <cell r="O349">
            <v>0</v>
          </cell>
          <cell r="P349">
            <v>0</v>
          </cell>
          <cell r="Q349">
            <v>1</v>
          </cell>
          <cell r="R349">
            <v>0</v>
          </cell>
          <cell r="S349">
            <v>0</v>
          </cell>
          <cell r="T349">
            <v>2</v>
          </cell>
          <cell r="V349">
            <v>0</v>
          </cell>
          <cell r="W349">
            <v>99</v>
          </cell>
          <cell r="X349">
            <v>3</v>
          </cell>
          <cell r="Y349">
            <v>2</v>
          </cell>
          <cell r="AA349">
            <v>0</v>
          </cell>
          <cell r="AB349">
            <v>0</v>
          </cell>
          <cell r="AC349">
            <v>0</v>
          </cell>
          <cell r="AD349">
            <v>0</v>
          </cell>
          <cell r="AE349">
            <v>0</v>
          </cell>
          <cell r="AF349">
            <v>0</v>
          </cell>
          <cell r="AG349">
            <v>1</v>
          </cell>
          <cell r="AH349">
            <v>0</v>
          </cell>
          <cell r="AI349">
            <v>3</v>
          </cell>
          <cell r="AK349">
            <v>1</v>
          </cell>
          <cell r="AL349">
            <v>0</v>
          </cell>
          <cell r="AN349">
            <v>2976</v>
          </cell>
          <cell r="AO349">
            <v>3</v>
          </cell>
          <cell r="AQ349">
            <v>0</v>
          </cell>
          <cell r="AR349">
            <v>19</v>
          </cell>
          <cell r="AS349">
            <v>3</v>
          </cell>
          <cell r="AT349">
            <v>1</v>
          </cell>
          <cell r="AU349">
            <v>0</v>
          </cell>
          <cell r="AV349">
            <v>5</v>
          </cell>
          <cell r="AW349">
            <v>5</v>
          </cell>
          <cell r="AX349">
            <v>3</v>
          </cell>
          <cell r="AY349">
            <v>3</v>
          </cell>
          <cell r="AZ349">
            <v>0</v>
          </cell>
          <cell r="BA349">
            <v>0</v>
          </cell>
          <cell r="BB349">
            <v>0</v>
          </cell>
          <cell r="BC349">
            <v>0</v>
          </cell>
          <cell r="BD349">
            <v>0</v>
          </cell>
          <cell r="BE349">
            <v>0</v>
          </cell>
          <cell r="BF349">
            <v>0</v>
          </cell>
          <cell r="BG349">
            <v>0</v>
          </cell>
          <cell r="BH349">
            <v>0</v>
          </cell>
          <cell r="BI349">
            <v>0</v>
          </cell>
          <cell r="BJ349">
            <v>1</v>
          </cell>
          <cell r="BK349">
            <v>0</v>
          </cell>
          <cell r="BL349">
            <v>1</v>
          </cell>
          <cell r="BM349">
            <v>0</v>
          </cell>
          <cell r="BN349">
            <v>0</v>
          </cell>
          <cell r="BO349">
            <v>0</v>
          </cell>
          <cell r="BP349">
            <v>0</v>
          </cell>
          <cell r="BQ349">
            <v>0</v>
          </cell>
          <cell r="BR349">
            <v>0</v>
          </cell>
          <cell r="BS349">
            <v>0</v>
          </cell>
          <cell r="BT349">
            <v>0</v>
          </cell>
          <cell r="BU349">
            <v>5</v>
          </cell>
        </row>
        <row r="350">
          <cell r="A350">
            <v>42</v>
          </cell>
          <cell r="B350">
            <v>42</v>
          </cell>
          <cell r="D350">
            <v>0</v>
          </cell>
          <cell r="F350">
            <v>0</v>
          </cell>
          <cell r="G350">
            <v>1</v>
          </cell>
          <cell r="I350">
            <v>1</v>
          </cell>
          <cell r="J350">
            <v>0</v>
          </cell>
          <cell r="K350">
            <v>23</v>
          </cell>
          <cell r="L350">
            <v>23</v>
          </cell>
          <cell r="M350">
            <v>5</v>
          </cell>
          <cell r="O350">
            <v>1</v>
          </cell>
          <cell r="P350">
            <v>0</v>
          </cell>
          <cell r="Q350">
            <v>0</v>
          </cell>
          <cell r="R350">
            <v>0</v>
          </cell>
          <cell r="S350">
            <v>0</v>
          </cell>
          <cell r="T350">
            <v>1</v>
          </cell>
          <cell r="V350">
            <v>1</v>
          </cell>
          <cell r="W350">
            <v>44</v>
          </cell>
          <cell r="X350">
            <v>3</v>
          </cell>
          <cell r="Y350">
            <v>4</v>
          </cell>
          <cell r="AA350">
            <v>0</v>
          </cell>
          <cell r="AB350">
            <v>0</v>
          </cell>
          <cell r="AC350">
            <v>0</v>
          </cell>
          <cell r="AD350">
            <v>0</v>
          </cell>
          <cell r="AE350">
            <v>0</v>
          </cell>
          <cell r="AF350">
            <v>0</v>
          </cell>
          <cell r="AG350">
            <v>0</v>
          </cell>
          <cell r="AH350">
            <v>0</v>
          </cell>
          <cell r="AI350">
            <v>4</v>
          </cell>
          <cell r="AK350">
            <v>1</v>
          </cell>
          <cell r="AL350">
            <v>0</v>
          </cell>
          <cell r="AN350">
            <v>15992</v>
          </cell>
          <cell r="AO350">
            <v>2</v>
          </cell>
          <cell r="AQ350">
            <v>0</v>
          </cell>
          <cell r="AR350">
            <v>14</v>
          </cell>
          <cell r="AS350">
            <v>3</v>
          </cell>
          <cell r="AT350">
            <v>2</v>
          </cell>
          <cell r="AU350">
            <v>0</v>
          </cell>
          <cell r="AV350">
            <v>16</v>
          </cell>
          <cell r="AW350">
            <v>16</v>
          </cell>
          <cell r="AX350">
            <v>2</v>
          </cell>
          <cell r="AY350">
            <v>3</v>
          </cell>
          <cell r="AZ350">
            <v>1</v>
          </cell>
          <cell r="BA350">
            <v>1</v>
          </cell>
          <cell r="BB350">
            <v>0</v>
          </cell>
          <cell r="BC350">
            <v>0</v>
          </cell>
          <cell r="BD350">
            <v>0</v>
          </cell>
          <cell r="BE350">
            <v>0</v>
          </cell>
          <cell r="BF350">
            <v>0</v>
          </cell>
          <cell r="BG350">
            <v>0</v>
          </cell>
          <cell r="BH350">
            <v>1</v>
          </cell>
          <cell r="BI350">
            <v>0</v>
          </cell>
          <cell r="BJ350">
            <v>0</v>
          </cell>
          <cell r="BK350">
            <v>0</v>
          </cell>
          <cell r="BL350">
            <v>1</v>
          </cell>
          <cell r="BM350">
            <v>0</v>
          </cell>
          <cell r="BN350">
            <v>0</v>
          </cell>
          <cell r="BO350">
            <v>0</v>
          </cell>
          <cell r="BP350">
            <v>0</v>
          </cell>
          <cell r="BQ350">
            <v>0</v>
          </cell>
          <cell r="BR350">
            <v>0</v>
          </cell>
          <cell r="BS350">
            <v>0</v>
          </cell>
          <cell r="BT350">
            <v>16</v>
          </cell>
          <cell r="BU350">
            <v>0</v>
          </cell>
        </row>
        <row r="351">
          <cell r="A351">
            <v>29</v>
          </cell>
          <cell r="B351">
            <v>29</v>
          </cell>
          <cell r="D351">
            <v>0</v>
          </cell>
          <cell r="F351">
            <v>0</v>
          </cell>
          <cell r="G351">
            <v>0</v>
          </cell>
          <cell r="I351">
            <v>0</v>
          </cell>
          <cell r="J351">
            <v>1</v>
          </cell>
          <cell r="K351">
            <v>2</v>
          </cell>
          <cell r="L351">
            <v>2</v>
          </cell>
          <cell r="M351">
            <v>3</v>
          </cell>
          <cell r="O351">
            <v>1</v>
          </cell>
          <cell r="P351">
            <v>0</v>
          </cell>
          <cell r="Q351">
            <v>0</v>
          </cell>
          <cell r="R351">
            <v>0</v>
          </cell>
          <cell r="S351">
            <v>0</v>
          </cell>
          <cell r="T351">
            <v>4</v>
          </cell>
          <cell r="V351">
            <v>0</v>
          </cell>
          <cell r="W351">
            <v>61</v>
          </cell>
          <cell r="X351">
            <v>3</v>
          </cell>
          <cell r="Y351">
            <v>2</v>
          </cell>
          <cell r="AA351">
            <v>0</v>
          </cell>
          <cell r="AB351">
            <v>1</v>
          </cell>
          <cell r="AC351">
            <v>0</v>
          </cell>
          <cell r="AD351">
            <v>0</v>
          </cell>
          <cell r="AE351">
            <v>0</v>
          </cell>
          <cell r="AF351">
            <v>0</v>
          </cell>
          <cell r="AG351">
            <v>0</v>
          </cell>
          <cell r="AH351">
            <v>0</v>
          </cell>
          <cell r="AI351">
            <v>3</v>
          </cell>
          <cell r="AK351">
            <v>0</v>
          </cell>
          <cell r="AL351">
            <v>1</v>
          </cell>
          <cell r="AN351">
            <v>4649</v>
          </cell>
          <cell r="AO351">
            <v>1</v>
          </cell>
          <cell r="AQ351">
            <v>0</v>
          </cell>
          <cell r="AR351">
            <v>14</v>
          </cell>
          <cell r="AS351">
            <v>3</v>
          </cell>
          <cell r="AT351">
            <v>1</v>
          </cell>
          <cell r="AU351">
            <v>1</v>
          </cell>
          <cell r="AV351">
            <v>4</v>
          </cell>
          <cell r="AW351">
            <v>4</v>
          </cell>
          <cell r="AX351">
            <v>3</v>
          </cell>
          <cell r="AY351">
            <v>2</v>
          </cell>
          <cell r="AZ351">
            <v>4</v>
          </cell>
          <cell r="BA351">
            <v>4</v>
          </cell>
          <cell r="BB351">
            <v>3</v>
          </cell>
          <cell r="BC351">
            <v>0</v>
          </cell>
          <cell r="BD351">
            <v>0</v>
          </cell>
          <cell r="BE351">
            <v>2</v>
          </cell>
          <cell r="BF351">
            <v>2</v>
          </cell>
          <cell r="BG351">
            <v>4</v>
          </cell>
          <cell r="BH351">
            <v>0</v>
          </cell>
          <cell r="BI351">
            <v>1</v>
          </cell>
          <cell r="BJ351">
            <v>0</v>
          </cell>
          <cell r="BK351">
            <v>0</v>
          </cell>
          <cell r="BL351">
            <v>0</v>
          </cell>
          <cell r="BM351">
            <v>0</v>
          </cell>
          <cell r="BN351">
            <v>1</v>
          </cell>
          <cell r="BO351">
            <v>0</v>
          </cell>
          <cell r="BP351">
            <v>0</v>
          </cell>
          <cell r="BQ351">
            <v>0</v>
          </cell>
          <cell r="BR351">
            <v>2</v>
          </cell>
          <cell r="BS351">
            <v>0</v>
          </cell>
          <cell r="BT351">
            <v>0</v>
          </cell>
          <cell r="BU351">
            <v>4</v>
          </cell>
        </row>
        <row r="352">
          <cell r="A352">
            <v>42</v>
          </cell>
          <cell r="B352">
            <v>42</v>
          </cell>
          <cell r="D352">
            <v>0</v>
          </cell>
          <cell r="F352">
            <v>0</v>
          </cell>
          <cell r="G352">
            <v>1</v>
          </cell>
          <cell r="I352">
            <v>0</v>
          </cell>
          <cell r="J352">
            <v>0</v>
          </cell>
          <cell r="K352">
            <v>2</v>
          </cell>
          <cell r="L352">
            <v>2</v>
          </cell>
          <cell r="M352">
            <v>1</v>
          </cell>
          <cell r="O352">
            <v>0</v>
          </cell>
          <cell r="P352">
            <v>0</v>
          </cell>
          <cell r="Q352">
            <v>0</v>
          </cell>
          <cell r="R352">
            <v>0</v>
          </cell>
          <cell r="S352">
            <v>1</v>
          </cell>
          <cell r="T352">
            <v>3</v>
          </cell>
          <cell r="V352">
            <v>0</v>
          </cell>
          <cell r="W352">
            <v>52</v>
          </cell>
          <cell r="X352">
            <v>3</v>
          </cell>
          <cell r="Y352">
            <v>1</v>
          </cell>
          <cell r="AA352">
            <v>0</v>
          </cell>
          <cell r="AB352">
            <v>0</v>
          </cell>
          <cell r="AC352">
            <v>0</v>
          </cell>
          <cell r="AD352">
            <v>0</v>
          </cell>
          <cell r="AE352">
            <v>0</v>
          </cell>
          <cell r="AF352">
            <v>0</v>
          </cell>
          <cell r="AG352">
            <v>0</v>
          </cell>
          <cell r="AH352">
            <v>0</v>
          </cell>
          <cell r="AI352">
            <v>3</v>
          </cell>
          <cell r="AK352">
            <v>0</v>
          </cell>
          <cell r="AL352">
            <v>0</v>
          </cell>
          <cell r="AN352">
            <v>2696</v>
          </cell>
          <cell r="AO352">
            <v>0</v>
          </cell>
          <cell r="AQ352">
            <v>1</v>
          </cell>
          <cell r="AR352">
            <v>11</v>
          </cell>
          <cell r="AS352">
            <v>3</v>
          </cell>
          <cell r="AT352">
            <v>3</v>
          </cell>
          <cell r="AU352">
            <v>1</v>
          </cell>
          <cell r="AV352">
            <v>4</v>
          </cell>
          <cell r="AW352">
            <v>4</v>
          </cell>
          <cell r="AX352">
            <v>5</v>
          </cell>
          <cell r="AY352">
            <v>3</v>
          </cell>
          <cell r="AZ352">
            <v>3</v>
          </cell>
          <cell r="BA352">
            <v>3</v>
          </cell>
          <cell r="BB352">
            <v>2</v>
          </cell>
          <cell r="BC352">
            <v>1</v>
          </cell>
          <cell r="BD352">
            <v>1</v>
          </cell>
          <cell r="BE352">
            <v>0</v>
          </cell>
          <cell r="BF352">
            <v>0</v>
          </cell>
          <cell r="BG352">
            <v>0</v>
          </cell>
          <cell r="BH352">
            <v>1</v>
          </cell>
          <cell r="BI352">
            <v>0</v>
          </cell>
          <cell r="BJ352">
            <v>0</v>
          </cell>
          <cell r="BK352">
            <v>0</v>
          </cell>
          <cell r="BL352">
            <v>0</v>
          </cell>
          <cell r="BM352">
            <v>1</v>
          </cell>
          <cell r="BN352">
            <v>0</v>
          </cell>
          <cell r="BO352">
            <v>0</v>
          </cell>
          <cell r="BP352">
            <v>0</v>
          </cell>
          <cell r="BQ352">
            <v>0</v>
          </cell>
          <cell r="BR352">
            <v>0</v>
          </cell>
          <cell r="BS352">
            <v>4</v>
          </cell>
          <cell r="BT352">
            <v>0</v>
          </cell>
          <cell r="BU352">
            <v>0</v>
          </cell>
        </row>
        <row r="353">
          <cell r="A353">
            <v>32</v>
          </cell>
          <cell r="B353">
            <v>32</v>
          </cell>
          <cell r="D353">
            <v>0</v>
          </cell>
          <cell r="F353">
            <v>0</v>
          </cell>
          <cell r="G353">
            <v>1</v>
          </cell>
          <cell r="I353">
            <v>1</v>
          </cell>
          <cell r="J353">
            <v>0</v>
          </cell>
          <cell r="K353">
            <v>2</v>
          </cell>
          <cell r="L353">
            <v>2</v>
          </cell>
          <cell r="M353">
            <v>3</v>
          </cell>
          <cell r="O353">
            <v>0</v>
          </cell>
          <cell r="P353">
            <v>0</v>
          </cell>
          <cell r="Q353">
            <v>1</v>
          </cell>
          <cell r="R353">
            <v>0</v>
          </cell>
          <cell r="S353">
            <v>0</v>
          </cell>
          <cell r="T353">
            <v>3</v>
          </cell>
          <cell r="V353">
            <v>1</v>
          </cell>
          <cell r="W353">
            <v>75</v>
          </cell>
          <cell r="X353">
            <v>3</v>
          </cell>
          <cell r="Y353">
            <v>1</v>
          </cell>
          <cell r="AA353">
            <v>0</v>
          </cell>
          <cell r="AB353">
            <v>0</v>
          </cell>
          <cell r="AC353">
            <v>1</v>
          </cell>
          <cell r="AD353">
            <v>0</v>
          </cell>
          <cell r="AE353">
            <v>0</v>
          </cell>
          <cell r="AF353">
            <v>0</v>
          </cell>
          <cell r="AG353">
            <v>0</v>
          </cell>
          <cell r="AH353">
            <v>0</v>
          </cell>
          <cell r="AI353">
            <v>2</v>
          </cell>
          <cell r="AK353">
            <v>0</v>
          </cell>
          <cell r="AL353">
            <v>1</v>
          </cell>
          <cell r="AN353">
            <v>2370</v>
          </cell>
          <cell r="AO353">
            <v>1</v>
          </cell>
          <cell r="AQ353">
            <v>0</v>
          </cell>
          <cell r="AR353">
            <v>13</v>
          </cell>
          <cell r="AS353">
            <v>3</v>
          </cell>
          <cell r="AT353">
            <v>3</v>
          </cell>
          <cell r="AU353">
            <v>1</v>
          </cell>
          <cell r="AV353">
            <v>8</v>
          </cell>
          <cell r="AW353">
            <v>8</v>
          </cell>
          <cell r="AX353">
            <v>4</v>
          </cell>
          <cell r="AY353">
            <v>3</v>
          </cell>
          <cell r="AZ353">
            <v>8</v>
          </cell>
          <cell r="BA353">
            <v>8</v>
          </cell>
          <cell r="BB353">
            <v>0</v>
          </cell>
          <cell r="BC353">
            <v>0</v>
          </cell>
          <cell r="BD353">
            <v>0</v>
          </cell>
          <cell r="BE353">
            <v>7</v>
          </cell>
          <cell r="BF353">
            <v>7</v>
          </cell>
          <cell r="BG353">
            <v>7</v>
          </cell>
          <cell r="BH353">
            <v>0</v>
          </cell>
          <cell r="BI353">
            <v>1</v>
          </cell>
          <cell r="BJ353">
            <v>0</v>
          </cell>
          <cell r="BK353">
            <v>0</v>
          </cell>
          <cell r="BL353">
            <v>0</v>
          </cell>
          <cell r="BM353">
            <v>0</v>
          </cell>
          <cell r="BN353">
            <v>1</v>
          </cell>
          <cell r="BO353">
            <v>0</v>
          </cell>
          <cell r="BP353">
            <v>0</v>
          </cell>
          <cell r="BQ353">
            <v>7</v>
          </cell>
          <cell r="BR353">
            <v>0</v>
          </cell>
          <cell r="BS353">
            <v>0</v>
          </cell>
          <cell r="BT353">
            <v>8</v>
          </cell>
          <cell r="BU353">
            <v>0</v>
          </cell>
        </row>
        <row r="354">
          <cell r="A354">
            <v>48</v>
          </cell>
          <cell r="B354">
            <v>48</v>
          </cell>
          <cell r="D354">
            <v>0</v>
          </cell>
          <cell r="F354">
            <v>0</v>
          </cell>
          <cell r="G354">
            <v>1</v>
          </cell>
          <cell r="I354">
            <v>0</v>
          </cell>
          <cell r="J354">
            <v>1</v>
          </cell>
          <cell r="K354">
            <v>29</v>
          </cell>
          <cell r="L354">
            <v>29</v>
          </cell>
          <cell r="M354">
            <v>1</v>
          </cell>
          <cell r="O354">
            <v>0</v>
          </cell>
          <cell r="P354">
            <v>0</v>
          </cell>
          <cell r="Q354">
            <v>1</v>
          </cell>
          <cell r="R354">
            <v>0</v>
          </cell>
          <cell r="S354">
            <v>0</v>
          </cell>
          <cell r="T354">
            <v>1</v>
          </cell>
          <cell r="V354">
            <v>1</v>
          </cell>
          <cell r="W354">
            <v>91</v>
          </cell>
          <cell r="X354">
            <v>3</v>
          </cell>
          <cell r="Y354">
            <v>3</v>
          </cell>
          <cell r="AA354">
            <v>0</v>
          </cell>
          <cell r="AB354">
            <v>0</v>
          </cell>
          <cell r="AC354">
            <v>0</v>
          </cell>
          <cell r="AD354">
            <v>1</v>
          </cell>
          <cell r="AE354">
            <v>0</v>
          </cell>
          <cell r="AF354">
            <v>0</v>
          </cell>
          <cell r="AG354">
            <v>0</v>
          </cell>
          <cell r="AH354">
            <v>0</v>
          </cell>
          <cell r="AI354">
            <v>3</v>
          </cell>
          <cell r="AK354">
            <v>0</v>
          </cell>
          <cell r="AL354">
            <v>1</v>
          </cell>
          <cell r="AN354">
            <v>12504</v>
          </cell>
          <cell r="AO354">
            <v>3</v>
          </cell>
          <cell r="AQ354">
            <v>0</v>
          </cell>
          <cell r="AR354">
            <v>21</v>
          </cell>
          <cell r="AS354">
            <v>4</v>
          </cell>
          <cell r="AT354">
            <v>2</v>
          </cell>
          <cell r="AU354">
            <v>1</v>
          </cell>
          <cell r="AV354">
            <v>15</v>
          </cell>
          <cell r="AW354">
            <v>15</v>
          </cell>
          <cell r="AX354">
            <v>3</v>
          </cell>
          <cell r="AY354">
            <v>1</v>
          </cell>
          <cell r="AZ354">
            <v>0</v>
          </cell>
          <cell r="BA354">
            <v>0</v>
          </cell>
          <cell r="BB354">
            <v>0</v>
          </cell>
          <cell r="BC354">
            <v>0</v>
          </cell>
          <cell r="BD354">
            <v>0</v>
          </cell>
          <cell r="BE354">
            <v>0</v>
          </cell>
          <cell r="BF354">
            <v>0</v>
          </cell>
          <cell r="BG354">
            <v>0</v>
          </cell>
          <cell r="BH354">
            <v>0</v>
          </cell>
          <cell r="BI354">
            <v>1</v>
          </cell>
          <cell r="BJ354">
            <v>0</v>
          </cell>
          <cell r="BK354">
            <v>0</v>
          </cell>
          <cell r="BL354">
            <v>0</v>
          </cell>
          <cell r="BM354">
            <v>0</v>
          </cell>
          <cell r="BN354">
            <v>1</v>
          </cell>
          <cell r="BO354">
            <v>0</v>
          </cell>
          <cell r="BP354">
            <v>0</v>
          </cell>
          <cell r="BQ354">
            <v>0</v>
          </cell>
          <cell r="BR354">
            <v>0</v>
          </cell>
          <cell r="BS354">
            <v>0</v>
          </cell>
          <cell r="BT354">
            <v>0</v>
          </cell>
          <cell r="BU354">
            <v>15</v>
          </cell>
        </row>
        <row r="355">
          <cell r="A355">
            <v>37</v>
          </cell>
          <cell r="B355">
            <v>37</v>
          </cell>
          <cell r="D355">
            <v>0</v>
          </cell>
          <cell r="F355">
            <v>0</v>
          </cell>
          <cell r="G355">
            <v>1</v>
          </cell>
          <cell r="I355">
            <v>1</v>
          </cell>
          <cell r="J355">
            <v>0</v>
          </cell>
          <cell r="K355">
            <v>6</v>
          </cell>
          <cell r="L355">
            <v>6</v>
          </cell>
          <cell r="M355">
            <v>3</v>
          </cell>
          <cell r="O355">
            <v>0</v>
          </cell>
          <cell r="P355">
            <v>0</v>
          </cell>
          <cell r="Q355">
            <v>1</v>
          </cell>
          <cell r="R355">
            <v>0</v>
          </cell>
          <cell r="S355">
            <v>0</v>
          </cell>
          <cell r="T355">
            <v>3</v>
          </cell>
          <cell r="V355">
            <v>0</v>
          </cell>
          <cell r="W355">
            <v>51</v>
          </cell>
          <cell r="X355">
            <v>4</v>
          </cell>
          <cell r="Y355">
            <v>2</v>
          </cell>
          <cell r="AA355">
            <v>0</v>
          </cell>
          <cell r="AB355">
            <v>0</v>
          </cell>
          <cell r="AC355">
            <v>0</v>
          </cell>
          <cell r="AD355">
            <v>0</v>
          </cell>
          <cell r="AE355">
            <v>0</v>
          </cell>
          <cell r="AF355">
            <v>0</v>
          </cell>
          <cell r="AG355">
            <v>0</v>
          </cell>
          <cell r="AH355">
            <v>1</v>
          </cell>
          <cell r="AI355">
            <v>1</v>
          </cell>
          <cell r="AK355">
            <v>0</v>
          </cell>
          <cell r="AL355">
            <v>0</v>
          </cell>
          <cell r="AN355">
            <v>5974</v>
          </cell>
          <cell r="AO355">
            <v>4</v>
          </cell>
          <cell r="AQ355">
            <v>1</v>
          </cell>
          <cell r="AR355">
            <v>13</v>
          </cell>
          <cell r="AS355">
            <v>3</v>
          </cell>
          <cell r="AT355">
            <v>1</v>
          </cell>
          <cell r="AU355">
            <v>2</v>
          </cell>
          <cell r="AV355">
            <v>13</v>
          </cell>
          <cell r="AW355">
            <v>13</v>
          </cell>
          <cell r="AX355">
            <v>2</v>
          </cell>
          <cell r="AY355">
            <v>3</v>
          </cell>
          <cell r="AZ355">
            <v>7</v>
          </cell>
          <cell r="BA355">
            <v>7</v>
          </cell>
          <cell r="BB355">
            <v>7</v>
          </cell>
          <cell r="BC355">
            <v>6</v>
          </cell>
          <cell r="BD355">
            <v>6</v>
          </cell>
          <cell r="BE355">
            <v>7</v>
          </cell>
          <cell r="BF355">
            <v>7</v>
          </cell>
          <cell r="BG355">
            <v>14</v>
          </cell>
          <cell r="BH355">
            <v>1</v>
          </cell>
          <cell r="BI355">
            <v>0</v>
          </cell>
          <cell r="BJ355">
            <v>0</v>
          </cell>
          <cell r="BK355">
            <v>0</v>
          </cell>
          <cell r="BL355">
            <v>0</v>
          </cell>
          <cell r="BM355">
            <v>1</v>
          </cell>
          <cell r="BN355">
            <v>0</v>
          </cell>
          <cell r="BO355">
            <v>0</v>
          </cell>
          <cell r="BP355">
            <v>0</v>
          </cell>
          <cell r="BQ355">
            <v>7</v>
          </cell>
          <cell r="BR355">
            <v>0</v>
          </cell>
          <cell r="BS355">
            <v>0</v>
          </cell>
          <cell r="BT355">
            <v>13</v>
          </cell>
          <cell r="BU355">
            <v>0</v>
          </cell>
        </row>
        <row r="356">
          <cell r="A356">
            <v>30</v>
          </cell>
          <cell r="B356">
            <v>30</v>
          </cell>
          <cell r="D356">
            <v>0</v>
          </cell>
          <cell r="F356">
            <v>0</v>
          </cell>
          <cell r="G356">
            <v>0</v>
          </cell>
          <cell r="I356">
            <v>0</v>
          </cell>
          <cell r="J356">
            <v>1</v>
          </cell>
          <cell r="K356">
            <v>25</v>
          </cell>
          <cell r="L356">
            <v>25</v>
          </cell>
          <cell r="M356">
            <v>2</v>
          </cell>
          <cell r="O356">
            <v>0</v>
          </cell>
          <cell r="P356">
            <v>0</v>
          </cell>
          <cell r="Q356">
            <v>0</v>
          </cell>
          <cell r="R356">
            <v>0</v>
          </cell>
          <cell r="S356">
            <v>1</v>
          </cell>
          <cell r="T356">
            <v>4</v>
          </cell>
          <cell r="V356">
            <v>1</v>
          </cell>
          <cell r="W356">
            <v>85</v>
          </cell>
          <cell r="X356">
            <v>3</v>
          </cell>
          <cell r="Y356">
            <v>2</v>
          </cell>
          <cell r="AA356">
            <v>0</v>
          </cell>
          <cell r="AB356">
            <v>1</v>
          </cell>
          <cell r="AC356">
            <v>0</v>
          </cell>
          <cell r="AD356">
            <v>0</v>
          </cell>
          <cell r="AE356">
            <v>0</v>
          </cell>
          <cell r="AF356">
            <v>0</v>
          </cell>
          <cell r="AG356">
            <v>0</v>
          </cell>
          <cell r="AH356">
            <v>0</v>
          </cell>
          <cell r="AI356">
            <v>3</v>
          </cell>
          <cell r="AK356">
            <v>0</v>
          </cell>
          <cell r="AL356">
            <v>1</v>
          </cell>
          <cell r="AN356">
            <v>4736</v>
          </cell>
          <cell r="AO356">
            <v>7</v>
          </cell>
          <cell r="AQ356">
            <v>1</v>
          </cell>
          <cell r="AR356">
            <v>12</v>
          </cell>
          <cell r="AS356">
            <v>3</v>
          </cell>
          <cell r="AT356">
            <v>2</v>
          </cell>
          <cell r="AU356">
            <v>1</v>
          </cell>
          <cell r="AV356">
            <v>4</v>
          </cell>
          <cell r="AW356">
            <v>4</v>
          </cell>
          <cell r="AX356">
            <v>2</v>
          </cell>
          <cell r="AY356">
            <v>4</v>
          </cell>
          <cell r="AZ356">
            <v>2</v>
          </cell>
          <cell r="BA356">
            <v>2</v>
          </cell>
          <cell r="BB356">
            <v>2</v>
          </cell>
          <cell r="BC356">
            <v>2</v>
          </cell>
          <cell r="BD356">
            <v>2</v>
          </cell>
          <cell r="BE356">
            <v>2</v>
          </cell>
          <cell r="BF356">
            <v>2</v>
          </cell>
          <cell r="BG356">
            <v>4</v>
          </cell>
          <cell r="BH356">
            <v>0</v>
          </cell>
          <cell r="BI356">
            <v>1</v>
          </cell>
          <cell r="BJ356">
            <v>0</v>
          </cell>
          <cell r="BK356">
            <v>0</v>
          </cell>
          <cell r="BL356">
            <v>0</v>
          </cell>
          <cell r="BM356">
            <v>0</v>
          </cell>
          <cell r="BN356">
            <v>0</v>
          </cell>
          <cell r="BO356">
            <v>1</v>
          </cell>
          <cell r="BP356">
            <v>0</v>
          </cell>
          <cell r="BQ356">
            <v>0</v>
          </cell>
          <cell r="BR356">
            <v>2</v>
          </cell>
          <cell r="BS356">
            <v>0</v>
          </cell>
          <cell r="BT356">
            <v>0</v>
          </cell>
          <cell r="BU356">
            <v>4</v>
          </cell>
        </row>
        <row r="357">
          <cell r="A357">
            <v>26</v>
          </cell>
          <cell r="B357">
            <v>26</v>
          </cell>
          <cell r="D357">
            <v>0</v>
          </cell>
          <cell r="F357">
            <v>0</v>
          </cell>
          <cell r="G357">
            <v>1</v>
          </cell>
          <cell r="I357">
            <v>0</v>
          </cell>
          <cell r="J357">
            <v>1</v>
          </cell>
          <cell r="K357">
            <v>1</v>
          </cell>
          <cell r="L357">
            <v>1</v>
          </cell>
          <cell r="M357">
            <v>3</v>
          </cell>
          <cell r="O357">
            <v>1</v>
          </cell>
          <cell r="P357">
            <v>0</v>
          </cell>
          <cell r="Q357">
            <v>0</v>
          </cell>
          <cell r="R357">
            <v>0</v>
          </cell>
          <cell r="S357">
            <v>0</v>
          </cell>
          <cell r="T357">
            <v>3</v>
          </cell>
          <cell r="V357">
            <v>0</v>
          </cell>
          <cell r="W357">
            <v>57</v>
          </cell>
          <cell r="X357">
            <v>3</v>
          </cell>
          <cell r="Y357">
            <v>2</v>
          </cell>
          <cell r="AA357">
            <v>0</v>
          </cell>
          <cell r="AB357">
            <v>1</v>
          </cell>
          <cell r="AC357">
            <v>0</v>
          </cell>
          <cell r="AD357">
            <v>0</v>
          </cell>
          <cell r="AE357">
            <v>0</v>
          </cell>
          <cell r="AF357">
            <v>0</v>
          </cell>
          <cell r="AG357">
            <v>0</v>
          </cell>
          <cell r="AH357">
            <v>0</v>
          </cell>
          <cell r="AI357">
            <v>3</v>
          </cell>
          <cell r="AK357">
            <v>0</v>
          </cell>
          <cell r="AL357">
            <v>1</v>
          </cell>
          <cell r="AN357">
            <v>5296</v>
          </cell>
          <cell r="AO357">
            <v>1</v>
          </cell>
          <cell r="AQ357">
            <v>0</v>
          </cell>
          <cell r="AR357">
            <v>17</v>
          </cell>
          <cell r="AS357">
            <v>3</v>
          </cell>
          <cell r="AT357">
            <v>2</v>
          </cell>
          <cell r="AU357">
            <v>1</v>
          </cell>
          <cell r="AV357">
            <v>8</v>
          </cell>
          <cell r="AW357">
            <v>8</v>
          </cell>
          <cell r="AX357">
            <v>3</v>
          </cell>
          <cell r="AY357">
            <v>3</v>
          </cell>
          <cell r="AZ357">
            <v>8</v>
          </cell>
          <cell r="BA357">
            <v>8</v>
          </cell>
          <cell r="BB357">
            <v>7</v>
          </cell>
          <cell r="BC357">
            <v>7</v>
          </cell>
          <cell r="BD357">
            <v>7</v>
          </cell>
          <cell r="BE357">
            <v>7</v>
          </cell>
          <cell r="BF357">
            <v>7</v>
          </cell>
          <cell r="BG357">
            <v>14</v>
          </cell>
          <cell r="BH357">
            <v>0</v>
          </cell>
          <cell r="BI357">
            <v>1</v>
          </cell>
          <cell r="BJ357">
            <v>0</v>
          </cell>
          <cell r="BK357">
            <v>0</v>
          </cell>
          <cell r="BL357">
            <v>0</v>
          </cell>
          <cell r="BM357">
            <v>0</v>
          </cell>
          <cell r="BN357">
            <v>1</v>
          </cell>
          <cell r="BO357">
            <v>0</v>
          </cell>
          <cell r="BP357">
            <v>0</v>
          </cell>
          <cell r="BQ357">
            <v>0</v>
          </cell>
          <cell r="BR357">
            <v>7</v>
          </cell>
          <cell r="BS357">
            <v>0</v>
          </cell>
          <cell r="BT357">
            <v>0</v>
          </cell>
          <cell r="BU357">
            <v>8</v>
          </cell>
        </row>
        <row r="358">
          <cell r="A358">
            <v>42</v>
          </cell>
          <cell r="B358">
            <v>42</v>
          </cell>
          <cell r="D358">
            <v>0</v>
          </cell>
          <cell r="F358">
            <v>0</v>
          </cell>
          <cell r="G358">
            <v>1</v>
          </cell>
          <cell r="I358">
            <v>1</v>
          </cell>
          <cell r="J358">
            <v>0</v>
          </cell>
          <cell r="K358">
            <v>2</v>
          </cell>
          <cell r="L358">
            <v>2</v>
          </cell>
          <cell r="M358">
            <v>4</v>
          </cell>
          <cell r="O358">
            <v>0</v>
          </cell>
          <cell r="P358">
            <v>1</v>
          </cell>
          <cell r="Q358">
            <v>0</v>
          </cell>
          <cell r="R358">
            <v>0</v>
          </cell>
          <cell r="S358">
            <v>0</v>
          </cell>
          <cell r="T358">
            <v>1</v>
          </cell>
          <cell r="V358">
            <v>0</v>
          </cell>
          <cell r="W358">
            <v>98</v>
          </cell>
          <cell r="X358">
            <v>2</v>
          </cell>
          <cell r="Y358">
            <v>2</v>
          </cell>
          <cell r="AA358">
            <v>1</v>
          </cell>
          <cell r="AB358">
            <v>0</v>
          </cell>
          <cell r="AC358">
            <v>0</v>
          </cell>
          <cell r="AD358">
            <v>0</v>
          </cell>
          <cell r="AE358">
            <v>0</v>
          </cell>
          <cell r="AF358">
            <v>0</v>
          </cell>
          <cell r="AG358">
            <v>0</v>
          </cell>
          <cell r="AH358">
            <v>0</v>
          </cell>
          <cell r="AI358">
            <v>4</v>
          </cell>
          <cell r="AK358">
            <v>1</v>
          </cell>
          <cell r="AL358">
            <v>0</v>
          </cell>
          <cell r="AN358">
            <v>6781</v>
          </cell>
          <cell r="AO358">
            <v>3</v>
          </cell>
          <cell r="AQ358">
            <v>0</v>
          </cell>
          <cell r="AR358">
            <v>23</v>
          </cell>
          <cell r="AS358">
            <v>4</v>
          </cell>
          <cell r="AT358">
            <v>2</v>
          </cell>
          <cell r="AU358">
            <v>0</v>
          </cell>
          <cell r="AV358">
            <v>14</v>
          </cell>
          <cell r="AW358">
            <v>14</v>
          </cell>
          <cell r="AX358">
            <v>6</v>
          </cell>
          <cell r="AY358">
            <v>3</v>
          </cell>
          <cell r="AZ358">
            <v>1</v>
          </cell>
          <cell r="BA358">
            <v>1</v>
          </cell>
          <cell r="BB358">
            <v>0</v>
          </cell>
          <cell r="BC358">
            <v>0</v>
          </cell>
          <cell r="BD358">
            <v>0</v>
          </cell>
          <cell r="BE358">
            <v>0</v>
          </cell>
          <cell r="BF358">
            <v>0</v>
          </cell>
          <cell r="BG358">
            <v>0</v>
          </cell>
          <cell r="BH358">
            <v>1</v>
          </cell>
          <cell r="BI358">
            <v>0</v>
          </cell>
          <cell r="BJ358">
            <v>0</v>
          </cell>
          <cell r="BK358">
            <v>0</v>
          </cell>
          <cell r="BL358">
            <v>1</v>
          </cell>
          <cell r="BM358">
            <v>0</v>
          </cell>
          <cell r="BN358">
            <v>0</v>
          </cell>
          <cell r="BO358">
            <v>0</v>
          </cell>
          <cell r="BP358">
            <v>0</v>
          </cell>
          <cell r="BQ358">
            <v>0</v>
          </cell>
          <cell r="BR358">
            <v>0</v>
          </cell>
          <cell r="BS358">
            <v>0</v>
          </cell>
          <cell r="BT358">
            <v>14</v>
          </cell>
          <cell r="BU358">
            <v>0</v>
          </cell>
        </row>
        <row r="359">
          <cell r="A359">
            <v>21</v>
          </cell>
          <cell r="B359">
            <v>21</v>
          </cell>
          <cell r="D359">
            <v>1</v>
          </cell>
          <cell r="F359">
            <v>1</v>
          </cell>
          <cell r="G359">
            <v>0</v>
          </cell>
          <cell r="I359">
            <v>0</v>
          </cell>
          <cell r="J359">
            <v>1</v>
          </cell>
          <cell r="K359">
            <v>1</v>
          </cell>
          <cell r="L359">
            <v>1</v>
          </cell>
          <cell r="M359">
            <v>1</v>
          </cell>
          <cell r="O359">
            <v>0</v>
          </cell>
          <cell r="P359">
            <v>0</v>
          </cell>
          <cell r="Q359">
            <v>0</v>
          </cell>
          <cell r="R359">
            <v>0</v>
          </cell>
          <cell r="S359">
            <v>1</v>
          </cell>
          <cell r="T359">
            <v>1</v>
          </cell>
          <cell r="V359">
            <v>1</v>
          </cell>
          <cell r="W359">
            <v>99</v>
          </cell>
          <cell r="X359">
            <v>2</v>
          </cell>
          <cell r="Y359">
            <v>1</v>
          </cell>
          <cell r="AA359">
            <v>0</v>
          </cell>
          <cell r="AB359">
            <v>0</v>
          </cell>
          <cell r="AC359">
            <v>0</v>
          </cell>
          <cell r="AD359">
            <v>0</v>
          </cell>
          <cell r="AE359">
            <v>0</v>
          </cell>
          <cell r="AF359">
            <v>0</v>
          </cell>
          <cell r="AG359">
            <v>1</v>
          </cell>
          <cell r="AH359">
            <v>0</v>
          </cell>
          <cell r="AI359">
            <v>2</v>
          </cell>
          <cell r="AK359">
            <v>1</v>
          </cell>
          <cell r="AL359">
            <v>0</v>
          </cell>
          <cell r="AN359">
            <v>2174</v>
          </cell>
          <cell r="AO359">
            <v>1</v>
          </cell>
          <cell r="AQ359">
            <v>1</v>
          </cell>
          <cell r="AR359">
            <v>11</v>
          </cell>
          <cell r="AS359">
            <v>3</v>
          </cell>
          <cell r="AT359">
            <v>3</v>
          </cell>
          <cell r="AU359">
            <v>0</v>
          </cell>
          <cell r="AV359">
            <v>3</v>
          </cell>
          <cell r="AW359">
            <v>3</v>
          </cell>
          <cell r="AX359">
            <v>3</v>
          </cell>
          <cell r="AY359">
            <v>3</v>
          </cell>
          <cell r="AZ359">
            <v>3</v>
          </cell>
          <cell r="BA359">
            <v>3</v>
          </cell>
          <cell r="BB359">
            <v>2</v>
          </cell>
          <cell r="BC359">
            <v>1</v>
          </cell>
          <cell r="BD359">
            <v>1</v>
          </cell>
          <cell r="BE359">
            <v>2</v>
          </cell>
          <cell r="BF359">
            <v>2</v>
          </cell>
          <cell r="BG359">
            <v>2</v>
          </cell>
          <cell r="BH359">
            <v>0</v>
          </cell>
          <cell r="BI359">
            <v>0</v>
          </cell>
          <cell r="BJ359">
            <v>1</v>
          </cell>
          <cell r="BK359">
            <v>0</v>
          </cell>
          <cell r="BL359">
            <v>0</v>
          </cell>
          <cell r="BM359">
            <v>1</v>
          </cell>
          <cell r="BN359">
            <v>0</v>
          </cell>
          <cell r="BO359">
            <v>0</v>
          </cell>
          <cell r="BP359">
            <v>0</v>
          </cell>
          <cell r="BQ359">
            <v>0</v>
          </cell>
          <cell r="BR359">
            <v>2</v>
          </cell>
          <cell r="BS359">
            <v>0</v>
          </cell>
          <cell r="BT359">
            <v>0</v>
          </cell>
          <cell r="BU359">
            <v>3</v>
          </cell>
        </row>
        <row r="360">
          <cell r="A360">
            <v>36</v>
          </cell>
          <cell r="B360">
            <v>36</v>
          </cell>
          <cell r="D360">
            <v>0</v>
          </cell>
          <cell r="F360">
            <v>0</v>
          </cell>
          <cell r="G360">
            <v>0</v>
          </cell>
          <cell r="I360">
            <v>0</v>
          </cell>
          <cell r="J360">
            <v>1</v>
          </cell>
          <cell r="K360">
            <v>1</v>
          </cell>
          <cell r="L360">
            <v>1</v>
          </cell>
          <cell r="M360">
            <v>5</v>
          </cell>
          <cell r="O360">
            <v>0</v>
          </cell>
          <cell r="P360">
            <v>0</v>
          </cell>
          <cell r="Q360">
            <v>1</v>
          </cell>
          <cell r="R360">
            <v>0</v>
          </cell>
          <cell r="S360">
            <v>0</v>
          </cell>
          <cell r="T360">
            <v>4</v>
          </cell>
          <cell r="V360">
            <v>1</v>
          </cell>
          <cell r="W360">
            <v>45</v>
          </cell>
          <cell r="X360">
            <v>3</v>
          </cell>
          <cell r="Y360">
            <v>2</v>
          </cell>
          <cell r="AA360">
            <v>0</v>
          </cell>
          <cell r="AB360">
            <v>1</v>
          </cell>
          <cell r="AC360">
            <v>0</v>
          </cell>
          <cell r="AD360">
            <v>0</v>
          </cell>
          <cell r="AE360">
            <v>0</v>
          </cell>
          <cell r="AF360">
            <v>0</v>
          </cell>
          <cell r="AG360">
            <v>0</v>
          </cell>
          <cell r="AH360">
            <v>0</v>
          </cell>
          <cell r="AI360">
            <v>4</v>
          </cell>
          <cell r="AK360">
            <v>1</v>
          </cell>
          <cell r="AL360">
            <v>0</v>
          </cell>
          <cell r="AN360">
            <v>6653</v>
          </cell>
          <cell r="AO360">
            <v>4</v>
          </cell>
          <cell r="AQ360">
            <v>0</v>
          </cell>
          <cell r="AR360">
            <v>15</v>
          </cell>
          <cell r="AS360">
            <v>3</v>
          </cell>
          <cell r="AT360">
            <v>2</v>
          </cell>
          <cell r="AU360">
            <v>0</v>
          </cell>
          <cell r="AV360">
            <v>7</v>
          </cell>
          <cell r="AW360">
            <v>7</v>
          </cell>
          <cell r="AX360">
            <v>6</v>
          </cell>
          <cell r="AY360">
            <v>3</v>
          </cell>
          <cell r="AZ360">
            <v>1</v>
          </cell>
          <cell r="BA360">
            <v>1</v>
          </cell>
          <cell r="BB360">
            <v>0</v>
          </cell>
          <cell r="BC360">
            <v>0</v>
          </cell>
          <cell r="BD360">
            <v>0</v>
          </cell>
          <cell r="BE360">
            <v>0</v>
          </cell>
          <cell r="BF360">
            <v>0</v>
          </cell>
          <cell r="BG360">
            <v>0</v>
          </cell>
          <cell r="BH360">
            <v>1</v>
          </cell>
          <cell r="BI360">
            <v>0</v>
          </cell>
          <cell r="BJ360">
            <v>0</v>
          </cell>
          <cell r="BK360">
            <v>0</v>
          </cell>
          <cell r="BL360">
            <v>1</v>
          </cell>
          <cell r="BM360">
            <v>0</v>
          </cell>
          <cell r="BN360">
            <v>0</v>
          </cell>
          <cell r="BO360">
            <v>0</v>
          </cell>
          <cell r="BP360">
            <v>0</v>
          </cell>
          <cell r="BQ360">
            <v>0</v>
          </cell>
          <cell r="BR360">
            <v>0</v>
          </cell>
          <cell r="BS360">
            <v>0</v>
          </cell>
          <cell r="BT360">
            <v>0</v>
          </cell>
          <cell r="BU360">
            <v>7</v>
          </cell>
        </row>
        <row r="361">
          <cell r="A361">
            <v>36</v>
          </cell>
          <cell r="B361">
            <v>36</v>
          </cell>
          <cell r="D361">
            <v>0</v>
          </cell>
          <cell r="F361">
            <v>1</v>
          </cell>
          <cell r="G361">
            <v>0</v>
          </cell>
          <cell r="I361">
            <v>0</v>
          </cell>
          <cell r="J361">
            <v>1</v>
          </cell>
          <cell r="K361">
            <v>3</v>
          </cell>
          <cell r="L361">
            <v>3</v>
          </cell>
          <cell r="M361">
            <v>4</v>
          </cell>
          <cell r="O361">
            <v>0</v>
          </cell>
          <cell r="P361">
            <v>0</v>
          </cell>
          <cell r="Q361">
            <v>1</v>
          </cell>
          <cell r="R361">
            <v>0</v>
          </cell>
          <cell r="S361">
            <v>0</v>
          </cell>
          <cell r="T361">
            <v>1</v>
          </cell>
          <cell r="V361">
            <v>0</v>
          </cell>
          <cell r="W361">
            <v>48</v>
          </cell>
          <cell r="X361">
            <v>2</v>
          </cell>
          <cell r="Y361">
            <v>3</v>
          </cell>
          <cell r="AA361">
            <v>0</v>
          </cell>
          <cell r="AB361">
            <v>1</v>
          </cell>
          <cell r="AC361">
            <v>0</v>
          </cell>
          <cell r="AD361">
            <v>0</v>
          </cell>
          <cell r="AE361">
            <v>0</v>
          </cell>
          <cell r="AF361">
            <v>0</v>
          </cell>
          <cell r="AG361">
            <v>0</v>
          </cell>
          <cell r="AH361">
            <v>0</v>
          </cell>
          <cell r="AI361">
            <v>4</v>
          </cell>
          <cell r="AK361">
            <v>0</v>
          </cell>
          <cell r="AL361">
            <v>1</v>
          </cell>
          <cell r="AN361">
            <v>9699</v>
          </cell>
          <cell r="AO361">
            <v>4</v>
          </cell>
          <cell r="AQ361">
            <v>0</v>
          </cell>
          <cell r="AR361">
            <v>11</v>
          </cell>
          <cell r="AS361">
            <v>3</v>
          </cell>
          <cell r="AT361">
            <v>1</v>
          </cell>
          <cell r="AU361">
            <v>1</v>
          </cell>
          <cell r="AV361">
            <v>16</v>
          </cell>
          <cell r="AW361">
            <v>16</v>
          </cell>
          <cell r="AX361">
            <v>2</v>
          </cell>
          <cell r="AY361">
            <v>3</v>
          </cell>
          <cell r="AZ361">
            <v>13</v>
          </cell>
          <cell r="BA361">
            <v>13</v>
          </cell>
          <cell r="BB361">
            <v>9</v>
          </cell>
          <cell r="BC361">
            <v>1</v>
          </cell>
          <cell r="BD361">
            <v>1</v>
          </cell>
          <cell r="BE361">
            <v>12</v>
          </cell>
          <cell r="BF361">
            <v>12</v>
          </cell>
          <cell r="BG361">
            <v>36</v>
          </cell>
          <cell r="BH361">
            <v>0</v>
          </cell>
          <cell r="BI361">
            <v>0</v>
          </cell>
          <cell r="BJ361">
            <v>0</v>
          </cell>
          <cell r="BK361">
            <v>1</v>
          </cell>
          <cell r="BL361">
            <v>0</v>
          </cell>
          <cell r="BM361">
            <v>0</v>
          </cell>
          <cell r="BN361">
            <v>1</v>
          </cell>
          <cell r="BO361">
            <v>0</v>
          </cell>
          <cell r="BP361">
            <v>0</v>
          </cell>
          <cell r="BQ361">
            <v>0</v>
          </cell>
          <cell r="BR361">
            <v>12</v>
          </cell>
          <cell r="BS361">
            <v>0</v>
          </cell>
          <cell r="BT361">
            <v>0</v>
          </cell>
          <cell r="BU361">
            <v>16</v>
          </cell>
        </row>
        <row r="362">
          <cell r="A362">
            <v>57</v>
          </cell>
          <cell r="B362">
            <v>57</v>
          </cell>
          <cell r="D362">
            <v>0</v>
          </cell>
          <cell r="F362">
            <v>0</v>
          </cell>
          <cell r="G362">
            <v>1</v>
          </cell>
          <cell r="I362">
            <v>1</v>
          </cell>
          <cell r="J362">
            <v>0</v>
          </cell>
          <cell r="K362">
            <v>1</v>
          </cell>
          <cell r="L362">
            <v>1</v>
          </cell>
          <cell r="M362">
            <v>4</v>
          </cell>
          <cell r="O362">
            <v>0</v>
          </cell>
          <cell r="P362">
            <v>0</v>
          </cell>
          <cell r="Q362">
            <v>1</v>
          </cell>
          <cell r="R362">
            <v>0</v>
          </cell>
          <cell r="S362">
            <v>0</v>
          </cell>
          <cell r="T362">
            <v>4</v>
          </cell>
          <cell r="V362">
            <v>0</v>
          </cell>
          <cell r="W362">
            <v>88</v>
          </cell>
          <cell r="X362">
            <v>3</v>
          </cell>
          <cell r="Y362">
            <v>2</v>
          </cell>
          <cell r="AA362">
            <v>1</v>
          </cell>
          <cell r="AB362">
            <v>0</v>
          </cell>
          <cell r="AC362">
            <v>0</v>
          </cell>
          <cell r="AD362">
            <v>0</v>
          </cell>
          <cell r="AE362">
            <v>0</v>
          </cell>
          <cell r="AF362">
            <v>0</v>
          </cell>
          <cell r="AG362">
            <v>0</v>
          </cell>
          <cell r="AH362">
            <v>0</v>
          </cell>
          <cell r="AI362">
            <v>3</v>
          </cell>
          <cell r="AK362">
            <v>0</v>
          </cell>
          <cell r="AL362">
            <v>1</v>
          </cell>
          <cell r="AN362">
            <v>6755</v>
          </cell>
          <cell r="AO362">
            <v>2</v>
          </cell>
          <cell r="AQ362">
            <v>0</v>
          </cell>
          <cell r="AR362">
            <v>11</v>
          </cell>
          <cell r="AS362">
            <v>3</v>
          </cell>
          <cell r="AT362">
            <v>3</v>
          </cell>
          <cell r="AU362">
            <v>0</v>
          </cell>
          <cell r="AV362">
            <v>15</v>
          </cell>
          <cell r="AW362">
            <v>15</v>
          </cell>
          <cell r="AX362">
            <v>2</v>
          </cell>
          <cell r="AY362">
            <v>3</v>
          </cell>
          <cell r="AZ362">
            <v>3</v>
          </cell>
          <cell r="BA362">
            <v>3</v>
          </cell>
          <cell r="BB362">
            <v>2</v>
          </cell>
          <cell r="BC362">
            <v>1</v>
          </cell>
          <cell r="BD362">
            <v>1</v>
          </cell>
          <cell r="BE362">
            <v>2</v>
          </cell>
          <cell r="BF362">
            <v>2</v>
          </cell>
          <cell r="BG362">
            <v>4</v>
          </cell>
          <cell r="BH362">
            <v>0</v>
          </cell>
          <cell r="BI362">
            <v>1</v>
          </cell>
          <cell r="BJ362">
            <v>0</v>
          </cell>
          <cell r="BK362">
            <v>0</v>
          </cell>
          <cell r="BL362">
            <v>0</v>
          </cell>
          <cell r="BM362">
            <v>0</v>
          </cell>
          <cell r="BN362">
            <v>1</v>
          </cell>
          <cell r="BO362">
            <v>0</v>
          </cell>
          <cell r="BP362">
            <v>0</v>
          </cell>
          <cell r="BQ362">
            <v>2</v>
          </cell>
          <cell r="BR362">
            <v>0</v>
          </cell>
          <cell r="BS362">
            <v>0</v>
          </cell>
          <cell r="BT362">
            <v>15</v>
          </cell>
          <cell r="BU362">
            <v>0</v>
          </cell>
        </row>
        <row r="363">
          <cell r="A363">
            <v>40</v>
          </cell>
          <cell r="B363">
            <v>40</v>
          </cell>
          <cell r="D363">
            <v>0</v>
          </cell>
          <cell r="F363">
            <v>0</v>
          </cell>
          <cell r="G363">
            <v>1</v>
          </cell>
          <cell r="I363">
            <v>1</v>
          </cell>
          <cell r="J363">
            <v>0</v>
          </cell>
          <cell r="K363">
            <v>10</v>
          </cell>
          <cell r="L363">
            <v>10</v>
          </cell>
          <cell r="M363">
            <v>4</v>
          </cell>
          <cell r="O363">
            <v>1</v>
          </cell>
          <cell r="P363">
            <v>0</v>
          </cell>
          <cell r="Q363">
            <v>0</v>
          </cell>
          <cell r="R363">
            <v>0</v>
          </cell>
          <cell r="S363">
            <v>0</v>
          </cell>
          <cell r="T363">
            <v>4</v>
          </cell>
          <cell r="V363">
            <v>1</v>
          </cell>
          <cell r="W363">
            <v>46</v>
          </cell>
          <cell r="X363">
            <v>4</v>
          </cell>
          <cell r="Y363">
            <v>1</v>
          </cell>
          <cell r="AA363">
            <v>0</v>
          </cell>
          <cell r="AB363">
            <v>0</v>
          </cell>
          <cell r="AC363">
            <v>1</v>
          </cell>
          <cell r="AD363">
            <v>0</v>
          </cell>
          <cell r="AE363">
            <v>0</v>
          </cell>
          <cell r="AF363">
            <v>0</v>
          </cell>
          <cell r="AG363">
            <v>0</v>
          </cell>
          <cell r="AH363">
            <v>0</v>
          </cell>
          <cell r="AI363">
            <v>3</v>
          </cell>
          <cell r="AK363">
            <v>0</v>
          </cell>
          <cell r="AL363">
            <v>1</v>
          </cell>
          <cell r="AN363">
            <v>2213</v>
          </cell>
          <cell r="AO363">
            <v>3</v>
          </cell>
          <cell r="AQ363">
            <v>1</v>
          </cell>
          <cell r="AR363">
            <v>13</v>
          </cell>
          <cell r="AS363">
            <v>3</v>
          </cell>
          <cell r="AT363">
            <v>3</v>
          </cell>
          <cell r="AU363">
            <v>1</v>
          </cell>
          <cell r="AV363">
            <v>10</v>
          </cell>
          <cell r="AW363">
            <v>10</v>
          </cell>
          <cell r="AX363">
            <v>3</v>
          </cell>
          <cell r="AY363">
            <v>3</v>
          </cell>
          <cell r="AZ363">
            <v>7</v>
          </cell>
          <cell r="BA363">
            <v>7</v>
          </cell>
          <cell r="BB363">
            <v>7</v>
          </cell>
          <cell r="BC363">
            <v>1</v>
          </cell>
          <cell r="BD363">
            <v>1</v>
          </cell>
          <cell r="BE363">
            <v>7</v>
          </cell>
          <cell r="BF363">
            <v>7</v>
          </cell>
          <cell r="BG363">
            <v>7</v>
          </cell>
          <cell r="BH363">
            <v>0</v>
          </cell>
          <cell r="BI363">
            <v>1</v>
          </cell>
          <cell r="BJ363">
            <v>0</v>
          </cell>
          <cell r="BK363">
            <v>0</v>
          </cell>
          <cell r="BL363">
            <v>0</v>
          </cell>
          <cell r="BM363">
            <v>0</v>
          </cell>
          <cell r="BN363">
            <v>0</v>
          </cell>
          <cell r="BO363">
            <v>1</v>
          </cell>
          <cell r="BP363">
            <v>0</v>
          </cell>
          <cell r="BQ363">
            <v>7</v>
          </cell>
          <cell r="BR363">
            <v>0</v>
          </cell>
          <cell r="BS363">
            <v>0</v>
          </cell>
          <cell r="BT363">
            <v>10</v>
          </cell>
          <cell r="BU363">
            <v>0</v>
          </cell>
        </row>
        <row r="364">
          <cell r="A364">
            <v>21</v>
          </cell>
          <cell r="B364">
            <v>21</v>
          </cell>
          <cell r="D364">
            <v>0</v>
          </cell>
          <cell r="F364">
            <v>0</v>
          </cell>
          <cell r="G364">
            <v>0</v>
          </cell>
          <cell r="I364">
            <v>0</v>
          </cell>
          <cell r="J364">
            <v>1</v>
          </cell>
          <cell r="K364">
            <v>9</v>
          </cell>
          <cell r="L364">
            <v>9</v>
          </cell>
          <cell r="M364">
            <v>2</v>
          </cell>
          <cell r="O364">
            <v>0</v>
          </cell>
          <cell r="P364">
            <v>0</v>
          </cell>
          <cell r="Q364">
            <v>1</v>
          </cell>
          <cell r="R364">
            <v>0</v>
          </cell>
          <cell r="S364">
            <v>0</v>
          </cell>
          <cell r="T364">
            <v>1</v>
          </cell>
          <cell r="V364">
            <v>0</v>
          </cell>
          <cell r="W364">
            <v>39</v>
          </cell>
          <cell r="X364">
            <v>3</v>
          </cell>
          <cell r="Y364">
            <v>1</v>
          </cell>
          <cell r="AA364">
            <v>0</v>
          </cell>
          <cell r="AB364">
            <v>0</v>
          </cell>
          <cell r="AC364">
            <v>0</v>
          </cell>
          <cell r="AD364">
            <v>0</v>
          </cell>
          <cell r="AE364">
            <v>0</v>
          </cell>
          <cell r="AF364">
            <v>0</v>
          </cell>
          <cell r="AG364">
            <v>1</v>
          </cell>
          <cell r="AH364">
            <v>0</v>
          </cell>
          <cell r="AI364">
            <v>4</v>
          </cell>
          <cell r="AK364">
            <v>1</v>
          </cell>
          <cell r="AL364">
            <v>0</v>
          </cell>
          <cell r="AN364">
            <v>2610</v>
          </cell>
          <cell r="AO364">
            <v>1</v>
          </cell>
          <cell r="AQ364">
            <v>0</v>
          </cell>
          <cell r="AR364">
            <v>24</v>
          </cell>
          <cell r="AS364">
            <v>4</v>
          </cell>
          <cell r="AT364">
            <v>3</v>
          </cell>
          <cell r="AU364">
            <v>0</v>
          </cell>
          <cell r="AV364">
            <v>3</v>
          </cell>
          <cell r="AW364">
            <v>3</v>
          </cell>
          <cell r="AX364">
            <v>3</v>
          </cell>
          <cell r="AY364">
            <v>2</v>
          </cell>
          <cell r="AZ364">
            <v>3</v>
          </cell>
          <cell r="BA364">
            <v>3</v>
          </cell>
          <cell r="BB364">
            <v>2</v>
          </cell>
          <cell r="BC364">
            <v>2</v>
          </cell>
          <cell r="BD364">
            <v>2</v>
          </cell>
          <cell r="BE364">
            <v>2</v>
          </cell>
          <cell r="BF364">
            <v>2</v>
          </cell>
          <cell r="BG364">
            <v>2</v>
          </cell>
          <cell r="BH364">
            <v>1</v>
          </cell>
          <cell r="BI364">
            <v>0</v>
          </cell>
          <cell r="BJ364">
            <v>0</v>
          </cell>
          <cell r="BK364">
            <v>0</v>
          </cell>
          <cell r="BL364">
            <v>1</v>
          </cell>
          <cell r="BM364">
            <v>0</v>
          </cell>
          <cell r="BN364">
            <v>0</v>
          </cell>
          <cell r="BO364">
            <v>0</v>
          </cell>
          <cell r="BP364">
            <v>0</v>
          </cell>
          <cell r="BQ364">
            <v>0</v>
          </cell>
          <cell r="BR364">
            <v>2</v>
          </cell>
          <cell r="BS364">
            <v>0</v>
          </cell>
          <cell r="BT364">
            <v>0</v>
          </cell>
          <cell r="BU364">
            <v>3</v>
          </cell>
        </row>
        <row r="365">
          <cell r="A365">
            <v>33</v>
          </cell>
          <cell r="B365">
            <v>33</v>
          </cell>
          <cell r="D365">
            <v>1</v>
          </cell>
          <cell r="F365">
            <v>0</v>
          </cell>
          <cell r="G365">
            <v>1</v>
          </cell>
          <cell r="I365">
            <v>0</v>
          </cell>
          <cell r="J365">
            <v>1</v>
          </cell>
          <cell r="K365">
            <v>5</v>
          </cell>
          <cell r="L365">
            <v>5</v>
          </cell>
          <cell r="M365">
            <v>3</v>
          </cell>
          <cell r="O365">
            <v>0</v>
          </cell>
          <cell r="P365">
            <v>0</v>
          </cell>
          <cell r="Q365">
            <v>0</v>
          </cell>
          <cell r="R365">
            <v>1</v>
          </cell>
          <cell r="S365">
            <v>0</v>
          </cell>
          <cell r="T365">
            <v>4</v>
          </cell>
          <cell r="V365">
            <v>1</v>
          </cell>
          <cell r="W365">
            <v>34</v>
          </cell>
          <cell r="X365">
            <v>3</v>
          </cell>
          <cell r="Y365">
            <v>1</v>
          </cell>
          <cell r="AA365">
            <v>0</v>
          </cell>
          <cell r="AB365">
            <v>0</v>
          </cell>
          <cell r="AC365">
            <v>0</v>
          </cell>
          <cell r="AD365">
            <v>0</v>
          </cell>
          <cell r="AE365">
            <v>0</v>
          </cell>
          <cell r="AF365">
            <v>0</v>
          </cell>
          <cell r="AG365">
            <v>1</v>
          </cell>
          <cell r="AH365">
            <v>0</v>
          </cell>
          <cell r="AI365">
            <v>3</v>
          </cell>
          <cell r="AK365">
            <v>1</v>
          </cell>
          <cell r="AL365">
            <v>0</v>
          </cell>
          <cell r="AN365">
            <v>2851</v>
          </cell>
          <cell r="AO365">
            <v>1</v>
          </cell>
          <cell r="AQ365">
            <v>1</v>
          </cell>
          <cell r="AR365">
            <v>13</v>
          </cell>
          <cell r="AS365">
            <v>3</v>
          </cell>
          <cell r="AT365">
            <v>2</v>
          </cell>
          <cell r="AU365">
            <v>0</v>
          </cell>
          <cell r="AV365">
            <v>1</v>
          </cell>
          <cell r="AW365">
            <v>1</v>
          </cell>
          <cell r="AX365">
            <v>2</v>
          </cell>
          <cell r="AY365">
            <v>3</v>
          </cell>
          <cell r="AZ365">
            <v>1</v>
          </cell>
          <cell r="BA365">
            <v>1</v>
          </cell>
          <cell r="BB365">
            <v>0</v>
          </cell>
          <cell r="BC365">
            <v>0</v>
          </cell>
          <cell r="BD365">
            <v>0</v>
          </cell>
          <cell r="BE365">
            <v>0</v>
          </cell>
          <cell r="BF365">
            <v>0</v>
          </cell>
          <cell r="BG365">
            <v>0</v>
          </cell>
          <cell r="BH365">
            <v>1</v>
          </cell>
          <cell r="BI365">
            <v>0</v>
          </cell>
          <cell r="BJ365">
            <v>0</v>
          </cell>
          <cell r="BK365">
            <v>0</v>
          </cell>
          <cell r="BL365">
            <v>0</v>
          </cell>
          <cell r="BM365">
            <v>1</v>
          </cell>
          <cell r="BN365">
            <v>0</v>
          </cell>
          <cell r="BO365">
            <v>0</v>
          </cell>
          <cell r="BP365">
            <v>0</v>
          </cell>
          <cell r="BQ365">
            <v>0</v>
          </cell>
          <cell r="BR365">
            <v>0</v>
          </cell>
          <cell r="BS365">
            <v>0</v>
          </cell>
          <cell r="BT365">
            <v>0</v>
          </cell>
          <cell r="BU365">
            <v>1</v>
          </cell>
        </row>
        <row r="366">
          <cell r="A366">
            <v>37</v>
          </cell>
          <cell r="B366">
            <v>37</v>
          </cell>
          <cell r="D366">
            <v>0</v>
          </cell>
          <cell r="F366">
            <v>0</v>
          </cell>
          <cell r="G366">
            <v>1</v>
          </cell>
          <cell r="I366">
            <v>1</v>
          </cell>
          <cell r="J366">
            <v>0</v>
          </cell>
          <cell r="K366">
            <v>10</v>
          </cell>
          <cell r="L366">
            <v>10</v>
          </cell>
          <cell r="M366">
            <v>3</v>
          </cell>
          <cell r="O366">
            <v>0</v>
          </cell>
          <cell r="P366">
            <v>0</v>
          </cell>
          <cell r="Q366">
            <v>1</v>
          </cell>
          <cell r="R366">
            <v>0</v>
          </cell>
          <cell r="S366">
            <v>0</v>
          </cell>
          <cell r="T366">
            <v>3</v>
          </cell>
          <cell r="V366">
            <v>1</v>
          </cell>
          <cell r="W366">
            <v>98</v>
          </cell>
          <cell r="X366">
            <v>3</v>
          </cell>
          <cell r="Y366">
            <v>1</v>
          </cell>
          <cell r="AA366">
            <v>0</v>
          </cell>
          <cell r="AB366">
            <v>0</v>
          </cell>
          <cell r="AC366">
            <v>1</v>
          </cell>
          <cell r="AD366">
            <v>0</v>
          </cell>
          <cell r="AE366">
            <v>0</v>
          </cell>
          <cell r="AF366">
            <v>0</v>
          </cell>
          <cell r="AG366">
            <v>0</v>
          </cell>
          <cell r="AH366">
            <v>0</v>
          </cell>
          <cell r="AI366">
            <v>1</v>
          </cell>
          <cell r="AK366">
            <v>0</v>
          </cell>
          <cell r="AL366">
            <v>1</v>
          </cell>
          <cell r="AN366">
            <v>3452</v>
          </cell>
          <cell r="AO366">
            <v>6</v>
          </cell>
          <cell r="AQ366">
            <v>0</v>
          </cell>
          <cell r="AR366">
            <v>20</v>
          </cell>
          <cell r="AS366">
            <v>4</v>
          </cell>
          <cell r="AT366">
            <v>2</v>
          </cell>
          <cell r="AU366">
            <v>1</v>
          </cell>
          <cell r="AV366">
            <v>17</v>
          </cell>
          <cell r="AW366">
            <v>17</v>
          </cell>
          <cell r="AX366">
            <v>3</v>
          </cell>
          <cell r="AY366">
            <v>3</v>
          </cell>
          <cell r="AZ366">
            <v>5</v>
          </cell>
          <cell r="BA366">
            <v>5</v>
          </cell>
          <cell r="BB366">
            <v>4</v>
          </cell>
          <cell r="BC366">
            <v>0</v>
          </cell>
          <cell r="BD366">
            <v>0</v>
          </cell>
          <cell r="BE366">
            <v>3</v>
          </cell>
          <cell r="BF366">
            <v>3</v>
          </cell>
          <cell r="BG366">
            <v>3</v>
          </cell>
          <cell r="BH366">
            <v>0</v>
          </cell>
          <cell r="BI366">
            <v>1</v>
          </cell>
          <cell r="BJ366">
            <v>0</v>
          </cell>
          <cell r="BK366">
            <v>0</v>
          </cell>
          <cell r="BL366">
            <v>0</v>
          </cell>
          <cell r="BM366">
            <v>0</v>
          </cell>
          <cell r="BN366">
            <v>1</v>
          </cell>
          <cell r="BO366">
            <v>0</v>
          </cell>
          <cell r="BP366">
            <v>0</v>
          </cell>
          <cell r="BQ366">
            <v>3</v>
          </cell>
          <cell r="BR366">
            <v>0</v>
          </cell>
          <cell r="BS366">
            <v>0</v>
          </cell>
          <cell r="BT366">
            <v>17</v>
          </cell>
          <cell r="BU366">
            <v>0</v>
          </cell>
        </row>
        <row r="367">
          <cell r="A367">
            <v>46</v>
          </cell>
          <cell r="B367">
            <v>46</v>
          </cell>
          <cell r="D367">
            <v>0</v>
          </cell>
          <cell r="F367">
            <v>0</v>
          </cell>
          <cell r="G367">
            <v>0</v>
          </cell>
          <cell r="I367">
            <v>1</v>
          </cell>
          <cell r="J367">
            <v>0</v>
          </cell>
          <cell r="K367">
            <v>7</v>
          </cell>
          <cell r="L367">
            <v>7</v>
          </cell>
          <cell r="M367">
            <v>4</v>
          </cell>
          <cell r="O367">
            <v>0</v>
          </cell>
          <cell r="P367">
            <v>0</v>
          </cell>
          <cell r="Q367">
            <v>1</v>
          </cell>
          <cell r="R367">
            <v>0</v>
          </cell>
          <cell r="S367">
            <v>0</v>
          </cell>
          <cell r="T367">
            <v>3</v>
          </cell>
          <cell r="V367">
            <v>1</v>
          </cell>
          <cell r="W367">
            <v>30</v>
          </cell>
          <cell r="X367">
            <v>3</v>
          </cell>
          <cell r="Y367">
            <v>2</v>
          </cell>
          <cell r="AA367">
            <v>0</v>
          </cell>
          <cell r="AB367">
            <v>0</v>
          </cell>
          <cell r="AC367">
            <v>0</v>
          </cell>
          <cell r="AD367">
            <v>0</v>
          </cell>
          <cell r="AE367">
            <v>1</v>
          </cell>
          <cell r="AF367">
            <v>1</v>
          </cell>
          <cell r="AG367">
            <v>0</v>
          </cell>
          <cell r="AH367">
            <v>0</v>
          </cell>
          <cell r="AI367">
            <v>3</v>
          </cell>
          <cell r="AK367">
            <v>0</v>
          </cell>
          <cell r="AL367">
            <v>1</v>
          </cell>
          <cell r="AN367">
            <v>5258</v>
          </cell>
          <cell r="AO367">
            <v>2</v>
          </cell>
          <cell r="AQ367">
            <v>0</v>
          </cell>
          <cell r="AR367">
            <v>14</v>
          </cell>
          <cell r="AS367">
            <v>3</v>
          </cell>
          <cell r="AT367">
            <v>3</v>
          </cell>
          <cell r="AU367">
            <v>0</v>
          </cell>
          <cell r="AV367">
            <v>7</v>
          </cell>
          <cell r="AW367">
            <v>7</v>
          </cell>
          <cell r="AX367">
            <v>2</v>
          </cell>
          <cell r="AY367">
            <v>4</v>
          </cell>
          <cell r="AZ367">
            <v>1</v>
          </cell>
          <cell r="BA367">
            <v>1</v>
          </cell>
          <cell r="BB367">
            <v>0</v>
          </cell>
          <cell r="BC367">
            <v>0</v>
          </cell>
          <cell r="BD367">
            <v>0</v>
          </cell>
          <cell r="BE367">
            <v>0</v>
          </cell>
          <cell r="BF367">
            <v>0</v>
          </cell>
          <cell r="BG367">
            <v>0</v>
          </cell>
          <cell r="BH367">
            <v>0</v>
          </cell>
          <cell r="BI367">
            <v>1</v>
          </cell>
          <cell r="BJ367">
            <v>0</v>
          </cell>
          <cell r="BK367">
            <v>0</v>
          </cell>
          <cell r="BL367">
            <v>0</v>
          </cell>
          <cell r="BM367">
            <v>0</v>
          </cell>
          <cell r="BN367">
            <v>1</v>
          </cell>
          <cell r="BO367">
            <v>0</v>
          </cell>
          <cell r="BP367">
            <v>0</v>
          </cell>
          <cell r="BQ367">
            <v>0</v>
          </cell>
          <cell r="BR367">
            <v>0</v>
          </cell>
          <cell r="BS367">
            <v>0</v>
          </cell>
          <cell r="BT367">
            <v>7</v>
          </cell>
          <cell r="BU367">
            <v>0</v>
          </cell>
        </row>
        <row r="368">
          <cell r="A368">
            <v>41</v>
          </cell>
          <cell r="B368">
            <v>41</v>
          </cell>
          <cell r="D368">
            <v>1</v>
          </cell>
          <cell r="F368">
            <v>1</v>
          </cell>
          <cell r="G368">
            <v>0</v>
          </cell>
          <cell r="I368">
            <v>0</v>
          </cell>
          <cell r="J368">
            <v>1</v>
          </cell>
          <cell r="K368">
            <v>4</v>
          </cell>
          <cell r="L368">
            <v>4</v>
          </cell>
          <cell r="M368">
            <v>3</v>
          </cell>
          <cell r="O368">
            <v>0</v>
          </cell>
          <cell r="P368">
            <v>0</v>
          </cell>
          <cell r="Q368">
            <v>0</v>
          </cell>
          <cell r="R368">
            <v>1</v>
          </cell>
          <cell r="S368">
            <v>0</v>
          </cell>
          <cell r="T368">
            <v>1</v>
          </cell>
          <cell r="V368">
            <v>0</v>
          </cell>
          <cell r="W368">
            <v>56</v>
          </cell>
          <cell r="X368">
            <v>3</v>
          </cell>
          <cell r="Y368">
            <v>2</v>
          </cell>
          <cell r="AA368">
            <v>0</v>
          </cell>
          <cell r="AB368">
            <v>1</v>
          </cell>
          <cell r="AC368">
            <v>0</v>
          </cell>
          <cell r="AD368">
            <v>0</v>
          </cell>
          <cell r="AE368">
            <v>0</v>
          </cell>
          <cell r="AF368">
            <v>0</v>
          </cell>
          <cell r="AG368">
            <v>0</v>
          </cell>
          <cell r="AH368">
            <v>0</v>
          </cell>
          <cell r="AI368">
            <v>2</v>
          </cell>
          <cell r="AK368">
            <v>1</v>
          </cell>
          <cell r="AL368">
            <v>0</v>
          </cell>
          <cell r="AN368">
            <v>9355</v>
          </cell>
          <cell r="AO368">
            <v>1</v>
          </cell>
          <cell r="AQ368">
            <v>0</v>
          </cell>
          <cell r="AR368">
            <v>18</v>
          </cell>
          <cell r="AS368">
            <v>3</v>
          </cell>
          <cell r="AT368">
            <v>3</v>
          </cell>
          <cell r="AU368">
            <v>0</v>
          </cell>
          <cell r="AV368">
            <v>8</v>
          </cell>
          <cell r="AW368">
            <v>8</v>
          </cell>
          <cell r="AX368">
            <v>5</v>
          </cell>
          <cell r="AY368">
            <v>3</v>
          </cell>
          <cell r="AZ368">
            <v>8</v>
          </cell>
          <cell r="BA368">
            <v>8</v>
          </cell>
          <cell r="BB368">
            <v>7</v>
          </cell>
          <cell r="BC368">
            <v>7</v>
          </cell>
          <cell r="BD368">
            <v>7</v>
          </cell>
          <cell r="BE368">
            <v>7</v>
          </cell>
          <cell r="BF368">
            <v>7</v>
          </cell>
          <cell r="BG368">
            <v>14</v>
          </cell>
          <cell r="BH368">
            <v>0</v>
          </cell>
          <cell r="BI368">
            <v>0</v>
          </cell>
          <cell r="BJ368">
            <v>1</v>
          </cell>
          <cell r="BK368">
            <v>0</v>
          </cell>
          <cell r="BL368">
            <v>1</v>
          </cell>
          <cell r="BM368">
            <v>0</v>
          </cell>
          <cell r="BN368">
            <v>0</v>
          </cell>
          <cell r="BO368">
            <v>0</v>
          </cell>
          <cell r="BP368">
            <v>0</v>
          </cell>
          <cell r="BQ368">
            <v>0</v>
          </cell>
          <cell r="BR368">
            <v>7</v>
          </cell>
          <cell r="BS368">
            <v>0</v>
          </cell>
          <cell r="BT368">
            <v>0</v>
          </cell>
          <cell r="BU368">
            <v>8</v>
          </cell>
        </row>
        <row r="369">
          <cell r="A369">
            <v>50</v>
          </cell>
          <cell r="B369">
            <v>50</v>
          </cell>
          <cell r="D369">
            <v>0</v>
          </cell>
          <cell r="F369">
            <v>0</v>
          </cell>
          <cell r="G369">
            <v>1</v>
          </cell>
          <cell r="I369">
            <v>1</v>
          </cell>
          <cell r="J369">
            <v>0</v>
          </cell>
          <cell r="K369">
            <v>10</v>
          </cell>
          <cell r="L369">
            <v>10</v>
          </cell>
          <cell r="M369">
            <v>3</v>
          </cell>
          <cell r="O369">
            <v>0</v>
          </cell>
          <cell r="P369">
            <v>0</v>
          </cell>
          <cell r="Q369">
            <v>0</v>
          </cell>
          <cell r="R369">
            <v>0</v>
          </cell>
          <cell r="S369">
            <v>1</v>
          </cell>
          <cell r="T369">
            <v>4</v>
          </cell>
          <cell r="V369">
            <v>0</v>
          </cell>
          <cell r="W369">
            <v>100</v>
          </cell>
          <cell r="X369">
            <v>2</v>
          </cell>
          <cell r="Y369">
            <v>3</v>
          </cell>
          <cell r="AA369">
            <v>1</v>
          </cell>
          <cell r="AB369">
            <v>0</v>
          </cell>
          <cell r="AC369">
            <v>0</v>
          </cell>
          <cell r="AD369">
            <v>0</v>
          </cell>
          <cell r="AE369">
            <v>0</v>
          </cell>
          <cell r="AF369">
            <v>0</v>
          </cell>
          <cell r="AG369">
            <v>0</v>
          </cell>
          <cell r="AH369">
            <v>0</v>
          </cell>
          <cell r="AI369">
            <v>4</v>
          </cell>
          <cell r="AK369">
            <v>1</v>
          </cell>
          <cell r="AL369">
            <v>0</v>
          </cell>
          <cell r="AN369">
            <v>10496</v>
          </cell>
          <cell r="AO369">
            <v>6</v>
          </cell>
          <cell r="AQ369">
            <v>0</v>
          </cell>
          <cell r="AR369">
            <v>15</v>
          </cell>
          <cell r="AS369">
            <v>3</v>
          </cell>
          <cell r="AT369">
            <v>4</v>
          </cell>
          <cell r="AU369">
            <v>0</v>
          </cell>
          <cell r="AV369">
            <v>20</v>
          </cell>
          <cell r="AW369">
            <v>20</v>
          </cell>
          <cell r="AX369">
            <v>2</v>
          </cell>
          <cell r="AY369">
            <v>3</v>
          </cell>
          <cell r="AZ369">
            <v>4</v>
          </cell>
          <cell r="BA369">
            <v>4</v>
          </cell>
          <cell r="BB369">
            <v>3</v>
          </cell>
          <cell r="BC369">
            <v>1</v>
          </cell>
          <cell r="BD369">
            <v>1</v>
          </cell>
          <cell r="BE369">
            <v>3</v>
          </cell>
          <cell r="BF369">
            <v>3</v>
          </cell>
          <cell r="BG369">
            <v>9</v>
          </cell>
          <cell r="BH369">
            <v>1</v>
          </cell>
          <cell r="BI369">
            <v>0</v>
          </cell>
          <cell r="BJ369">
            <v>0</v>
          </cell>
          <cell r="BK369">
            <v>0</v>
          </cell>
          <cell r="BL369">
            <v>1</v>
          </cell>
          <cell r="BM369">
            <v>0</v>
          </cell>
          <cell r="BN369">
            <v>0</v>
          </cell>
          <cell r="BO369">
            <v>0</v>
          </cell>
          <cell r="BP369">
            <v>0</v>
          </cell>
          <cell r="BQ369">
            <v>3</v>
          </cell>
          <cell r="BR369">
            <v>0</v>
          </cell>
          <cell r="BS369">
            <v>0</v>
          </cell>
          <cell r="BT369">
            <v>20</v>
          </cell>
          <cell r="BU369">
            <v>0</v>
          </cell>
        </row>
        <row r="370">
          <cell r="A370">
            <v>40</v>
          </cell>
          <cell r="B370">
            <v>40</v>
          </cell>
          <cell r="D370">
            <v>1</v>
          </cell>
          <cell r="F370">
            <v>0</v>
          </cell>
          <cell r="G370">
            <v>1</v>
          </cell>
          <cell r="I370">
            <v>0</v>
          </cell>
          <cell r="J370">
            <v>1</v>
          </cell>
          <cell r="K370">
            <v>22</v>
          </cell>
          <cell r="L370">
            <v>22</v>
          </cell>
          <cell r="M370">
            <v>2</v>
          </cell>
          <cell r="O370">
            <v>0</v>
          </cell>
          <cell r="P370">
            <v>0</v>
          </cell>
          <cell r="Q370">
            <v>0</v>
          </cell>
          <cell r="R370">
            <v>1</v>
          </cell>
          <cell r="S370">
            <v>0</v>
          </cell>
          <cell r="T370">
            <v>3</v>
          </cell>
          <cell r="V370">
            <v>0</v>
          </cell>
          <cell r="W370">
            <v>68</v>
          </cell>
          <cell r="X370">
            <v>2</v>
          </cell>
          <cell r="Y370">
            <v>2</v>
          </cell>
          <cell r="AA370">
            <v>0</v>
          </cell>
          <cell r="AB370">
            <v>1</v>
          </cell>
          <cell r="AC370">
            <v>0</v>
          </cell>
          <cell r="AD370">
            <v>0</v>
          </cell>
          <cell r="AE370">
            <v>0</v>
          </cell>
          <cell r="AF370">
            <v>0</v>
          </cell>
          <cell r="AG370">
            <v>0</v>
          </cell>
          <cell r="AH370">
            <v>0</v>
          </cell>
          <cell r="AI370">
            <v>3</v>
          </cell>
          <cell r="AK370">
            <v>0</v>
          </cell>
          <cell r="AL370">
            <v>1</v>
          </cell>
          <cell r="AN370">
            <v>6380</v>
          </cell>
          <cell r="AO370">
            <v>2</v>
          </cell>
          <cell r="AQ370">
            <v>1</v>
          </cell>
          <cell r="AR370">
            <v>12</v>
          </cell>
          <cell r="AS370">
            <v>3</v>
          </cell>
          <cell r="AT370">
            <v>1</v>
          </cell>
          <cell r="AU370">
            <v>2</v>
          </cell>
          <cell r="AV370">
            <v>8</v>
          </cell>
          <cell r="AW370">
            <v>8</v>
          </cell>
          <cell r="AX370">
            <v>6</v>
          </cell>
          <cell r="AY370">
            <v>3</v>
          </cell>
          <cell r="AZ370">
            <v>6</v>
          </cell>
          <cell r="BA370">
            <v>6</v>
          </cell>
          <cell r="BB370">
            <v>4</v>
          </cell>
          <cell r="BC370">
            <v>1</v>
          </cell>
          <cell r="BD370">
            <v>1</v>
          </cell>
          <cell r="BE370">
            <v>0</v>
          </cell>
          <cell r="BF370">
            <v>0</v>
          </cell>
          <cell r="BG370">
            <v>0</v>
          </cell>
          <cell r="BH370">
            <v>0</v>
          </cell>
          <cell r="BI370">
            <v>1</v>
          </cell>
          <cell r="BJ370">
            <v>0</v>
          </cell>
          <cell r="BK370">
            <v>0</v>
          </cell>
          <cell r="BL370">
            <v>0</v>
          </cell>
          <cell r="BM370">
            <v>0</v>
          </cell>
          <cell r="BN370">
            <v>0</v>
          </cell>
          <cell r="BO370">
            <v>1</v>
          </cell>
          <cell r="BP370">
            <v>0</v>
          </cell>
          <cell r="BQ370">
            <v>0</v>
          </cell>
          <cell r="BR370">
            <v>0</v>
          </cell>
          <cell r="BS370">
            <v>0</v>
          </cell>
          <cell r="BT370">
            <v>0</v>
          </cell>
          <cell r="BU370">
            <v>8</v>
          </cell>
        </row>
        <row r="371">
          <cell r="A371">
            <v>31</v>
          </cell>
          <cell r="B371">
            <v>31</v>
          </cell>
          <cell r="D371">
            <v>0</v>
          </cell>
          <cell r="F371">
            <v>0</v>
          </cell>
          <cell r="G371">
            <v>1</v>
          </cell>
          <cell r="I371">
            <v>1</v>
          </cell>
          <cell r="J371">
            <v>0</v>
          </cell>
          <cell r="K371">
            <v>9</v>
          </cell>
          <cell r="L371">
            <v>9</v>
          </cell>
          <cell r="M371">
            <v>4</v>
          </cell>
          <cell r="O371">
            <v>1</v>
          </cell>
          <cell r="P371">
            <v>0</v>
          </cell>
          <cell r="Q371">
            <v>0</v>
          </cell>
          <cell r="R371">
            <v>0</v>
          </cell>
          <cell r="S371">
            <v>0</v>
          </cell>
          <cell r="T371">
            <v>3</v>
          </cell>
          <cell r="V371">
            <v>0</v>
          </cell>
          <cell r="W371">
            <v>42</v>
          </cell>
          <cell r="X371">
            <v>2</v>
          </cell>
          <cell r="Y371">
            <v>1</v>
          </cell>
          <cell r="AA371">
            <v>0</v>
          </cell>
          <cell r="AB371">
            <v>0</v>
          </cell>
          <cell r="AC371">
            <v>0</v>
          </cell>
          <cell r="AD371">
            <v>0</v>
          </cell>
          <cell r="AE371">
            <v>0</v>
          </cell>
          <cell r="AF371">
            <v>0</v>
          </cell>
          <cell r="AG371">
            <v>0</v>
          </cell>
          <cell r="AH371">
            <v>1</v>
          </cell>
          <cell r="AI371">
            <v>2</v>
          </cell>
          <cell r="AK371">
            <v>1</v>
          </cell>
          <cell r="AL371">
            <v>0</v>
          </cell>
          <cell r="AN371">
            <v>2657</v>
          </cell>
          <cell r="AO371">
            <v>0</v>
          </cell>
          <cell r="AQ371">
            <v>1</v>
          </cell>
          <cell r="AR371">
            <v>16</v>
          </cell>
          <cell r="AS371">
            <v>3</v>
          </cell>
          <cell r="AT371">
            <v>4</v>
          </cell>
          <cell r="AU371">
            <v>0</v>
          </cell>
          <cell r="AV371">
            <v>3</v>
          </cell>
          <cell r="AW371">
            <v>3</v>
          </cell>
          <cell r="AX371">
            <v>5</v>
          </cell>
          <cell r="AY371">
            <v>3</v>
          </cell>
          <cell r="AZ371">
            <v>2</v>
          </cell>
          <cell r="BA371">
            <v>2</v>
          </cell>
          <cell r="BB371">
            <v>2</v>
          </cell>
          <cell r="BC371">
            <v>2</v>
          </cell>
          <cell r="BD371">
            <v>2</v>
          </cell>
          <cell r="BE371">
            <v>2</v>
          </cell>
          <cell r="BF371">
            <v>2</v>
          </cell>
          <cell r="BG371">
            <v>2</v>
          </cell>
          <cell r="BH371">
            <v>1</v>
          </cell>
          <cell r="BI371">
            <v>0</v>
          </cell>
          <cell r="BJ371">
            <v>0</v>
          </cell>
          <cell r="BK371">
            <v>0</v>
          </cell>
          <cell r="BL371">
            <v>0</v>
          </cell>
          <cell r="BM371">
            <v>1</v>
          </cell>
          <cell r="BN371">
            <v>0</v>
          </cell>
          <cell r="BO371">
            <v>0</v>
          </cell>
          <cell r="BP371">
            <v>0</v>
          </cell>
          <cell r="BQ371">
            <v>2</v>
          </cell>
          <cell r="BR371">
            <v>0</v>
          </cell>
          <cell r="BS371">
            <v>0</v>
          </cell>
          <cell r="BT371">
            <v>3</v>
          </cell>
          <cell r="BU371">
            <v>0</v>
          </cell>
        </row>
        <row r="372">
          <cell r="A372">
            <v>21</v>
          </cell>
          <cell r="B372">
            <v>21</v>
          </cell>
          <cell r="D372">
            <v>1</v>
          </cell>
          <cell r="F372">
            <v>0</v>
          </cell>
          <cell r="G372">
            <v>1</v>
          </cell>
          <cell r="I372">
            <v>0</v>
          </cell>
          <cell r="J372">
            <v>1</v>
          </cell>
          <cell r="K372">
            <v>12</v>
          </cell>
          <cell r="L372">
            <v>12</v>
          </cell>
          <cell r="M372">
            <v>3</v>
          </cell>
          <cell r="O372">
            <v>1</v>
          </cell>
          <cell r="P372">
            <v>0</v>
          </cell>
          <cell r="Q372">
            <v>0</v>
          </cell>
          <cell r="R372">
            <v>0</v>
          </cell>
          <cell r="S372">
            <v>0</v>
          </cell>
          <cell r="T372">
            <v>3</v>
          </cell>
          <cell r="V372">
            <v>1</v>
          </cell>
          <cell r="W372">
            <v>90</v>
          </cell>
          <cell r="X372">
            <v>4</v>
          </cell>
          <cell r="Y372">
            <v>1</v>
          </cell>
          <cell r="AA372">
            <v>0</v>
          </cell>
          <cell r="AB372">
            <v>0</v>
          </cell>
          <cell r="AC372">
            <v>0</v>
          </cell>
          <cell r="AD372">
            <v>0</v>
          </cell>
          <cell r="AE372">
            <v>0</v>
          </cell>
          <cell r="AF372">
            <v>0</v>
          </cell>
          <cell r="AG372">
            <v>1</v>
          </cell>
          <cell r="AH372">
            <v>0</v>
          </cell>
          <cell r="AI372">
            <v>2</v>
          </cell>
          <cell r="AK372">
            <v>1</v>
          </cell>
          <cell r="AL372">
            <v>0</v>
          </cell>
          <cell r="AN372">
            <v>2716</v>
          </cell>
          <cell r="AO372">
            <v>1</v>
          </cell>
          <cell r="AQ372">
            <v>0</v>
          </cell>
          <cell r="AR372">
            <v>15</v>
          </cell>
          <cell r="AS372">
            <v>3</v>
          </cell>
          <cell r="AT372">
            <v>4</v>
          </cell>
          <cell r="AU372">
            <v>0</v>
          </cell>
          <cell r="AV372">
            <v>1</v>
          </cell>
          <cell r="AW372">
            <v>1</v>
          </cell>
          <cell r="AX372">
            <v>0</v>
          </cell>
          <cell r="AY372">
            <v>3</v>
          </cell>
          <cell r="AZ372">
            <v>1</v>
          </cell>
          <cell r="BA372">
            <v>1</v>
          </cell>
          <cell r="BB372">
            <v>0</v>
          </cell>
          <cell r="BC372">
            <v>0</v>
          </cell>
          <cell r="BD372">
            <v>0</v>
          </cell>
          <cell r="BE372">
            <v>0</v>
          </cell>
          <cell r="BF372">
            <v>0</v>
          </cell>
          <cell r="BG372">
            <v>0</v>
          </cell>
          <cell r="BH372">
            <v>1</v>
          </cell>
          <cell r="BI372">
            <v>0</v>
          </cell>
          <cell r="BJ372">
            <v>0</v>
          </cell>
          <cell r="BK372">
            <v>0</v>
          </cell>
          <cell r="BL372">
            <v>1</v>
          </cell>
          <cell r="BM372">
            <v>0</v>
          </cell>
          <cell r="BN372">
            <v>0</v>
          </cell>
          <cell r="BO372">
            <v>0</v>
          </cell>
          <cell r="BP372">
            <v>0</v>
          </cell>
          <cell r="BQ372">
            <v>0</v>
          </cell>
          <cell r="BR372">
            <v>0</v>
          </cell>
          <cell r="BS372">
            <v>0</v>
          </cell>
          <cell r="BT372">
            <v>0</v>
          </cell>
          <cell r="BU372">
            <v>1</v>
          </cell>
        </row>
        <row r="373">
          <cell r="A373">
            <v>29</v>
          </cell>
          <cell r="B373">
            <v>29</v>
          </cell>
          <cell r="D373">
            <v>0</v>
          </cell>
          <cell r="F373">
            <v>0</v>
          </cell>
          <cell r="G373">
            <v>1</v>
          </cell>
          <cell r="I373">
            <v>1</v>
          </cell>
          <cell r="J373">
            <v>0</v>
          </cell>
          <cell r="K373">
            <v>23</v>
          </cell>
          <cell r="L373">
            <v>23</v>
          </cell>
          <cell r="M373">
            <v>3</v>
          </cell>
          <cell r="O373">
            <v>1</v>
          </cell>
          <cell r="P373">
            <v>0</v>
          </cell>
          <cell r="Q373">
            <v>0</v>
          </cell>
          <cell r="R373">
            <v>0</v>
          </cell>
          <cell r="S373">
            <v>0</v>
          </cell>
          <cell r="T373">
            <v>4</v>
          </cell>
          <cell r="V373">
            <v>0</v>
          </cell>
          <cell r="W373">
            <v>54</v>
          </cell>
          <cell r="X373">
            <v>3</v>
          </cell>
          <cell r="Y373">
            <v>1</v>
          </cell>
          <cell r="AA373">
            <v>0</v>
          </cell>
          <cell r="AB373">
            <v>0</v>
          </cell>
          <cell r="AC373">
            <v>0</v>
          </cell>
          <cell r="AD373">
            <v>0</v>
          </cell>
          <cell r="AE373">
            <v>0</v>
          </cell>
          <cell r="AF373">
            <v>0</v>
          </cell>
          <cell r="AG373">
            <v>0</v>
          </cell>
          <cell r="AH373">
            <v>1</v>
          </cell>
          <cell r="AI373">
            <v>4</v>
          </cell>
          <cell r="AK373">
            <v>1</v>
          </cell>
          <cell r="AL373">
            <v>0</v>
          </cell>
          <cell r="AN373">
            <v>2201</v>
          </cell>
          <cell r="AO373">
            <v>9</v>
          </cell>
          <cell r="AQ373">
            <v>0</v>
          </cell>
          <cell r="AR373">
            <v>16</v>
          </cell>
          <cell r="AS373">
            <v>3</v>
          </cell>
          <cell r="AT373">
            <v>4</v>
          </cell>
          <cell r="AU373">
            <v>0</v>
          </cell>
          <cell r="AV373">
            <v>6</v>
          </cell>
          <cell r="AW373">
            <v>6</v>
          </cell>
          <cell r="AX373">
            <v>4</v>
          </cell>
          <cell r="AY373">
            <v>3</v>
          </cell>
          <cell r="AZ373">
            <v>3</v>
          </cell>
          <cell r="BA373">
            <v>3</v>
          </cell>
          <cell r="BB373">
            <v>2</v>
          </cell>
          <cell r="BC373">
            <v>1</v>
          </cell>
          <cell r="BD373">
            <v>1</v>
          </cell>
          <cell r="BE373">
            <v>2</v>
          </cell>
          <cell r="BF373">
            <v>2</v>
          </cell>
          <cell r="BG373">
            <v>2</v>
          </cell>
          <cell r="BH373">
            <v>1</v>
          </cell>
          <cell r="BI373">
            <v>0</v>
          </cell>
          <cell r="BJ373">
            <v>0</v>
          </cell>
          <cell r="BK373">
            <v>0</v>
          </cell>
          <cell r="BL373">
            <v>1</v>
          </cell>
          <cell r="BM373">
            <v>0</v>
          </cell>
          <cell r="BN373">
            <v>0</v>
          </cell>
          <cell r="BO373">
            <v>0</v>
          </cell>
          <cell r="BP373">
            <v>0</v>
          </cell>
          <cell r="BQ373">
            <v>2</v>
          </cell>
          <cell r="BR373">
            <v>0</v>
          </cell>
          <cell r="BS373">
            <v>0</v>
          </cell>
          <cell r="BT373">
            <v>6</v>
          </cell>
          <cell r="BU373">
            <v>0</v>
          </cell>
        </row>
        <row r="374">
          <cell r="A374">
            <v>35</v>
          </cell>
          <cell r="B374">
            <v>35</v>
          </cell>
          <cell r="D374">
            <v>0</v>
          </cell>
          <cell r="F374">
            <v>0</v>
          </cell>
          <cell r="G374">
            <v>1</v>
          </cell>
          <cell r="I374">
            <v>1</v>
          </cell>
          <cell r="J374">
            <v>0</v>
          </cell>
          <cell r="K374">
            <v>9</v>
          </cell>
          <cell r="L374">
            <v>9</v>
          </cell>
          <cell r="M374">
            <v>4</v>
          </cell>
          <cell r="O374">
            <v>1</v>
          </cell>
          <cell r="P374">
            <v>0</v>
          </cell>
          <cell r="Q374">
            <v>0</v>
          </cell>
          <cell r="R374">
            <v>0</v>
          </cell>
          <cell r="S374">
            <v>0</v>
          </cell>
          <cell r="T374">
            <v>3</v>
          </cell>
          <cell r="V374">
            <v>0</v>
          </cell>
          <cell r="W374">
            <v>97</v>
          </cell>
          <cell r="X374">
            <v>2</v>
          </cell>
          <cell r="Y374">
            <v>2</v>
          </cell>
          <cell r="AA374">
            <v>1</v>
          </cell>
          <cell r="AB374">
            <v>0</v>
          </cell>
          <cell r="AC374">
            <v>0</v>
          </cell>
          <cell r="AD374">
            <v>0</v>
          </cell>
          <cell r="AE374">
            <v>0</v>
          </cell>
          <cell r="AF374">
            <v>0</v>
          </cell>
          <cell r="AG374">
            <v>0</v>
          </cell>
          <cell r="AH374">
            <v>0</v>
          </cell>
          <cell r="AI374">
            <v>2</v>
          </cell>
          <cell r="AK374">
            <v>1</v>
          </cell>
          <cell r="AL374">
            <v>0</v>
          </cell>
          <cell r="AN374">
            <v>6540</v>
          </cell>
          <cell r="AO374">
            <v>9</v>
          </cell>
          <cell r="AQ374">
            <v>0</v>
          </cell>
          <cell r="AR374">
            <v>19</v>
          </cell>
          <cell r="AS374">
            <v>3</v>
          </cell>
          <cell r="AT374">
            <v>3</v>
          </cell>
          <cell r="AU374">
            <v>0</v>
          </cell>
          <cell r="AV374">
            <v>10</v>
          </cell>
          <cell r="AW374">
            <v>10</v>
          </cell>
          <cell r="AX374">
            <v>5</v>
          </cell>
          <cell r="AY374">
            <v>3</v>
          </cell>
          <cell r="AZ374">
            <v>1</v>
          </cell>
          <cell r="BA374">
            <v>1</v>
          </cell>
          <cell r="BB374">
            <v>1</v>
          </cell>
          <cell r="BC374">
            <v>0</v>
          </cell>
          <cell r="BD374">
            <v>0</v>
          </cell>
          <cell r="BE374">
            <v>0</v>
          </cell>
          <cell r="BF374">
            <v>0</v>
          </cell>
          <cell r="BG374">
            <v>0</v>
          </cell>
          <cell r="BH374">
            <v>1</v>
          </cell>
          <cell r="BI374">
            <v>0</v>
          </cell>
          <cell r="BJ374">
            <v>0</v>
          </cell>
          <cell r="BK374">
            <v>0</v>
          </cell>
          <cell r="BL374">
            <v>1</v>
          </cell>
          <cell r="BM374">
            <v>0</v>
          </cell>
          <cell r="BN374">
            <v>0</v>
          </cell>
          <cell r="BO374">
            <v>0</v>
          </cell>
          <cell r="BP374">
            <v>0</v>
          </cell>
          <cell r="BQ374">
            <v>0</v>
          </cell>
          <cell r="BR374">
            <v>0</v>
          </cell>
          <cell r="BS374">
            <v>0</v>
          </cell>
          <cell r="BT374">
            <v>10</v>
          </cell>
          <cell r="BU374">
            <v>0</v>
          </cell>
        </row>
        <row r="375">
          <cell r="A375">
            <v>27</v>
          </cell>
          <cell r="B375">
            <v>27</v>
          </cell>
          <cell r="D375">
            <v>0</v>
          </cell>
          <cell r="F375">
            <v>0</v>
          </cell>
          <cell r="G375">
            <v>1</v>
          </cell>
          <cell r="I375">
            <v>1</v>
          </cell>
          <cell r="J375">
            <v>0</v>
          </cell>
          <cell r="K375">
            <v>1</v>
          </cell>
          <cell r="L375">
            <v>1</v>
          </cell>
          <cell r="M375">
            <v>2</v>
          </cell>
          <cell r="O375">
            <v>0</v>
          </cell>
          <cell r="P375">
            <v>0</v>
          </cell>
          <cell r="Q375">
            <v>1</v>
          </cell>
          <cell r="R375">
            <v>0</v>
          </cell>
          <cell r="S375">
            <v>0</v>
          </cell>
          <cell r="T375">
            <v>4</v>
          </cell>
          <cell r="V375">
            <v>0</v>
          </cell>
          <cell r="W375">
            <v>82</v>
          </cell>
          <cell r="X375">
            <v>3</v>
          </cell>
          <cell r="Y375">
            <v>1</v>
          </cell>
          <cell r="AA375">
            <v>0</v>
          </cell>
          <cell r="AB375">
            <v>0</v>
          </cell>
          <cell r="AC375">
            <v>1</v>
          </cell>
          <cell r="AD375">
            <v>0</v>
          </cell>
          <cell r="AE375">
            <v>0</v>
          </cell>
          <cell r="AF375">
            <v>0</v>
          </cell>
          <cell r="AG375">
            <v>0</v>
          </cell>
          <cell r="AH375">
            <v>0</v>
          </cell>
          <cell r="AI375">
            <v>2</v>
          </cell>
          <cell r="AK375">
            <v>0</v>
          </cell>
          <cell r="AL375">
            <v>0</v>
          </cell>
          <cell r="AN375">
            <v>3816</v>
          </cell>
          <cell r="AO375">
            <v>1</v>
          </cell>
          <cell r="AQ375">
            <v>0</v>
          </cell>
          <cell r="AR375">
            <v>11</v>
          </cell>
          <cell r="AS375">
            <v>3</v>
          </cell>
          <cell r="AT375">
            <v>2</v>
          </cell>
          <cell r="AU375">
            <v>1</v>
          </cell>
          <cell r="AV375">
            <v>5</v>
          </cell>
          <cell r="AW375">
            <v>5</v>
          </cell>
          <cell r="AX375">
            <v>2</v>
          </cell>
          <cell r="AY375">
            <v>3</v>
          </cell>
          <cell r="AZ375">
            <v>5</v>
          </cell>
          <cell r="BA375">
            <v>5</v>
          </cell>
          <cell r="BB375">
            <v>2</v>
          </cell>
          <cell r="BC375">
            <v>0</v>
          </cell>
          <cell r="BD375">
            <v>0</v>
          </cell>
          <cell r="BE375">
            <v>4</v>
          </cell>
          <cell r="BF375">
            <v>4</v>
          </cell>
          <cell r="BG375">
            <v>4</v>
          </cell>
          <cell r="BH375">
            <v>1</v>
          </cell>
          <cell r="BI375">
            <v>0</v>
          </cell>
          <cell r="BJ375">
            <v>0</v>
          </cell>
          <cell r="BK375">
            <v>0</v>
          </cell>
          <cell r="BL375">
            <v>1</v>
          </cell>
          <cell r="BM375">
            <v>0</v>
          </cell>
          <cell r="BN375">
            <v>0</v>
          </cell>
          <cell r="BO375">
            <v>0</v>
          </cell>
          <cell r="BP375">
            <v>0</v>
          </cell>
          <cell r="BQ375">
            <v>4</v>
          </cell>
          <cell r="BR375">
            <v>0</v>
          </cell>
          <cell r="BS375">
            <v>0</v>
          </cell>
          <cell r="BT375">
            <v>5</v>
          </cell>
          <cell r="BU375">
            <v>0</v>
          </cell>
        </row>
        <row r="376">
          <cell r="A376">
            <v>28</v>
          </cell>
          <cell r="B376">
            <v>28</v>
          </cell>
          <cell r="D376">
            <v>0</v>
          </cell>
          <cell r="F376">
            <v>0</v>
          </cell>
          <cell r="G376">
            <v>1</v>
          </cell>
          <cell r="I376">
            <v>0</v>
          </cell>
          <cell r="J376">
            <v>1</v>
          </cell>
          <cell r="K376">
            <v>9</v>
          </cell>
          <cell r="L376">
            <v>9</v>
          </cell>
          <cell r="M376">
            <v>4</v>
          </cell>
          <cell r="O376">
            <v>1</v>
          </cell>
          <cell r="P376">
            <v>0</v>
          </cell>
          <cell r="Q376">
            <v>0</v>
          </cell>
          <cell r="R376">
            <v>0</v>
          </cell>
          <cell r="S376">
            <v>0</v>
          </cell>
          <cell r="T376">
            <v>2</v>
          </cell>
          <cell r="V376">
            <v>0</v>
          </cell>
          <cell r="W376">
            <v>92</v>
          </cell>
          <cell r="X376">
            <v>3</v>
          </cell>
          <cell r="Y376">
            <v>2</v>
          </cell>
          <cell r="AA376">
            <v>0</v>
          </cell>
          <cell r="AB376">
            <v>1</v>
          </cell>
          <cell r="AC376">
            <v>0</v>
          </cell>
          <cell r="AD376">
            <v>0</v>
          </cell>
          <cell r="AE376">
            <v>0</v>
          </cell>
          <cell r="AF376">
            <v>0</v>
          </cell>
          <cell r="AG376">
            <v>0</v>
          </cell>
          <cell r="AH376">
            <v>0</v>
          </cell>
          <cell r="AI376">
            <v>4</v>
          </cell>
          <cell r="AK376">
            <v>1</v>
          </cell>
          <cell r="AL376">
            <v>0</v>
          </cell>
          <cell r="AN376">
            <v>5253</v>
          </cell>
          <cell r="AO376">
            <v>1</v>
          </cell>
          <cell r="AQ376">
            <v>0</v>
          </cell>
          <cell r="AR376">
            <v>16</v>
          </cell>
          <cell r="AS376">
            <v>3</v>
          </cell>
          <cell r="AT376">
            <v>4</v>
          </cell>
          <cell r="AU376">
            <v>0</v>
          </cell>
          <cell r="AV376">
            <v>7</v>
          </cell>
          <cell r="AW376">
            <v>7</v>
          </cell>
          <cell r="AX376">
            <v>1</v>
          </cell>
          <cell r="AY376">
            <v>3</v>
          </cell>
          <cell r="AZ376">
            <v>7</v>
          </cell>
          <cell r="BA376">
            <v>7</v>
          </cell>
          <cell r="BB376">
            <v>5</v>
          </cell>
          <cell r="BC376">
            <v>0</v>
          </cell>
          <cell r="BD376">
            <v>0</v>
          </cell>
          <cell r="BE376">
            <v>7</v>
          </cell>
          <cell r="BF376">
            <v>7</v>
          </cell>
          <cell r="BG376">
            <v>14</v>
          </cell>
          <cell r="BH376">
            <v>1</v>
          </cell>
          <cell r="BI376">
            <v>0</v>
          </cell>
          <cell r="BJ376">
            <v>0</v>
          </cell>
          <cell r="BK376">
            <v>0</v>
          </cell>
          <cell r="BL376">
            <v>1</v>
          </cell>
          <cell r="BM376">
            <v>0</v>
          </cell>
          <cell r="BN376">
            <v>0</v>
          </cell>
          <cell r="BO376">
            <v>0</v>
          </cell>
          <cell r="BP376">
            <v>0</v>
          </cell>
          <cell r="BQ376">
            <v>0</v>
          </cell>
          <cell r="BR376">
            <v>7</v>
          </cell>
          <cell r="BS376">
            <v>0</v>
          </cell>
          <cell r="BT376">
            <v>0</v>
          </cell>
          <cell r="BU376">
            <v>7</v>
          </cell>
        </row>
        <row r="377">
          <cell r="A377">
            <v>49</v>
          </cell>
          <cell r="B377">
            <v>49</v>
          </cell>
          <cell r="D377">
            <v>0</v>
          </cell>
          <cell r="F377">
            <v>0</v>
          </cell>
          <cell r="G377">
            <v>1</v>
          </cell>
          <cell r="I377">
            <v>1</v>
          </cell>
          <cell r="J377">
            <v>0</v>
          </cell>
          <cell r="K377">
            <v>7</v>
          </cell>
          <cell r="L377">
            <v>7</v>
          </cell>
          <cell r="M377">
            <v>3</v>
          </cell>
          <cell r="O377">
            <v>0</v>
          </cell>
          <cell r="P377">
            <v>1</v>
          </cell>
          <cell r="Q377">
            <v>0</v>
          </cell>
          <cell r="R377">
            <v>0</v>
          </cell>
          <cell r="S377">
            <v>0</v>
          </cell>
          <cell r="T377">
            <v>2</v>
          </cell>
          <cell r="V377">
            <v>0</v>
          </cell>
          <cell r="W377">
            <v>31</v>
          </cell>
          <cell r="X377">
            <v>2</v>
          </cell>
          <cell r="Y377">
            <v>3</v>
          </cell>
          <cell r="AA377">
            <v>1</v>
          </cell>
          <cell r="AB377">
            <v>0</v>
          </cell>
          <cell r="AC377">
            <v>0</v>
          </cell>
          <cell r="AD377">
            <v>0</v>
          </cell>
          <cell r="AE377">
            <v>0</v>
          </cell>
          <cell r="AF377">
            <v>0</v>
          </cell>
          <cell r="AG377">
            <v>0</v>
          </cell>
          <cell r="AH377">
            <v>0</v>
          </cell>
          <cell r="AI377">
            <v>3</v>
          </cell>
          <cell r="AK377">
            <v>1</v>
          </cell>
          <cell r="AL377">
            <v>0</v>
          </cell>
          <cell r="AN377">
            <v>10965</v>
          </cell>
          <cell r="AO377">
            <v>8</v>
          </cell>
          <cell r="AQ377">
            <v>0</v>
          </cell>
          <cell r="AR377">
            <v>24</v>
          </cell>
          <cell r="AS377">
            <v>4</v>
          </cell>
          <cell r="AT377">
            <v>3</v>
          </cell>
          <cell r="AU377">
            <v>0</v>
          </cell>
          <cell r="AV377">
            <v>26</v>
          </cell>
          <cell r="AW377">
            <v>26</v>
          </cell>
          <cell r="AX377">
            <v>2</v>
          </cell>
          <cell r="AY377">
            <v>3</v>
          </cell>
          <cell r="AZ377">
            <v>5</v>
          </cell>
          <cell r="BA377">
            <v>5</v>
          </cell>
          <cell r="BB377">
            <v>2</v>
          </cell>
          <cell r="BC377">
            <v>0</v>
          </cell>
          <cell r="BD377">
            <v>0</v>
          </cell>
          <cell r="BE377">
            <v>0</v>
          </cell>
          <cell r="BF377">
            <v>0</v>
          </cell>
          <cell r="BG377">
            <v>0</v>
          </cell>
          <cell r="BH377">
            <v>1</v>
          </cell>
          <cell r="BI377">
            <v>0</v>
          </cell>
          <cell r="BJ377">
            <v>0</v>
          </cell>
          <cell r="BK377">
            <v>0</v>
          </cell>
          <cell r="BL377">
            <v>1</v>
          </cell>
          <cell r="BM377">
            <v>0</v>
          </cell>
          <cell r="BN377">
            <v>0</v>
          </cell>
          <cell r="BO377">
            <v>0</v>
          </cell>
          <cell r="BP377">
            <v>0</v>
          </cell>
          <cell r="BQ377">
            <v>0</v>
          </cell>
          <cell r="BR377">
            <v>0</v>
          </cell>
          <cell r="BS377">
            <v>0</v>
          </cell>
          <cell r="BT377">
            <v>26</v>
          </cell>
          <cell r="BU377">
            <v>0</v>
          </cell>
        </row>
        <row r="378">
          <cell r="A378">
            <v>51</v>
          </cell>
          <cell r="B378">
            <v>51</v>
          </cell>
          <cell r="D378">
            <v>0</v>
          </cell>
          <cell r="F378">
            <v>0</v>
          </cell>
          <cell r="G378">
            <v>1</v>
          </cell>
          <cell r="I378">
            <v>0</v>
          </cell>
          <cell r="J378">
            <v>1</v>
          </cell>
          <cell r="K378">
            <v>14</v>
          </cell>
          <cell r="L378">
            <v>14</v>
          </cell>
          <cell r="M378">
            <v>2</v>
          </cell>
          <cell r="O378">
            <v>1</v>
          </cell>
          <cell r="P378">
            <v>0</v>
          </cell>
          <cell r="Q378">
            <v>0</v>
          </cell>
          <cell r="R378">
            <v>0</v>
          </cell>
          <cell r="S378">
            <v>0</v>
          </cell>
          <cell r="T378">
            <v>3</v>
          </cell>
          <cell r="V378">
            <v>1</v>
          </cell>
          <cell r="W378">
            <v>87</v>
          </cell>
          <cell r="X378">
            <v>3</v>
          </cell>
          <cell r="Y378">
            <v>2</v>
          </cell>
          <cell r="AA378">
            <v>0</v>
          </cell>
          <cell r="AB378">
            <v>1</v>
          </cell>
          <cell r="AC378">
            <v>0</v>
          </cell>
          <cell r="AD378">
            <v>0</v>
          </cell>
          <cell r="AE378">
            <v>0</v>
          </cell>
          <cell r="AF378">
            <v>0</v>
          </cell>
          <cell r="AG378">
            <v>0</v>
          </cell>
          <cell r="AH378">
            <v>0</v>
          </cell>
          <cell r="AI378">
            <v>4</v>
          </cell>
          <cell r="AK378">
            <v>0</v>
          </cell>
          <cell r="AL378">
            <v>1</v>
          </cell>
          <cell r="AN378">
            <v>4936</v>
          </cell>
          <cell r="AO378">
            <v>4</v>
          </cell>
          <cell r="AQ378">
            <v>0</v>
          </cell>
          <cell r="AR378">
            <v>11</v>
          </cell>
          <cell r="AS378">
            <v>3</v>
          </cell>
          <cell r="AT378">
            <v>3</v>
          </cell>
          <cell r="AU378">
            <v>1</v>
          </cell>
          <cell r="AV378">
            <v>18</v>
          </cell>
          <cell r="AW378">
            <v>18</v>
          </cell>
          <cell r="AX378">
            <v>2</v>
          </cell>
          <cell r="AY378">
            <v>2</v>
          </cell>
          <cell r="AZ378">
            <v>7</v>
          </cell>
          <cell r="BA378">
            <v>7</v>
          </cell>
          <cell r="BB378">
            <v>7</v>
          </cell>
          <cell r="BC378">
            <v>0</v>
          </cell>
          <cell r="BD378">
            <v>0</v>
          </cell>
          <cell r="BE378">
            <v>7</v>
          </cell>
          <cell r="BF378">
            <v>7</v>
          </cell>
          <cell r="BG378">
            <v>14</v>
          </cell>
          <cell r="BH378">
            <v>0</v>
          </cell>
          <cell r="BI378">
            <v>1</v>
          </cell>
          <cell r="BJ378">
            <v>0</v>
          </cell>
          <cell r="BK378">
            <v>0</v>
          </cell>
          <cell r="BL378">
            <v>0</v>
          </cell>
          <cell r="BM378">
            <v>0</v>
          </cell>
          <cell r="BN378">
            <v>1</v>
          </cell>
          <cell r="BO378">
            <v>0</v>
          </cell>
          <cell r="BP378">
            <v>0</v>
          </cell>
          <cell r="BQ378">
            <v>0</v>
          </cell>
          <cell r="BR378">
            <v>7</v>
          </cell>
          <cell r="BS378">
            <v>0</v>
          </cell>
          <cell r="BT378">
            <v>0</v>
          </cell>
          <cell r="BU378">
            <v>18</v>
          </cell>
        </row>
        <row r="379">
          <cell r="A379">
            <v>36</v>
          </cell>
          <cell r="B379">
            <v>36</v>
          </cell>
          <cell r="D379">
            <v>0</v>
          </cell>
          <cell r="F379">
            <v>0</v>
          </cell>
          <cell r="G379">
            <v>1</v>
          </cell>
          <cell r="I379">
            <v>1</v>
          </cell>
          <cell r="J379">
            <v>0</v>
          </cell>
          <cell r="K379">
            <v>2</v>
          </cell>
          <cell r="L379">
            <v>2</v>
          </cell>
          <cell r="M379">
            <v>3</v>
          </cell>
          <cell r="O379">
            <v>1</v>
          </cell>
          <cell r="P379">
            <v>0</v>
          </cell>
          <cell r="Q379">
            <v>0</v>
          </cell>
          <cell r="R379">
            <v>0</v>
          </cell>
          <cell r="S379">
            <v>0</v>
          </cell>
          <cell r="T379">
            <v>4</v>
          </cell>
          <cell r="V379">
            <v>1</v>
          </cell>
          <cell r="W379">
            <v>96</v>
          </cell>
          <cell r="X379">
            <v>3</v>
          </cell>
          <cell r="Y379">
            <v>1</v>
          </cell>
          <cell r="AA379">
            <v>0</v>
          </cell>
          <cell r="AB379">
            <v>0</v>
          </cell>
          <cell r="AC379">
            <v>0</v>
          </cell>
          <cell r="AD379">
            <v>0</v>
          </cell>
          <cell r="AE379">
            <v>0</v>
          </cell>
          <cell r="AF379">
            <v>0</v>
          </cell>
          <cell r="AG379">
            <v>0</v>
          </cell>
          <cell r="AH379">
            <v>1</v>
          </cell>
          <cell r="AI379">
            <v>3</v>
          </cell>
          <cell r="AK379">
            <v>0</v>
          </cell>
          <cell r="AL379">
            <v>1</v>
          </cell>
          <cell r="AN379">
            <v>2543</v>
          </cell>
          <cell r="AO379">
            <v>4</v>
          </cell>
          <cell r="AQ379">
            <v>0</v>
          </cell>
          <cell r="AR379">
            <v>13</v>
          </cell>
          <cell r="AS379">
            <v>3</v>
          </cell>
          <cell r="AT379">
            <v>2</v>
          </cell>
          <cell r="AU379">
            <v>1</v>
          </cell>
          <cell r="AV379">
            <v>6</v>
          </cell>
          <cell r="AW379">
            <v>6</v>
          </cell>
          <cell r="AX379">
            <v>3</v>
          </cell>
          <cell r="AY379">
            <v>3</v>
          </cell>
          <cell r="AZ379">
            <v>2</v>
          </cell>
          <cell r="BA379">
            <v>2</v>
          </cell>
          <cell r="BB379">
            <v>2</v>
          </cell>
          <cell r="BC379">
            <v>2</v>
          </cell>
          <cell r="BD379">
            <v>2</v>
          </cell>
          <cell r="BE379">
            <v>2</v>
          </cell>
          <cell r="BF379">
            <v>2</v>
          </cell>
          <cell r="BG379">
            <v>2</v>
          </cell>
          <cell r="BH379">
            <v>0</v>
          </cell>
          <cell r="BI379">
            <v>1</v>
          </cell>
          <cell r="BJ379">
            <v>0</v>
          </cell>
          <cell r="BK379">
            <v>0</v>
          </cell>
          <cell r="BL379">
            <v>0</v>
          </cell>
          <cell r="BM379">
            <v>0</v>
          </cell>
          <cell r="BN379">
            <v>1</v>
          </cell>
          <cell r="BO379">
            <v>0</v>
          </cell>
          <cell r="BP379">
            <v>0</v>
          </cell>
          <cell r="BQ379">
            <v>2</v>
          </cell>
          <cell r="BR379">
            <v>0</v>
          </cell>
          <cell r="BS379">
            <v>0</v>
          </cell>
          <cell r="BT379">
            <v>6</v>
          </cell>
          <cell r="BU379">
            <v>0</v>
          </cell>
        </row>
        <row r="380">
          <cell r="A380">
            <v>34</v>
          </cell>
          <cell r="B380">
            <v>34</v>
          </cell>
          <cell r="D380">
            <v>1</v>
          </cell>
          <cell r="F380">
            <v>0</v>
          </cell>
          <cell r="G380">
            <v>0</v>
          </cell>
          <cell r="I380">
            <v>0</v>
          </cell>
          <cell r="J380">
            <v>1</v>
          </cell>
          <cell r="K380">
            <v>19</v>
          </cell>
          <cell r="L380">
            <v>19</v>
          </cell>
          <cell r="M380">
            <v>3</v>
          </cell>
          <cell r="O380">
            <v>0</v>
          </cell>
          <cell r="P380">
            <v>0</v>
          </cell>
          <cell r="Q380">
            <v>0</v>
          </cell>
          <cell r="R380">
            <v>1</v>
          </cell>
          <cell r="S380">
            <v>0</v>
          </cell>
          <cell r="T380">
            <v>1</v>
          </cell>
          <cell r="V380">
            <v>0</v>
          </cell>
          <cell r="W380">
            <v>67</v>
          </cell>
          <cell r="X380">
            <v>4</v>
          </cell>
          <cell r="Y380">
            <v>2</v>
          </cell>
          <cell r="AA380">
            <v>0</v>
          </cell>
          <cell r="AB380">
            <v>1</v>
          </cell>
          <cell r="AC380">
            <v>0</v>
          </cell>
          <cell r="AD380">
            <v>0</v>
          </cell>
          <cell r="AE380">
            <v>0</v>
          </cell>
          <cell r="AF380">
            <v>0</v>
          </cell>
          <cell r="AG380">
            <v>0</v>
          </cell>
          <cell r="AH380">
            <v>0</v>
          </cell>
          <cell r="AI380">
            <v>4</v>
          </cell>
          <cell r="AK380">
            <v>1</v>
          </cell>
          <cell r="AL380">
            <v>0</v>
          </cell>
          <cell r="AN380">
            <v>5304</v>
          </cell>
          <cell r="AO380">
            <v>8</v>
          </cell>
          <cell r="AQ380">
            <v>1</v>
          </cell>
          <cell r="AR380">
            <v>13</v>
          </cell>
          <cell r="AS380">
            <v>3</v>
          </cell>
          <cell r="AT380">
            <v>2</v>
          </cell>
          <cell r="AU380">
            <v>0</v>
          </cell>
          <cell r="AV380">
            <v>9</v>
          </cell>
          <cell r="AW380">
            <v>9</v>
          </cell>
          <cell r="AX380">
            <v>3</v>
          </cell>
          <cell r="AY380">
            <v>2</v>
          </cell>
          <cell r="AZ380">
            <v>5</v>
          </cell>
          <cell r="BA380">
            <v>5</v>
          </cell>
          <cell r="BB380">
            <v>2</v>
          </cell>
          <cell r="BC380">
            <v>0</v>
          </cell>
          <cell r="BD380">
            <v>0</v>
          </cell>
          <cell r="BE380">
            <v>4</v>
          </cell>
          <cell r="BF380">
            <v>4</v>
          </cell>
          <cell r="BG380">
            <v>8</v>
          </cell>
          <cell r="BH380">
            <v>1</v>
          </cell>
          <cell r="BI380">
            <v>0</v>
          </cell>
          <cell r="BJ380">
            <v>0</v>
          </cell>
          <cell r="BK380">
            <v>0</v>
          </cell>
          <cell r="BL380">
            <v>0</v>
          </cell>
          <cell r="BM380">
            <v>1</v>
          </cell>
          <cell r="BN380">
            <v>0</v>
          </cell>
          <cell r="BO380">
            <v>0</v>
          </cell>
          <cell r="BP380">
            <v>0</v>
          </cell>
          <cell r="BQ380">
            <v>0</v>
          </cell>
          <cell r="BR380">
            <v>4</v>
          </cell>
          <cell r="BS380">
            <v>0</v>
          </cell>
          <cell r="BT380">
            <v>0</v>
          </cell>
          <cell r="BU380">
            <v>9</v>
          </cell>
        </row>
        <row r="381">
          <cell r="A381">
            <v>55</v>
          </cell>
          <cell r="B381">
            <v>55</v>
          </cell>
          <cell r="D381">
            <v>0</v>
          </cell>
          <cell r="F381">
            <v>0</v>
          </cell>
          <cell r="G381">
            <v>1</v>
          </cell>
          <cell r="I381">
            <v>1</v>
          </cell>
          <cell r="J381">
            <v>0</v>
          </cell>
          <cell r="K381">
            <v>2</v>
          </cell>
          <cell r="L381">
            <v>2</v>
          </cell>
          <cell r="M381">
            <v>3</v>
          </cell>
          <cell r="O381">
            <v>1</v>
          </cell>
          <cell r="P381">
            <v>0</v>
          </cell>
          <cell r="Q381">
            <v>0</v>
          </cell>
          <cell r="R381">
            <v>0</v>
          </cell>
          <cell r="S381">
            <v>0</v>
          </cell>
          <cell r="T381">
            <v>3</v>
          </cell>
          <cell r="V381">
            <v>1</v>
          </cell>
          <cell r="W381">
            <v>97</v>
          </cell>
          <cell r="X381">
            <v>3</v>
          </cell>
          <cell r="Y381">
            <v>4</v>
          </cell>
          <cell r="AA381">
            <v>0</v>
          </cell>
          <cell r="AB381">
            <v>0</v>
          </cell>
          <cell r="AC381">
            <v>0</v>
          </cell>
          <cell r="AD381">
            <v>1</v>
          </cell>
          <cell r="AE381">
            <v>0</v>
          </cell>
          <cell r="AF381">
            <v>0</v>
          </cell>
          <cell r="AG381">
            <v>0</v>
          </cell>
          <cell r="AH381">
            <v>0</v>
          </cell>
          <cell r="AI381">
            <v>4</v>
          </cell>
          <cell r="AK381">
            <v>1</v>
          </cell>
          <cell r="AL381">
            <v>0</v>
          </cell>
          <cell r="AN381">
            <v>16659</v>
          </cell>
          <cell r="AO381">
            <v>2</v>
          </cell>
          <cell r="AQ381">
            <v>1</v>
          </cell>
          <cell r="AR381">
            <v>13</v>
          </cell>
          <cell r="AS381">
            <v>3</v>
          </cell>
          <cell r="AT381">
            <v>3</v>
          </cell>
          <cell r="AU381">
            <v>0</v>
          </cell>
          <cell r="AV381">
            <v>30</v>
          </cell>
          <cell r="AW381">
            <v>30</v>
          </cell>
          <cell r="AX381">
            <v>2</v>
          </cell>
          <cell r="AY381">
            <v>3</v>
          </cell>
          <cell r="AZ381">
            <v>5</v>
          </cell>
          <cell r="BA381">
            <v>5</v>
          </cell>
          <cell r="BB381">
            <v>4</v>
          </cell>
          <cell r="BC381">
            <v>1</v>
          </cell>
          <cell r="BD381">
            <v>1</v>
          </cell>
          <cell r="BE381">
            <v>2</v>
          </cell>
          <cell r="BF381">
            <v>2</v>
          </cell>
          <cell r="BG381">
            <v>8</v>
          </cell>
          <cell r="BH381">
            <v>1</v>
          </cell>
          <cell r="BI381">
            <v>0</v>
          </cell>
          <cell r="BJ381">
            <v>0</v>
          </cell>
          <cell r="BK381">
            <v>0</v>
          </cell>
          <cell r="BL381">
            <v>0</v>
          </cell>
          <cell r="BM381">
            <v>1</v>
          </cell>
          <cell r="BN381">
            <v>0</v>
          </cell>
          <cell r="BO381">
            <v>0</v>
          </cell>
          <cell r="BP381">
            <v>0</v>
          </cell>
          <cell r="BQ381">
            <v>2</v>
          </cell>
          <cell r="BR381">
            <v>0</v>
          </cell>
          <cell r="BS381">
            <v>0</v>
          </cell>
          <cell r="BT381">
            <v>30</v>
          </cell>
          <cell r="BU381">
            <v>0</v>
          </cell>
        </row>
        <row r="382">
          <cell r="A382">
            <v>24</v>
          </cell>
          <cell r="B382">
            <v>24</v>
          </cell>
          <cell r="D382">
            <v>0</v>
          </cell>
          <cell r="F382">
            <v>0</v>
          </cell>
          <cell r="G382">
            <v>1</v>
          </cell>
          <cell r="I382">
            <v>0</v>
          </cell>
          <cell r="J382">
            <v>1</v>
          </cell>
          <cell r="K382">
            <v>10</v>
          </cell>
          <cell r="L382">
            <v>10</v>
          </cell>
          <cell r="M382">
            <v>4</v>
          </cell>
          <cell r="O382">
            <v>0</v>
          </cell>
          <cell r="P382">
            <v>0</v>
          </cell>
          <cell r="Q382">
            <v>0</v>
          </cell>
          <cell r="R382">
            <v>1</v>
          </cell>
          <cell r="S382">
            <v>0</v>
          </cell>
          <cell r="T382">
            <v>4</v>
          </cell>
          <cell r="V382">
            <v>1</v>
          </cell>
          <cell r="W382">
            <v>77</v>
          </cell>
          <cell r="X382">
            <v>3</v>
          </cell>
          <cell r="Y382">
            <v>2</v>
          </cell>
          <cell r="AA382">
            <v>0</v>
          </cell>
          <cell r="AB382">
            <v>1</v>
          </cell>
          <cell r="AC382">
            <v>0</v>
          </cell>
          <cell r="AD382">
            <v>0</v>
          </cell>
          <cell r="AE382">
            <v>0</v>
          </cell>
          <cell r="AF382">
            <v>0</v>
          </cell>
          <cell r="AG382">
            <v>0</v>
          </cell>
          <cell r="AH382">
            <v>0</v>
          </cell>
          <cell r="AI382">
            <v>3</v>
          </cell>
          <cell r="AK382">
            <v>0</v>
          </cell>
          <cell r="AL382">
            <v>0</v>
          </cell>
          <cell r="AN382">
            <v>4260</v>
          </cell>
          <cell r="AO382">
            <v>1</v>
          </cell>
          <cell r="AQ382">
            <v>1</v>
          </cell>
          <cell r="AR382">
            <v>12</v>
          </cell>
          <cell r="AS382">
            <v>3</v>
          </cell>
          <cell r="AT382">
            <v>4</v>
          </cell>
          <cell r="AU382">
            <v>1</v>
          </cell>
          <cell r="AV382">
            <v>5</v>
          </cell>
          <cell r="AW382">
            <v>5</v>
          </cell>
          <cell r="AX382">
            <v>2</v>
          </cell>
          <cell r="AY382">
            <v>4</v>
          </cell>
          <cell r="AZ382">
            <v>5</v>
          </cell>
          <cell r="BA382">
            <v>5</v>
          </cell>
          <cell r="BB382">
            <v>2</v>
          </cell>
          <cell r="BC382">
            <v>0</v>
          </cell>
          <cell r="BD382">
            <v>0</v>
          </cell>
          <cell r="BE382">
            <v>3</v>
          </cell>
          <cell r="BF382">
            <v>3</v>
          </cell>
          <cell r="BG382">
            <v>6</v>
          </cell>
          <cell r="BH382">
            <v>1</v>
          </cell>
          <cell r="BI382">
            <v>0</v>
          </cell>
          <cell r="BJ382">
            <v>0</v>
          </cell>
          <cell r="BK382">
            <v>0</v>
          </cell>
          <cell r="BL382">
            <v>0</v>
          </cell>
          <cell r="BM382">
            <v>1</v>
          </cell>
          <cell r="BN382">
            <v>0</v>
          </cell>
          <cell r="BO382">
            <v>0</v>
          </cell>
          <cell r="BP382">
            <v>0</v>
          </cell>
          <cell r="BQ382">
            <v>0</v>
          </cell>
          <cell r="BR382">
            <v>3</v>
          </cell>
          <cell r="BS382">
            <v>0</v>
          </cell>
          <cell r="BT382">
            <v>0</v>
          </cell>
          <cell r="BU382">
            <v>5</v>
          </cell>
        </row>
        <row r="383">
          <cell r="A383">
            <v>30</v>
          </cell>
          <cell r="B383">
            <v>30</v>
          </cell>
          <cell r="D383">
            <v>0</v>
          </cell>
          <cell r="F383">
            <v>0</v>
          </cell>
          <cell r="G383">
            <v>1</v>
          </cell>
          <cell r="I383">
            <v>0</v>
          </cell>
          <cell r="J383">
            <v>1</v>
          </cell>
          <cell r="K383">
            <v>2</v>
          </cell>
          <cell r="L383">
            <v>2</v>
          </cell>
          <cell r="M383">
            <v>1</v>
          </cell>
          <cell r="O383">
            <v>0</v>
          </cell>
          <cell r="P383">
            <v>0</v>
          </cell>
          <cell r="Q383">
            <v>0</v>
          </cell>
          <cell r="R383">
            <v>0</v>
          </cell>
          <cell r="S383">
            <v>1</v>
          </cell>
          <cell r="T383">
            <v>3</v>
          </cell>
          <cell r="V383">
            <v>0</v>
          </cell>
          <cell r="W383">
            <v>72</v>
          </cell>
          <cell r="X383">
            <v>3</v>
          </cell>
          <cell r="Y383">
            <v>1</v>
          </cell>
          <cell r="AA383">
            <v>0</v>
          </cell>
          <cell r="AB383">
            <v>0</v>
          </cell>
          <cell r="AC383">
            <v>0</v>
          </cell>
          <cell r="AD383">
            <v>0</v>
          </cell>
          <cell r="AE383">
            <v>0</v>
          </cell>
          <cell r="AF383">
            <v>0</v>
          </cell>
          <cell r="AG383">
            <v>1</v>
          </cell>
          <cell r="AH383">
            <v>0</v>
          </cell>
          <cell r="AI383">
            <v>2</v>
          </cell>
          <cell r="AK383">
            <v>0</v>
          </cell>
          <cell r="AL383">
            <v>1</v>
          </cell>
          <cell r="AN383">
            <v>2476</v>
          </cell>
          <cell r="AO383">
            <v>1</v>
          </cell>
          <cell r="AQ383">
            <v>0</v>
          </cell>
          <cell r="AR383">
            <v>18</v>
          </cell>
          <cell r="AS383">
            <v>3</v>
          </cell>
          <cell r="AT383">
            <v>1</v>
          </cell>
          <cell r="AU383">
            <v>1</v>
          </cell>
          <cell r="AV383">
            <v>1</v>
          </cell>
          <cell r="AW383">
            <v>1</v>
          </cell>
          <cell r="AX383">
            <v>3</v>
          </cell>
          <cell r="AY383">
            <v>3</v>
          </cell>
          <cell r="AZ383">
            <v>1</v>
          </cell>
          <cell r="BA383">
            <v>1</v>
          </cell>
          <cell r="BB383">
            <v>0</v>
          </cell>
          <cell r="BC383">
            <v>0</v>
          </cell>
          <cell r="BD383">
            <v>0</v>
          </cell>
          <cell r="BE383">
            <v>0</v>
          </cell>
          <cell r="BF383">
            <v>0</v>
          </cell>
          <cell r="BG383">
            <v>0</v>
          </cell>
          <cell r="BH383">
            <v>0</v>
          </cell>
          <cell r="BI383">
            <v>1</v>
          </cell>
          <cell r="BJ383">
            <v>0</v>
          </cell>
          <cell r="BK383">
            <v>0</v>
          </cell>
          <cell r="BL383">
            <v>0</v>
          </cell>
          <cell r="BM383">
            <v>0</v>
          </cell>
          <cell r="BN383">
            <v>1</v>
          </cell>
          <cell r="BO383">
            <v>0</v>
          </cell>
          <cell r="BP383">
            <v>0</v>
          </cell>
          <cell r="BQ383">
            <v>0</v>
          </cell>
          <cell r="BR383">
            <v>0</v>
          </cell>
          <cell r="BS383">
            <v>0</v>
          </cell>
          <cell r="BT383">
            <v>0</v>
          </cell>
          <cell r="BU383">
            <v>1</v>
          </cell>
        </row>
        <row r="384">
          <cell r="A384">
            <v>26</v>
          </cell>
          <cell r="B384">
            <v>26</v>
          </cell>
          <cell r="D384">
            <v>1</v>
          </cell>
          <cell r="F384">
            <v>1</v>
          </cell>
          <cell r="G384">
            <v>0</v>
          </cell>
          <cell r="I384">
            <v>1</v>
          </cell>
          <cell r="J384">
            <v>0</v>
          </cell>
          <cell r="K384">
            <v>3</v>
          </cell>
          <cell r="L384">
            <v>3</v>
          </cell>
          <cell r="M384">
            <v>1</v>
          </cell>
          <cell r="O384">
            <v>0</v>
          </cell>
          <cell r="P384">
            <v>0</v>
          </cell>
          <cell r="Q384">
            <v>0</v>
          </cell>
          <cell r="R384">
            <v>0</v>
          </cell>
          <cell r="S384">
            <v>1</v>
          </cell>
          <cell r="T384">
            <v>3</v>
          </cell>
          <cell r="V384">
            <v>0</v>
          </cell>
          <cell r="W384">
            <v>73</v>
          </cell>
          <cell r="X384">
            <v>3</v>
          </cell>
          <cell r="Y384">
            <v>1</v>
          </cell>
          <cell r="AA384">
            <v>0</v>
          </cell>
          <cell r="AB384">
            <v>0</v>
          </cell>
          <cell r="AC384">
            <v>0</v>
          </cell>
          <cell r="AD384">
            <v>0</v>
          </cell>
          <cell r="AE384">
            <v>0</v>
          </cell>
          <cell r="AF384">
            <v>0</v>
          </cell>
          <cell r="AG384">
            <v>0</v>
          </cell>
          <cell r="AH384">
            <v>1</v>
          </cell>
          <cell r="AI384">
            <v>1</v>
          </cell>
          <cell r="AK384">
            <v>1</v>
          </cell>
          <cell r="AL384">
            <v>0</v>
          </cell>
          <cell r="AN384">
            <v>3102</v>
          </cell>
          <cell r="AO384">
            <v>0</v>
          </cell>
          <cell r="AQ384">
            <v>0</v>
          </cell>
          <cell r="AR384">
            <v>22</v>
          </cell>
          <cell r="AS384">
            <v>4</v>
          </cell>
          <cell r="AT384">
            <v>3</v>
          </cell>
          <cell r="AU384">
            <v>0</v>
          </cell>
          <cell r="AV384">
            <v>7</v>
          </cell>
          <cell r="AW384">
            <v>7</v>
          </cell>
          <cell r="AX384">
            <v>2</v>
          </cell>
          <cell r="AY384">
            <v>3</v>
          </cell>
          <cell r="AZ384">
            <v>6</v>
          </cell>
          <cell r="BA384">
            <v>6</v>
          </cell>
          <cell r="BB384">
            <v>4</v>
          </cell>
          <cell r="BC384">
            <v>0</v>
          </cell>
          <cell r="BD384">
            <v>0</v>
          </cell>
          <cell r="BE384">
            <v>4</v>
          </cell>
          <cell r="BF384">
            <v>4</v>
          </cell>
          <cell r="BG384">
            <v>4</v>
          </cell>
          <cell r="BH384">
            <v>0</v>
          </cell>
          <cell r="BI384">
            <v>0</v>
          </cell>
          <cell r="BJ384">
            <v>1</v>
          </cell>
          <cell r="BK384">
            <v>0</v>
          </cell>
          <cell r="BL384">
            <v>1</v>
          </cell>
          <cell r="BM384">
            <v>0</v>
          </cell>
          <cell r="BN384">
            <v>0</v>
          </cell>
          <cell r="BO384">
            <v>0</v>
          </cell>
          <cell r="BP384">
            <v>0</v>
          </cell>
          <cell r="BQ384">
            <v>4</v>
          </cell>
          <cell r="BR384">
            <v>0</v>
          </cell>
          <cell r="BS384">
            <v>0</v>
          </cell>
          <cell r="BT384">
            <v>7</v>
          </cell>
          <cell r="BU384">
            <v>0</v>
          </cell>
        </row>
        <row r="385">
          <cell r="A385">
            <v>22</v>
          </cell>
          <cell r="B385">
            <v>22</v>
          </cell>
          <cell r="D385">
            <v>0</v>
          </cell>
          <cell r="F385">
            <v>0</v>
          </cell>
          <cell r="G385">
            <v>1</v>
          </cell>
          <cell r="I385">
            <v>1</v>
          </cell>
          <cell r="J385">
            <v>0</v>
          </cell>
          <cell r="K385">
            <v>11</v>
          </cell>
          <cell r="L385">
            <v>11</v>
          </cell>
          <cell r="M385">
            <v>3</v>
          </cell>
          <cell r="O385">
            <v>0</v>
          </cell>
          <cell r="P385">
            <v>0</v>
          </cell>
          <cell r="Q385">
            <v>1</v>
          </cell>
          <cell r="R385">
            <v>0</v>
          </cell>
          <cell r="S385">
            <v>0</v>
          </cell>
          <cell r="T385">
            <v>1</v>
          </cell>
          <cell r="V385">
            <v>1</v>
          </cell>
          <cell r="W385">
            <v>43</v>
          </cell>
          <cell r="X385">
            <v>3</v>
          </cell>
          <cell r="Y385">
            <v>1</v>
          </cell>
          <cell r="AA385">
            <v>0</v>
          </cell>
          <cell r="AB385">
            <v>0</v>
          </cell>
          <cell r="AC385">
            <v>0</v>
          </cell>
          <cell r="AD385">
            <v>0</v>
          </cell>
          <cell r="AE385">
            <v>0</v>
          </cell>
          <cell r="AF385">
            <v>0</v>
          </cell>
          <cell r="AG385">
            <v>0</v>
          </cell>
          <cell r="AH385">
            <v>1</v>
          </cell>
          <cell r="AI385">
            <v>2</v>
          </cell>
          <cell r="AK385">
            <v>0</v>
          </cell>
          <cell r="AL385">
            <v>1</v>
          </cell>
          <cell r="AN385">
            <v>2244</v>
          </cell>
          <cell r="AO385">
            <v>1</v>
          </cell>
          <cell r="AQ385">
            <v>0</v>
          </cell>
          <cell r="AR385">
            <v>13</v>
          </cell>
          <cell r="AS385">
            <v>3</v>
          </cell>
          <cell r="AT385">
            <v>4</v>
          </cell>
          <cell r="AU385">
            <v>1</v>
          </cell>
          <cell r="AV385">
            <v>2</v>
          </cell>
          <cell r="AW385">
            <v>2</v>
          </cell>
          <cell r="AX385">
            <v>1</v>
          </cell>
          <cell r="AY385">
            <v>3</v>
          </cell>
          <cell r="AZ385">
            <v>2</v>
          </cell>
          <cell r="BA385">
            <v>2</v>
          </cell>
          <cell r="BB385">
            <v>1</v>
          </cell>
          <cell r="BC385">
            <v>1</v>
          </cell>
          <cell r="BD385">
            <v>1</v>
          </cell>
          <cell r="BE385">
            <v>2</v>
          </cell>
          <cell r="BF385">
            <v>2</v>
          </cell>
          <cell r="BG385">
            <v>2</v>
          </cell>
          <cell r="BH385">
            <v>0</v>
          </cell>
          <cell r="BI385">
            <v>1</v>
          </cell>
          <cell r="BJ385">
            <v>0</v>
          </cell>
          <cell r="BK385">
            <v>0</v>
          </cell>
          <cell r="BL385">
            <v>0</v>
          </cell>
          <cell r="BM385">
            <v>0</v>
          </cell>
          <cell r="BN385">
            <v>1</v>
          </cell>
          <cell r="BO385">
            <v>0</v>
          </cell>
          <cell r="BP385">
            <v>0</v>
          </cell>
          <cell r="BQ385">
            <v>2</v>
          </cell>
          <cell r="BR385">
            <v>0</v>
          </cell>
          <cell r="BS385">
            <v>0</v>
          </cell>
          <cell r="BT385">
            <v>2</v>
          </cell>
          <cell r="BU385">
            <v>0</v>
          </cell>
        </row>
        <row r="386">
          <cell r="A386">
            <v>36</v>
          </cell>
          <cell r="B386">
            <v>36</v>
          </cell>
          <cell r="D386">
            <v>0</v>
          </cell>
          <cell r="F386">
            <v>0</v>
          </cell>
          <cell r="G386">
            <v>1</v>
          </cell>
          <cell r="I386">
            <v>0</v>
          </cell>
          <cell r="J386">
            <v>1</v>
          </cell>
          <cell r="K386">
            <v>2</v>
          </cell>
          <cell r="L386">
            <v>2</v>
          </cell>
          <cell r="M386">
            <v>2</v>
          </cell>
          <cell r="O386">
            <v>0</v>
          </cell>
          <cell r="P386">
            <v>0</v>
          </cell>
          <cell r="Q386">
            <v>1</v>
          </cell>
          <cell r="R386">
            <v>0</v>
          </cell>
          <cell r="S386">
            <v>0</v>
          </cell>
          <cell r="T386">
            <v>2</v>
          </cell>
          <cell r="V386">
            <v>0</v>
          </cell>
          <cell r="W386">
            <v>61</v>
          </cell>
          <cell r="X386">
            <v>2</v>
          </cell>
          <cell r="Y386">
            <v>3</v>
          </cell>
          <cell r="AA386">
            <v>0</v>
          </cell>
          <cell r="AB386">
            <v>1</v>
          </cell>
          <cell r="AC386">
            <v>0</v>
          </cell>
          <cell r="AD386">
            <v>0</v>
          </cell>
          <cell r="AE386">
            <v>0</v>
          </cell>
          <cell r="AF386">
            <v>0</v>
          </cell>
          <cell r="AG386">
            <v>0</v>
          </cell>
          <cell r="AH386">
            <v>0</v>
          </cell>
          <cell r="AI386">
            <v>3</v>
          </cell>
          <cell r="AK386">
            <v>0</v>
          </cell>
          <cell r="AL386">
            <v>1</v>
          </cell>
          <cell r="AN386">
            <v>7596</v>
          </cell>
          <cell r="AO386">
            <v>1</v>
          </cell>
          <cell r="AQ386">
            <v>0</v>
          </cell>
          <cell r="AR386">
            <v>13</v>
          </cell>
          <cell r="AS386">
            <v>3</v>
          </cell>
          <cell r="AT386">
            <v>2</v>
          </cell>
          <cell r="AU386">
            <v>2</v>
          </cell>
          <cell r="AV386">
            <v>10</v>
          </cell>
          <cell r="AW386">
            <v>10</v>
          </cell>
          <cell r="AX386">
            <v>2</v>
          </cell>
          <cell r="AY386">
            <v>3</v>
          </cell>
          <cell r="AZ386">
            <v>10</v>
          </cell>
          <cell r="BA386">
            <v>10</v>
          </cell>
          <cell r="BB386">
            <v>9</v>
          </cell>
          <cell r="BC386">
            <v>9</v>
          </cell>
          <cell r="BD386">
            <v>9</v>
          </cell>
          <cell r="BE386">
            <v>0</v>
          </cell>
          <cell r="BF386">
            <v>0</v>
          </cell>
          <cell r="BG386">
            <v>0</v>
          </cell>
          <cell r="BH386">
            <v>0</v>
          </cell>
          <cell r="BI386">
            <v>1</v>
          </cell>
          <cell r="BJ386">
            <v>0</v>
          </cell>
          <cell r="BK386">
            <v>0</v>
          </cell>
          <cell r="BL386">
            <v>0</v>
          </cell>
          <cell r="BM386">
            <v>0</v>
          </cell>
          <cell r="BN386">
            <v>1</v>
          </cell>
          <cell r="BO386">
            <v>0</v>
          </cell>
          <cell r="BP386">
            <v>0</v>
          </cell>
          <cell r="BQ386">
            <v>0</v>
          </cell>
          <cell r="BR386">
            <v>0</v>
          </cell>
          <cell r="BS386">
            <v>0</v>
          </cell>
          <cell r="BT386">
            <v>0</v>
          </cell>
          <cell r="BU386">
            <v>10</v>
          </cell>
        </row>
        <row r="387">
          <cell r="A387">
            <v>30</v>
          </cell>
          <cell r="B387">
            <v>30</v>
          </cell>
          <cell r="D387">
            <v>1</v>
          </cell>
          <cell r="F387">
            <v>1</v>
          </cell>
          <cell r="G387">
            <v>0</v>
          </cell>
          <cell r="I387">
            <v>1</v>
          </cell>
          <cell r="J387">
            <v>0</v>
          </cell>
          <cell r="K387">
            <v>4</v>
          </cell>
          <cell r="L387">
            <v>4</v>
          </cell>
          <cell r="M387">
            <v>3</v>
          </cell>
          <cell r="O387">
            <v>0</v>
          </cell>
          <cell r="P387">
            <v>0</v>
          </cell>
          <cell r="Q387">
            <v>0</v>
          </cell>
          <cell r="R387">
            <v>0</v>
          </cell>
          <cell r="S387">
            <v>1</v>
          </cell>
          <cell r="T387">
            <v>3</v>
          </cell>
          <cell r="V387">
            <v>0</v>
          </cell>
          <cell r="W387">
            <v>40</v>
          </cell>
          <cell r="X387">
            <v>3</v>
          </cell>
          <cell r="Y387">
            <v>1</v>
          </cell>
          <cell r="AA387">
            <v>0</v>
          </cell>
          <cell r="AB387">
            <v>0</v>
          </cell>
          <cell r="AC387">
            <v>0</v>
          </cell>
          <cell r="AD387">
            <v>0</v>
          </cell>
          <cell r="AE387">
            <v>0</v>
          </cell>
          <cell r="AF387">
            <v>0</v>
          </cell>
          <cell r="AG387">
            <v>0</v>
          </cell>
          <cell r="AH387">
            <v>1</v>
          </cell>
          <cell r="AI387">
            <v>4</v>
          </cell>
          <cell r="AK387">
            <v>1</v>
          </cell>
          <cell r="AL387">
            <v>0</v>
          </cell>
          <cell r="AN387">
            <v>2285</v>
          </cell>
          <cell r="AO387">
            <v>9</v>
          </cell>
          <cell r="AQ387">
            <v>1</v>
          </cell>
          <cell r="AR387">
            <v>23</v>
          </cell>
          <cell r="AS387">
            <v>4</v>
          </cell>
          <cell r="AT387">
            <v>3</v>
          </cell>
          <cell r="AU387">
            <v>0</v>
          </cell>
          <cell r="AV387">
            <v>3</v>
          </cell>
          <cell r="AW387">
            <v>3</v>
          </cell>
          <cell r="AX387">
            <v>4</v>
          </cell>
          <cell r="AY387">
            <v>3</v>
          </cell>
          <cell r="AZ387">
            <v>1</v>
          </cell>
          <cell r="BA387">
            <v>1</v>
          </cell>
          <cell r="BB387">
            <v>0</v>
          </cell>
          <cell r="BC387">
            <v>0</v>
          </cell>
          <cell r="BD387">
            <v>0</v>
          </cell>
          <cell r="BE387">
            <v>0</v>
          </cell>
          <cell r="BF387">
            <v>0</v>
          </cell>
          <cell r="BG387">
            <v>0</v>
          </cell>
          <cell r="BH387">
            <v>0</v>
          </cell>
          <cell r="BI387">
            <v>0</v>
          </cell>
          <cell r="BJ387">
            <v>1</v>
          </cell>
          <cell r="BK387">
            <v>0</v>
          </cell>
          <cell r="BL387">
            <v>0</v>
          </cell>
          <cell r="BM387">
            <v>1</v>
          </cell>
          <cell r="BN387">
            <v>0</v>
          </cell>
          <cell r="BO387">
            <v>0</v>
          </cell>
          <cell r="BP387">
            <v>0</v>
          </cell>
          <cell r="BQ387">
            <v>0</v>
          </cell>
          <cell r="BR387">
            <v>0</v>
          </cell>
          <cell r="BS387">
            <v>0</v>
          </cell>
          <cell r="BT387">
            <v>3</v>
          </cell>
          <cell r="BU387">
            <v>0</v>
          </cell>
        </row>
        <row r="388">
          <cell r="A388">
            <v>37</v>
          </cell>
          <cell r="B388">
            <v>37</v>
          </cell>
          <cell r="D388">
            <v>0</v>
          </cell>
          <cell r="F388">
            <v>0</v>
          </cell>
          <cell r="G388">
            <v>1</v>
          </cell>
          <cell r="I388">
            <v>1</v>
          </cell>
          <cell r="J388">
            <v>0</v>
          </cell>
          <cell r="K388">
            <v>14</v>
          </cell>
          <cell r="L388">
            <v>14</v>
          </cell>
          <cell r="M388">
            <v>3</v>
          </cell>
          <cell r="O388">
            <v>1</v>
          </cell>
          <cell r="P388">
            <v>0</v>
          </cell>
          <cell r="Q388">
            <v>0</v>
          </cell>
          <cell r="R388">
            <v>0</v>
          </cell>
          <cell r="S388">
            <v>0</v>
          </cell>
          <cell r="T388">
            <v>4</v>
          </cell>
          <cell r="V388">
            <v>1</v>
          </cell>
          <cell r="W388">
            <v>95</v>
          </cell>
          <cell r="X388">
            <v>3</v>
          </cell>
          <cell r="Y388">
            <v>1</v>
          </cell>
          <cell r="AA388">
            <v>0</v>
          </cell>
          <cell r="AB388">
            <v>0</v>
          </cell>
          <cell r="AC388">
            <v>1</v>
          </cell>
          <cell r="AD388">
            <v>0</v>
          </cell>
          <cell r="AE388">
            <v>0</v>
          </cell>
          <cell r="AF388">
            <v>0</v>
          </cell>
          <cell r="AG388">
            <v>0</v>
          </cell>
          <cell r="AH388">
            <v>0</v>
          </cell>
          <cell r="AI388">
            <v>1</v>
          </cell>
          <cell r="AK388">
            <v>0</v>
          </cell>
          <cell r="AL388">
            <v>0</v>
          </cell>
          <cell r="AN388">
            <v>3034</v>
          </cell>
          <cell r="AO388">
            <v>1</v>
          </cell>
          <cell r="AQ388">
            <v>0</v>
          </cell>
          <cell r="AR388">
            <v>12</v>
          </cell>
          <cell r="AS388">
            <v>3</v>
          </cell>
          <cell r="AT388">
            <v>3</v>
          </cell>
          <cell r="AU388">
            <v>1</v>
          </cell>
          <cell r="AV388">
            <v>18</v>
          </cell>
          <cell r="AW388">
            <v>18</v>
          </cell>
          <cell r="AX388">
            <v>2</v>
          </cell>
          <cell r="AY388">
            <v>2</v>
          </cell>
          <cell r="AZ388">
            <v>18</v>
          </cell>
          <cell r="BA388">
            <v>18</v>
          </cell>
          <cell r="BB388">
            <v>7</v>
          </cell>
          <cell r="BC388">
            <v>12</v>
          </cell>
          <cell r="BD388">
            <v>12</v>
          </cell>
          <cell r="BE388">
            <v>17</v>
          </cell>
          <cell r="BF388">
            <v>14</v>
          </cell>
          <cell r="BG388">
            <v>14</v>
          </cell>
          <cell r="BH388">
            <v>1</v>
          </cell>
          <cell r="BI388">
            <v>0</v>
          </cell>
          <cell r="BJ388">
            <v>0</v>
          </cell>
          <cell r="BK388">
            <v>0</v>
          </cell>
          <cell r="BL388">
            <v>1</v>
          </cell>
          <cell r="BM388">
            <v>0</v>
          </cell>
          <cell r="BN388">
            <v>0</v>
          </cell>
          <cell r="BO388">
            <v>0</v>
          </cell>
          <cell r="BP388">
            <v>0</v>
          </cell>
          <cell r="BQ388">
            <v>14</v>
          </cell>
          <cell r="BR388">
            <v>0</v>
          </cell>
          <cell r="BS388">
            <v>0</v>
          </cell>
          <cell r="BT388">
            <v>18</v>
          </cell>
          <cell r="BU388">
            <v>0</v>
          </cell>
        </row>
        <row r="389">
          <cell r="A389">
            <v>40</v>
          </cell>
          <cell r="B389">
            <v>40</v>
          </cell>
          <cell r="D389">
            <v>0</v>
          </cell>
          <cell r="F389">
            <v>0</v>
          </cell>
          <cell r="G389">
            <v>1</v>
          </cell>
          <cell r="I389">
            <v>0</v>
          </cell>
          <cell r="J389">
            <v>1</v>
          </cell>
          <cell r="K389">
            <v>2</v>
          </cell>
          <cell r="L389">
            <v>2</v>
          </cell>
          <cell r="M389">
            <v>2</v>
          </cell>
          <cell r="O389">
            <v>0</v>
          </cell>
          <cell r="P389">
            <v>0</v>
          </cell>
          <cell r="Q389">
            <v>0</v>
          </cell>
          <cell r="R389">
            <v>1</v>
          </cell>
          <cell r="S389">
            <v>0</v>
          </cell>
          <cell r="T389">
            <v>4</v>
          </cell>
          <cell r="V389">
            <v>1</v>
          </cell>
          <cell r="W389">
            <v>46</v>
          </cell>
          <cell r="X389">
            <v>3</v>
          </cell>
          <cell r="Y389">
            <v>2</v>
          </cell>
          <cell r="AA389">
            <v>0</v>
          </cell>
          <cell r="AB389">
            <v>1</v>
          </cell>
          <cell r="AC389">
            <v>0</v>
          </cell>
          <cell r="AD389">
            <v>0</v>
          </cell>
          <cell r="AE389">
            <v>0</v>
          </cell>
          <cell r="AF389">
            <v>0</v>
          </cell>
          <cell r="AG389">
            <v>0</v>
          </cell>
          <cell r="AH389">
            <v>0</v>
          </cell>
          <cell r="AI389">
            <v>2</v>
          </cell>
          <cell r="AK389">
            <v>0</v>
          </cell>
          <cell r="AL389">
            <v>0</v>
          </cell>
          <cell r="AN389">
            <v>5715</v>
          </cell>
          <cell r="AO389">
            <v>7</v>
          </cell>
          <cell r="AQ389">
            <v>0</v>
          </cell>
          <cell r="AR389">
            <v>12</v>
          </cell>
          <cell r="AS389">
            <v>3</v>
          </cell>
          <cell r="AT389">
            <v>3</v>
          </cell>
          <cell r="AU389">
            <v>2</v>
          </cell>
          <cell r="AV389">
            <v>8</v>
          </cell>
          <cell r="AW389">
            <v>8</v>
          </cell>
          <cell r="AX389">
            <v>5</v>
          </cell>
          <cell r="AY389">
            <v>3</v>
          </cell>
          <cell r="AZ389">
            <v>5</v>
          </cell>
          <cell r="BA389">
            <v>5</v>
          </cell>
          <cell r="BB389">
            <v>4</v>
          </cell>
          <cell r="BC389">
            <v>1</v>
          </cell>
          <cell r="BD389">
            <v>1</v>
          </cell>
          <cell r="BE389">
            <v>3</v>
          </cell>
          <cell r="BF389">
            <v>3</v>
          </cell>
          <cell r="BG389">
            <v>6</v>
          </cell>
          <cell r="BH389">
            <v>1</v>
          </cell>
          <cell r="BI389">
            <v>0</v>
          </cell>
          <cell r="BJ389">
            <v>0</v>
          </cell>
          <cell r="BK389">
            <v>0</v>
          </cell>
          <cell r="BL389">
            <v>1</v>
          </cell>
          <cell r="BM389">
            <v>0</v>
          </cell>
          <cell r="BN389">
            <v>0</v>
          </cell>
          <cell r="BO389">
            <v>0</v>
          </cell>
          <cell r="BP389">
            <v>0</v>
          </cell>
          <cell r="BQ389">
            <v>0</v>
          </cell>
          <cell r="BR389">
            <v>3</v>
          </cell>
          <cell r="BS389">
            <v>0</v>
          </cell>
          <cell r="BT389">
            <v>0</v>
          </cell>
          <cell r="BU389">
            <v>8</v>
          </cell>
        </row>
        <row r="390">
          <cell r="A390">
            <v>42</v>
          </cell>
          <cell r="B390">
            <v>42</v>
          </cell>
          <cell r="D390">
            <v>0</v>
          </cell>
          <cell r="F390">
            <v>0</v>
          </cell>
          <cell r="G390">
            <v>1</v>
          </cell>
          <cell r="I390">
            <v>1</v>
          </cell>
          <cell r="J390">
            <v>0</v>
          </cell>
          <cell r="K390">
            <v>1</v>
          </cell>
          <cell r="L390">
            <v>1</v>
          </cell>
          <cell r="M390">
            <v>4</v>
          </cell>
          <cell r="O390">
            <v>1</v>
          </cell>
          <cell r="P390">
            <v>0</v>
          </cell>
          <cell r="Q390">
            <v>0</v>
          </cell>
          <cell r="R390">
            <v>0</v>
          </cell>
          <cell r="S390">
            <v>0</v>
          </cell>
          <cell r="T390">
            <v>2</v>
          </cell>
          <cell r="V390">
            <v>1</v>
          </cell>
          <cell r="W390">
            <v>95</v>
          </cell>
          <cell r="X390">
            <v>3</v>
          </cell>
          <cell r="Y390">
            <v>1</v>
          </cell>
          <cell r="AA390">
            <v>0</v>
          </cell>
          <cell r="AB390">
            <v>0</v>
          </cell>
          <cell r="AC390">
            <v>1</v>
          </cell>
          <cell r="AD390">
            <v>0</v>
          </cell>
          <cell r="AE390">
            <v>0</v>
          </cell>
          <cell r="AF390">
            <v>0</v>
          </cell>
          <cell r="AG390">
            <v>0</v>
          </cell>
          <cell r="AH390">
            <v>0</v>
          </cell>
          <cell r="AI390">
            <v>1</v>
          </cell>
          <cell r="AK390">
            <v>0</v>
          </cell>
          <cell r="AL390">
            <v>0</v>
          </cell>
          <cell r="AN390">
            <v>2576</v>
          </cell>
          <cell r="AO390">
            <v>3</v>
          </cell>
          <cell r="AQ390">
            <v>0</v>
          </cell>
          <cell r="AR390">
            <v>16</v>
          </cell>
          <cell r="AS390">
            <v>3</v>
          </cell>
          <cell r="AT390">
            <v>2</v>
          </cell>
          <cell r="AU390">
            <v>1</v>
          </cell>
          <cell r="AV390">
            <v>8</v>
          </cell>
          <cell r="AW390">
            <v>8</v>
          </cell>
          <cell r="AX390">
            <v>5</v>
          </cell>
          <cell r="AY390">
            <v>3</v>
          </cell>
          <cell r="AZ390">
            <v>5</v>
          </cell>
          <cell r="BA390">
            <v>5</v>
          </cell>
          <cell r="BB390">
            <v>2</v>
          </cell>
          <cell r="BC390">
            <v>1</v>
          </cell>
          <cell r="BD390">
            <v>1</v>
          </cell>
          <cell r="BE390">
            <v>2</v>
          </cell>
          <cell r="BF390">
            <v>2</v>
          </cell>
          <cell r="BG390">
            <v>2</v>
          </cell>
          <cell r="BH390">
            <v>1</v>
          </cell>
          <cell r="BI390">
            <v>0</v>
          </cell>
          <cell r="BJ390">
            <v>0</v>
          </cell>
          <cell r="BK390">
            <v>0</v>
          </cell>
          <cell r="BL390">
            <v>1</v>
          </cell>
          <cell r="BM390">
            <v>0</v>
          </cell>
          <cell r="BN390">
            <v>0</v>
          </cell>
          <cell r="BO390">
            <v>0</v>
          </cell>
          <cell r="BP390">
            <v>0</v>
          </cell>
          <cell r="BQ390">
            <v>2</v>
          </cell>
          <cell r="BR390">
            <v>0</v>
          </cell>
          <cell r="BS390">
            <v>0</v>
          </cell>
          <cell r="BT390">
            <v>8</v>
          </cell>
          <cell r="BU390">
            <v>0</v>
          </cell>
        </row>
        <row r="391">
          <cell r="A391">
            <v>37</v>
          </cell>
          <cell r="B391">
            <v>37</v>
          </cell>
          <cell r="D391">
            <v>0</v>
          </cell>
          <cell r="F391">
            <v>0</v>
          </cell>
          <cell r="G391">
            <v>1</v>
          </cell>
          <cell r="I391">
            <v>1</v>
          </cell>
          <cell r="J391">
            <v>0</v>
          </cell>
          <cell r="K391">
            <v>10</v>
          </cell>
          <cell r="L391">
            <v>10</v>
          </cell>
          <cell r="M391">
            <v>4</v>
          </cell>
          <cell r="O391">
            <v>1</v>
          </cell>
          <cell r="P391">
            <v>0</v>
          </cell>
          <cell r="Q391">
            <v>0</v>
          </cell>
          <cell r="R391">
            <v>0</v>
          </cell>
          <cell r="S391">
            <v>0</v>
          </cell>
          <cell r="T391">
            <v>3</v>
          </cell>
          <cell r="V391">
            <v>0</v>
          </cell>
          <cell r="W391">
            <v>49</v>
          </cell>
          <cell r="X391">
            <v>3</v>
          </cell>
          <cell r="Y391">
            <v>2</v>
          </cell>
          <cell r="AA391">
            <v>0</v>
          </cell>
          <cell r="AB391">
            <v>0</v>
          </cell>
          <cell r="AC391">
            <v>0</v>
          </cell>
          <cell r="AD391">
            <v>0</v>
          </cell>
          <cell r="AE391">
            <v>1</v>
          </cell>
          <cell r="AF391">
            <v>1</v>
          </cell>
          <cell r="AG391">
            <v>0</v>
          </cell>
          <cell r="AH391">
            <v>0</v>
          </cell>
          <cell r="AI391">
            <v>2</v>
          </cell>
          <cell r="AK391">
            <v>1</v>
          </cell>
          <cell r="AL391">
            <v>0</v>
          </cell>
          <cell r="AN391">
            <v>4197</v>
          </cell>
          <cell r="AO391">
            <v>2</v>
          </cell>
          <cell r="AQ391">
            <v>1</v>
          </cell>
          <cell r="AR391">
            <v>12</v>
          </cell>
          <cell r="AS391">
            <v>3</v>
          </cell>
          <cell r="AT391">
            <v>4</v>
          </cell>
          <cell r="AU391">
            <v>0</v>
          </cell>
          <cell r="AV391">
            <v>18</v>
          </cell>
          <cell r="AW391">
            <v>18</v>
          </cell>
          <cell r="AX391">
            <v>2</v>
          </cell>
          <cell r="AY391">
            <v>2</v>
          </cell>
          <cell r="AZ391">
            <v>1</v>
          </cell>
          <cell r="BA391">
            <v>1</v>
          </cell>
          <cell r="BB391">
            <v>0</v>
          </cell>
          <cell r="BC391">
            <v>0</v>
          </cell>
          <cell r="BD391">
            <v>0</v>
          </cell>
          <cell r="BE391">
            <v>1</v>
          </cell>
          <cell r="BF391">
            <v>1</v>
          </cell>
          <cell r="BG391">
            <v>2</v>
          </cell>
          <cell r="BH391">
            <v>1</v>
          </cell>
          <cell r="BI391">
            <v>0</v>
          </cell>
          <cell r="BJ391">
            <v>0</v>
          </cell>
          <cell r="BK391">
            <v>0</v>
          </cell>
          <cell r="BL391">
            <v>0</v>
          </cell>
          <cell r="BM391">
            <v>1</v>
          </cell>
          <cell r="BN391">
            <v>0</v>
          </cell>
          <cell r="BO391">
            <v>0</v>
          </cell>
          <cell r="BP391">
            <v>0</v>
          </cell>
          <cell r="BQ391">
            <v>1</v>
          </cell>
          <cell r="BR391">
            <v>0</v>
          </cell>
          <cell r="BS391">
            <v>0</v>
          </cell>
          <cell r="BT391">
            <v>18</v>
          </cell>
          <cell r="BU391">
            <v>0</v>
          </cell>
        </row>
        <row r="392">
          <cell r="A392">
            <v>43</v>
          </cell>
          <cell r="B392">
            <v>43</v>
          </cell>
          <cell r="D392">
            <v>0</v>
          </cell>
          <cell r="F392">
            <v>0</v>
          </cell>
          <cell r="G392">
            <v>1</v>
          </cell>
          <cell r="I392">
            <v>1</v>
          </cell>
          <cell r="J392">
            <v>0</v>
          </cell>
          <cell r="K392">
            <v>12</v>
          </cell>
          <cell r="L392">
            <v>12</v>
          </cell>
          <cell r="M392">
            <v>3</v>
          </cell>
          <cell r="O392">
            <v>1</v>
          </cell>
          <cell r="P392">
            <v>0</v>
          </cell>
          <cell r="Q392">
            <v>0</v>
          </cell>
          <cell r="R392">
            <v>0</v>
          </cell>
          <cell r="S392">
            <v>0</v>
          </cell>
          <cell r="T392">
            <v>1</v>
          </cell>
          <cell r="V392">
            <v>0</v>
          </cell>
          <cell r="W392">
            <v>59</v>
          </cell>
          <cell r="X392">
            <v>2</v>
          </cell>
          <cell r="Y392">
            <v>4</v>
          </cell>
          <cell r="AA392">
            <v>0</v>
          </cell>
          <cell r="AB392">
            <v>0</v>
          </cell>
          <cell r="AC392">
            <v>0</v>
          </cell>
          <cell r="AD392">
            <v>0</v>
          </cell>
          <cell r="AE392">
            <v>0</v>
          </cell>
          <cell r="AF392">
            <v>0</v>
          </cell>
          <cell r="AG392">
            <v>0</v>
          </cell>
          <cell r="AH392">
            <v>0</v>
          </cell>
          <cell r="AI392">
            <v>2</v>
          </cell>
          <cell r="AK392">
            <v>0</v>
          </cell>
          <cell r="AL392">
            <v>0</v>
          </cell>
          <cell r="AN392">
            <v>14336</v>
          </cell>
          <cell r="AO392">
            <v>1</v>
          </cell>
          <cell r="AQ392">
            <v>0</v>
          </cell>
          <cell r="AR392">
            <v>11</v>
          </cell>
          <cell r="AS392">
            <v>3</v>
          </cell>
          <cell r="AT392">
            <v>3</v>
          </cell>
          <cell r="AU392">
            <v>1</v>
          </cell>
          <cell r="AV392">
            <v>25</v>
          </cell>
          <cell r="AW392">
            <v>25</v>
          </cell>
          <cell r="AX392">
            <v>3</v>
          </cell>
          <cell r="AY392">
            <v>3</v>
          </cell>
          <cell r="AZ392">
            <v>25</v>
          </cell>
          <cell r="BA392">
            <v>25</v>
          </cell>
          <cell r="BB392">
            <v>10</v>
          </cell>
          <cell r="BC392">
            <v>3</v>
          </cell>
          <cell r="BD392">
            <v>3</v>
          </cell>
          <cell r="BE392">
            <v>9</v>
          </cell>
          <cell r="BF392">
            <v>9</v>
          </cell>
          <cell r="BG392">
            <v>36</v>
          </cell>
          <cell r="BH392">
            <v>1</v>
          </cell>
          <cell r="BI392">
            <v>0</v>
          </cell>
          <cell r="BJ392">
            <v>0</v>
          </cell>
          <cell r="BK392">
            <v>0</v>
          </cell>
          <cell r="BL392">
            <v>1</v>
          </cell>
          <cell r="BM392">
            <v>0</v>
          </cell>
          <cell r="BN392">
            <v>0</v>
          </cell>
          <cell r="BO392">
            <v>0</v>
          </cell>
          <cell r="BP392">
            <v>0</v>
          </cell>
          <cell r="BQ392">
            <v>9</v>
          </cell>
          <cell r="BR392">
            <v>0</v>
          </cell>
          <cell r="BS392">
            <v>0</v>
          </cell>
          <cell r="BT392">
            <v>25</v>
          </cell>
          <cell r="BU392">
            <v>0</v>
          </cell>
        </row>
        <row r="393">
          <cell r="A393">
            <v>40</v>
          </cell>
          <cell r="B393">
            <v>40</v>
          </cell>
          <cell r="D393">
            <v>0</v>
          </cell>
          <cell r="F393">
            <v>0</v>
          </cell>
          <cell r="G393">
            <v>1</v>
          </cell>
          <cell r="I393">
            <v>1</v>
          </cell>
          <cell r="J393">
            <v>0</v>
          </cell>
          <cell r="K393">
            <v>2</v>
          </cell>
          <cell r="L393">
            <v>2</v>
          </cell>
          <cell r="M393">
            <v>3</v>
          </cell>
          <cell r="O393">
            <v>0</v>
          </cell>
          <cell r="P393">
            <v>0</v>
          </cell>
          <cell r="Q393">
            <v>1</v>
          </cell>
          <cell r="R393">
            <v>0</v>
          </cell>
          <cell r="S393">
            <v>0</v>
          </cell>
          <cell r="T393">
            <v>2</v>
          </cell>
          <cell r="V393">
            <v>1</v>
          </cell>
          <cell r="W393">
            <v>78</v>
          </cell>
          <cell r="X393">
            <v>2</v>
          </cell>
          <cell r="Y393">
            <v>2</v>
          </cell>
          <cell r="AA393">
            <v>0</v>
          </cell>
          <cell r="AB393">
            <v>0</v>
          </cell>
          <cell r="AC393">
            <v>1</v>
          </cell>
          <cell r="AD393">
            <v>0</v>
          </cell>
          <cell r="AE393">
            <v>0</v>
          </cell>
          <cell r="AF393">
            <v>0</v>
          </cell>
          <cell r="AG393">
            <v>0</v>
          </cell>
          <cell r="AH393">
            <v>0</v>
          </cell>
          <cell r="AI393">
            <v>3</v>
          </cell>
          <cell r="AK393">
            <v>0</v>
          </cell>
          <cell r="AL393">
            <v>1</v>
          </cell>
          <cell r="AN393">
            <v>3448</v>
          </cell>
          <cell r="AO393">
            <v>6</v>
          </cell>
          <cell r="AQ393">
            <v>0</v>
          </cell>
          <cell r="AR393">
            <v>22</v>
          </cell>
          <cell r="AS393">
            <v>4</v>
          </cell>
          <cell r="AT393">
            <v>2</v>
          </cell>
          <cell r="AU393">
            <v>1</v>
          </cell>
          <cell r="AV393">
            <v>20</v>
          </cell>
          <cell r="AW393">
            <v>20</v>
          </cell>
          <cell r="AX393">
            <v>3</v>
          </cell>
          <cell r="AY393">
            <v>3</v>
          </cell>
          <cell r="AZ393">
            <v>1</v>
          </cell>
          <cell r="BA393">
            <v>1</v>
          </cell>
          <cell r="BB393">
            <v>0</v>
          </cell>
          <cell r="BC393">
            <v>0</v>
          </cell>
          <cell r="BD393">
            <v>0</v>
          </cell>
          <cell r="BE393">
            <v>0</v>
          </cell>
          <cell r="BF393">
            <v>0</v>
          </cell>
          <cell r="BG393">
            <v>0</v>
          </cell>
          <cell r="BH393">
            <v>0</v>
          </cell>
          <cell r="BI393">
            <v>1</v>
          </cell>
          <cell r="BJ393">
            <v>0</v>
          </cell>
          <cell r="BK393">
            <v>0</v>
          </cell>
          <cell r="BL393">
            <v>0</v>
          </cell>
          <cell r="BM393">
            <v>0</v>
          </cell>
          <cell r="BN393">
            <v>1</v>
          </cell>
          <cell r="BO393">
            <v>0</v>
          </cell>
          <cell r="BP393">
            <v>0</v>
          </cell>
          <cell r="BQ393">
            <v>0</v>
          </cell>
          <cell r="BR393">
            <v>0</v>
          </cell>
          <cell r="BS393">
            <v>0</v>
          </cell>
          <cell r="BT393">
            <v>20</v>
          </cell>
          <cell r="BU393">
            <v>0</v>
          </cell>
        </row>
        <row r="394">
          <cell r="A394">
            <v>54</v>
          </cell>
          <cell r="B394">
            <v>54</v>
          </cell>
          <cell r="D394">
            <v>0</v>
          </cell>
          <cell r="F394">
            <v>0</v>
          </cell>
          <cell r="G394">
            <v>1</v>
          </cell>
          <cell r="I394">
            <v>1</v>
          </cell>
          <cell r="J394">
            <v>0</v>
          </cell>
          <cell r="K394">
            <v>5</v>
          </cell>
          <cell r="L394">
            <v>5</v>
          </cell>
          <cell r="M394">
            <v>2</v>
          </cell>
          <cell r="O394">
            <v>0</v>
          </cell>
          <cell r="P394">
            <v>0</v>
          </cell>
          <cell r="Q394">
            <v>1</v>
          </cell>
          <cell r="R394">
            <v>0</v>
          </cell>
          <cell r="S394">
            <v>0</v>
          </cell>
          <cell r="T394">
            <v>1</v>
          </cell>
          <cell r="V394">
            <v>0</v>
          </cell>
          <cell r="W394">
            <v>86</v>
          </cell>
          <cell r="X394">
            <v>3</v>
          </cell>
          <cell r="Y394">
            <v>5</v>
          </cell>
          <cell r="AA394">
            <v>0</v>
          </cell>
          <cell r="AB394">
            <v>0</v>
          </cell>
          <cell r="AC394">
            <v>0</v>
          </cell>
          <cell r="AD394">
            <v>0</v>
          </cell>
          <cell r="AE394">
            <v>0</v>
          </cell>
          <cell r="AF394">
            <v>0</v>
          </cell>
          <cell r="AG394">
            <v>0</v>
          </cell>
          <cell r="AH394">
            <v>0</v>
          </cell>
          <cell r="AI394">
            <v>1</v>
          </cell>
          <cell r="AK394">
            <v>0</v>
          </cell>
          <cell r="AL394">
            <v>1</v>
          </cell>
          <cell r="AN394">
            <v>19406</v>
          </cell>
          <cell r="AO394">
            <v>4</v>
          </cell>
          <cell r="AQ394">
            <v>0</v>
          </cell>
          <cell r="AR394">
            <v>11</v>
          </cell>
          <cell r="AS394">
            <v>3</v>
          </cell>
          <cell r="AT394">
            <v>3</v>
          </cell>
          <cell r="AU394">
            <v>1</v>
          </cell>
          <cell r="AV394">
            <v>24</v>
          </cell>
          <cell r="AW394">
            <v>24</v>
          </cell>
          <cell r="AX394">
            <v>4</v>
          </cell>
          <cell r="AY394">
            <v>2</v>
          </cell>
          <cell r="AZ394">
            <v>4</v>
          </cell>
          <cell r="BA394">
            <v>4</v>
          </cell>
          <cell r="BB394">
            <v>2</v>
          </cell>
          <cell r="BC394">
            <v>1</v>
          </cell>
          <cell r="BD394">
            <v>1</v>
          </cell>
          <cell r="BE394">
            <v>2</v>
          </cell>
          <cell r="BF394">
            <v>2</v>
          </cell>
          <cell r="BG394">
            <v>10</v>
          </cell>
          <cell r="BH394">
            <v>0</v>
          </cell>
          <cell r="BI394">
            <v>1</v>
          </cell>
          <cell r="BJ394">
            <v>0</v>
          </cell>
          <cell r="BK394">
            <v>0</v>
          </cell>
          <cell r="BL394">
            <v>0</v>
          </cell>
          <cell r="BM394">
            <v>0</v>
          </cell>
          <cell r="BN394">
            <v>1</v>
          </cell>
          <cell r="BO394">
            <v>0</v>
          </cell>
          <cell r="BP394">
            <v>0</v>
          </cell>
          <cell r="BQ394">
            <v>2</v>
          </cell>
          <cell r="BR394">
            <v>0</v>
          </cell>
          <cell r="BS394">
            <v>0</v>
          </cell>
          <cell r="BT394">
            <v>24</v>
          </cell>
          <cell r="BU394">
            <v>0</v>
          </cell>
        </row>
        <row r="395">
          <cell r="A395">
            <v>34</v>
          </cell>
          <cell r="B395">
            <v>34</v>
          </cell>
          <cell r="D395">
            <v>0</v>
          </cell>
          <cell r="F395">
            <v>0</v>
          </cell>
          <cell r="G395">
            <v>0</v>
          </cell>
          <cell r="I395">
            <v>0</v>
          </cell>
          <cell r="J395">
            <v>1</v>
          </cell>
          <cell r="K395">
            <v>4</v>
          </cell>
          <cell r="L395">
            <v>4</v>
          </cell>
          <cell r="M395">
            <v>4</v>
          </cell>
          <cell r="O395">
            <v>0</v>
          </cell>
          <cell r="P395">
            <v>0</v>
          </cell>
          <cell r="Q395">
            <v>0</v>
          </cell>
          <cell r="R395">
            <v>1</v>
          </cell>
          <cell r="S395">
            <v>0</v>
          </cell>
          <cell r="T395">
            <v>3</v>
          </cell>
          <cell r="V395">
            <v>1</v>
          </cell>
          <cell r="W395">
            <v>72</v>
          </cell>
          <cell r="X395">
            <v>3</v>
          </cell>
          <cell r="Y395">
            <v>2</v>
          </cell>
          <cell r="AA395">
            <v>0</v>
          </cell>
          <cell r="AB395">
            <v>1</v>
          </cell>
          <cell r="AC395">
            <v>0</v>
          </cell>
          <cell r="AD395">
            <v>0</v>
          </cell>
          <cell r="AE395">
            <v>0</v>
          </cell>
          <cell r="AF395">
            <v>0</v>
          </cell>
          <cell r="AG395">
            <v>0</v>
          </cell>
          <cell r="AH395">
            <v>0</v>
          </cell>
          <cell r="AI395">
            <v>3</v>
          </cell>
          <cell r="AK395">
            <v>0</v>
          </cell>
          <cell r="AL395">
            <v>1</v>
          </cell>
          <cell r="AN395">
            <v>6538</v>
          </cell>
          <cell r="AO395">
            <v>9</v>
          </cell>
          <cell r="AQ395">
            <v>0</v>
          </cell>
          <cell r="AR395">
            <v>15</v>
          </cell>
          <cell r="AS395">
            <v>3</v>
          </cell>
          <cell r="AT395">
            <v>1</v>
          </cell>
          <cell r="AU395">
            <v>1</v>
          </cell>
          <cell r="AV395">
            <v>6</v>
          </cell>
          <cell r="AW395">
            <v>6</v>
          </cell>
          <cell r="AX395">
            <v>3</v>
          </cell>
          <cell r="AY395">
            <v>3</v>
          </cell>
          <cell r="AZ395">
            <v>3</v>
          </cell>
          <cell r="BA395">
            <v>3</v>
          </cell>
          <cell r="BB395">
            <v>2</v>
          </cell>
          <cell r="BC395">
            <v>1</v>
          </cell>
          <cell r="BD395">
            <v>1</v>
          </cell>
          <cell r="BE395">
            <v>2</v>
          </cell>
          <cell r="BF395">
            <v>2</v>
          </cell>
          <cell r="BG395">
            <v>4</v>
          </cell>
          <cell r="BH395">
            <v>0</v>
          </cell>
          <cell r="BI395">
            <v>1</v>
          </cell>
          <cell r="BJ395">
            <v>0</v>
          </cell>
          <cell r="BK395">
            <v>0</v>
          </cell>
          <cell r="BL395">
            <v>0</v>
          </cell>
          <cell r="BM395">
            <v>0</v>
          </cell>
          <cell r="BN395">
            <v>1</v>
          </cell>
          <cell r="BO395">
            <v>0</v>
          </cell>
          <cell r="BP395">
            <v>0</v>
          </cell>
          <cell r="BQ395">
            <v>0</v>
          </cell>
          <cell r="BR395">
            <v>2</v>
          </cell>
          <cell r="BS395">
            <v>0</v>
          </cell>
          <cell r="BT395">
            <v>0</v>
          </cell>
          <cell r="BU395">
            <v>6</v>
          </cell>
        </row>
        <row r="396">
          <cell r="A396">
            <v>31</v>
          </cell>
          <cell r="B396">
            <v>31</v>
          </cell>
          <cell r="D396">
            <v>0</v>
          </cell>
          <cell r="F396">
            <v>0</v>
          </cell>
          <cell r="G396">
            <v>1</v>
          </cell>
          <cell r="I396">
            <v>1</v>
          </cell>
          <cell r="J396">
            <v>0</v>
          </cell>
          <cell r="K396">
            <v>7</v>
          </cell>
          <cell r="L396">
            <v>7</v>
          </cell>
          <cell r="M396">
            <v>2</v>
          </cell>
          <cell r="O396">
            <v>0</v>
          </cell>
          <cell r="P396">
            <v>0</v>
          </cell>
          <cell r="Q396">
            <v>1</v>
          </cell>
          <cell r="R396">
            <v>0</v>
          </cell>
          <cell r="S396">
            <v>0</v>
          </cell>
          <cell r="T396">
            <v>2</v>
          </cell>
          <cell r="V396">
            <v>1</v>
          </cell>
          <cell r="W396">
            <v>31</v>
          </cell>
          <cell r="X396">
            <v>3</v>
          </cell>
          <cell r="Y396">
            <v>2</v>
          </cell>
          <cell r="AA396">
            <v>0</v>
          </cell>
          <cell r="AB396">
            <v>0</v>
          </cell>
          <cell r="AC396">
            <v>0</v>
          </cell>
          <cell r="AD396">
            <v>0</v>
          </cell>
          <cell r="AE396">
            <v>1</v>
          </cell>
          <cell r="AF396">
            <v>1</v>
          </cell>
          <cell r="AG396">
            <v>0</v>
          </cell>
          <cell r="AH396">
            <v>0</v>
          </cell>
          <cell r="AI396">
            <v>1</v>
          </cell>
          <cell r="AK396">
            <v>0</v>
          </cell>
          <cell r="AL396">
            <v>1</v>
          </cell>
          <cell r="AN396">
            <v>4306</v>
          </cell>
          <cell r="AO396">
            <v>1</v>
          </cell>
          <cell r="AQ396">
            <v>0</v>
          </cell>
          <cell r="AR396">
            <v>12</v>
          </cell>
          <cell r="AS396">
            <v>3</v>
          </cell>
          <cell r="AT396">
            <v>2</v>
          </cell>
          <cell r="AU396">
            <v>1</v>
          </cell>
          <cell r="AV396">
            <v>13</v>
          </cell>
          <cell r="AW396">
            <v>13</v>
          </cell>
          <cell r="AX396">
            <v>5</v>
          </cell>
          <cell r="AY396">
            <v>1</v>
          </cell>
          <cell r="AZ396">
            <v>13</v>
          </cell>
          <cell r="BA396">
            <v>13</v>
          </cell>
          <cell r="BB396">
            <v>10</v>
          </cell>
          <cell r="BC396">
            <v>3</v>
          </cell>
          <cell r="BD396">
            <v>3</v>
          </cell>
          <cell r="BE396">
            <v>12</v>
          </cell>
          <cell r="BF396">
            <v>12</v>
          </cell>
          <cell r="BG396">
            <v>24</v>
          </cell>
          <cell r="BH396">
            <v>0</v>
          </cell>
          <cell r="BI396">
            <v>1</v>
          </cell>
          <cell r="BJ396">
            <v>0</v>
          </cell>
          <cell r="BK396">
            <v>0</v>
          </cell>
          <cell r="BL396">
            <v>0</v>
          </cell>
          <cell r="BM396">
            <v>0</v>
          </cell>
          <cell r="BN396">
            <v>1</v>
          </cell>
          <cell r="BO396">
            <v>0</v>
          </cell>
          <cell r="BP396">
            <v>0</v>
          </cell>
          <cell r="BQ396">
            <v>12</v>
          </cell>
          <cell r="BR396">
            <v>0</v>
          </cell>
          <cell r="BS396">
            <v>0</v>
          </cell>
          <cell r="BT396">
            <v>13</v>
          </cell>
          <cell r="BU396">
            <v>0</v>
          </cell>
        </row>
        <row r="397">
          <cell r="A397">
            <v>43</v>
          </cell>
          <cell r="B397">
            <v>43</v>
          </cell>
          <cell r="D397">
            <v>0</v>
          </cell>
          <cell r="F397">
            <v>1</v>
          </cell>
          <cell r="G397">
            <v>0</v>
          </cell>
          <cell r="I397">
            <v>1</v>
          </cell>
          <cell r="J397">
            <v>0</v>
          </cell>
          <cell r="K397">
            <v>21</v>
          </cell>
          <cell r="L397">
            <v>21</v>
          </cell>
          <cell r="M397">
            <v>3</v>
          </cell>
          <cell r="O397">
            <v>0</v>
          </cell>
          <cell r="P397">
            <v>0</v>
          </cell>
          <cell r="Q397">
            <v>1</v>
          </cell>
          <cell r="R397">
            <v>0</v>
          </cell>
          <cell r="S397">
            <v>0</v>
          </cell>
          <cell r="T397">
            <v>4</v>
          </cell>
          <cell r="V397">
            <v>0</v>
          </cell>
          <cell r="W397">
            <v>61</v>
          </cell>
          <cell r="X397">
            <v>3</v>
          </cell>
          <cell r="Y397">
            <v>1</v>
          </cell>
          <cell r="AA397">
            <v>0</v>
          </cell>
          <cell r="AB397">
            <v>0</v>
          </cell>
          <cell r="AC397">
            <v>1</v>
          </cell>
          <cell r="AD397">
            <v>0</v>
          </cell>
          <cell r="AE397">
            <v>0</v>
          </cell>
          <cell r="AF397">
            <v>0</v>
          </cell>
          <cell r="AG397">
            <v>0</v>
          </cell>
          <cell r="AH397">
            <v>0</v>
          </cell>
          <cell r="AI397">
            <v>4</v>
          </cell>
          <cell r="AK397">
            <v>0</v>
          </cell>
          <cell r="AL397">
            <v>1</v>
          </cell>
          <cell r="AN397">
            <v>2258</v>
          </cell>
          <cell r="AO397">
            <v>7</v>
          </cell>
          <cell r="AQ397">
            <v>0</v>
          </cell>
          <cell r="AR397">
            <v>20</v>
          </cell>
          <cell r="AS397">
            <v>4</v>
          </cell>
          <cell r="AT397">
            <v>1</v>
          </cell>
          <cell r="AU397">
            <v>1</v>
          </cell>
          <cell r="AV397">
            <v>8</v>
          </cell>
          <cell r="AW397">
            <v>8</v>
          </cell>
          <cell r="AX397">
            <v>1</v>
          </cell>
          <cell r="AY397">
            <v>3</v>
          </cell>
          <cell r="AZ397">
            <v>3</v>
          </cell>
          <cell r="BA397">
            <v>3</v>
          </cell>
          <cell r="BB397">
            <v>2</v>
          </cell>
          <cell r="BC397">
            <v>1</v>
          </cell>
          <cell r="BD397">
            <v>1</v>
          </cell>
          <cell r="BE397">
            <v>2</v>
          </cell>
          <cell r="BF397">
            <v>2</v>
          </cell>
          <cell r="BG397">
            <v>2</v>
          </cell>
          <cell r="BH397">
            <v>0</v>
          </cell>
          <cell r="BI397">
            <v>0</v>
          </cell>
          <cell r="BJ397">
            <v>0</v>
          </cell>
          <cell r="BK397">
            <v>1</v>
          </cell>
          <cell r="BL397">
            <v>0</v>
          </cell>
          <cell r="BM397">
            <v>0</v>
          </cell>
          <cell r="BN397">
            <v>1</v>
          </cell>
          <cell r="BO397">
            <v>0</v>
          </cell>
          <cell r="BP397">
            <v>0</v>
          </cell>
          <cell r="BQ397">
            <v>2</v>
          </cell>
          <cell r="BR397">
            <v>0</v>
          </cell>
          <cell r="BS397">
            <v>0</v>
          </cell>
          <cell r="BT397">
            <v>8</v>
          </cell>
          <cell r="BU397">
            <v>0</v>
          </cell>
        </row>
        <row r="398">
          <cell r="A398">
            <v>43</v>
          </cell>
          <cell r="B398">
            <v>43</v>
          </cell>
          <cell r="D398">
            <v>0</v>
          </cell>
          <cell r="F398">
            <v>0</v>
          </cell>
          <cell r="G398">
            <v>1</v>
          </cell>
          <cell r="I398">
            <v>1</v>
          </cell>
          <cell r="J398">
            <v>0</v>
          </cell>
          <cell r="K398">
            <v>8</v>
          </cell>
          <cell r="L398">
            <v>8</v>
          </cell>
          <cell r="M398">
            <v>4</v>
          </cell>
          <cell r="O398">
            <v>0</v>
          </cell>
          <cell r="P398">
            <v>1</v>
          </cell>
          <cell r="Q398">
            <v>0</v>
          </cell>
          <cell r="R398">
            <v>0</v>
          </cell>
          <cell r="S398">
            <v>0</v>
          </cell>
          <cell r="T398">
            <v>3</v>
          </cell>
          <cell r="V398">
            <v>1</v>
          </cell>
          <cell r="W398">
            <v>74</v>
          </cell>
          <cell r="X398">
            <v>3</v>
          </cell>
          <cell r="Y398">
            <v>2</v>
          </cell>
          <cell r="AA398">
            <v>1</v>
          </cell>
          <cell r="AB398">
            <v>0</v>
          </cell>
          <cell r="AC398">
            <v>0</v>
          </cell>
          <cell r="AD398">
            <v>0</v>
          </cell>
          <cell r="AE398">
            <v>0</v>
          </cell>
          <cell r="AF398">
            <v>0</v>
          </cell>
          <cell r="AG398">
            <v>0</v>
          </cell>
          <cell r="AH398">
            <v>0</v>
          </cell>
          <cell r="AI398">
            <v>3</v>
          </cell>
          <cell r="AK398">
            <v>0</v>
          </cell>
          <cell r="AL398">
            <v>0</v>
          </cell>
          <cell r="AN398">
            <v>4522</v>
          </cell>
          <cell r="AO398">
            <v>4</v>
          </cell>
          <cell r="AQ398">
            <v>1</v>
          </cell>
          <cell r="AR398">
            <v>14</v>
          </cell>
          <cell r="AS398">
            <v>3</v>
          </cell>
          <cell r="AT398">
            <v>4</v>
          </cell>
          <cell r="AU398">
            <v>0</v>
          </cell>
          <cell r="AV398">
            <v>8</v>
          </cell>
          <cell r="AW398">
            <v>8</v>
          </cell>
          <cell r="AX398">
            <v>3</v>
          </cell>
          <cell r="AY398">
            <v>3</v>
          </cell>
          <cell r="AZ398">
            <v>5</v>
          </cell>
          <cell r="BA398">
            <v>5</v>
          </cell>
          <cell r="BB398">
            <v>2</v>
          </cell>
          <cell r="BC398">
            <v>0</v>
          </cell>
          <cell r="BD398">
            <v>0</v>
          </cell>
          <cell r="BE398">
            <v>2</v>
          </cell>
          <cell r="BF398">
            <v>2</v>
          </cell>
          <cell r="BG398">
            <v>4</v>
          </cell>
          <cell r="BH398">
            <v>1</v>
          </cell>
          <cell r="BI398">
            <v>0</v>
          </cell>
          <cell r="BJ398">
            <v>0</v>
          </cell>
          <cell r="BK398">
            <v>0</v>
          </cell>
          <cell r="BL398">
            <v>0</v>
          </cell>
          <cell r="BM398">
            <v>1</v>
          </cell>
          <cell r="BN398">
            <v>0</v>
          </cell>
          <cell r="BO398">
            <v>0</v>
          </cell>
          <cell r="BP398">
            <v>0</v>
          </cell>
          <cell r="BQ398">
            <v>2</v>
          </cell>
          <cell r="BR398">
            <v>0</v>
          </cell>
          <cell r="BS398">
            <v>0</v>
          </cell>
          <cell r="BT398">
            <v>8</v>
          </cell>
          <cell r="BU398">
            <v>0</v>
          </cell>
        </row>
        <row r="399">
          <cell r="A399">
            <v>25</v>
          </cell>
          <cell r="B399">
            <v>25</v>
          </cell>
          <cell r="D399">
            <v>0</v>
          </cell>
          <cell r="F399">
            <v>0</v>
          </cell>
          <cell r="G399">
            <v>1</v>
          </cell>
          <cell r="I399">
            <v>0</v>
          </cell>
          <cell r="J399">
            <v>1</v>
          </cell>
          <cell r="K399">
            <v>4</v>
          </cell>
          <cell r="L399">
            <v>4</v>
          </cell>
          <cell r="M399">
            <v>2</v>
          </cell>
          <cell r="O399">
            <v>1</v>
          </cell>
          <cell r="P399">
            <v>0</v>
          </cell>
          <cell r="Q399">
            <v>0</v>
          </cell>
          <cell r="R399">
            <v>0</v>
          </cell>
          <cell r="S399">
            <v>0</v>
          </cell>
          <cell r="T399">
            <v>2</v>
          </cell>
          <cell r="V399">
            <v>1</v>
          </cell>
          <cell r="W399">
            <v>99</v>
          </cell>
          <cell r="X399">
            <v>2</v>
          </cell>
          <cell r="Y399">
            <v>2</v>
          </cell>
          <cell r="AA399">
            <v>0</v>
          </cell>
          <cell r="AB399">
            <v>1</v>
          </cell>
          <cell r="AC399">
            <v>0</v>
          </cell>
          <cell r="AD399">
            <v>0</v>
          </cell>
          <cell r="AE399">
            <v>0</v>
          </cell>
          <cell r="AF399">
            <v>0</v>
          </cell>
          <cell r="AG399">
            <v>0</v>
          </cell>
          <cell r="AH399">
            <v>0</v>
          </cell>
          <cell r="AI399">
            <v>4</v>
          </cell>
          <cell r="AK399">
            <v>1</v>
          </cell>
          <cell r="AL399">
            <v>0</v>
          </cell>
          <cell r="AN399">
            <v>4487</v>
          </cell>
          <cell r="AO399">
            <v>1</v>
          </cell>
          <cell r="AQ399">
            <v>1</v>
          </cell>
          <cell r="AR399">
            <v>11</v>
          </cell>
          <cell r="AS399">
            <v>3</v>
          </cell>
          <cell r="AT399">
            <v>2</v>
          </cell>
          <cell r="AU399">
            <v>0</v>
          </cell>
          <cell r="AV399">
            <v>5</v>
          </cell>
          <cell r="AW399">
            <v>5</v>
          </cell>
          <cell r="AX399">
            <v>3</v>
          </cell>
          <cell r="AY399">
            <v>3</v>
          </cell>
          <cell r="AZ399">
            <v>5</v>
          </cell>
          <cell r="BA399">
            <v>5</v>
          </cell>
          <cell r="BB399">
            <v>4</v>
          </cell>
          <cell r="BC399">
            <v>1</v>
          </cell>
          <cell r="BD399">
            <v>1</v>
          </cell>
          <cell r="BE399">
            <v>3</v>
          </cell>
          <cell r="BF399">
            <v>3</v>
          </cell>
          <cell r="BG399">
            <v>6</v>
          </cell>
          <cell r="BH399">
            <v>1</v>
          </cell>
          <cell r="BI399">
            <v>0</v>
          </cell>
          <cell r="BJ399">
            <v>0</v>
          </cell>
          <cell r="BK399">
            <v>0</v>
          </cell>
          <cell r="BL399">
            <v>0</v>
          </cell>
          <cell r="BM399">
            <v>1</v>
          </cell>
          <cell r="BN399">
            <v>0</v>
          </cell>
          <cell r="BO399">
            <v>0</v>
          </cell>
          <cell r="BP399">
            <v>0</v>
          </cell>
          <cell r="BQ399">
            <v>0</v>
          </cell>
          <cell r="BR399">
            <v>3</v>
          </cell>
          <cell r="BS399">
            <v>0</v>
          </cell>
          <cell r="BT399">
            <v>0</v>
          </cell>
          <cell r="BU399">
            <v>5</v>
          </cell>
        </row>
        <row r="400">
          <cell r="A400">
            <v>37</v>
          </cell>
          <cell r="B400">
            <v>37</v>
          </cell>
          <cell r="D400">
            <v>0</v>
          </cell>
          <cell r="F400">
            <v>0</v>
          </cell>
          <cell r="G400">
            <v>0</v>
          </cell>
          <cell r="I400">
            <v>1</v>
          </cell>
          <cell r="J400">
            <v>0</v>
          </cell>
          <cell r="K400">
            <v>25</v>
          </cell>
          <cell r="L400">
            <v>25</v>
          </cell>
          <cell r="M400">
            <v>5</v>
          </cell>
          <cell r="O400">
            <v>0</v>
          </cell>
          <cell r="P400">
            <v>0</v>
          </cell>
          <cell r="Q400">
            <v>1</v>
          </cell>
          <cell r="R400">
            <v>0</v>
          </cell>
          <cell r="S400">
            <v>0</v>
          </cell>
          <cell r="T400">
            <v>2</v>
          </cell>
          <cell r="V400">
            <v>1</v>
          </cell>
          <cell r="W400">
            <v>72</v>
          </cell>
          <cell r="X400">
            <v>3</v>
          </cell>
          <cell r="Y400">
            <v>2</v>
          </cell>
          <cell r="AA400">
            <v>0</v>
          </cell>
          <cell r="AB400">
            <v>0</v>
          </cell>
          <cell r="AC400">
            <v>0</v>
          </cell>
          <cell r="AD400">
            <v>0</v>
          </cell>
          <cell r="AE400">
            <v>0</v>
          </cell>
          <cell r="AF400">
            <v>0</v>
          </cell>
          <cell r="AG400">
            <v>0</v>
          </cell>
          <cell r="AH400">
            <v>1</v>
          </cell>
          <cell r="AI400">
            <v>3</v>
          </cell>
          <cell r="AK400">
            <v>0</v>
          </cell>
          <cell r="AL400">
            <v>1</v>
          </cell>
          <cell r="AN400">
            <v>4449</v>
          </cell>
          <cell r="AO400">
            <v>3</v>
          </cell>
          <cell r="AQ400">
            <v>1</v>
          </cell>
          <cell r="AR400">
            <v>15</v>
          </cell>
          <cell r="AS400">
            <v>3</v>
          </cell>
          <cell r="AT400">
            <v>1</v>
          </cell>
          <cell r="AU400">
            <v>2</v>
          </cell>
          <cell r="AV400">
            <v>15</v>
          </cell>
          <cell r="AW400">
            <v>15</v>
          </cell>
          <cell r="AX400">
            <v>2</v>
          </cell>
          <cell r="AY400">
            <v>3</v>
          </cell>
          <cell r="AZ400">
            <v>13</v>
          </cell>
          <cell r="BA400">
            <v>13</v>
          </cell>
          <cell r="BB400">
            <v>11</v>
          </cell>
          <cell r="BC400">
            <v>10</v>
          </cell>
          <cell r="BD400">
            <v>10</v>
          </cell>
          <cell r="BE400">
            <v>7</v>
          </cell>
          <cell r="BF400">
            <v>7</v>
          </cell>
          <cell r="BG400">
            <v>14</v>
          </cell>
          <cell r="BH400">
            <v>0</v>
          </cell>
          <cell r="BI400">
            <v>1</v>
          </cell>
          <cell r="BJ400">
            <v>0</v>
          </cell>
          <cell r="BK400">
            <v>0</v>
          </cell>
          <cell r="BL400">
            <v>0</v>
          </cell>
          <cell r="BM400">
            <v>0</v>
          </cell>
          <cell r="BN400">
            <v>0</v>
          </cell>
          <cell r="BO400">
            <v>1</v>
          </cell>
          <cell r="BP400">
            <v>0</v>
          </cell>
          <cell r="BQ400">
            <v>7</v>
          </cell>
          <cell r="BR400">
            <v>0</v>
          </cell>
          <cell r="BS400">
            <v>0</v>
          </cell>
          <cell r="BT400">
            <v>15</v>
          </cell>
          <cell r="BU400">
            <v>0</v>
          </cell>
        </row>
        <row r="401">
          <cell r="A401">
            <v>31</v>
          </cell>
          <cell r="B401">
            <v>31</v>
          </cell>
          <cell r="D401">
            <v>0</v>
          </cell>
          <cell r="F401">
            <v>0</v>
          </cell>
          <cell r="G401">
            <v>1</v>
          </cell>
          <cell r="I401">
            <v>1</v>
          </cell>
          <cell r="J401">
            <v>0</v>
          </cell>
          <cell r="K401">
            <v>1</v>
          </cell>
          <cell r="L401">
            <v>1</v>
          </cell>
          <cell r="M401">
            <v>2</v>
          </cell>
          <cell r="O401">
            <v>1</v>
          </cell>
          <cell r="P401">
            <v>0</v>
          </cell>
          <cell r="Q401">
            <v>0</v>
          </cell>
          <cell r="R401">
            <v>0</v>
          </cell>
          <cell r="S401">
            <v>0</v>
          </cell>
          <cell r="T401">
            <v>4</v>
          </cell>
          <cell r="V401">
            <v>0</v>
          </cell>
          <cell r="W401">
            <v>98</v>
          </cell>
          <cell r="X401">
            <v>2</v>
          </cell>
          <cell r="Y401">
            <v>1</v>
          </cell>
          <cell r="AA401">
            <v>0</v>
          </cell>
          <cell r="AB401">
            <v>0</v>
          </cell>
          <cell r="AC401">
            <v>1</v>
          </cell>
          <cell r="AD401">
            <v>0</v>
          </cell>
          <cell r="AE401">
            <v>0</v>
          </cell>
          <cell r="AF401">
            <v>0</v>
          </cell>
          <cell r="AG401">
            <v>0</v>
          </cell>
          <cell r="AH401">
            <v>0</v>
          </cell>
          <cell r="AI401">
            <v>1</v>
          </cell>
          <cell r="AK401">
            <v>0</v>
          </cell>
          <cell r="AL401">
            <v>1</v>
          </cell>
          <cell r="AN401">
            <v>2218</v>
          </cell>
          <cell r="AO401">
            <v>1</v>
          </cell>
          <cell r="AQ401">
            <v>0</v>
          </cell>
          <cell r="AR401">
            <v>12</v>
          </cell>
          <cell r="AS401">
            <v>3</v>
          </cell>
          <cell r="AT401">
            <v>3</v>
          </cell>
          <cell r="AU401">
            <v>1</v>
          </cell>
          <cell r="AV401">
            <v>4</v>
          </cell>
          <cell r="AW401">
            <v>4</v>
          </cell>
          <cell r="AX401">
            <v>3</v>
          </cell>
          <cell r="AY401">
            <v>3</v>
          </cell>
          <cell r="AZ401">
            <v>4</v>
          </cell>
          <cell r="BA401">
            <v>4</v>
          </cell>
          <cell r="BB401">
            <v>2</v>
          </cell>
          <cell r="BC401">
            <v>3</v>
          </cell>
          <cell r="BD401">
            <v>3</v>
          </cell>
          <cell r="BE401">
            <v>2</v>
          </cell>
          <cell r="BF401">
            <v>2</v>
          </cell>
          <cell r="BG401">
            <v>2</v>
          </cell>
          <cell r="BH401">
            <v>0</v>
          </cell>
          <cell r="BI401">
            <v>1</v>
          </cell>
          <cell r="BJ401">
            <v>0</v>
          </cell>
          <cell r="BK401">
            <v>0</v>
          </cell>
          <cell r="BL401">
            <v>0</v>
          </cell>
          <cell r="BM401">
            <v>0</v>
          </cell>
          <cell r="BN401">
            <v>1</v>
          </cell>
          <cell r="BO401">
            <v>0</v>
          </cell>
          <cell r="BP401">
            <v>0</v>
          </cell>
          <cell r="BQ401">
            <v>2</v>
          </cell>
          <cell r="BR401">
            <v>0</v>
          </cell>
          <cell r="BS401">
            <v>0</v>
          </cell>
          <cell r="BT401">
            <v>4</v>
          </cell>
          <cell r="BU401">
            <v>0</v>
          </cell>
        </row>
        <row r="402">
          <cell r="A402">
            <v>39</v>
          </cell>
          <cell r="B402">
            <v>39</v>
          </cell>
          <cell r="D402">
            <v>0</v>
          </cell>
          <cell r="F402">
            <v>1</v>
          </cell>
          <cell r="G402">
            <v>0</v>
          </cell>
          <cell r="I402">
            <v>1</v>
          </cell>
          <cell r="J402">
            <v>0</v>
          </cell>
          <cell r="K402">
            <v>1</v>
          </cell>
          <cell r="L402">
            <v>1</v>
          </cell>
          <cell r="M402">
            <v>1</v>
          </cell>
          <cell r="O402">
            <v>1</v>
          </cell>
          <cell r="P402">
            <v>0</v>
          </cell>
          <cell r="Q402">
            <v>0</v>
          </cell>
          <cell r="R402">
            <v>0</v>
          </cell>
          <cell r="S402">
            <v>0</v>
          </cell>
          <cell r="T402">
            <v>2</v>
          </cell>
          <cell r="V402">
            <v>0</v>
          </cell>
          <cell r="W402">
            <v>52</v>
          </cell>
          <cell r="X402">
            <v>3</v>
          </cell>
          <cell r="Y402">
            <v>5</v>
          </cell>
          <cell r="AA402">
            <v>0</v>
          </cell>
          <cell r="AB402">
            <v>0</v>
          </cell>
          <cell r="AC402">
            <v>0</v>
          </cell>
          <cell r="AD402">
            <v>1</v>
          </cell>
          <cell r="AE402">
            <v>0</v>
          </cell>
          <cell r="AF402">
            <v>0</v>
          </cell>
          <cell r="AG402">
            <v>0</v>
          </cell>
          <cell r="AH402">
            <v>0</v>
          </cell>
          <cell r="AI402">
            <v>3</v>
          </cell>
          <cell r="AK402">
            <v>0</v>
          </cell>
          <cell r="AL402">
            <v>0</v>
          </cell>
          <cell r="AN402">
            <v>19197</v>
          </cell>
          <cell r="AO402">
            <v>1</v>
          </cell>
          <cell r="AQ402">
            <v>1</v>
          </cell>
          <cell r="AR402">
            <v>14</v>
          </cell>
          <cell r="AS402">
            <v>3</v>
          </cell>
          <cell r="AT402">
            <v>3</v>
          </cell>
          <cell r="AU402">
            <v>1</v>
          </cell>
          <cell r="AV402">
            <v>21</v>
          </cell>
          <cell r="AW402">
            <v>21</v>
          </cell>
          <cell r="AX402">
            <v>3</v>
          </cell>
          <cell r="AY402">
            <v>3</v>
          </cell>
          <cell r="AZ402">
            <v>21</v>
          </cell>
          <cell r="BA402">
            <v>21</v>
          </cell>
          <cell r="BB402">
            <v>8</v>
          </cell>
          <cell r="BC402">
            <v>1</v>
          </cell>
          <cell r="BD402">
            <v>1</v>
          </cell>
          <cell r="BE402">
            <v>6</v>
          </cell>
          <cell r="BF402">
            <v>6</v>
          </cell>
          <cell r="BG402">
            <v>30</v>
          </cell>
          <cell r="BH402">
            <v>0</v>
          </cell>
          <cell r="BI402">
            <v>0</v>
          </cell>
          <cell r="BJ402">
            <v>1</v>
          </cell>
          <cell r="BK402">
            <v>0</v>
          </cell>
          <cell r="BL402">
            <v>0</v>
          </cell>
          <cell r="BM402">
            <v>1</v>
          </cell>
          <cell r="BN402">
            <v>0</v>
          </cell>
          <cell r="BO402">
            <v>0</v>
          </cell>
          <cell r="BP402">
            <v>0</v>
          </cell>
          <cell r="BQ402">
            <v>6</v>
          </cell>
          <cell r="BR402">
            <v>0</v>
          </cell>
          <cell r="BS402">
            <v>0</v>
          </cell>
          <cell r="BT402">
            <v>21</v>
          </cell>
          <cell r="BU402">
            <v>0</v>
          </cell>
        </row>
        <row r="403">
          <cell r="A403">
            <v>56</v>
          </cell>
          <cell r="B403">
            <v>56</v>
          </cell>
          <cell r="D403">
            <v>0</v>
          </cell>
          <cell r="F403">
            <v>1</v>
          </cell>
          <cell r="G403">
            <v>0</v>
          </cell>
          <cell r="I403">
            <v>0</v>
          </cell>
          <cell r="J403">
            <v>1</v>
          </cell>
          <cell r="K403">
            <v>6</v>
          </cell>
          <cell r="L403">
            <v>6</v>
          </cell>
          <cell r="M403">
            <v>3</v>
          </cell>
          <cell r="O403">
            <v>1</v>
          </cell>
          <cell r="P403">
            <v>0</v>
          </cell>
          <cell r="Q403">
            <v>0</v>
          </cell>
          <cell r="R403">
            <v>0</v>
          </cell>
          <cell r="S403">
            <v>0</v>
          </cell>
          <cell r="T403">
            <v>3</v>
          </cell>
          <cell r="V403">
            <v>1</v>
          </cell>
          <cell r="W403">
            <v>86</v>
          </cell>
          <cell r="X403">
            <v>4</v>
          </cell>
          <cell r="Y403">
            <v>4</v>
          </cell>
          <cell r="AA403">
            <v>0</v>
          </cell>
          <cell r="AB403">
            <v>1</v>
          </cell>
          <cell r="AC403">
            <v>0</v>
          </cell>
          <cell r="AD403">
            <v>0</v>
          </cell>
          <cell r="AE403">
            <v>0</v>
          </cell>
          <cell r="AF403">
            <v>0</v>
          </cell>
          <cell r="AG403">
            <v>0</v>
          </cell>
          <cell r="AH403">
            <v>0</v>
          </cell>
          <cell r="AI403">
            <v>1</v>
          </cell>
          <cell r="AK403">
            <v>0</v>
          </cell>
          <cell r="AL403">
            <v>1</v>
          </cell>
          <cell r="AN403">
            <v>13212</v>
          </cell>
          <cell r="AO403">
            <v>9</v>
          </cell>
          <cell r="AQ403">
            <v>0</v>
          </cell>
          <cell r="AR403">
            <v>11</v>
          </cell>
          <cell r="AS403">
            <v>3</v>
          </cell>
          <cell r="AT403">
            <v>4</v>
          </cell>
          <cell r="AU403">
            <v>3</v>
          </cell>
          <cell r="AV403">
            <v>36</v>
          </cell>
          <cell r="AW403">
            <v>35</v>
          </cell>
          <cell r="AX403">
            <v>0</v>
          </cell>
          <cell r="AY403">
            <v>2</v>
          </cell>
          <cell r="AZ403">
            <v>7</v>
          </cell>
          <cell r="BA403">
            <v>7</v>
          </cell>
          <cell r="BB403">
            <v>7</v>
          </cell>
          <cell r="BC403">
            <v>7</v>
          </cell>
          <cell r="BD403">
            <v>7</v>
          </cell>
          <cell r="BE403">
            <v>7</v>
          </cell>
          <cell r="BF403">
            <v>7</v>
          </cell>
          <cell r="BG403">
            <v>28</v>
          </cell>
          <cell r="BH403">
            <v>0</v>
          </cell>
          <cell r="BI403">
            <v>0</v>
          </cell>
          <cell r="BJ403">
            <v>0</v>
          </cell>
          <cell r="BK403">
            <v>1</v>
          </cell>
          <cell r="BL403">
            <v>0</v>
          </cell>
          <cell r="BM403">
            <v>0</v>
          </cell>
          <cell r="BN403">
            <v>1</v>
          </cell>
          <cell r="BO403">
            <v>0</v>
          </cell>
          <cell r="BP403">
            <v>0</v>
          </cell>
          <cell r="BQ403">
            <v>0</v>
          </cell>
          <cell r="BR403">
            <v>7</v>
          </cell>
          <cell r="BS403">
            <v>0</v>
          </cell>
          <cell r="BT403">
            <v>0</v>
          </cell>
          <cell r="BU403">
            <v>35</v>
          </cell>
        </row>
        <row r="404">
          <cell r="A404">
            <v>30</v>
          </cell>
          <cell r="B404">
            <v>30</v>
          </cell>
          <cell r="D404">
            <v>0</v>
          </cell>
          <cell r="F404">
            <v>0</v>
          </cell>
          <cell r="G404">
            <v>1</v>
          </cell>
          <cell r="I404">
            <v>0</v>
          </cell>
          <cell r="J404">
            <v>1</v>
          </cell>
          <cell r="K404">
            <v>12</v>
          </cell>
          <cell r="L404">
            <v>12</v>
          </cell>
          <cell r="M404">
            <v>3</v>
          </cell>
          <cell r="O404">
            <v>0</v>
          </cell>
          <cell r="P404">
            <v>0</v>
          </cell>
          <cell r="Q404">
            <v>0</v>
          </cell>
          <cell r="R404">
            <v>0</v>
          </cell>
          <cell r="S404">
            <v>1</v>
          </cell>
          <cell r="T404">
            <v>2</v>
          </cell>
          <cell r="V404">
            <v>1</v>
          </cell>
          <cell r="W404">
            <v>83</v>
          </cell>
          <cell r="X404">
            <v>3</v>
          </cell>
          <cell r="Y404">
            <v>2</v>
          </cell>
          <cell r="AA404">
            <v>0</v>
          </cell>
          <cell r="AB404">
            <v>1</v>
          </cell>
          <cell r="AC404">
            <v>0</v>
          </cell>
          <cell r="AD404">
            <v>0</v>
          </cell>
          <cell r="AE404">
            <v>0</v>
          </cell>
          <cell r="AF404">
            <v>0</v>
          </cell>
          <cell r="AG404">
            <v>0</v>
          </cell>
          <cell r="AH404">
            <v>0</v>
          </cell>
          <cell r="AI404">
            <v>3</v>
          </cell>
          <cell r="AK404">
            <v>1</v>
          </cell>
          <cell r="AL404">
            <v>0</v>
          </cell>
          <cell r="AN404">
            <v>6577</v>
          </cell>
          <cell r="AO404">
            <v>0</v>
          </cell>
          <cell r="AQ404">
            <v>0</v>
          </cell>
          <cell r="AR404">
            <v>11</v>
          </cell>
          <cell r="AS404">
            <v>3</v>
          </cell>
          <cell r="AT404">
            <v>2</v>
          </cell>
          <cell r="AU404">
            <v>0</v>
          </cell>
          <cell r="AV404">
            <v>6</v>
          </cell>
          <cell r="AW404">
            <v>6</v>
          </cell>
          <cell r="AX404">
            <v>6</v>
          </cell>
          <cell r="AY404">
            <v>3</v>
          </cell>
          <cell r="AZ404">
            <v>5</v>
          </cell>
          <cell r="BA404">
            <v>5</v>
          </cell>
          <cell r="BB404">
            <v>4</v>
          </cell>
          <cell r="BC404">
            <v>4</v>
          </cell>
          <cell r="BD404">
            <v>4</v>
          </cell>
          <cell r="BE404">
            <v>4</v>
          </cell>
          <cell r="BF404">
            <v>4</v>
          </cell>
          <cell r="BG404">
            <v>8</v>
          </cell>
          <cell r="BH404">
            <v>1</v>
          </cell>
          <cell r="BI404">
            <v>0</v>
          </cell>
          <cell r="BJ404">
            <v>0</v>
          </cell>
          <cell r="BK404">
            <v>0</v>
          </cell>
          <cell r="BL404">
            <v>1</v>
          </cell>
          <cell r="BM404">
            <v>0</v>
          </cell>
          <cell r="BN404">
            <v>0</v>
          </cell>
          <cell r="BO404">
            <v>0</v>
          </cell>
          <cell r="BP404">
            <v>0</v>
          </cell>
          <cell r="BQ404">
            <v>0</v>
          </cell>
          <cell r="BR404">
            <v>4</v>
          </cell>
          <cell r="BS404">
            <v>0</v>
          </cell>
          <cell r="BT404">
            <v>0</v>
          </cell>
          <cell r="BU404">
            <v>6</v>
          </cell>
        </row>
        <row r="405">
          <cell r="A405">
            <v>41</v>
          </cell>
          <cell r="B405">
            <v>41</v>
          </cell>
          <cell r="D405">
            <v>0</v>
          </cell>
          <cell r="F405">
            <v>0</v>
          </cell>
          <cell r="G405">
            <v>1</v>
          </cell>
          <cell r="I405">
            <v>0</v>
          </cell>
          <cell r="J405">
            <v>1</v>
          </cell>
          <cell r="K405">
            <v>1</v>
          </cell>
          <cell r="L405">
            <v>1</v>
          </cell>
          <cell r="M405">
            <v>3</v>
          </cell>
          <cell r="O405">
            <v>0</v>
          </cell>
          <cell r="P405">
            <v>0</v>
          </cell>
          <cell r="Q405">
            <v>0</v>
          </cell>
          <cell r="R405">
            <v>1</v>
          </cell>
          <cell r="S405">
            <v>0</v>
          </cell>
          <cell r="T405">
            <v>2</v>
          </cell>
          <cell r="V405">
            <v>0</v>
          </cell>
          <cell r="W405">
            <v>49</v>
          </cell>
          <cell r="X405">
            <v>4</v>
          </cell>
          <cell r="Y405">
            <v>3</v>
          </cell>
          <cell r="AA405">
            <v>0</v>
          </cell>
          <cell r="AB405">
            <v>1</v>
          </cell>
          <cell r="AC405">
            <v>0</v>
          </cell>
          <cell r="AD405">
            <v>0</v>
          </cell>
          <cell r="AE405">
            <v>0</v>
          </cell>
          <cell r="AF405">
            <v>0</v>
          </cell>
          <cell r="AG405">
            <v>0</v>
          </cell>
          <cell r="AH405">
            <v>0</v>
          </cell>
          <cell r="AI405">
            <v>1</v>
          </cell>
          <cell r="AK405">
            <v>0</v>
          </cell>
          <cell r="AL405">
            <v>1</v>
          </cell>
          <cell r="AN405">
            <v>8392</v>
          </cell>
          <cell r="AO405">
            <v>1</v>
          </cell>
          <cell r="AQ405">
            <v>0</v>
          </cell>
          <cell r="AR405">
            <v>16</v>
          </cell>
          <cell r="AS405">
            <v>3</v>
          </cell>
          <cell r="AT405">
            <v>3</v>
          </cell>
          <cell r="AU405">
            <v>1</v>
          </cell>
          <cell r="AV405">
            <v>10</v>
          </cell>
          <cell r="AW405">
            <v>10</v>
          </cell>
          <cell r="AX405">
            <v>2</v>
          </cell>
          <cell r="AY405">
            <v>3</v>
          </cell>
          <cell r="AZ405">
            <v>10</v>
          </cell>
          <cell r="BA405">
            <v>10</v>
          </cell>
          <cell r="BB405">
            <v>7</v>
          </cell>
          <cell r="BC405">
            <v>0</v>
          </cell>
          <cell r="BD405">
            <v>0</v>
          </cell>
          <cell r="BE405">
            <v>7</v>
          </cell>
          <cell r="BF405">
            <v>7</v>
          </cell>
          <cell r="BG405">
            <v>21</v>
          </cell>
          <cell r="BH405">
            <v>0</v>
          </cell>
          <cell r="BI405">
            <v>1</v>
          </cell>
          <cell r="BJ405">
            <v>0</v>
          </cell>
          <cell r="BK405">
            <v>0</v>
          </cell>
          <cell r="BL405">
            <v>0</v>
          </cell>
          <cell r="BM405">
            <v>0</v>
          </cell>
          <cell r="BN405">
            <v>1</v>
          </cell>
          <cell r="BO405">
            <v>0</v>
          </cell>
          <cell r="BP405">
            <v>0</v>
          </cell>
          <cell r="BQ405">
            <v>0</v>
          </cell>
          <cell r="BR405">
            <v>7</v>
          </cell>
          <cell r="BS405">
            <v>0</v>
          </cell>
          <cell r="BT405">
            <v>0</v>
          </cell>
          <cell r="BU405">
            <v>10</v>
          </cell>
        </row>
        <row r="406">
          <cell r="A406">
            <v>28</v>
          </cell>
          <cell r="B406">
            <v>28</v>
          </cell>
          <cell r="D406">
            <v>0</v>
          </cell>
          <cell r="F406">
            <v>0</v>
          </cell>
          <cell r="G406">
            <v>1</v>
          </cell>
          <cell r="I406">
            <v>1</v>
          </cell>
          <cell r="J406">
            <v>0</v>
          </cell>
          <cell r="K406">
            <v>17</v>
          </cell>
          <cell r="L406">
            <v>17</v>
          </cell>
          <cell r="M406">
            <v>2</v>
          </cell>
          <cell r="O406">
            <v>0</v>
          </cell>
          <cell r="P406">
            <v>0</v>
          </cell>
          <cell r="Q406">
            <v>1</v>
          </cell>
          <cell r="R406">
            <v>0</v>
          </cell>
          <cell r="S406">
            <v>0</v>
          </cell>
          <cell r="T406">
            <v>3</v>
          </cell>
          <cell r="V406">
            <v>0</v>
          </cell>
          <cell r="W406">
            <v>79</v>
          </cell>
          <cell r="X406">
            <v>3</v>
          </cell>
          <cell r="Y406">
            <v>2</v>
          </cell>
          <cell r="AA406">
            <v>0</v>
          </cell>
          <cell r="AB406">
            <v>0</v>
          </cell>
          <cell r="AC406">
            <v>1</v>
          </cell>
          <cell r="AD406">
            <v>0</v>
          </cell>
          <cell r="AE406">
            <v>0</v>
          </cell>
          <cell r="AF406">
            <v>0</v>
          </cell>
          <cell r="AG406">
            <v>0</v>
          </cell>
          <cell r="AH406">
            <v>0</v>
          </cell>
          <cell r="AI406">
            <v>1</v>
          </cell>
          <cell r="AK406">
            <v>0</v>
          </cell>
          <cell r="AL406">
            <v>0</v>
          </cell>
          <cell r="AN406">
            <v>4558</v>
          </cell>
          <cell r="AO406">
            <v>1</v>
          </cell>
          <cell r="AQ406">
            <v>0</v>
          </cell>
          <cell r="AR406">
            <v>12</v>
          </cell>
          <cell r="AS406">
            <v>3</v>
          </cell>
          <cell r="AT406">
            <v>4</v>
          </cell>
          <cell r="AU406">
            <v>1</v>
          </cell>
          <cell r="AV406">
            <v>10</v>
          </cell>
          <cell r="AW406">
            <v>10</v>
          </cell>
          <cell r="AX406">
            <v>2</v>
          </cell>
          <cell r="AY406">
            <v>3</v>
          </cell>
          <cell r="AZ406">
            <v>10</v>
          </cell>
          <cell r="BA406">
            <v>10</v>
          </cell>
          <cell r="BB406">
            <v>0</v>
          </cell>
          <cell r="BC406">
            <v>1</v>
          </cell>
          <cell r="BD406">
            <v>1</v>
          </cell>
          <cell r="BE406">
            <v>8</v>
          </cell>
          <cell r="BF406">
            <v>8</v>
          </cell>
          <cell r="BG406">
            <v>16</v>
          </cell>
          <cell r="BH406">
            <v>1</v>
          </cell>
          <cell r="BI406">
            <v>0</v>
          </cell>
          <cell r="BJ406">
            <v>0</v>
          </cell>
          <cell r="BK406">
            <v>0</v>
          </cell>
          <cell r="BL406">
            <v>1</v>
          </cell>
          <cell r="BM406">
            <v>0</v>
          </cell>
          <cell r="BN406">
            <v>0</v>
          </cell>
          <cell r="BO406">
            <v>0</v>
          </cell>
          <cell r="BP406">
            <v>0</v>
          </cell>
          <cell r="BQ406">
            <v>8</v>
          </cell>
          <cell r="BR406">
            <v>0</v>
          </cell>
          <cell r="BS406">
            <v>0</v>
          </cell>
          <cell r="BT406">
            <v>10</v>
          </cell>
          <cell r="BU406">
            <v>0</v>
          </cell>
        </row>
        <row r="407">
          <cell r="A407">
            <v>25</v>
          </cell>
          <cell r="B407">
            <v>25</v>
          </cell>
          <cell r="D407">
            <v>1</v>
          </cell>
          <cell r="F407">
            <v>0</v>
          </cell>
          <cell r="G407">
            <v>1</v>
          </cell>
          <cell r="I407">
            <v>1</v>
          </cell>
          <cell r="J407">
            <v>0</v>
          </cell>
          <cell r="K407">
            <v>3</v>
          </cell>
          <cell r="L407">
            <v>3</v>
          </cell>
          <cell r="M407">
            <v>3</v>
          </cell>
          <cell r="O407">
            <v>0</v>
          </cell>
          <cell r="P407">
            <v>0</v>
          </cell>
          <cell r="Q407">
            <v>1</v>
          </cell>
          <cell r="R407">
            <v>0</v>
          </cell>
          <cell r="S407">
            <v>0</v>
          </cell>
          <cell r="T407">
            <v>1</v>
          </cell>
          <cell r="V407">
            <v>0</v>
          </cell>
          <cell r="W407">
            <v>91</v>
          </cell>
          <cell r="X407">
            <v>3</v>
          </cell>
          <cell r="Y407">
            <v>1</v>
          </cell>
          <cell r="AA407">
            <v>0</v>
          </cell>
          <cell r="AB407">
            <v>0</v>
          </cell>
          <cell r="AC407">
            <v>1</v>
          </cell>
          <cell r="AD407">
            <v>0</v>
          </cell>
          <cell r="AE407">
            <v>0</v>
          </cell>
          <cell r="AF407">
            <v>0</v>
          </cell>
          <cell r="AG407">
            <v>0</v>
          </cell>
          <cell r="AH407">
            <v>0</v>
          </cell>
          <cell r="AI407">
            <v>1</v>
          </cell>
          <cell r="AK407">
            <v>0</v>
          </cell>
          <cell r="AL407">
            <v>1</v>
          </cell>
          <cell r="AN407">
            <v>4031</v>
          </cell>
          <cell r="AO407">
            <v>5</v>
          </cell>
          <cell r="AQ407">
            <v>0</v>
          </cell>
          <cell r="AR407">
            <v>13</v>
          </cell>
          <cell r="AS407">
            <v>3</v>
          </cell>
          <cell r="AT407">
            <v>3</v>
          </cell>
          <cell r="AU407">
            <v>1</v>
          </cell>
          <cell r="AV407">
            <v>6</v>
          </cell>
          <cell r="AW407">
            <v>6</v>
          </cell>
          <cell r="AX407">
            <v>5</v>
          </cell>
          <cell r="AY407">
            <v>3</v>
          </cell>
          <cell r="AZ407">
            <v>2</v>
          </cell>
          <cell r="BA407">
            <v>2</v>
          </cell>
          <cell r="BB407">
            <v>2</v>
          </cell>
          <cell r="BC407">
            <v>0</v>
          </cell>
          <cell r="BD407">
            <v>0</v>
          </cell>
          <cell r="BE407">
            <v>2</v>
          </cell>
          <cell r="BF407">
            <v>2</v>
          </cell>
          <cell r="BG407">
            <v>2</v>
          </cell>
          <cell r="BH407">
            <v>0</v>
          </cell>
          <cell r="BI407">
            <v>1</v>
          </cell>
          <cell r="BJ407">
            <v>0</v>
          </cell>
          <cell r="BK407">
            <v>0</v>
          </cell>
          <cell r="BL407">
            <v>0</v>
          </cell>
          <cell r="BM407">
            <v>0</v>
          </cell>
          <cell r="BN407">
            <v>1</v>
          </cell>
          <cell r="BO407">
            <v>0</v>
          </cell>
          <cell r="BP407">
            <v>0</v>
          </cell>
          <cell r="BQ407">
            <v>2</v>
          </cell>
          <cell r="BR407">
            <v>0</v>
          </cell>
          <cell r="BS407">
            <v>0</v>
          </cell>
          <cell r="BT407">
            <v>6</v>
          </cell>
          <cell r="BU407">
            <v>0</v>
          </cell>
        </row>
        <row r="408">
          <cell r="A408">
            <v>52</v>
          </cell>
          <cell r="B408">
            <v>52</v>
          </cell>
          <cell r="D408">
            <v>0</v>
          </cell>
          <cell r="F408">
            <v>0</v>
          </cell>
          <cell r="G408">
            <v>1</v>
          </cell>
          <cell r="I408">
            <v>1</v>
          </cell>
          <cell r="J408">
            <v>0</v>
          </cell>
          <cell r="K408">
            <v>3</v>
          </cell>
          <cell r="L408">
            <v>3</v>
          </cell>
          <cell r="M408">
            <v>3</v>
          </cell>
          <cell r="O408">
            <v>0</v>
          </cell>
          <cell r="P408">
            <v>0</v>
          </cell>
          <cell r="Q408">
            <v>1</v>
          </cell>
          <cell r="R408">
            <v>0</v>
          </cell>
          <cell r="S408">
            <v>0</v>
          </cell>
          <cell r="T408">
            <v>4</v>
          </cell>
          <cell r="V408">
            <v>0</v>
          </cell>
          <cell r="W408">
            <v>39</v>
          </cell>
          <cell r="X408">
            <v>2</v>
          </cell>
          <cell r="Y408">
            <v>3</v>
          </cell>
          <cell r="AA408">
            <v>0</v>
          </cell>
          <cell r="AB408">
            <v>0</v>
          </cell>
          <cell r="AC408">
            <v>0</v>
          </cell>
          <cell r="AD408">
            <v>0</v>
          </cell>
          <cell r="AE408">
            <v>1</v>
          </cell>
          <cell r="AF408">
            <v>1</v>
          </cell>
          <cell r="AG408">
            <v>0</v>
          </cell>
          <cell r="AH408">
            <v>0</v>
          </cell>
          <cell r="AI408">
            <v>3</v>
          </cell>
          <cell r="AK408">
            <v>0</v>
          </cell>
          <cell r="AL408">
            <v>1</v>
          </cell>
          <cell r="AN408">
            <v>7969</v>
          </cell>
          <cell r="AO408">
            <v>2</v>
          </cell>
          <cell r="AQ408">
            <v>1</v>
          </cell>
          <cell r="AR408">
            <v>14</v>
          </cell>
          <cell r="AS408">
            <v>3</v>
          </cell>
          <cell r="AT408">
            <v>3</v>
          </cell>
          <cell r="AU408">
            <v>0</v>
          </cell>
          <cell r="AV408">
            <v>28</v>
          </cell>
          <cell r="AW408">
            <v>28</v>
          </cell>
          <cell r="AX408">
            <v>4</v>
          </cell>
          <cell r="AY408">
            <v>3</v>
          </cell>
          <cell r="AZ408">
            <v>5</v>
          </cell>
          <cell r="BA408">
            <v>5</v>
          </cell>
          <cell r="BB408">
            <v>4</v>
          </cell>
          <cell r="BC408">
            <v>0</v>
          </cell>
          <cell r="BD408">
            <v>0</v>
          </cell>
          <cell r="BE408">
            <v>4</v>
          </cell>
          <cell r="BF408">
            <v>4</v>
          </cell>
          <cell r="BG408">
            <v>12</v>
          </cell>
          <cell r="BH408">
            <v>0</v>
          </cell>
          <cell r="BI408">
            <v>1</v>
          </cell>
          <cell r="BJ408">
            <v>0</v>
          </cell>
          <cell r="BK408">
            <v>0</v>
          </cell>
          <cell r="BL408">
            <v>0</v>
          </cell>
          <cell r="BM408">
            <v>0</v>
          </cell>
          <cell r="BN408">
            <v>0</v>
          </cell>
          <cell r="BO408">
            <v>1</v>
          </cell>
          <cell r="BP408">
            <v>0</v>
          </cell>
          <cell r="BQ408">
            <v>4</v>
          </cell>
          <cell r="BR408">
            <v>0</v>
          </cell>
          <cell r="BS408">
            <v>0</v>
          </cell>
          <cell r="BT408">
            <v>28</v>
          </cell>
          <cell r="BU408">
            <v>0</v>
          </cell>
        </row>
        <row r="409">
          <cell r="A409">
            <v>45</v>
          </cell>
          <cell r="B409">
            <v>45</v>
          </cell>
          <cell r="D409">
            <v>0</v>
          </cell>
          <cell r="F409">
            <v>0</v>
          </cell>
          <cell r="G409">
            <v>1</v>
          </cell>
          <cell r="I409">
            <v>1</v>
          </cell>
          <cell r="J409">
            <v>0</v>
          </cell>
          <cell r="K409">
            <v>10</v>
          </cell>
          <cell r="L409">
            <v>10</v>
          </cell>
          <cell r="M409">
            <v>2</v>
          </cell>
          <cell r="O409">
            <v>1</v>
          </cell>
          <cell r="P409">
            <v>0</v>
          </cell>
          <cell r="Q409">
            <v>0</v>
          </cell>
          <cell r="R409">
            <v>0</v>
          </cell>
          <cell r="S409">
            <v>0</v>
          </cell>
          <cell r="T409">
            <v>1</v>
          </cell>
          <cell r="V409">
            <v>0</v>
          </cell>
          <cell r="W409">
            <v>69</v>
          </cell>
          <cell r="X409">
            <v>3</v>
          </cell>
          <cell r="Y409">
            <v>1</v>
          </cell>
          <cell r="AA409">
            <v>0</v>
          </cell>
          <cell r="AB409">
            <v>0</v>
          </cell>
          <cell r="AC409">
            <v>0</v>
          </cell>
          <cell r="AD409">
            <v>0</v>
          </cell>
          <cell r="AE409">
            <v>0</v>
          </cell>
          <cell r="AF409">
            <v>0</v>
          </cell>
          <cell r="AG409">
            <v>0</v>
          </cell>
          <cell r="AH409">
            <v>1</v>
          </cell>
          <cell r="AI409">
            <v>4</v>
          </cell>
          <cell r="AK409">
            <v>0</v>
          </cell>
          <cell r="AL409">
            <v>1</v>
          </cell>
          <cell r="AN409">
            <v>2654</v>
          </cell>
          <cell r="AO409">
            <v>3</v>
          </cell>
          <cell r="AQ409">
            <v>0</v>
          </cell>
          <cell r="AR409">
            <v>21</v>
          </cell>
          <cell r="AS409">
            <v>4</v>
          </cell>
          <cell r="AT409">
            <v>4</v>
          </cell>
          <cell r="AU409">
            <v>2</v>
          </cell>
          <cell r="AV409">
            <v>8</v>
          </cell>
          <cell r="AW409">
            <v>8</v>
          </cell>
          <cell r="AX409">
            <v>3</v>
          </cell>
          <cell r="AY409">
            <v>2</v>
          </cell>
          <cell r="AZ409">
            <v>2</v>
          </cell>
          <cell r="BA409">
            <v>2</v>
          </cell>
          <cell r="BB409">
            <v>2</v>
          </cell>
          <cell r="BC409">
            <v>0</v>
          </cell>
          <cell r="BD409">
            <v>0</v>
          </cell>
          <cell r="BE409">
            <v>2</v>
          </cell>
          <cell r="BF409">
            <v>2</v>
          </cell>
          <cell r="BG409">
            <v>2</v>
          </cell>
          <cell r="BH409">
            <v>0</v>
          </cell>
          <cell r="BI409">
            <v>1</v>
          </cell>
          <cell r="BJ409">
            <v>0</v>
          </cell>
          <cell r="BK409">
            <v>0</v>
          </cell>
          <cell r="BL409">
            <v>0</v>
          </cell>
          <cell r="BM409">
            <v>0</v>
          </cell>
          <cell r="BN409">
            <v>1</v>
          </cell>
          <cell r="BO409">
            <v>0</v>
          </cell>
          <cell r="BP409">
            <v>0</v>
          </cell>
          <cell r="BQ409">
            <v>2</v>
          </cell>
          <cell r="BR409">
            <v>0</v>
          </cell>
          <cell r="BS409">
            <v>0</v>
          </cell>
          <cell r="BT409">
            <v>8</v>
          </cell>
          <cell r="BU409">
            <v>0</v>
          </cell>
        </row>
        <row r="410">
          <cell r="A410">
            <v>52</v>
          </cell>
          <cell r="B410">
            <v>52</v>
          </cell>
          <cell r="D410">
            <v>0</v>
          </cell>
          <cell r="F410">
            <v>0</v>
          </cell>
          <cell r="G410">
            <v>1</v>
          </cell>
          <cell r="I410">
            <v>1</v>
          </cell>
          <cell r="J410">
            <v>0</v>
          </cell>
          <cell r="K410">
            <v>4</v>
          </cell>
          <cell r="L410">
            <v>4</v>
          </cell>
          <cell r="M410">
            <v>2</v>
          </cell>
          <cell r="O410">
            <v>1</v>
          </cell>
          <cell r="P410">
            <v>0</v>
          </cell>
          <cell r="Q410">
            <v>0</v>
          </cell>
          <cell r="R410">
            <v>0</v>
          </cell>
          <cell r="S410">
            <v>0</v>
          </cell>
          <cell r="T410">
            <v>4</v>
          </cell>
          <cell r="V410">
            <v>1</v>
          </cell>
          <cell r="W410">
            <v>30</v>
          </cell>
          <cell r="X410">
            <v>3</v>
          </cell>
          <cell r="Y410">
            <v>4</v>
          </cell>
          <cell r="AA410">
            <v>0</v>
          </cell>
          <cell r="AB410">
            <v>0</v>
          </cell>
          <cell r="AC410">
            <v>0</v>
          </cell>
          <cell r="AD410">
            <v>1</v>
          </cell>
          <cell r="AE410">
            <v>0</v>
          </cell>
          <cell r="AF410">
            <v>0</v>
          </cell>
          <cell r="AG410">
            <v>0</v>
          </cell>
          <cell r="AH410">
            <v>0</v>
          </cell>
          <cell r="AI410">
            <v>4</v>
          </cell>
          <cell r="AK410">
            <v>0</v>
          </cell>
          <cell r="AL410">
            <v>1</v>
          </cell>
          <cell r="AN410">
            <v>16555</v>
          </cell>
          <cell r="AO410">
            <v>2</v>
          </cell>
          <cell r="AQ410">
            <v>0</v>
          </cell>
          <cell r="AR410">
            <v>13</v>
          </cell>
          <cell r="AS410">
            <v>3</v>
          </cell>
          <cell r="AT410">
            <v>4</v>
          </cell>
          <cell r="AU410">
            <v>0</v>
          </cell>
          <cell r="AV410">
            <v>31</v>
          </cell>
          <cell r="AW410">
            <v>31</v>
          </cell>
          <cell r="AX410">
            <v>2</v>
          </cell>
          <cell r="AY410">
            <v>1</v>
          </cell>
          <cell r="AZ410">
            <v>5</v>
          </cell>
          <cell r="BA410">
            <v>5</v>
          </cell>
          <cell r="BB410">
            <v>2</v>
          </cell>
          <cell r="BC410">
            <v>1</v>
          </cell>
          <cell r="BD410">
            <v>1</v>
          </cell>
          <cell r="BE410">
            <v>4</v>
          </cell>
          <cell r="BF410">
            <v>4</v>
          </cell>
          <cell r="BG410">
            <v>16</v>
          </cell>
          <cell r="BH410">
            <v>0</v>
          </cell>
          <cell r="BI410">
            <v>1</v>
          </cell>
          <cell r="BJ410">
            <v>0</v>
          </cell>
          <cell r="BK410">
            <v>0</v>
          </cell>
          <cell r="BL410">
            <v>0</v>
          </cell>
          <cell r="BM410">
            <v>0</v>
          </cell>
          <cell r="BN410">
            <v>1</v>
          </cell>
          <cell r="BO410">
            <v>0</v>
          </cell>
          <cell r="BP410">
            <v>0</v>
          </cell>
          <cell r="BQ410">
            <v>4</v>
          </cell>
          <cell r="BR410">
            <v>0</v>
          </cell>
          <cell r="BS410">
            <v>0</v>
          </cell>
          <cell r="BT410">
            <v>31</v>
          </cell>
          <cell r="BU410">
            <v>0</v>
          </cell>
        </row>
        <row r="411">
          <cell r="A411">
            <v>42</v>
          </cell>
          <cell r="B411">
            <v>42</v>
          </cell>
          <cell r="D411">
            <v>0</v>
          </cell>
          <cell r="F411">
            <v>1</v>
          </cell>
          <cell r="G411">
            <v>0</v>
          </cell>
          <cell r="I411">
            <v>1</v>
          </cell>
          <cell r="J411">
            <v>0</v>
          </cell>
          <cell r="K411">
            <v>29</v>
          </cell>
          <cell r="L411">
            <v>29</v>
          </cell>
          <cell r="M411">
            <v>2</v>
          </cell>
          <cell r="O411">
            <v>1</v>
          </cell>
          <cell r="P411">
            <v>0</v>
          </cell>
          <cell r="Q411">
            <v>0</v>
          </cell>
          <cell r="R411">
            <v>0</v>
          </cell>
          <cell r="S411">
            <v>0</v>
          </cell>
          <cell r="T411">
            <v>1</v>
          </cell>
          <cell r="V411">
            <v>1</v>
          </cell>
          <cell r="W411">
            <v>92</v>
          </cell>
          <cell r="X411">
            <v>3</v>
          </cell>
          <cell r="Y411">
            <v>2</v>
          </cell>
          <cell r="AA411">
            <v>0</v>
          </cell>
          <cell r="AB411">
            <v>0</v>
          </cell>
          <cell r="AC411">
            <v>0</v>
          </cell>
          <cell r="AD411">
            <v>0</v>
          </cell>
          <cell r="AE411">
            <v>0</v>
          </cell>
          <cell r="AF411">
            <v>0</v>
          </cell>
          <cell r="AG411">
            <v>0</v>
          </cell>
          <cell r="AH411">
            <v>1</v>
          </cell>
          <cell r="AI411">
            <v>3</v>
          </cell>
          <cell r="AK411">
            <v>0</v>
          </cell>
          <cell r="AL411">
            <v>0</v>
          </cell>
          <cell r="AN411">
            <v>4556</v>
          </cell>
          <cell r="AO411">
            <v>2</v>
          </cell>
          <cell r="AQ411">
            <v>0</v>
          </cell>
          <cell r="AR411">
            <v>11</v>
          </cell>
          <cell r="AS411">
            <v>3</v>
          </cell>
          <cell r="AT411">
            <v>2</v>
          </cell>
          <cell r="AU411">
            <v>1</v>
          </cell>
          <cell r="AV411">
            <v>19</v>
          </cell>
          <cell r="AW411">
            <v>19</v>
          </cell>
          <cell r="AX411">
            <v>3</v>
          </cell>
          <cell r="AY411">
            <v>3</v>
          </cell>
          <cell r="AZ411">
            <v>5</v>
          </cell>
          <cell r="BA411">
            <v>5</v>
          </cell>
          <cell r="BB411">
            <v>4</v>
          </cell>
          <cell r="BC411">
            <v>0</v>
          </cell>
          <cell r="BD411">
            <v>0</v>
          </cell>
          <cell r="BE411">
            <v>2</v>
          </cell>
          <cell r="BF411">
            <v>2</v>
          </cell>
          <cell r="BG411">
            <v>4</v>
          </cell>
          <cell r="BH411">
            <v>0</v>
          </cell>
          <cell r="BI411">
            <v>0</v>
          </cell>
          <cell r="BJ411">
            <v>1</v>
          </cell>
          <cell r="BK411">
            <v>0</v>
          </cell>
          <cell r="BL411">
            <v>1</v>
          </cell>
          <cell r="BM411">
            <v>0</v>
          </cell>
          <cell r="BN411">
            <v>0</v>
          </cell>
          <cell r="BO411">
            <v>0</v>
          </cell>
          <cell r="BP411">
            <v>0</v>
          </cell>
          <cell r="BQ411">
            <v>2</v>
          </cell>
          <cell r="BR411">
            <v>0</v>
          </cell>
          <cell r="BS411">
            <v>0</v>
          </cell>
          <cell r="BT411">
            <v>19</v>
          </cell>
          <cell r="BU411">
            <v>0</v>
          </cell>
        </row>
        <row r="412">
          <cell r="A412">
            <v>30</v>
          </cell>
          <cell r="B412">
            <v>30</v>
          </cell>
          <cell r="D412">
            <v>0</v>
          </cell>
          <cell r="F412">
            <v>0</v>
          </cell>
          <cell r="G412">
            <v>1</v>
          </cell>
          <cell r="I412">
            <v>1</v>
          </cell>
          <cell r="J412">
            <v>0</v>
          </cell>
          <cell r="K412">
            <v>2</v>
          </cell>
          <cell r="L412">
            <v>2</v>
          </cell>
          <cell r="M412">
            <v>3</v>
          </cell>
          <cell r="O412">
            <v>1</v>
          </cell>
          <cell r="P412">
            <v>0</v>
          </cell>
          <cell r="Q412">
            <v>0</v>
          </cell>
          <cell r="R412">
            <v>0</v>
          </cell>
          <cell r="S412">
            <v>0</v>
          </cell>
          <cell r="T412">
            <v>3</v>
          </cell>
          <cell r="V412">
            <v>1</v>
          </cell>
          <cell r="W412">
            <v>43</v>
          </cell>
          <cell r="X412">
            <v>1</v>
          </cell>
          <cell r="Y412">
            <v>2</v>
          </cell>
          <cell r="AA412">
            <v>0</v>
          </cell>
          <cell r="AB412">
            <v>0</v>
          </cell>
          <cell r="AC412">
            <v>0</v>
          </cell>
          <cell r="AD412">
            <v>0</v>
          </cell>
          <cell r="AE412">
            <v>1</v>
          </cell>
          <cell r="AF412">
            <v>1</v>
          </cell>
          <cell r="AG412">
            <v>0</v>
          </cell>
          <cell r="AH412">
            <v>0</v>
          </cell>
          <cell r="AI412">
            <v>4</v>
          </cell>
          <cell r="AK412">
            <v>1</v>
          </cell>
          <cell r="AL412">
            <v>0</v>
          </cell>
          <cell r="AN412">
            <v>6091</v>
          </cell>
          <cell r="AO412">
            <v>2</v>
          </cell>
          <cell r="AQ412">
            <v>0</v>
          </cell>
          <cell r="AR412">
            <v>20</v>
          </cell>
          <cell r="AS412">
            <v>4</v>
          </cell>
          <cell r="AT412">
            <v>3</v>
          </cell>
          <cell r="AU412">
            <v>0</v>
          </cell>
          <cell r="AV412">
            <v>11</v>
          </cell>
          <cell r="AW412">
            <v>11</v>
          </cell>
          <cell r="AX412">
            <v>2</v>
          </cell>
          <cell r="AY412">
            <v>3</v>
          </cell>
          <cell r="AZ412">
            <v>5</v>
          </cell>
          <cell r="BA412">
            <v>5</v>
          </cell>
          <cell r="BB412">
            <v>4</v>
          </cell>
          <cell r="BC412">
            <v>0</v>
          </cell>
          <cell r="BD412">
            <v>0</v>
          </cell>
          <cell r="BE412">
            <v>2</v>
          </cell>
          <cell r="BF412">
            <v>2</v>
          </cell>
          <cell r="BG412">
            <v>4</v>
          </cell>
          <cell r="BH412">
            <v>1</v>
          </cell>
          <cell r="BI412">
            <v>0</v>
          </cell>
          <cell r="BJ412">
            <v>0</v>
          </cell>
          <cell r="BK412">
            <v>0</v>
          </cell>
          <cell r="BL412">
            <v>1</v>
          </cell>
          <cell r="BM412">
            <v>0</v>
          </cell>
          <cell r="BN412">
            <v>0</v>
          </cell>
          <cell r="BO412">
            <v>0</v>
          </cell>
          <cell r="BP412">
            <v>0</v>
          </cell>
          <cell r="BQ412">
            <v>2</v>
          </cell>
          <cell r="BR412">
            <v>0</v>
          </cell>
          <cell r="BS412">
            <v>0</v>
          </cell>
          <cell r="BT412">
            <v>11</v>
          </cell>
          <cell r="BU412">
            <v>0</v>
          </cell>
        </row>
        <row r="413">
          <cell r="A413">
            <v>60</v>
          </cell>
          <cell r="B413">
            <v>58.309999999999945</v>
          </cell>
          <cell r="D413">
            <v>0</v>
          </cell>
          <cell r="F413">
            <v>0</v>
          </cell>
          <cell r="G413">
            <v>1</v>
          </cell>
          <cell r="I413">
            <v>1</v>
          </cell>
          <cell r="J413">
            <v>0</v>
          </cell>
          <cell r="K413">
            <v>7</v>
          </cell>
          <cell r="L413">
            <v>7</v>
          </cell>
          <cell r="M413">
            <v>3</v>
          </cell>
          <cell r="O413">
            <v>1</v>
          </cell>
          <cell r="P413">
            <v>0</v>
          </cell>
          <cell r="Q413">
            <v>0</v>
          </cell>
          <cell r="R413">
            <v>0</v>
          </cell>
          <cell r="S413">
            <v>0</v>
          </cell>
          <cell r="T413">
            <v>1</v>
          </cell>
          <cell r="V413">
            <v>1</v>
          </cell>
          <cell r="W413">
            <v>41</v>
          </cell>
          <cell r="X413">
            <v>3</v>
          </cell>
          <cell r="Y413">
            <v>5</v>
          </cell>
          <cell r="AA413">
            <v>0</v>
          </cell>
          <cell r="AB413">
            <v>0</v>
          </cell>
          <cell r="AC413">
            <v>0</v>
          </cell>
          <cell r="AD413">
            <v>1</v>
          </cell>
          <cell r="AE413">
            <v>0</v>
          </cell>
          <cell r="AF413">
            <v>0</v>
          </cell>
          <cell r="AG413">
            <v>0</v>
          </cell>
          <cell r="AH413">
            <v>0</v>
          </cell>
          <cell r="AI413">
            <v>1</v>
          </cell>
          <cell r="AK413">
            <v>0</v>
          </cell>
          <cell r="AL413">
            <v>1</v>
          </cell>
          <cell r="AN413">
            <v>19566</v>
          </cell>
          <cell r="AO413">
            <v>5</v>
          </cell>
          <cell r="AQ413">
            <v>0</v>
          </cell>
          <cell r="AR413">
            <v>11</v>
          </cell>
          <cell r="AS413">
            <v>3</v>
          </cell>
          <cell r="AT413">
            <v>4</v>
          </cell>
          <cell r="AU413">
            <v>0</v>
          </cell>
          <cell r="AV413">
            <v>33</v>
          </cell>
          <cell r="AW413">
            <v>33</v>
          </cell>
          <cell r="AX413">
            <v>5</v>
          </cell>
          <cell r="AY413">
            <v>1</v>
          </cell>
          <cell r="AZ413">
            <v>29</v>
          </cell>
          <cell r="BA413">
            <v>29</v>
          </cell>
          <cell r="BB413">
            <v>8</v>
          </cell>
          <cell r="BC413">
            <v>11</v>
          </cell>
          <cell r="BD413">
            <v>11</v>
          </cell>
          <cell r="BE413">
            <v>10</v>
          </cell>
          <cell r="BF413">
            <v>10</v>
          </cell>
          <cell r="BG413">
            <v>50</v>
          </cell>
          <cell r="BH413">
            <v>0</v>
          </cell>
          <cell r="BI413">
            <v>1</v>
          </cell>
          <cell r="BJ413">
            <v>0</v>
          </cell>
          <cell r="BK413">
            <v>0</v>
          </cell>
          <cell r="BL413">
            <v>0</v>
          </cell>
          <cell r="BM413">
            <v>0</v>
          </cell>
          <cell r="BN413">
            <v>1</v>
          </cell>
          <cell r="BO413">
            <v>0</v>
          </cell>
          <cell r="BP413">
            <v>0</v>
          </cell>
          <cell r="BQ413">
            <v>10</v>
          </cell>
          <cell r="BR413">
            <v>0</v>
          </cell>
          <cell r="BS413">
            <v>0</v>
          </cell>
          <cell r="BT413">
            <v>33</v>
          </cell>
          <cell r="BU413">
            <v>0</v>
          </cell>
        </row>
        <row r="414">
          <cell r="A414">
            <v>46</v>
          </cell>
          <cell r="B414">
            <v>46</v>
          </cell>
          <cell r="D414">
            <v>0</v>
          </cell>
          <cell r="F414">
            <v>0</v>
          </cell>
          <cell r="G414">
            <v>1</v>
          </cell>
          <cell r="I414">
            <v>1</v>
          </cell>
          <cell r="J414">
            <v>0</v>
          </cell>
          <cell r="K414">
            <v>18</v>
          </cell>
          <cell r="L414">
            <v>18</v>
          </cell>
          <cell r="M414">
            <v>3</v>
          </cell>
          <cell r="O414">
            <v>0</v>
          </cell>
          <cell r="P414">
            <v>0</v>
          </cell>
          <cell r="Q414">
            <v>1</v>
          </cell>
          <cell r="R414">
            <v>0</v>
          </cell>
          <cell r="S414">
            <v>0</v>
          </cell>
          <cell r="T414">
            <v>3</v>
          </cell>
          <cell r="V414">
            <v>1</v>
          </cell>
          <cell r="W414">
            <v>87</v>
          </cell>
          <cell r="X414">
            <v>3</v>
          </cell>
          <cell r="Y414">
            <v>2</v>
          </cell>
          <cell r="AA414">
            <v>0</v>
          </cell>
          <cell r="AB414">
            <v>0</v>
          </cell>
          <cell r="AC414">
            <v>0</v>
          </cell>
          <cell r="AD414">
            <v>0</v>
          </cell>
          <cell r="AE414">
            <v>1</v>
          </cell>
          <cell r="AF414">
            <v>1</v>
          </cell>
          <cell r="AG414">
            <v>0</v>
          </cell>
          <cell r="AH414">
            <v>0</v>
          </cell>
          <cell r="AI414">
            <v>3</v>
          </cell>
          <cell r="AK414">
            <v>0</v>
          </cell>
          <cell r="AL414">
            <v>0</v>
          </cell>
          <cell r="AN414">
            <v>4810</v>
          </cell>
          <cell r="AO414">
            <v>2</v>
          </cell>
          <cell r="AQ414">
            <v>0</v>
          </cell>
          <cell r="AR414">
            <v>14</v>
          </cell>
          <cell r="AS414">
            <v>3</v>
          </cell>
          <cell r="AT414">
            <v>3</v>
          </cell>
          <cell r="AU414">
            <v>1</v>
          </cell>
          <cell r="AV414">
            <v>19</v>
          </cell>
          <cell r="AW414">
            <v>19</v>
          </cell>
          <cell r="AX414">
            <v>5</v>
          </cell>
          <cell r="AY414">
            <v>2</v>
          </cell>
          <cell r="AZ414">
            <v>10</v>
          </cell>
          <cell r="BA414">
            <v>10</v>
          </cell>
          <cell r="BB414">
            <v>7</v>
          </cell>
          <cell r="BC414">
            <v>0</v>
          </cell>
          <cell r="BD414">
            <v>0</v>
          </cell>
          <cell r="BE414">
            <v>8</v>
          </cell>
          <cell r="BF414">
            <v>8</v>
          </cell>
          <cell r="BG414">
            <v>16</v>
          </cell>
          <cell r="BH414">
            <v>1</v>
          </cell>
          <cell r="BI414">
            <v>0</v>
          </cell>
          <cell r="BJ414">
            <v>0</v>
          </cell>
          <cell r="BK414">
            <v>0</v>
          </cell>
          <cell r="BL414">
            <v>1</v>
          </cell>
          <cell r="BM414">
            <v>0</v>
          </cell>
          <cell r="BN414">
            <v>0</v>
          </cell>
          <cell r="BO414">
            <v>0</v>
          </cell>
          <cell r="BP414">
            <v>0</v>
          </cell>
          <cell r="BQ414">
            <v>8</v>
          </cell>
          <cell r="BR414">
            <v>0</v>
          </cell>
          <cell r="BS414">
            <v>0</v>
          </cell>
          <cell r="BT414">
            <v>19</v>
          </cell>
          <cell r="BU414">
            <v>0</v>
          </cell>
        </row>
        <row r="415">
          <cell r="A415">
            <v>42</v>
          </cell>
          <cell r="B415">
            <v>42</v>
          </cell>
          <cell r="D415">
            <v>0</v>
          </cell>
          <cell r="F415">
            <v>1</v>
          </cell>
          <cell r="G415">
            <v>0</v>
          </cell>
          <cell r="I415">
            <v>1</v>
          </cell>
          <cell r="J415">
            <v>0</v>
          </cell>
          <cell r="K415">
            <v>28</v>
          </cell>
          <cell r="L415">
            <v>28</v>
          </cell>
          <cell r="M415">
            <v>4</v>
          </cell>
          <cell r="O415">
            <v>0</v>
          </cell>
          <cell r="P415">
            <v>0</v>
          </cell>
          <cell r="Q415">
            <v>0</v>
          </cell>
          <cell r="R415">
            <v>0</v>
          </cell>
          <cell r="S415">
            <v>1</v>
          </cell>
          <cell r="T415">
            <v>4</v>
          </cell>
          <cell r="V415">
            <v>1</v>
          </cell>
          <cell r="W415">
            <v>88</v>
          </cell>
          <cell r="X415">
            <v>2</v>
          </cell>
          <cell r="Y415">
            <v>2</v>
          </cell>
          <cell r="AA415">
            <v>1</v>
          </cell>
          <cell r="AB415">
            <v>0</v>
          </cell>
          <cell r="AC415">
            <v>0</v>
          </cell>
          <cell r="AD415">
            <v>0</v>
          </cell>
          <cell r="AE415">
            <v>0</v>
          </cell>
          <cell r="AF415">
            <v>0</v>
          </cell>
          <cell r="AG415">
            <v>0</v>
          </cell>
          <cell r="AH415">
            <v>0</v>
          </cell>
          <cell r="AI415">
            <v>4</v>
          </cell>
          <cell r="AK415">
            <v>0</v>
          </cell>
          <cell r="AL415">
            <v>1</v>
          </cell>
          <cell r="AN415">
            <v>4523</v>
          </cell>
          <cell r="AO415">
            <v>0</v>
          </cell>
          <cell r="AQ415">
            <v>0</v>
          </cell>
          <cell r="AR415">
            <v>11</v>
          </cell>
          <cell r="AS415">
            <v>3</v>
          </cell>
          <cell r="AT415">
            <v>4</v>
          </cell>
          <cell r="AU415">
            <v>3</v>
          </cell>
          <cell r="AV415">
            <v>7</v>
          </cell>
          <cell r="AW415">
            <v>7</v>
          </cell>
          <cell r="AX415">
            <v>4</v>
          </cell>
          <cell r="AY415">
            <v>4</v>
          </cell>
          <cell r="AZ415">
            <v>6</v>
          </cell>
          <cell r="BA415">
            <v>6</v>
          </cell>
          <cell r="BB415">
            <v>5</v>
          </cell>
          <cell r="BC415">
            <v>0</v>
          </cell>
          <cell r="BD415">
            <v>0</v>
          </cell>
          <cell r="BE415">
            <v>4</v>
          </cell>
          <cell r="BF415">
            <v>4</v>
          </cell>
          <cell r="BG415">
            <v>8</v>
          </cell>
          <cell r="BH415">
            <v>0</v>
          </cell>
          <cell r="BI415">
            <v>0</v>
          </cell>
          <cell r="BJ415">
            <v>0</v>
          </cell>
          <cell r="BK415">
            <v>1</v>
          </cell>
          <cell r="BL415">
            <v>0</v>
          </cell>
          <cell r="BM415">
            <v>0</v>
          </cell>
          <cell r="BN415">
            <v>1</v>
          </cell>
          <cell r="BO415">
            <v>0</v>
          </cell>
          <cell r="BP415">
            <v>0</v>
          </cell>
          <cell r="BQ415">
            <v>4</v>
          </cell>
          <cell r="BR415">
            <v>0</v>
          </cell>
          <cell r="BS415">
            <v>0</v>
          </cell>
          <cell r="BT415">
            <v>7</v>
          </cell>
          <cell r="BU415">
            <v>0</v>
          </cell>
        </row>
        <row r="416">
          <cell r="A416">
            <v>24</v>
          </cell>
          <cell r="B416">
            <v>24</v>
          </cell>
          <cell r="D416">
            <v>1</v>
          </cell>
          <cell r="F416">
            <v>0</v>
          </cell>
          <cell r="G416">
            <v>1</v>
          </cell>
          <cell r="I416">
            <v>0</v>
          </cell>
          <cell r="J416">
            <v>1</v>
          </cell>
          <cell r="K416">
            <v>1</v>
          </cell>
          <cell r="L416">
            <v>1</v>
          </cell>
          <cell r="M416">
            <v>1</v>
          </cell>
          <cell r="O416">
            <v>0</v>
          </cell>
          <cell r="P416">
            <v>0</v>
          </cell>
          <cell r="Q416">
            <v>0</v>
          </cell>
          <cell r="R416">
            <v>0</v>
          </cell>
          <cell r="S416">
            <v>1</v>
          </cell>
          <cell r="T416">
            <v>1</v>
          </cell>
          <cell r="V416">
            <v>1</v>
          </cell>
          <cell r="W416">
            <v>62</v>
          </cell>
          <cell r="X416">
            <v>3</v>
          </cell>
          <cell r="Y416">
            <v>1</v>
          </cell>
          <cell r="AA416">
            <v>0</v>
          </cell>
          <cell r="AB416">
            <v>0</v>
          </cell>
          <cell r="AC416">
            <v>0</v>
          </cell>
          <cell r="AD416">
            <v>0</v>
          </cell>
          <cell r="AE416">
            <v>0</v>
          </cell>
          <cell r="AF416">
            <v>0</v>
          </cell>
          <cell r="AG416">
            <v>1</v>
          </cell>
          <cell r="AH416">
            <v>0</v>
          </cell>
          <cell r="AI416">
            <v>2</v>
          </cell>
          <cell r="AK416">
            <v>1</v>
          </cell>
          <cell r="AL416">
            <v>0</v>
          </cell>
          <cell r="AN416">
            <v>3202</v>
          </cell>
          <cell r="AO416">
            <v>1</v>
          </cell>
          <cell r="AQ416">
            <v>1</v>
          </cell>
          <cell r="AR416">
            <v>16</v>
          </cell>
          <cell r="AS416">
            <v>3</v>
          </cell>
          <cell r="AT416">
            <v>2</v>
          </cell>
          <cell r="AU416">
            <v>0</v>
          </cell>
          <cell r="AV416">
            <v>6</v>
          </cell>
          <cell r="AW416">
            <v>6</v>
          </cell>
          <cell r="AX416">
            <v>4</v>
          </cell>
          <cell r="AY416">
            <v>3</v>
          </cell>
          <cell r="AZ416">
            <v>5</v>
          </cell>
          <cell r="BA416">
            <v>5</v>
          </cell>
          <cell r="BB416">
            <v>3</v>
          </cell>
          <cell r="BC416">
            <v>1</v>
          </cell>
          <cell r="BD416">
            <v>1</v>
          </cell>
          <cell r="BE416">
            <v>4</v>
          </cell>
          <cell r="BF416">
            <v>4</v>
          </cell>
          <cell r="BG416">
            <v>4</v>
          </cell>
          <cell r="BH416">
            <v>1</v>
          </cell>
          <cell r="BI416">
            <v>0</v>
          </cell>
          <cell r="BJ416">
            <v>0</v>
          </cell>
          <cell r="BK416">
            <v>0</v>
          </cell>
          <cell r="BL416">
            <v>0</v>
          </cell>
          <cell r="BM416">
            <v>1</v>
          </cell>
          <cell r="BN416">
            <v>0</v>
          </cell>
          <cell r="BO416">
            <v>0</v>
          </cell>
          <cell r="BP416">
            <v>0</v>
          </cell>
          <cell r="BQ416">
            <v>0</v>
          </cell>
          <cell r="BR416">
            <v>4</v>
          </cell>
          <cell r="BS416">
            <v>0</v>
          </cell>
          <cell r="BT416">
            <v>0</v>
          </cell>
          <cell r="BU416">
            <v>6</v>
          </cell>
        </row>
        <row r="417">
          <cell r="A417">
            <v>34</v>
          </cell>
          <cell r="B417">
            <v>34</v>
          </cell>
          <cell r="D417">
            <v>1</v>
          </cell>
          <cell r="F417">
            <v>1</v>
          </cell>
          <cell r="G417">
            <v>0</v>
          </cell>
          <cell r="I417">
            <v>0</v>
          </cell>
          <cell r="J417">
            <v>1</v>
          </cell>
          <cell r="K417">
            <v>6</v>
          </cell>
          <cell r="L417">
            <v>6</v>
          </cell>
          <cell r="M417">
            <v>2</v>
          </cell>
          <cell r="O417">
            <v>0</v>
          </cell>
          <cell r="P417">
            <v>0</v>
          </cell>
          <cell r="Q417">
            <v>0</v>
          </cell>
          <cell r="R417">
            <v>1</v>
          </cell>
          <cell r="S417">
            <v>0</v>
          </cell>
          <cell r="T417">
            <v>4</v>
          </cell>
          <cell r="V417">
            <v>1</v>
          </cell>
          <cell r="W417">
            <v>33</v>
          </cell>
          <cell r="X417">
            <v>1</v>
          </cell>
          <cell r="Y417">
            <v>1</v>
          </cell>
          <cell r="AA417">
            <v>0</v>
          </cell>
          <cell r="AB417">
            <v>0</v>
          </cell>
          <cell r="AC417">
            <v>0</v>
          </cell>
          <cell r="AD417">
            <v>0</v>
          </cell>
          <cell r="AE417">
            <v>0</v>
          </cell>
          <cell r="AF417">
            <v>0</v>
          </cell>
          <cell r="AG417">
            <v>1</v>
          </cell>
          <cell r="AH417">
            <v>0</v>
          </cell>
          <cell r="AI417">
            <v>3</v>
          </cell>
          <cell r="AK417">
            <v>0</v>
          </cell>
          <cell r="AL417">
            <v>0</v>
          </cell>
          <cell r="AN417">
            <v>2351</v>
          </cell>
          <cell r="AO417">
            <v>0</v>
          </cell>
          <cell r="AQ417">
            <v>0</v>
          </cell>
          <cell r="AR417">
            <v>16</v>
          </cell>
          <cell r="AS417">
            <v>3</v>
          </cell>
          <cell r="AT417">
            <v>4</v>
          </cell>
          <cell r="AU417">
            <v>1</v>
          </cell>
          <cell r="AV417">
            <v>3</v>
          </cell>
          <cell r="AW417">
            <v>3</v>
          </cell>
          <cell r="AX417">
            <v>3</v>
          </cell>
          <cell r="AY417">
            <v>2</v>
          </cell>
          <cell r="AZ417">
            <v>2</v>
          </cell>
          <cell r="BA417">
            <v>2</v>
          </cell>
          <cell r="BB417">
            <v>2</v>
          </cell>
          <cell r="BC417">
            <v>1</v>
          </cell>
          <cell r="BD417">
            <v>1</v>
          </cell>
          <cell r="BE417">
            <v>0</v>
          </cell>
          <cell r="BF417">
            <v>0</v>
          </cell>
          <cell r="BG417">
            <v>0</v>
          </cell>
          <cell r="BH417">
            <v>0</v>
          </cell>
          <cell r="BI417">
            <v>0</v>
          </cell>
          <cell r="BJ417">
            <v>1</v>
          </cell>
          <cell r="BK417">
            <v>0</v>
          </cell>
          <cell r="BL417">
            <v>1</v>
          </cell>
          <cell r="BM417">
            <v>0</v>
          </cell>
          <cell r="BN417">
            <v>0</v>
          </cell>
          <cell r="BO417">
            <v>0</v>
          </cell>
          <cell r="BP417">
            <v>0</v>
          </cell>
          <cell r="BQ417">
            <v>0</v>
          </cell>
          <cell r="BR417">
            <v>0</v>
          </cell>
          <cell r="BS417">
            <v>0</v>
          </cell>
          <cell r="BT417">
            <v>0</v>
          </cell>
          <cell r="BU417">
            <v>3</v>
          </cell>
        </row>
        <row r="418">
          <cell r="A418">
            <v>38</v>
          </cell>
          <cell r="B418">
            <v>38</v>
          </cell>
          <cell r="D418">
            <v>0</v>
          </cell>
          <cell r="F418">
            <v>1</v>
          </cell>
          <cell r="G418">
            <v>0</v>
          </cell>
          <cell r="I418">
            <v>1</v>
          </cell>
          <cell r="J418">
            <v>0</v>
          </cell>
          <cell r="K418">
            <v>2</v>
          </cell>
          <cell r="L418">
            <v>2</v>
          </cell>
          <cell r="M418">
            <v>2</v>
          </cell>
          <cell r="O418">
            <v>1</v>
          </cell>
          <cell r="P418">
            <v>0</v>
          </cell>
          <cell r="Q418">
            <v>0</v>
          </cell>
          <cell r="R418">
            <v>0</v>
          </cell>
          <cell r="S418">
            <v>0</v>
          </cell>
          <cell r="T418">
            <v>4</v>
          </cell>
          <cell r="V418">
            <v>0</v>
          </cell>
          <cell r="W418">
            <v>42</v>
          </cell>
          <cell r="X418">
            <v>3</v>
          </cell>
          <cell r="Y418">
            <v>1</v>
          </cell>
          <cell r="AA418">
            <v>0</v>
          </cell>
          <cell r="AB418">
            <v>0</v>
          </cell>
          <cell r="AC418">
            <v>1</v>
          </cell>
          <cell r="AD418">
            <v>0</v>
          </cell>
          <cell r="AE418">
            <v>0</v>
          </cell>
          <cell r="AF418">
            <v>0</v>
          </cell>
          <cell r="AG418">
            <v>0</v>
          </cell>
          <cell r="AH418">
            <v>0</v>
          </cell>
          <cell r="AI418">
            <v>4</v>
          </cell>
          <cell r="AK418">
            <v>0</v>
          </cell>
          <cell r="AL418">
            <v>1</v>
          </cell>
          <cell r="AN418">
            <v>1702</v>
          </cell>
          <cell r="AO418">
            <v>1</v>
          </cell>
          <cell r="AQ418">
            <v>1</v>
          </cell>
          <cell r="AR418">
            <v>23</v>
          </cell>
          <cell r="AS418">
            <v>4</v>
          </cell>
          <cell r="AT418">
            <v>3</v>
          </cell>
          <cell r="AU418">
            <v>1</v>
          </cell>
          <cell r="AV418">
            <v>1</v>
          </cell>
          <cell r="AW418">
            <v>1</v>
          </cell>
          <cell r="AX418">
            <v>3</v>
          </cell>
          <cell r="AY418">
            <v>3</v>
          </cell>
          <cell r="AZ418">
            <v>1</v>
          </cell>
          <cell r="BA418">
            <v>1</v>
          </cell>
          <cell r="BB418">
            <v>0</v>
          </cell>
          <cell r="BC418">
            <v>0</v>
          </cell>
          <cell r="BD418">
            <v>0</v>
          </cell>
          <cell r="BE418">
            <v>0</v>
          </cell>
          <cell r="BF418">
            <v>0</v>
          </cell>
          <cell r="BG418">
            <v>0</v>
          </cell>
          <cell r="BH418">
            <v>0</v>
          </cell>
          <cell r="BI418">
            <v>0</v>
          </cell>
          <cell r="BJ418">
            <v>0</v>
          </cell>
          <cell r="BK418">
            <v>1</v>
          </cell>
          <cell r="BL418">
            <v>0</v>
          </cell>
          <cell r="BM418">
            <v>0</v>
          </cell>
          <cell r="BN418">
            <v>0</v>
          </cell>
          <cell r="BO418">
            <v>1</v>
          </cell>
          <cell r="BP418">
            <v>0</v>
          </cell>
          <cell r="BQ418">
            <v>0</v>
          </cell>
          <cell r="BR418">
            <v>0</v>
          </cell>
          <cell r="BS418">
            <v>0</v>
          </cell>
          <cell r="BT418">
            <v>1</v>
          </cell>
          <cell r="BU418">
            <v>0</v>
          </cell>
        </row>
        <row r="419">
          <cell r="A419">
            <v>40</v>
          </cell>
          <cell r="B419">
            <v>40</v>
          </cell>
          <cell r="D419">
            <v>0</v>
          </cell>
          <cell r="F419">
            <v>0</v>
          </cell>
          <cell r="G419">
            <v>1</v>
          </cell>
          <cell r="I419">
            <v>0</v>
          </cell>
          <cell r="J419">
            <v>1</v>
          </cell>
          <cell r="K419">
            <v>2</v>
          </cell>
          <cell r="L419">
            <v>2</v>
          </cell>
          <cell r="M419">
            <v>4</v>
          </cell>
          <cell r="O419">
            <v>1</v>
          </cell>
          <cell r="P419">
            <v>0</v>
          </cell>
          <cell r="Q419">
            <v>0</v>
          </cell>
          <cell r="R419">
            <v>0</v>
          </cell>
          <cell r="S419">
            <v>0</v>
          </cell>
          <cell r="T419">
            <v>3</v>
          </cell>
          <cell r="V419">
            <v>1</v>
          </cell>
          <cell r="W419">
            <v>79</v>
          </cell>
          <cell r="X419">
            <v>3</v>
          </cell>
          <cell r="Y419">
            <v>5</v>
          </cell>
          <cell r="AA419">
            <v>0</v>
          </cell>
          <cell r="AB419">
            <v>0</v>
          </cell>
          <cell r="AC419">
            <v>0</v>
          </cell>
          <cell r="AD419">
            <v>1</v>
          </cell>
          <cell r="AE419">
            <v>0</v>
          </cell>
          <cell r="AF419">
            <v>0</v>
          </cell>
          <cell r="AG419">
            <v>0</v>
          </cell>
          <cell r="AH419">
            <v>0</v>
          </cell>
          <cell r="AI419">
            <v>3</v>
          </cell>
          <cell r="AK419">
            <v>0</v>
          </cell>
          <cell r="AL419">
            <v>1</v>
          </cell>
          <cell r="AN419">
            <v>18041</v>
          </cell>
          <cell r="AO419">
            <v>0</v>
          </cell>
          <cell r="AQ419">
            <v>0</v>
          </cell>
          <cell r="AR419">
            <v>14</v>
          </cell>
          <cell r="AS419">
            <v>3</v>
          </cell>
          <cell r="AT419">
            <v>4</v>
          </cell>
          <cell r="AU419">
            <v>0</v>
          </cell>
          <cell r="AV419">
            <v>21</v>
          </cell>
          <cell r="AW419">
            <v>21</v>
          </cell>
          <cell r="AX419">
            <v>2</v>
          </cell>
          <cell r="AY419">
            <v>3</v>
          </cell>
          <cell r="AZ419">
            <v>20</v>
          </cell>
          <cell r="BA419">
            <v>20</v>
          </cell>
          <cell r="BB419">
            <v>15</v>
          </cell>
          <cell r="BC419">
            <v>1</v>
          </cell>
          <cell r="BD419">
            <v>1</v>
          </cell>
          <cell r="BE419">
            <v>12</v>
          </cell>
          <cell r="BF419">
            <v>12</v>
          </cell>
          <cell r="BG419">
            <v>60</v>
          </cell>
          <cell r="BH419">
            <v>0</v>
          </cell>
          <cell r="BI419">
            <v>1</v>
          </cell>
          <cell r="BJ419">
            <v>0</v>
          </cell>
          <cell r="BK419">
            <v>0</v>
          </cell>
          <cell r="BL419">
            <v>0</v>
          </cell>
          <cell r="BM419">
            <v>0</v>
          </cell>
          <cell r="BN419">
            <v>1</v>
          </cell>
          <cell r="BO419">
            <v>0</v>
          </cell>
          <cell r="BP419">
            <v>0</v>
          </cell>
          <cell r="BQ419">
            <v>0</v>
          </cell>
          <cell r="BR419">
            <v>12</v>
          </cell>
          <cell r="BS419">
            <v>0</v>
          </cell>
          <cell r="BT419">
            <v>0</v>
          </cell>
          <cell r="BU419">
            <v>21</v>
          </cell>
        </row>
        <row r="420">
          <cell r="A420">
            <v>26</v>
          </cell>
          <cell r="B420">
            <v>26</v>
          </cell>
          <cell r="D420">
            <v>0</v>
          </cell>
          <cell r="F420">
            <v>0</v>
          </cell>
          <cell r="G420">
            <v>1</v>
          </cell>
          <cell r="I420">
            <v>1</v>
          </cell>
          <cell r="J420">
            <v>0</v>
          </cell>
          <cell r="K420">
            <v>23</v>
          </cell>
          <cell r="L420">
            <v>23</v>
          </cell>
          <cell r="M420">
            <v>3</v>
          </cell>
          <cell r="O420">
            <v>1</v>
          </cell>
          <cell r="P420">
            <v>0</v>
          </cell>
          <cell r="Q420">
            <v>0</v>
          </cell>
          <cell r="R420">
            <v>0</v>
          </cell>
          <cell r="S420">
            <v>0</v>
          </cell>
          <cell r="T420">
            <v>1</v>
          </cell>
          <cell r="V420">
            <v>1</v>
          </cell>
          <cell r="W420">
            <v>90</v>
          </cell>
          <cell r="X420">
            <v>3</v>
          </cell>
          <cell r="Y420">
            <v>1</v>
          </cell>
          <cell r="AA420">
            <v>0</v>
          </cell>
          <cell r="AB420">
            <v>0</v>
          </cell>
          <cell r="AC420">
            <v>0</v>
          </cell>
          <cell r="AD420">
            <v>0</v>
          </cell>
          <cell r="AE420">
            <v>0</v>
          </cell>
          <cell r="AF420">
            <v>0</v>
          </cell>
          <cell r="AG420">
            <v>0</v>
          </cell>
          <cell r="AH420">
            <v>1</v>
          </cell>
          <cell r="AI420">
            <v>4</v>
          </cell>
          <cell r="AK420">
            <v>0</v>
          </cell>
          <cell r="AL420">
            <v>0</v>
          </cell>
          <cell r="AN420">
            <v>2886</v>
          </cell>
          <cell r="AO420">
            <v>1</v>
          </cell>
          <cell r="AQ420">
            <v>0</v>
          </cell>
          <cell r="AR420">
            <v>22</v>
          </cell>
          <cell r="AS420">
            <v>4</v>
          </cell>
          <cell r="AT420">
            <v>2</v>
          </cell>
          <cell r="AU420">
            <v>2</v>
          </cell>
          <cell r="AV420">
            <v>3</v>
          </cell>
          <cell r="AW420">
            <v>3</v>
          </cell>
          <cell r="AX420">
            <v>3</v>
          </cell>
          <cell r="AY420">
            <v>1</v>
          </cell>
          <cell r="AZ420">
            <v>3</v>
          </cell>
          <cell r="BA420">
            <v>3</v>
          </cell>
          <cell r="BB420">
            <v>2</v>
          </cell>
          <cell r="BC420">
            <v>0</v>
          </cell>
          <cell r="BD420">
            <v>0</v>
          </cell>
          <cell r="BE420">
            <v>2</v>
          </cell>
          <cell r="BF420">
            <v>2</v>
          </cell>
          <cell r="BG420">
            <v>2</v>
          </cell>
          <cell r="BH420">
            <v>1</v>
          </cell>
          <cell r="BI420">
            <v>0</v>
          </cell>
          <cell r="BJ420">
            <v>0</v>
          </cell>
          <cell r="BK420">
            <v>0</v>
          </cell>
          <cell r="BL420">
            <v>1</v>
          </cell>
          <cell r="BM420">
            <v>0</v>
          </cell>
          <cell r="BN420">
            <v>0</v>
          </cell>
          <cell r="BO420">
            <v>0</v>
          </cell>
          <cell r="BP420">
            <v>0</v>
          </cell>
          <cell r="BQ420">
            <v>2</v>
          </cell>
          <cell r="BR420">
            <v>0</v>
          </cell>
          <cell r="BS420">
            <v>0</v>
          </cell>
          <cell r="BT420">
            <v>3</v>
          </cell>
          <cell r="BU420">
            <v>0</v>
          </cell>
        </row>
        <row r="421">
          <cell r="A421">
            <v>30</v>
          </cell>
          <cell r="B421">
            <v>30</v>
          </cell>
          <cell r="D421">
            <v>0</v>
          </cell>
          <cell r="F421">
            <v>0</v>
          </cell>
          <cell r="G421">
            <v>0</v>
          </cell>
          <cell r="I421">
            <v>1</v>
          </cell>
          <cell r="J421">
            <v>0</v>
          </cell>
          <cell r="K421">
            <v>3</v>
          </cell>
          <cell r="L421">
            <v>3</v>
          </cell>
          <cell r="M421">
            <v>3</v>
          </cell>
          <cell r="O421">
            <v>1</v>
          </cell>
          <cell r="P421">
            <v>0</v>
          </cell>
          <cell r="Q421">
            <v>0</v>
          </cell>
          <cell r="R421">
            <v>0</v>
          </cell>
          <cell r="S421">
            <v>0</v>
          </cell>
          <cell r="T421">
            <v>3</v>
          </cell>
          <cell r="V421">
            <v>0</v>
          </cell>
          <cell r="W421">
            <v>53</v>
          </cell>
          <cell r="X421">
            <v>3</v>
          </cell>
          <cell r="Y421">
            <v>1</v>
          </cell>
          <cell r="AA421">
            <v>0</v>
          </cell>
          <cell r="AB421">
            <v>0</v>
          </cell>
          <cell r="AC421">
            <v>1</v>
          </cell>
          <cell r="AD421">
            <v>0</v>
          </cell>
          <cell r="AE421">
            <v>0</v>
          </cell>
          <cell r="AF421">
            <v>0</v>
          </cell>
          <cell r="AG421">
            <v>0</v>
          </cell>
          <cell r="AH421">
            <v>0</v>
          </cell>
          <cell r="AI421">
            <v>4</v>
          </cell>
          <cell r="AK421">
            <v>0</v>
          </cell>
          <cell r="AL421">
            <v>1</v>
          </cell>
          <cell r="AN421">
            <v>2097</v>
          </cell>
          <cell r="AO421">
            <v>4</v>
          </cell>
          <cell r="AQ421">
            <v>0</v>
          </cell>
          <cell r="AR421">
            <v>15</v>
          </cell>
          <cell r="AS421">
            <v>3</v>
          </cell>
          <cell r="AT421">
            <v>3</v>
          </cell>
          <cell r="AU421">
            <v>1</v>
          </cell>
          <cell r="AV421">
            <v>9</v>
          </cell>
          <cell r="AW421">
            <v>9</v>
          </cell>
          <cell r="AX421">
            <v>3</v>
          </cell>
          <cell r="AY421">
            <v>1</v>
          </cell>
          <cell r="AZ421">
            <v>5</v>
          </cell>
          <cell r="BA421">
            <v>5</v>
          </cell>
          <cell r="BB421">
            <v>3</v>
          </cell>
          <cell r="BC421">
            <v>1</v>
          </cell>
          <cell r="BD421">
            <v>1</v>
          </cell>
          <cell r="BE421">
            <v>4</v>
          </cell>
          <cell r="BF421">
            <v>4</v>
          </cell>
          <cell r="BG421">
            <v>4</v>
          </cell>
          <cell r="BH421">
            <v>0</v>
          </cell>
          <cell r="BI421">
            <v>1</v>
          </cell>
          <cell r="BJ421">
            <v>0</v>
          </cell>
          <cell r="BK421">
            <v>0</v>
          </cell>
          <cell r="BL421">
            <v>0</v>
          </cell>
          <cell r="BM421">
            <v>0</v>
          </cell>
          <cell r="BN421">
            <v>1</v>
          </cell>
          <cell r="BO421">
            <v>0</v>
          </cell>
          <cell r="BP421">
            <v>0</v>
          </cell>
          <cell r="BQ421">
            <v>4</v>
          </cell>
          <cell r="BR421">
            <v>0</v>
          </cell>
          <cell r="BS421">
            <v>0</v>
          </cell>
          <cell r="BT421">
            <v>9</v>
          </cell>
          <cell r="BU421">
            <v>0</v>
          </cell>
        </row>
        <row r="422">
          <cell r="A422">
            <v>29</v>
          </cell>
          <cell r="B422">
            <v>29</v>
          </cell>
          <cell r="D422">
            <v>0</v>
          </cell>
          <cell r="F422">
            <v>0</v>
          </cell>
          <cell r="G422">
            <v>1</v>
          </cell>
          <cell r="I422">
            <v>1</v>
          </cell>
          <cell r="J422">
            <v>0</v>
          </cell>
          <cell r="K422">
            <v>3</v>
          </cell>
          <cell r="L422">
            <v>3</v>
          </cell>
          <cell r="M422">
            <v>4</v>
          </cell>
          <cell r="O422">
            <v>0</v>
          </cell>
          <cell r="P422">
            <v>0</v>
          </cell>
          <cell r="Q422">
            <v>1</v>
          </cell>
          <cell r="R422">
            <v>0</v>
          </cell>
          <cell r="S422">
            <v>0</v>
          </cell>
          <cell r="T422">
            <v>2</v>
          </cell>
          <cell r="V422">
            <v>0</v>
          </cell>
          <cell r="W422">
            <v>93</v>
          </cell>
          <cell r="X422">
            <v>2</v>
          </cell>
          <cell r="Y422">
            <v>3</v>
          </cell>
          <cell r="AA422">
            <v>0</v>
          </cell>
          <cell r="AB422">
            <v>0</v>
          </cell>
          <cell r="AC422">
            <v>0</v>
          </cell>
          <cell r="AD422">
            <v>0</v>
          </cell>
          <cell r="AE422">
            <v>0</v>
          </cell>
          <cell r="AF422">
            <v>0</v>
          </cell>
          <cell r="AG422">
            <v>0</v>
          </cell>
          <cell r="AH422">
            <v>0</v>
          </cell>
          <cell r="AI422">
            <v>3</v>
          </cell>
          <cell r="AK422">
            <v>0</v>
          </cell>
          <cell r="AL422">
            <v>1</v>
          </cell>
          <cell r="AN422">
            <v>11935</v>
          </cell>
          <cell r="AO422">
            <v>1</v>
          </cell>
          <cell r="AQ422">
            <v>0</v>
          </cell>
          <cell r="AR422">
            <v>18</v>
          </cell>
          <cell r="AS422">
            <v>3</v>
          </cell>
          <cell r="AT422">
            <v>3</v>
          </cell>
          <cell r="AU422">
            <v>0</v>
          </cell>
          <cell r="AV422">
            <v>10</v>
          </cell>
          <cell r="AW422">
            <v>10</v>
          </cell>
          <cell r="AX422">
            <v>2</v>
          </cell>
          <cell r="AY422">
            <v>3</v>
          </cell>
          <cell r="AZ422">
            <v>10</v>
          </cell>
          <cell r="BA422">
            <v>10</v>
          </cell>
          <cell r="BB422">
            <v>2</v>
          </cell>
          <cell r="BC422">
            <v>0</v>
          </cell>
          <cell r="BD422">
            <v>0</v>
          </cell>
          <cell r="BE422">
            <v>7</v>
          </cell>
          <cell r="BF422">
            <v>7</v>
          </cell>
          <cell r="BG422">
            <v>21</v>
          </cell>
          <cell r="BH422">
            <v>0</v>
          </cell>
          <cell r="BI422">
            <v>1</v>
          </cell>
          <cell r="BJ422">
            <v>0</v>
          </cell>
          <cell r="BK422">
            <v>0</v>
          </cell>
          <cell r="BL422">
            <v>0</v>
          </cell>
          <cell r="BM422">
            <v>0</v>
          </cell>
          <cell r="BN422">
            <v>1</v>
          </cell>
          <cell r="BO422">
            <v>0</v>
          </cell>
          <cell r="BP422">
            <v>0</v>
          </cell>
          <cell r="BQ422">
            <v>7</v>
          </cell>
          <cell r="BR422">
            <v>0</v>
          </cell>
          <cell r="BS422">
            <v>0</v>
          </cell>
          <cell r="BT422">
            <v>10</v>
          </cell>
          <cell r="BU422">
            <v>0</v>
          </cell>
        </row>
        <row r="423">
          <cell r="A423">
            <v>29</v>
          </cell>
          <cell r="B423">
            <v>29</v>
          </cell>
          <cell r="D423">
            <v>1</v>
          </cell>
          <cell r="F423">
            <v>0</v>
          </cell>
          <cell r="G423">
            <v>1</v>
          </cell>
          <cell r="I423">
            <v>1</v>
          </cell>
          <cell r="J423">
            <v>0</v>
          </cell>
          <cell r="K423">
            <v>25</v>
          </cell>
          <cell r="L423">
            <v>25</v>
          </cell>
          <cell r="M423">
            <v>5</v>
          </cell>
          <cell r="O423">
            <v>0</v>
          </cell>
          <cell r="P423">
            <v>0</v>
          </cell>
          <cell r="Q423">
            <v>0</v>
          </cell>
          <cell r="R423">
            <v>0</v>
          </cell>
          <cell r="S423">
            <v>1</v>
          </cell>
          <cell r="T423">
            <v>3</v>
          </cell>
          <cell r="V423">
            <v>1</v>
          </cell>
          <cell r="W423">
            <v>71</v>
          </cell>
          <cell r="X423">
            <v>2</v>
          </cell>
          <cell r="Y423">
            <v>1</v>
          </cell>
          <cell r="AA423">
            <v>0</v>
          </cell>
          <cell r="AB423">
            <v>0</v>
          </cell>
          <cell r="AC423">
            <v>0</v>
          </cell>
          <cell r="AD423">
            <v>0</v>
          </cell>
          <cell r="AE423">
            <v>0</v>
          </cell>
          <cell r="AF423">
            <v>0</v>
          </cell>
          <cell r="AG423">
            <v>0</v>
          </cell>
          <cell r="AH423">
            <v>1</v>
          </cell>
          <cell r="AI423">
            <v>2</v>
          </cell>
          <cell r="AK423">
            <v>0</v>
          </cell>
          <cell r="AL423">
            <v>1</v>
          </cell>
          <cell r="AN423">
            <v>2546</v>
          </cell>
          <cell r="AO423">
            <v>5</v>
          </cell>
          <cell r="AQ423">
            <v>0</v>
          </cell>
          <cell r="AR423">
            <v>16</v>
          </cell>
          <cell r="AS423">
            <v>3</v>
          </cell>
          <cell r="AT423">
            <v>2</v>
          </cell>
          <cell r="AU423">
            <v>0</v>
          </cell>
          <cell r="AV423">
            <v>6</v>
          </cell>
          <cell r="AW423">
            <v>6</v>
          </cell>
          <cell r="AX423">
            <v>2</v>
          </cell>
          <cell r="AY423">
            <v>4</v>
          </cell>
          <cell r="AZ423">
            <v>2</v>
          </cell>
          <cell r="BA423">
            <v>2</v>
          </cell>
          <cell r="BB423">
            <v>2</v>
          </cell>
          <cell r="BC423">
            <v>1</v>
          </cell>
          <cell r="BD423">
            <v>1</v>
          </cell>
          <cell r="BE423">
            <v>1</v>
          </cell>
          <cell r="BF423">
            <v>1</v>
          </cell>
          <cell r="BG423">
            <v>1</v>
          </cell>
          <cell r="BH423">
            <v>0</v>
          </cell>
          <cell r="BI423">
            <v>1</v>
          </cell>
          <cell r="BJ423">
            <v>0</v>
          </cell>
          <cell r="BK423">
            <v>0</v>
          </cell>
          <cell r="BL423">
            <v>0</v>
          </cell>
          <cell r="BM423">
            <v>0</v>
          </cell>
          <cell r="BN423">
            <v>1</v>
          </cell>
          <cell r="BO423">
            <v>0</v>
          </cell>
          <cell r="BP423">
            <v>0</v>
          </cell>
          <cell r="BQ423">
            <v>1</v>
          </cell>
          <cell r="BR423">
            <v>0</v>
          </cell>
          <cell r="BS423">
            <v>0</v>
          </cell>
          <cell r="BT423">
            <v>6</v>
          </cell>
          <cell r="BU423">
            <v>0</v>
          </cell>
        </row>
        <row r="424">
          <cell r="A424">
            <v>19</v>
          </cell>
          <cell r="B424">
            <v>19</v>
          </cell>
          <cell r="D424">
            <v>1</v>
          </cell>
          <cell r="F424">
            <v>0</v>
          </cell>
          <cell r="G424">
            <v>1</v>
          </cell>
          <cell r="I424">
            <v>0</v>
          </cell>
          <cell r="J424">
            <v>0</v>
          </cell>
          <cell r="K424">
            <v>2</v>
          </cell>
          <cell r="L424">
            <v>2</v>
          </cell>
          <cell r="M424">
            <v>2</v>
          </cell>
          <cell r="O424">
            <v>0</v>
          </cell>
          <cell r="P424">
            <v>0</v>
          </cell>
          <cell r="Q424">
            <v>0</v>
          </cell>
          <cell r="R424">
            <v>0</v>
          </cell>
          <cell r="S424">
            <v>1</v>
          </cell>
          <cell r="T424">
            <v>1</v>
          </cell>
          <cell r="V424">
            <v>0</v>
          </cell>
          <cell r="W424">
            <v>52</v>
          </cell>
          <cell r="X424">
            <v>2</v>
          </cell>
          <cell r="Y424">
            <v>1</v>
          </cell>
          <cell r="AA424">
            <v>0</v>
          </cell>
          <cell r="AB424">
            <v>0</v>
          </cell>
          <cell r="AC424">
            <v>0</v>
          </cell>
          <cell r="AD424">
            <v>0</v>
          </cell>
          <cell r="AE424">
            <v>0</v>
          </cell>
          <cell r="AF424">
            <v>0</v>
          </cell>
          <cell r="AG424">
            <v>0</v>
          </cell>
          <cell r="AH424">
            <v>0</v>
          </cell>
          <cell r="AI424">
            <v>4</v>
          </cell>
          <cell r="AK424">
            <v>1</v>
          </cell>
          <cell r="AL424">
            <v>0</v>
          </cell>
          <cell r="AN424">
            <v>2564</v>
          </cell>
          <cell r="AO424">
            <v>1</v>
          </cell>
          <cell r="AQ424">
            <v>0</v>
          </cell>
          <cell r="AR424">
            <v>12</v>
          </cell>
          <cell r="AS424">
            <v>3</v>
          </cell>
          <cell r="AT424">
            <v>3</v>
          </cell>
          <cell r="AU424">
            <v>0</v>
          </cell>
          <cell r="AV424">
            <v>1</v>
          </cell>
          <cell r="AW424">
            <v>1</v>
          </cell>
          <cell r="AX424">
            <v>3</v>
          </cell>
          <cell r="AY424">
            <v>4</v>
          </cell>
          <cell r="AZ424">
            <v>1</v>
          </cell>
          <cell r="BA424">
            <v>1</v>
          </cell>
          <cell r="BB424">
            <v>0</v>
          </cell>
          <cell r="BC424">
            <v>0</v>
          </cell>
          <cell r="BD424">
            <v>0</v>
          </cell>
          <cell r="BE424">
            <v>0</v>
          </cell>
          <cell r="BF424">
            <v>0</v>
          </cell>
          <cell r="BG424">
            <v>0</v>
          </cell>
          <cell r="BH424">
            <v>1</v>
          </cell>
          <cell r="BI424">
            <v>0</v>
          </cell>
          <cell r="BJ424">
            <v>0</v>
          </cell>
          <cell r="BK424">
            <v>0</v>
          </cell>
          <cell r="BL424">
            <v>1</v>
          </cell>
          <cell r="BM424">
            <v>0</v>
          </cell>
          <cell r="BN424">
            <v>0</v>
          </cell>
          <cell r="BO424">
            <v>0</v>
          </cell>
          <cell r="BP424">
            <v>0</v>
          </cell>
          <cell r="BQ424">
            <v>0</v>
          </cell>
          <cell r="BR424">
            <v>0</v>
          </cell>
          <cell r="BS424">
            <v>1</v>
          </cell>
          <cell r="BT424">
            <v>0</v>
          </cell>
          <cell r="BU424">
            <v>0</v>
          </cell>
        </row>
        <row r="425">
          <cell r="A425">
            <v>30</v>
          </cell>
          <cell r="B425">
            <v>30</v>
          </cell>
          <cell r="D425">
            <v>0</v>
          </cell>
          <cell r="F425">
            <v>0</v>
          </cell>
          <cell r="G425">
            <v>0</v>
          </cell>
          <cell r="I425">
            <v>0</v>
          </cell>
          <cell r="J425">
            <v>1</v>
          </cell>
          <cell r="K425">
            <v>22</v>
          </cell>
          <cell r="L425">
            <v>22</v>
          </cell>
          <cell r="M425">
            <v>4</v>
          </cell>
          <cell r="O425">
            <v>0</v>
          </cell>
          <cell r="P425">
            <v>1</v>
          </cell>
          <cell r="Q425">
            <v>0</v>
          </cell>
          <cell r="R425">
            <v>0</v>
          </cell>
          <cell r="S425">
            <v>0</v>
          </cell>
          <cell r="T425">
            <v>3</v>
          </cell>
          <cell r="V425">
            <v>1</v>
          </cell>
          <cell r="W425">
            <v>69</v>
          </cell>
          <cell r="X425">
            <v>3</v>
          </cell>
          <cell r="Y425">
            <v>3</v>
          </cell>
          <cell r="AA425">
            <v>0</v>
          </cell>
          <cell r="AB425">
            <v>1</v>
          </cell>
          <cell r="AC425">
            <v>0</v>
          </cell>
          <cell r="AD425">
            <v>0</v>
          </cell>
          <cell r="AE425">
            <v>0</v>
          </cell>
          <cell r="AF425">
            <v>0</v>
          </cell>
          <cell r="AG425">
            <v>0</v>
          </cell>
          <cell r="AH425">
            <v>0</v>
          </cell>
          <cell r="AI425">
            <v>1</v>
          </cell>
          <cell r="AK425">
            <v>0</v>
          </cell>
          <cell r="AL425">
            <v>1</v>
          </cell>
          <cell r="AN425">
            <v>8412</v>
          </cell>
          <cell r="AO425">
            <v>0</v>
          </cell>
          <cell r="AQ425">
            <v>0</v>
          </cell>
          <cell r="AR425">
            <v>11</v>
          </cell>
          <cell r="AS425">
            <v>3</v>
          </cell>
          <cell r="AT425">
            <v>3</v>
          </cell>
          <cell r="AU425">
            <v>0</v>
          </cell>
          <cell r="AV425">
            <v>10</v>
          </cell>
          <cell r="AW425">
            <v>10</v>
          </cell>
          <cell r="AX425">
            <v>3</v>
          </cell>
          <cell r="AY425">
            <v>3</v>
          </cell>
          <cell r="AZ425">
            <v>9</v>
          </cell>
          <cell r="BA425">
            <v>9</v>
          </cell>
          <cell r="BB425">
            <v>8</v>
          </cell>
          <cell r="BC425">
            <v>7</v>
          </cell>
          <cell r="BD425">
            <v>7</v>
          </cell>
          <cell r="BE425">
            <v>8</v>
          </cell>
          <cell r="BF425">
            <v>8</v>
          </cell>
          <cell r="BG425">
            <v>24</v>
          </cell>
          <cell r="BH425">
            <v>0</v>
          </cell>
          <cell r="BI425">
            <v>1</v>
          </cell>
          <cell r="BJ425">
            <v>0</v>
          </cell>
          <cell r="BK425">
            <v>0</v>
          </cell>
          <cell r="BL425">
            <v>0</v>
          </cell>
          <cell r="BM425">
            <v>0</v>
          </cell>
          <cell r="BN425">
            <v>1</v>
          </cell>
          <cell r="BO425">
            <v>0</v>
          </cell>
          <cell r="BP425">
            <v>0</v>
          </cell>
          <cell r="BQ425">
            <v>0</v>
          </cell>
          <cell r="BR425">
            <v>8</v>
          </cell>
          <cell r="BS425">
            <v>0</v>
          </cell>
          <cell r="BT425">
            <v>0</v>
          </cell>
          <cell r="BU425">
            <v>10</v>
          </cell>
        </row>
        <row r="426">
          <cell r="A426">
            <v>57</v>
          </cell>
          <cell r="B426">
            <v>57</v>
          </cell>
          <cell r="D426">
            <v>0</v>
          </cell>
          <cell r="F426">
            <v>0</v>
          </cell>
          <cell r="G426">
            <v>1</v>
          </cell>
          <cell r="I426">
            <v>0</v>
          </cell>
          <cell r="J426">
            <v>1</v>
          </cell>
          <cell r="K426">
            <v>29</v>
          </cell>
          <cell r="L426">
            <v>29</v>
          </cell>
          <cell r="M426">
            <v>3</v>
          </cell>
          <cell r="O426">
            <v>0</v>
          </cell>
          <cell r="P426">
            <v>0</v>
          </cell>
          <cell r="Q426">
            <v>0</v>
          </cell>
          <cell r="R426">
            <v>1</v>
          </cell>
          <cell r="S426">
            <v>0</v>
          </cell>
          <cell r="T426">
            <v>1</v>
          </cell>
          <cell r="V426">
            <v>0</v>
          </cell>
          <cell r="W426">
            <v>56</v>
          </cell>
          <cell r="X426">
            <v>2</v>
          </cell>
          <cell r="Y426">
            <v>4</v>
          </cell>
          <cell r="AA426">
            <v>0</v>
          </cell>
          <cell r="AB426">
            <v>0</v>
          </cell>
          <cell r="AC426">
            <v>0</v>
          </cell>
          <cell r="AD426">
            <v>1</v>
          </cell>
          <cell r="AE426">
            <v>0</v>
          </cell>
          <cell r="AF426">
            <v>0</v>
          </cell>
          <cell r="AG426">
            <v>0</v>
          </cell>
          <cell r="AH426">
            <v>0</v>
          </cell>
          <cell r="AI426">
            <v>4</v>
          </cell>
          <cell r="AK426">
            <v>0</v>
          </cell>
          <cell r="AL426">
            <v>0</v>
          </cell>
          <cell r="AN426">
            <v>14118</v>
          </cell>
          <cell r="AO426">
            <v>3</v>
          </cell>
          <cell r="AQ426">
            <v>0</v>
          </cell>
          <cell r="AR426">
            <v>12</v>
          </cell>
          <cell r="AS426">
            <v>3</v>
          </cell>
          <cell r="AT426">
            <v>3</v>
          </cell>
          <cell r="AU426">
            <v>1</v>
          </cell>
          <cell r="AV426">
            <v>32</v>
          </cell>
          <cell r="AW426">
            <v>32</v>
          </cell>
          <cell r="AX426">
            <v>3</v>
          </cell>
          <cell r="AY426">
            <v>2</v>
          </cell>
          <cell r="AZ426">
            <v>1</v>
          </cell>
          <cell r="BA426">
            <v>1</v>
          </cell>
          <cell r="BB426">
            <v>0</v>
          </cell>
          <cell r="BC426">
            <v>0</v>
          </cell>
          <cell r="BD426">
            <v>0</v>
          </cell>
          <cell r="BE426">
            <v>0</v>
          </cell>
          <cell r="BF426">
            <v>0</v>
          </cell>
          <cell r="BG426">
            <v>0</v>
          </cell>
          <cell r="BH426">
            <v>1</v>
          </cell>
          <cell r="BI426">
            <v>0</v>
          </cell>
          <cell r="BJ426">
            <v>0</v>
          </cell>
          <cell r="BK426">
            <v>0</v>
          </cell>
          <cell r="BL426">
            <v>1</v>
          </cell>
          <cell r="BM426">
            <v>0</v>
          </cell>
          <cell r="BN426">
            <v>0</v>
          </cell>
          <cell r="BO426">
            <v>0</v>
          </cell>
          <cell r="BP426">
            <v>0</v>
          </cell>
          <cell r="BQ426">
            <v>0</v>
          </cell>
          <cell r="BR426">
            <v>0</v>
          </cell>
          <cell r="BS426">
            <v>0</v>
          </cell>
          <cell r="BT426">
            <v>0</v>
          </cell>
          <cell r="BU426">
            <v>32</v>
          </cell>
        </row>
        <row r="427">
          <cell r="A427">
            <v>50</v>
          </cell>
          <cell r="B427">
            <v>50</v>
          </cell>
          <cell r="D427">
            <v>0</v>
          </cell>
          <cell r="F427">
            <v>0</v>
          </cell>
          <cell r="G427">
            <v>1</v>
          </cell>
          <cell r="I427">
            <v>1</v>
          </cell>
          <cell r="J427">
            <v>0</v>
          </cell>
          <cell r="K427">
            <v>29</v>
          </cell>
          <cell r="L427">
            <v>29</v>
          </cell>
          <cell r="M427">
            <v>4</v>
          </cell>
          <cell r="O427">
            <v>1</v>
          </cell>
          <cell r="P427">
            <v>0</v>
          </cell>
          <cell r="Q427">
            <v>0</v>
          </cell>
          <cell r="R427">
            <v>0</v>
          </cell>
          <cell r="S427">
            <v>0</v>
          </cell>
          <cell r="T427">
            <v>2</v>
          </cell>
          <cell r="V427">
            <v>0</v>
          </cell>
          <cell r="W427">
            <v>88</v>
          </cell>
          <cell r="X427">
            <v>2</v>
          </cell>
          <cell r="Y427">
            <v>4</v>
          </cell>
          <cell r="AA427">
            <v>0</v>
          </cell>
          <cell r="AB427">
            <v>0</v>
          </cell>
          <cell r="AC427">
            <v>0</v>
          </cell>
          <cell r="AD427">
            <v>1</v>
          </cell>
          <cell r="AE427">
            <v>0</v>
          </cell>
          <cell r="AF427">
            <v>0</v>
          </cell>
          <cell r="AG427">
            <v>0</v>
          </cell>
          <cell r="AH427">
            <v>0</v>
          </cell>
          <cell r="AI427">
            <v>3</v>
          </cell>
          <cell r="AK427">
            <v>0</v>
          </cell>
          <cell r="AL427">
            <v>1</v>
          </cell>
          <cell r="AN427">
            <v>17046</v>
          </cell>
          <cell r="AO427">
            <v>0</v>
          </cell>
          <cell r="AQ427">
            <v>0</v>
          </cell>
          <cell r="AR427">
            <v>15</v>
          </cell>
          <cell r="AS427">
            <v>3</v>
          </cell>
          <cell r="AT427">
            <v>2</v>
          </cell>
          <cell r="AU427">
            <v>1</v>
          </cell>
          <cell r="AV427">
            <v>28</v>
          </cell>
          <cell r="AW427">
            <v>28</v>
          </cell>
          <cell r="AX427">
            <v>2</v>
          </cell>
          <cell r="AY427">
            <v>3</v>
          </cell>
          <cell r="AZ427">
            <v>27</v>
          </cell>
          <cell r="BA427">
            <v>27</v>
          </cell>
          <cell r="BB427">
            <v>10</v>
          </cell>
          <cell r="BC427">
            <v>15</v>
          </cell>
          <cell r="BD427">
            <v>14</v>
          </cell>
          <cell r="BE427">
            <v>7</v>
          </cell>
          <cell r="BF427">
            <v>7</v>
          </cell>
          <cell r="BG427">
            <v>28</v>
          </cell>
          <cell r="BH427">
            <v>0</v>
          </cell>
          <cell r="BI427">
            <v>1</v>
          </cell>
          <cell r="BJ427">
            <v>0</v>
          </cell>
          <cell r="BK427">
            <v>0</v>
          </cell>
          <cell r="BL427">
            <v>0</v>
          </cell>
          <cell r="BM427">
            <v>0</v>
          </cell>
          <cell r="BN427">
            <v>1</v>
          </cell>
          <cell r="BO427">
            <v>0</v>
          </cell>
          <cell r="BP427">
            <v>0</v>
          </cell>
          <cell r="BQ427">
            <v>7</v>
          </cell>
          <cell r="BR427">
            <v>0</v>
          </cell>
          <cell r="BS427">
            <v>0</v>
          </cell>
          <cell r="BT427">
            <v>28</v>
          </cell>
          <cell r="BU427">
            <v>0</v>
          </cell>
        </row>
        <row r="428">
          <cell r="A428">
            <v>30</v>
          </cell>
          <cell r="B428">
            <v>30</v>
          </cell>
          <cell r="D428">
            <v>0</v>
          </cell>
          <cell r="F428">
            <v>0</v>
          </cell>
          <cell r="G428">
            <v>0</v>
          </cell>
          <cell r="I428">
            <v>1</v>
          </cell>
          <cell r="J428">
            <v>0</v>
          </cell>
          <cell r="K428">
            <v>2</v>
          </cell>
          <cell r="L428">
            <v>2</v>
          </cell>
          <cell r="M428">
            <v>3</v>
          </cell>
          <cell r="O428">
            <v>0</v>
          </cell>
          <cell r="P428">
            <v>0</v>
          </cell>
          <cell r="Q428">
            <v>1</v>
          </cell>
          <cell r="R428">
            <v>0</v>
          </cell>
          <cell r="S428">
            <v>0</v>
          </cell>
          <cell r="T428">
            <v>3</v>
          </cell>
          <cell r="V428">
            <v>1</v>
          </cell>
          <cell r="W428">
            <v>49</v>
          </cell>
          <cell r="X428">
            <v>3</v>
          </cell>
          <cell r="Y428">
            <v>1</v>
          </cell>
          <cell r="AA428">
            <v>0</v>
          </cell>
          <cell r="AB428">
            <v>0</v>
          </cell>
          <cell r="AC428">
            <v>1</v>
          </cell>
          <cell r="AD428">
            <v>0</v>
          </cell>
          <cell r="AE428">
            <v>0</v>
          </cell>
          <cell r="AF428">
            <v>0</v>
          </cell>
          <cell r="AG428">
            <v>0</v>
          </cell>
          <cell r="AH428">
            <v>0</v>
          </cell>
          <cell r="AI428">
            <v>4</v>
          </cell>
          <cell r="AK428">
            <v>1</v>
          </cell>
          <cell r="AL428">
            <v>0</v>
          </cell>
          <cell r="AN428">
            <v>2564</v>
          </cell>
          <cell r="AO428">
            <v>0</v>
          </cell>
          <cell r="AQ428">
            <v>0</v>
          </cell>
          <cell r="AR428">
            <v>14</v>
          </cell>
          <cell r="AS428">
            <v>3</v>
          </cell>
          <cell r="AT428">
            <v>3</v>
          </cell>
          <cell r="AU428">
            <v>0</v>
          </cell>
          <cell r="AV428">
            <v>12</v>
          </cell>
          <cell r="AW428">
            <v>12</v>
          </cell>
          <cell r="AX428">
            <v>2</v>
          </cell>
          <cell r="AY428">
            <v>2</v>
          </cell>
          <cell r="AZ428">
            <v>11</v>
          </cell>
          <cell r="BA428">
            <v>11</v>
          </cell>
          <cell r="BB428">
            <v>7</v>
          </cell>
          <cell r="BC428">
            <v>6</v>
          </cell>
          <cell r="BD428">
            <v>6</v>
          </cell>
          <cell r="BE428">
            <v>7</v>
          </cell>
          <cell r="BF428">
            <v>7</v>
          </cell>
          <cell r="BG428">
            <v>7</v>
          </cell>
          <cell r="BH428">
            <v>1</v>
          </cell>
          <cell r="BI428">
            <v>0</v>
          </cell>
          <cell r="BJ428">
            <v>0</v>
          </cell>
          <cell r="BK428">
            <v>0</v>
          </cell>
          <cell r="BL428">
            <v>1</v>
          </cell>
          <cell r="BM428">
            <v>0</v>
          </cell>
          <cell r="BN428">
            <v>0</v>
          </cell>
          <cell r="BO428">
            <v>0</v>
          </cell>
          <cell r="BP428">
            <v>0</v>
          </cell>
          <cell r="BQ428">
            <v>7</v>
          </cell>
          <cell r="BR428">
            <v>0</v>
          </cell>
          <cell r="BS428">
            <v>0</v>
          </cell>
          <cell r="BT428">
            <v>12</v>
          </cell>
          <cell r="BU428">
            <v>0</v>
          </cell>
        </row>
        <row r="429">
          <cell r="A429">
            <v>60</v>
          </cell>
          <cell r="B429">
            <v>58.309999999999945</v>
          </cell>
          <cell r="D429">
            <v>0</v>
          </cell>
          <cell r="F429">
            <v>1</v>
          </cell>
          <cell r="G429">
            <v>0</v>
          </cell>
          <cell r="I429">
            <v>0</v>
          </cell>
          <cell r="J429">
            <v>1</v>
          </cell>
          <cell r="K429">
            <v>28</v>
          </cell>
          <cell r="L429">
            <v>28</v>
          </cell>
          <cell r="M429">
            <v>3</v>
          </cell>
          <cell r="O429">
            <v>0</v>
          </cell>
          <cell r="P429">
            <v>0</v>
          </cell>
          <cell r="Q429">
            <v>0</v>
          </cell>
          <cell r="R429">
            <v>1</v>
          </cell>
          <cell r="S429">
            <v>0</v>
          </cell>
          <cell r="T429">
            <v>3</v>
          </cell>
          <cell r="V429">
            <v>1</v>
          </cell>
          <cell r="W429">
            <v>80</v>
          </cell>
          <cell r="X429">
            <v>2</v>
          </cell>
          <cell r="Y429">
            <v>3</v>
          </cell>
          <cell r="AA429">
            <v>0</v>
          </cell>
          <cell r="AB429">
            <v>1</v>
          </cell>
          <cell r="AC429">
            <v>0</v>
          </cell>
          <cell r="AD429">
            <v>0</v>
          </cell>
          <cell r="AE429">
            <v>0</v>
          </cell>
          <cell r="AF429">
            <v>0</v>
          </cell>
          <cell r="AG429">
            <v>0</v>
          </cell>
          <cell r="AH429">
            <v>0</v>
          </cell>
          <cell r="AI429">
            <v>1</v>
          </cell>
          <cell r="AK429">
            <v>0</v>
          </cell>
          <cell r="AL429">
            <v>1</v>
          </cell>
          <cell r="AN429">
            <v>10266</v>
          </cell>
          <cell r="AO429">
            <v>4</v>
          </cell>
          <cell r="AQ429">
            <v>0</v>
          </cell>
          <cell r="AR429">
            <v>19</v>
          </cell>
          <cell r="AS429">
            <v>3</v>
          </cell>
          <cell r="AT429">
            <v>4</v>
          </cell>
          <cell r="AU429">
            <v>0</v>
          </cell>
          <cell r="AV429">
            <v>22</v>
          </cell>
          <cell r="AW429">
            <v>22</v>
          </cell>
          <cell r="AX429">
            <v>5</v>
          </cell>
          <cell r="AY429">
            <v>4</v>
          </cell>
          <cell r="AZ429">
            <v>18</v>
          </cell>
          <cell r="BA429">
            <v>18</v>
          </cell>
          <cell r="BB429">
            <v>13</v>
          </cell>
          <cell r="BC429">
            <v>13</v>
          </cell>
          <cell r="BD429">
            <v>13</v>
          </cell>
          <cell r="BE429">
            <v>11</v>
          </cell>
          <cell r="BF429">
            <v>11</v>
          </cell>
          <cell r="BG429">
            <v>33</v>
          </cell>
          <cell r="BH429">
            <v>0</v>
          </cell>
          <cell r="BI429">
            <v>0</v>
          </cell>
          <cell r="BJ429">
            <v>0</v>
          </cell>
          <cell r="BK429">
            <v>1</v>
          </cell>
          <cell r="BL429">
            <v>0</v>
          </cell>
          <cell r="BM429">
            <v>0</v>
          </cell>
          <cell r="BN429">
            <v>1</v>
          </cell>
          <cell r="BO429">
            <v>0</v>
          </cell>
          <cell r="BP429">
            <v>0</v>
          </cell>
          <cell r="BQ429">
            <v>0</v>
          </cell>
          <cell r="BR429">
            <v>11</v>
          </cell>
          <cell r="BS429">
            <v>0</v>
          </cell>
          <cell r="BT429">
            <v>0</v>
          </cell>
          <cell r="BU429">
            <v>22</v>
          </cell>
        </row>
        <row r="430">
          <cell r="A430">
            <v>47</v>
          </cell>
          <cell r="B430">
            <v>47</v>
          </cell>
          <cell r="D430">
            <v>0</v>
          </cell>
          <cell r="F430">
            <v>0</v>
          </cell>
          <cell r="G430">
            <v>1</v>
          </cell>
          <cell r="I430">
            <v>1</v>
          </cell>
          <cell r="J430">
            <v>0</v>
          </cell>
          <cell r="K430">
            <v>2</v>
          </cell>
          <cell r="L430">
            <v>2</v>
          </cell>
          <cell r="M430">
            <v>2</v>
          </cell>
          <cell r="O430">
            <v>0</v>
          </cell>
          <cell r="P430">
            <v>0</v>
          </cell>
          <cell r="Q430">
            <v>1</v>
          </cell>
          <cell r="R430">
            <v>0</v>
          </cell>
          <cell r="S430">
            <v>0</v>
          </cell>
          <cell r="T430">
            <v>1</v>
          </cell>
          <cell r="V430">
            <v>1</v>
          </cell>
          <cell r="W430">
            <v>65</v>
          </cell>
          <cell r="X430">
            <v>3</v>
          </cell>
          <cell r="Y430">
            <v>2</v>
          </cell>
          <cell r="AA430">
            <v>0</v>
          </cell>
          <cell r="AB430">
            <v>0</v>
          </cell>
          <cell r="AC430">
            <v>0</v>
          </cell>
          <cell r="AD430">
            <v>0</v>
          </cell>
          <cell r="AE430">
            <v>1</v>
          </cell>
          <cell r="AF430">
            <v>1</v>
          </cell>
          <cell r="AG430">
            <v>0</v>
          </cell>
          <cell r="AH430">
            <v>0</v>
          </cell>
          <cell r="AI430">
            <v>4</v>
          </cell>
          <cell r="AK430">
            <v>0</v>
          </cell>
          <cell r="AL430">
            <v>0</v>
          </cell>
          <cell r="AN430">
            <v>5070</v>
          </cell>
          <cell r="AO430">
            <v>5</v>
          </cell>
          <cell r="AQ430">
            <v>0</v>
          </cell>
          <cell r="AR430">
            <v>13</v>
          </cell>
          <cell r="AS430">
            <v>3</v>
          </cell>
          <cell r="AT430">
            <v>3</v>
          </cell>
          <cell r="AU430">
            <v>3</v>
          </cell>
          <cell r="AV430">
            <v>20</v>
          </cell>
          <cell r="AW430">
            <v>20</v>
          </cell>
          <cell r="AX430">
            <v>2</v>
          </cell>
          <cell r="AY430">
            <v>3</v>
          </cell>
          <cell r="AZ430">
            <v>5</v>
          </cell>
          <cell r="BA430">
            <v>5</v>
          </cell>
          <cell r="BB430">
            <v>0</v>
          </cell>
          <cell r="BC430">
            <v>0</v>
          </cell>
          <cell r="BD430">
            <v>0</v>
          </cell>
          <cell r="BE430">
            <v>4</v>
          </cell>
          <cell r="BF430">
            <v>4</v>
          </cell>
          <cell r="BG430">
            <v>8</v>
          </cell>
          <cell r="BH430">
            <v>1</v>
          </cell>
          <cell r="BI430">
            <v>0</v>
          </cell>
          <cell r="BJ430">
            <v>0</v>
          </cell>
          <cell r="BK430">
            <v>0</v>
          </cell>
          <cell r="BL430">
            <v>1</v>
          </cell>
          <cell r="BM430">
            <v>0</v>
          </cell>
          <cell r="BN430">
            <v>0</v>
          </cell>
          <cell r="BO430">
            <v>0</v>
          </cell>
          <cell r="BP430">
            <v>0</v>
          </cell>
          <cell r="BQ430">
            <v>4</v>
          </cell>
          <cell r="BR430">
            <v>0</v>
          </cell>
          <cell r="BS430">
            <v>0</v>
          </cell>
          <cell r="BT430">
            <v>20</v>
          </cell>
          <cell r="BU430">
            <v>0</v>
          </cell>
        </row>
        <row r="431">
          <cell r="A431">
            <v>46</v>
          </cell>
          <cell r="B431">
            <v>46</v>
          </cell>
          <cell r="D431">
            <v>0</v>
          </cell>
          <cell r="F431">
            <v>0</v>
          </cell>
          <cell r="G431">
            <v>1</v>
          </cell>
          <cell r="I431">
            <v>1</v>
          </cell>
          <cell r="J431">
            <v>0</v>
          </cell>
          <cell r="K431">
            <v>2</v>
          </cell>
          <cell r="L431">
            <v>2</v>
          </cell>
          <cell r="M431">
            <v>3</v>
          </cell>
          <cell r="O431">
            <v>1</v>
          </cell>
          <cell r="P431">
            <v>0</v>
          </cell>
          <cell r="Q431">
            <v>0</v>
          </cell>
          <cell r="R431">
            <v>0</v>
          </cell>
          <cell r="S431">
            <v>0</v>
          </cell>
          <cell r="T431">
            <v>1</v>
          </cell>
          <cell r="V431">
            <v>0</v>
          </cell>
          <cell r="W431">
            <v>51</v>
          </cell>
          <cell r="X431">
            <v>3</v>
          </cell>
          <cell r="Y431">
            <v>4</v>
          </cell>
          <cell r="AA431">
            <v>0</v>
          </cell>
          <cell r="AB431">
            <v>0</v>
          </cell>
          <cell r="AC431">
            <v>0</v>
          </cell>
          <cell r="AD431">
            <v>0</v>
          </cell>
          <cell r="AE431">
            <v>0</v>
          </cell>
          <cell r="AF431">
            <v>0</v>
          </cell>
          <cell r="AG431">
            <v>0</v>
          </cell>
          <cell r="AH431">
            <v>0</v>
          </cell>
          <cell r="AI431">
            <v>3</v>
          </cell>
          <cell r="AK431">
            <v>0</v>
          </cell>
          <cell r="AL431">
            <v>1</v>
          </cell>
          <cell r="AN431">
            <v>17861</v>
          </cell>
          <cell r="AO431">
            <v>6</v>
          </cell>
          <cell r="AQ431">
            <v>0</v>
          </cell>
          <cell r="AR431">
            <v>13</v>
          </cell>
          <cell r="AS431">
            <v>3</v>
          </cell>
          <cell r="AT431">
            <v>3</v>
          </cell>
          <cell r="AU431">
            <v>0</v>
          </cell>
          <cell r="AV431">
            <v>26</v>
          </cell>
          <cell r="AW431">
            <v>26</v>
          </cell>
          <cell r="AX431">
            <v>2</v>
          </cell>
          <cell r="AY431">
            <v>1</v>
          </cell>
          <cell r="AZ431">
            <v>3</v>
          </cell>
          <cell r="BA431">
            <v>3</v>
          </cell>
          <cell r="BB431">
            <v>2</v>
          </cell>
          <cell r="BC431">
            <v>0</v>
          </cell>
          <cell r="BD431">
            <v>0</v>
          </cell>
          <cell r="BE431">
            <v>1</v>
          </cell>
          <cell r="BF431">
            <v>1</v>
          </cell>
          <cell r="BG431">
            <v>4</v>
          </cell>
          <cell r="BH431">
            <v>0</v>
          </cell>
          <cell r="BI431">
            <v>1</v>
          </cell>
          <cell r="BJ431">
            <v>0</v>
          </cell>
          <cell r="BK431">
            <v>0</v>
          </cell>
          <cell r="BL431">
            <v>0</v>
          </cell>
          <cell r="BM431">
            <v>0</v>
          </cell>
          <cell r="BN431">
            <v>1</v>
          </cell>
          <cell r="BO431">
            <v>0</v>
          </cell>
          <cell r="BP431">
            <v>0</v>
          </cell>
          <cell r="BQ431">
            <v>1</v>
          </cell>
          <cell r="BR431">
            <v>0</v>
          </cell>
          <cell r="BS431">
            <v>0</v>
          </cell>
          <cell r="BT431">
            <v>26</v>
          </cell>
          <cell r="BU431">
            <v>0</v>
          </cell>
        </row>
        <row r="432">
          <cell r="A432">
            <v>35</v>
          </cell>
          <cell r="B432">
            <v>35</v>
          </cell>
          <cell r="D432">
            <v>0</v>
          </cell>
          <cell r="F432">
            <v>0</v>
          </cell>
          <cell r="G432">
            <v>1</v>
          </cell>
          <cell r="I432">
            <v>1</v>
          </cell>
          <cell r="J432">
            <v>0</v>
          </cell>
          <cell r="K432">
            <v>22</v>
          </cell>
          <cell r="L432">
            <v>22</v>
          </cell>
          <cell r="M432">
            <v>3</v>
          </cell>
          <cell r="O432">
            <v>1</v>
          </cell>
          <cell r="P432">
            <v>0</v>
          </cell>
          <cell r="Q432">
            <v>0</v>
          </cell>
          <cell r="R432">
            <v>0</v>
          </cell>
          <cell r="S432">
            <v>0</v>
          </cell>
          <cell r="T432">
            <v>4</v>
          </cell>
          <cell r="V432">
            <v>0</v>
          </cell>
          <cell r="W432">
            <v>46</v>
          </cell>
          <cell r="X432">
            <v>1</v>
          </cell>
          <cell r="Y432">
            <v>1</v>
          </cell>
          <cell r="AA432">
            <v>0</v>
          </cell>
          <cell r="AB432">
            <v>0</v>
          </cell>
          <cell r="AC432">
            <v>1</v>
          </cell>
          <cell r="AD432">
            <v>0</v>
          </cell>
          <cell r="AE432">
            <v>0</v>
          </cell>
          <cell r="AF432">
            <v>0</v>
          </cell>
          <cell r="AG432">
            <v>0</v>
          </cell>
          <cell r="AH432">
            <v>0</v>
          </cell>
          <cell r="AI432">
            <v>3</v>
          </cell>
          <cell r="AK432">
            <v>1</v>
          </cell>
          <cell r="AL432">
            <v>0</v>
          </cell>
          <cell r="AN432">
            <v>4230</v>
          </cell>
          <cell r="AO432">
            <v>0</v>
          </cell>
          <cell r="AQ432">
            <v>0</v>
          </cell>
          <cell r="AR432">
            <v>15</v>
          </cell>
          <cell r="AS432">
            <v>3</v>
          </cell>
          <cell r="AT432">
            <v>3</v>
          </cell>
          <cell r="AU432">
            <v>0</v>
          </cell>
          <cell r="AV432">
            <v>6</v>
          </cell>
          <cell r="AW432">
            <v>6</v>
          </cell>
          <cell r="AX432">
            <v>2</v>
          </cell>
          <cell r="AY432">
            <v>3</v>
          </cell>
          <cell r="AZ432">
            <v>5</v>
          </cell>
          <cell r="BA432">
            <v>5</v>
          </cell>
          <cell r="BB432">
            <v>4</v>
          </cell>
          <cell r="BC432">
            <v>4</v>
          </cell>
          <cell r="BD432">
            <v>4</v>
          </cell>
          <cell r="BE432">
            <v>3</v>
          </cell>
          <cell r="BF432">
            <v>3</v>
          </cell>
          <cell r="BG432">
            <v>3</v>
          </cell>
          <cell r="BH432">
            <v>1</v>
          </cell>
          <cell r="BI432">
            <v>0</v>
          </cell>
          <cell r="BJ432">
            <v>0</v>
          </cell>
          <cell r="BK432">
            <v>0</v>
          </cell>
          <cell r="BL432">
            <v>1</v>
          </cell>
          <cell r="BM432">
            <v>0</v>
          </cell>
          <cell r="BN432">
            <v>0</v>
          </cell>
          <cell r="BO432">
            <v>0</v>
          </cell>
          <cell r="BP432">
            <v>0</v>
          </cell>
          <cell r="BQ432">
            <v>3</v>
          </cell>
          <cell r="BR432">
            <v>0</v>
          </cell>
          <cell r="BS432">
            <v>0</v>
          </cell>
          <cell r="BT432">
            <v>6</v>
          </cell>
          <cell r="BU432">
            <v>0</v>
          </cell>
        </row>
        <row r="433">
          <cell r="A433">
            <v>54</v>
          </cell>
          <cell r="B433">
            <v>54</v>
          </cell>
          <cell r="D433">
            <v>0</v>
          </cell>
          <cell r="F433">
            <v>0</v>
          </cell>
          <cell r="G433">
            <v>1</v>
          </cell>
          <cell r="I433">
            <v>1</v>
          </cell>
          <cell r="J433">
            <v>0</v>
          </cell>
          <cell r="K433">
            <v>8</v>
          </cell>
          <cell r="L433">
            <v>8</v>
          </cell>
          <cell r="M433">
            <v>4</v>
          </cell>
          <cell r="O433">
            <v>1</v>
          </cell>
          <cell r="P433">
            <v>0</v>
          </cell>
          <cell r="Q433">
            <v>0</v>
          </cell>
          <cell r="R433">
            <v>0</v>
          </cell>
          <cell r="S433">
            <v>0</v>
          </cell>
          <cell r="T433">
            <v>3</v>
          </cell>
          <cell r="V433">
            <v>1</v>
          </cell>
          <cell r="W433">
            <v>42</v>
          </cell>
          <cell r="X433">
            <v>3</v>
          </cell>
          <cell r="Y433">
            <v>2</v>
          </cell>
          <cell r="AA433">
            <v>0</v>
          </cell>
          <cell r="AB433">
            <v>0</v>
          </cell>
          <cell r="AC433">
            <v>1</v>
          </cell>
          <cell r="AD433">
            <v>0</v>
          </cell>
          <cell r="AE433">
            <v>0</v>
          </cell>
          <cell r="AF433">
            <v>0</v>
          </cell>
          <cell r="AG433">
            <v>0</v>
          </cell>
          <cell r="AH433">
            <v>0</v>
          </cell>
          <cell r="AI433">
            <v>3</v>
          </cell>
          <cell r="AK433">
            <v>1</v>
          </cell>
          <cell r="AL433">
            <v>0</v>
          </cell>
          <cell r="AN433">
            <v>3780</v>
          </cell>
          <cell r="AO433">
            <v>7</v>
          </cell>
          <cell r="AQ433">
            <v>0</v>
          </cell>
          <cell r="AR433">
            <v>11</v>
          </cell>
          <cell r="AS433">
            <v>3</v>
          </cell>
          <cell r="AT433">
            <v>3</v>
          </cell>
          <cell r="AU433">
            <v>0</v>
          </cell>
          <cell r="AV433">
            <v>19</v>
          </cell>
          <cell r="AW433">
            <v>19</v>
          </cell>
          <cell r="AX433">
            <v>3</v>
          </cell>
          <cell r="AY433">
            <v>3</v>
          </cell>
          <cell r="AZ433">
            <v>1</v>
          </cell>
          <cell r="BA433">
            <v>1</v>
          </cell>
          <cell r="BB433">
            <v>0</v>
          </cell>
          <cell r="BC433">
            <v>0</v>
          </cell>
          <cell r="BD433">
            <v>0</v>
          </cell>
          <cell r="BE433">
            <v>0</v>
          </cell>
          <cell r="BF433">
            <v>0</v>
          </cell>
          <cell r="BG433">
            <v>0</v>
          </cell>
          <cell r="BH433">
            <v>1</v>
          </cell>
          <cell r="BI433">
            <v>0</v>
          </cell>
          <cell r="BJ433">
            <v>0</v>
          </cell>
          <cell r="BK433">
            <v>0</v>
          </cell>
          <cell r="BL433">
            <v>1</v>
          </cell>
          <cell r="BM433">
            <v>0</v>
          </cell>
          <cell r="BN433">
            <v>0</v>
          </cell>
          <cell r="BO433">
            <v>0</v>
          </cell>
          <cell r="BP433">
            <v>0</v>
          </cell>
          <cell r="BQ433">
            <v>0</v>
          </cell>
          <cell r="BR433">
            <v>0</v>
          </cell>
          <cell r="BS433">
            <v>0</v>
          </cell>
          <cell r="BT433">
            <v>19</v>
          </cell>
          <cell r="BU433">
            <v>0</v>
          </cell>
        </row>
        <row r="434">
          <cell r="A434">
            <v>34</v>
          </cell>
          <cell r="B434">
            <v>34</v>
          </cell>
          <cell r="D434">
            <v>0</v>
          </cell>
          <cell r="F434">
            <v>0</v>
          </cell>
          <cell r="G434">
            <v>1</v>
          </cell>
          <cell r="I434">
            <v>1</v>
          </cell>
          <cell r="J434">
            <v>0</v>
          </cell>
          <cell r="K434">
            <v>2</v>
          </cell>
          <cell r="L434">
            <v>2</v>
          </cell>
          <cell r="M434">
            <v>4</v>
          </cell>
          <cell r="O434">
            <v>1</v>
          </cell>
          <cell r="P434">
            <v>0</v>
          </cell>
          <cell r="Q434">
            <v>0</v>
          </cell>
          <cell r="R434">
            <v>0</v>
          </cell>
          <cell r="S434">
            <v>0</v>
          </cell>
          <cell r="T434">
            <v>4</v>
          </cell>
          <cell r="V434">
            <v>0</v>
          </cell>
          <cell r="W434">
            <v>62</v>
          </cell>
          <cell r="X434">
            <v>2</v>
          </cell>
          <cell r="Y434">
            <v>1</v>
          </cell>
          <cell r="AA434">
            <v>0</v>
          </cell>
          <cell r="AB434">
            <v>0</v>
          </cell>
          <cell r="AC434">
            <v>0</v>
          </cell>
          <cell r="AD434">
            <v>0</v>
          </cell>
          <cell r="AE434">
            <v>0</v>
          </cell>
          <cell r="AF434">
            <v>0</v>
          </cell>
          <cell r="AG434">
            <v>0</v>
          </cell>
          <cell r="AH434">
            <v>1</v>
          </cell>
          <cell r="AI434">
            <v>3</v>
          </cell>
          <cell r="AK434">
            <v>0</v>
          </cell>
          <cell r="AL434">
            <v>0</v>
          </cell>
          <cell r="AN434">
            <v>2768</v>
          </cell>
          <cell r="AO434">
            <v>3</v>
          </cell>
          <cell r="AQ434">
            <v>0</v>
          </cell>
          <cell r="AR434">
            <v>12</v>
          </cell>
          <cell r="AS434">
            <v>3</v>
          </cell>
          <cell r="AT434">
            <v>3</v>
          </cell>
          <cell r="AU434">
            <v>1</v>
          </cell>
          <cell r="AV434">
            <v>14</v>
          </cell>
          <cell r="AW434">
            <v>14</v>
          </cell>
          <cell r="AX434">
            <v>3</v>
          </cell>
          <cell r="AY434">
            <v>3</v>
          </cell>
          <cell r="AZ434">
            <v>7</v>
          </cell>
          <cell r="BA434">
            <v>7</v>
          </cell>
          <cell r="BB434">
            <v>3</v>
          </cell>
          <cell r="BC434">
            <v>5</v>
          </cell>
          <cell r="BD434">
            <v>5</v>
          </cell>
          <cell r="BE434">
            <v>7</v>
          </cell>
          <cell r="BF434">
            <v>7</v>
          </cell>
          <cell r="BG434">
            <v>7</v>
          </cell>
          <cell r="BH434">
            <v>1</v>
          </cell>
          <cell r="BI434">
            <v>0</v>
          </cell>
          <cell r="BJ434">
            <v>0</v>
          </cell>
          <cell r="BK434">
            <v>0</v>
          </cell>
          <cell r="BL434">
            <v>1</v>
          </cell>
          <cell r="BM434">
            <v>0</v>
          </cell>
          <cell r="BN434">
            <v>0</v>
          </cell>
          <cell r="BO434">
            <v>0</v>
          </cell>
          <cell r="BP434">
            <v>0</v>
          </cell>
          <cell r="BQ434">
            <v>7</v>
          </cell>
          <cell r="BR434">
            <v>0</v>
          </cell>
          <cell r="BS434">
            <v>0</v>
          </cell>
          <cell r="BT434">
            <v>14</v>
          </cell>
          <cell r="BU434">
            <v>0</v>
          </cell>
        </row>
        <row r="435">
          <cell r="A435">
            <v>46</v>
          </cell>
          <cell r="B435">
            <v>46</v>
          </cell>
          <cell r="D435">
            <v>0</v>
          </cell>
          <cell r="F435">
            <v>0</v>
          </cell>
          <cell r="G435">
            <v>1</v>
          </cell>
          <cell r="I435">
            <v>0</v>
          </cell>
          <cell r="J435">
            <v>1</v>
          </cell>
          <cell r="K435">
            <v>10</v>
          </cell>
          <cell r="L435">
            <v>10</v>
          </cell>
          <cell r="M435">
            <v>3</v>
          </cell>
          <cell r="O435">
            <v>0</v>
          </cell>
          <cell r="P435">
            <v>0</v>
          </cell>
          <cell r="Q435">
            <v>0</v>
          </cell>
          <cell r="R435">
            <v>1</v>
          </cell>
          <cell r="S435">
            <v>0</v>
          </cell>
          <cell r="T435">
            <v>3</v>
          </cell>
          <cell r="V435">
            <v>1</v>
          </cell>
          <cell r="W435">
            <v>94</v>
          </cell>
          <cell r="X435">
            <v>2</v>
          </cell>
          <cell r="Y435">
            <v>3</v>
          </cell>
          <cell r="AA435">
            <v>0</v>
          </cell>
          <cell r="AB435">
            <v>1</v>
          </cell>
          <cell r="AC435">
            <v>0</v>
          </cell>
          <cell r="AD435">
            <v>0</v>
          </cell>
          <cell r="AE435">
            <v>0</v>
          </cell>
          <cell r="AF435">
            <v>0</v>
          </cell>
          <cell r="AG435">
            <v>0</v>
          </cell>
          <cell r="AH435">
            <v>0</v>
          </cell>
          <cell r="AI435">
            <v>4</v>
          </cell>
          <cell r="AK435">
            <v>0</v>
          </cell>
          <cell r="AL435">
            <v>1</v>
          </cell>
          <cell r="AN435">
            <v>9071</v>
          </cell>
          <cell r="AO435">
            <v>2</v>
          </cell>
          <cell r="AQ435">
            <v>1</v>
          </cell>
          <cell r="AR435">
            <v>19</v>
          </cell>
          <cell r="AS435">
            <v>3</v>
          </cell>
          <cell r="AT435">
            <v>3</v>
          </cell>
          <cell r="AU435">
            <v>1</v>
          </cell>
          <cell r="AV435">
            <v>15</v>
          </cell>
          <cell r="AW435">
            <v>15</v>
          </cell>
          <cell r="AX435">
            <v>3</v>
          </cell>
          <cell r="AY435">
            <v>3</v>
          </cell>
          <cell r="AZ435">
            <v>3</v>
          </cell>
          <cell r="BA435">
            <v>3</v>
          </cell>
          <cell r="BB435">
            <v>2</v>
          </cell>
          <cell r="BC435">
            <v>1</v>
          </cell>
          <cell r="BD435">
            <v>1</v>
          </cell>
          <cell r="BE435">
            <v>2</v>
          </cell>
          <cell r="BF435">
            <v>2</v>
          </cell>
          <cell r="BG435">
            <v>6</v>
          </cell>
          <cell r="BH435">
            <v>0</v>
          </cell>
          <cell r="BI435">
            <v>1</v>
          </cell>
          <cell r="BJ435">
            <v>0</v>
          </cell>
          <cell r="BK435">
            <v>0</v>
          </cell>
          <cell r="BL435">
            <v>0</v>
          </cell>
          <cell r="BM435">
            <v>0</v>
          </cell>
          <cell r="BN435">
            <v>0</v>
          </cell>
          <cell r="BO435">
            <v>1</v>
          </cell>
          <cell r="BP435">
            <v>0</v>
          </cell>
          <cell r="BQ435">
            <v>0</v>
          </cell>
          <cell r="BR435">
            <v>2</v>
          </cell>
          <cell r="BS435">
            <v>0</v>
          </cell>
          <cell r="BT435">
            <v>0</v>
          </cell>
          <cell r="BU435">
            <v>15</v>
          </cell>
        </row>
        <row r="436">
          <cell r="A436">
            <v>31</v>
          </cell>
          <cell r="B436">
            <v>31</v>
          </cell>
          <cell r="D436">
            <v>0</v>
          </cell>
          <cell r="F436">
            <v>0</v>
          </cell>
          <cell r="G436">
            <v>1</v>
          </cell>
          <cell r="I436">
            <v>1</v>
          </cell>
          <cell r="J436">
            <v>0</v>
          </cell>
          <cell r="K436">
            <v>9</v>
          </cell>
          <cell r="L436">
            <v>9</v>
          </cell>
          <cell r="M436">
            <v>1</v>
          </cell>
          <cell r="O436">
            <v>1</v>
          </cell>
          <cell r="P436">
            <v>0</v>
          </cell>
          <cell r="Q436">
            <v>0</v>
          </cell>
          <cell r="R436">
            <v>0</v>
          </cell>
          <cell r="S436">
            <v>0</v>
          </cell>
          <cell r="T436">
            <v>3</v>
          </cell>
          <cell r="V436">
            <v>0</v>
          </cell>
          <cell r="W436">
            <v>33</v>
          </cell>
          <cell r="X436">
            <v>3</v>
          </cell>
          <cell r="Y436">
            <v>3</v>
          </cell>
          <cell r="AA436">
            <v>0</v>
          </cell>
          <cell r="AB436">
            <v>0</v>
          </cell>
          <cell r="AC436">
            <v>0</v>
          </cell>
          <cell r="AD436">
            <v>0</v>
          </cell>
          <cell r="AE436">
            <v>1</v>
          </cell>
          <cell r="AF436">
            <v>1</v>
          </cell>
          <cell r="AG436">
            <v>0</v>
          </cell>
          <cell r="AH436">
            <v>0</v>
          </cell>
          <cell r="AI436">
            <v>2</v>
          </cell>
          <cell r="AK436">
            <v>0</v>
          </cell>
          <cell r="AL436">
            <v>0</v>
          </cell>
          <cell r="AN436">
            <v>10648</v>
          </cell>
          <cell r="AO436">
            <v>1</v>
          </cell>
          <cell r="AQ436">
            <v>0</v>
          </cell>
          <cell r="AR436">
            <v>25</v>
          </cell>
          <cell r="AS436">
            <v>4</v>
          </cell>
          <cell r="AT436">
            <v>4</v>
          </cell>
          <cell r="AU436">
            <v>1</v>
          </cell>
          <cell r="AV436">
            <v>13</v>
          </cell>
          <cell r="AW436">
            <v>13</v>
          </cell>
          <cell r="AX436">
            <v>6</v>
          </cell>
          <cell r="AY436">
            <v>4</v>
          </cell>
          <cell r="AZ436">
            <v>13</v>
          </cell>
          <cell r="BA436">
            <v>13</v>
          </cell>
          <cell r="BB436">
            <v>8</v>
          </cell>
          <cell r="BC436">
            <v>0</v>
          </cell>
          <cell r="BD436">
            <v>0</v>
          </cell>
          <cell r="BE436">
            <v>8</v>
          </cell>
          <cell r="BF436">
            <v>8</v>
          </cell>
          <cell r="BG436">
            <v>24</v>
          </cell>
          <cell r="BH436">
            <v>1</v>
          </cell>
          <cell r="BI436">
            <v>0</v>
          </cell>
          <cell r="BJ436">
            <v>0</v>
          </cell>
          <cell r="BK436">
            <v>0</v>
          </cell>
          <cell r="BL436">
            <v>1</v>
          </cell>
          <cell r="BM436">
            <v>0</v>
          </cell>
          <cell r="BN436">
            <v>0</v>
          </cell>
          <cell r="BO436">
            <v>0</v>
          </cell>
          <cell r="BP436">
            <v>0</v>
          </cell>
          <cell r="BQ436">
            <v>8</v>
          </cell>
          <cell r="BR436">
            <v>0</v>
          </cell>
          <cell r="BS436">
            <v>0</v>
          </cell>
          <cell r="BT436">
            <v>13</v>
          </cell>
          <cell r="BU436">
            <v>0</v>
          </cell>
        </row>
        <row r="437">
          <cell r="A437">
            <v>33</v>
          </cell>
          <cell r="B437">
            <v>33</v>
          </cell>
          <cell r="D437">
            <v>1</v>
          </cell>
          <cell r="F437">
            <v>0</v>
          </cell>
          <cell r="G437">
            <v>1</v>
          </cell>
          <cell r="I437">
            <v>1</v>
          </cell>
          <cell r="J437">
            <v>0</v>
          </cell>
          <cell r="K437">
            <v>15</v>
          </cell>
          <cell r="L437">
            <v>15</v>
          </cell>
          <cell r="M437">
            <v>1</v>
          </cell>
          <cell r="O437">
            <v>0</v>
          </cell>
          <cell r="P437">
            <v>0</v>
          </cell>
          <cell r="Q437">
            <v>1</v>
          </cell>
          <cell r="R437">
            <v>0</v>
          </cell>
          <cell r="S437">
            <v>0</v>
          </cell>
          <cell r="T437">
            <v>2</v>
          </cell>
          <cell r="V437">
            <v>0</v>
          </cell>
          <cell r="W437">
            <v>56</v>
          </cell>
          <cell r="X437">
            <v>3</v>
          </cell>
          <cell r="Y437">
            <v>3</v>
          </cell>
          <cell r="AA437">
            <v>0</v>
          </cell>
          <cell r="AB437">
            <v>0</v>
          </cell>
          <cell r="AC437">
            <v>0</v>
          </cell>
          <cell r="AD437">
            <v>1</v>
          </cell>
          <cell r="AE437">
            <v>0</v>
          </cell>
          <cell r="AF437">
            <v>0</v>
          </cell>
          <cell r="AG437">
            <v>0</v>
          </cell>
          <cell r="AH437">
            <v>0</v>
          </cell>
          <cell r="AI437">
            <v>3</v>
          </cell>
          <cell r="AK437">
            <v>0</v>
          </cell>
          <cell r="AL437">
            <v>1</v>
          </cell>
          <cell r="AN437">
            <v>13610</v>
          </cell>
          <cell r="AO437">
            <v>7</v>
          </cell>
          <cell r="AQ437">
            <v>1</v>
          </cell>
          <cell r="AR437">
            <v>12</v>
          </cell>
          <cell r="AS437">
            <v>3</v>
          </cell>
          <cell r="AT437">
            <v>4</v>
          </cell>
          <cell r="AU437">
            <v>0</v>
          </cell>
          <cell r="AV437">
            <v>15</v>
          </cell>
          <cell r="AW437">
            <v>15</v>
          </cell>
          <cell r="AX437">
            <v>2</v>
          </cell>
          <cell r="AY437">
            <v>4</v>
          </cell>
          <cell r="AZ437">
            <v>7</v>
          </cell>
          <cell r="BA437">
            <v>7</v>
          </cell>
          <cell r="BB437">
            <v>6</v>
          </cell>
          <cell r="BC437">
            <v>7</v>
          </cell>
          <cell r="BD437">
            <v>7</v>
          </cell>
          <cell r="BE437">
            <v>7</v>
          </cell>
          <cell r="BF437">
            <v>7</v>
          </cell>
          <cell r="BG437">
            <v>21</v>
          </cell>
          <cell r="BH437">
            <v>0</v>
          </cell>
          <cell r="BI437">
            <v>1</v>
          </cell>
          <cell r="BJ437">
            <v>0</v>
          </cell>
          <cell r="BK437">
            <v>0</v>
          </cell>
          <cell r="BL437">
            <v>0</v>
          </cell>
          <cell r="BM437">
            <v>0</v>
          </cell>
          <cell r="BN437">
            <v>0</v>
          </cell>
          <cell r="BO437">
            <v>1</v>
          </cell>
          <cell r="BP437">
            <v>0</v>
          </cell>
          <cell r="BQ437">
            <v>7</v>
          </cell>
          <cell r="BR437">
            <v>0</v>
          </cell>
          <cell r="BS437">
            <v>0</v>
          </cell>
          <cell r="BT437">
            <v>15</v>
          </cell>
          <cell r="BU437">
            <v>0</v>
          </cell>
        </row>
        <row r="438">
          <cell r="A438">
            <v>33</v>
          </cell>
          <cell r="B438">
            <v>33</v>
          </cell>
          <cell r="D438">
            <v>1</v>
          </cell>
          <cell r="F438">
            <v>0</v>
          </cell>
          <cell r="G438">
            <v>1</v>
          </cell>
          <cell r="I438">
            <v>1</v>
          </cell>
          <cell r="J438">
            <v>0</v>
          </cell>
          <cell r="K438">
            <v>10</v>
          </cell>
          <cell r="L438">
            <v>10</v>
          </cell>
          <cell r="M438">
            <v>1</v>
          </cell>
          <cell r="O438">
            <v>0</v>
          </cell>
          <cell r="P438">
            <v>0</v>
          </cell>
          <cell r="Q438">
            <v>1</v>
          </cell>
          <cell r="R438">
            <v>0</v>
          </cell>
          <cell r="S438">
            <v>0</v>
          </cell>
          <cell r="T438">
            <v>1</v>
          </cell>
          <cell r="V438">
            <v>0</v>
          </cell>
          <cell r="W438">
            <v>38</v>
          </cell>
          <cell r="X438">
            <v>1</v>
          </cell>
          <cell r="Y438">
            <v>1</v>
          </cell>
          <cell r="AA438">
            <v>0</v>
          </cell>
          <cell r="AB438">
            <v>0</v>
          </cell>
          <cell r="AC438">
            <v>1</v>
          </cell>
          <cell r="AD438">
            <v>0</v>
          </cell>
          <cell r="AE438">
            <v>0</v>
          </cell>
          <cell r="AF438">
            <v>0</v>
          </cell>
          <cell r="AG438">
            <v>0</v>
          </cell>
          <cell r="AH438">
            <v>0</v>
          </cell>
          <cell r="AI438">
            <v>4</v>
          </cell>
          <cell r="AK438">
            <v>0</v>
          </cell>
          <cell r="AL438">
            <v>0</v>
          </cell>
          <cell r="AN438">
            <v>3408</v>
          </cell>
          <cell r="AO438">
            <v>7</v>
          </cell>
          <cell r="AQ438">
            <v>0</v>
          </cell>
          <cell r="AR438">
            <v>13</v>
          </cell>
          <cell r="AS438">
            <v>3</v>
          </cell>
          <cell r="AT438">
            <v>1</v>
          </cell>
          <cell r="AU438">
            <v>3</v>
          </cell>
          <cell r="AV438">
            <v>8</v>
          </cell>
          <cell r="AW438">
            <v>8</v>
          </cell>
          <cell r="AX438">
            <v>2</v>
          </cell>
          <cell r="AY438">
            <v>3</v>
          </cell>
          <cell r="AZ438">
            <v>4</v>
          </cell>
          <cell r="BA438">
            <v>4</v>
          </cell>
          <cell r="BB438">
            <v>3</v>
          </cell>
          <cell r="BC438">
            <v>1</v>
          </cell>
          <cell r="BD438">
            <v>1</v>
          </cell>
          <cell r="BE438">
            <v>3</v>
          </cell>
          <cell r="BF438">
            <v>3</v>
          </cell>
          <cell r="BG438">
            <v>3</v>
          </cell>
          <cell r="BH438">
            <v>1</v>
          </cell>
          <cell r="BI438">
            <v>0</v>
          </cell>
          <cell r="BJ438">
            <v>0</v>
          </cell>
          <cell r="BK438">
            <v>0</v>
          </cell>
          <cell r="BL438">
            <v>1</v>
          </cell>
          <cell r="BM438">
            <v>0</v>
          </cell>
          <cell r="BN438">
            <v>0</v>
          </cell>
          <cell r="BO438">
            <v>0</v>
          </cell>
          <cell r="BP438">
            <v>0</v>
          </cell>
          <cell r="BQ438">
            <v>3</v>
          </cell>
          <cell r="BR438">
            <v>0</v>
          </cell>
          <cell r="BS438">
            <v>0</v>
          </cell>
          <cell r="BT438">
            <v>8</v>
          </cell>
          <cell r="BU438">
            <v>0</v>
          </cell>
        </row>
        <row r="439">
          <cell r="A439">
            <v>30</v>
          </cell>
          <cell r="B439">
            <v>30</v>
          </cell>
          <cell r="D439">
            <v>0</v>
          </cell>
          <cell r="F439">
            <v>0</v>
          </cell>
          <cell r="G439">
            <v>1</v>
          </cell>
          <cell r="I439">
            <v>0</v>
          </cell>
          <cell r="J439">
            <v>1</v>
          </cell>
          <cell r="K439">
            <v>7</v>
          </cell>
          <cell r="L439">
            <v>7</v>
          </cell>
          <cell r="M439">
            <v>1</v>
          </cell>
          <cell r="O439">
            <v>0</v>
          </cell>
          <cell r="P439">
            <v>0</v>
          </cell>
          <cell r="Q439">
            <v>0</v>
          </cell>
          <cell r="R439">
            <v>1</v>
          </cell>
          <cell r="S439">
            <v>0</v>
          </cell>
          <cell r="T439">
            <v>4</v>
          </cell>
          <cell r="V439">
            <v>0</v>
          </cell>
          <cell r="W439">
            <v>57</v>
          </cell>
          <cell r="X439">
            <v>3</v>
          </cell>
          <cell r="Y439">
            <v>1</v>
          </cell>
          <cell r="AA439">
            <v>0</v>
          </cell>
          <cell r="AB439">
            <v>0</v>
          </cell>
          <cell r="AC439">
            <v>0</v>
          </cell>
          <cell r="AD439">
            <v>0</v>
          </cell>
          <cell r="AE439">
            <v>0</v>
          </cell>
          <cell r="AF439">
            <v>0</v>
          </cell>
          <cell r="AG439">
            <v>1</v>
          </cell>
          <cell r="AH439">
            <v>0</v>
          </cell>
          <cell r="AI439">
            <v>2</v>
          </cell>
          <cell r="AK439">
            <v>1</v>
          </cell>
          <cell r="AL439">
            <v>0</v>
          </cell>
          <cell r="AN439">
            <v>2983</v>
          </cell>
          <cell r="AO439">
            <v>0</v>
          </cell>
          <cell r="AQ439">
            <v>0</v>
          </cell>
          <cell r="AR439">
            <v>14</v>
          </cell>
          <cell r="AS439">
            <v>3</v>
          </cell>
          <cell r="AT439">
            <v>1</v>
          </cell>
          <cell r="AU439">
            <v>0</v>
          </cell>
          <cell r="AV439">
            <v>4</v>
          </cell>
          <cell r="AW439">
            <v>4</v>
          </cell>
          <cell r="AX439">
            <v>3</v>
          </cell>
          <cell r="AY439">
            <v>3</v>
          </cell>
          <cell r="AZ439">
            <v>3</v>
          </cell>
          <cell r="BA439">
            <v>3</v>
          </cell>
          <cell r="BB439">
            <v>2</v>
          </cell>
          <cell r="BC439">
            <v>1</v>
          </cell>
          <cell r="BD439">
            <v>1</v>
          </cell>
          <cell r="BE439">
            <v>2</v>
          </cell>
          <cell r="BF439">
            <v>2</v>
          </cell>
          <cell r="BG439">
            <v>2</v>
          </cell>
          <cell r="BH439">
            <v>1</v>
          </cell>
          <cell r="BI439">
            <v>0</v>
          </cell>
          <cell r="BJ439">
            <v>0</v>
          </cell>
          <cell r="BK439">
            <v>0</v>
          </cell>
          <cell r="BL439">
            <v>1</v>
          </cell>
          <cell r="BM439">
            <v>0</v>
          </cell>
          <cell r="BN439">
            <v>0</v>
          </cell>
          <cell r="BO439">
            <v>0</v>
          </cell>
          <cell r="BP439">
            <v>0</v>
          </cell>
          <cell r="BQ439">
            <v>0</v>
          </cell>
          <cell r="BR439">
            <v>2</v>
          </cell>
          <cell r="BS439">
            <v>0</v>
          </cell>
          <cell r="BT439">
            <v>0</v>
          </cell>
          <cell r="BU439">
            <v>4</v>
          </cell>
        </row>
        <row r="440">
          <cell r="A440">
            <v>35</v>
          </cell>
          <cell r="B440">
            <v>35</v>
          </cell>
          <cell r="D440">
            <v>0</v>
          </cell>
          <cell r="F440">
            <v>0</v>
          </cell>
          <cell r="G440">
            <v>1</v>
          </cell>
          <cell r="I440">
            <v>1</v>
          </cell>
          <cell r="J440">
            <v>0</v>
          </cell>
          <cell r="K440">
            <v>16</v>
          </cell>
          <cell r="L440">
            <v>16</v>
          </cell>
          <cell r="M440">
            <v>3</v>
          </cell>
          <cell r="O440">
            <v>1</v>
          </cell>
          <cell r="P440">
            <v>0</v>
          </cell>
          <cell r="Q440">
            <v>0</v>
          </cell>
          <cell r="R440">
            <v>0</v>
          </cell>
          <cell r="S440">
            <v>0</v>
          </cell>
          <cell r="T440">
            <v>4</v>
          </cell>
          <cell r="V440">
            <v>0</v>
          </cell>
          <cell r="W440">
            <v>72</v>
          </cell>
          <cell r="X440">
            <v>3</v>
          </cell>
          <cell r="Y440">
            <v>3</v>
          </cell>
          <cell r="AA440">
            <v>1</v>
          </cell>
          <cell r="AB440">
            <v>0</v>
          </cell>
          <cell r="AC440">
            <v>0</v>
          </cell>
          <cell r="AD440">
            <v>0</v>
          </cell>
          <cell r="AE440">
            <v>0</v>
          </cell>
          <cell r="AF440">
            <v>0</v>
          </cell>
          <cell r="AG440">
            <v>0</v>
          </cell>
          <cell r="AH440">
            <v>0</v>
          </cell>
          <cell r="AI440">
            <v>3</v>
          </cell>
          <cell r="AK440">
            <v>0</v>
          </cell>
          <cell r="AL440">
            <v>1</v>
          </cell>
          <cell r="AN440">
            <v>7632</v>
          </cell>
          <cell r="AO440">
            <v>4</v>
          </cell>
          <cell r="AQ440">
            <v>1</v>
          </cell>
          <cell r="AR440">
            <v>12</v>
          </cell>
          <cell r="AS440">
            <v>3</v>
          </cell>
          <cell r="AT440">
            <v>3</v>
          </cell>
          <cell r="AU440">
            <v>0</v>
          </cell>
          <cell r="AV440">
            <v>10</v>
          </cell>
          <cell r="AW440">
            <v>10</v>
          </cell>
          <cell r="AX440">
            <v>2</v>
          </cell>
          <cell r="AY440">
            <v>3</v>
          </cell>
          <cell r="AZ440">
            <v>8</v>
          </cell>
          <cell r="BA440">
            <v>8</v>
          </cell>
          <cell r="BB440">
            <v>7</v>
          </cell>
          <cell r="BC440">
            <v>0</v>
          </cell>
          <cell r="BD440">
            <v>0</v>
          </cell>
          <cell r="BE440">
            <v>0</v>
          </cell>
          <cell r="BF440">
            <v>0</v>
          </cell>
          <cell r="BG440">
            <v>0</v>
          </cell>
          <cell r="BH440">
            <v>0</v>
          </cell>
          <cell r="BI440">
            <v>1</v>
          </cell>
          <cell r="BJ440">
            <v>0</v>
          </cell>
          <cell r="BK440">
            <v>0</v>
          </cell>
          <cell r="BL440">
            <v>0</v>
          </cell>
          <cell r="BM440">
            <v>0</v>
          </cell>
          <cell r="BN440">
            <v>0</v>
          </cell>
          <cell r="BO440">
            <v>1</v>
          </cell>
          <cell r="BP440">
            <v>0</v>
          </cell>
          <cell r="BQ440">
            <v>0</v>
          </cell>
          <cell r="BR440">
            <v>0</v>
          </cell>
          <cell r="BS440">
            <v>0</v>
          </cell>
          <cell r="BT440">
            <v>10</v>
          </cell>
          <cell r="BU440">
            <v>0</v>
          </cell>
        </row>
        <row r="441">
          <cell r="A441">
            <v>31</v>
          </cell>
          <cell r="B441">
            <v>31</v>
          </cell>
          <cell r="D441">
            <v>1</v>
          </cell>
          <cell r="F441">
            <v>1</v>
          </cell>
          <cell r="G441">
            <v>0</v>
          </cell>
          <cell r="I441">
            <v>1</v>
          </cell>
          <cell r="J441">
            <v>0</v>
          </cell>
          <cell r="K441">
            <v>20</v>
          </cell>
          <cell r="L441">
            <v>20</v>
          </cell>
          <cell r="M441">
            <v>3</v>
          </cell>
          <cell r="O441">
            <v>1</v>
          </cell>
          <cell r="P441">
            <v>0</v>
          </cell>
          <cell r="Q441">
            <v>0</v>
          </cell>
          <cell r="R441">
            <v>0</v>
          </cell>
          <cell r="S441">
            <v>0</v>
          </cell>
          <cell r="T441">
            <v>1</v>
          </cell>
          <cell r="V441">
            <v>0</v>
          </cell>
          <cell r="W441">
            <v>66</v>
          </cell>
          <cell r="X441">
            <v>3</v>
          </cell>
          <cell r="Y441">
            <v>3</v>
          </cell>
          <cell r="AA441">
            <v>1</v>
          </cell>
          <cell r="AB441">
            <v>0</v>
          </cell>
          <cell r="AC441">
            <v>0</v>
          </cell>
          <cell r="AD441">
            <v>0</v>
          </cell>
          <cell r="AE441">
            <v>0</v>
          </cell>
          <cell r="AF441">
            <v>0</v>
          </cell>
          <cell r="AG441">
            <v>0</v>
          </cell>
          <cell r="AH441">
            <v>0</v>
          </cell>
          <cell r="AI441">
            <v>3</v>
          </cell>
          <cell r="AK441">
            <v>0</v>
          </cell>
          <cell r="AL441">
            <v>1</v>
          </cell>
          <cell r="AN441">
            <v>9824</v>
          </cell>
          <cell r="AO441">
            <v>3</v>
          </cell>
          <cell r="AQ441">
            <v>0</v>
          </cell>
          <cell r="AR441">
            <v>12</v>
          </cell>
          <cell r="AS441">
            <v>3</v>
          </cell>
          <cell r="AT441">
            <v>1</v>
          </cell>
          <cell r="AU441">
            <v>0</v>
          </cell>
          <cell r="AV441">
            <v>12</v>
          </cell>
          <cell r="AW441">
            <v>12</v>
          </cell>
          <cell r="AX441">
            <v>2</v>
          </cell>
          <cell r="AY441">
            <v>3</v>
          </cell>
          <cell r="AZ441">
            <v>1</v>
          </cell>
          <cell r="BA441">
            <v>1</v>
          </cell>
          <cell r="BB441">
            <v>0</v>
          </cell>
          <cell r="BC441">
            <v>0</v>
          </cell>
          <cell r="BD441">
            <v>0</v>
          </cell>
          <cell r="BE441">
            <v>0</v>
          </cell>
          <cell r="BF441">
            <v>0</v>
          </cell>
          <cell r="BG441">
            <v>0</v>
          </cell>
          <cell r="BH441">
            <v>0</v>
          </cell>
          <cell r="BI441">
            <v>0</v>
          </cell>
          <cell r="BJ441">
            <v>0</v>
          </cell>
          <cell r="BK441">
            <v>1</v>
          </cell>
          <cell r="BL441">
            <v>0</v>
          </cell>
          <cell r="BM441">
            <v>0</v>
          </cell>
          <cell r="BN441">
            <v>1</v>
          </cell>
          <cell r="BO441">
            <v>0</v>
          </cell>
          <cell r="BP441">
            <v>0</v>
          </cell>
          <cell r="BQ441">
            <v>0</v>
          </cell>
          <cell r="BR441">
            <v>0</v>
          </cell>
          <cell r="BS441">
            <v>0</v>
          </cell>
          <cell r="BT441">
            <v>12</v>
          </cell>
          <cell r="BU441">
            <v>0</v>
          </cell>
        </row>
        <row r="442">
          <cell r="A442">
            <v>34</v>
          </cell>
          <cell r="B442">
            <v>34</v>
          </cell>
          <cell r="D442">
            <v>1</v>
          </cell>
          <cell r="F442">
            <v>1</v>
          </cell>
          <cell r="G442">
            <v>0</v>
          </cell>
          <cell r="I442">
            <v>0</v>
          </cell>
          <cell r="J442">
            <v>0</v>
          </cell>
          <cell r="K442">
            <v>23</v>
          </cell>
          <cell r="L442">
            <v>23</v>
          </cell>
          <cell r="M442">
            <v>3</v>
          </cell>
          <cell r="O442">
            <v>0</v>
          </cell>
          <cell r="P442">
            <v>0</v>
          </cell>
          <cell r="Q442">
            <v>0</v>
          </cell>
          <cell r="R442">
            <v>0</v>
          </cell>
          <cell r="S442">
            <v>0</v>
          </cell>
          <cell r="T442">
            <v>2</v>
          </cell>
          <cell r="V442">
            <v>1</v>
          </cell>
          <cell r="W442">
            <v>43</v>
          </cell>
          <cell r="X442">
            <v>3</v>
          </cell>
          <cell r="Y442">
            <v>3</v>
          </cell>
          <cell r="AA442">
            <v>0</v>
          </cell>
          <cell r="AB442">
            <v>0</v>
          </cell>
          <cell r="AC442">
            <v>0</v>
          </cell>
          <cell r="AD442">
            <v>0</v>
          </cell>
          <cell r="AE442">
            <v>0</v>
          </cell>
          <cell r="AF442">
            <v>0</v>
          </cell>
          <cell r="AG442">
            <v>0</v>
          </cell>
          <cell r="AH442">
            <v>0</v>
          </cell>
          <cell r="AI442">
            <v>1</v>
          </cell>
          <cell r="AK442">
            <v>0</v>
          </cell>
          <cell r="AL442">
            <v>0</v>
          </cell>
          <cell r="AN442">
            <v>9950</v>
          </cell>
          <cell r="AO442">
            <v>9</v>
          </cell>
          <cell r="AQ442">
            <v>1</v>
          </cell>
          <cell r="AR442">
            <v>15</v>
          </cell>
          <cell r="AS442">
            <v>3</v>
          </cell>
          <cell r="AT442">
            <v>3</v>
          </cell>
          <cell r="AU442">
            <v>3</v>
          </cell>
          <cell r="AV442">
            <v>11</v>
          </cell>
          <cell r="AW442">
            <v>11</v>
          </cell>
          <cell r="AX442">
            <v>2</v>
          </cell>
          <cell r="AY442">
            <v>3</v>
          </cell>
          <cell r="AZ442">
            <v>3</v>
          </cell>
          <cell r="BA442">
            <v>3</v>
          </cell>
          <cell r="BB442">
            <v>2</v>
          </cell>
          <cell r="BC442">
            <v>0</v>
          </cell>
          <cell r="BD442">
            <v>0</v>
          </cell>
          <cell r="BE442">
            <v>2</v>
          </cell>
          <cell r="BF442">
            <v>2</v>
          </cell>
          <cell r="BG442">
            <v>6</v>
          </cell>
          <cell r="BH442">
            <v>0</v>
          </cell>
          <cell r="BI442">
            <v>0</v>
          </cell>
          <cell r="BJ442">
            <v>1</v>
          </cell>
          <cell r="BK442">
            <v>0</v>
          </cell>
          <cell r="BL442">
            <v>0</v>
          </cell>
          <cell r="BM442">
            <v>1</v>
          </cell>
          <cell r="BN442">
            <v>0</v>
          </cell>
          <cell r="BO442">
            <v>0</v>
          </cell>
          <cell r="BP442">
            <v>2</v>
          </cell>
          <cell r="BQ442">
            <v>0</v>
          </cell>
          <cell r="BR442">
            <v>0</v>
          </cell>
          <cell r="BS442">
            <v>11</v>
          </cell>
          <cell r="BT442">
            <v>0</v>
          </cell>
          <cell r="BU442">
            <v>0</v>
          </cell>
        </row>
        <row r="443">
          <cell r="A443">
            <v>42</v>
          </cell>
          <cell r="B443">
            <v>42</v>
          </cell>
          <cell r="D443">
            <v>0</v>
          </cell>
          <cell r="F443">
            <v>1</v>
          </cell>
          <cell r="G443">
            <v>0</v>
          </cell>
          <cell r="I443">
            <v>1</v>
          </cell>
          <cell r="J443">
            <v>0</v>
          </cell>
          <cell r="K443">
            <v>5</v>
          </cell>
          <cell r="L443">
            <v>5</v>
          </cell>
          <cell r="M443">
            <v>2</v>
          </cell>
          <cell r="O443">
            <v>0</v>
          </cell>
          <cell r="P443">
            <v>1</v>
          </cell>
          <cell r="Q443">
            <v>0</v>
          </cell>
          <cell r="R443">
            <v>0</v>
          </cell>
          <cell r="S443">
            <v>0</v>
          </cell>
          <cell r="T443">
            <v>2</v>
          </cell>
          <cell r="V443">
            <v>0</v>
          </cell>
          <cell r="W443">
            <v>97</v>
          </cell>
          <cell r="X443">
            <v>3</v>
          </cell>
          <cell r="Y443">
            <v>1</v>
          </cell>
          <cell r="AA443">
            <v>0</v>
          </cell>
          <cell r="AB443">
            <v>0</v>
          </cell>
          <cell r="AC443">
            <v>1</v>
          </cell>
          <cell r="AD443">
            <v>0</v>
          </cell>
          <cell r="AE443">
            <v>0</v>
          </cell>
          <cell r="AF443">
            <v>0</v>
          </cell>
          <cell r="AG443">
            <v>0</v>
          </cell>
          <cell r="AH443">
            <v>0</v>
          </cell>
          <cell r="AI443">
            <v>3</v>
          </cell>
          <cell r="AK443">
            <v>0</v>
          </cell>
          <cell r="AL443">
            <v>1</v>
          </cell>
          <cell r="AN443">
            <v>2093</v>
          </cell>
          <cell r="AO443">
            <v>4</v>
          </cell>
          <cell r="AQ443">
            <v>0</v>
          </cell>
          <cell r="AR443">
            <v>17</v>
          </cell>
          <cell r="AS443">
            <v>3</v>
          </cell>
          <cell r="AT443">
            <v>4</v>
          </cell>
          <cell r="AU443">
            <v>1</v>
          </cell>
          <cell r="AV443">
            <v>8</v>
          </cell>
          <cell r="AW443">
            <v>8</v>
          </cell>
          <cell r="AX443">
            <v>4</v>
          </cell>
          <cell r="AY443">
            <v>3</v>
          </cell>
          <cell r="AZ443">
            <v>2</v>
          </cell>
          <cell r="BA443">
            <v>2</v>
          </cell>
          <cell r="BB443">
            <v>2</v>
          </cell>
          <cell r="BC443">
            <v>2</v>
          </cell>
          <cell r="BD443">
            <v>2</v>
          </cell>
          <cell r="BE443">
            <v>0</v>
          </cell>
          <cell r="BF443">
            <v>0</v>
          </cell>
          <cell r="BG443">
            <v>0</v>
          </cell>
          <cell r="BH443">
            <v>0</v>
          </cell>
          <cell r="BI443">
            <v>0</v>
          </cell>
          <cell r="BJ443">
            <v>0</v>
          </cell>
          <cell r="BK443">
            <v>1</v>
          </cell>
          <cell r="BL443">
            <v>0</v>
          </cell>
          <cell r="BM443">
            <v>0</v>
          </cell>
          <cell r="BN443">
            <v>1</v>
          </cell>
          <cell r="BO443">
            <v>0</v>
          </cell>
          <cell r="BP443">
            <v>0</v>
          </cell>
          <cell r="BQ443">
            <v>0</v>
          </cell>
          <cell r="BR443">
            <v>0</v>
          </cell>
          <cell r="BS443">
            <v>0</v>
          </cell>
          <cell r="BT443">
            <v>8</v>
          </cell>
          <cell r="BU443">
            <v>0</v>
          </cell>
        </row>
        <row r="444">
          <cell r="A444">
            <v>36</v>
          </cell>
          <cell r="B444">
            <v>36</v>
          </cell>
          <cell r="D444">
            <v>0</v>
          </cell>
          <cell r="F444">
            <v>0</v>
          </cell>
          <cell r="G444">
            <v>0</v>
          </cell>
          <cell r="I444">
            <v>0</v>
          </cell>
          <cell r="J444">
            <v>1</v>
          </cell>
          <cell r="K444">
            <v>10</v>
          </cell>
          <cell r="L444">
            <v>10</v>
          </cell>
          <cell r="M444">
            <v>4</v>
          </cell>
          <cell r="O444">
            <v>0</v>
          </cell>
          <cell r="P444">
            <v>0</v>
          </cell>
          <cell r="Q444">
            <v>1</v>
          </cell>
          <cell r="R444">
            <v>0</v>
          </cell>
          <cell r="S444">
            <v>0</v>
          </cell>
          <cell r="T444">
            <v>2</v>
          </cell>
          <cell r="V444">
            <v>0</v>
          </cell>
          <cell r="W444">
            <v>32</v>
          </cell>
          <cell r="X444">
            <v>3</v>
          </cell>
          <cell r="Y444">
            <v>3</v>
          </cell>
          <cell r="AA444">
            <v>0</v>
          </cell>
          <cell r="AB444">
            <v>1</v>
          </cell>
          <cell r="AC444">
            <v>0</v>
          </cell>
          <cell r="AD444">
            <v>0</v>
          </cell>
          <cell r="AE444">
            <v>0</v>
          </cell>
          <cell r="AF444">
            <v>0</v>
          </cell>
          <cell r="AG444">
            <v>0</v>
          </cell>
          <cell r="AH444">
            <v>0</v>
          </cell>
          <cell r="AI444">
            <v>4</v>
          </cell>
          <cell r="AK444">
            <v>1</v>
          </cell>
          <cell r="AL444">
            <v>0</v>
          </cell>
          <cell r="AN444">
            <v>9980</v>
          </cell>
          <cell r="AO444">
            <v>1</v>
          </cell>
          <cell r="AQ444">
            <v>0</v>
          </cell>
          <cell r="AR444">
            <v>14</v>
          </cell>
          <cell r="AS444">
            <v>3</v>
          </cell>
          <cell r="AT444">
            <v>4</v>
          </cell>
          <cell r="AU444">
            <v>0</v>
          </cell>
          <cell r="AV444">
            <v>10</v>
          </cell>
          <cell r="AW444">
            <v>10</v>
          </cell>
          <cell r="AX444">
            <v>3</v>
          </cell>
          <cell r="AY444">
            <v>2</v>
          </cell>
          <cell r="AZ444">
            <v>10</v>
          </cell>
          <cell r="BA444">
            <v>10</v>
          </cell>
          <cell r="BB444">
            <v>3</v>
          </cell>
          <cell r="BC444">
            <v>9</v>
          </cell>
          <cell r="BD444">
            <v>9</v>
          </cell>
          <cell r="BE444">
            <v>7</v>
          </cell>
          <cell r="BF444">
            <v>7</v>
          </cell>
          <cell r="BG444">
            <v>21</v>
          </cell>
          <cell r="BH444">
            <v>1</v>
          </cell>
          <cell r="BI444">
            <v>0</v>
          </cell>
          <cell r="BJ444">
            <v>0</v>
          </cell>
          <cell r="BK444">
            <v>0</v>
          </cell>
          <cell r="BL444">
            <v>1</v>
          </cell>
          <cell r="BM444">
            <v>0</v>
          </cell>
          <cell r="BN444">
            <v>0</v>
          </cell>
          <cell r="BO444">
            <v>0</v>
          </cell>
          <cell r="BP444">
            <v>0</v>
          </cell>
          <cell r="BQ444">
            <v>0</v>
          </cell>
          <cell r="BR444">
            <v>7</v>
          </cell>
          <cell r="BS444">
            <v>0</v>
          </cell>
          <cell r="BT444">
            <v>0</v>
          </cell>
          <cell r="BU444">
            <v>10</v>
          </cell>
        </row>
        <row r="445">
          <cell r="A445">
            <v>22</v>
          </cell>
          <cell r="B445">
            <v>22</v>
          </cell>
          <cell r="D445">
            <v>1</v>
          </cell>
          <cell r="F445">
            <v>1</v>
          </cell>
          <cell r="G445">
            <v>0</v>
          </cell>
          <cell r="I445">
            <v>1</v>
          </cell>
          <cell r="J445">
            <v>0</v>
          </cell>
          <cell r="K445">
            <v>4</v>
          </cell>
          <cell r="L445">
            <v>4</v>
          </cell>
          <cell r="M445">
            <v>1</v>
          </cell>
          <cell r="O445">
            <v>0</v>
          </cell>
          <cell r="P445">
            <v>0</v>
          </cell>
          <cell r="Q445">
            <v>0</v>
          </cell>
          <cell r="R445">
            <v>0</v>
          </cell>
          <cell r="S445">
            <v>1</v>
          </cell>
          <cell r="T445">
            <v>3</v>
          </cell>
          <cell r="V445">
            <v>0</v>
          </cell>
          <cell r="W445">
            <v>99</v>
          </cell>
          <cell r="X445">
            <v>2</v>
          </cell>
          <cell r="Y445">
            <v>1</v>
          </cell>
          <cell r="AA445">
            <v>0</v>
          </cell>
          <cell r="AB445">
            <v>0</v>
          </cell>
          <cell r="AC445">
            <v>1</v>
          </cell>
          <cell r="AD445">
            <v>0</v>
          </cell>
          <cell r="AE445">
            <v>0</v>
          </cell>
          <cell r="AF445">
            <v>0</v>
          </cell>
          <cell r="AG445">
            <v>0</v>
          </cell>
          <cell r="AH445">
            <v>0</v>
          </cell>
          <cell r="AI445">
            <v>3</v>
          </cell>
          <cell r="AK445">
            <v>1</v>
          </cell>
          <cell r="AL445">
            <v>0</v>
          </cell>
          <cell r="AN445">
            <v>3894</v>
          </cell>
          <cell r="AO445">
            <v>5</v>
          </cell>
          <cell r="AQ445">
            <v>0</v>
          </cell>
          <cell r="AR445">
            <v>16</v>
          </cell>
          <cell r="AS445">
            <v>3</v>
          </cell>
          <cell r="AT445">
            <v>3</v>
          </cell>
          <cell r="AU445">
            <v>0</v>
          </cell>
          <cell r="AV445">
            <v>4</v>
          </cell>
          <cell r="AW445">
            <v>4</v>
          </cell>
          <cell r="AX445">
            <v>3</v>
          </cell>
          <cell r="AY445">
            <v>3</v>
          </cell>
          <cell r="AZ445">
            <v>2</v>
          </cell>
          <cell r="BA445">
            <v>2</v>
          </cell>
          <cell r="BB445">
            <v>2</v>
          </cell>
          <cell r="BC445">
            <v>1</v>
          </cell>
          <cell r="BD445">
            <v>1</v>
          </cell>
          <cell r="BE445">
            <v>2</v>
          </cell>
          <cell r="BF445">
            <v>2</v>
          </cell>
          <cell r="BG445">
            <v>2</v>
          </cell>
          <cell r="BH445">
            <v>0</v>
          </cell>
          <cell r="BI445">
            <v>0</v>
          </cell>
          <cell r="BJ445">
            <v>1</v>
          </cell>
          <cell r="BK445">
            <v>0</v>
          </cell>
          <cell r="BL445">
            <v>1</v>
          </cell>
          <cell r="BM445">
            <v>0</v>
          </cell>
          <cell r="BN445">
            <v>0</v>
          </cell>
          <cell r="BO445">
            <v>0</v>
          </cell>
          <cell r="BP445">
            <v>0</v>
          </cell>
          <cell r="BQ445">
            <v>2</v>
          </cell>
          <cell r="BR445">
            <v>0</v>
          </cell>
          <cell r="BS445">
            <v>0</v>
          </cell>
          <cell r="BT445">
            <v>4</v>
          </cell>
          <cell r="BU445">
            <v>0</v>
          </cell>
        </row>
        <row r="446">
          <cell r="A446">
            <v>48</v>
          </cell>
          <cell r="B446">
            <v>48</v>
          </cell>
          <cell r="D446">
            <v>0</v>
          </cell>
          <cell r="F446">
            <v>0</v>
          </cell>
          <cell r="G446">
            <v>1</v>
          </cell>
          <cell r="I446">
            <v>0</v>
          </cell>
          <cell r="J446">
            <v>1</v>
          </cell>
          <cell r="K446">
            <v>2</v>
          </cell>
          <cell r="L446">
            <v>2</v>
          </cell>
          <cell r="M446">
            <v>5</v>
          </cell>
          <cell r="O446">
            <v>0</v>
          </cell>
          <cell r="P446">
            <v>0</v>
          </cell>
          <cell r="Q446">
            <v>0</v>
          </cell>
          <cell r="R446">
            <v>1</v>
          </cell>
          <cell r="S446">
            <v>0</v>
          </cell>
          <cell r="T446">
            <v>2</v>
          </cell>
          <cell r="V446">
            <v>1</v>
          </cell>
          <cell r="W446">
            <v>37</v>
          </cell>
          <cell r="X446">
            <v>3</v>
          </cell>
          <cell r="Y446">
            <v>2</v>
          </cell>
          <cell r="AA446">
            <v>0</v>
          </cell>
          <cell r="AB446">
            <v>1</v>
          </cell>
          <cell r="AC446">
            <v>0</v>
          </cell>
          <cell r="AD446">
            <v>0</v>
          </cell>
          <cell r="AE446">
            <v>0</v>
          </cell>
          <cell r="AF446">
            <v>0</v>
          </cell>
          <cell r="AG446">
            <v>0</v>
          </cell>
          <cell r="AH446">
            <v>0</v>
          </cell>
          <cell r="AI446">
            <v>4</v>
          </cell>
          <cell r="AK446">
            <v>0</v>
          </cell>
          <cell r="AL446">
            <v>1</v>
          </cell>
          <cell r="AN446">
            <v>4051</v>
          </cell>
          <cell r="AO446">
            <v>2</v>
          </cell>
          <cell r="AQ446">
            <v>0</v>
          </cell>
          <cell r="AR446">
            <v>14</v>
          </cell>
          <cell r="AS446">
            <v>3</v>
          </cell>
          <cell r="AT446">
            <v>1</v>
          </cell>
          <cell r="AU446">
            <v>1</v>
          </cell>
          <cell r="AV446">
            <v>14</v>
          </cell>
          <cell r="AW446">
            <v>14</v>
          </cell>
          <cell r="AX446">
            <v>2</v>
          </cell>
          <cell r="AY446">
            <v>3</v>
          </cell>
          <cell r="AZ446">
            <v>9</v>
          </cell>
          <cell r="BA446">
            <v>9</v>
          </cell>
          <cell r="BB446">
            <v>7</v>
          </cell>
          <cell r="BC446">
            <v>6</v>
          </cell>
          <cell r="BD446">
            <v>6</v>
          </cell>
          <cell r="BE446">
            <v>7</v>
          </cell>
          <cell r="BF446">
            <v>7</v>
          </cell>
          <cell r="BG446">
            <v>14</v>
          </cell>
          <cell r="BH446">
            <v>0</v>
          </cell>
          <cell r="BI446">
            <v>1</v>
          </cell>
          <cell r="BJ446">
            <v>0</v>
          </cell>
          <cell r="BK446">
            <v>0</v>
          </cell>
          <cell r="BL446">
            <v>0</v>
          </cell>
          <cell r="BM446">
            <v>0</v>
          </cell>
          <cell r="BN446">
            <v>1</v>
          </cell>
          <cell r="BO446">
            <v>0</v>
          </cell>
          <cell r="BP446">
            <v>0</v>
          </cell>
          <cell r="BQ446">
            <v>0</v>
          </cell>
          <cell r="BR446">
            <v>7</v>
          </cell>
          <cell r="BS446">
            <v>0</v>
          </cell>
          <cell r="BT446">
            <v>0</v>
          </cell>
          <cell r="BU446">
            <v>14</v>
          </cell>
        </row>
        <row r="447">
          <cell r="A447">
            <v>55</v>
          </cell>
          <cell r="B447">
            <v>55</v>
          </cell>
          <cell r="D447">
            <v>0</v>
          </cell>
          <cell r="F447">
            <v>0</v>
          </cell>
          <cell r="G447">
            <v>1</v>
          </cell>
          <cell r="I447">
            <v>0</v>
          </cell>
          <cell r="J447">
            <v>1</v>
          </cell>
          <cell r="K447">
            <v>18</v>
          </cell>
          <cell r="L447">
            <v>18</v>
          </cell>
          <cell r="M447">
            <v>5</v>
          </cell>
          <cell r="O447">
            <v>1</v>
          </cell>
          <cell r="P447">
            <v>0</v>
          </cell>
          <cell r="Q447">
            <v>0</v>
          </cell>
          <cell r="R447">
            <v>0</v>
          </cell>
          <cell r="S447">
            <v>0</v>
          </cell>
          <cell r="T447">
            <v>1</v>
          </cell>
          <cell r="V447">
            <v>1</v>
          </cell>
          <cell r="W447">
            <v>83</v>
          </cell>
          <cell r="X447">
            <v>3</v>
          </cell>
          <cell r="Y447">
            <v>4</v>
          </cell>
          <cell r="AA447">
            <v>0</v>
          </cell>
          <cell r="AB447">
            <v>0</v>
          </cell>
          <cell r="AC447">
            <v>0</v>
          </cell>
          <cell r="AD447">
            <v>1</v>
          </cell>
          <cell r="AE447">
            <v>0</v>
          </cell>
          <cell r="AF447">
            <v>0</v>
          </cell>
          <cell r="AG447">
            <v>0</v>
          </cell>
          <cell r="AH447">
            <v>0</v>
          </cell>
          <cell r="AI447">
            <v>2</v>
          </cell>
          <cell r="AK447">
            <v>1</v>
          </cell>
          <cell r="AL447">
            <v>0</v>
          </cell>
          <cell r="AN447">
            <v>16835</v>
          </cell>
          <cell r="AO447">
            <v>3</v>
          </cell>
          <cell r="AQ447">
            <v>0</v>
          </cell>
          <cell r="AR447">
            <v>23</v>
          </cell>
          <cell r="AS447">
            <v>4</v>
          </cell>
          <cell r="AT447">
            <v>4</v>
          </cell>
          <cell r="AU447">
            <v>0</v>
          </cell>
          <cell r="AV447">
            <v>37</v>
          </cell>
          <cell r="AW447">
            <v>35</v>
          </cell>
          <cell r="AX447">
            <v>2</v>
          </cell>
          <cell r="AY447">
            <v>3</v>
          </cell>
          <cell r="AZ447">
            <v>10</v>
          </cell>
          <cell r="BA447">
            <v>10</v>
          </cell>
          <cell r="BB447">
            <v>9</v>
          </cell>
          <cell r="BC447">
            <v>7</v>
          </cell>
          <cell r="BD447">
            <v>7</v>
          </cell>
          <cell r="BE447">
            <v>7</v>
          </cell>
          <cell r="BF447">
            <v>7</v>
          </cell>
          <cell r="BG447">
            <v>28</v>
          </cell>
          <cell r="BH447">
            <v>1</v>
          </cell>
          <cell r="BI447">
            <v>0</v>
          </cell>
          <cell r="BJ447">
            <v>0</v>
          </cell>
          <cell r="BK447">
            <v>0</v>
          </cell>
          <cell r="BL447">
            <v>1</v>
          </cell>
          <cell r="BM447">
            <v>0</v>
          </cell>
          <cell r="BN447">
            <v>0</v>
          </cell>
          <cell r="BO447">
            <v>0</v>
          </cell>
          <cell r="BP447">
            <v>0</v>
          </cell>
          <cell r="BQ447">
            <v>0</v>
          </cell>
          <cell r="BR447">
            <v>7</v>
          </cell>
          <cell r="BS447">
            <v>0</v>
          </cell>
          <cell r="BT447">
            <v>0</v>
          </cell>
          <cell r="BU447">
            <v>35</v>
          </cell>
        </row>
        <row r="448">
          <cell r="A448">
            <v>41</v>
          </cell>
          <cell r="B448">
            <v>41</v>
          </cell>
          <cell r="D448">
            <v>0</v>
          </cell>
          <cell r="F448">
            <v>0</v>
          </cell>
          <cell r="G448">
            <v>0</v>
          </cell>
          <cell r="I448">
            <v>0</v>
          </cell>
          <cell r="J448">
            <v>1</v>
          </cell>
          <cell r="K448">
            <v>10</v>
          </cell>
          <cell r="L448">
            <v>10</v>
          </cell>
          <cell r="M448">
            <v>2</v>
          </cell>
          <cell r="O448">
            <v>1</v>
          </cell>
          <cell r="P448">
            <v>0</v>
          </cell>
          <cell r="Q448">
            <v>0</v>
          </cell>
          <cell r="R448">
            <v>0</v>
          </cell>
          <cell r="S448">
            <v>0</v>
          </cell>
          <cell r="T448">
            <v>4</v>
          </cell>
          <cell r="V448">
            <v>0</v>
          </cell>
          <cell r="W448">
            <v>56</v>
          </cell>
          <cell r="X448">
            <v>3</v>
          </cell>
          <cell r="Y448">
            <v>2</v>
          </cell>
          <cell r="AA448">
            <v>0</v>
          </cell>
          <cell r="AB448">
            <v>1</v>
          </cell>
          <cell r="AC448">
            <v>0</v>
          </cell>
          <cell r="AD448">
            <v>0</v>
          </cell>
          <cell r="AE448">
            <v>0</v>
          </cell>
          <cell r="AF448">
            <v>0</v>
          </cell>
          <cell r="AG448">
            <v>0</v>
          </cell>
          <cell r="AH448">
            <v>0</v>
          </cell>
          <cell r="AI448">
            <v>4</v>
          </cell>
          <cell r="AK448">
            <v>1</v>
          </cell>
          <cell r="AL448">
            <v>0</v>
          </cell>
          <cell r="AN448">
            <v>6230</v>
          </cell>
          <cell r="AO448">
            <v>7</v>
          </cell>
          <cell r="AQ448">
            <v>0</v>
          </cell>
          <cell r="AR448">
            <v>14</v>
          </cell>
          <cell r="AS448">
            <v>3</v>
          </cell>
          <cell r="AT448">
            <v>4</v>
          </cell>
          <cell r="AU448">
            <v>0</v>
          </cell>
          <cell r="AV448">
            <v>16</v>
          </cell>
          <cell r="AW448">
            <v>16</v>
          </cell>
          <cell r="AX448">
            <v>3</v>
          </cell>
          <cell r="AY448">
            <v>3</v>
          </cell>
          <cell r="AZ448">
            <v>14</v>
          </cell>
          <cell r="BA448">
            <v>14</v>
          </cell>
          <cell r="BB448">
            <v>3</v>
          </cell>
          <cell r="BC448">
            <v>1</v>
          </cell>
          <cell r="BD448">
            <v>1</v>
          </cell>
          <cell r="BE448">
            <v>10</v>
          </cell>
          <cell r="BF448">
            <v>10</v>
          </cell>
          <cell r="BG448">
            <v>20</v>
          </cell>
          <cell r="BH448">
            <v>1</v>
          </cell>
          <cell r="BI448">
            <v>0</v>
          </cell>
          <cell r="BJ448">
            <v>0</v>
          </cell>
          <cell r="BK448">
            <v>0</v>
          </cell>
          <cell r="BL448">
            <v>1</v>
          </cell>
          <cell r="BM448">
            <v>0</v>
          </cell>
          <cell r="BN448">
            <v>0</v>
          </cell>
          <cell r="BO448">
            <v>0</v>
          </cell>
          <cell r="BP448">
            <v>0</v>
          </cell>
          <cell r="BQ448">
            <v>0</v>
          </cell>
          <cell r="BR448">
            <v>10</v>
          </cell>
          <cell r="BS448">
            <v>0</v>
          </cell>
          <cell r="BT448">
            <v>0</v>
          </cell>
          <cell r="BU448">
            <v>16</v>
          </cell>
        </row>
        <row r="449">
          <cell r="A449">
            <v>35</v>
          </cell>
          <cell r="B449">
            <v>35</v>
          </cell>
          <cell r="D449">
            <v>0</v>
          </cell>
          <cell r="F449">
            <v>0</v>
          </cell>
          <cell r="G449">
            <v>1</v>
          </cell>
          <cell r="I449">
            <v>0</v>
          </cell>
          <cell r="J449">
            <v>1</v>
          </cell>
          <cell r="K449">
            <v>1</v>
          </cell>
          <cell r="L449">
            <v>1</v>
          </cell>
          <cell r="M449">
            <v>3</v>
          </cell>
          <cell r="O449">
            <v>0</v>
          </cell>
          <cell r="P449">
            <v>0</v>
          </cell>
          <cell r="Q449">
            <v>0</v>
          </cell>
          <cell r="R449">
            <v>1</v>
          </cell>
          <cell r="S449">
            <v>0</v>
          </cell>
          <cell r="T449">
            <v>2</v>
          </cell>
          <cell r="V449">
            <v>0</v>
          </cell>
          <cell r="W449">
            <v>85</v>
          </cell>
          <cell r="X449">
            <v>3</v>
          </cell>
          <cell r="Y449">
            <v>2</v>
          </cell>
          <cell r="AA449">
            <v>0</v>
          </cell>
          <cell r="AB449">
            <v>1</v>
          </cell>
          <cell r="AC449">
            <v>0</v>
          </cell>
          <cell r="AD449">
            <v>0</v>
          </cell>
          <cell r="AE449">
            <v>0</v>
          </cell>
          <cell r="AF449">
            <v>0</v>
          </cell>
          <cell r="AG449">
            <v>0</v>
          </cell>
          <cell r="AH449">
            <v>0</v>
          </cell>
          <cell r="AI449">
            <v>3</v>
          </cell>
          <cell r="AK449">
            <v>0</v>
          </cell>
          <cell r="AL449">
            <v>1</v>
          </cell>
          <cell r="AN449">
            <v>4717</v>
          </cell>
          <cell r="AO449">
            <v>9</v>
          </cell>
          <cell r="AQ449">
            <v>0</v>
          </cell>
          <cell r="AR449">
            <v>11</v>
          </cell>
          <cell r="AS449">
            <v>3</v>
          </cell>
          <cell r="AT449">
            <v>3</v>
          </cell>
          <cell r="AU449">
            <v>0</v>
          </cell>
          <cell r="AV449">
            <v>15</v>
          </cell>
          <cell r="AW449">
            <v>15</v>
          </cell>
          <cell r="AX449">
            <v>2</v>
          </cell>
          <cell r="AY449">
            <v>3</v>
          </cell>
          <cell r="AZ449">
            <v>11</v>
          </cell>
          <cell r="BA449">
            <v>11</v>
          </cell>
          <cell r="BB449">
            <v>9</v>
          </cell>
          <cell r="BC449">
            <v>6</v>
          </cell>
          <cell r="BD449">
            <v>6</v>
          </cell>
          <cell r="BE449">
            <v>9</v>
          </cell>
          <cell r="BF449">
            <v>9</v>
          </cell>
          <cell r="BG449">
            <v>18</v>
          </cell>
          <cell r="BH449">
            <v>0</v>
          </cell>
          <cell r="BI449">
            <v>1</v>
          </cell>
          <cell r="BJ449">
            <v>0</v>
          </cell>
          <cell r="BK449">
            <v>0</v>
          </cell>
          <cell r="BL449">
            <v>0</v>
          </cell>
          <cell r="BM449">
            <v>0</v>
          </cell>
          <cell r="BN449">
            <v>1</v>
          </cell>
          <cell r="BO449">
            <v>0</v>
          </cell>
          <cell r="BP449">
            <v>0</v>
          </cell>
          <cell r="BQ449">
            <v>0</v>
          </cell>
          <cell r="BR449">
            <v>9</v>
          </cell>
          <cell r="BS449">
            <v>0</v>
          </cell>
          <cell r="BT449">
            <v>0</v>
          </cell>
          <cell r="BU449">
            <v>15</v>
          </cell>
        </row>
        <row r="450">
          <cell r="A450">
            <v>40</v>
          </cell>
          <cell r="B450">
            <v>40</v>
          </cell>
          <cell r="D450">
            <v>0</v>
          </cell>
          <cell r="F450">
            <v>0</v>
          </cell>
          <cell r="G450">
            <v>1</v>
          </cell>
          <cell r="I450">
            <v>1</v>
          </cell>
          <cell r="J450">
            <v>0</v>
          </cell>
          <cell r="K450">
            <v>6</v>
          </cell>
          <cell r="L450">
            <v>6</v>
          </cell>
          <cell r="M450">
            <v>3</v>
          </cell>
          <cell r="O450">
            <v>1</v>
          </cell>
          <cell r="P450">
            <v>0</v>
          </cell>
          <cell r="Q450">
            <v>0</v>
          </cell>
          <cell r="R450">
            <v>0</v>
          </cell>
          <cell r="S450">
            <v>0</v>
          </cell>
          <cell r="T450">
            <v>2</v>
          </cell>
          <cell r="V450">
            <v>1</v>
          </cell>
          <cell r="W450">
            <v>75</v>
          </cell>
          <cell r="X450">
            <v>3</v>
          </cell>
          <cell r="Y450">
            <v>4</v>
          </cell>
          <cell r="AA450">
            <v>0</v>
          </cell>
          <cell r="AB450">
            <v>0</v>
          </cell>
          <cell r="AC450">
            <v>0</v>
          </cell>
          <cell r="AD450">
            <v>0</v>
          </cell>
          <cell r="AE450">
            <v>1</v>
          </cell>
          <cell r="AF450">
            <v>1</v>
          </cell>
          <cell r="AG450">
            <v>0</v>
          </cell>
          <cell r="AH450">
            <v>0</v>
          </cell>
          <cell r="AI450">
            <v>3</v>
          </cell>
          <cell r="AK450">
            <v>1</v>
          </cell>
          <cell r="AL450">
            <v>0</v>
          </cell>
          <cell r="AN450">
            <v>13237</v>
          </cell>
          <cell r="AO450">
            <v>7</v>
          </cell>
          <cell r="AQ450">
            <v>0</v>
          </cell>
          <cell r="AR450">
            <v>15</v>
          </cell>
          <cell r="AS450">
            <v>3</v>
          </cell>
          <cell r="AT450">
            <v>3</v>
          </cell>
          <cell r="AU450">
            <v>0</v>
          </cell>
          <cell r="AV450">
            <v>22</v>
          </cell>
          <cell r="AW450">
            <v>22</v>
          </cell>
          <cell r="AX450">
            <v>3</v>
          </cell>
          <cell r="AY450">
            <v>3</v>
          </cell>
          <cell r="AZ450">
            <v>20</v>
          </cell>
          <cell r="BA450">
            <v>20</v>
          </cell>
          <cell r="BB450">
            <v>6</v>
          </cell>
          <cell r="BC450">
            <v>5</v>
          </cell>
          <cell r="BD450">
            <v>5</v>
          </cell>
          <cell r="BE450">
            <v>13</v>
          </cell>
          <cell r="BF450">
            <v>13</v>
          </cell>
          <cell r="BG450">
            <v>52</v>
          </cell>
          <cell r="BH450">
            <v>1</v>
          </cell>
          <cell r="BI450">
            <v>0</v>
          </cell>
          <cell r="BJ450">
            <v>0</v>
          </cell>
          <cell r="BK450">
            <v>0</v>
          </cell>
          <cell r="BL450">
            <v>1</v>
          </cell>
          <cell r="BM450">
            <v>0</v>
          </cell>
          <cell r="BN450">
            <v>0</v>
          </cell>
          <cell r="BO450">
            <v>0</v>
          </cell>
          <cell r="BP450">
            <v>0</v>
          </cell>
          <cell r="BQ450">
            <v>13</v>
          </cell>
          <cell r="BR450">
            <v>0</v>
          </cell>
          <cell r="BS450">
            <v>0</v>
          </cell>
          <cell r="BT450">
            <v>22</v>
          </cell>
          <cell r="BU450">
            <v>0</v>
          </cell>
        </row>
        <row r="451">
          <cell r="A451">
            <v>39</v>
          </cell>
          <cell r="B451">
            <v>39</v>
          </cell>
          <cell r="D451">
            <v>0</v>
          </cell>
          <cell r="F451">
            <v>1</v>
          </cell>
          <cell r="G451">
            <v>0</v>
          </cell>
          <cell r="I451">
            <v>1</v>
          </cell>
          <cell r="J451">
            <v>0</v>
          </cell>
          <cell r="K451">
            <v>8</v>
          </cell>
          <cell r="L451">
            <v>8</v>
          </cell>
          <cell r="M451">
            <v>1</v>
          </cell>
          <cell r="O451">
            <v>1</v>
          </cell>
          <cell r="P451">
            <v>0</v>
          </cell>
          <cell r="Q451">
            <v>0</v>
          </cell>
          <cell r="R451">
            <v>0</v>
          </cell>
          <cell r="S451">
            <v>0</v>
          </cell>
          <cell r="T451">
            <v>3</v>
          </cell>
          <cell r="V451">
            <v>1</v>
          </cell>
          <cell r="W451">
            <v>48</v>
          </cell>
          <cell r="X451">
            <v>3</v>
          </cell>
          <cell r="Y451">
            <v>1</v>
          </cell>
          <cell r="AA451">
            <v>0</v>
          </cell>
          <cell r="AB451">
            <v>0</v>
          </cell>
          <cell r="AC451">
            <v>1</v>
          </cell>
          <cell r="AD451">
            <v>0</v>
          </cell>
          <cell r="AE451">
            <v>0</v>
          </cell>
          <cell r="AF451">
            <v>0</v>
          </cell>
          <cell r="AG451">
            <v>0</v>
          </cell>
          <cell r="AH451">
            <v>0</v>
          </cell>
          <cell r="AI451">
            <v>3</v>
          </cell>
          <cell r="AK451">
            <v>0</v>
          </cell>
          <cell r="AL451">
            <v>1</v>
          </cell>
          <cell r="AN451">
            <v>3755</v>
          </cell>
          <cell r="AO451">
            <v>1</v>
          </cell>
          <cell r="AQ451">
            <v>0</v>
          </cell>
          <cell r="AR451">
            <v>11</v>
          </cell>
          <cell r="AS451">
            <v>3</v>
          </cell>
          <cell r="AT451">
            <v>1</v>
          </cell>
          <cell r="AU451">
            <v>1</v>
          </cell>
          <cell r="AV451">
            <v>8</v>
          </cell>
          <cell r="AW451">
            <v>8</v>
          </cell>
          <cell r="AX451">
            <v>3</v>
          </cell>
          <cell r="AY451">
            <v>3</v>
          </cell>
          <cell r="AZ451">
            <v>8</v>
          </cell>
          <cell r="BA451">
            <v>8</v>
          </cell>
          <cell r="BB451">
            <v>3</v>
          </cell>
          <cell r="BC451">
            <v>0</v>
          </cell>
          <cell r="BD451">
            <v>0</v>
          </cell>
          <cell r="BE451">
            <v>7</v>
          </cell>
          <cell r="BF451">
            <v>7</v>
          </cell>
          <cell r="BG451">
            <v>7</v>
          </cell>
          <cell r="BH451">
            <v>0</v>
          </cell>
          <cell r="BI451">
            <v>0</v>
          </cell>
          <cell r="BJ451">
            <v>0</v>
          </cell>
          <cell r="BK451">
            <v>1</v>
          </cell>
          <cell r="BL451">
            <v>0</v>
          </cell>
          <cell r="BM451">
            <v>0</v>
          </cell>
          <cell r="BN451">
            <v>1</v>
          </cell>
          <cell r="BO451">
            <v>0</v>
          </cell>
          <cell r="BP451">
            <v>0</v>
          </cell>
          <cell r="BQ451">
            <v>7</v>
          </cell>
          <cell r="BR451">
            <v>0</v>
          </cell>
          <cell r="BS451">
            <v>0</v>
          </cell>
          <cell r="BT451">
            <v>8</v>
          </cell>
          <cell r="BU451">
            <v>0</v>
          </cell>
        </row>
        <row r="452">
          <cell r="A452">
            <v>31</v>
          </cell>
          <cell r="B452">
            <v>31</v>
          </cell>
          <cell r="D452">
            <v>0</v>
          </cell>
          <cell r="F452">
            <v>0</v>
          </cell>
          <cell r="G452">
            <v>1</v>
          </cell>
          <cell r="I452">
            <v>0</v>
          </cell>
          <cell r="J452">
            <v>1</v>
          </cell>
          <cell r="K452">
            <v>2</v>
          </cell>
          <cell r="L452">
            <v>2</v>
          </cell>
          <cell r="M452">
            <v>1</v>
          </cell>
          <cell r="O452">
            <v>1</v>
          </cell>
          <cell r="P452">
            <v>0</v>
          </cell>
          <cell r="Q452">
            <v>0</v>
          </cell>
          <cell r="R452">
            <v>0</v>
          </cell>
          <cell r="S452">
            <v>0</v>
          </cell>
          <cell r="T452">
            <v>2</v>
          </cell>
          <cell r="V452">
            <v>0</v>
          </cell>
          <cell r="W452">
            <v>77</v>
          </cell>
          <cell r="X452">
            <v>3</v>
          </cell>
          <cell r="Y452">
            <v>2</v>
          </cell>
          <cell r="AA452">
            <v>0</v>
          </cell>
          <cell r="AB452">
            <v>1</v>
          </cell>
          <cell r="AC452">
            <v>0</v>
          </cell>
          <cell r="AD452">
            <v>0</v>
          </cell>
          <cell r="AE452">
            <v>0</v>
          </cell>
          <cell r="AF452">
            <v>0</v>
          </cell>
          <cell r="AG452">
            <v>0</v>
          </cell>
          <cell r="AH452">
            <v>0</v>
          </cell>
          <cell r="AI452">
            <v>4</v>
          </cell>
          <cell r="AK452">
            <v>1</v>
          </cell>
          <cell r="AL452">
            <v>0</v>
          </cell>
          <cell r="AN452">
            <v>6582</v>
          </cell>
          <cell r="AO452">
            <v>4</v>
          </cell>
          <cell r="AQ452">
            <v>1</v>
          </cell>
          <cell r="AR452">
            <v>13</v>
          </cell>
          <cell r="AS452">
            <v>3</v>
          </cell>
          <cell r="AT452">
            <v>3</v>
          </cell>
          <cell r="AU452">
            <v>0</v>
          </cell>
          <cell r="AV452">
            <v>10</v>
          </cell>
          <cell r="AW452">
            <v>10</v>
          </cell>
          <cell r="AX452">
            <v>2</v>
          </cell>
          <cell r="AY452">
            <v>4</v>
          </cell>
          <cell r="AZ452">
            <v>6</v>
          </cell>
          <cell r="BA452">
            <v>6</v>
          </cell>
          <cell r="BB452">
            <v>5</v>
          </cell>
          <cell r="BC452">
            <v>0</v>
          </cell>
          <cell r="BD452">
            <v>0</v>
          </cell>
          <cell r="BE452">
            <v>5</v>
          </cell>
          <cell r="BF452">
            <v>5</v>
          </cell>
          <cell r="BG452">
            <v>10</v>
          </cell>
          <cell r="BH452">
            <v>1</v>
          </cell>
          <cell r="BI452">
            <v>0</v>
          </cell>
          <cell r="BJ452">
            <v>0</v>
          </cell>
          <cell r="BK452">
            <v>0</v>
          </cell>
          <cell r="BL452">
            <v>0</v>
          </cell>
          <cell r="BM452">
            <v>1</v>
          </cell>
          <cell r="BN452">
            <v>0</v>
          </cell>
          <cell r="BO452">
            <v>0</v>
          </cell>
          <cell r="BP452">
            <v>0</v>
          </cell>
          <cell r="BQ452">
            <v>0</v>
          </cell>
          <cell r="BR452">
            <v>5</v>
          </cell>
          <cell r="BS452">
            <v>0</v>
          </cell>
          <cell r="BT452">
            <v>0</v>
          </cell>
          <cell r="BU452">
            <v>10</v>
          </cell>
        </row>
        <row r="453">
          <cell r="A453">
            <v>42</v>
          </cell>
          <cell r="B453">
            <v>42</v>
          </cell>
          <cell r="D453">
            <v>0</v>
          </cell>
          <cell r="F453">
            <v>0</v>
          </cell>
          <cell r="G453">
            <v>1</v>
          </cell>
          <cell r="I453">
            <v>1</v>
          </cell>
          <cell r="J453">
            <v>0</v>
          </cell>
          <cell r="K453">
            <v>24</v>
          </cell>
          <cell r="L453">
            <v>24</v>
          </cell>
          <cell r="M453">
            <v>3</v>
          </cell>
          <cell r="O453">
            <v>0</v>
          </cell>
          <cell r="P453">
            <v>0</v>
          </cell>
          <cell r="Q453">
            <v>1</v>
          </cell>
          <cell r="R453">
            <v>0</v>
          </cell>
          <cell r="S453">
            <v>0</v>
          </cell>
          <cell r="T453">
            <v>4</v>
          </cell>
          <cell r="V453">
            <v>0</v>
          </cell>
          <cell r="W453">
            <v>56</v>
          </cell>
          <cell r="X453">
            <v>3</v>
          </cell>
          <cell r="Y453">
            <v>3</v>
          </cell>
          <cell r="AA453">
            <v>0</v>
          </cell>
          <cell r="AB453">
            <v>0</v>
          </cell>
          <cell r="AC453">
            <v>0</v>
          </cell>
          <cell r="AD453">
            <v>0</v>
          </cell>
          <cell r="AE453">
            <v>1</v>
          </cell>
          <cell r="AF453">
            <v>1</v>
          </cell>
          <cell r="AG453">
            <v>0</v>
          </cell>
          <cell r="AH453">
            <v>0</v>
          </cell>
          <cell r="AI453">
            <v>1</v>
          </cell>
          <cell r="AK453">
            <v>0</v>
          </cell>
          <cell r="AL453">
            <v>1</v>
          </cell>
          <cell r="AN453">
            <v>7406</v>
          </cell>
          <cell r="AO453">
            <v>1</v>
          </cell>
          <cell r="AQ453">
            <v>1</v>
          </cell>
          <cell r="AR453">
            <v>21</v>
          </cell>
          <cell r="AS453">
            <v>4</v>
          </cell>
          <cell r="AT453">
            <v>4</v>
          </cell>
          <cell r="AU453">
            <v>1</v>
          </cell>
          <cell r="AV453">
            <v>10</v>
          </cell>
          <cell r="AW453">
            <v>10</v>
          </cell>
          <cell r="AX453">
            <v>5</v>
          </cell>
          <cell r="AY453">
            <v>2</v>
          </cell>
          <cell r="AZ453">
            <v>10</v>
          </cell>
          <cell r="BA453">
            <v>10</v>
          </cell>
          <cell r="BB453">
            <v>9</v>
          </cell>
          <cell r="BC453">
            <v>5</v>
          </cell>
          <cell r="BD453">
            <v>5</v>
          </cell>
          <cell r="BE453">
            <v>8</v>
          </cell>
          <cell r="BF453">
            <v>8</v>
          </cell>
          <cell r="BG453">
            <v>24</v>
          </cell>
          <cell r="BH453">
            <v>0</v>
          </cell>
          <cell r="BI453">
            <v>1</v>
          </cell>
          <cell r="BJ453">
            <v>0</v>
          </cell>
          <cell r="BK453">
            <v>0</v>
          </cell>
          <cell r="BL453">
            <v>0</v>
          </cell>
          <cell r="BM453">
            <v>0</v>
          </cell>
          <cell r="BN453">
            <v>0</v>
          </cell>
          <cell r="BO453">
            <v>1</v>
          </cell>
          <cell r="BP453">
            <v>0</v>
          </cell>
          <cell r="BQ453">
            <v>8</v>
          </cell>
          <cell r="BR453">
            <v>0</v>
          </cell>
          <cell r="BS453">
            <v>0</v>
          </cell>
          <cell r="BT453">
            <v>10</v>
          </cell>
          <cell r="BU453">
            <v>0</v>
          </cell>
        </row>
        <row r="454">
          <cell r="A454">
            <v>45</v>
          </cell>
          <cell r="B454">
            <v>45</v>
          </cell>
          <cell r="D454">
            <v>0</v>
          </cell>
          <cell r="F454">
            <v>0</v>
          </cell>
          <cell r="G454">
            <v>1</v>
          </cell>
          <cell r="I454">
            <v>0</v>
          </cell>
          <cell r="J454">
            <v>1</v>
          </cell>
          <cell r="K454">
            <v>2</v>
          </cell>
          <cell r="L454">
            <v>2</v>
          </cell>
          <cell r="M454">
            <v>3</v>
          </cell>
          <cell r="O454">
            <v>0</v>
          </cell>
          <cell r="P454">
            <v>1</v>
          </cell>
          <cell r="Q454">
            <v>0</v>
          </cell>
          <cell r="R454">
            <v>0</v>
          </cell>
          <cell r="S454">
            <v>0</v>
          </cell>
          <cell r="T454">
            <v>4</v>
          </cell>
          <cell r="V454">
            <v>0</v>
          </cell>
          <cell r="W454">
            <v>61</v>
          </cell>
          <cell r="X454">
            <v>3</v>
          </cell>
          <cell r="Y454">
            <v>2</v>
          </cell>
          <cell r="AA454">
            <v>0</v>
          </cell>
          <cell r="AB454">
            <v>1</v>
          </cell>
          <cell r="AC454">
            <v>0</v>
          </cell>
          <cell r="AD454">
            <v>0</v>
          </cell>
          <cell r="AE454">
            <v>0</v>
          </cell>
          <cell r="AF454">
            <v>0</v>
          </cell>
          <cell r="AG454">
            <v>0</v>
          </cell>
          <cell r="AH454">
            <v>0</v>
          </cell>
          <cell r="AI454">
            <v>2</v>
          </cell>
          <cell r="AK454">
            <v>0</v>
          </cell>
          <cell r="AL454">
            <v>1</v>
          </cell>
          <cell r="AN454">
            <v>4805</v>
          </cell>
          <cell r="AO454">
            <v>0</v>
          </cell>
          <cell r="AQ454">
            <v>0</v>
          </cell>
          <cell r="AR454">
            <v>19</v>
          </cell>
          <cell r="AS454">
            <v>3</v>
          </cell>
          <cell r="AT454">
            <v>2</v>
          </cell>
          <cell r="AU454">
            <v>1</v>
          </cell>
          <cell r="AV454">
            <v>9</v>
          </cell>
          <cell r="AW454">
            <v>9</v>
          </cell>
          <cell r="AX454">
            <v>3</v>
          </cell>
          <cell r="AY454">
            <v>4</v>
          </cell>
          <cell r="AZ454">
            <v>8</v>
          </cell>
          <cell r="BA454">
            <v>8</v>
          </cell>
          <cell r="BB454">
            <v>7</v>
          </cell>
          <cell r="BC454">
            <v>3</v>
          </cell>
          <cell r="BD454">
            <v>3</v>
          </cell>
          <cell r="BE454">
            <v>7</v>
          </cell>
          <cell r="BF454">
            <v>7</v>
          </cell>
          <cell r="BG454">
            <v>14</v>
          </cell>
          <cell r="BH454">
            <v>0</v>
          </cell>
          <cell r="BI454">
            <v>1</v>
          </cell>
          <cell r="BJ454">
            <v>0</v>
          </cell>
          <cell r="BK454">
            <v>0</v>
          </cell>
          <cell r="BL454">
            <v>0</v>
          </cell>
          <cell r="BM454">
            <v>0</v>
          </cell>
          <cell r="BN454">
            <v>1</v>
          </cell>
          <cell r="BO454">
            <v>0</v>
          </cell>
          <cell r="BP454">
            <v>0</v>
          </cell>
          <cell r="BQ454">
            <v>0</v>
          </cell>
          <cell r="BR454">
            <v>7</v>
          </cell>
          <cell r="BS454">
            <v>0</v>
          </cell>
          <cell r="BT454">
            <v>0</v>
          </cell>
          <cell r="BU454">
            <v>9</v>
          </cell>
        </row>
        <row r="455">
          <cell r="A455">
            <v>26</v>
          </cell>
          <cell r="B455">
            <v>26</v>
          </cell>
          <cell r="D455">
            <v>1</v>
          </cell>
          <cell r="F455">
            <v>1</v>
          </cell>
          <cell r="G455">
            <v>0</v>
          </cell>
          <cell r="I455">
            <v>0</v>
          </cell>
          <cell r="J455">
            <v>0</v>
          </cell>
          <cell r="K455">
            <v>17</v>
          </cell>
          <cell r="L455">
            <v>17</v>
          </cell>
          <cell r="M455">
            <v>4</v>
          </cell>
          <cell r="O455">
            <v>1</v>
          </cell>
          <cell r="P455">
            <v>0</v>
          </cell>
          <cell r="Q455">
            <v>0</v>
          </cell>
          <cell r="R455">
            <v>0</v>
          </cell>
          <cell r="S455">
            <v>0</v>
          </cell>
          <cell r="T455">
            <v>2</v>
          </cell>
          <cell r="V455">
            <v>1</v>
          </cell>
          <cell r="W455">
            <v>58</v>
          </cell>
          <cell r="X455">
            <v>3</v>
          </cell>
          <cell r="Y455">
            <v>1</v>
          </cell>
          <cell r="AA455">
            <v>0</v>
          </cell>
          <cell r="AB455">
            <v>0</v>
          </cell>
          <cell r="AC455">
            <v>0</v>
          </cell>
          <cell r="AD455">
            <v>0</v>
          </cell>
          <cell r="AE455">
            <v>0</v>
          </cell>
          <cell r="AF455">
            <v>0</v>
          </cell>
          <cell r="AG455">
            <v>0</v>
          </cell>
          <cell r="AH455">
            <v>0</v>
          </cell>
          <cell r="AI455">
            <v>3</v>
          </cell>
          <cell r="AK455">
            <v>0</v>
          </cell>
          <cell r="AL455">
            <v>0</v>
          </cell>
          <cell r="AN455">
            <v>2741</v>
          </cell>
          <cell r="AO455">
            <v>0</v>
          </cell>
          <cell r="AQ455">
            <v>1</v>
          </cell>
          <cell r="AR455">
            <v>11</v>
          </cell>
          <cell r="AS455">
            <v>3</v>
          </cell>
          <cell r="AT455">
            <v>2</v>
          </cell>
          <cell r="AU455">
            <v>1</v>
          </cell>
          <cell r="AV455">
            <v>8</v>
          </cell>
          <cell r="AW455">
            <v>8</v>
          </cell>
          <cell r="AX455">
            <v>2</v>
          </cell>
          <cell r="AY455">
            <v>2</v>
          </cell>
          <cell r="AZ455">
            <v>7</v>
          </cell>
          <cell r="BA455">
            <v>7</v>
          </cell>
          <cell r="BB455">
            <v>7</v>
          </cell>
          <cell r="BC455">
            <v>1</v>
          </cell>
          <cell r="BD455">
            <v>1</v>
          </cell>
          <cell r="BE455">
            <v>0</v>
          </cell>
          <cell r="BF455">
            <v>0</v>
          </cell>
          <cell r="BG455">
            <v>0</v>
          </cell>
          <cell r="BH455">
            <v>0</v>
          </cell>
          <cell r="BI455">
            <v>0</v>
          </cell>
          <cell r="BJ455">
            <v>1</v>
          </cell>
          <cell r="BK455">
            <v>0</v>
          </cell>
          <cell r="BL455">
            <v>0</v>
          </cell>
          <cell r="BM455">
            <v>1</v>
          </cell>
          <cell r="BN455">
            <v>0</v>
          </cell>
          <cell r="BO455">
            <v>0</v>
          </cell>
          <cell r="BP455">
            <v>0</v>
          </cell>
          <cell r="BQ455">
            <v>0</v>
          </cell>
          <cell r="BR455">
            <v>0</v>
          </cell>
          <cell r="BS455">
            <v>8</v>
          </cell>
          <cell r="BT455">
            <v>0</v>
          </cell>
          <cell r="BU455">
            <v>0</v>
          </cell>
        </row>
        <row r="456">
          <cell r="A456">
            <v>29</v>
          </cell>
          <cell r="B456">
            <v>29</v>
          </cell>
          <cell r="D456">
            <v>0</v>
          </cell>
          <cell r="F456">
            <v>0</v>
          </cell>
          <cell r="G456">
            <v>1</v>
          </cell>
          <cell r="I456">
            <v>1</v>
          </cell>
          <cell r="J456">
            <v>0</v>
          </cell>
          <cell r="K456">
            <v>19</v>
          </cell>
          <cell r="L456">
            <v>19</v>
          </cell>
          <cell r="M456">
            <v>3</v>
          </cell>
          <cell r="O456">
            <v>0</v>
          </cell>
          <cell r="P456">
            <v>0</v>
          </cell>
          <cell r="Q456">
            <v>0</v>
          </cell>
          <cell r="R456">
            <v>0</v>
          </cell>
          <cell r="S456">
            <v>1</v>
          </cell>
          <cell r="T456">
            <v>4</v>
          </cell>
          <cell r="V456">
            <v>0</v>
          </cell>
          <cell r="W456">
            <v>34</v>
          </cell>
          <cell r="X456">
            <v>3</v>
          </cell>
          <cell r="Y456">
            <v>2</v>
          </cell>
          <cell r="AA456">
            <v>0</v>
          </cell>
          <cell r="AB456">
            <v>0</v>
          </cell>
          <cell r="AC456">
            <v>0</v>
          </cell>
          <cell r="AD456">
            <v>0</v>
          </cell>
          <cell r="AE456">
            <v>1</v>
          </cell>
          <cell r="AF456">
            <v>1</v>
          </cell>
          <cell r="AG456">
            <v>0</v>
          </cell>
          <cell r="AH456">
            <v>0</v>
          </cell>
          <cell r="AI456">
            <v>4</v>
          </cell>
          <cell r="AK456">
            <v>0</v>
          </cell>
          <cell r="AL456">
            <v>0</v>
          </cell>
          <cell r="AN456">
            <v>4262</v>
          </cell>
          <cell r="AO456">
            <v>4</v>
          </cell>
          <cell r="AQ456">
            <v>0</v>
          </cell>
          <cell r="AR456">
            <v>12</v>
          </cell>
          <cell r="AS456">
            <v>3</v>
          </cell>
          <cell r="AT456">
            <v>2</v>
          </cell>
          <cell r="AU456">
            <v>2</v>
          </cell>
          <cell r="AV456">
            <v>8</v>
          </cell>
          <cell r="AW456">
            <v>8</v>
          </cell>
          <cell r="AX456">
            <v>2</v>
          </cell>
          <cell r="AY456">
            <v>4</v>
          </cell>
          <cell r="AZ456">
            <v>3</v>
          </cell>
          <cell r="BA456">
            <v>3</v>
          </cell>
          <cell r="BB456">
            <v>2</v>
          </cell>
          <cell r="BC456">
            <v>1</v>
          </cell>
          <cell r="BD456">
            <v>1</v>
          </cell>
          <cell r="BE456">
            <v>2</v>
          </cell>
          <cell r="BF456">
            <v>2</v>
          </cell>
          <cell r="BG456">
            <v>4</v>
          </cell>
          <cell r="BH456">
            <v>1</v>
          </cell>
          <cell r="BI456">
            <v>0</v>
          </cell>
          <cell r="BJ456">
            <v>0</v>
          </cell>
          <cell r="BK456">
            <v>0</v>
          </cell>
          <cell r="BL456">
            <v>1</v>
          </cell>
          <cell r="BM456">
            <v>0</v>
          </cell>
          <cell r="BN456">
            <v>0</v>
          </cell>
          <cell r="BO456">
            <v>0</v>
          </cell>
          <cell r="BP456">
            <v>0</v>
          </cell>
          <cell r="BQ456">
            <v>2</v>
          </cell>
          <cell r="BR456">
            <v>0</v>
          </cell>
          <cell r="BS456">
            <v>0</v>
          </cell>
          <cell r="BT456">
            <v>8</v>
          </cell>
          <cell r="BU456">
            <v>0</v>
          </cell>
        </row>
        <row r="457">
          <cell r="A457">
            <v>33</v>
          </cell>
          <cell r="B457">
            <v>33</v>
          </cell>
          <cell r="D457">
            <v>0</v>
          </cell>
          <cell r="F457">
            <v>0</v>
          </cell>
          <cell r="G457">
            <v>1</v>
          </cell>
          <cell r="I457">
            <v>1</v>
          </cell>
          <cell r="J457">
            <v>0</v>
          </cell>
          <cell r="K457">
            <v>1</v>
          </cell>
          <cell r="L457">
            <v>1</v>
          </cell>
          <cell r="M457">
            <v>5</v>
          </cell>
          <cell r="O457">
            <v>0</v>
          </cell>
          <cell r="P457">
            <v>0</v>
          </cell>
          <cell r="Q457">
            <v>1</v>
          </cell>
          <cell r="R457">
            <v>0</v>
          </cell>
          <cell r="S457">
            <v>0</v>
          </cell>
          <cell r="T457">
            <v>1</v>
          </cell>
          <cell r="V457">
            <v>1</v>
          </cell>
          <cell r="W457">
            <v>95</v>
          </cell>
          <cell r="X457">
            <v>4</v>
          </cell>
          <cell r="Y457">
            <v>4</v>
          </cell>
          <cell r="AA457">
            <v>0</v>
          </cell>
          <cell r="AB457">
            <v>0</v>
          </cell>
          <cell r="AC457">
            <v>0</v>
          </cell>
          <cell r="AD457">
            <v>0</v>
          </cell>
          <cell r="AE457">
            <v>0</v>
          </cell>
          <cell r="AF457">
            <v>0</v>
          </cell>
          <cell r="AG457">
            <v>0</v>
          </cell>
          <cell r="AH457">
            <v>0</v>
          </cell>
          <cell r="AI457">
            <v>3</v>
          </cell>
          <cell r="AK457">
            <v>0</v>
          </cell>
          <cell r="AL457">
            <v>0</v>
          </cell>
          <cell r="AN457">
            <v>16184</v>
          </cell>
          <cell r="AO457">
            <v>4</v>
          </cell>
          <cell r="AQ457">
            <v>0</v>
          </cell>
          <cell r="AR457">
            <v>19</v>
          </cell>
          <cell r="AS457">
            <v>3</v>
          </cell>
          <cell r="AT457">
            <v>3</v>
          </cell>
          <cell r="AU457">
            <v>1</v>
          </cell>
          <cell r="AV457">
            <v>10</v>
          </cell>
          <cell r="AW457">
            <v>10</v>
          </cell>
          <cell r="AX457">
            <v>2</v>
          </cell>
          <cell r="AY457">
            <v>3</v>
          </cell>
          <cell r="AZ457">
            <v>6</v>
          </cell>
          <cell r="BA457">
            <v>6</v>
          </cell>
          <cell r="BB457">
            <v>1</v>
          </cell>
          <cell r="BC457">
            <v>0</v>
          </cell>
          <cell r="BD457">
            <v>0</v>
          </cell>
          <cell r="BE457">
            <v>5</v>
          </cell>
          <cell r="BF457">
            <v>5</v>
          </cell>
          <cell r="BG457">
            <v>20</v>
          </cell>
          <cell r="BH457">
            <v>1</v>
          </cell>
          <cell r="BI457">
            <v>0</v>
          </cell>
          <cell r="BJ457">
            <v>0</v>
          </cell>
          <cell r="BK457">
            <v>0</v>
          </cell>
          <cell r="BL457">
            <v>1</v>
          </cell>
          <cell r="BM457">
            <v>0</v>
          </cell>
          <cell r="BN457">
            <v>0</v>
          </cell>
          <cell r="BO457">
            <v>0</v>
          </cell>
          <cell r="BP457">
            <v>0</v>
          </cell>
          <cell r="BQ457">
            <v>5</v>
          </cell>
          <cell r="BR457">
            <v>0</v>
          </cell>
          <cell r="BS457">
            <v>0</v>
          </cell>
          <cell r="BT457">
            <v>10</v>
          </cell>
          <cell r="BU457">
            <v>0</v>
          </cell>
        </row>
        <row r="458">
          <cell r="A458">
            <v>31</v>
          </cell>
          <cell r="B458">
            <v>31</v>
          </cell>
          <cell r="D458">
            <v>0</v>
          </cell>
          <cell r="F458">
            <v>0</v>
          </cell>
          <cell r="G458">
            <v>1</v>
          </cell>
          <cell r="I458">
            <v>0</v>
          </cell>
          <cell r="J458">
            <v>1</v>
          </cell>
          <cell r="K458">
            <v>7</v>
          </cell>
          <cell r="L458">
            <v>7</v>
          </cell>
          <cell r="M458">
            <v>3</v>
          </cell>
          <cell r="O458">
            <v>1</v>
          </cell>
          <cell r="P458">
            <v>0</v>
          </cell>
          <cell r="Q458">
            <v>0</v>
          </cell>
          <cell r="R458">
            <v>0</v>
          </cell>
          <cell r="S458">
            <v>0</v>
          </cell>
          <cell r="T458">
            <v>3</v>
          </cell>
          <cell r="V458">
            <v>0</v>
          </cell>
          <cell r="W458">
            <v>44</v>
          </cell>
          <cell r="X458">
            <v>2</v>
          </cell>
          <cell r="Y458">
            <v>3</v>
          </cell>
          <cell r="AA458">
            <v>0</v>
          </cell>
          <cell r="AB458">
            <v>0</v>
          </cell>
          <cell r="AC458">
            <v>0</v>
          </cell>
          <cell r="AD458">
            <v>1</v>
          </cell>
          <cell r="AE458">
            <v>0</v>
          </cell>
          <cell r="AF458">
            <v>0</v>
          </cell>
          <cell r="AG458">
            <v>0</v>
          </cell>
          <cell r="AH458">
            <v>0</v>
          </cell>
          <cell r="AI458">
            <v>4</v>
          </cell>
          <cell r="AK458">
            <v>0</v>
          </cell>
          <cell r="AL458">
            <v>0</v>
          </cell>
          <cell r="AN458">
            <v>11557</v>
          </cell>
          <cell r="AO458">
            <v>9</v>
          </cell>
          <cell r="AQ458">
            <v>0</v>
          </cell>
          <cell r="AR458">
            <v>21</v>
          </cell>
          <cell r="AS458">
            <v>4</v>
          </cell>
          <cell r="AT458">
            <v>3</v>
          </cell>
          <cell r="AU458">
            <v>1</v>
          </cell>
          <cell r="AV458">
            <v>10</v>
          </cell>
          <cell r="AW458">
            <v>10</v>
          </cell>
          <cell r="AX458">
            <v>3</v>
          </cell>
          <cell r="AY458">
            <v>2</v>
          </cell>
          <cell r="AZ458">
            <v>5</v>
          </cell>
          <cell r="BA458">
            <v>5</v>
          </cell>
          <cell r="BB458">
            <v>4</v>
          </cell>
          <cell r="BC458">
            <v>0</v>
          </cell>
          <cell r="BD458">
            <v>0</v>
          </cell>
          <cell r="BE458">
            <v>1</v>
          </cell>
          <cell r="BF458">
            <v>1</v>
          </cell>
          <cell r="BG458">
            <v>3</v>
          </cell>
          <cell r="BH458">
            <v>1</v>
          </cell>
          <cell r="BI458">
            <v>0</v>
          </cell>
          <cell r="BJ458">
            <v>0</v>
          </cell>
          <cell r="BK458">
            <v>0</v>
          </cell>
          <cell r="BL458">
            <v>1</v>
          </cell>
          <cell r="BM458">
            <v>0</v>
          </cell>
          <cell r="BN458">
            <v>0</v>
          </cell>
          <cell r="BO458">
            <v>0</v>
          </cell>
          <cell r="BP458">
            <v>0</v>
          </cell>
          <cell r="BQ458">
            <v>0</v>
          </cell>
          <cell r="BR458">
            <v>1</v>
          </cell>
          <cell r="BS458">
            <v>0</v>
          </cell>
          <cell r="BT458">
            <v>0</v>
          </cell>
          <cell r="BU458">
            <v>10</v>
          </cell>
        </row>
        <row r="459">
          <cell r="A459">
            <v>18</v>
          </cell>
          <cell r="B459">
            <v>19</v>
          </cell>
          <cell r="D459">
            <v>1</v>
          </cell>
          <cell r="F459">
            <v>1</v>
          </cell>
          <cell r="G459">
            <v>0</v>
          </cell>
          <cell r="I459">
            <v>0</v>
          </cell>
          <cell r="J459">
            <v>1</v>
          </cell>
          <cell r="K459">
            <v>5</v>
          </cell>
          <cell r="L459">
            <v>5</v>
          </cell>
          <cell r="M459">
            <v>3</v>
          </cell>
          <cell r="O459">
            <v>0</v>
          </cell>
          <cell r="P459">
            <v>0</v>
          </cell>
          <cell r="Q459">
            <v>0</v>
          </cell>
          <cell r="R459">
            <v>1</v>
          </cell>
          <cell r="S459">
            <v>0</v>
          </cell>
          <cell r="T459">
            <v>2</v>
          </cell>
          <cell r="V459">
            <v>0</v>
          </cell>
          <cell r="W459">
            <v>69</v>
          </cell>
          <cell r="X459">
            <v>3</v>
          </cell>
          <cell r="Y459">
            <v>1</v>
          </cell>
          <cell r="AA459">
            <v>0</v>
          </cell>
          <cell r="AB459">
            <v>0</v>
          </cell>
          <cell r="AC459">
            <v>0</v>
          </cell>
          <cell r="AD459">
            <v>0</v>
          </cell>
          <cell r="AE459">
            <v>0</v>
          </cell>
          <cell r="AF459">
            <v>0</v>
          </cell>
          <cell r="AG459">
            <v>1</v>
          </cell>
          <cell r="AH459">
            <v>0</v>
          </cell>
          <cell r="AI459">
            <v>2</v>
          </cell>
          <cell r="AK459">
            <v>1</v>
          </cell>
          <cell r="AL459">
            <v>0</v>
          </cell>
          <cell r="AN459">
            <v>1878</v>
          </cell>
          <cell r="AO459">
            <v>1</v>
          </cell>
          <cell r="AQ459">
            <v>1</v>
          </cell>
          <cell r="AR459">
            <v>14</v>
          </cell>
          <cell r="AS459">
            <v>3</v>
          </cell>
          <cell r="AT459">
            <v>4</v>
          </cell>
          <cell r="AU459">
            <v>0</v>
          </cell>
          <cell r="AV459">
            <v>0</v>
          </cell>
          <cell r="AW459">
            <v>1</v>
          </cell>
          <cell r="AX459">
            <v>3</v>
          </cell>
          <cell r="AY459">
            <v>3</v>
          </cell>
          <cell r="AZ459">
            <v>0</v>
          </cell>
          <cell r="BA459">
            <v>0</v>
          </cell>
          <cell r="BB459">
            <v>0</v>
          </cell>
          <cell r="BC459">
            <v>0</v>
          </cell>
          <cell r="BD459">
            <v>0</v>
          </cell>
          <cell r="BE459">
            <v>0</v>
          </cell>
          <cell r="BF459">
            <v>0</v>
          </cell>
          <cell r="BG459">
            <v>0</v>
          </cell>
          <cell r="BH459">
            <v>0</v>
          </cell>
          <cell r="BI459">
            <v>0</v>
          </cell>
          <cell r="BJ459">
            <v>1</v>
          </cell>
          <cell r="BK459">
            <v>0</v>
          </cell>
          <cell r="BL459">
            <v>0</v>
          </cell>
          <cell r="BM459">
            <v>1</v>
          </cell>
          <cell r="BN459">
            <v>0</v>
          </cell>
          <cell r="BO459">
            <v>0</v>
          </cell>
          <cell r="BP459">
            <v>0</v>
          </cell>
          <cell r="BQ459">
            <v>0</v>
          </cell>
          <cell r="BR459">
            <v>0</v>
          </cell>
          <cell r="BS459">
            <v>0</v>
          </cell>
          <cell r="BT459">
            <v>0</v>
          </cell>
          <cell r="BU459">
            <v>1</v>
          </cell>
        </row>
        <row r="460">
          <cell r="A460">
            <v>40</v>
          </cell>
          <cell r="B460">
            <v>40</v>
          </cell>
          <cell r="D460">
            <v>0</v>
          </cell>
          <cell r="F460">
            <v>0</v>
          </cell>
          <cell r="G460">
            <v>0</v>
          </cell>
          <cell r="I460">
            <v>0</v>
          </cell>
          <cell r="J460">
            <v>1</v>
          </cell>
          <cell r="K460">
            <v>28</v>
          </cell>
          <cell r="L460">
            <v>28</v>
          </cell>
          <cell r="M460">
            <v>3</v>
          </cell>
          <cell r="O460">
            <v>0</v>
          </cell>
          <cell r="P460">
            <v>1</v>
          </cell>
          <cell r="Q460">
            <v>0</v>
          </cell>
          <cell r="R460">
            <v>0</v>
          </cell>
          <cell r="S460">
            <v>0</v>
          </cell>
          <cell r="T460">
            <v>3</v>
          </cell>
          <cell r="V460">
            <v>0</v>
          </cell>
          <cell r="W460">
            <v>58</v>
          </cell>
          <cell r="X460">
            <v>1</v>
          </cell>
          <cell r="Y460">
            <v>3</v>
          </cell>
          <cell r="AA460">
            <v>0</v>
          </cell>
          <cell r="AB460">
            <v>1</v>
          </cell>
          <cell r="AC460">
            <v>0</v>
          </cell>
          <cell r="AD460">
            <v>0</v>
          </cell>
          <cell r="AE460">
            <v>0</v>
          </cell>
          <cell r="AF460">
            <v>0</v>
          </cell>
          <cell r="AG460">
            <v>0</v>
          </cell>
          <cell r="AH460">
            <v>0</v>
          </cell>
          <cell r="AI460">
            <v>1</v>
          </cell>
          <cell r="AK460">
            <v>0</v>
          </cell>
          <cell r="AL460">
            <v>0</v>
          </cell>
          <cell r="AN460">
            <v>10932</v>
          </cell>
          <cell r="AO460">
            <v>3</v>
          </cell>
          <cell r="AQ460">
            <v>0</v>
          </cell>
          <cell r="AR460">
            <v>15</v>
          </cell>
          <cell r="AS460">
            <v>3</v>
          </cell>
          <cell r="AT460">
            <v>3</v>
          </cell>
          <cell r="AU460">
            <v>1</v>
          </cell>
          <cell r="AV460">
            <v>20</v>
          </cell>
          <cell r="AW460">
            <v>20</v>
          </cell>
          <cell r="AX460">
            <v>2</v>
          </cell>
          <cell r="AY460">
            <v>3</v>
          </cell>
          <cell r="AZ460">
            <v>1</v>
          </cell>
          <cell r="BA460">
            <v>1</v>
          </cell>
          <cell r="BB460">
            <v>0</v>
          </cell>
          <cell r="BC460">
            <v>0</v>
          </cell>
          <cell r="BD460">
            <v>0</v>
          </cell>
          <cell r="BE460">
            <v>1</v>
          </cell>
          <cell r="BF460">
            <v>1</v>
          </cell>
          <cell r="BG460">
            <v>3</v>
          </cell>
          <cell r="BH460">
            <v>1</v>
          </cell>
          <cell r="BI460">
            <v>0</v>
          </cell>
          <cell r="BJ460">
            <v>0</v>
          </cell>
          <cell r="BK460">
            <v>0</v>
          </cell>
          <cell r="BL460">
            <v>1</v>
          </cell>
          <cell r="BM460">
            <v>0</v>
          </cell>
          <cell r="BN460">
            <v>0</v>
          </cell>
          <cell r="BO460">
            <v>0</v>
          </cell>
          <cell r="BP460">
            <v>0</v>
          </cell>
          <cell r="BQ460">
            <v>0</v>
          </cell>
          <cell r="BR460">
            <v>1</v>
          </cell>
          <cell r="BS460">
            <v>0</v>
          </cell>
          <cell r="BT460">
            <v>0</v>
          </cell>
          <cell r="BU460">
            <v>20</v>
          </cell>
        </row>
        <row r="461">
          <cell r="A461">
            <v>41</v>
          </cell>
          <cell r="B461">
            <v>41</v>
          </cell>
          <cell r="D461">
            <v>0</v>
          </cell>
          <cell r="F461">
            <v>0</v>
          </cell>
          <cell r="G461">
            <v>0</v>
          </cell>
          <cell r="I461">
            <v>1</v>
          </cell>
          <cell r="J461">
            <v>0</v>
          </cell>
          <cell r="K461">
            <v>2</v>
          </cell>
          <cell r="L461">
            <v>2</v>
          </cell>
          <cell r="M461">
            <v>4</v>
          </cell>
          <cell r="O461">
            <v>0</v>
          </cell>
          <cell r="P461">
            <v>1</v>
          </cell>
          <cell r="Q461">
            <v>0</v>
          </cell>
          <cell r="R461">
            <v>0</v>
          </cell>
          <cell r="S461">
            <v>0</v>
          </cell>
          <cell r="T461">
            <v>1</v>
          </cell>
          <cell r="V461">
            <v>1</v>
          </cell>
          <cell r="W461">
            <v>62</v>
          </cell>
          <cell r="X461">
            <v>2</v>
          </cell>
          <cell r="Y461">
            <v>2</v>
          </cell>
          <cell r="AA461">
            <v>1</v>
          </cell>
          <cell r="AB461">
            <v>0</v>
          </cell>
          <cell r="AC461">
            <v>0</v>
          </cell>
          <cell r="AD461">
            <v>0</v>
          </cell>
          <cell r="AE461">
            <v>0</v>
          </cell>
          <cell r="AF461">
            <v>0</v>
          </cell>
          <cell r="AG461">
            <v>0</v>
          </cell>
          <cell r="AH461">
            <v>0</v>
          </cell>
          <cell r="AI461">
            <v>3</v>
          </cell>
          <cell r="AK461">
            <v>1</v>
          </cell>
          <cell r="AL461">
            <v>0</v>
          </cell>
          <cell r="AN461">
            <v>6811</v>
          </cell>
          <cell r="AO461">
            <v>2</v>
          </cell>
          <cell r="AQ461">
            <v>1</v>
          </cell>
          <cell r="AR461">
            <v>17</v>
          </cell>
          <cell r="AS461">
            <v>3</v>
          </cell>
          <cell r="AT461">
            <v>1</v>
          </cell>
          <cell r="AU461">
            <v>0</v>
          </cell>
          <cell r="AV461">
            <v>10</v>
          </cell>
          <cell r="AW461">
            <v>10</v>
          </cell>
          <cell r="AX461">
            <v>3</v>
          </cell>
          <cell r="AY461">
            <v>3</v>
          </cell>
          <cell r="AZ461">
            <v>8</v>
          </cell>
          <cell r="BA461">
            <v>8</v>
          </cell>
          <cell r="BB461">
            <v>7</v>
          </cell>
          <cell r="BC461">
            <v>0</v>
          </cell>
          <cell r="BD461">
            <v>0</v>
          </cell>
          <cell r="BE461">
            <v>7</v>
          </cell>
          <cell r="BF461">
            <v>7</v>
          </cell>
          <cell r="BG461">
            <v>14</v>
          </cell>
          <cell r="BH461">
            <v>1</v>
          </cell>
          <cell r="BI461">
            <v>0</v>
          </cell>
          <cell r="BJ461">
            <v>0</v>
          </cell>
          <cell r="BK461">
            <v>0</v>
          </cell>
          <cell r="BL461">
            <v>0</v>
          </cell>
          <cell r="BM461">
            <v>1</v>
          </cell>
          <cell r="BN461">
            <v>0</v>
          </cell>
          <cell r="BO461">
            <v>0</v>
          </cell>
          <cell r="BP461">
            <v>0</v>
          </cell>
          <cell r="BQ461">
            <v>7</v>
          </cell>
          <cell r="BR461">
            <v>0</v>
          </cell>
          <cell r="BS461">
            <v>0</v>
          </cell>
          <cell r="BT461">
            <v>10</v>
          </cell>
          <cell r="BU461">
            <v>0</v>
          </cell>
        </row>
        <row r="462">
          <cell r="A462">
            <v>26</v>
          </cell>
          <cell r="B462">
            <v>26</v>
          </cell>
          <cell r="D462">
            <v>0</v>
          </cell>
          <cell r="F462">
            <v>0</v>
          </cell>
          <cell r="G462">
            <v>1</v>
          </cell>
          <cell r="I462">
            <v>0</v>
          </cell>
          <cell r="J462">
            <v>1</v>
          </cell>
          <cell r="K462">
            <v>29</v>
          </cell>
          <cell r="L462">
            <v>29</v>
          </cell>
          <cell r="M462">
            <v>2</v>
          </cell>
          <cell r="O462">
            <v>0</v>
          </cell>
          <cell r="P462">
            <v>0</v>
          </cell>
          <cell r="Q462">
            <v>1</v>
          </cell>
          <cell r="R462">
            <v>0</v>
          </cell>
          <cell r="S462">
            <v>0</v>
          </cell>
          <cell r="T462">
            <v>1</v>
          </cell>
          <cell r="V462">
            <v>0</v>
          </cell>
          <cell r="W462">
            <v>45</v>
          </cell>
          <cell r="X462">
            <v>3</v>
          </cell>
          <cell r="Y462">
            <v>2</v>
          </cell>
          <cell r="AA462">
            <v>0</v>
          </cell>
          <cell r="AB462">
            <v>1</v>
          </cell>
          <cell r="AC462">
            <v>0</v>
          </cell>
          <cell r="AD462">
            <v>0</v>
          </cell>
          <cell r="AE462">
            <v>0</v>
          </cell>
          <cell r="AF462">
            <v>0</v>
          </cell>
          <cell r="AG462">
            <v>0</v>
          </cell>
          <cell r="AH462">
            <v>0</v>
          </cell>
          <cell r="AI462">
            <v>3</v>
          </cell>
          <cell r="AK462">
            <v>0</v>
          </cell>
          <cell r="AL462">
            <v>0</v>
          </cell>
          <cell r="AN462">
            <v>4306</v>
          </cell>
          <cell r="AO462">
            <v>5</v>
          </cell>
          <cell r="AQ462">
            <v>0</v>
          </cell>
          <cell r="AR462">
            <v>12</v>
          </cell>
          <cell r="AS462">
            <v>3</v>
          </cell>
          <cell r="AT462">
            <v>1</v>
          </cell>
          <cell r="AU462">
            <v>2</v>
          </cell>
          <cell r="AV462">
            <v>8</v>
          </cell>
          <cell r="AW462">
            <v>8</v>
          </cell>
          <cell r="AX462">
            <v>5</v>
          </cell>
          <cell r="AY462">
            <v>3</v>
          </cell>
          <cell r="AZ462">
            <v>0</v>
          </cell>
          <cell r="BA462">
            <v>0</v>
          </cell>
          <cell r="BB462">
            <v>0</v>
          </cell>
          <cell r="BC462">
            <v>0</v>
          </cell>
          <cell r="BD462">
            <v>0</v>
          </cell>
          <cell r="BE462">
            <v>0</v>
          </cell>
          <cell r="BF462">
            <v>0</v>
          </cell>
          <cell r="BG462">
            <v>0</v>
          </cell>
          <cell r="BH462">
            <v>1</v>
          </cell>
          <cell r="BI462">
            <v>0</v>
          </cell>
          <cell r="BJ462">
            <v>0</v>
          </cell>
          <cell r="BK462">
            <v>0</v>
          </cell>
          <cell r="BL462">
            <v>1</v>
          </cell>
          <cell r="BM462">
            <v>0</v>
          </cell>
          <cell r="BN462">
            <v>0</v>
          </cell>
          <cell r="BO462">
            <v>0</v>
          </cell>
          <cell r="BP462">
            <v>0</v>
          </cell>
          <cell r="BQ462">
            <v>0</v>
          </cell>
          <cell r="BR462">
            <v>0</v>
          </cell>
          <cell r="BS462">
            <v>0</v>
          </cell>
          <cell r="BT462">
            <v>0</v>
          </cell>
          <cell r="BU462">
            <v>8</v>
          </cell>
        </row>
        <row r="463">
          <cell r="A463">
            <v>35</v>
          </cell>
          <cell r="B463">
            <v>35</v>
          </cell>
          <cell r="D463">
            <v>0</v>
          </cell>
          <cell r="F463">
            <v>0</v>
          </cell>
          <cell r="G463">
            <v>1</v>
          </cell>
          <cell r="I463">
            <v>0</v>
          </cell>
          <cell r="J463">
            <v>1</v>
          </cell>
          <cell r="K463">
            <v>1</v>
          </cell>
          <cell r="L463">
            <v>1</v>
          </cell>
          <cell r="M463">
            <v>3</v>
          </cell>
          <cell r="O463">
            <v>0</v>
          </cell>
          <cell r="P463">
            <v>0</v>
          </cell>
          <cell r="Q463">
            <v>1</v>
          </cell>
          <cell r="R463">
            <v>0</v>
          </cell>
          <cell r="S463">
            <v>0</v>
          </cell>
          <cell r="T463">
            <v>1</v>
          </cell>
          <cell r="V463">
            <v>1</v>
          </cell>
          <cell r="W463">
            <v>80</v>
          </cell>
          <cell r="X463">
            <v>3</v>
          </cell>
          <cell r="Y463">
            <v>2</v>
          </cell>
          <cell r="AA463">
            <v>0</v>
          </cell>
          <cell r="AB463">
            <v>1</v>
          </cell>
          <cell r="AC463">
            <v>0</v>
          </cell>
          <cell r="AD463">
            <v>0</v>
          </cell>
          <cell r="AE463">
            <v>0</v>
          </cell>
          <cell r="AF463">
            <v>0</v>
          </cell>
          <cell r="AG463">
            <v>0</v>
          </cell>
          <cell r="AH463">
            <v>0</v>
          </cell>
          <cell r="AI463">
            <v>3</v>
          </cell>
          <cell r="AK463">
            <v>1</v>
          </cell>
          <cell r="AL463">
            <v>0</v>
          </cell>
          <cell r="AN463">
            <v>4859</v>
          </cell>
          <cell r="AO463">
            <v>1</v>
          </cell>
          <cell r="AQ463">
            <v>0</v>
          </cell>
          <cell r="AR463">
            <v>16</v>
          </cell>
          <cell r="AS463">
            <v>3</v>
          </cell>
          <cell r="AT463">
            <v>4</v>
          </cell>
          <cell r="AU463">
            <v>0</v>
          </cell>
          <cell r="AV463">
            <v>5</v>
          </cell>
          <cell r="AW463">
            <v>5</v>
          </cell>
          <cell r="AX463">
            <v>3</v>
          </cell>
          <cell r="AY463">
            <v>3</v>
          </cell>
          <cell r="AZ463">
            <v>5</v>
          </cell>
          <cell r="BA463">
            <v>5</v>
          </cell>
          <cell r="BB463">
            <v>4</v>
          </cell>
          <cell r="BC463">
            <v>0</v>
          </cell>
          <cell r="BD463">
            <v>0</v>
          </cell>
          <cell r="BE463">
            <v>3</v>
          </cell>
          <cell r="BF463">
            <v>3</v>
          </cell>
          <cell r="BG463">
            <v>6</v>
          </cell>
          <cell r="BH463">
            <v>1</v>
          </cell>
          <cell r="BI463">
            <v>0</v>
          </cell>
          <cell r="BJ463">
            <v>0</v>
          </cell>
          <cell r="BK463">
            <v>0</v>
          </cell>
          <cell r="BL463">
            <v>1</v>
          </cell>
          <cell r="BM463">
            <v>0</v>
          </cell>
          <cell r="BN463">
            <v>0</v>
          </cell>
          <cell r="BO463">
            <v>0</v>
          </cell>
          <cell r="BP463">
            <v>0</v>
          </cell>
          <cell r="BQ463">
            <v>0</v>
          </cell>
          <cell r="BR463">
            <v>3</v>
          </cell>
          <cell r="BS463">
            <v>0</v>
          </cell>
          <cell r="BT463">
            <v>0</v>
          </cell>
          <cell r="BU463">
            <v>5</v>
          </cell>
        </row>
        <row r="464">
          <cell r="A464">
            <v>34</v>
          </cell>
          <cell r="B464">
            <v>34</v>
          </cell>
          <cell r="D464">
            <v>0</v>
          </cell>
          <cell r="F464">
            <v>0</v>
          </cell>
          <cell r="G464">
            <v>1</v>
          </cell>
          <cell r="I464">
            <v>0</v>
          </cell>
          <cell r="J464">
            <v>1</v>
          </cell>
          <cell r="K464">
            <v>21</v>
          </cell>
          <cell r="L464">
            <v>21</v>
          </cell>
          <cell r="M464">
            <v>4</v>
          </cell>
          <cell r="O464">
            <v>1</v>
          </cell>
          <cell r="P464">
            <v>0</v>
          </cell>
          <cell r="Q464">
            <v>0</v>
          </cell>
          <cell r="R464">
            <v>0</v>
          </cell>
          <cell r="S464">
            <v>0</v>
          </cell>
          <cell r="T464">
            <v>4</v>
          </cell>
          <cell r="V464">
            <v>0</v>
          </cell>
          <cell r="W464">
            <v>74</v>
          </cell>
          <cell r="X464">
            <v>4</v>
          </cell>
          <cell r="Y464">
            <v>2</v>
          </cell>
          <cell r="AA464">
            <v>0</v>
          </cell>
          <cell r="AB464">
            <v>1</v>
          </cell>
          <cell r="AC464">
            <v>0</v>
          </cell>
          <cell r="AD464">
            <v>0</v>
          </cell>
          <cell r="AE464">
            <v>0</v>
          </cell>
          <cell r="AF464">
            <v>0</v>
          </cell>
          <cell r="AG464">
            <v>0</v>
          </cell>
          <cell r="AH464">
            <v>0</v>
          </cell>
          <cell r="AI464">
            <v>4</v>
          </cell>
          <cell r="AK464">
            <v>1</v>
          </cell>
          <cell r="AL464">
            <v>0</v>
          </cell>
          <cell r="AN464">
            <v>5337</v>
          </cell>
          <cell r="AO464">
            <v>1</v>
          </cell>
          <cell r="AQ464">
            <v>0</v>
          </cell>
          <cell r="AR464">
            <v>12</v>
          </cell>
          <cell r="AS464">
            <v>3</v>
          </cell>
          <cell r="AT464">
            <v>4</v>
          </cell>
          <cell r="AU464">
            <v>0</v>
          </cell>
          <cell r="AV464">
            <v>10</v>
          </cell>
          <cell r="AW464">
            <v>10</v>
          </cell>
          <cell r="AX464">
            <v>3</v>
          </cell>
          <cell r="AY464">
            <v>3</v>
          </cell>
          <cell r="AZ464">
            <v>10</v>
          </cell>
          <cell r="BA464">
            <v>10</v>
          </cell>
          <cell r="BB464">
            <v>7</v>
          </cell>
          <cell r="BC464">
            <v>5</v>
          </cell>
          <cell r="BD464">
            <v>5</v>
          </cell>
          <cell r="BE464">
            <v>7</v>
          </cell>
          <cell r="BF464">
            <v>7</v>
          </cell>
          <cell r="BG464">
            <v>14</v>
          </cell>
          <cell r="BH464">
            <v>1</v>
          </cell>
          <cell r="BI464">
            <v>0</v>
          </cell>
          <cell r="BJ464">
            <v>0</v>
          </cell>
          <cell r="BK464">
            <v>0</v>
          </cell>
          <cell r="BL464">
            <v>1</v>
          </cell>
          <cell r="BM464">
            <v>0</v>
          </cell>
          <cell r="BN464">
            <v>0</v>
          </cell>
          <cell r="BO464">
            <v>0</v>
          </cell>
          <cell r="BP464">
            <v>0</v>
          </cell>
          <cell r="BQ464">
            <v>0</v>
          </cell>
          <cell r="BR464">
            <v>7</v>
          </cell>
          <cell r="BS464">
            <v>0</v>
          </cell>
          <cell r="BT464">
            <v>0</v>
          </cell>
          <cell r="BU464">
            <v>10</v>
          </cell>
        </row>
        <row r="465">
          <cell r="A465">
            <v>26</v>
          </cell>
          <cell r="B465">
            <v>26</v>
          </cell>
          <cell r="D465">
            <v>1</v>
          </cell>
          <cell r="F465">
            <v>0</v>
          </cell>
          <cell r="G465">
            <v>1</v>
          </cell>
          <cell r="I465">
            <v>1</v>
          </cell>
          <cell r="J465">
            <v>0</v>
          </cell>
          <cell r="K465">
            <v>24</v>
          </cell>
          <cell r="L465">
            <v>24</v>
          </cell>
          <cell r="M465">
            <v>3</v>
          </cell>
          <cell r="O465">
            <v>0</v>
          </cell>
          <cell r="P465">
            <v>0</v>
          </cell>
          <cell r="Q465">
            <v>0</v>
          </cell>
          <cell r="R465">
            <v>0</v>
          </cell>
          <cell r="S465">
            <v>1</v>
          </cell>
          <cell r="T465">
            <v>3</v>
          </cell>
          <cell r="V465">
            <v>0</v>
          </cell>
          <cell r="W465">
            <v>66</v>
          </cell>
          <cell r="X465">
            <v>1</v>
          </cell>
          <cell r="Y465">
            <v>1</v>
          </cell>
          <cell r="AA465">
            <v>0</v>
          </cell>
          <cell r="AB465">
            <v>0</v>
          </cell>
          <cell r="AC465">
            <v>1</v>
          </cell>
          <cell r="AD465">
            <v>0</v>
          </cell>
          <cell r="AE465">
            <v>0</v>
          </cell>
          <cell r="AF465">
            <v>0</v>
          </cell>
          <cell r="AG465">
            <v>0</v>
          </cell>
          <cell r="AH465">
            <v>0</v>
          </cell>
          <cell r="AI465">
            <v>4</v>
          </cell>
          <cell r="AK465">
            <v>1</v>
          </cell>
          <cell r="AL465">
            <v>0</v>
          </cell>
          <cell r="AN465">
            <v>2340</v>
          </cell>
          <cell r="AO465">
            <v>1</v>
          </cell>
          <cell r="AQ465">
            <v>1</v>
          </cell>
          <cell r="AR465">
            <v>18</v>
          </cell>
          <cell r="AS465">
            <v>3</v>
          </cell>
          <cell r="AT465">
            <v>2</v>
          </cell>
          <cell r="AU465">
            <v>0</v>
          </cell>
          <cell r="AV465">
            <v>1</v>
          </cell>
          <cell r="AW465">
            <v>1</v>
          </cell>
          <cell r="AX465">
            <v>3</v>
          </cell>
          <cell r="AY465">
            <v>1</v>
          </cell>
          <cell r="AZ465">
            <v>1</v>
          </cell>
          <cell r="BA465">
            <v>1</v>
          </cell>
          <cell r="BB465">
            <v>0</v>
          </cell>
          <cell r="BC465">
            <v>0</v>
          </cell>
          <cell r="BD465">
            <v>0</v>
          </cell>
          <cell r="BE465">
            <v>0</v>
          </cell>
          <cell r="BF465">
            <v>0</v>
          </cell>
          <cell r="BG465">
            <v>0</v>
          </cell>
          <cell r="BH465">
            <v>1</v>
          </cell>
          <cell r="BI465">
            <v>0</v>
          </cell>
          <cell r="BJ465">
            <v>0</v>
          </cell>
          <cell r="BK465">
            <v>0</v>
          </cell>
          <cell r="BL465">
            <v>0</v>
          </cell>
          <cell r="BM465">
            <v>1</v>
          </cell>
          <cell r="BN465">
            <v>0</v>
          </cell>
          <cell r="BO465">
            <v>0</v>
          </cell>
          <cell r="BP465">
            <v>0</v>
          </cell>
          <cell r="BQ465">
            <v>0</v>
          </cell>
          <cell r="BR465">
            <v>0</v>
          </cell>
          <cell r="BS465">
            <v>0</v>
          </cell>
          <cell r="BT465">
            <v>1</v>
          </cell>
          <cell r="BU465">
            <v>0</v>
          </cell>
        </row>
        <row r="466">
          <cell r="A466">
            <v>37</v>
          </cell>
          <cell r="B466">
            <v>37</v>
          </cell>
          <cell r="D466">
            <v>0</v>
          </cell>
          <cell r="F466">
            <v>0</v>
          </cell>
          <cell r="G466">
            <v>1</v>
          </cell>
          <cell r="I466">
            <v>1</v>
          </cell>
          <cell r="J466">
            <v>0</v>
          </cell>
          <cell r="K466">
            <v>1</v>
          </cell>
          <cell r="L466">
            <v>1</v>
          </cell>
          <cell r="M466">
            <v>3</v>
          </cell>
          <cell r="O466">
            <v>0</v>
          </cell>
          <cell r="P466">
            <v>0</v>
          </cell>
          <cell r="Q466">
            <v>0</v>
          </cell>
          <cell r="R466">
            <v>0</v>
          </cell>
          <cell r="S466">
            <v>1</v>
          </cell>
          <cell r="T466">
            <v>2</v>
          </cell>
          <cell r="V466">
            <v>1</v>
          </cell>
          <cell r="W466">
            <v>59</v>
          </cell>
          <cell r="X466">
            <v>3</v>
          </cell>
          <cell r="Y466">
            <v>3</v>
          </cell>
          <cell r="AA466">
            <v>0</v>
          </cell>
          <cell r="AB466">
            <v>0</v>
          </cell>
          <cell r="AC466">
            <v>0</v>
          </cell>
          <cell r="AD466">
            <v>0</v>
          </cell>
          <cell r="AE466">
            <v>1</v>
          </cell>
          <cell r="AF466">
            <v>1</v>
          </cell>
          <cell r="AG466">
            <v>0</v>
          </cell>
          <cell r="AH466">
            <v>0</v>
          </cell>
          <cell r="AI466">
            <v>4</v>
          </cell>
          <cell r="AK466">
            <v>1</v>
          </cell>
          <cell r="AL466">
            <v>0</v>
          </cell>
          <cell r="AN466">
            <v>7491</v>
          </cell>
          <cell r="AO466">
            <v>4</v>
          </cell>
          <cell r="AQ466">
            <v>0</v>
          </cell>
          <cell r="AR466">
            <v>17</v>
          </cell>
          <cell r="AS466">
            <v>3</v>
          </cell>
          <cell r="AT466">
            <v>4</v>
          </cell>
          <cell r="AU466">
            <v>0</v>
          </cell>
          <cell r="AV466">
            <v>12</v>
          </cell>
          <cell r="AW466">
            <v>12</v>
          </cell>
          <cell r="AX466">
            <v>3</v>
          </cell>
          <cell r="AY466">
            <v>4</v>
          </cell>
          <cell r="AZ466">
            <v>6</v>
          </cell>
          <cell r="BA466">
            <v>6</v>
          </cell>
          <cell r="BB466">
            <v>5</v>
          </cell>
          <cell r="BC466">
            <v>1</v>
          </cell>
          <cell r="BD466">
            <v>1</v>
          </cell>
          <cell r="BE466">
            <v>2</v>
          </cell>
          <cell r="BF466">
            <v>2</v>
          </cell>
          <cell r="BG466">
            <v>6</v>
          </cell>
          <cell r="BH466">
            <v>1</v>
          </cell>
          <cell r="BI466">
            <v>0</v>
          </cell>
          <cell r="BJ466">
            <v>0</v>
          </cell>
          <cell r="BK466">
            <v>0</v>
          </cell>
          <cell r="BL466">
            <v>1</v>
          </cell>
          <cell r="BM466">
            <v>0</v>
          </cell>
          <cell r="BN466">
            <v>0</v>
          </cell>
          <cell r="BO466">
            <v>0</v>
          </cell>
          <cell r="BP466">
            <v>0</v>
          </cell>
          <cell r="BQ466">
            <v>2</v>
          </cell>
          <cell r="BR466">
            <v>0</v>
          </cell>
          <cell r="BS466">
            <v>0</v>
          </cell>
          <cell r="BT466">
            <v>12</v>
          </cell>
          <cell r="BU466">
            <v>0</v>
          </cell>
        </row>
        <row r="467">
          <cell r="A467">
            <v>46</v>
          </cell>
          <cell r="B467">
            <v>46</v>
          </cell>
          <cell r="D467">
            <v>0</v>
          </cell>
          <cell r="F467">
            <v>1</v>
          </cell>
          <cell r="G467">
            <v>0</v>
          </cell>
          <cell r="I467">
            <v>1</v>
          </cell>
          <cell r="J467">
            <v>0</v>
          </cell>
          <cell r="K467">
            <v>18</v>
          </cell>
          <cell r="L467">
            <v>18</v>
          </cell>
          <cell r="M467">
            <v>1</v>
          </cell>
          <cell r="O467">
            <v>0</v>
          </cell>
          <cell r="P467">
            <v>0</v>
          </cell>
          <cell r="Q467">
            <v>1</v>
          </cell>
          <cell r="R467">
            <v>0</v>
          </cell>
          <cell r="S467">
            <v>0</v>
          </cell>
          <cell r="T467">
            <v>1</v>
          </cell>
          <cell r="V467">
            <v>1</v>
          </cell>
          <cell r="W467">
            <v>86</v>
          </cell>
          <cell r="X467">
            <v>3</v>
          </cell>
          <cell r="Y467">
            <v>3</v>
          </cell>
          <cell r="AA467">
            <v>1</v>
          </cell>
          <cell r="AB467">
            <v>0</v>
          </cell>
          <cell r="AC467">
            <v>0</v>
          </cell>
          <cell r="AD467">
            <v>0</v>
          </cell>
          <cell r="AE467">
            <v>0</v>
          </cell>
          <cell r="AF467">
            <v>0</v>
          </cell>
          <cell r="AG467">
            <v>0</v>
          </cell>
          <cell r="AH467">
            <v>0</v>
          </cell>
          <cell r="AI467">
            <v>3</v>
          </cell>
          <cell r="AK467">
            <v>0</v>
          </cell>
          <cell r="AL467">
            <v>1</v>
          </cell>
          <cell r="AN467">
            <v>10527</v>
          </cell>
          <cell r="AO467">
            <v>5</v>
          </cell>
          <cell r="AQ467">
            <v>0</v>
          </cell>
          <cell r="AR467">
            <v>11</v>
          </cell>
          <cell r="AS467">
            <v>3</v>
          </cell>
          <cell r="AT467">
            <v>4</v>
          </cell>
          <cell r="AU467">
            <v>0</v>
          </cell>
          <cell r="AV467">
            <v>28</v>
          </cell>
          <cell r="AW467">
            <v>28</v>
          </cell>
          <cell r="AX467">
            <v>3</v>
          </cell>
          <cell r="AY467">
            <v>2</v>
          </cell>
          <cell r="AZ467">
            <v>2</v>
          </cell>
          <cell r="BA467">
            <v>2</v>
          </cell>
          <cell r="BB467">
            <v>2</v>
          </cell>
          <cell r="BC467">
            <v>1</v>
          </cell>
          <cell r="BD467">
            <v>1</v>
          </cell>
          <cell r="BE467">
            <v>2</v>
          </cell>
          <cell r="BF467">
            <v>2</v>
          </cell>
          <cell r="BG467">
            <v>6</v>
          </cell>
          <cell r="BH467">
            <v>0</v>
          </cell>
          <cell r="BI467">
            <v>0</v>
          </cell>
          <cell r="BJ467">
            <v>0</v>
          </cell>
          <cell r="BK467">
            <v>1</v>
          </cell>
          <cell r="BL467">
            <v>0</v>
          </cell>
          <cell r="BM467">
            <v>0</v>
          </cell>
          <cell r="BN467">
            <v>1</v>
          </cell>
          <cell r="BO467">
            <v>0</v>
          </cell>
          <cell r="BP467">
            <v>0</v>
          </cell>
          <cell r="BQ467">
            <v>2</v>
          </cell>
          <cell r="BR467">
            <v>0</v>
          </cell>
          <cell r="BS467">
            <v>0</v>
          </cell>
          <cell r="BT467">
            <v>28</v>
          </cell>
          <cell r="BU467">
            <v>0</v>
          </cell>
        </row>
        <row r="468">
          <cell r="A468">
            <v>41</v>
          </cell>
          <cell r="B468">
            <v>41</v>
          </cell>
          <cell r="D468">
            <v>0</v>
          </cell>
          <cell r="F468">
            <v>0</v>
          </cell>
          <cell r="G468">
            <v>1</v>
          </cell>
          <cell r="I468">
            <v>0</v>
          </cell>
          <cell r="J468">
            <v>1</v>
          </cell>
          <cell r="K468">
            <v>2</v>
          </cell>
          <cell r="L468">
            <v>2</v>
          </cell>
          <cell r="M468">
            <v>5</v>
          </cell>
          <cell r="O468">
            <v>1</v>
          </cell>
          <cell r="P468">
            <v>0</v>
          </cell>
          <cell r="Q468">
            <v>0</v>
          </cell>
          <cell r="R468">
            <v>0</v>
          </cell>
          <cell r="S468">
            <v>0</v>
          </cell>
          <cell r="T468">
            <v>2</v>
          </cell>
          <cell r="V468">
            <v>1</v>
          </cell>
          <cell r="W468">
            <v>91</v>
          </cell>
          <cell r="X468">
            <v>3</v>
          </cell>
          <cell r="Y468">
            <v>4</v>
          </cell>
          <cell r="AA468">
            <v>0</v>
          </cell>
          <cell r="AB468">
            <v>0</v>
          </cell>
          <cell r="AC468">
            <v>0</v>
          </cell>
          <cell r="AD468">
            <v>1</v>
          </cell>
          <cell r="AE468">
            <v>0</v>
          </cell>
          <cell r="AF468">
            <v>0</v>
          </cell>
          <cell r="AG468">
            <v>0</v>
          </cell>
          <cell r="AH468">
            <v>0</v>
          </cell>
          <cell r="AI468">
            <v>1</v>
          </cell>
          <cell r="AK468">
            <v>0</v>
          </cell>
          <cell r="AL468">
            <v>1</v>
          </cell>
          <cell r="AN468">
            <v>16595</v>
          </cell>
          <cell r="AO468">
            <v>7</v>
          </cell>
          <cell r="AQ468">
            <v>0</v>
          </cell>
          <cell r="AR468">
            <v>16</v>
          </cell>
          <cell r="AS468">
            <v>3</v>
          </cell>
          <cell r="AT468">
            <v>2</v>
          </cell>
          <cell r="AU468">
            <v>1</v>
          </cell>
          <cell r="AV468">
            <v>22</v>
          </cell>
          <cell r="AW468">
            <v>22</v>
          </cell>
          <cell r="AX468">
            <v>2</v>
          </cell>
          <cell r="AY468">
            <v>3</v>
          </cell>
          <cell r="AZ468">
            <v>18</v>
          </cell>
          <cell r="BA468">
            <v>18</v>
          </cell>
          <cell r="BB468">
            <v>16</v>
          </cell>
          <cell r="BC468">
            <v>11</v>
          </cell>
          <cell r="BD468">
            <v>11</v>
          </cell>
          <cell r="BE468">
            <v>8</v>
          </cell>
          <cell r="BF468">
            <v>8</v>
          </cell>
          <cell r="BG468">
            <v>32</v>
          </cell>
          <cell r="BH468">
            <v>0</v>
          </cell>
          <cell r="BI468">
            <v>1</v>
          </cell>
          <cell r="BJ468">
            <v>0</v>
          </cell>
          <cell r="BK468">
            <v>0</v>
          </cell>
          <cell r="BL468">
            <v>0</v>
          </cell>
          <cell r="BM468">
            <v>0</v>
          </cell>
          <cell r="BN468">
            <v>1</v>
          </cell>
          <cell r="BO468">
            <v>0</v>
          </cell>
          <cell r="BP468">
            <v>0</v>
          </cell>
          <cell r="BQ468">
            <v>0</v>
          </cell>
          <cell r="BR468">
            <v>8</v>
          </cell>
          <cell r="BS468">
            <v>0</v>
          </cell>
          <cell r="BT468">
            <v>0</v>
          </cell>
          <cell r="BU468">
            <v>22</v>
          </cell>
        </row>
        <row r="469">
          <cell r="A469">
            <v>37</v>
          </cell>
          <cell r="B469">
            <v>37</v>
          </cell>
          <cell r="D469">
            <v>0</v>
          </cell>
          <cell r="F469">
            <v>0</v>
          </cell>
          <cell r="G469">
            <v>0</v>
          </cell>
          <cell r="I469">
            <v>0</v>
          </cell>
          <cell r="J469">
            <v>1</v>
          </cell>
          <cell r="K469">
            <v>9</v>
          </cell>
          <cell r="L469">
            <v>9</v>
          </cell>
          <cell r="M469">
            <v>4</v>
          </cell>
          <cell r="O469">
            <v>0</v>
          </cell>
          <cell r="P469">
            <v>0</v>
          </cell>
          <cell r="Q469">
            <v>1</v>
          </cell>
          <cell r="R469">
            <v>0</v>
          </cell>
          <cell r="S469">
            <v>0</v>
          </cell>
          <cell r="T469">
            <v>1</v>
          </cell>
          <cell r="V469">
            <v>0</v>
          </cell>
          <cell r="W469">
            <v>69</v>
          </cell>
          <cell r="X469">
            <v>3</v>
          </cell>
          <cell r="Y469">
            <v>3</v>
          </cell>
          <cell r="AA469">
            <v>0</v>
          </cell>
          <cell r="AB469">
            <v>1</v>
          </cell>
          <cell r="AC469">
            <v>0</v>
          </cell>
          <cell r="AD469">
            <v>0</v>
          </cell>
          <cell r="AE469">
            <v>0</v>
          </cell>
          <cell r="AF469">
            <v>0</v>
          </cell>
          <cell r="AG469">
            <v>0</v>
          </cell>
          <cell r="AH469">
            <v>0</v>
          </cell>
          <cell r="AI469">
            <v>2</v>
          </cell>
          <cell r="AK469">
            <v>0</v>
          </cell>
          <cell r="AL469">
            <v>0</v>
          </cell>
          <cell r="AN469">
            <v>8834</v>
          </cell>
          <cell r="AO469">
            <v>1</v>
          </cell>
          <cell r="AQ469">
            <v>0</v>
          </cell>
          <cell r="AR469">
            <v>13</v>
          </cell>
          <cell r="AS469">
            <v>3</v>
          </cell>
          <cell r="AT469">
            <v>4</v>
          </cell>
          <cell r="AU469">
            <v>1</v>
          </cell>
          <cell r="AV469">
            <v>9</v>
          </cell>
          <cell r="AW469">
            <v>9</v>
          </cell>
          <cell r="AX469">
            <v>6</v>
          </cell>
          <cell r="AY469">
            <v>3</v>
          </cell>
          <cell r="AZ469">
            <v>9</v>
          </cell>
          <cell r="BA469">
            <v>9</v>
          </cell>
          <cell r="BB469">
            <v>5</v>
          </cell>
          <cell r="BC469">
            <v>7</v>
          </cell>
          <cell r="BD469">
            <v>7</v>
          </cell>
          <cell r="BE469">
            <v>7</v>
          </cell>
          <cell r="BF469">
            <v>7</v>
          </cell>
          <cell r="BG469">
            <v>21</v>
          </cell>
          <cell r="BH469">
            <v>1</v>
          </cell>
          <cell r="BI469">
            <v>0</v>
          </cell>
          <cell r="BJ469">
            <v>0</v>
          </cell>
          <cell r="BK469">
            <v>0</v>
          </cell>
          <cell r="BL469">
            <v>1</v>
          </cell>
          <cell r="BM469">
            <v>0</v>
          </cell>
          <cell r="BN469">
            <v>0</v>
          </cell>
          <cell r="BO469">
            <v>0</v>
          </cell>
          <cell r="BP469">
            <v>0</v>
          </cell>
          <cell r="BQ469">
            <v>0</v>
          </cell>
          <cell r="BR469">
            <v>7</v>
          </cell>
          <cell r="BS469">
            <v>0</v>
          </cell>
          <cell r="BT469">
            <v>0</v>
          </cell>
          <cell r="BU469">
            <v>9</v>
          </cell>
        </row>
        <row r="470">
          <cell r="A470">
            <v>52</v>
          </cell>
          <cell r="B470">
            <v>52</v>
          </cell>
          <cell r="D470">
            <v>0</v>
          </cell>
          <cell r="F470">
            <v>0</v>
          </cell>
          <cell r="G470">
            <v>1</v>
          </cell>
          <cell r="I470">
            <v>1</v>
          </cell>
          <cell r="J470">
            <v>0</v>
          </cell>
          <cell r="K470">
            <v>6</v>
          </cell>
          <cell r="L470">
            <v>6</v>
          </cell>
          <cell r="M470">
            <v>2</v>
          </cell>
          <cell r="O470">
            <v>0</v>
          </cell>
          <cell r="P470">
            <v>0</v>
          </cell>
          <cell r="Q470">
            <v>0</v>
          </cell>
          <cell r="R470">
            <v>0</v>
          </cell>
          <cell r="S470">
            <v>1</v>
          </cell>
          <cell r="T470">
            <v>4</v>
          </cell>
          <cell r="V470">
            <v>0</v>
          </cell>
          <cell r="W470">
            <v>78</v>
          </cell>
          <cell r="X470">
            <v>3</v>
          </cell>
          <cell r="Y470">
            <v>2</v>
          </cell>
          <cell r="AA470">
            <v>0</v>
          </cell>
          <cell r="AB470">
            <v>0</v>
          </cell>
          <cell r="AC470">
            <v>0</v>
          </cell>
          <cell r="AD470">
            <v>0</v>
          </cell>
          <cell r="AE470">
            <v>0</v>
          </cell>
          <cell r="AF470">
            <v>0</v>
          </cell>
          <cell r="AG470">
            <v>0</v>
          </cell>
          <cell r="AH470">
            <v>1</v>
          </cell>
          <cell r="AI470">
            <v>1</v>
          </cell>
          <cell r="AK470">
            <v>0</v>
          </cell>
          <cell r="AL470">
            <v>0</v>
          </cell>
          <cell r="AN470">
            <v>5577</v>
          </cell>
          <cell r="AO470">
            <v>3</v>
          </cell>
          <cell r="AQ470">
            <v>1</v>
          </cell>
          <cell r="AR470">
            <v>12</v>
          </cell>
          <cell r="AS470">
            <v>3</v>
          </cell>
          <cell r="AT470">
            <v>2</v>
          </cell>
          <cell r="AU470">
            <v>2</v>
          </cell>
          <cell r="AV470">
            <v>18</v>
          </cell>
          <cell r="AW470">
            <v>18</v>
          </cell>
          <cell r="AX470">
            <v>3</v>
          </cell>
          <cell r="AY470">
            <v>3</v>
          </cell>
          <cell r="AZ470">
            <v>10</v>
          </cell>
          <cell r="BA470">
            <v>10</v>
          </cell>
          <cell r="BB470">
            <v>9</v>
          </cell>
          <cell r="BC470">
            <v>6</v>
          </cell>
          <cell r="BD470">
            <v>6</v>
          </cell>
          <cell r="BE470">
            <v>9</v>
          </cell>
          <cell r="BF470">
            <v>9</v>
          </cell>
          <cell r="BG470">
            <v>18</v>
          </cell>
          <cell r="BH470">
            <v>1</v>
          </cell>
          <cell r="BI470">
            <v>0</v>
          </cell>
          <cell r="BJ470">
            <v>0</v>
          </cell>
          <cell r="BK470">
            <v>0</v>
          </cell>
          <cell r="BL470">
            <v>0</v>
          </cell>
          <cell r="BM470">
            <v>1</v>
          </cell>
          <cell r="BN470">
            <v>0</v>
          </cell>
          <cell r="BO470">
            <v>0</v>
          </cell>
          <cell r="BP470">
            <v>0</v>
          </cell>
          <cell r="BQ470">
            <v>9</v>
          </cell>
          <cell r="BR470">
            <v>0</v>
          </cell>
          <cell r="BS470">
            <v>0</v>
          </cell>
          <cell r="BT470">
            <v>18</v>
          </cell>
          <cell r="BU470">
            <v>0</v>
          </cell>
        </row>
        <row r="471">
          <cell r="A471">
            <v>32</v>
          </cell>
          <cell r="B471">
            <v>32</v>
          </cell>
          <cell r="D471">
            <v>1</v>
          </cell>
          <cell r="F471">
            <v>0</v>
          </cell>
          <cell r="G471">
            <v>0</v>
          </cell>
          <cell r="I471">
            <v>0</v>
          </cell>
          <cell r="J471">
            <v>1</v>
          </cell>
          <cell r="K471">
            <v>11</v>
          </cell>
          <cell r="L471">
            <v>11</v>
          </cell>
          <cell r="M471">
            <v>4</v>
          </cell>
          <cell r="O471">
            <v>0</v>
          </cell>
          <cell r="P471">
            <v>1</v>
          </cell>
          <cell r="Q471">
            <v>0</v>
          </cell>
          <cell r="R471">
            <v>0</v>
          </cell>
          <cell r="S471">
            <v>0</v>
          </cell>
          <cell r="T471">
            <v>4</v>
          </cell>
          <cell r="V471">
            <v>0</v>
          </cell>
          <cell r="W471">
            <v>60</v>
          </cell>
          <cell r="X471">
            <v>4</v>
          </cell>
          <cell r="Y471">
            <v>2</v>
          </cell>
          <cell r="AA471">
            <v>0</v>
          </cell>
          <cell r="AB471">
            <v>1</v>
          </cell>
          <cell r="AC471">
            <v>0</v>
          </cell>
          <cell r="AD471">
            <v>0</v>
          </cell>
          <cell r="AE471">
            <v>0</v>
          </cell>
          <cell r="AF471">
            <v>0</v>
          </cell>
          <cell r="AG471">
            <v>0</v>
          </cell>
          <cell r="AH471">
            <v>0</v>
          </cell>
          <cell r="AI471">
            <v>3</v>
          </cell>
          <cell r="AK471">
            <v>0</v>
          </cell>
          <cell r="AL471">
            <v>1</v>
          </cell>
          <cell r="AN471">
            <v>4707</v>
          </cell>
          <cell r="AO471">
            <v>8</v>
          </cell>
          <cell r="AQ471">
            <v>0</v>
          </cell>
          <cell r="AR471">
            <v>12</v>
          </cell>
          <cell r="AS471">
            <v>3</v>
          </cell>
          <cell r="AT471">
            <v>4</v>
          </cell>
          <cell r="AU471">
            <v>0</v>
          </cell>
          <cell r="AV471">
            <v>6</v>
          </cell>
          <cell r="AW471">
            <v>6</v>
          </cell>
          <cell r="AX471">
            <v>2</v>
          </cell>
          <cell r="AY471">
            <v>3</v>
          </cell>
          <cell r="AZ471">
            <v>4</v>
          </cell>
          <cell r="BA471">
            <v>4</v>
          </cell>
          <cell r="BB471">
            <v>2</v>
          </cell>
          <cell r="BC471">
            <v>1</v>
          </cell>
          <cell r="BD471">
            <v>1</v>
          </cell>
          <cell r="BE471">
            <v>2</v>
          </cell>
          <cell r="BF471">
            <v>2</v>
          </cell>
          <cell r="BG471">
            <v>4</v>
          </cell>
          <cell r="BH471">
            <v>0</v>
          </cell>
          <cell r="BI471">
            <v>1</v>
          </cell>
          <cell r="BJ471">
            <v>0</v>
          </cell>
          <cell r="BK471">
            <v>0</v>
          </cell>
          <cell r="BL471">
            <v>0</v>
          </cell>
          <cell r="BM471">
            <v>0</v>
          </cell>
          <cell r="BN471">
            <v>1</v>
          </cell>
          <cell r="BO471">
            <v>0</v>
          </cell>
          <cell r="BP471">
            <v>0</v>
          </cell>
          <cell r="BQ471">
            <v>0</v>
          </cell>
          <cell r="BR471">
            <v>2</v>
          </cell>
          <cell r="BS471">
            <v>0</v>
          </cell>
          <cell r="BT471">
            <v>0</v>
          </cell>
          <cell r="BU471">
            <v>6</v>
          </cell>
        </row>
        <row r="472">
          <cell r="A472">
            <v>24</v>
          </cell>
          <cell r="B472">
            <v>24</v>
          </cell>
          <cell r="D472">
            <v>0</v>
          </cell>
          <cell r="F472">
            <v>1</v>
          </cell>
          <cell r="G472">
            <v>0</v>
          </cell>
          <cell r="I472">
            <v>0</v>
          </cell>
          <cell r="J472">
            <v>1</v>
          </cell>
          <cell r="K472">
            <v>24</v>
          </cell>
          <cell r="L472">
            <v>24</v>
          </cell>
          <cell r="M472">
            <v>3</v>
          </cell>
          <cell r="O472">
            <v>0</v>
          </cell>
          <cell r="P472">
            <v>0</v>
          </cell>
          <cell r="Q472">
            <v>1</v>
          </cell>
          <cell r="R472">
            <v>0</v>
          </cell>
          <cell r="S472">
            <v>0</v>
          </cell>
          <cell r="T472">
            <v>4</v>
          </cell>
          <cell r="V472">
            <v>0</v>
          </cell>
          <cell r="W472">
            <v>38</v>
          </cell>
          <cell r="X472">
            <v>3</v>
          </cell>
          <cell r="Y472">
            <v>1</v>
          </cell>
          <cell r="AA472">
            <v>0</v>
          </cell>
          <cell r="AB472">
            <v>0</v>
          </cell>
          <cell r="AC472">
            <v>0</v>
          </cell>
          <cell r="AD472">
            <v>0</v>
          </cell>
          <cell r="AE472">
            <v>0</v>
          </cell>
          <cell r="AF472">
            <v>0</v>
          </cell>
          <cell r="AG472">
            <v>1</v>
          </cell>
          <cell r="AH472">
            <v>0</v>
          </cell>
          <cell r="AI472">
            <v>4</v>
          </cell>
          <cell r="AK472">
            <v>0</v>
          </cell>
          <cell r="AL472">
            <v>1</v>
          </cell>
          <cell r="AN472">
            <v>2400</v>
          </cell>
          <cell r="AO472">
            <v>0</v>
          </cell>
          <cell r="AQ472">
            <v>0</v>
          </cell>
          <cell r="AR472">
            <v>13</v>
          </cell>
          <cell r="AS472">
            <v>3</v>
          </cell>
          <cell r="AT472">
            <v>3</v>
          </cell>
          <cell r="AU472">
            <v>2</v>
          </cell>
          <cell r="AV472">
            <v>3</v>
          </cell>
          <cell r="AW472">
            <v>3</v>
          </cell>
          <cell r="AX472">
            <v>3</v>
          </cell>
          <cell r="AY472">
            <v>3</v>
          </cell>
          <cell r="AZ472">
            <v>2</v>
          </cell>
          <cell r="BA472">
            <v>2</v>
          </cell>
          <cell r="BB472">
            <v>2</v>
          </cell>
          <cell r="BC472">
            <v>2</v>
          </cell>
          <cell r="BD472">
            <v>2</v>
          </cell>
          <cell r="BE472">
            <v>1</v>
          </cell>
          <cell r="BF472">
            <v>1</v>
          </cell>
          <cell r="BG472">
            <v>1</v>
          </cell>
          <cell r="BH472">
            <v>0</v>
          </cell>
          <cell r="BI472">
            <v>0</v>
          </cell>
          <cell r="BJ472">
            <v>0</v>
          </cell>
          <cell r="BK472">
            <v>1</v>
          </cell>
          <cell r="BL472">
            <v>0</v>
          </cell>
          <cell r="BM472">
            <v>0</v>
          </cell>
          <cell r="BN472">
            <v>1</v>
          </cell>
          <cell r="BO472">
            <v>0</v>
          </cell>
          <cell r="BP472">
            <v>0</v>
          </cell>
          <cell r="BQ472">
            <v>0</v>
          </cell>
          <cell r="BR472">
            <v>1</v>
          </cell>
          <cell r="BS472">
            <v>0</v>
          </cell>
          <cell r="BT472">
            <v>0</v>
          </cell>
          <cell r="BU472">
            <v>3</v>
          </cell>
        </row>
        <row r="473">
          <cell r="A473">
            <v>38</v>
          </cell>
          <cell r="B473">
            <v>38</v>
          </cell>
          <cell r="D473">
            <v>0</v>
          </cell>
          <cell r="F473">
            <v>0</v>
          </cell>
          <cell r="G473">
            <v>1</v>
          </cell>
          <cell r="I473">
            <v>1</v>
          </cell>
          <cell r="J473">
            <v>0</v>
          </cell>
          <cell r="K473">
            <v>10</v>
          </cell>
          <cell r="L473">
            <v>10</v>
          </cell>
          <cell r="M473">
            <v>3</v>
          </cell>
          <cell r="O473">
            <v>0</v>
          </cell>
          <cell r="P473">
            <v>0</v>
          </cell>
          <cell r="Q473">
            <v>1</v>
          </cell>
          <cell r="R473">
            <v>0</v>
          </cell>
          <cell r="S473">
            <v>0</v>
          </cell>
          <cell r="T473">
            <v>3</v>
          </cell>
          <cell r="V473">
            <v>1</v>
          </cell>
          <cell r="W473">
            <v>76</v>
          </cell>
          <cell r="X473">
            <v>3</v>
          </cell>
          <cell r="Y473">
            <v>2</v>
          </cell>
          <cell r="AA473">
            <v>1</v>
          </cell>
          <cell r="AB473">
            <v>0</v>
          </cell>
          <cell r="AC473">
            <v>0</v>
          </cell>
          <cell r="AD473">
            <v>0</v>
          </cell>
          <cell r="AE473">
            <v>0</v>
          </cell>
          <cell r="AF473">
            <v>0</v>
          </cell>
          <cell r="AG473">
            <v>0</v>
          </cell>
          <cell r="AH473">
            <v>0</v>
          </cell>
          <cell r="AI473">
            <v>3</v>
          </cell>
          <cell r="AK473">
            <v>0</v>
          </cell>
          <cell r="AL473">
            <v>1</v>
          </cell>
          <cell r="AN473">
            <v>9824</v>
          </cell>
          <cell r="AO473">
            <v>3</v>
          </cell>
          <cell r="AQ473">
            <v>0</v>
          </cell>
          <cell r="AR473">
            <v>19</v>
          </cell>
          <cell r="AS473">
            <v>3</v>
          </cell>
          <cell r="AT473">
            <v>3</v>
          </cell>
          <cell r="AU473">
            <v>1</v>
          </cell>
          <cell r="AV473">
            <v>18</v>
          </cell>
          <cell r="AW473">
            <v>18</v>
          </cell>
          <cell r="AX473">
            <v>4</v>
          </cell>
          <cell r="AY473">
            <v>3</v>
          </cell>
          <cell r="AZ473">
            <v>1</v>
          </cell>
          <cell r="BA473">
            <v>1</v>
          </cell>
          <cell r="BB473">
            <v>0</v>
          </cell>
          <cell r="BC473">
            <v>0</v>
          </cell>
          <cell r="BD473">
            <v>0</v>
          </cell>
          <cell r="BE473">
            <v>0</v>
          </cell>
          <cell r="BF473">
            <v>0</v>
          </cell>
          <cell r="BG473">
            <v>0</v>
          </cell>
          <cell r="BH473">
            <v>0</v>
          </cell>
          <cell r="BI473">
            <v>1</v>
          </cell>
          <cell r="BJ473">
            <v>0</v>
          </cell>
          <cell r="BK473">
            <v>0</v>
          </cell>
          <cell r="BL473">
            <v>0</v>
          </cell>
          <cell r="BM473">
            <v>0</v>
          </cell>
          <cell r="BN473">
            <v>1</v>
          </cell>
          <cell r="BO473">
            <v>0</v>
          </cell>
          <cell r="BP473">
            <v>0</v>
          </cell>
          <cell r="BQ473">
            <v>0</v>
          </cell>
          <cell r="BR473">
            <v>0</v>
          </cell>
          <cell r="BS473">
            <v>0</v>
          </cell>
          <cell r="BT473">
            <v>18</v>
          </cell>
          <cell r="BU473">
            <v>0</v>
          </cell>
        </row>
        <row r="474">
          <cell r="A474">
            <v>37</v>
          </cell>
          <cell r="B474">
            <v>37</v>
          </cell>
          <cell r="D474">
            <v>0</v>
          </cell>
          <cell r="F474">
            <v>0</v>
          </cell>
          <cell r="G474">
            <v>1</v>
          </cell>
          <cell r="I474">
            <v>1</v>
          </cell>
          <cell r="J474">
            <v>0</v>
          </cell>
          <cell r="K474">
            <v>1</v>
          </cell>
          <cell r="L474">
            <v>1</v>
          </cell>
          <cell r="M474">
            <v>4</v>
          </cell>
          <cell r="O474">
            <v>1</v>
          </cell>
          <cell r="P474">
            <v>0</v>
          </cell>
          <cell r="Q474">
            <v>0</v>
          </cell>
          <cell r="R474">
            <v>0</v>
          </cell>
          <cell r="S474">
            <v>0</v>
          </cell>
          <cell r="T474">
            <v>2</v>
          </cell>
          <cell r="V474">
            <v>1</v>
          </cell>
          <cell r="W474">
            <v>65</v>
          </cell>
          <cell r="X474">
            <v>3</v>
          </cell>
          <cell r="Y474">
            <v>2</v>
          </cell>
          <cell r="AA474">
            <v>0</v>
          </cell>
          <cell r="AB474">
            <v>0</v>
          </cell>
          <cell r="AC474">
            <v>0</v>
          </cell>
          <cell r="AD474">
            <v>0</v>
          </cell>
          <cell r="AE474">
            <v>1</v>
          </cell>
          <cell r="AF474">
            <v>1</v>
          </cell>
          <cell r="AG474">
            <v>0</v>
          </cell>
          <cell r="AH474">
            <v>0</v>
          </cell>
          <cell r="AI474">
            <v>2</v>
          </cell>
          <cell r="AK474">
            <v>0</v>
          </cell>
          <cell r="AL474">
            <v>1</v>
          </cell>
          <cell r="AN474">
            <v>6447</v>
          </cell>
          <cell r="AO474">
            <v>6</v>
          </cell>
          <cell r="AQ474">
            <v>0</v>
          </cell>
          <cell r="AR474">
            <v>12</v>
          </cell>
          <cell r="AS474">
            <v>3</v>
          </cell>
          <cell r="AT474">
            <v>2</v>
          </cell>
          <cell r="AU474">
            <v>1</v>
          </cell>
          <cell r="AV474">
            <v>8</v>
          </cell>
          <cell r="AW474">
            <v>8</v>
          </cell>
          <cell r="AX474">
            <v>2</v>
          </cell>
          <cell r="AY474">
            <v>2</v>
          </cell>
          <cell r="AZ474">
            <v>6</v>
          </cell>
          <cell r="BA474">
            <v>6</v>
          </cell>
          <cell r="BB474">
            <v>5</v>
          </cell>
          <cell r="BC474">
            <v>4</v>
          </cell>
          <cell r="BD474">
            <v>4</v>
          </cell>
          <cell r="BE474">
            <v>3</v>
          </cell>
          <cell r="BF474">
            <v>3</v>
          </cell>
          <cell r="BG474">
            <v>6</v>
          </cell>
          <cell r="BH474">
            <v>0</v>
          </cell>
          <cell r="BI474">
            <v>1</v>
          </cell>
          <cell r="BJ474">
            <v>0</v>
          </cell>
          <cell r="BK474">
            <v>0</v>
          </cell>
          <cell r="BL474">
            <v>0</v>
          </cell>
          <cell r="BM474">
            <v>0</v>
          </cell>
          <cell r="BN474">
            <v>1</v>
          </cell>
          <cell r="BO474">
            <v>0</v>
          </cell>
          <cell r="BP474">
            <v>0</v>
          </cell>
          <cell r="BQ474">
            <v>3</v>
          </cell>
          <cell r="BR474">
            <v>0</v>
          </cell>
          <cell r="BS474">
            <v>0</v>
          </cell>
          <cell r="BT474">
            <v>8</v>
          </cell>
          <cell r="BU474">
            <v>0</v>
          </cell>
        </row>
        <row r="475">
          <cell r="A475">
            <v>49</v>
          </cell>
          <cell r="B475">
            <v>49</v>
          </cell>
          <cell r="D475">
            <v>0</v>
          </cell>
          <cell r="F475">
            <v>0</v>
          </cell>
          <cell r="G475">
            <v>1</v>
          </cell>
          <cell r="I475">
            <v>1</v>
          </cell>
          <cell r="J475">
            <v>0</v>
          </cell>
          <cell r="K475">
            <v>18</v>
          </cell>
          <cell r="L475">
            <v>18</v>
          </cell>
          <cell r="M475">
            <v>4</v>
          </cell>
          <cell r="O475">
            <v>1</v>
          </cell>
          <cell r="P475">
            <v>0</v>
          </cell>
          <cell r="Q475">
            <v>0</v>
          </cell>
          <cell r="R475">
            <v>0</v>
          </cell>
          <cell r="S475">
            <v>0</v>
          </cell>
          <cell r="T475">
            <v>4</v>
          </cell>
          <cell r="V475">
            <v>0</v>
          </cell>
          <cell r="W475">
            <v>58</v>
          </cell>
          <cell r="X475">
            <v>2</v>
          </cell>
          <cell r="Y475">
            <v>5</v>
          </cell>
          <cell r="AA475">
            <v>0</v>
          </cell>
          <cell r="AB475">
            <v>0</v>
          </cell>
          <cell r="AC475">
            <v>0</v>
          </cell>
          <cell r="AD475">
            <v>0</v>
          </cell>
          <cell r="AE475">
            <v>0</v>
          </cell>
          <cell r="AF475">
            <v>0</v>
          </cell>
          <cell r="AG475">
            <v>0</v>
          </cell>
          <cell r="AH475">
            <v>0</v>
          </cell>
          <cell r="AI475">
            <v>3</v>
          </cell>
          <cell r="AK475">
            <v>0</v>
          </cell>
          <cell r="AL475">
            <v>0</v>
          </cell>
          <cell r="AN475">
            <v>19502</v>
          </cell>
          <cell r="AO475">
            <v>1</v>
          </cell>
          <cell r="AQ475">
            <v>1</v>
          </cell>
          <cell r="AR475">
            <v>17</v>
          </cell>
          <cell r="AS475">
            <v>3</v>
          </cell>
          <cell r="AT475">
            <v>3</v>
          </cell>
          <cell r="AU475">
            <v>1</v>
          </cell>
          <cell r="AV475">
            <v>31</v>
          </cell>
          <cell r="AW475">
            <v>31</v>
          </cell>
          <cell r="AX475">
            <v>5</v>
          </cell>
          <cell r="AY475">
            <v>3</v>
          </cell>
          <cell r="AZ475">
            <v>31</v>
          </cell>
          <cell r="BA475">
            <v>31</v>
          </cell>
          <cell r="BB475">
            <v>9</v>
          </cell>
          <cell r="BC475">
            <v>0</v>
          </cell>
          <cell r="BD475">
            <v>0</v>
          </cell>
          <cell r="BE475">
            <v>9</v>
          </cell>
          <cell r="BF475">
            <v>9</v>
          </cell>
          <cell r="BG475">
            <v>45</v>
          </cell>
          <cell r="BH475">
            <v>1</v>
          </cell>
          <cell r="BI475">
            <v>0</v>
          </cell>
          <cell r="BJ475">
            <v>0</v>
          </cell>
          <cell r="BK475">
            <v>0</v>
          </cell>
          <cell r="BL475">
            <v>0</v>
          </cell>
          <cell r="BM475">
            <v>1</v>
          </cell>
          <cell r="BN475">
            <v>0</v>
          </cell>
          <cell r="BO475">
            <v>0</v>
          </cell>
          <cell r="BP475">
            <v>0</v>
          </cell>
          <cell r="BQ475">
            <v>9</v>
          </cell>
          <cell r="BR475">
            <v>0</v>
          </cell>
          <cell r="BS475">
            <v>0</v>
          </cell>
          <cell r="BT475">
            <v>31</v>
          </cell>
          <cell r="BU475">
            <v>0</v>
          </cell>
        </row>
        <row r="476">
          <cell r="A476">
            <v>24</v>
          </cell>
          <cell r="B476">
            <v>24</v>
          </cell>
          <cell r="D476">
            <v>0</v>
          </cell>
          <cell r="F476">
            <v>0</v>
          </cell>
          <cell r="G476">
            <v>1</v>
          </cell>
          <cell r="I476">
            <v>1</v>
          </cell>
          <cell r="J476">
            <v>0</v>
          </cell>
          <cell r="K476">
            <v>23</v>
          </cell>
          <cell r="L476">
            <v>23</v>
          </cell>
          <cell r="M476">
            <v>3</v>
          </cell>
          <cell r="O476">
            <v>0</v>
          </cell>
          <cell r="P476">
            <v>0</v>
          </cell>
          <cell r="Q476">
            <v>1</v>
          </cell>
          <cell r="R476">
            <v>0</v>
          </cell>
          <cell r="S476">
            <v>0</v>
          </cell>
          <cell r="T476">
            <v>2</v>
          </cell>
          <cell r="V476">
            <v>0</v>
          </cell>
          <cell r="W476">
            <v>89</v>
          </cell>
          <cell r="X476">
            <v>4</v>
          </cell>
          <cell r="Y476">
            <v>1</v>
          </cell>
          <cell r="AA476">
            <v>0</v>
          </cell>
          <cell r="AB476">
            <v>0</v>
          </cell>
          <cell r="AC476">
            <v>0</v>
          </cell>
          <cell r="AD476">
            <v>0</v>
          </cell>
          <cell r="AE476">
            <v>0</v>
          </cell>
          <cell r="AF476">
            <v>0</v>
          </cell>
          <cell r="AG476">
            <v>0</v>
          </cell>
          <cell r="AH476">
            <v>1</v>
          </cell>
          <cell r="AI476">
            <v>4</v>
          </cell>
          <cell r="AK476">
            <v>0</v>
          </cell>
          <cell r="AL476">
            <v>1</v>
          </cell>
          <cell r="AN476">
            <v>2725</v>
          </cell>
          <cell r="AO476">
            <v>1</v>
          </cell>
          <cell r="AQ476">
            <v>1</v>
          </cell>
          <cell r="AR476">
            <v>11</v>
          </cell>
          <cell r="AS476">
            <v>3</v>
          </cell>
          <cell r="AT476">
            <v>2</v>
          </cell>
          <cell r="AU476">
            <v>2</v>
          </cell>
          <cell r="AV476">
            <v>6</v>
          </cell>
          <cell r="AW476">
            <v>6</v>
          </cell>
          <cell r="AX476">
            <v>3</v>
          </cell>
          <cell r="AY476">
            <v>3</v>
          </cell>
          <cell r="AZ476">
            <v>6</v>
          </cell>
          <cell r="BA476">
            <v>6</v>
          </cell>
          <cell r="BB476">
            <v>5</v>
          </cell>
          <cell r="BC476">
            <v>1</v>
          </cell>
          <cell r="BD476">
            <v>1</v>
          </cell>
          <cell r="BE476">
            <v>4</v>
          </cell>
          <cell r="BF476">
            <v>4</v>
          </cell>
          <cell r="BG476">
            <v>4</v>
          </cell>
          <cell r="BH476">
            <v>0</v>
          </cell>
          <cell r="BI476">
            <v>1</v>
          </cell>
          <cell r="BJ476">
            <v>0</v>
          </cell>
          <cell r="BK476">
            <v>0</v>
          </cell>
          <cell r="BL476">
            <v>0</v>
          </cell>
          <cell r="BM476">
            <v>0</v>
          </cell>
          <cell r="BN476">
            <v>0</v>
          </cell>
          <cell r="BO476">
            <v>1</v>
          </cell>
          <cell r="BP476">
            <v>0</v>
          </cell>
          <cell r="BQ476">
            <v>4</v>
          </cell>
          <cell r="BR476">
            <v>0</v>
          </cell>
          <cell r="BS476">
            <v>0</v>
          </cell>
          <cell r="BT476">
            <v>6</v>
          </cell>
          <cell r="BU476">
            <v>0</v>
          </cell>
        </row>
        <row r="477">
          <cell r="A477">
            <v>26</v>
          </cell>
          <cell r="B477">
            <v>26</v>
          </cell>
          <cell r="D477">
            <v>0</v>
          </cell>
          <cell r="F477">
            <v>0</v>
          </cell>
          <cell r="G477">
            <v>1</v>
          </cell>
          <cell r="I477">
            <v>0</v>
          </cell>
          <cell r="J477">
            <v>1</v>
          </cell>
          <cell r="K477">
            <v>28</v>
          </cell>
          <cell r="L477">
            <v>28</v>
          </cell>
          <cell r="M477">
            <v>2</v>
          </cell>
          <cell r="O477">
            <v>0</v>
          </cell>
          <cell r="P477">
            <v>0</v>
          </cell>
          <cell r="Q477">
            <v>0</v>
          </cell>
          <cell r="R477">
            <v>1</v>
          </cell>
          <cell r="S477">
            <v>0</v>
          </cell>
          <cell r="T477">
            <v>1</v>
          </cell>
          <cell r="V477">
            <v>0</v>
          </cell>
          <cell r="W477">
            <v>66</v>
          </cell>
          <cell r="X477">
            <v>3</v>
          </cell>
          <cell r="Y477">
            <v>2</v>
          </cell>
          <cell r="AA477">
            <v>0</v>
          </cell>
          <cell r="AB477">
            <v>1</v>
          </cell>
          <cell r="AC477">
            <v>0</v>
          </cell>
          <cell r="AD477">
            <v>0</v>
          </cell>
          <cell r="AE477">
            <v>0</v>
          </cell>
          <cell r="AF477">
            <v>0</v>
          </cell>
          <cell r="AG477">
            <v>0</v>
          </cell>
          <cell r="AH477">
            <v>0</v>
          </cell>
          <cell r="AI477">
            <v>2</v>
          </cell>
          <cell r="AK477">
            <v>0</v>
          </cell>
          <cell r="AL477">
            <v>1</v>
          </cell>
          <cell r="AN477">
            <v>6272</v>
          </cell>
          <cell r="AO477">
            <v>1</v>
          </cell>
          <cell r="AQ477">
            <v>0</v>
          </cell>
          <cell r="AR477">
            <v>20</v>
          </cell>
          <cell r="AS477">
            <v>4</v>
          </cell>
          <cell r="AT477">
            <v>4</v>
          </cell>
          <cell r="AU477">
            <v>2</v>
          </cell>
          <cell r="AV477">
            <v>6</v>
          </cell>
          <cell r="AW477">
            <v>6</v>
          </cell>
          <cell r="AX477">
            <v>5</v>
          </cell>
          <cell r="AY477">
            <v>4</v>
          </cell>
          <cell r="AZ477">
            <v>5</v>
          </cell>
          <cell r="BA477">
            <v>5</v>
          </cell>
          <cell r="BB477">
            <v>3</v>
          </cell>
          <cell r="BC477">
            <v>1</v>
          </cell>
          <cell r="BD477">
            <v>1</v>
          </cell>
          <cell r="BE477">
            <v>4</v>
          </cell>
          <cell r="BF477">
            <v>4</v>
          </cell>
          <cell r="BG477">
            <v>8</v>
          </cell>
          <cell r="BH477">
            <v>0</v>
          </cell>
          <cell r="BI477">
            <v>1</v>
          </cell>
          <cell r="BJ477">
            <v>0</v>
          </cell>
          <cell r="BK477">
            <v>0</v>
          </cell>
          <cell r="BL477">
            <v>0</v>
          </cell>
          <cell r="BM477">
            <v>0</v>
          </cell>
          <cell r="BN477">
            <v>1</v>
          </cell>
          <cell r="BO477">
            <v>0</v>
          </cell>
          <cell r="BP477">
            <v>0</v>
          </cell>
          <cell r="BQ477">
            <v>0</v>
          </cell>
          <cell r="BR477">
            <v>4</v>
          </cell>
          <cell r="BS477">
            <v>0</v>
          </cell>
          <cell r="BT477">
            <v>0</v>
          </cell>
          <cell r="BU477">
            <v>6</v>
          </cell>
        </row>
        <row r="478">
          <cell r="A478">
            <v>24</v>
          </cell>
          <cell r="B478">
            <v>24</v>
          </cell>
          <cell r="D478">
            <v>0</v>
          </cell>
          <cell r="F478">
            <v>0</v>
          </cell>
          <cell r="G478">
            <v>1</v>
          </cell>
          <cell r="I478">
            <v>1</v>
          </cell>
          <cell r="J478">
            <v>0</v>
          </cell>
          <cell r="K478">
            <v>17</v>
          </cell>
          <cell r="L478">
            <v>17</v>
          </cell>
          <cell r="M478">
            <v>2</v>
          </cell>
          <cell r="O478">
            <v>0</v>
          </cell>
          <cell r="P478">
            <v>1</v>
          </cell>
          <cell r="Q478">
            <v>0</v>
          </cell>
          <cell r="R478">
            <v>0</v>
          </cell>
          <cell r="S478">
            <v>0</v>
          </cell>
          <cell r="T478">
            <v>4</v>
          </cell>
          <cell r="V478">
            <v>0</v>
          </cell>
          <cell r="W478">
            <v>94</v>
          </cell>
          <cell r="X478">
            <v>2</v>
          </cell>
          <cell r="Y478">
            <v>1</v>
          </cell>
          <cell r="AA478">
            <v>0</v>
          </cell>
          <cell r="AB478">
            <v>0</v>
          </cell>
          <cell r="AC478">
            <v>1</v>
          </cell>
          <cell r="AD478">
            <v>0</v>
          </cell>
          <cell r="AE478">
            <v>0</v>
          </cell>
          <cell r="AF478">
            <v>0</v>
          </cell>
          <cell r="AG478">
            <v>0</v>
          </cell>
          <cell r="AH478">
            <v>0</v>
          </cell>
          <cell r="AI478">
            <v>2</v>
          </cell>
          <cell r="AK478">
            <v>0</v>
          </cell>
          <cell r="AL478">
            <v>1</v>
          </cell>
          <cell r="AN478">
            <v>2127</v>
          </cell>
          <cell r="AO478">
            <v>1</v>
          </cell>
          <cell r="AQ478">
            <v>0</v>
          </cell>
          <cell r="AR478">
            <v>21</v>
          </cell>
          <cell r="AS478">
            <v>4</v>
          </cell>
          <cell r="AT478">
            <v>4</v>
          </cell>
          <cell r="AU478">
            <v>1</v>
          </cell>
          <cell r="AV478">
            <v>1</v>
          </cell>
          <cell r="AW478">
            <v>1</v>
          </cell>
          <cell r="AX478">
            <v>2</v>
          </cell>
          <cell r="AY478">
            <v>3</v>
          </cell>
          <cell r="AZ478">
            <v>1</v>
          </cell>
          <cell r="BA478">
            <v>1</v>
          </cell>
          <cell r="BB478">
            <v>0</v>
          </cell>
          <cell r="BC478">
            <v>0</v>
          </cell>
          <cell r="BD478">
            <v>0</v>
          </cell>
          <cell r="BE478">
            <v>0</v>
          </cell>
          <cell r="BF478">
            <v>0</v>
          </cell>
          <cell r="BG478">
            <v>0</v>
          </cell>
          <cell r="BH478">
            <v>0</v>
          </cell>
          <cell r="BI478">
            <v>1</v>
          </cell>
          <cell r="BJ478">
            <v>0</v>
          </cell>
          <cell r="BK478">
            <v>0</v>
          </cell>
          <cell r="BL478">
            <v>0</v>
          </cell>
          <cell r="BM478">
            <v>0</v>
          </cell>
          <cell r="BN478">
            <v>1</v>
          </cell>
          <cell r="BO478">
            <v>0</v>
          </cell>
          <cell r="BP478">
            <v>0</v>
          </cell>
          <cell r="BQ478">
            <v>0</v>
          </cell>
          <cell r="BR478">
            <v>0</v>
          </cell>
          <cell r="BS478">
            <v>0</v>
          </cell>
          <cell r="BT478">
            <v>1</v>
          </cell>
          <cell r="BU478">
            <v>0</v>
          </cell>
        </row>
        <row r="479">
          <cell r="A479">
            <v>50</v>
          </cell>
          <cell r="B479">
            <v>50</v>
          </cell>
          <cell r="D479">
            <v>0</v>
          </cell>
          <cell r="F479">
            <v>1</v>
          </cell>
          <cell r="G479">
            <v>0</v>
          </cell>
          <cell r="I479">
            <v>0</v>
          </cell>
          <cell r="J479">
            <v>0</v>
          </cell>
          <cell r="K479">
            <v>3</v>
          </cell>
          <cell r="L479">
            <v>3</v>
          </cell>
          <cell r="M479">
            <v>3</v>
          </cell>
          <cell r="O479">
            <v>0</v>
          </cell>
          <cell r="P479">
            <v>0</v>
          </cell>
          <cell r="Q479">
            <v>1</v>
          </cell>
          <cell r="R479">
            <v>0</v>
          </cell>
          <cell r="S479">
            <v>0</v>
          </cell>
          <cell r="T479">
            <v>1</v>
          </cell>
          <cell r="V479">
            <v>0</v>
          </cell>
          <cell r="W479">
            <v>99</v>
          </cell>
          <cell r="X479">
            <v>3</v>
          </cell>
          <cell r="Y479">
            <v>5</v>
          </cell>
          <cell r="AA479">
            <v>0</v>
          </cell>
          <cell r="AB479">
            <v>0</v>
          </cell>
          <cell r="AC479">
            <v>0</v>
          </cell>
          <cell r="AD479">
            <v>1</v>
          </cell>
          <cell r="AE479">
            <v>0</v>
          </cell>
          <cell r="AF479">
            <v>0</v>
          </cell>
          <cell r="AG479">
            <v>0</v>
          </cell>
          <cell r="AH479">
            <v>0</v>
          </cell>
          <cell r="AI479">
            <v>2</v>
          </cell>
          <cell r="AK479">
            <v>0</v>
          </cell>
          <cell r="AL479">
            <v>1</v>
          </cell>
          <cell r="AN479">
            <v>18200</v>
          </cell>
          <cell r="AO479">
            <v>1</v>
          </cell>
          <cell r="AQ479">
            <v>0</v>
          </cell>
          <cell r="AR479">
            <v>11</v>
          </cell>
          <cell r="AS479">
            <v>3</v>
          </cell>
          <cell r="AT479">
            <v>3</v>
          </cell>
          <cell r="AU479">
            <v>1</v>
          </cell>
          <cell r="AV479">
            <v>32</v>
          </cell>
          <cell r="AW479">
            <v>32</v>
          </cell>
          <cell r="AX479">
            <v>2</v>
          </cell>
          <cell r="AY479">
            <v>3</v>
          </cell>
          <cell r="AZ479">
            <v>32</v>
          </cell>
          <cell r="BA479">
            <v>31</v>
          </cell>
          <cell r="BB479">
            <v>5</v>
          </cell>
          <cell r="BC479">
            <v>10</v>
          </cell>
          <cell r="BD479">
            <v>10</v>
          </cell>
          <cell r="BE479">
            <v>7</v>
          </cell>
          <cell r="BF479">
            <v>7</v>
          </cell>
          <cell r="BG479">
            <v>35</v>
          </cell>
          <cell r="BH479">
            <v>0</v>
          </cell>
          <cell r="BI479">
            <v>0</v>
          </cell>
          <cell r="BJ479">
            <v>0</v>
          </cell>
          <cell r="BK479">
            <v>1</v>
          </cell>
          <cell r="BL479">
            <v>0</v>
          </cell>
          <cell r="BM479">
            <v>0</v>
          </cell>
          <cell r="BN479">
            <v>1</v>
          </cell>
          <cell r="BO479">
            <v>0</v>
          </cell>
          <cell r="BP479">
            <v>7</v>
          </cell>
          <cell r="BQ479">
            <v>0</v>
          </cell>
          <cell r="BR479">
            <v>0</v>
          </cell>
          <cell r="BS479">
            <v>32</v>
          </cell>
          <cell r="BT479">
            <v>0</v>
          </cell>
          <cell r="BU479">
            <v>0</v>
          </cell>
        </row>
        <row r="480">
          <cell r="A480">
            <v>25</v>
          </cell>
          <cell r="B480">
            <v>25</v>
          </cell>
          <cell r="D480">
            <v>0</v>
          </cell>
          <cell r="F480">
            <v>0</v>
          </cell>
          <cell r="G480">
            <v>1</v>
          </cell>
          <cell r="I480">
            <v>0</v>
          </cell>
          <cell r="J480">
            <v>1</v>
          </cell>
          <cell r="K480">
            <v>13</v>
          </cell>
          <cell r="L480">
            <v>13</v>
          </cell>
          <cell r="M480">
            <v>1</v>
          </cell>
          <cell r="O480">
            <v>0</v>
          </cell>
          <cell r="P480">
            <v>0</v>
          </cell>
          <cell r="Q480">
            <v>1</v>
          </cell>
          <cell r="R480">
            <v>0</v>
          </cell>
          <cell r="S480">
            <v>0</v>
          </cell>
          <cell r="T480">
            <v>2</v>
          </cell>
          <cell r="V480">
            <v>0</v>
          </cell>
          <cell r="W480">
            <v>40</v>
          </cell>
          <cell r="X480">
            <v>3</v>
          </cell>
          <cell r="Y480">
            <v>1</v>
          </cell>
          <cell r="AA480">
            <v>0</v>
          </cell>
          <cell r="AB480">
            <v>0</v>
          </cell>
          <cell r="AC480">
            <v>0</v>
          </cell>
          <cell r="AD480">
            <v>0</v>
          </cell>
          <cell r="AE480">
            <v>0</v>
          </cell>
          <cell r="AF480">
            <v>0</v>
          </cell>
          <cell r="AG480">
            <v>1</v>
          </cell>
          <cell r="AH480">
            <v>0</v>
          </cell>
          <cell r="AI480">
            <v>3</v>
          </cell>
          <cell r="AK480">
            <v>0</v>
          </cell>
          <cell r="AL480">
            <v>1</v>
          </cell>
          <cell r="AN480">
            <v>2096</v>
          </cell>
          <cell r="AO480">
            <v>1</v>
          </cell>
          <cell r="AQ480">
            <v>0</v>
          </cell>
          <cell r="AR480">
            <v>11</v>
          </cell>
          <cell r="AS480">
            <v>3</v>
          </cell>
          <cell r="AT480">
            <v>3</v>
          </cell>
          <cell r="AU480">
            <v>0</v>
          </cell>
          <cell r="AV480">
            <v>7</v>
          </cell>
          <cell r="AW480">
            <v>7</v>
          </cell>
          <cell r="AX480">
            <v>1</v>
          </cell>
          <cell r="AY480">
            <v>3</v>
          </cell>
          <cell r="AZ480">
            <v>7</v>
          </cell>
          <cell r="BA480">
            <v>7</v>
          </cell>
          <cell r="BB480">
            <v>4</v>
          </cell>
          <cell r="BC480">
            <v>0</v>
          </cell>
          <cell r="BD480">
            <v>0</v>
          </cell>
          <cell r="BE480">
            <v>6</v>
          </cell>
          <cell r="BF480">
            <v>6</v>
          </cell>
          <cell r="BG480">
            <v>6</v>
          </cell>
          <cell r="BH480">
            <v>0</v>
          </cell>
          <cell r="BI480">
            <v>1</v>
          </cell>
          <cell r="BJ480">
            <v>0</v>
          </cell>
          <cell r="BK480">
            <v>0</v>
          </cell>
          <cell r="BL480">
            <v>0</v>
          </cell>
          <cell r="BM480">
            <v>0</v>
          </cell>
          <cell r="BN480">
            <v>1</v>
          </cell>
          <cell r="BO480">
            <v>0</v>
          </cell>
          <cell r="BP480">
            <v>0</v>
          </cell>
          <cell r="BQ480">
            <v>0</v>
          </cell>
          <cell r="BR480">
            <v>6</v>
          </cell>
          <cell r="BS480">
            <v>0</v>
          </cell>
          <cell r="BT480">
            <v>0</v>
          </cell>
          <cell r="BU480">
            <v>7</v>
          </cell>
        </row>
        <row r="481">
          <cell r="A481">
            <v>24</v>
          </cell>
          <cell r="B481">
            <v>24</v>
          </cell>
          <cell r="D481">
            <v>1</v>
          </cell>
          <cell r="F481">
            <v>1</v>
          </cell>
          <cell r="G481">
            <v>0</v>
          </cell>
          <cell r="I481">
            <v>1</v>
          </cell>
          <cell r="J481">
            <v>0</v>
          </cell>
          <cell r="K481">
            <v>7</v>
          </cell>
          <cell r="L481">
            <v>7</v>
          </cell>
          <cell r="M481">
            <v>3</v>
          </cell>
          <cell r="O481">
            <v>1</v>
          </cell>
          <cell r="P481">
            <v>0</v>
          </cell>
          <cell r="Q481">
            <v>0</v>
          </cell>
          <cell r="R481">
            <v>0</v>
          </cell>
          <cell r="S481">
            <v>0</v>
          </cell>
          <cell r="T481">
            <v>1</v>
          </cell>
          <cell r="V481">
            <v>1</v>
          </cell>
          <cell r="W481">
            <v>55</v>
          </cell>
          <cell r="X481">
            <v>3</v>
          </cell>
          <cell r="Y481">
            <v>1</v>
          </cell>
          <cell r="AA481">
            <v>0</v>
          </cell>
          <cell r="AB481">
            <v>0</v>
          </cell>
          <cell r="AC481">
            <v>1</v>
          </cell>
          <cell r="AD481">
            <v>0</v>
          </cell>
          <cell r="AE481">
            <v>0</v>
          </cell>
          <cell r="AF481">
            <v>0</v>
          </cell>
          <cell r="AG481">
            <v>0</v>
          </cell>
          <cell r="AH481">
            <v>0</v>
          </cell>
          <cell r="AI481">
            <v>3</v>
          </cell>
          <cell r="AK481">
            <v>0</v>
          </cell>
          <cell r="AL481">
            <v>1</v>
          </cell>
          <cell r="AN481">
            <v>2886</v>
          </cell>
          <cell r="AO481">
            <v>1</v>
          </cell>
          <cell r="AQ481">
            <v>1</v>
          </cell>
          <cell r="AR481">
            <v>16</v>
          </cell>
          <cell r="AS481">
            <v>3</v>
          </cell>
          <cell r="AT481">
            <v>4</v>
          </cell>
          <cell r="AU481">
            <v>1</v>
          </cell>
          <cell r="AV481">
            <v>6</v>
          </cell>
          <cell r="AW481">
            <v>6</v>
          </cell>
          <cell r="AX481">
            <v>4</v>
          </cell>
          <cell r="AY481">
            <v>3</v>
          </cell>
          <cell r="AZ481">
            <v>6</v>
          </cell>
          <cell r="BA481">
            <v>6</v>
          </cell>
          <cell r="BB481">
            <v>3</v>
          </cell>
          <cell r="BC481">
            <v>1</v>
          </cell>
          <cell r="BD481">
            <v>1</v>
          </cell>
          <cell r="BE481">
            <v>2</v>
          </cell>
          <cell r="BF481">
            <v>2</v>
          </cell>
          <cell r="BG481">
            <v>2</v>
          </cell>
          <cell r="BH481">
            <v>0</v>
          </cell>
          <cell r="BI481">
            <v>0</v>
          </cell>
          <cell r="BJ481">
            <v>0</v>
          </cell>
          <cell r="BK481">
            <v>1</v>
          </cell>
          <cell r="BL481">
            <v>0</v>
          </cell>
          <cell r="BM481">
            <v>0</v>
          </cell>
          <cell r="BN481">
            <v>0</v>
          </cell>
          <cell r="BO481">
            <v>1</v>
          </cell>
          <cell r="BP481">
            <v>0</v>
          </cell>
          <cell r="BQ481">
            <v>2</v>
          </cell>
          <cell r="BR481">
            <v>0</v>
          </cell>
          <cell r="BS481">
            <v>0</v>
          </cell>
          <cell r="BT481">
            <v>6</v>
          </cell>
          <cell r="BU481">
            <v>0</v>
          </cell>
        </row>
        <row r="482">
          <cell r="A482">
            <v>30</v>
          </cell>
          <cell r="B482">
            <v>30</v>
          </cell>
          <cell r="D482">
            <v>1</v>
          </cell>
          <cell r="F482">
            <v>1</v>
          </cell>
          <cell r="G482">
            <v>0</v>
          </cell>
          <cell r="I482">
            <v>0</v>
          </cell>
          <cell r="J482">
            <v>1</v>
          </cell>
          <cell r="K482">
            <v>12</v>
          </cell>
          <cell r="L482">
            <v>12</v>
          </cell>
          <cell r="M482">
            <v>4</v>
          </cell>
          <cell r="O482">
            <v>1</v>
          </cell>
          <cell r="P482">
            <v>0</v>
          </cell>
          <cell r="Q482">
            <v>0</v>
          </cell>
          <cell r="R482">
            <v>0</v>
          </cell>
          <cell r="S482">
            <v>0</v>
          </cell>
          <cell r="T482">
            <v>2</v>
          </cell>
          <cell r="V482">
            <v>0</v>
          </cell>
          <cell r="W482">
            <v>74</v>
          </cell>
          <cell r="X482">
            <v>2</v>
          </cell>
          <cell r="Y482">
            <v>1</v>
          </cell>
          <cell r="AA482">
            <v>0</v>
          </cell>
          <cell r="AB482">
            <v>0</v>
          </cell>
          <cell r="AC482">
            <v>0</v>
          </cell>
          <cell r="AD482">
            <v>0</v>
          </cell>
          <cell r="AE482">
            <v>0</v>
          </cell>
          <cell r="AF482">
            <v>0</v>
          </cell>
          <cell r="AG482">
            <v>1</v>
          </cell>
          <cell r="AH482">
            <v>0</v>
          </cell>
          <cell r="AI482">
            <v>1</v>
          </cell>
          <cell r="AK482">
            <v>0</v>
          </cell>
          <cell r="AL482">
            <v>1</v>
          </cell>
          <cell r="AN482">
            <v>2033</v>
          </cell>
          <cell r="AO482">
            <v>1</v>
          </cell>
          <cell r="AQ482">
            <v>0</v>
          </cell>
          <cell r="AR482">
            <v>18</v>
          </cell>
          <cell r="AS482">
            <v>3</v>
          </cell>
          <cell r="AT482">
            <v>3</v>
          </cell>
          <cell r="AU482">
            <v>1</v>
          </cell>
          <cell r="AV482">
            <v>1</v>
          </cell>
          <cell r="AW482">
            <v>1</v>
          </cell>
          <cell r="AX482">
            <v>2</v>
          </cell>
          <cell r="AY482">
            <v>4</v>
          </cell>
          <cell r="AZ482">
            <v>1</v>
          </cell>
          <cell r="BA482">
            <v>1</v>
          </cell>
          <cell r="BB482">
            <v>0</v>
          </cell>
          <cell r="BC482">
            <v>0</v>
          </cell>
          <cell r="BD482">
            <v>0</v>
          </cell>
          <cell r="BE482">
            <v>0</v>
          </cell>
          <cell r="BF482">
            <v>0</v>
          </cell>
          <cell r="BG482">
            <v>0</v>
          </cell>
          <cell r="BH482">
            <v>0</v>
          </cell>
          <cell r="BI482">
            <v>0</v>
          </cell>
          <cell r="BJ482">
            <v>0</v>
          </cell>
          <cell r="BK482">
            <v>1</v>
          </cell>
          <cell r="BL482">
            <v>0</v>
          </cell>
          <cell r="BM482">
            <v>0</v>
          </cell>
          <cell r="BN482">
            <v>1</v>
          </cell>
          <cell r="BO482">
            <v>0</v>
          </cell>
          <cell r="BP482">
            <v>0</v>
          </cell>
          <cell r="BQ482">
            <v>0</v>
          </cell>
          <cell r="BR482">
            <v>0</v>
          </cell>
          <cell r="BS482">
            <v>0</v>
          </cell>
          <cell r="BT482">
            <v>0</v>
          </cell>
          <cell r="BU482">
            <v>1</v>
          </cell>
        </row>
        <row r="483">
          <cell r="A483">
            <v>34</v>
          </cell>
          <cell r="B483">
            <v>34</v>
          </cell>
          <cell r="D483">
            <v>0</v>
          </cell>
          <cell r="F483">
            <v>0</v>
          </cell>
          <cell r="G483">
            <v>1</v>
          </cell>
          <cell r="I483">
            <v>1</v>
          </cell>
          <cell r="J483">
            <v>0</v>
          </cell>
          <cell r="K483">
            <v>1</v>
          </cell>
          <cell r="L483">
            <v>1</v>
          </cell>
          <cell r="M483">
            <v>2</v>
          </cell>
          <cell r="O483">
            <v>1</v>
          </cell>
          <cell r="P483">
            <v>0</v>
          </cell>
          <cell r="Q483">
            <v>0</v>
          </cell>
          <cell r="R483">
            <v>0</v>
          </cell>
          <cell r="S483">
            <v>0</v>
          </cell>
          <cell r="T483">
            <v>2</v>
          </cell>
          <cell r="V483">
            <v>0</v>
          </cell>
          <cell r="W483">
            <v>83</v>
          </cell>
          <cell r="X483">
            <v>2</v>
          </cell>
          <cell r="Y483">
            <v>1</v>
          </cell>
          <cell r="AA483">
            <v>0</v>
          </cell>
          <cell r="AB483">
            <v>0</v>
          </cell>
          <cell r="AC483">
            <v>0</v>
          </cell>
          <cell r="AD483">
            <v>0</v>
          </cell>
          <cell r="AE483">
            <v>0</v>
          </cell>
          <cell r="AF483">
            <v>0</v>
          </cell>
          <cell r="AG483">
            <v>0</v>
          </cell>
          <cell r="AH483">
            <v>1</v>
          </cell>
          <cell r="AI483">
            <v>4</v>
          </cell>
          <cell r="AK483">
            <v>0</v>
          </cell>
          <cell r="AL483">
            <v>1</v>
          </cell>
          <cell r="AN483">
            <v>3622</v>
          </cell>
          <cell r="AO483">
            <v>1</v>
          </cell>
          <cell r="AQ483">
            <v>1</v>
          </cell>
          <cell r="AR483">
            <v>13</v>
          </cell>
          <cell r="AS483">
            <v>3</v>
          </cell>
          <cell r="AT483">
            <v>4</v>
          </cell>
          <cell r="AU483">
            <v>1</v>
          </cell>
          <cell r="AV483">
            <v>6</v>
          </cell>
          <cell r="AW483">
            <v>6</v>
          </cell>
          <cell r="AX483">
            <v>3</v>
          </cell>
          <cell r="AY483">
            <v>3</v>
          </cell>
          <cell r="AZ483">
            <v>6</v>
          </cell>
          <cell r="BA483">
            <v>6</v>
          </cell>
          <cell r="BB483">
            <v>5</v>
          </cell>
          <cell r="BC483">
            <v>1</v>
          </cell>
          <cell r="BD483">
            <v>1</v>
          </cell>
          <cell r="BE483">
            <v>3</v>
          </cell>
          <cell r="BF483">
            <v>3</v>
          </cell>
          <cell r="BG483">
            <v>3</v>
          </cell>
          <cell r="BH483">
            <v>0</v>
          </cell>
          <cell r="BI483">
            <v>1</v>
          </cell>
          <cell r="BJ483">
            <v>0</v>
          </cell>
          <cell r="BK483">
            <v>0</v>
          </cell>
          <cell r="BL483">
            <v>0</v>
          </cell>
          <cell r="BM483">
            <v>0</v>
          </cell>
          <cell r="BN483">
            <v>0</v>
          </cell>
          <cell r="BO483">
            <v>1</v>
          </cell>
          <cell r="BP483">
            <v>0</v>
          </cell>
          <cell r="BQ483">
            <v>3</v>
          </cell>
          <cell r="BR483">
            <v>0</v>
          </cell>
          <cell r="BS483">
            <v>0</v>
          </cell>
          <cell r="BT483">
            <v>6</v>
          </cell>
          <cell r="BU483">
            <v>0</v>
          </cell>
        </row>
        <row r="484">
          <cell r="A484">
            <v>31</v>
          </cell>
          <cell r="B484">
            <v>31</v>
          </cell>
          <cell r="D484">
            <v>1</v>
          </cell>
          <cell r="F484">
            <v>0</v>
          </cell>
          <cell r="G484">
            <v>1</v>
          </cell>
          <cell r="I484">
            <v>0</v>
          </cell>
          <cell r="J484">
            <v>1</v>
          </cell>
          <cell r="K484">
            <v>13</v>
          </cell>
          <cell r="L484">
            <v>13</v>
          </cell>
          <cell r="M484">
            <v>4</v>
          </cell>
          <cell r="O484">
            <v>0</v>
          </cell>
          <cell r="P484">
            <v>0</v>
          </cell>
          <cell r="Q484">
            <v>1</v>
          </cell>
          <cell r="R484">
            <v>0</v>
          </cell>
          <cell r="S484">
            <v>0</v>
          </cell>
          <cell r="T484">
            <v>2</v>
          </cell>
          <cell r="V484">
            <v>0</v>
          </cell>
          <cell r="W484">
            <v>46</v>
          </cell>
          <cell r="X484">
            <v>3</v>
          </cell>
          <cell r="Y484">
            <v>2</v>
          </cell>
          <cell r="AA484">
            <v>0</v>
          </cell>
          <cell r="AB484">
            <v>1</v>
          </cell>
          <cell r="AC484">
            <v>0</v>
          </cell>
          <cell r="AD484">
            <v>0</v>
          </cell>
          <cell r="AE484">
            <v>0</v>
          </cell>
          <cell r="AF484">
            <v>0</v>
          </cell>
          <cell r="AG484">
            <v>0</v>
          </cell>
          <cell r="AH484">
            <v>0</v>
          </cell>
          <cell r="AI484">
            <v>1</v>
          </cell>
          <cell r="AK484">
            <v>0</v>
          </cell>
          <cell r="AL484">
            <v>0</v>
          </cell>
          <cell r="AN484">
            <v>4233</v>
          </cell>
          <cell r="AO484">
            <v>2</v>
          </cell>
          <cell r="AQ484">
            <v>0</v>
          </cell>
          <cell r="AR484">
            <v>17</v>
          </cell>
          <cell r="AS484">
            <v>3</v>
          </cell>
          <cell r="AT484">
            <v>3</v>
          </cell>
          <cell r="AU484">
            <v>0</v>
          </cell>
          <cell r="AV484">
            <v>9</v>
          </cell>
          <cell r="AW484">
            <v>9</v>
          </cell>
          <cell r="AX484">
            <v>2</v>
          </cell>
          <cell r="AY484">
            <v>1</v>
          </cell>
          <cell r="AZ484">
            <v>3</v>
          </cell>
          <cell r="BA484">
            <v>3</v>
          </cell>
          <cell r="BB484">
            <v>1</v>
          </cell>
          <cell r="BC484">
            <v>1</v>
          </cell>
          <cell r="BD484">
            <v>1</v>
          </cell>
          <cell r="BE484">
            <v>2</v>
          </cell>
          <cell r="BF484">
            <v>2</v>
          </cell>
          <cell r="BG484">
            <v>4</v>
          </cell>
          <cell r="BH484">
            <v>1</v>
          </cell>
          <cell r="BI484">
            <v>0</v>
          </cell>
          <cell r="BJ484">
            <v>0</v>
          </cell>
          <cell r="BK484">
            <v>0</v>
          </cell>
          <cell r="BL484">
            <v>1</v>
          </cell>
          <cell r="BM484">
            <v>0</v>
          </cell>
          <cell r="BN484">
            <v>0</v>
          </cell>
          <cell r="BO484">
            <v>0</v>
          </cell>
          <cell r="BP484">
            <v>0</v>
          </cell>
          <cell r="BQ484">
            <v>0</v>
          </cell>
          <cell r="BR484">
            <v>2</v>
          </cell>
          <cell r="BS484">
            <v>0</v>
          </cell>
          <cell r="BT484">
            <v>0</v>
          </cell>
          <cell r="BU484">
            <v>9</v>
          </cell>
        </row>
        <row r="485">
          <cell r="A485">
            <v>35</v>
          </cell>
          <cell r="B485">
            <v>35</v>
          </cell>
          <cell r="D485">
            <v>0</v>
          </cell>
          <cell r="F485">
            <v>0</v>
          </cell>
          <cell r="G485">
            <v>1</v>
          </cell>
          <cell r="I485">
            <v>1</v>
          </cell>
          <cell r="J485">
            <v>0</v>
          </cell>
          <cell r="K485">
            <v>25</v>
          </cell>
          <cell r="L485">
            <v>25</v>
          </cell>
          <cell r="M485">
            <v>2</v>
          </cell>
          <cell r="O485">
            <v>0</v>
          </cell>
          <cell r="P485">
            <v>1</v>
          </cell>
          <cell r="Q485">
            <v>0</v>
          </cell>
          <cell r="R485">
            <v>0</v>
          </cell>
          <cell r="S485">
            <v>0</v>
          </cell>
          <cell r="T485">
            <v>1</v>
          </cell>
          <cell r="V485">
            <v>0</v>
          </cell>
          <cell r="W485">
            <v>54</v>
          </cell>
          <cell r="X485">
            <v>2</v>
          </cell>
          <cell r="Y485">
            <v>2</v>
          </cell>
          <cell r="AA485">
            <v>0</v>
          </cell>
          <cell r="AB485">
            <v>0</v>
          </cell>
          <cell r="AC485">
            <v>1</v>
          </cell>
          <cell r="AD485">
            <v>0</v>
          </cell>
          <cell r="AE485">
            <v>0</v>
          </cell>
          <cell r="AF485">
            <v>0</v>
          </cell>
          <cell r="AG485">
            <v>0</v>
          </cell>
          <cell r="AH485">
            <v>0</v>
          </cell>
          <cell r="AI485">
            <v>4</v>
          </cell>
          <cell r="AK485">
            <v>1</v>
          </cell>
          <cell r="AL485">
            <v>0</v>
          </cell>
          <cell r="AN485">
            <v>3681</v>
          </cell>
          <cell r="AO485">
            <v>4</v>
          </cell>
          <cell r="AQ485">
            <v>0</v>
          </cell>
          <cell r="AR485">
            <v>14</v>
          </cell>
          <cell r="AS485">
            <v>3</v>
          </cell>
          <cell r="AT485">
            <v>4</v>
          </cell>
          <cell r="AU485">
            <v>0</v>
          </cell>
          <cell r="AV485">
            <v>9</v>
          </cell>
          <cell r="AW485">
            <v>9</v>
          </cell>
          <cell r="AX485">
            <v>3</v>
          </cell>
          <cell r="AY485">
            <v>3</v>
          </cell>
          <cell r="AZ485">
            <v>3</v>
          </cell>
          <cell r="BA485">
            <v>3</v>
          </cell>
          <cell r="BB485">
            <v>2</v>
          </cell>
          <cell r="BC485">
            <v>0</v>
          </cell>
          <cell r="BD485">
            <v>0</v>
          </cell>
          <cell r="BE485">
            <v>2</v>
          </cell>
          <cell r="BF485">
            <v>2</v>
          </cell>
          <cell r="BG485">
            <v>4</v>
          </cell>
          <cell r="BH485">
            <v>1</v>
          </cell>
          <cell r="BI485">
            <v>0</v>
          </cell>
          <cell r="BJ485">
            <v>0</v>
          </cell>
          <cell r="BK485">
            <v>0</v>
          </cell>
          <cell r="BL485">
            <v>1</v>
          </cell>
          <cell r="BM485">
            <v>0</v>
          </cell>
          <cell r="BN485">
            <v>0</v>
          </cell>
          <cell r="BO485">
            <v>0</v>
          </cell>
          <cell r="BP485">
            <v>0</v>
          </cell>
          <cell r="BQ485">
            <v>2</v>
          </cell>
          <cell r="BR485">
            <v>0</v>
          </cell>
          <cell r="BS485">
            <v>0</v>
          </cell>
          <cell r="BT485">
            <v>9</v>
          </cell>
          <cell r="BU485">
            <v>0</v>
          </cell>
        </row>
        <row r="486">
          <cell r="A486">
            <v>31</v>
          </cell>
          <cell r="B486">
            <v>31</v>
          </cell>
          <cell r="D486">
            <v>0</v>
          </cell>
          <cell r="F486">
            <v>0</v>
          </cell>
          <cell r="G486">
            <v>1</v>
          </cell>
          <cell r="I486">
            <v>0</v>
          </cell>
          <cell r="J486">
            <v>1</v>
          </cell>
          <cell r="K486">
            <v>6</v>
          </cell>
          <cell r="L486">
            <v>6</v>
          </cell>
          <cell r="M486">
            <v>4</v>
          </cell>
          <cell r="O486">
            <v>0</v>
          </cell>
          <cell r="P486">
            <v>0</v>
          </cell>
          <cell r="Q486">
            <v>1</v>
          </cell>
          <cell r="R486">
            <v>0</v>
          </cell>
          <cell r="S486">
            <v>0</v>
          </cell>
          <cell r="T486">
            <v>1</v>
          </cell>
          <cell r="V486">
            <v>0</v>
          </cell>
          <cell r="W486">
            <v>66</v>
          </cell>
          <cell r="X486">
            <v>4</v>
          </cell>
          <cell r="Y486">
            <v>2</v>
          </cell>
          <cell r="AA486">
            <v>0</v>
          </cell>
          <cell r="AB486">
            <v>1</v>
          </cell>
          <cell r="AC486">
            <v>0</v>
          </cell>
          <cell r="AD486">
            <v>0</v>
          </cell>
          <cell r="AE486">
            <v>0</v>
          </cell>
          <cell r="AF486">
            <v>0</v>
          </cell>
          <cell r="AG486">
            <v>0</v>
          </cell>
          <cell r="AH486">
            <v>0</v>
          </cell>
          <cell r="AI486">
            <v>4</v>
          </cell>
          <cell r="AK486">
            <v>0</v>
          </cell>
          <cell r="AL486">
            <v>0</v>
          </cell>
          <cell r="AN486">
            <v>5460</v>
          </cell>
          <cell r="AO486">
            <v>4</v>
          </cell>
          <cell r="AQ486">
            <v>0</v>
          </cell>
          <cell r="AR486">
            <v>22</v>
          </cell>
          <cell r="AS486">
            <v>4</v>
          </cell>
          <cell r="AT486">
            <v>4</v>
          </cell>
          <cell r="AU486">
            <v>2</v>
          </cell>
          <cell r="AV486">
            <v>13</v>
          </cell>
          <cell r="AW486">
            <v>13</v>
          </cell>
          <cell r="AX486">
            <v>4</v>
          </cell>
          <cell r="AY486">
            <v>4</v>
          </cell>
          <cell r="AZ486">
            <v>7</v>
          </cell>
          <cell r="BA486">
            <v>7</v>
          </cell>
          <cell r="BB486">
            <v>7</v>
          </cell>
          <cell r="BC486">
            <v>5</v>
          </cell>
          <cell r="BD486">
            <v>5</v>
          </cell>
          <cell r="BE486">
            <v>7</v>
          </cell>
          <cell r="BF486">
            <v>7</v>
          </cell>
          <cell r="BG486">
            <v>14</v>
          </cell>
          <cell r="BH486">
            <v>1</v>
          </cell>
          <cell r="BI486">
            <v>0</v>
          </cell>
          <cell r="BJ486">
            <v>0</v>
          </cell>
          <cell r="BK486">
            <v>0</v>
          </cell>
          <cell r="BL486">
            <v>1</v>
          </cell>
          <cell r="BM486">
            <v>0</v>
          </cell>
          <cell r="BN486">
            <v>0</v>
          </cell>
          <cell r="BO486">
            <v>0</v>
          </cell>
          <cell r="BP486">
            <v>0</v>
          </cell>
          <cell r="BQ486">
            <v>0</v>
          </cell>
          <cell r="BR486">
            <v>7</v>
          </cell>
          <cell r="BS486">
            <v>0</v>
          </cell>
          <cell r="BT486">
            <v>0</v>
          </cell>
          <cell r="BU486">
            <v>13</v>
          </cell>
        </row>
        <row r="487">
          <cell r="A487">
            <v>27</v>
          </cell>
          <cell r="B487">
            <v>27</v>
          </cell>
          <cell r="D487">
            <v>0</v>
          </cell>
          <cell r="F487">
            <v>0</v>
          </cell>
          <cell r="G487">
            <v>1</v>
          </cell>
          <cell r="I487">
            <v>1</v>
          </cell>
          <cell r="J487">
            <v>0</v>
          </cell>
          <cell r="K487">
            <v>6</v>
          </cell>
          <cell r="L487">
            <v>6</v>
          </cell>
          <cell r="M487">
            <v>4</v>
          </cell>
          <cell r="O487">
            <v>0</v>
          </cell>
          <cell r="P487">
            <v>0</v>
          </cell>
          <cell r="Q487">
            <v>1</v>
          </cell>
          <cell r="R487">
            <v>0</v>
          </cell>
          <cell r="S487">
            <v>0</v>
          </cell>
          <cell r="T487">
            <v>1</v>
          </cell>
          <cell r="V487">
            <v>1</v>
          </cell>
          <cell r="W487">
            <v>66</v>
          </cell>
          <cell r="X487">
            <v>2</v>
          </cell>
          <cell r="Y487">
            <v>1</v>
          </cell>
          <cell r="AA487">
            <v>0</v>
          </cell>
          <cell r="AB487">
            <v>0</v>
          </cell>
          <cell r="AC487">
            <v>0</v>
          </cell>
          <cell r="AD487">
            <v>0</v>
          </cell>
          <cell r="AE487">
            <v>0</v>
          </cell>
          <cell r="AF487">
            <v>0</v>
          </cell>
          <cell r="AG487">
            <v>0</v>
          </cell>
          <cell r="AH487">
            <v>1</v>
          </cell>
          <cell r="AI487">
            <v>3</v>
          </cell>
          <cell r="AK487">
            <v>0</v>
          </cell>
          <cell r="AL487">
            <v>0</v>
          </cell>
          <cell r="AN487">
            <v>2187</v>
          </cell>
          <cell r="AO487">
            <v>0</v>
          </cell>
          <cell r="AQ487">
            <v>0</v>
          </cell>
          <cell r="AR487">
            <v>12</v>
          </cell>
          <cell r="AS487">
            <v>3</v>
          </cell>
          <cell r="AT487">
            <v>3</v>
          </cell>
          <cell r="AU487">
            <v>2</v>
          </cell>
          <cell r="AV487">
            <v>6</v>
          </cell>
          <cell r="AW487">
            <v>6</v>
          </cell>
          <cell r="AX487">
            <v>5</v>
          </cell>
          <cell r="AY487">
            <v>2</v>
          </cell>
          <cell r="AZ487">
            <v>5</v>
          </cell>
          <cell r="BA487">
            <v>5</v>
          </cell>
          <cell r="BB487">
            <v>3</v>
          </cell>
          <cell r="BC487">
            <v>0</v>
          </cell>
          <cell r="BD487">
            <v>0</v>
          </cell>
          <cell r="BE487">
            <v>3</v>
          </cell>
          <cell r="BF487">
            <v>3</v>
          </cell>
          <cell r="BG487">
            <v>3</v>
          </cell>
          <cell r="BH487">
            <v>1</v>
          </cell>
          <cell r="BI487">
            <v>0</v>
          </cell>
          <cell r="BJ487">
            <v>0</v>
          </cell>
          <cell r="BK487">
            <v>0</v>
          </cell>
          <cell r="BL487">
            <v>1</v>
          </cell>
          <cell r="BM487">
            <v>0</v>
          </cell>
          <cell r="BN487">
            <v>0</v>
          </cell>
          <cell r="BO487">
            <v>0</v>
          </cell>
          <cell r="BP487">
            <v>0</v>
          </cell>
          <cell r="BQ487">
            <v>3</v>
          </cell>
          <cell r="BR487">
            <v>0</v>
          </cell>
          <cell r="BS487">
            <v>0</v>
          </cell>
          <cell r="BT487">
            <v>6</v>
          </cell>
          <cell r="BU487">
            <v>0</v>
          </cell>
        </row>
        <row r="488">
          <cell r="A488">
            <v>37</v>
          </cell>
          <cell r="B488">
            <v>37</v>
          </cell>
          <cell r="D488">
            <v>0</v>
          </cell>
          <cell r="F488">
            <v>0</v>
          </cell>
          <cell r="G488">
            <v>1</v>
          </cell>
          <cell r="I488">
            <v>0</v>
          </cell>
          <cell r="J488">
            <v>1</v>
          </cell>
          <cell r="K488">
            <v>2</v>
          </cell>
          <cell r="L488">
            <v>2</v>
          </cell>
          <cell r="M488">
            <v>3</v>
          </cell>
          <cell r="O488">
            <v>0</v>
          </cell>
          <cell r="P488">
            <v>0</v>
          </cell>
          <cell r="Q488">
            <v>0</v>
          </cell>
          <cell r="R488">
            <v>1</v>
          </cell>
          <cell r="S488">
            <v>0</v>
          </cell>
          <cell r="T488">
            <v>4</v>
          </cell>
          <cell r="V488">
            <v>0</v>
          </cell>
          <cell r="W488">
            <v>75</v>
          </cell>
          <cell r="X488">
            <v>3</v>
          </cell>
          <cell r="Y488">
            <v>2</v>
          </cell>
          <cell r="AA488">
            <v>0</v>
          </cell>
          <cell r="AB488">
            <v>1</v>
          </cell>
          <cell r="AC488">
            <v>0</v>
          </cell>
          <cell r="AD488">
            <v>0</v>
          </cell>
          <cell r="AE488">
            <v>0</v>
          </cell>
          <cell r="AF488">
            <v>0</v>
          </cell>
          <cell r="AG488">
            <v>0</v>
          </cell>
          <cell r="AH488">
            <v>0</v>
          </cell>
          <cell r="AI488">
            <v>3</v>
          </cell>
          <cell r="AK488">
            <v>0</v>
          </cell>
          <cell r="AL488">
            <v>1</v>
          </cell>
          <cell r="AN488">
            <v>9602</v>
          </cell>
          <cell r="AO488">
            <v>4</v>
          </cell>
          <cell r="AQ488">
            <v>1</v>
          </cell>
          <cell r="AR488">
            <v>11</v>
          </cell>
          <cell r="AS488">
            <v>3</v>
          </cell>
          <cell r="AT488">
            <v>3</v>
          </cell>
          <cell r="AU488">
            <v>1</v>
          </cell>
          <cell r="AV488">
            <v>17</v>
          </cell>
          <cell r="AW488">
            <v>17</v>
          </cell>
          <cell r="AX488">
            <v>3</v>
          </cell>
          <cell r="AY488">
            <v>2</v>
          </cell>
          <cell r="AZ488">
            <v>3</v>
          </cell>
          <cell r="BA488">
            <v>3</v>
          </cell>
          <cell r="BB488">
            <v>0</v>
          </cell>
          <cell r="BC488">
            <v>1</v>
          </cell>
          <cell r="BD488">
            <v>1</v>
          </cell>
          <cell r="BE488">
            <v>0</v>
          </cell>
          <cell r="BF488">
            <v>0</v>
          </cell>
          <cell r="BG488">
            <v>0</v>
          </cell>
          <cell r="BH488">
            <v>0</v>
          </cell>
          <cell r="BI488">
            <v>1</v>
          </cell>
          <cell r="BJ488">
            <v>0</v>
          </cell>
          <cell r="BK488">
            <v>0</v>
          </cell>
          <cell r="BL488">
            <v>0</v>
          </cell>
          <cell r="BM488">
            <v>0</v>
          </cell>
          <cell r="BN488">
            <v>0</v>
          </cell>
          <cell r="BO488">
            <v>1</v>
          </cell>
          <cell r="BP488">
            <v>0</v>
          </cell>
          <cell r="BQ488">
            <v>0</v>
          </cell>
          <cell r="BR488">
            <v>0</v>
          </cell>
          <cell r="BS488">
            <v>0</v>
          </cell>
          <cell r="BT488">
            <v>0</v>
          </cell>
          <cell r="BU488">
            <v>17</v>
          </cell>
        </row>
        <row r="489">
          <cell r="A489">
            <v>20</v>
          </cell>
          <cell r="B489">
            <v>20</v>
          </cell>
          <cell r="D489">
            <v>0</v>
          </cell>
          <cell r="F489">
            <v>0</v>
          </cell>
          <cell r="G489">
            <v>1</v>
          </cell>
          <cell r="I489">
            <v>1</v>
          </cell>
          <cell r="J489">
            <v>0</v>
          </cell>
          <cell r="K489">
            <v>1</v>
          </cell>
          <cell r="L489">
            <v>1</v>
          </cell>
          <cell r="M489">
            <v>3</v>
          </cell>
          <cell r="O489">
            <v>1</v>
          </cell>
          <cell r="P489">
            <v>0</v>
          </cell>
          <cell r="Q489">
            <v>0</v>
          </cell>
          <cell r="R489">
            <v>0</v>
          </cell>
          <cell r="S489">
            <v>0</v>
          </cell>
          <cell r="T489">
            <v>4</v>
          </cell>
          <cell r="V489">
            <v>1</v>
          </cell>
          <cell r="W489">
            <v>83</v>
          </cell>
          <cell r="X489">
            <v>2</v>
          </cell>
          <cell r="Y489">
            <v>1</v>
          </cell>
          <cell r="AA489">
            <v>0</v>
          </cell>
          <cell r="AB489">
            <v>0</v>
          </cell>
          <cell r="AC489">
            <v>0</v>
          </cell>
          <cell r="AD489">
            <v>0</v>
          </cell>
          <cell r="AE489">
            <v>0</v>
          </cell>
          <cell r="AF489">
            <v>0</v>
          </cell>
          <cell r="AG489">
            <v>0</v>
          </cell>
          <cell r="AH489">
            <v>1</v>
          </cell>
          <cell r="AI489">
            <v>2</v>
          </cell>
          <cell r="AK489">
            <v>1</v>
          </cell>
          <cell r="AL489">
            <v>0</v>
          </cell>
          <cell r="AN489">
            <v>2836</v>
          </cell>
          <cell r="AO489">
            <v>1</v>
          </cell>
          <cell r="AQ489">
            <v>0</v>
          </cell>
          <cell r="AR489">
            <v>13</v>
          </cell>
          <cell r="AS489">
            <v>3</v>
          </cell>
          <cell r="AT489">
            <v>4</v>
          </cell>
          <cell r="AU489">
            <v>0</v>
          </cell>
          <cell r="AV489">
            <v>1</v>
          </cell>
          <cell r="AW489">
            <v>1</v>
          </cell>
          <cell r="AX489">
            <v>0</v>
          </cell>
          <cell r="AY489">
            <v>4</v>
          </cell>
          <cell r="AZ489">
            <v>1</v>
          </cell>
          <cell r="BA489">
            <v>1</v>
          </cell>
          <cell r="BB489">
            <v>0</v>
          </cell>
          <cell r="BC489">
            <v>0</v>
          </cell>
          <cell r="BD489">
            <v>0</v>
          </cell>
          <cell r="BE489">
            <v>0</v>
          </cell>
          <cell r="BF489">
            <v>0</v>
          </cell>
          <cell r="BG489">
            <v>0</v>
          </cell>
          <cell r="BH489">
            <v>1</v>
          </cell>
          <cell r="BI489">
            <v>0</v>
          </cell>
          <cell r="BJ489">
            <v>0</v>
          </cell>
          <cell r="BK489">
            <v>0</v>
          </cell>
          <cell r="BL489">
            <v>1</v>
          </cell>
          <cell r="BM489">
            <v>0</v>
          </cell>
          <cell r="BN489">
            <v>0</v>
          </cell>
          <cell r="BO489">
            <v>0</v>
          </cell>
          <cell r="BP489">
            <v>0</v>
          </cell>
          <cell r="BQ489">
            <v>0</v>
          </cell>
          <cell r="BR489">
            <v>0</v>
          </cell>
          <cell r="BS489">
            <v>0</v>
          </cell>
          <cell r="BT489">
            <v>1</v>
          </cell>
          <cell r="BU489">
            <v>0</v>
          </cell>
        </row>
        <row r="490">
          <cell r="A490">
            <v>42</v>
          </cell>
          <cell r="B490">
            <v>42</v>
          </cell>
          <cell r="D490">
            <v>0</v>
          </cell>
          <cell r="F490">
            <v>0</v>
          </cell>
          <cell r="G490">
            <v>1</v>
          </cell>
          <cell r="I490">
            <v>1</v>
          </cell>
          <cell r="J490">
            <v>0</v>
          </cell>
          <cell r="K490">
            <v>2</v>
          </cell>
          <cell r="L490">
            <v>2</v>
          </cell>
          <cell r="M490">
            <v>4</v>
          </cell>
          <cell r="O490">
            <v>1</v>
          </cell>
          <cell r="P490">
            <v>0</v>
          </cell>
          <cell r="Q490">
            <v>0</v>
          </cell>
          <cell r="R490">
            <v>0</v>
          </cell>
          <cell r="S490">
            <v>0</v>
          </cell>
          <cell r="T490">
            <v>3</v>
          </cell>
          <cell r="V490">
            <v>1</v>
          </cell>
          <cell r="W490">
            <v>81</v>
          </cell>
          <cell r="X490">
            <v>3</v>
          </cell>
          <cell r="Y490">
            <v>2</v>
          </cell>
          <cell r="AA490">
            <v>1</v>
          </cell>
          <cell r="AB490">
            <v>0</v>
          </cell>
          <cell r="AC490">
            <v>0</v>
          </cell>
          <cell r="AD490">
            <v>0</v>
          </cell>
          <cell r="AE490">
            <v>0</v>
          </cell>
          <cell r="AF490">
            <v>0</v>
          </cell>
          <cell r="AG490">
            <v>0</v>
          </cell>
          <cell r="AH490">
            <v>0</v>
          </cell>
          <cell r="AI490">
            <v>4</v>
          </cell>
          <cell r="AK490">
            <v>0</v>
          </cell>
          <cell r="AL490">
            <v>1</v>
          </cell>
          <cell r="AN490">
            <v>4089</v>
          </cell>
          <cell r="AO490">
            <v>1</v>
          </cell>
          <cell r="AQ490">
            <v>0</v>
          </cell>
          <cell r="AR490">
            <v>13</v>
          </cell>
          <cell r="AS490">
            <v>3</v>
          </cell>
          <cell r="AT490">
            <v>2</v>
          </cell>
          <cell r="AU490">
            <v>2</v>
          </cell>
          <cell r="AV490">
            <v>10</v>
          </cell>
          <cell r="AW490">
            <v>10</v>
          </cell>
          <cell r="AX490">
            <v>4</v>
          </cell>
          <cell r="AY490">
            <v>3</v>
          </cell>
          <cell r="AZ490">
            <v>10</v>
          </cell>
          <cell r="BA490">
            <v>10</v>
          </cell>
          <cell r="BB490">
            <v>2</v>
          </cell>
          <cell r="BC490">
            <v>2</v>
          </cell>
          <cell r="BD490">
            <v>2</v>
          </cell>
          <cell r="BE490">
            <v>2</v>
          </cell>
          <cell r="BF490">
            <v>2</v>
          </cell>
          <cell r="BG490">
            <v>4</v>
          </cell>
          <cell r="BH490">
            <v>0</v>
          </cell>
          <cell r="BI490">
            <v>1</v>
          </cell>
          <cell r="BJ490">
            <v>0</v>
          </cell>
          <cell r="BK490">
            <v>0</v>
          </cell>
          <cell r="BL490">
            <v>0</v>
          </cell>
          <cell r="BM490">
            <v>0</v>
          </cell>
          <cell r="BN490">
            <v>1</v>
          </cell>
          <cell r="BO490">
            <v>0</v>
          </cell>
          <cell r="BP490">
            <v>0</v>
          </cell>
          <cell r="BQ490">
            <v>2</v>
          </cell>
          <cell r="BR490">
            <v>0</v>
          </cell>
          <cell r="BS490">
            <v>0</v>
          </cell>
          <cell r="BT490">
            <v>10</v>
          </cell>
          <cell r="BU490">
            <v>0</v>
          </cell>
        </row>
        <row r="491">
          <cell r="A491">
            <v>43</v>
          </cell>
          <cell r="B491">
            <v>43</v>
          </cell>
          <cell r="D491">
            <v>0</v>
          </cell>
          <cell r="F491">
            <v>0</v>
          </cell>
          <cell r="G491">
            <v>1</v>
          </cell>
          <cell r="I491">
            <v>1</v>
          </cell>
          <cell r="J491">
            <v>0</v>
          </cell>
          <cell r="K491">
            <v>6</v>
          </cell>
          <cell r="L491">
            <v>6</v>
          </cell>
          <cell r="M491">
            <v>4</v>
          </cell>
          <cell r="O491">
            <v>0</v>
          </cell>
          <cell r="P491">
            <v>1</v>
          </cell>
          <cell r="Q491">
            <v>0</v>
          </cell>
          <cell r="R491">
            <v>0</v>
          </cell>
          <cell r="S491">
            <v>0</v>
          </cell>
          <cell r="T491">
            <v>2</v>
          </cell>
          <cell r="V491">
            <v>0</v>
          </cell>
          <cell r="W491">
            <v>50</v>
          </cell>
          <cell r="X491">
            <v>2</v>
          </cell>
          <cell r="Y491">
            <v>4</v>
          </cell>
          <cell r="AA491">
            <v>0</v>
          </cell>
          <cell r="AB491">
            <v>0</v>
          </cell>
          <cell r="AC491">
            <v>0</v>
          </cell>
          <cell r="AD491">
            <v>0</v>
          </cell>
          <cell r="AE491">
            <v>0</v>
          </cell>
          <cell r="AF491">
            <v>0</v>
          </cell>
          <cell r="AG491">
            <v>0</v>
          </cell>
          <cell r="AH491">
            <v>0</v>
          </cell>
          <cell r="AI491">
            <v>4</v>
          </cell>
          <cell r="AK491">
            <v>0</v>
          </cell>
          <cell r="AL491">
            <v>0</v>
          </cell>
          <cell r="AN491">
            <v>16627</v>
          </cell>
          <cell r="AO491">
            <v>4</v>
          </cell>
          <cell r="AQ491">
            <v>1</v>
          </cell>
          <cell r="AR491">
            <v>14</v>
          </cell>
          <cell r="AS491">
            <v>3</v>
          </cell>
          <cell r="AT491">
            <v>3</v>
          </cell>
          <cell r="AU491">
            <v>1</v>
          </cell>
          <cell r="AV491">
            <v>21</v>
          </cell>
          <cell r="AW491">
            <v>21</v>
          </cell>
          <cell r="AX491">
            <v>3</v>
          </cell>
          <cell r="AY491">
            <v>2</v>
          </cell>
          <cell r="AZ491">
            <v>1</v>
          </cell>
          <cell r="BA491">
            <v>1</v>
          </cell>
          <cell r="BB491">
            <v>0</v>
          </cell>
          <cell r="BC491">
            <v>0</v>
          </cell>
          <cell r="BD491">
            <v>0</v>
          </cell>
          <cell r="BE491">
            <v>0</v>
          </cell>
          <cell r="BF491">
            <v>0</v>
          </cell>
          <cell r="BG491">
            <v>0</v>
          </cell>
          <cell r="BH491">
            <v>1</v>
          </cell>
          <cell r="BI491">
            <v>0</v>
          </cell>
          <cell r="BJ491">
            <v>0</v>
          </cell>
          <cell r="BK491">
            <v>0</v>
          </cell>
          <cell r="BL491">
            <v>0</v>
          </cell>
          <cell r="BM491">
            <v>1</v>
          </cell>
          <cell r="BN491">
            <v>0</v>
          </cell>
          <cell r="BO491">
            <v>0</v>
          </cell>
          <cell r="BP491">
            <v>0</v>
          </cell>
          <cell r="BQ491">
            <v>0</v>
          </cell>
          <cell r="BR491">
            <v>0</v>
          </cell>
          <cell r="BS491">
            <v>0</v>
          </cell>
          <cell r="BT491">
            <v>21</v>
          </cell>
          <cell r="BU491">
            <v>0</v>
          </cell>
        </row>
        <row r="492">
          <cell r="A492">
            <v>38</v>
          </cell>
          <cell r="B492">
            <v>38</v>
          </cell>
          <cell r="D492">
            <v>0</v>
          </cell>
          <cell r="F492">
            <v>0</v>
          </cell>
          <cell r="G492">
            <v>1</v>
          </cell>
          <cell r="I492">
            <v>1</v>
          </cell>
          <cell r="J492">
            <v>0</v>
          </cell>
          <cell r="K492">
            <v>1</v>
          </cell>
          <cell r="L492">
            <v>1</v>
          </cell>
          <cell r="M492">
            <v>1</v>
          </cell>
          <cell r="O492">
            <v>1</v>
          </cell>
          <cell r="P492">
            <v>0</v>
          </cell>
          <cell r="Q492">
            <v>0</v>
          </cell>
          <cell r="R492">
            <v>0</v>
          </cell>
          <cell r="S492">
            <v>0</v>
          </cell>
          <cell r="T492">
            <v>3</v>
          </cell>
          <cell r="V492">
            <v>1</v>
          </cell>
          <cell r="W492">
            <v>43</v>
          </cell>
          <cell r="X492">
            <v>3</v>
          </cell>
          <cell r="Y492">
            <v>1</v>
          </cell>
          <cell r="AA492">
            <v>0</v>
          </cell>
          <cell r="AB492">
            <v>0</v>
          </cell>
          <cell r="AC492">
            <v>0</v>
          </cell>
          <cell r="AD492">
            <v>0</v>
          </cell>
          <cell r="AE492">
            <v>0</v>
          </cell>
          <cell r="AF492">
            <v>0</v>
          </cell>
          <cell r="AG492">
            <v>0</v>
          </cell>
          <cell r="AH492">
            <v>1</v>
          </cell>
          <cell r="AI492">
            <v>1</v>
          </cell>
          <cell r="AK492">
            <v>1</v>
          </cell>
          <cell r="AL492">
            <v>0</v>
          </cell>
          <cell r="AN492">
            <v>2619</v>
          </cell>
          <cell r="AO492">
            <v>3</v>
          </cell>
          <cell r="AQ492">
            <v>0</v>
          </cell>
          <cell r="AR492">
            <v>17</v>
          </cell>
          <cell r="AS492">
            <v>3</v>
          </cell>
          <cell r="AT492">
            <v>4</v>
          </cell>
          <cell r="AU492">
            <v>0</v>
          </cell>
          <cell r="AV492">
            <v>8</v>
          </cell>
          <cell r="AW492">
            <v>8</v>
          </cell>
          <cell r="AX492">
            <v>3</v>
          </cell>
          <cell r="AY492">
            <v>2</v>
          </cell>
          <cell r="AZ492">
            <v>0</v>
          </cell>
          <cell r="BA492">
            <v>0</v>
          </cell>
          <cell r="BB492">
            <v>0</v>
          </cell>
          <cell r="BC492">
            <v>0</v>
          </cell>
          <cell r="BD492">
            <v>0</v>
          </cell>
          <cell r="BE492">
            <v>0</v>
          </cell>
          <cell r="BF492">
            <v>0</v>
          </cell>
          <cell r="BG492">
            <v>0</v>
          </cell>
          <cell r="BH492">
            <v>1</v>
          </cell>
          <cell r="BI492">
            <v>0</v>
          </cell>
          <cell r="BJ492">
            <v>0</v>
          </cell>
          <cell r="BK492">
            <v>0</v>
          </cell>
          <cell r="BL492">
            <v>1</v>
          </cell>
          <cell r="BM492">
            <v>0</v>
          </cell>
          <cell r="BN492">
            <v>0</v>
          </cell>
          <cell r="BO492">
            <v>0</v>
          </cell>
          <cell r="BP492">
            <v>0</v>
          </cell>
          <cell r="BQ492">
            <v>0</v>
          </cell>
          <cell r="BR492">
            <v>0</v>
          </cell>
          <cell r="BS492">
            <v>0</v>
          </cell>
          <cell r="BT492">
            <v>8</v>
          </cell>
          <cell r="BU492">
            <v>0</v>
          </cell>
        </row>
        <row r="493">
          <cell r="A493">
            <v>43</v>
          </cell>
          <cell r="B493">
            <v>43</v>
          </cell>
          <cell r="D493">
            <v>0</v>
          </cell>
          <cell r="F493">
            <v>1</v>
          </cell>
          <cell r="G493">
            <v>0</v>
          </cell>
          <cell r="I493">
            <v>1</v>
          </cell>
          <cell r="J493">
            <v>0</v>
          </cell>
          <cell r="K493">
            <v>9</v>
          </cell>
          <cell r="L493">
            <v>9</v>
          </cell>
          <cell r="M493">
            <v>5</v>
          </cell>
          <cell r="O493">
            <v>0</v>
          </cell>
          <cell r="P493">
            <v>0</v>
          </cell>
          <cell r="Q493">
            <v>1</v>
          </cell>
          <cell r="R493">
            <v>0</v>
          </cell>
          <cell r="S493">
            <v>0</v>
          </cell>
          <cell r="T493">
            <v>4</v>
          </cell>
          <cell r="V493">
            <v>0</v>
          </cell>
          <cell r="W493">
            <v>72</v>
          </cell>
          <cell r="X493">
            <v>3</v>
          </cell>
          <cell r="Y493">
            <v>2</v>
          </cell>
          <cell r="AA493">
            <v>0</v>
          </cell>
          <cell r="AB493">
            <v>0</v>
          </cell>
          <cell r="AC493">
            <v>1</v>
          </cell>
          <cell r="AD493">
            <v>0</v>
          </cell>
          <cell r="AE493">
            <v>0</v>
          </cell>
          <cell r="AF493">
            <v>0</v>
          </cell>
          <cell r="AG493">
            <v>0</v>
          </cell>
          <cell r="AH493">
            <v>0</v>
          </cell>
          <cell r="AI493">
            <v>3</v>
          </cell>
          <cell r="AK493">
            <v>0</v>
          </cell>
          <cell r="AL493">
            <v>0</v>
          </cell>
          <cell r="AN493">
            <v>5679</v>
          </cell>
          <cell r="AO493">
            <v>3</v>
          </cell>
          <cell r="AQ493">
            <v>1</v>
          </cell>
          <cell r="AR493">
            <v>13</v>
          </cell>
          <cell r="AS493">
            <v>3</v>
          </cell>
          <cell r="AT493">
            <v>2</v>
          </cell>
          <cell r="AU493">
            <v>1</v>
          </cell>
          <cell r="AV493">
            <v>10</v>
          </cell>
          <cell r="AW493">
            <v>10</v>
          </cell>
          <cell r="AX493">
            <v>3</v>
          </cell>
          <cell r="AY493">
            <v>3</v>
          </cell>
          <cell r="AZ493">
            <v>8</v>
          </cell>
          <cell r="BA493">
            <v>8</v>
          </cell>
          <cell r="BB493">
            <v>7</v>
          </cell>
          <cell r="BC493">
            <v>4</v>
          </cell>
          <cell r="BD493">
            <v>4</v>
          </cell>
          <cell r="BE493">
            <v>7</v>
          </cell>
          <cell r="BF493">
            <v>7</v>
          </cell>
          <cell r="BG493">
            <v>14</v>
          </cell>
          <cell r="BH493">
            <v>0</v>
          </cell>
          <cell r="BI493">
            <v>0</v>
          </cell>
          <cell r="BJ493">
            <v>1</v>
          </cell>
          <cell r="BK493">
            <v>0</v>
          </cell>
          <cell r="BL493">
            <v>0</v>
          </cell>
          <cell r="BM493">
            <v>1</v>
          </cell>
          <cell r="BN493">
            <v>0</v>
          </cell>
          <cell r="BO493">
            <v>0</v>
          </cell>
          <cell r="BP493">
            <v>0</v>
          </cell>
          <cell r="BQ493">
            <v>7</v>
          </cell>
          <cell r="BR493">
            <v>0</v>
          </cell>
          <cell r="BS493">
            <v>0</v>
          </cell>
          <cell r="BT493">
            <v>10</v>
          </cell>
          <cell r="BU493">
            <v>0</v>
          </cell>
        </row>
        <row r="494">
          <cell r="A494">
            <v>48</v>
          </cell>
          <cell r="B494">
            <v>48</v>
          </cell>
          <cell r="D494">
            <v>0</v>
          </cell>
          <cell r="F494">
            <v>0</v>
          </cell>
          <cell r="G494">
            <v>1</v>
          </cell>
          <cell r="I494">
            <v>1</v>
          </cell>
          <cell r="J494">
            <v>0</v>
          </cell>
          <cell r="K494">
            <v>1</v>
          </cell>
          <cell r="L494">
            <v>1</v>
          </cell>
          <cell r="M494">
            <v>4</v>
          </cell>
          <cell r="O494">
            <v>1</v>
          </cell>
          <cell r="P494">
            <v>0</v>
          </cell>
          <cell r="Q494">
            <v>0</v>
          </cell>
          <cell r="R494">
            <v>0</v>
          </cell>
          <cell r="S494">
            <v>0</v>
          </cell>
          <cell r="T494">
            <v>4</v>
          </cell>
          <cell r="V494">
            <v>1</v>
          </cell>
          <cell r="W494">
            <v>40</v>
          </cell>
          <cell r="X494">
            <v>2</v>
          </cell>
          <cell r="Y494">
            <v>4</v>
          </cell>
          <cell r="AA494">
            <v>0</v>
          </cell>
          <cell r="AB494">
            <v>0</v>
          </cell>
          <cell r="AC494">
            <v>0</v>
          </cell>
          <cell r="AD494">
            <v>1</v>
          </cell>
          <cell r="AE494">
            <v>0</v>
          </cell>
          <cell r="AF494">
            <v>0</v>
          </cell>
          <cell r="AG494">
            <v>0</v>
          </cell>
          <cell r="AH494">
            <v>0</v>
          </cell>
          <cell r="AI494">
            <v>1</v>
          </cell>
          <cell r="AK494">
            <v>0</v>
          </cell>
          <cell r="AL494">
            <v>1</v>
          </cell>
          <cell r="AN494">
            <v>15402</v>
          </cell>
          <cell r="AO494">
            <v>7</v>
          </cell>
          <cell r="AQ494">
            <v>0</v>
          </cell>
          <cell r="AR494">
            <v>11</v>
          </cell>
          <cell r="AS494">
            <v>3</v>
          </cell>
          <cell r="AT494">
            <v>1</v>
          </cell>
          <cell r="AU494">
            <v>1</v>
          </cell>
          <cell r="AV494">
            <v>21</v>
          </cell>
          <cell r="AW494">
            <v>21</v>
          </cell>
          <cell r="AX494">
            <v>3</v>
          </cell>
          <cell r="AY494">
            <v>1</v>
          </cell>
          <cell r="AZ494">
            <v>3</v>
          </cell>
          <cell r="BA494">
            <v>3</v>
          </cell>
          <cell r="BB494">
            <v>2</v>
          </cell>
          <cell r="BC494">
            <v>0</v>
          </cell>
          <cell r="BD494">
            <v>0</v>
          </cell>
          <cell r="BE494">
            <v>2</v>
          </cell>
          <cell r="BF494">
            <v>2</v>
          </cell>
          <cell r="BG494">
            <v>8</v>
          </cell>
          <cell r="BH494">
            <v>0</v>
          </cell>
          <cell r="BI494">
            <v>1</v>
          </cell>
          <cell r="BJ494">
            <v>0</v>
          </cell>
          <cell r="BK494">
            <v>0</v>
          </cell>
          <cell r="BL494">
            <v>0</v>
          </cell>
          <cell r="BM494">
            <v>0</v>
          </cell>
          <cell r="BN494">
            <v>1</v>
          </cell>
          <cell r="BO494">
            <v>0</v>
          </cell>
          <cell r="BP494">
            <v>0</v>
          </cell>
          <cell r="BQ494">
            <v>2</v>
          </cell>
          <cell r="BR494">
            <v>0</v>
          </cell>
          <cell r="BS494">
            <v>0</v>
          </cell>
          <cell r="BT494">
            <v>21</v>
          </cell>
          <cell r="BU494">
            <v>0</v>
          </cell>
        </row>
        <row r="495">
          <cell r="A495">
            <v>44</v>
          </cell>
          <cell r="B495">
            <v>44</v>
          </cell>
          <cell r="D495">
            <v>0</v>
          </cell>
          <cell r="F495">
            <v>0</v>
          </cell>
          <cell r="G495">
            <v>1</v>
          </cell>
          <cell r="I495">
            <v>0</v>
          </cell>
          <cell r="J495">
            <v>0</v>
          </cell>
          <cell r="K495">
            <v>1</v>
          </cell>
          <cell r="L495">
            <v>1</v>
          </cell>
          <cell r="M495">
            <v>4</v>
          </cell>
          <cell r="O495">
            <v>1</v>
          </cell>
          <cell r="P495">
            <v>0</v>
          </cell>
          <cell r="Q495">
            <v>0</v>
          </cell>
          <cell r="R495">
            <v>0</v>
          </cell>
          <cell r="S495">
            <v>0</v>
          </cell>
          <cell r="T495">
            <v>1</v>
          </cell>
          <cell r="V495">
            <v>1</v>
          </cell>
          <cell r="W495">
            <v>50</v>
          </cell>
          <cell r="X495">
            <v>2</v>
          </cell>
          <cell r="Y495">
            <v>2</v>
          </cell>
          <cell r="AA495">
            <v>0</v>
          </cell>
          <cell r="AB495">
            <v>0</v>
          </cell>
          <cell r="AC495">
            <v>0</v>
          </cell>
          <cell r="AD495">
            <v>0</v>
          </cell>
          <cell r="AE495">
            <v>0</v>
          </cell>
          <cell r="AF495">
            <v>0</v>
          </cell>
          <cell r="AG495">
            <v>0</v>
          </cell>
          <cell r="AH495">
            <v>0</v>
          </cell>
          <cell r="AI495">
            <v>3</v>
          </cell>
          <cell r="AK495">
            <v>1</v>
          </cell>
          <cell r="AL495">
            <v>0</v>
          </cell>
          <cell r="AN495">
            <v>5985</v>
          </cell>
          <cell r="AO495">
            <v>4</v>
          </cell>
          <cell r="AQ495">
            <v>0</v>
          </cell>
          <cell r="AR495">
            <v>11</v>
          </cell>
          <cell r="AS495">
            <v>3</v>
          </cell>
          <cell r="AT495">
            <v>2</v>
          </cell>
          <cell r="AU495">
            <v>0</v>
          </cell>
          <cell r="AV495">
            <v>10</v>
          </cell>
          <cell r="AW495">
            <v>10</v>
          </cell>
          <cell r="AX495">
            <v>1</v>
          </cell>
          <cell r="AY495">
            <v>4</v>
          </cell>
          <cell r="AZ495">
            <v>2</v>
          </cell>
          <cell r="BA495">
            <v>2</v>
          </cell>
          <cell r="BB495">
            <v>2</v>
          </cell>
          <cell r="BC495">
            <v>0</v>
          </cell>
          <cell r="BD495">
            <v>0</v>
          </cell>
          <cell r="BE495">
            <v>2</v>
          </cell>
          <cell r="BF495">
            <v>2</v>
          </cell>
          <cell r="BG495">
            <v>4</v>
          </cell>
          <cell r="BH495">
            <v>1</v>
          </cell>
          <cell r="BI495">
            <v>0</v>
          </cell>
          <cell r="BJ495">
            <v>0</v>
          </cell>
          <cell r="BK495">
            <v>0</v>
          </cell>
          <cell r="BL495">
            <v>1</v>
          </cell>
          <cell r="BM495">
            <v>0</v>
          </cell>
          <cell r="BN495">
            <v>0</v>
          </cell>
          <cell r="BO495">
            <v>0</v>
          </cell>
          <cell r="BP495">
            <v>2</v>
          </cell>
          <cell r="BQ495">
            <v>0</v>
          </cell>
          <cell r="BR495">
            <v>0</v>
          </cell>
          <cell r="BS495">
            <v>10</v>
          </cell>
          <cell r="BT495">
            <v>0</v>
          </cell>
          <cell r="BU495">
            <v>0</v>
          </cell>
        </row>
        <row r="496">
          <cell r="A496">
            <v>34</v>
          </cell>
          <cell r="B496">
            <v>34</v>
          </cell>
          <cell r="D496">
            <v>0</v>
          </cell>
          <cell r="F496">
            <v>0</v>
          </cell>
          <cell r="G496">
            <v>1</v>
          </cell>
          <cell r="I496">
            <v>0</v>
          </cell>
          <cell r="J496">
            <v>1</v>
          </cell>
          <cell r="K496">
            <v>14</v>
          </cell>
          <cell r="L496">
            <v>14</v>
          </cell>
          <cell r="M496">
            <v>3</v>
          </cell>
          <cell r="O496">
            <v>0</v>
          </cell>
          <cell r="P496">
            <v>0</v>
          </cell>
          <cell r="Q496">
            <v>0</v>
          </cell>
          <cell r="R496">
            <v>0</v>
          </cell>
          <cell r="S496">
            <v>1</v>
          </cell>
          <cell r="T496">
            <v>3</v>
          </cell>
          <cell r="V496">
            <v>1</v>
          </cell>
          <cell r="W496">
            <v>31</v>
          </cell>
          <cell r="X496">
            <v>3</v>
          </cell>
          <cell r="Y496">
            <v>1</v>
          </cell>
          <cell r="AA496">
            <v>0</v>
          </cell>
          <cell r="AB496">
            <v>0</v>
          </cell>
          <cell r="AC496">
            <v>0</v>
          </cell>
          <cell r="AD496">
            <v>0</v>
          </cell>
          <cell r="AE496">
            <v>0</v>
          </cell>
          <cell r="AF496">
            <v>0</v>
          </cell>
          <cell r="AG496">
            <v>1</v>
          </cell>
          <cell r="AH496">
            <v>0</v>
          </cell>
          <cell r="AI496">
            <v>3</v>
          </cell>
          <cell r="AK496">
            <v>0</v>
          </cell>
          <cell r="AL496">
            <v>0</v>
          </cell>
          <cell r="AN496">
            <v>2579</v>
          </cell>
          <cell r="AO496">
            <v>1</v>
          </cell>
          <cell r="AQ496">
            <v>1</v>
          </cell>
          <cell r="AR496">
            <v>18</v>
          </cell>
          <cell r="AS496">
            <v>3</v>
          </cell>
          <cell r="AT496">
            <v>4</v>
          </cell>
          <cell r="AU496">
            <v>2</v>
          </cell>
          <cell r="AV496">
            <v>8</v>
          </cell>
          <cell r="AW496">
            <v>8</v>
          </cell>
          <cell r="AX496">
            <v>3</v>
          </cell>
          <cell r="AY496">
            <v>3</v>
          </cell>
          <cell r="AZ496">
            <v>8</v>
          </cell>
          <cell r="BA496">
            <v>8</v>
          </cell>
          <cell r="BB496">
            <v>2</v>
          </cell>
          <cell r="BC496">
            <v>0</v>
          </cell>
          <cell r="BD496">
            <v>0</v>
          </cell>
          <cell r="BE496">
            <v>6</v>
          </cell>
          <cell r="BF496">
            <v>6</v>
          </cell>
          <cell r="BG496">
            <v>6</v>
          </cell>
          <cell r="BH496">
            <v>1</v>
          </cell>
          <cell r="BI496">
            <v>0</v>
          </cell>
          <cell r="BJ496">
            <v>0</v>
          </cell>
          <cell r="BK496">
            <v>0</v>
          </cell>
          <cell r="BL496">
            <v>0</v>
          </cell>
          <cell r="BM496">
            <v>1</v>
          </cell>
          <cell r="BN496">
            <v>0</v>
          </cell>
          <cell r="BO496">
            <v>0</v>
          </cell>
          <cell r="BP496">
            <v>0</v>
          </cell>
          <cell r="BQ496">
            <v>0</v>
          </cell>
          <cell r="BR496">
            <v>6</v>
          </cell>
          <cell r="BS496">
            <v>0</v>
          </cell>
          <cell r="BT496">
            <v>0</v>
          </cell>
          <cell r="BU496">
            <v>8</v>
          </cell>
        </row>
        <row r="497">
          <cell r="A497">
            <v>27</v>
          </cell>
          <cell r="B497">
            <v>27</v>
          </cell>
          <cell r="D497">
            <v>1</v>
          </cell>
          <cell r="F497">
            <v>0</v>
          </cell>
          <cell r="G497">
            <v>1</v>
          </cell>
          <cell r="I497">
            <v>0</v>
          </cell>
          <cell r="J497">
            <v>1</v>
          </cell>
          <cell r="K497">
            <v>2</v>
          </cell>
          <cell r="L497">
            <v>2</v>
          </cell>
          <cell r="M497">
            <v>1</v>
          </cell>
          <cell r="O497">
            <v>0</v>
          </cell>
          <cell r="P497">
            <v>0</v>
          </cell>
          <cell r="Q497">
            <v>0</v>
          </cell>
          <cell r="R497">
            <v>1</v>
          </cell>
          <cell r="S497">
            <v>0</v>
          </cell>
          <cell r="T497">
            <v>3</v>
          </cell>
          <cell r="V497">
            <v>0</v>
          </cell>
          <cell r="W497">
            <v>85</v>
          </cell>
          <cell r="X497">
            <v>3</v>
          </cell>
          <cell r="Y497">
            <v>1</v>
          </cell>
          <cell r="AA497">
            <v>0</v>
          </cell>
          <cell r="AB497">
            <v>0</v>
          </cell>
          <cell r="AC497">
            <v>0</v>
          </cell>
          <cell r="AD497">
            <v>0</v>
          </cell>
          <cell r="AE497">
            <v>0</v>
          </cell>
          <cell r="AF497">
            <v>0</v>
          </cell>
          <cell r="AG497">
            <v>1</v>
          </cell>
          <cell r="AH497">
            <v>0</v>
          </cell>
          <cell r="AI497">
            <v>1</v>
          </cell>
          <cell r="AK497">
            <v>0</v>
          </cell>
          <cell r="AL497">
            <v>0</v>
          </cell>
          <cell r="AN497">
            <v>3041</v>
          </cell>
          <cell r="AO497">
            <v>0</v>
          </cell>
          <cell r="AQ497">
            <v>0</v>
          </cell>
          <cell r="AR497">
            <v>11</v>
          </cell>
          <cell r="AS497">
            <v>3</v>
          </cell>
          <cell r="AT497">
            <v>2</v>
          </cell>
          <cell r="AU497">
            <v>1</v>
          </cell>
          <cell r="AV497">
            <v>5</v>
          </cell>
          <cell r="AW497">
            <v>5</v>
          </cell>
          <cell r="AX497">
            <v>3</v>
          </cell>
          <cell r="AY497">
            <v>3</v>
          </cell>
          <cell r="AZ497">
            <v>4</v>
          </cell>
          <cell r="BA497">
            <v>4</v>
          </cell>
          <cell r="BB497">
            <v>3</v>
          </cell>
          <cell r="BC497">
            <v>0</v>
          </cell>
          <cell r="BD497">
            <v>0</v>
          </cell>
          <cell r="BE497">
            <v>2</v>
          </cell>
          <cell r="BF497">
            <v>2</v>
          </cell>
          <cell r="BG497">
            <v>2</v>
          </cell>
          <cell r="BH497">
            <v>1</v>
          </cell>
          <cell r="BI497">
            <v>0</v>
          </cell>
          <cell r="BJ497">
            <v>0</v>
          </cell>
          <cell r="BK497">
            <v>0</v>
          </cell>
          <cell r="BL497">
            <v>1</v>
          </cell>
          <cell r="BM497">
            <v>0</v>
          </cell>
          <cell r="BN497">
            <v>0</v>
          </cell>
          <cell r="BO497">
            <v>0</v>
          </cell>
          <cell r="BP497">
            <v>0</v>
          </cell>
          <cell r="BQ497">
            <v>0</v>
          </cell>
          <cell r="BR497">
            <v>2</v>
          </cell>
          <cell r="BS497">
            <v>0</v>
          </cell>
          <cell r="BT497">
            <v>0</v>
          </cell>
          <cell r="BU497">
            <v>5</v>
          </cell>
        </row>
        <row r="498">
          <cell r="A498">
            <v>21</v>
          </cell>
          <cell r="B498">
            <v>21</v>
          </cell>
          <cell r="D498">
            <v>0</v>
          </cell>
          <cell r="F498">
            <v>0</v>
          </cell>
          <cell r="G498">
            <v>1</v>
          </cell>
          <cell r="I498">
            <v>0</v>
          </cell>
          <cell r="J498">
            <v>1</v>
          </cell>
          <cell r="K498">
            <v>22</v>
          </cell>
          <cell r="L498">
            <v>22</v>
          </cell>
          <cell r="M498">
            <v>1</v>
          </cell>
          <cell r="O498">
            <v>0</v>
          </cell>
          <cell r="P498">
            <v>0</v>
          </cell>
          <cell r="Q498">
            <v>0</v>
          </cell>
          <cell r="R498">
            <v>0</v>
          </cell>
          <cell r="S498">
            <v>1</v>
          </cell>
          <cell r="T498">
            <v>3</v>
          </cell>
          <cell r="V498">
            <v>0</v>
          </cell>
          <cell r="W498">
            <v>49</v>
          </cell>
          <cell r="X498">
            <v>3</v>
          </cell>
          <cell r="Y498">
            <v>1</v>
          </cell>
          <cell r="AA498">
            <v>0</v>
          </cell>
          <cell r="AB498">
            <v>0</v>
          </cell>
          <cell r="AC498">
            <v>0</v>
          </cell>
          <cell r="AD498">
            <v>0</v>
          </cell>
          <cell r="AE498">
            <v>0</v>
          </cell>
          <cell r="AF498">
            <v>0</v>
          </cell>
          <cell r="AG498">
            <v>1</v>
          </cell>
          <cell r="AH498">
            <v>0</v>
          </cell>
          <cell r="AI498">
            <v>3</v>
          </cell>
          <cell r="AK498">
            <v>1</v>
          </cell>
          <cell r="AL498">
            <v>0</v>
          </cell>
          <cell r="AN498">
            <v>3447</v>
          </cell>
          <cell r="AO498">
            <v>1</v>
          </cell>
          <cell r="AQ498">
            <v>0</v>
          </cell>
          <cell r="AR498">
            <v>11</v>
          </cell>
          <cell r="AS498">
            <v>3</v>
          </cell>
          <cell r="AT498">
            <v>3</v>
          </cell>
          <cell r="AU498">
            <v>0</v>
          </cell>
          <cell r="AV498">
            <v>3</v>
          </cell>
          <cell r="AW498">
            <v>3</v>
          </cell>
          <cell r="AX498">
            <v>2</v>
          </cell>
          <cell r="AY498">
            <v>3</v>
          </cell>
          <cell r="AZ498">
            <v>3</v>
          </cell>
          <cell r="BA498">
            <v>3</v>
          </cell>
          <cell r="BB498">
            <v>2</v>
          </cell>
          <cell r="BC498">
            <v>1</v>
          </cell>
          <cell r="BD498">
            <v>1</v>
          </cell>
          <cell r="BE498">
            <v>2</v>
          </cell>
          <cell r="BF498">
            <v>2</v>
          </cell>
          <cell r="BG498">
            <v>2</v>
          </cell>
          <cell r="BH498">
            <v>1</v>
          </cell>
          <cell r="BI498">
            <v>0</v>
          </cell>
          <cell r="BJ498">
            <v>0</v>
          </cell>
          <cell r="BK498">
            <v>0</v>
          </cell>
          <cell r="BL498">
            <v>1</v>
          </cell>
          <cell r="BM498">
            <v>0</v>
          </cell>
          <cell r="BN498">
            <v>0</v>
          </cell>
          <cell r="BO498">
            <v>0</v>
          </cell>
          <cell r="BP498">
            <v>0</v>
          </cell>
          <cell r="BQ498">
            <v>0</v>
          </cell>
          <cell r="BR498">
            <v>2</v>
          </cell>
          <cell r="BS498">
            <v>0</v>
          </cell>
          <cell r="BT498">
            <v>0</v>
          </cell>
          <cell r="BU498">
            <v>3</v>
          </cell>
        </row>
        <row r="499">
          <cell r="A499">
            <v>44</v>
          </cell>
          <cell r="B499">
            <v>44</v>
          </cell>
          <cell r="D499">
            <v>0</v>
          </cell>
          <cell r="F499">
            <v>0</v>
          </cell>
          <cell r="G499">
            <v>1</v>
          </cell>
          <cell r="I499">
            <v>1</v>
          </cell>
          <cell r="J499">
            <v>0</v>
          </cell>
          <cell r="K499">
            <v>3</v>
          </cell>
          <cell r="L499">
            <v>3</v>
          </cell>
          <cell r="M499">
            <v>4</v>
          </cell>
          <cell r="O499">
            <v>0</v>
          </cell>
          <cell r="P499">
            <v>1</v>
          </cell>
          <cell r="Q499">
            <v>0</v>
          </cell>
          <cell r="R499">
            <v>0</v>
          </cell>
          <cell r="S499">
            <v>0</v>
          </cell>
          <cell r="T499">
            <v>4</v>
          </cell>
          <cell r="V499">
            <v>0</v>
          </cell>
          <cell r="W499">
            <v>35</v>
          </cell>
          <cell r="X499">
            <v>3</v>
          </cell>
          <cell r="Y499">
            <v>5</v>
          </cell>
          <cell r="AA499">
            <v>0</v>
          </cell>
          <cell r="AB499">
            <v>0</v>
          </cell>
          <cell r="AC499">
            <v>0</v>
          </cell>
          <cell r="AD499">
            <v>1</v>
          </cell>
          <cell r="AE499">
            <v>0</v>
          </cell>
          <cell r="AF499">
            <v>0</v>
          </cell>
          <cell r="AG499">
            <v>0</v>
          </cell>
          <cell r="AH499">
            <v>0</v>
          </cell>
          <cell r="AI499">
            <v>4</v>
          </cell>
          <cell r="AK499">
            <v>0</v>
          </cell>
          <cell r="AL499">
            <v>1</v>
          </cell>
          <cell r="AN499">
            <v>19513</v>
          </cell>
          <cell r="AO499">
            <v>4</v>
          </cell>
          <cell r="AQ499">
            <v>1</v>
          </cell>
          <cell r="AR499">
            <v>12</v>
          </cell>
          <cell r="AS499">
            <v>3</v>
          </cell>
          <cell r="AT499">
            <v>1</v>
          </cell>
          <cell r="AU499">
            <v>1</v>
          </cell>
          <cell r="AV499">
            <v>26</v>
          </cell>
          <cell r="AW499">
            <v>26</v>
          </cell>
          <cell r="AX499">
            <v>2</v>
          </cell>
          <cell r="AY499">
            <v>4</v>
          </cell>
          <cell r="AZ499">
            <v>2</v>
          </cell>
          <cell r="BA499">
            <v>2</v>
          </cell>
          <cell r="BB499">
            <v>2</v>
          </cell>
          <cell r="BC499">
            <v>0</v>
          </cell>
          <cell r="BD499">
            <v>0</v>
          </cell>
          <cell r="BE499">
            <v>1</v>
          </cell>
          <cell r="BF499">
            <v>1</v>
          </cell>
          <cell r="BG499">
            <v>5</v>
          </cell>
          <cell r="BH499">
            <v>0</v>
          </cell>
          <cell r="BI499">
            <v>1</v>
          </cell>
          <cell r="BJ499">
            <v>0</v>
          </cell>
          <cell r="BK499">
            <v>0</v>
          </cell>
          <cell r="BL499">
            <v>0</v>
          </cell>
          <cell r="BM499">
            <v>0</v>
          </cell>
          <cell r="BN499">
            <v>0</v>
          </cell>
          <cell r="BO499">
            <v>1</v>
          </cell>
          <cell r="BP499">
            <v>0</v>
          </cell>
          <cell r="BQ499">
            <v>1</v>
          </cell>
          <cell r="BR499">
            <v>0</v>
          </cell>
          <cell r="BS499">
            <v>0</v>
          </cell>
          <cell r="BT499">
            <v>26</v>
          </cell>
          <cell r="BU499">
            <v>0</v>
          </cell>
        </row>
        <row r="500">
          <cell r="A500">
            <v>22</v>
          </cell>
          <cell r="B500">
            <v>22</v>
          </cell>
          <cell r="D500">
            <v>0</v>
          </cell>
          <cell r="F500">
            <v>0</v>
          </cell>
          <cell r="G500">
            <v>1</v>
          </cell>
          <cell r="I500">
            <v>1</v>
          </cell>
          <cell r="J500">
            <v>0</v>
          </cell>
          <cell r="K500">
            <v>6</v>
          </cell>
          <cell r="L500">
            <v>6</v>
          </cell>
          <cell r="M500">
            <v>1</v>
          </cell>
          <cell r="O500">
            <v>0</v>
          </cell>
          <cell r="P500">
            <v>0</v>
          </cell>
          <cell r="Q500">
            <v>1</v>
          </cell>
          <cell r="R500">
            <v>0</v>
          </cell>
          <cell r="S500">
            <v>0</v>
          </cell>
          <cell r="T500">
            <v>1</v>
          </cell>
          <cell r="V500">
            <v>0</v>
          </cell>
          <cell r="W500">
            <v>69</v>
          </cell>
          <cell r="X500">
            <v>3</v>
          </cell>
          <cell r="Y500">
            <v>1</v>
          </cell>
          <cell r="AA500">
            <v>0</v>
          </cell>
          <cell r="AB500">
            <v>0</v>
          </cell>
          <cell r="AC500">
            <v>0</v>
          </cell>
          <cell r="AD500">
            <v>0</v>
          </cell>
          <cell r="AE500">
            <v>0</v>
          </cell>
          <cell r="AF500">
            <v>0</v>
          </cell>
          <cell r="AG500">
            <v>0</v>
          </cell>
          <cell r="AH500">
            <v>1</v>
          </cell>
          <cell r="AI500">
            <v>3</v>
          </cell>
          <cell r="AK500">
            <v>0</v>
          </cell>
          <cell r="AL500">
            <v>1</v>
          </cell>
          <cell r="AN500">
            <v>2773</v>
          </cell>
          <cell r="AO500">
            <v>0</v>
          </cell>
          <cell r="AQ500">
            <v>0</v>
          </cell>
          <cell r="AR500">
            <v>20</v>
          </cell>
          <cell r="AS500">
            <v>4</v>
          </cell>
          <cell r="AT500">
            <v>4</v>
          </cell>
          <cell r="AU500">
            <v>0</v>
          </cell>
          <cell r="AV500">
            <v>3</v>
          </cell>
          <cell r="AW500">
            <v>3</v>
          </cell>
          <cell r="AX500">
            <v>3</v>
          </cell>
          <cell r="AY500">
            <v>3</v>
          </cell>
          <cell r="AZ500">
            <v>2</v>
          </cell>
          <cell r="BA500">
            <v>2</v>
          </cell>
          <cell r="BB500">
            <v>2</v>
          </cell>
          <cell r="BC500">
            <v>2</v>
          </cell>
          <cell r="BD500">
            <v>2</v>
          </cell>
          <cell r="BE500">
            <v>2</v>
          </cell>
          <cell r="BF500">
            <v>2</v>
          </cell>
          <cell r="BG500">
            <v>2</v>
          </cell>
          <cell r="BH500">
            <v>0</v>
          </cell>
          <cell r="BI500">
            <v>1</v>
          </cell>
          <cell r="BJ500">
            <v>0</v>
          </cell>
          <cell r="BK500">
            <v>0</v>
          </cell>
          <cell r="BL500">
            <v>0</v>
          </cell>
          <cell r="BM500">
            <v>0</v>
          </cell>
          <cell r="BN500">
            <v>1</v>
          </cell>
          <cell r="BO500">
            <v>0</v>
          </cell>
          <cell r="BP500">
            <v>0</v>
          </cell>
          <cell r="BQ500">
            <v>2</v>
          </cell>
          <cell r="BR500">
            <v>0</v>
          </cell>
          <cell r="BS500">
            <v>0</v>
          </cell>
          <cell r="BT500">
            <v>3</v>
          </cell>
          <cell r="BU500">
            <v>0</v>
          </cell>
        </row>
        <row r="501">
          <cell r="A501">
            <v>33</v>
          </cell>
          <cell r="B501">
            <v>33</v>
          </cell>
          <cell r="D501">
            <v>0</v>
          </cell>
          <cell r="F501">
            <v>0</v>
          </cell>
          <cell r="G501">
            <v>1</v>
          </cell>
          <cell r="I501">
            <v>0</v>
          </cell>
          <cell r="J501">
            <v>1</v>
          </cell>
          <cell r="K501">
            <v>8</v>
          </cell>
          <cell r="L501">
            <v>8</v>
          </cell>
          <cell r="M501">
            <v>4</v>
          </cell>
          <cell r="O501">
            <v>0</v>
          </cell>
          <cell r="P501">
            <v>0</v>
          </cell>
          <cell r="Q501">
            <v>0</v>
          </cell>
          <cell r="R501">
            <v>1</v>
          </cell>
          <cell r="S501">
            <v>0</v>
          </cell>
          <cell r="T501">
            <v>3</v>
          </cell>
          <cell r="V501">
            <v>0</v>
          </cell>
          <cell r="W501">
            <v>39</v>
          </cell>
          <cell r="X501">
            <v>3</v>
          </cell>
          <cell r="Y501">
            <v>2</v>
          </cell>
          <cell r="AA501">
            <v>0</v>
          </cell>
          <cell r="AB501">
            <v>1</v>
          </cell>
          <cell r="AC501">
            <v>0</v>
          </cell>
          <cell r="AD501">
            <v>0</v>
          </cell>
          <cell r="AE501">
            <v>0</v>
          </cell>
          <cell r="AF501">
            <v>0</v>
          </cell>
          <cell r="AG501">
            <v>0</v>
          </cell>
          <cell r="AH501">
            <v>0</v>
          </cell>
          <cell r="AI501">
            <v>3</v>
          </cell>
          <cell r="AK501">
            <v>0</v>
          </cell>
          <cell r="AL501">
            <v>0</v>
          </cell>
          <cell r="AN501">
            <v>7104</v>
          </cell>
          <cell r="AO501">
            <v>0</v>
          </cell>
          <cell r="AQ501">
            <v>0</v>
          </cell>
          <cell r="AR501">
            <v>12</v>
          </cell>
          <cell r="AS501">
            <v>3</v>
          </cell>
          <cell r="AT501">
            <v>4</v>
          </cell>
          <cell r="AU501">
            <v>0</v>
          </cell>
          <cell r="AV501">
            <v>6</v>
          </cell>
          <cell r="AW501">
            <v>6</v>
          </cell>
          <cell r="AX501">
            <v>3</v>
          </cell>
          <cell r="AY501">
            <v>3</v>
          </cell>
          <cell r="AZ501">
            <v>5</v>
          </cell>
          <cell r="BA501">
            <v>5</v>
          </cell>
          <cell r="BB501">
            <v>0</v>
          </cell>
          <cell r="BC501">
            <v>1</v>
          </cell>
          <cell r="BD501">
            <v>1</v>
          </cell>
          <cell r="BE501">
            <v>2</v>
          </cell>
          <cell r="BF501">
            <v>2</v>
          </cell>
          <cell r="BG501">
            <v>4</v>
          </cell>
          <cell r="BH501">
            <v>1</v>
          </cell>
          <cell r="BI501">
            <v>0</v>
          </cell>
          <cell r="BJ501">
            <v>0</v>
          </cell>
          <cell r="BK501">
            <v>0</v>
          </cell>
          <cell r="BL501">
            <v>1</v>
          </cell>
          <cell r="BM501">
            <v>0</v>
          </cell>
          <cell r="BN501">
            <v>0</v>
          </cell>
          <cell r="BO501">
            <v>0</v>
          </cell>
          <cell r="BP501">
            <v>0</v>
          </cell>
          <cell r="BQ501">
            <v>0</v>
          </cell>
          <cell r="BR501">
            <v>2</v>
          </cell>
          <cell r="BS501">
            <v>0</v>
          </cell>
          <cell r="BT501">
            <v>0</v>
          </cell>
          <cell r="BU501">
            <v>6</v>
          </cell>
        </row>
        <row r="502">
          <cell r="A502">
            <v>32</v>
          </cell>
          <cell r="B502">
            <v>32</v>
          </cell>
          <cell r="D502">
            <v>0</v>
          </cell>
          <cell r="F502">
            <v>0</v>
          </cell>
          <cell r="G502">
            <v>1</v>
          </cell>
          <cell r="I502">
            <v>1</v>
          </cell>
          <cell r="J502">
            <v>0</v>
          </cell>
          <cell r="K502">
            <v>9</v>
          </cell>
          <cell r="L502">
            <v>9</v>
          </cell>
          <cell r="M502">
            <v>4</v>
          </cell>
          <cell r="O502">
            <v>1</v>
          </cell>
          <cell r="P502">
            <v>0</v>
          </cell>
          <cell r="Q502">
            <v>0</v>
          </cell>
          <cell r="R502">
            <v>0</v>
          </cell>
          <cell r="S502">
            <v>0</v>
          </cell>
          <cell r="T502">
            <v>1</v>
          </cell>
          <cell r="V502">
            <v>1</v>
          </cell>
          <cell r="W502">
            <v>92</v>
          </cell>
          <cell r="X502">
            <v>3</v>
          </cell>
          <cell r="Y502">
            <v>2</v>
          </cell>
          <cell r="AA502">
            <v>0</v>
          </cell>
          <cell r="AB502">
            <v>0</v>
          </cell>
          <cell r="AC502">
            <v>0</v>
          </cell>
          <cell r="AD502">
            <v>0</v>
          </cell>
          <cell r="AE502">
            <v>0</v>
          </cell>
          <cell r="AF502">
            <v>0</v>
          </cell>
          <cell r="AG502">
            <v>0</v>
          </cell>
          <cell r="AH502">
            <v>1</v>
          </cell>
          <cell r="AI502">
            <v>4</v>
          </cell>
          <cell r="AK502">
            <v>0</v>
          </cell>
          <cell r="AL502">
            <v>1</v>
          </cell>
          <cell r="AN502">
            <v>6322</v>
          </cell>
          <cell r="AO502">
            <v>1</v>
          </cell>
          <cell r="AQ502">
            <v>1</v>
          </cell>
          <cell r="AR502">
            <v>12</v>
          </cell>
          <cell r="AS502">
            <v>3</v>
          </cell>
          <cell r="AT502">
            <v>4</v>
          </cell>
          <cell r="AU502">
            <v>1</v>
          </cell>
          <cell r="AV502">
            <v>6</v>
          </cell>
          <cell r="AW502">
            <v>6</v>
          </cell>
          <cell r="AX502">
            <v>2</v>
          </cell>
          <cell r="AY502">
            <v>2</v>
          </cell>
          <cell r="AZ502">
            <v>6</v>
          </cell>
          <cell r="BA502">
            <v>6</v>
          </cell>
          <cell r="BB502">
            <v>4</v>
          </cell>
          <cell r="BC502">
            <v>0</v>
          </cell>
          <cell r="BD502">
            <v>0</v>
          </cell>
          <cell r="BE502">
            <v>5</v>
          </cell>
          <cell r="BF502">
            <v>5</v>
          </cell>
          <cell r="BG502">
            <v>10</v>
          </cell>
          <cell r="BH502">
            <v>0</v>
          </cell>
          <cell r="BI502">
            <v>1</v>
          </cell>
          <cell r="BJ502">
            <v>0</v>
          </cell>
          <cell r="BK502">
            <v>0</v>
          </cell>
          <cell r="BL502">
            <v>0</v>
          </cell>
          <cell r="BM502">
            <v>0</v>
          </cell>
          <cell r="BN502">
            <v>0</v>
          </cell>
          <cell r="BO502">
            <v>1</v>
          </cell>
          <cell r="BP502">
            <v>0</v>
          </cell>
          <cell r="BQ502">
            <v>5</v>
          </cell>
          <cell r="BR502">
            <v>0</v>
          </cell>
          <cell r="BS502">
            <v>0</v>
          </cell>
          <cell r="BT502">
            <v>6</v>
          </cell>
          <cell r="BU502">
            <v>0</v>
          </cell>
        </row>
        <row r="503">
          <cell r="A503">
            <v>30</v>
          </cell>
          <cell r="B503">
            <v>30</v>
          </cell>
          <cell r="D503">
            <v>0</v>
          </cell>
          <cell r="F503">
            <v>1</v>
          </cell>
          <cell r="G503">
            <v>0</v>
          </cell>
          <cell r="I503">
            <v>1</v>
          </cell>
          <cell r="J503">
            <v>0</v>
          </cell>
          <cell r="K503">
            <v>3</v>
          </cell>
          <cell r="L503">
            <v>3</v>
          </cell>
          <cell r="M503">
            <v>3</v>
          </cell>
          <cell r="O503">
            <v>0</v>
          </cell>
          <cell r="P503">
            <v>0</v>
          </cell>
          <cell r="Q503">
            <v>1</v>
          </cell>
          <cell r="R503">
            <v>0</v>
          </cell>
          <cell r="S503">
            <v>0</v>
          </cell>
          <cell r="T503">
            <v>3</v>
          </cell>
          <cell r="V503">
            <v>1</v>
          </cell>
          <cell r="W503">
            <v>71</v>
          </cell>
          <cell r="X503">
            <v>3</v>
          </cell>
          <cell r="Y503">
            <v>1</v>
          </cell>
          <cell r="AA503">
            <v>0</v>
          </cell>
          <cell r="AB503">
            <v>0</v>
          </cell>
          <cell r="AC503">
            <v>0</v>
          </cell>
          <cell r="AD503">
            <v>0</v>
          </cell>
          <cell r="AE503">
            <v>0</v>
          </cell>
          <cell r="AF503">
            <v>0</v>
          </cell>
          <cell r="AG503">
            <v>0</v>
          </cell>
          <cell r="AH503">
            <v>1</v>
          </cell>
          <cell r="AI503">
            <v>3</v>
          </cell>
          <cell r="AK503">
            <v>0</v>
          </cell>
          <cell r="AL503">
            <v>0</v>
          </cell>
          <cell r="AN503">
            <v>2083</v>
          </cell>
          <cell r="AO503">
            <v>1</v>
          </cell>
          <cell r="AQ503">
            <v>0</v>
          </cell>
          <cell r="AR503">
            <v>20</v>
          </cell>
          <cell r="AS503">
            <v>4</v>
          </cell>
          <cell r="AT503">
            <v>3</v>
          </cell>
          <cell r="AU503">
            <v>1</v>
          </cell>
          <cell r="AV503">
            <v>1</v>
          </cell>
          <cell r="AW503">
            <v>1</v>
          </cell>
          <cell r="AX503">
            <v>2</v>
          </cell>
          <cell r="AY503">
            <v>3</v>
          </cell>
          <cell r="AZ503">
            <v>1</v>
          </cell>
          <cell r="BA503">
            <v>1</v>
          </cell>
          <cell r="BB503">
            <v>0</v>
          </cell>
          <cell r="BC503">
            <v>0</v>
          </cell>
          <cell r="BD503">
            <v>0</v>
          </cell>
          <cell r="BE503">
            <v>0</v>
          </cell>
          <cell r="BF503">
            <v>0</v>
          </cell>
          <cell r="BG503">
            <v>0</v>
          </cell>
          <cell r="BH503">
            <v>0</v>
          </cell>
          <cell r="BI503">
            <v>0</v>
          </cell>
          <cell r="BJ503">
            <v>1</v>
          </cell>
          <cell r="BK503">
            <v>0</v>
          </cell>
          <cell r="BL503">
            <v>1</v>
          </cell>
          <cell r="BM503">
            <v>0</v>
          </cell>
          <cell r="BN503">
            <v>0</v>
          </cell>
          <cell r="BO503">
            <v>0</v>
          </cell>
          <cell r="BP503">
            <v>0</v>
          </cell>
          <cell r="BQ503">
            <v>0</v>
          </cell>
          <cell r="BR503">
            <v>0</v>
          </cell>
          <cell r="BS503">
            <v>0</v>
          </cell>
          <cell r="BT503">
            <v>1</v>
          </cell>
          <cell r="BU503">
            <v>0</v>
          </cell>
        </row>
        <row r="504">
          <cell r="A504">
            <v>53</v>
          </cell>
          <cell r="B504">
            <v>53</v>
          </cell>
          <cell r="D504">
            <v>0</v>
          </cell>
          <cell r="F504">
            <v>0</v>
          </cell>
          <cell r="G504">
            <v>1</v>
          </cell>
          <cell r="I504">
            <v>0</v>
          </cell>
          <cell r="J504">
            <v>1</v>
          </cell>
          <cell r="K504">
            <v>1</v>
          </cell>
          <cell r="L504">
            <v>1</v>
          </cell>
          <cell r="M504">
            <v>1</v>
          </cell>
          <cell r="O504">
            <v>0</v>
          </cell>
          <cell r="P504">
            <v>0</v>
          </cell>
          <cell r="Q504">
            <v>1</v>
          </cell>
          <cell r="R504">
            <v>0</v>
          </cell>
          <cell r="S504">
            <v>0</v>
          </cell>
          <cell r="T504">
            <v>4</v>
          </cell>
          <cell r="V504">
            <v>1</v>
          </cell>
          <cell r="W504">
            <v>34</v>
          </cell>
          <cell r="X504">
            <v>3</v>
          </cell>
          <cell r="Y504">
            <v>2</v>
          </cell>
          <cell r="AA504">
            <v>0</v>
          </cell>
          <cell r="AB504">
            <v>1</v>
          </cell>
          <cell r="AC504">
            <v>0</v>
          </cell>
          <cell r="AD504">
            <v>0</v>
          </cell>
          <cell r="AE504">
            <v>0</v>
          </cell>
          <cell r="AF504">
            <v>0</v>
          </cell>
          <cell r="AG504">
            <v>0</v>
          </cell>
          <cell r="AH504">
            <v>0</v>
          </cell>
          <cell r="AI504">
            <v>1</v>
          </cell>
          <cell r="AK504">
            <v>1</v>
          </cell>
          <cell r="AL504">
            <v>0</v>
          </cell>
          <cell r="AN504">
            <v>8381</v>
          </cell>
          <cell r="AO504">
            <v>7</v>
          </cell>
          <cell r="AQ504">
            <v>0</v>
          </cell>
          <cell r="AR504">
            <v>20</v>
          </cell>
          <cell r="AS504">
            <v>4</v>
          </cell>
          <cell r="AT504">
            <v>4</v>
          </cell>
          <cell r="AU504">
            <v>0</v>
          </cell>
          <cell r="AV504">
            <v>18</v>
          </cell>
          <cell r="AW504">
            <v>18</v>
          </cell>
          <cell r="AX504">
            <v>2</v>
          </cell>
          <cell r="AY504">
            <v>4</v>
          </cell>
          <cell r="AZ504">
            <v>14</v>
          </cell>
          <cell r="BA504">
            <v>14</v>
          </cell>
          <cell r="BB504">
            <v>7</v>
          </cell>
          <cell r="BC504">
            <v>8</v>
          </cell>
          <cell r="BD504">
            <v>8</v>
          </cell>
          <cell r="BE504">
            <v>10</v>
          </cell>
          <cell r="BF504">
            <v>10</v>
          </cell>
          <cell r="BG504">
            <v>20</v>
          </cell>
          <cell r="BH504">
            <v>1</v>
          </cell>
          <cell r="BI504">
            <v>0</v>
          </cell>
          <cell r="BJ504">
            <v>0</v>
          </cell>
          <cell r="BK504">
            <v>0</v>
          </cell>
          <cell r="BL504">
            <v>1</v>
          </cell>
          <cell r="BM504">
            <v>0</v>
          </cell>
          <cell r="BN504">
            <v>0</v>
          </cell>
          <cell r="BO504">
            <v>0</v>
          </cell>
          <cell r="BP504">
            <v>0</v>
          </cell>
          <cell r="BQ504">
            <v>0</v>
          </cell>
          <cell r="BR504">
            <v>10</v>
          </cell>
          <cell r="BS504">
            <v>0</v>
          </cell>
          <cell r="BT504">
            <v>0</v>
          </cell>
          <cell r="BU504">
            <v>18</v>
          </cell>
        </row>
        <row r="505">
          <cell r="A505">
            <v>34</v>
          </cell>
          <cell r="B505">
            <v>34</v>
          </cell>
          <cell r="D505">
            <v>0</v>
          </cell>
          <cell r="F505">
            <v>0</v>
          </cell>
          <cell r="G505">
            <v>1</v>
          </cell>
          <cell r="I505">
            <v>1</v>
          </cell>
          <cell r="J505">
            <v>0</v>
          </cell>
          <cell r="K505">
            <v>1</v>
          </cell>
          <cell r="L505">
            <v>1</v>
          </cell>
          <cell r="M505">
            <v>5</v>
          </cell>
          <cell r="O505">
            <v>1</v>
          </cell>
          <cell r="P505">
            <v>0</v>
          </cell>
          <cell r="Q505">
            <v>0</v>
          </cell>
          <cell r="R505">
            <v>0</v>
          </cell>
          <cell r="S505">
            <v>0</v>
          </cell>
          <cell r="T505">
            <v>2</v>
          </cell>
          <cell r="V505">
            <v>0</v>
          </cell>
          <cell r="W505">
            <v>42</v>
          </cell>
          <cell r="X505">
            <v>3</v>
          </cell>
          <cell r="Y505">
            <v>1</v>
          </cell>
          <cell r="AA505">
            <v>0</v>
          </cell>
          <cell r="AB505">
            <v>0</v>
          </cell>
          <cell r="AC505">
            <v>0</v>
          </cell>
          <cell r="AD505">
            <v>0</v>
          </cell>
          <cell r="AE505">
            <v>0</v>
          </cell>
          <cell r="AF505">
            <v>0</v>
          </cell>
          <cell r="AG505">
            <v>0</v>
          </cell>
          <cell r="AH505">
            <v>1</v>
          </cell>
          <cell r="AI505">
            <v>4</v>
          </cell>
          <cell r="AK505">
            <v>0</v>
          </cell>
          <cell r="AL505">
            <v>1</v>
          </cell>
          <cell r="AN505">
            <v>2691</v>
          </cell>
          <cell r="AO505">
            <v>1</v>
          </cell>
          <cell r="AQ505">
            <v>0</v>
          </cell>
          <cell r="AR505">
            <v>12</v>
          </cell>
          <cell r="AS505">
            <v>3</v>
          </cell>
          <cell r="AT505">
            <v>4</v>
          </cell>
          <cell r="AU505">
            <v>1</v>
          </cell>
          <cell r="AV505">
            <v>10</v>
          </cell>
          <cell r="AW505">
            <v>10</v>
          </cell>
          <cell r="AX505">
            <v>4</v>
          </cell>
          <cell r="AY505">
            <v>2</v>
          </cell>
          <cell r="AZ505">
            <v>10</v>
          </cell>
          <cell r="BA505">
            <v>10</v>
          </cell>
          <cell r="BB505">
            <v>9</v>
          </cell>
          <cell r="BC505">
            <v>8</v>
          </cell>
          <cell r="BD505">
            <v>8</v>
          </cell>
          <cell r="BE505">
            <v>8</v>
          </cell>
          <cell r="BF505">
            <v>8</v>
          </cell>
          <cell r="BG505">
            <v>8</v>
          </cell>
          <cell r="BH505">
            <v>0</v>
          </cell>
          <cell r="BI505">
            <v>1</v>
          </cell>
          <cell r="BJ505">
            <v>0</v>
          </cell>
          <cell r="BK505">
            <v>0</v>
          </cell>
          <cell r="BL505">
            <v>0</v>
          </cell>
          <cell r="BM505">
            <v>0</v>
          </cell>
          <cell r="BN505">
            <v>1</v>
          </cell>
          <cell r="BO505">
            <v>0</v>
          </cell>
          <cell r="BP505">
            <v>0</v>
          </cell>
          <cell r="BQ505">
            <v>8</v>
          </cell>
          <cell r="BR505">
            <v>0</v>
          </cell>
          <cell r="BS505">
            <v>0</v>
          </cell>
          <cell r="BT505">
            <v>10</v>
          </cell>
          <cell r="BU505">
            <v>0</v>
          </cell>
        </row>
        <row r="506">
          <cell r="A506">
            <v>45</v>
          </cell>
          <cell r="B506">
            <v>45</v>
          </cell>
          <cell r="D506">
            <v>1</v>
          </cell>
          <cell r="F506">
            <v>1</v>
          </cell>
          <cell r="G506">
            <v>0</v>
          </cell>
          <cell r="I506">
            <v>0</v>
          </cell>
          <cell r="J506">
            <v>1</v>
          </cell>
          <cell r="K506">
            <v>26</v>
          </cell>
          <cell r="L506">
            <v>26</v>
          </cell>
          <cell r="M506">
            <v>4</v>
          </cell>
          <cell r="O506">
            <v>1</v>
          </cell>
          <cell r="P506">
            <v>0</v>
          </cell>
          <cell r="Q506">
            <v>0</v>
          </cell>
          <cell r="R506">
            <v>0</v>
          </cell>
          <cell r="S506">
            <v>0</v>
          </cell>
          <cell r="T506">
            <v>1</v>
          </cell>
          <cell r="V506">
            <v>1</v>
          </cell>
          <cell r="W506">
            <v>100</v>
          </cell>
          <cell r="X506">
            <v>3</v>
          </cell>
          <cell r="Y506">
            <v>2</v>
          </cell>
          <cell r="AA506">
            <v>0</v>
          </cell>
          <cell r="AB506">
            <v>1</v>
          </cell>
          <cell r="AC506">
            <v>0</v>
          </cell>
          <cell r="AD506">
            <v>0</v>
          </cell>
          <cell r="AE506">
            <v>0</v>
          </cell>
          <cell r="AF506">
            <v>0</v>
          </cell>
          <cell r="AG506">
            <v>0</v>
          </cell>
          <cell r="AH506">
            <v>0</v>
          </cell>
          <cell r="AI506">
            <v>1</v>
          </cell>
          <cell r="AK506">
            <v>0</v>
          </cell>
          <cell r="AL506">
            <v>1</v>
          </cell>
          <cell r="AN506">
            <v>4286</v>
          </cell>
          <cell r="AO506">
            <v>2</v>
          </cell>
          <cell r="AQ506">
            <v>0</v>
          </cell>
          <cell r="AR506">
            <v>14</v>
          </cell>
          <cell r="AS506">
            <v>3</v>
          </cell>
          <cell r="AT506">
            <v>4</v>
          </cell>
          <cell r="AU506">
            <v>2</v>
          </cell>
          <cell r="AV506">
            <v>5</v>
          </cell>
          <cell r="AW506">
            <v>5</v>
          </cell>
          <cell r="AX506">
            <v>4</v>
          </cell>
          <cell r="AY506">
            <v>3</v>
          </cell>
          <cell r="AZ506">
            <v>1</v>
          </cell>
          <cell r="BA506">
            <v>1</v>
          </cell>
          <cell r="BB506">
            <v>1</v>
          </cell>
          <cell r="BC506">
            <v>0</v>
          </cell>
          <cell r="BD506">
            <v>0</v>
          </cell>
          <cell r="BE506">
            <v>0</v>
          </cell>
          <cell r="BF506">
            <v>0</v>
          </cell>
          <cell r="BG506">
            <v>0</v>
          </cell>
          <cell r="BH506">
            <v>0</v>
          </cell>
          <cell r="BI506">
            <v>0</v>
          </cell>
          <cell r="BJ506">
            <v>0</v>
          </cell>
          <cell r="BK506">
            <v>1</v>
          </cell>
          <cell r="BL506">
            <v>0</v>
          </cell>
          <cell r="BM506">
            <v>0</v>
          </cell>
          <cell r="BN506">
            <v>1</v>
          </cell>
          <cell r="BO506">
            <v>0</v>
          </cell>
          <cell r="BP506">
            <v>0</v>
          </cell>
          <cell r="BQ506">
            <v>0</v>
          </cell>
          <cell r="BR506">
            <v>0</v>
          </cell>
          <cell r="BS506">
            <v>0</v>
          </cell>
          <cell r="BT506">
            <v>0</v>
          </cell>
          <cell r="BU506">
            <v>5</v>
          </cell>
        </row>
        <row r="507">
          <cell r="A507">
            <v>26</v>
          </cell>
          <cell r="B507">
            <v>26</v>
          </cell>
          <cell r="D507">
            <v>0</v>
          </cell>
          <cell r="F507">
            <v>0</v>
          </cell>
          <cell r="G507">
            <v>1</v>
          </cell>
          <cell r="I507">
            <v>1</v>
          </cell>
          <cell r="J507">
            <v>0</v>
          </cell>
          <cell r="K507">
            <v>6</v>
          </cell>
          <cell r="L507">
            <v>6</v>
          </cell>
          <cell r="M507">
            <v>3</v>
          </cell>
          <cell r="O507">
            <v>1</v>
          </cell>
          <cell r="P507">
            <v>0</v>
          </cell>
          <cell r="Q507">
            <v>0</v>
          </cell>
          <cell r="R507">
            <v>0</v>
          </cell>
          <cell r="S507">
            <v>0</v>
          </cell>
          <cell r="T507">
            <v>3</v>
          </cell>
          <cell r="V507">
            <v>1</v>
          </cell>
          <cell r="W507">
            <v>71</v>
          </cell>
          <cell r="X507">
            <v>3</v>
          </cell>
          <cell r="Y507">
            <v>1</v>
          </cell>
          <cell r="AA507">
            <v>0</v>
          </cell>
          <cell r="AB507">
            <v>0</v>
          </cell>
          <cell r="AC507">
            <v>1</v>
          </cell>
          <cell r="AD507">
            <v>0</v>
          </cell>
          <cell r="AE507">
            <v>0</v>
          </cell>
          <cell r="AF507">
            <v>0</v>
          </cell>
          <cell r="AG507">
            <v>0</v>
          </cell>
          <cell r="AH507">
            <v>0</v>
          </cell>
          <cell r="AI507">
            <v>4</v>
          </cell>
          <cell r="AK507">
            <v>0</v>
          </cell>
          <cell r="AL507">
            <v>1</v>
          </cell>
          <cell r="AN507">
            <v>2659</v>
          </cell>
          <cell r="AO507">
            <v>1</v>
          </cell>
          <cell r="AQ507">
            <v>1</v>
          </cell>
          <cell r="AR507">
            <v>13</v>
          </cell>
          <cell r="AS507">
            <v>3</v>
          </cell>
          <cell r="AT507">
            <v>3</v>
          </cell>
          <cell r="AU507">
            <v>1</v>
          </cell>
          <cell r="AV507">
            <v>3</v>
          </cell>
          <cell r="AW507">
            <v>3</v>
          </cell>
          <cell r="AX507">
            <v>2</v>
          </cell>
          <cell r="AY507">
            <v>3</v>
          </cell>
          <cell r="AZ507">
            <v>3</v>
          </cell>
          <cell r="BA507">
            <v>3</v>
          </cell>
          <cell r="BB507">
            <v>2</v>
          </cell>
          <cell r="BC507">
            <v>0</v>
          </cell>
          <cell r="BD507">
            <v>0</v>
          </cell>
          <cell r="BE507">
            <v>2</v>
          </cell>
          <cell r="BF507">
            <v>2</v>
          </cell>
          <cell r="BG507">
            <v>2</v>
          </cell>
          <cell r="BH507">
            <v>0</v>
          </cell>
          <cell r="BI507">
            <v>1</v>
          </cell>
          <cell r="BJ507">
            <v>0</v>
          </cell>
          <cell r="BK507">
            <v>0</v>
          </cell>
          <cell r="BL507">
            <v>0</v>
          </cell>
          <cell r="BM507">
            <v>0</v>
          </cell>
          <cell r="BN507">
            <v>0</v>
          </cell>
          <cell r="BO507">
            <v>1</v>
          </cell>
          <cell r="BP507">
            <v>0</v>
          </cell>
          <cell r="BQ507">
            <v>2</v>
          </cell>
          <cell r="BR507">
            <v>0</v>
          </cell>
          <cell r="BS507">
            <v>0</v>
          </cell>
          <cell r="BT507">
            <v>3</v>
          </cell>
          <cell r="BU507">
            <v>0</v>
          </cell>
        </row>
        <row r="508">
          <cell r="A508">
            <v>37</v>
          </cell>
          <cell r="B508">
            <v>37</v>
          </cell>
          <cell r="D508">
            <v>0</v>
          </cell>
          <cell r="F508">
            <v>0</v>
          </cell>
          <cell r="G508">
            <v>1</v>
          </cell>
          <cell r="I508">
            <v>1</v>
          </cell>
          <cell r="J508">
            <v>0</v>
          </cell>
          <cell r="K508">
            <v>3</v>
          </cell>
          <cell r="L508">
            <v>3</v>
          </cell>
          <cell r="M508">
            <v>3</v>
          </cell>
          <cell r="O508">
            <v>0</v>
          </cell>
          <cell r="P508">
            <v>1</v>
          </cell>
          <cell r="Q508">
            <v>0</v>
          </cell>
          <cell r="R508">
            <v>0</v>
          </cell>
          <cell r="S508">
            <v>0</v>
          </cell>
          <cell r="T508">
            <v>3</v>
          </cell>
          <cell r="V508">
            <v>0</v>
          </cell>
          <cell r="W508">
            <v>36</v>
          </cell>
          <cell r="X508">
            <v>3</v>
          </cell>
          <cell r="Y508">
            <v>3</v>
          </cell>
          <cell r="AA508">
            <v>0</v>
          </cell>
          <cell r="AB508">
            <v>0</v>
          </cell>
          <cell r="AC508">
            <v>0</v>
          </cell>
          <cell r="AD508">
            <v>0</v>
          </cell>
          <cell r="AE508">
            <v>1</v>
          </cell>
          <cell r="AF508">
            <v>1</v>
          </cell>
          <cell r="AG508">
            <v>0</v>
          </cell>
          <cell r="AH508">
            <v>0</v>
          </cell>
          <cell r="AI508">
            <v>3</v>
          </cell>
          <cell r="AK508">
            <v>0</v>
          </cell>
          <cell r="AL508">
            <v>1</v>
          </cell>
          <cell r="AN508">
            <v>9434</v>
          </cell>
          <cell r="AO508">
            <v>1</v>
          </cell>
          <cell r="AQ508">
            <v>0</v>
          </cell>
          <cell r="AR508">
            <v>15</v>
          </cell>
          <cell r="AS508">
            <v>3</v>
          </cell>
          <cell r="AT508">
            <v>3</v>
          </cell>
          <cell r="AU508">
            <v>1</v>
          </cell>
          <cell r="AV508">
            <v>10</v>
          </cell>
          <cell r="AW508">
            <v>10</v>
          </cell>
          <cell r="AX508">
            <v>2</v>
          </cell>
          <cell r="AY508">
            <v>3</v>
          </cell>
          <cell r="AZ508">
            <v>10</v>
          </cell>
          <cell r="BA508">
            <v>10</v>
          </cell>
          <cell r="BB508">
            <v>7</v>
          </cell>
          <cell r="BC508">
            <v>7</v>
          </cell>
          <cell r="BD508">
            <v>7</v>
          </cell>
          <cell r="BE508">
            <v>8</v>
          </cell>
          <cell r="BF508">
            <v>8</v>
          </cell>
          <cell r="BG508">
            <v>24</v>
          </cell>
          <cell r="BH508">
            <v>0</v>
          </cell>
          <cell r="BI508">
            <v>1</v>
          </cell>
          <cell r="BJ508">
            <v>0</v>
          </cell>
          <cell r="BK508">
            <v>0</v>
          </cell>
          <cell r="BL508">
            <v>0</v>
          </cell>
          <cell r="BM508">
            <v>0</v>
          </cell>
          <cell r="BN508">
            <v>1</v>
          </cell>
          <cell r="BO508">
            <v>0</v>
          </cell>
          <cell r="BP508">
            <v>0</v>
          </cell>
          <cell r="BQ508">
            <v>8</v>
          </cell>
          <cell r="BR508">
            <v>0</v>
          </cell>
          <cell r="BS508">
            <v>0</v>
          </cell>
          <cell r="BT508">
            <v>10</v>
          </cell>
          <cell r="BU508">
            <v>0</v>
          </cell>
        </row>
        <row r="509">
          <cell r="A509">
            <v>29</v>
          </cell>
          <cell r="B509">
            <v>29</v>
          </cell>
          <cell r="D509">
            <v>0</v>
          </cell>
          <cell r="F509">
            <v>0</v>
          </cell>
          <cell r="G509">
            <v>1</v>
          </cell>
          <cell r="I509">
            <v>0</v>
          </cell>
          <cell r="J509">
            <v>1</v>
          </cell>
          <cell r="K509">
            <v>3</v>
          </cell>
          <cell r="L509">
            <v>3</v>
          </cell>
          <cell r="M509">
            <v>2</v>
          </cell>
          <cell r="O509">
            <v>0</v>
          </cell>
          <cell r="P509">
            <v>0</v>
          </cell>
          <cell r="Q509">
            <v>1</v>
          </cell>
          <cell r="R509">
            <v>0</v>
          </cell>
          <cell r="S509">
            <v>0</v>
          </cell>
          <cell r="T509">
            <v>2</v>
          </cell>
          <cell r="V509">
            <v>1</v>
          </cell>
          <cell r="W509">
            <v>62</v>
          </cell>
          <cell r="X509">
            <v>3</v>
          </cell>
          <cell r="Y509">
            <v>2</v>
          </cell>
          <cell r="AA509">
            <v>0</v>
          </cell>
          <cell r="AB509">
            <v>1</v>
          </cell>
          <cell r="AC509">
            <v>0</v>
          </cell>
          <cell r="AD509">
            <v>0</v>
          </cell>
          <cell r="AE509">
            <v>0</v>
          </cell>
          <cell r="AF509">
            <v>0</v>
          </cell>
          <cell r="AG509">
            <v>0</v>
          </cell>
          <cell r="AH509">
            <v>0</v>
          </cell>
          <cell r="AI509">
            <v>3</v>
          </cell>
          <cell r="AK509">
            <v>0</v>
          </cell>
          <cell r="AL509">
            <v>1</v>
          </cell>
          <cell r="AN509">
            <v>5561</v>
          </cell>
          <cell r="AO509">
            <v>1</v>
          </cell>
          <cell r="AQ509">
            <v>0</v>
          </cell>
          <cell r="AR509">
            <v>14</v>
          </cell>
          <cell r="AS509">
            <v>3</v>
          </cell>
          <cell r="AT509">
            <v>1</v>
          </cell>
          <cell r="AU509">
            <v>1</v>
          </cell>
          <cell r="AV509">
            <v>6</v>
          </cell>
          <cell r="AW509">
            <v>6</v>
          </cell>
          <cell r="AX509">
            <v>5</v>
          </cell>
          <cell r="AY509">
            <v>2</v>
          </cell>
          <cell r="AZ509">
            <v>6</v>
          </cell>
          <cell r="BA509">
            <v>6</v>
          </cell>
          <cell r="BB509">
            <v>0</v>
          </cell>
          <cell r="BC509">
            <v>1</v>
          </cell>
          <cell r="BD509">
            <v>1</v>
          </cell>
          <cell r="BE509">
            <v>2</v>
          </cell>
          <cell r="BF509">
            <v>2</v>
          </cell>
          <cell r="BG509">
            <v>4</v>
          </cell>
          <cell r="BH509">
            <v>0</v>
          </cell>
          <cell r="BI509">
            <v>1</v>
          </cell>
          <cell r="BJ509">
            <v>0</v>
          </cell>
          <cell r="BK509">
            <v>0</v>
          </cell>
          <cell r="BL509">
            <v>0</v>
          </cell>
          <cell r="BM509">
            <v>0</v>
          </cell>
          <cell r="BN509">
            <v>1</v>
          </cell>
          <cell r="BO509">
            <v>0</v>
          </cell>
          <cell r="BP509">
            <v>0</v>
          </cell>
          <cell r="BQ509">
            <v>0</v>
          </cell>
          <cell r="BR509">
            <v>2</v>
          </cell>
          <cell r="BS509">
            <v>0</v>
          </cell>
          <cell r="BT509">
            <v>0</v>
          </cell>
          <cell r="BU509">
            <v>6</v>
          </cell>
        </row>
        <row r="510">
          <cell r="A510">
            <v>35</v>
          </cell>
          <cell r="B510">
            <v>35</v>
          </cell>
          <cell r="D510">
            <v>0</v>
          </cell>
          <cell r="F510">
            <v>0</v>
          </cell>
          <cell r="G510">
            <v>1</v>
          </cell>
          <cell r="I510">
            <v>1</v>
          </cell>
          <cell r="J510">
            <v>0</v>
          </cell>
          <cell r="K510">
            <v>6</v>
          </cell>
          <cell r="L510">
            <v>6</v>
          </cell>
          <cell r="M510">
            <v>4</v>
          </cell>
          <cell r="O510">
            <v>1</v>
          </cell>
          <cell r="P510">
            <v>0</v>
          </cell>
          <cell r="Q510">
            <v>0</v>
          </cell>
          <cell r="R510">
            <v>0</v>
          </cell>
          <cell r="S510">
            <v>0</v>
          </cell>
          <cell r="T510">
            <v>2</v>
          </cell>
          <cell r="V510">
            <v>0</v>
          </cell>
          <cell r="W510">
            <v>82</v>
          </cell>
          <cell r="X510">
            <v>1</v>
          </cell>
          <cell r="Y510">
            <v>2</v>
          </cell>
          <cell r="AA510">
            <v>0</v>
          </cell>
          <cell r="AB510">
            <v>0</v>
          </cell>
          <cell r="AC510">
            <v>0</v>
          </cell>
          <cell r="AD510">
            <v>0</v>
          </cell>
          <cell r="AE510">
            <v>0</v>
          </cell>
          <cell r="AF510">
            <v>0</v>
          </cell>
          <cell r="AG510">
            <v>0</v>
          </cell>
          <cell r="AH510">
            <v>1</v>
          </cell>
          <cell r="AI510">
            <v>4</v>
          </cell>
          <cell r="AK510">
            <v>1</v>
          </cell>
          <cell r="AL510">
            <v>0</v>
          </cell>
          <cell r="AN510">
            <v>6646</v>
          </cell>
          <cell r="AO510">
            <v>1</v>
          </cell>
          <cell r="AQ510">
            <v>0</v>
          </cell>
          <cell r="AR510">
            <v>13</v>
          </cell>
          <cell r="AS510">
            <v>3</v>
          </cell>
          <cell r="AT510">
            <v>2</v>
          </cell>
          <cell r="AU510">
            <v>0</v>
          </cell>
          <cell r="AV510">
            <v>17</v>
          </cell>
          <cell r="AW510">
            <v>17</v>
          </cell>
          <cell r="AX510">
            <v>3</v>
          </cell>
          <cell r="AY510">
            <v>3</v>
          </cell>
          <cell r="AZ510">
            <v>17</v>
          </cell>
          <cell r="BA510">
            <v>17</v>
          </cell>
          <cell r="BB510">
            <v>11</v>
          </cell>
          <cell r="BC510">
            <v>11</v>
          </cell>
          <cell r="BD510">
            <v>11</v>
          </cell>
          <cell r="BE510">
            <v>8</v>
          </cell>
          <cell r="BF510">
            <v>8</v>
          </cell>
          <cell r="BG510">
            <v>16</v>
          </cell>
          <cell r="BH510">
            <v>1</v>
          </cell>
          <cell r="BI510">
            <v>0</v>
          </cell>
          <cell r="BJ510">
            <v>0</v>
          </cell>
          <cell r="BK510">
            <v>0</v>
          </cell>
          <cell r="BL510">
            <v>1</v>
          </cell>
          <cell r="BM510">
            <v>0</v>
          </cell>
          <cell r="BN510">
            <v>0</v>
          </cell>
          <cell r="BO510">
            <v>0</v>
          </cell>
          <cell r="BP510">
            <v>0</v>
          </cell>
          <cell r="BQ510">
            <v>8</v>
          </cell>
          <cell r="BR510">
            <v>0</v>
          </cell>
          <cell r="BS510">
            <v>0</v>
          </cell>
          <cell r="BT510">
            <v>17</v>
          </cell>
          <cell r="BU510">
            <v>0</v>
          </cell>
        </row>
        <row r="511">
          <cell r="A511">
            <v>33</v>
          </cell>
          <cell r="B511">
            <v>33</v>
          </cell>
          <cell r="D511">
            <v>0</v>
          </cell>
          <cell r="F511">
            <v>1</v>
          </cell>
          <cell r="G511">
            <v>0</v>
          </cell>
          <cell r="I511">
            <v>1</v>
          </cell>
          <cell r="J511">
            <v>0</v>
          </cell>
          <cell r="K511">
            <v>6</v>
          </cell>
          <cell r="L511">
            <v>6</v>
          </cell>
          <cell r="M511">
            <v>3</v>
          </cell>
          <cell r="O511">
            <v>1</v>
          </cell>
          <cell r="P511">
            <v>0</v>
          </cell>
          <cell r="Q511">
            <v>0</v>
          </cell>
          <cell r="R511">
            <v>0</v>
          </cell>
          <cell r="S511">
            <v>0</v>
          </cell>
          <cell r="T511">
            <v>3</v>
          </cell>
          <cell r="V511">
            <v>0</v>
          </cell>
          <cell r="W511">
            <v>30</v>
          </cell>
          <cell r="X511">
            <v>3</v>
          </cell>
          <cell r="Y511">
            <v>2</v>
          </cell>
          <cell r="AA511">
            <v>1</v>
          </cell>
          <cell r="AB511">
            <v>0</v>
          </cell>
          <cell r="AC511">
            <v>0</v>
          </cell>
          <cell r="AD511">
            <v>0</v>
          </cell>
          <cell r="AE511">
            <v>0</v>
          </cell>
          <cell r="AF511">
            <v>0</v>
          </cell>
          <cell r="AG511">
            <v>0</v>
          </cell>
          <cell r="AH511">
            <v>0</v>
          </cell>
          <cell r="AI511">
            <v>4</v>
          </cell>
          <cell r="AK511">
            <v>0</v>
          </cell>
          <cell r="AL511">
            <v>0</v>
          </cell>
          <cell r="AN511">
            <v>7725</v>
          </cell>
          <cell r="AO511">
            <v>3</v>
          </cell>
          <cell r="AQ511">
            <v>0</v>
          </cell>
          <cell r="AR511">
            <v>23</v>
          </cell>
          <cell r="AS511">
            <v>4</v>
          </cell>
          <cell r="AT511">
            <v>3</v>
          </cell>
          <cell r="AU511">
            <v>1</v>
          </cell>
          <cell r="AV511">
            <v>15</v>
          </cell>
          <cell r="AW511">
            <v>15</v>
          </cell>
          <cell r="AX511">
            <v>2</v>
          </cell>
          <cell r="AY511">
            <v>1</v>
          </cell>
          <cell r="AZ511">
            <v>13</v>
          </cell>
          <cell r="BA511">
            <v>13</v>
          </cell>
          <cell r="BB511">
            <v>11</v>
          </cell>
          <cell r="BC511">
            <v>4</v>
          </cell>
          <cell r="BD511">
            <v>4</v>
          </cell>
          <cell r="BE511">
            <v>7</v>
          </cell>
          <cell r="BF511">
            <v>7</v>
          </cell>
          <cell r="BG511">
            <v>14</v>
          </cell>
          <cell r="BH511">
            <v>0</v>
          </cell>
          <cell r="BI511">
            <v>0</v>
          </cell>
          <cell r="BJ511">
            <v>1</v>
          </cell>
          <cell r="BK511">
            <v>0</v>
          </cell>
          <cell r="BL511">
            <v>1</v>
          </cell>
          <cell r="BM511">
            <v>0</v>
          </cell>
          <cell r="BN511">
            <v>0</v>
          </cell>
          <cell r="BO511">
            <v>0</v>
          </cell>
          <cell r="BP511">
            <v>0</v>
          </cell>
          <cell r="BQ511">
            <v>7</v>
          </cell>
          <cell r="BR511">
            <v>0</v>
          </cell>
          <cell r="BS511">
            <v>0</v>
          </cell>
          <cell r="BT511">
            <v>15</v>
          </cell>
          <cell r="BU511">
            <v>0</v>
          </cell>
        </row>
        <row r="512">
          <cell r="A512">
            <v>54</v>
          </cell>
          <cell r="B512">
            <v>54</v>
          </cell>
          <cell r="D512">
            <v>0</v>
          </cell>
          <cell r="F512">
            <v>0</v>
          </cell>
          <cell r="G512">
            <v>1</v>
          </cell>
          <cell r="I512">
            <v>0</v>
          </cell>
          <cell r="J512">
            <v>0</v>
          </cell>
          <cell r="K512">
            <v>19</v>
          </cell>
          <cell r="L512">
            <v>19</v>
          </cell>
          <cell r="M512">
            <v>4</v>
          </cell>
          <cell r="O512">
            <v>0</v>
          </cell>
          <cell r="P512">
            <v>0</v>
          </cell>
          <cell r="Q512">
            <v>1</v>
          </cell>
          <cell r="R512">
            <v>0</v>
          </cell>
          <cell r="S512">
            <v>0</v>
          </cell>
          <cell r="T512">
            <v>3</v>
          </cell>
          <cell r="V512">
            <v>0</v>
          </cell>
          <cell r="W512">
            <v>88</v>
          </cell>
          <cell r="X512">
            <v>3</v>
          </cell>
          <cell r="Y512">
            <v>3</v>
          </cell>
          <cell r="AA512">
            <v>0</v>
          </cell>
          <cell r="AB512">
            <v>0</v>
          </cell>
          <cell r="AC512">
            <v>0</v>
          </cell>
          <cell r="AD512">
            <v>0</v>
          </cell>
          <cell r="AE512">
            <v>0</v>
          </cell>
          <cell r="AF512">
            <v>0</v>
          </cell>
          <cell r="AG512">
            <v>0</v>
          </cell>
          <cell r="AH512">
            <v>0</v>
          </cell>
          <cell r="AI512">
            <v>2</v>
          </cell>
          <cell r="AK512">
            <v>0</v>
          </cell>
          <cell r="AL512">
            <v>1</v>
          </cell>
          <cell r="AN512">
            <v>10725</v>
          </cell>
          <cell r="AO512">
            <v>2</v>
          </cell>
          <cell r="AQ512">
            <v>0</v>
          </cell>
          <cell r="AR512">
            <v>15</v>
          </cell>
          <cell r="AS512">
            <v>3</v>
          </cell>
          <cell r="AT512">
            <v>3</v>
          </cell>
          <cell r="AU512">
            <v>1</v>
          </cell>
          <cell r="AV512">
            <v>16</v>
          </cell>
          <cell r="AW512">
            <v>16</v>
          </cell>
          <cell r="AX512">
            <v>1</v>
          </cell>
          <cell r="AY512">
            <v>4</v>
          </cell>
          <cell r="AZ512">
            <v>9</v>
          </cell>
          <cell r="BA512">
            <v>9</v>
          </cell>
          <cell r="BB512">
            <v>7</v>
          </cell>
          <cell r="BC512">
            <v>7</v>
          </cell>
          <cell r="BD512">
            <v>7</v>
          </cell>
          <cell r="BE512">
            <v>1</v>
          </cell>
          <cell r="BF512">
            <v>1</v>
          </cell>
          <cell r="BG512">
            <v>3</v>
          </cell>
          <cell r="BH512">
            <v>0</v>
          </cell>
          <cell r="BI512">
            <v>1</v>
          </cell>
          <cell r="BJ512">
            <v>0</v>
          </cell>
          <cell r="BK512">
            <v>0</v>
          </cell>
          <cell r="BL512">
            <v>0</v>
          </cell>
          <cell r="BM512">
            <v>0</v>
          </cell>
          <cell r="BN512">
            <v>1</v>
          </cell>
          <cell r="BO512">
            <v>0</v>
          </cell>
          <cell r="BP512">
            <v>1</v>
          </cell>
          <cell r="BQ512">
            <v>0</v>
          </cell>
          <cell r="BR512">
            <v>0</v>
          </cell>
          <cell r="BS512">
            <v>16</v>
          </cell>
          <cell r="BT512">
            <v>0</v>
          </cell>
          <cell r="BU512">
            <v>0</v>
          </cell>
        </row>
        <row r="513">
          <cell r="A513">
            <v>36</v>
          </cell>
          <cell r="B513">
            <v>36</v>
          </cell>
          <cell r="D513">
            <v>0</v>
          </cell>
          <cell r="F513">
            <v>0</v>
          </cell>
          <cell r="G513">
            <v>1</v>
          </cell>
          <cell r="I513">
            <v>1</v>
          </cell>
          <cell r="J513">
            <v>0</v>
          </cell>
          <cell r="K513">
            <v>9</v>
          </cell>
          <cell r="L513">
            <v>9</v>
          </cell>
          <cell r="M513">
            <v>2</v>
          </cell>
          <cell r="O513">
            <v>0</v>
          </cell>
          <cell r="P513">
            <v>0</v>
          </cell>
          <cell r="Q513">
            <v>1</v>
          </cell>
          <cell r="R513">
            <v>0</v>
          </cell>
          <cell r="S513">
            <v>0</v>
          </cell>
          <cell r="T513">
            <v>2</v>
          </cell>
          <cell r="V513">
            <v>0</v>
          </cell>
          <cell r="W513">
            <v>48</v>
          </cell>
          <cell r="X513">
            <v>2</v>
          </cell>
          <cell r="Y513">
            <v>2</v>
          </cell>
          <cell r="AA513">
            <v>0</v>
          </cell>
          <cell r="AB513">
            <v>0</v>
          </cell>
          <cell r="AC513">
            <v>0</v>
          </cell>
          <cell r="AD513">
            <v>0</v>
          </cell>
          <cell r="AE513">
            <v>1</v>
          </cell>
          <cell r="AF513">
            <v>1</v>
          </cell>
          <cell r="AG513">
            <v>0</v>
          </cell>
          <cell r="AH513">
            <v>0</v>
          </cell>
          <cell r="AI513">
            <v>2</v>
          </cell>
          <cell r="AK513">
            <v>0</v>
          </cell>
          <cell r="AL513">
            <v>0</v>
          </cell>
          <cell r="AN513">
            <v>8847</v>
          </cell>
          <cell r="AO513">
            <v>2</v>
          </cell>
          <cell r="AQ513">
            <v>1</v>
          </cell>
          <cell r="AR513">
            <v>11</v>
          </cell>
          <cell r="AS513">
            <v>3</v>
          </cell>
          <cell r="AT513">
            <v>3</v>
          </cell>
          <cell r="AU513">
            <v>1</v>
          </cell>
          <cell r="AV513">
            <v>13</v>
          </cell>
          <cell r="AW513">
            <v>13</v>
          </cell>
          <cell r="AX513">
            <v>2</v>
          </cell>
          <cell r="AY513">
            <v>3</v>
          </cell>
          <cell r="AZ513">
            <v>3</v>
          </cell>
          <cell r="BA513">
            <v>3</v>
          </cell>
          <cell r="BB513">
            <v>2</v>
          </cell>
          <cell r="BC513">
            <v>0</v>
          </cell>
          <cell r="BD513">
            <v>0</v>
          </cell>
          <cell r="BE513">
            <v>2</v>
          </cell>
          <cell r="BF513">
            <v>2</v>
          </cell>
          <cell r="BG513">
            <v>4</v>
          </cell>
          <cell r="BH513">
            <v>1</v>
          </cell>
          <cell r="BI513">
            <v>0</v>
          </cell>
          <cell r="BJ513">
            <v>0</v>
          </cell>
          <cell r="BK513">
            <v>0</v>
          </cell>
          <cell r="BL513">
            <v>0</v>
          </cell>
          <cell r="BM513">
            <v>1</v>
          </cell>
          <cell r="BN513">
            <v>0</v>
          </cell>
          <cell r="BO513">
            <v>0</v>
          </cell>
          <cell r="BP513">
            <v>0</v>
          </cell>
          <cell r="BQ513">
            <v>2</v>
          </cell>
          <cell r="BR513">
            <v>0</v>
          </cell>
          <cell r="BS513">
            <v>0</v>
          </cell>
          <cell r="BT513">
            <v>13</v>
          </cell>
          <cell r="BU513">
            <v>0</v>
          </cell>
        </row>
        <row r="514">
          <cell r="A514">
            <v>27</v>
          </cell>
          <cell r="B514">
            <v>27</v>
          </cell>
          <cell r="D514">
            <v>0</v>
          </cell>
          <cell r="F514">
            <v>0</v>
          </cell>
          <cell r="G514">
            <v>1</v>
          </cell>
          <cell r="I514">
            <v>1</v>
          </cell>
          <cell r="J514">
            <v>0</v>
          </cell>
          <cell r="K514">
            <v>3</v>
          </cell>
          <cell r="L514">
            <v>3</v>
          </cell>
          <cell r="M514">
            <v>4</v>
          </cell>
          <cell r="O514">
            <v>0</v>
          </cell>
          <cell r="P514">
            <v>0</v>
          </cell>
          <cell r="Q514">
            <v>1</v>
          </cell>
          <cell r="R514">
            <v>0</v>
          </cell>
          <cell r="S514">
            <v>0</v>
          </cell>
          <cell r="T514">
            <v>1</v>
          </cell>
          <cell r="V514">
            <v>0</v>
          </cell>
          <cell r="W514">
            <v>54</v>
          </cell>
          <cell r="X514">
            <v>2</v>
          </cell>
          <cell r="Y514">
            <v>1</v>
          </cell>
          <cell r="AA514">
            <v>0</v>
          </cell>
          <cell r="AB514">
            <v>0</v>
          </cell>
          <cell r="AC514">
            <v>0</v>
          </cell>
          <cell r="AD514">
            <v>0</v>
          </cell>
          <cell r="AE514">
            <v>0</v>
          </cell>
          <cell r="AF514">
            <v>0</v>
          </cell>
          <cell r="AG514">
            <v>0</v>
          </cell>
          <cell r="AH514">
            <v>1</v>
          </cell>
          <cell r="AI514">
            <v>4</v>
          </cell>
          <cell r="AK514">
            <v>1</v>
          </cell>
          <cell r="AL514">
            <v>0</v>
          </cell>
          <cell r="AN514">
            <v>2045</v>
          </cell>
          <cell r="AO514">
            <v>0</v>
          </cell>
          <cell r="AQ514">
            <v>0</v>
          </cell>
          <cell r="AR514">
            <v>13</v>
          </cell>
          <cell r="AS514">
            <v>3</v>
          </cell>
          <cell r="AT514">
            <v>4</v>
          </cell>
          <cell r="AU514">
            <v>0</v>
          </cell>
          <cell r="AV514">
            <v>5</v>
          </cell>
          <cell r="AW514">
            <v>5</v>
          </cell>
          <cell r="AX514">
            <v>0</v>
          </cell>
          <cell r="AY514">
            <v>3</v>
          </cell>
          <cell r="AZ514">
            <v>4</v>
          </cell>
          <cell r="BA514">
            <v>4</v>
          </cell>
          <cell r="BB514">
            <v>2</v>
          </cell>
          <cell r="BC514">
            <v>1</v>
          </cell>
          <cell r="BD514">
            <v>1</v>
          </cell>
          <cell r="BE514">
            <v>1</v>
          </cell>
          <cell r="BF514">
            <v>1</v>
          </cell>
          <cell r="BG514">
            <v>1</v>
          </cell>
          <cell r="BH514">
            <v>1</v>
          </cell>
          <cell r="BI514">
            <v>0</v>
          </cell>
          <cell r="BJ514">
            <v>0</v>
          </cell>
          <cell r="BK514">
            <v>0</v>
          </cell>
          <cell r="BL514">
            <v>1</v>
          </cell>
          <cell r="BM514">
            <v>0</v>
          </cell>
          <cell r="BN514">
            <v>0</v>
          </cell>
          <cell r="BO514">
            <v>0</v>
          </cell>
          <cell r="BP514">
            <v>0</v>
          </cell>
          <cell r="BQ514">
            <v>1</v>
          </cell>
          <cell r="BR514">
            <v>0</v>
          </cell>
          <cell r="BS514">
            <v>0</v>
          </cell>
          <cell r="BT514">
            <v>5</v>
          </cell>
          <cell r="BU514">
            <v>0</v>
          </cell>
        </row>
        <row r="515">
          <cell r="A515">
            <v>20</v>
          </cell>
          <cell r="B515">
            <v>20</v>
          </cell>
          <cell r="D515">
            <v>1</v>
          </cell>
          <cell r="F515">
            <v>0</v>
          </cell>
          <cell r="G515">
            <v>1</v>
          </cell>
          <cell r="I515">
            <v>1</v>
          </cell>
          <cell r="J515">
            <v>0</v>
          </cell>
          <cell r="K515">
            <v>10</v>
          </cell>
          <cell r="L515">
            <v>10</v>
          </cell>
          <cell r="M515">
            <v>1</v>
          </cell>
          <cell r="O515">
            <v>0</v>
          </cell>
          <cell r="P515">
            <v>0</v>
          </cell>
          <cell r="Q515">
            <v>1</v>
          </cell>
          <cell r="R515">
            <v>0</v>
          </cell>
          <cell r="S515">
            <v>0</v>
          </cell>
          <cell r="T515">
            <v>4</v>
          </cell>
          <cell r="V515">
            <v>0</v>
          </cell>
          <cell r="W515">
            <v>32</v>
          </cell>
          <cell r="X515">
            <v>3</v>
          </cell>
          <cell r="Y515">
            <v>1</v>
          </cell>
          <cell r="AA515">
            <v>0</v>
          </cell>
          <cell r="AB515">
            <v>0</v>
          </cell>
          <cell r="AC515">
            <v>0</v>
          </cell>
          <cell r="AD515">
            <v>0</v>
          </cell>
          <cell r="AE515">
            <v>0</v>
          </cell>
          <cell r="AF515">
            <v>0</v>
          </cell>
          <cell r="AG515">
            <v>0</v>
          </cell>
          <cell r="AH515">
            <v>1</v>
          </cell>
          <cell r="AI515">
            <v>3</v>
          </cell>
          <cell r="AK515">
            <v>1</v>
          </cell>
          <cell r="AL515">
            <v>0</v>
          </cell>
          <cell r="AN515">
            <v>1382.46</v>
          </cell>
          <cell r="AO515">
            <v>1</v>
          </cell>
          <cell r="AQ515">
            <v>1</v>
          </cell>
          <cell r="AR515">
            <v>11</v>
          </cell>
          <cell r="AS515">
            <v>3</v>
          </cell>
          <cell r="AT515">
            <v>4</v>
          </cell>
          <cell r="AU515">
            <v>0</v>
          </cell>
          <cell r="AV515">
            <v>1</v>
          </cell>
          <cell r="AW515">
            <v>1</v>
          </cell>
          <cell r="AX515">
            <v>5</v>
          </cell>
          <cell r="AY515">
            <v>3</v>
          </cell>
          <cell r="AZ515">
            <v>1</v>
          </cell>
          <cell r="BA515">
            <v>1</v>
          </cell>
          <cell r="BB515">
            <v>0</v>
          </cell>
          <cell r="BC515">
            <v>1</v>
          </cell>
          <cell r="BD515">
            <v>1</v>
          </cell>
          <cell r="BE515">
            <v>1</v>
          </cell>
          <cell r="BF515">
            <v>1</v>
          </cell>
          <cell r="BG515">
            <v>1</v>
          </cell>
          <cell r="BH515">
            <v>1</v>
          </cell>
          <cell r="BI515">
            <v>0</v>
          </cell>
          <cell r="BJ515">
            <v>0</v>
          </cell>
          <cell r="BK515">
            <v>0</v>
          </cell>
          <cell r="BL515">
            <v>0</v>
          </cell>
          <cell r="BM515">
            <v>1</v>
          </cell>
          <cell r="BN515">
            <v>0</v>
          </cell>
          <cell r="BO515">
            <v>0</v>
          </cell>
          <cell r="BP515">
            <v>0</v>
          </cell>
          <cell r="BQ515">
            <v>1</v>
          </cell>
          <cell r="BR515">
            <v>0</v>
          </cell>
          <cell r="BS515">
            <v>0</v>
          </cell>
          <cell r="BT515">
            <v>1</v>
          </cell>
          <cell r="BU515">
            <v>0</v>
          </cell>
        </row>
        <row r="516">
          <cell r="A516">
            <v>33</v>
          </cell>
          <cell r="B516">
            <v>33</v>
          </cell>
          <cell r="D516">
            <v>1</v>
          </cell>
          <cell r="F516">
            <v>1</v>
          </cell>
          <cell r="G516">
            <v>0</v>
          </cell>
          <cell r="I516">
            <v>1</v>
          </cell>
          <cell r="J516">
            <v>0</v>
          </cell>
          <cell r="K516">
            <v>3</v>
          </cell>
          <cell r="L516">
            <v>3</v>
          </cell>
          <cell r="M516">
            <v>3</v>
          </cell>
          <cell r="O516">
            <v>1</v>
          </cell>
          <cell r="P516">
            <v>0</v>
          </cell>
          <cell r="Q516">
            <v>0</v>
          </cell>
          <cell r="R516">
            <v>0</v>
          </cell>
          <cell r="S516">
            <v>0</v>
          </cell>
          <cell r="T516">
            <v>1</v>
          </cell>
          <cell r="V516">
            <v>0</v>
          </cell>
          <cell r="W516">
            <v>70</v>
          </cell>
          <cell r="X516">
            <v>3</v>
          </cell>
          <cell r="Y516">
            <v>1</v>
          </cell>
          <cell r="AA516">
            <v>0</v>
          </cell>
          <cell r="AB516">
            <v>0</v>
          </cell>
          <cell r="AC516">
            <v>0</v>
          </cell>
          <cell r="AD516">
            <v>0</v>
          </cell>
          <cell r="AE516">
            <v>0</v>
          </cell>
          <cell r="AF516">
            <v>0</v>
          </cell>
          <cell r="AG516">
            <v>0</v>
          </cell>
          <cell r="AH516">
            <v>1</v>
          </cell>
          <cell r="AI516">
            <v>1</v>
          </cell>
          <cell r="AK516">
            <v>1</v>
          </cell>
          <cell r="AL516">
            <v>0</v>
          </cell>
          <cell r="AN516">
            <v>3348</v>
          </cell>
          <cell r="AO516">
            <v>1</v>
          </cell>
          <cell r="AQ516">
            <v>1</v>
          </cell>
          <cell r="AR516">
            <v>11</v>
          </cell>
          <cell r="AS516">
            <v>3</v>
          </cell>
          <cell r="AT516">
            <v>1</v>
          </cell>
          <cell r="AU516">
            <v>0</v>
          </cell>
          <cell r="AV516">
            <v>10</v>
          </cell>
          <cell r="AW516">
            <v>10</v>
          </cell>
          <cell r="AX516">
            <v>3</v>
          </cell>
          <cell r="AY516">
            <v>3</v>
          </cell>
          <cell r="AZ516">
            <v>10</v>
          </cell>
          <cell r="BA516">
            <v>10</v>
          </cell>
          <cell r="BB516">
            <v>8</v>
          </cell>
          <cell r="BC516">
            <v>9</v>
          </cell>
          <cell r="BD516">
            <v>9</v>
          </cell>
          <cell r="BE516">
            <v>7</v>
          </cell>
          <cell r="BF516">
            <v>7</v>
          </cell>
          <cell r="BG516">
            <v>7</v>
          </cell>
          <cell r="BH516">
            <v>0</v>
          </cell>
          <cell r="BI516">
            <v>0</v>
          </cell>
          <cell r="BJ516">
            <v>1</v>
          </cell>
          <cell r="BK516">
            <v>0</v>
          </cell>
          <cell r="BL516">
            <v>0</v>
          </cell>
          <cell r="BM516">
            <v>1</v>
          </cell>
          <cell r="BN516">
            <v>0</v>
          </cell>
          <cell r="BO516">
            <v>0</v>
          </cell>
          <cell r="BP516">
            <v>0</v>
          </cell>
          <cell r="BQ516">
            <v>7</v>
          </cell>
          <cell r="BR516">
            <v>0</v>
          </cell>
          <cell r="BS516">
            <v>0</v>
          </cell>
          <cell r="BT516">
            <v>10</v>
          </cell>
          <cell r="BU516">
            <v>0</v>
          </cell>
        </row>
        <row r="517">
          <cell r="A517">
            <v>35</v>
          </cell>
          <cell r="B517">
            <v>35</v>
          </cell>
          <cell r="D517">
            <v>0</v>
          </cell>
          <cell r="F517">
            <v>0</v>
          </cell>
          <cell r="G517">
            <v>0</v>
          </cell>
          <cell r="I517">
            <v>1</v>
          </cell>
          <cell r="J517">
            <v>0</v>
          </cell>
          <cell r="K517">
            <v>3</v>
          </cell>
          <cell r="L517">
            <v>3</v>
          </cell>
          <cell r="M517">
            <v>3</v>
          </cell>
          <cell r="O517">
            <v>1</v>
          </cell>
          <cell r="P517">
            <v>0</v>
          </cell>
          <cell r="Q517">
            <v>0</v>
          </cell>
          <cell r="R517">
            <v>0</v>
          </cell>
          <cell r="S517">
            <v>0</v>
          </cell>
          <cell r="T517">
            <v>3</v>
          </cell>
          <cell r="V517">
            <v>0</v>
          </cell>
          <cell r="W517">
            <v>41</v>
          </cell>
          <cell r="X517">
            <v>2</v>
          </cell>
          <cell r="Y517">
            <v>1</v>
          </cell>
          <cell r="AA517">
            <v>0</v>
          </cell>
          <cell r="AB517">
            <v>0</v>
          </cell>
          <cell r="AC517">
            <v>1</v>
          </cell>
          <cell r="AD517">
            <v>0</v>
          </cell>
          <cell r="AE517">
            <v>0</v>
          </cell>
          <cell r="AF517">
            <v>0</v>
          </cell>
          <cell r="AG517">
            <v>0</v>
          </cell>
          <cell r="AH517">
            <v>0</v>
          </cell>
          <cell r="AI517">
            <v>3</v>
          </cell>
          <cell r="AK517">
            <v>0</v>
          </cell>
          <cell r="AL517">
            <v>1</v>
          </cell>
          <cell r="AN517">
            <v>1382.46</v>
          </cell>
          <cell r="AO517">
            <v>1</v>
          </cell>
          <cell r="AQ517">
            <v>0</v>
          </cell>
          <cell r="AR517">
            <v>18</v>
          </cell>
          <cell r="AS517">
            <v>3</v>
          </cell>
          <cell r="AT517">
            <v>3</v>
          </cell>
          <cell r="AU517">
            <v>2</v>
          </cell>
          <cell r="AV517">
            <v>1</v>
          </cell>
          <cell r="AW517">
            <v>1</v>
          </cell>
          <cell r="AX517">
            <v>3</v>
          </cell>
          <cell r="AY517">
            <v>3</v>
          </cell>
          <cell r="AZ517">
            <v>1</v>
          </cell>
          <cell r="BA517">
            <v>1</v>
          </cell>
          <cell r="BB517">
            <v>0</v>
          </cell>
          <cell r="BC517">
            <v>0</v>
          </cell>
          <cell r="BD517">
            <v>0</v>
          </cell>
          <cell r="BE517">
            <v>0</v>
          </cell>
          <cell r="BF517">
            <v>0</v>
          </cell>
          <cell r="BG517">
            <v>0</v>
          </cell>
          <cell r="BH517">
            <v>0</v>
          </cell>
          <cell r="BI517">
            <v>1</v>
          </cell>
          <cell r="BJ517">
            <v>0</v>
          </cell>
          <cell r="BK517">
            <v>0</v>
          </cell>
          <cell r="BL517">
            <v>0</v>
          </cell>
          <cell r="BM517">
            <v>0</v>
          </cell>
          <cell r="BN517">
            <v>1</v>
          </cell>
          <cell r="BO517">
            <v>0</v>
          </cell>
          <cell r="BP517">
            <v>0</v>
          </cell>
          <cell r="BQ517">
            <v>0</v>
          </cell>
          <cell r="BR517">
            <v>0</v>
          </cell>
          <cell r="BS517">
            <v>0</v>
          </cell>
          <cell r="BT517">
            <v>1</v>
          </cell>
          <cell r="BU517">
            <v>0</v>
          </cell>
        </row>
        <row r="518">
          <cell r="A518">
            <v>23</v>
          </cell>
          <cell r="B518">
            <v>23</v>
          </cell>
          <cell r="D518">
            <v>0</v>
          </cell>
          <cell r="F518">
            <v>0</v>
          </cell>
          <cell r="G518">
            <v>1</v>
          </cell>
          <cell r="I518">
            <v>1</v>
          </cell>
          <cell r="J518">
            <v>0</v>
          </cell>
          <cell r="K518">
            <v>4</v>
          </cell>
          <cell r="L518">
            <v>4</v>
          </cell>
          <cell r="M518">
            <v>3</v>
          </cell>
          <cell r="O518">
            <v>0</v>
          </cell>
          <cell r="P518">
            <v>0</v>
          </cell>
          <cell r="Q518">
            <v>1</v>
          </cell>
          <cell r="R518">
            <v>0</v>
          </cell>
          <cell r="S518">
            <v>0</v>
          </cell>
          <cell r="T518">
            <v>1</v>
          </cell>
          <cell r="V518">
            <v>0</v>
          </cell>
          <cell r="W518">
            <v>58</v>
          </cell>
          <cell r="X518">
            <v>4</v>
          </cell>
          <cell r="Y518">
            <v>1</v>
          </cell>
          <cell r="AA518">
            <v>0</v>
          </cell>
          <cell r="AB518">
            <v>0</v>
          </cell>
          <cell r="AC518">
            <v>0</v>
          </cell>
          <cell r="AD518">
            <v>0</v>
          </cell>
          <cell r="AE518">
            <v>0</v>
          </cell>
          <cell r="AF518">
            <v>0</v>
          </cell>
          <cell r="AG518">
            <v>0</v>
          </cell>
          <cell r="AH518">
            <v>1</v>
          </cell>
          <cell r="AI518">
            <v>1</v>
          </cell>
          <cell r="AK518">
            <v>0</v>
          </cell>
          <cell r="AL518">
            <v>1</v>
          </cell>
          <cell r="AN518">
            <v>2819</v>
          </cell>
          <cell r="AO518">
            <v>2</v>
          </cell>
          <cell r="AQ518">
            <v>0</v>
          </cell>
          <cell r="AR518">
            <v>16</v>
          </cell>
          <cell r="AS518">
            <v>3</v>
          </cell>
          <cell r="AT518">
            <v>1</v>
          </cell>
          <cell r="AU518">
            <v>1</v>
          </cell>
          <cell r="AV518">
            <v>5</v>
          </cell>
          <cell r="AW518">
            <v>5</v>
          </cell>
          <cell r="AX518">
            <v>3</v>
          </cell>
          <cell r="AY518">
            <v>4</v>
          </cell>
          <cell r="AZ518">
            <v>3</v>
          </cell>
          <cell r="BA518">
            <v>3</v>
          </cell>
          <cell r="BB518">
            <v>2</v>
          </cell>
          <cell r="BC518">
            <v>0</v>
          </cell>
          <cell r="BD518">
            <v>0</v>
          </cell>
          <cell r="BE518">
            <v>2</v>
          </cell>
          <cell r="BF518">
            <v>2</v>
          </cell>
          <cell r="BG518">
            <v>2</v>
          </cell>
          <cell r="BH518">
            <v>0</v>
          </cell>
          <cell r="BI518">
            <v>1</v>
          </cell>
          <cell r="BJ518">
            <v>0</v>
          </cell>
          <cell r="BK518">
            <v>0</v>
          </cell>
          <cell r="BL518">
            <v>0</v>
          </cell>
          <cell r="BM518">
            <v>0</v>
          </cell>
          <cell r="BN518">
            <v>1</v>
          </cell>
          <cell r="BO518">
            <v>0</v>
          </cell>
          <cell r="BP518">
            <v>0</v>
          </cell>
          <cell r="BQ518">
            <v>2</v>
          </cell>
          <cell r="BR518">
            <v>0</v>
          </cell>
          <cell r="BS518">
            <v>0</v>
          </cell>
          <cell r="BT518">
            <v>5</v>
          </cell>
          <cell r="BU518">
            <v>0</v>
          </cell>
        </row>
        <row r="519">
          <cell r="A519">
            <v>25</v>
          </cell>
          <cell r="B519">
            <v>25</v>
          </cell>
          <cell r="D519">
            <v>0</v>
          </cell>
          <cell r="F519">
            <v>0</v>
          </cell>
          <cell r="G519">
            <v>1</v>
          </cell>
          <cell r="I519">
            <v>0</v>
          </cell>
          <cell r="J519">
            <v>1</v>
          </cell>
          <cell r="K519">
            <v>8</v>
          </cell>
          <cell r="L519">
            <v>8</v>
          </cell>
          <cell r="M519">
            <v>3</v>
          </cell>
          <cell r="O519">
            <v>1</v>
          </cell>
          <cell r="P519">
            <v>0</v>
          </cell>
          <cell r="Q519">
            <v>0</v>
          </cell>
          <cell r="R519">
            <v>0</v>
          </cell>
          <cell r="S519">
            <v>0</v>
          </cell>
          <cell r="T519">
            <v>4</v>
          </cell>
          <cell r="V519">
            <v>0</v>
          </cell>
          <cell r="W519">
            <v>57</v>
          </cell>
          <cell r="X519">
            <v>4</v>
          </cell>
          <cell r="Y519">
            <v>2</v>
          </cell>
          <cell r="AA519">
            <v>0</v>
          </cell>
          <cell r="AB519">
            <v>1</v>
          </cell>
          <cell r="AC519">
            <v>0</v>
          </cell>
          <cell r="AD519">
            <v>0</v>
          </cell>
          <cell r="AE519">
            <v>0</v>
          </cell>
          <cell r="AF519">
            <v>0</v>
          </cell>
          <cell r="AG519">
            <v>0</v>
          </cell>
          <cell r="AH519">
            <v>0</v>
          </cell>
          <cell r="AI519">
            <v>2</v>
          </cell>
          <cell r="AK519">
            <v>0</v>
          </cell>
          <cell r="AL519">
            <v>1</v>
          </cell>
          <cell r="AN519">
            <v>4851</v>
          </cell>
          <cell r="AO519">
            <v>0</v>
          </cell>
          <cell r="AQ519">
            <v>0</v>
          </cell>
          <cell r="AR519">
            <v>22</v>
          </cell>
          <cell r="AS519">
            <v>4</v>
          </cell>
          <cell r="AT519">
            <v>3</v>
          </cell>
          <cell r="AU519">
            <v>1</v>
          </cell>
          <cell r="AV519">
            <v>4</v>
          </cell>
          <cell r="AW519">
            <v>4</v>
          </cell>
          <cell r="AX519">
            <v>4</v>
          </cell>
          <cell r="AY519">
            <v>3</v>
          </cell>
          <cell r="AZ519">
            <v>3</v>
          </cell>
          <cell r="BA519">
            <v>3</v>
          </cell>
          <cell r="BB519">
            <v>2</v>
          </cell>
          <cell r="BC519">
            <v>1</v>
          </cell>
          <cell r="BD519">
            <v>1</v>
          </cell>
          <cell r="BE519">
            <v>2</v>
          </cell>
          <cell r="BF519">
            <v>2</v>
          </cell>
          <cell r="BG519">
            <v>4</v>
          </cell>
          <cell r="BH519">
            <v>0</v>
          </cell>
          <cell r="BI519">
            <v>1</v>
          </cell>
          <cell r="BJ519">
            <v>0</v>
          </cell>
          <cell r="BK519">
            <v>0</v>
          </cell>
          <cell r="BL519">
            <v>0</v>
          </cell>
          <cell r="BM519">
            <v>0</v>
          </cell>
          <cell r="BN519">
            <v>1</v>
          </cell>
          <cell r="BO519">
            <v>0</v>
          </cell>
          <cell r="BP519">
            <v>0</v>
          </cell>
          <cell r="BQ519">
            <v>0</v>
          </cell>
          <cell r="BR519">
            <v>2</v>
          </cell>
          <cell r="BS519">
            <v>0</v>
          </cell>
          <cell r="BT519">
            <v>0</v>
          </cell>
          <cell r="BU519">
            <v>4</v>
          </cell>
        </row>
        <row r="520">
          <cell r="A520">
            <v>38</v>
          </cell>
          <cell r="B520">
            <v>38</v>
          </cell>
          <cell r="D520">
            <v>0</v>
          </cell>
          <cell r="F520">
            <v>0</v>
          </cell>
          <cell r="G520">
            <v>1</v>
          </cell>
          <cell r="I520">
            <v>0</v>
          </cell>
          <cell r="J520">
            <v>1</v>
          </cell>
          <cell r="K520">
            <v>7</v>
          </cell>
          <cell r="L520">
            <v>7</v>
          </cell>
          <cell r="M520">
            <v>4</v>
          </cell>
          <cell r="O520">
            <v>0</v>
          </cell>
          <cell r="P520">
            <v>0</v>
          </cell>
          <cell r="Q520">
            <v>0</v>
          </cell>
          <cell r="R520">
            <v>1</v>
          </cell>
          <cell r="S520">
            <v>0</v>
          </cell>
          <cell r="T520">
            <v>4</v>
          </cell>
          <cell r="V520">
            <v>1</v>
          </cell>
          <cell r="W520">
            <v>46</v>
          </cell>
          <cell r="X520">
            <v>2</v>
          </cell>
          <cell r="Y520">
            <v>2</v>
          </cell>
          <cell r="AA520">
            <v>0</v>
          </cell>
          <cell r="AB520">
            <v>1</v>
          </cell>
          <cell r="AC520">
            <v>0</v>
          </cell>
          <cell r="AD520">
            <v>0</v>
          </cell>
          <cell r="AE520">
            <v>0</v>
          </cell>
          <cell r="AF520">
            <v>0</v>
          </cell>
          <cell r="AG520">
            <v>0</v>
          </cell>
          <cell r="AH520">
            <v>0</v>
          </cell>
          <cell r="AI520">
            <v>4</v>
          </cell>
          <cell r="AK520">
            <v>1</v>
          </cell>
          <cell r="AL520">
            <v>0</v>
          </cell>
          <cell r="AN520">
            <v>4028</v>
          </cell>
          <cell r="AO520">
            <v>0</v>
          </cell>
          <cell r="AQ520">
            <v>0</v>
          </cell>
          <cell r="AR520">
            <v>20</v>
          </cell>
          <cell r="AS520">
            <v>4</v>
          </cell>
          <cell r="AT520">
            <v>1</v>
          </cell>
          <cell r="AU520">
            <v>0</v>
          </cell>
          <cell r="AV520">
            <v>8</v>
          </cell>
          <cell r="AW520">
            <v>8</v>
          </cell>
          <cell r="AX520">
            <v>2</v>
          </cell>
          <cell r="AY520">
            <v>3</v>
          </cell>
          <cell r="AZ520">
            <v>7</v>
          </cell>
          <cell r="BA520">
            <v>7</v>
          </cell>
          <cell r="BB520">
            <v>7</v>
          </cell>
          <cell r="BC520">
            <v>0</v>
          </cell>
          <cell r="BD520">
            <v>0</v>
          </cell>
          <cell r="BE520">
            <v>5</v>
          </cell>
          <cell r="BF520">
            <v>5</v>
          </cell>
          <cell r="BG520">
            <v>10</v>
          </cell>
          <cell r="BH520">
            <v>1</v>
          </cell>
          <cell r="BI520">
            <v>0</v>
          </cell>
          <cell r="BJ520">
            <v>0</v>
          </cell>
          <cell r="BK520">
            <v>0</v>
          </cell>
          <cell r="BL520">
            <v>1</v>
          </cell>
          <cell r="BM520">
            <v>0</v>
          </cell>
          <cell r="BN520">
            <v>0</v>
          </cell>
          <cell r="BO520">
            <v>0</v>
          </cell>
          <cell r="BP520">
            <v>0</v>
          </cell>
          <cell r="BQ520">
            <v>0</v>
          </cell>
          <cell r="BR520">
            <v>5</v>
          </cell>
          <cell r="BS520">
            <v>0</v>
          </cell>
          <cell r="BT520">
            <v>0</v>
          </cell>
          <cell r="BU520">
            <v>8</v>
          </cell>
        </row>
        <row r="521">
          <cell r="A521">
            <v>29</v>
          </cell>
          <cell r="B521">
            <v>29</v>
          </cell>
          <cell r="D521">
            <v>0</v>
          </cell>
          <cell r="F521">
            <v>1</v>
          </cell>
          <cell r="G521">
            <v>0</v>
          </cell>
          <cell r="I521">
            <v>1</v>
          </cell>
          <cell r="J521">
            <v>0</v>
          </cell>
          <cell r="K521">
            <v>1</v>
          </cell>
          <cell r="L521">
            <v>1</v>
          </cell>
          <cell r="M521">
            <v>4</v>
          </cell>
          <cell r="O521">
            <v>1</v>
          </cell>
          <cell r="P521">
            <v>0</v>
          </cell>
          <cell r="Q521">
            <v>0</v>
          </cell>
          <cell r="R521">
            <v>0</v>
          </cell>
          <cell r="S521">
            <v>0</v>
          </cell>
          <cell r="T521">
            <v>2</v>
          </cell>
          <cell r="V521">
            <v>0</v>
          </cell>
          <cell r="W521">
            <v>76</v>
          </cell>
          <cell r="X521">
            <v>1</v>
          </cell>
          <cell r="Y521">
            <v>1</v>
          </cell>
          <cell r="AA521">
            <v>0</v>
          </cell>
          <cell r="AB521">
            <v>0</v>
          </cell>
          <cell r="AC521">
            <v>0</v>
          </cell>
          <cell r="AD521">
            <v>0</v>
          </cell>
          <cell r="AE521">
            <v>0</v>
          </cell>
          <cell r="AF521">
            <v>0</v>
          </cell>
          <cell r="AG521">
            <v>0</v>
          </cell>
          <cell r="AH521">
            <v>1</v>
          </cell>
          <cell r="AI521">
            <v>4</v>
          </cell>
          <cell r="AK521">
            <v>0</v>
          </cell>
          <cell r="AL521">
            <v>0</v>
          </cell>
          <cell r="AN521">
            <v>2720</v>
          </cell>
          <cell r="AO521">
            <v>1</v>
          </cell>
          <cell r="AQ521">
            <v>0</v>
          </cell>
          <cell r="AR521">
            <v>18</v>
          </cell>
          <cell r="AS521">
            <v>3</v>
          </cell>
          <cell r="AT521">
            <v>4</v>
          </cell>
          <cell r="AU521">
            <v>1</v>
          </cell>
          <cell r="AV521">
            <v>10</v>
          </cell>
          <cell r="AW521">
            <v>10</v>
          </cell>
          <cell r="AX521">
            <v>5</v>
          </cell>
          <cell r="AY521">
            <v>3</v>
          </cell>
          <cell r="AZ521">
            <v>10</v>
          </cell>
          <cell r="BA521">
            <v>10</v>
          </cell>
          <cell r="BB521">
            <v>7</v>
          </cell>
          <cell r="BC521">
            <v>2</v>
          </cell>
          <cell r="BD521">
            <v>2</v>
          </cell>
          <cell r="BE521">
            <v>8</v>
          </cell>
          <cell r="BF521">
            <v>8</v>
          </cell>
          <cell r="BG521">
            <v>8</v>
          </cell>
          <cell r="BH521">
            <v>0</v>
          </cell>
          <cell r="BI521">
            <v>0</v>
          </cell>
          <cell r="BJ521">
            <v>1</v>
          </cell>
          <cell r="BK521">
            <v>0</v>
          </cell>
          <cell r="BL521">
            <v>1</v>
          </cell>
          <cell r="BM521">
            <v>0</v>
          </cell>
          <cell r="BN521">
            <v>0</v>
          </cell>
          <cell r="BO521">
            <v>0</v>
          </cell>
          <cell r="BP521">
            <v>0</v>
          </cell>
          <cell r="BQ521">
            <v>8</v>
          </cell>
          <cell r="BR521">
            <v>0</v>
          </cell>
          <cell r="BS521">
            <v>0</v>
          </cell>
          <cell r="BT521">
            <v>10</v>
          </cell>
          <cell r="BU521">
            <v>0</v>
          </cell>
        </row>
        <row r="522">
          <cell r="A522">
            <v>48</v>
          </cell>
          <cell r="B522">
            <v>48</v>
          </cell>
          <cell r="D522">
            <v>0</v>
          </cell>
          <cell r="F522">
            <v>0</v>
          </cell>
          <cell r="G522">
            <v>1</v>
          </cell>
          <cell r="I522">
            <v>0</v>
          </cell>
          <cell r="J522">
            <v>1</v>
          </cell>
          <cell r="K522">
            <v>2</v>
          </cell>
          <cell r="L522">
            <v>2</v>
          </cell>
          <cell r="M522">
            <v>1</v>
          </cell>
          <cell r="O522">
            <v>0</v>
          </cell>
          <cell r="P522">
            <v>0</v>
          </cell>
          <cell r="Q522">
            <v>0</v>
          </cell>
          <cell r="R522">
            <v>1</v>
          </cell>
          <cell r="S522">
            <v>0</v>
          </cell>
          <cell r="T522">
            <v>2</v>
          </cell>
          <cell r="V522">
            <v>0</v>
          </cell>
          <cell r="W522">
            <v>56</v>
          </cell>
          <cell r="X522">
            <v>4</v>
          </cell>
          <cell r="Y522">
            <v>2</v>
          </cell>
          <cell r="AA522">
            <v>0</v>
          </cell>
          <cell r="AB522">
            <v>1</v>
          </cell>
          <cell r="AC522">
            <v>0</v>
          </cell>
          <cell r="AD522">
            <v>0</v>
          </cell>
          <cell r="AE522">
            <v>0</v>
          </cell>
          <cell r="AF522">
            <v>0</v>
          </cell>
          <cell r="AG522">
            <v>0</v>
          </cell>
          <cell r="AH522">
            <v>0</v>
          </cell>
          <cell r="AI522">
            <v>2</v>
          </cell>
          <cell r="AK522">
            <v>0</v>
          </cell>
          <cell r="AL522">
            <v>1</v>
          </cell>
          <cell r="AN522">
            <v>8120</v>
          </cell>
          <cell r="AO522">
            <v>3</v>
          </cell>
          <cell r="AQ522">
            <v>0</v>
          </cell>
          <cell r="AR522">
            <v>12</v>
          </cell>
          <cell r="AS522">
            <v>3</v>
          </cell>
          <cell r="AT522">
            <v>4</v>
          </cell>
          <cell r="AU522">
            <v>0</v>
          </cell>
          <cell r="AV522">
            <v>12</v>
          </cell>
          <cell r="AW522">
            <v>12</v>
          </cell>
          <cell r="AX522">
            <v>3</v>
          </cell>
          <cell r="AY522">
            <v>3</v>
          </cell>
          <cell r="AZ522">
            <v>2</v>
          </cell>
          <cell r="BA522">
            <v>2</v>
          </cell>
          <cell r="BB522">
            <v>2</v>
          </cell>
          <cell r="BC522">
            <v>2</v>
          </cell>
          <cell r="BD522">
            <v>2</v>
          </cell>
          <cell r="BE522">
            <v>2</v>
          </cell>
          <cell r="BF522">
            <v>2</v>
          </cell>
          <cell r="BG522">
            <v>4</v>
          </cell>
          <cell r="BH522">
            <v>0</v>
          </cell>
          <cell r="BI522">
            <v>1</v>
          </cell>
          <cell r="BJ522">
            <v>0</v>
          </cell>
          <cell r="BK522">
            <v>0</v>
          </cell>
          <cell r="BL522">
            <v>0</v>
          </cell>
          <cell r="BM522">
            <v>0</v>
          </cell>
          <cell r="BN522">
            <v>1</v>
          </cell>
          <cell r="BO522">
            <v>0</v>
          </cell>
          <cell r="BP522">
            <v>0</v>
          </cell>
          <cell r="BQ522">
            <v>0</v>
          </cell>
          <cell r="BR522">
            <v>2</v>
          </cell>
          <cell r="BS522">
            <v>0</v>
          </cell>
          <cell r="BT522">
            <v>0</v>
          </cell>
          <cell r="BU522">
            <v>12</v>
          </cell>
        </row>
        <row r="523">
          <cell r="A523">
            <v>27</v>
          </cell>
          <cell r="B523">
            <v>27</v>
          </cell>
          <cell r="D523">
            <v>0</v>
          </cell>
          <cell r="F523">
            <v>1</v>
          </cell>
          <cell r="G523">
            <v>0</v>
          </cell>
          <cell r="I523">
            <v>0</v>
          </cell>
          <cell r="J523">
            <v>1</v>
          </cell>
          <cell r="K523">
            <v>3</v>
          </cell>
          <cell r="L523">
            <v>3</v>
          </cell>
          <cell r="M523">
            <v>1</v>
          </cell>
          <cell r="O523">
            <v>0</v>
          </cell>
          <cell r="P523">
            <v>0</v>
          </cell>
          <cell r="Q523">
            <v>1</v>
          </cell>
          <cell r="R523">
            <v>0</v>
          </cell>
          <cell r="S523">
            <v>0</v>
          </cell>
          <cell r="T523">
            <v>4</v>
          </cell>
          <cell r="V523">
            <v>1</v>
          </cell>
          <cell r="W523">
            <v>71</v>
          </cell>
          <cell r="X523">
            <v>4</v>
          </cell>
          <cell r="Y523">
            <v>2</v>
          </cell>
          <cell r="AA523">
            <v>0</v>
          </cell>
          <cell r="AB523">
            <v>1</v>
          </cell>
          <cell r="AC523">
            <v>0</v>
          </cell>
          <cell r="AD523">
            <v>0</v>
          </cell>
          <cell r="AE523">
            <v>0</v>
          </cell>
          <cell r="AF523">
            <v>0</v>
          </cell>
          <cell r="AG523">
            <v>0</v>
          </cell>
          <cell r="AH523">
            <v>0</v>
          </cell>
          <cell r="AI523">
            <v>4</v>
          </cell>
          <cell r="AK523">
            <v>0</v>
          </cell>
          <cell r="AL523">
            <v>0</v>
          </cell>
          <cell r="AN523">
            <v>4647</v>
          </cell>
          <cell r="AO523">
            <v>1</v>
          </cell>
          <cell r="AQ523">
            <v>1</v>
          </cell>
          <cell r="AR523">
            <v>20</v>
          </cell>
          <cell r="AS523">
            <v>4</v>
          </cell>
          <cell r="AT523">
            <v>2</v>
          </cell>
          <cell r="AU523">
            <v>2</v>
          </cell>
          <cell r="AV523">
            <v>6</v>
          </cell>
          <cell r="AW523">
            <v>6</v>
          </cell>
          <cell r="AX523">
            <v>3</v>
          </cell>
          <cell r="AY523">
            <v>3</v>
          </cell>
          <cell r="AZ523">
            <v>6</v>
          </cell>
          <cell r="BA523">
            <v>6</v>
          </cell>
          <cell r="BB523">
            <v>5</v>
          </cell>
          <cell r="BC523">
            <v>0</v>
          </cell>
          <cell r="BD523">
            <v>0</v>
          </cell>
          <cell r="BE523">
            <v>4</v>
          </cell>
          <cell r="BF523">
            <v>4</v>
          </cell>
          <cell r="BG523">
            <v>8</v>
          </cell>
          <cell r="BH523">
            <v>0</v>
          </cell>
          <cell r="BI523">
            <v>0</v>
          </cell>
          <cell r="BJ523">
            <v>1</v>
          </cell>
          <cell r="BK523">
            <v>0</v>
          </cell>
          <cell r="BL523">
            <v>0</v>
          </cell>
          <cell r="BM523">
            <v>1</v>
          </cell>
          <cell r="BN523">
            <v>0</v>
          </cell>
          <cell r="BO523">
            <v>0</v>
          </cell>
          <cell r="BP523">
            <v>0</v>
          </cell>
          <cell r="BQ523">
            <v>0</v>
          </cell>
          <cell r="BR523">
            <v>4</v>
          </cell>
          <cell r="BS523">
            <v>0</v>
          </cell>
          <cell r="BT523">
            <v>0</v>
          </cell>
          <cell r="BU523">
            <v>6</v>
          </cell>
        </row>
        <row r="524">
          <cell r="A524">
            <v>37</v>
          </cell>
          <cell r="B524">
            <v>37</v>
          </cell>
          <cell r="D524">
            <v>0</v>
          </cell>
          <cell r="F524">
            <v>0</v>
          </cell>
          <cell r="G524">
            <v>1</v>
          </cell>
          <cell r="I524">
            <v>1</v>
          </cell>
          <cell r="J524">
            <v>0</v>
          </cell>
          <cell r="K524">
            <v>10</v>
          </cell>
          <cell r="L524">
            <v>10</v>
          </cell>
          <cell r="M524">
            <v>2</v>
          </cell>
          <cell r="O524">
            <v>1</v>
          </cell>
          <cell r="P524">
            <v>0</v>
          </cell>
          <cell r="Q524">
            <v>0</v>
          </cell>
          <cell r="R524">
            <v>0</v>
          </cell>
          <cell r="S524">
            <v>0</v>
          </cell>
          <cell r="T524">
            <v>4</v>
          </cell>
          <cell r="V524">
            <v>0</v>
          </cell>
          <cell r="W524">
            <v>80</v>
          </cell>
          <cell r="X524">
            <v>4</v>
          </cell>
          <cell r="Y524">
            <v>1</v>
          </cell>
          <cell r="AA524">
            <v>0</v>
          </cell>
          <cell r="AB524">
            <v>0</v>
          </cell>
          <cell r="AC524">
            <v>0</v>
          </cell>
          <cell r="AD524">
            <v>0</v>
          </cell>
          <cell r="AE524">
            <v>0</v>
          </cell>
          <cell r="AF524">
            <v>0</v>
          </cell>
          <cell r="AG524">
            <v>0</v>
          </cell>
          <cell r="AH524">
            <v>1</v>
          </cell>
          <cell r="AI524">
            <v>4</v>
          </cell>
          <cell r="AK524">
            <v>1</v>
          </cell>
          <cell r="AL524">
            <v>0</v>
          </cell>
          <cell r="AN524">
            <v>4680</v>
          </cell>
          <cell r="AO524">
            <v>3</v>
          </cell>
          <cell r="AQ524">
            <v>0</v>
          </cell>
          <cell r="AR524">
            <v>17</v>
          </cell>
          <cell r="AS524">
            <v>3</v>
          </cell>
          <cell r="AT524">
            <v>1</v>
          </cell>
          <cell r="AU524">
            <v>0</v>
          </cell>
          <cell r="AV524">
            <v>4</v>
          </cell>
          <cell r="AW524">
            <v>4</v>
          </cell>
          <cell r="AX524">
            <v>2</v>
          </cell>
          <cell r="AY524">
            <v>3</v>
          </cell>
          <cell r="AZ524">
            <v>1</v>
          </cell>
          <cell r="BA524">
            <v>1</v>
          </cell>
          <cell r="BB524">
            <v>0</v>
          </cell>
          <cell r="BC524">
            <v>0</v>
          </cell>
          <cell r="BD524">
            <v>0</v>
          </cell>
          <cell r="BE524">
            <v>0</v>
          </cell>
          <cell r="BF524">
            <v>0</v>
          </cell>
          <cell r="BG524">
            <v>0</v>
          </cell>
          <cell r="BH524">
            <v>1</v>
          </cell>
          <cell r="BI524">
            <v>0</v>
          </cell>
          <cell r="BJ524">
            <v>0</v>
          </cell>
          <cell r="BK524">
            <v>0</v>
          </cell>
          <cell r="BL524">
            <v>1</v>
          </cell>
          <cell r="BM524">
            <v>0</v>
          </cell>
          <cell r="BN524">
            <v>0</v>
          </cell>
          <cell r="BO524">
            <v>0</v>
          </cell>
          <cell r="BP524">
            <v>0</v>
          </cell>
          <cell r="BQ524">
            <v>0</v>
          </cell>
          <cell r="BR524">
            <v>0</v>
          </cell>
          <cell r="BS524">
            <v>0</v>
          </cell>
          <cell r="BT524">
            <v>4</v>
          </cell>
          <cell r="BU524">
            <v>0</v>
          </cell>
        </row>
        <row r="525">
          <cell r="A525">
            <v>50</v>
          </cell>
          <cell r="B525">
            <v>50</v>
          </cell>
          <cell r="D525">
            <v>0</v>
          </cell>
          <cell r="F525">
            <v>0</v>
          </cell>
          <cell r="G525">
            <v>1</v>
          </cell>
          <cell r="I525">
            <v>1</v>
          </cell>
          <cell r="J525">
            <v>0</v>
          </cell>
          <cell r="K525">
            <v>28</v>
          </cell>
          <cell r="L525">
            <v>28</v>
          </cell>
          <cell r="M525">
            <v>1</v>
          </cell>
          <cell r="O525">
            <v>0</v>
          </cell>
          <cell r="P525">
            <v>0</v>
          </cell>
          <cell r="Q525">
            <v>1</v>
          </cell>
          <cell r="R525">
            <v>0</v>
          </cell>
          <cell r="S525">
            <v>0</v>
          </cell>
          <cell r="T525">
            <v>4</v>
          </cell>
          <cell r="V525">
            <v>0</v>
          </cell>
          <cell r="W525">
            <v>74</v>
          </cell>
          <cell r="X525">
            <v>4</v>
          </cell>
          <cell r="Y525">
            <v>1</v>
          </cell>
          <cell r="AA525">
            <v>0</v>
          </cell>
          <cell r="AB525">
            <v>0</v>
          </cell>
          <cell r="AC525">
            <v>1</v>
          </cell>
          <cell r="AD525">
            <v>0</v>
          </cell>
          <cell r="AE525">
            <v>0</v>
          </cell>
          <cell r="AF525">
            <v>0</v>
          </cell>
          <cell r="AG525">
            <v>0</v>
          </cell>
          <cell r="AH525">
            <v>0</v>
          </cell>
          <cell r="AI525">
            <v>3</v>
          </cell>
          <cell r="AK525">
            <v>0</v>
          </cell>
          <cell r="AL525">
            <v>1</v>
          </cell>
          <cell r="AN525">
            <v>3221</v>
          </cell>
          <cell r="AO525">
            <v>1</v>
          </cell>
          <cell r="AQ525">
            <v>1</v>
          </cell>
          <cell r="AR525">
            <v>11</v>
          </cell>
          <cell r="AS525">
            <v>3</v>
          </cell>
          <cell r="AT525">
            <v>3</v>
          </cell>
          <cell r="AU525">
            <v>3</v>
          </cell>
          <cell r="AV525">
            <v>20</v>
          </cell>
          <cell r="AW525">
            <v>20</v>
          </cell>
          <cell r="AX525">
            <v>3</v>
          </cell>
          <cell r="AY525">
            <v>3</v>
          </cell>
          <cell r="AZ525">
            <v>20</v>
          </cell>
          <cell r="BA525">
            <v>20</v>
          </cell>
          <cell r="BB525">
            <v>8</v>
          </cell>
          <cell r="BC525">
            <v>3</v>
          </cell>
          <cell r="BD525">
            <v>3</v>
          </cell>
          <cell r="BE525">
            <v>8</v>
          </cell>
          <cell r="BF525">
            <v>8</v>
          </cell>
          <cell r="BG525">
            <v>8</v>
          </cell>
          <cell r="BH525">
            <v>0</v>
          </cell>
          <cell r="BI525">
            <v>1</v>
          </cell>
          <cell r="BJ525">
            <v>0</v>
          </cell>
          <cell r="BK525">
            <v>0</v>
          </cell>
          <cell r="BL525">
            <v>0</v>
          </cell>
          <cell r="BM525">
            <v>0</v>
          </cell>
          <cell r="BN525">
            <v>0</v>
          </cell>
          <cell r="BO525">
            <v>1</v>
          </cell>
          <cell r="BP525">
            <v>0</v>
          </cell>
          <cell r="BQ525">
            <v>8</v>
          </cell>
          <cell r="BR525">
            <v>0</v>
          </cell>
          <cell r="BS525">
            <v>0</v>
          </cell>
          <cell r="BT525">
            <v>20</v>
          </cell>
          <cell r="BU525">
            <v>0</v>
          </cell>
        </row>
        <row r="526">
          <cell r="A526">
            <v>34</v>
          </cell>
          <cell r="B526">
            <v>34</v>
          </cell>
          <cell r="D526">
            <v>0</v>
          </cell>
          <cell r="F526">
            <v>0</v>
          </cell>
          <cell r="G526">
            <v>1</v>
          </cell>
          <cell r="I526">
            <v>1</v>
          </cell>
          <cell r="J526">
            <v>0</v>
          </cell>
          <cell r="K526">
            <v>9</v>
          </cell>
          <cell r="L526">
            <v>9</v>
          </cell>
          <cell r="M526">
            <v>3</v>
          </cell>
          <cell r="O526">
            <v>0</v>
          </cell>
          <cell r="P526">
            <v>0</v>
          </cell>
          <cell r="Q526">
            <v>1</v>
          </cell>
          <cell r="R526">
            <v>0</v>
          </cell>
          <cell r="S526">
            <v>0</v>
          </cell>
          <cell r="T526">
            <v>4</v>
          </cell>
          <cell r="V526">
            <v>1</v>
          </cell>
          <cell r="W526">
            <v>46</v>
          </cell>
          <cell r="X526">
            <v>2</v>
          </cell>
          <cell r="Y526">
            <v>3</v>
          </cell>
          <cell r="AA526">
            <v>1</v>
          </cell>
          <cell r="AB526">
            <v>0</v>
          </cell>
          <cell r="AC526">
            <v>0</v>
          </cell>
          <cell r="AD526">
            <v>0</v>
          </cell>
          <cell r="AE526">
            <v>0</v>
          </cell>
          <cell r="AF526">
            <v>0</v>
          </cell>
          <cell r="AG526">
            <v>0</v>
          </cell>
          <cell r="AH526">
            <v>0</v>
          </cell>
          <cell r="AI526">
            <v>2</v>
          </cell>
          <cell r="AK526">
            <v>1</v>
          </cell>
          <cell r="AL526">
            <v>0</v>
          </cell>
          <cell r="AN526">
            <v>8621</v>
          </cell>
          <cell r="AO526">
            <v>1</v>
          </cell>
          <cell r="AQ526">
            <v>0</v>
          </cell>
          <cell r="AR526">
            <v>14</v>
          </cell>
          <cell r="AS526">
            <v>3</v>
          </cell>
          <cell r="AT526">
            <v>2</v>
          </cell>
          <cell r="AU526">
            <v>0</v>
          </cell>
          <cell r="AV526">
            <v>9</v>
          </cell>
          <cell r="AW526">
            <v>9</v>
          </cell>
          <cell r="AX526">
            <v>3</v>
          </cell>
          <cell r="AY526">
            <v>4</v>
          </cell>
          <cell r="AZ526">
            <v>8</v>
          </cell>
          <cell r="BA526">
            <v>8</v>
          </cell>
          <cell r="BB526">
            <v>7</v>
          </cell>
          <cell r="BC526">
            <v>7</v>
          </cell>
          <cell r="BD526">
            <v>7</v>
          </cell>
          <cell r="BE526">
            <v>7</v>
          </cell>
          <cell r="BF526">
            <v>7</v>
          </cell>
          <cell r="BG526">
            <v>21</v>
          </cell>
          <cell r="BH526">
            <v>1</v>
          </cell>
          <cell r="BI526">
            <v>0</v>
          </cell>
          <cell r="BJ526">
            <v>0</v>
          </cell>
          <cell r="BK526">
            <v>0</v>
          </cell>
          <cell r="BL526">
            <v>1</v>
          </cell>
          <cell r="BM526">
            <v>0</v>
          </cell>
          <cell r="BN526">
            <v>0</v>
          </cell>
          <cell r="BO526">
            <v>0</v>
          </cell>
          <cell r="BP526">
            <v>0</v>
          </cell>
          <cell r="BQ526">
            <v>7</v>
          </cell>
          <cell r="BR526">
            <v>0</v>
          </cell>
          <cell r="BS526">
            <v>0</v>
          </cell>
          <cell r="BT526">
            <v>9</v>
          </cell>
          <cell r="BU526">
            <v>0</v>
          </cell>
        </row>
        <row r="527">
          <cell r="A527">
            <v>24</v>
          </cell>
          <cell r="B527">
            <v>24</v>
          </cell>
          <cell r="D527">
            <v>1</v>
          </cell>
          <cell r="F527">
            <v>0</v>
          </cell>
          <cell r="G527">
            <v>1</v>
          </cell>
          <cell r="I527">
            <v>0</v>
          </cell>
          <cell r="J527">
            <v>1</v>
          </cell>
          <cell r="K527">
            <v>3</v>
          </cell>
          <cell r="L527">
            <v>3</v>
          </cell>
          <cell r="M527">
            <v>2</v>
          </cell>
          <cell r="O527">
            <v>1</v>
          </cell>
          <cell r="P527">
            <v>0</v>
          </cell>
          <cell r="Q527">
            <v>0</v>
          </cell>
          <cell r="R527">
            <v>0</v>
          </cell>
          <cell r="S527">
            <v>0</v>
          </cell>
          <cell r="T527">
            <v>1</v>
          </cell>
          <cell r="V527">
            <v>1</v>
          </cell>
          <cell r="W527">
            <v>65</v>
          </cell>
          <cell r="X527">
            <v>3</v>
          </cell>
          <cell r="Y527">
            <v>2</v>
          </cell>
          <cell r="AA527">
            <v>0</v>
          </cell>
          <cell r="AB527">
            <v>1</v>
          </cell>
          <cell r="AC527">
            <v>0</v>
          </cell>
          <cell r="AD527">
            <v>0</v>
          </cell>
          <cell r="AE527">
            <v>0</v>
          </cell>
          <cell r="AF527">
            <v>0</v>
          </cell>
          <cell r="AG527">
            <v>0</v>
          </cell>
          <cell r="AH527">
            <v>0</v>
          </cell>
          <cell r="AI527">
            <v>3</v>
          </cell>
          <cell r="AK527">
            <v>1</v>
          </cell>
          <cell r="AL527">
            <v>0</v>
          </cell>
          <cell r="AN527">
            <v>4577</v>
          </cell>
          <cell r="AO527">
            <v>9</v>
          </cell>
          <cell r="AQ527">
            <v>0</v>
          </cell>
          <cell r="AR527">
            <v>14</v>
          </cell>
          <cell r="AS527">
            <v>3</v>
          </cell>
          <cell r="AT527">
            <v>1</v>
          </cell>
          <cell r="AU527">
            <v>0</v>
          </cell>
          <cell r="AV527">
            <v>4</v>
          </cell>
          <cell r="AW527">
            <v>4</v>
          </cell>
          <cell r="AX527">
            <v>3</v>
          </cell>
          <cell r="AY527">
            <v>3</v>
          </cell>
          <cell r="AZ527">
            <v>2</v>
          </cell>
          <cell r="BA527">
            <v>2</v>
          </cell>
          <cell r="BB527">
            <v>2</v>
          </cell>
          <cell r="BC527">
            <v>2</v>
          </cell>
          <cell r="BD527">
            <v>2</v>
          </cell>
          <cell r="BE527">
            <v>0</v>
          </cell>
          <cell r="BF527">
            <v>0</v>
          </cell>
          <cell r="BG527">
            <v>0</v>
          </cell>
          <cell r="BH527">
            <v>1</v>
          </cell>
          <cell r="BI527">
            <v>0</v>
          </cell>
          <cell r="BJ527">
            <v>0</v>
          </cell>
          <cell r="BK527">
            <v>0</v>
          </cell>
          <cell r="BL527">
            <v>1</v>
          </cell>
          <cell r="BM527">
            <v>0</v>
          </cell>
          <cell r="BN527">
            <v>0</v>
          </cell>
          <cell r="BO527">
            <v>0</v>
          </cell>
          <cell r="BP527">
            <v>0</v>
          </cell>
          <cell r="BQ527">
            <v>0</v>
          </cell>
          <cell r="BR527">
            <v>0</v>
          </cell>
          <cell r="BS527">
            <v>0</v>
          </cell>
          <cell r="BT527">
            <v>0</v>
          </cell>
          <cell r="BU527">
            <v>4</v>
          </cell>
        </row>
        <row r="528">
          <cell r="A528">
            <v>39</v>
          </cell>
          <cell r="B528">
            <v>39</v>
          </cell>
          <cell r="D528">
            <v>0</v>
          </cell>
          <cell r="F528">
            <v>0</v>
          </cell>
          <cell r="G528">
            <v>1</v>
          </cell>
          <cell r="I528">
            <v>1</v>
          </cell>
          <cell r="J528">
            <v>0</v>
          </cell>
          <cell r="K528">
            <v>2</v>
          </cell>
          <cell r="L528">
            <v>2</v>
          </cell>
          <cell r="M528">
            <v>4</v>
          </cell>
          <cell r="O528">
            <v>0</v>
          </cell>
          <cell r="P528">
            <v>0</v>
          </cell>
          <cell r="Q528">
            <v>0</v>
          </cell>
          <cell r="R528">
            <v>0</v>
          </cell>
          <cell r="S528">
            <v>1</v>
          </cell>
          <cell r="T528">
            <v>4</v>
          </cell>
          <cell r="V528">
            <v>1</v>
          </cell>
          <cell r="W528">
            <v>80</v>
          </cell>
          <cell r="X528">
            <v>2</v>
          </cell>
          <cell r="Y528">
            <v>2</v>
          </cell>
          <cell r="AA528">
            <v>1</v>
          </cell>
          <cell r="AB528">
            <v>0</v>
          </cell>
          <cell r="AC528">
            <v>0</v>
          </cell>
          <cell r="AD528">
            <v>0</v>
          </cell>
          <cell r="AE528">
            <v>0</v>
          </cell>
          <cell r="AF528">
            <v>0</v>
          </cell>
          <cell r="AG528">
            <v>0</v>
          </cell>
          <cell r="AH528">
            <v>0</v>
          </cell>
          <cell r="AI528">
            <v>3</v>
          </cell>
          <cell r="AK528">
            <v>1</v>
          </cell>
          <cell r="AL528">
            <v>0</v>
          </cell>
          <cell r="AN528">
            <v>4553</v>
          </cell>
          <cell r="AO528">
            <v>1</v>
          </cell>
          <cell r="AQ528">
            <v>0</v>
          </cell>
          <cell r="AR528">
            <v>11</v>
          </cell>
          <cell r="AS528">
            <v>3</v>
          </cell>
          <cell r="AT528">
            <v>1</v>
          </cell>
          <cell r="AU528">
            <v>0</v>
          </cell>
          <cell r="AV528">
            <v>20</v>
          </cell>
          <cell r="AW528">
            <v>20</v>
          </cell>
          <cell r="AX528">
            <v>4</v>
          </cell>
          <cell r="AY528">
            <v>3</v>
          </cell>
          <cell r="AZ528">
            <v>20</v>
          </cell>
          <cell r="BA528">
            <v>20</v>
          </cell>
          <cell r="BB528">
            <v>7</v>
          </cell>
          <cell r="BC528">
            <v>11</v>
          </cell>
          <cell r="BD528">
            <v>11</v>
          </cell>
          <cell r="BE528">
            <v>10</v>
          </cell>
          <cell r="BF528">
            <v>10</v>
          </cell>
          <cell r="BG528">
            <v>20</v>
          </cell>
          <cell r="BH528">
            <v>1</v>
          </cell>
          <cell r="BI528">
            <v>0</v>
          </cell>
          <cell r="BJ528">
            <v>0</v>
          </cell>
          <cell r="BK528">
            <v>0</v>
          </cell>
          <cell r="BL528">
            <v>1</v>
          </cell>
          <cell r="BM528">
            <v>0</v>
          </cell>
          <cell r="BN528">
            <v>0</v>
          </cell>
          <cell r="BO528">
            <v>0</v>
          </cell>
          <cell r="BP528">
            <v>0</v>
          </cell>
          <cell r="BQ528">
            <v>10</v>
          </cell>
          <cell r="BR528">
            <v>0</v>
          </cell>
          <cell r="BS528">
            <v>0</v>
          </cell>
          <cell r="BT528">
            <v>20</v>
          </cell>
          <cell r="BU528">
            <v>0</v>
          </cell>
        </row>
        <row r="529">
          <cell r="A529">
            <v>32</v>
          </cell>
          <cell r="B529">
            <v>32</v>
          </cell>
          <cell r="D529">
            <v>0</v>
          </cell>
          <cell r="F529">
            <v>0</v>
          </cell>
          <cell r="G529">
            <v>1</v>
          </cell>
          <cell r="I529">
            <v>0</v>
          </cell>
          <cell r="J529">
            <v>1</v>
          </cell>
          <cell r="K529">
            <v>10</v>
          </cell>
          <cell r="L529">
            <v>10</v>
          </cell>
          <cell r="M529">
            <v>3</v>
          </cell>
          <cell r="O529">
            <v>0</v>
          </cell>
          <cell r="P529">
            <v>0</v>
          </cell>
          <cell r="Q529">
            <v>0</v>
          </cell>
          <cell r="R529">
            <v>1</v>
          </cell>
          <cell r="S529">
            <v>0</v>
          </cell>
          <cell r="T529">
            <v>4</v>
          </cell>
          <cell r="V529">
            <v>0</v>
          </cell>
          <cell r="W529">
            <v>55</v>
          </cell>
          <cell r="X529">
            <v>3</v>
          </cell>
          <cell r="Y529">
            <v>2</v>
          </cell>
          <cell r="AA529">
            <v>0</v>
          </cell>
          <cell r="AB529">
            <v>1</v>
          </cell>
          <cell r="AC529">
            <v>0</v>
          </cell>
          <cell r="AD529">
            <v>0</v>
          </cell>
          <cell r="AE529">
            <v>0</v>
          </cell>
          <cell r="AF529">
            <v>0</v>
          </cell>
          <cell r="AG529">
            <v>0</v>
          </cell>
          <cell r="AH529">
            <v>0</v>
          </cell>
          <cell r="AI529">
            <v>4</v>
          </cell>
          <cell r="AK529">
            <v>1</v>
          </cell>
          <cell r="AL529">
            <v>0</v>
          </cell>
          <cell r="AN529">
            <v>5396</v>
          </cell>
          <cell r="AO529">
            <v>1</v>
          </cell>
          <cell r="AQ529">
            <v>0</v>
          </cell>
          <cell r="AR529">
            <v>12</v>
          </cell>
          <cell r="AS529">
            <v>3</v>
          </cell>
          <cell r="AT529">
            <v>4</v>
          </cell>
          <cell r="AU529">
            <v>0</v>
          </cell>
          <cell r="AV529">
            <v>10</v>
          </cell>
          <cell r="AW529">
            <v>10</v>
          </cell>
          <cell r="AX529">
            <v>2</v>
          </cell>
          <cell r="AY529">
            <v>2</v>
          </cell>
          <cell r="AZ529">
            <v>10</v>
          </cell>
          <cell r="BA529">
            <v>10</v>
          </cell>
          <cell r="BB529">
            <v>7</v>
          </cell>
          <cell r="BC529">
            <v>0</v>
          </cell>
          <cell r="BD529">
            <v>0</v>
          </cell>
          <cell r="BE529">
            <v>8</v>
          </cell>
          <cell r="BF529">
            <v>8</v>
          </cell>
          <cell r="BG529">
            <v>16</v>
          </cell>
          <cell r="BH529">
            <v>1</v>
          </cell>
          <cell r="BI529">
            <v>0</v>
          </cell>
          <cell r="BJ529">
            <v>0</v>
          </cell>
          <cell r="BK529">
            <v>0</v>
          </cell>
          <cell r="BL529">
            <v>1</v>
          </cell>
          <cell r="BM529">
            <v>0</v>
          </cell>
          <cell r="BN529">
            <v>0</v>
          </cell>
          <cell r="BO529">
            <v>0</v>
          </cell>
          <cell r="BP529">
            <v>0</v>
          </cell>
          <cell r="BQ529">
            <v>0</v>
          </cell>
          <cell r="BR529">
            <v>8</v>
          </cell>
          <cell r="BS529">
            <v>0</v>
          </cell>
          <cell r="BT529">
            <v>0</v>
          </cell>
          <cell r="BU529">
            <v>10</v>
          </cell>
        </row>
        <row r="530">
          <cell r="A530">
            <v>50</v>
          </cell>
          <cell r="B530">
            <v>50</v>
          </cell>
          <cell r="D530">
            <v>1</v>
          </cell>
          <cell r="F530">
            <v>1</v>
          </cell>
          <cell r="G530">
            <v>0</v>
          </cell>
          <cell r="I530">
            <v>0</v>
          </cell>
          <cell r="J530">
            <v>1</v>
          </cell>
          <cell r="K530">
            <v>8</v>
          </cell>
          <cell r="L530">
            <v>8</v>
          </cell>
          <cell r="M530">
            <v>2</v>
          </cell>
          <cell r="O530">
            <v>0</v>
          </cell>
          <cell r="P530">
            <v>0</v>
          </cell>
          <cell r="Q530">
            <v>0</v>
          </cell>
          <cell r="R530">
            <v>0</v>
          </cell>
          <cell r="S530">
            <v>1</v>
          </cell>
          <cell r="T530">
            <v>2</v>
          </cell>
          <cell r="V530">
            <v>0</v>
          </cell>
          <cell r="W530">
            <v>50</v>
          </cell>
          <cell r="X530">
            <v>3</v>
          </cell>
          <cell r="Y530">
            <v>2</v>
          </cell>
          <cell r="AA530">
            <v>0</v>
          </cell>
          <cell r="AB530">
            <v>1</v>
          </cell>
          <cell r="AC530">
            <v>0</v>
          </cell>
          <cell r="AD530">
            <v>0</v>
          </cell>
          <cell r="AE530">
            <v>0</v>
          </cell>
          <cell r="AF530">
            <v>0</v>
          </cell>
          <cell r="AG530">
            <v>0</v>
          </cell>
          <cell r="AH530">
            <v>0</v>
          </cell>
          <cell r="AI530">
            <v>3</v>
          </cell>
          <cell r="AK530">
            <v>0</v>
          </cell>
          <cell r="AL530">
            <v>1</v>
          </cell>
          <cell r="AN530">
            <v>6796</v>
          </cell>
          <cell r="AO530">
            <v>3</v>
          </cell>
          <cell r="AQ530">
            <v>1</v>
          </cell>
          <cell r="AR530">
            <v>14</v>
          </cell>
          <cell r="AS530">
            <v>3</v>
          </cell>
          <cell r="AT530">
            <v>1</v>
          </cell>
          <cell r="AU530">
            <v>1</v>
          </cell>
          <cell r="AV530">
            <v>18</v>
          </cell>
          <cell r="AW530">
            <v>18</v>
          </cell>
          <cell r="AX530">
            <v>4</v>
          </cell>
          <cell r="AY530">
            <v>3</v>
          </cell>
          <cell r="AZ530">
            <v>4</v>
          </cell>
          <cell r="BA530">
            <v>4</v>
          </cell>
          <cell r="BB530">
            <v>3</v>
          </cell>
          <cell r="BC530">
            <v>1</v>
          </cell>
          <cell r="BD530">
            <v>1</v>
          </cell>
          <cell r="BE530">
            <v>3</v>
          </cell>
          <cell r="BF530">
            <v>3</v>
          </cell>
          <cell r="BG530">
            <v>6</v>
          </cell>
          <cell r="BH530">
            <v>0</v>
          </cell>
          <cell r="BI530">
            <v>0</v>
          </cell>
          <cell r="BJ530">
            <v>0</v>
          </cell>
          <cell r="BK530">
            <v>1</v>
          </cell>
          <cell r="BL530">
            <v>0</v>
          </cell>
          <cell r="BM530">
            <v>0</v>
          </cell>
          <cell r="BN530">
            <v>0</v>
          </cell>
          <cell r="BO530">
            <v>1</v>
          </cell>
          <cell r="BP530">
            <v>0</v>
          </cell>
          <cell r="BQ530">
            <v>0</v>
          </cell>
          <cell r="BR530">
            <v>3</v>
          </cell>
          <cell r="BS530">
            <v>0</v>
          </cell>
          <cell r="BT530">
            <v>0</v>
          </cell>
          <cell r="BU530">
            <v>18</v>
          </cell>
        </row>
        <row r="531">
          <cell r="A531">
            <v>38</v>
          </cell>
          <cell r="B531">
            <v>38</v>
          </cell>
          <cell r="D531">
            <v>0</v>
          </cell>
          <cell r="F531">
            <v>0</v>
          </cell>
          <cell r="G531">
            <v>1</v>
          </cell>
          <cell r="I531">
            <v>1</v>
          </cell>
          <cell r="J531">
            <v>0</v>
          </cell>
          <cell r="K531">
            <v>1</v>
          </cell>
          <cell r="L531">
            <v>1</v>
          </cell>
          <cell r="M531">
            <v>4</v>
          </cell>
          <cell r="O531">
            <v>1</v>
          </cell>
          <cell r="P531">
            <v>0</v>
          </cell>
          <cell r="Q531">
            <v>0</v>
          </cell>
          <cell r="R531">
            <v>0</v>
          </cell>
          <cell r="S531">
            <v>0</v>
          </cell>
          <cell r="T531">
            <v>2</v>
          </cell>
          <cell r="V531">
            <v>1</v>
          </cell>
          <cell r="W531">
            <v>33</v>
          </cell>
          <cell r="X531">
            <v>4</v>
          </cell>
          <cell r="Y531">
            <v>2</v>
          </cell>
          <cell r="AA531">
            <v>1</v>
          </cell>
          <cell r="AB531">
            <v>0</v>
          </cell>
          <cell r="AC531">
            <v>0</v>
          </cell>
          <cell r="AD531">
            <v>0</v>
          </cell>
          <cell r="AE531">
            <v>0</v>
          </cell>
          <cell r="AF531">
            <v>0</v>
          </cell>
          <cell r="AG531">
            <v>0</v>
          </cell>
          <cell r="AH531">
            <v>0</v>
          </cell>
          <cell r="AI531">
            <v>4</v>
          </cell>
          <cell r="AK531">
            <v>1</v>
          </cell>
          <cell r="AL531">
            <v>0</v>
          </cell>
          <cell r="AN531">
            <v>7625</v>
          </cell>
          <cell r="AO531">
            <v>0</v>
          </cell>
          <cell r="AQ531">
            <v>0</v>
          </cell>
          <cell r="AR531">
            <v>13</v>
          </cell>
          <cell r="AS531">
            <v>3</v>
          </cell>
          <cell r="AT531">
            <v>3</v>
          </cell>
          <cell r="AU531">
            <v>0</v>
          </cell>
          <cell r="AV531">
            <v>10</v>
          </cell>
          <cell r="AW531">
            <v>10</v>
          </cell>
          <cell r="AX531">
            <v>4</v>
          </cell>
          <cell r="AY531">
            <v>2</v>
          </cell>
          <cell r="AZ531">
            <v>9</v>
          </cell>
          <cell r="BA531">
            <v>9</v>
          </cell>
          <cell r="BB531">
            <v>7</v>
          </cell>
          <cell r="BC531">
            <v>1</v>
          </cell>
          <cell r="BD531">
            <v>1</v>
          </cell>
          <cell r="BE531">
            <v>8</v>
          </cell>
          <cell r="BF531">
            <v>8</v>
          </cell>
          <cell r="BG531">
            <v>16</v>
          </cell>
          <cell r="BH531">
            <v>1</v>
          </cell>
          <cell r="BI531">
            <v>0</v>
          </cell>
          <cell r="BJ531">
            <v>0</v>
          </cell>
          <cell r="BK531">
            <v>0</v>
          </cell>
          <cell r="BL531">
            <v>1</v>
          </cell>
          <cell r="BM531">
            <v>0</v>
          </cell>
          <cell r="BN531">
            <v>0</v>
          </cell>
          <cell r="BO531">
            <v>0</v>
          </cell>
          <cell r="BP531">
            <v>0</v>
          </cell>
          <cell r="BQ531">
            <v>8</v>
          </cell>
          <cell r="BR531">
            <v>0</v>
          </cell>
          <cell r="BS531">
            <v>0</v>
          </cell>
          <cell r="BT531">
            <v>10</v>
          </cell>
          <cell r="BU531">
            <v>0</v>
          </cell>
        </row>
        <row r="532">
          <cell r="A532">
            <v>27</v>
          </cell>
          <cell r="B532">
            <v>27</v>
          </cell>
          <cell r="D532">
            <v>0</v>
          </cell>
          <cell r="F532">
            <v>0</v>
          </cell>
          <cell r="G532">
            <v>1</v>
          </cell>
          <cell r="I532">
            <v>1</v>
          </cell>
          <cell r="J532">
            <v>0</v>
          </cell>
          <cell r="K532">
            <v>1</v>
          </cell>
          <cell r="L532">
            <v>1</v>
          </cell>
          <cell r="M532">
            <v>2</v>
          </cell>
          <cell r="O532">
            <v>1</v>
          </cell>
          <cell r="P532">
            <v>0</v>
          </cell>
          <cell r="Q532">
            <v>0</v>
          </cell>
          <cell r="R532">
            <v>0</v>
          </cell>
          <cell r="S532">
            <v>0</v>
          </cell>
          <cell r="T532">
            <v>3</v>
          </cell>
          <cell r="V532">
            <v>1</v>
          </cell>
          <cell r="W532">
            <v>68</v>
          </cell>
          <cell r="X532">
            <v>3</v>
          </cell>
          <cell r="Y532">
            <v>3</v>
          </cell>
          <cell r="AA532">
            <v>0</v>
          </cell>
          <cell r="AB532">
            <v>0</v>
          </cell>
          <cell r="AC532">
            <v>0</v>
          </cell>
          <cell r="AD532">
            <v>0</v>
          </cell>
          <cell r="AE532">
            <v>1</v>
          </cell>
          <cell r="AF532">
            <v>1</v>
          </cell>
          <cell r="AG532">
            <v>0</v>
          </cell>
          <cell r="AH532">
            <v>0</v>
          </cell>
          <cell r="AI532">
            <v>1</v>
          </cell>
          <cell r="AK532">
            <v>0</v>
          </cell>
          <cell r="AL532">
            <v>1</v>
          </cell>
          <cell r="AN532">
            <v>7412</v>
          </cell>
          <cell r="AO532">
            <v>1</v>
          </cell>
          <cell r="AQ532">
            <v>0</v>
          </cell>
          <cell r="AR532">
            <v>11</v>
          </cell>
          <cell r="AS532">
            <v>3</v>
          </cell>
          <cell r="AT532">
            <v>4</v>
          </cell>
          <cell r="AU532">
            <v>0</v>
          </cell>
          <cell r="AV532">
            <v>9</v>
          </cell>
          <cell r="AW532">
            <v>9</v>
          </cell>
          <cell r="AX532">
            <v>3</v>
          </cell>
          <cell r="AY532">
            <v>3</v>
          </cell>
          <cell r="AZ532">
            <v>9</v>
          </cell>
          <cell r="BA532">
            <v>9</v>
          </cell>
          <cell r="BB532">
            <v>7</v>
          </cell>
          <cell r="BC532">
            <v>0</v>
          </cell>
          <cell r="BD532">
            <v>0</v>
          </cell>
          <cell r="BE532">
            <v>7</v>
          </cell>
          <cell r="BF532">
            <v>7</v>
          </cell>
          <cell r="BG532">
            <v>21</v>
          </cell>
          <cell r="BH532">
            <v>0</v>
          </cell>
          <cell r="BI532">
            <v>1</v>
          </cell>
          <cell r="BJ532">
            <v>0</v>
          </cell>
          <cell r="BK532">
            <v>0</v>
          </cell>
          <cell r="BL532">
            <v>0</v>
          </cell>
          <cell r="BM532">
            <v>0</v>
          </cell>
          <cell r="BN532">
            <v>1</v>
          </cell>
          <cell r="BO532">
            <v>0</v>
          </cell>
          <cell r="BP532">
            <v>0</v>
          </cell>
          <cell r="BQ532">
            <v>7</v>
          </cell>
          <cell r="BR532">
            <v>0</v>
          </cell>
          <cell r="BS532">
            <v>0</v>
          </cell>
          <cell r="BT532">
            <v>9</v>
          </cell>
          <cell r="BU532">
            <v>0</v>
          </cell>
        </row>
        <row r="533">
          <cell r="A533">
            <v>32</v>
          </cell>
          <cell r="B533">
            <v>32</v>
          </cell>
          <cell r="D533">
            <v>0</v>
          </cell>
          <cell r="F533">
            <v>0</v>
          </cell>
          <cell r="G533">
            <v>1</v>
          </cell>
          <cell r="I533">
            <v>1</v>
          </cell>
          <cell r="J533">
            <v>0</v>
          </cell>
          <cell r="K533">
            <v>3</v>
          </cell>
          <cell r="L533">
            <v>3</v>
          </cell>
          <cell r="M533">
            <v>2</v>
          </cell>
          <cell r="O533">
            <v>1</v>
          </cell>
          <cell r="P533">
            <v>0</v>
          </cell>
          <cell r="Q533">
            <v>0</v>
          </cell>
          <cell r="R533">
            <v>0</v>
          </cell>
          <cell r="S533">
            <v>0</v>
          </cell>
          <cell r="T533">
            <v>3</v>
          </cell>
          <cell r="V533">
            <v>1</v>
          </cell>
          <cell r="W533">
            <v>39</v>
          </cell>
          <cell r="X533">
            <v>3</v>
          </cell>
          <cell r="Y533">
            <v>3</v>
          </cell>
          <cell r="AA533">
            <v>0</v>
          </cell>
          <cell r="AB533">
            <v>0</v>
          </cell>
          <cell r="AC533">
            <v>0</v>
          </cell>
          <cell r="AD533">
            <v>0</v>
          </cell>
          <cell r="AE533">
            <v>0</v>
          </cell>
          <cell r="AF533">
            <v>0</v>
          </cell>
          <cell r="AG533">
            <v>0</v>
          </cell>
          <cell r="AH533">
            <v>0</v>
          </cell>
          <cell r="AI533">
            <v>4</v>
          </cell>
          <cell r="AK533">
            <v>1</v>
          </cell>
          <cell r="AL533">
            <v>0</v>
          </cell>
          <cell r="AN533">
            <v>11159</v>
          </cell>
          <cell r="AO533">
            <v>3</v>
          </cell>
          <cell r="AQ533">
            <v>0</v>
          </cell>
          <cell r="AR533">
            <v>15</v>
          </cell>
          <cell r="AS533">
            <v>3</v>
          </cell>
          <cell r="AT533">
            <v>4</v>
          </cell>
          <cell r="AU533">
            <v>0</v>
          </cell>
          <cell r="AV533">
            <v>10</v>
          </cell>
          <cell r="AW533">
            <v>10</v>
          </cell>
          <cell r="AX533">
            <v>6</v>
          </cell>
          <cell r="AY533">
            <v>3</v>
          </cell>
          <cell r="AZ533">
            <v>7</v>
          </cell>
          <cell r="BA533">
            <v>7</v>
          </cell>
          <cell r="BB533">
            <v>7</v>
          </cell>
          <cell r="BC533">
            <v>7</v>
          </cell>
          <cell r="BD533">
            <v>7</v>
          </cell>
          <cell r="BE533">
            <v>7</v>
          </cell>
          <cell r="BF533">
            <v>7</v>
          </cell>
          <cell r="BG533">
            <v>21</v>
          </cell>
          <cell r="BH533">
            <v>1</v>
          </cell>
          <cell r="BI533">
            <v>0</v>
          </cell>
          <cell r="BJ533">
            <v>0</v>
          </cell>
          <cell r="BK533">
            <v>0</v>
          </cell>
          <cell r="BL533">
            <v>1</v>
          </cell>
          <cell r="BM533">
            <v>0</v>
          </cell>
          <cell r="BN533">
            <v>0</v>
          </cell>
          <cell r="BO533">
            <v>0</v>
          </cell>
          <cell r="BP533">
            <v>0</v>
          </cell>
          <cell r="BQ533">
            <v>7</v>
          </cell>
          <cell r="BR533">
            <v>0</v>
          </cell>
          <cell r="BS533">
            <v>0</v>
          </cell>
          <cell r="BT533">
            <v>10</v>
          </cell>
          <cell r="BU533">
            <v>0</v>
          </cell>
        </row>
        <row r="534">
          <cell r="A534">
            <v>47</v>
          </cell>
          <cell r="B534">
            <v>47</v>
          </cell>
          <cell r="D534">
            <v>0</v>
          </cell>
          <cell r="F534">
            <v>0</v>
          </cell>
          <cell r="G534">
            <v>1</v>
          </cell>
          <cell r="I534">
            <v>0</v>
          </cell>
          <cell r="J534">
            <v>1</v>
          </cell>
          <cell r="K534">
            <v>14</v>
          </cell>
          <cell r="L534">
            <v>14</v>
          </cell>
          <cell r="M534">
            <v>4</v>
          </cell>
          <cell r="O534">
            <v>0</v>
          </cell>
          <cell r="P534">
            <v>0</v>
          </cell>
          <cell r="Q534">
            <v>0</v>
          </cell>
          <cell r="R534">
            <v>1</v>
          </cell>
          <cell r="S534">
            <v>0</v>
          </cell>
          <cell r="T534">
            <v>4</v>
          </cell>
          <cell r="V534">
            <v>0</v>
          </cell>
          <cell r="W534">
            <v>42</v>
          </cell>
          <cell r="X534">
            <v>3</v>
          </cell>
          <cell r="Y534">
            <v>2</v>
          </cell>
          <cell r="AA534">
            <v>0</v>
          </cell>
          <cell r="AB534">
            <v>1</v>
          </cell>
          <cell r="AC534">
            <v>0</v>
          </cell>
          <cell r="AD534">
            <v>0</v>
          </cell>
          <cell r="AE534">
            <v>0</v>
          </cell>
          <cell r="AF534">
            <v>0</v>
          </cell>
          <cell r="AG534">
            <v>0</v>
          </cell>
          <cell r="AH534">
            <v>0</v>
          </cell>
          <cell r="AI534">
            <v>1</v>
          </cell>
          <cell r="AK534">
            <v>1</v>
          </cell>
          <cell r="AL534">
            <v>0</v>
          </cell>
          <cell r="AN534">
            <v>4960</v>
          </cell>
          <cell r="AO534">
            <v>2</v>
          </cell>
          <cell r="AQ534">
            <v>0</v>
          </cell>
          <cell r="AR534">
            <v>12</v>
          </cell>
          <cell r="AS534">
            <v>3</v>
          </cell>
          <cell r="AT534">
            <v>4</v>
          </cell>
          <cell r="AU534">
            <v>0</v>
          </cell>
          <cell r="AV534">
            <v>20</v>
          </cell>
          <cell r="AW534">
            <v>20</v>
          </cell>
          <cell r="AX534">
            <v>2</v>
          </cell>
          <cell r="AY534">
            <v>3</v>
          </cell>
          <cell r="AZ534">
            <v>7</v>
          </cell>
          <cell r="BA534">
            <v>7</v>
          </cell>
          <cell r="BB534">
            <v>7</v>
          </cell>
          <cell r="BC534">
            <v>1</v>
          </cell>
          <cell r="BD534">
            <v>1</v>
          </cell>
          <cell r="BE534">
            <v>7</v>
          </cell>
          <cell r="BF534">
            <v>7</v>
          </cell>
          <cell r="BG534">
            <v>14</v>
          </cell>
          <cell r="BH534">
            <v>1</v>
          </cell>
          <cell r="BI534">
            <v>0</v>
          </cell>
          <cell r="BJ534">
            <v>0</v>
          </cell>
          <cell r="BK534">
            <v>0</v>
          </cell>
          <cell r="BL534">
            <v>1</v>
          </cell>
          <cell r="BM534">
            <v>0</v>
          </cell>
          <cell r="BN534">
            <v>0</v>
          </cell>
          <cell r="BO534">
            <v>0</v>
          </cell>
          <cell r="BP534">
            <v>0</v>
          </cell>
          <cell r="BQ534">
            <v>0</v>
          </cell>
          <cell r="BR534">
            <v>7</v>
          </cell>
          <cell r="BS534">
            <v>0</v>
          </cell>
          <cell r="BT534">
            <v>0</v>
          </cell>
          <cell r="BU534">
            <v>20</v>
          </cell>
        </row>
        <row r="535">
          <cell r="A535">
            <v>40</v>
          </cell>
          <cell r="B535">
            <v>40</v>
          </cell>
          <cell r="D535">
            <v>0</v>
          </cell>
          <cell r="F535">
            <v>1</v>
          </cell>
          <cell r="G535">
            <v>0</v>
          </cell>
          <cell r="I535">
            <v>0</v>
          </cell>
          <cell r="J535">
            <v>1</v>
          </cell>
          <cell r="K535">
            <v>5</v>
          </cell>
          <cell r="L535">
            <v>5</v>
          </cell>
          <cell r="M535">
            <v>4</v>
          </cell>
          <cell r="O535">
            <v>1</v>
          </cell>
          <cell r="P535">
            <v>0</v>
          </cell>
          <cell r="Q535">
            <v>0</v>
          </cell>
          <cell r="R535">
            <v>0</v>
          </cell>
          <cell r="S535">
            <v>0</v>
          </cell>
          <cell r="T535">
            <v>4</v>
          </cell>
          <cell r="V535">
            <v>0</v>
          </cell>
          <cell r="W535">
            <v>48</v>
          </cell>
          <cell r="X535">
            <v>2</v>
          </cell>
          <cell r="Y535">
            <v>3</v>
          </cell>
          <cell r="AA535">
            <v>0</v>
          </cell>
          <cell r="AB535">
            <v>1</v>
          </cell>
          <cell r="AC535">
            <v>0</v>
          </cell>
          <cell r="AD535">
            <v>0</v>
          </cell>
          <cell r="AE535">
            <v>0</v>
          </cell>
          <cell r="AF535">
            <v>0</v>
          </cell>
          <cell r="AG535">
            <v>0</v>
          </cell>
          <cell r="AH535">
            <v>0</v>
          </cell>
          <cell r="AI535">
            <v>1</v>
          </cell>
          <cell r="AK535">
            <v>0</v>
          </cell>
          <cell r="AL535">
            <v>1</v>
          </cell>
          <cell r="AN535">
            <v>10475</v>
          </cell>
          <cell r="AO535">
            <v>5</v>
          </cell>
          <cell r="AQ535">
            <v>1</v>
          </cell>
          <cell r="AR535">
            <v>21</v>
          </cell>
          <cell r="AS535">
            <v>4</v>
          </cell>
          <cell r="AT535">
            <v>3</v>
          </cell>
          <cell r="AU535">
            <v>1</v>
          </cell>
          <cell r="AV535">
            <v>20</v>
          </cell>
          <cell r="AW535">
            <v>20</v>
          </cell>
          <cell r="AX535">
            <v>2</v>
          </cell>
          <cell r="AY535">
            <v>3</v>
          </cell>
          <cell r="AZ535">
            <v>18</v>
          </cell>
          <cell r="BA535">
            <v>18</v>
          </cell>
          <cell r="BB535">
            <v>13</v>
          </cell>
          <cell r="BC535">
            <v>1</v>
          </cell>
          <cell r="BD535">
            <v>1</v>
          </cell>
          <cell r="BE535">
            <v>12</v>
          </cell>
          <cell r="BF535">
            <v>12</v>
          </cell>
          <cell r="BG535">
            <v>36</v>
          </cell>
          <cell r="BH535">
            <v>0</v>
          </cell>
          <cell r="BI535">
            <v>0</v>
          </cell>
          <cell r="BJ535">
            <v>0</v>
          </cell>
          <cell r="BK535">
            <v>1</v>
          </cell>
          <cell r="BL535">
            <v>0</v>
          </cell>
          <cell r="BM535">
            <v>0</v>
          </cell>
          <cell r="BN535">
            <v>0</v>
          </cell>
          <cell r="BO535">
            <v>1</v>
          </cell>
          <cell r="BP535">
            <v>0</v>
          </cell>
          <cell r="BQ535">
            <v>0</v>
          </cell>
          <cell r="BR535">
            <v>12</v>
          </cell>
          <cell r="BS535">
            <v>0</v>
          </cell>
          <cell r="BT535">
            <v>0</v>
          </cell>
          <cell r="BU535">
            <v>20</v>
          </cell>
        </row>
        <row r="536">
          <cell r="A536">
            <v>53</v>
          </cell>
          <cell r="B536">
            <v>53</v>
          </cell>
          <cell r="D536">
            <v>0</v>
          </cell>
          <cell r="F536">
            <v>0</v>
          </cell>
          <cell r="G536">
            <v>1</v>
          </cell>
          <cell r="I536">
            <v>1</v>
          </cell>
          <cell r="J536">
            <v>0</v>
          </cell>
          <cell r="K536">
            <v>7</v>
          </cell>
          <cell r="L536">
            <v>7</v>
          </cell>
          <cell r="M536">
            <v>3</v>
          </cell>
          <cell r="O536">
            <v>1</v>
          </cell>
          <cell r="P536">
            <v>0</v>
          </cell>
          <cell r="Q536">
            <v>0</v>
          </cell>
          <cell r="R536">
            <v>0</v>
          </cell>
          <cell r="S536">
            <v>0</v>
          </cell>
          <cell r="T536">
            <v>3</v>
          </cell>
          <cell r="V536">
            <v>0</v>
          </cell>
          <cell r="W536">
            <v>59</v>
          </cell>
          <cell r="X536">
            <v>4</v>
          </cell>
          <cell r="Y536">
            <v>4</v>
          </cell>
          <cell r="AA536">
            <v>0</v>
          </cell>
          <cell r="AB536">
            <v>0</v>
          </cell>
          <cell r="AC536">
            <v>0</v>
          </cell>
          <cell r="AD536">
            <v>0</v>
          </cell>
          <cell r="AE536">
            <v>0</v>
          </cell>
          <cell r="AF536">
            <v>0</v>
          </cell>
          <cell r="AG536">
            <v>0</v>
          </cell>
          <cell r="AH536">
            <v>0</v>
          </cell>
          <cell r="AI536">
            <v>3</v>
          </cell>
          <cell r="AK536">
            <v>0</v>
          </cell>
          <cell r="AL536">
            <v>1</v>
          </cell>
          <cell r="AN536">
            <v>14814</v>
          </cell>
          <cell r="AO536">
            <v>3</v>
          </cell>
          <cell r="AQ536">
            <v>0</v>
          </cell>
          <cell r="AR536">
            <v>19</v>
          </cell>
          <cell r="AS536">
            <v>3</v>
          </cell>
          <cell r="AT536">
            <v>3</v>
          </cell>
          <cell r="AU536">
            <v>0</v>
          </cell>
          <cell r="AV536">
            <v>32</v>
          </cell>
          <cell r="AW536">
            <v>32</v>
          </cell>
          <cell r="AX536">
            <v>3</v>
          </cell>
          <cell r="AY536">
            <v>3</v>
          </cell>
          <cell r="AZ536">
            <v>5</v>
          </cell>
          <cell r="BA536">
            <v>5</v>
          </cell>
          <cell r="BB536">
            <v>1</v>
          </cell>
          <cell r="BC536">
            <v>1</v>
          </cell>
          <cell r="BD536">
            <v>1</v>
          </cell>
          <cell r="BE536">
            <v>3</v>
          </cell>
          <cell r="BF536">
            <v>3</v>
          </cell>
          <cell r="BG536">
            <v>12</v>
          </cell>
          <cell r="BH536">
            <v>0</v>
          </cell>
          <cell r="BI536">
            <v>1</v>
          </cell>
          <cell r="BJ536">
            <v>0</v>
          </cell>
          <cell r="BK536">
            <v>0</v>
          </cell>
          <cell r="BL536">
            <v>0</v>
          </cell>
          <cell r="BM536">
            <v>0</v>
          </cell>
          <cell r="BN536">
            <v>1</v>
          </cell>
          <cell r="BO536">
            <v>0</v>
          </cell>
          <cell r="BP536">
            <v>0</v>
          </cell>
          <cell r="BQ536">
            <v>3</v>
          </cell>
          <cell r="BR536">
            <v>0</v>
          </cell>
          <cell r="BS536">
            <v>0</v>
          </cell>
          <cell r="BT536">
            <v>32</v>
          </cell>
          <cell r="BU536">
            <v>0</v>
          </cell>
        </row>
        <row r="537">
          <cell r="A537">
            <v>41</v>
          </cell>
          <cell r="B537">
            <v>41</v>
          </cell>
          <cell r="D537">
            <v>0</v>
          </cell>
          <cell r="F537">
            <v>0</v>
          </cell>
          <cell r="G537">
            <v>1</v>
          </cell>
          <cell r="I537">
            <v>0</v>
          </cell>
          <cell r="J537">
            <v>0</v>
          </cell>
          <cell r="K537">
            <v>10</v>
          </cell>
          <cell r="L537">
            <v>10</v>
          </cell>
          <cell r="M537">
            <v>4</v>
          </cell>
          <cell r="O537">
            <v>0</v>
          </cell>
          <cell r="P537">
            <v>0</v>
          </cell>
          <cell r="Q537">
            <v>0</v>
          </cell>
          <cell r="R537">
            <v>0</v>
          </cell>
          <cell r="S537">
            <v>0</v>
          </cell>
          <cell r="T537">
            <v>2</v>
          </cell>
          <cell r="V537">
            <v>0</v>
          </cell>
          <cell r="W537">
            <v>73</v>
          </cell>
          <cell r="X537">
            <v>2</v>
          </cell>
          <cell r="Y537">
            <v>5</v>
          </cell>
          <cell r="AA537">
            <v>0</v>
          </cell>
          <cell r="AB537">
            <v>0</v>
          </cell>
          <cell r="AC537">
            <v>0</v>
          </cell>
          <cell r="AD537">
            <v>1</v>
          </cell>
          <cell r="AE537">
            <v>0</v>
          </cell>
          <cell r="AF537">
            <v>0</v>
          </cell>
          <cell r="AG537">
            <v>0</v>
          </cell>
          <cell r="AH537">
            <v>0</v>
          </cell>
          <cell r="AI537">
            <v>4</v>
          </cell>
          <cell r="AK537">
            <v>0</v>
          </cell>
          <cell r="AL537">
            <v>0</v>
          </cell>
          <cell r="AN537">
            <v>19141</v>
          </cell>
          <cell r="AO537">
            <v>3</v>
          </cell>
          <cell r="AQ537">
            <v>0</v>
          </cell>
          <cell r="AR537">
            <v>15</v>
          </cell>
          <cell r="AS537">
            <v>3</v>
          </cell>
          <cell r="AT537">
            <v>2</v>
          </cell>
          <cell r="AU537">
            <v>3</v>
          </cell>
          <cell r="AV537">
            <v>23</v>
          </cell>
          <cell r="AW537">
            <v>23</v>
          </cell>
          <cell r="AX537">
            <v>2</v>
          </cell>
          <cell r="AY537">
            <v>2</v>
          </cell>
          <cell r="AZ537">
            <v>21</v>
          </cell>
          <cell r="BA537">
            <v>21</v>
          </cell>
          <cell r="BB537">
            <v>6</v>
          </cell>
          <cell r="BC537">
            <v>12</v>
          </cell>
          <cell r="BD537">
            <v>12</v>
          </cell>
          <cell r="BE537">
            <v>6</v>
          </cell>
          <cell r="BF537">
            <v>6</v>
          </cell>
          <cell r="BG537">
            <v>30</v>
          </cell>
          <cell r="BH537">
            <v>1</v>
          </cell>
          <cell r="BI537">
            <v>0</v>
          </cell>
          <cell r="BJ537">
            <v>0</v>
          </cell>
          <cell r="BK537">
            <v>0</v>
          </cell>
          <cell r="BL537">
            <v>1</v>
          </cell>
          <cell r="BM537">
            <v>0</v>
          </cell>
          <cell r="BN537">
            <v>0</v>
          </cell>
          <cell r="BO537">
            <v>0</v>
          </cell>
          <cell r="BP537">
            <v>6</v>
          </cell>
          <cell r="BQ537">
            <v>0</v>
          </cell>
          <cell r="BR537">
            <v>0</v>
          </cell>
          <cell r="BS537">
            <v>23</v>
          </cell>
          <cell r="BT537">
            <v>0</v>
          </cell>
          <cell r="BU537">
            <v>0</v>
          </cell>
        </row>
        <row r="538">
          <cell r="A538">
            <v>60</v>
          </cell>
          <cell r="B538">
            <v>58.309999999999945</v>
          </cell>
          <cell r="D538">
            <v>0</v>
          </cell>
          <cell r="F538">
            <v>0</v>
          </cell>
          <cell r="G538">
            <v>1</v>
          </cell>
          <cell r="I538">
            <v>0</v>
          </cell>
          <cell r="J538">
            <v>1</v>
          </cell>
          <cell r="K538">
            <v>16</v>
          </cell>
          <cell r="L538">
            <v>16</v>
          </cell>
          <cell r="M538">
            <v>4</v>
          </cell>
          <cell r="O538">
            <v>0</v>
          </cell>
          <cell r="P538">
            <v>0</v>
          </cell>
          <cell r="Q538">
            <v>0</v>
          </cell>
          <cell r="R538">
            <v>1</v>
          </cell>
          <cell r="S538">
            <v>0</v>
          </cell>
          <cell r="T538">
            <v>1</v>
          </cell>
          <cell r="V538">
            <v>0</v>
          </cell>
          <cell r="W538">
            <v>84</v>
          </cell>
          <cell r="X538">
            <v>3</v>
          </cell>
          <cell r="Y538">
            <v>2</v>
          </cell>
          <cell r="AA538">
            <v>0</v>
          </cell>
          <cell r="AB538">
            <v>1</v>
          </cell>
          <cell r="AC538">
            <v>0</v>
          </cell>
          <cell r="AD538">
            <v>0</v>
          </cell>
          <cell r="AE538">
            <v>0</v>
          </cell>
          <cell r="AF538">
            <v>0</v>
          </cell>
          <cell r="AG538">
            <v>0</v>
          </cell>
          <cell r="AH538">
            <v>0</v>
          </cell>
          <cell r="AI538">
            <v>1</v>
          </cell>
          <cell r="AK538">
            <v>1</v>
          </cell>
          <cell r="AL538">
            <v>0</v>
          </cell>
          <cell r="AN538">
            <v>5405</v>
          </cell>
          <cell r="AO538">
            <v>8</v>
          </cell>
          <cell r="AQ538">
            <v>0</v>
          </cell>
          <cell r="AR538">
            <v>14</v>
          </cell>
          <cell r="AS538">
            <v>3</v>
          </cell>
          <cell r="AT538">
            <v>4</v>
          </cell>
          <cell r="AU538">
            <v>0</v>
          </cell>
          <cell r="AV538">
            <v>10</v>
          </cell>
          <cell r="AW538">
            <v>10</v>
          </cell>
          <cell r="AX538">
            <v>1</v>
          </cell>
          <cell r="AY538">
            <v>3</v>
          </cell>
          <cell r="AZ538">
            <v>2</v>
          </cell>
          <cell r="BA538">
            <v>2</v>
          </cell>
          <cell r="BB538">
            <v>2</v>
          </cell>
          <cell r="BC538">
            <v>2</v>
          </cell>
          <cell r="BD538">
            <v>2</v>
          </cell>
          <cell r="BE538">
            <v>2</v>
          </cell>
          <cell r="BF538">
            <v>2</v>
          </cell>
          <cell r="BG538">
            <v>4</v>
          </cell>
          <cell r="BH538">
            <v>1</v>
          </cell>
          <cell r="BI538">
            <v>0</v>
          </cell>
          <cell r="BJ538">
            <v>0</v>
          </cell>
          <cell r="BK538">
            <v>0</v>
          </cell>
          <cell r="BL538">
            <v>1</v>
          </cell>
          <cell r="BM538">
            <v>0</v>
          </cell>
          <cell r="BN538">
            <v>0</v>
          </cell>
          <cell r="BO538">
            <v>0</v>
          </cell>
          <cell r="BP538">
            <v>0</v>
          </cell>
          <cell r="BQ538">
            <v>0</v>
          </cell>
          <cell r="BR538">
            <v>2</v>
          </cell>
          <cell r="BS538">
            <v>0</v>
          </cell>
          <cell r="BT538">
            <v>0</v>
          </cell>
          <cell r="BU538">
            <v>10</v>
          </cell>
        </row>
        <row r="539">
          <cell r="A539">
            <v>27</v>
          </cell>
          <cell r="B539">
            <v>27</v>
          </cell>
          <cell r="D539">
            <v>0</v>
          </cell>
          <cell r="F539">
            <v>1</v>
          </cell>
          <cell r="G539">
            <v>0</v>
          </cell>
          <cell r="I539">
            <v>1</v>
          </cell>
          <cell r="J539">
            <v>0</v>
          </cell>
          <cell r="K539">
            <v>10</v>
          </cell>
          <cell r="L539">
            <v>10</v>
          </cell>
          <cell r="M539">
            <v>2</v>
          </cell>
          <cell r="O539">
            <v>1</v>
          </cell>
          <cell r="P539">
            <v>0</v>
          </cell>
          <cell r="Q539">
            <v>0</v>
          </cell>
          <cell r="R539">
            <v>0</v>
          </cell>
          <cell r="S539">
            <v>0</v>
          </cell>
          <cell r="T539">
            <v>4</v>
          </cell>
          <cell r="V539">
            <v>0</v>
          </cell>
          <cell r="W539">
            <v>32</v>
          </cell>
          <cell r="X539">
            <v>3</v>
          </cell>
          <cell r="Y539">
            <v>3</v>
          </cell>
          <cell r="AA539">
            <v>0</v>
          </cell>
          <cell r="AB539">
            <v>0</v>
          </cell>
          <cell r="AC539">
            <v>0</v>
          </cell>
          <cell r="AD539">
            <v>0</v>
          </cell>
          <cell r="AE539">
            <v>1</v>
          </cell>
          <cell r="AF539">
            <v>1</v>
          </cell>
          <cell r="AG539">
            <v>0</v>
          </cell>
          <cell r="AH539">
            <v>0</v>
          </cell>
          <cell r="AI539">
            <v>1</v>
          </cell>
          <cell r="AK539">
            <v>0</v>
          </cell>
          <cell r="AL539">
            <v>0</v>
          </cell>
          <cell r="AN539">
            <v>8793</v>
          </cell>
          <cell r="AO539">
            <v>1</v>
          </cell>
          <cell r="AQ539">
            <v>0</v>
          </cell>
          <cell r="AR539">
            <v>21</v>
          </cell>
          <cell r="AS539">
            <v>4</v>
          </cell>
          <cell r="AT539">
            <v>3</v>
          </cell>
          <cell r="AU539">
            <v>2</v>
          </cell>
          <cell r="AV539">
            <v>9</v>
          </cell>
          <cell r="AW539">
            <v>9</v>
          </cell>
          <cell r="AX539">
            <v>4</v>
          </cell>
          <cell r="AY539">
            <v>2</v>
          </cell>
          <cell r="AZ539">
            <v>9</v>
          </cell>
          <cell r="BA539">
            <v>9</v>
          </cell>
          <cell r="BB539">
            <v>7</v>
          </cell>
          <cell r="BC539">
            <v>1</v>
          </cell>
          <cell r="BD539">
            <v>1</v>
          </cell>
          <cell r="BE539">
            <v>7</v>
          </cell>
          <cell r="BF539">
            <v>7</v>
          </cell>
          <cell r="BG539">
            <v>21</v>
          </cell>
          <cell r="BH539">
            <v>0</v>
          </cell>
          <cell r="BI539">
            <v>0</v>
          </cell>
          <cell r="BJ539">
            <v>1</v>
          </cell>
          <cell r="BK539">
            <v>0</v>
          </cell>
          <cell r="BL539">
            <v>1</v>
          </cell>
          <cell r="BM539">
            <v>0</v>
          </cell>
          <cell r="BN539">
            <v>0</v>
          </cell>
          <cell r="BO539">
            <v>0</v>
          </cell>
          <cell r="BP539">
            <v>0</v>
          </cell>
          <cell r="BQ539">
            <v>7</v>
          </cell>
          <cell r="BR539">
            <v>0</v>
          </cell>
          <cell r="BS539">
            <v>0</v>
          </cell>
          <cell r="BT539">
            <v>9</v>
          </cell>
          <cell r="BU539">
            <v>0</v>
          </cell>
        </row>
        <row r="540">
          <cell r="A540">
            <v>41</v>
          </cell>
          <cell r="B540">
            <v>41</v>
          </cell>
          <cell r="D540">
            <v>0</v>
          </cell>
          <cell r="F540">
            <v>0</v>
          </cell>
          <cell r="G540">
            <v>1</v>
          </cell>
          <cell r="I540">
            <v>0</v>
          </cell>
          <cell r="J540">
            <v>0</v>
          </cell>
          <cell r="K540">
            <v>1</v>
          </cell>
          <cell r="L540">
            <v>1</v>
          </cell>
          <cell r="M540">
            <v>3</v>
          </cell>
          <cell r="O540">
            <v>0</v>
          </cell>
          <cell r="P540">
            <v>0</v>
          </cell>
          <cell r="Q540">
            <v>0</v>
          </cell>
          <cell r="R540">
            <v>0</v>
          </cell>
          <cell r="S540">
            <v>0</v>
          </cell>
          <cell r="T540">
            <v>4</v>
          </cell>
          <cell r="V540">
            <v>0</v>
          </cell>
          <cell r="W540">
            <v>59</v>
          </cell>
          <cell r="X540">
            <v>2</v>
          </cell>
          <cell r="Y540">
            <v>5</v>
          </cell>
          <cell r="AA540">
            <v>0</v>
          </cell>
          <cell r="AB540">
            <v>0</v>
          </cell>
          <cell r="AC540">
            <v>0</v>
          </cell>
          <cell r="AD540">
            <v>1</v>
          </cell>
          <cell r="AE540">
            <v>0</v>
          </cell>
          <cell r="AF540">
            <v>0</v>
          </cell>
          <cell r="AG540">
            <v>0</v>
          </cell>
          <cell r="AH540">
            <v>0</v>
          </cell>
          <cell r="AI540">
            <v>3</v>
          </cell>
          <cell r="AK540">
            <v>0</v>
          </cell>
          <cell r="AL540">
            <v>1</v>
          </cell>
          <cell r="AN540">
            <v>19189</v>
          </cell>
          <cell r="AO540">
            <v>1</v>
          </cell>
          <cell r="AQ540">
            <v>0</v>
          </cell>
          <cell r="AR540">
            <v>12</v>
          </cell>
          <cell r="AS540">
            <v>3</v>
          </cell>
          <cell r="AT540">
            <v>2</v>
          </cell>
          <cell r="AU540">
            <v>1</v>
          </cell>
          <cell r="AV540">
            <v>22</v>
          </cell>
          <cell r="AW540">
            <v>22</v>
          </cell>
          <cell r="AX540">
            <v>3</v>
          </cell>
          <cell r="AY540">
            <v>3</v>
          </cell>
          <cell r="AZ540">
            <v>22</v>
          </cell>
          <cell r="BA540">
            <v>22</v>
          </cell>
          <cell r="BB540">
            <v>7</v>
          </cell>
          <cell r="BC540">
            <v>2</v>
          </cell>
          <cell r="BD540">
            <v>2</v>
          </cell>
          <cell r="BE540">
            <v>10</v>
          </cell>
          <cell r="BF540">
            <v>10</v>
          </cell>
          <cell r="BG540">
            <v>50</v>
          </cell>
          <cell r="BH540">
            <v>0</v>
          </cell>
          <cell r="BI540">
            <v>1</v>
          </cell>
          <cell r="BJ540">
            <v>0</v>
          </cell>
          <cell r="BK540">
            <v>0</v>
          </cell>
          <cell r="BL540">
            <v>0</v>
          </cell>
          <cell r="BM540">
            <v>0</v>
          </cell>
          <cell r="BN540">
            <v>1</v>
          </cell>
          <cell r="BO540">
            <v>0</v>
          </cell>
          <cell r="BP540">
            <v>10</v>
          </cell>
          <cell r="BQ540">
            <v>0</v>
          </cell>
          <cell r="BR540">
            <v>0</v>
          </cell>
          <cell r="BS540">
            <v>22</v>
          </cell>
          <cell r="BT540">
            <v>0</v>
          </cell>
          <cell r="BU540">
            <v>0</v>
          </cell>
        </row>
        <row r="541">
          <cell r="A541">
            <v>50</v>
          </cell>
          <cell r="B541">
            <v>50</v>
          </cell>
          <cell r="D541">
            <v>0</v>
          </cell>
          <cell r="F541">
            <v>0</v>
          </cell>
          <cell r="G541">
            <v>1</v>
          </cell>
          <cell r="I541">
            <v>0</v>
          </cell>
          <cell r="J541">
            <v>1</v>
          </cell>
          <cell r="K541">
            <v>8</v>
          </cell>
          <cell r="L541">
            <v>8</v>
          </cell>
          <cell r="M541">
            <v>4</v>
          </cell>
          <cell r="O541">
            <v>0</v>
          </cell>
          <cell r="P541">
            <v>0</v>
          </cell>
          <cell r="Q541">
            <v>0</v>
          </cell>
          <cell r="R541">
            <v>1</v>
          </cell>
          <cell r="S541">
            <v>0</v>
          </cell>
          <cell r="T541">
            <v>4</v>
          </cell>
          <cell r="V541">
            <v>0</v>
          </cell>
          <cell r="W541">
            <v>54</v>
          </cell>
          <cell r="X541">
            <v>3</v>
          </cell>
          <cell r="Y541">
            <v>1</v>
          </cell>
          <cell r="AA541">
            <v>0</v>
          </cell>
          <cell r="AB541">
            <v>0</v>
          </cell>
          <cell r="AC541">
            <v>0</v>
          </cell>
          <cell r="AD541">
            <v>0</v>
          </cell>
          <cell r="AE541">
            <v>0</v>
          </cell>
          <cell r="AF541">
            <v>0</v>
          </cell>
          <cell r="AG541">
            <v>1</v>
          </cell>
          <cell r="AH541">
            <v>0</v>
          </cell>
          <cell r="AI541">
            <v>2</v>
          </cell>
          <cell r="AK541">
            <v>0</v>
          </cell>
          <cell r="AL541">
            <v>1</v>
          </cell>
          <cell r="AN541">
            <v>3875</v>
          </cell>
          <cell r="AO541">
            <v>7</v>
          </cell>
          <cell r="AQ541">
            <v>0</v>
          </cell>
          <cell r="AR541">
            <v>15</v>
          </cell>
          <cell r="AS541">
            <v>3</v>
          </cell>
          <cell r="AT541">
            <v>4</v>
          </cell>
          <cell r="AU541">
            <v>1</v>
          </cell>
          <cell r="AV541">
            <v>4</v>
          </cell>
          <cell r="AW541">
            <v>4</v>
          </cell>
          <cell r="AX541">
            <v>2</v>
          </cell>
          <cell r="AY541">
            <v>3</v>
          </cell>
          <cell r="AZ541">
            <v>2</v>
          </cell>
          <cell r="BA541">
            <v>2</v>
          </cell>
          <cell r="BB541">
            <v>2</v>
          </cell>
          <cell r="BC541">
            <v>2</v>
          </cell>
          <cell r="BD541">
            <v>2</v>
          </cell>
          <cell r="BE541">
            <v>2</v>
          </cell>
          <cell r="BF541">
            <v>2</v>
          </cell>
          <cell r="BG541">
            <v>2</v>
          </cell>
          <cell r="BH541">
            <v>0</v>
          </cell>
          <cell r="BI541">
            <v>1</v>
          </cell>
          <cell r="BJ541">
            <v>0</v>
          </cell>
          <cell r="BK541">
            <v>0</v>
          </cell>
          <cell r="BL541">
            <v>0</v>
          </cell>
          <cell r="BM541">
            <v>0</v>
          </cell>
          <cell r="BN541">
            <v>1</v>
          </cell>
          <cell r="BO541">
            <v>0</v>
          </cell>
          <cell r="BP541">
            <v>0</v>
          </cell>
          <cell r="BQ541">
            <v>0</v>
          </cell>
          <cell r="BR541">
            <v>2</v>
          </cell>
          <cell r="BS541">
            <v>0</v>
          </cell>
          <cell r="BT541">
            <v>0</v>
          </cell>
          <cell r="BU541">
            <v>4</v>
          </cell>
        </row>
        <row r="542">
          <cell r="A542">
            <v>28</v>
          </cell>
          <cell r="B542">
            <v>28</v>
          </cell>
          <cell r="D542">
            <v>1</v>
          </cell>
          <cell r="F542">
            <v>0</v>
          </cell>
          <cell r="G542">
            <v>1</v>
          </cell>
          <cell r="I542">
            <v>1</v>
          </cell>
          <cell r="J542">
            <v>0</v>
          </cell>
          <cell r="K542">
            <v>1</v>
          </cell>
          <cell r="L542">
            <v>1</v>
          </cell>
          <cell r="M542">
            <v>2</v>
          </cell>
          <cell r="O542">
            <v>1</v>
          </cell>
          <cell r="P542">
            <v>0</v>
          </cell>
          <cell r="Q542">
            <v>0</v>
          </cell>
          <cell r="R542">
            <v>0</v>
          </cell>
          <cell r="S542">
            <v>0</v>
          </cell>
          <cell r="T542">
            <v>1</v>
          </cell>
          <cell r="V542">
            <v>1</v>
          </cell>
          <cell r="W542">
            <v>67</v>
          </cell>
          <cell r="X542">
            <v>1</v>
          </cell>
          <cell r="Y542">
            <v>1</v>
          </cell>
          <cell r="AA542">
            <v>0</v>
          </cell>
          <cell r="AB542">
            <v>0</v>
          </cell>
          <cell r="AC542">
            <v>0</v>
          </cell>
          <cell r="AD542">
            <v>0</v>
          </cell>
          <cell r="AE542">
            <v>0</v>
          </cell>
          <cell r="AF542">
            <v>0</v>
          </cell>
          <cell r="AG542">
            <v>0</v>
          </cell>
          <cell r="AH542">
            <v>1</v>
          </cell>
          <cell r="AI542">
            <v>2</v>
          </cell>
          <cell r="AK542">
            <v>1</v>
          </cell>
          <cell r="AL542">
            <v>0</v>
          </cell>
          <cell r="AN542">
            <v>2216</v>
          </cell>
          <cell r="AO542">
            <v>7</v>
          </cell>
          <cell r="AQ542">
            <v>1</v>
          </cell>
          <cell r="AR542">
            <v>13</v>
          </cell>
          <cell r="AS542">
            <v>3</v>
          </cell>
          <cell r="AT542">
            <v>4</v>
          </cell>
          <cell r="AU542">
            <v>0</v>
          </cell>
          <cell r="AV542">
            <v>10</v>
          </cell>
          <cell r="AW542">
            <v>10</v>
          </cell>
          <cell r="AX542">
            <v>4</v>
          </cell>
          <cell r="AY542">
            <v>3</v>
          </cell>
          <cell r="AZ542">
            <v>7</v>
          </cell>
          <cell r="BA542">
            <v>7</v>
          </cell>
          <cell r="BB542">
            <v>7</v>
          </cell>
          <cell r="BC542">
            <v>3</v>
          </cell>
          <cell r="BD542">
            <v>3</v>
          </cell>
          <cell r="BE542">
            <v>7</v>
          </cell>
          <cell r="BF542">
            <v>7</v>
          </cell>
          <cell r="BG542">
            <v>7</v>
          </cell>
          <cell r="BH542">
            <v>1</v>
          </cell>
          <cell r="BI542">
            <v>0</v>
          </cell>
          <cell r="BJ542">
            <v>0</v>
          </cell>
          <cell r="BK542">
            <v>0</v>
          </cell>
          <cell r="BL542">
            <v>0</v>
          </cell>
          <cell r="BM542">
            <v>1</v>
          </cell>
          <cell r="BN542">
            <v>0</v>
          </cell>
          <cell r="BO542">
            <v>0</v>
          </cell>
          <cell r="BP542">
            <v>0</v>
          </cell>
          <cell r="BQ542">
            <v>7</v>
          </cell>
          <cell r="BR542">
            <v>0</v>
          </cell>
          <cell r="BS542">
            <v>0</v>
          </cell>
          <cell r="BT542">
            <v>10</v>
          </cell>
          <cell r="BU542">
            <v>0</v>
          </cell>
        </row>
        <row r="543">
          <cell r="A543">
            <v>36</v>
          </cell>
          <cell r="B543">
            <v>36</v>
          </cell>
          <cell r="D543">
            <v>0</v>
          </cell>
          <cell r="F543">
            <v>0</v>
          </cell>
          <cell r="G543">
            <v>0</v>
          </cell>
          <cell r="I543">
            <v>1</v>
          </cell>
          <cell r="J543">
            <v>0</v>
          </cell>
          <cell r="K543">
            <v>8</v>
          </cell>
          <cell r="L543">
            <v>8</v>
          </cell>
          <cell r="M543">
            <v>3</v>
          </cell>
          <cell r="O543">
            <v>1</v>
          </cell>
          <cell r="P543">
            <v>0</v>
          </cell>
          <cell r="Q543">
            <v>0</v>
          </cell>
          <cell r="R543">
            <v>0</v>
          </cell>
          <cell r="S543">
            <v>0</v>
          </cell>
          <cell r="T543">
            <v>1</v>
          </cell>
          <cell r="V543">
            <v>1</v>
          </cell>
          <cell r="W543">
            <v>63</v>
          </cell>
          <cell r="X543">
            <v>4</v>
          </cell>
          <cell r="Y543">
            <v>3</v>
          </cell>
          <cell r="AA543">
            <v>0</v>
          </cell>
          <cell r="AB543">
            <v>0</v>
          </cell>
          <cell r="AC543">
            <v>0</v>
          </cell>
          <cell r="AD543">
            <v>0</v>
          </cell>
          <cell r="AE543">
            <v>0</v>
          </cell>
          <cell r="AF543">
            <v>0</v>
          </cell>
          <cell r="AG543">
            <v>0</v>
          </cell>
          <cell r="AH543">
            <v>0</v>
          </cell>
          <cell r="AI543">
            <v>1</v>
          </cell>
          <cell r="AK543">
            <v>0</v>
          </cell>
          <cell r="AL543">
            <v>1</v>
          </cell>
          <cell r="AN543">
            <v>11713</v>
          </cell>
          <cell r="AO543">
            <v>9</v>
          </cell>
          <cell r="AQ543">
            <v>0</v>
          </cell>
          <cell r="AR543">
            <v>14</v>
          </cell>
          <cell r="AS543">
            <v>3</v>
          </cell>
          <cell r="AT543">
            <v>1</v>
          </cell>
          <cell r="AU543">
            <v>1</v>
          </cell>
          <cell r="AV543">
            <v>10</v>
          </cell>
          <cell r="AW543">
            <v>10</v>
          </cell>
          <cell r="AX543">
            <v>2</v>
          </cell>
          <cell r="AY543">
            <v>3</v>
          </cell>
          <cell r="AZ543">
            <v>8</v>
          </cell>
          <cell r="BA543">
            <v>8</v>
          </cell>
          <cell r="BB543">
            <v>7</v>
          </cell>
          <cell r="BC543">
            <v>0</v>
          </cell>
          <cell r="BD543">
            <v>0</v>
          </cell>
          <cell r="BE543">
            <v>5</v>
          </cell>
          <cell r="BF543">
            <v>5</v>
          </cell>
          <cell r="BG543">
            <v>15</v>
          </cell>
          <cell r="BH543">
            <v>0</v>
          </cell>
          <cell r="BI543">
            <v>1</v>
          </cell>
          <cell r="BJ543">
            <v>0</v>
          </cell>
          <cell r="BK543">
            <v>0</v>
          </cell>
          <cell r="BL543">
            <v>0</v>
          </cell>
          <cell r="BM543">
            <v>0</v>
          </cell>
          <cell r="BN543">
            <v>1</v>
          </cell>
          <cell r="BO543">
            <v>0</v>
          </cell>
          <cell r="BP543">
            <v>0</v>
          </cell>
          <cell r="BQ543">
            <v>5</v>
          </cell>
          <cell r="BR543">
            <v>0</v>
          </cell>
          <cell r="BS543">
            <v>0</v>
          </cell>
          <cell r="BT543">
            <v>10</v>
          </cell>
          <cell r="BU543">
            <v>0</v>
          </cell>
        </row>
        <row r="544">
          <cell r="A544">
            <v>38</v>
          </cell>
          <cell r="B544">
            <v>38</v>
          </cell>
          <cell r="D544">
            <v>0</v>
          </cell>
          <cell r="F544">
            <v>0</v>
          </cell>
          <cell r="G544">
            <v>1</v>
          </cell>
          <cell r="I544">
            <v>1</v>
          </cell>
          <cell r="J544">
            <v>0</v>
          </cell>
          <cell r="K544">
            <v>1</v>
          </cell>
          <cell r="L544">
            <v>1</v>
          </cell>
          <cell r="M544">
            <v>3</v>
          </cell>
          <cell r="O544">
            <v>1</v>
          </cell>
          <cell r="P544">
            <v>0</v>
          </cell>
          <cell r="Q544">
            <v>0</v>
          </cell>
          <cell r="R544">
            <v>0</v>
          </cell>
          <cell r="S544">
            <v>0</v>
          </cell>
          <cell r="T544">
            <v>3</v>
          </cell>
          <cell r="V544">
            <v>1</v>
          </cell>
          <cell r="W544">
            <v>81</v>
          </cell>
          <cell r="X544">
            <v>3</v>
          </cell>
          <cell r="Y544">
            <v>3</v>
          </cell>
          <cell r="AA544">
            <v>0</v>
          </cell>
          <cell r="AB544">
            <v>0</v>
          </cell>
          <cell r="AC544">
            <v>0</v>
          </cell>
          <cell r="AD544">
            <v>0</v>
          </cell>
          <cell r="AE544">
            <v>1</v>
          </cell>
          <cell r="AF544">
            <v>1</v>
          </cell>
          <cell r="AG544">
            <v>0</v>
          </cell>
          <cell r="AH544">
            <v>0</v>
          </cell>
          <cell r="AI544">
            <v>3</v>
          </cell>
          <cell r="AK544">
            <v>1</v>
          </cell>
          <cell r="AL544">
            <v>0</v>
          </cell>
          <cell r="AN544">
            <v>7861</v>
          </cell>
          <cell r="AO544">
            <v>4</v>
          </cell>
          <cell r="AQ544">
            <v>1</v>
          </cell>
          <cell r="AR544">
            <v>14</v>
          </cell>
          <cell r="AS544">
            <v>3</v>
          </cell>
          <cell r="AT544">
            <v>4</v>
          </cell>
          <cell r="AU544">
            <v>0</v>
          </cell>
          <cell r="AV544">
            <v>10</v>
          </cell>
          <cell r="AW544">
            <v>10</v>
          </cell>
          <cell r="AX544">
            <v>4</v>
          </cell>
          <cell r="AY544">
            <v>4</v>
          </cell>
          <cell r="AZ544">
            <v>1</v>
          </cell>
          <cell r="BA544">
            <v>1</v>
          </cell>
          <cell r="BB544">
            <v>0</v>
          </cell>
          <cell r="BC544">
            <v>0</v>
          </cell>
          <cell r="BD544">
            <v>0</v>
          </cell>
          <cell r="BE544">
            <v>0</v>
          </cell>
          <cell r="BF544">
            <v>0</v>
          </cell>
          <cell r="BG544">
            <v>0</v>
          </cell>
          <cell r="BH544">
            <v>1</v>
          </cell>
          <cell r="BI544">
            <v>0</v>
          </cell>
          <cell r="BJ544">
            <v>0</v>
          </cell>
          <cell r="BK544">
            <v>0</v>
          </cell>
          <cell r="BL544">
            <v>0</v>
          </cell>
          <cell r="BM544">
            <v>1</v>
          </cell>
          <cell r="BN544">
            <v>0</v>
          </cell>
          <cell r="BO544">
            <v>0</v>
          </cell>
          <cell r="BP544">
            <v>0</v>
          </cell>
          <cell r="BQ544">
            <v>0</v>
          </cell>
          <cell r="BR544">
            <v>0</v>
          </cell>
          <cell r="BS544">
            <v>0</v>
          </cell>
          <cell r="BT544">
            <v>10</v>
          </cell>
          <cell r="BU544">
            <v>0</v>
          </cell>
        </row>
        <row r="545">
          <cell r="A545">
            <v>44</v>
          </cell>
          <cell r="B545">
            <v>44</v>
          </cell>
          <cell r="D545">
            <v>0</v>
          </cell>
          <cell r="F545">
            <v>0</v>
          </cell>
          <cell r="G545">
            <v>0</v>
          </cell>
          <cell r="I545">
            <v>1</v>
          </cell>
          <cell r="J545">
            <v>0</v>
          </cell>
          <cell r="K545">
            <v>24</v>
          </cell>
          <cell r="L545">
            <v>24</v>
          </cell>
          <cell r="M545">
            <v>3</v>
          </cell>
          <cell r="O545">
            <v>0</v>
          </cell>
          <cell r="P545">
            <v>0</v>
          </cell>
          <cell r="Q545">
            <v>1</v>
          </cell>
          <cell r="R545">
            <v>0</v>
          </cell>
          <cell r="S545">
            <v>0</v>
          </cell>
          <cell r="T545">
            <v>1</v>
          </cell>
          <cell r="V545">
            <v>0</v>
          </cell>
          <cell r="W545">
            <v>49</v>
          </cell>
          <cell r="X545">
            <v>1</v>
          </cell>
          <cell r="Y545">
            <v>1</v>
          </cell>
          <cell r="AA545">
            <v>0</v>
          </cell>
          <cell r="AB545">
            <v>0</v>
          </cell>
          <cell r="AC545">
            <v>1</v>
          </cell>
          <cell r="AD545">
            <v>0</v>
          </cell>
          <cell r="AE545">
            <v>0</v>
          </cell>
          <cell r="AF545">
            <v>0</v>
          </cell>
          <cell r="AG545">
            <v>0</v>
          </cell>
          <cell r="AH545">
            <v>0</v>
          </cell>
          <cell r="AI545">
            <v>3</v>
          </cell>
          <cell r="AK545">
            <v>1</v>
          </cell>
          <cell r="AL545">
            <v>0</v>
          </cell>
          <cell r="AN545">
            <v>3708</v>
          </cell>
          <cell r="AO545">
            <v>2</v>
          </cell>
          <cell r="AQ545">
            <v>0</v>
          </cell>
          <cell r="AR545">
            <v>14</v>
          </cell>
          <cell r="AS545">
            <v>3</v>
          </cell>
          <cell r="AT545">
            <v>3</v>
          </cell>
          <cell r="AU545">
            <v>0</v>
          </cell>
          <cell r="AV545">
            <v>9</v>
          </cell>
          <cell r="AW545">
            <v>9</v>
          </cell>
          <cell r="AX545">
            <v>5</v>
          </cell>
          <cell r="AY545">
            <v>3</v>
          </cell>
          <cell r="AZ545">
            <v>5</v>
          </cell>
          <cell r="BA545">
            <v>5</v>
          </cell>
          <cell r="BB545">
            <v>2</v>
          </cell>
          <cell r="BC545">
            <v>1</v>
          </cell>
          <cell r="BD545">
            <v>1</v>
          </cell>
          <cell r="BE545">
            <v>4</v>
          </cell>
          <cell r="BF545">
            <v>4</v>
          </cell>
          <cell r="BG545">
            <v>4</v>
          </cell>
          <cell r="BH545">
            <v>1</v>
          </cell>
          <cell r="BI545">
            <v>0</v>
          </cell>
          <cell r="BJ545">
            <v>0</v>
          </cell>
          <cell r="BK545">
            <v>0</v>
          </cell>
          <cell r="BL545">
            <v>1</v>
          </cell>
          <cell r="BM545">
            <v>0</v>
          </cell>
          <cell r="BN545">
            <v>0</v>
          </cell>
          <cell r="BO545">
            <v>0</v>
          </cell>
          <cell r="BP545">
            <v>0</v>
          </cell>
          <cell r="BQ545">
            <v>4</v>
          </cell>
          <cell r="BR545">
            <v>0</v>
          </cell>
          <cell r="BS545">
            <v>0</v>
          </cell>
          <cell r="BT545">
            <v>9</v>
          </cell>
          <cell r="BU545">
            <v>0</v>
          </cell>
        </row>
        <row r="546">
          <cell r="A546">
            <v>47</v>
          </cell>
          <cell r="B546">
            <v>47</v>
          </cell>
          <cell r="D546">
            <v>0</v>
          </cell>
          <cell r="F546">
            <v>1</v>
          </cell>
          <cell r="G546">
            <v>0</v>
          </cell>
          <cell r="I546">
            <v>0</v>
          </cell>
          <cell r="J546">
            <v>1</v>
          </cell>
          <cell r="K546">
            <v>3</v>
          </cell>
          <cell r="L546">
            <v>3</v>
          </cell>
          <cell r="M546">
            <v>3</v>
          </cell>
          <cell r="O546">
            <v>0</v>
          </cell>
          <cell r="P546">
            <v>0</v>
          </cell>
          <cell r="Q546">
            <v>1</v>
          </cell>
          <cell r="R546">
            <v>0</v>
          </cell>
          <cell r="S546">
            <v>0</v>
          </cell>
          <cell r="T546">
            <v>4</v>
          </cell>
          <cell r="V546">
            <v>1</v>
          </cell>
          <cell r="W546">
            <v>49</v>
          </cell>
          <cell r="X546">
            <v>3</v>
          </cell>
          <cell r="Y546">
            <v>4</v>
          </cell>
          <cell r="AA546">
            <v>0</v>
          </cell>
          <cell r="AB546">
            <v>1</v>
          </cell>
          <cell r="AC546">
            <v>0</v>
          </cell>
          <cell r="AD546">
            <v>0</v>
          </cell>
          <cell r="AE546">
            <v>0</v>
          </cell>
          <cell r="AF546">
            <v>0</v>
          </cell>
          <cell r="AG546">
            <v>0</v>
          </cell>
          <cell r="AH546">
            <v>0</v>
          </cell>
          <cell r="AI546">
            <v>3</v>
          </cell>
          <cell r="AK546">
            <v>0</v>
          </cell>
          <cell r="AL546">
            <v>0</v>
          </cell>
          <cell r="AN546">
            <v>13770</v>
          </cell>
          <cell r="AO546">
            <v>9</v>
          </cell>
          <cell r="AQ546">
            <v>1</v>
          </cell>
          <cell r="AR546">
            <v>12</v>
          </cell>
          <cell r="AS546">
            <v>3</v>
          </cell>
          <cell r="AT546">
            <v>4</v>
          </cell>
          <cell r="AU546">
            <v>2</v>
          </cell>
          <cell r="AV546">
            <v>28</v>
          </cell>
          <cell r="AW546">
            <v>28</v>
          </cell>
          <cell r="AX546">
            <v>2</v>
          </cell>
          <cell r="AY546">
            <v>2</v>
          </cell>
          <cell r="AZ546">
            <v>22</v>
          </cell>
          <cell r="BA546">
            <v>22</v>
          </cell>
          <cell r="BB546">
            <v>2</v>
          </cell>
          <cell r="BC546">
            <v>11</v>
          </cell>
          <cell r="BD546">
            <v>11</v>
          </cell>
          <cell r="BE546">
            <v>13</v>
          </cell>
          <cell r="BF546">
            <v>13</v>
          </cell>
          <cell r="BG546">
            <v>52</v>
          </cell>
          <cell r="BH546">
            <v>0</v>
          </cell>
          <cell r="BI546">
            <v>0</v>
          </cell>
          <cell r="BJ546">
            <v>1</v>
          </cell>
          <cell r="BK546">
            <v>0</v>
          </cell>
          <cell r="BL546">
            <v>0</v>
          </cell>
          <cell r="BM546">
            <v>1</v>
          </cell>
          <cell r="BN546">
            <v>0</v>
          </cell>
          <cell r="BO546">
            <v>0</v>
          </cell>
          <cell r="BP546">
            <v>0</v>
          </cell>
          <cell r="BQ546">
            <v>0</v>
          </cell>
          <cell r="BR546">
            <v>13</v>
          </cell>
          <cell r="BS546">
            <v>0</v>
          </cell>
          <cell r="BT546">
            <v>0</v>
          </cell>
          <cell r="BU546">
            <v>28</v>
          </cell>
        </row>
        <row r="547">
          <cell r="A547">
            <v>30</v>
          </cell>
          <cell r="B547">
            <v>30</v>
          </cell>
          <cell r="D547">
            <v>0</v>
          </cell>
          <cell r="F547">
            <v>0</v>
          </cell>
          <cell r="G547">
            <v>1</v>
          </cell>
          <cell r="I547">
            <v>0</v>
          </cell>
          <cell r="J547">
            <v>1</v>
          </cell>
          <cell r="K547">
            <v>27</v>
          </cell>
          <cell r="L547">
            <v>27</v>
          </cell>
          <cell r="M547">
            <v>5</v>
          </cell>
          <cell r="O547">
            <v>0</v>
          </cell>
          <cell r="P547">
            <v>0</v>
          </cell>
          <cell r="Q547">
            <v>0</v>
          </cell>
          <cell r="R547">
            <v>1</v>
          </cell>
          <cell r="S547">
            <v>0</v>
          </cell>
          <cell r="T547">
            <v>3</v>
          </cell>
          <cell r="V547">
            <v>0</v>
          </cell>
          <cell r="W547">
            <v>99</v>
          </cell>
          <cell r="X547">
            <v>3</v>
          </cell>
          <cell r="Y547">
            <v>2</v>
          </cell>
          <cell r="AA547">
            <v>0</v>
          </cell>
          <cell r="AB547">
            <v>1</v>
          </cell>
          <cell r="AC547">
            <v>0</v>
          </cell>
          <cell r="AD547">
            <v>0</v>
          </cell>
          <cell r="AE547">
            <v>0</v>
          </cell>
          <cell r="AF547">
            <v>0</v>
          </cell>
          <cell r="AG547">
            <v>0</v>
          </cell>
          <cell r="AH547">
            <v>0</v>
          </cell>
          <cell r="AI547">
            <v>4</v>
          </cell>
          <cell r="AK547">
            <v>0</v>
          </cell>
          <cell r="AL547">
            <v>0</v>
          </cell>
          <cell r="AN547">
            <v>5304</v>
          </cell>
          <cell r="AO547">
            <v>7</v>
          </cell>
          <cell r="AQ547">
            <v>0</v>
          </cell>
          <cell r="AR547">
            <v>23</v>
          </cell>
          <cell r="AS547">
            <v>4</v>
          </cell>
          <cell r="AT547">
            <v>4</v>
          </cell>
          <cell r="AU547">
            <v>1</v>
          </cell>
          <cell r="AV547">
            <v>10</v>
          </cell>
          <cell r="AW547">
            <v>10</v>
          </cell>
          <cell r="AX547">
            <v>2</v>
          </cell>
          <cell r="AY547">
            <v>2</v>
          </cell>
          <cell r="AZ547">
            <v>8</v>
          </cell>
          <cell r="BA547">
            <v>8</v>
          </cell>
          <cell r="BB547">
            <v>7</v>
          </cell>
          <cell r="BC547">
            <v>7</v>
          </cell>
          <cell r="BD547">
            <v>7</v>
          </cell>
          <cell r="BE547">
            <v>7</v>
          </cell>
          <cell r="BF547">
            <v>7</v>
          </cell>
          <cell r="BG547">
            <v>14</v>
          </cell>
          <cell r="BH547">
            <v>1</v>
          </cell>
          <cell r="BI547">
            <v>0</v>
          </cell>
          <cell r="BJ547">
            <v>0</v>
          </cell>
          <cell r="BK547">
            <v>0</v>
          </cell>
          <cell r="BL547">
            <v>1</v>
          </cell>
          <cell r="BM547">
            <v>0</v>
          </cell>
          <cell r="BN547">
            <v>0</v>
          </cell>
          <cell r="BO547">
            <v>0</v>
          </cell>
          <cell r="BP547">
            <v>0</v>
          </cell>
          <cell r="BQ547">
            <v>0</v>
          </cell>
          <cell r="BR547">
            <v>7</v>
          </cell>
          <cell r="BS547">
            <v>0</v>
          </cell>
          <cell r="BT547">
            <v>0</v>
          </cell>
          <cell r="BU547">
            <v>10</v>
          </cell>
        </row>
        <row r="548">
          <cell r="A548">
            <v>29</v>
          </cell>
          <cell r="B548">
            <v>29</v>
          </cell>
          <cell r="D548">
            <v>0</v>
          </cell>
          <cell r="F548">
            <v>0</v>
          </cell>
          <cell r="G548">
            <v>1</v>
          </cell>
          <cell r="I548">
            <v>0</v>
          </cell>
          <cell r="J548">
            <v>1</v>
          </cell>
          <cell r="K548">
            <v>10</v>
          </cell>
          <cell r="L548">
            <v>10</v>
          </cell>
          <cell r="M548">
            <v>3</v>
          </cell>
          <cell r="O548">
            <v>1</v>
          </cell>
          <cell r="P548">
            <v>0</v>
          </cell>
          <cell r="Q548">
            <v>0</v>
          </cell>
          <cell r="R548">
            <v>0</v>
          </cell>
          <cell r="S548">
            <v>0</v>
          </cell>
          <cell r="T548">
            <v>3</v>
          </cell>
          <cell r="V548">
            <v>0</v>
          </cell>
          <cell r="W548">
            <v>99</v>
          </cell>
          <cell r="X548">
            <v>3</v>
          </cell>
          <cell r="Y548">
            <v>1</v>
          </cell>
          <cell r="AA548">
            <v>0</v>
          </cell>
          <cell r="AB548">
            <v>0</v>
          </cell>
          <cell r="AC548">
            <v>0</v>
          </cell>
          <cell r="AD548">
            <v>0</v>
          </cell>
          <cell r="AE548">
            <v>0</v>
          </cell>
          <cell r="AF548">
            <v>0</v>
          </cell>
          <cell r="AG548">
            <v>1</v>
          </cell>
          <cell r="AH548">
            <v>0</v>
          </cell>
          <cell r="AI548">
            <v>3</v>
          </cell>
          <cell r="AK548">
            <v>1</v>
          </cell>
          <cell r="AL548">
            <v>0</v>
          </cell>
          <cell r="AN548">
            <v>2642</v>
          </cell>
          <cell r="AO548">
            <v>1</v>
          </cell>
          <cell r="AQ548">
            <v>0</v>
          </cell>
          <cell r="AR548">
            <v>11</v>
          </cell>
          <cell r="AS548">
            <v>3</v>
          </cell>
          <cell r="AT548">
            <v>3</v>
          </cell>
          <cell r="AU548">
            <v>0</v>
          </cell>
          <cell r="AV548">
            <v>1</v>
          </cell>
          <cell r="AW548">
            <v>1</v>
          </cell>
          <cell r="AX548">
            <v>6</v>
          </cell>
          <cell r="AY548">
            <v>3</v>
          </cell>
          <cell r="AZ548">
            <v>1</v>
          </cell>
          <cell r="BA548">
            <v>1</v>
          </cell>
          <cell r="BB548">
            <v>0</v>
          </cell>
          <cell r="BC548">
            <v>0</v>
          </cell>
          <cell r="BD548">
            <v>0</v>
          </cell>
          <cell r="BE548">
            <v>0</v>
          </cell>
          <cell r="BF548">
            <v>0</v>
          </cell>
          <cell r="BG548">
            <v>0</v>
          </cell>
          <cell r="BH548">
            <v>1</v>
          </cell>
          <cell r="BI548">
            <v>0</v>
          </cell>
          <cell r="BJ548">
            <v>0</v>
          </cell>
          <cell r="BK548">
            <v>0</v>
          </cell>
          <cell r="BL548">
            <v>1</v>
          </cell>
          <cell r="BM548">
            <v>0</v>
          </cell>
          <cell r="BN548">
            <v>0</v>
          </cell>
          <cell r="BO548">
            <v>0</v>
          </cell>
          <cell r="BP548">
            <v>0</v>
          </cell>
          <cell r="BQ548">
            <v>0</v>
          </cell>
          <cell r="BR548">
            <v>0</v>
          </cell>
          <cell r="BS548">
            <v>0</v>
          </cell>
          <cell r="BT548">
            <v>0</v>
          </cell>
          <cell r="BU548">
            <v>1</v>
          </cell>
        </row>
        <row r="549">
          <cell r="A549">
            <v>42</v>
          </cell>
          <cell r="B549">
            <v>42</v>
          </cell>
          <cell r="D549">
            <v>1</v>
          </cell>
          <cell r="F549">
            <v>1</v>
          </cell>
          <cell r="G549">
            <v>0</v>
          </cell>
          <cell r="I549">
            <v>1</v>
          </cell>
          <cell r="J549">
            <v>0</v>
          </cell>
          <cell r="K549">
            <v>19</v>
          </cell>
          <cell r="L549">
            <v>19</v>
          </cell>
          <cell r="M549">
            <v>3</v>
          </cell>
          <cell r="O549">
            <v>0</v>
          </cell>
          <cell r="P549">
            <v>0</v>
          </cell>
          <cell r="Q549">
            <v>1</v>
          </cell>
          <cell r="R549">
            <v>0</v>
          </cell>
          <cell r="S549">
            <v>0</v>
          </cell>
          <cell r="T549">
            <v>3</v>
          </cell>
          <cell r="V549">
            <v>0</v>
          </cell>
          <cell r="W549">
            <v>57</v>
          </cell>
          <cell r="X549">
            <v>4</v>
          </cell>
          <cell r="Y549">
            <v>1</v>
          </cell>
          <cell r="AA549">
            <v>0</v>
          </cell>
          <cell r="AB549">
            <v>0</v>
          </cell>
          <cell r="AC549">
            <v>0</v>
          </cell>
          <cell r="AD549">
            <v>0</v>
          </cell>
          <cell r="AE549">
            <v>0</v>
          </cell>
          <cell r="AF549">
            <v>0</v>
          </cell>
          <cell r="AG549">
            <v>0</v>
          </cell>
          <cell r="AH549">
            <v>1</v>
          </cell>
          <cell r="AI549">
            <v>3</v>
          </cell>
          <cell r="AK549">
            <v>0</v>
          </cell>
          <cell r="AL549">
            <v>0</v>
          </cell>
          <cell r="AN549">
            <v>2759</v>
          </cell>
          <cell r="AO549">
            <v>6</v>
          </cell>
          <cell r="AQ549">
            <v>1</v>
          </cell>
          <cell r="AR549">
            <v>12</v>
          </cell>
          <cell r="AS549">
            <v>3</v>
          </cell>
          <cell r="AT549">
            <v>4</v>
          </cell>
          <cell r="AU549">
            <v>0</v>
          </cell>
          <cell r="AV549">
            <v>7</v>
          </cell>
          <cell r="AW549">
            <v>7</v>
          </cell>
          <cell r="AX549">
            <v>2</v>
          </cell>
          <cell r="AY549">
            <v>3</v>
          </cell>
          <cell r="AZ549">
            <v>2</v>
          </cell>
          <cell r="BA549">
            <v>2</v>
          </cell>
          <cell r="BB549">
            <v>2</v>
          </cell>
          <cell r="BC549">
            <v>2</v>
          </cell>
          <cell r="BD549">
            <v>2</v>
          </cell>
          <cell r="BE549">
            <v>2</v>
          </cell>
          <cell r="BF549">
            <v>2</v>
          </cell>
          <cell r="BG549">
            <v>2</v>
          </cell>
          <cell r="BH549">
            <v>0</v>
          </cell>
          <cell r="BI549">
            <v>0</v>
          </cell>
          <cell r="BJ549">
            <v>1</v>
          </cell>
          <cell r="BK549">
            <v>0</v>
          </cell>
          <cell r="BL549">
            <v>0</v>
          </cell>
          <cell r="BM549">
            <v>1</v>
          </cell>
          <cell r="BN549">
            <v>0</v>
          </cell>
          <cell r="BO549">
            <v>0</v>
          </cell>
          <cell r="BP549">
            <v>0</v>
          </cell>
          <cell r="BQ549">
            <v>2</v>
          </cell>
          <cell r="BR549">
            <v>0</v>
          </cell>
          <cell r="BS549">
            <v>0</v>
          </cell>
          <cell r="BT549">
            <v>7</v>
          </cell>
          <cell r="BU549">
            <v>0</v>
          </cell>
        </row>
        <row r="550">
          <cell r="A550">
            <v>43</v>
          </cell>
          <cell r="B550">
            <v>43</v>
          </cell>
          <cell r="D550">
            <v>0</v>
          </cell>
          <cell r="F550">
            <v>1</v>
          </cell>
          <cell r="G550">
            <v>0</v>
          </cell>
          <cell r="I550">
            <v>0</v>
          </cell>
          <cell r="J550">
            <v>1</v>
          </cell>
          <cell r="K550">
            <v>15</v>
          </cell>
          <cell r="L550">
            <v>15</v>
          </cell>
          <cell r="M550">
            <v>3</v>
          </cell>
          <cell r="O550">
            <v>1</v>
          </cell>
          <cell r="P550">
            <v>0</v>
          </cell>
          <cell r="Q550">
            <v>0</v>
          </cell>
          <cell r="R550">
            <v>0</v>
          </cell>
          <cell r="S550">
            <v>0</v>
          </cell>
          <cell r="T550">
            <v>4</v>
          </cell>
          <cell r="V550">
            <v>0</v>
          </cell>
          <cell r="W550">
            <v>47</v>
          </cell>
          <cell r="X550">
            <v>2</v>
          </cell>
          <cell r="Y550">
            <v>2</v>
          </cell>
          <cell r="AA550">
            <v>0</v>
          </cell>
          <cell r="AB550">
            <v>1</v>
          </cell>
          <cell r="AC550">
            <v>0</v>
          </cell>
          <cell r="AD550">
            <v>0</v>
          </cell>
          <cell r="AE550">
            <v>0</v>
          </cell>
          <cell r="AF550">
            <v>0</v>
          </cell>
          <cell r="AG550">
            <v>0</v>
          </cell>
          <cell r="AH550">
            <v>0</v>
          </cell>
          <cell r="AI550">
            <v>4</v>
          </cell>
          <cell r="AK550">
            <v>0</v>
          </cell>
          <cell r="AL550">
            <v>1</v>
          </cell>
          <cell r="AN550">
            <v>6804</v>
          </cell>
          <cell r="AO550">
            <v>3</v>
          </cell>
          <cell r="AQ550">
            <v>0</v>
          </cell>
          <cell r="AR550">
            <v>18</v>
          </cell>
          <cell r="AS550">
            <v>3</v>
          </cell>
          <cell r="AT550">
            <v>3</v>
          </cell>
          <cell r="AU550">
            <v>1</v>
          </cell>
          <cell r="AV550">
            <v>7</v>
          </cell>
          <cell r="AW550">
            <v>7</v>
          </cell>
          <cell r="AX550">
            <v>5</v>
          </cell>
          <cell r="AY550">
            <v>3</v>
          </cell>
          <cell r="AZ550">
            <v>2</v>
          </cell>
          <cell r="BA550">
            <v>2</v>
          </cell>
          <cell r="BB550">
            <v>2</v>
          </cell>
          <cell r="BC550">
            <v>2</v>
          </cell>
          <cell r="BD550">
            <v>2</v>
          </cell>
          <cell r="BE550">
            <v>2</v>
          </cell>
          <cell r="BF550">
            <v>2</v>
          </cell>
          <cell r="BG550">
            <v>4</v>
          </cell>
          <cell r="BH550">
            <v>0</v>
          </cell>
          <cell r="BI550">
            <v>0</v>
          </cell>
          <cell r="BJ550">
            <v>0</v>
          </cell>
          <cell r="BK550">
            <v>1</v>
          </cell>
          <cell r="BL550">
            <v>0</v>
          </cell>
          <cell r="BM550">
            <v>0</v>
          </cell>
          <cell r="BN550">
            <v>1</v>
          </cell>
          <cell r="BO550">
            <v>0</v>
          </cell>
          <cell r="BP550">
            <v>0</v>
          </cell>
          <cell r="BQ550">
            <v>0</v>
          </cell>
          <cell r="BR550">
            <v>2</v>
          </cell>
          <cell r="BS550">
            <v>0</v>
          </cell>
          <cell r="BT550">
            <v>0</v>
          </cell>
          <cell r="BU550">
            <v>7</v>
          </cell>
        </row>
        <row r="551">
          <cell r="A551">
            <v>34</v>
          </cell>
          <cell r="B551">
            <v>34</v>
          </cell>
          <cell r="D551">
            <v>0</v>
          </cell>
          <cell r="F551">
            <v>0</v>
          </cell>
          <cell r="G551">
            <v>1</v>
          </cell>
          <cell r="I551">
            <v>1</v>
          </cell>
          <cell r="J551">
            <v>0</v>
          </cell>
          <cell r="K551">
            <v>8</v>
          </cell>
          <cell r="L551">
            <v>8</v>
          </cell>
          <cell r="M551">
            <v>2</v>
          </cell>
          <cell r="O551">
            <v>0</v>
          </cell>
          <cell r="P551">
            <v>0</v>
          </cell>
          <cell r="Q551">
            <v>1</v>
          </cell>
          <cell r="R551">
            <v>0</v>
          </cell>
          <cell r="S551">
            <v>0</v>
          </cell>
          <cell r="T551">
            <v>2</v>
          </cell>
          <cell r="V551">
            <v>1</v>
          </cell>
          <cell r="W551">
            <v>96</v>
          </cell>
          <cell r="X551">
            <v>3</v>
          </cell>
          <cell r="Y551">
            <v>2</v>
          </cell>
          <cell r="AA551">
            <v>1</v>
          </cell>
          <cell r="AB551">
            <v>0</v>
          </cell>
          <cell r="AC551">
            <v>0</v>
          </cell>
          <cell r="AD551">
            <v>0</v>
          </cell>
          <cell r="AE551">
            <v>0</v>
          </cell>
          <cell r="AF551">
            <v>0</v>
          </cell>
          <cell r="AG551">
            <v>0</v>
          </cell>
          <cell r="AH551">
            <v>0</v>
          </cell>
          <cell r="AI551">
            <v>3</v>
          </cell>
          <cell r="AK551">
            <v>1</v>
          </cell>
          <cell r="AL551">
            <v>0</v>
          </cell>
          <cell r="AN551">
            <v>6142</v>
          </cell>
          <cell r="AO551">
            <v>3</v>
          </cell>
          <cell r="AQ551">
            <v>0</v>
          </cell>
          <cell r="AR551">
            <v>11</v>
          </cell>
          <cell r="AS551">
            <v>3</v>
          </cell>
          <cell r="AT551">
            <v>4</v>
          </cell>
          <cell r="AU551">
            <v>0</v>
          </cell>
          <cell r="AV551">
            <v>10</v>
          </cell>
          <cell r="AW551">
            <v>10</v>
          </cell>
          <cell r="AX551">
            <v>2</v>
          </cell>
          <cell r="AY551">
            <v>3</v>
          </cell>
          <cell r="AZ551">
            <v>5</v>
          </cell>
          <cell r="BA551">
            <v>5</v>
          </cell>
          <cell r="BB551">
            <v>1</v>
          </cell>
          <cell r="BC551">
            <v>4</v>
          </cell>
          <cell r="BD551">
            <v>4</v>
          </cell>
          <cell r="BE551">
            <v>3</v>
          </cell>
          <cell r="BF551">
            <v>3</v>
          </cell>
          <cell r="BG551">
            <v>6</v>
          </cell>
          <cell r="BH551">
            <v>1</v>
          </cell>
          <cell r="BI551">
            <v>0</v>
          </cell>
          <cell r="BJ551">
            <v>0</v>
          </cell>
          <cell r="BK551">
            <v>0</v>
          </cell>
          <cell r="BL551">
            <v>1</v>
          </cell>
          <cell r="BM551">
            <v>0</v>
          </cell>
          <cell r="BN551">
            <v>0</v>
          </cell>
          <cell r="BO551">
            <v>0</v>
          </cell>
          <cell r="BP551">
            <v>0</v>
          </cell>
          <cell r="BQ551">
            <v>3</v>
          </cell>
          <cell r="BR551">
            <v>0</v>
          </cell>
          <cell r="BS551">
            <v>0</v>
          </cell>
          <cell r="BT551">
            <v>10</v>
          </cell>
          <cell r="BU551">
            <v>0</v>
          </cell>
        </row>
        <row r="552">
          <cell r="A552">
            <v>23</v>
          </cell>
          <cell r="B552">
            <v>23</v>
          </cell>
          <cell r="D552">
            <v>0</v>
          </cell>
          <cell r="F552">
            <v>0</v>
          </cell>
          <cell r="G552">
            <v>1</v>
          </cell>
          <cell r="I552">
            <v>1</v>
          </cell>
          <cell r="J552">
            <v>0</v>
          </cell>
          <cell r="K552">
            <v>9</v>
          </cell>
          <cell r="L552">
            <v>9</v>
          </cell>
          <cell r="M552">
            <v>1</v>
          </cell>
          <cell r="O552">
            <v>0</v>
          </cell>
          <cell r="P552">
            <v>0</v>
          </cell>
          <cell r="Q552">
            <v>1</v>
          </cell>
          <cell r="R552">
            <v>0</v>
          </cell>
          <cell r="S552">
            <v>0</v>
          </cell>
          <cell r="T552">
            <v>2</v>
          </cell>
          <cell r="V552">
            <v>0</v>
          </cell>
          <cell r="W552">
            <v>37</v>
          </cell>
          <cell r="X552">
            <v>3</v>
          </cell>
          <cell r="Y552">
            <v>1</v>
          </cell>
          <cell r="AA552">
            <v>0</v>
          </cell>
          <cell r="AB552">
            <v>0</v>
          </cell>
          <cell r="AC552">
            <v>1</v>
          </cell>
          <cell r="AD552">
            <v>0</v>
          </cell>
          <cell r="AE552">
            <v>0</v>
          </cell>
          <cell r="AF552">
            <v>0</v>
          </cell>
          <cell r="AG552">
            <v>0</v>
          </cell>
          <cell r="AH552">
            <v>0</v>
          </cell>
          <cell r="AI552">
            <v>1</v>
          </cell>
          <cell r="AK552">
            <v>0</v>
          </cell>
          <cell r="AL552">
            <v>1</v>
          </cell>
          <cell r="AN552">
            <v>2500</v>
          </cell>
          <cell r="AO552">
            <v>1</v>
          </cell>
          <cell r="AQ552">
            <v>0</v>
          </cell>
          <cell r="AR552">
            <v>14</v>
          </cell>
          <cell r="AS552">
            <v>3</v>
          </cell>
          <cell r="AT552">
            <v>4</v>
          </cell>
          <cell r="AU552">
            <v>1</v>
          </cell>
          <cell r="AV552">
            <v>5</v>
          </cell>
          <cell r="AW552">
            <v>5</v>
          </cell>
          <cell r="AX552">
            <v>2</v>
          </cell>
          <cell r="AY552">
            <v>4</v>
          </cell>
          <cell r="AZ552">
            <v>4</v>
          </cell>
          <cell r="BA552">
            <v>4</v>
          </cell>
          <cell r="BB552">
            <v>3</v>
          </cell>
          <cell r="BC552">
            <v>0</v>
          </cell>
          <cell r="BD552">
            <v>0</v>
          </cell>
          <cell r="BE552">
            <v>2</v>
          </cell>
          <cell r="BF552">
            <v>2</v>
          </cell>
          <cell r="BG552">
            <v>2</v>
          </cell>
          <cell r="BH552">
            <v>0</v>
          </cell>
          <cell r="BI552">
            <v>1</v>
          </cell>
          <cell r="BJ552">
            <v>0</v>
          </cell>
          <cell r="BK552">
            <v>0</v>
          </cell>
          <cell r="BL552">
            <v>0</v>
          </cell>
          <cell r="BM552">
            <v>0</v>
          </cell>
          <cell r="BN552">
            <v>1</v>
          </cell>
          <cell r="BO552">
            <v>0</v>
          </cell>
          <cell r="BP552">
            <v>0</v>
          </cell>
          <cell r="BQ552">
            <v>2</v>
          </cell>
          <cell r="BR552">
            <v>0</v>
          </cell>
          <cell r="BS552">
            <v>0</v>
          </cell>
          <cell r="BT552">
            <v>5</v>
          </cell>
          <cell r="BU552">
            <v>0</v>
          </cell>
        </row>
        <row r="553">
          <cell r="A553">
            <v>39</v>
          </cell>
          <cell r="B553">
            <v>39</v>
          </cell>
          <cell r="D553">
            <v>0</v>
          </cell>
          <cell r="F553">
            <v>0</v>
          </cell>
          <cell r="G553">
            <v>1</v>
          </cell>
          <cell r="I553">
            <v>0</v>
          </cell>
          <cell r="J553">
            <v>0</v>
          </cell>
          <cell r="K553">
            <v>3</v>
          </cell>
          <cell r="L553">
            <v>3</v>
          </cell>
          <cell r="M553">
            <v>3</v>
          </cell>
          <cell r="O553">
            <v>0</v>
          </cell>
          <cell r="P553">
            <v>0</v>
          </cell>
          <cell r="Q553">
            <v>0</v>
          </cell>
          <cell r="R553">
            <v>0</v>
          </cell>
          <cell r="S553">
            <v>0</v>
          </cell>
          <cell r="T553">
            <v>3</v>
          </cell>
          <cell r="V553">
            <v>1</v>
          </cell>
          <cell r="W553">
            <v>44</v>
          </cell>
          <cell r="X553">
            <v>4</v>
          </cell>
          <cell r="Y553">
            <v>2</v>
          </cell>
          <cell r="AA553">
            <v>0</v>
          </cell>
          <cell r="AB553">
            <v>0</v>
          </cell>
          <cell r="AC553">
            <v>0</v>
          </cell>
          <cell r="AD553">
            <v>0</v>
          </cell>
          <cell r="AE553">
            <v>0</v>
          </cell>
          <cell r="AF553">
            <v>0</v>
          </cell>
          <cell r="AG553">
            <v>0</v>
          </cell>
          <cell r="AH553">
            <v>0</v>
          </cell>
          <cell r="AI553">
            <v>2</v>
          </cell>
          <cell r="AK553">
            <v>0</v>
          </cell>
          <cell r="AL553">
            <v>1</v>
          </cell>
          <cell r="AN553">
            <v>6389</v>
          </cell>
          <cell r="AO553">
            <v>9</v>
          </cell>
          <cell r="AQ553">
            <v>0</v>
          </cell>
          <cell r="AR553">
            <v>15</v>
          </cell>
          <cell r="AS553">
            <v>3</v>
          </cell>
          <cell r="AT553">
            <v>3</v>
          </cell>
          <cell r="AU553">
            <v>1</v>
          </cell>
          <cell r="AV553">
            <v>12</v>
          </cell>
          <cell r="AW553">
            <v>12</v>
          </cell>
          <cell r="AX553">
            <v>3</v>
          </cell>
          <cell r="AY553">
            <v>1</v>
          </cell>
          <cell r="AZ553">
            <v>8</v>
          </cell>
          <cell r="BA553">
            <v>8</v>
          </cell>
          <cell r="BB553">
            <v>3</v>
          </cell>
          <cell r="BC553">
            <v>3</v>
          </cell>
          <cell r="BD553">
            <v>3</v>
          </cell>
          <cell r="BE553">
            <v>6</v>
          </cell>
          <cell r="BF553">
            <v>6</v>
          </cell>
          <cell r="BG553">
            <v>12</v>
          </cell>
          <cell r="BH553">
            <v>0</v>
          </cell>
          <cell r="BI553">
            <v>1</v>
          </cell>
          <cell r="BJ553">
            <v>0</v>
          </cell>
          <cell r="BK553">
            <v>0</v>
          </cell>
          <cell r="BL553">
            <v>0</v>
          </cell>
          <cell r="BM553">
            <v>0</v>
          </cell>
          <cell r="BN553">
            <v>1</v>
          </cell>
          <cell r="BO553">
            <v>0</v>
          </cell>
          <cell r="BP553">
            <v>6</v>
          </cell>
          <cell r="BQ553">
            <v>0</v>
          </cell>
          <cell r="BR553">
            <v>0</v>
          </cell>
          <cell r="BS553">
            <v>12</v>
          </cell>
          <cell r="BT553">
            <v>0</v>
          </cell>
          <cell r="BU553">
            <v>0</v>
          </cell>
        </row>
        <row r="554">
          <cell r="A554">
            <v>56</v>
          </cell>
          <cell r="B554">
            <v>56</v>
          </cell>
          <cell r="D554">
            <v>0</v>
          </cell>
          <cell r="F554">
            <v>0</v>
          </cell>
          <cell r="G554">
            <v>1</v>
          </cell>
          <cell r="I554">
            <v>1</v>
          </cell>
          <cell r="J554">
            <v>0</v>
          </cell>
          <cell r="K554">
            <v>9</v>
          </cell>
          <cell r="L554">
            <v>9</v>
          </cell>
          <cell r="M554">
            <v>3</v>
          </cell>
          <cell r="O554">
            <v>0</v>
          </cell>
          <cell r="P554">
            <v>0</v>
          </cell>
          <cell r="Q554">
            <v>1</v>
          </cell>
          <cell r="R554">
            <v>0</v>
          </cell>
          <cell r="S554">
            <v>0</v>
          </cell>
          <cell r="T554">
            <v>3</v>
          </cell>
          <cell r="V554">
            <v>0</v>
          </cell>
          <cell r="W554">
            <v>81</v>
          </cell>
          <cell r="X554">
            <v>3</v>
          </cell>
          <cell r="Y554">
            <v>4</v>
          </cell>
          <cell r="AA554">
            <v>1</v>
          </cell>
          <cell r="AB554">
            <v>0</v>
          </cell>
          <cell r="AC554">
            <v>0</v>
          </cell>
          <cell r="AD554">
            <v>0</v>
          </cell>
          <cell r="AE554">
            <v>0</v>
          </cell>
          <cell r="AF554">
            <v>0</v>
          </cell>
          <cell r="AG554">
            <v>0</v>
          </cell>
          <cell r="AH554">
            <v>0</v>
          </cell>
          <cell r="AI554">
            <v>4</v>
          </cell>
          <cell r="AK554">
            <v>0</v>
          </cell>
          <cell r="AL554">
            <v>1</v>
          </cell>
          <cell r="AN554">
            <v>11103</v>
          </cell>
          <cell r="AO554">
            <v>7</v>
          </cell>
          <cell r="AQ554">
            <v>0</v>
          </cell>
          <cell r="AR554">
            <v>11</v>
          </cell>
          <cell r="AS554">
            <v>3</v>
          </cell>
          <cell r="AT554">
            <v>3</v>
          </cell>
          <cell r="AU554">
            <v>0</v>
          </cell>
          <cell r="AV554">
            <v>30</v>
          </cell>
          <cell r="AW554">
            <v>30</v>
          </cell>
          <cell r="AX554">
            <v>1</v>
          </cell>
          <cell r="AY554">
            <v>2</v>
          </cell>
          <cell r="AZ554">
            <v>10</v>
          </cell>
          <cell r="BA554">
            <v>10</v>
          </cell>
          <cell r="BB554">
            <v>7</v>
          </cell>
          <cell r="BC554">
            <v>1</v>
          </cell>
          <cell r="BD554">
            <v>1</v>
          </cell>
          <cell r="BE554">
            <v>1</v>
          </cell>
          <cell r="BF554">
            <v>1</v>
          </cell>
          <cell r="BG554">
            <v>4</v>
          </cell>
          <cell r="BH554">
            <v>0</v>
          </cell>
          <cell r="BI554">
            <v>1</v>
          </cell>
          <cell r="BJ554">
            <v>0</v>
          </cell>
          <cell r="BK554">
            <v>0</v>
          </cell>
          <cell r="BL554">
            <v>0</v>
          </cell>
          <cell r="BM554">
            <v>0</v>
          </cell>
          <cell r="BN554">
            <v>1</v>
          </cell>
          <cell r="BO554">
            <v>0</v>
          </cell>
          <cell r="BP554">
            <v>0</v>
          </cell>
          <cell r="BQ554">
            <v>1</v>
          </cell>
          <cell r="BR554">
            <v>0</v>
          </cell>
          <cell r="BS554">
            <v>0</v>
          </cell>
          <cell r="BT554">
            <v>30</v>
          </cell>
          <cell r="BU554">
            <v>0</v>
          </cell>
        </row>
        <row r="555">
          <cell r="A555">
            <v>40</v>
          </cell>
          <cell r="B555">
            <v>40</v>
          </cell>
          <cell r="D555">
            <v>0</v>
          </cell>
          <cell r="F555">
            <v>0</v>
          </cell>
          <cell r="G555">
            <v>1</v>
          </cell>
          <cell r="I555">
            <v>1</v>
          </cell>
          <cell r="J555">
            <v>0</v>
          </cell>
          <cell r="K555">
            <v>2</v>
          </cell>
          <cell r="L555">
            <v>2</v>
          </cell>
          <cell r="M555">
            <v>1</v>
          </cell>
          <cell r="O555">
            <v>0</v>
          </cell>
          <cell r="P555">
            <v>0</v>
          </cell>
          <cell r="Q555">
            <v>1</v>
          </cell>
          <cell r="R555">
            <v>0</v>
          </cell>
          <cell r="S555">
            <v>0</v>
          </cell>
          <cell r="T555">
            <v>4</v>
          </cell>
          <cell r="V555">
            <v>1</v>
          </cell>
          <cell r="W555">
            <v>86</v>
          </cell>
          <cell r="X555">
            <v>2</v>
          </cell>
          <cell r="Y555">
            <v>1</v>
          </cell>
          <cell r="AA555">
            <v>0</v>
          </cell>
          <cell r="AB555">
            <v>0</v>
          </cell>
          <cell r="AC555">
            <v>0</v>
          </cell>
          <cell r="AD555">
            <v>0</v>
          </cell>
          <cell r="AE555">
            <v>0</v>
          </cell>
          <cell r="AF555">
            <v>0</v>
          </cell>
          <cell r="AG555">
            <v>0</v>
          </cell>
          <cell r="AH555">
            <v>1</v>
          </cell>
          <cell r="AI555">
            <v>4</v>
          </cell>
          <cell r="AK555">
            <v>1</v>
          </cell>
          <cell r="AL555">
            <v>0</v>
          </cell>
          <cell r="AN555">
            <v>2342</v>
          </cell>
          <cell r="AO555">
            <v>0</v>
          </cell>
          <cell r="AQ555">
            <v>1</v>
          </cell>
          <cell r="AR555">
            <v>20</v>
          </cell>
          <cell r="AS555">
            <v>4</v>
          </cell>
          <cell r="AT555">
            <v>4</v>
          </cell>
          <cell r="AU555">
            <v>0</v>
          </cell>
          <cell r="AV555">
            <v>5</v>
          </cell>
          <cell r="AW555">
            <v>5</v>
          </cell>
          <cell r="AX555">
            <v>2</v>
          </cell>
          <cell r="AY555">
            <v>2</v>
          </cell>
          <cell r="AZ555">
            <v>4</v>
          </cell>
          <cell r="BA555">
            <v>4</v>
          </cell>
          <cell r="BB555">
            <v>2</v>
          </cell>
          <cell r="BC555">
            <v>2</v>
          </cell>
          <cell r="BD555">
            <v>2</v>
          </cell>
          <cell r="BE555">
            <v>3</v>
          </cell>
          <cell r="BF555">
            <v>3</v>
          </cell>
          <cell r="BG555">
            <v>3</v>
          </cell>
          <cell r="BH555">
            <v>1</v>
          </cell>
          <cell r="BI555">
            <v>0</v>
          </cell>
          <cell r="BJ555">
            <v>0</v>
          </cell>
          <cell r="BK555">
            <v>0</v>
          </cell>
          <cell r="BL555">
            <v>0</v>
          </cell>
          <cell r="BM555">
            <v>1</v>
          </cell>
          <cell r="BN555">
            <v>0</v>
          </cell>
          <cell r="BO555">
            <v>0</v>
          </cell>
          <cell r="BP555">
            <v>0</v>
          </cell>
          <cell r="BQ555">
            <v>3</v>
          </cell>
          <cell r="BR555">
            <v>0</v>
          </cell>
          <cell r="BS555">
            <v>0</v>
          </cell>
          <cell r="BT555">
            <v>5</v>
          </cell>
          <cell r="BU555">
            <v>0</v>
          </cell>
        </row>
        <row r="556">
          <cell r="A556">
            <v>27</v>
          </cell>
          <cell r="B556">
            <v>27</v>
          </cell>
          <cell r="D556">
            <v>0</v>
          </cell>
          <cell r="F556">
            <v>0</v>
          </cell>
          <cell r="G556">
            <v>1</v>
          </cell>
          <cell r="I556">
            <v>1</v>
          </cell>
          <cell r="J556">
            <v>0</v>
          </cell>
          <cell r="K556">
            <v>7</v>
          </cell>
          <cell r="L556">
            <v>7</v>
          </cell>
          <cell r="M556">
            <v>3</v>
          </cell>
          <cell r="O556">
            <v>0</v>
          </cell>
          <cell r="P556">
            <v>0</v>
          </cell>
          <cell r="Q556">
            <v>1</v>
          </cell>
          <cell r="R556">
            <v>0</v>
          </cell>
          <cell r="S556">
            <v>0</v>
          </cell>
          <cell r="T556">
            <v>4</v>
          </cell>
          <cell r="V556">
            <v>1</v>
          </cell>
          <cell r="W556">
            <v>55</v>
          </cell>
          <cell r="X556">
            <v>2</v>
          </cell>
          <cell r="Y556">
            <v>2</v>
          </cell>
          <cell r="AA556">
            <v>1</v>
          </cell>
          <cell r="AB556">
            <v>0</v>
          </cell>
          <cell r="AC556">
            <v>0</v>
          </cell>
          <cell r="AD556">
            <v>0</v>
          </cell>
          <cell r="AE556">
            <v>0</v>
          </cell>
          <cell r="AF556">
            <v>0</v>
          </cell>
          <cell r="AG556">
            <v>0</v>
          </cell>
          <cell r="AH556">
            <v>0</v>
          </cell>
          <cell r="AI556">
            <v>1</v>
          </cell>
          <cell r="AK556">
            <v>1</v>
          </cell>
          <cell r="AL556">
            <v>0</v>
          </cell>
          <cell r="AN556">
            <v>6811</v>
          </cell>
          <cell r="AO556">
            <v>8</v>
          </cell>
          <cell r="AQ556">
            <v>0</v>
          </cell>
          <cell r="AR556">
            <v>19</v>
          </cell>
          <cell r="AS556">
            <v>3</v>
          </cell>
          <cell r="AT556">
            <v>1</v>
          </cell>
          <cell r="AU556">
            <v>0</v>
          </cell>
          <cell r="AV556">
            <v>9</v>
          </cell>
          <cell r="AW556">
            <v>9</v>
          </cell>
          <cell r="AX556">
            <v>2</v>
          </cell>
          <cell r="AY556">
            <v>1</v>
          </cell>
          <cell r="AZ556">
            <v>7</v>
          </cell>
          <cell r="BA556">
            <v>7</v>
          </cell>
          <cell r="BB556">
            <v>6</v>
          </cell>
          <cell r="BC556">
            <v>0</v>
          </cell>
          <cell r="BD556">
            <v>0</v>
          </cell>
          <cell r="BE556">
            <v>7</v>
          </cell>
          <cell r="BF556">
            <v>7</v>
          </cell>
          <cell r="BG556">
            <v>14</v>
          </cell>
          <cell r="BH556">
            <v>1</v>
          </cell>
          <cell r="BI556">
            <v>0</v>
          </cell>
          <cell r="BJ556">
            <v>0</v>
          </cell>
          <cell r="BK556">
            <v>0</v>
          </cell>
          <cell r="BL556">
            <v>1</v>
          </cell>
          <cell r="BM556">
            <v>0</v>
          </cell>
          <cell r="BN556">
            <v>0</v>
          </cell>
          <cell r="BO556">
            <v>0</v>
          </cell>
          <cell r="BP556">
            <v>0</v>
          </cell>
          <cell r="BQ556">
            <v>7</v>
          </cell>
          <cell r="BR556">
            <v>0</v>
          </cell>
          <cell r="BS556">
            <v>0</v>
          </cell>
          <cell r="BT556">
            <v>9</v>
          </cell>
          <cell r="BU556">
            <v>0</v>
          </cell>
        </row>
        <row r="557">
          <cell r="A557">
            <v>29</v>
          </cell>
          <cell r="B557">
            <v>29</v>
          </cell>
          <cell r="D557">
            <v>0</v>
          </cell>
          <cell r="F557">
            <v>0</v>
          </cell>
          <cell r="G557">
            <v>1</v>
          </cell>
          <cell r="I557">
            <v>0</v>
          </cell>
          <cell r="J557">
            <v>1</v>
          </cell>
          <cell r="K557">
            <v>10</v>
          </cell>
          <cell r="L557">
            <v>10</v>
          </cell>
          <cell r="M557">
            <v>3</v>
          </cell>
          <cell r="O557">
            <v>0</v>
          </cell>
          <cell r="P557">
            <v>0</v>
          </cell>
          <cell r="Q557">
            <v>0</v>
          </cell>
          <cell r="R557">
            <v>1</v>
          </cell>
          <cell r="S557">
            <v>0</v>
          </cell>
          <cell r="T557">
            <v>4</v>
          </cell>
          <cell r="V557">
            <v>0</v>
          </cell>
          <cell r="W557">
            <v>83</v>
          </cell>
          <cell r="X557">
            <v>3</v>
          </cell>
          <cell r="Y557">
            <v>1</v>
          </cell>
          <cell r="AA557">
            <v>0</v>
          </cell>
          <cell r="AB557">
            <v>0</v>
          </cell>
          <cell r="AC557">
            <v>0</v>
          </cell>
          <cell r="AD557">
            <v>0</v>
          </cell>
          <cell r="AE557">
            <v>0</v>
          </cell>
          <cell r="AF557">
            <v>0</v>
          </cell>
          <cell r="AG557">
            <v>1</v>
          </cell>
          <cell r="AH557">
            <v>0</v>
          </cell>
          <cell r="AI557">
            <v>2</v>
          </cell>
          <cell r="AK557">
            <v>0</v>
          </cell>
          <cell r="AL557">
            <v>0</v>
          </cell>
          <cell r="AN557">
            <v>2297</v>
          </cell>
          <cell r="AO557">
            <v>1</v>
          </cell>
          <cell r="AQ557">
            <v>0</v>
          </cell>
          <cell r="AR557">
            <v>14</v>
          </cell>
          <cell r="AS557">
            <v>3</v>
          </cell>
          <cell r="AT557">
            <v>4</v>
          </cell>
          <cell r="AU557">
            <v>2</v>
          </cell>
          <cell r="AV557">
            <v>2</v>
          </cell>
          <cell r="AW557">
            <v>2</v>
          </cell>
          <cell r="AX557">
            <v>2</v>
          </cell>
          <cell r="AY557">
            <v>3</v>
          </cell>
          <cell r="AZ557">
            <v>2</v>
          </cell>
          <cell r="BA557">
            <v>2</v>
          </cell>
          <cell r="BB557">
            <v>2</v>
          </cell>
          <cell r="BC557">
            <v>2</v>
          </cell>
          <cell r="BD557">
            <v>2</v>
          </cell>
          <cell r="BE557">
            <v>2</v>
          </cell>
          <cell r="BF557">
            <v>2</v>
          </cell>
          <cell r="BG557">
            <v>2</v>
          </cell>
          <cell r="BH557">
            <v>1</v>
          </cell>
          <cell r="BI557">
            <v>0</v>
          </cell>
          <cell r="BJ557">
            <v>0</v>
          </cell>
          <cell r="BK557">
            <v>0</v>
          </cell>
          <cell r="BL557">
            <v>1</v>
          </cell>
          <cell r="BM557">
            <v>0</v>
          </cell>
          <cell r="BN557">
            <v>0</v>
          </cell>
          <cell r="BO557">
            <v>0</v>
          </cell>
          <cell r="BP557">
            <v>0</v>
          </cell>
          <cell r="BQ557">
            <v>0</v>
          </cell>
          <cell r="BR557">
            <v>2</v>
          </cell>
          <cell r="BS557">
            <v>0</v>
          </cell>
          <cell r="BT557">
            <v>0</v>
          </cell>
          <cell r="BU557">
            <v>2</v>
          </cell>
        </row>
        <row r="558">
          <cell r="A558">
            <v>53</v>
          </cell>
          <cell r="B558">
            <v>53</v>
          </cell>
          <cell r="D558">
            <v>0</v>
          </cell>
          <cell r="F558">
            <v>0</v>
          </cell>
          <cell r="G558">
            <v>1</v>
          </cell>
          <cell r="I558">
            <v>1</v>
          </cell>
          <cell r="J558">
            <v>0</v>
          </cell>
          <cell r="K558">
            <v>6</v>
          </cell>
          <cell r="L558">
            <v>6</v>
          </cell>
          <cell r="M558">
            <v>3</v>
          </cell>
          <cell r="O558">
            <v>1</v>
          </cell>
          <cell r="P558">
            <v>0</v>
          </cell>
          <cell r="Q558">
            <v>0</v>
          </cell>
          <cell r="R558">
            <v>0</v>
          </cell>
          <cell r="S558">
            <v>0</v>
          </cell>
          <cell r="T558">
            <v>4</v>
          </cell>
          <cell r="V558">
            <v>0</v>
          </cell>
          <cell r="W558">
            <v>86</v>
          </cell>
          <cell r="X558">
            <v>3</v>
          </cell>
          <cell r="Y558">
            <v>2</v>
          </cell>
          <cell r="AA558">
            <v>0</v>
          </cell>
          <cell r="AB558">
            <v>0</v>
          </cell>
          <cell r="AC558">
            <v>1</v>
          </cell>
          <cell r="AD558">
            <v>0</v>
          </cell>
          <cell r="AE558">
            <v>0</v>
          </cell>
          <cell r="AF558">
            <v>0</v>
          </cell>
          <cell r="AG558">
            <v>0</v>
          </cell>
          <cell r="AH558">
            <v>0</v>
          </cell>
          <cell r="AI558">
            <v>4</v>
          </cell>
          <cell r="AK558">
            <v>1</v>
          </cell>
          <cell r="AL558">
            <v>0</v>
          </cell>
          <cell r="AN558">
            <v>2450</v>
          </cell>
          <cell r="AO558">
            <v>2</v>
          </cell>
          <cell r="AQ558">
            <v>0</v>
          </cell>
          <cell r="AR558">
            <v>17</v>
          </cell>
          <cell r="AS558">
            <v>3</v>
          </cell>
          <cell r="AT558">
            <v>4</v>
          </cell>
          <cell r="AU558">
            <v>0</v>
          </cell>
          <cell r="AV558">
            <v>19</v>
          </cell>
          <cell r="AW558">
            <v>19</v>
          </cell>
          <cell r="AX558">
            <v>4</v>
          </cell>
          <cell r="AY558">
            <v>3</v>
          </cell>
          <cell r="AZ558">
            <v>2</v>
          </cell>
          <cell r="BA558">
            <v>2</v>
          </cell>
          <cell r="BB558">
            <v>2</v>
          </cell>
          <cell r="BC558">
            <v>2</v>
          </cell>
          <cell r="BD558">
            <v>2</v>
          </cell>
          <cell r="BE558">
            <v>2</v>
          </cell>
          <cell r="BF558">
            <v>2</v>
          </cell>
          <cell r="BG558">
            <v>4</v>
          </cell>
          <cell r="BH558">
            <v>1</v>
          </cell>
          <cell r="BI558">
            <v>0</v>
          </cell>
          <cell r="BJ558">
            <v>0</v>
          </cell>
          <cell r="BK558">
            <v>0</v>
          </cell>
          <cell r="BL558">
            <v>1</v>
          </cell>
          <cell r="BM558">
            <v>0</v>
          </cell>
          <cell r="BN558">
            <v>0</v>
          </cell>
          <cell r="BO558">
            <v>0</v>
          </cell>
          <cell r="BP558">
            <v>0</v>
          </cell>
          <cell r="BQ558">
            <v>2</v>
          </cell>
          <cell r="BR558">
            <v>0</v>
          </cell>
          <cell r="BS558">
            <v>0</v>
          </cell>
          <cell r="BT558">
            <v>19</v>
          </cell>
          <cell r="BU558">
            <v>0</v>
          </cell>
        </row>
        <row r="559">
          <cell r="A559">
            <v>35</v>
          </cell>
          <cell r="B559">
            <v>35</v>
          </cell>
          <cell r="D559">
            <v>0</v>
          </cell>
          <cell r="F559">
            <v>0</v>
          </cell>
          <cell r="G559">
            <v>0</v>
          </cell>
          <cell r="I559">
            <v>1</v>
          </cell>
          <cell r="J559">
            <v>0</v>
          </cell>
          <cell r="K559">
            <v>2</v>
          </cell>
          <cell r="L559">
            <v>2</v>
          </cell>
          <cell r="M559">
            <v>4</v>
          </cell>
          <cell r="O559">
            <v>1</v>
          </cell>
          <cell r="P559">
            <v>0</v>
          </cell>
          <cell r="Q559">
            <v>0</v>
          </cell>
          <cell r="R559">
            <v>0</v>
          </cell>
          <cell r="S559">
            <v>0</v>
          </cell>
          <cell r="T559">
            <v>4</v>
          </cell>
          <cell r="V559">
            <v>1</v>
          </cell>
          <cell r="W559">
            <v>61</v>
          </cell>
          <cell r="X559">
            <v>3</v>
          </cell>
          <cell r="Y559">
            <v>2</v>
          </cell>
          <cell r="AA559">
            <v>1</v>
          </cell>
          <cell r="AB559">
            <v>0</v>
          </cell>
          <cell r="AC559">
            <v>0</v>
          </cell>
          <cell r="AD559">
            <v>0</v>
          </cell>
          <cell r="AE559">
            <v>0</v>
          </cell>
          <cell r="AF559">
            <v>0</v>
          </cell>
          <cell r="AG559">
            <v>0</v>
          </cell>
          <cell r="AH559">
            <v>0</v>
          </cell>
          <cell r="AI559">
            <v>1</v>
          </cell>
          <cell r="AK559">
            <v>0</v>
          </cell>
          <cell r="AL559">
            <v>0</v>
          </cell>
          <cell r="AN559">
            <v>5093</v>
          </cell>
          <cell r="AO559">
            <v>2</v>
          </cell>
          <cell r="AQ559">
            <v>0</v>
          </cell>
          <cell r="AR559">
            <v>11</v>
          </cell>
          <cell r="AS559">
            <v>3</v>
          </cell>
          <cell r="AT559">
            <v>1</v>
          </cell>
          <cell r="AU559">
            <v>1</v>
          </cell>
          <cell r="AV559">
            <v>16</v>
          </cell>
          <cell r="AW559">
            <v>16</v>
          </cell>
          <cell r="AX559">
            <v>2</v>
          </cell>
          <cell r="AY559">
            <v>4</v>
          </cell>
          <cell r="AZ559">
            <v>1</v>
          </cell>
          <cell r="BA559">
            <v>1</v>
          </cell>
          <cell r="BB559">
            <v>0</v>
          </cell>
          <cell r="BC559">
            <v>0</v>
          </cell>
          <cell r="BD559">
            <v>0</v>
          </cell>
          <cell r="BE559">
            <v>0</v>
          </cell>
          <cell r="BF559">
            <v>0</v>
          </cell>
          <cell r="BG559">
            <v>0</v>
          </cell>
          <cell r="BH559">
            <v>1</v>
          </cell>
          <cell r="BI559">
            <v>0</v>
          </cell>
          <cell r="BJ559">
            <v>0</v>
          </cell>
          <cell r="BK559">
            <v>0</v>
          </cell>
          <cell r="BL559">
            <v>1</v>
          </cell>
          <cell r="BM559">
            <v>0</v>
          </cell>
          <cell r="BN559">
            <v>0</v>
          </cell>
          <cell r="BO559">
            <v>0</v>
          </cell>
          <cell r="BP559">
            <v>0</v>
          </cell>
          <cell r="BQ559">
            <v>0</v>
          </cell>
          <cell r="BR559">
            <v>0</v>
          </cell>
          <cell r="BS559">
            <v>0</v>
          </cell>
          <cell r="BT559">
            <v>16</v>
          </cell>
          <cell r="BU559">
            <v>0</v>
          </cell>
        </row>
        <row r="560">
          <cell r="A560">
            <v>32</v>
          </cell>
          <cell r="B560">
            <v>32</v>
          </cell>
          <cell r="D560">
            <v>0</v>
          </cell>
          <cell r="F560">
            <v>1</v>
          </cell>
          <cell r="G560">
            <v>0</v>
          </cell>
          <cell r="I560">
            <v>1</v>
          </cell>
          <cell r="J560">
            <v>0</v>
          </cell>
          <cell r="K560">
            <v>24</v>
          </cell>
          <cell r="L560">
            <v>24</v>
          </cell>
          <cell r="M560">
            <v>4</v>
          </cell>
          <cell r="O560">
            <v>1</v>
          </cell>
          <cell r="P560">
            <v>0</v>
          </cell>
          <cell r="Q560">
            <v>0</v>
          </cell>
          <cell r="R560">
            <v>0</v>
          </cell>
          <cell r="S560">
            <v>0</v>
          </cell>
          <cell r="T560">
            <v>1</v>
          </cell>
          <cell r="V560">
            <v>0</v>
          </cell>
          <cell r="W560">
            <v>80</v>
          </cell>
          <cell r="X560">
            <v>3</v>
          </cell>
          <cell r="Y560">
            <v>2</v>
          </cell>
          <cell r="AA560">
            <v>0</v>
          </cell>
          <cell r="AB560">
            <v>0</v>
          </cell>
          <cell r="AC560">
            <v>1</v>
          </cell>
          <cell r="AD560">
            <v>0</v>
          </cell>
          <cell r="AE560">
            <v>0</v>
          </cell>
          <cell r="AF560">
            <v>0</v>
          </cell>
          <cell r="AG560">
            <v>0</v>
          </cell>
          <cell r="AH560">
            <v>0</v>
          </cell>
          <cell r="AI560">
            <v>4</v>
          </cell>
          <cell r="AK560">
            <v>0</v>
          </cell>
          <cell r="AL560">
            <v>1</v>
          </cell>
          <cell r="AN560">
            <v>5309</v>
          </cell>
          <cell r="AO560">
            <v>1</v>
          </cell>
          <cell r="AQ560">
            <v>0</v>
          </cell>
          <cell r="AR560">
            <v>15</v>
          </cell>
          <cell r="AS560">
            <v>3</v>
          </cell>
          <cell r="AT560">
            <v>4</v>
          </cell>
          <cell r="AU560">
            <v>2</v>
          </cell>
          <cell r="AV560">
            <v>10</v>
          </cell>
          <cell r="AW560">
            <v>10</v>
          </cell>
          <cell r="AX560">
            <v>2</v>
          </cell>
          <cell r="AY560">
            <v>3</v>
          </cell>
          <cell r="AZ560">
            <v>10</v>
          </cell>
          <cell r="BA560">
            <v>10</v>
          </cell>
          <cell r="BB560">
            <v>8</v>
          </cell>
          <cell r="BC560">
            <v>4</v>
          </cell>
          <cell r="BD560">
            <v>4</v>
          </cell>
          <cell r="BE560">
            <v>7</v>
          </cell>
          <cell r="BF560">
            <v>7</v>
          </cell>
          <cell r="BG560">
            <v>14</v>
          </cell>
          <cell r="BH560">
            <v>0</v>
          </cell>
          <cell r="BI560">
            <v>0</v>
          </cell>
          <cell r="BJ560">
            <v>0</v>
          </cell>
          <cell r="BK560">
            <v>1</v>
          </cell>
          <cell r="BL560">
            <v>0</v>
          </cell>
          <cell r="BM560">
            <v>0</v>
          </cell>
          <cell r="BN560">
            <v>1</v>
          </cell>
          <cell r="BO560">
            <v>0</v>
          </cell>
          <cell r="BP560">
            <v>0</v>
          </cell>
          <cell r="BQ560">
            <v>7</v>
          </cell>
          <cell r="BR560">
            <v>0</v>
          </cell>
          <cell r="BS560">
            <v>0</v>
          </cell>
          <cell r="BT560">
            <v>10</v>
          </cell>
          <cell r="BU560">
            <v>0</v>
          </cell>
        </row>
        <row r="561">
          <cell r="A561">
            <v>38</v>
          </cell>
          <cell r="B561">
            <v>38</v>
          </cell>
          <cell r="D561">
            <v>0</v>
          </cell>
          <cell r="F561">
            <v>0</v>
          </cell>
          <cell r="G561">
            <v>1</v>
          </cell>
          <cell r="I561">
            <v>1</v>
          </cell>
          <cell r="J561">
            <v>0</v>
          </cell>
          <cell r="K561">
            <v>2</v>
          </cell>
          <cell r="L561">
            <v>2</v>
          </cell>
          <cell r="M561">
            <v>5</v>
          </cell>
          <cell r="O561">
            <v>0</v>
          </cell>
          <cell r="P561">
            <v>0</v>
          </cell>
          <cell r="Q561">
            <v>1</v>
          </cell>
          <cell r="R561">
            <v>0</v>
          </cell>
          <cell r="S561">
            <v>0</v>
          </cell>
          <cell r="T561">
            <v>4</v>
          </cell>
          <cell r="V561">
            <v>0</v>
          </cell>
          <cell r="W561">
            <v>92</v>
          </cell>
          <cell r="X561">
            <v>3</v>
          </cell>
          <cell r="Y561">
            <v>1</v>
          </cell>
          <cell r="AA561">
            <v>0</v>
          </cell>
          <cell r="AB561">
            <v>0</v>
          </cell>
          <cell r="AC561">
            <v>0</v>
          </cell>
          <cell r="AD561">
            <v>0</v>
          </cell>
          <cell r="AE561">
            <v>0</v>
          </cell>
          <cell r="AF561">
            <v>0</v>
          </cell>
          <cell r="AG561">
            <v>0</v>
          </cell>
          <cell r="AH561">
            <v>1</v>
          </cell>
          <cell r="AI561">
            <v>3</v>
          </cell>
          <cell r="AK561">
            <v>0</v>
          </cell>
          <cell r="AL561">
            <v>1</v>
          </cell>
          <cell r="AN561">
            <v>3057</v>
          </cell>
          <cell r="AO561">
            <v>6</v>
          </cell>
          <cell r="AQ561">
            <v>1</v>
          </cell>
          <cell r="AR561">
            <v>13</v>
          </cell>
          <cell r="AS561">
            <v>3</v>
          </cell>
          <cell r="AT561">
            <v>2</v>
          </cell>
          <cell r="AU561">
            <v>1</v>
          </cell>
          <cell r="AV561">
            <v>6</v>
          </cell>
          <cell r="AW561">
            <v>6</v>
          </cell>
          <cell r="AX561">
            <v>0</v>
          </cell>
          <cell r="AY561">
            <v>1</v>
          </cell>
          <cell r="AZ561">
            <v>1</v>
          </cell>
          <cell r="BA561">
            <v>1</v>
          </cell>
          <cell r="BB561">
            <v>0</v>
          </cell>
          <cell r="BC561">
            <v>0</v>
          </cell>
          <cell r="BD561">
            <v>0</v>
          </cell>
          <cell r="BE561">
            <v>1</v>
          </cell>
          <cell r="BF561">
            <v>1</v>
          </cell>
          <cell r="BG561">
            <v>1</v>
          </cell>
          <cell r="BH561">
            <v>0</v>
          </cell>
          <cell r="BI561">
            <v>1</v>
          </cell>
          <cell r="BJ561">
            <v>0</v>
          </cell>
          <cell r="BK561">
            <v>0</v>
          </cell>
          <cell r="BL561">
            <v>0</v>
          </cell>
          <cell r="BM561">
            <v>0</v>
          </cell>
          <cell r="BN561">
            <v>0</v>
          </cell>
          <cell r="BO561">
            <v>1</v>
          </cell>
          <cell r="BP561">
            <v>0</v>
          </cell>
          <cell r="BQ561">
            <v>1</v>
          </cell>
          <cell r="BR561">
            <v>0</v>
          </cell>
          <cell r="BS561">
            <v>0</v>
          </cell>
          <cell r="BT561">
            <v>6</v>
          </cell>
          <cell r="BU561">
            <v>0</v>
          </cell>
        </row>
        <row r="562">
          <cell r="A562">
            <v>34</v>
          </cell>
          <cell r="B562">
            <v>34</v>
          </cell>
          <cell r="D562">
            <v>0</v>
          </cell>
          <cell r="F562">
            <v>0</v>
          </cell>
          <cell r="G562">
            <v>1</v>
          </cell>
          <cell r="I562">
            <v>1</v>
          </cell>
          <cell r="J562">
            <v>0</v>
          </cell>
          <cell r="K562">
            <v>8</v>
          </cell>
          <cell r="L562">
            <v>8</v>
          </cell>
          <cell r="M562">
            <v>5</v>
          </cell>
          <cell r="O562">
            <v>1</v>
          </cell>
          <cell r="P562">
            <v>0</v>
          </cell>
          <cell r="Q562">
            <v>0</v>
          </cell>
          <cell r="R562">
            <v>0</v>
          </cell>
          <cell r="S562">
            <v>0</v>
          </cell>
          <cell r="T562">
            <v>2</v>
          </cell>
          <cell r="V562">
            <v>1</v>
          </cell>
          <cell r="W562">
            <v>32</v>
          </cell>
          <cell r="X562">
            <v>3</v>
          </cell>
          <cell r="Y562">
            <v>2</v>
          </cell>
          <cell r="AA562">
            <v>0</v>
          </cell>
          <cell r="AB562">
            <v>0</v>
          </cell>
          <cell r="AC562">
            <v>0</v>
          </cell>
          <cell r="AD562">
            <v>0</v>
          </cell>
          <cell r="AE562">
            <v>1</v>
          </cell>
          <cell r="AF562">
            <v>1</v>
          </cell>
          <cell r="AG562">
            <v>0</v>
          </cell>
          <cell r="AH562">
            <v>0</v>
          </cell>
          <cell r="AI562">
            <v>1</v>
          </cell>
          <cell r="AK562">
            <v>0</v>
          </cell>
          <cell r="AL562">
            <v>0</v>
          </cell>
          <cell r="AN562">
            <v>5121</v>
          </cell>
          <cell r="AO562">
            <v>3</v>
          </cell>
          <cell r="AQ562">
            <v>0</v>
          </cell>
          <cell r="AR562">
            <v>14</v>
          </cell>
          <cell r="AS562">
            <v>3</v>
          </cell>
          <cell r="AT562">
            <v>3</v>
          </cell>
          <cell r="AU562">
            <v>1</v>
          </cell>
          <cell r="AV562">
            <v>7</v>
          </cell>
          <cell r="AW562">
            <v>7</v>
          </cell>
          <cell r="AX562">
            <v>3</v>
          </cell>
          <cell r="AY562">
            <v>3</v>
          </cell>
          <cell r="AZ562">
            <v>0</v>
          </cell>
          <cell r="BA562">
            <v>0</v>
          </cell>
          <cell r="BB562">
            <v>0</v>
          </cell>
          <cell r="BC562">
            <v>0</v>
          </cell>
          <cell r="BD562">
            <v>0</v>
          </cell>
          <cell r="BE562">
            <v>0</v>
          </cell>
          <cell r="BF562">
            <v>0</v>
          </cell>
          <cell r="BG562">
            <v>0</v>
          </cell>
          <cell r="BH562">
            <v>1</v>
          </cell>
          <cell r="BI562">
            <v>0</v>
          </cell>
          <cell r="BJ562">
            <v>0</v>
          </cell>
          <cell r="BK562">
            <v>0</v>
          </cell>
          <cell r="BL562">
            <v>1</v>
          </cell>
          <cell r="BM562">
            <v>0</v>
          </cell>
          <cell r="BN562">
            <v>0</v>
          </cell>
          <cell r="BO562">
            <v>0</v>
          </cell>
          <cell r="BP562">
            <v>0</v>
          </cell>
          <cell r="BQ562">
            <v>0</v>
          </cell>
          <cell r="BR562">
            <v>0</v>
          </cell>
          <cell r="BS562">
            <v>0</v>
          </cell>
          <cell r="BT562">
            <v>7</v>
          </cell>
          <cell r="BU562">
            <v>0</v>
          </cell>
        </row>
        <row r="563">
          <cell r="A563">
            <v>52</v>
          </cell>
          <cell r="B563">
            <v>52</v>
          </cell>
          <cell r="D563">
            <v>0</v>
          </cell>
          <cell r="F563">
            <v>0</v>
          </cell>
          <cell r="G563">
            <v>1</v>
          </cell>
          <cell r="I563">
            <v>0</v>
          </cell>
          <cell r="J563">
            <v>1</v>
          </cell>
          <cell r="K563">
            <v>3</v>
          </cell>
          <cell r="L563">
            <v>3</v>
          </cell>
          <cell r="M563">
            <v>4</v>
          </cell>
          <cell r="O563">
            <v>0</v>
          </cell>
          <cell r="P563">
            <v>0</v>
          </cell>
          <cell r="Q563">
            <v>0</v>
          </cell>
          <cell r="R563">
            <v>1</v>
          </cell>
          <cell r="S563">
            <v>0</v>
          </cell>
          <cell r="T563">
            <v>3</v>
          </cell>
          <cell r="V563">
            <v>0</v>
          </cell>
          <cell r="W563">
            <v>31</v>
          </cell>
          <cell r="X563">
            <v>2</v>
          </cell>
          <cell r="Y563">
            <v>4</v>
          </cell>
          <cell r="AA563">
            <v>0</v>
          </cell>
          <cell r="AB563">
            <v>0</v>
          </cell>
          <cell r="AC563">
            <v>0</v>
          </cell>
          <cell r="AD563">
            <v>1</v>
          </cell>
          <cell r="AE563">
            <v>0</v>
          </cell>
          <cell r="AF563">
            <v>0</v>
          </cell>
          <cell r="AG563">
            <v>0</v>
          </cell>
          <cell r="AH563">
            <v>0</v>
          </cell>
          <cell r="AI563">
            <v>1</v>
          </cell>
          <cell r="AK563">
            <v>0</v>
          </cell>
          <cell r="AL563">
            <v>1</v>
          </cell>
          <cell r="AN563">
            <v>16856</v>
          </cell>
          <cell r="AO563">
            <v>1</v>
          </cell>
          <cell r="AQ563">
            <v>0</v>
          </cell>
          <cell r="AR563">
            <v>11</v>
          </cell>
          <cell r="AS563">
            <v>3</v>
          </cell>
          <cell r="AT563">
            <v>1</v>
          </cell>
          <cell r="AU563">
            <v>0</v>
          </cell>
          <cell r="AV563">
            <v>34</v>
          </cell>
          <cell r="AW563">
            <v>34</v>
          </cell>
          <cell r="AX563">
            <v>3</v>
          </cell>
          <cell r="AY563">
            <v>4</v>
          </cell>
          <cell r="AZ563">
            <v>34</v>
          </cell>
          <cell r="BA563">
            <v>31</v>
          </cell>
          <cell r="BB563">
            <v>6</v>
          </cell>
          <cell r="BC563">
            <v>1</v>
          </cell>
          <cell r="BD563">
            <v>1</v>
          </cell>
          <cell r="BE563">
            <v>16</v>
          </cell>
          <cell r="BF563">
            <v>14</v>
          </cell>
          <cell r="BG563">
            <v>56</v>
          </cell>
          <cell r="BH563">
            <v>0</v>
          </cell>
          <cell r="BI563">
            <v>1</v>
          </cell>
          <cell r="BJ563">
            <v>0</v>
          </cell>
          <cell r="BK563">
            <v>0</v>
          </cell>
          <cell r="BL563">
            <v>0</v>
          </cell>
          <cell r="BM563">
            <v>0</v>
          </cell>
          <cell r="BN563">
            <v>1</v>
          </cell>
          <cell r="BO563">
            <v>0</v>
          </cell>
          <cell r="BP563">
            <v>0</v>
          </cell>
          <cell r="BQ563">
            <v>0</v>
          </cell>
          <cell r="BR563">
            <v>14</v>
          </cell>
          <cell r="BS563">
            <v>0</v>
          </cell>
          <cell r="BT563">
            <v>0</v>
          </cell>
          <cell r="BU563">
            <v>34</v>
          </cell>
        </row>
        <row r="564">
          <cell r="A564">
            <v>33</v>
          </cell>
          <cell r="B564">
            <v>33</v>
          </cell>
          <cell r="D564">
            <v>1</v>
          </cell>
          <cell r="F564">
            <v>0</v>
          </cell>
          <cell r="G564">
            <v>1</v>
          </cell>
          <cell r="I564">
            <v>1</v>
          </cell>
          <cell r="J564">
            <v>0</v>
          </cell>
          <cell r="K564">
            <v>1</v>
          </cell>
          <cell r="L564">
            <v>1</v>
          </cell>
          <cell r="M564">
            <v>4</v>
          </cell>
          <cell r="O564">
            <v>0</v>
          </cell>
          <cell r="P564">
            <v>1</v>
          </cell>
          <cell r="Q564">
            <v>0</v>
          </cell>
          <cell r="R564">
            <v>0</v>
          </cell>
          <cell r="S564">
            <v>0</v>
          </cell>
          <cell r="T564">
            <v>4</v>
          </cell>
          <cell r="V564">
            <v>0</v>
          </cell>
          <cell r="W564">
            <v>63</v>
          </cell>
          <cell r="X564">
            <v>3</v>
          </cell>
          <cell r="Y564">
            <v>1</v>
          </cell>
          <cell r="AA564">
            <v>0</v>
          </cell>
          <cell r="AB564">
            <v>0</v>
          </cell>
          <cell r="AC564">
            <v>0</v>
          </cell>
          <cell r="AD564">
            <v>0</v>
          </cell>
          <cell r="AE564">
            <v>0</v>
          </cell>
          <cell r="AF564">
            <v>0</v>
          </cell>
          <cell r="AG564">
            <v>0</v>
          </cell>
          <cell r="AH564">
            <v>1</v>
          </cell>
          <cell r="AI564">
            <v>4</v>
          </cell>
          <cell r="AK564">
            <v>1</v>
          </cell>
          <cell r="AL564">
            <v>0</v>
          </cell>
          <cell r="AN564">
            <v>2686</v>
          </cell>
          <cell r="AO564">
            <v>1</v>
          </cell>
          <cell r="AQ564">
            <v>1</v>
          </cell>
          <cell r="AR564">
            <v>13</v>
          </cell>
          <cell r="AS564">
            <v>3</v>
          </cell>
          <cell r="AT564">
            <v>3</v>
          </cell>
          <cell r="AU564">
            <v>0</v>
          </cell>
          <cell r="AV564">
            <v>10</v>
          </cell>
          <cell r="AW564">
            <v>10</v>
          </cell>
          <cell r="AX564">
            <v>2</v>
          </cell>
          <cell r="AY564">
            <v>2</v>
          </cell>
          <cell r="AZ564">
            <v>10</v>
          </cell>
          <cell r="BA564">
            <v>10</v>
          </cell>
          <cell r="BB564">
            <v>9</v>
          </cell>
          <cell r="BC564">
            <v>7</v>
          </cell>
          <cell r="BD564">
            <v>7</v>
          </cell>
          <cell r="BE564">
            <v>8</v>
          </cell>
          <cell r="BF564">
            <v>8</v>
          </cell>
          <cell r="BG564">
            <v>8</v>
          </cell>
          <cell r="BH564">
            <v>1</v>
          </cell>
          <cell r="BI564">
            <v>0</v>
          </cell>
          <cell r="BJ564">
            <v>0</v>
          </cell>
          <cell r="BK564">
            <v>0</v>
          </cell>
          <cell r="BL564">
            <v>0</v>
          </cell>
          <cell r="BM564">
            <v>1</v>
          </cell>
          <cell r="BN564">
            <v>0</v>
          </cell>
          <cell r="BO564">
            <v>0</v>
          </cell>
          <cell r="BP564">
            <v>0</v>
          </cell>
          <cell r="BQ564">
            <v>8</v>
          </cell>
          <cell r="BR564">
            <v>0</v>
          </cell>
          <cell r="BS564">
            <v>0</v>
          </cell>
          <cell r="BT564">
            <v>10</v>
          </cell>
          <cell r="BU564">
            <v>0</v>
          </cell>
        </row>
        <row r="565">
          <cell r="A565">
            <v>25</v>
          </cell>
          <cell r="B565">
            <v>25</v>
          </cell>
          <cell r="D565">
            <v>0</v>
          </cell>
          <cell r="F565">
            <v>0</v>
          </cell>
          <cell r="G565">
            <v>1</v>
          </cell>
          <cell r="I565">
            <v>0</v>
          </cell>
          <cell r="J565">
            <v>1</v>
          </cell>
          <cell r="K565">
            <v>26</v>
          </cell>
          <cell r="L565">
            <v>26</v>
          </cell>
          <cell r="M565">
            <v>1</v>
          </cell>
          <cell r="O565">
            <v>0</v>
          </cell>
          <cell r="P565">
            <v>0</v>
          </cell>
          <cell r="Q565">
            <v>1</v>
          </cell>
          <cell r="R565">
            <v>0</v>
          </cell>
          <cell r="S565">
            <v>0</v>
          </cell>
          <cell r="T565">
            <v>3</v>
          </cell>
          <cell r="V565">
            <v>1</v>
          </cell>
          <cell r="W565">
            <v>32</v>
          </cell>
          <cell r="X565">
            <v>3</v>
          </cell>
          <cell r="Y565">
            <v>2</v>
          </cell>
          <cell r="AA565">
            <v>0</v>
          </cell>
          <cell r="AB565">
            <v>1</v>
          </cell>
          <cell r="AC565">
            <v>0</v>
          </cell>
          <cell r="AD565">
            <v>0</v>
          </cell>
          <cell r="AE565">
            <v>0</v>
          </cell>
          <cell r="AF565">
            <v>0</v>
          </cell>
          <cell r="AG565">
            <v>0</v>
          </cell>
          <cell r="AH565">
            <v>0</v>
          </cell>
          <cell r="AI565">
            <v>4</v>
          </cell>
          <cell r="AK565">
            <v>1</v>
          </cell>
          <cell r="AL565">
            <v>0</v>
          </cell>
          <cell r="AN565">
            <v>6180</v>
          </cell>
          <cell r="AO565">
            <v>1</v>
          </cell>
          <cell r="AQ565">
            <v>0</v>
          </cell>
          <cell r="AR565">
            <v>23</v>
          </cell>
          <cell r="AS565">
            <v>4</v>
          </cell>
          <cell r="AT565">
            <v>2</v>
          </cell>
          <cell r="AU565">
            <v>0</v>
          </cell>
          <cell r="AV565">
            <v>6</v>
          </cell>
          <cell r="AW565">
            <v>6</v>
          </cell>
          <cell r="AX565">
            <v>5</v>
          </cell>
          <cell r="AY565">
            <v>2</v>
          </cell>
          <cell r="AZ565">
            <v>6</v>
          </cell>
          <cell r="BA565">
            <v>6</v>
          </cell>
          <cell r="BB565">
            <v>5</v>
          </cell>
          <cell r="BC565">
            <v>1</v>
          </cell>
          <cell r="BD565">
            <v>1</v>
          </cell>
          <cell r="BE565">
            <v>4</v>
          </cell>
          <cell r="BF565">
            <v>4</v>
          </cell>
          <cell r="BG565">
            <v>8</v>
          </cell>
          <cell r="BH565">
            <v>1</v>
          </cell>
          <cell r="BI565">
            <v>0</v>
          </cell>
          <cell r="BJ565">
            <v>0</v>
          </cell>
          <cell r="BK565">
            <v>0</v>
          </cell>
          <cell r="BL565">
            <v>1</v>
          </cell>
          <cell r="BM565">
            <v>0</v>
          </cell>
          <cell r="BN565">
            <v>0</v>
          </cell>
          <cell r="BO565">
            <v>0</v>
          </cell>
          <cell r="BP565">
            <v>0</v>
          </cell>
          <cell r="BQ565">
            <v>0</v>
          </cell>
          <cell r="BR565">
            <v>4</v>
          </cell>
          <cell r="BS565">
            <v>0</v>
          </cell>
          <cell r="BT565">
            <v>0</v>
          </cell>
          <cell r="BU565">
            <v>6</v>
          </cell>
        </row>
        <row r="566">
          <cell r="A566">
            <v>45</v>
          </cell>
          <cell r="B566">
            <v>45</v>
          </cell>
          <cell r="D566">
            <v>0</v>
          </cell>
          <cell r="F566">
            <v>0</v>
          </cell>
          <cell r="G566">
            <v>1</v>
          </cell>
          <cell r="I566">
            <v>0</v>
          </cell>
          <cell r="J566">
            <v>1</v>
          </cell>
          <cell r="K566">
            <v>2</v>
          </cell>
          <cell r="L566">
            <v>2</v>
          </cell>
          <cell r="M566">
            <v>2</v>
          </cell>
          <cell r="O566">
            <v>0</v>
          </cell>
          <cell r="P566">
            <v>0</v>
          </cell>
          <cell r="Q566">
            <v>0</v>
          </cell>
          <cell r="R566">
            <v>0</v>
          </cell>
          <cell r="S566">
            <v>1</v>
          </cell>
          <cell r="T566">
            <v>2</v>
          </cell>
          <cell r="V566">
            <v>0</v>
          </cell>
          <cell r="W566">
            <v>46</v>
          </cell>
          <cell r="X566">
            <v>1</v>
          </cell>
          <cell r="Y566">
            <v>2</v>
          </cell>
          <cell r="AA566">
            <v>0</v>
          </cell>
          <cell r="AB566">
            <v>0</v>
          </cell>
          <cell r="AC566">
            <v>0</v>
          </cell>
          <cell r="AD566">
            <v>0</v>
          </cell>
          <cell r="AE566">
            <v>0</v>
          </cell>
          <cell r="AF566">
            <v>0</v>
          </cell>
          <cell r="AG566">
            <v>1</v>
          </cell>
          <cell r="AH566">
            <v>0</v>
          </cell>
          <cell r="AI566">
            <v>3</v>
          </cell>
          <cell r="AK566">
            <v>1</v>
          </cell>
          <cell r="AL566">
            <v>0</v>
          </cell>
          <cell r="AN566">
            <v>6632</v>
          </cell>
          <cell r="AO566">
            <v>0</v>
          </cell>
          <cell r="AQ566">
            <v>0</v>
          </cell>
          <cell r="AR566">
            <v>13</v>
          </cell>
          <cell r="AS566">
            <v>3</v>
          </cell>
          <cell r="AT566">
            <v>1</v>
          </cell>
          <cell r="AU566">
            <v>0</v>
          </cell>
          <cell r="AV566">
            <v>9</v>
          </cell>
          <cell r="AW566">
            <v>9</v>
          </cell>
          <cell r="AX566">
            <v>3</v>
          </cell>
          <cell r="AY566">
            <v>3</v>
          </cell>
          <cell r="AZ566">
            <v>8</v>
          </cell>
          <cell r="BA566">
            <v>8</v>
          </cell>
          <cell r="BB566">
            <v>7</v>
          </cell>
          <cell r="BC566">
            <v>3</v>
          </cell>
          <cell r="BD566">
            <v>3</v>
          </cell>
          <cell r="BE566">
            <v>1</v>
          </cell>
          <cell r="BF566">
            <v>1</v>
          </cell>
          <cell r="BG566">
            <v>2</v>
          </cell>
          <cell r="BH566">
            <v>1</v>
          </cell>
          <cell r="BI566">
            <v>0</v>
          </cell>
          <cell r="BJ566">
            <v>0</v>
          </cell>
          <cell r="BK566">
            <v>0</v>
          </cell>
          <cell r="BL566">
            <v>1</v>
          </cell>
          <cell r="BM566">
            <v>0</v>
          </cell>
          <cell r="BN566">
            <v>0</v>
          </cell>
          <cell r="BO566">
            <v>0</v>
          </cell>
          <cell r="BP566">
            <v>0</v>
          </cell>
          <cell r="BQ566">
            <v>0</v>
          </cell>
          <cell r="BR566">
            <v>1</v>
          </cell>
          <cell r="BS566">
            <v>0</v>
          </cell>
          <cell r="BT566">
            <v>0</v>
          </cell>
          <cell r="BU566">
            <v>9</v>
          </cell>
        </row>
        <row r="567">
          <cell r="A567">
            <v>23</v>
          </cell>
          <cell r="B567">
            <v>23</v>
          </cell>
          <cell r="D567">
            <v>0</v>
          </cell>
          <cell r="F567">
            <v>0</v>
          </cell>
          <cell r="G567">
            <v>1</v>
          </cell>
          <cell r="I567">
            <v>1</v>
          </cell>
          <cell r="J567">
            <v>0</v>
          </cell>
          <cell r="K567">
            <v>10</v>
          </cell>
          <cell r="L567">
            <v>10</v>
          </cell>
          <cell r="M567">
            <v>1</v>
          </cell>
          <cell r="O567">
            <v>0</v>
          </cell>
          <cell r="P567">
            <v>0</v>
          </cell>
          <cell r="Q567">
            <v>1</v>
          </cell>
          <cell r="R567">
            <v>0</v>
          </cell>
          <cell r="S567">
            <v>0</v>
          </cell>
          <cell r="T567">
            <v>1</v>
          </cell>
          <cell r="V567">
            <v>0</v>
          </cell>
          <cell r="W567">
            <v>79</v>
          </cell>
          <cell r="X567">
            <v>4</v>
          </cell>
          <cell r="Y567">
            <v>1</v>
          </cell>
          <cell r="AA567">
            <v>0</v>
          </cell>
          <cell r="AB567">
            <v>0</v>
          </cell>
          <cell r="AC567">
            <v>0</v>
          </cell>
          <cell r="AD567">
            <v>0</v>
          </cell>
          <cell r="AE567">
            <v>0</v>
          </cell>
          <cell r="AF567">
            <v>0</v>
          </cell>
          <cell r="AG567">
            <v>0</v>
          </cell>
          <cell r="AH567">
            <v>1</v>
          </cell>
          <cell r="AI567">
            <v>3</v>
          </cell>
          <cell r="AK567">
            <v>1</v>
          </cell>
          <cell r="AL567">
            <v>0</v>
          </cell>
          <cell r="AN567">
            <v>3505</v>
          </cell>
          <cell r="AO567">
            <v>1</v>
          </cell>
          <cell r="AQ567">
            <v>0</v>
          </cell>
          <cell r="AR567">
            <v>18</v>
          </cell>
          <cell r="AS567">
            <v>3</v>
          </cell>
          <cell r="AT567">
            <v>4</v>
          </cell>
          <cell r="AU567">
            <v>0</v>
          </cell>
          <cell r="AV567">
            <v>2</v>
          </cell>
          <cell r="AW567">
            <v>2</v>
          </cell>
          <cell r="AX567">
            <v>3</v>
          </cell>
          <cell r="AY567">
            <v>3</v>
          </cell>
          <cell r="AZ567">
            <v>2</v>
          </cell>
          <cell r="BA567">
            <v>2</v>
          </cell>
          <cell r="BB567">
            <v>2</v>
          </cell>
          <cell r="BC567">
            <v>0</v>
          </cell>
          <cell r="BD567">
            <v>0</v>
          </cell>
          <cell r="BE567">
            <v>2</v>
          </cell>
          <cell r="BF567">
            <v>2</v>
          </cell>
          <cell r="BG567">
            <v>2</v>
          </cell>
          <cell r="BH567">
            <v>1</v>
          </cell>
          <cell r="BI567">
            <v>0</v>
          </cell>
          <cell r="BJ567">
            <v>0</v>
          </cell>
          <cell r="BK567">
            <v>0</v>
          </cell>
          <cell r="BL567">
            <v>1</v>
          </cell>
          <cell r="BM567">
            <v>0</v>
          </cell>
          <cell r="BN567">
            <v>0</v>
          </cell>
          <cell r="BO567">
            <v>0</v>
          </cell>
          <cell r="BP567">
            <v>0</v>
          </cell>
          <cell r="BQ567">
            <v>2</v>
          </cell>
          <cell r="BR567">
            <v>0</v>
          </cell>
          <cell r="BS567">
            <v>0</v>
          </cell>
          <cell r="BT567">
            <v>2</v>
          </cell>
          <cell r="BU567">
            <v>0</v>
          </cell>
        </row>
        <row r="568">
          <cell r="A568">
            <v>47</v>
          </cell>
          <cell r="B568">
            <v>47</v>
          </cell>
          <cell r="D568">
            <v>1</v>
          </cell>
          <cell r="F568">
            <v>1</v>
          </cell>
          <cell r="G568">
            <v>0</v>
          </cell>
          <cell r="I568">
            <v>0</v>
          </cell>
          <cell r="J568">
            <v>1</v>
          </cell>
          <cell r="K568">
            <v>27</v>
          </cell>
          <cell r="L568">
            <v>27</v>
          </cell>
          <cell r="M568">
            <v>2</v>
          </cell>
          <cell r="O568">
            <v>1</v>
          </cell>
          <cell r="P568">
            <v>0</v>
          </cell>
          <cell r="Q568">
            <v>0</v>
          </cell>
          <cell r="R568">
            <v>0</v>
          </cell>
          <cell r="S568">
            <v>0</v>
          </cell>
          <cell r="T568">
            <v>2</v>
          </cell>
          <cell r="V568">
            <v>1</v>
          </cell>
          <cell r="W568">
            <v>77</v>
          </cell>
          <cell r="X568">
            <v>4</v>
          </cell>
          <cell r="Y568">
            <v>2</v>
          </cell>
          <cell r="AA568">
            <v>0</v>
          </cell>
          <cell r="AB568">
            <v>1</v>
          </cell>
          <cell r="AC568">
            <v>0</v>
          </cell>
          <cell r="AD568">
            <v>0</v>
          </cell>
          <cell r="AE568">
            <v>0</v>
          </cell>
          <cell r="AF568">
            <v>0</v>
          </cell>
          <cell r="AG568">
            <v>0</v>
          </cell>
          <cell r="AH568">
            <v>0</v>
          </cell>
          <cell r="AI568">
            <v>3</v>
          </cell>
          <cell r="AK568">
            <v>1</v>
          </cell>
          <cell r="AL568">
            <v>0</v>
          </cell>
          <cell r="AN568">
            <v>6397</v>
          </cell>
          <cell r="AO568">
            <v>4</v>
          </cell>
          <cell r="AQ568">
            <v>1</v>
          </cell>
          <cell r="AR568">
            <v>12</v>
          </cell>
          <cell r="AS568">
            <v>3</v>
          </cell>
          <cell r="AT568">
            <v>4</v>
          </cell>
          <cell r="AU568">
            <v>0</v>
          </cell>
          <cell r="AV568">
            <v>8</v>
          </cell>
          <cell r="AW568">
            <v>8</v>
          </cell>
          <cell r="AX568">
            <v>2</v>
          </cell>
          <cell r="AY568">
            <v>3</v>
          </cell>
          <cell r="AZ568">
            <v>5</v>
          </cell>
          <cell r="BA568">
            <v>5</v>
          </cell>
          <cell r="BB568">
            <v>4</v>
          </cell>
          <cell r="BC568">
            <v>1</v>
          </cell>
          <cell r="BD568">
            <v>1</v>
          </cell>
          <cell r="BE568">
            <v>3</v>
          </cell>
          <cell r="BF568">
            <v>3</v>
          </cell>
          <cell r="BG568">
            <v>6</v>
          </cell>
          <cell r="BH568">
            <v>0</v>
          </cell>
          <cell r="BI568">
            <v>0</v>
          </cell>
          <cell r="BJ568">
            <v>1</v>
          </cell>
          <cell r="BK568">
            <v>0</v>
          </cell>
          <cell r="BL568">
            <v>0</v>
          </cell>
          <cell r="BM568">
            <v>1</v>
          </cell>
          <cell r="BN568">
            <v>0</v>
          </cell>
          <cell r="BO568">
            <v>0</v>
          </cell>
          <cell r="BP568">
            <v>0</v>
          </cell>
          <cell r="BQ568">
            <v>0</v>
          </cell>
          <cell r="BR568">
            <v>3</v>
          </cell>
          <cell r="BS568">
            <v>0</v>
          </cell>
          <cell r="BT568">
            <v>0</v>
          </cell>
          <cell r="BU568">
            <v>8</v>
          </cell>
        </row>
        <row r="569">
          <cell r="A569">
            <v>34</v>
          </cell>
          <cell r="B569">
            <v>34</v>
          </cell>
          <cell r="D569">
            <v>0</v>
          </cell>
          <cell r="F569">
            <v>0</v>
          </cell>
          <cell r="G569">
            <v>1</v>
          </cell>
          <cell r="I569">
            <v>0</v>
          </cell>
          <cell r="J569">
            <v>1</v>
          </cell>
          <cell r="K569">
            <v>2</v>
          </cell>
          <cell r="L569">
            <v>2</v>
          </cell>
          <cell r="M569">
            <v>3</v>
          </cell>
          <cell r="O569">
            <v>0</v>
          </cell>
          <cell r="P569">
            <v>1</v>
          </cell>
          <cell r="Q569">
            <v>0</v>
          </cell>
          <cell r="R569">
            <v>0</v>
          </cell>
          <cell r="S569">
            <v>0</v>
          </cell>
          <cell r="T569">
            <v>4</v>
          </cell>
          <cell r="V569">
            <v>0</v>
          </cell>
          <cell r="W569">
            <v>60</v>
          </cell>
          <cell r="X569">
            <v>3</v>
          </cell>
          <cell r="Y569">
            <v>2</v>
          </cell>
          <cell r="AA569">
            <v>0</v>
          </cell>
          <cell r="AB569">
            <v>1</v>
          </cell>
          <cell r="AC569">
            <v>0</v>
          </cell>
          <cell r="AD569">
            <v>0</v>
          </cell>
          <cell r="AE569">
            <v>0</v>
          </cell>
          <cell r="AF569">
            <v>0</v>
          </cell>
          <cell r="AG569">
            <v>0</v>
          </cell>
          <cell r="AH569">
            <v>0</v>
          </cell>
          <cell r="AI569">
            <v>4</v>
          </cell>
          <cell r="AK569">
            <v>1</v>
          </cell>
          <cell r="AL569">
            <v>0</v>
          </cell>
          <cell r="AN569">
            <v>6274</v>
          </cell>
          <cell r="AO569">
            <v>1</v>
          </cell>
          <cell r="AQ569">
            <v>0</v>
          </cell>
          <cell r="AR569">
            <v>22</v>
          </cell>
          <cell r="AS569">
            <v>4</v>
          </cell>
          <cell r="AT569">
            <v>3</v>
          </cell>
          <cell r="AU569">
            <v>0</v>
          </cell>
          <cell r="AV569">
            <v>6</v>
          </cell>
          <cell r="AW569">
            <v>6</v>
          </cell>
          <cell r="AX569">
            <v>5</v>
          </cell>
          <cell r="AY569">
            <v>3</v>
          </cell>
          <cell r="AZ569">
            <v>6</v>
          </cell>
          <cell r="BA569">
            <v>6</v>
          </cell>
          <cell r="BB569">
            <v>5</v>
          </cell>
          <cell r="BC569">
            <v>1</v>
          </cell>
          <cell r="BD569">
            <v>1</v>
          </cell>
          <cell r="BE569">
            <v>4</v>
          </cell>
          <cell r="BF569">
            <v>4</v>
          </cell>
          <cell r="BG569">
            <v>8</v>
          </cell>
          <cell r="BH569">
            <v>1</v>
          </cell>
          <cell r="BI569">
            <v>0</v>
          </cell>
          <cell r="BJ569">
            <v>0</v>
          </cell>
          <cell r="BK569">
            <v>0</v>
          </cell>
          <cell r="BL569">
            <v>1</v>
          </cell>
          <cell r="BM569">
            <v>0</v>
          </cell>
          <cell r="BN569">
            <v>0</v>
          </cell>
          <cell r="BO569">
            <v>0</v>
          </cell>
          <cell r="BP569">
            <v>0</v>
          </cell>
          <cell r="BQ569">
            <v>0</v>
          </cell>
          <cell r="BR569">
            <v>4</v>
          </cell>
          <cell r="BS569">
            <v>0</v>
          </cell>
          <cell r="BT569">
            <v>0</v>
          </cell>
          <cell r="BU569">
            <v>6</v>
          </cell>
        </row>
        <row r="570">
          <cell r="A570">
            <v>55</v>
          </cell>
          <cell r="B570">
            <v>55</v>
          </cell>
          <cell r="D570">
            <v>1</v>
          </cell>
          <cell r="F570">
            <v>0</v>
          </cell>
          <cell r="G570">
            <v>1</v>
          </cell>
          <cell r="I570">
            <v>1</v>
          </cell>
          <cell r="J570">
            <v>0</v>
          </cell>
          <cell r="K570">
            <v>2</v>
          </cell>
          <cell r="L570">
            <v>2</v>
          </cell>
          <cell r="M570">
            <v>3</v>
          </cell>
          <cell r="O570">
            <v>0</v>
          </cell>
          <cell r="P570">
            <v>0</v>
          </cell>
          <cell r="Q570">
            <v>1</v>
          </cell>
          <cell r="R570">
            <v>0</v>
          </cell>
          <cell r="S570">
            <v>0</v>
          </cell>
          <cell r="T570">
            <v>4</v>
          </cell>
          <cell r="V570">
            <v>0</v>
          </cell>
          <cell r="W570">
            <v>78</v>
          </cell>
          <cell r="X570">
            <v>3</v>
          </cell>
          <cell r="Y570">
            <v>5</v>
          </cell>
          <cell r="AA570">
            <v>0</v>
          </cell>
          <cell r="AB570">
            <v>0</v>
          </cell>
          <cell r="AC570">
            <v>0</v>
          </cell>
          <cell r="AD570">
            <v>1</v>
          </cell>
          <cell r="AE570">
            <v>0</v>
          </cell>
          <cell r="AF570">
            <v>0</v>
          </cell>
          <cell r="AG570">
            <v>0</v>
          </cell>
          <cell r="AH570">
            <v>0</v>
          </cell>
          <cell r="AI570">
            <v>1</v>
          </cell>
          <cell r="AK570">
            <v>0</v>
          </cell>
          <cell r="AL570">
            <v>1</v>
          </cell>
          <cell r="AN570">
            <v>19626.310000000001</v>
          </cell>
          <cell r="AO570">
            <v>5</v>
          </cell>
          <cell r="AQ570">
            <v>1</v>
          </cell>
          <cell r="AR570">
            <v>13</v>
          </cell>
          <cell r="AS570">
            <v>3</v>
          </cell>
          <cell r="AT570">
            <v>4</v>
          </cell>
          <cell r="AU570">
            <v>1</v>
          </cell>
          <cell r="AV570">
            <v>24</v>
          </cell>
          <cell r="AW570">
            <v>24</v>
          </cell>
          <cell r="AX570">
            <v>2</v>
          </cell>
          <cell r="AY570">
            <v>3</v>
          </cell>
          <cell r="AZ570">
            <v>5</v>
          </cell>
          <cell r="BA570">
            <v>5</v>
          </cell>
          <cell r="BB570">
            <v>2</v>
          </cell>
          <cell r="BC570">
            <v>1</v>
          </cell>
          <cell r="BD570">
            <v>1</v>
          </cell>
          <cell r="BE570">
            <v>4</v>
          </cell>
          <cell r="BF570">
            <v>4</v>
          </cell>
          <cell r="BG570">
            <v>20</v>
          </cell>
          <cell r="BH570">
            <v>0</v>
          </cell>
          <cell r="BI570">
            <v>1</v>
          </cell>
          <cell r="BJ570">
            <v>0</v>
          </cell>
          <cell r="BK570">
            <v>0</v>
          </cell>
          <cell r="BL570">
            <v>0</v>
          </cell>
          <cell r="BM570">
            <v>0</v>
          </cell>
          <cell r="BN570">
            <v>0</v>
          </cell>
          <cell r="BO570">
            <v>1</v>
          </cell>
          <cell r="BP570">
            <v>0</v>
          </cell>
          <cell r="BQ570">
            <v>4</v>
          </cell>
          <cell r="BR570">
            <v>0</v>
          </cell>
          <cell r="BS570">
            <v>0</v>
          </cell>
          <cell r="BT570">
            <v>24</v>
          </cell>
          <cell r="BU570">
            <v>0</v>
          </cell>
        </row>
        <row r="571">
          <cell r="A571">
            <v>36</v>
          </cell>
          <cell r="B571">
            <v>36</v>
          </cell>
          <cell r="D571">
            <v>0</v>
          </cell>
          <cell r="F571">
            <v>0</v>
          </cell>
          <cell r="G571">
            <v>0</v>
          </cell>
          <cell r="I571">
            <v>0</v>
          </cell>
          <cell r="J571">
            <v>1</v>
          </cell>
          <cell r="K571">
            <v>8</v>
          </cell>
          <cell r="L571">
            <v>8</v>
          </cell>
          <cell r="M571">
            <v>4</v>
          </cell>
          <cell r="O571">
            <v>1</v>
          </cell>
          <cell r="P571">
            <v>0</v>
          </cell>
          <cell r="Q571">
            <v>0</v>
          </cell>
          <cell r="R571">
            <v>0</v>
          </cell>
          <cell r="S571">
            <v>0</v>
          </cell>
          <cell r="T571">
            <v>1</v>
          </cell>
          <cell r="V571">
            <v>0</v>
          </cell>
          <cell r="W571">
            <v>76</v>
          </cell>
          <cell r="X571">
            <v>2</v>
          </cell>
          <cell r="Y571">
            <v>3</v>
          </cell>
          <cell r="AA571">
            <v>0</v>
          </cell>
          <cell r="AB571">
            <v>1</v>
          </cell>
          <cell r="AC571">
            <v>0</v>
          </cell>
          <cell r="AD571">
            <v>0</v>
          </cell>
          <cell r="AE571">
            <v>0</v>
          </cell>
          <cell r="AF571">
            <v>0</v>
          </cell>
          <cell r="AG571">
            <v>0</v>
          </cell>
          <cell r="AH571">
            <v>0</v>
          </cell>
          <cell r="AI571">
            <v>1</v>
          </cell>
          <cell r="AK571">
            <v>1</v>
          </cell>
          <cell r="AL571">
            <v>0</v>
          </cell>
          <cell r="AN571">
            <v>7587</v>
          </cell>
          <cell r="AO571">
            <v>1</v>
          </cell>
          <cell r="AQ571">
            <v>0</v>
          </cell>
          <cell r="AR571">
            <v>15</v>
          </cell>
          <cell r="AS571">
            <v>3</v>
          </cell>
          <cell r="AT571">
            <v>2</v>
          </cell>
          <cell r="AU571">
            <v>0</v>
          </cell>
          <cell r="AV571">
            <v>10</v>
          </cell>
          <cell r="AW571">
            <v>10</v>
          </cell>
          <cell r="AX571">
            <v>1</v>
          </cell>
          <cell r="AY571">
            <v>3</v>
          </cell>
          <cell r="AZ571">
            <v>10</v>
          </cell>
          <cell r="BA571">
            <v>10</v>
          </cell>
          <cell r="BB571">
            <v>7</v>
          </cell>
          <cell r="BC571">
            <v>0</v>
          </cell>
          <cell r="BD571">
            <v>0</v>
          </cell>
          <cell r="BE571">
            <v>9</v>
          </cell>
          <cell r="BF571">
            <v>9</v>
          </cell>
          <cell r="BG571">
            <v>27</v>
          </cell>
          <cell r="BH571">
            <v>1</v>
          </cell>
          <cell r="BI571">
            <v>0</v>
          </cell>
          <cell r="BJ571">
            <v>0</v>
          </cell>
          <cell r="BK571">
            <v>0</v>
          </cell>
          <cell r="BL571">
            <v>1</v>
          </cell>
          <cell r="BM571">
            <v>0</v>
          </cell>
          <cell r="BN571">
            <v>0</v>
          </cell>
          <cell r="BO571">
            <v>0</v>
          </cell>
          <cell r="BP571">
            <v>0</v>
          </cell>
          <cell r="BQ571">
            <v>0</v>
          </cell>
          <cell r="BR571">
            <v>9</v>
          </cell>
          <cell r="BS571">
            <v>0</v>
          </cell>
          <cell r="BT571">
            <v>0</v>
          </cell>
          <cell r="BU571">
            <v>10</v>
          </cell>
        </row>
        <row r="572">
          <cell r="A572">
            <v>52</v>
          </cell>
          <cell r="B572">
            <v>52</v>
          </cell>
          <cell r="D572">
            <v>0</v>
          </cell>
          <cell r="F572">
            <v>0</v>
          </cell>
          <cell r="G572">
            <v>0</v>
          </cell>
          <cell r="I572">
            <v>1</v>
          </cell>
          <cell r="J572">
            <v>0</v>
          </cell>
          <cell r="K572">
            <v>19</v>
          </cell>
          <cell r="L572">
            <v>19</v>
          </cell>
          <cell r="M572">
            <v>4</v>
          </cell>
          <cell r="O572">
            <v>0</v>
          </cell>
          <cell r="P572">
            <v>0</v>
          </cell>
          <cell r="Q572">
            <v>1</v>
          </cell>
          <cell r="R572">
            <v>0</v>
          </cell>
          <cell r="S572">
            <v>0</v>
          </cell>
          <cell r="T572">
            <v>4</v>
          </cell>
          <cell r="V572">
            <v>0</v>
          </cell>
          <cell r="W572">
            <v>41</v>
          </cell>
          <cell r="X572">
            <v>3</v>
          </cell>
          <cell r="Y572">
            <v>1</v>
          </cell>
          <cell r="AA572">
            <v>0</v>
          </cell>
          <cell r="AB572">
            <v>0</v>
          </cell>
          <cell r="AC572">
            <v>0</v>
          </cell>
          <cell r="AD572">
            <v>0</v>
          </cell>
          <cell r="AE572">
            <v>0</v>
          </cell>
          <cell r="AF572">
            <v>0</v>
          </cell>
          <cell r="AG572">
            <v>0</v>
          </cell>
          <cell r="AH572">
            <v>1</v>
          </cell>
          <cell r="AI572">
            <v>4</v>
          </cell>
          <cell r="AK572">
            <v>0</v>
          </cell>
          <cell r="AL572">
            <v>1</v>
          </cell>
          <cell r="AN572">
            <v>4258</v>
          </cell>
          <cell r="AO572">
            <v>0</v>
          </cell>
          <cell r="AQ572">
            <v>0</v>
          </cell>
          <cell r="AR572">
            <v>18</v>
          </cell>
          <cell r="AS572">
            <v>3</v>
          </cell>
          <cell r="AT572">
            <v>1</v>
          </cell>
          <cell r="AU572">
            <v>1</v>
          </cell>
          <cell r="AV572">
            <v>5</v>
          </cell>
          <cell r="AW572">
            <v>5</v>
          </cell>
          <cell r="AX572">
            <v>3</v>
          </cell>
          <cell r="AY572">
            <v>3</v>
          </cell>
          <cell r="AZ572">
            <v>4</v>
          </cell>
          <cell r="BA572">
            <v>4</v>
          </cell>
          <cell r="BB572">
            <v>3</v>
          </cell>
          <cell r="BC572">
            <v>1</v>
          </cell>
          <cell r="BD572">
            <v>1</v>
          </cell>
          <cell r="BE572">
            <v>2</v>
          </cell>
          <cell r="BF572">
            <v>2</v>
          </cell>
          <cell r="BG572">
            <v>2</v>
          </cell>
          <cell r="BH572">
            <v>0</v>
          </cell>
          <cell r="BI572">
            <v>1</v>
          </cell>
          <cell r="BJ572">
            <v>0</v>
          </cell>
          <cell r="BK572">
            <v>0</v>
          </cell>
          <cell r="BL572">
            <v>0</v>
          </cell>
          <cell r="BM572">
            <v>0</v>
          </cell>
          <cell r="BN572">
            <v>1</v>
          </cell>
          <cell r="BO572">
            <v>0</v>
          </cell>
          <cell r="BP572">
            <v>0</v>
          </cell>
          <cell r="BQ572">
            <v>2</v>
          </cell>
          <cell r="BR572">
            <v>0</v>
          </cell>
          <cell r="BS572">
            <v>0</v>
          </cell>
          <cell r="BT572">
            <v>5</v>
          </cell>
          <cell r="BU572">
            <v>0</v>
          </cell>
        </row>
        <row r="573">
          <cell r="A573">
            <v>26</v>
          </cell>
          <cell r="B573">
            <v>26</v>
          </cell>
          <cell r="D573">
            <v>0</v>
          </cell>
          <cell r="F573">
            <v>1</v>
          </cell>
          <cell r="G573">
            <v>0</v>
          </cell>
          <cell r="I573">
            <v>1</v>
          </cell>
          <cell r="J573">
            <v>0</v>
          </cell>
          <cell r="K573">
            <v>1</v>
          </cell>
          <cell r="L573">
            <v>1</v>
          </cell>
          <cell r="M573">
            <v>2</v>
          </cell>
          <cell r="O573">
            <v>1</v>
          </cell>
          <cell r="P573">
            <v>0</v>
          </cell>
          <cell r="Q573">
            <v>0</v>
          </cell>
          <cell r="R573">
            <v>0</v>
          </cell>
          <cell r="S573">
            <v>0</v>
          </cell>
          <cell r="T573">
            <v>1</v>
          </cell>
          <cell r="V573">
            <v>1</v>
          </cell>
          <cell r="W573">
            <v>71</v>
          </cell>
          <cell r="X573">
            <v>1</v>
          </cell>
          <cell r="Y573">
            <v>1</v>
          </cell>
          <cell r="AA573">
            <v>0</v>
          </cell>
          <cell r="AB573">
            <v>0</v>
          </cell>
          <cell r="AC573">
            <v>1</v>
          </cell>
          <cell r="AD573">
            <v>0</v>
          </cell>
          <cell r="AE573">
            <v>0</v>
          </cell>
          <cell r="AF573">
            <v>0</v>
          </cell>
          <cell r="AG573">
            <v>0</v>
          </cell>
          <cell r="AH573">
            <v>0</v>
          </cell>
          <cell r="AI573">
            <v>4</v>
          </cell>
          <cell r="AK573">
            <v>0</v>
          </cell>
          <cell r="AL573">
            <v>0</v>
          </cell>
          <cell r="AN573">
            <v>4364</v>
          </cell>
          <cell r="AO573">
            <v>3</v>
          </cell>
          <cell r="AQ573">
            <v>0</v>
          </cell>
          <cell r="AR573">
            <v>14</v>
          </cell>
          <cell r="AS573">
            <v>3</v>
          </cell>
          <cell r="AT573">
            <v>1</v>
          </cell>
          <cell r="AU573">
            <v>1</v>
          </cell>
          <cell r="AV573">
            <v>5</v>
          </cell>
          <cell r="AW573">
            <v>5</v>
          </cell>
          <cell r="AX573">
            <v>2</v>
          </cell>
          <cell r="AY573">
            <v>3</v>
          </cell>
          <cell r="AZ573">
            <v>2</v>
          </cell>
          <cell r="BA573">
            <v>2</v>
          </cell>
          <cell r="BB573">
            <v>2</v>
          </cell>
          <cell r="BC573">
            <v>2</v>
          </cell>
          <cell r="BD573">
            <v>2</v>
          </cell>
          <cell r="BE573">
            <v>0</v>
          </cell>
          <cell r="BF573">
            <v>0</v>
          </cell>
          <cell r="BG573">
            <v>0</v>
          </cell>
          <cell r="BH573">
            <v>0</v>
          </cell>
          <cell r="BI573">
            <v>0</v>
          </cell>
          <cell r="BJ573">
            <v>1</v>
          </cell>
          <cell r="BK573">
            <v>0</v>
          </cell>
          <cell r="BL573">
            <v>1</v>
          </cell>
          <cell r="BM573">
            <v>0</v>
          </cell>
          <cell r="BN573">
            <v>0</v>
          </cell>
          <cell r="BO573">
            <v>0</v>
          </cell>
          <cell r="BP573">
            <v>0</v>
          </cell>
          <cell r="BQ573">
            <v>0</v>
          </cell>
          <cell r="BR573">
            <v>0</v>
          </cell>
          <cell r="BS573">
            <v>0</v>
          </cell>
          <cell r="BT573">
            <v>5</v>
          </cell>
          <cell r="BU573">
            <v>0</v>
          </cell>
        </row>
        <row r="574">
          <cell r="A574">
            <v>29</v>
          </cell>
          <cell r="B574">
            <v>29</v>
          </cell>
          <cell r="D574">
            <v>0</v>
          </cell>
          <cell r="F574">
            <v>0</v>
          </cell>
          <cell r="G574">
            <v>1</v>
          </cell>
          <cell r="I574">
            <v>1</v>
          </cell>
          <cell r="J574">
            <v>0</v>
          </cell>
          <cell r="K574">
            <v>27</v>
          </cell>
          <cell r="L574">
            <v>27</v>
          </cell>
          <cell r="M574">
            <v>3</v>
          </cell>
          <cell r="O574">
            <v>0</v>
          </cell>
          <cell r="P574">
            <v>0</v>
          </cell>
          <cell r="Q574">
            <v>1</v>
          </cell>
          <cell r="R574">
            <v>0</v>
          </cell>
          <cell r="S574">
            <v>0</v>
          </cell>
          <cell r="T574">
            <v>2</v>
          </cell>
          <cell r="V574">
            <v>1</v>
          </cell>
          <cell r="W574">
            <v>66</v>
          </cell>
          <cell r="X574">
            <v>3</v>
          </cell>
          <cell r="Y574">
            <v>2</v>
          </cell>
          <cell r="AA574">
            <v>1</v>
          </cell>
          <cell r="AB574">
            <v>0</v>
          </cell>
          <cell r="AC574">
            <v>0</v>
          </cell>
          <cell r="AD574">
            <v>0</v>
          </cell>
          <cell r="AE574">
            <v>0</v>
          </cell>
          <cell r="AF574">
            <v>0</v>
          </cell>
          <cell r="AG574">
            <v>0</v>
          </cell>
          <cell r="AH574">
            <v>0</v>
          </cell>
          <cell r="AI574">
            <v>3</v>
          </cell>
          <cell r="AK574">
            <v>0</v>
          </cell>
          <cell r="AL574">
            <v>1</v>
          </cell>
          <cell r="AN574">
            <v>4335</v>
          </cell>
          <cell r="AO574">
            <v>4</v>
          </cell>
          <cell r="AQ574">
            <v>0</v>
          </cell>
          <cell r="AR574">
            <v>12</v>
          </cell>
          <cell r="AS574">
            <v>3</v>
          </cell>
          <cell r="AT574">
            <v>1</v>
          </cell>
          <cell r="AU574">
            <v>1</v>
          </cell>
          <cell r="AV574">
            <v>11</v>
          </cell>
          <cell r="AW574">
            <v>11</v>
          </cell>
          <cell r="AX574">
            <v>3</v>
          </cell>
          <cell r="AY574">
            <v>2</v>
          </cell>
          <cell r="AZ574">
            <v>8</v>
          </cell>
          <cell r="BA574">
            <v>8</v>
          </cell>
          <cell r="BB574">
            <v>7</v>
          </cell>
          <cell r="BC574">
            <v>1</v>
          </cell>
          <cell r="BD574">
            <v>1</v>
          </cell>
          <cell r="BE574">
            <v>1</v>
          </cell>
          <cell r="BF574">
            <v>1</v>
          </cell>
          <cell r="BG574">
            <v>2</v>
          </cell>
          <cell r="BH574">
            <v>0</v>
          </cell>
          <cell r="BI574">
            <v>1</v>
          </cell>
          <cell r="BJ574">
            <v>0</v>
          </cell>
          <cell r="BK574">
            <v>0</v>
          </cell>
          <cell r="BL574">
            <v>0</v>
          </cell>
          <cell r="BM574">
            <v>0</v>
          </cell>
          <cell r="BN574">
            <v>1</v>
          </cell>
          <cell r="BO574">
            <v>0</v>
          </cell>
          <cell r="BP574">
            <v>0</v>
          </cell>
          <cell r="BQ574">
            <v>1</v>
          </cell>
          <cell r="BR574">
            <v>0</v>
          </cell>
          <cell r="BS574">
            <v>0</v>
          </cell>
          <cell r="BT574">
            <v>11</v>
          </cell>
          <cell r="BU574">
            <v>0</v>
          </cell>
        </row>
        <row r="575">
          <cell r="A575">
            <v>26</v>
          </cell>
          <cell r="B575">
            <v>26</v>
          </cell>
          <cell r="D575">
            <v>1</v>
          </cell>
          <cell r="F575">
            <v>0</v>
          </cell>
          <cell r="G575">
            <v>1</v>
          </cell>
          <cell r="I575">
            <v>0</v>
          </cell>
          <cell r="J575">
            <v>1</v>
          </cell>
          <cell r="K575">
            <v>8</v>
          </cell>
          <cell r="L575">
            <v>8</v>
          </cell>
          <cell r="M575">
            <v>3</v>
          </cell>
          <cell r="O575">
            <v>0</v>
          </cell>
          <cell r="P575">
            <v>0</v>
          </cell>
          <cell r="Q575">
            <v>0</v>
          </cell>
          <cell r="R575">
            <v>0</v>
          </cell>
          <cell r="S575">
            <v>1</v>
          </cell>
          <cell r="T575">
            <v>4</v>
          </cell>
          <cell r="V575">
            <v>0</v>
          </cell>
          <cell r="W575">
            <v>38</v>
          </cell>
          <cell r="X575">
            <v>2</v>
          </cell>
          <cell r="Y575">
            <v>2</v>
          </cell>
          <cell r="AA575">
            <v>0</v>
          </cell>
          <cell r="AB575">
            <v>1</v>
          </cell>
          <cell r="AC575">
            <v>0</v>
          </cell>
          <cell r="AD575">
            <v>0</v>
          </cell>
          <cell r="AE575">
            <v>0</v>
          </cell>
          <cell r="AF575">
            <v>0</v>
          </cell>
          <cell r="AG575">
            <v>0</v>
          </cell>
          <cell r="AH575">
            <v>0</v>
          </cell>
          <cell r="AI575">
            <v>1</v>
          </cell>
          <cell r="AK575">
            <v>1</v>
          </cell>
          <cell r="AL575">
            <v>0</v>
          </cell>
          <cell r="AN575">
            <v>5326</v>
          </cell>
          <cell r="AO575">
            <v>6</v>
          </cell>
          <cell r="AQ575">
            <v>0</v>
          </cell>
          <cell r="AR575">
            <v>17</v>
          </cell>
          <cell r="AS575">
            <v>3</v>
          </cell>
          <cell r="AT575">
            <v>3</v>
          </cell>
          <cell r="AU575">
            <v>0</v>
          </cell>
          <cell r="AV575">
            <v>6</v>
          </cell>
          <cell r="AW575">
            <v>6</v>
          </cell>
          <cell r="AX575">
            <v>2</v>
          </cell>
          <cell r="AY575">
            <v>2</v>
          </cell>
          <cell r="AZ575">
            <v>4</v>
          </cell>
          <cell r="BA575">
            <v>4</v>
          </cell>
          <cell r="BB575">
            <v>3</v>
          </cell>
          <cell r="BC575">
            <v>1</v>
          </cell>
          <cell r="BD575">
            <v>1</v>
          </cell>
          <cell r="BE575">
            <v>2</v>
          </cell>
          <cell r="BF575">
            <v>2</v>
          </cell>
          <cell r="BG575">
            <v>4</v>
          </cell>
          <cell r="BH575">
            <v>1</v>
          </cell>
          <cell r="BI575">
            <v>0</v>
          </cell>
          <cell r="BJ575">
            <v>0</v>
          </cell>
          <cell r="BK575">
            <v>0</v>
          </cell>
          <cell r="BL575">
            <v>1</v>
          </cell>
          <cell r="BM575">
            <v>0</v>
          </cell>
          <cell r="BN575">
            <v>0</v>
          </cell>
          <cell r="BO575">
            <v>0</v>
          </cell>
          <cell r="BP575">
            <v>0</v>
          </cell>
          <cell r="BQ575">
            <v>0</v>
          </cell>
          <cell r="BR575">
            <v>2</v>
          </cell>
          <cell r="BS575">
            <v>0</v>
          </cell>
          <cell r="BT575">
            <v>0</v>
          </cell>
          <cell r="BU575">
            <v>6</v>
          </cell>
        </row>
        <row r="576">
          <cell r="A576">
            <v>34</v>
          </cell>
          <cell r="B576">
            <v>34</v>
          </cell>
          <cell r="D576">
            <v>0</v>
          </cell>
          <cell r="F576">
            <v>0</v>
          </cell>
          <cell r="G576">
            <v>1</v>
          </cell>
          <cell r="I576">
            <v>1</v>
          </cell>
          <cell r="J576">
            <v>0</v>
          </cell>
          <cell r="K576">
            <v>1</v>
          </cell>
          <cell r="L576">
            <v>1</v>
          </cell>
          <cell r="M576">
            <v>4</v>
          </cell>
          <cell r="O576">
            <v>1</v>
          </cell>
          <cell r="P576">
            <v>0</v>
          </cell>
          <cell r="Q576">
            <v>0</v>
          </cell>
          <cell r="R576">
            <v>0</v>
          </cell>
          <cell r="S576">
            <v>0</v>
          </cell>
          <cell r="T576">
            <v>2</v>
          </cell>
          <cell r="V576">
            <v>1</v>
          </cell>
          <cell r="W576">
            <v>72</v>
          </cell>
          <cell r="X576">
            <v>4</v>
          </cell>
          <cell r="Y576">
            <v>1</v>
          </cell>
          <cell r="AA576">
            <v>0</v>
          </cell>
          <cell r="AB576">
            <v>0</v>
          </cell>
          <cell r="AC576">
            <v>0</v>
          </cell>
          <cell r="AD576">
            <v>0</v>
          </cell>
          <cell r="AE576">
            <v>0</v>
          </cell>
          <cell r="AF576">
            <v>0</v>
          </cell>
          <cell r="AG576">
            <v>0</v>
          </cell>
          <cell r="AH576">
            <v>1</v>
          </cell>
          <cell r="AI576">
            <v>4</v>
          </cell>
          <cell r="AK576">
            <v>1</v>
          </cell>
          <cell r="AL576">
            <v>0</v>
          </cell>
          <cell r="AN576">
            <v>3280</v>
          </cell>
          <cell r="AO576">
            <v>2</v>
          </cell>
          <cell r="AQ576">
            <v>0</v>
          </cell>
          <cell r="AR576">
            <v>16</v>
          </cell>
          <cell r="AS576">
            <v>3</v>
          </cell>
          <cell r="AT576">
            <v>3</v>
          </cell>
          <cell r="AU576">
            <v>0</v>
          </cell>
          <cell r="AV576">
            <v>10</v>
          </cell>
          <cell r="AW576">
            <v>10</v>
          </cell>
          <cell r="AX576">
            <v>2</v>
          </cell>
          <cell r="AY576">
            <v>3</v>
          </cell>
          <cell r="AZ576">
            <v>4</v>
          </cell>
          <cell r="BA576">
            <v>4</v>
          </cell>
          <cell r="BB576">
            <v>2</v>
          </cell>
          <cell r="BC576">
            <v>1</v>
          </cell>
          <cell r="BD576">
            <v>1</v>
          </cell>
          <cell r="BE576">
            <v>3</v>
          </cell>
          <cell r="BF576">
            <v>3</v>
          </cell>
          <cell r="BG576">
            <v>3</v>
          </cell>
          <cell r="BH576">
            <v>1</v>
          </cell>
          <cell r="BI576">
            <v>0</v>
          </cell>
          <cell r="BJ576">
            <v>0</v>
          </cell>
          <cell r="BK576">
            <v>0</v>
          </cell>
          <cell r="BL576">
            <v>1</v>
          </cell>
          <cell r="BM576">
            <v>0</v>
          </cell>
          <cell r="BN576">
            <v>0</v>
          </cell>
          <cell r="BO576">
            <v>0</v>
          </cell>
          <cell r="BP576">
            <v>0</v>
          </cell>
          <cell r="BQ576">
            <v>3</v>
          </cell>
          <cell r="BR576">
            <v>0</v>
          </cell>
          <cell r="BS576">
            <v>0</v>
          </cell>
          <cell r="BT576">
            <v>10</v>
          </cell>
          <cell r="BU576">
            <v>0</v>
          </cell>
        </row>
        <row r="577">
          <cell r="A577">
            <v>54</v>
          </cell>
          <cell r="B577">
            <v>54</v>
          </cell>
          <cell r="D577">
            <v>0</v>
          </cell>
          <cell r="F577">
            <v>0</v>
          </cell>
          <cell r="G577">
            <v>1</v>
          </cell>
          <cell r="I577">
            <v>1</v>
          </cell>
          <cell r="J577">
            <v>0</v>
          </cell>
          <cell r="K577">
            <v>19</v>
          </cell>
          <cell r="L577">
            <v>19</v>
          </cell>
          <cell r="M577">
            <v>4</v>
          </cell>
          <cell r="O577">
            <v>0</v>
          </cell>
          <cell r="P577">
            <v>0</v>
          </cell>
          <cell r="Q577">
            <v>1</v>
          </cell>
          <cell r="R577">
            <v>0</v>
          </cell>
          <cell r="S577">
            <v>0</v>
          </cell>
          <cell r="T577">
            <v>4</v>
          </cell>
          <cell r="V577">
            <v>1</v>
          </cell>
          <cell r="W577">
            <v>95</v>
          </cell>
          <cell r="X577">
            <v>3</v>
          </cell>
          <cell r="Y577">
            <v>2</v>
          </cell>
          <cell r="AA577">
            <v>0</v>
          </cell>
          <cell r="AB577">
            <v>0</v>
          </cell>
          <cell r="AC577">
            <v>0</v>
          </cell>
          <cell r="AD577">
            <v>0</v>
          </cell>
          <cell r="AE577">
            <v>1</v>
          </cell>
          <cell r="AF577">
            <v>1</v>
          </cell>
          <cell r="AG577">
            <v>0</v>
          </cell>
          <cell r="AH577">
            <v>0</v>
          </cell>
          <cell r="AI577">
            <v>1</v>
          </cell>
          <cell r="AK577">
            <v>0</v>
          </cell>
          <cell r="AL577">
            <v>0</v>
          </cell>
          <cell r="AN577">
            <v>5485</v>
          </cell>
          <cell r="AO577">
            <v>9</v>
          </cell>
          <cell r="AQ577">
            <v>1</v>
          </cell>
          <cell r="AR577">
            <v>11</v>
          </cell>
          <cell r="AS577">
            <v>3</v>
          </cell>
          <cell r="AT577">
            <v>2</v>
          </cell>
          <cell r="AU577">
            <v>2</v>
          </cell>
          <cell r="AV577">
            <v>9</v>
          </cell>
          <cell r="AW577">
            <v>9</v>
          </cell>
          <cell r="AX577">
            <v>4</v>
          </cell>
          <cell r="AY577">
            <v>3</v>
          </cell>
          <cell r="AZ577">
            <v>5</v>
          </cell>
          <cell r="BA577">
            <v>5</v>
          </cell>
          <cell r="BB577">
            <v>3</v>
          </cell>
          <cell r="BC577">
            <v>1</v>
          </cell>
          <cell r="BD577">
            <v>1</v>
          </cell>
          <cell r="BE577">
            <v>4</v>
          </cell>
          <cell r="BF577">
            <v>4</v>
          </cell>
          <cell r="BG577">
            <v>8</v>
          </cell>
          <cell r="BH577">
            <v>1</v>
          </cell>
          <cell r="BI577">
            <v>0</v>
          </cell>
          <cell r="BJ577">
            <v>0</v>
          </cell>
          <cell r="BK577">
            <v>0</v>
          </cell>
          <cell r="BL577">
            <v>0</v>
          </cell>
          <cell r="BM577">
            <v>1</v>
          </cell>
          <cell r="BN577">
            <v>0</v>
          </cell>
          <cell r="BO577">
            <v>0</v>
          </cell>
          <cell r="BP577">
            <v>0</v>
          </cell>
          <cell r="BQ577">
            <v>4</v>
          </cell>
          <cell r="BR577">
            <v>0</v>
          </cell>
          <cell r="BS577">
            <v>0</v>
          </cell>
          <cell r="BT577">
            <v>9</v>
          </cell>
          <cell r="BU577">
            <v>0</v>
          </cell>
        </row>
        <row r="578">
          <cell r="A578">
            <v>27</v>
          </cell>
          <cell r="B578">
            <v>27</v>
          </cell>
          <cell r="D578">
            <v>0</v>
          </cell>
          <cell r="F578">
            <v>1</v>
          </cell>
          <cell r="G578">
            <v>0</v>
          </cell>
          <cell r="I578">
            <v>0</v>
          </cell>
          <cell r="J578">
            <v>1</v>
          </cell>
          <cell r="K578">
            <v>8</v>
          </cell>
          <cell r="L578">
            <v>8</v>
          </cell>
          <cell r="M578">
            <v>1</v>
          </cell>
          <cell r="O578">
            <v>0</v>
          </cell>
          <cell r="P578">
            <v>0</v>
          </cell>
          <cell r="Q578">
            <v>0</v>
          </cell>
          <cell r="R578">
            <v>1</v>
          </cell>
          <cell r="S578">
            <v>0</v>
          </cell>
          <cell r="T578">
            <v>3</v>
          </cell>
          <cell r="V578">
            <v>0</v>
          </cell>
          <cell r="W578">
            <v>84</v>
          </cell>
          <cell r="X578">
            <v>3</v>
          </cell>
          <cell r="Y578">
            <v>2</v>
          </cell>
          <cell r="AA578">
            <v>0</v>
          </cell>
          <cell r="AB578">
            <v>1</v>
          </cell>
          <cell r="AC578">
            <v>0</v>
          </cell>
          <cell r="AD578">
            <v>0</v>
          </cell>
          <cell r="AE578">
            <v>0</v>
          </cell>
          <cell r="AF578">
            <v>0</v>
          </cell>
          <cell r="AG578">
            <v>0</v>
          </cell>
          <cell r="AH578">
            <v>0</v>
          </cell>
          <cell r="AI578">
            <v>4</v>
          </cell>
          <cell r="AK578">
            <v>0</v>
          </cell>
          <cell r="AL578">
            <v>1</v>
          </cell>
          <cell r="AN578">
            <v>4342</v>
          </cell>
          <cell r="AO578">
            <v>0</v>
          </cell>
          <cell r="AQ578">
            <v>0</v>
          </cell>
          <cell r="AR578">
            <v>19</v>
          </cell>
          <cell r="AS578">
            <v>3</v>
          </cell>
          <cell r="AT578">
            <v>2</v>
          </cell>
          <cell r="AU578">
            <v>1</v>
          </cell>
          <cell r="AV578">
            <v>5</v>
          </cell>
          <cell r="AW578">
            <v>5</v>
          </cell>
          <cell r="AX578">
            <v>3</v>
          </cell>
          <cell r="AY578">
            <v>3</v>
          </cell>
          <cell r="AZ578">
            <v>4</v>
          </cell>
          <cell r="BA578">
            <v>4</v>
          </cell>
          <cell r="BB578">
            <v>2</v>
          </cell>
          <cell r="BC578">
            <v>1</v>
          </cell>
          <cell r="BD578">
            <v>1</v>
          </cell>
          <cell r="BE578">
            <v>1</v>
          </cell>
          <cell r="BF578">
            <v>1</v>
          </cell>
          <cell r="BG578">
            <v>2</v>
          </cell>
          <cell r="BH578">
            <v>0</v>
          </cell>
          <cell r="BI578">
            <v>0</v>
          </cell>
          <cell r="BJ578">
            <v>0</v>
          </cell>
          <cell r="BK578">
            <v>1</v>
          </cell>
          <cell r="BL578">
            <v>0</v>
          </cell>
          <cell r="BM578">
            <v>0</v>
          </cell>
          <cell r="BN578">
            <v>1</v>
          </cell>
          <cell r="BO578">
            <v>0</v>
          </cell>
          <cell r="BP578">
            <v>0</v>
          </cell>
          <cell r="BQ578">
            <v>0</v>
          </cell>
          <cell r="BR578">
            <v>1</v>
          </cell>
          <cell r="BS578">
            <v>0</v>
          </cell>
          <cell r="BT578">
            <v>0</v>
          </cell>
          <cell r="BU578">
            <v>5</v>
          </cell>
        </row>
        <row r="579">
          <cell r="A579">
            <v>37</v>
          </cell>
          <cell r="B579">
            <v>37</v>
          </cell>
          <cell r="D579">
            <v>0</v>
          </cell>
          <cell r="F579">
            <v>0</v>
          </cell>
          <cell r="G579">
            <v>1</v>
          </cell>
          <cell r="I579">
            <v>1</v>
          </cell>
          <cell r="J579">
            <v>0</v>
          </cell>
          <cell r="K579">
            <v>10</v>
          </cell>
          <cell r="L579">
            <v>10</v>
          </cell>
          <cell r="M579">
            <v>1</v>
          </cell>
          <cell r="O579">
            <v>1</v>
          </cell>
          <cell r="P579">
            <v>0</v>
          </cell>
          <cell r="Q579">
            <v>0</v>
          </cell>
          <cell r="R579">
            <v>0</v>
          </cell>
          <cell r="S579">
            <v>0</v>
          </cell>
          <cell r="T579">
            <v>4</v>
          </cell>
          <cell r="V579">
            <v>1</v>
          </cell>
          <cell r="W579">
            <v>82</v>
          </cell>
          <cell r="X579">
            <v>3</v>
          </cell>
          <cell r="Y579">
            <v>1</v>
          </cell>
          <cell r="AA579">
            <v>0</v>
          </cell>
          <cell r="AB579">
            <v>0</v>
          </cell>
          <cell r="AC579">
            <v>0</v>
          </cell>
          <cell r="AD579">
            <v>0</v>
          </cell>
          <cell r="AE579">
            <v>0</v>
          </cell>
          <cell r="AF579">
            <v>0</v>
          </cell>
          <cell r="AG579">
            <v>0</v>
          </cell>
          <cell r="AH579">
            <v>1</v>
          </cell>
          <cell r="AI579">
            <v>1</v>
          </cell>
          <cell r="AK579">
            <v>0</v>
          </cell>
          <cell r="AL579">
            <v>0</v>
          </cell>
          <cell r="AN579">
            <v>2782</v>
          </cell>
          <cell r="AO579">
            <v>0</v>
          </cell>
          <cell r="AQ579">
            <v>1</v>
          </cell>
          <cell r="AR579">
            <v>13</v>
          </cell>
          <cell r="AS579">
            <v>3</v>
          </cell>
          <cell r="AT579">
            <v>2</v>
          </cell>
          <cell r="AU579">
            <v>2</v>
          </cell>
          <cell r="AV579">
            <v>6</v>
          </cell>
          <cell r="AW579">
            <v>6</v>
          </cell>
          <cell r="AX579">
            <v>3</v>
          </cell>
          <cell r="AY579">
            <v>2</v>
          </cell>
          <cell r="AZ579">
            <v>5</v>
          </cell>
          <cell r="BA579">
            <v>5</v>
          </cell>
          <cell r="BB579">
            <v>3</v>
          </cell>
          <cell r="BC579">
            <v>4</v>
          </cell>
          <cell r="BD579">
            <v>4</v>
          </cell>
          <cell r="BE579">
            <v>3</v>
          </cell>
          <cell r="BF579">
            <v>3</v>
          </cell>
          <cell r="BG579">
            <v>3</v>
          </cell>
          <cell r="BH579">
            <v>1</v>
          </cell>
          <cell r="BI579">
            <v>0</v>
          </cell>
          <cell r="BJ579">
            <v>0</v>
          </cell>
          <cell r="BK579">
            <v>0</v>
          </cell>
          <cell r="BL579">
            <v>0</v>
          </cell>
          <cell r="BM579">
            <v>1</v>
          </cell>
          <cell r="BN579">
            <v>0</v>
          </cell>
          <cell r="BO579">
            <v>0</v>
          </cell>
          <cell r="BP579">
            <v>0</v>
          </cell>
          <cell r="BQ579">
            <v>3</v>
          </cell>
          <cell r="BR579">
            <v>0</v>
          </cell>
          <cell r="BS579">
            <v>0</v>
          </cell>
          <cell r="BT579">
            <v>6</v>
          </cell>
          <cell r="BU579">
            <v>0</v>
          </cell>
        </row>
        <row r="580">
          <cell r="A580">
            <v>38</v>
          </cell>
          <cell r="B580">
            <v>38</v>
          </cell>
          <cell r="D580">
            <v>0</v>
          </cell>
          <cell r="F580">
            <v>1</v>
          </cell>
          <cell r="G580">
            <v>0</v>
          </cell>
          <cell r="I580">
            <v>1</v>
          </cell>
          <cell r="J580">
            <v>0</v>
          </cell>
          <cell r="K580">
            <v>2</v>
          </cell>
          <cell r="L580">
            <v>2</v>
          </cell>
          <cell r="M580">
            <v>4</v>
          </cell>
          <cell r="O580">
            <v>1</v>
          </cell>
          <cell r="P580">
            <v>0</v>
          </cell>
          <cell r="Q580">
            <v>0</v>
          </cell>
          <cell r="R580">
            <v>0</v>
          </cell>
          <cell r="S580">
            <v>0</v>
          </cell>
          <cell r="T580">
            <v>1</v>
          </cell>
          <cell r="V580">
            <v>1</v>
          </cell>
          <cell r="W580">
            <v>75</v>
          </cell>
          <cell r="X580">
            <v>4</v>
          </cell>
          <cell r="Y580">
            <v>2</v>
          </cell>
          <cell r="AA580">
            <v>0</v>
          </cell>
          <cell r="AB580">
            <v>0</v>
          </cell>
          <cell r="AC580">
            <v>0</v>
          </cell>
          <cell r="AD580">
            <v>0</v>
          </cell>
          <cell r="AE580">
            <v>1</v>
          </cell>
          <cell r="AF580">
            <v>1</v>
          </cell>
          <cell r="AG580">
            <v>0</v>
          </cell>
          <cell r="AH580">
            <v>0</v>
          </cell>
          <cell r="AI580">
            <v>1</v>
          </cell>
          <cell r="AK580">
            <v>1</v>
          </cell>
          <cell r="AL580">
            <v>0</v>
          </cell>
          <cell r="AN580">
            <v>5980</v>
          </cell>
          <cell r="AO580">
            <v>6</v>
          </cell>
          <cell r="AQ580">
            <v>1</v>
          </cell>
          <cell r="AR580">
            <v>12</v>
          </cell>
          <cell r="AS580">
            <v>3</v>
          </cell>
          <cell r="AT580">
            <v>4</v>
          </cell>
          <cell r="AU580">
            <v>0</v>
          </cell>
          <cell r="AV580">
            <v>17</v>
          </cell>
          <cell r="AW580">
            <v>17</v>
          </cell>
          <cell r="AX580">
            <v>2</v>
          </cell>
          <cell r="AY580">
            <v>3</v>
          </cell>
          <cell r="AZ580">
            <v>15</v>
          </cell>
          <cell r="BA580">
            <v>15</v>
          </cell>
          <cell r="BB580">
            <v>7</v>
          </cell>
          <cell r="BC580">
            <v>4</v>
          </cell>
          <cell r="BD580">
            <v>4</v>
          </cell>
          <cell r="BE580">
            <v>12</v>
          </cell>
          <cell r="BF580">
            <v>12</v>
          </cell>
          <cell r="BG580">
            <v>24</v>
          </cell>
          <cell r="BH580">
            <v>0</v>
          </cell>
          <cell r="BI580">
            <v>0</v>
          </cell>
          <cell r="BJ580">
            <v>1</v>
          </cell>
          <cell r="BK580">
            <v>0</v>
          </cell>
          <cell r="BL580">
            <v>0</v>
          </cell>
          <cell r="BM580">
            <v>1</v>
          </cell>
          <cell r="BN580">
            <v>0</v>
          </cell>
          <cell r="BO580">
            <v>0</v>
          </cell>
          <cell r="BP580">
            <v>0</v>
          </cell>
          <cell r="BQ580">
            <v>12</v>
          </cell>
          <cell r="BR580">
            <v>0</v>
          </cell>
          <cell r="BS580">
            <v>0</v>
          </cell>
          <cell r="BT580">
            <v>17</v>
          </cell>
          <cell r="BU580">
            <v>0</v>
          </cell>
        </row>
        <row r="581">
          <cell r="A581">
            <v>34</v>
          </cell>
          <cell r="B581">
            <v>34</v>
          </cell>
          <cell r="D581">
            <v>0</v>
          </cell>
          <cell r="F581">
            <v>0</v>
          </cell>
          <cell r="G581">
            <v>1</v>
          </cell>
          <cell r="I581">
            <v>1</v>
          </cell>
          <cell r="J581">
            <v>0</v>
          </cell>
          <cell r="K581">
            <v>2</v>
          </cell>
          <cell r="L581">
            <v>2</v>
          </cell>
          <cell r="M581">
            <v>4</v>
          </cell>
          <cell r="O581">
            <v>0</v>
          </cell>
          <cell r="P581">
            <v>0</v>
          </cell>
          <cell r="Q581">
            <v>1</v>
          </cell>
          <cell r="R581">
            <v>0</v>
          </cell>
          <cell r="S581">
            <v>0</v>
          </cell>
          <cell r="T581">
            <v>3</v>
          </cell>
          <cell r="V581">
            <v>1</v>
          </cell>
          <cell r="W581">
            <v>86</v>
          </cell>
          <cell r="X581">
            <v>2</v>
          </cell>
          <cell r="Y581">
            <v>1</v>
          </cell>
          <cell r="AA581">
            <v>0</v>
          </cell>
          <cell r="AB581">
            <v>0</v>
          </cell>
          <cell r="AC581">
            <v>0</v>
          </cell>
          <cell r="AD581">
            <v>0</v>
          </cell>
          <cell r="AE581">
            <v>0</v>
          </cell>
          <cell r="AF581">
            <v>0</v>
          </cell>
          <cell r="AG581">
            <v>0</v>
          </cell>
          <cell r="AH581">
            <v>1</v>
          </cell>
          <cell r="AI581">
            <v>1</v>
          </cell>
          <cell r="AK581">
            <v>1</v>
          </cell>
          <cell r="AL581">
            <v>0</v>
          </cell>
          <cell r="AN581">
            <v>4381</v>
          </cell>
          <cell r="AO581">
            <v>1</v>
          </cell>
          <cell r="AQ581">
            <v>0</v>
          </cell>
          <cell r="AR581">
            <v>11</v>
          </cell>
          <cell r="AS581">
            <v>3</v>
          </cell>
          <cell r="AT581">
            <v>3</v>
          </cell>
          <cell r="AU581">
            <v>0</v>
          </cell>
          <cell r="AV581">
            <v>6</v>
          </cell>
          <cell r="AW581">
            <v>6</v>
          </cell>
          <cell r="AX581">
            <v>3</v>
          </cell>
          <cell r="AY581">
            <v>3</v>
          </cell>
          <cell r="AZ581">
            <v>6</v>
          </cell>
          <cell r="BA581">
            <v>6</v>
          </cell>
          <cell r="BB581">
            <v>5</v>
          </cell>
          <cell r="BC581">
            <v>1</v>
          </cell>
          <cell r="BD581">
            <v>1</v>
          </cell>
          <cell r="BE581">
            <v>3</v>
          </cell>
          <cell r="BF581">
            <v>3</v>
          </cell>
          <cell r="BG581">
            <v>3</v>
          </cell>
          <cell r="BH581">
            <v>1</v>
          </cell>
          <cell r="BI581">
            <v>0</v>
          </cell>
          <cell r="BJ581">
            <v>0</v>
          </cell>
          <cell r="BK581">
            <v>0</v>
          </cell>
          <cell r="BL581">
            <v>1</v>
          </cell>
          <cell r="BM581">
            <v>0</v>
          </cell>
          <cell r="BN581">
            <v>0</v>
          </cell>
          <cell r="BO581">
            <v>0</v>
          </cell>
          <cell r="BP581">
            <v>0</v>
          </cell>
          <cell r="BQ581">
            <v>3</v>
          </cell>
          <cell r="BR581">
            <v>0</v>
          </cell>
          <cell r="BS581">
            <v>0</v>
          </cell>
          <cell r="BT581">
            <v>6</v>
          </cell>
          <cell r="BU581">
            <v>0</v>
          </cell>
        </row>
        <row r="582">
          <cell r="A582">
            <v>35</v>
          </cell>
          <cell r="B582">
            <v>35</v>
          </cell>
          <cell r="D582">
            <v>0</v>
          </cell>
          <cell r="F582">
            <v>0</v>
          </cell>
          <cell r="G582">
            <v>1</v>
          </cell>
          <cell r="I582">
            <v>0</v>
          </cell>
          <cell r="J582">
            <v>1</v>
          </cell>
          <cell r="K582">
            <v>8</v>
          </cell>
          <cell r="L582">
            <v>8</v>
          </cell>
          <cell r="M582">
            <v>4</v>
          </cell>
          <cell r="O582">
            <v>1</v>
          </cell>
          <cell r="P582">
            <v>0</v>
          </cell>
          <cell r="Q582">
            <v>0</v>
          </cell>
          <cell r="R582">
            <v>0</v>
          </cell>
          <cell r="S582">
            <v>0</v>
          </cell>
          <cell r="T582">
            <v>1</v>
          </cell>
          <cell r="V582">
            <v>1</v>
          </cell>
          <cell r="W582">
            <v>72</v>
          </cell>
          <cell r="X582">
            <v>3</v>
          </cell>
          <cell r="Y582">
            <v>1</v>
          </cell>
          <cell r="AA582">
            <v>0</v>
          </cell>
          <cell r="AB582">
            <v>0</v>
          </cell>
          <cell r="AC582">
            <v>0</v>
          </cell>
          <cell r="AD582">
            <v>0</v>
          </cell>
          <cell r="AE582">
            <v>0</v>
          </cell>
          <cell r="AF582">
            <v>0</v>
          </cell>
          <cell r="AG582">
            <v>1</v>
          </cell>
          <cell r="AH582">
            <v>0</v>
          </cell>
          <cell r="AI582">
            <v>4</v>
          </cell>
          <cell r="AK582">
            <v>0</v>
          </cell>
          <cell r="AL582">
            <v>1</v>
          </cell>
          <cell r="AN582">
            <v>2572</v>
          </cell>
          <cell r="AO582">
            <v>1</v>
          </cell>
          <cell r="AQ582">
            <v>0</v>
          </cell>
          <cell r="AR582">
            <v>16</v>
          </cell>
          <cell r="AS582">
            <v>3</v>
          </cell>
          <cell r="AT582">
            <v>2</v>
          </cell>
          <cell r="AU582">
            <v>1</v>
          </cell>
          <cell r="AV582">
            <v>3</v>
          </cell>
          <cell r="AW582">
            <v>3</v>
          </cell>
          <cell r="AX582">
            <v>1</v>
          </cell>
          <cell r="AY582">
            <v>2</v>
          </cell>
          <cell r="AZ582">
            <v>3</v>
          </cell>
          <cell r="BA582">
            <v>3</v>
          </cell>
          <cell r="BB582">
            <v>2</v>
          </cell>
          <cell r="BC582">
            <v>0</v>
          </cell>
          <cell r="BD582">
            <v>0</v>
          </cell>
          <cell r="BE582">
            <v>2</v>
          </cell>
          <cell r="BF582">
            <v>2</v>
          </cell>
          <cell r="BG582">
            <v>2</v>
          </cell>
          <cell r="BH582">
            <v>0</v>
          </cell>
          <cell r="BI582">
            <v>1</v>
          </cell>
          <cell r="BJ582">
            <v>0</v>
          </cell>
          <cell r="BK582">
            <v>0</v>
          </cell>
          <cell r="BL582">
            <v>0</v>
          </cell>
          <cell r="BM582">
            <v>0</v>
          </cell>
          <cell r="BN582">
            <v>1</v>
          </cell>
          <cell r="BO582">
            <v>0</v>
          </cell>
          <cell r="BP582">
            <v>0</v>
          </cell>
          <cell r="BQ582">
            <v>0</v>
          </cell>
          <cell r="BR582">
            <v>2</v>
          </cell>
          <cell r="BS582">
            <v>0</v>
          </cell>
          <cell r="BT582">
            <v>0</v>
          </cell>
          <cell r="BU582">
            <v>3</v>
          </cell>
        </row>
        <row r="583">
          <cell r="A583">
            <v>30</v>
          </cell>
          <cell r="B583">
            <v>30</v>
          </cell>
          <cell r="D583">
            <v>0</v>
          </cell>
          <cell r="F583">
            <v>0</v>
          </cell>
          <cell r="G583">
            <v>1</v>
          </cell>
          <cell r="I583">
            <v>1</v>
          </cell>
          <cell r="J583">
            <v>0</v>
          </cell>
          <cell r="K583">
            <v>1</v>
          </cell>
          <cell r="L583">
            <v>1</v>
          </cell>
          <cell r="M583">
            <v>3</v>
          </cell>
          <cell r="O583">
            <v>1</v>
          </cell>
          <cell r="P583">
            <v>0</v>
          </cell>
          <cell r="Q583">
            <v>0</v>
          </cell>
          <cell r="R583">
            <v>0</v>
          </cell>
          <cell r="S583">
            <v>0</v>
          </cell>
          <cell r="T583">
            <v>4</v>
          </cell>
          <cell r="V583">
            <v>0</v>
          </cell>
          <cell r="W583">
            <v>38</v>
          </cell>
          <cell r="X583">
            <v>1</v>
          </cell>
          <cell r="Y583">
            <v>1</v>
          </cell>
          <cell r="AA583">
            <v>0</v>
          </cell>
          <cell r="AB583">
            <v>0</v>
          </cell>
          <cell r="AC583">
            <v>1</v>
          </cell>
          <cell r="AD583">
            <v>0</v>
          </cell>
          <cell r="AE583">
            <v>0</v>
          </cell>
          <cell r="AF583">
            <v>0</v>
          </cell>
          <cell r="AG583">
            <v>0</v>
          </cell>
          <cell r="AH583">
            <v>0</v>
          </cell>
          <cell r="AI583">
            <v>3</v>
          </cell>
          <cell r="AK583">
            <v>0</v>
          </cell>
          <cell r="AL583">
            <v>1</v>
          </cell>
          <cell r="AN583">
            <v>3833</v>
          </cell>
          <cell r="AO583">
            <v>3</v>
          </cell>
          <cell r="AQ583">
            <v>0</v>
          </cell>
          <cell r="AR583">
            <v>21</v>
          </cell>
          <cell r="AS583">
            <v>4</v>
          </cell>
          <cell r="AT583">
            <v>3</v>
          </cell>
          <cell r="AU583">
            <v>2</v>
          </cell>
          <cell r="AV583">
            <v>7</v>
          </cell>
          <cell r="AW583">
            <v>7</v>
          </cell>
          <cell r="AX583">
            <v>2</v>
          </cell>
          <cell r="AY583">
            <v>3</v>
          </cell>
          <cell r="AZ583">
            <v>2</v>
          </cell>
          <cell r="BA583">
            <v>2</v>
          </cell>
          <cell r="BB583">
            <v>2</v>
          </cell>
          <cell r="BC583">
            <v>0</v>
          </cell>
          <cell r="BD583">
            <v>0</v>
          </cell>
          <cell r="BE583">
            <v>2</v>
          </cell>
          <cell r="BF583">
            <v>2</v>
          </cell>
          <cell r="BG583">
            <v>2</v>
          </cell>
          <cell r="BH583">
            <v>0</v>
          </cell>
          <cell r="BI583">
            <v>1</v>
          </cell>
          <cell r="BJ583">
            <v>0</v>
          </cell>
          <cell r="BK583">
            <v>0</v>
          </cell>
          <cell r="BL583">
            <v>0</v>
          </cell>
          <cell r="BM583">
            <v>0</v>
          </cell>
          <cell r="BN583">
            <v>1</v>
          </cell>
          <cell r="BO583">
            <v>0</v>
          </cell>
          <cell r="BP583">
            <v>0</v>
          </cell>
          <cell r="BQ583">
            <v>2</v>
          </cell>
          <cell r="BR583">
            <v>0</v>
          </cell>
          <cell r="BS583">
            <v>0</v>
          </cell>
          <cell r="BT583">
            <v>7</v>
          </cell>
          <cell r="BU583">
            <v>0</v>
          </cell>
        </row>
        <row r="584">
          <cell r="A584">
            <v>40</v>
          </cell>
          <cell r="B584">
            <v>40</v>
          </cell>
          <cell r="D584">
            <v>0</v>
          </cell>
          <cell r="F584">
            <v>1</v>
          </cell>
          <cell r="G584">
            <v>0</v>
          </cell>
          <cell r="I584">
            <v>1</v>
          </cell>
          <cell r="J584">
            <v>0</v>
          </cell>
          <cell r="K584">
            <v>2</v>
          </cell>
          <cell r="L584">
            <v>2</v>
          </cell>
          <cell r="M584">
            <v>2</v>
          </cell>
          <cell r="O584">
            <v>0</v>
          </cell>
          <cell r="P584">
            <v>0</v>
          </cell>
          <cell r="Q584">
            <v>1</v>
          </cell>
          <cell r="R584">
            <v>0</v>
          </cell>
          <cell r="S584">
            <v>0</v>
          </cell>
          <cell r="T584">
            <v>3</v>
          </cell>
          <cell r="V584">
            <v>1</v>
          </cell>
          <cell r="W584">
            <v>38</v>
          </cell>
          <cell r="X584">
            <v>4</v>
          </cell>
          <cell r="Y584">
            <v>2</v>
          </cell>
          <cell r="AA584">
            <v>1</v>
          </cell>
          <cell r="AB584">
            <v>0</v>
          </cell>
          <cell r="AC584">
            <v>0</v>
          </cell>
          <cell r="AD584">
            <v>0</v>
          </cell>
          <cell r="AE584">
            <v>0</v>
          </cell>
          <cell r="AF584">
            <v>0</v>
          </cell>
          <cell r="AG584">
            <v>0</v>
          </cell>
          <cell r="AH584">
            <v>0</v>
          </cell>
          <cell r="AI584">
            <v>2</v>
          </cell>
          <cell r="AK584">
            <v>0</v>
          </cell>
          <cell r="AL584">
            <v>1</v>
          </cell>
          <cell r="AN584">
            <v>4244</v>
          </cell>
          <cell r="AO584">
            <v>1</v>
          </cell>
          <cell r="AQ584">
            <v>0</v>
          </cell>
          <cell r="AR584">
            <v>24</v>
          </cell>
          <cell r="AS584">
            <v>4</v>
          </cell>
          <cell r="AT584">
            <v>4</v>
          </cell>
          <cell r="AU584">
            <v>1</v>
          </cell>
          <cell r="AV584">
            <v>8</v>
          </cell>
          <cell r="AW584">
            <v>8</v>
          </cell>
          <cell r="AX584">
            <v>2</v>
          </cell>
          <cell r="AY584">
            <v>3</v>
          </cell>
          <cell r="AZ584">
            <v>8</v>
          </cell>
          <cell r="BA584">
            <v>8</v>
          </cell>
          <cell r="BB584">
            <v>7</v>
          </cell>
          <cell r="BC584">
            <v>3</v>
          </cell>
          <cell r="BD584">
            <v>3</v>
          </cell>
          <cell r="BE584">
            <v>7</v>
          </cell>
          <cell r="BF584">
            <v>7</v>
          </cell>
          <cell r="BG584">
            <v>14</v>
          </cell>
          <cell r="BH584">
            <v>0</v>
          </cell>
          <cell r="BI584">
            <v>0</v>
          </cell>
          <cell r="BJ584">
            <v>0</v>
          </cell>
          <cell r="BK584">
            <v>1</v>
          </cell>
          <cell r="BL584">
            <v>0</v>
          </cell>
          <cell r="BM584">
            <v>0</v>
          </cell>
          <cell r="BN584">
            <v>1</v>
          </cell>
          <cell r="BO584">
            <v>0</v>
          </cell>
          <cell r="BP584">
            <v>0</v>
          </cell>
          <cell r="BQ584">
            <v>7</v>
          </cell>
          <cell r="BR584">
            <v>0</v>
          </cell>
          <cell r="BS584">
            <v>0</v>
          </cell>
          <cell r="BT584">
            <v>8</v>
          </cell>
          <cell r="BU584">
            <v>0</v>
          </cell>
        </row>
        <row r="585">
          <cell r="A585">
            <v>34</v>
          </cell>
          <cell r="B585">
            <v>34</v>
          </cell>
          <cell r="D585">
            <v>0</v>
          </cell>
          <cell r="F585">
            <v>0</v>
          </cell>
          <cell r="G585">
            <v>1</v>
          </cell>
          <cell r="I585">
            <v>0</v>
          </cell>
          <cell r="J585">
            <v>1</v>
          </cell>
          <cell r="K585">
            <v>8</v>
          </cell>
          <cell r="L585">
            <v>8</v>
          </cell>
          <cell r="M585">
            <v>2</v>
          </cell>
          <cell r="O585">
            <v>1</v>
          </cell>
          <cell r="P585">
            <v>0</v>
          </cell>
          <cell r="Q585">
            <v>0</v>
          </cell>
          <cell r="R585">
            <v>0</v>
          </cell>
          <cell r="S585">
            <v>0</v>
          </cell>
          <cell r="T585">
            <v>3</v>
          </cell>
          <cell r="V585">
            <v>1</v>
          </cell>
          <cell r="W585">
            <v>93</v>
          </cell>
          <cell r="X585">
            <v>3</v>
          </cell>
          <cell r="Y585">
            <v>2</v>
          </cell>
          <cell r="AA585">
            <v>0</v>
          </cell>
          <cell r="AB585">
            <v>1</v>
          </cell>
          <cell r="AC585">
            <v>0</v>
          </cell>
          <cell r="AD585">
            <v>0</v>
          </cell>
          <cell r="AE585">
            <v>0</v>
          </cell>
          <cell r="AF585">
            <v>0</v>
          </cell>
          <cell r="AG585">
            <v>0</v>
          </cell>
          <cell r="AH585">
            <v>0</v>
          </cell>
          <cell r="AI585">
            <v>1</v>
          </cell>
          <cell r="AK585">
            <v>0</v>
          </cell>
          <cell r="AL585">
            <v>1</v>
          </cell>
          <cell r="AN585">
            <v>6500</v>
          </cell>
          <cell r="AO585">
            <v>5</v>
          </cell>
          <cell r="AQ585">
            <v>0</v>
          </cell>
          <cell r="AR585">
            <v>17</v>
          </cell>
          <cell r="AS585">
            <v>3</v>
          </cell>
          <cell r="AT585">
            <v>2</v>
          </cell>
          <cell r="AU585">
            <v>1</v>
          </cell>
          <cell r="AV585">
            <v>6</v>
          </cell>
          <cell r="AW585">
            <v>6</v>
          </cell>
          <cell r="AX585">
            <v>1</v>
          </cell>
          <cell r="AY585">
            <v>3</v>
          </cell>
          <cell r="AZ585">
            <v>3</v>
          </cell>
          <cell r="BA585">
            <v>3</v>
          </cell>
          <cell r="BB585">
            <v>2</v>
          </cell>
          <cell r="BC585">
            <v>1</v>
          </cell>
          <cell r="BD585">
            <v>1</v>
          </cell>
          <cell r="BE585">
            <v>2</v>
          </cell>
          <cell r="BF585">
            <v>2</v>
          </cell>
          <cell r="BG585">
            <v>4</v>
          </cell>
          <cell r="BH585">
            <v>0</v>
          </cell>
          <cell r="BI585">
            <v>1</v>
          </cell>
          <cell r="BJ585">
            <v>0</v>
          </cell>
          <cell r="BK585">
            <v>0</v>
          </cell>
          <cell r="BL585">
            <v>0</v>
          </cell>
          <cell r="BM585">
            <v>0</v>
          </cell>
          <cell r="BN585">
            <v>1</v>
          </cell>
          <cell r="BO585">
            <v>0</v>
          </cell>
          <cell r="BP585">
            <v>0</v>
          </cell>
          <cell r="BQ585">
            <v>0</v>
          </cell>
          <cell r="BR585">
            <v>2</v>
          </cell>
          <cell r="BS585">
            <v>0</v>
          </cell>
          <cell r="BT585">
            <v>0</v>
          </cell>
          <cell r="BU585">
            <v>6</v>
          </cell>
        </row>
        <row r="586">
          <cell r="A586">
            <v>42</v>
          </cell>
          <cell r="B586">
            <v>42</v>
          </cell>
          <cell r="D586">
            <v>0</v>
          </cell>
          <cell r="F586">
            <v>1</v>
          </cell>
          <cell r="G586">
            <v>0</v>
          </cell>
          <cell r="I586">
            <v>1</v>
          </cell>
          <cell r="J586">
            <v>0</v>
          </cell>
          <cell r="K586">
            <v>8</v>
          </cell>
          <cell r="L586">
            <v>8</v>
          </cell>
          <cell r="M586">
            <v>3</v>
          </cell>
          <cell r="O586">
            <v>1</v>
          </cell>
          <cell r="P586">
            <v>0</v>
          </cell>
          <cell r="Q586">
            <v>0</v>
          </cell>
          <cell r="R586">
            <v>0</v>
          </cell>
          <cell r="S586">
            <v>0</v>
          </cell>
          <cell r="T586">
            <v>2</v>
          </cell>
          <cell r="V586">
            <v>0</v>
          </cell>
          <cell r="W586">
            <v>66</v>
          </cell>
          <cell r="X586">
            <v>3</v>
          </cell>
          <cell r="Y586">
            <v>5</v>
          </cell>
          <cell r="AA586">
            <v>0</v>
          </cell>
          <cell r="AB586">
            <v>0</v>
          </cell>
          <cell r="AC586">
            <v>0</v>
          </cell>
          <cell r="AD586">
            <v>1</v>
          </cell>
          <cell r="AE586">
            <v>0</v>
          </cell>
          <cell r="AF586">
            <v>0</v>
          </cell>
          <cell r="AG586">
            <v>0</v>
          </cell>
          <cell r="AH586">
            <v>0</v>
          </cell>
          <cell r="AI586">
            <v>4</v>
          </cell>
          <cell r="AK586">
            <v>0</v>
          </cell>
          <cell r="AL586">
            <v>0</v>
          </cell>
          <cell r="AN586">
            <v>18430</v>
          </cell>
          <cell r="AO586">
            <v>1</v>
          </cell>
          <cell r="AQ586">
            <v>0</v>
          </cell>
          <cell r="AR586">
            <v>13</v>
          </cell>
          <cell r="AS586">
            <v>3</v>
          </cell>
          <cell r="AT586">
            <v>2</v>
          </cell>
          <cell r="AU586">
            <v>1</v>
          </cell>
          <cell r="AV586">
            <v>24</v>
          </cell>
          <cell r="AW586">
            <v>24</v>
          </cell>
          <cell r="AX586">
            <v>4</v>
          </cell>
          <cell r="AY586">
            <v>2</v>
          </cell>
          <cell r="AZ586">
            <v>24</v>
          </cell>
          <cell r="BA586">
            <v>24</v>
          </cell>
          <cell r="BB586">
            <v>7</v>
          </cell>
          <cell r="BC586">
            <v>14</v>
          </cell>
          <cell r="BD586">
            <v>14</v>
          </cell>
          <cell r="BE586">
            <v>9</v>
          </cell>
          <cell r="BF586">
            <v>9</v>
          </cell>
          <cell r="BG586">
            <v>45</v>
          </cell>
          <cell r="BH586">
            <v>0</v>
          </cell>
          <cell r="BI586">
            <v>0</v>
          </cell>
          <cell r="BJ586">
            <v>1</v>
          </cell>
          <cell r="BK586">
            <v>0</v>
          </cell>
          <cell r="BL586">
            <v>1</v>
          </cell>
          <cell r="BM586">
            <v>0</v>
          </cell>
          <cell r="BN586">
            <v>0</v>
          </cell>
          <cell r="BO586">
            <v>0</v>
          </cell>
          <cell r="BP586">
            <v>0</v>
          </cell>
          <cell r="BQ586">
            <v>9</v>
          </cell>
          <cell r="BR586">
            <v>0</v>
          </cell>
          <cell r="BS586">
            <v>0</v>
          </cell>
          <cell r="BT586">
            <v>24</v>
          </cell>
          <cell r="BU586">
            <v>0</v>
          </cell>
        </row>
        <row r="587">
          <cell r="A587">
            <v>23</v>
          </cell>
          <cell r="B587">
            <v>23</v>
          </cell>
          <cell r="D587">
            <v>1</v>
          </cell>
          <cell r="F587">
            <v>0</v>
          </cell>
          <cell r="G587">
            <v>1</v>
          </cell>
          <cell r="I587">
            <v>1</v>
          </cell>
          <cell r="J587">
            <v>0</v>
          </cell>
          <cell r="K587">
            <v>6</v>
          </cell>
          <cell r="L587">
            <v>6</v>
          </cell>
          <cell r="M587">
            <v>3</v>
          </cell>
          <cell r="O587">
            <v>1</v>
          </cell>
          <cell r="P587">
            <v>0</v>
          </cell>
          <cell r="Q587">
            <v>0</v>
          </cell>
          <cell r="R587">
            <v>0</v>
          </cell>
          <cell r="S587">
            <v>0</v>
          </cell>
          <cell r="T587">
            <v>3</v>
          </cell>
          <cell r="V587">
            <v>0</v>
          </cell>
          <cell r="W587">
            <v>63</v>
          </cell>
          <cell r="X587">
            <v>4</v>
          </cell>
          <cell r="Y587">
            <v>1</v>
          </cell>
          <cell r="AA587">
            <v>0</v>
          </cell>
          <cell r="AB587">
            <v>0</v>
          </cell>
          <cell r="AC587">
            <v>1</v>
          </cell>
          <cell r="AD587">
            <v>0</v>
          </cell>
          <cell r="AE587">
            <v>0</v>
          </cell>
          <cell r="AF587">
            <v>0</v>
          </cell>
          <cell r="AG587">
            <v>0</v>
          </cell>
          <cell r="AH587">
            <v>0</v>
          </cell>
          <cell r="AI587">
            <v>1</v>
          </cell>
          <cell r="AK587">
            <v>0</v>
          </cell>
          <cell r="AL587">
            <v>1</v>
          </cell>
          <cell r="AN587">
            <v>1601</v>
          </cell>
          <cell r="AO587">
            <v>1</v>
          </cell>
          <cell r="AQ587">
            <v>1</v>
          </cell>
          <cell r="AR587">
            <v>21</v>
          </cell>
          <cell r="AS587">
            <v>4</v>
          </cell>
          <cell r="AT587">
            <v>3</v>
          </cell>
          <cell r="AU587">
            <v>2</v>
          </cell>
          <cell r="AV587">
            <v>1</v>
          </cell>
          <cell r="AW587">
            <v>1</v>
          </cell>
          <cell r="AX587">
            <v>2</v>
          </cell>
          <cell r="AY587">
            <v>3</v>
          </cell>
          <cell r="AZ587">
            <v>0</v>
          </cell>
          <cell r="BA587">
            <v>0</v>
          </cell>
          <cell r="BB587">
            <v>0</v>
          </cell>
          <cell r="BC587">
            <v>0</v>
          </cell>
          <cell r="BD587">
            <v>0</v>
          </cell>
          <cell r="BE587">
            <v>0</v>
          </cell>
          <cell r="BF587">
            <v>0</v>
          </cell>
          <cell r="BG587">
            <v>0</v>
          </cell>
          <cell r="BH587">
            <v>0</v>
          </cell>
          <cell r="BI587">
            <v>1</v>
          </cell>
          <cell r="BJ587">
            <v>0</v>
          </cell>
          <cell r="BK587">
            <v>0</v>
          </cell>
          <cell r="BL587">
            <v>0</v>
          </cell>
          <cell r="BM587">
            <v>0</v>
          </cell>
          <cell r="BN587">
            <v>0</v>
          </cell>
          <cell r="BO587">
            <v>1</v>
          </cell>
          <cell r="BP587">
            <v>0</v>
          </cell>
          <cell r="BQ587">
            <v>0</v>
          </cell>
          <cell r="BR587">
            <v>0</v>
          </cell>
          <cell r="BS587">
            <v>0</v>
          </cell>
          <cell r="BT587">
            <v>1</v>
          </cell>
          <cell r="BU587">
            <v>0</v>
          </cell>
        </row>
        <row r="588">
          <cell r="A588">
            <v>24</v>
          </cell>
          <cell r="B588">
            <v>24</v>
          </cell>
          <cell r="D588">
            <v>0</v>
          </cell>
          <cell r="F588">
            <v>0</v>
          </cell>
          <cell r="G588">
            <v>0</v>
          </cell>
          <cell r="I588">
            <v>1</v>
          </cell>
          <cell r="J588">
            <v>0</v>
          </cell>
          <cell r="K588">
            <v>9</v>
          </cell>
          <cell r="L588">
            <v>9</v>
          </cell>
          <cell r="M588">
            <v>3</v>
          </cell>
          <cell r="O588">
            <v>1</v>
          </cell>
          <cell r="P588">
            <v>0</v>
          </cell>
          <cell r="Q588">
            <v>0</v>
          </cell>
          <cell r="R588">
            <v>0</v>
          </cell>
          <cell r="S588">
            <v>0</v>
          </cell>
          <cell r="T588">
            <v>3</v>
          </cell>
          <cell r="V588">
            <v>0</v>
          </cell>
          <cell r="W588">
            <v>60</v>
          </cell>
          <cell r="X588">
            <v>2</v>
          </cell>
          <cell r="Y588">
            <v>1</v>
          </cell>
          <cell r="AA588">
            <v>0</v>
          </cell>
          <cell r="AB588">
            <v>0</v>
          </cell>
          <cell r="AC588">
            <v>1</v>
          </cell>
          <cell r="AD588">
            <v>0</v>
          </cell>
          <cell r="AE588">
            <v>0</v>
          </cell>
          <cell r="AF588">
            <v>0</v>
          </cell>
          <cell r="AG588">
            <v>0</v>
          </cell>
          <cell r="AH588">
            <v>0</v>
          </cell>
          <cell r="AI588">
            <v>2</v>
          </cell>
          <cell r="AK588">
            <v>0</v>
          </cell>
          <cell r="AL588">
            <v>0</v>
          </cell>
          <cell r="AN588">
            <v>2694</v>
          </cell>
          <cell r="AO588">
            <v>1</v>
          </cell>
          <cell r="AQ588">
            <v>0</v>
          </cell>
          <cell r="AR588">
            <v>11</v>
          </cell>
          <cell r="AS588">
            <v>3</v>
          </cell>
          <cell r="AT588">
            <v>3</v>
          </cell>
          <cell r="AU588">
            <v>3</v>
          </cell>
          <cell r="AV588">
            <v>1</v>
          </cell>
          <cell r="AW588">
            <v>1</v>
          </cell>
          <cell r="AX588">
            <v>4</v>
          </cell>
          <cell r="AY588">
            <v>3</v>
          </cell>
          <cell r="AZ588">
            <v>1</v>
          </cell>
          <cell r="BA588">
            <v>1</v>
          </cell>
          <cell r="BB588">
            <v>0</v>
          </cell>
          <cell r="BC588">
            <v>0</v>
          </cell>
          <cell r="BD588">
            <v>0</v>
          </cell>
          <cell r="BE588">
            <v>0</v>
          </cell>
          <cell r="BF588">
            <v>0</v>
          </cell>
          <cell r="BG588">
            <v>0</v>
          </cell>
          <cell r="BH588">
            <v>1</v>
          </cell>
          <cell r="BI588">
            <v>0</v>
          </cell>
          <cell r="BJ588">
            <v>0</v>
          </cell>
          <cell r="BK588">
            <v>0</v>
          </cell>
          <cell r="BL588">
            <v>1</v>
          </cell>
          <cell r="BM588">
            <v>0</v>
          </cell>
          <cell r="BN588">
            <v>0</v>
          </cell>
          <cell r="BO588">
            <v>0</v>
          </cell>
          <cell r="BP588">
            <v>0</v>
          </cell>
          <cell r="BQ588">
            <v>0</v>
          </cell>
          <cell r="BR588">
            <v>0</v>
          </cell>
          <cell r="BS588">
            <v>0</v>
          </cell>
          <cell r="BT588">
            <v>1</v>
          </cell>
          <cell r="BU588">
            <v>0</v>
          </cell>
        </row>
        <row r="589">
          <cell r="A589">
            <v>52</v>
          </cell>
          <cell r="B589">
            <v>52</v>
          </cell>
          <cell r="D589">
            <v>0</v>
          </cell>
          <cell r="F589">
            <v>0</v>
          </cell>
          <cell r="G589">
            <v>1</v>
          </cell>
          <cell r="I589">
            <v>1</v>
          </cell>
          <cell r="J589">
            <v>0</v>
          </cell>
          <cell r="K589">
            <v>11</v>
          </cell>
          <cell r="L589">
            <v>11</v>
          </cell>
          <cell r="M589">
            <v>4</v>
          </cell>
          <cell r="O589">
            <v>1</v>
          </cell>
          <cell r="P589">
            <v>0</v>
          </cell>
          <cell r="Q589">
            <v>0</v>
          </cell>
          <cell r="R589">
            <v>0</v>
          </cell>
          <cell r="S589">
            <v>0</v>
          </cell>
          <cell r="T589">
            <v>4</v>
          </cell>
          <cell r="V589">
            <v>1</v>
          </cell>
          <cell r="W589">
            <v>82</v>
          </cell>
          <cell r="X589">
            <v>3</v>
          </cell>
          <cell r="Y589">
            <v>2</v>
          </cell>
          <cell r="AA589">
            <v>0</v>
          </cell>
          <cell r="AB589">
            <v>0</v>
          </cell>
          <cell r="AC589">
            <v>1</v>
          </cell>
          <cell r="AD589">
            <v>0</v>
          </cell>
          <cell r="AE589">
            <v>0</v>
          </cell>
          <cell r="AF589">
            <v>0</v>
          </cell>
          <cell r="AG589">
            <v>0</v>
          </cell>
          <cell r="AH589">
            <v>0</v>
          </cell>
          <cell r="AI589">
            <v>3</v>
          </cell>
          <cell r="AK589">
            <v>0</v>
          </cell>
          <cell r="AL589">
            <v>1</v>
          </cell>
          <cell r="AN589">
            <v>3149</v>
          </cell>
          <cell r="AO589">
            <v>8</v>
          </cell>
          <cell r="AQ589">
            <v>0</v>
          </cell>
          <cell r="AR589">
            <v>20</v>
          </cell>
          <cell r="AS589">
            <v>4</v>
          </cell>
          <cell r="AT589">
            <v>2</v>
          </cell>
          <cell r="AU589">
            <v>1</v>
          </cell>
          <cell r="AV589">
            <v>9</v>
          </cell>
          <cell r="AW589">
            <v>9</v>
          </cell>
          <cell r="AX589">
            <v>3</v>
          </cell>
          <cell r="AY589">
            <v>3</v>
          </cell>
          <cell r="AZ589">
            <v>5</v>
          </cell>
          <cell r="BA589">
            <v>5</v>
          </cell>
          <cell r="BB589">
            <v>2</v>
          </cell>
          <cell r="BC589">
            <v>1</v>
          </cell>
          <cell r="BD589">
            <v>1</v>
          </cell>
          <cell r="BE589">
            <v>4</v>
          </cell>
          <cell r="BF589">
            <v>4</v>
          </cell>
          <cell r="BG589">
            <v>8</v>
          </cell>
          <cell r="BH589">
            <v>0</v>
          </cell>
          <cell r="BI589">
            <v>1</v>
          </cell>
          <cell r="BJ589">
            <v>0</v>
          </cell>
          <cell r="BK589">
            <v>0</v>
          </cell>
          <cell r="BL589">
            <v>0</v>
          </cell>
          <cell r="BM589">
            <v>0</v>
          </cell>
          <cell r="BN589">
            <v>1</v>
          </cell>
          <cell r="BO589">
            <v>0</v>
          </cell>
          <cell r="BP589">
            <v>0</v>
          </cell>
          <cell r="BQ589">
            <v>4</v>
          </cell>
          <cell r="BR589">
            <v>0</v>
          </cell>
          <cell r="BS589">
            <v>0</v>
          </cell>
          <cell r="BT589">
            <v>9</v>
          </cell>
          <cell r="BU589">
            <v>0</v>
          </cell>
        </row>
        <row r="590">
          <cell r="A590">
            <v>50</v>
          </cell>
          <cell r="B590">
            <v>50</v>
          </cell>
          <cell r="D590">
            <v>0</v>
          </cell>
          <cell r="F590">
            <v>0</v>
          </cell>
          <cell r="G590">
            <v>1</v>
          </cell>
          <cell r="I590">
            <v>1</v>
          </cell>
          <cell r="J590">
            <v>0</v>
          </cell>
          <cell r="K590">
            <v>2</v>
          </cell>
          <cell r="L590">
            <v>2</v>
          </cell>
          <cell r="M590">
            <v>3</v>
          </cell>
          <cell r="O590">
            <v>0</v>
          </cell>
          <cell r="P590">
            <v>0</v>
          </cell>
          <cell r="Q590">
            <v>1</v>
          </cell>
          <cell r="R590">
            <v>0</v>
          </cell>
          <cell r="S590">
            <v>0</v>
          </cell>
          <cell r="T590">
            <v>3</v>
          </cell>
          <cell r="V590">
            <v>0</v>
          </cell>
          <cell r="W590">
            <v>64</v>
          </cell>
          <cell r="X590">
            <v>3</v>
          </cell>
          <cell r="Y590">
            <v>4</v>
          </cell>
          <cell r="AA590">
            <v>0</v>
          </cell>
          <cell r="AB590">
            <v>0</v>
          </cell>
          <cell r="AC590">
            <v>0</v>
          </cell>
          <cell r="AD590">
            <v>0</v>
          </cell>
          <cell r="AE590">
            <v>0</v>
          </cell>
          <cell r="AF590">
            <v>0</v>
          </cell>
          <cell r="AG590">
            <v>0</v>
          </cell>
          <cell r="AH590">
            <v>0</v>
          </cell>
          <cell r="AI590">
            <v>3</v>
          </cell>
          <cell r="AK590">
            <v>0</v>
          </cell>
          <cell r="AL590">
            <v>1</v>
          </cell>
          <cell r="AN590">
            <v>17639</v>
          </cell>
          <cell r="AO590">
            <v>5</v>
          </cell>
          <cell r="AQ590">
            <v>0</v>
          </cell>
          <cell r="AR590">
            <v>16</v>
          </cell>
          <cell r="AS590">
            <v>3</v>
          </cell>
          <cell r="AT590">
            <v>4</v>
          </cell>
          <cell r="AU590">
            <v>0</v>
          </cell>
          <cell r="AV590">
            <v>30</v>
          </cell>
          <cell r="AW590">
            <v>30</v>
          </cell>
          <cell r="AX590">
            <v>3</v>
          </cell>
          <cell r="AY590">
            <v>3</v>
          </cell>
          <cell r="AZ590">
            <v>4</v>
          </cell>
          <cell r="BA590">
            <v>4</v>
          </cell>
          <cell r="BB590">
            <v>3</v>
          </cell>
          <cell r="BC590">
            <v>0</v>
          </cell>
          <cell r="BD590">
            <v>0</v>
          </cell>
          <cell r="BE590">
            <v>3</v>
          </cell>
          <cell r="BF590">
            <v>3</v>
          </cell>
          <cell r="BG590">
            <v>12</v>
          </cell>
          <cell r="BH590">
            <v>0</v>
          </cell>
          <cell r="BI590">
            <v>1</v>
          </cell>
          <cell r="BJ590">
            <v>0</v>
          </cell>
          <cell r="BK590">
            <v>0</v>
          </cell>
          <cell r="BL590">
            <v>0</v>
          </cell>
          <cell r="BM590">
            <v>0</v>
          </cell>
          <cell r="BN590">
            <v>1</v>
          </cell>
          <cell r="BO590">
            <v>0</v>
          </cell>
          <cell r="BP590">
            <v>0</v>
          </cell>
          <cell r="BQ590">
            <v>3</v>
          </cell>
          <cell r="BR590">
            <v>0</v>
          </cell>
          <cell r="BS590">
            <v>0</v>
          </cell>
          <cell r="BT590">
            <v>30</v>
          </cell>
          <cell r="BU590">
            <v>0</v>
          </cell>
        </row>
        <row r="591">
          <cell r="A591">
            <v>29</v>
          </cell>
          <cell r="B591">
            <v>29</v>
          </cell>
          <cell r="D591">
            <v>1</v>
          </cell>
          <cell r="F591">
            <v>0</v>
          </cell>
          <cell r="G591">
            <v>1</v>
          </cell>
          <cell r="I591">
            <v>1</v>
          </cell>
          <cell r="J591">
            <v>0</v>
          </cell>
          <cell r="K591">
            <v>1</v>
          </cell>
          <cell r="L591">
            <v>1</v>
          </cell>
          <cell r="M591">
            <v>2</v>
          </cell>
          <cell r="O591">
            <v>1</v>
          </cell>
          <cell r="P591">
            <v>0</v>
          </cell>
          <cell r="Q591">
            <v>0</v>
          </cell>
          <cell r="R591">
            <v>0</v>
          </cell>
          <cell r="S591">
            <v>0</v>
          </cell>
          <cell r="T591">
            <v>2</v>
          </cell>
          <cell r="V591">
            <v>1</v>
          </cell>
          <cell r="W591">
            <v>36</v>
          </cell>
          <cell r="X591">
            <v>2</v>
          </cell>
          <cell r="Y591">
            <v>1</v>
          </cell>
          <cell r="AA591">
            <v>0</v>
          </cell>
          <cell r="AB591">
            <v>0</v>
          </cell>
          <cell r="AC591">
            <v>1</v>
          </cell>
          <cell r="AD591">
            <v>0</v>
          </cell>
          <cell r="AE591">
            <v>0</v>
          </cell>
          <cell r="AF591">
            <v>0</v>
          </cell>
          <cell r="AG591">
            <v>0</v>
          </cell>
          <cell r="AH591">
            <v>0</v>
          </cell>
          <cell r="AI591">
            <v>1</v>
          </cell>
          <cell r="AK591">
            <v>0</v>
          </cell>
          <cell r="AL591">
            <v>1</v>
          </cell>
          <cell r="AN591">
            <v>2319</v>
          </cell>
          <cell r="AO591">
            <v>1</v>
          </cell>
          <cell r="AQ591">
            <v>1</v>
          </cell>
          <cell r="AR591">
            <v>11</v>
          </cell>
          <cell r="AS591">
            <v>3</v>
          </cell>
          <cell r="AT591">
            <v>4</v>
          </cell>
          <cell r="AU591">
            <v>1</v>
          </cell>
          <cell r="AV591">
            <v>1</v>
          </cell>
          <cell r="AW591">
            <v>1</v>
          </cell>
          <cell r="AX591">
            <v>1</v>
          </cell>
          <cell r="AY591">
            <v>3</v>
          </cell>
          <cell r="AZ591">
            <v>1</v>
          </cell>
          <cell r="BA591">
            <v>1</v>
          </cell>
          <cell r="BB591">
            <v>0</v>
          </cell>
          <cell r="BC591">
            <v>0</v>
          </cell>
          <cell r="BD591">
            <v>0</v>
          </cell>
          <cell r="BE591">
            <v>0</v>
          </cell>
          <cell r="BF591">
            <v>0</v>
          </cell>
          <cell r="BG591">
            <v>0</v>
          </cell>
          <cell r="BH591">
            <v>0</v>
          </cell>
          <cell r="BI591">
            <v>1</v>
          </cell>
          <cell r="BJ591">
            <v>0</v>
          </cell>
          <cell r="BK591">
            <v>0</v>
          </cell>
          <cell r="BL591">
            <v>0</v>
          </cell>
          <cell r="BM591">
            <v>0</v>
          </cell>
          <cell r="BN591">
            <v>0</v>
          </cell>
          <cell r="BO591">
            <v>1</v>
          </cell>
          <cell r="BP591">
            <v>0</v>
          </cell>
          <cell r="BQ591">
            <v>0</v>
          </cell>
          <cell r="BR591">
            <v>0</v>
          </cell>
          <cell r="BS591">
            <v>0</v>
          </cell>
          <cell r="BT591">
            <v>1</v>
          </cell>
          <cell r="BU591">
            <v>0</v>
          </cell>
        </row>
        <row r="592">
          <cell r="A592">
            <v>33</v>
          </cell>
          <cell r="B592">
            <v>33</v>
          </cell>
          <cell r="D592">
            <v>0</v>
          </cell>
          <cell r="F592">
            <v>0</v>
          </cell>
          <cell r="G592">
            <v>1</v>
          </cell>
          <cell r="I592">
            <v>1</v>
          </cell>
          <cell r="J592">
            <v>0</v>
          </cell>
          <cell r="K592">
            <v>7</v>
          </cell>
          <cell r="L592">
            <v>7</v>
          </cell>
          <cell r="M592">
            <v>3</v>
          </cell>
          <cell r="O592">
            <v>0</v>
          </cell>
          <cell r="P592">
            <v>0</v>
          </cell>
          <cell r="Q592">
            <v>1</v>
          </cell>
          <cell r="R592">
            <v>0</v>
          </cell>
          <cell r="S592">
            <v>0</v>
          </cell>
          <cell r="T592">
            <v>3</v>
          </cell>
          <cell r="V592">
            <v>0</v>
          </cell>
          <cell r="W592">
            <v>49</v>
          </cell>
          <cell r="X592">
            <v>3</v>
          </cell>
          <cell r="Y592">
            <v>3</v>
          </cell>
          <cell r="AA592">
            <v>0</v>
          </cell>
          <cell r="AB592">
            <v>0</v>
          </cell>
          <cell r="AC592">
            <v>0</v>
          </cell>
          <cell r="AD592">
            <v>0</v>
          </cell>
          <cell r="AE592">
            <v>0</v>
          </cell>
          <cell r="AF592">
            <v>0</v>
          </cell>
          <cell r="AG592">
            <v>0</v>
          </cell>
          <cell r="AH592">
            <v>0</v>
          </cell>
          <cell r="AI592">
            <v>3</v>
          </cell>
          <cell r="AK592">
            <v>0</v>
          </cell>
          <cell r="AL592">
            <v>1</v>
          </cell>
          <cell r="AN592">
            <v>11691</v>
          </cell>
          <cell r="AO592">
            <v>0</v>
          </cell>
          <cell r="AQ592">
            <v>0</v>
          </cell>
          <cell r="AR592">
            <v>11</v>
          </cell>
          <cell r="AS592">
            <v>3</v>
          </cell>
          <cell r="AT592">
            <v>4</v>
          </cell>
          <cell r="AU592">
            <v>0</v>
          </cell>
          <cell r="AV592">
            <v>14</v>
          </cell>
          <cell r="AW592">
            <v>14</v>
          </cell>
          <cell r="AX592">
            <v>3</v>
          </cell>
          <cell r="AY592">
            <v>4</v>
          </cell>
          <cell r="AZ592">
            <v>13</v>
          </cell>
          <cell r="BA592">
            <v>13</v>
          </cell>
          <cell r="BB592">
            <v>9</v>
          </cell>
          <cell r="BC592">
            <v>3</v>
          </cell>
          <cell r="BD592">
            <v>3</v>
          </cell>
          <cell r="BE592">
            <v>7</v>
          </cell>
          <cell r="BF592">
            <v>7</v>
          </cell>
          <cell r="BG592">
            <v>21</v>
          </cell>
          <cell r="BH592">
            <v>0</v>
          </cell>
          <cell r="BI592">
            <v>1</v>
          </cell>
          <cell r="BJ592">
            <v>0</v>
          </cell>
          <cell r="BK592">
            <v>0</v>
          </cell>
          <cell r="BL592">
            <v>0</v>
          </cell>
          <cell r="BM592">
            <v>0</v>
          </cell>
          <cell r="BN592">
            <v>1</v>
          </cell>
          <cell r="BO592">
            <v>0</v>
          </cell>
          <cell r="BP592">
            <v>0</v>
          </cell>
          <cell r="BQ592">
            <v>7</v>
          </cell>
          <cell r="BR592">
            <v>0</v>
          </cell>
          <cell r="BS592">
            <v>0</v>
          </cell>
          <cell r="BT592">
            <v>14</v>
          </cell>
          <cell r="BU592">
            <v>0</v>
          </cell>
        </row>
        <row r="593">
          <cell r="A593">
            <v>33</v>
          </cell>
          <cell r="B593">
            <v>33</v>
          </cell>
          <cell r="D593">
            <v>1</v>
          </cell>
          <cell r="F593">
            <v>0</v>
          </cell>
          <cell r="G593">
            <v>1</v>
          </cell>
          <cell r="I593">
            <v>0</v>
          </cell>
          <cell r="J593">
            <v>1</v>
          </cell>
          <cell r="K593">
            <v>16</v>
          </cell>
          <cell r="L593">
            <v>16</v>
          </cell>
          <cell r="M593">
            <v>3</v>
          </cell>
          <cell r="O593">
            <v>0</v>
          </cell>
          <cell r="P593">
            <v>0</v>
          </cell>
          <cell r="Q593">
            <v>0</v>
          </cell>
          <cell r="R593">
            <v>1</v>
          </cell>
          <cell r="S593">
            <v>0</v>
          </cell>
          <cell r="T593">
            <v>1</v>
          </cell>
          <cell r="V593">
            <v>1</v>
          </cell>
          <cell r="W593">
            <v>69</v>
          </cell>
          <cell r="X593">
            <v>3</v>
          </cell>
          <cell r="Y593">
            <v>2</v>
          </cell>
          <cell r="AA593">
            <v>0</v>
          </cell>
          <cell r="AB593">
            <v>1</v>
          </cell>
          <cell r="AC593">
            <v>0</v>
          </cell>
          <cell r="AD593">
            <v>0</v>
          </cell>
          <cell r="AE593">
            <v>0</v>
          </cell>
          <cell r="AF593">
            <v>0</v>
          </cell>
          <cell r="AG593">
            <v>0</v>
          </cell>
          <cell r="AH593">
            <v>0</v>
          </cell>
          <cell r="AI593">
            <v>1</v>
          </cell>
          <cell r="AK593">
            <v>1</v>
          </cell>
          <cell r="AL593">
            <v>0</v>
          </cell>
          <cell r="AN593">
            <v>5324</v>
          </cell>
          <cell r="AO593">
            <v>5</v>
          </cell>
          <cell r="AQ593">
            <v>0</v>
          </cell>
          <cell r="AR593">
            <v>15</v>
          </cell>
          <cell r="AS593">
            <v>3</v>
          </cell>
          <cell r="AT593">
            <v>3</v>
          </cell>
          <cell r="AU593">
            <v>0</v>
          </cell>
          <cell r="AV593">
            <v>6</v>
          </cell>
          <cell r="AW593">
            <v>6</v>
          </cell>
          <cell r="AX593">
            <v>3</v>
          </cell>
          <cell r="AY593">
            <v>3</v>
          </cell>
          <cell r="AZ593">
            <v>3</v>
          </cell>
          <cell r="BA593">
            <v>3</v>
          </cell>
          <cell r="BB593">
            <v>2</v>
          </cell>
          <cell r="BC593">
            <v>0</v>
          </cell>
          <cell r="BD593">
            <v>0</v>
          </cell>
          <cell r="BE593">
            <v>2</v>
          </cell>
          <cell r="BF593">
            <v>2</v>
          </cell>
          <cell r="BG593">
            <v>4</v>
          </cell>
          <cell r="BH593">
            <v>1</v>
          </cell>
          <cell r="BI593">
            <v>0</v>
          </cell>
          <cell r="BJ593">
            <v>0</v>
          </cell>
          <cell r="BK593">
            <v>0</v>
          </cell>
          <cell r="BL593">
            <v>1</v>
          </cell>
          <cell r="BM593">
            <v>0</v>
          </cell>
          <cell r="BN593">
            <v>0</v>
          </cell>
          <cell r="BO593">
            <v>0</v>
          </cell>
          <cell r="BP593">
            <v>0</v>
          </cell>
          <cell r="BQ593">
            <v>0</v>
          </cell>
          <cell r="BR593">
            <v>2</v>
          </cell>
          <cell r="BS593">
            <v>0</v>
          </cell>
          <cell r="BT593">
            <v>0</v>
          </cell>
          <cell r="BU593">
            <v>6</v>
          </cell>
        </row>
        <row r="594">
          <cell r="A594">
            <v>47</v>
          </cell>
          <cell r="B594">
            <v>47</v>
          </cell>
          <cell r="D594">
            <v>0</v>
          </cell>
          <cell r="F594">
            <v>0</v>
          </cell>
          <cell r="G594">
            <v>1</v>
          </cell>
          <cell r="I594">
            <v>1</v>
          </cell>
          <cell r="J594">
            <v>0</v>
          </cell>
          <cell r="K594">
            <v>2</v>
          </cell>
          <cell r="L594">
            <v>2</v>
          </cell>
          <cell r="M594">
            <v>2</v>
          </cell>
          <cell r="O594">
            <v>0</v>
          </cell>
          <cell r="P594">
            <v>1</v>
          </cell>
          <cell r="Q594">
            <v>0</v>
          </cell>
          <cell r="R594">
            <v>0</v>
          </cell>
          <cell r="S594">
            <v>0</v>
          </cell>
          <cell r="T594">
            <v>3</v>
          </cell>
          <cell r="V594">
            <v>1</v>
          </cell>
          <cell r="W594">
            <v>33</v>
          </cell>
          <cell r="X594">
            <v>3</v>
          </cell>
          <cell r="Y594">
            <v>4</v>
          </cell>
          <cell r="AA594">
            <v>0</v>
          </cell>
          <cell r="AB594">
            <v>0</v>
          </cell>
          <cell r="AC594">
            <v>0</v>
          </cell>
          <cell r="AD594">
            <v>1</v>
          </cell>
          <cell r="AE594">
            <v>0</v>
          </cell>
          <cell r="AF594">
            <v>0</v>
          </cell>
          <cell r="AG594">
            <v>0</v>
          </cell>
          <cell r="AH594">
            <v>0</v>
          </cell>
          <cell r="AI594">
            <v>4</v>
          </cell>
          <cell r="AK594">
            <v>0</v>
          </cell>
          <cell r="AL594">
            <v>1</v>
          </cell>
          <cell r="AN594">
            <v>16752</v>
          </cell>
          <cell r="AO594">
            <v>1</v>
          </cell>
          <cell r="AQ594">
            <v>1</v>
          </cell>
          <cell r="AR594">
            <v>11</v>
          </cell>
          <cell r="AS594">
            <v>3</v>
          </cell>
          <cell r="AT594">
            <v>3</v>
          </cell>
          <cell r="AU594">
            <v>1</v>
          </cell>
          <cell r="AV594">
            <v>26</v>
          </cell>
          <cell r="AW594">
            <v>26</v>
          </cell>
          <cell r="AX594">
            <v>3</v>
          </cell>
          <cell r="AY594">
            <v>2</v>
          </cell>
          <cell r="AZ594">
            <v>26</v>
          </cell>
          <cell r="BA594">
            <v>26</v>
          </cell>
          <cell r="BB594">
            <v>14</v>
          </cell>
          <cell r="BC594">
            <v>3</v>
          </cell>
          <cell r="BD594">
            <v>3</v>
          </cell>
          <cell r="BE594">
            <v>0</v>
          </cell>
          <cell r="BF594">
            <v>0</v>
          </cell>
          <cell r="BG594">
            <v>0</v>
          </cell>
          <cell r="BH594">
            <v>0</v>
          </cell>
          <cell r="BI594">
            <v>1</v>
          </cell>
          <cell r="BJ594">
            <v>0</v>
          </cell>
          <cell r="BK594">
            <v>0</v>
          </cell>
          <cell r="BL594">
            <v>0</v>
          </cell>
          <cell r="BM594">
            <v>0</v>
          </cell>
          <cell r="BN594">
            <v>0</v>
          </cell>
          <cell r="BO594">
            <v>1</v>
          </cell>
          <cell r="BP594">
            <v>0</v>
          </cell>
          <cell r="BQ594">
            <v>0</v>
          </cell>
          <cell r="BR594">
            <v>0</v>
          </cell>
          <cell r="BS594">
            <v>0</v>
          </cell>
          <cell r="BT594">
            <v>26</v>
          </cell>
          <cell r="BU594">
            <v>0</v>
          </cell>
        </row>
        <row r="595">
          <cell r="A595">
            <v>36</v>
          </cell>
          <cell r="B595">
            <v>36</v>
          </cell>
          <cell r="D595">
            <v>0</v>
          </cell>
          <cell r="F595">
            <v>0</v>
          </cell>
          <cell r="G595">
            <v>1</v>
          </cell>
          <cell r="I595">
            <v>1</v>
          </cell>
          <cell r="J595">
            <v>0</v>
          </cell>
          <cell r="K595">
            <v>1</v>
          </cell>
          <cell r="L595">
            <v>1</v>
          </cell>
          <cell r="M595">
            <v>3</v>
          </cell>
          <cell r="O595">
            <v>0</v>
          </cell>
          <cell r="P595">
            <v>1</v>
          </cell>
          <cell r="Q595">
            <v>0</v>
          </cell>
          <cell r="R595">
            <v>0</v>
          </cell>
          <cell r="S595">
            <v>0</v>
          </cell>
          <cell r="T595">
            <v>3</v>
          </cell>
          <cell r="V595">
            <v>1</v>
          </cell>
          <cell r="W595">
            <v>35</v>
          </cell>
          <cell r="X595">
            <v>3</v>
          </cell>
          <cell r="Y595">
            <v>2</v>
          </cell>
          <cell r="AA595">
            <v>0</v>
          </cell>
          <cell r="AB595">
            <v>0</v>
          </cell>
          <cell r="AC595">
            <v>0</v>
          </cell>
          <cell r="AD595">
            <v>0</v>
          </cell>
          <cell r="AE595">
            <v>1</v>
          </cell>
          <cell r="AF595">
            <v>1</v>
          </cell>
          <cell r="AG595">
            <v>0</v>
          </cell>
          <cell r="AH595">
            <v>0</v>
          </cell>
          <cell r="AI595">
            <v>2</v>
          </cell>
          <cell r="AK595">
            <v>0</v>
          </cell>
          <cell r="AL595">
            <v>1</v>
          </cell>
          <cell r="AN595">
            <v>5228</v>
          </cell>
          <cell r="AO595">
            <v>0</v>
          </cell>
          <cell r="AQ595">
            <v>0</v>
          </cell>
          <cell r="AR595">
            <v>15</v>
          </cell>
          <cell r="AS595">
            <v>3</v>
          </cell>
          <cell r="AT595">
            <v>1</v>
          </cell>
          <cell r="AU595">
            <v>1</v>
          </cell>
          <cell r="AV595">
            <v>10</v>
          </cell>
          <cell r="AW595">
            <v>10</v>
          </cell>
          <cell r="AX595">
            <v>2</v>
          </cell>
          <cell r="AY595">
            <v>3</v>
          </cell>
          <cell r="AZ595">
            <v>9</v>
          </cell>
          <cell r="BA595">
            <v>9</v>
          </cell>
          <cell r="BB595">
            <v>7</v>
          </cell>
          <cell r="BC595">
            <v>0</v>
          </cell>
          <cell r="BD595">
            <v>0</v>
          </cell>
          <cell r="BE595">
            <v>5</v>
          </cell>
          <cell r="BF595">
            <v>5</v>
          </cell>
          <cell r="BG595">
            <v>10</v>
          </cell>
          <cell r="BH595">
            <v>0</v>
          </cell>
          <cell r="BI595">
            <v>1</v>
          </cell>
          <cell r="BJ595">
            <v>0</v>
          </cell>
          <cell r="BK595">
            <v>0</v>
          </cell>
          <cell r="BL595">
            <v>0</v>
          </cell>
          <cell r="BM595">
            <v>0</v>
          </cell>
          <cell r="BN595">
            <v>1</v>
          </cell>
          <cell r="BO595">
            <v>0</v>
          </cell>
          <cell r="BP595">
            <v>0</v>
          </cell>
          <cell r="BQ595">
            <v>5</v>
          </cell>
          <cell r="BR595">
            <v>0</v>
          </cell>
          <cell r="BS595">
            <v>0</v>
          </cell>
          <cell r="BT595">
            <v>10</v>
          </cell>
          <cell r="BU595">
            <v>0</v>
          </cell>
        </row>
        <row r="596">
          <cell r="A596">
            <v>29</v>
          </cell>
          <cell r="B596">
            <v>29</v>
          </cell>
          <cell r="D596">
            <v>0</v>
          </cell>
          <cell r="F596">
            <v>0</v>
          </cell>
          <cell r="G596">
            <v>1</v>
          </cell>
          <cell r="I596">
            <v>1</v>
          </cell>
          <cell r="J596">
            <v>0</v>
          </cell>
          <cell r="K596">
            <v>23</v>
          </cell>
          <cell r="L596">
            <v>23</v>
          </cell>
          <cell r="M596">
            <v>2</v>
          </cell>
          <cell r="O596">
            <v>1</v>
          </cell>
          <cell r="P596">
            <v>0</v>
          </cell>
          <cell r="Q596">
            <v>0</v>
          </cell>
          <cell r="R596">
            <v>0</v>
          </cell>
          <cell r="S596">
            <v>0</v>
          </cell>
          <cell r="T596">
            <v>3</v>
          </cell>
          <cell r="V596">
            <v>0</v>
          </cell>
          <cell r="W596">
            <v>81</v>
          </cell>
          <cell r="X596">
            <v>4</v>
          </cell>
          <cell r="Y596">
            <v>1</v>
          </cell>
          <cell r="AA596">
            <v>0</v>
          </cell>
          <cell r="AB596">
            <v>0</v>
          </cell>
          <cell r="AC596">
            <v>0</v>
          </cell>
          <cell r="AD596">
            <v>0</v>
          </cell>
          <cell r="AE596">
            <v>0</v>
          </cell>
          <cell r="AF596">
            <v>0</v>
          </cell>
          <cell r="AG596">
            <v>0</v>
          </cell>
          <cell r="AH596">
            <v>1</v>
          </cell>
          <cell r="AI596">
            <v>3</v>
          </cell>
          <cell r="AK596">
            <v>0</v>
          </cell>
          <cell r="AL596">
            <v>1</v>
          </cell>
          <cell r="AN596">
            <v>2700</v>
          </cell>
          <cell r="AO596">
            <v>1</v>
          </cell>
          <cell r="AQ596">
            <v>0</v>
          </cell>
          <cell r="AR596">
            <v>24</v>
          </cell>
          <cell r="AS596">
            <v>4</v>
          </cell>
          <cell r="AT596">
            <v>3</v>
          </cell>
          <cell r="AU596">
            <v>1</v>
          </cell>
          <cell r="AV596">
            <v>10</v>
          </cell>
          <cell r="AW596">
            <v>10</v>
          </cell>
          <cell r="AX596">
            <v>3</v>
          </cell>
          <cell r="AY596">
            <v>3</v>
          </cell>
          <cell r="AZ596">
            <v>10</v>
          </cell>
          <cell r="BA596">
            <v>10</v>
          </cell>
          <cell r="BB596">
            <v>7</v>
          </cell>
          <cell r="BC596">
            <v>0</v>
          </cell>
          <cell r="BD596">
            <v>0</v>
          </cell>
          <cell r="BE596">
            <v>7</v>
          </cell>
          <cell r="BF596">
            <v>7</v>
          </cell>
          <cell r="BG596">
            <v>7</v>
          </cell>
          <cell r="BH596">
            <v>0</v>
          </cell>
          <cell r="BI596">
            <v>1</v>
          </cell>
          <cell r="BJ596">
            <v>0</v>
          </cell>
          <cell r="BK596">
            <v>0</v>
          </cell>
          <cell r="BL596">
            <v>0</v>
          </cell>
          <cell r="BM596">
            <v>0</v>
          </cell>
          <cell r="BN596">
            <v>1</v>
          </cell>
          <cell r="BO596">
            <v>0</v>
          </cell>
          <cell r="BP596">
            <v>0</v>
          </cell>
          <cell r="BQ596">
            <v>7</v>
          </cell>
          <cell r="BR596">
            <v>0</v>
          </cell>
          <cell r="BS596">
            <v>0</v>
          </cell>
          <cell r="BT596">
            <v>10</v>
          </cell>
          <cell r="BU596">
            <v>0</v>
          </cell>
        </row>
        <row r="597">
          <cell r="A597">
            <v>58</v>
          </cell>
          <cell r="B597">
            <v>58</v>
          </cell>
          <cell r="D597">
            <v>1</v>
          </cell>
          <cell r="F597">
            <v>0</v>
          </cell>
          <cell r="G597">
            <v>1</v>
          </cell>
          <cell r="I597">
            <v>1</v>
          </cell>
          <cell r="J597">
            <v>0</v>
          </cell>
          <cell r="K597">
            <v>2</v>
          </cell>
          <cell r="L597">
            <v>2</v>
          </cell>
          <cell r="M597">
            <v>4</v>
          </cell>
          <cell r="O597">
            <v>1</v>
          </cell>
          <cell r="P597">
            <v>0</v>
          </cell>
          <cell r="Q597">
            <v>0</v>
          </cell>
          <cell r="R597">
            <v>0</v>
          </cell>
          <cell r="S597">
            <v>0</v>
          </cell>
          <cell r="T597">
            <v>4</v>
          </cell>
          <cell r="V597">
            <v>0</v>
          </cell>
          <cell r="W597">
            <v>31</v>
          </cell>
          <cell r="X597">
            <v>3</v>
          </cell>
          <cell r="Y597">
            <v>5</v>
          </cell>
          <cell r="AA597">
            <v>0</v>
          </cell>
          <cell r="AB597">
            <v>0</v>
          </cell>
          <cell r="AC597">
            <v>0</v>
          </cell>
          <cell r="AD597">
            <v>0</v>
          </cell>
          <cell r="AE597">
            <v>0</v>
          </cell>
          <cell r="AF597">
            <v>0</v>
          </cell>
          <cell r="AG597">
            <v>0</v>
          </cell>
          <cell r="AH597">
            <v>0</v>
          </cell>
          <cell r="AI597">
            <v>2</v>
          </cell>
          <cell r="AK597">
            <v>1</v>
          </cell>
          <cell r="AL597">
            <v>0</v>
          </cell>
          <cell r="AN597">
            <v>19246</v>
          </cell>
          <cell r="AO597">
            <v>7</v>
          </cell>
          <cell r="AQ597">
            <v>1</v>
          </cell>
          <cell r="AR597">
            <v>12</v>
          </cell>
          <cell r="AS597">
            <v>3</v>
          </cell>
          <cell r="AT597">
            <v>4</v>
          </cell>
          <cell r="AU597">
            <v>0</v>
          </cell>
          <cell r="AV597">
            <v>40</v>
          </cell>
          <cell r="AW597">
            <v>35</v>
          </cell>
          <cell r="AX597">
            <v>2</v>
          </cell>
          <cell r="AY597">
            <v>3</v>
          </cell>
          <cell r="AZ597">
            <v>31</v>
          </cell>
          <cell r="BA597">
            <v>31</v>
          </cell>
          <cell r="BB597">
            <v>15</v>
          </cell>
          <cell r="BC597">
            <v>13</v>
          </cell>
          <cell r="BD597">
            <v>13</v>
          </cell>
          <cell r="BE597">
            <v>8</v>
          </cell>
          <cell r="BF597">
            <v>8</v>
          </cell>
          <cell r="BG597">
            <v>40</v>
          </cell>
          <cell r="BH597">
            <v>1</v>
          </cell>
          <cell r="BI597">
            <v>0</v>
          </cell>
          <cell r="BJ597">
            <v>0</v>
          </cell>
          <cell r="BK597">
            <v>0</v>
          </cell>
          <cell r="BL597">
            <v>0</v>
          </cell>
          <cell r="BM597">
            <v>1</v>
          </cell>
          <cell r="BN597">
            <v>0</v>
          </cell>
          <cell r="BO597">
            <v>0</v>
          </cell>
          <cell r="BP597">
            <v>0</v>
          </cell>
          <cell r="BQ597">
            <v>8</v>
          </cell>
          <cell r="BR597">
            <v>0</v>
          </cell>
          <cell r="BS597">
            <v>0</v>
          </cell>
          <cell r="BT597">
            <v>35</v>
          </cell>
          <cell r="BU597">
            <v>0</v>
          </cell>
        </row>
        <row r="598">
          <cell r="A598">
            <v>35</v>
          </cell>
          <cell r="B598">
            <v>35</v>
          </cell>
          <cell r="D598">
            <v>0</v>
          </cell>
          <cell r="F598">
            <v>0</v>
          </cell>
          <cell r="G598">
            <v>1</v>
          </cell>
          <cell r="I598">
            <v>1</v>
          </cell>
          <cell r="J598">
            <v>0</v>
          </cell>
          <cell r="K598">
            <v>1</v>
          </cell>
          <cell r="L598">
            <v>1</v>
          </cell>
          <cell r="M598">
            <v>4</v>
          </cell>
          <cell r="O598">
            <v>1</v>
          </cell>
          <cell r="P598">
            <v>0</v>
          </cell>
          <cell r="Q598">
            <v>0</v>
          </cell>
          <cell r="R598">
            <v>0</v>
          </cell>
          <cell r="S598">
            <v>0</v>
          </cell>
          <cell r="T598">
            <v>4</v>
          </cell>
          <cell r="V598">
            <v>1</v>
          </cell>
          <cell r="W598">
            <v>40</v>
          </cell>
          <cell r="X598">
            <v>4</v>
          </cell>
          <cell r="Y598">
            <v>1</v>
          </cell>
          <cell r="AA598">
            <v>0</v>
          </cell>
          <cell r="AB598">
            <v>0</v>
          </cell>
          <cell r="AC598">
            <v>0</v>
          </cell>
          <cell r="AD598">
            <v>0</v>
          </cell>
          <cell r="AE598">
            <v>0</v>
          </cell>
          <cell r="AF598">
            <v>0</v>
          </cell>
          <cell r="AG598">
            <v>0</v>
          </cell>
          <cell r="AH598">
            <v>1</v>
          </cell>
          <cell r="AI598">
            <v>3</v>
          </cell>
          <cell r="AK598">
            <v>1</v>
          </cell>
          <cell r="AL598">
            <v>0</v>
          </cell>
          <cell r="AN598">
            <v>2506</v>
          </cell>
          <cell r="AO598">
            <v>3</v>
          </cell>
          <cell r="AQ598">
            <v>0</v>
          </cell>
          <cell r="AR598">
            <v>13</v>
          </cell>
          <cell r="AS598">
            <v>3</v>
          </cell>
          <cell r="AT598">
            <v>3</v>
          </cell>
          <cell r="AU598">
            <v>0</v>
          </cell>
          <cell r="AV598">
            <v>7</v>
          </cell>
          <cell r="AW598">
            <v>7</v>
          </cell>
          <cell r="AX598">
            <v>0</v>
          </cell>
          <cell r="AY598">
            <v>3</v>
          </cell>
          <cell r="AZ598">
            <v>2</v>
          </cell>
          <cell r="BA598">
            <v>2</v>
          </cell>
          <cell r="BB598">
            <v>2</v>
          </cell>
          <cell r="BC598">
            <v>2</v>
          </cell>
          <cell r="BD598">
            <v>2</v>
          </cell>
          <cell r="BE598">
            <v>2</v>
          </cell>
          <cell r="BF598">
            <v>2</v>
          </cell>
          <cell r="BG598">
            <v>2</v>
          </cell>
          <cell r="BH598">
            <v>1</v>
          </cell>
          <cell r="BI598">
            <v>0</v>
          </cell>
          <cell r="BJ598">
            <v>0</v>
          </cell>
          <cell r="BK598">
            <v>0</v>
          </cell>
          <cell r="BL598">
            <v>1</v>
          </cell>
          <cell r="BM598">
            <v>0</v>
          </cell>
          <cell r="BN598">
            <v>0</v>
          </cell>
          <cell r="BO598">
            <v>0</v>
          </cell>
          <cell r="BP598">
            <v>0</v>
          </cell>
          <cell r="BQ598">
            <v>2</v>
          </cell>
          <cell r="BR598">
            <v>0</v>
          </cell>
          <cell r="BS598">
            <v>0</v>
          </cell>
          <cell r="BT598">
            <v>7</v>
          </cell>
          <cell r="BU598">
            <v>0</v>
          </cell>
        </row>
        <row r="599">
          <cell r="A599">
            <v>42</v>
          </cell>
          <cell r="B599">
            <v>42</v>
          </cell>
          <cell r="D599">
            <v>0</v>
          </cell>
          <cell r="F599">
            <v>0</v>
          </cell>
          <cell r="G599">
            <v>1</v>
          </cell>
          <cell r="I599">
            <v>1</v>
          </cell>
          <cell r="J599">
            <v>0</v>
          </cell>
          <cell r="K599">
            <v>1</v>
          </cell>
          <cell r="L599">
            <v>1</v>
          </cell>
          <cell r="M599">
            <v>2</v>
          </cell>
          <cell r="O599">
            <v>1</v>
          </cell>
          <cell r="P599">
            <v>0</v>
          </cell>
          <cell r="Q599">
            <v>0</v>
          </cell>
          <cell r="R599">
            <v>0</v>
          </cell>
          <cell r="S599">
            <v>0</v>
          </cell>
          <cell r="T599">
            <v>4</v>
          </cell>
          <cell r="V599">
            <v>1</v>
          </cell>
          <cell r="W599">
            <v>43</v>
          </cell>
          <cell r="X599">
            <v>2</v>
          </cell>
          <cell r="Y599">
            <v>2</v>
          </cell>
          <cell r="AA599">
            <v>0</v>
          </cell>
          <cell r="AB599">
            <v>0</v>
          </cell>
          <cell r="AC599">
            <v>0</v>
          </cell>
          <cell r="AD599">
            <v>0</v>
          </cell>
          <cell r="AE599">
            <v>1</v>
          </cell>
          <cell r="AF599">
            <v>1</v>
          </cell>
          <cell r="AG599">
            <v>0</v>
          </cell>
          <cell r="AH599">
            <v>0</v>
          </cell>
          <cell r="AI599">
            <v>4</v>
          </cell>
          <cell r="AK599">
            <v>0</v>
          </cell>
          <cell r="AL599">
            <v>1</v>
          </cell>
          <cell r="AN599">
            <v>6062</v>
          </cell>
          <cell r="AO599">
            <v>9</v>
          </cell>
          <cell r="AQ599">
            <v>1</v>
          </cell>
          <cell r="AR599">
            <v>13</v>
          </cell>
          <cell r="AS599">
            <v>3</v>
          </cell>
          <cell r="AT599">
            <v>4</v>
          </cell>
          <cell r="AU599">
            <v>1</v>
          </cell>
          <cell r="AV599">
            <v>8</v>
          </cell>
          <cell r="AW599">
            <v>8</v>
          </cell>
          <cell r="AX599">
            <v>4</v>
          </cell>
          <cell r="AY599">
            <v>3</v>
          </cell>
          <cell r="AZ599">
            <v>4</v>
          </cell>
          <cell r="BA599">
            <v>4</v>
          </cell>
          <cell r="BB599">
            <v>3</v>
          </cell>
          <cell r="BC599">
            <v>0</v>
          </cell>
          <cell r="BD599">
            <v>0</v>
          </cell>
          <cell r="BE599">
            <v>2</v>
          </cell>
          <cell r="BF599">
            <v>2</v>
          </cell>
          <cell r="BG599">
            <v>4</v>
          </cell>
          <cell r="BH599">
            <v>0</v>
          </cell>
          <cell r="BI599">
            <v>1</v>
          </cell>
          <cell r="BJ599">
            <v>0</v>
          </cell>
          <cell r="BK599">
            <v>0</v>
          </cell>
          <cell r="BL599">
            <v>0</v>
          </cell>
          <cell r="BM599">
            <v>0</v>
          </cell>
          <cell r="BN599">
            <v>0</v>
          </cell>
          <cell r="BO599">
            <v>1</v>
          </cell>
          <cell r="BP599">
            <v>0</v>
          </cell>
          <cell r="BQ599">
            <v>2</v>
          </cell>
          <cell r="BR599">
            <v>0</v>
          </cell>
          <cell r="BS599">
            <v>0</v>
          </cell>
          <cell r="BT599">
            <v>8</v>
          </cell>
          <cell r="BU599">
            <v>0</v>
          </cell>
        </row>
        <row r="600">
          <cell r="A600">
            <v>28</v>
          </cell>
          <cell r="B600">
            <v>28</v>
          </cell>
          <cell r="D600">
            <v>1</v>
          </cell>
          <cell r="F600">
            <v>0</v>
          </cell>
          <cell r="G600">
            <v>1</v>
          </cell>
          <cell r="I600">
            <v>1</v>
          </cell>
          <cell r="J600">
            <v>0</v>
          </cell>
          <cell r="K600">
            <v>2</v>
          </cell>
          <cell r="L600">
            <v>2</v>
          </cell>
          <cell r="M600">
            <v>4</v>
          </cell>
          <cell r="O600">
            <v>0</v>
          </cell>
          <cell r="P600">
            <v>0</v>
          </cell>
          <cell r="Q600">
            <v>1</v>
          </cell>
          <cell r="R600">
            <v>0</v>
          </cell>
          <cell r="S600">
            <v>0</v>
          </cell>
          <cell r="T600">
            <v>3</v>
          </cell>
          <cell r="V600">
            <v>0</v>
          </cell>
          <cell r="W600">
            <v>46</v>
          </cell>
          <cell r="X600">
            <v>3</v>
          </cell>
          <cell r="Y600">
            <v>1</v>
          </cell>
          <cell r="AA600">
            <v>0</v>
          </cell>
          <cell r="AB600">
            <v>0</v>
          </cell>
          <cell r="AC600">
            <v>0</v>
          </cell>
          <cell r="AD600">
            <v>0</v>
          </cell>
          <cell r="AE600">
            <v>0</v>
          </cell>
          <cell r="AF600">
            <v>0</v>
          </cell>
          <cell r="AG600">
            <v>0</v>
          </cell>
          <cell r="AH600">
            <v>1</v>
          </cell>
          <cell r="AI600">
            <v>3</v>
          </cell>
          <cell r="AK600">
            <v>1</v>
          </cell>
          <cell r="AL600">
            <v>0</v>
          </cell>
          <cell r="AN600">
            <v>4382</v>
          </cell>
          <cell r="AO600">
            <v>6</v>
          </cell>
          <cell r="AQ600">
            <v>0</v>
          </cell>
          <cell r="AR600">
            <v>17</v>
          </cell>
          <cell r="AS600">
            <v>3</v>
          </cell>
          <cell r="AT600">
            <v>4</v>
          </cell>
          <cell r="AU600">
            <v>0</v>
          </cell>
          <cell r="AV600">
            <v>5</v>
          </cell>
          <cell r="AW600">
            <v>5</v>
          </cell>
          <cell r="AX600">
            <v>3</v>
          </cell>
          <cell r="AY600">
            <v>2</v>
          </cell>
          <cell r="AZ600">
            <v>2</v>
          </cell>
          <cell r="BA600">
            <v>2</v>
          </cell>
          <cell r="BB600">
            <v>2</v>
          </cell>
          <cell r="BC600">
            <v>2</v>
          </cell>
          <cell r="BD600">
            <v>2</v>
          </cell>
          <cell r="BE600">
            <v>1</v>
          </cell>
          <cell r="BF600">
            <v>1</v>
          </cell>
          <cell r="BG600">
            <v>1</v>
          </cell>
          <cell r="BH600">
            <v>1</v>
          </cell>
          <cell r="BI600">
            <v>0</v>
          </cell>
          <cell r="BJ600">
            <v>0</v>
          </cell>
          <cell r="BK600">
            <v>0</v>
          </cell>
          <cell r="BL600">
            <v>1</v>
          </cell>
          <cell r="BM600">
            <v>0</v>
          </cell>
          <cell r="BN600">
            <v>0</v>
          </cell>
          <cell r="BO600">
            <v>0</v>
          </cell>
          <cell r="BP600">
            <v>0</v>
          </cell>
          <cell r="BQ600">
            <v>1</v>
          </cell>
          <cell r="BR600">
            <v>0</v>
          </cell>
          <cell r="BS600">
            <v>0</v>
          </cell>
          <cell r="BT600">
            <v>5</v>
          </cell>
          <cell r="BU600">
            <v>0</v>
          </cell>
        </row>
        <row r="601">
          <cell r="A601">
            <v>36</v>
          </cell>
          <cell r="B601">
            <v>36</v>
          </cell>
          <cell r="D601">
            <v>0</v>
          </cell>
          <cell r="F601">
            <v>0</v>
          </cell>
          <cell r="G601">
            <v>1</v>
          </cell>
          <cell r="I601">
            <v>0</v>
          </cell>
          <cell r="J601">
            <v>0</v>
          </cell>
          <cell r="K601">
            <v>13</v>
          </cell>
          <cell r="L601">
            <v>13</v>
          </cell>
          <cell r="M601">
            <v>3</v>
          </cell>
          <cell r="O601">
            <v>0</v>
          </cell>
          <cell r="P601">
            <v>0</v>
          </cell>
          <cell r="Q601">
            <v>0</v>
          </cell>
          <cell r="R601">
            <v>0</v>
          </cell>
          <cell r="S601">
            <v>0</v>
          </cell>
          <cell r="T601">
            <v>3</v>
          </cell>
          <cell r="V601">
            <v>0</v>
          </cell>
          <cell r="W601">
            <v>36</v>
          </cell>
          <cell r="X601">
            <v>3</v>
          </cell>
          <cell r="Y601">
            <v>1</v>
          </cell>
          <cell r="AA601">
            <v>0</v>
          </cell>
          <cell r="AB601">
            <v>0</v>
          </cell>
          <cell r="AC601">
            <v>0</v>
          </cell>
          <cell r="AD601">
            <v>0</v>
          </cell>
          <cell r="AE601">
            <v>0</v>
          </cell>
          <cell r="AF601">
            <v>0</v>
          </cell>
          <cell r="AG601">
            <v>0</v>
          </cell>
          <cell r="AH601">
            <v>0</v>
          </cell>
          <cell r="AI601">
            <v>2</v>
          </cell>
          <cell r="AK601">
            <v>0</v>
          </cell>
          <cell r="AL601">
            <v>1</v>
          </cell>
          <cell r="AN601">
            <v>2143</v>
          </cell>
          <cell r="AO601">
            <v>4</v>
          </cell>
          <cell r="AQ601">
            <v>0</v>
          </cell>
          <cell r="AR601">
            <v>13</v>
          </cell>
          <cell r="AS601">
            <v>3</v>
          </cell>
          <cell r="AT601">
            <v>2</v>
          </cell>
          <cell r="AU601">
            <v>1</v>
          </cell>
          <cell r="AV601">
            <v>8</v>
          </cell>
          <cell r="AW601">
            <v>8</v>
          </cell>
          <cell r="AX601">
            <v>2</v>
          </cell>
          <cell r="AY601">
            <v>3</v>
          </cell>
          <cell r="AZ601">
            <v>5</v>
          </cell>
          <cell r="BA601">
            <v>5</v>
          </cell>
          <cell r="BB601">
            <v>2</v>
          </cell>
          <cell r="BC601">
            <v>0</v>
          </cell>
          <cell r="BD601">
            <v>0</v>
          </cell>
          <cell r="BE601">
            <v>4</v>
          </cell>
          <cell r="BF601">
            <v>4</v>
          </cell>
          <cell r="BG601">
            <v>4</v>
          </cell>
          <cell r="BH601">
            <v>0</v>
          </cell>
          <cell r="BI601">
            <v>1</v>
          </cell>
          <cell r="BJ601">
            <v>0</v>
          </cell>
          <cell r="BK601">
            <v>0</v>
          </cell>
          <cell r="BL601">
            <v>0</v>
          </cell>
          <cell r="BM601">
            <v>0</v>
          </cell>
          <cell r="BN601">
            <v>1</v>
          </cell>
          <cell r="BO601">
            <v>0</v>
          </cell>
          <cell r="BP601">
            <v>4</v>
          </cell>
          <cell r="BQ601">
            <v>0</v>
          </cell>
          <cell r="BR601">
            <v>0</v>
          </cell>
          <cell r="BS601">
            <v>8</v>
          </cell>
          <cell r="BT601">
            <v>0</v>
          </cell>
          <cell r="BU601">
            <v>0</v>
          </cell>
        </row>
        <row r="602">
          <cell r="A602">
            <v>32</v>
          </cell>
          <cell r="B602">
            <v>32</v>
          </cell>
          <cell r="D602">
            <v>0</v>
          </cell>
          <cell r="F602">
            <v>0</v>
          </cell>
          <cell r="G602">
            <v>1</v>
          </cell>
          <cell r="I602">
            <v>1</v>
          </cell>
          <cell r="J602">
            <v>0</v>
          </cell>
          <cell r="K602">
            <v>4</v>
          </cell>
          <cell r="L602">
            <v>4</v>
          </cell>
          <cell r="M602">
            <v>3</v>
          </cell>
          <cell r="O602">
            <v>1</v>
          </cell>
          <cell r="P602">
            <v>0</v>
          </cell>
          <cell r="Q602">
            <v>0</v>
          </cell>
          <cell r="R602">
            <v>0</v>
          </cell>
          <cell r="S602">
            <v>0</v>
          </cell>
          <cell r="T602">
            <v>3</v>
          </cell>
          <cell r="V602">
            <v>1</v>
          </cell>
          <cell r="W602">
            <v>98</v>
          </cell>
          <cell r="X602">
            <v>2</v>
          </cell>
          <cell r="Y602">
            <v>2</v>
          </cell>
          <cell r="AA602">
            <v>0</v>
          </cell>
          <cell r="AB602">
            <v>0</v>
          </cell>
          <cell r="AC602">
            <v>0</v>
          </cell>
          <cell r="AD602">
            <v>0</v>
          </cell>
          <cell r="AE602">
            <v>1</v>
          </cell>
          <cell r="AF602">
            <v>1</v>
          </cell>
          <cell r="AG602">
            <v>0</v>
          </cell>
          <cell r="AH602">
            <v>0</v>
          </cell>
          <cell r="AI602">
            <v>3</v>
          </cell>
          <cell r="AK602">
            <v>0</v>
          </cell>
          <cell r="AL602">
            <v>1</v>
          </cell>
          <cell r="AN602">
            <v>6162</v>
          </cell>
          <cell r="AO602">
            <v>1</v>
          </cell>
          <cell r="AQ602">
            <v>0</v>
          </cell>
          <cell r="AR602">
            <v>12</v>
          </cell>
          <cell r="AS602">
            <v>3</v>
          </cell>
          <cell r="AT602">
            <v>3</v>
          </cell>
          <cell r="AU602">
            <v>1</v>
          </cell>
          <cell r="AV602">
            <v>14</v>
          </cell>
          <cell r="AW602">
            <v>14</v>
          </cell>
          <cell r="AX602">
            <v>3</v>
          </cell>
          <cell r="AY602">
            <v>3</v>
          </cell>
          <cell r="AZ602">
            <v>14</v>
          </cell>
          <cell r="BA602">
            <v>14</v>
          </cell>
          <cell r="BB602">
            <v>13</v>
          </cell>
          <cell r="BC602">
            <v>6</v>
          </cell>
          <cell r="BD602">
            <v>6</v>
          </cell>
          <cell r="BE602">
            <v>8</v>
          </cell>
          <cell r="BF602">
            <v>8</v>
          </cell>
          <cell r="BG602">
            <v>16</v>
          </cell>
          <cell r="BH602">
            <v>0</v>
          </cell>
          <cell r="BI602">
            <v>1</v>
          </cell>
          <cell r="BJ602">
            <v>0</v>
          </cell>
          <cell r="BK602">
            <v>0</v>
          </cell>
          <cell r="BL602">
            <v>0</v>
          </cell>
          <cell r="BM602">
            <v>0</v>
          </cell>
          <cell r="BN602">
            <v>1</v>
          </cell>
          <cell r="BO602">
            <v>0</v>
          </cell>
          <cell r="BP602">
            <v>0</v>
          </cell>
          <cell r="BQ602">
            <v>8</v>
          </cell>
          <cell r="BR602">
            <v>0</v>
          </cell>
          <cell r="BS602">
            <v>0</v>
          </cell>
          <cell r="BT602">
            <v>14</v>
          </cell>
          <cell r="BU602">
            <v>0</v>
          </cell>
        </row>
        <row r="603">
          <cell r="A603">
            <v>40</v>
          </cell>
          <cell r="B603">
            <v>40</v>
          </cell>
          <cell r="D603">
            <v>0</v>
          </cell>
          <cell r="F603">
            <v>1</v>
          </cell>
          <cell r="G603">
            <v>0</v>
          </cell>
          <cell r="I603">
            <v>1</v>
          </cell>
          <cell r="J603">
            <v>0</v>
          </cell>
          <cell r="K603">
            <v>16</v>
          </cell>
          <cell r="L603">
            <v>16</v>
          </cell>
          <cell r="M603">
            <v>4</v>
          </cell>
          <cell r="O603">
            <v>0</v>
          </cell>
          <cell r="P603">
            <v>0</v>
          </cell>
          <cell r="Q603">
            <v>1</v>
          </cell>
          <cell r="R603">
            <v>0</v>
          </cell>
          <cell r="S603">
            <v>0</v>
          </cell>
          <cell r="T603">
            <v>1</v>
          </cell>
          <cell r="V603">
            <v>0</v>
          </cell>
          <cell r="W603">
            <v>51</v>
          </cell>
          <cell r="X603">
            <v>2</v>
          </cell>
          <cell r="Y603">
            <v>2</v>
          </cell>
          <cell r="AA603">
            <v>0</v>
          </cell>
          <cell r="AB603">
            <v>0</v>
          </cell>
          <cell r="AC603">
            <v>1</v>
          </cell>
          <cell r="AD603">
            <v>0</v>
          </cell>
          <cell r="AE603">
            <v>0</v>
          </cell>
          <cell r="AF603">
            <v>0</v>
          </cell>
          <cell r="AG603">
            <v>0</v>
          </cell>
          <cell r="AH603">
            <v>0</v>
          </cell>
          <cell r="AI603">
            <v>3</v>
          </cell>
          <cell r="AK603">
            <v>1</v>
          </cell>
          <cell r="AL603">
            <v>0</v>
          </cell>
          <cell r="AN603">
            <v>5094</v>
          </cell>
          <cell r="AO603">
            <v>6</v>
          </cell>
          <cell r="AQ603">
            <v>0</v>
          </cell>
          <cell r="AR603">
            <v>14</v>
          </cell>
          <cell r="AS603">
            <v>3</v>
          </cell>
          <cell r="AT603">
            <v>4</v>
          </cell>
          <cell r="AU603">
            <v>0</v>
          </cell>
          <cell r="AV603">
            <v>10</v>
          </cell>
          <cell r="AW603">
            <v>10</v>
          </cell>
          <cell r="AX603">
            <v>6</v>
          </cell>
          <cell r="AY603">
            <v>3</v>
          </cell>
          <cell r="AZ603">
            <v>1</v>
          </cell>
          <cell r="BA603">
            <v>1</v>
          </cell>
          <cell r="BB603">
            <v>0</v>
          </cell>
          <cell r="BC603">
            <v>0</v>
          </cell>
          <cell r="BD603">
            <v>0</v>
          </cell>
          <cell r="BE603">
            <v>0</v>
          </cell>
          <cell r="BF603">
            <v>0</v>
          </cell>
          <cell r="BG603">
            <v>0</v>
          </cell>
          <cell r="BH603">
            <v>0</v>
          </cell>
          <cell r="BI603">
            <v>0</v>
          </cell>
          <cell r="BJ603">
            <v>1</v>
          </cell>
          <cell r="BK603">
            <v>0</v>
          </cell>
          <cell r="BL603">
            <v>1</v>
          </cell>
          <cell r="BM603">
            <v>0</v>
          </cell>
          <cell r="BN603">
            <v>0</v>
          </cell>
          <cell r="BO603">
            <v>0</v>
          </cell>
          <cell r="BP603">
            <v>0</v>
          </cell>
          <cell r="BQ603">
            <v>0</v>
          </cell>
          <cell r="BR603">
            <v>0</v>
          </cell>
          <cell r="BS603">
            <v>0</v>
          </cell>
          <cell r="BT603">
            <v>10</v>
          </cell>
          <cell r="BU603">
            <v>0</v>
          </cell>
        </row>
        <row r="604">
          <cell r="A604">
            <v>30</v>
          </cell>
          <cell r="B604">
            <v>30</v>
          </cell>
          <cell r="D604">
            <v>0</v>
          </cell>
          <cell r="F604">
            <v>0</v>
          </cell>
          <cell r="G604">
            <v>1</v>
          </cell>
          <cell r="I604">
            <v>1</v>
          </cell>
          <cell r="J604">
            <v>0</v>
          </cell>
          <cell r="K604">
            <v>2</v>
          </cell>
          <cell r="L604">
            <v>2</v>
          </cell>
          <cell r="M604">
            <v>3</v>
          </cell>
          <cell r="O604">
            <v>0</v>
          </cell>
          <cell r="P604">
            <v>0</v>
          </cell>
          <cell r="Q604">
            <v>1</v>
          </cell>
          <cell r="R604">
            <v>0</v>
          </cell>
          <cell r="S604">
            <v>0</v>
          </cell>
          <cell r="T604">
            <v>3</v>
          </cell>
          <cell r="V604">
            <v>1</v>
          </cell>
          <cell r="W604">
            <v>52</v>
          </cell>
          <cell r="X604">
            <v>2</v>
          </cell>
          <cell r="Y604">
            <v>2</v>
          </cell>
          <cell r="AA604">
            <v>0</v>
          </cell>
          <cell r="AB604">
            <v>0</v>
          </cell>
          <cell r="AC604">
            <v>0</v>
          </cell>
          <cell r="AD604">
            <v>0</v>
          </cell>
          <cell r="AE604">
            <v>1</v>
          </cell>
          <cell r="AF604">
            <v>1</v>
          </cell>
          <cell r="AG604">
            <v>0</v>
          </cell>
          <cell r="AH604">
            <v>0</v>
          </cell>
          <cell r="AI604">
            <v>4</v>
          </cell>
          <cell r="AK604">
            <v>1</v>
          </cell>
          <cell r="AL604">
            <v>0</v>
          </cell>
          <cell r="AN604">
            <v>6877</v>
          </cell>
          <cell r="AO604">
            <v>5</v>
          </cell>
          <cell r="AQ604">
            <v>1</v>
          </cell>
          <cell r="AR604">
            <v>24</v>
          </cell>
          <cell r="AS604">
            <v>4</v>
          </cell>
          <cell r="AT604">
            <v>2</v>
          </cell>
          <cell r="AU604">
            <v>0</v>
          </cell>
          <cell r="AV604">
            <v>12</v>
          </cell>
          <cell r="AW604">
            <v>12</v>
          </cell>
          <cell r="AX604">
            <v>4</v>
          </cell>
          <cell r="AY604">
            <v>2</v>
          </cell>
          <cell r="AZ604">
            <v>0</v>
          </cell>
          <cell r="BA604">
            <v>0</v>
          </cell>
          <cell r="BB604">
            <v>0</v>
          </cell>
          <cell r="BC604">
            <v>0</v>
          </cell>
          <cell r="BD604">
            <v>0</v>
          </cell>
          <cell r="BE604">
            <v>0</v>
          </cell>
          <cell r="BF604">
            <v>0</v>
          </cell>
          <cell r="BG604">
            <v>0</v>
          </cell>
          <cell r="BH604">
            <v>1</v>
          </cell>
          <cell r="BI604">
            <v>0</v>
          </cell>
          <cell r="BJ604">
            <v>0</v>
          </cell>
          <cell r="BK604">
            <v>0</v>
          </cell>
          <cell r="BL604">
            <v>0</v>
          </cell>
          <cell r="BM604">
            <v>1</v>
          </cell>
          <cell r="BN604">
            <v>0</v>
          </cell>
          <cell r="BO604">
            <v>0</v>
          </cell>
          <cell r="BP604">
            <v>0</v>
          </cell>
          <cell r="BQ604">
            <v>0</v>
          </cell>
          <cell r="BR604">
            <v>0</v>
          </cell>
          <cell r="BS604">
            <v>0</v>
          </cell>
          <cell r="BT604">
            <v>12</v>
          </cell>
          <cell r="BU604">
            <v>0</v>
          </cell>
        </row>
        <row r="605">
          <cell r="A605">
            <v>45</v>
          </cell>
          <cell r="B605">
            <v>45</v>
          </cell>
          <cell r="D605">
            <v>0</v>
          </cell>
          <cell r="F605">
            <v>0</v>
          </cell>
          <cell r="G605">
            <v>1</v>
          </cell>
          <cell r="I605">
            <v>1</v>
          </cell>
          <cell r="J605">
            <v>0</v>
          </cell>
          <cell r="K605">
            <v>2</v>
          </cell>
          <cell r="L605">
            <v>2</v>
          </cell>
          <cell r="M605">
            <v>3</v>
          </cell>
          <cell r="O605">
            <v>1</v>
          </cell>
          <cell r="P605">
            <v>0</v>
          </cell>
          <cell r="Q605">
            <v>0</v>
          </cell>
          <cell r="R605">
            <v>0</v>
          </cell>
          <cell r="S605">
            <v>0</v>
          </cell>
          <cell r="T605">
            <v>2</v>
          </cell>
          <cell r="V605">
            <v>1</v>
          </cell>
          <cell r="W605">
            <v>95</v>
          </cell>
          <cell r="X605">
            <v>2</v>
          </cell>
          <cell r="Y605">
            <v>1</v>
          </cell>
          <cell r="AA605">
            <v>0</v>
          </cell>
          <cell r="AB605">
            <v>0</v>
          </cell>
          <cell r="AC605">
            <v>0</v>
          </cell>
          <cell r="AD605">
            <v>0</v>
          </cell>
          <cell r="AE605">
            <v>0</v>
          </cell>
          <cell r="AF605">
            <v>0</v>
          </cell>
          <cell r="AG605">
            <v>0</v>
          </cell>
          <cell r="AH605">
            <v>1</v>
          </cell>
          <cell r="AI605">
            <v>3</v>
          </cell>
          <cell r="AK605">
            <v>1</v>
          </cell>
          <cell r="AL605">
            <v>0</v>
          </cell>
          <cell r="AN605">
            <v>2274</v>
          </cell>
          <cell r="AO605">
            <v>1</v>
          </cell>
          <cell r="AQ605">
            <v>0</v>
          </cell>
          <cell r="AR605">
            <v>14</v>
          </cell>
          <cell r="AS605">
            <v>3</v>
          </cell>
          <cell r="AT605">
            <v>4</v>
          </cell>
          <cell r="AU605">
            <v>0</v>
          </cell>
          <cell r="AV605">
            <v>1</v>
          </cell>
          <cell r="AW605">
            <v>1</v>
          </cell>
          <cell r="AX605">
            <v>3</v>
          </cell>
          <cell r="AY605">
            <v>3</v>
          </cell>
          <cell r="AZ605">
            <v>1</v>
          </cell>
          <cell r="BA605">
            <v>1</v>
          </cell>
          <cell r="BB605">
            <v>0</v>
          </cell>
          <cell r="BC605">
            <v>0</v>
          </cell>
          <cell r="BD605">
            <v>0</v>
          </cell>
          <cell r="BE605">
            <v>0</v>
          </cell>
          <cell r="BF605">
            <v>0</v>
          </cell>
          <cell r="BG605">
            <v>0</v>
          </cell>
          <cell r="BH605">
            <v>1</v>
          </cell>
          <cell r="BI605">
            <v>0</v>
          </cell>
          <cell r="BJ605">
            <v>0</v>
          </cell>
          <cell r="BK605">
            <v>0</v>
          </cell>
          <cell r="BL605">
            <v>1</v>
          </cell>
          <cell r="BM605">
            <v>0</v>
          </cell>
          <cell r="BN605">
            <v>0</v>
          </cell>
          <cell r="BO605">
            <v>0</v>
          </cell>
          <cell r="BP605">
            <v>0</v>
          </cell>
          <cell r="BQ605">
            <v>0</v>
          </cell>
          <cell r="BR605">
            <v>0</v>
          </cell>
          <cell r="BS605">
            <v>0</v>
          </cell>
          <cell r="BT605">
            <v>1</v>
          </cell>
          <cell r="BU605">
            <v>0</v>
          </cell>
        </row>
        <row r="606">
          <cell r="A606">
            <v>42</v>
          </cell>
          <cell r="B606">
            <v>42</v>
          </cell>
          <cell r="D606">
            <v>0</v>
          </cell>
          <cell r="F606">
            <v>0</v>
          </cell>
          <cell r="G606">
            <v>1</v>
          </cell>
          <cell r="I606">
            <v>1</v>
          </cell>
          <cell r="J606">
            <v>0</v>
          </cell>
          <cell r="K606">
            <v>29</v>
          </cell>
          <cell r="L606">
            <v>29</v>
          </cell>
          <cell r="M606">
            <v>3</v>
          </cell>
          <cell r="O606">
            <v>1</v>
          </cell>
          <cell r="P606">
            <v>0</v>
          </cell>
          <cell r="Q606">
            <v>0</v>
          </cell>
          <cell r="R606">
            <v>0</v>
          </cell>
          <cell r="S606">
            <v>0</v>
          </cell>
          <cell r="T606">
            <v>2</v>
          </cell>
          <cell r="V606">
            <v>0</v>
          </cell>
          <cell r="W606">
            <v>98</v>
          </cell>
          <cell r="X606">
            <v>3</v>
          </cell>
          <cell r="Y606">
            <v>2</v>
          </cell>
          <cell r="AA606">
            <v>0</v>
          </cell>
          <cell r="AB606">
            <v>0</v>
          </cell>
          <cell r="AC606">
            <v>0</v>
          </cell>
          <cell r="AD606">
            <v>0</v>
          </cell>
          <cell r="AE606">
            <v>1</v>
          </cell>
          <cell r="AF606">
            <v>1</v>
          </cell>
          <cell r="AG606">
            <v>0</v>
          </cell>
          <cell r="AH606">
            <v>0</v>
          </cell>
          <cell r="AI606">
            <v>2</v>
          </cell>
          <cell r="AK606">
            <v>0</v>
          </cell>
          <cell r="AL606">
            <v>1</v>
          </cell>
          <cell r="AN606">
            <v>4434</v>
          </cell>
          <cell r="AO606">
            <v>1</v>
          </cell>
          <cell r="AQ606">
            <v>0</v>
          </cell>
          <cell r="AR606">
            <v>13</v>
          </cell>
          <cell r="AS606">
            <v>3</v>
          </cell>
          <cell r="AT606">
            <v>4</v>
          </cell>
          <cell r="AU606">
            <v>1</v>
          </cell>
          <cell r="AV606">
            <v>10</v>
          </cell>
          <cell r="AW606">
            <v>10</v>
          </cell>
          <cell r="AX606">
            <v>3</v>
          </cell>
          <cell r="AY606">
            <v>2</v>
          </cell>
          <cell r="AZ606">
            <v>9</v>
          </cell>
          <cell r="BA606">
            <v>9</v>
          </cell>
          <cell r="BB606">
            <v>8</v>
          </cell>
          <cell r="BC606">
            <v>7</v>
          </cell>
          <cell r="BD606">
            <v>7</v>
          </cell>
          <cell r="BE606">
            <v>8</v>
          </cell>
          <cell r="BF606">
            <v>8</v>
          </cell>
          <cell r="BG606">
            <v>16</v>
          </cell>
          <cell r="BH606">
            <v>0</v>
          </cell>
          <cell r="BI606">
            <v>1</v>
          </cell>
          <cell r="BJ606">
            <v>0</v>
          </cell>
          <cell r="BK606">
            <v>0</v>
          </cell>
          <cell r="BL606">
            <v>0</v>
          </cell>
          <cell r="BM606">
            <v>0</v>
          </cell>
          <cell r="BN606">
            <v>1</v>
          </cell>
          <cell r="BO606">
            <v>0</v>
          </cell>
          <cell r="BP606">
            <v>0</v>
          </cell>
          <cell r="BQ606">
            <v>8</v>
          </cell>
          <cell r="BR606">
            <v>0</v>
          </cell>
          <cell r="BS606">
            <v>0</v>
          </cell>
          <cell r="BT606">
            <v>10</v>
          </cell>
          <cell r="BU606">
            <v>0</v>
          </cell>
        </row>
        <row r="607">
          <cell r="A607">
            <v>38</v>
          </cell>
          <cell r="B607">
            <v>38</v>
          </cell>
          <cell r="D607">
            <v>0</v>
          </cell>
          <cell r="F607">
            <v>1</v>
          </cell>
          <cell r="G607">
            <v>0</v>
          </cell>
          <cell r="I607">
            <v>1</v>
          </cell>
          <cell r="J607">
            <v>0</v>
          </cell>
          <cell r="K607">
            <v>12</v>
          </cell>
          <cell r="L607">
            <v>12</v>
          </cell>
          <cell r="M607">
            <v>3</v>
          </cell>
          <cell r="O607">
            <v>1</v>
          </cell>
          <cell r="P607">
            <v>0</v>
          </cell>
          <cell r="Q607">
            <v>0</v>
          </cell>
          <cell r="R607">
            <v>0</v>
          </cell>
          <cell r="S607">
            <v>0</v>
          </cell>
          <cell r="T607">
            <v>1</v>
          </cell>
          <cell r="V607">
            <v>0</v>
          </cell>
          <cell r="W607">
            <v>45</v>
          </cell>
          <cell r="X607">
            <v>2</v>
          </cell>
          <cell r="Y607">
            <v>2</v>
          </cell>
          <cell r="AA607">
            <v>1</v>
          </cell>
          <cell r="AB607">
            <v>0</v>
          </cell>
          <cell r="AC607">
            <v>0</v>
          </cell>
          <cell r="AD607">
            <v>0</v>
          </cell>
          <cell r="AE607">
            <v>0</v>
          </cell>
          <cell r="AF607">
            <v>0</v>
          </cell>
          <cell r="AG607">
            <v>0</v>
          </cell>
          <cell r="AH607">
            <v>0</v>
          </cell>
          <cell r="AI607">
            <v>1</v>
          </cell>
          <cell r="AK607">
            <v>0</v>
          </cell>
          <cell r="AL607">
            <v>0</v>
          </cell>
          <cell r="AN607">
            <v>6288</v>
          </cell>
          <cell r="AO607">
            <v>2</v>
          </cell>
          <cell r="AQ607">
            <v>0</v>
          </cell>
          <cell r="AR607">
            <v>15</v>
          </cell>
          <cell r="AS607">
            <v>3</v>
          </cell>
          <cell r="AT607">
            <v>3</v>
          </cell>
          <cell r="AU607">
            <v>1</v>
          </cell>
          <cell r="AV607">
            <v>13</v>
          </cell>
          <cell r="AW607">
            <v>13</v>
          </cell>
          <cell r="AX607">
            <v>3</v>
          </cell>
          <cell r="AY607">
            <v>2</v>
          </cell>
          <cell r="AZ607">
            <v>4</v>
          </cell>
          <cell r="BA607">
            <v>4</v>
          </cell>
          <cell r="BB607">
            <v>3</v>
          </cell>
          <cell r="BC607">
            <v>1</v>
          </cell>
          <cell r="BD607">
            <v>1</v>
          </cell>
          <cell r="BE607">
            <v>2</v>
          </cell>
          <cell r="BF607">
            <v>2</v>
          </cell>
          <cell r="BG607">
            <v>4</v>
          </cell>
          <cell r="BH607">
            <v>0</v>
          </cell>
          <cell r="BI607">
            <v>0</v>
          </cell>
          <cell r="BJ607">
            <v>1</v>
          </cell>
          <cell r="BK607">
            <v>0</v>
          </cell>
          <cell r="BL607">
            <v>1</v>
          </cell>
          <cell r="BM607">
            <v>0</v>
          </cell>
          <cell r="BN607">
            <v>0</v>
          </cell>
          <cell r="BO607">
            <v>0</v>
          </cell>
          <cell r="BP607">
            <v>0</v>
          </cell>
          <cell r="BQ607">
            <v>2</v>
          </cell>
          <cell r="BR607">
            <v>0</v>
          </cell>
          <cell r="BS607">
            <v>0</v>
          </cell>
          <cell r="BT607">
            <v>13</v>
          </cell>
          <cell r="BU607">
            <v>0</v>
          </cell>
        </row>
        <row r="608">
          <cell r="A608">
            <v>34</v>
          </cell>
          <cell r="B608">
            <v>34</v>
          </cell>
          <cell r="D608">
            <v>0</v>
          </cell>
          <cell r="F608">
            <v>1</v>
          </cell>
          <cell r="G608">
            <v>0</v>
          </cell>
          <cell r="I608">
            <v>1</v>
          </cell>
          <cell r="J608">
            <v>0</v>
          </cell>
          <cell r="K608">
            <v>16</v>
          </cell>
          <cell r="L608">
            <v>16</v>
          </cell>
          <cell r="M608">
            <v>4</v>
          </cell>
          <cell r="O608">
            <v>1</v>
          </cell>
          <cell r="P608">
            <v>0</v>
          </cell>
          <cell r="Q608">
            <v>0</v>
          </cell>
          <cell r="R608">
            <v>0</v>
          </cell>
          <cell r="S608">
            <v>0</v>
          </cell>
          <cell r="T608">
            <v>3</v>
          </cell>
          <cell r="V608">
            <v>1</v>
          </cell>
          <cell r="W608">
            <v>100</v>
          </cell>
          <cell r="X608">
            <v>2</v>
          </cell>
          <cell r="Y608">
            <v>1</v>
          </cell>
          <cell r="AA608">
            <v>0</v>
          </cell>
          <cell r="AB608">
            <v>0</v>
          </cell>
          <cell r="AC608">
            <v>0</v>
          </cell>
          <cell r="AD608">
            <v>0</v>
          </cell>
          <cell r="AE608">
            <v>0</v>
          </cell>
          <cell r="AF608">
            <v>0</v>
          </cell>
          <cell r="AG608">
            <v>0</v>
          </cell>
          <cell r="AH608">
            <v>1</v>
          </cell>
          <cell r="AI608">
            <v>4</v>
          </cell>
          <cell r="AK608">
            <v>1</v>
          </cell>
          <cell r="AL608">
            <v>0</v>
          </cell>
          <cell r="AN608">
            <v>2553</v>
          </cell>
          <cell r="AO608">
            <v>1</v>
          </cell>
          <cell r="AQ608">
            <v>0</v>
          </cell>
          <cell r="AR608">
            <v>16</v>
          </cell>
          <cell r="AS608">
            <v>3</v>
          </cell>
          <cell r="AT608">
            <v>3</v>
          </cell>
          <cell r="AU608">
            <v>0</v>
          </cell>
          <cell r="AV608">
            <v>6</v>
          </cell>
          <cell r="AW608">
            <v>6</v>
          </cell>
          <cell r="AX608">
            <v>3</v>
          </cell>
          <cell r="AY608">
            <v>3</v>
          </cell>
          <cell r="AZ608">
            <v>5</v>
          </cell>
          <cell r="BA608">
            <v>5</v>
          </cell>
          <cell r="BB608">
            <v>2</v>
          </cell>
          <cell r="BC608">
            <v>1</v>
          </cell>
          <cell r="BD608">
            <v>1</v>
          </cell>
          <cell r="BE608">
            <v>3</v>
          </cell>
          <cell r="BF608">
            <v>3</v>
          </cell>
          <cell r="BG608">
            <v>3</v>
          </cell>
          <cell r="BH608">
            <v>0</v>
          </cell>
          <cell r="BI608">
            <v>0</v>
          </cell>
          <cell r="BJ608">
            <v>1</v>
          </cell>
          <cell r="BK608">
            <v>0</v>
          </cell>
          <cell r="BL608">
            <v>1</v>
          </cell>
          <cell r="BM608">
            <v>0</v>
          </cell>
          <cell r="BN608">
            <v>0</v>
          </cell>
          <cell r="BO608">
            <v>0</v>
          </cell>
          <cell r="BP608">
            <v>0</v>
          </cell>
          <cell r="BQ608">
            <v>3</v>
          </cell>
          <cell r="BR608">
            <v>0</v>
          </cell>
          <cell r="BS608">
            <v>0</v>
          </cell>
          <cell r="BT608">
            <v>6</v>
          </cell>
          <cell r="BU608">
            <v>0</v>
          </cell>
        </row>
        <row r="609">
          <cell r="A609">
            <v>49</v>
          </cell>
          <cell r="B609">
            <v>49</v>
          </cell>
          <cell r="D609">
            <v>1</v>
          </cell>
          <cell r="F609">
            <v>0</v>
          </cell>
          <cell r="G609">
            <v>1</v>
          </cell>
          <cell r="I609">
            <v>0</v>
          </cell>
          <cell r="J609">
            <v>1</v>
          </cell>
          <cell r="K609">
            <v>11</v>
          </cell>
          <cell r="L609">
            <v>11</v>
          </cell>
          <cell r="M609">
            <v>3</v>
          </cell>
          <cell r="O609">
            <v>0</v>
          </cell>
          <cell r="P609">
            <v>0</v>
          </cell>
          <cell r="Q609">
            <v>0</v>
          </cell>
          <cell r="R609">
            <v>1</v>
          </cell>
          <cell r="S609">
            <v>0</v>
          </cell>
          <cell r="T609">
            <v>3</v>
          </cell>
          <cell r="V609">
            <v>1</v>
          </cell>
          <cell r="W609">
            <v>43</v>
          </cell>
          <cell r="X609">
            <v>3</v>
          </cell>
          <cell r="Y609">
            <v>3</v>
          </cell>
          <cell r="AA609">
            <v>0</v>
          </cell>
          <cell r="AB609">
            <v>1</v>
          </cell>
          <cell r="AC609">
            <v>0</v>
          </cell>
          <cell r="AD609">
            <v>0</v>
          </cell>
          <cell r="AE609">
            <v>0</v>
          </cell>
          <cell r="AF609">
            <v>0</v>
          </cell>
          <cell r="AG609">
            <v>0</v>
          </cell>
          <cell r="AH609">
            <v>0</v>
          </cell>
          <cell r="AI609">
            <v>4</v>
          </cell>
          <cell r="AK609">
            <v>0</v>
          </cell>
          <cell r="AL609">
            <v>1</v>
          </cell>
          <cell r="AN609">
            <v>7654</v>
          </cell>
          <cell r="AO609">
            <v>1</v>
          </cell>
          <cell r="AQ609">
            <v>0</v>
          </cell>
          <cell r="AR609">
            <v>18</v>
          </cell>
          <cell r="AS609">
            <v>3</v>
          </cell>
          <cell r="AT609">
            <v>1</v>
          </cell>
          <cell r="AU609">
            <v>2</v>
          </cell>
          <cell r="AV609">
            <v>9</v>
          </cell>
          <cell r="AW609">
            <v>9</v>
          </cell>
          <cell r="AX609">
            <v>3</v>
          </cell>
          <cell r="AY609">
            <v>4</v>
          </cell>
          <cell r="AZ609">
            <v>9</v>
          </cell>
          <cell r="BA609">
            <v>9</v>
          </cell>
          <cell r="BB609">
            <v>8</v>
          </cell>
          <cell r="BC609">
            <v>7</v>
          </cell>
          <cell r="BD609">
            <v>7</v>
          </cell>
          <cell r="BE609">
            <v>7</v>
          </cell>
          <cell r="BF609">
            <v>7</v>
          </cell>
          <cell r="BG609">
            <v>21</v>
          </cell>
          <cell r="BH609">
            <v>0</v>
          </cell>
          <cell r="BI609">
            <v>1</v>
          </cell>
          <cell r="BJ609">
            <v>0</v>
          </cell>
          <cell r="BK609">
            <v>0</v>
          </cell>
          <cell r="BL609">
            <v>0</v>
          </cell>
          <cell r="BM609">
            <v>0</v>
          </cell>
          <cell r="BN609">
            <v>1</v>
          </cell>
          <cell r="BO609">
            <v>0</v>
          </cell>
          <cell r="BP609">
            <v>0</v>
          </cell>
          <cell r="BQ609">
            <v>0</v>
          </cell>
          <cell r="BR609">
            <v>7</v>
          </cell>
          <cell r="BS609">
            <v>0</v>
          </cell>
          <cell r="BT609">
            <v>0</v>
          </cell>
          <cell r="BU609">
            <v>9</v>
          </cell>
        </row>
        <row r="610">
          <cell r="A610">
            <v>55</v>
          </cell>
          <cell r="B610">
            <v>55</v>
          </cell>
          <cell r="D610">
            <v>1</v>
          </cell>
          <cell r="F610">
            <v>0</v>
          </cell>
          <cell r="G610">
            <v>1</v>
          </cell>
          <cell r="I610">
            <v>0</v>
          </cell>
          <cell r="J610">
            <v>1</v>
          </cell>
          <cell r="K610">
            <v>2</v>
          </cell>
          <cell r="L610">
            <v>2</v>
          </cell>
          <cell r="M610">
            <v>1</v>
          </cell>
          <cell r="O610">
            <v>0</v>
          </cell>
          <cell r="P610">
            <v>0</v>
          </cell>
          <cell r="Q610">
            <v>1</v>
          </cell>
          <cell r="R610">
            <v>0</v>
          </cell>
          <cell r="S610">
            <v>0</v>
          </cell>
          <cell r="T610">
            <v>3</v>
          </cell>
          <cell r="V610">
            <v>0</v>
          </cell>
          <cell r="W610">
            <v>37</v>
          </cell>
          <cell r="X610">
            <v>3</v>
          </cell>
          <cell r="Y610">
            <v>2</v>
          </cell>
          <cell r="AA610">
            <v>0</v>
          </cell>
          <cell r="AB610">
            <v>1</v>
          </cell>
          <cell r="AC610">
            <v>0</v>
          </cell>
          <cell r="AD610">
            <v>0</v>
          </cell>
          <cell r="AE610">
            <v>0</v>
          </cell>
          <cell r="AF610">
            <v>0</v>
          </cell>
          <cell r="AG610">
            <v>0</v>
          </cell>
          <cell r="AH610">
            <v>0</v>
          </cell>
          <cell r="AI610">
            <v>4</v>
          </cell>
          <cell r="AK610">
            <v>1</v>
          </cell>
          <cell r="AL610">
            <v>0</v>
          </cell>
          <cell r="AN610">
            <v>5160</v>
          </cell>
          <cell r="AO610">
            <v>4</v>
          </cell>
          <cell r="AQ610">
            <v>0</v>
          </cell>
          <cell r="AR610">
            <v>16</v>
          </cell>
          <cell r="AS610">
            <v>3</v>
          </cell>
          <cell r="AT610">
            <v>3</v>
          </cell>
          <cell r="AU610">
            <v>0</v>
          </cell>
          <cell r="AV610">
            <v>12</v>
          </cell>
          <cell r="AW610">
            <v>12</v>
          </cell>
          <cell r="AX610">
            <v>3</v>
          </cell>
          <cell r="AY610">
            <v>2</v>
          </cell>
          <cell r="AZ610">
            <v>9</v>
          </cell>
          <cell r="BA610">
            <v>9</v>
          </cell>
          <cell r="BB610">
            <v>7</v>
          </cell>
          <cell r="BC610">
            <v>7</v>
          </cell>
          <cell r="BD610">
            <v>7</v>
          </cell>
          <cell r="BE610">
            <v>3</v>
          </cell>
          <cell r="BF610">
            <v>3</v>
          </cell>
          <cell r="BG610">
            <v>6</v>
          </cell>
          <cell r="BH610">
            <v>1</v>
          </cell>
          <cell r="BI610">
            <v>0</v>
          </cell>
          <cell r="BJ610">
            <v>0</v>
          </cell>
          <cell r="BK610">
            <v>0</v>
          </cell>
          <cell r="BL610">
            <v>1</v>
          </cell>
          <cell r="BM610">
            <v>0</v>
          </cell>
          <cell r="BN610">
            <v>0</v>
          </cell>
          <cell r="BO610">
            <v>0</v>
          </cell>
          <cell r="BP610">
            <v>0</v>
          </cell>
          <cell r="BQ610">
            <v>0</v>
          </cell>
          <cell r="BR610">
            <v>3</v>
          </cell>
          <cell r="BS610">
            <v>0</v>
          </cell>
          <cell r="BT610">
            <v>0</v>
          </cell>
          <cell r="BU610">
            <v>12</v>
          </cell>
        </row>
        <row r="611">
          <cell r="A611">
            <v>43</v>
          </cell>
          <cell r="B611">
            <v>43</v>
          </cell>
          <cell r="D611">
            <v>0</v>
          </cell>
          <cell r="F611">
            <v>0</v>
          </cell>
          <cell r="G611">
            <v>1</v>
          </cell>
          <cell r="I611">
            <v>1</v>
          </cell>
          <cell r="J611">
            <v>0</v>
          </cell>
          <cell r="K611">
            <v>14</v>
          </cell>
          <cell r="L611">
            <v>14</v>
          </cell>
          <cell r="M611">
            <v>2</v>
          </cell>
          <cell r="O611">
            <v>1</v>
          </cell>
          <cell r="P611">
            <v>0</v>
          </cell>
          <cell r="Q611">
            <v>0</v>
          </cell>
          <cell r="R611">
            <v>0</v>
          </cell>
          <cell r="S611">
            <v>0</v>
          </cell>
          <cell r="T611">
            <v>2</v>
          </cell>
          <cell r="V611">
            <v>0</v>
          </cell>
          <cell r="W611">
            <v>94</v>
          </cell>
          <cell r="X611">
            <v>3</v>
          </cell>
          <cell r="Y611">
            <v>4</v>
          </cell>
          <cell r="AA611">
            <v>0</v>
          </cell>
          <cell r="AB611">
            <v>0</v>
          </cell>
          <cell r="AC611">
            <v>0</v>
          </cell>
          <cell r="AD611">
            <v>0</v>
          </cell>
          <cell r="AE611">
            <v>0</v>
          </cell>
          <cell r="AF611">
            <v>0</v>
          </cell>
          <cell r="AG611">
            <v>0</v>
          </cell>
          <cell r="AH611">
            <v>0</v>
          </cell>
          <cell r="AI611">
            <v>1</v>
          </cell>
          <cell r="AK611">
            <v>0</v>
          </cell>
          <cell r="AL611">
            <v>1</v>
          </cell>
          <cell r="AN611">
            <v>17159</v>
          </cell>
          <cell r="AO611">
            <v>6</v>
          </cell>
          <cell r="AQ611">
            <v>0</v>
          </cell>
          <cell r="AR611">
            <v>24</v>
          </cell>
          <cell r="AS611">
            <v>4</v>
          </cell>
          <cell r="AT611">
            <v>3</v>
          </cell>
          <cell r="AU611">
            <v>1</v>
          </cell>
          <cell r="AV611">
            <v>22</v>
          </cell>
          <cell r="AW611">
            <v>22</v>
          </cell>
          <cell r="AX611">
            <v>3</v>
          </cell>
          <cell r="AY611">
            <v>3</v>
          </cell>
          <cell r="AZ611">
            <v>4</v>
          </cell>
          <cell r="BA611">
            <v>4</v>
          </cell>
          <cell r="BB611">
            <v>1</v>
          </cell>
          <cell r="BC611">
            <v>1</v>
          </cell>
          <cell r="BD611">
            <v>1</v>
          </cell>
          <cell r="BE611">
            <v>0</v>
          </cell>
          <cell r="BF611">
            <v>0</v>
          </cell>
          <cell r="BG611">
            <v>0</v>
          </cell>
          <cell r="BH611">
            <v>0</v>
          </cell>
          <cell r="BI611">
            <v>1</v>
          </cell>
          <cell r="BJ611">
            <v>0</v>
          </cell>
          <cell r="BK611">
            <v>0</v>
          </cell>
          <cell r="BL611">
            <v>0</v>
          </cell>
          <cell r="BM611">
            <v>0</v>
          </cell>
          <cell r="BN611">
            <v>1</v>
          </cell>
          <cell r="BO611">
            <v>0</v>
          </cell>
          <cell r="BP611">
            <v>0</v>
          </cell>
          <cell r="BQ611">
            <v>0</v>
          </cell>
          <cell r="BR611">
            <v>0</v>
          </cell>
          <cell r="BS611">
            <v>0</v>
          </cell>
          <cell r="BT611">
            <v>22</v>
          </cell>
          <cell r="BU611">
            <v>0</v>
          </cell>
        </row>
        <row r="612">
          <cell r="A612">
            <v>27</v>
          </cell>
          <cell r="B612">
            <v>27</v>
          </cell>
          <cell r="D612">
            <v>0</v>
          </cell>
          <cell r="F612">
            <v>0</v>
          </cell>
          <cell r="G612">
            <v>1</v>
          </cell>
          <cell r="I612">
            <v>1</v>
          </cell>
          <cell r="J612">
            <v>0</v>
          </cell>
          <cell r="K612">
            <v>5</v>
          </cell>
          <cell r="L612">
            <v>5</v>
          </cell>
          <cell r="M612">
            <v>1</v>
          </cell>
          <cell r="O612">
            <v>0</v>
          </cell>
          <cell r="P612">
            <v>0</v>
          </cell>
          <cell r="Q612">
            <v>0</v>
          </cell>
          <cell r="R612">
            <v>0</v>
          </cell>
          <cell r="S612">
            <v>1</v>
          </cell>
          <cell r="T612">
            <v>3</v>
          </cell>
          <cell r="V612">
            <v>0</v>
          </cell>
          <cell r="W612">
            <v>42</v>
          </cell>
          <cell r="X612">
            <v>2</v>
          </cell>
          <cell r="Y612">
            <v>3</v>
          </cell>
          <cell r="AA612">
            <v>0</v>
          </cell>
          <cell r="AB612">
            <v>0</v>
          </cell>
          <cell r="AC612">
            <v>0</v>
          </cell>
          <cell r="AD612">
            <v>0</v>
          </cell>
          <cell r="AE612">
            <v>0</v>
          </cell>
          <cell r="AF612">
            <v>0</v>
          </cell>
          <cell r="AG612">
            <v>0</v>
          </cell>
          <cell r="AH612">
            <v>0</v>
          </cell>
          <cell r="AI612">
            <v>4</v>
          </cell>
          <cell r="AK612">
            <v>0</v>
          </cell>
          <cell r="AL612">
            <v>0</v>
          </cell>
          <cell r="AN612">
            <v>12808</v>
          </cell>
          <cell r="AO612">
            <v>1</v>
          </cell>
          <cell r="AQ612">
            <v>1</v>
          </cell>
          <cell r="AR612">
            <v>16</v>
          </cell>
          <cell r="AS612">
            <v>3</v>
          </cell>
          <cell r="AT612">
            <v>2</v>
          </cell>
          <cell r="AU612">
            <v>1</v>
          </cell>
          <cell r="AV612">
            <v>9</v>
          </cell>
          <cell r="AW612">
            <v>9</v>
          </cell>
          <cell r="AX612">
            <v>3</v>
          </cell>
          <cell r="AY612">
            <v>3</v>
          </cell>
          <cell r="AZ612">
            <v>9</v>
          </cell>
          <cell r="BA612">
            <v>9</v>
          </cell>
          <cell r="BB612">
            <v>8</v>
          </cell>
          <cell r="BC612">
            <v>0</v>
          </cell>
          <cell r="BD612">
            <v>0</v>
          </cell>
          <cell r="BE612">
            <v>8</v>
          </cell>
          <cell r="BF612">
            <v>8</v>
          </cell>
          <cell r="BG612">
            <v>24</v>
          </cell>
          <cell r="BH612">
            <v>1</v>
          </cell>
          <cell r="BI612">
            <v>0</v>
          </cell>
          <cell r="BJ612">
            <v>0</v>
          </cell>
          <cell r="BK612">
            <v>0</v>
          </cell>
          <cell r="BL612">
            <v>0</v>
          </cell>
          <cell r="BM612">
            <v>1</v>
          </cell>
          <cell r="BN612">
            <v>0</v>
          </cell>
          <cell r="BO612">
            <v>0</v>
          </cell>
          <cell r="BP612">
            <v>0</v>
          </cell>
          <cell r="BQ612">
            <v>8</v>
          </cell>
          <cell r="BR612">
            <v>0</v>
          </cell>
          <cell r="BS612">
            <v>0</v>
          </cell>
          <cell r="BT612">
            <v>9</v>
          </cell>
          <cell r="BU612">
            <v>0</v>
          </cell>
        </row>
        <row r="613">
          <cell r="A613">
            <v>35</v>
          </cell>
          <cell r="B613">
            <v>35</v>
          </cell>
          <cell r="D613">
            <v>0</v>
          </cell>
          <cell r="F613">
            <v>0</v>
          </cell>
          <cell r="G613">
            <v>1</v>
          </cell>
          <cell r="I613">
            <v>1</v>
          </cell>
          <cell r="J613">
            <v>0</v>
          </cell>
          <cell r="K613">
            <v>7</v>
          </cell>
          <cell r="L613">
            <v>7</v>
          </cell>
          <cell r="M613">
            <v>3</v>
          </cell>
          <cell r="O613">
            <v>0</v>
          </cell>
          <cell r="P613">
            <v>1</v>
          </cell>
          <cell r="Q613">
            <v>0</v>
          </cell>
          <cell r="R613">
            <v>0</v>
          </cell>
          <cell r="S613">
            <v>0</v>
          </cell>
          <cell r="T613">
            <v>3</v>
          </cell>
          <cell r="V613">
            <v>0</v>
          </cell>
          <cell r="W613">
            <v>59</v>
          </cell>
          <cell r="X613">
            <v>3</v>
          </cell>
          <cell r="Y613">
            <v>3</v>
          </cell>
          <cell r="AA613">
            <v>0</v>
          </cell>
          <cell r="AB613">
            <v>0</v>
          </cell>
          <cell r="AC613">
            <v>0</v>
          </cell>
          <cell r="AD613">
            <v>0</v>
          </cell>
          <cell r="AE613">
            <v>1</v>
          </cell>
          <cell r="AF613">
            <v>1</v>
          </cell>
          <cell r="AG613">
            <v>0</v>
          </cell>
          <cell r="AH613">
            <v>0</v>
          </cell>
          <cell r="AI613">
            <v>3</v>
          </cell>
          <cell r="AK613">
            <v>1</v>
          </cell>
          <cell r="AL613">
            <v>0</v>
          </cell>
          <cell r="AN613">
            <v>10221</v>
          </cell>
          <cell r="AO613">
            <v>3</v>
          </cell>
          <cell r="AQ613">
            <v>0</v>
          </cell>
          <cell r="AR613">
            <v>21</v>
          </cell>
          <cell r="AS613">
            <v>4</v>
          </cell>
          <cell r="AT613">
            <v>2</v>
          </cell>
          <cell r="AU613">
            <v>0</v>
          </cell>
          <cell r="AV613">
            <v>17</v>
          </cell>
          <cell r="AW613">
            <v>17</v>
          </cell>
          <cell r="AX613">
            <v>3</v>
          </cell>
          <cell r="AY613">
            <v>4</v>
          </cell>
          <cell r="AZ613">
            <v>8</v>
          </cell>
          <cell r="BA613">
            <v>8</v>
          </cell>
          <cell r="BB613">
            <v>5</v>
          </cell>
          <cell r="BC613">
            <v>1</v>
          </cell>
          <cell r="BD613">
            <v>1</v>
          </cell>
          <cell r="BE613">
            <v>6</v>
          </cell>
          <cell r="BF613">
            <v>6</v>
          </cell>
          <cell r="BG613">
            <v>18</v>
          </cell>
          <cell r="BH613">
            <v>1</v>
          </cell>
          <cell r="BI613">
            <v>0</v>
          </cell>
          <cell r="BJ613">
            <v>0</v>
          </cell>
          <cell r="BK613">
            <v>0</v>
          </cell>
          <cell r="BL613">
            <v>1</v>
          </cell>
          <cell r="BM613">
            <v>0</v>
          </cell>
          <cell r="BN613">
            <v>0</v>
          </cell>
          <cell r="BO613">
            <v>0</v>
          </cell>
          <cell r="BP613">
            <v>0</v>
          </cell>
          <cell r="BQ613">
            <v>6</v>
          </cell>
          <cell r="BR613">
            <v>0</v>
          </cell>
          <cell r="BS613">
            <v>0</v>
          </cell>
          <cell r="BT613">
            <v>17</v>
          </cell>
          <cell r="BU613">
            <v>0</v>
          </cell>
        </row>
        <row r="614">
          <cell r="A614">
            <v>28</v>
          </cell>
          <cell r="B614">
            <v>28</v>
          </cell>
          <cell r="D614">
            <v>0</v>
          </cell>
          <cell r="F614">
            <v>0</v>
          </cell>
          <cell r="G614">
            <v>1</v>
          </cell>
          <cell r="I614">
            <v>0</v>
          </cell>
          <cell r="J614">
            <v>1</v>
          </cell>
          <cell r="K614">
            <v>2</v>
          </cell>
          <cell r="L614">
            <v>2</v>
          </cell>
          <cell r="M614">
            <v>4</v>
          </cell>
          <cell r="O614">
            <v>0</v>
          </cell>
          <cell r="P614">
            <v>0</v>
          </cell>
          <cell r="Q614">
            <v>0</v>
          </cell>
          <cell r="R614">
            <v>1</v>
          </cell>
          <cell r="S614">
            <v>0</v>
          </cell>
          <cell r="T614">
            <v>2</v>
          </cell>
          <cell r="V614">
            <v>1</v>
          </cell>
          <cell r="W614">
            <v>81</v>
          </cell>
          <cell r="X614">
            <v>3</v>
          </cell>
          <cell r="Y614">
            <v>2</v>
          </cell>
          <cell r="AA614">
            <v>0</v>
          </cell>
          <cell r="AB614">
            <v>1</v>
          </cell>
          <cell r="AC614">
            <v>0</v>
          </cell>
          <cell r="AD614">
            <v>0</v>
          </cell>
          <cell r="AE614">
            <v>0</v>
          </cell>
          <cell r="AF614">
            <v>0</v>
          </cell>
          <cell r="AG614">
            <v>0</v>
          </cell>
          <cell r="AH614">
            <v>0</v>
          </cell>
          <cell r="AI614">
            <v>2</v>
          </cell>
          <cell r="AK614">
            <v>0</v>
          </cell>
          <cell r="AL614">
            <v>1</v>
          </cell>
          <cell r="AN614">
            <v>4779</v>
          </cell>
          <cell r="AO614">
            <v>1</v>
          </cell>
          <cell r="AQ614">
            <v>1</v>
          </cell>
          <cell r="AR614">
            <v>20</v>
          </cell>
          <cell r="AS614">
            <v>4</v>
          </cell>
          <cell r="AT614">
            <v>1</v>
          </cell>
          <cell r="AU614">
            <v>0</v>
          </cell>
          <cell r="AV614">
            <v>8</v>
          </cell>
          <cell r="AW614">
            <v>8</v>
          </cell>
          <cell r="AX614">
            <v>2</v>
          </cell>
          <cell r="AY614">
            <v>3</v>
          </cell>
          <cell r="AZ614">
            <v>8</v>
          </cell>
          <cell r="BA614">
            <v>8</v>
          </cell>
          <cell r="BB614">
            <v>7</v>
          </cell>
          <cell r="BC614">
            <v>7</v>
          </cell>
          <cell r="BD614">
            <v>7</v>
          </cell>
          <cell r="BE614">
            <v>5</v>
          </cell>
          <cell r="BF614">
            <v>5</v>
          </cell>
          <cell r="BG614">
            <v>10</v>
          </cell>
          <cell r="BH614">
            <v>0</v>
          </cell>
          <cell r="BI614">
            <v>1</v>
          </cell>
          <cell r="BJ614">
            <v>0</v>
          </cell>
          <cell r="BK614">
            <v>0</v>
          </cell>
          <cell r="BL614">
            <v>0</v>
          </cell>
          <cell r="BM614">
            <v>0</v>
          </cell>
          <cell r="BN614">
            <v>0</v>
          </cell>
          <cell r="BO614">
            <v>1</v>
          </cell>
          <cell r="BP614">
            <v>0</v>
          </cell>
          <cell r="BQ614">
            <v>0</v>
          </cell>
          <cell r="BR614">
            <v>5</v>
          </cell>
          <cell r="BS614">
            <v>0</v>
          </cell>
          <cell r="BT614">
            <v>0</v>
          </cell>
          <cell r="BU614">
            <v>8</v>
          </cell>
        </row>
        <row r="615">
          <cell r="A615">
            <v>34</v>
          </cell>
          <cell r="B615">
            <v>34</v>
          </cell>
          <cell r="D615">
            <v>0</v>
          </cell>
          <cell r="F615">
            <v>0</v>
          </cell>
          <cell r="G615">
            <v>1</v>
          </cell>
          <cell r="I615">
            <v>0</v>
          </cell>
          <cell r="J615">
            <v>0</v>
          </cell>
          <cell r="K615">
            <v>3</v>
          </cell>
          <cell r="L615">
            <v>3</v>
          </cell>
          <cell r="M615">
            <v>2</v>
          </cell>
          <cell r="O615">
            <v>0</v>
          </cell>
          <cell r="P615">
            <v>0</v>
          </cell>
          <cell r="Q615">
            <v>0</v>
          </cell>
          <cell r="R615">
            <v>0</v>
          </cell>
          <cell r="S615">
            <v>0</v>
          </cell>
          <cell r="T615">
            <v>3</v>
          </cell>
          <cell r="V615">
            <v>0</v>
          </cell>
          <cell r="W615">
            <v>88</v>
          </cell>
          <cell r="X615">
            <v>3</v>
          </cell>
          <cell r="Y615">
            <v>1</v>
          </cell>
          <cell r="AA615">
            <v>0</v>
          </cell>
          <cell r="AB615">
            <v>0</v>
          </cell>
          <cell r="AC615">
            <v>0</v>
          </cell>
          <cell r="AD615">
            <v>0</v>
          </cell>
          <cell r="AE615">
            <v>0</v>
          </cell>
          <cell r="AF615">
            <v>0</v>
          </cell>
          <cell r="AG615">
            <v>0</v>
          </cell>
          <cell r="AH615">
            <v>0</v>
          </cell>
          <cell r="AI615">
            <v>4</v>
          </cell>
          <cell r="AK615">
            <v>0</v>
          </cell>
          <cell r="AL615">
            <v>1</v>
          </cell>
          <cell r="AN615">
            <v>3737</v>
          </cell>
          <cell r="AO615">
            <v>0</v>
          </cell>
          <cell r="AQ615">
            <v>0</v>
          </cell>
          <cell r="AR615">
            <v>19</v>
          </cell>
          <cell r="AS615">
            <v>3</v>
          </cell>
          <cell r="AT615">
            <v>3</v>
          </cell>
          <cell r="AU615">
            <v>1</v>
          </cell>
          <cell r="AV615">
            <v>4</v>
          </cell>
          <cell r="AW615">
            <v>4</v>
          </cell>
          <cell r="AX615">
            <v>1</v>
          </cell>
          <cell r="AY615">
            <v>1</v>
          </cell>
          <cell r="AZ615">
            <v>3</v>
          </cell>
          <cell r="BA615">
            <v>3</v>
          </cell>
          <cell r="BB615">
            <v>2</v>
          </cell>
          <cell r="BC615">
            <v>0</v>
          </cell>
          <cell r="BD615">
            <v>0</v>
          </cell>
          <cell r="BE615">
            <v>2</v>
          </cell>
          <cell r="BF615">
            <v>2</v>
          </cell>
          <cell r="BG615">
            <v>2</v>
          </cell>
          <cell r="BH615">
            <v>0</v>
          </cell>
          <cell r="BI615">
            <v>1</v>
          </cell>
          <cell r="BJ615">
            <v>0</v>
          </cell>
          <cell r="BK615">
            <v>0</v>
          </cell>
          <cell r="BL615">
            <v>0</v>
          </cell>
          <cell r="BM615">
            <v>0</v>
          </cell>
          <cell r="BN615">
            <v>1</v>
          </cell>
          <cell r="BO615">
            <v>0</v>
          </cell>
          <cell r="BP615">
            <v>2</v>
          </cell>
          <cell r="BQ615">
            <v>0</v>
          </cell>
          <cell r="BR615">
            <v>0</v>
          </cell>
          <cell r="BS615">
            <v>4</v>
          </cell>
          <cell r="BT615">
            <v>0</v>
          </cell>
          <cell r="BU615">
            <v>0</v>
          </cell>
        </row>
        <row r="616">
          <cell r="A616">
            <v>26</v>
          </cell>
          <cell r="B616">
            <v>26</v>
          </cell>
          <cell r="D616">
            <v>1</v>
          </cell>
          <cell r="F616">
            <v>1</v>
          </cell>
          <cell r="G616">
            <v>0</v>
          </cell>
          <cell r="I616">
            <v>1</v>
          </cell>
          <cell r="J616">
            <v>0</v>
          </cell>
          <cell r="K616">
            <v>5</v>
          </cell>
          <cell r="L616">
            <v>5</v>
          </cell>
          <cell r="M616">
            <v>2</v>
          </cell>
          <cell r="O616">
            <v>0</v>
          </cell>
          <cell r="P616">
            <v>0</v>
          </cell>
          <cell r="Q616">
            <v>1</v>
          </cell>
          <cell r="R616">
            <v>0</v>
          </cell>
          <cell r="S616">
            <v>0</v>
          </cell>
          <cell r="T616">
            <v>3</v>
          </cell>
          <cell r="V616">
            <v>1</v>
          </cell>
          <cell r="W616">
            <v>88</v>
          </cell>
          <cell r="X616">
            <v>2</v>
          </cell>
          <cell r="Y616">
            <v>1</v>
          </cell>
          <cell r="AA616">
            <v>0</v>
          </cell>
          <cell r="AB616">
            <v>0</v>
          </cell>
          <cell r="AC616">
            <v>0</v>
          </cell>
          <cell r="AD616">
            <v>0</v>
          </cell>
          <cell r="AE616">
            <v>0</v>
          </cell>
          <cell r="AF616">
            <v>0</v>
          </cell>
          <cell r="AG616">
            <v>0</v>
          </cell>
          <cell r="AH616">
            <v>1</v>
          </cell>
          <cell r="AI616">
            <v>3</v>
          </cell>
          <cell r="AK616">
            <v>0</v>
          </cell>
          <cell r="AL616">
            <v>1</v>
          </cell>
          <cell r="AN616">
            <v>2366</v>
          </cell>
          <cell r="AO616">
            <v>1</v>
          </cell>
          <cell r="AQ616">
            <v>1</v>
          </cell>
          <cell r="AR616">
            <v>14</v>
          </cell>
          <cell r="AS616">
            <v>3</v>
          </cell>
          <cell r="AT616">
            <v>1</v>
          </cell>
          <cell r="AU616">
            <v>1</v>
          </cell>
          <cell r="AV616">
            <v>8</v>
          </cell>
          <cell r="AW616">
            <v>8</v>
          </cell>
          <cell r="AX616">
            <v>2</v>
          </cell>
          <cell r="AY616">
            <v>3</v>
          </cell>
          <cell r="AZ616">
            <v>8</v>
          </cell>
          <cell r="BA616">
            <v>8</v>
          </cell>
          <cell r="BB616">
            <v>7</v>
          </cell>
          <cell r="BC616">
            <v>1</v>
          </cell>
          <cell r="BD616">
            <v>1</v>
          </cell>
          <cell r="BE616">
            <v>7</v>
          </cell>
          <cell r="BF616">
            <v>7</v>
          </cell>
          <cell r="BG616">
            <v>7</v>
          </cell>
          <cell r="BH616">
            <v>0</v>
          </cell>
          <cell r="BI616">
            <v>0</v>
          </cell>
          <cell r="BJ616">
            <v>0</v>
          </cell>
          <cell r="BK616">
            <v>1</v>
          </cell>
          <cell r="BL616">
            <v>0</v>
          </cell>
          <cell r="BM616">
            <v>0</v>
          </cell>
          <cell r="BN616">
            <v>0</v>
          </cell>
          <cell r="BO616">
            <v>1</v>
          </cell>
          <cell r="BP616">
            <v>0</v>
          </cell>
          <cell r="BQ616">
            <v>7</v>
          </cell>
          <cell r="BR616">
            <v>0</v>
          </cell>
          <cell r="BS616">
            <v>0</v>
          </cell>
          <cell r="BT616">
            <v>8</v>
          </cell>
          <cell r="BU616">
            <v>0</v>
          </cell>
        </row>
        <row r="617">
          <cell r="A617">
            <v>27</v>
          </cell>
          <cell r="B617">
            <v>27</v>
          </cell>
          <cell r="D617">
            <v>0</v>
          </cell>
          <cell r="F617">
            <v>0</v>
          </cell>
          <cell r="G617">
            <v>0</v>
          </cell>
          <cell r="I617">
            <v>1</v>
          </cell>
          <cell r="J617">
            <v>0</v>
          </cell>
          <cell r="K617">
            <v>3</v>
          </cell>
          <cell r="L617">
            <v>3</v>
          </cell>
          <cell r="M617">
            <v>3</v>
          </cell>
          <cell r="O617">
            <v>0</v>
          </cell>
          <cell r="P617">
            <v>0</v>
          </cell>
          <cell r="Q617">
            <v>1</v>
          </cell>
          <cell r="R617">
            <v>0</v>
          </cell>
          <cell r="S617">
            <v>0</v>
          </cell>
          <cell r="T617">
            <v>4</v>
          </cell>
          <cell r="V617">
            <v>0</v>
          </cell>
          <cell r="W617">
            <v>50</v>
          </cell>
          <cell r="X617">
            <v>3</v>
          </cell>
          <cell r="Y617">
            <v>1</v>
          </cell>
          <cell r="AA617">
            <v>0</v>
          </cell>
          <cell r="AB617">
            <v>0</v>
          </cell>
          <cell r="AC617">
            <v>0</v>
          </cell>
          <cell r="AD617">
            <v>0</v>
          </cell>
          <cell r="AE617">
            <v>0</v>
          </cell>
          <cell r="AF617">
            <v>0</v>
          </cell>
          <cell r="AG617">
            <v>0</v>
          </cell>
          <cell r="AH617">
            <v>1</v>
          </cell>
          <cell r="AI617">
            <v>4</v>
          </cell>
          <cell r="AK617">
            <v>0</v>
          </cell>
          <cell r="AL617">
            <v>1</v>
          </cell>
          <cell r="AN617">
            <v>1706</v>
          </cell>
          <cell r="AO617">
            <v>1</v>
          </cell>
          <cell r="AQ617">
            <v>0</v>
          </cell>
          <cell r="AR617">
            <v>11</v>
          </cell>
          <cell r="AS617">
            <v>3</v>
          </cell>
          <cell r="AT617">
            <v>3</v>
          </cell>
          <cell r="AU617">
            <v>3</v>
          </cell>
          <cell r="AV617">
            <v>0</v>
          </cell>
          <cell r="AW617">
            <v>1</v>
          </cell>
          <cell r="AX617">
            <v>6</v>
          </cell>
          <cell r="AY617">
            <v>2</v>
          </cell>
          <cell r="AZ617">
            <v>0</v>
          </cell>
          <cell r="BA617">
            <v>0</v>
          </cell>
          <cell r="BB617">
            <v>0</v>
          </cell>
          <cell r="BC617">
            <v>0</v>
          </cell>
          <cell r="BD617">
            <v>0</v>
          </cell>
          <cell r="BE617">
            <v>0</v>
          </cell>
          <cell r="BF617">
            <v>0</v>
          </cell>
          <cell r="BG617">
            <v>0</v>
          </cell>
          <cell r="BH617">
            <v>0</v>
          </cell>
          <cell r="BI617">
            <v>1</v>
          </cell>
          <cell r="BJ617">
            <v>0</v>
          </cell>
          <cell r="BK617">
            <v>0</v>
          </cell>
          <cell r="BL617">
            <v>0</v>
          </cell>
          <cell r="BM617">
            <v>0</v>
          </cell>
          <cell r="BN617">
            <v>1</v>
          </cell>
          <cell r="BO617">
            <v>0</v>
          </cell>
          <cell r="BP617">
            <v>0</v>
          </cell>
          <cell r="BQ617">
            <v>0</v>
          </cell>
          <cell r="BR617">
            <v>0</v>
          </cell>
          <cell r="BS617">
            <v>0</v>
          </cell>
          <cell r="BT617">
            <v>1</v>
          </cell>
          <cell r="BU617">
            <v>0</v>
          </cell>
        </row>
        <row r="618">
          <cell r="A618">
            <v>51</v>
          </cell>
          <cell r="B618">
            <v>51</v>
          </cell>
          <cell r="D618">
            <v>0</v>
          </cell>
          <cell r="F618">
            <v>0</v>
          </cell>
          <cell r="G618">
            <v>1</v>
          </cell>
          <cell r="I618">
            <v>0</v>
          </cell>
          <cell r="J618">
            <v>1</v>
          </cell>
          <cell r="K618">
            <v>26</v>
          </cell>
          <cell r="L618">
            <v>26</v>
          </cell>
          <cell r="M618">
            <v>4</v>
          </cell>
          <cell r="O618">
            <v>0</v>
          </cell>
          <cell r="P618">
            <v>0</v>
          </cell>
          <cell r="Q618">
            <v>0</v>
          </cell>
          <cell r="R618">
            <v>1</v>
          </cell>
          <cell r="S618">
            <v>0</v>
          </cell>
          <cell r="T618">
            <v>1</v>
          </cell>
          <cell r="V618">
            <v>1</v>
          </cell>
          <cell r="W618">
            <v>66</v>
          </cell>
          <cell r="X618">
            <v>3</v>
          </cell>
          <cell r="Y618">
            <v>4</v>
          </cell>
          <cell r="AA618">
            <v>0</v>
          </cell>
          <cell r="AB618">
            <v>0</v>
          </cell>
          <cell r="AC618">
            <v>0</v>
          </cell>
          <cell r="AD618">
            <v>1</v>
          </cell>
          <cell r="AE618">
            <v>0</v>
          </cell>
          <cell r="AF618">
            <v>0</v>
          </cell>
          <cell r="AG618">
            <v>0</v>
          </cell>
          <cell r="AH618">
            <v>0</v>
          </cell>
          <cell r="AI618">
            <v>3</v>
          </cell>
          <cell r="AK618">
            <v>0</v>
          </cell>
          <cell r="AL618">
            <v>1</v>
          </cell>
          <cell r="AN618">
            <v>16307</v>
          </cell>
          <cell r="AO618">
            <v>2</v>
          </cell>
          <cell r="AQ618">
            <v>0</v>
          </cell>
          <cell r="AR618">
            <v>14</v>
          </cell>
          <cell r="AS618">
            <v>3</v>
          </cell>
          <cell r="AT618">
            <v>3</v>
          </cell>
          <cell r="AU618">
            <v>1</v>
          </cell>
          <cell r="AV618">
            <v>29</v>
          </cell>
          <cell r="AW618">
            <v>29</v>
          </cell>
          <cell r="AX618">
            <v>2</v>
          </cell>
          <cell r="AY618">
            <v>2</v>
          </cell>
          <cell r="AZ618">
            <v>20</v>
          </cell>
          <cell r="BA618">
            <v>20</v>
          </cell>
          <cell r="BB618">
            <v>6</v>
          </cell>
          <cell r="BC618">
            <v>4</v>
          </cell>
          <cell r="BD618">
            <v>4</v>
          </cell>
          <cell r="BE618">
            <v>17</v>
          </cell>
          <cell r="BF618">
            <v>14</v>
          </cell>
          <cell r="BG618">
            <v>56</v>
          </cell>
          <cell r="BH618">
            <v>0</v>
          </cell>
          <cell r="BI618">
            <v>1</v>
          </cell>
          <cell r="BJ618">
            <v>0</v>
          </cell>
          <cell r="BK618">
            <v>0</v>
          </cell>
          <cell r="BL618">
            <v>0</v>
          </cell>
          <cell r="BM618">
            <v>0</v>
          </cell>
          <cell r="BN618">
            <v>1</v>
          </cell>
          <cell r="BO618">
            <v>0</v>
          </cell>
          <cell r="BP618">
            <v>0</v>
          </cell>
          <cell r="BQ618">
            <v>0</v>
          </cell>
          <cell r="BR618">
            <v>14</v>
          </cell>
          <cell r="BS618">
            <v>0</v>
          </cell>
          <cell r="BT618">
            <v>0</v>
          </cell>
          <cell r="BU618">
            <v>29</v>
          </cell>
        </row>
        <row r="619">
          <cell r="A619">
            <v>44</v>
          </cell>
          <cell r="B619">
            <v>44</v>
          </cell>
          <cell r="D619">
            <v>0</v>
          </cell>
          <cell r="F619">
            <v>0</v>
          </cell>
          <cell r="G619">
            <v>1</v>
          </cell>
          <cell r="I619">
            <v>1</v>
          </cell>
          <cell r="J619">
            <v>0</v>
          </cell>
          <cell r="K619">
            <v>4</v>
          </cell>
          <cell r="L619">
            <v>4</v>
          </cell>
          <cell r="M619">
            <v>3</v>
          </cell>
          <cell r="O619">
            <v>0</v>
          </cell>
          <cell r="P619">
            <v>0</v>
          </cell>
          <cell r="Q619">
            <v>1</v>
          </cell>
          <cell r="R619">
            <v>0</v>
          </cell>
          <cell r="S619">
            <v>0</v>
          </cell>
          <cell r="T619">
            <v>4</v>
          </cell>
          <cell r="V619">
            <v>0</v>
          </cell>
          <cell r="W619">
            <v>50</v>
          </cell>
          <cell r="X619">
            <v>3</v>
          </cell>
          <cell r="Y619">
            <v>2</v>
          </cell>
          <cell r="AA619">
            <v>1</v>
          </cell>
          <cell r="AB619">
            <v>0</v>
          </cell>
          <cell r="AC619">
            <v>0</v>
          </cell>
          <cell r="AD619">
            <v>0</v>
          </cell>
          <cell r="AE619">
            <v>0</v>
          </cell>
          <cell r="AF619">
            <v>0</v>
          </cell>
          <cell r="AG619">
            <v>0</v>
          </cell>
          <cell r="AH619">
            <v>0</v>
          </cell>
          <cell r="AI619">
            <v>2</v>
          </cell>
          <cell r="AK619">
            <v>1</v>
          </cell>
          <cell r="AL619">
            <v>0</v>
          </cell>
          <cell r="AN619">
            <v>5933</v>
          </cell>
          <cell r="AO619">
            <v>9</v>
          </cell>
          <cell r="AQ619">
            <v>0</v>
          </cell>
          <cell r="AR619">
            <v>12</v>
          </cell>
          <cell r="AS619">
            <v>3</v>
          </cell>
          <cell r="AT619">
            <v>4</v>
          </cell>
          <cell r="AU619">
            <v>0</v>
          </cell>
          <cell r="AV619">
            <v>10</v>
          </cell>
          <cell r="AW619">
            <v>10</v>
          </cell>
          <cell r="AX619">
            <v>2</v>
          </cell>
          <cell r="AY619">
            <v>2</v>
          </cell>
          <cell r="AZ619">
            <v>5</v>
          </cell>
          <cell r="BA619">
            <v>5</v>
          </cell>
          <cell r="BB619">
            <v>2</v>
          </cell>
          <cell r="BC619">
            <v>2</v>
          </cell>
          <cell r="BD619">
            <v>2</v>
          </cell>
          <cell r="BE619">
            <v>3</v>
          </cell>
          <cell r="BF619">
            <v>3</v>
          </cell>
          <cell r="BG619">
            <v>6</v>
          </cell>
          <cell r="BH619">
            <v>1</v>
          </cell>
          <cell r="BI619">
            <v>0</v>
          </cell>
          <cell r="BJ619">
            <v>0</v>
          </cell>
          <cell r="BK619">
            <v>0</v>
          </cell>
          <cell r="BL619">
            <v>1</v>
          </cell>
          <cell r="BM619">
            <v>0</v>
          </cell>
          <cell r="BN619">
            <v>0</v>
          </cell>
          <cell r="BO619">
            <v>0</v>
          </cell>
          <cell r="BP619">
            <v>0</v>
          </cell>
          <cell r="BQ619">
            <v>3</v>
          </cell>
          <cell r="BR619">
            <v>0</v>
          </cell>
          <cell r="BS619">
            <v>0</v>
          </cell>
          <cell r="BT619">
            <v>10</v>
          </cell>
          <cell r="BU619">
            <v>0</v>
          </cell>
        </row>
        <row r="620">
          <cell r="A620">
            <v>25</v>
          </cell>
          <cell r="B620">
            <v>25</v>
          </cell>
          <cell r="D620">
            <v>0</v>
          </cell>
          <cell r="F620">
            <v>0</v>
          </cell>
          <cell r="G620">
            <v>1</v>
          </cell>
          <cell r="I620">
            <v>1</v>
          </cell>
          <cell r="J620">
            <v>0</v>
          </cell>
          <cell r="K620">
            <v>2</v>
          </cell>
          <cell r="L620">
            <v>2</v>
          </cell>
          <cell r="M620">
            <v>1</v>
          </cell>
          <cell r="O620">
            <v>0</v>
          </cell>
          <cell r="P620">
            <v>0</v>
          </cell>
          <cell r="Q620">
            <v>1</v>
          </cell>
          <cell r="R620">
            <v>0</v>
          </cell>
          <cell r="S620">
            <v>0</v>
          </cell>
          <cell r="T620">
            <v>1</v>
          </cell>
          <cell r="V620">
            <v>0</v>
          </cell>
          <cell r="W620">
            <v>65</v>
          </cell>
          <cell r="X620">
            <v>4</v>
          </cell>
          <cell r="Y620">
            <v>1</v>
          </cell>
          <cell r="AA620">
            <v>0</v>
          </cell>
          <cell r="AB620">
            <v>0</v>
          </cell>
          <cell r="AC620">
            <v>0</v>
          </cell>
          <cell r="AD620">
            <v>0</v>
          </cell>
          <cell r="AE620">
            <v>0</v>
          </cell>
          <cell r="AF620">
            <v>0</v>
          </cell>
          <cell r="AG620">
            <v>0</v>
          </cell>
          <cell r="AH620">
            <v>1</v>
          </cell>
          <cell r="AI620">
            <v>1</v>
          </cell>
          <cell r="AK620">
            <v>1</v>
          </cell>
          <cell r="AL620">
            <v>0</v>
          </cell>
          <cell r="AN620">
            <v>3424</v>
          </cell>
          <cell r="AO620">
            <v>7</v>
          </cell>
          <cell r="AQ620">
            <v>0</v>
          </cell>
          <cell r="AR620">
            <v>13</v>
          </cell>
          <cell r="AS620">
            <v>3</v>
          </cell>
          <cell r="AT620">
            <v>3</v>
          </cell>
          <cell r="AU620">
            <v>0</v>
          </cell>
          <cell r="AV620">
            <v>6</v>
          </cell>
          <cell r="AW620">
            <v>6</v>
          </cell>
          <cell r="AX620">
            <v>3</v>
          </cell>
          <cell r="AY620">
            <v>2</v>
          </cell>
          <cell r="AZ620">
            <v>4</v>
          </cell>
          <cell r="BA620">
            <v>4</v>
          </cell>
          <cell r="BB620">
            <v>3</v>
          </cell>
          <cell r="BC620">
            <v>0</v>
          </cell>
          <cell r="BD620">
            <v>0</v>
          </cell>
          <cell r="BE620">
            <v>1</v>
          </cell>
          <cell r="BF620">
            <v>1</v>
          </cell>
          <cell r="BG620">
            <v>1</v>
          </cell>
          <cell r="BH620">
            <v>1</v>
          </cell>
          <cell r="BI620">
            <v>0</v>
          </cell>
          <cell r="BJ620">
            <v>0</v>
          </cell>
          <cell r="BK620">
            <v>0</v>
          </cell>
          <cell r="BL620">
            <v>1</v>
          </cell>
          <cell r="BM620">
            <v>0</v>
          </cell>
          <cell r="BN620">
            <v>0</v>
          </cell>
          <cell r="BO620">
            <v>0</v>
          </cell>
          <cell r="BP620">
            <v>0</v>
          </cell>
          <cell r="BQ620">
            <v>1</v>
          </cell>
          <cell r="BR620">
            <v>0</v>
          </cell>
          <cell r="BS620">
            <v>0</v>
          </cell>
          <cell r="BT620">
            <v>6</v>
          </cell>
          <cell r="BU620">
            <v>0</v>
          </cell>
        </row>
        <row r="621">
          <cell r="A621">
            <v>33</v>
          </cell>
          <cell r="B621">
            <v>33</v>
          </cell>
          <cell r="D621">
            <v>0</v>
          </cell>
          <cell r="F621">
            <v>0</v>
          </cell>
          <cell r="G621">
            <v>1</v>
          </cell>
          <cell r="I621">
            <v>0</v>
          </cell>
          <cell r="J621">
            <v>1</v>
          </cell>
          <cell r="K621">
            <v>1</v>
          </cell>
          <cell r="L621">
            <v>1</v>
          </cell>
          <cell r="M621">
            <v>3</v>
          </cell>
          <cell r="O621">
            <v>0</v>
          </cell>
          <cell r="P621">
            <v>0</v>
          </cell>
          <cell r="Q621">
            <v>1</v>
          </cell>
          <cell r="R621">
            <v>0</v>
          </cell>
          <cell r="S621">
            <v>0</v>
          </cell>
          <cell r="T621">
            <v>1</v>
          </cell>
          <cell r="V621">
            <v>0</v>
          </cell>
          <cell r="W621">
            <v>48</v>
          </cell>
          <cell r="X621">
            <v>4</v>
          </cell>
          <cell r="Y621">
            <v>2</v>
          </cell>
          <cell r="AA621">
            <v>0</v>
          </cell>
          <cell r="AB621">
            <v>1</v>
          </cell>
          <cell r="AC621">
            <v>0</v>
          </cell>
          <cell r="AD621">
            <v>0</v>
          </cell>
          <cell r="AE621">
            <v>0</v>
          </cell>
          <cell r="AF621">
            <v>0</v>
          </cell>
          <cell r="AG621">
            <v>0</v>
          </cell>
          <cell r="AH621">
            <v>0</v>
          </cell>
          <cell r="AI621">
            <v>1</v>
          </cell>
          <cell r="AK621">
            <v>0</v>
          </cell>
          <cell r="AL621">
            <v>0</v>
          </cell>
          <cell r="AN621">
            <v>4037</v>
          </cell>
          <cell r="AO621">
            <v>1</v>
          </cell>
          <cell r="AQ621">
            <v>0</v>
          </cell>
          <cell r="AR621">
            <v>22</v>
          </cell>
          <cell r="AS621">
            <v>4</v>
          </cell>
          <cell r="AT621">
            <v>1</v>
          </cell>
          <cell r="AU621">
            <v>1</v>
          </cell>
          <cell r="AV621">
            <v>9</v>
          </cell>
          <cell r="AW621">
            <v>9</v>
          </cell>
          <cell r="AX621">
            <v>5</v>
          </cell>
          <cell r="AY621">
            <v>3</v>
          </cell>
          <cell r="AZ621">
            <v>9</v>
          </cell>
          <cell r="BA621">
            <v>9</v>
          </cell>
          <cell r="BB621">
            <v>8</v>
          </cell>
          <cell r="BC621">
            <v>0</v>
          </cell>
          <cell r="BD621">
            <v>0</v>
          </cell>
          <cell r="BE621">
            <v>8</v>
          </cell>
          <cell r="BF621">
            <v>8</v>
          </cell>
          <cell r="BG621">
            <v>16</v>
          </cell>
          <cell r="BH621">
            <v>1</v>
          </cell>
          <cell r="BI621">
            <v>0</v>
          </cell>
          <cell r="BJ621">
            <v>0</v>
          </cell>
          <cell r="BK621">
            <v>0</v>
          </cell>
          <cell r="BL621">
            <v>1</v>
          </cell>
          <cell r="BM621">
            <v>0</v>
          </cell>
          <cell r="BN621">
            <v>0</v>
          </cell>
          <cell r="BO621">
            <v>0</v>
          </cell>
          <cell r="BP621">
            <v>0</v>
          </cell>
          <cell r="BQ621">
            <v>0</v>
          </cell>
          <cell r="BR621">
            <v>8</v>
          </cell>
          <cell r="BS621">
            <v>0</v>
          </cell>
          <cell r="BT621">
            <v>0</v>
          </cell>
          <cell r="BU621">
            <v>9</v>
          </cell>
        </row>
        <row r="622">
          <cell r="A622">
            <v>35</v>
          </cell>
          <cell r="B622">
            <v>35</v>
          </cell>
          <cell r="D622">
            <v>0</v>
          </cell>
          <cell r="F622">
            <v>0</v>
          </cell>
          <cell r="G622">
            <v>1</v>
          </cell>
          <cell r="I622">
            <v>1</v>
          </cell>
          <cell r="J622">
            <v>0</v>
          </cell>
          <cell r="K622">
            <v>27</v>
          </cell>
          <cell r="L622">
            <v>27</v>
          </cell>
          <cell r="M622">
            <v>1</v>
          </cell>
          <cell r="O622">
            <v>0</v>
          </cell>
          <cell r="P622">
            <v>0</v>
          </cell>
          <cell r="Q622">
            <v>1</v>
          </cell>
          <cell r="R622">
            <v>0</v>
          </cell>
          <cell r="S622">
            <v>0</v>
          </cell>
          <cell r="T622">
            <v>3</v>
          </cell>
          <cell r="V622">
            <v>1</v>
          </cell>
          <cell r="W622">
            <v>53</v>
          </cell>
          <cell r="X622">
            <v>2</v>
          </cell>
          <cell r="Y622">
            <v>1</v>
          </cell>
          <cell r="AA622">
            <v>0</v>
          </cell>
          <cell r="AB622">
            <v>0</v>
          </cell>
          <cell r="AC622">
            <v>0</v>
          </cell>
          <cell r="AD622">
            <v>0</v>
          </cell>
          <cell r="AE622">
            <v>0</v>
          </cell>
          <cell r="AF622">
            <v>0</v>
          </cell>
          <cell r="AG622">
            <v>0</v>
          </cell>
          <cell r="AH622">
            <v>1</v>
          </cell>
          <cell r="AI622">
            <v>1</v>
          </cell>
          <cell r="AK622">
            <v>1</v>
          </cell>
          <cell r="AL622">
            <v>0</v>
          </cell>
          <cell r="AN622">
            <v>2559</v>
          </cell>
          <cell r="AO622">
            <v>1</v>
          </cell>
          <cell r="AQ622">
            <v>0</v>
          </cell>
          <cell r="AR622">
            <v>11</v>
          </cell>
          <cell r="AS622">
            <v>3</v>
          </cell>
          <cell r="AT622">
            <v>4</v>
          </cell>
          <cell r="AU622">
            <v>0</v>
          </cell>
          <cell r="AV622">
            <v>6</v>
          </cell>
          <cell r="AW622">
            <v>6</v>
          </cell>
          <cell r="AX622">
            <v>3</v>
          </cell>
          <cell r="AY622">
            <v>2</v>
          </cell>
          <cell r="AZ622">
            <v>6</v>
          </cell>
          <cell r="BA622">
            <v>6</v>
          </cell>
          <cell r="BB622">
            <v>5</v>
          </cell>
          <cell r="BC622">
            <v>1</v>
          </cell>
          <cell r="BD622">
            <v>1</v>
          </cell>
          <cell r="BE622">
            <v>1</v>
          </cell>
          <cell r="BF622">
            <v>1</v>
          </cell>
          <cell r="BG622">
            <v>1</v>
          </cell>
          <cell r="BH622">
            <v>1</v>
          </cell>
          <cell r="BI622">
            <v>0</v>
          </cell>
          <cell r="BJ622">
            <v>0</v>
          </cell>
          <cell r="BK622">
            <v>0</v>
          </cell>
          <cell r="BL622">
            <v>1</v>
          </cell>
          <cell r="BM622">
            <v>0</v>
          </cell>
          <cell r="BN622">
            <v>0</v>
          </cell>
          <cell r="BO622">
            <v>0</v>
          </cell>
          <cell r="BP622">
            <v>0</v>
          </cell>
          <cell r="BQ622">
            <v>1</v>
          </cell>
          <cell r="BR622">
            <v>0</v>
          </cell>
          <cell r="BS622">
            <v>0</v>
          </cell>
          <cell r="BT622">
            <v>6</v>
          </cell>
          <cell r="BU622">
            <v>0</v>
          </cell>
        </row>
        <row r="623">
          <cell r="A623">
            <v>36</v>
          </cell>
          <cell r="B623">
            <v>36</v>
          </cell>
          <cell r="D623">
            <v>0</v>
          </cell>
          <cell r="F623">
            <v>0</v>
          </cell>
          <cell r="G623">
            <v>1</v>
          </cell>
          <cell r="I623">
            <v>0</v>
          </cell>
          <cell r="J623">
            <v>1</v>
          </cell>
          <cell r="K623">
            <v>1</v>
          </cell>
          <cell r="L623">
            <v>1</v>
          </cell>
          <cell r="M623">
            <v>2</v>
          </cell>
          <cell r="O623">
            <v>1</v>
          </cell>
          <cell r="P623">
            <v>0</v>
          </cell>
          <cell r="Q623">
            <v>0</v>
          </cell>
          <cell r="R623">
            <v>0</v>
          </cell>
          <cell r="S623">
            <v>0</v>
          </cell>
          <cell r="T623">
            <v>2</v>
          </cell>
          <cell r="V623">
            <v>0</v>
          </cell>
          <cell r="W623">
            <v>56</v>
          </cell>
          <cell r="X623">
            <v>3</v>
          </cell>
          <cell r="Y623">
            <v>2</v>
          </cell>
          <cell r="AA623">
            <v>0</v>
          </cell>
          <cell r="AB623">
            <v>1</v>
          </cell>
          <cell r="AC623">
            <v>0</v>
          </cell>
          <cell r="AD623">
            <v>0</v>
          </cell>
          <cell r="AE623">
            <v>0</v>
          </cell>
          <cell r="AF623">
            <v>0</v>
          </cell>
          <cell r="AG623">
            <v>0</v>
          </cell>
          <cell r="AH623">
            <v>0</v>
          </cell>
          <cell r="AI623">
            <v>4</v>
          </cell>
          <cell r="AK623">
            <v>0</v>
          </cell>
          <cell r="AL623">
            <v>1</v>
          </cell>
          <cell r="AN623">
            <v>6201</v>
          </cell>
          <cell r="AO623">
            <v>1</v>
          </cell>
          <cell r="AQ623">
            <v>1</v>
          </cell>
          <cell r="AR623">
            <v>14</v>
          </cell>
          <cell r="AS623">
            <v>3</v>
          </cell>
          <cell r="AT623">
            <v>4</v>
          </cell>
          <cell r="AU623">
            <v>1</v>
          </cell>
          <cell r="AV623">
            <v>18</v>
          </cell>
          <cell r="AW623">
            <v>18</v>
          </cell>
          <cell r="AX623">
            <v>1</v>
          </cell>
          <cell r="AY623">
            <v>2</v>
          </cell>
          <cell r="AZ623">
            <v>18</v>
          </cell>
          <cell r="BA623">
            <v>18</v>
          </cell>
          <cell r="BB623">
            <v>14</v>
          </cell>
          <cell r="BC623">
            <v>4</v>
          </cell>
          <cell r="BD623">
            <v>4</v>
          </cell>
          <cell r="BE623">
            <v>11</v>
          </cell>
          <cell r="BF623">
            <v>11</v>
          </cell>
          <cell r="BG623">
            <v>22</v>
          </cell>
          <cell r="BH623">
            <v>0</v>
          </cell>
          <cell r="BI623">
            <v>1</v>
          </cell>
          <cell r="BJ623">
            <v>0</v>
          </cell>
          <cell r="BK623">
            <v>0</v>
          </cell>
          <cell r="BL623">
            <v>0</v>
          </cell>
          <cell r="BM623">
            <v>0</v>
          </cell>
          <cell r="BN623">
            <v>0</v>
          </cell>
          <cell r="BO623">
            <v>1</v>
          </cell>
          <cell r="BP623">
            <v>0</v>
          </cell>
          <cell r="BQ623">
            <v>0</v>
          </cell>
          <cell r="BR623">
            <v>11</v>
          </cell>
          <cell r="BS623">
            <v>0</v>
          </cell>
          <cell r="BT623">
            <v>0</v>
          </cell>
          <cell r="BU623">
            <v>18</v>
          </cell>
        </row>
        <row r="624">
          <cell r="A624">
            <v>32</v>
          </cell>
          <cell r="B624">
            <v>32</v>
          </cell>
          <cell r="D624">
            <v>0</v>
          </cell>
          <cell r="F624">
            <v>0</v>
          </cell>
          <cell r="G624">
            <v>1</v>
          </cell>
          <cell r="I624">
            <v>0</v>
          </cell>
          <cell r="J624">
            <v>1</v>
          </cell>
          <cell r="K624">
            <v>13</v>
          </cell>
          <cell r="L624">
            <v>13</v>
          </cell>
          <cell r="M624">
            <v>4</v>
          </cell>
          <cell r="O624">
            <v>1</v>
          </cell>
          <cell r="P624">
            <v>0</v>
          </cell>
          <cell r="Q624">
            <v>0</v>
          </cell>
          <cell r="R624">
            <v>0</v>
          </cell>
          <cell r="S624">
            <v>0</v>
          </cell>
          <cell r="T624">
            <v>2</v>
          </cell>
          <cell r="V624">
            <v>0</v>
          </cell>
          <cell r="W624">
            <v>73</v>
          </cell>
          <cell r="X624">
            <v>3</v>
          </cell>
          <cell r="Y624">
            <v>2</v>
          </cell>
          <cell r="AA624">
            <v>0</v>
          </cell>
          <cell r="AB624">
            <v>1</v>
          </cell>
          <cell r="AC624">
            <v>0</v>
          </cell>
          <cell r="AD624">
            <v>0</v>
          </cell>
          <cell r="AE624">
            <v>0</v>
          </cell>
          <cell r="AF624">
            <v>0</v>
          </cell>
          <cell r="AG624">
            <v>0</v>
          </cell>
          <cell r="AH624">
            <v>0</v>
          </cell>
          <cell r="AI624">
            <v>4</v>
          </cell>
          <cell r="AK624">
            <v>0</v>
          </cell>
          <cell r="AL624">
            <v>0</v>
          </cell>
          <cell r="AN624">
            <v>4403</v>
          </cell>
          <cell r="AO624">
            <v>2</v>
          </cell>
          <cell r="AQ624">
            <v>0</v>
          </cell>
          <cell r="AR624">
            <v>11</v>
          </cell>
          <cell r="AS624">
            <v>3</v>
          </cell>
          <cell r="AT624">
            <v>3</v>
          </cell>
          <cell r="AU624">
            <v>1</v>
          </cell>
          <cell r="AV624">
            <v>8</v>
          </cell>
          <cell r="AW624">
            <v>8</v>
          </cell>
          <cell r="AX624">
            <v>3</v>
          </cell>
          <cell r="AY624">
            <v>2</v>
          </cell>
          <cell r="AZ624">
            <v>5</v>
          </cell>
          <cell r="BA624">
            <v>5</v>
          </cell>
          <cell r="BB624">
            <v>2</v>
          </cell>
          <cell r="BC624">
            <v>0</v>
          </cell>
          <cell r="BD624">
            <v>0</v>
          </cell>
          <cell r="BE624">
            <v>3</v>
          </cell>
          <cell r="BF624">
            <v>3</v>
          </cell>
          <cell r="BG624">
            <v>6</v>
          </cell>
          <cell r="BH624">
            <v>1</v>
          </cell>
          <cell r="BI624">
            <v>0</v>
          </cell>
          <cell r="BJ624">
            <v>0</v>
          </cell>
          <cell r="BK624">
            <v>0</v>
          </cell>
          <cell r="BL624">
            <v>1</v>
          </cell>
          <cell r="BM624">
            <v>0</v>
          </cell>
          <cell r="BN624">
            <v>0</v>
          </cell>
          <cell r="BO624">
            <v>0</v>
          </cell>
          <cell r="BP624">
            <v>0</v>
          </cell>
          <cell r="BQ624">
            <v>0</v>
          </cell>
          <cell r="BR624">
            <v>3</v>
          </cell>
          <cell r="BS624">
            <v>0</v>
          </cell>
          <cell r="BT624">
            <v>0</v>
          </cell>
          <cell r="BU624">
            <v>8</v>
          </cell>
        </row>
        <row r="625">
          <cell r="A625">
            <v>30</v>
          </cell>
          <cell r="B625">
            <v>30</v>
          </cell>
          <cell r="D625">
            <v>0</v>
          </cell>
          <cell r="F625">
            <v>1</v>
          </cell>
          <cell r="G625">
            <v>0</v>
          </cell>
          <cell r="I625">
            <v>1</v>
          </cell>
          <cell r="J625">
            <v>0</v>
          </cell>
          <cell r="K625">
            <v>5</v>
          </cell>
          <cell r="L625">
            <v>5</v>
          </cell>
          <cell r="M625">
            <v>4</v>
          </cell>
          <cell r="O625">
            <v>1</v>
          </cell>
          <cell r="P625">
            <v>0</v>
          </cell>
          <cell r="Q625">
            <v>0</v>
          </cell>
          <cell r="R625">
            <v>0</v>
          </cell>
          <cell r="S625">
            <v>0</v>
          </cell>
          <cell r="T625">
            <v>2</v>
          </cell>
          <cell r="V625">
            <v>0</v>
          </cell>
          <cell r="W625">
            <v>75</v>
          </cell>
          <cell r="X625">
            <v>2</v>
          </cell>
          <cell r="Y625">
            <v>1</v>
          </cell>
          <cell r="AA625">
            <v>0</v>
          </cell>
          <cell r="AB625">
            <v>0</v>
          </cell>
          <cell r="AC625">
            <v>0</v>
          </cell>
          <cell r="AD625">
            <v>0</v>
          </cell>
          <cell r="AE625">
            <v>0</v>
          </cell>
          <cell r="AF625">
            <v>0</v>
          </cell>
          <cell r="AG625">
            <v>0</v>
          </cell>
          <cell r="AH625">
            <v>1</v>
          </cell>
          <cell r="AI625">
            <v>4</v>
          </cell>
          <cell r="AK625">
            <v>0</v>
          </cell>
          <cell r="AL625">
            <v>0</v>
          </cell>
          <cell r="AN625">
            <v>3761</v>
          </cell>
          <cell r="AO625">
            <v>9</v>
          </cell>
          <cell r="AQ625">
            <v>0</v>
          </cell>
          <cell r="AR625">
            <v>12</v>
          </cell>
          <cell r="AS625">
            <v>3</v>
          </cell>
          <cell r="AT625">
            <v>2</v>
          </cell>
          <cell r="AU625">
            <v>1</v>
          </cell>
          <cell r="AV625">
            <v>10</v>
          </cell>
          <cell r="AW625">
            <v>10</v>
          </cell>
          <cell r="AX625">
            <v>3</v>
          </cell>
          <cell r="AY625">
            <v>2</v>
          </cell>
          <cell r="AZ625">
            <v>5</v>
          </cell>
          <cell r="BA625">
            <v>5</v>
          </cell>
          <cell r="BB625">
            <v>4</v>
          </cell>
          <cell r="BC625">
            <v>0</v>
          </cell>
          <cell r="BD625">
            <v>0</v>
          </cell>
          <cell r="BE625">
            <v>3</v>
          </cell>
          <cell r="BF625">
            <v>3</v>
          </cell>
          <cell r="BG625">
            <v>3</v>
          </cell>
          <cell r="BH625">
            <v>0</v>
          </cell>
          <cell r="BI625">
            <v>0</v>
          </cell>
          <cell r="BJ625">
            <v>1</v>
          </cell>
          <cell r="BK625">
            <v>0</v>
          </cell>
          <cell r="BL625">
            <v>1</v>
          </cell>
          <cell r="BM625">
            <v>0</v>
          </cell>
          <cell r="BN625">
            <v>0</v>
          </cell>
          <cell r="BO625">
            <v>0</v>
          </cell>
          <cell r="BP625">
            <v>0</v>
          </cell>
          <cell r="BQ625">
            <v>3</v>
          </cell>
          <cell r="BR625">
            <v>0</v>
          </cell>
          <cell r="BS625">
            <v>0</v>
          </cell>
          <cell r="BT625">
            <v>10</v>
          </cell>
          <cell r="BU625">
            <v>0</v>
          </cell>
        </row>
        <row r="626">
          <cell r="A626">
            <v>53</v>
          </cell>
          <cell r="B626">
            <v>53</v>
          </cell>
          <cell r="D626">
            <v>0</v>
          </cell>
          <cell r="F626">
            <v>0</v>
          </cell>
          <cell r="G626">
            <v>1</v>
          </cell>
          <cell r="I626">
            <v>0</v>
          </cell>
          <cell r="J626">
            <v>1</v>
          </cell>
          <cell r="K626">
            <v>7</v>
          </cell>
          <cell r="L626">
            <v>7</v>
          </cell>
          <cell r="M626">
            <v>2</v>
          </cell>
          <cell r="O626">
            <v>0</v>
          </cell>
          <cell r="P626">
            <v>0</v>
          </cell>
          <cell r="Q626">
            <v>0</v>
          </cell>
          <cell r="R626">
            <v>1</v>
          </cell>
          <cell r="S626">
            <v>0</v>
          </cell>
          <cell r="T626">
            <v>1</v>
          </cell>
          <cell r="V626">
            <v>1</v>
          </cell>
          <cell r="W626">
            <v>78</v>
          </cell>
          <cell r="X626">
            <v>2</v>
          </cell>
          <cell r="Y626">
            <v>3</v>
          </cell>
          <cell r="AA626">
            <v>0</v>
          </cell>
          <cell r="AB626">
            <v>1</v>
          </cell>
          <cell r="AC626">
            <v>0</v>
          </cell>
          <cell r="AD626">
            <v>0</v>
          </cell>
          <cell r="AE626">
            <v>0</v>
          </cell>
          <cell r="AF626">
            <v>0</v>
          </cell>
          <cell r="AG626">
            <v>0</v>
          </cell>
          <cell r="AH626">
            <v>0</v>
          </cell>
          <cell r="AI626">
            <v>4</v>
          </cell>
          <cell r="AK626">
            <v>0</v>
          </cell>
          <cell r="AL626">
            <v>1</v>
          </cell>
          <cell r="AN626">
            <v>10934</v>
          </cell>
          <cell r="AO626">
            <v>7</v>
          </cell>
          <cell r="AQ626">
            <v>1</v>
          </cell>
          <cell r="AR626">
            <v>18</v>
          </cell>
          <cell r="AS626">
            <v>3</v>
          </cell>
          <cell r="AT626">
            <v>4</v>
          </cell>
          <cell r="AU626">
            <v>1</v>
          </cell>
          <cell r="AV626">
            <v>35</v>
          </cell>
          <cell r="AW626">
            <v>35</v>
          </cell>
          <cell r="AX626">
            <v>3</v>
          </cell>
          <cell r="AY626">
            <v>3</v>
          </cell>
          <cell r="AZ626">
            <v>5</v>
          </cell>
          <cell r="BA626">
            <v>5</v>
          </cell>
          <cell r="BB626">
            <v>2</v>
          </cell>
          <cell r="BC626">
            <v>0</v>
          </cell>
          <cell r="BD626">
            <v>0</v>
          </cell>
          <cell r="BE626">
            <v>4</v>
          </cell>
          <cell r="BF626">
            <v>4</v>
          </cell>
          <cell r="BG626">
            <v>12</v>
          </cell>
          <cell r="BH626">
            <v>0</v>
          </cell>
          <cell r="BI626">
            <v>1</v>
          </cell>
          <cell r="BJ626">
            <v>0</v>
          </cell>
          <cell r="BK626">
            <v>0</v>
          </cell>
          <cell r="BL626">
            <v>0</v>
          </cell>
          <cell r="BM626">
            <v>0</v>
          </cell>
          <cell r="BN626">
            <v>0</v>
          </cell>
          <cell r="BO626">
            <v>1</v>
          </cell>
          <cell r="BP626">
            <v>0</v>
          </cell>
          <cell r="BQ626">
            <v>0</v>
          </cell>
          <cell r="BR626">
            <v>4</v>
          </cell>
          <cell r="BS626">
            <v>0</v>
          </cell>
          <cell r="BT626">
            <v>0</v>
          </cell>
          <cell r="BU626">
            <v>35</v>
          </cell>
        </row>
        <row r="627">
          <cell r="A627">
            <v>45</v>
          </cell>
          <cell r="B627">
            <v>45</v>
          </cell>
          <cell r="D627">
            <v>0</v>
          </cell>
          <cell r="F627">
            <v>0</v>
          </cell>
          <cell r="G627">
            <v>1</v>
          </cell>
          <cell r="I627">
            <v>0</v>
          </cell>
          <cell r="J627">
            <v>1</v>
          </cell>
          <cell r="K627">
            <v>9</v>
          </cell>
          <cell r="L627">
            <v>9</v>
          </cell>
          <cell r="M627">
            <v>3</v>
          </cell>
          <cell r="O627">
            <v>0</v>
          </cell>
          <cell r="P627">
            <v>0</v>
          </cell>
          <cell r="Q627">
            <v>0</v>
          </cell>
          <cell r="R627">
            <v>1</v>
          </cell>
          <cell r="S627">
            <v>0</v>
          </cell>
          <cell r="T627">
            <v>4</v>
          </cell>
          <cell r="V627">
            <v>0</v>
          </cell>
          <cell r="W627">
            <v>74</v>
          </cell>
          <cell r="X627">
            <v>3</v>
          </cell>
          <cell r="Y627">
            <v>3</v>
          </cell>
          <cell r="AA627">
            <v>0</v>
          </cell>
          <cell r="AB627">
            <v>1</v>
          </cell>
          <cell r="AC627">
            <v>0</v>
          </cell>
          <cell r="AD627">
            <v>0</v>
          </cell>
          <cell r="AE627">
            <v>0</v>
          </cell>
          <cell r="AF627">
            <v>0</v>
          </cell>
          <cell r="AG627">
            <v>0</v>
          </cell>
          <cell r="AH627">
            <v>0</v>
          </cell>
          <cell r="AI627">
            <v>1</v>
          </cell>
          <cell r="AK627">
            <v>0</v>
          </cell>
          <cell r="AL627">
            <v>0</v>
          </cell>
          <cell r="AN627">
            <v>10761</v>
          </cell>
          <cell r="AO627">
            <v>4</v>
          </cell>
          <cell r="AQ627">
            <v>1</v>
          </cell>
          <cell r="AR627">
            <v>12</v>
          </cell>
          <cell r="AS627">
            <v>3</v>
          </cell>
          <cell r="AT627">
            <v>3</v>
          </cell>
          <cell r="AU627">
            <v>1</v>
          </cell>
          <cell r="AV627">
            <v>18</v>
          </cell>
          <cell r="AW627">
            <v>18</v>
          </cell>
          <cell r="AX627">
            <v>2</v>
          </cell>
          <cell r="AY627">
            <v>3</v>
          </cell>
          <cell r="AZ627">
            <v>5</v>
          </cell>
          <cell r="BA627">
            <v>5</v>
          </cell>
          <cell r="BB627">
            <v>4</v>
          </cell>
          <cell r="BC627">
            <v>0</v>
          </cell>
          <cell r="BD627">
            <v>0</v>
          </cell>
          <cell r="BE627">
            <v>2</v>
          </cell>
          <cell r="BF627">
            <v>2</v>
          </cell>
          <cell r="BG627">
            <v>6</v>
          </cell>
          <cell r="BH627">
            <v>1</v>
          </cell>
          <cell r="BI627">
            <v>0</v>
          </cell>
          <cell r="BJ627">
            <v>0</v>
          </cell>
          <cell r="BK627">
            <v>0</v>
          </cell>
          <cell r="BL627">
            <v>0</v>
          </cell>
          <cell r="BM627">
            <v>1</v>
          </cell>
          <cell r="BN627">
            <v>0</v>
          </cell>
          <cell r="BO627">
            <v>0</v>
          </cell>
          <cell r="BP627">
            <v>0</v>
          </cell>
          <cell r="BQ627">
            <v>0</v>
          </cell>
          <cell r="BR627">
            <v>2</v>
          </cell>
          <cell r="BS627">
            <v>0</v>
          </cell>
          <cell r="BT627">
            <v>0</v>
          </cell>
          <cell r="BU627">
            <v>18</v>
          </cell>
        </row>
        <row r="628">
          <cell r="A628">
            <v>32</v>
          </cell>
          <cell r="B628">
            <v>32</v>
          </cell>
          <cell r="D628">
            <v>0</v>
          </cell>
          <cell r="F628">
            <v>0</v>
          </cell>
          <cell r="G628">
            <v>1</v>
          </cell>
          <cell r="I628">
            <v>1</v>
          </cell>
          <cell r="J628">
            <v>0</v>
          </cell>
          <cell r="K628">
            <v>8</v>
          </cell>
          <cell r="L628">
            <v>8</v>
          </cell>
          <cell r="M628">
            <v>2</v>
          </cell>
          <cell r="O628">
            <v>0</v>
          </cell>
          <cell r="P628">
            <v>0</v>
          </cell>
          <cell r="Q628">
            <v>1</v>
          </cell>
          <cell r="R628">
            <v>0</v>
          </cell>
          <cell r="S628">
            <v>0</v>
          </cell>
          <cell r="T628">
            <v>3</v>
          </cell>
          <cell r="V628">
            <v>1</v>
          </cell>
          <cell r="W628">
            <v>91</v>
          </cell>
          <cell r="X628">
            <v>4</v>
          </cell>
          <cell r="Y628">
            <v>2</v>
          </cell>
          <cell r="AA628">
            <v>0</v>
          </cell>
          <cell r="AB628">
            <v>0</v>
          </cell>
          <cell r="AC628">
            <v>0</v>
          </cell>
          <cell r="AD628">
            <v>0</v>
          </cell>
          <cell r="AE628">
            <v>0</v>
          </cell>
          <cell r="AF628">
            <v>0</v>
          </cell>
          <cell r="AG628">
            <v>0</v>
          </cell>
          <cell r="AH628">
            <v>1</v>
          </cell>
          <cell r="AI628">
            <v>3</v>
          </cell>
          <cell r="AK628">
            <v>0</v>
          </cell>
          <cell r="AL628">
            <v>1</v>
          </cell>
          <cell r="AN628">
            <v>5175</v>
          </cell>
          <cell r="AO628">
            <v>5</v>
          </cell>
          <cell r="AQ628">
            <v>0</v>
          </cell>
          <cell r="AR628">
            <v>12</v>
          </cell>
          <cell r="AS628">
            <v>3</v>
          </cell>
          <cell r="AT628">
            <v>3</v>
          </cell>
          <cell r="AU628">
            <v>1</v>
          </cell>
          <cell r="AV628">
            <v>9</v>
          </cell>
          <cell r="AW628">
            <v>9</v>
          </cell>
          <cell r="AX628">
            <v>3</v>
          </cell>
          <cell r="AY628">
            <v>2</v>
          </cell>
          <cell r="AZ628">
            <v>5</v>
          </cell>
          <cell r="BA628">
            <v>5</v>
          </cell>
          <cell r="BB628">
            <v>3</v>
          </cell>
          <cell r="BC628">
            <v>1</v>
          </cell>
          <cell r="BD628">
            <v>1</v>
          </cell>
          <cell r="BE628">
            <v>3</v>
          </cell>
          <cell r="BF628">
            <v>3</v>
          </cell>
          <cell r="BG628">
            <v>6</v>
          </cell>
          <cell r="BH628">
            <v>0</v>
          </cell>
          <cell r="BI628">
            <v>1</v>
          </cell>
          <cell r="BJ628">
            <v>0</v>
          </cell>
          <cell r="BK628">
            <v>0</v>
          </cell>
          <cell r="BL628">
            <v>0</v>
          </cell>
          <cell r="BM628">
            <v>0</v>
          </cell>
          <cell r="BN628">
            <v>1</v>
          </cell>
          <cell r="BO628">
            <v>0</v>
          </cell>
          <cell r="BP628">
            <v>0</v>
          </cell>
          <cell r="BQ628">
            <v>3</v>
          </cell>
          <cell r="BR628">
            <v>0</v>
          </cell>
          <cell r="BS628">
            <v>0</v>
          </cell>
          <cell r="BT628">
            <v>9</v>
          </cell>
          <cell r="BU628">
            <v>0</v>
          </cell>
        </row>
        <row r="629">
          <cell r="A629">
            <v>52</v>
          </cell>
          <cell r="B629">
            <v>52</v>
          </cell>
          <cell r="D629">
            <v>0</v>
          </cell>
          <cell r="F629">
            <v>1</v>
          </cell>
          <cell r="G629">
            <v>0</v>
          </cell>
          <cell r="I629">
            <v>1</v>
          </cell>
          <cell r="J629">
            <v>0</v>
          </cell>
          <cell r="K629">
            <v>25</v>
          </cell>
          <cell r="L629">
            <v>25</v>
          </cell>
          <cell r="M629">
            <v>4</v>
          </cell>
          <cell r="O629">
            <v>0</v>
          </cell>
          <cell r="P629">
            <v>0</v>
          </cell>
          <cell r="Q629">
            <v>1</v>
          </cell>
          <cell r="R629">
            <v>0</v>
          </cell>
          <cell r="S629">
            <v>0</v>
          </cell>
          <cell r="T629">
            <v>3</v>
          </cell>
          <cell r="V629">
            <v>1</v>
          </cell>
          <cell r="W629">
            <v>81</v>
          </cell>
          <cell r="X629">
            <v>2</v>
          </cell>
          <cell r="Y629">
            <v>4</v>
          </cell>
          <cell r="AA629">
            <v>0</v>
          </cell>
          <cell r="AB629">
            <v>0</v>
          </cell>
          <cell r="AC629">
            <v>0</v>
          </cell>
          <cell r="AD629">
            <v>0</v>
          </cell>
          <cell r="AE629">
            <v>1</v>
          </cell>
          <cell r="AF629">
            <v>1</v>
          </cell>
          <cell r="AG629">
            <v>0</v>
          </cell>
          <cell r="AH629">
            <v>0</v>
          </cell>
          <cell r="AI629">
            <v>4</v>
          </cell>
          <cell r="AK629">
            <v>0</v>
          </cell>
          <cell r="AL629">
            <v>1</v>
          </cell>
          <cell r="AN629">
            <v>13826</v>
          </cell>
          <cell r="AO629">
            <v>3</v>
          </cell>
          <cell r="AQ629">
            <v>0</v>
          </cell>
          <cell r="AR629">
            <v>22</v>
          </cell>
          <cell r="AS629">
            <v>4</v>
          </cell>
          <cell r="AT629">
            <v>3</v>
          </cell>
          <cell r="AU629">
            <v>0</v>
          </cell>
          <cell r="AV629">
            <v>31</v>
          </cell>
          <cell r="AW629">
            <v>31</v>
          </cell>
          <cell r="AX629">
            <v>3</v>
          </cell>
          <cell r="AY629">
            <v>3</v>
          </cell>
          <cell r="AZ629">
            <v>9</v>
          </cell>
          <cell r="BA629">
            <v>9</v>
          </cell>
          <cell r="BB629">
            <v>8</v>
          </cell>
          <cell r="BC629">
            <v>0</v>
          </cell>
          <cell r="BD629">
            <v>0</v>
          </cell>
          <cell r="BE629">
            <v>0</v>
          </cell>
          <cell r="BF629">
            <v>0</v>
          </cell>
          <cell r="BG629">
            <v>0</v>
          </cell>
          <cell r="BH629">
            <v>0</v>
          </cell>
          <cell r="BI629">
            <v>0</v>
          </cell>
          <cell r="BJ629">
            <v>0</v>
          </cell>
          <cell r="BK629">
            <v>1</v>
          </cell>
          <cell r="BL629">
            <v>0</v>
          </cell>
          <cell r="BM629">
            <v>0</v>
          </cell>
          <cell r="BN629">
            <v>1</v>
          </cell>
          <cell r="BO629">
            <v>0</v>
          </cell>
          <cell r="BP629">
            <v>0</v>
          </cell>
          <cell r="BQ629">
            <v>0</v>
          </cell>
          <cell r="BR629">
            <v>0</v>
          </cell>
          <cell r="BS629">
            <v>0</v>
          </cell>
          <cell r="BT629">
            <v>31</v>
          </cell>
          <cell r="BU629">
            <v>0</v>
          </cell>
        </row>
        <row r="630">
          <cell r="A630">
            <v>37</v>
          </cell>
          <cell r="B630">
            <v>37</v>
          </cell>
          <cell r="D630">
            <v>0</v>
          </cell>
          <cell r="F630">
            <v>0</v>
          </cell>
          <cell r="G630">
            <v>1</v>
          </cell>
          <cell r="I630">
            <v>0</v>
          </cell>
          <cell r="J630">
            <v>1</v>
          </cell>
          <cell r="K630">
            <v>16</v>
          </cell>
          <cell r="L630">
            <v>16</v>
          </cell>
          <cell r="M630">
            <v>4</v>
          </cell>
          <cell r="O630">
            <v>0</v>
          </cell>
          <cell r="P630">
            <v>0</v>
          </cell>
          <cell r="Q630">
            <v>0</v>
          </cell>
          <cell r="R630">
            <v>1</v>
          </cell>
          <cell r="S630">
            <v>0</v>
          </cell>
          <cell r="T630">
            <v>4</v>
          </cell>
          <cell r="V630">
            <v>0</v>
          </cell>
          <cell r="W630">
            <v>66</v>
          </cell>
          <cell r="X630">
            <v>2</v>
          </cell>
          <cell r="Y630">
            <v>2</v>
          </cell>
          <cell r="AA630">
            <v>0</v>
          </cell>
          <cell r="AB630">
            <v>1</v>
          </cell>
          <cell r="AC630">
            <v>0</v>
          </cell>
          <cell r="AD630">
            <v>0</v>
          </cell>
          <cell r="AE630">
            <v>0</v>
          </cell>
          <cell r="AF630">
            <v>0</v>
          </cell>
          <cell r="AG630">
            <v>0</v>
          </cell>
          <cell r="AH630">
            <v>0</v>
          </cell>
          <cell r="AI630">
            <v>3</v>
          </cell>
          <cell r="AK630">
            <v>0</v>
          </cell>
          <cell r="AL630">
            <v>0</v>
          </cell>
          <cell r="AN630">
            <v>6334</v>
          </cell>
          <cell r="AO630">
            <v>4</v>
          </cell>
          <cell r="AQ630">
            <v>0</v>
          </cell>
          <cell r="AR630">
            <v>19</v>
          </cell>
          <cell r="AS630">
            <v>3</v>
          </cell>
          <cell r="AT630">
            <v>4</v>
          </cell>
          <cell r="AU630">
            <v>2</v>
          </cell>
          <cell r="AV630">
            <v>9</v>
          </cell>
          <cell r="AW630">
            <v>9</v>
          </cell>
          <cell r="AX630">
            <v>2</v>
          </cell>
          <cell r="AY630">
            <v>3</v>
          </cell>
          <cell r="AZ630">
            <v>1</v>
          </cell>
          <cell r="BA630">
            <v>1</v>
          </cell>
          <cell r="BB630">
            <v>0</v>
          </cell>
          <cell r="BC630">
            <v>0</v>
          </cell>
          <cell r="BD630">
            <v>0</v>
          </cell>
          <cell r="BE630">
            <v>0</v>
          </cell>
          <cell r="BF630">
            <v>0</v>
          </cell>
          <cell r="BG630">
            <v>0</v>
          </cell>
          <cell r="BH630">
            <v>1</v>
          </cell>
          <cell r="BI630">
            <v>0</v>
          </cell>
          <cell r="BJ630">
            <v>0</v>
          </cell>
          <cell r="BK630">
            <v>0</v>
          </cell>
          <cell r="BL630">
            <v>1</v>
          </cell>
          <cell r="BM630">
            <v>0</v>
          </cell>
          <cell r="BN630">
            <v>0</v>
          </cell>
          <cell r="BO630">
            <v>0</v>
          </cell>
          <cell r="BP630">
            <v>0</v>
          </cell>
          <cell r="BQ630">
            <v>0</v>
          </cell>
          <cell r="BR630">
            <v>0</v>
          </cell>
          <cell r="BS630">
            <v>0</v>
          </cell>
          <cell r="BT630">
            <v>0</v>
          </cell>
          <cell r="BU630">
            <v>9</v>
          </cell>
        </row>
        <row r="631">
          <cell r="A631">
            <v>28</v>
          </cell>
          <cell r="B631">
            <v>28</v>
          </cell>
          <cell r="D631">
            <v>0</v>
          </cell>
          <cell r="F631">
            <v>0</v>
          </cell>
          <cell r="G631">
            <v>1</v>
          </cell>
          <cell r="I631">
            <v>0</v>
          </cell>
          <cell r="J631">
            <v>0</v>
          </cell>
          <cell r="K631">
            <v>8</v>
          </cell>
          <cell r="L631">
            <v>8</v>
          </cell>
          <cell r="M631">
            <v>2</v>
          </cell>
          <cell r="O631">
            <v>0</v>
          </cell>
          <cell r="P631">
            <v>0</v>
          </cell>
          <cell r="Q631">
            <v>1</v>
          </cell>
          <cell r="R631">
            <v>0</v>
          </cell>
          <cell r="S631">
            <v>0</v>
          </cell>
          <cell r="T631">
            <v>2</v>
          </cell>
          <cell r="V631">
            <v>0</v>
          </cell>
          <cell r="W631">
            <v>63</v>
          </cell>
          <cell r="X631">
            <v>2</v>
          </cell>
          <cell r="Y631">
            <v>1</v>
          </cell>
          <cell r="AA631">
            <v>0</v>
          </cell>
          <cell r="AB631">
            <v>0</v>
          </cell>
          <cell r="AC631">
            <v>0</v>
          </cell>
          <cell r="AD631">
            <v>0</v>
          </cell>
          <cell r="AE631">
            <v>0</v>
          </cell>
          <cell r="AF631">
            <v>0</v>
          </cell>
          <cell r="AG631">
            <v>0</v>
          </cell>
          <cell r="AH631">
            <v>0</v>
          </cell>
          <cell r="AI631">
            <v>4</v>
          </cell>
          <cell r="AK631">
            <v>0</v>
          </cell>
          <cell r="AL631">
            <v>0</v>
          </cell>
          <cell r="AN631">
            <v>4936</v>
          </cell>
          <cell r="AO631">
            <v>1</v>
          </cell>
          <cell r="AQ631">
            <v>0</v>
          </cell>
          <cell r="AR631">
            <v>13</v>
          </cell>
          <cell r="AS631">
            <v>3</v>
          </cell>
          <cell r="AT631">
            <v>4</v>
          </cell>
          <cell r="AU631">
            <v>1</v>
          </cell>
          <cell r="AV631">
            <v>6</v>
          </cell>
          <cell r="AW631">
            <v>6</v>
          </cell>
          <cell r="AX631">
            <v>6</v>
          </cell>
          <cell r="AY631">
            <v>3</v>
          </cell>
          <cell r="AZ631">
            <v>5</v>
          </cell>
          <cell r="BA631">
            <v>5</v>
          </cell>
          <cell r="BB631">
            <v>1</v>
          </cell>
          <cell r="BC631">
            <v>0</v>
          </cell>
          <cell r="BD631">
            <v>0</v>
          </cell>
          <cell r="BE631">
            <v>4</v>
          </cell>
          <cell r="BF631">
            <v>4</v>
          </cell>
          <cell r="BG631">
            <v>4</v>
          </cell>
          <cell r="BH631">
            <v>1</v>
          </cell>
          <cell r="BI631">
            <v>0</v>
          </cell>
          <cell r="BJ631">
            <v>0</v>
          </cell>
          <cell r="BK631">
            <v>0</v>
          </cell>
          <cell r="BL631">
            <v>1</v>
          </cell>
          <cell r="BM631">
            <v>0</v>
          </cell>
          <cell r="BN631">
            <v>0</v>
          </cell>
          <cell r="BO631">
            <v>0</v>
          </cell>
          <cell r="BP631">
            <v>4</v>
          </cell>
          <cell r="BQ631">
            <v>0</v>
          </cell>
          <cell r="BR631">
            <v>0</v>
          </cell>
          <cell r="BS631">
            <v>6</v>
          </cell>
          <cell r="BT631">
            <v>0</v>
          </cell>
          <cell r="BU631">
            <v>0</v>
          </cell>
        </row>
        <row r="632">
          <cell r="A632">
            <v>22</v>
          </cell>
          <cell r="B632">
            <v>22</v>
          </cell>
          <cell r="D632">
            <v>0</v>
          </cell>
          <cell r="F632">
            <v>0</v>
          </cell>
          <cell r="G632">
            <v>1</v>
          </cell>
          <cell r="I632">
            <v>1</v>
          </cell>
          <cell r="J632">
            <v>0</v>
          </cell>
          <cell r="K632">
            <v>1</v>
          </cell>
          <cell r="L632">
            <v>1</v>
          </cell>
          <cell r="M632">
            <v>2</v>
          </cell>
          <cell r="O632">
            <v>1</v>
          </cell>
          <cell r="P632">
            <v>0</v>
          </cell>
          <cell r="Q632">
            <v>0</v>
          </cell>
          <cell r="R632">
            <v>0</v>
          </cell>
          <cell r="S632">
            <v>0</v>
          </cell>
          <cell r="T632">
            <v>4</v>
          </cell>
          <cell r="V632">
            <v>0</v>
          </cell>
          <cell r="W632">
            <v>33</v>
          </cell>
          <cell r="X632">
            <v>2</v>
          </cell>
          <cell r="Y632">
            <v>2</v>
          </cell>
          <cell r="AA632">
            <v>0</v>
          </cell>
          <cell r="AB632">
            <v>0</v>
          </cell>
          <cell r="AC632">
            <v>0</v>
          </cell>
          <cell r="AD632">
            <v>0</v>
          </cell>
          <cell r="AE632">
            <v>1</v>
          </cell>
          <cell r="AF632">
            <v>1</v>
          </cell>
          <cell r="AG632">
            <v>0</v>
          </cell>
          <cell r="AH632">
            <v>0</v>
          </cell>
          <cell r="AI632">
            <v>4</v>
          </cell>
          <cell r="AK632">
            <v>0</v>
          </cell>
          <cell r="AL632">
            <v>1</v>
          </cell>
          <cell r="AN632">
            <v>4775</v>
          </cell>
          <cell r="AO632">
            <v>6</v>
          </cell>
          <cell r="AQ632">
            <v>0</v>
          </cell>
          <cell r="AR632">
            <v>22</v>
          </cell>
          <cell r="AS632">
            <v>4</v>
          </cell>
          <cell r="AT632">
            <v>1</v>
          </cell>
          <cell r="AU632">
            <v>2</v>
          </cell>
          <cell r="AV632">
            <v>4</v>
          </cell>
          <cell r="AW632">
            <v>4</v>
          </cell>
          <cell r="AX632">
            <v>2</v>
          </cell>
          <cell r="AY632">
            <v>1</v>
          </cell>
          <cell r="AZ632">
            <v>2</v>
          </cell>
          <cell r="BA632">
            <v>2</v>
          </cell>
          <cell r="BB632">
            <v>2</v>
          </cell>
          <cell r="BC632">
            <v>2</v>
          </cell>
          <cell r="BD632">
            <v>2</v>
          </cell>
          <cell r="BE632">
            <v>2</v>
          </cell>
          <cell r="BF632">
            <v>2</v>
          </cell>
          <cell r="BG632">
            <v>4</v>
          </cell>
          <cell r="BH632">
            <v>0</v>
          </cell>
          <cell r="BI632">
            <v>1</v>
          </cell>
          <cell r="BJ632">
            <v>0</v>
          </cell>
          <cell r="BK632">
            <v>0</v>
          </cell>
          <cell r="BL632">
            <v>0</v>
          </cell>
          <cell r="BM632">
            <v>0</v>
          </cell>
          <cell r="BN632">
            <v>1</v>
          </cell>
          <cell r="BO632">
            <v>0</v>
          </cell>
          <cell r="BP632">
            <v>0</v>
          </cell>
          <cell r="BQ632">
            <v>2</v>
          </cell>
          <cell r="BR632">
            <v>0</v>
          </cell>
          <cell r="BS632">
            <v>0</v>
          </cell>
          <cell r="BT632">
            <v>4</v>
          </cell>
          <cell r="BU632">
            <v>0</v>
          </cell>
        </row>
        <row r="633">
          <cell r="A633">
            <v>44</v>
          </cell>
          <cell r="B633">
            <v>44</v>
          </cell>
          <cell r="D633">
            <v>0</v>
          </cell>
          <cell r="F633">
            <v>0</v>
          </cell>
          <cell r="G633">
            <v>1</v>
          </cell>
          <cell r="I633">
            <v>1</v>
          </cell>
          <cell r="J633">
            <v>0</v>
          </cell>
          <cell r="K633">
            <v>8</v>
          </cell>
          <cell r="L633">
            <v>8</v>
          </cell>
          <cell r="M633">
            <v>4</v>
          </cell>
          <cell r="O633">
            <v>1</v>
          </cell>
          <cell r="P633">
            <v>0</v>
          </cell>
          <cell r="Q633">
            <v>0</v>
          </cell>
          <cell r="R633">
            <v>0</v>
          </cell>
          <cell r="S633">
            <v>0</v>
          </cell>
          <cell r="T633">
            <v>1</v>
          </cell>
          <cell r="V633">
            <v>0</v>
          </cell>
          <cell r="W633">
            <v>62</v>
          </cell>
          <cell r="X633">
            <v>4</v>
          </cell>
          <cell r="Y633">
            <v>1</v>
          </cell>
          <cell r="AA633">
            <v>0</v>
          </cell>
          <cell r="AB633">
            <v>0</v>
          </cell>
          <cell r="AC633">
            <v>1</v>
          </cell>
          <cell r="AD633">
            <v>0</v>
          </cell>
          <cell r="AE633">
            <v>0</v>
          </cell>
          <cell r="AF633">
            <v>0</v>
          </cell>
          <cell r="AG633">
            <v>0</v>
          </cell>
          <cell r="AH633">
            <v>0</v>
          </cell>
          <cell r="AI633">
            <v>4</v>
          </cell>
          <cell r="AK633">
            <v>0</v>
          </cell>
          <cell r="AL633">
            <v>1</v>
          </cell>
          <cell r="AN633">
            <v>2818</v>
          </cell>
          <cell r="AO633">
            <v>2</v>
          </cell>
          <cell r="AQ633">
            <v>1</v>
          </cell>
          <cell r="AR633">
            <v>24</v>
          </cell>
          <cell r="AS633">
            <v>4</v>
          </cell>
          <cell r="AT633">
            <v>3</v>
          </cell>
          <cell r="AU633">
            <v>1</v>
          </cell>
          <cell r="AV633">
            <v>10</v>
          </cell>
          <cell r="AW633">
            <v>10</v>
          </cell>
          <cell r="AX633">
            <v>2</v>
          </cell>
          <cell r="AY633">
            <v>2</v>
          </cell>
          <cell r="AZ633">
            <v>3</v>
          </cell>
          <cell r="BA633">
            <v>3</v>
          </cell>
          <cell r="BB633">
            <v>2</v>
          </cell>
          <cell r="BC633">
            <v>0</v>
          </cell>
          <cell r="BD633">
            <v>0</v>
          </cell>
          <cell r="BE633">
            <v>2</v>
          </cell>
          <cell r="BF633">
            <v>2</v>
          </cell>
          <cell r="BG633">
            <v>2</v>
          </cell>
          <cell r="BH633">
            <v>0</v>
          </cell>
          <cell r="BI633">
            <v>1</v>
          </cell>
          <cell r="BJ633">
            <v>0</v>
          </cell>
          <cell r="BK633">
            <v>0</v>
          </cell>
          <cell r="BL633">
            <v>0</v>
          </cell>
          <cell r="BM633">
            <v>0</v>
          </cell>
          <cell r="BN633">
            <v>0</v>
          </cell>
          <cell r="BO633">
            <v>1</v>
          </cell>
          <cell r="BP633">
            <v>0</v>
          </cell>
          <cell r="BQ633">
            <v>2</v>
          </cell>
          <cell r="BR633">
            <v>0</v>
          </cell>
          <cell r="BS633">
            <v>0</v>
          </cell>
          <cell r="BT633">
            <v>10</v>
          </cell>
          <cell r="BU633">
            <v>0</v>
          </cell>
        </row>
        <row r="634">
          <cell r="A634">
            <v>42</v>
          </cell>
          <cell r="B634">
            <v>42</v>
          </cell>
          <cell r="D634">
            <v>0</v>
          </cell>
          <cell r="F634">
            <v>1</v>
          </cell>
          <cell r="G634">
            <v>0</v>
          </cell>
          <cell r="I634">
            <v>1</v>
          </cell>
          <cell r="J634">
            <v>0</v>
          </cell>
          <cell r="K634">
            <v>2</v>
          </cell>
          <cell r="L634">
            <v>2</v>
          </cell>
          <cell r="M634">
            <v>1</v>
          </cell>
          <cell r="O634">
            <v>0</v>
          </cell>
          <cell r="P634">
            <v>0</v>
          </cell>
          <cell r="Q634">
            <v>1</v>
          </cell>
          <cell r="R634">
            <v>0</v>
          </cell>
          <cell r="S634">
            <v>0</v>
          </cell>
          <cell r="T634">
            <v>2</v>
          </cell>
          <cell r="V634">
            <v>0</v>
          </cell>
          <cell r="W634">
            <v>35</v>
          </cell>
          <cell r="X634">
            <v>3</v>
          </cell>
          <cell r="Y634">
            <v>1</v>
          </cell>
          <cell r="AA634">
            <v>0</v>
          </cell>
          <cell r="AB634">
            <v>0</v>
          </cell>
          <cell r="AC634">
            <v>0</v>
          </cell>
          <cell r="AD634">
            <v>0</v>
          </cell>
          <cell r="AE634">
            <v>0</v>
          </cell>
          <cell r="AF634">
            <v>0</v>
          </cell>
          <cell r="AG634">
            <v>0</v>
          </cell>
          <cell r="AH634">
            <v>1</v>
          </cell>
          <cell r="AI634">
            <v>4</v>
          </cell>
          <cell r="AK634">
            <v>1</v>
          </cell>
          <cell r="AL634">
            <v>0</v>
          </cell>
          <cell r="AN634">
            <v>2515</v>
          </cell>
          <cell r="AO634">
            <v>5</v>
          </cell>
          <cell r="AQ634">
            <v>1</v>
          </cell>
          <cell r="AR634">
            <v>14</v>
          </cell>
          <cell r="AS634">
            <v>3</v>
          </cell>
          <cell r="AT634">
            <v>4</v>
          </cell>
          <cell r="AU634">
            <v>0</v>
          </cell>
          <cell r="AV634">
            <v>8</v>
          </cell>
          <cell r="AW634">
            <v>8</v>
          </cell>
          <cell r="AX634">
            <v>2</v>
          </cell>
          <cell r="AY634">
            <v>3</v>
          </cell>
          <cell r="AZ634">
            <v>2</v>
          </cell>
          <cell r="BA634">
            <v>2</v>
          </cell>
          <cell r="BB634">
            <v>1</v>
          </cell>
          <cell r="BC634">
            <v>2</v>
          </cell>
          <cell r="BD634">
            <v>2</v>
          </cell>
          <cell r="BE634">
            <v>2</v>
          </cell>
          <cell r="BF634">
            <v>2</v>
          </cell>
          <cell r="BG634">
            <v>2</v>
          </cell>
          <cell r="BH634">
            <v>0</v>
          </cell>
          <cell r="BI634">
            <v>0</v>
          </cell>
          <cell r="BJ634">
            <v>1</v>
          </cell>
          <cell r="BK634">
            <v>0</v>
          </cell>
          <cell r="BL634">
            <v>0</v>
          </cell>
          <cell r="BM634">
            <v>1</v>
          </cell>
          <cell r="BN634">
            <v>0</v>
          </cell>
          <cell r="BO634">
            <v>0</v>
          </cell>
          <cell r="BP634">
            <v>0</v>
          </cell>
          <cell r="BQ634">
            <v>2</v>
          </cell>
          <cell r="BR634">
            <v>0</v>
          </cell>
          <cell r="BS634">
            <v>0</v>
          </cell>
          <cell r="BT634">
            <v>8</v>
          </cell>
          <cell r="BU634">
            <v>0</v>
          </cell>
        </row>
        <row r="635">
          <cell r="A635">
            <v>36</v>
          </cell>
          <cell r="B635">
            <v>36</v>
          </cell>
          <cell r="D635">
            <v>0</v>
          </cell>
          <cell r="F635">
            <v>0</v>
          </cell>
          <cell r="G635">
            <v>1</v>
          </cell>
          <cell r="I635">
            <v>0</v>
          </cell>
          <cell r="J635">
            <v>0</v>
          </cell>
          <cell r="K635">
            <v>8</v>
          </cell>
          <cell r="L635">
            <v>8</v>
          </cell>
          <cell r="M635">
            <v>3</v>
          </cell>
          <cell r="O635">
            <v>1</v>
          </cell>
          <cell r="P635">
            <v>0</v>
          </cell>
          <cell r="Q635">
            <v>0</v>
          </cell>
          <cell r="R635">
            <v>0</v>
          </cell>
          <cell r="S635">
            <v>0</v>
          </cell>
          <cell r="T635">
            <v>1</v>
          </cell>
          <cell r="V635">
            <v>0</v>
          </cell>
          <cell r="W635">
            <v>77</v>
          </cell>
          <cell r="X635">
            <v>2</v>
          </cell>
          <cell r="Y635">
            <v>1</v>
          </cell>
          <cell r="AA635">
            <v>0</v>
          </cell>
          <cell r="AB635">
            <v>0</v>
          </cell>
          <cell r="AC635">
            <v>0</v>
          </cell>
          <cell r="AD635">
            <v>0</v>
          </cell>
          <cell r="AE635">
            <v>0</v>
          </cell>
          <cell r="AF635">
            <v>0</v>
          </cell>
          <cell r="AG635">
            <v>0</v>
          </cell>
          <cell r="AH635">
            <v>0</v>
          </cell>
          <cell r="AI635">
            <v>1</v>
          </cell>
          <cell r="AK635">
            <v>0</v>
          </cell>
          <cell r="AL635">
            <v>1</v>
          </cell>
          <cell r="AN635">
            <v>2342</v>
          </cell>
          <cell r="AO635">
            <v>0</v>
          </cell>
          <cell r="AQ635">
            <v>0</v>
          </cell>
          <cell r="AR635">
            <v>21</v>
          </cell>
          <cell r="AS635">
            <v>4</v>
          </cell>
          <cell r="AT635">
            <v>3</v>
          </cell>
          <cell r="AU635">
            <v>0</v>
          </cell>
          <cell r="AV635">
            <v>6</v>
          </cell>
          <cell r="AW635">
            <v>6</v>
          </cell>
          <cell r="AX635">
            <v>3</v>
          </cell>
          <cell r="AY635">
            <v>3</v>
          </cell>
          <cell r="AZ635">
            <v>5</v>
          </cell>
          <cell r="BA635">
            <v>5</v>
          </cell>
          <cell r="BB635">
            <v>4</v>
          </cell>
          <cell r="BC635">
            <v>0</v>
          </cell>
          <cell r="BD635">
            <v>0</v>
          </cell>
          <cell r="BE635">
            <v>3</v>
          </cell>
          <cell r="BF635">
            <v>3</v>
          </cell>
          <cell r="BG635">
            <v>3</v>
          </cell>
          <cell r="BH635">
            <v>0</v>
          </cell>
          <cell r="BI635">
            <v>1</v>
          </cell>
          <cell r="BJ635">
            <v>0</v>
          </cell>
          <cell r="BK635">
            <v>0</v>
          </cell>
          <cell r="BL635">
            <v>0</v>
          </cell>
          <cell r="BM635">
            <v>0</v>
          </cell>
          <cell r="BN635">
            <v>1</v>
          </cell>
          <cell r="BO635">
            <v>0</v>
          </cell>
          <cell r="BP635">
            <v>3</v>
          </cell>
          <cell r="BQ635">
            <v>0</v>
          </cell>
          <cell r="BR635">
            <v>0</v>
          </cell>
          <cell r="BS635">
            <v>6</v>
          </cell>
          <cell r="BT635">
            <v>0</v>
          </cell>
          <cell r="BU635">
            <v>0</v>
          </cell>
        </row>
        <row r="636">
          <cell r="A636">
            <v>25</v>
          </cell>
          <cell r="B636">
            <v>25</v>
          </cell>
          <cell r="D636">
            <v>0</v>
          </cell>
          <cell r="F636">
            <v>0</v>
          </cell>
          <cell r="G636">
            <v>1</v>
          </cell>
          <cell r="I636">
            <v>0</v>
          </cell>
          <cell r="J636">
            <v>1</v>
          </cell>
          <cell r="K636">
            <v>3</v>
          </cell>
          <cell r="L636">
            <v>3</v>
          </cell>
          <cell r="M636">
            <v>1</v>
          </cell>
          <cell r="O636">
            <v>0</v>
          </cell>
          <cell r="P636">
            <v>1</v>
          </cell>
          <cell r="Q636">
            <v>0</v>
          </cell>
          <cell r="R636">
            <v>0</v>
          </cell>
          <cell r="S636">
            <v>0</v>
          </cell>
          <cell r="T636">
            <v>3</v>
          </cell>
          <cell r="V636">
            <v>0</v>
          </cell>
          <cell r="W636">
            <v>98</v>
          </cell>
          <cell r="X636">
            <v>3</v>
          </cell>
          <cell r="Y636">
            <v>2</v>
          </cell>
          <cell r="AA636">
            <v>0</v>
          </cell>
          <cell r="AB636">
            <v>1</v>
          </cell>
          <cell r="AC636">
            <v>0</v>
          </cell>
          <cell r="AD636">
            <v>0</v>
          </cell>
          <cell r="AE636">
            <v>0</v>
          </cell>
          <cell r="AF636">
            <v>0</v>
          </cell>
          <cell r="AG636">
            <v>0</v>
          </cell>
          <cell r="AH636">
            <v>0</v>
          </cell>
          <cell r="AI636">
            <v>1</v>
          </cell>
          <cell r="AK636">
            <v>0</v>
          </cell>
          <cell r="AL636">
            <v>1</v>
          </cell>
          <cell r="AN636">
            <v>4194</v>
          </cell>
          <cell r="AO636">
            <v>1</v>
          </cell>
          <cell r="AQ636">
            <v>1</v>
          </cell>
          <cell r="AR636">
            <v>18</v>
          </cell>
          <cell r="AS636">
            <v>3</v>
          </cell>
          <cell r="AT636">
            <v>4</v>
          </cell>
          <cell r="AU636">
            <v>0</v>
          </cell>
          <cell r="AV636">
            <v>5</v>
          </cell>
          <cell r="AW636">
            <v>5</v>
          </cell>
          <cell r="AX636">
            <v>3</v>
          </cell>
          <cell r="AY636">
            <v>3</v>
          </cell>
          <cell r="AZ636">
            <v>5</v>
          </cell>
          <cell r="BA636">
            <v>5</v>
          </cell>
          <cell r="BB636">
            <v>3</v>
          </cell>
          <cell r="BC636">
            <v>0</v>
          </cell>
          <cell r="BD636">
            <v>0</v>
          </cell>
          <cell r="BE636">
            <v>3</v>
          </cell>
          <cell r="BF636">
            <v>3</v>
          </cell>
          <cell r="BG636">
            <v>6</v>
          </cell>
          <cell r="BH636">
            <v>0</v>
          </cell>
          <cell r="BI636">
            <v>1</v>
          </cell>
          <cell r="BJ636">
            <v>0</v>
          </cell>
          <cell r="BK636">
            <v>0</v>
          </cell>
          <cell r="BL636">
            <v>0</v>
          </cell>
          <cell r="BM636">
            <v>0</v>
          </cell>
          <cell r="BN636">
            <v>0</v>
          </cell>
          <cell r="BO636">
            <v>1</v>
          </cell>
          <cell r="BP636">
            <v>0</v>
          </cell>
          <cell r="BQ636">
            <v>0</v>
          </cell>
          <cell r="BR636">
            <v>3</v>
          </cell>
          <cell r="BS636">
            <v>0</v>
          </cell>
          <cell r="BT636">
            <v>0</v>
          </cell>
          <cell r="BU636">
            <v>5</v>
          </cell>
        </row>
        <row r="637">
          <cell r="A637">
            <v>35</v>
          </cell>
          <cell r="B637">
            <v>35</v>
          </cell>
          <cell r="D637">
            <v>0</v>
          </cell>
          <cell r="F637">
            <v>0</v>
          </cell>
          <cell r="G637">
            <v>1</v>
          </cell>
          <cell r="I637">
            <v>1</v>
          </cell>
          <cell r="J637">
            <v>0</v>
          </cell>
          <cell r="K637">
            <v>9</v>
          </cell>
          <cell r="L637">
            <v>9</v>
          </cell>
          <cell r="M637">
            <v>3</v>
          </cell>
          <cell r="O637">
            <v>1</v>
          </cell>
          <cell r="P637">
            <v>0</v>
          </cell>
          <cell r="Q637">
            <v>0</v>
          </cell>
          <cell r="R637">
            <v>0</v>
          </cell>
          <cell r="S637">
            <v>0</v>
          </cell>
          <cell r="T637">
            <v>4</v>
          </cell>
          <cell r="V637">
            <v>1</v>
          </cell>
          <cell r="W637">
            <v>66</v>
          </cell>
          <cell r="X637">
            <v>2</v>
          </cell>
          <cell r="Y637">
            <v>3</v>
          </cell>
          <cell r="AA637">
            <v>0</v>
          </cell>
          <cell r="AB637">
            <v>0</v>
          </cell>
          <cell r="AC637">
            <v>0</v>
          </cell>
          <cell r="AD637">
            <v>0</v>
          </cell>
          <cell r="AE637">
            <v>1</v>
          </cell>
          <cell r="AF637">
            <v>1</v>
          </cell>
          <cell r="AG637">
            <v>0</v>
          </cell>
          <cell r="AH637">
            <v>0</v>
          </cell>
          <cell r="AI637">
            <v>3</v>
          </cell>
          <cell r="AK637">
            <v>0</v>
          </cell>
          <cell r="AL637">
            <v>1</v>
          </cell>
          <cell r="AN637">
            <v>10685</v>
          </cell>
          <cell r="AO637">
            <v>1</v>
          </cell>
          <cell r="AQ637">
            <v>1</v>
          </cell>
          <cell r="AR637">
            <v>20</v>
          </cell>
          <cell r="AS637">
            <v>4</v>
          </cell>
          <cell r="AT637">
            <v>2</v>
          </cell>
          <cell r="AU637">
            <v>1</v>
          </cell>
          <cell r="AV637">
            <v>17</v>
          </cell>
          <cell r="AW637">
            <v>17</v>
          </cell>
          <cell r="AX637">
            <v>2</v>
          </cell>
          <cell r="AY637">
            <v>3</v>
          </cell>
          <cell r="AZ637">
            <v>17</v>
          </cell>
          <cell r="BA637">
            <v>17</v>
          </cell>
          <cell r="BB637">
            <v>14</v>
          </cell>
          <cell r="BC637">
            <v>5</v>
          </cell>
          <cell r="BD637">
            <v>5</v>
          </cell>
          <cell r="BE637">
            <v>15</v>
          </cell>
          <cell r="BF637">
            <v>14</v>
          </cell>
          <cell r="BG637">
            <v>42</v>
          </cell>
          <cell r="BH637">
            <v>0</v>
          </cell>
          <cell r="BI637">
            <v>1</v>
          </cell>
          <cell r="BJ637">
            <v>0</v>
          </cell>
          <cell r="BK637">
            <v>0</v>
          </cell>
          <cell r="BL637">
            <v>0</v>
          </cell>
          <cell r="BM637">
            <v>0</v>
          </cell>
          <cell r="BN637">
            <v>0</v>
          </cell>
          <cell r="BO637">
            <v>1</v>
          </cell>
          <cell r="BP637">
            <v>0</v>
          </cell>
          <cell r="BQ637">
            <v>14</v>
          </cell>
          <cell r="BR637">
            <v>0</v>
          </cell>
          <cell r="BS637">
            <v>0</v>
          </cell>
          <cell r="BT637">
            <v>17</v>
          </cell>
          <cell r="BU637">
            <v>0</v>
          </cell>
        </row>
        <row r="638">
          <cell r="A638">
            <v>35</v>
          </cell>
          <cell r="B638">
            <v>35</v>
          </cell>
          <cell r="D638">
            <v>1</v>
          </cell>
          <cell r="F638">
            <v>1</v>
          </cell>
          <cell r="G638">
            <v>0</v>
          </cell>
          <cell r="I638">
            <v>1</v>
          </cell>
          <cell r="J638">
            <v>0</v>
          </cell>
          <cell r="K638">
            <v>25</v>
          </cell>
          <cell r="L638">
            <v>25</v>
          </cell>
          <cell r="M638">
            <v>4</v>
          </cell>
          <cell r="O638">
            <v>1</v>
          </cell>
          <cell r="P638">
            <v>0</v>
          </cell>
          <cell r="Q638">
            <v>0</v>
          </cell>
          <cell r="R638">
            <v>0</v>
          </cell>
          <cell r="S638">
            <v>0</v>
          </cell>
          <cell r="T638">
            <v>4</v>
          </cell>
          <cell r="V638">
            <v>1</v>
          </cell>
          <cell r="W638">
            <v>96</v>
          </cell>
          <cell r="X638">
            <v>3</v>
          </cell>
          <cell r="Y638">
            <v>1</v>
          </cell>
          <cell r="AA638">
            <v>0</v>
          </cell>
          <cell r="AB638">
            <v>0</v>
          </cell>
          <cell r="AC638">
            <v>0</v>
          </cell>
          <cell r="AD638">
            <v>0</v>
          </cell>
          <cell r="AE638">
            <v>0</v>
          </cell>
          <cell r="AF638">
            <v>0</v>
          </cell>
          <cell r="AG638">
            <v>0</v>
          </cell>
          <cell r="AH638">
            <v>1</v>
          </cell>
          <cell r="AI638">
            <v>2</v>
          </cell>
          <cell r="AK638">
            <v>0</v>
          </cell>
          <cell r="AL638">
            <v>0</v>
          </cell>
          <cell r="AN638">
            <v>2022</v>
          </cell>
          <cell r="AO638">
            <v>1</v>
          </cell>
          <cell r="AQ638">
            <v>1</v>
          </cell>
          <cell r="AR638">
            <v>19</v>
          </cell>
          <cell r="AS638">
            <v>3</v>
          </cell>
          <cell r="AT638">
            <v>1</v>
          </cell>
          <cell r="AU638">
            <v>1</v>
          </cell>
          <cell r="AV638">
            <v>10</v>
          </cell>
          <cell r="AW638">
            <v>10</v>
          </cell>
          <cell r="AX638">
            <v>3</v>
          </cell>
          <cell r="AY638">
            <v>2</v>
          </cell>
          <cell r="AZ638">
            <v>10</v>
          </cell>
          <cell r="BA638">
            <v>10</v>
          </cell>
          <cell r="BB638">
            <v>2</v>
          </cell>
          <cell r="BC638">
            <v>7</v>
          </cell>
          <cell r="BD638">
            <v>7</v>
          </cell>
          <cell r="BE638">
            <v>8</v>
          </cell>
          <cell r="BF638">
            <v>8</v>
          </cell>
          <cell r="BG638">
            <v>8</v>
          </cell>
          <cell r="BH638">
            <v>0</v>
          </cell>
          <cell r="BI638">
            <v>0</v>
          </cell>
          <cell r="BJ638">
            <v>1</v>
          </cell>
          <cell r="BK638">
            <v>0</v>
          </cell>
          <cell r="BL638">
            <v>0</v>
          </cell>
          <cell r="BM638">
            <v>1</v>
          </cell>
          <cell r="BN638">
            <v>0</v>
          </cell>
          <cell r="BO638">
            <v>0</v>
          </cell>
          <cell r="BP638">
            <v>0</v>
          </cell>
          <cell r="BQ638">
            <v>8</v>
          </cell>
          <cell r="BR638">
            <v>0</v>
          </cell>
          <cell r="BS638">
            <v>0</v>
          </cell>
          <cell r="BT638">
            <v>10</v>
          </cell>
          <cell r="BU638">
            <v>0</v>
          </cell>
        </row>
        <row r="639">
          <cell r="A639">
            <v>32</v>
          </cell>
          <cell r="B639">
            <v>32</v>
          </cell>
          <cell r="D639">
            <v>0</v>
          </cell>
          <cell r="F639">
            <v>0</v>
          </cell>
          <cell r="G639">
            <v>0</v>
          </cell>
          <cell r="I639">
            <v>1</v>
          </cell>
          <cell r="J639">
            <v>0</v>
          </cell>
          <cell r="K639">
            <v>1</v>
          </cell>
          <cell r="L639">
            <v>1</v>
          </cell>
          <cell r="M639">
            <v>3</v>
          </cell>
          <cell r="O639">
            <v>1</v>
          </cell>
          <cell r="P639">
            <v>0</v>
          </cell>
          <cell r="Q639">
            <v>0</v>
          </cell>
          <cell r="R639">
            <v>0</v>
          </cell>
          <cell r="S639">
            <v>0</v>
          </cell>
          <cell r="T639">
            <v>4</v>
          </cell>
          <cell r="V639">
            <v>0</v>
          </cell>
          <cell r="W639">
            <v>61</v>
          </cell>
          <cell r="X639">
            <v>3</v>
          </cell>
          <cell r="Y639">
            <v>1</v>
          </cell>
          <cell r="AA639">
            <v>0</v>
          </cell>
          <cell r="AB639">
            <v>0</v>
          </cell>
          <cell r="AC639">
            <v>1</v>
          </cell>
          <cell r="AD639">
            <v>0</v>
          </cell>
          <cell r="AE639">
            <v>0</v>
          </cell>
          <cell r="AF639">
            <v>0</v>
          </cell>
          <cell r="AG639">
            <v>0</v>
          </cell>
          <cell r="AH639">
            <v>0</v>
          </cell>
          <cell r="AI639">
            <v>4</v>
          </cell>
          <cell r="AK639">
            <v>0</v>
          </cell>
          <cell r="AL639">
            <v>0</v>
          </cell>
          <cell r="AN639">
            <v>2314</v>
          </cell>
          <cell r="AO639">
            <v>0</v>
          </cell>
          <cell r="AQ639">
            <v>0</v>
          </cell>
          <cell r="AR639">
            <v>12</v>
          </cell>
          <cell r="AS639">
            <v>3</v>
          </cell>
          <cell r="AT639">
            <v>2</v>
          </cell>
          <cell r="AU639">
            <v>1</v>
          </cell>
          <cell r="AV639">
            <v>4</v>
          </cell>
          <cell r="AW639">
            <v>4</v>
          </cell>
          <cell r="AX639">
            <v>2</v>
          </cell>
          <cell r="AY639">
            <v>3</v>
          </cell>
          <cell r="AZ639">
            <v>3</v>
          </cell>
          <cell r="BA639">
            <v>3</v>
          </cell>
          <cell r="BB639">
            <v>0</v>
          </cell>
          <cell r="BC639">
            <v>0</v>
          </cell>
          <cell r="BD639">
            <v>0</v>
          </cell>
          <cell r="BE639">
            <v>2</v>
          </cell>
          <cell r="BF639">
            <v>2</v>
          </cell>
          <cell r="BG639">
            <v>2</v>
          </cell>
          <cell r="BH639">
            <v>1</v>
          </cell>
          <cell r="BI639">
            <v>0</v>
          </cell>
          <cell r="BJ639">
            <v>0</v>
          </cell>
          <cell r="BK639">
            <v>0</v>
          </cell>
          <cell r="BL639">
            <v>1</v>
          </cell>
          <cell r="BM639">
            <v>0</v>
          </cell>
          <cell r="BN639">
            <v>0</v>
          </cell>
          <cell r="BO639">
            <v>0</v>
          </cell>
          <cell r="BP639">
            <v>0</v>
          </cell>
          <cell r="BQ639">
            <v>2</v>
          </cell>
          <cell r="BR639">
            <v>0</v>
          </cell>
          <cell r="BS639">
            <v>0</v>
          </cell>
          <cell r="BT639">
            <v>4</v>
          </cell>
          <cell r="BU639">
            <v>0</v>
          </cell>
        </row>
        <row r="640">
          <cell r="A640">
            <v>25</v>
          </cell>
          <cell r="B640">
            <v>25</v>
          </cell>
          <cell r="D640">
            <v>0</v>
          </cell>
          <cell r="F640">
            <v>0</v>
          </cell>
          <cell r="G640">
            <v>1</v>
          </cell>
          <cell r="I640">
            <v>0</v>
          </cell>
          <cell r="J640">
            <v>1</v>
          </cell>
          <cell r="K640">
            <v>4</v>
          </cell>
          <cell r="L640">
            <v>4</v>
          </cell>
          <cell r="M640">
            <v>1</v>
          </cell>
          <cell r="O640">
            <v>0</v>
          </cell>
          <cell r="P640">
            <v>0</v>
          </cell>
          <cell r="Q640">
            <v>0</v>
          </cell>
          <cell r="R640">
            <v>1</v>
          </cell>
          <cell r="S640">
            <v>0</v>
          </cell>
          <cell r="T640">
            <v>3</v>
          </cell>
          <cell r="V640">
            <v>0</v>
          </cell>
          <cell r="W640">
            <v>87</v>
          </cell>
          <cell r="X640">
            <v>2</v>
          </cell>
          <cell r="Y640">
            <v>2</v>
          </cell>
          <cell r="AA640">
            <v>0</v>
          </cell>
          <cell r="AB640">
            <v>1</v>
          </cell>
          <cell r="AC640">
            <v>0</v>
          </cell>
          <cell r="AD640">
            <v>0</v>
          </cell>
          <cell r="AE640">
            <v>0</v>
          </cell>
          <cell r="AF640">
            <v>0</v>
          </cell>
          <cell r="AG640">
            <v>0</v>
          </cell>
          <cell r="AH640">
            <v>0</v>
          </cell>
          <cell r="AI640">
            <v>1</v>
          </cell>
          <cell r="AK640">
            <v>0</v>
          </cell>
          <cell r="AL640">
            <v>1</v>
          </cell>
          <cell r="AN640">
            <v>4256</v>
          </cell>
          <cell r="AO640">
            <v>1</v>
          </cell>
          <cell r="AQ640">
            <v>0</v>
          </cell>
          <cell r="AR640">
            <v>12</v>
          </cell>
          <cell r="AS640">
            <v>3</v>
          </cell>
          <cell r="AT640">
            <v>1</v>
          </cell>
          <cell r="AU640">
            <v>0</v>
          </cell>
          <cell r="AV640">
            <v>5</v>
          </cell>
          <cell r="AW640">
            <v>5</v>
          </cell>
          <cell r="AX640">
            <v>1</v>
          </cell>
          <cell r="AY640">
            <v>4</v>
          </cell>
          <cell r="AZ640">
            <v>5</v>
          </cell>
          <cell r="BA640">
            <v>5</v>
          </cell>
          <cell r="BB640">
            <v>2</v>
          </cell>
          <cell r="BC640">
            <v>0</v>
          </cell>
          <cell r="BD640">
            <v>0</v>
          </cell>
          <cell r="BE640">
            <v>3</v>
          </cell>
          <cell r="BF640">
            <v>3</v>
          </cell>
          <cell r="BG640">
            <v>6</v>
          </cell>
          <cell r="BH640">
            <v>0</v>
          </cell>
          <cell r="BI640">
            <v>1</v>
          </cell>
          <cell r="BJ640">
            <v>0</v>
          </cell>
          <cell r="BK640">
            <v>0</v>
          </cell>
          <cell r="BL640">
            <v>0</v>
          </cell>
          <cell r="BM640">
            <v>0</v>
          </cell>
          <cell r="BN640">
            <v>1</v>
          </cell>
          <cell r="BO640">
            <v>0</v>
          </cell>
          <cell r="BP640">
            <v>0</v>
          </cell>
          <cell r="BQ640">
            <v>0</v>
          </cell>
          <cell r="BR640">
            <v>3</v>
          </cell>
          <cell r="BS640">
            <v>0</v>
          </cell>
          <cell r="BT640">
            <v>0</v>
          </cell>
          <cell r="BU640">
            <v>5</v>
          </cell>
        </row>
        <row r="641">
          <cell r="A641">
            <v>49</v>
          </cell>
          <cell r="B641">
            <v>49</v>
          </cell>
          <cell r="D641">
            <v>0</v>
          </cell>
          <cell r="F641">
            <v>0</v>
          </cell>
          <cell r="G641">
            <v>1</v>
          </cell>
          <cell r="I641">
            <v>1</v>
          </cell>
          <cell r="J641">
            <v>0</v>
          </cell>
          <cell r="K641">
            <v>1</v>
          </cell>
          <cell r="L641">
            <v>1</v>
          </cell>
          <cell r="M641">
            <v>3</v>
          </cell>
          <cell r="O641">
            <v>0</v>
          </cell>
          <cell r="P641">
            <v>0</v>
          </cell>
          <cell r="Q641">
            <v>0</v>
          </cell>
          <cell r="R641">
            <v>0</v>
          </cell>
          <cell r="S641">
            <v>1</v>
          </cell>
          <cell r="T641">
            <v>3</v>
          </cell>
          <cell r="V641">
            <v>1</v>
          </cell>
          <cell r="W641">
            <v>36</v>
          </cell>
          <cell r="X641">
            <v>3</v>
          </cell>
          <cell r="Y641">
            <v>1</v>
          </cell>
          <cell r="AA641">
            <v>0</v>
          </cell>
          <cell r="AB641">
            <v>0</v>
          </cell>
          <cell r="AC641">
            <v>0</v>
          </cell>
          <cell r="AD641">
            <v>0</v>
          </cell>
          <cell r="AE641">
            <v>0</v>
          </cell>
          <cell r="AF641">
            <v>0</v>
          </cell>
          <cell r="AG641">
            <v>0</v>
          </cell>
          <cell r="AH641">
            <v>1</v>
          </cell>
          <cell r="AI641">
            <v>1</v>
          </cell>
          <cell r="AK641">
            <v>0</v>
          </cell>
          <cell r="AL641">
            <v>1</v>
          </cell>
          <cell r="AN641">
            <v>3580</v>
          </cell>
          <cell r="AO641">
            <v>2</v>
          </cell>
          <cell r="AQ641">
            <v>0</v>
          </cell>
          <cell r="AR641">
            <v>16</v>
          </cell>
          <cell r="AS641">
            <v>3</v>
          </cell>
          <cell r="AT641">
            <v>2</v>
          </cell>
          <cell r="AU641">
            <v>1</v>
          </cell>
          <cell r="AV641">
            <v>7</v>
          </cell>
          <cell r="AW641">
            <v>7</v>
          </cell>
          <cell r="AX641">
            <v>2</v>
          </cell>
          <cell r="AY641">
            <v>3</v>
          </cell>
          <cell r="AZ641">
            <v>4</v>
          </cell>
          <cell r="BA641">
            <v>4</v>
          </cell>
          <cell r="BB641">
            <v>2</v>
          </cell>
          <cell r="BC641">
            <v>0</v>
          </cell>
          <cell r="BD641">
            <v>0</v>
          </cell>
          <cell r="BE641">
            <v>2</v>
          </cell>
          <cell r="BF641">
            <v>2</v>
          </cell>
          <cell r="BG641">
            <v>2</v>
          </cell>
          <cell r="BH641">
            <v>0</v>
          </cell>
          <cell r="BI641">
            <v>1</v>
          </cell>
          <cell r="BJ641">
            <v>0</v>
          </cell>
          <cell r="BK641">
            <v>0</v>
          </cell>
          <cell r="BL641">
            <v>0</v>
          </cell>
          <cell r="BM641">
            <v>0</v>
          </cell>
          <cell r="BN641">
            <v>1</v>
          </cell>
          <cell r="BO641">
            <v>0</v>
          </cell>
          <cell r="BP641">
            <v>0</v>
          </cell>
          <cell r="BQ641">
            <v>2</v>
          </cell>
          <cell r="BR641">
            <v>0</v>
          </cell>
          <cell r="BS641">
            <v>0</v>
          </cell>
          <cell r="BT641">
            <v>7</v>
          </cell>
          <cell r="BU641">
            <v>0</v>
          </cell>
        </row>
        <row r="642">
          <cell r="A642">
            <v>24</v>
          </cell>
          <cell r="B642">
            <v>24</v>
          </cell>
          <cell r="D642">
            <v>0</v>
          </cell>
          <cell r="F642">
            <v>0</v>
          </cell>
          <cell r="G642">
            <v>0</v>
          </cell>
          <cell r="I642">
            <v>1</v>
          </cell>
          <cell r="J642">
            <v>0</v>
          </cell>
          <cell r="K642">
            <v>4</v>
          </cell>
          <cell r="L642">
            <v>4</v>
          </cell>
          <cell r="M642">
            <v>1</v>
          </cell>
          <cell r="O642">
            <v>1</v>
          </cell>
          <cell r="P642">
            <v>0</v>
          </cell>
          <cell r="Q642">
            <v>0</v>
          </cell>
          <cell r="R642">
            <v>0</v>
          </cell>
          <cell r="S642">
            <v>0</v>
          </cell>
          <cell r="T642">
            <v>1</v>
          </cell>
          <cell r="V642">
            <v>0</v>
          </cell>
          <cell r="W642">
            <v>46</v>
          </cell>
          <cell r="X642">
            <v>2</v>
          </cell>
          <cell r="Y642">
            <v>1</v>
          </cell>
          <cell r="AA642">
            <v>0</v>
          </cell>
          <cell r="AB642">
            <v>0</v>
          </cell>
          <cell r="AC642">
            <v>1</v>
          </cell>
          <cell r="AD642">
            <v>0</v>
          </cell>
          <cell r="AE642">
            <v>0</v>
          </cell>
          <cell r="AF642">
            <v>0</v>
          </cell>
          <cell r="AG642">
            <v>0</v>
          </cell>
          <cell r="AH642">
            <v>0</v>
          </cell>
          <cell r="AI642">
            <v>4</v>
          </cell>
          <cell r="AK642">
            <v>0</v>
          </cell>
          <cell r="AL642">
            <v>1</v>
          </cell>
          <cell r="AN642">
            <v>3162</v>
          </cell>
          <cell r="AO642">
            <v>0</v>
          </cell>
          <cell r="AQ642">
            <v>0</v>
          </cell>
          <cell r="AR642">
            <v>17</v>
          </cell>
          <cell r="AS642">
            <v>3</v>
          </cell>
          <cell r="AT642">
            <v>4</v>
          </cell>
          <cell r="AU642">
            <v>0</v>
          </cell>
          <cell r="AV642">
            <v>6</v>
          </cell>
          <cell r="AW642">
            <v>6</v>
          </cell>
          <cell r="AX642">
            <v>2</v>
          </cell>
          <cell r="AY642">
            <v>2</v>
          </cell>
          <cell r="AZ642">
            <v>5</v>
          </cell>
          <cell r="BA642">
            <v>5</v>
          </cell>
          <cell r="BB642">
            <v>2</v>
          </cell>
          <cell r="BC642">
            <v>3</v>
          </cell>
          <cell r="BD642">
            <v>3</v>
          </cell>
          <cell r="BE642">
            <v>4</v>
          </cell>
          <cell r="BF642">
            <v>4</v>
          </cell>
          <cell r="BG642">
            <v>4</v>
          </cell>
          <cell r="BH642">
            <v>0</v>
          </cell>
          <cell r="BI642">
            <v>1</v>
          </cell>
          <cell r="BJ642">
            <v>0</v>
          </cell>
          <cell r="BK642">
            <v>0</v>
          </cell>
          <cell r="BL642">
            <v>0</v>
          </cell>
          <cell r="BM642">
            <v>0</v>
          </cell>
          <cell r="BN642">
            <v>1</v>
          </cell>
          <cell r="BO642">
            <v>0</v>
          </cell>
          <cell r="BP642">
            <v>0</v>
          </cell>
          <cell r="BQ642">
            <v>4</v>
          </cell>
          <cell r="BR642">
            <v>0</v>
          </cell>
          <cell r="BS642">
            <v>0</v>
          </cell>
          <cell r="BT642">
            <v>6</v>
          </cell>
          <cell r="BU642">
            <v>0</v>
          </cell>
        </row>
        <row r="643">
          <cell r="A643">
            <v>32</v>
          </cell>
          <cell r="B643">
            <v>32</v>
          </cell>
          <cell r="D643">
            <v>0</v>
          </cell>
          <cell r="F643">
            <v>1</v>
          </cell>
          <cell r="G643">
            <v>0</v>
          </cell>
          <cell r="I643">
            <v>0</v>
          </cell>
          <cell r="J643">
            <v>1</v>
          </cell>
          <cell r="K643">
            <v>5</v>
          </cell>
          <cell r="L643">
            <v>5</v>
          </cell>
          <cell r="M643">
            <v>2</v>
          </cell>
          <cell r="O643">
            <v>1</v>
          </cell>
          <cell r="P643">
            <v>0</v>
          </cell>
          <cell r="Q643">
            <v>0</v>
          </cell>
          <cell r="R643">
            <v>0</v>
          </cell>
          <cell r="S643">
            <v>0</v>
          </cell>
          <cell r="T643">
            <v>2</v>
          </cell>
          <cell r="V643">
            <v>0</v>
          </cell>
          <cell r="W643">
            <v>48</v>
          </cell>
          <cell r="X643">
            <v>3</v>
          </cell>
          <cell r="Y643">
            <v>2</v>
          </cell>
          <cell r="AA643">
            <v>0</v>
          </cell>
          <cell r="AB643">
            <v>1</v>
          </cell>
          <cell r="AC643">
            <v>0</v>
          </cell>
          <cell r="AD643">
            <v>0</v>
          </cell>
          <cell r="AE643">
            <v>0</v>
          </cell>
          <cell r="AF643">
            <v>0</v>
          </cell>
          <cell r="AG643">
            <v>0</v>
          </cell>
          <cell r="AH643">
            <v>0</v>
          </cell>
          <cell r="AI643">
            <v>2</v>
          </cell>
          <cell r="AK643">
            <v>0</v>
          </cell>
          <cell r="AL643">
            <v>1</v>
          </cell>
          <cell r="AN643">
            <v>6524</v>
          </cell>
          <cell r="AO643">
            <v>1</v>
          </cell>
          <cell r="AQ643">
            <v>0</v>
          </cell>
          <cell r="AR643">
            <v>14</v>
          </cell>
          <cell r="AS643">
            <v>3</v>
          </cell>
          <cell r="AT643">
            <v>4</v>
          </cell>
          <cell r="AU643">
            <v>1</v>
          </cell>
          <cell r="AV643">
            <v>10</v>
          </cell>
          <cell r="AW643">
            <v>10</v>
          </cell>
          <cell r="AX643">
            <v>3</v>
          </cell>
          <cell r="AY643">
            <v>3</v>
          </cell>
          <cell r="AZ643">
            <v>10</v>
          </cell>
          <cell r="BA643">
            <v>10</v>
          </cell>
          <cell r="BB643">
            <v>8</v>
          </cell>
          <cell r="BC643">
            <v>5</v>
          </cell>
          <cell r="BD643">
            <v>5</v>
          </cell>
          <cell r="BE643">
            <v>3</v>
          </cell>
          <cell r="BF643">
            <v>3</v>
          </cell>
          <cell r="BG643">
            <v>6</v>
          </cell>
          <cell r="BH643">
            <v>0</v>
          </cell>
          <cell r="BI643">
            <v>0</v>
          </cell>
          <cell r="BJ643">
            <v>0</v>
          </cell>
          <cell r="BK643">
            <v>1</v>
          </cell>
          <cell r="BL643">
            <v>0</v>
          </cell>
          <cell r="BM643">
            <v>0</v>
          </cell>
          <cell r="BN643">
            <v>1</v>
          </cell>
          <cell r="BO643">
            <v>0</v>
          </cell>
          <cell r="BP643">
            <v>0</v>
          </cell>
          <cell r="BQ643">
            <v>0</v>
          </cell>
          <cell r="BR643">
            <v>3</v>
          </cell>
          <cell r="BS643">
            <v>0</v>
          </cell>
          <cell r="BT643">
            <v>0</v>
          </cell>
          <cell r="BU643">
            <v>10</v>
          </cell>
        </row>
        <row r="644">
          <cell r="A644">
            <v>38</v>
          </cell>
          <cell r="B644">
            <v>38</v>
          </cell>
          <cell r="D644">
            <v>0</v>
          </cell>
          <cell r="F644">
            <v>0</v>
          </cell>
          <cell r="G644">
            <v>1</v>
          </cell>
          <cell r="I644">
            <v>0</v>
          </cell>
          <cell r="J644">
            <v>1</v>
          </cell>
          <cell r="K644">
            <v>9</v>
          </cell>
          <cell r="L644">
            <v>9</v>
          </cell>
          <cell r="M644">
            <v>3</v>
          </cell>
          <cell r="O644">
            <v>0</v>
          </cell>
          <cell r="P644">
            <v>0</v>
          </cell>
          <cell r="Q644">
            <v>0</v>
          </cell>
          <cell r="R644">
            <v>1</v>
          </cell>
          <cell r="S644">
            <v>0</v>
          </cell>
          <cell r="T644">
            <v>2</v>
          </cell>
          <cell r="V644">
            <v>0</v>
          </cell>
          <cell r="W644">
            <v>98</v>
          </cell>
          <cell r="X644">
            <v>2</v>
          </cell>
          <cell r="Y644">
            <v>1</v>
          </cell>
          <cell r="AA644">
            <v>0</v>
          </cell>
          <cell r="AB644">
            <v>0</v>
          </cell>
          <cell r="AC644">
            <v>0</v>
          </cell>
          <cell r="AD644">
            <v>0</v>
          </cell>
          <cell r="AE644">
            <v>0</v>
          </cell>
          <cell r="AF644">
            <v>0</v>
          </cell>
          <cell r="AG644">
            <v>1</v>
          </cell>
          <cell r="AH644">
            <v>0</v>
          </cell>
          <cell r="AI644">
            <v>2</v>
          </cell>
          <cell r="AK644">
            <v>0</v>
          </cell>
          <cell r="AL644">
            <v>1</v>
          </cell>
          <cell r="AN644">
            <v>2899</v>
          </cell>
          <cell r="AO644">
            <v>0</v>
          </cell>
          <cell r="AQ644">
            <v>0</v>
          </cell>
          <cell r="AR644">
            <v>19</v>
          </cell>
          <cell r="AS644">
            <v>3</v>
          </cell>
          <cell r="AT644">
            <v>4</v>
          </cell>
          <cell r="AU644">
            <v>1</v>
          </cell>
          <cell r="AV644">
            <v>3</v>
          </cell>
          <cell r="AW644">
            <v>3</v>
          </cell>
          <cell r="AX644">
            <v>3</v>
          </cell>
          <cell r="AY644">
            <v>3</v>
          </cell>
          <cell r="AZ644">
            <v>2</v>
          </cell>
          <cell r="BA644">
            <v>2</v>
          </cell>
          <cell r="BB644">
            <v>2</v>
          </cell>
          <cell r="BC644">
            <v>1</v>
          </cell>
          <cell r="BD644">
            <v>1</v>
          </cell>
          <cell r="BE644">
            <v>2</v>
          </cell>
          <cell r="BF644">
            <v>2</v>
          </cell>
          <cell r="BG644">
            <v>2</v>
          </cell>
          <cell r="BH644">
            <v>0</v>
          </cell>
          <cell r="BI644">
            <v>1</v>
          </cell>
          <cell r="BJ644">
            <v>0</v>
          </cell>
          <cell r="BK644">
            <v>0</v>
          </cell>
          <cell r="BL644">
            <v>0</v>
          </cell>
          <cell r="BM644">
            <v>0</v>
          </cell>
          <cell r="BN644">
            <v>1</v>
          </cell>
          <cell r="BO644">
            <v>0</v>
          </cell>
          <cell r="BP644">
            <v>0</v>
          </cell>
          <cell r="BQ644">
            <v>0</v>
          </cell>
          <cell r="BR644">
            <v>2</v>
          </cell>
          <cell r="BS644">
            <v>0</v>
          </cell>
          <cell r="BT644">
            <v>0</v>
          </cell>
          <cell r="BU644">
            <v>3</v>
          </cell>
        </row>
        <row r="645">
          <cell r="A645">
            <v>42</v>
          </cell>
          <cell r="B645">
            <v>42</v>
          </cell>
          <cell r="D645">
            <v>0</v>
          </cell>
          <cell r="F645">
            <v>0</v>
          </cell>
          <cell r="G645">
            <v>1</v>
          </cell>
          <cell r="I645">
            <v>1</v>
          </cell>
          <cell r="J645">
            <v>0</v>
          </cell>
          <cell r="K645">
            <v>3</v>
          </cell>
          <cell r="L645">
            <v>3</v>
          </cell>
          <cell r="M645">
            <v>3</v>
          </cell>
          <cell r="O645">
            <v>1</v>
          </cell>
          <cell r="P645">
            <v>0</v>
          </cell>
          <cell r="Q645">
            <v>0</v>
          </cell>
          <cell r="R645">
            <v>0</v>
          </cell>
          <cell r="S645">
            <v>0</v>
          </cell>
          <cell r="T645">
            <v>3</v>
          </cell>
          <cell r="V645">
            <v>1</v>
          </cell>
          <cell r="W645">
            <v>95</v>
          </cell>
          <cell r="X645">
            <v>4</v>
          </cell>
          <cell r="Y645">
            <v>2</v>
          </cell>
          <cell r="AA645">
            <v>0</v>
          </cell>
          <cell r="AB645">
            <v>0</v>
          </cell>
          <cell r="AC645">
            <v>1</v>
          </cell>
          <cell r="AD645">
            <v>0</v>
          </cell>
          <cell r="AE645">
            <v>0</v>
          </cell>
          <cell r="AF645">
            <v>0</v>
          </cell>
          <cell r="AG645">
            <v>0</v>
          </cell>
          <cell r="AH645">
            <v>0</v>
          </cell>
          <cell r="AI645">
            <v>4</v>
          </cell>
          <cell r="AK645">
            <v>0</v>
          </cell>
          <cell r="AL645">
            <v>1</v>
          </cell>
          <cell r="AN645">
            <v>5231</v>
          </cell>
          <cell r="AO645">
            <v>2</v>
          </cell>
          <cell r="AQ645">
            <v>1</v>
          </cell>
          <cell r="AR645">
            <v>13</v>
          </cell>
          <cell r="AS645">
            <v>3</v>
          </cell>
          <cell r="AT645">
            <v>2</v>
          </cell>
          <cell r="AU645">
            <v>1</v>
          </cell>
          <cell r="AV645">
            <v>17</v>
          </cell>
          <cell r="AW645">
            <v>17</v>
          </cell>
          <cell r="AX645">
            <v>1</v>
          </cell>
          <cell r="AY645">
            <v>2</v>
          </cell>
          <cell r="AZ645">
            <v>5</v>
          </cell>
          <cell r="BA645">
            <v>5</v>
          </cell>
          <cell r="BB645">
            <v>3</v>
          </cell>
          <cell r="BC645">
            <v>1</v>
          </cell>
          <cell r="BD645">
            <v>1</v>
          </cell>
          <cell r="BE645">
            <v>3</v>
          </cell>
          <cell r="BF645">
            <v>3</v>
          </cell>
          <cell r="BG645">
            <v>6</v>
          </cell>
          <cell r="BH645">
            <v>0</v>
          </cell>
          <cell r="BI645">
            <v>1</v>
          </cell>
          <cell r="BJ645">
            <v>0</v>
          </cell>
          <cell r="BK645">
            <v>0</v>
          </cell>
          <cell r="BL645">
            <v>0</v>
          </cell>
          <cell r="BM645">
            <v>0</v>
          </cell>
          <cell r="BN645">
            <v>0</v>
          </cell>
          <cell r="BO645">
            <v>1</v>
          </cell>
          <cell r="BP645">
            <v>0</v>
          </cell>
          <cell r="BQ645">
            <v>3</v>
          </cell>
          <cell r="BR645">
            <v>0</v>
          </cell>
          <cell r="BS645">
            <v>0</v>
          </cell>
          <cell r="BT645">
            <v>17</v>
          </cell>
          <cell r="BU645">
            <v>0</v>
          </cell>
        </row>
        <row r="646">
          <cell r="A646">
            <v>31</v>
          </cell>
          <cell r="B646">
            <v>31</v>
          </cell>
          <cell r="D646">
            <v>0</v>
          </cell>
          <cell r="F646">
            <v>0</v>
          </cell>
          <cell r="G646">
            <v>1</v>
          </cell>
          <cell r="I646">
            <v>1</v>
          </cell>
          <cell r="J646">
            <v>0</v>
          </cell>
          <cell r="K646">
            <v>11</v>
          </cell>
          <cell r="L646">
            <v>11</v>
          </cell>
          <cell r="M646">
            <v>4</v>
          </cell>
          <cell r="O646">
            <v>1</v>
          </cell>
          <cell r="P646">
            <v>0</v>
          </cell>
          <cell r="Q646">
            <v>0</v>
          </cell>
          <cell r="R646">
            <v>0</v>
          </cell>
          <cell r="S646">
            <v>0</v>
          </cell>
          <cell r="T646">
            <v>4</v>
          </cell>
          <cell r="V646">
            <v>0</v>
          </cell>
          <cell r="W646">
            <v>48</v>
          </cell>
          <cell r="X646">
            <v>3</v>
          </cell>
          <cell r="Y646">
            <v>1</v>
          </cell>
          <cell r="AA646">
            <v>0</v>
          </cell>
          <cell r="AB646">
            <v>0</v>
          </cell>
          <cell r="AC646">
            <v>0</v>
          </cell>
          <cell r="AD646">
            <v>0</v>
          </cell>
          <cell r="AE646">
            <v>0</v>
          </cell>
          <cell r="AF646">
            <v>0</v>
          </cell>
          <cell r="AG646">
            <v>0</v>
          </cell>
          <cell r="AH646">
            <v>1</v>
          </cell>
          <cell r="AI646">
            <v>4</v>
          </cell>
          <cell r="AK646">
            <v>0</v>
          </cell>
          <cell r="AL646">
            <v>1</v>
          </cell>
          <cell r="AN646">
            <v>2356</v>
          </cell>
          <cell r="AO646">
            <v>3</v>
          </cell>
          <cell r="AQ646">
            <v>1</v>
          </cell>
          <cell r="AR646">
            <v>19</v>
          </cell>
          <cell r="AS646">
            <v>3</v>
          </cell>
          <cell r="AT646">
            <v>2</v>
          </cell>
          <cell r="AU646">
            <v>1</v>
          </cell>
          <cell r="AV646">
            <v>8</v>
          </cell>
          <cell r="AW646">
            <v>8</v>
          </cell>
          <cell r="AX646">
            <v>2</v>
          </cell>
          <cell r="AY646">
            <v>3</v>
          </cell>
          <cell r="AZ646">
            <v>6</v>
          </cell>
          <cell r="BA646">
            <v>6</v>
          </cell>
          <cell r="BB646">
            <v>4</v>
          </cell>
          <cell r="BC646">
            <v>0</v>
          </cell>
          <cell r="BD646">
            <v>0</v>
          </cell>
          <cell r="BE646">
            <v>2</v>
          </cell>
          <cell r="BF646">
            <v>2</v>
          </cell>
          <cell r="BG646">
            <v>2</v>
          </cell>
          <cell r="BH646">
            <v>0</v>
          </cell>
          <cell r="BI646">
            <v>1</v>
          </cell>
          <cell r="BJ646">
            <v>0</v>
          </cell>
          <cell r="BK646">
            <v>0</v>
          </cell>
          <cell r="BL646">
            <v>0</v>
          </cell>
          <cell r="BM646">
            <v>0</v>
          </cell>
          <cell r="BN646">
            <v>0</v>
          </cell>
          <cell r="BO646">
            <v>1</v>
          </cell>
          <cell r="BP646">
            <v>0</v>
          </cell>
          <cell r="BQ646">
            <v>2</v>
          </cell>
          <cell r="BR646">
            <v>0</v>
          </cell>
          <cell r="BS646">
            <v>0</v>
          </cell>
          <cell r="BT646">
            <v>8</v>
          </cell>
          <cell r="BU646">
            <v>0</v>
          </cell>
        </row>
        <row r="647">
          <cell r="A647">
            <v>29</v>
          </cell>
          <cell r="B647">
            <v>29</v>
          </cell>
          <cell r="D647">
            <v>1</v>
          </cell>
          <cell r="F647">
            <v>0</v>
          </cell>
          <cell r="G647">
            <v>1</v>
          </cell>
          <cell r="I647">
            <v>0</v>
          </cell>
          <cell r="J647">
            <v>1</v>
          </cell>
          <cell r="K647">
            <v>1</v>
          </cell>
          <cell r="L647">
            <v>1</v>
          </cell>
          <cell r="M647">
            <v>3</v>
          </cell>
          <cell r="O647">
            <v>0</v>
          </cell>
          <cell r="P647">
            <v>0</v>
          </cell>
          <cell r="Q647">
            <v>1</v>
          </cell>
          <cell r="R647">
            <v>0</v>
          </cell>
          <cell r="S647">
            <v>0</v>
          </cell>
          <cell r="T647">
            <v>2</v>
          </cell>
          <cell r="V647">
            <v>1</v>
          </cell>
          <cell r="W647">
            <v>48</v>
          </cell>
          <cell r="X647">
            <v>2</v>
          </cell>
          <cell r="Y647">
            <v>1</v>
          </cell>
          <cell r="AA647">
            <v>0</v>
          </cell>
          <cell r="AB647">
            <v>0</v>
          </cell>
          <cell r="AC647">
            <v>0</v>
          </cell>
          <cell r="AD647">
            <v>0</v>
          </cell>
          <cell r="AE647">
            <v>0</v>
          </cell>
          <cell r="AF647">
            <v>0</v>
          </cell>
          <cell r="AG647">
            <v>1</v>
          </cell>
          <cell r="AH647">
            <v>0</v>
          </cell>
          <cell r="AI647">
            <v>3</v>
          </cell>
          <cell r="AK647">
            <v>0</v>
          </cell>
          <cell r="AL647">
            <v>0</v>
          </cell>
          <cell r="AN647">
            <v>2800</v>
          </cell>
          <cell r="AO647">
            <v>6</v>
          </cell>
          <cell r="AQ647">
            <v>1</v>
          </cell>
          <cell r="AR647">
            <v>19</v>
          </cell>
          <cell r="AS647">
            <v>3</v>
          </cell>
          <cell r="AT647">
            <v>3</v>
          </cell>
          <cell r="AU647">
            <v>3</v>
          </cell>
          <cell r="AV647">
            <v>5</v>
          </cell>
          <cell r="AW647">
            <v>5</v>
          </cell>
          <cell r="AX647">
            <v>3</v>
          </cell>
          <cell r="AY647">
            <v>3</v>
          </cell>
          <cell r="AZ647">
            <v>3</v>
          </cell>
          <cell r="BA647">
            <v>3</v>
          </cell>
          <cell r="BB647">
            <v>2</v>
          </cell>
          <cell r="BC647">
            <v>0</v>
          </cell>
          <cell r="BD647">
            <v>0</v>
          </cell>
          <cell r="BE647">
            <v>2</v>
          </cell>
          <cell r="BF647">
            <v>2</v>
          </cell>
          <cell r="BG647">
            <v>2</v>
          </cell>
          <cell r="BH647">
            <v>1</v>
          </cell>
          <cell r="BI647">
            <v>0</v>
          </cell>
          <cell r="BJ647">
            <v>0</v>
          </cell>
          <cell r="BK647">
            <v>0</v>
          </cell>
          <cell r="BL647">
            <v>0</v>
          </cell>
          <cell r="BM647">
            <v>1</v>
          </cell>
          <cell r="BN647">
            <v>0</v>
          </cell>
          <cell r="BO647">
            <v>0</v>
          </cell>
          <cell r="BP647">
            <v>0</v>
          </cell>
          <cell r="BQ647">
            <v>0</v>
          </cell>
          <cell r="BR647">
            <v>2</v>
          </cell>
          <cell r="BS647">
            <v>0</v>
          </cell>
          <cell r="BT647">
            <v>0</v>
          </cell>
          <cell r="BU647">
            <v>5</v>
          </cell>
        </row>
        <row r="648">
          <cell r="A648">
            <v>53</v>
          </cell>
          <cell r="B648">
            <v>53</v>
          </cell>
          <cell r="D648">
            <v>0</v>
          </cell>
          <cell r="F648">
            <v>0</v>
          </cell>
          <cell r="G648">
            <v>1</v>
          </cell>
          <cell r="I648">
            <v>0</v>
          </cell>
          <cell r="J648">
            <v>1</v>
          </cell>
          <cell r="K648">
            <v>8</v>
          </cell>
          <cell r="L648">
            <v>8</v>
          </cell>
          <cell r="M648">
            <v>3</v>
          </cell>
          <cell r="O648">
            <v>0</v>
          </cell>
          <cell r="P648">
            <v>0</v>
          </cell>
          <cell r="Q648">
            <v>0</v>
          </cell>
          <cell r="R648">
            <v>1</v>
          </cell>
          <cell r="S648">
            <v>0</v>
          </cell>
          <cell r="T648">
            <v>1</v>
          </cell>
          <cell r="V648">
            <v>0</v>
          </cell>
          <cell r="W648">
            <v>73</v>
          </cell>
          <cell r="X648">
            <v>3</v>
          </cell>
          <cell r="Y648">
            <v>4</v>
          </cell>
          <cell r="AA648">
            <v>0</v>
          </cell>
          <cell r="AB648">
            <v>1</v>
          </cell>
          <cell r="AC648">
            <v>0</v>
          </cell>
          <cell r="AD648">
            <v>0</v>
          </cell>
          <cell r="AE648">
            <v>0</v>
          </cell>
          <cell r="AF648">
            <v>0</v>
          </cell>
          <cell r="AG648">
            <v>0</v>
          </cell>
          <cell r="AH648">
            <v>0</v>
          </cell>
          <cell r="AI648">
            <v>4</v>
          </cell>
          <cell r="AK648">
            <v>0</v>
          </cell>
          <cell r="AL648">
            <v>1</v>
          </cell>
          <cell r="AN648">
            <v>11836</v>
          </cell>
          <cell r="AO648">
            <v>5</v>
          </cell>
          <cell r="AQ648">
            <v>0</v>
          </cell>
          <cell r="AR648">
            <v>14</v>
          </cell>
          <cell r="AS648">
            <v>3</v>
          </cell>
          <cell r="AT648">
            <v>3</v>
          </cell>
          <cell r="AU648">
            <v>1</v>
          </cell>
          <cell r="AV648">
            <v>28</v>
          </cell>
          <cell r="AW648">
            <v>28</v>
          </cell>
          <cell r="AX648">
            <v>3</v>
          </cell>
          <cell r="AY648">
            <v>3</v>
          </cell>
          <cell r="AZ648">
            <v>2</v>
          </cell>
          <cell r="BA648">
            <v>2</v>
          </cell>
          <cell r="BB648">
            <v>0</v>
          </cell>
          <cell r="BC648">
            <v>2</v>
          </cell>
          <cell r="BD648">
            <v>2</v>
          </cell>
          <cell r="BE648">
            <v>2</v>
          </cell>
          <cell r="BF648">
            <v>2</v>
          </cell>
          <cell r="BG648">
            <v>8</v>
          </cell>
          <cell r="BH648">
            <v>0</v>
          </cell>
          <cell r="BI648">
            <v>1</v>
          </cell>
          <cell r="BJ648">
            <v>0</v>
          </cell>
          <cell r="BK648">
            <v>0</v>
          </cell>
          <cell r="BL648">
            <v>0</v>
          </cell>
          <cell r="BM648">
            <v>0</v>
          </cell>
          <cell r="BN648">
            <v>1</v>
          </cell>
          <cell r="BO648">
            <v>0</v>
          </cell>
          <cell r="BP648">
            <v>0</v>
          </cell>
          <cell r="BQ648">
            <v>0</v>
          </cell>
          <cell r="BR648">
            <v>2</v>
          </cell>
          <cell r="BS648">
            <v>0</v>
          </cell>
          <cell r="BT648">
            <v>0</v>
          </cell>
          <cell r="BU648">
            <v>28</v>
          </cell>
        </row>
        <row r="649">
          <cell r="A649">
            <v>35</v>
          </cell>
          <cell r="B649">
            <v>35</v>
          </cell>
          <cell r="D649">
            <v>0</v>
          </cell>
          <cell r="F649">
            <v>0</v>
          </cell>
          <cell r="G649">
            <v>1</v>
          </cell>
          <cell r="I649">
            <v>1</v>
          </cell>
          <cell r="J649">
            <v>0</v>
          </cell>
          <cell r="K649">
            <v>25</v>
          </cell>
          <cell r="L649">
            <v>25</v>
          </cell>
          <cell r="M649">
            <v>3</v>
          </cell>
          <cell r="O649">
            <v>0</v>
          </cell>
          <cell r="P649">
            <v>0</v>
          </cell>
          <cell r="Q649">
            <v>0</v>
          </cell>
          <cell r="R649">
            <v>0</v>
          </cell>
          <cell r="S649">
            <v>1</v>
          </cell>
          <cell r="T649">
            <v>4</v>
          </cell>
          <cell r="V649">
            <v>0</v>
          </cell>
          <cell r="W649">
            <v>78</v>
          </cell>
          <cell r="X649">
            <v>2</v>
          </cell>
          <cell r="Y649">
            <v>3</v>
          </cell>
          <cell r="AA649">
            <v>0</v>
          </cell>
          <cell r="AB649">
            <v>0</v>
          </cell>
          <cell r="AC649">
            <v>0</v>
          </cell>
          <cell r="AD649">
            <v>0</v>
          </cell>
          <cell r="AE649">
            <v>1</v>
          </cell>
          <cell r="AF649">
            <v>1</v>
          </cell>
          <cell r="AG649">
            <v>0</v>
          </cell>
          <cell r="AH649">
            <v>0</v>
          </cell>
          <cell r="AI649">
            <v>2</v>
          </cell>
          <cell r="AK649">
            <v>0</v>
          </cell>
          <cell r="AL649">
            <v>1</v>
          </cell>
          <cell r="AN649">
            <v>10903</v>
          </cell>
          <cell r="AO649">
            <v>3</v>
          </cell>
          <cell r="AQ649">
            <v>0</v>
          </cell>
          <cell r="AR649">
            <v>16</v>
          </cell>
          <cell r="AS649">
            <v>3</v>
          </cell>
          <cell r="AT649">
            <v>1</v>
          </cell>
          <cell r="AU649">
            <v>0</v>
          </cell>
          <cell r="AV649">
            <v>16</v>
          </cell>
          <cell r="AW649">
            <v>16</v>
          </cell>
          <cell r="AX649">
            <v>2</v>
          </cell>
          <cell r="AY649">
            <v>3</v>
          </cell>
          <cell r="AZ649">
            <v>13</v>
          </cell>
          <cell r="BA649">
            <v>13</v>
          </cell>
          <cell r="BB649">
            <v>10</v>
          </cell>
          <cell r="BC649">
            <v>4</v>
          </cell>
          <cell r="BD649">
            <v>4</v>
          </cell>
          <cell r="BE649">
            <v>8</v>
          </cell>
          <cell r="BF649">
            <v>8</v>
          </cell>
          <cell r="BG649">
            <v>24</v>
          </cell>
          <cell r="BH649">
            <v>0</v>
          </cell>
          <cell r="BI649">
            <v>1</v>
          </cell>
          <cell r="BJ649">
            <v>0</v>
          </cell>
          <cell r="BK649">
            <v>0</v>
          </cell>
          <cell r="BL649">
            <v>0</v>
          </cell>
          <cell r="BM649">
            <v>0</v>
          </cell>
          <cell r="BN649">
            <v>1</v>
          </cell>
          <cell r="BO649">
            <v>0</v>
          </cell>
          <cell r="BP649">
            <v>0</v>
          </cell>
          <cell r="BQ649">
            <v>8</v>
          </cell>
          <cell r="BR649">
            <v>0</v>
          </cell>
          <cell r="BS649">
            <v>0</v>
          </cell>
          <cell r="BT649">
            <v>16</v>
          </cell>
          <cell r="BU649">
            <v>0</v>
          </cell>
        </row>
        <row r="650">
          <cell r="A650">
            <v>37</v>
          </cell>
          <cell r="B650">
            <v>37</v>
          </cell>
          <cell r="D650">
            <v>0</v>
          </cell>
          <cell r="F650">
            <v>1</v>
          </cell>
          <cell r="G650">
            <v>0</v>
          </cell>
          <cell r="I650">
            <v>0</v>
          </cell>
          <cell r="J650">
            <v>1</v>
          </cell>
          <cell r="K650">
            <v>21</v>
          </cell>
          <cell r="L650">
            <v>21</v>
          </cell>
          <cell r="M650">
            <v>2</v>
          </cell>
          <cell r="O650">
            <v>0</v>
          </cell>
          <cell r="P650">
            <v>0</v>
          </cell>
          <cell r="Q650">
            <v>1</v>
          </cell>
          <cell r="R650">
            <v>0</v>
          </cell>
          <cell r="S650">
            <v>0</v>
          </cell>
          <cell r="T650">
            <v>3</v>
          </cell>
          <cell r="V650">
            <v>1</v>
          </cell>
          <cell r="W650">
            <v>54</v>
          </cell>
          <cell r="X650">
            <v>3</v>
          </cell>
          <cell r="Y650">
            <v>1</v>
          </cell>
          <cell r="AA650">
            <v>0</v>
          </cell>
          <cell r="AB650">
            <v>0</v>
          </cell>
          <cell r="AC650">
            <v>0</v>
          </cell>
          <cell r="AD650">
            <v>0</v>
          </cell>
          <cell r="AE650">
            <v>0</v>
          </cell>
          <cell r="AF650">
            <v>0</v>
          </cell>
          <cell r="AG650">
            <v>1</v>
          </cell>
          <cell r="AH650">
            <v>0</v>
          </cell>
          <cell r="AI650">
            <v>4</v>
          </cell>
          <cell r="AK650">
            <v>0</v>
          </cell>
          <cell r="AL650">
            <v>1</v>
          </cell>
          <cell r="AN650">
            <v>2973</v>
          </cell>
          <cell r="AO650">
            <v>5</v>
          </cell>
          <cell r="AQ650">
            <v>0</v>
          </cell>
          <cell r="AR650">
            <v>15</v>
          </cell>
          <cell r="AS650">
            <v>3</v>
          </cell>
          <cell r="AT650">
            <v>2</v>
          </cell>
          <cell r="AU650">
            <v>1</v>
          </cell>
          <cell r="AV650">
            <v>10</v>
          </cell>
          <cell r="AW650">
            <v>10</v>
          </cell>
          <cell r="AX650">
            <v>3</v>
          </cell>
          <cell r="AY650">
            <v>3</v>
          </cell>
          <cell r="AZ650">
            <v>5</v>
          </cell>
          <cell r="BA650">
            <v>5</v>
          </cell>
          <cell r="BB650">
            <v>4</v>
          </cell>
          <cell r="BC650">
            <v>0</v>
          </cell>
          <cell r="BD650">
            <v>0</v>
          </cell>
          <cell r="BE650">
            <v>0</v>
          </cell>
          <cell r="BF650">
            <v>0</v>
          </cell>
          <cell r="BG650">
            <v>0</v>
          </cell>
          <cell r="BH650">
            <v>0</v>
          </cell>
          <cell r="BI650">
            <v>0</v>
          </cell>
          <cell r="BJ650">
            <v>0</v>
          </cell>
          <cell r="BK650">
            <v>1</v>
          </cell>
          <cell r="BL650">
            <v>0</v>
          </cell>
          <cell r="BM650">
            <v>0</v>
          </cell>
          <cell r="BN650">
            <v>1</v>
          </cell>
          <cell r="BO650">
            <v>0</v>
          </cell>
          <cell r="BP650">
            <v>0</v>
          </cell>
          <cell r="BQ650">
            <v>0</v>
          </cell>
          <cell r="BR650">
            <v>0</v>
          </cell>
          <cell r="BS650">
            <v>0</v>
          </cell>
          <cell r="BT650">
            <v>0</v>
          </cell>
          <cell r="BU650">
            <v>10</v>
          </cell>
        </row>
        <row r="651">
          <cell r="A651">
            <v>53</v>
          </cell>
          <cell r="B651">
            <v>53</v>
          </cell>
          <cell r="D651">
            <v>0</v>
          </cell>
          <cell r="F651">
            <v>0</v>
          </cell>
          <cell r="G651">
            <v>1</v>
          </cell>
          <cell r="I651">
            <v>1</v>
          </cell>
          <cell r="J651">
            <v>0</v>
          </cell>
          <cell r="K651">
            <v>23</v>
          </cell>
          <cell r="L651">
            <v>23</v>
          </cell>
          <cell r="M651">
            <v>4</v>
          </cell>
          <cell r="O651">
            <v>1</v>
          </cell>
          <cell r="P651">
            <v>0</v>
          </cell>
          <cell r="Q651">
            <v>0</v>
          </cell>
          <cell r="R651">
            <v>0</v>
          </cell>
          <cell r="S651">
            <v>0</v>
          </cell>
          <cell r="T651">
            <v>4</v>
          </cell>
          <cell r="V651">
            <v>1</v>
          </cell>
          <cell r="W651">
            <v>72</v>
          </cell>
          <cell r="X651">
            <v>3</v>
          </cell>
          <cell r="Y651">
            <v>4</v>
          </cell>
          <cell r="AA651">
            <v>0</v>
          </cell>
          <cell r="AB651">
            <v>0</v>
          </cell>
          <cell r="AC651">
            <v>0</v>
          </cell>
          <cell r="AD651">
            <v>0</v>
          </cell>
          <cell r="AE651">
            <v>0</v>
          </cell>
          <cell r="AF651">
            <v>0</v>
          </cell>
          <cell r="AG651">
            <v>0</v>
          </cell>
          <cell r="AH651">
            <v>0</v>
          </cell>
          <cell r="AI651">
            <v>4</v>
          </cell>
          <cell r="AK651">
            <v>1</v>
          </cell>
          <cell r="AL651">
            <v>0</v>
          </cell>
          <cell r="AN651">
            <v>14275</v>
          </cell>
          <cell r="AO651">
            <v>6</v>
          </cell>
          <cell r="AQ651">
            <v>0</v>
          </cell>
          <cell r="AR651">
            <v>18</v>
          </cell>
          <cell r="AS651">
            <v>3</v>
          </cell>
          <cell r="AT651">
            <v>3</v>
          </cell>
          <cell r="AU651">
            <v>0</v>
          </cell>
          <cell r="AV651">
            <v>33</v>
          </cell>
          <cell r="AW651">
            <v>33</v>
          </cell>
          <cell r="AX651">
            <v>0</v>
          </cell>
          <cell r="AY651">
            <v>3</v>
          </cell>
          <cell r="AZ651">
            <v>12</v>
          </cell>
          <cell r="BA651">
            <v>12</v>
          </cell>
          <cell r="BB651">
            <v>9</v>
          </cell>
          <cell r="BC651">
            <v>3</v>
          </cell>
          <cell r="BD651">
            <v>3</v>
          </cell>
          <cell r="BE651">
            <v>8</v>
          </cell>
          <cell r="BF651">
            <v>8</v>
          </cell>
          <cell r="BG651">
            <v>32</v>
          </cell>
          <cell r="BH651">
            <v>1</v>
          </cell>
          <cell r="BI651">
            <v>0</v>
          </cell>
          <cell r="BJ651">
            <v>0</v>
          </cell>
          <cell r="BK651">
            <v>0</v>
          </cell>
          <cell r="BL651">
            <v>1</v>
          </cell>
          <cell r="BM651">
            <v>0</v>
          </cell>
          <cell r="BN651">
            <v>0</v>
          </cell>
          <cell r="BO651">
            <v>0</v>
          </cell>
          <cell r="BP651">
            <v>0</v>
          </cell>
          <cell r="BQ651">
            <v>8</v>
          </cell>
          <cell r="BR651">
            <v>0</v>
          </cell>
          <cell r="BS651">
            <v>0</v>
          </cell>
          <cell r="BT651">
            <v>33</v>
          </cell>
          <cell r="BU651">
            <v>0</v>
          </cell>
        </row>
        <row r="652">
          <cell r="A652">
            <v>43</v>
          </cell>
          <cell r="B652">
            <v>43</v>
          </cell>
          <cell r="D652">
            <v>0</v>
          </cell>
          <cell r="F652">
            <v>1</v>
          </cell>
          <cell r="G652">
            <v>0</v>
          </cell>
          <cell r="I652">
            <v>1</v>
          </cell>
          <cell r="J652">
            <v>0</v>
          </cell>
          <cell r="K652">
            <v>1</v>
          </cell>
          <cell r="L652">
            <v>1</v>
          </cell>
          <cell r="M652">
            <v>3</v>
          </cell>
          <cell r="O652">
            <v>1</v>
          </cell>
          <cell r="P652">
            <v>0</v>
          </cell>
          <cell r="Q652">
            <v>0</v>
          </cell>
          <cell r="R652">
            <v>0</v>
          </cell>
          <cell r="S652">
            <v>0</v>
          </cell>
          <cell r="T652">
            <v>4</v>
          </cell>
          <cell r="V652">
            <v>1</v>
          </cell>
          <cell r="W652">
            <v>33</v>
          </cell>
          <cell r="X652">
            <v>3</v>
          </cell>
          <cell r="Y652">
            <v>2</v>
          </cell>
          <cell r="AA652">
            <v>1</v>
          </cell>
          <cell r="AB652">
            <v>0</v>
          </cell>
          <cell r="AC652">
            <v>0</v>
          </cell>
          <cell r="AD652">
            <v>0</v>
          </cell>
          <cell r="AE652">
            <v>0</v>
          </cell>
          <cell r="AF652">
            <v>0</v>
          </cell>
          <cell r="AG652">
            <v>0</v>
          </cell>
          <cell r="AH652">
            <v>0</v>
          </cell>
          <cell r="AI652">
            <v>4</v>
          </cell>
          <cell r="AK652">
            <v>0</v>
          </cell>
          <cell r="AL652">
            <v>1</v>
          </cell>
          <cell r="AN652">
            <v>5562</v>
          </cell>
          <cell r="AO652">
            <v>4</v>
          </cell>
          <cell r="AQ652">
            <v>0</v>
          </cell>
          <cell r="AR652">
            <v>13</v>
          </cell>
          <cell r="AS652">
            <v>3</v>
          </cell>
          <cell r="AT652">
            <v>2</v>
          </cell>
          <cell r="AU652">
            <v>1</v>
          </cell>
          <cell r="AV652">
            <v>12</v>
          </cell>
          <cell r="AW652">
            <v>12</v>
          </cell>
          <cell r="AX652">
            <v>2</v>
          </cell>
          <cell r="AY652">
            <v>2</v>
          </cell>
          <cell r="AZ652">
            <v>5</v>
          </cell>
          <cell r="BA652">
            <v>5</v>
          </cell>
          <cell r="BB652">
            <v>2</v>
          </cell>
          <cell r="BC652">
            <v>2</v>
          </cell>
          <cell r="BD652">
            <v>2</v>
          </cell>
          <cell r="BE652">
            <v>2</v>
          </cell>
          <cell r="BF652">
            <v>2</v>
          </cell>
          <cell r="BG652">
            <v>4</v>
          </cell>
          <cell r="BH652">
            <v>0</v>
          </cell>
          <cell r="BI652">
            <v>0</v>
          </cell>
          <cell r="BJ652">
            <v>0</v>
          </cell>
          <cell r="BK652">
            <v>1</v>
          </cell>
          <cell r="BL652">
            <v>0</v>
          </cell>
          <cell r="BM652">
            <v>0</v>
          </cell>
          <cell r="BN652">
            <v>1</v>
          </cell>
          <cell r="BO652">
            <v>0</v>
          </cell>
          <cell r="BP652">
            <v>0</v>
          </cell>
          <cell r="BQ652">
            <v>2</v>
          </cell>
          <cell r="BR652">
            <v>0</v>
          </cell>
          <cell r="BS652">
            <v>0</v>
          </cell>
          <cell r="BT652">
            <v>12</v>
          </cell>
          <cell r="BU652">
            <v>0</v>
          </cell>
        </row>
        <row r="653">
          <cell r="A653">
            <v>47</v>
          </cell>
          <cell r="B653">
            <v>47</v>
          </cell>
          <cell r="D653">
            <v>0</v>
          </cell>
          <cell r="F653">
            <v>0</v>
          </cell>
          <cell r="G653">
            <v>1</v>
          </cell>
          <cell r="I653">
            <v>0</v>
          </cell>
          <cell r="J653">
            <v>1</v>
          </cell>
          <cell r="K653">
            <v>2</v>
          </cell>
          <cell r="L653">
            <v>2</v>
          </cell>
          <cell r="M653">
            <v>2</v>
          </cell>
          <cell r="O653">
            <v>0</v>
          </cell>
          <cell r="P653">
            <v>0</v>
          </cell>
          <cell r="Q653">
            <v>0</v>
          </cell>
          <cell r="R653">
            <v>1</v>
          </cell>
          <cell r="S653">
            <v>0</v>
          </cell>
          <cell r="T653">
            <v>3</v>
          </cell>
          <cell r="V653">
            <v>1</v>
          </cell>
          <cell r="W653">
            <v>35</v>
          </cell>
          <cell r="X653">
            <v>3</v>
          </cell>
          <cell r="Y653">
            <v>2</v>
          </cell>
          <cell r="AA653">
            <v>0</v>
          </cell>
          <cell r="AB653">
            <v>1</v>
          </cell>
          <cell r="AC653">
            <v>0</v>
          </cell>
          <cell r="AD653">
            <v>0</v>
          </cell>
          <cell r="AE653">
            <v>0</v>
          </cell>
          <cell r="AF653">
            <v>0</v>
          </cell>
          <cell r="AG653">
            <v>0</v>
          </cell>
          <cell r="AH653">
            <v>0</v>
          </cell>
          <cell r="AI653">
            <v>4</v>
          </cell>
          <cell r="AK653">
            <v>0</v>
          </cell>
          <cell r="AL653">
            <v>1</v>
          </cell>
          <cell r="AN653">
            <v>4537</v>
          </cell>
          <cell r="AO653">
            <v>0</v>
          </cell>
          <cell r="AQ653">
            <v>1</v>
          </cell>
          <cell r="AR653">
            <v>22</v>
          </cell>
          <cell r="AS653">
            <v>4</v>
          </cell>
          <cell r="AT653">
            <v>1</v>
          </cell>
          <cell r="AU653">
            <v>1</v>
          </cell>
          <cell r="AV653">
            <v>8</v>
          </cell>
          <cell r="AW653">
            <v>8</v>
          </cell>
          <cell r="AX653">
            <v>2</v>
          </cell>
          <cell r="AY653">
            <v>3</v>
          </cell>
          <cell r="AZ653">
            <v>7</v>
          </cell>
          <cell r="BA653">
            <v>7</v>
          </cell>
          <cell r="BB653">
            <v>6</v>
          </cell>
          <cell r="BC653">
            <v>7</v>
          </cell>
          <cell r="BD653">
            <v>7</v>
          </cell>
          <cell r="BE653">
            <v>7</v>
          </cell>
          <cell r="BF653">
            <v>7</v>
          </cell>
          <cell r="BG653">
            <v>14</v>
          </cell>
          <cell r="BH653">
            <v>0</v>
          </cell>
          <cell r="BI653">
            <v>1</v>
          </cell>
          <cell r="BJ653">
            <v>0</v>
          </cell>
          <cell r="BK653">
            <v>0</v>
          </cell>
          <cell r="BL653">
            <v>0</v>
          </cell>
          <cell r="BM653">
            <v>0</v>
          </cell>
          <cell r="BN653">
            <v>0</v>
          </cell>
          <cell r="BO653">
            <v>1</v>
          </cell>
          <cell r="BP653">
            <v>0</v>
          </cell>
          <cell r="BQ653">
            <v>0</v>
          </cell>
          <cell r="BR653">
            <v>7</v>
          </cell>
          <cell r="BS653">
            <v>0</v>
          </cell>
          <cell r="BT653">
            <v>0</v>
          </cell>
          <cell r="BU653">
            <v>8</v>
          </cell>
        </row>
        <row r="654">
          <cell r="A654">
            <v>37</v>
          </cell>
          <cell r="B654">
            <v>37</v>
          </cell>
          <cell r="D654">
            <v>0</v>
          </cell>
          <cell r="F654">
            <v>0</v>
          </cell>
          <cell r="G654">
            <v>0</v>
          </cell>
          <cell r="I654">
            <v>0</v>
          </cell>
          <cell r="J654">
            <v>1</v>
          </cell>
          <cell r="K654">
            <v>19</v>
          </cell>
          <cell r="L654">
            <v>19</v>
          </cell>
          <cell r="M654">
            <v>2</v>
          </cell>
          <cell r="O654">
            <v>0</v>
          </cell>
          <cell r="P654">
            <v>0</v>
          </cell>
          <cell r="Q654">
            <v>1</v>
          </cell>
          <cell r="R654">
            <v>0</v>
          </cell>
          <cell r="S654">
            <v>0</v>
          </cell>
          <cell r="T654">
            <v>1</v>
          </cell>
          <cell r="V654">
            <v>0</v>
          </cell>
          <cell r="W654">
            <v>32</v>
          </cell>
          <cell r="X654">
            <v>3</v>
          </cell>
          <cell r="Y654">
            <v>3</v>
          </cell>
          <cell r="AA654">
            <v>0</v>
          </cell>
          <cell r="AB654">
            <v>1</v>
          </cell>
          <cell r="AC654">
            <v>0</v>
          </cell>
          <cell r="AD654">
            <v>0</v>
          </cell>
          <cell r="AE654">
            <v>0</v>
          </cell>
          <cell r="AF654">
            <v>0</v>
          </cell>
          <cell r="AG654">
            <v>0</v>
          </cell>
          <cell r="AH654">
            <v>0</v>
          </cell>
          <cell r="AI654">
            <v>2</v>
          </cell>
          <cell r="AK654">
            <v>1</v>
          </cell>
          <cell r="AL654">
            <v>0</v>
          </cell>
          <cell r="AN654">
            <v>7642</v>
          </cell>
          <cell r="AO654">
            <v>1</v>
          </cell>
          <cell r="AQ654">
            <v>1</v>
          </cell>
          <cell r="AR654">
            <v>13</v>
          </cell>
          <cell r="AS654">
            <v>3</v>
          </cell>
          <cell r="AT654">
            <v>4</v>
          </cell>
          <cell r="AU654">
            <v>0</v>
          </cell>
          <cell r="AV654">
            <v>10</v>
          </cell>
          <cell r="AW654">
            <v>10</v>
          </cell>
          <cell r="AX654">
            <v>2</v>
          </cell>
          <cell r="AY654">
            <v>3</v>
          </cell>
          <cell r="AZ654">
            <v>10</v>
          </cell>
          <cell r="BA654">
            <v>10</v>
          </cell>
          <cell r="BB654">
            <v>0</v>
          </cell>
          <cell r="BC654">
            <v>0</v>
          </cell>
          <cell r="BD654">
            <v>0</v>
          </cell>
          <cell r="BE654">
            <v>9</v>
          </cell>
          <cell r="BF654">
            <v>9</v>
          </cell>
          <cell r="BG654">
            <v>27</v>
          </cell>
          <cell r="BH654">
            <v>1</v>
          </cell>
          <cell r="BI654">
            <v>0</v>
          </cell>
          <cell r="BJ654">
            <v>0</v>
          </cell>
          <cell r="BK654">
            <v>0</v>
          </cell>
          <cell r="BL654">
            <v>0</v>
          </cell>
          <cell r="BM654">
            <v>1</v>
          </cell>
          <cell r="BN654">
            <v>0</v>
          </cell>
          <cell r="BO654">
            <v>0</v>
          </cell>
          <cell r="BP654">
            <v>0</v>
          </cell>
          <cell r="BQ654">
            <v>0</v>
          </cell>
          <cell r="BR654">
            <v>9</v>
          </cell>
          <cell r="BS654">
            <v>0</v>
          </cell>
          <cell r="BT654">
            <v>0</v>
          </cell>
          <cell r="BU654">
            <v>10</v>
          </cell>
        </row>
        <row r="655">
          <cell r="A655">
            <v>50</v>
          </cell>
          <cell r="B655">
            <v>50</v>
          </cell>
          <cell r="D655">
            <v>0</v>
          </cell>
          <cell r="F655">
            <v>0</v>
          </cell>
          <cell r="G655">
            <v>0</v>
          </cell>
          <cell r="I655">
            <v>1</v>
          </cell>
          <cell r="J655">
            <v>0</v>
          </cell>
          <cell r="K655">
            <v>2</v>
          </cell>
          <cell r="L655">
            <v>2</v>
          </cell>
          <cell r="M655">
            <v>4</v>
          </cell>
          <cell r="O655">
            <v>1</v>
          </cell>
          <cell r="P655">
            <v>0</v>
          </cell>
          <cell r="Q655">
            <v>0</v>
          </cell>
          <cell r="R655">
            <v>0</v>
          </cell>
          <cell r="S655">
            <v>0</v>
          </cell>
          <cell r="T655">
            <v>1</v>
          </cell>
          <cell r="V655">
            <v>0</v>
          </cell>
          <cell r="W655">
            <v>98</v>
          </cell>
          <cell r="X655">
            <v>3</v>
          </cell>
          <cell r="Y655">
            <v>4</v>
          </cell>
          <cell r="AA655">
            <v>0</v>
          </cell>
          <cell r="AB655">
            <v>0</v>
          </cell>
          <cell r="AC655">
            <v>0</v>
          </cell>
          <cell r="AD655">
            <v>1</v>
          </cell>
          <cell r="AE655">
            <v>0</v>
          </cell>
          <cell r="AF655">
            <v>0</v>
          </cell>
          <cell r="AG655">
            <v>0</v>
          </cell>
          <cell r="AH655">
            <v>0</v>
          </cell>
          <cell r="AI655">
            <v>1</v>
          </cell>
          <cell r="AK655">
            <v>0</v>
          </cell>
          <cell r="AL655">
            <v>0</v>
          </cell>
          <cell r="AN655">
            <v>17924</v>
          </cell>
          <cell r="AO655">
            <v>1</v>
          </cell>
          <cell r="AQ655">
            <v>0</v>
          </cell>
          <cell r="AR655">
            <v>11</v>
          </cell>
          <cell r="AS655">
            <v>3</v>
          </cell>
          <cell r="AT655">
            <v>4</v>
          </cell>
          <cell r="AU655">
            <v>1</v>
          </cell>
          <cell r="AV655">
            <v>31</v>
          </cell>
          <cell r="AW655">
            <v>31</v>
          </cell>
          <cell r="AX655">
            <v>3</v>
          </cell>
          <cell r="AY655">
            <v>3</v>
          </cell>
          <cell r="AZ655">
            <v>31</v>
          </cell>
          <cell r="BA655">
            <v>31</v>
          </cell>
          <cell r="BB655">
            <v>6</v>
          </cell>
          <cell r="BC655">
            <v>14</v>
          </cell>
          <cell r="BD655">
            <v>14</v>
          </cell>
          <cell r="BE655">
            <v>7</v>
          </cell>
          <cell r="BF655">
            <v>7</v>
          </cell>
          <cell r="BG655">
            <v>28</v>
          </cell>
          <cell r="BH655">
            <v>1</v>
          </cell>
          <cell r="BI655">
            <v>0</v>
          </cell>
          <cell r="BJ655">
            <v>0</v>
          </cell>
          <cell r="BK655">
            <v>0</v>
          </cell>
          <cell r="BL655">
            <v>1</v>
          </cell>
          <cell r="BM655">
            <v>0</v>
          </cell>
          <cell r="BN655">
            <v>0</v>
          </cell>
          <cell r="BO655">
            <v>0</v>
          </cell>
          <cell r="BP655">
            <v>0</v>
          </cell>
          <cell r="BQ655">
            <v>7</v>
          </cell>
          <cell r="BR655">
            <v>0</v>
          </cell>
          <cell r="BS655">
            <v>0</v>
          </cell>
          <cell r="BT655">
            <v>31</v>
          </cell>
          <cell r="BU655">
            <v>0</v>
          </cell>
        </row>
        <row r="656">
          <cell r="A656">
            <v>39</v>
          </cell>
          <cell r="B656">
            <v>39</v>
          </cell>
          <cell r="D656">
            <v>0</v>
          </cell>
          <cell r="F656">
            <v>0</v>
          </cell>
          <cell r="G656">
            <v>1</v>
          </cell>
          <cell r="I656">
            <v>0</v>
          </cell>
          <cell r="J656">
            <v>0</v>
          </cell>
          <cell r="K656">
            <v>2</v>
          </cell>
          <cell r="L656">
            <v>2</v>
          </cell>
          <cell r="M656">
            <v>3</v>
          </cell>
          <cell r="O656">
            <v>1</v>
          </cell>
          <cell r="P656">
            <v>0</v>
          </cell>
          <cell r="Q656">
            <v>0</v>
          </cell>
          <cell r="R656">
            <v>0</v>
          </cell>
          <cell r="S656">
            <v>0</v>
          </cell>
          <cell r="T656">
            <v>4</v>
          </cell>
          <cell r="V656">
            <v>1</v>
          </cell>
          <cell r="W656">
            <v>42</v>
          </cell>
          <cell r="X656">
            <v>2</v>
          </cell>
          <cell r="Y656">
            <v>2</v>
          </cell>
          <cell r="AA656">
            <v>0</v>
          </cell>
          <cell r="AB656">
            <v>0</v>
          </cell>
          <cell r="AC656">
            <v>0</v>
          </cell>
          <cell r="AD656">
            <v>0</v>
          </cell>
          <cell r="AE656">
            <v>0</v>
          </cell>
          <cell r="AF656">
            <v>0</v>
          </cell>
          <cell r="AG656">
            <v>0</v>
          </cell>
          <cell r="AH656">
            <v>0</v>
          </cell>
          <cell r="AI656">
            <v>4</v>
          </cell>
          <cell r="AK656">
            <v>0</v>
          </cell>
          <cell r="AL656">
            <v>1</v>
          </cell>
          <cell r="AN656">
            <v>5204</v>
          </cell>
          <cell r="AO656">
            <v>8</v>
          </cell>
          <cell r="AQ656">
            <v>0</v>
          </cell>
          <cell r="AR656">
            <v>11</v>
          </cell>
          <cell r="AS656">
            <v>3</v>
          </cell>
          <cell r="AT656">
            <v>3</v>
          </cell>
          <cell r="AU656">
            <v>2</v>
          </cell>
          <cell r="AV656">
            <v>13</v>
          </cell>
          <cell r="AW656">
            <v>13</v>
          </cell>
          <cell r="AX656">
            <v>2</v>
          </cell>
          <cell r="AY656">
            <v>3</v>
          </cell>
          <cell r="AZ656">
            <v>5</v>
          </cell>
          <cell r="BA656">
            <v>5</v>
          </cell>
          <cell r="BB656">
            <v>4</v>
          </cell>
          <cell r="BC656">
            <v>0</v>
          </cell>
          <cell r="BD656">
            <v>0</v>
          </cell>
          <cell r="BE656">
            <v>4</v>
          </cell>
          <cell r="BF656">
            <v>4</v>
          </cell>
          <cell r="BG656">
            <v>8</v>
          </cell>
          <cell r="BH656">
            <v>0</v>
          </cell>
          <cell r="BI656">
            <v>1</v>
          </cell>
          <cell r="BJ656">
            <v>0</v>
          </cell>
          <cell r="BK656">
            <v>0</v>
          </cell>
          <cell r="BL656">
            <v>0</v>
          </cell>
          <cell r="BM656">
            <v>0</v>
          </cell>
          <cell r="BN656">
            <v>1</v>
          </cell>
          <cell r="BO656">
            <v>0</v>
          </cell>
          <cell r="BP656">
            <v>4</v>
          </cell>
          <cell r="BQ656">
            <v>0</v>
          </cell>
          <cell r="BR656">
            <v>0</v>
          </cell>
          <cell r="BS656">
            <v>13</v>
          </cell>
          <cell r="BT656">
            <v>0</v>
          </cell>
          <cell r="BU656">
            <v>0</v>
          </cell>
        </row>
        <row r="657">
          <cell r="A657">
            <v>33</v>
          </cell>
          <cell r="B657">
            <v>33</v>
          </cell>
          <cell r="D657">
            <v>0</v>
          </cell>
          <cell r="F657">
            <v>0</v>
          </cell>
          <cell r="G657">
            <v>1</v>
          </cell>
          <cell r="I657">
            <v>0</v>
          </cell>
          <cell r="J657">
            <v>0</v>
          </cell>
          <cell r="K657">
            <v>3</v>
          </cell>
          <cell r="L657">
            <v>3</v>
          </cell>
          <cell r="M657">
            <v>2</v>
          </cell>
          <cell r="O657">
            <v>0</v>
          </cell>
          <cell r="P657">
            <v>0</v>
          </cell>
          <cell r="Q657">
            <v>0</v>
          </cell>
          <cell r="R657">
            <v>0</v>
          </cell>
          <cell r="S657">
            <v>0</v>
          </cell>
          <cell r="T657">
            <v>4</v>
          </cell>
          <cell r="V657">
            <v>0</v>
          </cell>
          <cell r="W657">
            <v>57</v>
          </cell>
          <cell r="X657">
            <v>3</v>
          </cell>
          <cell r="Y657">
            <v>1</v>
          </cell>
          <cell r="AA657">
            <v>0</v>
          </cell>
          <cell r="AB657">
            <v>0</v>
          </cell>
          <cell r="AC657">
            <v>0</v>
          </cell>
          <cell r="AD657">
            <v>0</v>
          </cell>
          <cell r="AE657">
            <v>0</v>
          </cell>
          <cell r="AF657">
            <v>0</v>
          </cell>
          <cell r="AG657">
            <v>0</v>
          </cell>
          <cell r="AH657">
            <v>0</v>
          </cell>
          <cell r="AI657">
            <v>2</v>
          </cell>
          <cell r="AK657">
            <v>0</v>
          </cell>
          <cell r="AL657">
            <v>0</v>
          </cell>
          <cell r="AN657">
            <v>2277</v>
          </cell>
          <cell r="AO657">
            <v>3</v>
          </cell>
          <cell r="AQ657">
            <v>1</v>
          </cell>
          <cell r="AR657">
            <v>11</v>
          </cell>
          <cell r="AS657">
            <v>3</v>
          </cell>
          <cell r="AT657">
            <v>3</v>
          </cell>
          <cell r="AU657">
            <v>1</v>
          </cell>
          <cell r="AV657">
            <v>7</v>
          </cell>
          <cell r="AW657">
            <v>7</v>
          </cell>
          <cell r="AX657">
            <v>4</v>
          </cell>
          <cell r="AY657">
            <v>4</v>
          </cell>
          <cell r="AZ657">
            <v>4</v>
          </cell>
          <cell r="BA657">
            <v>4</v>
          </cell>
          <cell r="BB657">
            <v>3</v>
          </cell>
          <cell r="BC657">
            <v>0</v>
          </cell>
          <cell r="BD657">
            <v>0</v>
          </cell>
          <cell r="BE657">
            <v>3</v>
          </cell>
          <cell r="BF657">
            <v>3</v>
          </cell>
          <cell r="BG657">
            <v>3</v>
          </cell>
          <cell r="BH657">
            <v>1</v>
          </cell>
          <cell r="BI657">
            <v>0</v>
          </cell>
          <cell r="BJ657">
            <v>0</v>
          </cell>
          <cell r="BK657">
            <v>0</v>
          </cell>
          <cell r="BL657">
            <v>0</v>
          </cell>
          <cell r="BM657">
            <v>1</v>
          </cell>
          <cell r="BN657">
            <v>0</v>
          </cell>
          <cell r="BO657">
            <v>0</v>
          </cell>
          <cell r="BP657">
            <v>3</v>
          </cell>
          <cell r="BQ657">
            <v>0</v>
          </cell>
          <cell r="BR657">
            <v>0</v>
          </cell>
          <cell r="BS657">
            <v>7</v>
          </cell>
          <cell r="BT657">
            <v>0</v>
          </cell>
          <cell r="BU657">
            <v>0</v>
          </cell>
        </row>
        <row r="658">
          <cell r="A658">
            <v>32</v>
          </cell>
          <cell r="B658">
            <v>32</v>
          </cell>
          <cell r="D658">
            <v>1</v>
          </cell>
          <cell r="F658">
            <v>0</v>
          </cell>
          <cell r="G658">
            <v>1</v>
          </cell>
          <cell r="I658">
            <v>1</v>
          </cell>
          <cell r="J658">
            <v>0</v>
          </cell>
          <cell r="K658">
            <v>25</v>
          </cell>
          <cell r="L658">
            <v>25</v>
          </cell>
          <cell r="M658">
            <v>4</v>
          </cell>
          <cell r="O658">
            <v>1</v>
          </cell>
          <cell r="P658">
            <v>0</v>
          </cell>
          <cell r="Q658">
            <v>0</v>
          </cell>
          <cell r="R658">
            <v>0</v>
          </cell>
          <cell r="S658">
            <v>0</v>
          </cell>
          <cell r="T658">
            <v>1</v>
          </cell>
          <cell r="V658">
            <v>0</v>
          </cell>
          <cell r="W658">
            <v>87</v>
          </cell>
          <cell r="X658">
            <v>3</v>
          </cell>
          <cell r="Y658">
            <v>1</v>
          </cell>
          <cell r="AA658">
            <v>0</v>
          </cell>
          <cell r="AB658">
            <v>0</v>
          </cell>
          <cell r="AC658">
            <v>1</v>
          </cell>
          <cell r="AD658">
            <v>0</v>
          </cell>
          <cell r="AE658">
            <v>0</v>
          </cell>
          <cell r="AF658">
            <v>0</v>
          </cell>
          <cell r="AG658">
            <v>0</v>
          </cell>
          <cell r="AH658">
            <v>0</v>
          </cell>
          <cell r="AI658">
            <v>4</v>
          </cell>
          <cell r="AK658">
            <v>1</v>
          </cell>
          <cell r="AL658">
            <v>0</v>
          </cell>
          <cell r="AN658">
            <v>2795</v>
          </cell>
          <cell r="AO658">
            <v>1</v>
          </cell>
          <cell r="AQ658">
            <v>1</v>
          </cell>
          <cell r="AR658">
            <v>24</v>
          </cell>
          <cell r="AS658">
            <v>4</v>
          </cell>
          <cell r="AT658">
            <v>3</v>
          </cell>
          <cell r="AU658">
            <v>0</v>
          </cell>
          <cell r="AV658">
            <v>1</v>
          </cell>
          <cell r="AW658">
            <v>1</v>
          </cell>
          <cell r="AX658">
            <v>2</v>
          </cell>
          <cell r="AY658">
            <v>1</v>
          </cell>
          <cell r="AZ658">
            <v>1</v>
          </cell>
          <cell r="BA658">
            <v>1</v>
          </cell>
          <cell r="BB658">
            <v>0</v>
          </cell>
          <cell r="BC658">
            <v>0</v>
          </cell>
          <cell r="BD658">
            <v>0</v>
          </cell>
          <cell r="BE658">
            <v>1</v>
          </cell>
          <cell r="BF658">
            <v>1</v>
          </cell>
          <cell r="BG658">
            <v>1</v>
          </cell>
          <cell r="BH658">
            <v>1</v>
          </cell>
          <cell r="BI658">
            <v>0</v>
          </cell>
          <cell r="BJ658">
            <v>0</v>
          </cell>
          <cell r="BK658">
            <v>0</v>
          </cell>
          <cell r="BL658">
            <v>0</v>
          </cell>
          <cell r="BM658">
            <v>1</v>
          </cell>
          <cell r="BN658">
            <v>0</v>
          </cell>
          <cell r="BO658">
            <v>0</v>
          </cell>
          <cell r="BP658">
            <v>0</v>
          </cell>
          <cell r="BQ658">
            <v>1</v>
          </cell>
          <cell r="BR658">
            <v>0</v>
          </cell>
          <cell r="BS658">
            <v>0</v>
          </cell>
          <cell r="BT658">
            <v>1</v>
          </cell>
          <cell r="BU658">
            <v>0</v>
          </cell>
        </row>
        <row r="659">
          <cell r="A659">
            <v>29</v>
          </cell>
          <cell r="B659">
            <v>29</v>
          </cell>
          <cell r="D659">
            <v>0</v>
          </cell>
          <cell r="F659">
            <v>0</v>
          </cell>
          <cell r="G659">
            <v>1</v>
          </cell>
          <cell r="I659">
            <v>1</v>
          </cell>
          <cell r="J659">
            <v>0</v>
          </cell>
          <cell r="K659">
            <v>7</v>
          </cell>
          <cell r="L659">
            <v>7</v>
          </cell>
          <cell r="M659">
            <v>1</v>
          </cell>
          <cell r="O659">
            <v>0</v>
          </cell>
          <cell r="P659">
            <v>0</v>
          </cell>
          <cell r="Q659">
            <v>1</v>
          </cell>
          <cell r="R659">
            <v>0</v>
          </cell>
          <cell r="S659">
            <v>0</v>
          </cell>
          <cell r="T659">
            <v>1</v>
          </cell>
          <cell r="V659">
            <v>1</v>
          </cell>
          <cell r="W659">
            <v>62</v>
          </cell>
          <cell r="X659">
            <v>2</v>
          </cell>
          <cell r="Y659">
            <v>1</v>
          </cell>
          <cell r="AA659">
            <v>0</v>
          </cell>
          <cell r="AB659">
            <v>0</v>
          </cell>
          <cell r="AC659">
            <v>1</v>
          </cell>
          <cell r="AD659">
            <v>0</v>
          </cell>
          <cell r="AE659">
            <v>0</v>
          </cell>
          <cell r="AF659">
            <v>0</v>
          </cell>
          <cell r="AG659">
            <v>0</v>
          </cell>
          <cell r="AH659">
            <v>0</v>
          </cell>
          <cell r="AI659">
            <v>4</v>
          </cell>
          <cell r="AK659">
            <v>0</v>
          </cell>
          <cell r="AL659">
            <v>0</v>
          </cell>
          <cell r="AN659">
            <v>2532</v>
          </cell>
          <cell r="AO659">
            <v>6</v>
          </cell>
          <cell r="AQ659">
            <v>0</v>
          </cell>
          <cell r="AR659">
            <v>14</v>
          </cell>
          <cell r="AS659">
            <v>3</v>
          </cell>
          <cell r="AT659">
            <v>3</v>
          </cell>
          <cell r="AU659">
            <v>3</v>
          </cell>
          <cell r="AV659">
            <v>8</v>
          </cell>
          <cell r="AW659">
            <v>8</v>
          </cell>
          <cell r="AX659">
            <v>5</v>
          </cell>
          <cell r="AY659">
            <v>3</v>
          </cell>
          <cell r="AZ659">
            <v>4</v>
          </cell>
          <cell r="BA659">
            <v>4</v>
          </cell>
          <cell r="BB659">
            <v>3</v>
          </cell>
          <cell r="BC659">
            <v>0</v>
          </cell>
          <cell r="BD659">
            <v>0</v>
          </cell>
          <cell r="BE659">
            <v>3</v>
          </cell>
          <cell r="BF659">
            <v>3</v>
          </cell>
          <cell r="BG659">
            <v>3</v>
          </cell>
          <cell r="BH659">
            <v>1</v>
          </cell>
          <cell r="BI659">
            <v>0</v>
          </cell>
          <cell r="BJ659">
            <v>0</v>
          </cell>
          <cell r="BK659">
            <v>0</v>
          </cell>
          <cell r="BL659">
            <v>1</v>
          </cell>
          <cell r="BM659">
            <v>0</v>
          </cell>
          <cell r="BN659">
            <v>0</v>
          </cell>
          <cell r="BO659">
            <v>0</v>
          </cell>
          <cell r="BP659">
            <v>0</v>
          </cell>
          <cell r="BQ659">
            <v>3</v>
          </cell>
          <cell r="BR659">
            <v>0</v>
          </cell>
          <cell r="BS659">
            <v>0</v>
          </cell>
          <cell r="BT659">
            <v>8</v>
          </cell>
          <cell r="BU659">
            <v>0</v>
          </cell>
        </row>
        <row r="660">
          <cell r="A660">
            <v>44</v>
          </cell>
          <cell r="B660">
            <v>44</v>
          </cell>
          <cell r="D660">
            <v>0</v>
          </cell>
          <cell r="F660">
            <v>0</v>
          </cell>
          <cell r="G660">
            <v>1</v>
          </cell>
          <cell r="I660">
            <v>1</v>
          </cell>
          <cell r="J660">
            <v>0</v>
          </cell>
          <cell r="K660">
            <v>9</v>
          </cell>
          <cell r="L660">
            <v>9</v>
          </cell>
          <cell r="M660">
            <v>2</v>
          </cell>
          <cell r="O660">
            <v>1</v>
          </cell>
          <cell r="P660">
            <v>0</v>
          </cell>
          <cell r="Q660">
            <v>0</v>
          </cell>
          <cell r="R660">
            <v>0</v>
          </cell>
          <cell r="S660">
            <v>0</v>
          </cell>
          <cell r="T660">
            <v>2</v>
          </cell>
          <cell r="V660">
            <v>0</v>
          </cell>
          <cell r="W660">
            <v>61</v>
          </cell>
          <cell r="X660">
            <v>3</v>
          </cell>
          <cell r="Y660">
            <v>1</v>
          </cell>
          <cell r="AA660">
            <v>0</v>
          </cell>
          <cell r="AB660">
            <v>0</v>
          </cell>
          <cell r="AC660">
            <v>0</v>
          </cell>
          <cell r="AD660">
            <v>0</v>
          </cell>
          <cell r="AE660">
            <v>0</v>
          </cell>
          <cell r="AF660">
            <v>0</v>
          </cell>
          <cell r="AG660">
            <v>0</v>
          </cell>
          <cell r="AH660">
            <v>1</v>
          </cell>
          <cell r="AI660">
            <v>1</v>
          </cell>
          <cell r="AK660">
            <v>0</v>
          </cell>
          <cell r="AL660">
            <v>1</v>
          </cell>
          <cell r="AN660">
            <v>2559</v>
          </cell>
          <cell r="AO660">
            <v>1</v>
          </cell>
          <cell r="AQ660">
            <v>1</v>
          </cell>
          <cell r="AR660">
            <v>13</v>
          </cell>
          <cell r="AS660">
            <v>3</v>
          </cell>
          <cell r="AT660">
            <v>4</v>
          </cell>
          <cell r="AU660">
            <v>0</v>
          </cell>
          <cell r="AV660">
            <v>8</v>
          </cell>
          <cell r="AW660">
            <v>8</v>
          </cell>
          <cell r="AX660">
            <v>0</v>
          </cell>
          <cell r="AY660">
            <v>3</v>
          </cell>
          <cell r="AZ660">
            <v>8</v>
          </cell>
          <cell r="BA660">
            <v>8</v>
          </cell>
          <cell r="BB660">
            <v>7</v>
          </cell>
          <cell r="BC660">
            <v>7</v>
          </cell>
          <cell r="BD660">
            <v>7</v>
          </cell>
          <cell r="BE660">
            <v>1</v>
          </cell>
          <cell r="BF660">
            <v>1</v>
          </cell>
          <cell r="BG660">
            <v>1</v>
          </cell>
          <cell r="BH660">
            <v>0</v>
          </cell>
          <cell r="BI660">
            <v>1</v>
          </cell>
          <cell r="BJ660">
            <v>0</v>
          </cell>
          <cell r="BK660">
            <v>0</v>
          </cell>
          <cell r="BL660">
            <v>0</v>
          </cell>
          <cell r="BM660">
            <v>0</v>
          </cell>
          <cell r="BN660">
            <v>0</v>
          </cell>
          <cell r="BO660">
            <v>1</v>
          </cell>
          <cell r="BP660">
            <v>0</v>
          </cell>
          <cell r="BQ660">
            <v>1</v>
          </cell>
          <cell r="BR660">
            <v>0</v>
          </cell>
          <cell r="BS660">
            <v>0</v>
          </cell>
          <cell r="BT660">
            <v>8</v>
          </cell>
          <cell r="BU660">
            <v>0</v>
          </cell>
        </row>
        <row r="661">
          <cell r="A661">
            <v>28</v>
          </cell>
          <cell r="B661">
            <v>28</v>
          </cell>
          <cell r="D661">
            <v>0</v>
          </cell>
          <cell r="F661">
            <v>0</v>
          </cell>
          <cell r="G661">
            <v>1</v>
          </cell>
          <cell r="I661">
            <v>0</v>
          </cell>
          <cell r="J661">
            <v>1</v>
          </cell>
          <cell r="K661">
            <v>5</v>
          </cell>
          <cell r="L661">
            <v>5</v>
          </cell>
          <cell r="M661">
            <v>4</v>
          </cell>
          <cell r="O661">
            <v>0</v>
          </cell>
          <cell r="P661">
            <v>0</v>
          </cell>
          <cell r="Q661">
            <v>1</v>
          </cell>
          <cell r="R661">
            <v>0</v>
          </cell>
          <cell r="S661">
            <v>0</v>
          </cell>
          <cell r="T661">
            <v>1</v>
          </cell>
          <cell r="V661">
            <v>0</v>
          </cell>
          <cell r="W661">
            <v>98</v>
          </cell>
          <cell r="X661">
            <v>3</v>
          </cell>
          <cell r="Y661">
            <v>2</v>
          </cell>
          <cell r="AA661">
            <v>0</v>
          </cell>
          <cell r="AB661">
            <v>1</v>
          </cell>
          <cell r="AC661">
            <v>0</v>
          </cell>
          <cell r="AD661">
            <v>0</v>
          </cell>
          <cell r="AE661">
            <v>0</v>
          </cell>
          <cell r="AF661">
            <v>0</v>
          </cell>
          <cell r="AG661">
            <v>0</v>
          </cell>
          <cell r="AH661">
            <v>0</v>
          </cell>
          <cell r="AI661">
            <v>4</v>
          </cell>
          <cell r="AK661">
            <v>1</v>
          </cell>
          <cell r="AL661">
            <v>0</v>
          </cell>
          <cell r="AN661">
            <v>4908</v>
          </cell>
          <cell r="AO661">
            <v>1</v>
          </cell>
          <cell r="AQ661">
            <v>0</v>
          </cell>
          <cell r="AR661">
            <v>14</v>
          </cell>
          <cell r="AS661">
            <v>3</v>
          </cell>
          <cell r="AT661">
            <v>2</v>
          </cell>
          <cell r="AU661">
            <v>0</v>
          </cell>
          <cell r="AV661">
            <v>4</v>
          </cell>
          <cell r="AW661">
            <v>4</v>
          </cell>
          <cell r="AX661">
            <v>3</v>
          </cell>
          <cell r="AY661">
            <v>3</v>
          </cell>
          <cell r="AZ661">
            <v>4</v>
          </cell>
          <cell r="BA661">
            <v>4</v>
          </cell>
          <cell r="BB661">
            <v>2</v>
          </cell>
          <cell r="BC661">
            <v>0</v>
          </cell>
          <cell r="BD661">
            <v>0</v>
          </cell>
          <cell r="BE661">
            <v>2</v>
          </cell>
          <cell r="BF661">
            <v>2</v>
          </cell>
          <cell r="BG661">
            <v>4</v>
          </cell>
          <cell r="BH661">
            <v>1</v>
          </cell>
          <cell r="BI661">
            <v>0</v>
          </cell>
          <cell r="BJ661">
            <v>0</v>
          </cell>
          <cell r="BK661">
            <v>0</v>
          </cell>
          <cell r="BL661">
            <v>1</v>
          </cell>
          <cell r="BM661">
            <v>0</v>
          </cell>
          <cell r="BN661">
            <v>0</v>
          </cell>
          <cell r="BO661">
            <v>0</v>
          </cell>
          <cell r="BP661">
            <v>0</v>
          </cell>
          <cell r="BQ661">
            <v>0</v>
          </cell>
          <cell r="BR661">
            <v>2</v>
          </cell>
          <cell r="BS661">
            <v>0</v>
          </cell>
          <cell r="BT661">
            <v>0</v>
          </cell>
          <cell r="BU661">
            <v>4</v>
          </cell>
        </row>
        <row r="662">
          <cell r="A662">
            <v>58</v>
          </cell>
          <cell r="B662">
            <v>58</v>
          </cell>
          <cell r="D662">
            <v>1</v>
          </cell>
          <cell r="F662">
            <v>1</v>
          </cell>
          <cell r="G662">
            <v>0</v>
          </cell>
          <cell r="I662">
            <v>1</v>
          </cell>
          <cell r="J662">
            <v>0</v>
          </cell>
          <cell r="K662">
            <v>2</v>
          </cell>
          <cell r="L662">
            <v>2</v>
          </cell>
          <cell r="M662">
            <v>1</v>
          </cell>
          <cell r="O662">
            <v>1</v>
          </cell>
          <cell r="P662">
            <v>0</v>
          </cell>
          <cell r="Q662">
            <v>0</v>
          </cell>
          <cell r="R662">
            <v>0</v>
          </cell>
          <cell r="S662">
            <v>0</v>
          </cell>
          <cell r="T662">
            <v>4</v>
          </cell>
          <cell r="V662">
            <v>0</v>
          </cell>
          <cell r="W662">
            <v>57</v>
          </cell>
          <cell r="X662">
            <v>2</v>
          </cell>
          <cell r="Y662">
            <v>1</v>
          </cell>
          <cell r="AA662">
            <v>0</v>
          </cell>
          <cell r="AB662">
            <v>0</v>
          </cell>
          <cell r="AC662">
            <v>1</v>
          </cell>
          <cell r="AD662">
            <v>0</v>
          </cell>
          <cell r="AE662">
            <v>0</v>
          </cell>
          <cell r="AF662">
            <v>0</v>
          </cell>
          <cell r="AG662">
            <v>0</v>
          </cell>
          <cell r="AH662">
            <v>0</v>
          </cell>
          <cell r="AI662">
            <v>4</v>
          </cell>
          <cell r="AK662">
            <v>0</v>
          </cell>
          <cell r="AL662">
            <v>0</v>
          </cell>
          <cell r="AN662">
            <v>2380</v>
          </cell>
          <cell r="AO662">
            <v>9</v>
          </cell>
          <cell r="AQ662">
            <v>1</v>
          </cell>
          <cell r="AR662">
            <v>14</v>
          </cell>
          <cell r="AS662">
            <v>3</v>
          </cell>
          <cell r="AT662">
            <v>4</v>
          </cell>
          <cell r="AU662">
            <v>1</v>
          </cell>
          <cell r="AV662">
            <v>3</v>
          </cell>
          <cell r="AW662">
            <v>3</v>
          </cell>
          <cell r="AX662">
            <v>3</v>
          </cell>
          <cell r="AY662">
            <v>2</v>
          </cell>
          <cell r="AZ662">
            <v>1</v>
          </cell>
          <cell r="BA662">
            <v>1</v>
          </cell>
          <cell r="BB662">
            <v>0</v>
          </cell>
          <cell r="BC662">
            <v>0</v>
          </cell>
          <cell r="BD662">
            <v>0</v>
          </cell>
          <cell r="BE662">
            <v>0</v>
          </cell>
          <cell r="BF662">
            <v>0</v>
          </cell>
          <cell r="BG662">
            <v>0</v>
          </cell>
          <cell r="BH662">
            <v>0</v>
          </cell>
          <cell r="BI662">
            <v>0</v>
          </cell>
          <cell r="BJ662">
            <v>1</v>
          </cell>
          <cell r="BK662">
            <v>0</v>
          </cell>
          <cell r="BL662">
            <v>0</v>
          </cell>
          <cell r="BM662">
            <v>1</v>
          </cell>
          <cell r="BN662">
            <v>0</v>
          </cell>
          <cell r="BO662">
            <v>0</v>
          </cell>
          <cell r="BP662">
            <v>0</v>
          </cell>
          <cell r="BQ662">
            <v>0</v>
          </cell>
          <cell r="BR662">
            <v>0</v>
          </cell>
          <cell r="BS662">
            <v>0</v>
          </cell>
          <cell r="BT662">
            <v>3</v>
          </cell>
          <cell r="BU662">
            <v>0</v>
          </cell>
        </row>
        <row r="663">
          <cell r="A663">
            <v>43</v>
          </cell>
          <cell r="B663">
            <v>43</v>
          </cell>
          <cell r="D663">
            <v>0</v>
          </cell>
          <cell r="F663">
            <v>0</v>
          </cell>
          <cell r="G663">
            <v>1</v>
          </cell>
          <cell r="I663">
            <v>1</v>
          </cell>
          <cell r="J663">
            <v>0</v>
          </cell>
          <cell r="K663">
            <v>8</v>
          </cell>
          <cell r="L663">
            <v>8</v>
          </cell>
          <cell r="M663">
            <v>3</v>
          </cell>
          <cell r="O663">
            <v>1</v>
          </cell>
          <cell r="P663">
            <v>0</v>
          </cell>
          <cell r="Q663">
            <v>0</v>
          </cell>
          <cell r="R663">
            <v>0</v>
          </cell>
          <cell r="S663">
            <v>0</v>
          </cell>
          <cell r="T663">
            <v>1</v>
          </cell>
          <cell r="V663">
            <v>1</v>
          </cell>
          <cell r="W663">
            <v>55</v>
          </cell>
          <cell r="X663">
            <v>3</v>
          </cell>
          <cell r="Y663">
            <v>2</v>
          </cell>
          <cell r="AA663">
            <v>0</v>
          </cell>
          <cell r="AB663">
            <v>0</v>
          </cell>
          <cell r="AC663">
            <v>0</v>
          </cell>
          <cell r="AD663">
            <v>0</v>
          </cell>
          <cell r="AE663">
            <v>1</v>
          </cell>
          <cell r="AF663">
            <v>1</v>
          </cell>
          <cell r="AG663">
            <v>0</v>
          </cell>
          <cell r="AH663">
            <v>0</v>
          </cell>
          <cell r="AI663">
            <v>2</v>
          </cell>
          <cell r="AK663">
            <v>0</v>
          </cell>
          <cell r="AL663">
            <v>0</v>
          </cell>
          <cell r="AN663">
            <v>4765</v>
          </cell>
          <cell r="AO663">
            <v>4</v>
          </cell>
          <cell r="AQ663">
            <v>0</v>
          </cell>
          <cell r="AR663">
            <v>21</v>
          </cell>
          <cell r="AS663">
            <v>4</v>
          </cell>
          <cell r="AT663">
            <v>3</v>
          </cell>
          <cell r="AU663">
            <v>1</v>
          </cell>
          <cell r="AV663">
            <v>4</v>
          </cell>
          <cell r="AW663">
            <v>4</v>
          </cell>
          <cell r="AX663">
            <v>2</v>
          </cell>
          <cell r="AY663">
            <v>4</v>
          </cell>
          <cell r="AZ663">
            <v>1</v>
          </cell>
          <cell r="BA663">
            <v>1</v>
          </cell>
          <cell r="BB663">
            <v>0</v>
          </cell>
          <cell r="BC663">
            <v>0</v>
          </cell>
          <cell r="BD663">
            <v>0</v>
          </cell>
          <cell r="BE663">
            <v>0</v>
          </cell>
          <cell r="BF663">
            <v>0</v>
          </cell>
          <cell r="BG663">
            <v>0</v>
          </cell>
          <cell r="BH663">
            <v>1</v>
          </cell>
          <cell r="BI663">
            <v>0</v>
          </cell>
          <cell r="BJ663">
            <v>0</v>
          </cell>
          <cell r="BK663">
            <v>0</v>
          </cell>
          <cell r="BL663">
            <v>1</v>
          </cell>
          <cell r="BM663">
            <v>0</v>
          </cell>
          <cell r="BN663">
            <v>0</v>
          </cell>
          <cell r="BO663">
            <v>0</v>
          </cell>
          <cell r="BP663">
            <v>0</v>
          </cell>
          <cell r="BQ663">
            <v>0</v>
          </cell>
          <cell r="BR663">
            <v>0</v>
          </cell>
          <cell r="BS663">
            <v>0</v>
          </cell>
          <cell r="BT663">
            <v>4</v>
          </cell>
          <cell r="BU663">
            <v>0</v>
          </cell>
        </row>
        <row r="664">
          <cell r="A664">
            <v>20</v>
          </cell>
          <cell r="B664">
            <v>20</v>
          </cell>
          <cell r="D664">
            <v>1</v>
          </cell>
          <cell r="F664">
            <v>0</v>
          </cell>
          <cell r="G664">
            <v>1</v>
          </cell>
          <cell r="I664">
            <v>0</v>
          </cell>
          <cell r="J664">
            <v>1</v>
          </cell>
          <cell r="K664">
            <v>2</v>
          </cell>
          <cell r="L664">
            <v>2</v>
          </cell>
          <cell r="M664">
            <v>3</v>
          </cell>
          <cell r="O664">
            <v>0</v>
          </cell>
          <cell r="P664">
            <v>0</v>
          </cell>
          <cell r="Q664">
            <v>1</v>
          </cell>
          <cell r="R664">
            <v>0</v>
          </cell>
          <cell r="S664">
            <v>0</v>
          </cell>
          <cell r="T664">
            <v>3</v>
          </cell>
          <cell r="V664">
            <v>1</v>
          </cell>
          <cell r="W664">
            <v>49</v>
          </cell>
          <cell r="X664">
            <v>2</v>
          </cell>
          <cell r="Y664">
            <v>1</v>
          </cell>
          <cell r="AA664">
            <v>0</v>
          </cell>
          <cell r="AB664">
            <v>0</v>
          </cell>
          <cell r="AC664">
            <v>0</v>
          </cell>
          <cell r="AD664">
            <v>0</v>
          </cell>
          <cell r="AE664">
            <v>0</v>
          </cell>
          <cell r="AF664">
            <v>0</v>
          </cell>
          <cell r="AG664">
            <v>1</v>
          </cell>
          <cell r="AH664">
            <v>0</v>
          </cell>
          <cell r="AI664">
            <v>3</v>
          </cell>
          <cell r="AK664">
            <v>1</v>
          </cell>
          <cell r="AL664">
            <v>0</v>
          </cell>
          <cell r="AN664">
            <v>2044</v>
          </cell>
          <cell r="AO664">
            <v>1</v>
          </cell>
          <cell r="AQ664">
            <v>0</v>
          </cell>
          <cell r="AR664">
            <v>13</v>
          </cell>
          <cell r="AS664">
            <v>3</v>
          </cell>
          <cell r="AT664">
            <v>4</v>
          </cell>
          <cell r="AU664">
            <v>0</v>
          </cell>
          <cell r="AV664">
            <v>2</v>
          </cell>
          <cell r="AW664">
            <v>2</v>
          </cell>
          <cell r="AX664">
            <v>3</v>
          </cell>
          <cell r="AY664">
            <v>2</v>
          </cell>
          <cell r="AZ664">
            <v>2</v>
          </cell>
          <cell r="BA664">
            <v>2</v>
          </cell>
          <cell r="BB664">
            <v>2</v>
          </cell>
          <cell r="BC664">
            <v>0</v>
          </cell>
          <cell r="BD664">
            <v>0</v>
          </cell>
          <cell r="BE664">
            <v>2</v>
          </cell>
          <cell r="BF664">
            <v>2</v>
          </cell>
          <cell r="BG664">
            <v>2</v>
          </cell>
          <cell r="BH664">
            <v>1</v>
          </cell>
          <cell r="BI664">
            <v>0</v>
          </cell>
          <cell r="BJ664">
            <v>0</v>
          </cell>
          <cell r="BK664">
            <v>0</v>
          </cell>
          <cell r="BL664">
            <v>1</v>
          </cell>
          <cell r="BM664">
            <v>0</v>
          </cell>
          <cell r="BN664">
            <v>0</v>
          </cell>
          <cell r="BO664">
            <v>0</v>
          </cell>
          <cell r="BP664">
            <v>0</v>
          </cell>
          <cell r="BQ664">
            <v>0</v>
          </cell>
          <cell r="BR664">
            <v>2</v>
          </cell>
          <cell r="BS664">
            <v>0</v>
          </cell>
          <cell r="BT664">
            <v>0</v>
          </cell>
          <cell r="BU664">
            <v>2</v>
          </cell>
        </row>
        <row r="665">
          <cell r="A665">
            <v>21</v>
          </cell>
          <cell r="B665">
            <v>21</v>
          </cell>
          <cell r="D665">
            <v>1</v>
          </cell>
          <cell r="F665">
            <v>0</v>
          </cell>
          <cell r="G665">
            <v>1</v>
          </cell>
          <cell r="I665">
            <v>1</v>
          </cell>
          <cell r="J665">
            <v>0</v>
          </cell>
          <cell r="K665">
            <v>18</v>
          </cell>
          <cell r="L665">
            <v>18</v>
          </cell>
          <cell r="M665">
            <v>1</v>
          </cell>
          <cell r="O665">
            <v>0</v>
          </cell>
          <cell r="P665">
            <v>1</v>
          </cell>
          <cell r="Q665">
            <v>0</v>
          </cell>
          <cell r="R665">
            <v>0</v>
          </cell>
          <cell r="S665">
            <v>0</v>
          </cell>
          <cell r="T665">
            <v>4</v>
          </cell>
          <cell r="V665">
            <v>1</v>
          </cell>
          <cell r="W665">
            <v>65</v>
          </cell>
          <cell r="X665">
            <v>3</v>
          </cell>
          <cell r="Y665">
            <v>1</v>
          </cell>
          <cell r="AA665">
            <v>0</v>
          </cell>
          <cell r="AB665">
            <v>0</v>
          </cell>
          <cell r="AC665">
            <v>0</v>
          </cell>
          <cell r="AD665">
            <v>0</v>
          </cell>
          <cell r="AE665">
            <v>0</v>
          </cell>
          <cell r="AF665">
            <v>0</v>
          </cell>
          <cell r="AG665">
            <v>0</v>
          </cell>
          <cell r="AH665">
            <v>1</v>
          </cell>
          <cell r="AI665">
            <v>4</v>
          </cell>
          <cell r="AK665">
            <v>1</v>
          </cell>
          <cell r="AL665">
            <v>0</v>
          </cell>
          <cell r="AN665">
            <v>2693</v>
          </cell>
          <cell r="AO665">
            <v>1</v>
          </cell>
          <cell r="AQ665">
            <v>0</v>
          </cell>
          <cell r="AR665">
            <v>19</v>
          </cell>
          <cell r="AS665">
            <v>3</v>
          </cell>
          <cell r="AT665">
            <v>1</v>
          </cell>
          <cell r="AU665">
            <v>0</v>
          </cell>
          <cell r="AV665">
            <v>1</v>
          </cell>
          <cell r="AW665">
            <v>1</v>
          </cell>
          <cell r="AX665">
            <v>3</v>
          </cell>
          <cell r="AY665">
            <v>2</v>
          </cell>
          <cell r="AZ665">
            <v>1</v>
          </cell>
          <cell r="BA665">
            <v>1</v>
          </cell>
          <cell r="BB665">
            <v>0</v>
          </cell>
          <cell r="BC665">
            <v>0</v>
          </cell>
          <cell r="BD665">
            <v>0</v>
          </cell>
          <cell r="BE665">
            <v>0</v>
          </cell>
          <cell r="BF665">
            <v>0</v>
          </cell>
          <cell r="BG665">
            <v>0</v>
          </cell>
          <cell r="BH665">
            <v>1</v>
          </cell>
          <cell r="BI665">
            <v>0</v>
          </cell>
          <cell r="BJ665">
            <v>0</v>
          </cell>
          <cell r="BK665">
            <v>0</v>
          </cell>
          <cell r="BL665">
            <v>1</v>
          </cell>
          <cell r="BM665">
            <v>0</v>
          </cell>
          <cell r="BN665">
            <v>0</v>
          </cell>
          <cell r="BO665">
            <v>0</v>
          </cell>
          <cell r="BP665">
            <v>0</v>
          </cell>
          <cell r="BQ665">
            <v>0</v>
          </cell>
          <cell r="BR665">
            <v>0</v>
          </cell>
          <cell r="BS665">
            <v>0</v>
          </cell>
          <cell r="BT665">
            <v>1</v>
          </cell>
          <cell r="BU665">
            <v>0</v>
          </cell>
        </row>
        <row r="666">
          <cell r="A666">
            <v>36</v>
          </cell>
          <cell r="B666">
            <v>36</v>
          </cell>
          <cell r="D666">
            <v>0</v>
          </cell>
          <cell r="F666">
            <v>0</v>
          </cell>
          <cell r="G666">
            <v>1</v>
          </cell>
          <cell r="I666">
            <v>1</v>
          </cell>
          <cell r="J666">
            <v>0</v>
          </cell>
          <cell r="K666">
            <v>14</v>
          </cell>
          <cell r="L666">
            <v>14</v>
          </cell>
          <cell r="M666">
            <v>1</v>
          </cell>
          <cell r="O666">
            <v>1</v>
          </cell>
          <cell r="P666">
            <v>0</v>
          </cell>
          <cell r="Q666">
            <v>0</v>
          </cell>
          <cell r="R666">
            <v>0</v>
          </cell>
          <cell r="S666">
            <v>0</v>
          </cell>
          <cell r="T666">
            <v>3</v>
          </cell>
          <cell r="V666">
            <v>0</v>
          </cell>
          <cell r="W666">
            <v>68</v>
          </cell>
          <cell r="X666">
            <v>3</v>
          </cell>
          <cell r="Y666">
            <v>2</v>
          </cell>
          <cell r="AA666">
            <v>1</v>
          </cell>
          <cell r="AB666">
            <v>0</v>
          </cell>
          <cell r="AC666">
            <v>0</v>
          </cell>
          <cell r="AD666">
            <v>0</v>
          </cell>
          <cell r="AE666">
            <v>0</v>
          </cell>
          <cell r="AF666">
            <v>0</v>
          </cell>
          <cell r="AG666">
            <v>0</v>
          </cell>
          <cell r="AH666">
            <v>0</v>
          </cell>
          <cell r="AI666">
            <v>4</v>
          </cell>
          <cell r="AK666">
            <v>0</v>
          </cell>
          <cell r="AL666">
            <v>1</v>
          </cell>
          <cell r="AN666">
            <v>6586</v>
          </cell>
          <cell r="AO666">
            <v>0</v>
          </cell>
          <cell r="AQ666">
            <v>1</v>
          </cell>
          <cell r="AR666">
            <v>17</v>
          </cell>
          <cell r="AS666">
            <v>3</v>
          </cell>
          <cell r="AT666">
            <v>1</v>
          </cell>
          <cell r="AU666">
            <v>1</v>
          </cell>
          <cell r="AV666">
            <v>17</v>
          </cell>
          <cell r="AW666">
            <v>17</v>
          </cell>
          <cell r="AX666">
            <v>2</v>
          </cell>
          <cell r="AY666">
            <v>2</v>
          </cell>
          <cell r="AZ666">
            <v>16</v>
          </cell>
          <cell r="BA666">
            <v>16</v>
          </cell>
          <cell r="BB666">
            <v>8</v>
          </cell>
          <cell r="BC666">
            <v>4</v>
          </cell>
          <cell r="BD666">
            <v>4</v>
          </cell>
          <cell r="BE666">
            <v>11</v>
          </cell>
          <cell r="BF666">
            <v>11</v>
          </cell>
          <cell r="BG666">
            <v>22</v>
          </cell>
          <cell r="BH666">
            <v>0</v>
          </cell>
          <cell r="BI666">
            <v>1</v>
          </cell>
          <cell r="BJ666">
            <v>0</v>
          </cell>
          <cell r="BK666">
            <v>0</v>
          </cell>
          <cell r="BL666">
            <v>0</v>
          </cell>
          <cell r="BM666">
            <v>0</v>
          </cell>
          <cell r="BN666">
            <v>0</v>
          </cell>
          <cell r="BO666">
            <v>1</v>
          </cell>
          <cell r="BP666">
            <v>0</v>
          </cell>
          <cell r="BQ666">
            <v>11</v>
          </cell>
          <cell r="BR666">
            <v>0</v>
          </cell>
          <cell r="BS666">
            <v>0</v>
          </cell>
          <cell r="BT666">
            <v>17</v>
          </cell>
          <cell r="BU666">
            <v>0</v>
          </cell>
        </row>
        <row r="667">
          <cell r="A667">
            <v>47</v>
          </cell>
          <cell r="B667">
            <v>47</v>
          </cell>
          <cell r="D667">
            <v>0</v>
          </cell>
          <cell r="F667">
            <v>0</v>
          </cell>
          <cell r="G667">
            <v>1</v>
          </cell>
          <cell r="I667">
            <v>0</v>
          </cell>
          <cell r="J667">
            <v>1</v>
          </cell>
          <cell r="K667">
            <v>2</v>
          </cell>
          <cell r="L667">
            <v>2</v>
          </cell>
          <cell r="M667">
            <v>4</v>
          </cell>
          <cell r="O667">
            <v>1</v>
          </cell>
          <cell r="P667">
            <v>0</v>
          </cell>
          <cell r="Q667">
            <v>0</v>
          </cell>
          <cell r="R667">
            <v>0</v>
          </cell>
          <cell r="S667">
            <v>0</v>
          </cell>
          <cell r="T667">
            <v>4</v>
          </cell>
          <cell r="V667">
            <v>1</v>
          </cell>
          <cell r="W667">
            <v>65</v>
          </cell>
          <cell r="X667">
            <v>2</v>
          </cell>
          <cell r="Y667">
            <v>1</v>
          </cell>
          <cell r="AA667">
            <v>0</v>
          </cell>
          <cell r="AB667">
            <v>0</v>
          </cell>
          <cell r="AC667">
            <v>0</v>
          </cell>
          <cell r="AD667">
            <v>0</v>
          </cell>
          <cell r="AE667">
            <v>0</v>
          </cell>
          <cell r="AF667">
            <v>0</v>
          </cell>
          <cell r="AG667">
            <v>1</v>
          </cell>
          <cell r="AH667">
            <v>0</v>
          </cell>
          <cell r="AI667">
            <v>4</v>
          </cell>
          <cell r="AK667">
            <v>1</v>
          </cell>
          <cell r="AL667">
            <v>0</v>
          </cell>
          <cell r="AN667">
            <v>3294</v>
          </cell>
          <cell r="AO667">
            <v>1</v>
          </cell>
          <cell r="AQ667">
            <v>1</v>
          </cell>
          <cell r="AR667">
            <v>18</v>
          </cell>
          <cell r="AS667">
            <v>3</v>
          </cell>
          <cell r="AT667">
            <v>1</v>
          </cell>
          <cell r="AU667">
            <v>0</v>
          </cell>
          <cell r="AV667">
            <v>3</v>
          </cell>
          <cell r="AW667">
            <v>3</v>
          </cell>
          <cell r="AX667">
            <v>3</v>
          </cell>
          <cell r="AY667">
            <v>2</v>
          </cell>
          <cell r="AZ667">
            <v>3</v>
          </cell>
          <cell r="BA667">
            <v>3</v>
          </cell>
          <cell r="BB667">
            <v>2</v>
          </cell>
          <cell r="BC667">
            <v>1</v>
          </cell>
          <cell r="BD667">
            <v>1</v>
          </cell>
          <cell r="BE667">
            <v>2</v>
          </cell>
          <cell r="BF667">
            <v>2</v>
          </cell>
          <cell r="BG667">
            <v>2</v>
          </cell>
          <cell r="BH667">
            <v>1</v>
          </cell>
          <cell r="BI667">
            <v>0</v>
          </cell>
          <cell r="BJ667">
            <v>0</v>
          </cell>
          <cell r="BK667">
            <v>0</v>
          </cell>
          <cell r="BL667">
            <v>0</v>
          </cell>
          <cell r="BM667">
            <v>1</v>
          </cell>
          <cell r="BN667">
            <v>0</v>
          </cell>
          <cell r="BO667">
            <v>0</v>
          </cell>
          <cell r="BP667">
            <v>0</v>
          </cell>
          <cell r="BQ667">
            <v>0</v>
          </cell>
          <cell r="BR667">
            <v>2</v>
          </cell>
          <cell r="BS667">
            <v>0</v>
          </cell>
          <cell r="BT667">
            <v>0</v>
          </cell>
          <cell r="BU667">
            <v>3</v>
          </cell>
        </row>
        <row r="668">
          <cell r="A668">
            <v>22</v>
          </cell>
          <cell r="B668">
            <v>22</v>
          </cell>
          <cell r="D668">
            <v>1</v>
          </cell>
          <cell r="F668">
            <v>0</v>
          </cell>
          <cell r="G668">
            <v>1</v>
          </cell>
          <cell r="I668">
            <v>1</v>
          </cell>
          <cell r="J668">
            <v>0</v>
          </cell>
          <cell r="K668">
            <v>3</v>
          </cell>
          <cell r="L668">
            <v>3</v>
          </cell>
          <cell r="M668">
            <v>1</v>
          </cell>
          <cell r="O668">
            <v>1</v>
          </cell>
          <cell r="P668">
            <v>0</v>
          </cell>
          <cell r="Q668">
            <v>0</v>
          </cell>
          <cell r="R668">
            <v>0</v>
          </cell>
          <cell r="S668">
            <v>0</v>
          </cell>
          <cell r="T668">
            <v>2</v>
          </cell>
          <cell r="V668">
            <v>1</v>
          </cell>
          <cell r="W668">
            <v>34</v>
          </cell>
          <cell r="X668">
            <v>3</v>
          </cell>
          <cell r="Y668">
            <v>2</v>
          </cell>
          <cell r="AA668">
            <v>0</v>
          </cell>
          <cell r="AB668">
            <v>0</v>
          </cell>
          <cell r="AC668">
            <v>0</v>
          </cell>
          <cell r="AD668">
            <v>0</v>
          </cell>
          <cell r="AE668">
            <v>1</v>
          </cell>
          <cell r="AF668">
            <v>1</v>
          </cell>
          <cell r="AG668">
            <v>0</v>
          </cell>
          <cell r="AH668">
            <v>0</v>
          </cell>
          <cell r="AI668">
            <v>3</v>
          </cell>
          <cell r="AK668">
            <v>0</v>
          </cell>
          <cell r="AL668">
            <v>1</v>
          </cell>
          <cell r="AN668">
            <v>4171</v>
          </cell>
          <cell r="AO668">
            <v>0</v>
          </cell>
          <cell r="AQ668">
            <v>1</v>
          </cell>
          <cell r="AR668">
            <v>19</v>
          </cell>
          <cell r="AS668">
            <v>3</v>
          </cell>
          <cell r="AT668">
            <v>1</v>
          </cell>
          <cell r="AU668">
            <v>1</v>
          </cell>
          <cell r="AV668">
            <v>4</v>
          </cell>
          <cell r="AW668">
            <v>4</v>
          </cell>
          <cell r="AX668">
            <v>3</v>
          </cell>
          <cell r="AY668">
            <v>4</v>
          </cell>
          <cell r="AZ668">
            <v>3</v>
          </cell>
          <cell r="BA668">
            <v>3</v>
          </cell>
          <cell r="BB668">
            <v>2</v>
          </cell>
          <cell r="BC668">
            <v>0</v>
          </cell>
          <cell r="BD668">
            <v>0</v>
          </cell>
          <cell r="BE668">
            <v>2</v>
          </cell>
          <cell r="BF668">
            <v>2</v>
          </cell>
          <cell r="BG668">
            <v>4</v>
          </cell>
          <cell r="BH668">
            <v>0</v>
          </cell>
          <cell r="BI668">
            <v>1</v>
          </cell>
          <cell r="BJ668">
            <v>0</v>
          </cell>
          <cell r="BK668">
            <v>0</v>
          </cell>
          <cell r="BL668">
            <v>0</v>
          </cell>
          <cell r="BM668">
            <v>0</v>
          </cell>
          <cell r="BN668">
            <v>0</v>
          </cell>
          <cell r="BO668">
            <v>1</v>
          </cell>
          <cell r="BP668">
            <v>0</v>
          </cell>
          <cell r="BQ668">
            <v>2</v>
          </cell>
          <cell r="BR668">
            <v>0</v>
          </cell>
          <cell r="BS668">
            <v>0</v>
          </cell>
          <cell r="BT668">
            <v>4</v>
          </cell>
          <cell r="BU668">
            <v>0</v>
          </cell>
        </row>
        <row r="669">
          <cell r="A669">
            <v>41</v>
          </cell>
          <cell r="B669">
            <v>41</v>
          </cell>
          <cell r="D669">
            <v>1</v>
          </cell>
          <cell r="F669">
            <v>0</v>
          </cell>
          <cell r="G669">
            <v>1</v>
          </cell>
          <cell r="I669">
            <v>1</v>
          </cell>
          <cell r="J669">
            <v>0</v>
          </cell>
          <cell r="K669">
            <v>2</v>
          </cell>
          <cell r="L669">
            <v>2</v>
          </cell>
          <cell r="M669">
            <v>4</v>
          </cell>
          <cell r="O669">
            <v>1</v>
          </cell>
          <cell r="P669">
            <v>0</v>
          </cell>
          <cell r="Q669">
            <v>0</v>
          </cell>
          <cell r="R669">
            <v>0</v>
          </cell>
          <cell r="S669">
            <v>0</v>
          </cell>
          <cell r="T669">
            <v>2</v>
          </cell>
          <cell r="V669">
            <v>1</v>
          </cell>
          <cell r="W669">
            <v>57</v>
          </cell>
          <cell r="X669">
            <v>1</v>
          </cell>
          <cell r="Y669">
            <v>1</v>
          </cell>
          <cell r="AA669">
            <v>0</v>
          </cell>
          <cell r="AB669">
            <v>0</v>
          </cell>
          <cell r="AC669">
            <v>1</v>
          </cell>
          <cell r="AD669">
            <v>0</v>
          </cell>
          <cell r="AE669">
            <v>0</v>
          </cell>
          <cell r="AF669">
            <v>0</v>
          </cell>
          <cell r="AG669">
            <v>0</v>
          </cell>
          <cell r="AH669">
            <v>0</v>
          </cell>
          <cell r="AI669">
            <v>4</v>
          </cell>
          <cell r="AK669">
            <v>0</v>
          </cell>
          <cell r="AL669">
            <v>0</v>
          </cell>
          <cell r="AN669">
            <v>2778</v>
          </cell>
          <cell r="AO669">
            <v>4</v>
          </cell>
          <cell r="AQ669">
            <v>1</v>
          </cell>
          <cell r="AR669">
            <v>13</v>
          </cell>
          <cell r="AS669">
            <v>3</v>
          </cell>
          <cell r="AT669">
            <v>3</v>
          </cell>
          <cell r="AU669">
            <v>1</v>
          </cell>
          <cell r="AV669">
            <v>10</v>
          </cell>
          <cell r="AW669">
            <v>10</v>
          </cell>
          <cell r="AX669">
            <v>1</v>
          </cell>
          <cell r="AY669">
            <v>2</v>
          </cell>
          <cell r="AZ669">
            <v>7</v>
          </cell>
          <cell r="BA669">
            <v>7</v>
          </cell>
          <cell r="BB669">
            <v>7</v>
          </cell>
          <cell r="BC669">
            <v>1</v>
          </cell>
          <cell r="BD669">
            <v>1</v>
          </cell>
          <cell r="BE669">
            <v>0</v>
          </cell>
          <cell r="BF669">
            <v>0</v>
          </cell>
          <cell r="BG669">
            <v>0</v>
          </cell>
          <cell r="BH669">
            <v>1</v>
          </cell>
          <cell r="BI669">
            <v>0</v>
          </cell>
          <cell r="BJ669">
            <v>0</v>
          </cell>
          <cell r="BK669">
            <v>0</v>
          </cell>
          <cell r="BL669">
            <v>0</v>
          </cell>
          <cell r="BM669">
            <v>1</v>
          </cell>
          <cell r="BN669">
            <v>0</v>
          </cell>
          <cell r="BO669">
            <v>0</v>
          </cell>
          <cell r="BP669">
            <v>0</v>
          </cell>
          <cell r="BQ669">
            <v>0</v>
          </cell>
          <cell r="BR669">
            <v>0</v>
          </cell>
          <cell r="BS669">
            <v>0</v>
          </cell>
          <cell r="BT669">
            <v>10</v>
          </cell>
          <cell r="BU669">
            <v>0</v>
          </cell>
        </row>
        <row r="670">
          <cell r="A670">
            <v>28</v>
          </cell>
          <cell r="B670">
            <v>28</v>
          </cell>
          <cell r="D670">
            <v>0</v>
          </cell>
          <cell r="F670">
            <v>0</v>
          </cell>
          <cell r="G670">
            <v>1</v>
          </cell>
          <cell r="I670">
            <v>1</v>
          </cell>
          <cell r="J670">
            <v>0</v>
          </cell>
          <cell r="K670">
            <v>9</v>
          </cell>
          <cell r="L670">
            <v>9</v>
          </cell>
          <cell r="M670">
            <v>3</v>
          </cell>
          <cell r="O670">
            <v>0</v>
          </cell>
          <cell r="P670">
            <v>0</v>
          </cell>
          <cell r="Q670">
            <v>1</v>
          </cell>
          <cell r="R670">
            <v>0</v>
          </cell>
          <cell r="S670">
            <v>0</v>
          </cell>
          <cell r="T670">
            <v>3</v>
          </cell>
          <cell r="V670">
            <v>1</v>
          </cell>
          <cell r="W670">
            <v>77</v>
          </cell>
          <cell r="X670">
            <v>3</v>
          </cell>
          <cell r="Y670">
            <v>1</v>
          </cell>
          <cell r="AA670">
            <v>0</v>
          </cell>
          <cell r="AB670">
            <v>0</v>
          </cell>
          <cell r="AC670">
            <v>0</v>
          </cell>
          <cell r="AD670">
            <v>0</v>
          </cell>
          <cell r="AE670">
            <v>0</v>
          </cell>
          <cell r="AF670">
            <v>0</v>
          </cell>
          <cell r="AG670">
            <v>0</v>
          </cell>
          <cell r="AH670">
            <v>1</v>
          </cell>
          <cell r="AI670">
            <v>3</v>
          </cell>
          <cell r="AK670">
            <v>0</v>
          </cell>
          <cell r="AL670">
            <v>0</v>
          </cell>
          <cell r="AN670">
            <v>2377</v>
          </cell>
          <cell r="AO670">
            <v>5</v>
          </cell>
          <cell r="AQ670">
            <v>0</v>
          </cell>
          <cell r="AR670">
            <v>18</v>
          </cell>
          <cell r="AS670">
            <v>3</v>
          </cell>
          <cell r="AT670">
            <v>2</v>
          </cell>
          <cell r="AU670">
            <v>1</v>
          </cell>
          <cell r="AV670">
            <v>6</v>
          </cell>
          <cell r="AW670">
            <v>6</v>
          </cell>
          <cell r="AX670">
            <v>2</v>
          </cell>
          <cell r="AY670">
            <v>3</v>
          </cell>
          <cell r="AZ670">
            <v>2</v>
          </cell>
          <cell r="BA670">
            <v>2</v>
          </cell>
          <cell r="BB670">
            <v>2</v>
          </cell>
          <cell r="BC670">
            <v>2</v>
          </cell>
          <cell r="BD670">
            <v>2</v>
          </cell>
          <cell r="BE670">
            <v>2</v>
          </cell>
          <cell r="BF670">
            <v>2</v>
          </cell>
          <cell r="BG670">
            <v>2</v>
          </cell>
          <cell r="BH670">
            <v>1</v>
          </cell>
          <cell r="BI670">
            <v>0</v>
          </cell>
          <cell r="BJ670">
            <v>0</v>
          </cell>
          <cell r="BK670">
            <v>0</v>
          </cell>
          <cell r="BL670">
            <v>1</v>
          </cell>
          <cell r="BM670">
            <v>0</v>
          </cell>
          <cell r="BN670">
            <v>0</v>
          </cell>
          <cell r="BO670">
            <v>0</v>
          </cell>
          <cell r="BP670">
            <v>0</v>
          </cell>
          <cell r="BQ670">
            <v>2</v>
          </cell>
          <cell r="BR670">
            <v>0</v>
          </cell>
          <cell r="BS670">
            <v>0</v>
          </cell>
          <cell r="BT670">
            <v>6</v>
          </cell>
          <cell r="BU670">
            <v>0</v>
          </cell>
        </row>
        <row r="671">
          <cell r="A671">
            <v>39</v>
          </cell>
          <cell r="B671">
            <v>39</v>
          </cell>
          <cell r="D671">
            <v>1</v>
          </cell>
          <cell r="F671">
            <v>0</v>
          </cell>
          <cell r="G671">
            <v>1</v>
          </cell>
          <cell r="I671">
            <v>1</v>
          </cell>
          <cell r="J671">
            <v>0</v>
          </cell>
          <cell r="K671">
            <v>6</v>
          </cell>
          <cell r="L671">
            <v>6</v>
          </cell>
          <cell r="M671">
            <v>3</v>
          </cell>
          <cell r="O671">
            <v>0</v>
          </cell>
          <cell r="P671">
            <v>0</v>
          </cell>
          <cell r="Q671">
            <v>1</v>
          </cell>
          <cell r="R671">
            <v>0</v>
          </cell>
          <cell r="S671">
            <v>0</v>
          </cell>
          <cell r="T671">
            <v>4</v>
          </cell>
          <cell r="V671">
            <v>0</v>
          </cell>
          <cell r="W671">
            <v>70</v>
          </cell>
          <cell r="X671">
            <v>3</v>
          </cell>
          <cell r="Y671">
            <v>1</v>
          </cell>
          <cell r="AA671">
            <v>0</v>
          </cell>
          <cell r="AB671">
            <v>0</v>
          </cell>
          <cell r="AC671">
            <v>1</v>
          </cell>
          <cell r="AD671">
            <v>0</v>
          </cell>
          <cell r="AE671">
            <v>0</v>
          </cell>
          <cell r="AF671">
            <v>0</v>
          </cell>
          <cell r="AG671">
            <v>0</v>
          </cell>
          <cell r="AH671">
            <v>0</v>
          </cell>
          <cell r="AI671">
            <v>1</v>
          </cell>
          <cell r="AK671">
            <v>0</v>
          </cell>
          <cell r="AL671">
            <v>1</v>
          </cell>
          <cell r="AN671">
            <v>2404</v>
          </cell>
          <cell r="AO671">
            <v>7</v>
          </cell>
          <cell r="AQ671">
            <v>1</v>
          </cell>
          <cell r="AR671">
            <v>21</v>
          </cell>
          <cell r="AS671">
            <v>4</v>
          </cell>
          <cell r="AT671">
            <v>4</v>
          </cell>
          <cell r="AU671">
            <v>0</v>
          </cell>
          <cell r="AV671">
            <v>8</v>
          </cell>
          <cell r="AW671">
            <v>8</v>
          </cell>
          <cell r="AX671">
            <v>2</v>
          </cell>
          <cell r="AY671">
            <v>1</v>
          </cell>
          <cell r="AZ671">
            <v>2</v>
          </cell>
          <cell r="BA671">
            <v>2</v>
          </cell>
          <cell r="BB671">
            <v>2</v>
          </cell>
          <cell r="BC671">
            <v>2</v>
          </cell>
          <cell r="BD671">
            <v>2</v>
          </cell>
          <cell r="BE671">
            <v>2</v>
          </cell>
          <cell r="BF671">
            <v>2</v>
          </cell>
          <cell r="BG671">
            <v>2</v>
          </cell>
          <cell r="BH671">
            <v>0</v>
          </cell>
          <cell r="BI671">
            <v>1</v>
          </cell>
          <cell r="BJ671">
            <v>0</v>
          </cell>
          <cell r="BK671">
            <v>0</v>
          </cell>
          <cell r="BL671">
            <v>0</v>
          </cell>
          <cell r="BM671">
            <v>0</v>
          </cell>
          <cell r="BN671">
            <v>0</v>
          </cell>
          <cell r="BO671">
            <v>1</v>
          </cell>
          <cell r="BP671">
            <v>0</v>
          </cell>
          <cell r="BQ671">
            <v>2</v>
          </cell>
          <cell r="BR671">
            <v>0</v>
          </cell>
          <cell r="BS671">
            <v>0</v>
          </cell>
          <cell r="BT671">
            <v>8</v>
          </cell>
          <cell r="BU671">
            <v>0</v>
          </cell>
        </row>
        <row r="672">
          <cell r="A672">
            <v>27</v>
          </cell>
          <cell r="B672">
            <v>27</v>
          </cell>
          <cell r="D672">
            <v>0</v>
          </cell>
          <cell r="F672">
            <v>0</v>
          </cell>
          <cell r="G672">
            <v>1</v>
          </cell>
          <cell r="I672">
            <v>1</v>
          </cell>
          <cell r="J672">
            <v>0</v>
          </cell>
          <cell r="K672">
            <v>4</v>
          </cell>
          <cell r="L672">
            <v>4</v>
          </cell>
          <cell r="M672">
            <v>3</v>
          </cell>
          <cell r="O672">
            <v>1</v>
          </cell>
          <cell r="P672">
            <v>0</v>
          </cell>
          <cell r="Q672">
            <v>0</v>
          </cell>
          <cell r="R672">
            <v>0</v>
          </cell>
          <cell r="S672">
            <v>0</v>
          </cell>
          <cell r="T672">
            <v>2</v>
          </cell>
          <cell r="V672">
            <v>1</v>
          </cell>
          <cell r="W672">
            <v>76</v>
          </cell>
          <cell r="X672">
            <v>3</v>
          </cell>
          <cell r="Y672">
            <v>1</v>
          </cell>
          <cell r="AA672">
            <v>0</v>
          </cell>
          <cell r="AB672">
            <v>0</v>
          </cell>
          <cell r="AC672">
            <v>0</v>
          </cell>
          <cell r="AD672">
            <v>0</v>
          </cell>
          <cell r="AE672">
            <v>0</v>
          </cell>
          <cell r="AF672">
            <v>0</v>
          </cell>
          <cell r="AG672">
            <v>0</v>
          </cell>
          <cell r="AH672">
            <v>1</v>
          </cell>
          <cell r="AI672">
            <v>3</v>
          </cell>
          <cell r="AK672">
            <v>1</v>
          </cell>
          <cell r="AL672">
            <v>0</v>
          </cell>
          <cell r="AN672">
            <v>2318</v>
          </cell>
          <cell r="AO672">
            <v>1</v>
          </cell>
          <cell r="AQ672">
            <v>0</v>
          </cell>
          <cell r="AR672">
            <v>19</v>
          </cell>
          <cell r="AS672">
            <v>3</v>
          </cell>
          <cell r="AT672">
            <v>3</v>
          </cell>
          <cell r="AU672">
            <v>0</v>
          </cell>
          <cell r="AV672">
            <v>1</v>
          </cell>
          <cell r="AW672">
            <v>1</v>
          </cell>
          <cell r="AX672">
            <v>2</v>
          </cell>
          <cell r="AY672">
            <v>3</v>
          </cell>
          <cell r="AZ672">
            <v>1</v>
          </cell>
          <cell r="BA672">
            <v>1</v>
          </cell>
          <cell r="BB672">
            <v>1</v>
          </cell>
          <cell r="BC672">
            <v>0</v>
          </cell>
          <cell r="BD672">
            <v>0</v>
          </cell>
          <cell r="BE672">
            <v>0</v>
          </cell>
          <cell r="BF672">
            <v>0</v>
          </cell>
          <cell r="BG672">
            <v>0</v>
          </cell>
          <cell r="BH672">
            <v>1</v>
          </cell>
          <cell r="BI672">
            <v>0</v>
          </cell>
          <cell r="BJ672">
            <v>0</v>
          </cell>
          <cell r="BK672">
            <v>0</v>
          </cell>
          <cell r="BL672">
            <v>1</v>
          </cell>
          <cell r="BM672">
            <v>0</v>
          </cell>
          <cell r="BN672">
            <v>0</v>
          </cell>
          <cell r="BO672">
            <v>0</v>
          </cell>
          <cell r="BP672">
            <v>0</v>
          </cell>
          <cell r="BQ672">
            <v>0</v>
          </cell>
          <cell r="BR672">
            <v>0</v>
          </cell>
          <cell r="BS672">
            <v>0</v>
          </cell>
          <cell r="BT672">
            <v>1</v>
          </cell>
          <cell r="BU672">
            <v>0</v>
          </cell>
        </row>
        <row r="673">
          <cell r="A673">
            <v>34</v>
          </cell>
          <cell r="B673">
            <v>34</v>
          </cell>
          <cell r="D673">
            <v>0</v>
          </cell>
          <cell r="F673">
            <v>0</v>
          </cell>
          <cell r="G673">
            <v>1</v>
          </cell>
          <cell r="I673">
            <v>1</v>
          </cell>
          <cell r="J673">
            <v>0</v>
          </cell>
          <cell r="K673">
            <v>10</v>
          </cell>
          <cell r="L673">
            <v>10</v>
          </cell>
          <cell r="M673">
            <v>3</v>
          </cell>
          <cell r="O673">
            <v>1</v>
          </cell>
          <cell r="P673">
            <v>0</v>
          </cell>
          <cell r="Q673">
            <v>0</v>
          </cell>
          <cell r="R673">
            <v>0</v>
          </cell>
          <cell r="S673">
            <v>0</v>
          </cell>
          <cell r="T673">
            <v>2</v>
          </cell>
          <cell r="V673">
            <v>0</v>
          </cell>
          <cell r="W673">
            <v>83</v>
          </cell>
          <cell r="X673">
            <v>3</v>
          </cell>
          <cell r="Y673">
            <v>1</v>
          </cell>
          <cell r="AA673">
            <v>0</v>
          </cell>
          <cell r="AB673">
            <v>0</v>
          </cell>
          <cell r="AC673">
            <v>1</v>
          </cell>
          <cell r="AD673">
            <v>0</v>
          </cell>
          <cell r="AE673">
            <v>0</v>
          </cell>
          <cell r="AF673">
            <v>0</v>
          </cell>
          <cell r="AG673">
            <v>0</v>
          </cell>
          <cell r="AH673">
            <v>0</v>
          </cell>
          <cell r="AI673">
            <v>2</v>
          </cell>
          <cell r="AK673">
            <v>0</v>
          </cell>
          <cell r="AL673">
            <v>0</v>
          </cell>
          <cell r="AN673">
            <v>2008</v>
          </cell>
          <cell r="AO673">
            <v>1</v>
          </cell>
          <cell r="AQ673">
            <v>0</v>
          </cell>
          <cell r="AR673">
            <v>14</v>
          </cell>
          <cell r="AS673">
            <v>3</v>
          </cell>
          <cell r="AT673">
            <v>2</v>
          </cell>
          <cell r="AU673">
            <v>2</v>
          </cell>
          <cell r="AV673">
            <v>1</v>
          </cell>
          <cell r="AW673">
            <v>1</v>
          </cell>
          <cell r="AX673">
            <v>3</v>
          </cell>
          <cell r="AY673">
            <v>3</v>
          </cell>
          <cell r="AZ673">
            <v>1</v>
          </cell>
          <cell r="BA673">
            <v>1</v>
          </cell>
          <cell r="BB673">
            <v>0</v>
          </cell>
          <cell r="BC673">
            <v>1</v>
          </cell>
          <cell r="BD673">
            <v>1</v>
          </cell>
          <cell r="BE673">
            <v>0</v>
          </cell>
          <cell r="BF673">
            <v>0</v>
          </cell>
          <cell r="BG673">
            <v>0</v>
          </cell>
          <cell r="BH673">
            <v>1</v>
          </cell>
          <cell r="BI673">
            <v>0</v>
          </cell>
          <cell r="BJ673">
            <v>0</v>
          </cell>
          <cell r="BK673">
            <v>0</v>
          </cell>
          <cell r="BL673">
            <v>1</v>
          </cell>
          <cell r="BM673">
            <v>0</v>
          </cell>
          <cell r="BN673">
            <v>0</v>
          </cell>
          <cell r="BO673">
            <v>0</v>
          </cell>
          <cell r="BP673">
            <v>0</v>
          </cell>
          <cell r="BQ673">
            <v>0</v>
          </cell>
          <cell r="BR673">
            <v>0</v>
          </cell>
          <cell r="BS673">
            <v>0</v>
          </cell>
          <cell r="BT673">
            <v>1</v>
          </cell>
          <cell r="BU673">
            <v>0</v>
          </cell>
        </row>
        <row r="674">
          <cell r="A674">
            <v>42</v>
          </cell>
          <cell r="B674">
            <v>42</v>
          </cell>
          <cell r="D674">
            <v>0</v>
          </cell>
          <cell r="F674">
            <v>0</v>
          </cell>
          <cell r="G674">
            <v>1</v>
          </cell>
          <cell r="I674">
            <v>0</v>
          </cell>
          <cell r="J674">
            <v>1</v>
          </cell>
          <cell r="K674">
            <v>14</v>
          </cell>
          <cell r="L674">
            <v>14</v>
          </cell>
          <cell r="M674">
            <v>2</v>
          </cell>
          <cell r="O674">
            <v>0</v>
          </cell>
          <cell r="P674">
            <v>0</v>
          </cell>
          <cell r="Q674">
            <v>1</v>
          </cell>
          <cell r="R674">
            <v>0</v>
          </cell>
          <cell r="S674">
            <v>0</v>
          </cell>
          <cell r="T674">
            <v>3</v>
          </cell>
          <cell r="V674">
            <v>1</v>
          </cell>
          <cell r="W674">
            <v>68</v>
          </cell>
          <cell r="X674">
            <v>2</v>
          </cell>
          <cell r="Y674">
            <v>2</v>
          </cell>
          <cell r="AA674">
            <v>0</v>
          </cell>
          <cell r="AB674">
            <v>1</v>
          </cell>
          <cell r="AC674">
            <v>0</v>
          </cell>
          <cell r="AD674">
            <v>0</v>
          </cell>
          <cell r="AE674">
            <v>0</v>
          </cell>
          <cell r="AF674">
            <v>0</v>
          </cell>
          <cell r="AG674">
            <v>0</v>
          </cell>
          <cell r="AH674">
            <v>0</v>
          </cell>
          <cell r="AI674">
            <v>3</v>
          </cell>
          <cell r="AK674">
            <v>1</v>
          </cell>
          <cell r="AL674">
            <v>0</v>
          </cell>
          <cell r="AN674">
            <v>6244</v>
          </cell>
          <cell r="AO674">
            <v>7</v>
          </cell>
          <cell r="AQ674">
            <v>0</v>
          </cell>
          <cell r="AR674">
            <v>17</v>
          </cell>
          <cell r="AS674">
            <v>3</v>
          </cell>
          <cell r="AT674">
            <v>1</v>
          </cell>
          <cell r="AU674">
            <v>0</v>
          </cell>
          <cell r="AV674">
            <v>10</v>
          </cell>
          <cell r="AW674">
            <v>10</v>
          </cell>
          <cell r="AX674">
            <v>6</v>
          </cell>
          <cell r="AY674">
            <v>3</v>
          </cell>
          <cell r="AZ674">
            <v>5</v>
          </cell>
          <cell r="BA674">
            <v>5</v>
          </cell>
          <cell r="BB674">
            <v>4</v>
          </cell>
          <cell r="BC674">
            <v>0</v>
          </cell>
          <cell r="BD674">
            <v>0</v>
          </cell>
          <cell r="BE674">
            <v>3</v>
          </cell>
          <cell r="BF674">
            <v>3</v>
          </cell>
          <cell r="BG674">
            <v>6</v>
          </cell>
          <cell r="BH674">
            <v>1</v>
          </cell>
          <cell r="BI674">
            <v>0</v>
          </cell>
          <cell r="BJ674">
            <v>0</v>
          </cell>
          <cell r="BK674">
            <v>0</v>
          </cell>
          <cell r="BL674">
            <v>1</v>
          </cell>
          <cell r="BM674">
            <v>0</v>
          </cell>
          <cell r="BN674">
            <v>0</v>
          </cell>
          <cell r="BO674">
            <v>0</v>
          </cell>
          <cell r="BP674">
            <v>0</v>
          </cell>
          <cell r="BQ674">
            <v>0</v>
          </cell>
          <cell r="BR674">
            <v>3</v>
          </cell>
          <cell r="BS674">
            <v>0</v>
          </cell>
          <cell r="BT674">
            <v>0</v>
          </cell>
          <cell r="BU674">
            <v>10</v>
          </cell>
        </row>
        <row r="675">
          <cell r="A675">
            <v>33</v>
          </cell>
          <cell r="B675">
            <v>33</v>
          </cell>
          <cell r="D675">
            <v>0</v>
          </cell>
          <cell r="F675">
            <v>0</v>
          </cell>
          <cell r="G675">
            <v>1</v>
          </cell>
          <cell r="I675">
            <v>1</v>
          </cell>
          <cell r="J675">
            <v>0</v>
          </cell>
          <cell r="K675">
            <v>1</v>
          </cell>
          <cell r="L675">
            <v>1</v>
          </cell>
          <cell r="M675">
            <v>4</v>
          </cell>
          <cell r="O675">
            <v>0</v>
          </cell>
          <cell r="P675">
            <v>1</v>
          </cell>
          <cell r="Q675">
            <v>0</v>
          </cell>
          <cell r="R675">
            <v>0</v>
          </cell>
          <cell r="S675">
            <v>0</v>
          </cell>
          <cell r="T675">
            <v>3</v>
          </cell>
          <cell r="V675">
            <v>0</v>
          </cell>
          <cell r="W675">
            <v>100</v>
          </cell>
          <cell r="X675">
            <v>2</v>
          </cell>
          <cell r="Y675">
            <v>1</v>
          </cell>
          <cell r="AA675">
            <v>0</v>
          </cell>
          <cell r="AB675">
            <v>0</v>
          </cell>
          <cell r="AC675">
            <v>0</v>
          </cell>
          <cell r="AD675">
            <v>0</v>
          </cell>
          <cell r="AE675">
            <v>0</v>
          </cell>
          <cell r="AF675">
            <v>0</v>
          </cell>
          <cell r="AG675">
            <v>0</v>
          </cell>
          <cell r="AH675">
            <v>1</v>
          </cell>
          <cell r="AI675">
            <v>1</v>
          </cell>
          <cell r="AK675">
            <v>1</v>
          </cell>
          <cell r="AL675">
            <v>0</v>
          </cell>
          <cell r="AN675">
            <v>2799</v>
          </cell>
          <cell r="AO675">
            <v>3</v>
          </cell>
          <cell r="AQ675">
            <v>1</v>
          </cell>
          <cell r="AR675">
            <v>11</v>
          </cell>
          <cell r="AS675">
            <v>3</v>
          </cell>
          <cell r="AT675">
            <v>2</v>
          </cell>
          <cell r="AU675">
            <v>0</v>
          </cell>
          <cell r="AV675">
            <v>6</v>
          </cell>
          <cell r="AW675">
            <v>6</v>
          </cell>
          <cell r="AX675">
            <v>1</v>
          </cell>
          <cell r="AY675">
            <v>3</v>
          </cell>
          <cell r="AZ675">
            <v>3</v>
          </cell>
          <cell r="BA675">
            <v>3</v>
          </cell>
          <cell r="BB675">
            <v>2</v>
          </cell>
          <cell r="BC675">
            <v>0</v>
          </cell>
          <cell r="BD675">
            <v>0</v>
          </cell>
          <cell r="BE675">
            <v>2</v>
          </cell>
          <cell r="BF675">
            <v>2</v>
          </cell>
          <cell r="BG675">
            <v>2</v>
          </cell>
          <cell r="BH675">
            <v>1</v>
          </cell>
          <cell r="BI675">
            <v>0</v>
          </cell>
          <cell r="BJ675">
            <v>0</v>
          </cell>
          <cell r="BK675">
            <v>0</v>
          </cell>
          <cell r="BL675">
            <v>0</v>
          </cell>
          <cell r="BM675">
            <v>1</v>
          </cell>
          <cell r="BN675">
            <v>0</v>
          </cell>
          <cell r="BO675">
            <v>0</v>
          </cell>
          <cell r="BP675">
            <v>0</v>
          </cell>
          <cell r="BQ675">
            <v>2</v>
          </cell>
          <cell r="BR675">
            <v>0</v>
          </cell>
          <cell r="BS675">
            <v>0</v>
          </cell>
          <cell r="BT675">
            <v>6</v>
          </cell>
          <cell r="BU675">
            <v>0</v>
          </cell>
        </row>
        <row r="676">
          <cell r="A676">
            <v>58</v>
          </cell>
          <cell r="B676">
            <v>58</v>
          </cell>
          <cell r="D676">
            <v>0</v>
          </cell>
          <cell r="F676">
            <v>0</v>
          </cell>
          <cell r="G676">
            <v>1</v>
          </cell>
          <cell r="I676">
            <v>1</v>
          </cell>
          <cell r="J676">
            <v>0</v>
          </cell>
          <cell r="K676">
            <v>5</v>
          </cell>
          <cell r="L676">
            <v>5</v>
          </cell>
          <cell r="M676">
            <v>3</v>
          </cell>
          <cell r="O676">
            <v>0</v>
          </cell>
          <cell r="P676">
            <v>0</v>
          </cell>
          <cell r="Q676">
            <v>0</v>
          </cell>
          <cell r="R676">
            <v>0</v>
          </cell>
          <cell r="S676">
            <v>1</v>
          </cell>
          <cell r="T676">
            <v>3</v>
          </cell>
          <cell r="V676">
            <v>1</v>
          </cell>
          <cell r="W676">
            <v>37</v>
          </cell>
          <cell r="X676">
            <v>2</v>
          </cell>
          <cell r="Y676">
            <v>3</v>
          </cell>
          <cell r="AA676">
            <v>1</v>
          </cell>
          <cell r="AB676">
            <v>0</v>
          </cell>
          <cell r="AC676">
            <v>0</v>
          </cell>
          <cell r="AD676">
            <v>0</v>
          </cell>
          <cell r="AE676">
            <v>0</v>
          </cell>
          <cell r="AF676">
            <v>0</v>
          </cell>
          <cell r="AG676">
            <v>0</v>
          </cell>
          <cell r="AH676">
            <v>0</v>
          </cell>
          <cell r="AI676">
            <v>2</v>
          </cell>
          <cell r="AK676">
            <v>0</v>
          </cell>
          <cell r="AL676">
            <v>0</v>
          </cell>
          <cell r="AN676">
            <v>10552</v>
          </cell>
          <cell r="AO676">
            <v>2</v>
          </cell>
          <cell r="AQ676">
            <v>1</v>
          </cell>
          <cell r="AR676">
            <v>13</v>
          </cell>
          <cell r="AS676">
            <v>3</v>
          </cell>
          <cell r="AT676">
            <v>4</v>
          </cell>
          <cell r="AU676">
            <v>1</v>
          </cell>
          <cell r="AV676">
            <v>24</v>
          </cell>
          <cell r="AW676">
            <v>24</v>
          </cell>
          <cell r="AX676">
            <v>3</v>
          </cell>
          <cell r="AY676">
            <v>3</v>
          </cell>
          <cell r="AZ676">
            <v>6</v>
          </cell>
          <cell r="BA676">
            <v>6</v>
          </cell>
          <cell r="BB676">
            <v>0</v>
          </cell>
          <cell r="BC676">
            <v>0</v>
          </cell>
          <cell r="BD676">
            <v>0</v>
          </cell>
          <cell r="BE676">
            <v>4</v>
          </cell>
          <cell r="BF676">
            <v>4</v>
          </cell>
          <cell r="BG676">
            <v>12</v>
          </cell>
          <cell r="BH676">
            <v>1</v>
          </cell>
          <cell r="BI676">
            <v>0</v>
          </cell>
          <cell r="BJ676">
            <v>0</v>
          </cell>
          <cell r="BK676">
            <v>0</v>
          </cell>
          <cell r="BL676">
            <v>0</v>
          </cell>
          <cell r="BM676">
            <v>1</v>
          </cell>
          <cell r="BN676">
            <v>0</v>
          </cell>
          <cell r="BO676">
            <v>0</v>
          </cell>
          <cell r="BP676">
            <v>0</v>
          </cell>
          <cell r="BQ676">
            <v>4</v>
          </cell>
          <cell r="BR676">
            <v>0</v>
          </cell>
          <cell r="BS676">
            <v>0</v>
          </cell>
          <cell r="BT676">
            <v>24</v>
          </cell>
          <cell r="BU676">
            <v>0</v>
          </cell>
        </row>
        <row r="677">
          <cell r="A677">
            <v>31</v>
          </cell>
          <cell r="B677">
            <v>31</v>
          </cell>
          <cell r="D677">
            <v>0</v>
          </cell>
          <cell r="F677">
            <v>0</v>
          </cell>
          <cell r="G677">
            <v>1</v>
          </cell>
          <cell r="I677">
            <v>0</v>
          </cell>
          <cell r="J677">
            <v>1</v>
          </cell>
          <cell r="K677">
            <v>7</v>
          </cell>
          <cell r="L677">
            <v>7</v>
          </cell>
          <cell r="M677">
            <v>4</v>
          </cell>
          <cell r="O677">
            <v>1</v>
          </cell>
          <cell r="P677">
            <v>0</v>
          </cell>
          <cell r="Q677">
            <v>0</v>
          </cell>
          <cell r="R677">
            <v>0</v>
          </cell>
          <cell r="S677">
            <v>0</v>
          </cell>
          <cell r="T677">
            <v>2</v>
          </cell>
          <cell r="V677">
            <v>0</v>
          </cell>
          <cell r="W677">
            <v>41</v>
          </cell>
          <cell r="X677">
            <v>2</v>
          </cell>
          <cell r="Y677">
            <v>1</v>
          </cell>
          <cell r="AA677">
            <v>0</v>
          </cell>
          <cell r="AB677">
            <v>0</v>
          </cell>
          <cell r="AC677">
            <v>0</v>
          </cell>
          <cell r="AD677">
            <v>0</v>
          </cell>
          <cell r="AE677">
            <v>0</v>
          </cell>
          <cell r="AF677">
            <v>0</v>
          </cell>
          <cell r="AG677">
            <v>1</v>
          </cell>
          <cell r="AH677">
            <v>0</v>
          </cell>
          <cell r="AI677">
            <v>3</v>
          </cell>
          <cell r="AK677">
            <v>0</v>
          </cell>
          <cell r="AL677">
            <v>1</v>
          </cell>
          <cell r="AN677">
            <v>2329</v>
          </cell>
          <cell r="AO677">
            <v>3</v>
          </cell>
          <cell r="AQ677">
            <v>0</v>
          </cell>
          <cell r="AR677">
            <v>15</v>
          </cell>
          <cell r="AS677">
            <v>3</v>
          </cell>
          <cell r="AT677">
            <v>2</v>
          </cell>
          <cell r="AU677">
            <v>0</v>
          </cell>
          <cell r="AV677">
            <v>13</v>
          </cell>
          <cell r="AW677">
            <v>13</v>
          </cell>
          <cell r="AX677">
            <v>2</v>
          </cell>
          <cell r="AY677">
            <v>4</v>
          </cell>
          <cell r="AZ677">
            <v>7</v>
          </cell>
          <cell r="BA677">
            <v>7</v>
          </cell>
          <cell r="BB677">
            <v>7</v>
          </cell>
          <cell r="BC677">
            <v>5</v>
          </cell>
          <cell r="BD677">
            <v>5</v>
          </cell>
          <cell r="BE677">
            <v>2</v>
          </cell>
          <cell r="BF677">
            <v>2</v>
          </cell>
          <cell r="BG677">
            <v>2</v>
          </cell>
          <cell r="BH677">
            <v>0</v>
          </cell>
          <cell r="BI677">
            <v>1</v>
          </cell>
          <cell r="BJ677">
            <v>0</v>
          </cell>
          <cell r="BK677">
            <v>0</v>
          </cell>
          <cell r="BL677">
            <v>0</v>
          </cell>
          <cell r="BM677">
            <v>0</v>
          </cell>
          <cell r="BN677">
            <v>1</v>
          </cell>
          <cell r="BO677">
            <v>0</v>
          </cell>
          <cell r="BP677">
            <v>0</v>
          </cell>
          <cell r="BQ677">
            <v>0</v>
          </cell>
          <cell r="BR677">
            <v>2</v>
          </cell>
          <cell r="BS677">
            <v>0</v>
          </cell>
          <cell r="BT677">
            <v>0</v>
          </cell>
          <cell r="BU677">
            <v>13</v>
          </cell>
        </row>
        <row r="678">
          <cell r="A678">
            <v>35</v>
          </cell>
          <cell r="B678">
            <v>35</v>
          </cell>
          <cell r="D678">
            <v>0</v>
          </cell>
          <cell r="F678">
            <v>0</v>
          </cell>
          <cell r="G678">
            <v>1</v>
          </cell>
          <cell r="I678">
            <v>1</v>
          </cell>
          <cell r="J678">
            <v>0</v>
          </cell>
          <cell r="K678">
            <v>21</v>
          </cell>
          <cell r="L678">
            <v>21</v>
          </cell>
          <cell r="M678">
            <v>1</v>
          </cell>
          <cell r="O678">
            <v>1</v>
          </cell>
          <cell r="P678">
            <v>0</v>
          </cell>
          <cell r="Q678">
            <v>0</v>
          </cell>
          <cell r="R678">
            <v>0</v>
          </cell>
          <cell r="S678">
            <v>0</v>
          </cell>
          <cell r="T678">
            <v>4</v>
          </cell>
          <cell r="V678">
            <v>1</v>
          </cell>
          <cell r="W678">
            <v>51</v>
          </cell>
          <cell r="X678">
            <v>3</v>
          </cell>
          <cell r="Y678">
            <v>2</v>
          </cell>
          <cell r="AA678">
            <v>1</v>
          </cell>
          <cell r="AB678">
            <v>0</v>
          </cell>
          <cell r="AC678">
            <v>0</v>
          </cell>
          <cell r="AD678">
            <v>0</v>
          </cell>
          <cell r="AE678">
            <v>0</v>
          </cell>
          <cell r="AF678">
            <v>0</v>
          </cell>
          <cell r="AG678">
            <v>0</v>
          </cell>
          <cell r="AH678">
            <v>0</v>
          </cell>
          <cell r="AI678">
            <v>4</v>
          </cell>
          <cell r="AK678">
            <v>0</v>
          </cell>
          <cell r="AL678">
            <v>1</v>
          </cell>
          <cell r="AN678">
            <v>4014</v>
          </cell>
          <cell r="AO678">
            <v>1</v>
          </cell>
          <cell r="AQ678">
            <v>1</v>
          </cell>
          <cell r="AR678">
            <v>25</v>
          </cell>
          <cell r="AS678">
            <v>4</v>
          </cell>
          <cell r="AT678">
            <v>4</v>
          </cell>
          <cell r="AU678">
            <v>1</v>
          </cell>
          <cell r="AV678">
            <v>10</v>
          </cell>
          <cell r="AW678">
            <v>10</v>
          </cell>
          <cell r="AX678">
            <v>2</v>
          </cell>
          <cell r="AY678">
            <v>1</v>
          </cell>
          <cell r="AZ678">
            <v>10</v>
          </cell>
          <cell r="BA678">
            <v>10</v>
          </cell>
          <cell r="BB678">
            <v>6</v>
          </cell>
          <cell r="BC678">
            <v>0</v>
          </cell>
          <cell r="BD678">
            <v>0</v>
          </cell>
          <cell r="BE678">
            <v>7</v>
          </cell>
          <cell r="BF678">
            <v>7</v>
          </cell>
          <cell r="BG678">
            <v>14</v>
          </cell>
          <cell r="BH678">
            <v>0</v>
          </cell>
          <cell r="BI678">
            <v>1</v>
          </cell>
          <cell r="BJ678">
            <v>0</v>
          </cell>
          <cell r="BK678">
            <v>0</v>
          </cell>
          <cell r="BL678">
            <v>0</v>
          </cell>
          <cell r="BM678">
            <v>0</v>
          </cell>
          <cell r="BN678">
            <v>0</v>
          </cell>
          <cell r="BO678">
            <v>1</v>
          </cell>
          <cell r="BP678">
            <v>0</v>
          </cell>
          <cell r="BQ678">
            <v>7</v>
          </cell>
          <cell r="BR678">
            <v>0</v>
          </cell>
          <cell r="BS678">
            <v>0</v>
          </cell>
          <cell r="BT678">
            <v>10</v>
          </cell>
          <cell r="BU678">
            <v>0</v>
          </cell>
        </row>
        <row r="679">
          <cell r="A679">
            <v>49</v>
          </cell>
          <cell r="B679">
            <v>49</v>
          </cell>
          <cell r="D679">
            <v>0</v>
          </cell>
          <cell r="F679">
            <v>0</v>
          </cell>
          <cell r="G679">
            <v>1</v>
          </cell>
          <cell r="I679">
            <v>1</v>
          </cell>
          <cell r="J679">
            <v>0</v>
          </cell>
          <cell r="K679">
            <v>8</v>
          </cell>
          <cell r="L679">
            <v>8</v>
          </cell>
          <cell r="M679">
            <v>2</v>
          </cell>
          <cell r="O679">
            <v>0</v>
          </cell>
          <cell r="P679">
            <v>1</v>
          </cell>
          <cell r="Q679">
            <v>0</v>
          </cell>
          <cell r="R679">
            <v>0</v>
          </cell>
          <cell r="S679">
            <v>0</v>
          </cell>
          <cell r="T679">
            <v>1</v>
          </cell>
          <cell r="V679">
            <v>1</v>
          </cell>
          <cell r="W679">
            <v>51</v>
          </cell>
          <cell r="X679">
            <v>3</v>
          </cell>
          <cell r="Y679">
            <v>3</v>
          </cell>
          <cell r="AA679">
            <v>0</v>
          </cell>
          <cell r="AB679">
            <v>0</v>
          </cell>
          <cell r="AC679">
            <v>1</v>
          </cell>
          <cell r="AD679">
            <v>0</v>
          </cell>
          <cell r="AE679">
            <v>0</v>
          </cell>
          <cell r="AF679">
            <v>0</v>
          </cell>
          <cell r="AG679">
            <v>0</v>
          </cell>
          <cell r="AH679">
            <v>0</v>
          </cell>
          <cell r="AI679">
            <v>2</v>
          </cell>
          <cell r="AK679">
            <v>0</v>
          </cell>
          <cell r="AL679">
            <v>1</v>
          </cell>
          <cell r="AN679">
            <v>7403</v>
          </cell>
          <cell r="AO679">
            <v>4</v>
          </cell>
          <cell r="AQ679">
            <v>0</v>
          </cell>
          <cell r="AR679">
            <v>11</v>
          </cell>
          <cell r="AS679">
            <v>3</v>
          </cell>
          <cell r="AT679">
            <v>3</v>
          </cell>
          <cell r="AU679">
            <v>1</v>
          </cell>
          <cell r="AV679">
            <v>29</v>
          </cell>
          <cell r="AW679">
            <v>29</v>
          </cell>
          <cell r="AX679">
            <v>3</v>
          </cell>
          <cell r="AY679">
            <v>2</v>
          </cell>
          <cell r="AZ679">
            <v>26</v>
          </cell>
          <cell r="BA679">
            <v>26</v>
          </cell>
          <cell r="BB679">
            <v>9</v>
          </cell>
          <cell r="BC679">
            <v>1</v>
          </cell>
          <cell r="BD679">
            <v>1</v>
          </cell>
          <cell r="BE679">
            <v>7</v>
          </cell>
          <cell r="BF679">
            <v>7</v>
          </cell>
          <cell r="BG679">
            <v>21</v>
          </cell>
          <cell r="BH679">
            <v>0</v>
          </cell>
          <cell r="BI679">
            <v>1</v>
          </cell>
          <cell r="BJ679">
            <v>0</v>
          </cell>
          <cell r="BK679">
            <v>0</v>
          </cell>
          <cell r="BL679">
            <v>0</v>
          </cell>
          <cell r="BM679">
            <v>0</v>
          </cell>
          <cell r="BN679">
            <v>1</v>
          </cell>
          <cell r="BO679">
            <v>0</v>
          </cell>
          <cell r="BP679">
            <v>0</v>
          </cell>
          <cell r="BQ679">
            <v>7</v>
          </cell>
          <cell r="BR679">
            <v>0</v>
          </cell>
          <cell r="BS679">
            <v>0</v>
          </cell>
          <cell r="BT679">
            <v>29</v>
          </cell>
          <cell r="BU679">
            <v>0</v>
          </cell>
        </row>
        <row r="680">
          <cell r="A680">
            <v>48</v>
          </cell>
          <cell r="B680">
            <v>48</v>
          </cell>
          <cell r="D680">
            <v>0</v>
          </cell>
          <cell r="F680">
            <v>0</v>
          </cell>
          <cell r="G680">
            <v>1</v>
          </cell>
          <cell r="I680">
            <v>1</v>
          </cell>
          <cell r="J680">
            <v>0</v>
          </cell>
          <cell r="K680">
            <v>20</v>
          </cell>
          <cell r="L680">
            <v>20</v>
          </cell>
          <cell r="M680">
            <v>4</v>
          </cell>
          <cell r="O680">
            <v>0</v>
          </cell>
          <cell r="P680">
            <v>0</v>
          </cell>
          <cell r="Q680">
            <v>1</v>
          </cell>
          <cell r="R680">
            <v>0</v>
          </cell>
          <cell r="S680">
            <v>0</v>
          </cell>
          <cell r="T680">
            <v>4</v>
          </cell>
          <cell r="V680">
            <v>0</v>
          </cell>
          <cell r="W680">
            <v>51</v>
          </cell>
          <cell r="X680">
            <v>3</v>
          </cell>
          <cell r="Y680">
            <v>1</v>
          </cell>
          <cell r="AA680">
            <v>0</v>
          </cell>
          <cell r="AB680">
            <v>0</v>
          </cell>
          <cell r="AC680">
            <v>0</v>
          </cell>
          <cell r="AD680">
            <v>0</v>
          </cell>
          <cell r="AE680">
            <v>0</v>
          </cell>
          <cell r="AF680">
            <v>0</v>
          </cell>
          <cell r="AG680">
            <v>0</v>
          </cell>
          <cell r="AH680">
            <v>1</v>
          </cell>
          <cell r="AI680">
            <v>3</v>
          </cell>
          <cell r="AK680">
            <v>0</v>
          </cell>
          <cell r="AL680">
            <v>1</v>
          </cell>
          <cell r="AN680">
            <v>2259</v>
          </cell>
          <cell r="AO680">
            <v>4</v>
          </cell>
          <cell r="AQ680">
            <v>0</v>
          </cell>
          <cell r="AR680">
            <v>17</v>
          </cell>
          <cell r="AS680">
            <v>3</v>
          </cell>
          <cell r="AT680">
            <v>1</v>
          </cell>
          <cell r="AU680">
            <v>2</v>
          </cell>
          <cell r="AV680">
            <v>13</v>
          </cell>
          <cell r="AW680">
            <v>13</v>
          </cell>
          <cell r="AX680">
            <v>2</v>
          </cell>
          <cell r="AY680">
            <v>2</v>
          </cell>
          <cell r="AZ680">
            <v>0</v>
          </cell>
          <cell r="BA680">
            <v>0</v>
          </cell>
          <cell r="BB680">
            <v>0</v>
          </cell>
          <cell r="BC680">
            <v>0</v>
          </cell>
          <cell r="BD680">
            <v>0</v>
          </cell>
          <cell r="BE680">
            <v>0</v>
          </cell>
          <cell r="BF680">
            <v>0</v>
          </cell>
          <cell r="BG680">
            <v>0</v>
          </cell>
          <cell r="BH680">
            <v>0</v>
          </cell>
          <cell r="BI680">
            <v>1</v>
          </cell>
          <cell r="BJ680">
            <v>0</v>
          </cell>
          <cell r="BK680">
            <v>0</v>
          </cell>
          <cell r="BL680">
            <v>0</v>
          </cell>
          <cell r="BM680">
            <v>0</v>
          </cell>
          <cell r="BN680">
            <v>1</v>
          </cell>
          <cell r="BO680">
            <v>0</v>
          </cell>
          <cell r="BP680">
            <v>0</v>
          </cell>
          <cell r="BQ680">
            <v>0</v>
          </cell>
          <cell r="BR680">
            <v>0</v>
          </cell>
          <cell r="BS680">
            <v>0</v>
          </cell>
          <cell r="BT680">
            <v>13</v>
          </cell>
          <cell r="BU680">
            <v>0</v>
          </cell>
        </row>
        <row r="681">
          <cell r="A681">
            <v>31</v>
          </cell>
          <cell r="B681">
            <v>31</v>
          </cell>
          <cell r="D681">
            <v>0</v>
          </cell>
          <cell r="F681">
            <v>0</v>
          </cell>
          <cell r="G681">
            <v>0</v>
          </cell>
          <cell r="I681">
            <v>0</v>
          </cell>
          <cell r="J681">
            <v>1</v>
          </cell>
          <cell r="K681">
            <v>20</v>
          </cell>
          <cell r="L681">
            <v>20</v>
          </cell>
          <cell r="M681">
            <v>2</v>
          </cell>
          <cell r="O681">
            <v>0</v>
          </cell>
          <cell r="P681">
            <v>0</v>
          </cell>
          <cell r="Q681">
            <v>0</v>
          </cell>
          <cell r="R681">
            <v>1</v>
          </cell>
          <cell r="S681">
            <v>0</v>
          </cell>
          <cell r="T681">
            <v>4</v>
          </cell>
          <cell r="V681">
            <v>1</v>
          </cell>
          <cell r="W681">
            <v>45</v>
          </cell>
          <cell r="X681">
            <v>3</v>
          </cell>
          <cell r="Y681">
            <v>2</v>
          </cell>
          <cell r="AA681">
            <v>0</v>
          </cell>
          <cell r="AB681">
            <v>1</v>
          </cell>
          <cell r="AC681">
            <v>0</v>
          </cell>
          <cell r="AD681">
            <v>0</v>
          </cell>
          <cell r="AE681">
            <v>0</v>
          </cell>
          <cell r="AF681">
            <v>0</v>
          </cell>
          <cell r="AG681">
            <v>0</v>
          </cell>
          <cell r="AH681">
            <v>0</v>
          </cell>
          <cell r="AI681">
            <v>3</v>
          </cell>
          <cell r="AK681">
            <v>0</v>
          </cell>
          <cell r="AL681">
            <v>1</v>
          </cell>
          <cell r="AN681">
            <v>6932</v>
          </cell>
          <cell r="AO681">
            <v>1</v>
          </cell>
          <cell r="AQ681">
            <v>0</v>
          </cell>
          <cell r="AR681">
            <v>13</v>
          </cell>
          <cell r="AS681">
            <v>3</v>
          </cell>
          <cell r="AT681">
            <v>4</v>
          </cell>
          <cell r="AU681">
            <v>1</v>
          </cell>
          <cell r="AV681">
            <v>9</v>
          </cell>
          <cell r="AW681">
            <v>9</v>
          </cell>
          <cell r="AX681">
            <v>2</v>
          </cell>
          <cell r="AY681">
            <v>2</v>
          </cell>
          <cell r="AZ681">
            <v>9</v>
          </cell>
          <cell r="BA681">
            <v>9</v>
          </cell>
          <cell r="BB681">
            <v>8</v>
          </cell>
          <cell r="BC681">
            <v>0</v>
          </cell>
          <cell r="BD681">
            <v>0</v>
          </cell>
          <cell r="BE681">
            <v>0</v>
          </cell>
          <cell r="BF681">
            <v>0</v>
          </cell>
          <cell r="BG681">
            <v>0</v>
          </cell>
          <cell r="BH681">
            <v>0</v>
          </cell>
          <cell r="BI681">
            <v>1</v>
          </cell>
          <cell r="BJ681">
            <v>0</v>
          </cell>
          <cell r="BK681">
            <v>0</v>
          </cell>
          <cell r="BL681">
            <v>0</v>
          </cell>
          <cell r="BM681">
            <v>0</v>
          </cell>
          <cell r="BN681">
            <v>1</v>
          </cell>
          <cell r="BO681">
            <v>0</v>
          </cell>
          <cell r="BP681">
            <v>0</v>
          </cell>
          <cell r="BQ681">
            <v>0</v>
          </cell>
          <cell r="BR681">
            <v>0</v>
          </cell>
          <cell r="BS681">
            <v>0</v>
          </cell>
          <cell r="BT681">
            <v>0</v>
          </cell>
          <cell r="BU681">
            <v>9</v>
          </cell>
        </row>
        <row r="682">
          <cell r="A682">
            <v>36</v>
          </cell>
          <cell r="B682">
            <v>36</v>
          </cell>
          <cell r="D682">
            <v>0</v>
          </cell>
          <cell r="F682">
            <v>0</v>
          </cell>
          <cell r="G682">
            <v>1</v>
          </cell>
          <cell r="I682">
            <v>1</v>
          </cell>
          <cell r="J682">
            <v>0</v>
          </cell>
          <cell r="K682">
            <v>7</v>
          </cell>
          <cell r="L682">
            <v>7</v>
          </cell>
          <cell r="M682">
            <v>4</v>
          </cell>
          <cell r="O682">
            <v>0</v>
          </cell>
          <cell r="P682">
            <v>1</v>
          </cell>
          <cell r="Q682">
            <v>0</v>
          </cell>
          <cell r="R682">
            <v>0</v>
          </cell>
          <cell r="S682">
            <v>0</v>
          </cell>
          <cell r="T682">
            <v>2</v>
          </cell>
          <cell r="V682">
            <v>0</v>
          </cell>
          <cell r="W682">
            <v>65</v>
          </cell>
          <cell r="X682">
            <v>3</v>
          </cell>
          <cell r="Y682">
            <v>1</v>
          </cell>
          <cell r="AA682">
            <v>0</v>
          </cell>
          <cell r="AB682">
            <v>0</v>
          </cell>
          <cell r="AC682">
            <v>0</v>
          </cell>
          <cell r="AD682">
            <v>0</v>
          </cell>
          <cell r="AE682">
            <v>0</v>
          </cell>
          <cell r="AF682">
            <v>0</v>
          </cell>
          <cell r="AG682">
            <v>0</v>
          </cell>
          <cell r="AH682">
            <v>1</v>
          </cell>
          <cell r="AI682">
            <v>4</v>
          </cell>
          <cell r="AK682">
            <v>1</v>
          </cell>
          <cell r="AL682">
            <v>0</v>
          </cell>
          <cell r="AN682">
            <v>4678</v>
          </cell>
          <cell r="AO682">
            <v>2</v>
          </cell>
          <cell r="AQ682">
            <v>0</v>
          </cell>
          <cell r="AR682">
            <v>18</v>
          </cell>
          <cell r="AS682">
            <v>3</v>
          </cell>
          <cell r="AT682">
            <v>3</v>
          </cell>
          <cell r="AU682">
            <v>0</v>
          </cell>
          <cell r="AV682">
            <v>8</v>
          </cell>
          <cell r="AW682">
            <v>8</v>
          </cell>
          <cell r="AX682">
            <v>6</v>
          </cell>
          <cell r="AY682">
            <v>3</v>
          </cell>
          <cell r="AZ682">
            <v>6</v>
          </cell>
          <cell r="BA682">
            <v>6</v>
          </cell>
          <cell r="BB682">
            <v>2</v>
          </cell>
          <cell r="BC682">
            <v>0</v>
          </cell>
          <cell r="BD682">
            <v>0</v>
          </cell>
          <cell r="BE682">
            <v>1</v>
          </cell>
          <cell r="BF682">
            <v>1</v>
          </cell>
          <cell r="BG682">
            <v>1</v>
          </cell>
          <cell r="BH682">
            <v>1</v>
          </cell>
          <cell r="BI682">
            <v>0</v>
          </cell>
          <cell r="BJ682">
            <v>0</v>
          </cell>
          <cell r="BK682">
            <v>0</v>
          </cell>
          <cell r="BL682">
            <v>1</v>
          </cell>
          <cell r="BM682">
            <v>0</v>
          </cell>
          <cell r="BN682">
            <v>0</v>
          </cell>
          <cell r="BO682">
            <v>0</v>
          </cell>
          <cell r="BP682">
            <v>0</v>
          </cell>
          <cell r="BQ682">
            <v>1</v>
          </cell>
          <cell r="BR682">
            <v>0</v>
          </cell>
          <cell r="BS682">
            <v>0</v>
          </cell>
          <cell r="BT682">
            <v>8</v>
          </cell>
          <cell r="BU682">
            <v>0</v>
          </cell>
        </row>
        <row r="683">
          <cell r="A683">
            <v>38</v>
          </cell>
          <cell r="B683">
            <v>38</v>
          </cell>
          <cell r="D683">
            <v>0</v>
          </cell>
          <cell r="F683">
            <v>0</v>
          </cell>
          <cell r="G683">
            <v>1</v>
          </cell>
          <cell r="I683">
            <v>1</v>
          </cell>
          <cell r="J683">
            <v>0</v>
          </cell>
          <cell r="K683">
            <v>1</v>
          </cell>
          <cell r="L683">
            <v>1</v>
          </cell>
          <cell r="M683">
            <v>3</v>
          </cell>
          <cell r="O683">
            <v>0</v>
          </cell>
          <cell r="P683">
            <v>0</v>
          </cell>
          <cell r="Q683">
            <v>0</v>
          </cell>
          <cell r="R683">
            <v>0</v>
          </cell>
          <cell r="S683">
            <v>1</v>
          </cell>
          <cell r="T683">
            <v>4</v>
          </cell>
          <cell r="V683">
            <v>1</v>
          </cell>
          <cell r="W683">
            <v>80</v>
          </cell>
          <cell r="X683">
            <v>3</v>
          </cell>
          <cell r="Y683">
            <v>3</v>
          </cell>
          <cell r="AA683">
            <v>0</v>
          </cell>
          <cell r="AB683">
            <v>0</v>
          </cell>
          <cell r="AC683">
            <v>0</v>
          </cell>
          <cell r="AD683">
            <v>0</v>
          </cell>
          <cell r="AE683">
            <v>0</v>
          </cell>
          <cell r="AF683">
            <v>0</v>
          </cell>
          <cell r="AG683">
            <v>0</v>
          </cell>
          <cell r="AH683">
            <v>0</v>
          </cell>
          <cell r="AI683">
            <v>1</v>
          </cell>
          <cell r="AK683">
            <v>0</v>
          </cell>
          <cell r="AL683">
            <v>1</v>
          </cell>
          <cell r="AN683">
            <v>13582</v>
          </cell>
          <cell r="AO683">
            <v>1</v>
          </cell>
          <cell r="AQ683">
            <v>0</v>
          </cell>
          <cell r="AR683">
            <v>13</v>
          </cell>
          <cell r="AS683">
            <v>3</v>
          </cell>
          <cell r="AT683">
            <v>2</v>
          </cell>
          <cell r="AU683">
            <v>1</v>
          </cell>
          <cell r="AV683">
            <v>15</v>
          </cell>
          <cell r="AW683">
            <v>15</v>
          </cell>
          <cell r="AX683">
            <v>3</v>
          </cell>
          <cell r="AY683">
            <v>3</v>
          </cell>
          <cell r="AZ683">
            <v>15</v>
          </cell>
          <cell r="BA683">
            <v>15</v>
          </cell>
          <cell r="BB683">
            <v>12</v>
          </cell>
          <cell r="BC683">
            <v>5</v>
          </cell>
          <cell r="BD683">
            <v>5</v>
          </cell>
          <cell r="BE683">
            <v>11</v>
          </cell>
          <cell r="BF683">
            <v>11</v>
          </cell>
          <cell r="BG683">
            <v>33</v>
          </cell>
          <cell r="BH683">
            <v>0</v>
          </cell>
          <cell r="BI683">
            <v>1</v>
          </cell>
          <cell r="BJ683">
            <v>0</v>
          </cell>
          <cell r="BK683">
            <v>0</v>
          </cell>
          <cell r="BL683">
            <v>0</v>
          </cell>
          <cell r="BM683">
            <v>0</v>
          </cell>
          <cell r="BN683">
            <v>1</v>
          </cell>
          <cell r="BO683">
            <v>0</v>
          </cell>
          <cell r="BP683">
            <v>0</v>
          </cell>
          <cell r="BQ683">
            <v>11</v>
          </cell>
          <cell r="BR683">
            <v>0</v>
          </cell>
          <cell r="BS683">
            <v>0</v>
          </cell>
          <cell r="BT683">
            <v>15</v>
          </cell>
          <cell r="BU683">
            <v>0</v>
          </cell>
        </row>
        <row r="684">
          <cell r="A684">
            <v>32</v>
          </cell>
          <cell r="B684">
            <v>32</v>
          </cell>
          <cell r="D684">
            <v>0</v>
          </cell>
          <cell r="F684">
            <v>0</v>
          </cell>
          <cell r="G684">
            <v>0</v>
          </cell>
          <cell r="I684">
            <v>1</v>
          </cell>
          <cell r="J684">
            <v>0</v>
          </cell>
          <cell r="K684">
            <v>1</v>
          </cell>
          <cell r="L684">
            <v>1</v>
          </cell>
          <cell r="M684">
            <v>3</v>
          </cell>
          <cell r="O684">
            <v>1</v>
          </cell>
          <cell r="P684">
            <v>0</v>
          </cell>
          <cell r="Q684">
            <v>0</v>
          </cell>
          <cell r="R684">
            <v>0</v>
          </cell>
          <cell r="S684">
            <v>0</v>
          </cell>
          <cell r="T684">
            <v>3</v>
          </cell>
          <cell r="V684">
            <v>1</v>
          </cell>
          <cell r="W684">
            <v>70</v>
          </cell>
          <cell r="X684">
            <v>2</v>
          </cell>
          <cell r="Y684">
            <v>1</v>
          </cell>
          <cell r="AA684">
            <v>0</v>
          </cell>
          <cell r="AB684">
            <v>0</v>
          </cell>
          <cell r="AC684">
            <v>1</v>
          </cell>
          <cell r="AD684">
            <v>0</v>
          </cell>
          <cell r="AE684">
            <v>0</v>
          </cell>
          <cell r="AF684">
            <v>0</v>
          </cell>
          <cell r="AG684">
            <v>0</v>
          </cell>
          <cell r="AH684">
            <v>0</v>
          </cell>
          <cell r="AI684">
            <v>2</v>
          </cell>
          <cell r="AK684">
            <v>0</v>
          </cell>
          <cell r="AL684">
            <v>1</v>
          </cell>
          <cell r="AN684">
            <v>2332</v>
          </cell>
          <cell r="AO684">
            <v>6</v>
          </cell>
          <cell r="AQ684">
            <v>0</v>
          </cell>
          <cell r="AR684">
            <v>20</v>
          </cell>
          <cell r="AS684">
            <v>4</v>
          </cell>
          <cell r="AT684">
            <v>3</v>
          </cell>
          <cell r="AU684">
            <v>0</v>
          </cell>
          <cell r="AV684">
            <v>5</v>
          </cell>
          <cell r="AW684">
            <v>5</v>
          </cell>
          <cell r="AX684">
            <v>3</v>
          </cell>
          <cell r="AY684">
            <v>3</v>
          </cell>
          <cell r="AZ684">
            <v>3</v>
          </cell>
          <cell r="BA684">
            <v>3</v>
          </cell>
          <cell r="BB684">
            <v>0</v>
          </cell>
          <cell r="BC684">
            <v>0</v>
          </cell>
          <cell r="BD684">
            <v>0</v>
          </cell>
          <cell r="BE684">
            <v>2</v>
          </cell>
          <cell r="BF684">
            <v>2</v>
          </cell>
          <cell r="BG684">
            <v>2</v>
          </cell>
          <cell r="BH684">
            <v>0</v>
          </cell>
          <cell r="BI684">
            <v>1</v>
          </cell>
          <cell r="BJ684">
            <v>0</v>
          </cell>
          <cell r="BK684">
            <v>0</v>
          </cell>
          <cell r="BL684">
            <v>0</v>
          </cell>
          <cell r="BM684">
            <v>0</v>
          </cell>
          <cell r="BN684">
            <v>1</v>
          </cell>
          <cell r="BO684">
            <v>0</v>
          </cell>
          <cell r="BP684">
            <v>0</v>
          </cell>
          <cell r="BQ684">
            <v>2</v>
          </cell>
          <cell r="BR684">
            <v>0</v>
          </cell>
          <cell r="BS684">
            <v>0</v>
          </cell>
          <cell r="BT684">
            <v>5</v>
          </cell>
          <cell r="BU684">
            <v>0</v>
          </cell>
        </row>
        <row r="685">
          <cell r="A685">
            <v>25</v>
          </cell>
          <cell r="B685">
            <v>25</v>
          </cell>
          <cell r="D685">
            <v>1</v>
          </cell>
          <cell r="F685">
            <v>0</v>
          </cell>
          <cell r="G685">
            <v>1</v>
          </cell>
          <cell r="I685">
            <v>0</v>
          </cell>
          <cell r="J685">
            <v>1</v>
          </cell>
          <cell r="K685">
            <v>19</v>
          </cell>
          <cell r="L685">
            <v>19</v>
          </cell>
          <cell r="M685">
            <v>2</v>
          </cell>
          <cell r="O685">
            <v>0</v>
          </cell>
          <cell r="P685">
            <v>0</v>
          </cell>
          <cell r="Q685">
            <v>0</v>
          </cell>
          <cell r="R685">
            <v>1</v>
          </cell>
          <cell r="S685">
            <v>0</v>
          </cell>
          <cell r="T685">
            <v>3</v>
          </cell>
          <cell r="V685">
            <v>0</v>
          </cell>
          <cell r="W685">
            <v>36</v>
          </cell>
          <cell r="X685">
            <v>2</v>
          </cell>
          <cell r="Y685">
            <v>1</v>
          </cell>
          <cell r="AA685">
            <v>0</v>
          </cell>
          <cell r="AB685">
            <v>0</v>
          </cell>
          <cell r="AC685">
            <v>0</v>
          </cell>
          <cell r="AD685">
            <v>0</v>
          </cell>
          <cell r="AE685">
            <v>0</v>
          </cell>
          <cell r="AF685">
            <v>0</v>
          </cell>
          <cell r="AG685">
            <v>1</v>
          </cell>
          <cell r="AH685">
            <v>0</v>
          </cell>
          <cell r="AI685">
            <v>2</v>
          </cell>
          <cell r="AK685">
            <v>0</v>
          </cell>
          <cell r="AL685">
            <v>1</v>
          </cell>
          <cell r="AN685">
            <v>2413</v>
          </cell>
          <cell r="AO685">
            <v>1</v>
          </cell>
          <cell r="AQ685">
            <v>1</v>
          </cell>
          <cell r="AR685">
            <v>18</v>
          </cell>
          <cell r="AS685">
            <v>3</v>
          </cell>
          <cell r="AT685">
            <v>3</v>
          </cell>
          <cell r="AU685">
            <v>3</v>
          </cell>
          <cell r="AV685">
            <v>1</v>
          </cell>
          <cell r="AW685">
            <v>1</v>
          </cell>
          <cell r="AX685">
            <v>2</v>
          </cell>
          <cell r="AY685">
            <v>3</v>
          </cell>
          <cell r="AZ685">
            <v>1</v>
          </cell>
          <cell r="BA685">
            <v>1</v>
          </cell>
          <cell r="BB685">
            <v>0</v>
          </cell>
          <cell r="BC685">
            <v>0</v>
          </cell>
          <cell r="BD685">
            <v>0</v>
          </cell>
          <cell r="BE685">
            <v>0</v>
          </cell>
          <cell r="BF685">
            <v>0</v>
          </cell>
          <cell r="BG685">
            <v>0</v>
          </cell>
          <cell r="BH685">
            <v>0</v>
          </cell>
          <cell r="BI685">
            <v>1</v>
          </cell>
          <cell r="BJ685">
            <v>0</v>
          </cell>
          <cell r="BK685">
            <v>0</v>
          </cell>
          <cell r="BL685">
            <v>0</v>
          </cell>
          <cell r="BM685">
            <v>0</v>
          </cell>
          <cell r="BN685">
            <v>0</v>
          </cell>
          <cell r="BO685">
            <v>1</v>
          </cell>
          <cell r="BP685">
            <v>0</v>
          </cell>
          <cell r="BQ685">
            <v>0</v>
          </cell>
          <cell r="BR685">
            <v>0</v>
          </cell>
          <cell r="BS685">
            <v>0</v>
          </cell>
          <cell r="BT685">
            <v>0</v>
          </cell>
          <cell r="BU685">
            <v>1</v>
          </cell>
        </row>
        <row r="686">
          <cell r="A686">
            <v>40</v>
          </cell>
          <cell r="B686">
            <v>40</v>
          </cell>
          <cell r="D686">
            <v>0</v>
          </cell>
          <cell r="F686">
            <v>0</v>
          </cell>
          <cell r="G686">
            <v>1</v>
          </cell>
          <cell r="I686">
            <v>0</v>
          </cell>
          <cell r="J686">
            <v>1</v>
          </cell>
          <cell r="K686">
            <v>10</v>
          </cell>
          <cell r="L686">
            <v>10</v>
          </cell>
          <cell r="M686">
            <v>4</v>
          </cell>
          <cell r="O686">
            <v>0</v>
          </cell>
          <cell r="P686">
            <v>0</v>
          </cell>
          <cell r="Q686">
            <v>0</v>
          </cell>
          <cell r="R686">
            <v>1</v>
          </cell>
          <cell r="S686">
            <v>0</v>
          </cell>
          <cell r="T686">
            <v>1</v>
          </cell>
          <cell r="V686">
            <v>0</v>
          </cell>
          <cell r="W686">
            <v>67</v>
          </cell>
          <cell r="X686">
            <v>2</v>
          </cell>
          <cell r="Y686">
            <v>3</v>
          </cell>
          <cell r="AA686">
            <v>0</v>
          </cell>
          <cell r="AB686">
            <v>1</v>
          </cell>
          <cell r="AC686">
            <v>0</v>
          </cell>
          <cell r="AD686">
            <v>0</v>
          </cell>
          <cell r="AE686">
            <v>0</v>
          </cell>
          <cell r="AF686">
            <v>0</v>
          </cell>
          <cell r="AG686">
            <v>0</v>
          </cell>
          <cell r="AH686">
            <v>0</v>
          </cell>
          <cell r="AI686">
            <v>2</v>
          </cell>
          <cell r="AK686">
            <v>0</v>
          </cell>
          <cell r="AL686">
            <v>0</v>
          </cell>
          <cell r="AN686">
            <v>9705</v>
          </cell>
          <cell r="AO686">
            <v>2</v>
          </cell>
          <cell r="AQ686">
            <v>0</v>
          </cell>
          <cell r="AR686">
            <v>12</v>
          </cell>
          <cell r="AS686">
            <v>3</v>
          </cell>
          <cell r="AT686">
            <v>2</v>
          </cell>
          <cell r="AU686">
            <v>1</v>
          </cell>
          <cell r="AV686">
            <v>11</v>
          </cell>
          <cell r="AW686">
            <v>11</v>
          </cell>
          <cell r="AX686">
            <v>2</v>
          </cell>
          <cell r="AY686">
            <v>2</v>
          </cell>
          <cell r="AZ686">
            <v>1</v>
          </cell>
          <cell r="BA686">
            <v>1</v>
          </cell>
          <cell r="BB686">
            <v>0</v>
          </cell>
          <cell r="BC686">
            <v>0</v>
          </cell>
          <cell r="BD686">
            <v>0</v>
          </cell>
          <cell r="BE686">
            <v>0</v>
          </cell>
          <cell r="BF686">
            <v>0</v>
          </cell>
          <cell r="BG686">
            <v>0</v>
          </cell>
          <cell r="BH686">
            <v>1</v>
          </cell>
          <cell r="BI686">
            <v>0</v>
          </cell>
          <cell r="BJ686">
            <v>0</v>
          </cell>
          <cell r="BK686">
            <v>0</v>
          </cell>
          <cell r="BL686">
            <v>1</v>
          </cell>
          <cell r="BM686">
            <v>0</v>
          </cell>
          <cell r="BN686">
            <v>0</v>
          </cell>
          <cell r="BO686">
            <v>0</v>
          </cell>
          <cell r="BP686">
            <v>0</v>
          </cell>
          <cell r="BQ686">
            <v>0</v>
          </cell>
          <cell r="BR686">
            <v>0</v>
          </cell>
          <cell r="BS686">
            <v>0</v>
          </cell>
          <cell r="BT686">
            <v>0</v>
          </cell>
          <cell r="BU686">
            <v>11</v>
          </cell>
        </row>
        <row r="687">
          <cell r="A687">
            <v>26</v>
          </cell>
          <cell r="B687">
            <v>26</v>
          </cell>
          <cell r="D687">
            <v>0</v>
          </cell>
          <cell r="F687">
            <v>1</v>
          </cell>
          <cell r="G687">
            <v>0</v>
          </cell>
          <cell r="I687">
            <v>0</v>
          </cell>
          <cell r="J687">
            <v>1</v>
          </cell>
          <cell r="K687">
            <v>1</v>
          </cell>
          <cell r="L687">
            <v>1</v>
          </cell>
          <cell r="M687">
            <v>3</v>
          </cell>
          <cell r="O687">
            <v>0</v>
          </cell>
          <cell r="P687">
            <v>0</v>
          </cell>
          <cell r="Q687">
            <v>1</v>
          </cell>
          <cell r="R687">
            <v>0</v>
          </cell>
          <cell r="S687">
            <v>0</v>
          </cell>
          <cell r="T687">
            <v>3</v>
          </cell>
          <cell r="V687">
            <v>0</v>
          </cell>
          <cell r="W687">
            <v>52</v>
          </cell>
          <cell r="X687">
            <v>2</v>
          </cell>
          <cell r="Y687">
            <v>2</v>
          </cell>
          <cell r="AA687">
            <v>0</v>
          </cell>
          <cell r="AB687">
            <v>1</v>
          </cell>
          <cell r="AC687">
            <v>0</v>
          </cell>
          <cell r="AD687">
            <v>0</v>
          </cell>
          <cell r="AE687">
            <v>0</v>
          </cell>
          <cell r="AF687">
            <v>0</v>
          </cell>
          <cell r="AG687">
            <v>0</v>
          </cell>
          <cell r="AH687">
            <v>0</v>
          </cell>
          <cell r="AI687">
            <v>1</v>
          </cell>
          <cell r="AK687">
            <v>1</v>
          </cell>
          <cell r="AL687">
            <v>0</v>
          </cell>
          <cell r="AN687">
            <v>4294</v>
          </cell>
          <cell r="AO687">
            <v>1</v>
          </cell>
          <cell r="AQ687">
            <v>0</v>
          </cell>
          <cell r="AR687">
            <v>12</v>
          </cell>
          <cell r="AS687">
            <v>3</v>
          </cell>
          <cell r="AT687">
            <v>2</v>
          </cell>
          <cell r="AU687">
            <v>0</v>
          </cell>
          <cell r="AV687">
            <v>7</v>
          </cell>
          <cell r="AW687">
            <v>7</v>
          </cell>
          <cell r="AX687">
            <v>2</v>
          </cell>
          <cell r="AY687">
            <v>3</v>
          </cell>
          <cell r="AZ687">
            <v>7</v>
          </cell>
          <cell r="BA687">
            <v>7</v>
          </cell>
          <cell r="BB687">
            <v>7</v>
          </cell>
          <cell r="BC687">
            <v>0</v>
          </cell>
          <cell r="BD687">
            <v>0</v>
          </cell>
          <cell r="BE687">
            <v>7</v>
          </cell>
          <cell r="BF687">
            <v>7</v>
          </cell>
          <cell r="BG687">
            <v>14</v>
          </cell>
          <cell r="BH687">
            <v>0</v>
          </cell>
          <cell r="BI687">
            <v>0</v>
          </cell>
          <cell r="BJ687">
            <v>1</v>
          </cell>
          <cell r="BK687">
            <v>0</v>
          </cell>
          <cell r="BL687">
            <v>1</v>
          </cell>
          <cell r="BM687">
            <v>0</v>
          </cell>
          <cell r="BN687">
            <v>0</v>
          </cell>
          <cell r="BO687">
            <v>0</v>
          </cell>
          <cell r="BP687">
            <v>0</v>
          </cell>
          <cell r="BQ687">
            <v>0</v>
          </cell>
          <cell r="BR687">
            <v>7</v>
          </cell>
          <cell r="BS687">
            <v>0</v>
          </cell>
          <cell r="BT687">
            <v>0</v>
          </cell>
          <cell r="BU687">
            <v>7</v>
          </cell>
        </row>
        <row r="688">
          <cell r="A688">
            <v>41</v>
          </cell>
          <cell r="B688">
            <v>41</v>
          </cell>
          <cell r="D688">
            <v>0</v>
          </cell>
          <cell r="F688">
            <v>0</v>
          </cell>
          <cell r="G688">
            <v>1</v>
          </cell>
          <cell r="I688">
            <v>1</v>
          </cell>
          <cell r="J688">
            <v>0</v>
          </cell>
          <cell r="K688">
            <v>6</v>
          </cell>
          <cell r="L688">
            <v>6</v>
          </cell>
          <cell r="M688">
            <v>3</v>
          </cell>
          <cell r="O688">
            <v>0</v>
          </cell>
          <cell r="P688">
            <v>0</v>
          </cell>
          <cell r="Q688">
            <v>1</v>
          </cell>
          <cell r="R688">
            <v>0</v>
          </cell>
          <cell r="S688">
            <v>0</v>
          </cell>
          <cell r="T688">
            <v>4</v>
          </cell>
          <cell r="V688">
            <v>0</v>
          </cell>
          <cell r="W688">
            <v>59</v>
          </cell>
          <cell r="X688">
            <v>3</v>
          </cell>
          <cell r="Y688">
            <v>1</v>
          </cell>
          <cell r="AA688">
            <v>0</v>
          </cell>
          <cell r="AB688">
            <v>0</v>
          </cell>
          <cell r="AC688">
            <v>1</v>
          </cell>
          <cell r="AD688">
            <v>0</v>
          </cell>
          <cell r="AE688">
            <v>0</v>
          </cell>
          <cell r="AF688">
            <v>0</v>
          </cell>
          <cell r="AG688">
            <v>0</v>
          </cell>
          <cell r="AH688">
            <v>0</v>
          </cell>
          <cell r="AI688">
            <v>1</v>
          </cell>
          <cell r="AK688">
            <v>1</v>
          </cell>
          <cell r="AL688">
            <v>0</v>
          </cell>
          <cell r="AN688">
            <v>4721</v>
          </cell>
          <cell r="AO688">
            <v>2</v>
          </cell>
          <cell r="AQ688">
            <v>1</v>
          </cell>
          <cell r="AR688">
            <v>13</v>
          </cell>
          <cell r="AS688">
            <v>3</v>
          </cell>
          <cell r="AT688">
            <v>3</v>
          </cell>
          <cell r="AU688">
            <v>0</v>
          </cell>
          <cell r="AV688">
            <v>20</v>
          </cell>
          <cell r="AW688">
            <v>20</v>
          </cell>
          <cell r="AX688">
            <v>3</v>
          </cell>
          <cell r="AY688">
            <v>3</v>
          </cell>
          <cell r="AZ688">
            <v>18</v>
          </cell>
          <cell r="BA688">
            <v>18</v>
          </cell>
          <cell r="BB688">
            <v>13</v>
          </cell>
          <cell r="BC688">
            <v>2</v>
          </cell>
          <cell r="BD688">
            <v>2</v>
          </cell>
          <cell r="BE688">
            <v>17</v>
          </cell>
          <cell r="BF688">
            <v>14</v>
          </cell>
          <cell r="BG688">
            <v>14</v>
          </cell>
          <cell r="BH688">
            <v>1</v>
          </cell>
          <cell r="BI688">
            <v>0</v>
          </cell>
          <cell r="BJ688">
            <v>0</v>
          </cell>
          <cell r="BK688">
            <v>0</v>
          </cell>
          <cell r="BL688">
            <v>0</v>
          </cell>
          <cell r="BM688">
            <v>1</v>
          </cell>
          <cell r="BN688">
            <v>0</v>
          </cell>
          <cell r="BO688">
            <v>0</v>
          </cell>
          <cell r="BP688">
            <v>0</v>
          </cell>
          <cell r="BQ688">
            <v>14</v>
          </cell>
          <cell r="BR688">
            <v>0</v>
          </cell>
          <cell r="BS688">
            <v>0</v>
          </cell>
          <cell r="BT688">
            <v>20</v>
          </cell>
          <cell r="BU688">
            <v>0</v>
          </cell>
        </row>
        <row r="689">
          <cell r="A689">
            <v>36</v>
          </cell>
          <cell r="B689">
            <v>36</v>
          </cell>
          <cell r="D689">
            <v>0</v>
          </cell>
          <cell r="F689">
            <v>0</v>
          </cell>
          <cell r="G689">
            <v>1</v>
          </cell>
          <cell r="I689">
            <v>1</v>
          </cell>
          <cell r="J689">
            <v>0</v>
          </cell>
          <cell r="K689">
            <v>2</v>
          </cell>
          <cell r="L689">
            <v>2</v>
          </cell>
          <cell r="M689">
            <v>4</v>
          </cell>
          <cell r="O689">
            <v>0</v>
          </cell>
          <cell r="P689">
            <v>0</v>
          </cell>
          <cell r="Q689">
            <v>1</v>
          </cell>
          <cell r="R689">
            <v>0</v>
          </cell>
          <cell r="S689">
            <v>0</v>
          </cell>
          <cell r="T689">
            <v>3</v>
          </cell>
          <cell r="V689">
            <v>0</v>
          </cell>
          <cell r="W689">
            <v>79</v>
          </cell>
          <cell r="X689">
            <v>3</v>
          </cell>
          <cell r="Y689">
            <v>1</v>
          </cell>
          <cell r="AA689">
            <v>0</v>
          </cell>
          <cell r="AB689">
            <v>0</v>
          </cell>
          <cell r="AC689">
            <v>1</v>
          </cell>
          <cell r="AD689">
            <v>0</v>
          </cell>
          <cell r="AE689">
            <v>0</v>
          </cell>
          <cell r="AF689">
            <v>0</v>
          </cell>
          <cell r="AG689">
            <v>0</v>
          </cell>
          <cell r="AH689">
            <v>0</v>
          </cell>
          <cell r="AI689">
            <v>3</v>
          </cell>
          <cell r="AK689">
            <v>1</v>
          </cell>
          <cell r="AL689">
            <v>0</v>
          </cell>
          <cell r="AN689">
            <v>2519</v>
          </cell>
          <cell r="AO689">
            <v>4</v>
          </cell>
          <cell r="AQ689">
            <v>0</v>
          </cell>
          <cell r="AR689">
            <v>21</v>
          </cell>
          <cell r="AS689">
            <v>4</v>
          </cell>
          <cell r="AT689">
            <v>3</v>
          </cell>
          <cell r="AU689">
            <v>0</v>
          </cell>
          <cell r="AV689">
            <v>16</v>
          </cell>
          <cell r="AW689">
            <v>16</v>
          </cell>
          <cell r="AX689">
            <v>6</v>
          </cell>
          <cell r="AY689">
            <v>3</v>
          </cell>
          <cell r="AZ689">
            <v>11</v>
          </cell>
          <cell r="BA689">
            <v>11</v>
          </cell>
          <cell r="BB689">
            <v>8</v>
          </cell>
          <cell r="BC689">
            <v>3</v>
          </cell>
          <cell r="BD689">
            <v>3</v>
          </cell>
          <cell r="BE689">
            <v>9</v>
          </cell>
          <cell r="BF689">
            <v>9</v>
          </cell>
          <cell r="BG689">
            <v>9</v>
          </cell>
          <cell r="BH689">
            <v>1</v>
          </cell>
          <cell r="BI689">
            <v>0</v>
          </cell>
          <cell r="BJ689">
            <v>0</v>
          </cell>
          <cell r="BK689">
            <v>0</v>
          </cell>
          <cell r="BL689">
            <v>1</v>
          </cell>
          <cell r="BM689">
            <v>0</v>
          </cell>
          <cell r="BN689">
            <v>0</v>
          </cell>
          <cell r="BO689">
            <v>0</v>
          </cell>
          <cell r="BP689">
            <v>0</v>
          </cell>
          <cell r="BQ689">
            <v>9</v>
          </cell>
          <cell r="BR689">
            <v>0</v>
          </cell>
          <cell r="BS689">
            <v>0</v>
          </cell>
          <cell r="BT689">
            <v>16</v>
          </cell>
          <cell r="BU689">
            <v>0</v>
          </cell>
        </row>
        <row r="690">
          <cell r="A690">
            <v>19</v>
          </cell>
          <cell r="B690">
            <v>19</v>
          </cell>
          <cell r="D690">
            <v>1</v>
          </cell>
          <cell r="F690">
            <v>0</v>
          </cell>
          <cell r="G690">
            <v>1</v>
          </cell>
          <cell r="I690">
            <v>0</v>
          </cell>
          <cell r="J690">
            <v>1</v>
          </cell>
          <cell r="K690">
            <v>21</v>
          </cell>
          <cell r="L690">
            <v>21</v>
          </cell>
          <cell r="M690">
            <v>3</v>
          </cell>
          <cell r="O690">
            <v>0</v>
          </cell>
          <cell r="P690">
            <v>1</v>
          </cell>
          <cell r="Q690">
            <v>0</v>
          </cell>
          <cell r="R690">
            <v>0</v>
          </cell>
          <cell r="S690">
            <v>0</v>
          </cell>
          <cell r="T690">
            <v>4</v>
          </cell>
          <cell r="V690">
            <v>0</v>
          </cell>
          <cell r="W690">
            <v>37</v>
          </cell>
          <cell r="X690">
            <v>2</v>
          </cell>
          <cell r="Y690">
            <v>1</v>
          </cell>
          <cell r="AA690">
            <v>0</v>
          </cell>
          <cell r="AB690">
            <v>0</v>
          </cell>
          <cell r="AC690">
            <v>0</v>
          </cell>
          <cell r="AD690">
            <v>0</v>
          </cell>
          <cell r="AE690">
            <v>0</v>
          </cell>
          <cell r="AF690">
            <v>0</v>
          </cell>
          <cell r="AG690">
            <v>1</v>
          </cell>
          <cell r="AH690">
            <v>0</v>
          </cell>
          <cell r="AI690">
            <v>2</v>
          </cell>
          <cell r="AK690">
            <v>1</v>
          </cell>
          <cell r="AL690">
            <v>0</v>
          </cell>
          <cell r="AN690">
            <v>2121</v>
          </cell>
          <cell r="AO690">
            <v>1</v>
          </cell>
          <cell r="AQ690">
            <v>1</v>
          </cell>
          <cell r="AR690">
            <v>13</v>
          </cell>
          <cell r="AS690">
            <v>3</v>
          </cell>
          <cell r="AT690">
            <v>2</v>
          </cell>
          <cell r="AU690">
            <v>0</v>
          </cell>
          <cell r="AV690">
            <v>1</v>
          </cell>
          <cell r="AW690">
            <v>1</v>
          </cell>
          <cell r="AX690">
            <v>3</v>
          </cell>
          <cell r="AY690">
            <v>4</v>
          </cell>
          <cell r="AZ690">
            <v>1</v>
          </cell>
          <cell r="BA690">
            <v>1</v>
          </cell>
          <cell r="BB690">
            <v>0</v>
          </cell>
          <cell r="BC690">
            <v>0</v>
          </cell>
          <cell r="BD690">
            <v>0</v>
          </cell>
          <cell r="BE690">
            <v>0</v>
          </cell>
          <cell r="BF690">
            <v>0</v>
          </cell>
          <cell r="BG690">
            <v>0</v>
          </cell>
          <cell r="BH690">
            <v>1</v>
          </cell>
          <cell r="BI690">
            <v>0</v>
          </cell>
          <cell r="BJ690">
            <v>0</v>
          </cell>
          <cell r="BK690">
            <v>0</v>
          </cell>
          <cell r="BL690">
            <v>0</v>
          </cell>
          <cell r="BM690">
            <v>1</v>
          </cell>
          <cell r="BN690">
            <v>0</v>
          </cell>
          <cell r="BO690">
            <v>0</v>
          </cell>
          <cell r="BP690">
            <v>0</v>
          </cell>
          <cell r="BQ690">
            <v>0</v>
          </cell>
          <cell r="BR690">
            <v>0</v>
          </cell>
          <cell r="BS690">
            <v>0</v>
          </cell>
          <cell r="BT690">
            <v>0</v>
          </cell>
          <cell r="BU690">
            <v>1</v>
          </cell>
        </row>
        <row r="691">
          <cell r="A691">
            <v>20</v>
          </cell>
          <cell r="B691">
            <v>20</v>
          </cell>
          <cell r="D691">
            <v>1</v>
          </cell>
          <cell r="F691">
            <v>0</v>
          </cell>
          <cell r="G691">
            <v>1</v>
          </cell>
          <cell r="I691">
            <v>1</v>
          </cell>
          <cell r="J691">
            <v>0</v>
          </cell>
          <cell r="K691">
            <v>4</v>
          </cell>
          <cell r="L691">
            <v>4</v>
          </cell>
          <cell r="M691">
            <v>3</v>
          </cell>
          <cell r="O691">
            <v>0</v>
          </cell>
          <cell r="P691">
            <v>0</v>
          </cell>
          <cell r="Q691">
            <v>0</v>
          </cell>
          <cell r="R691">
            <v>0</v>
          </cell>
          <cell r="S691">
            <v>1</v>
          </cell>
          <cell r="T691">
            <v>1</v>
          </cell>
          <cell r="V691">
            <v>0</v>
          </cell>
          <cell r="W691">
            <v>84</v>
          </cell>
          <cell r="X691">
            <v>3</v>
          </cell>
          <cell r="Y691">
            <v>1</v>
          </cell>
          <cell r="AA691">
            <v>0</v>
          </cell>
          <cell r="AB691">
            <v>0</v>
          </cell>
          <cell r="AC691">
            <v>1</v>
          </cell>
          <cell r="AD691">
            <v>0</v>
          </cell>
          <cell r="AE691">
            <v>0</v>
          </cell>
          <cell r="AF691">
            <v>0</v>
          </cell>
          <cell r="AG691">
            <v>0</v>
          </cell>
          <cell r="AH691">
            <v>0</v>
          </cell>
          <cell r="AI691">
            <v>1</v>
          </cell>
          <cell r="AK691">
            <v>1</v>
          </cell>
          <cell r="AL691">
            <v>0</v>
          </cell>
          <cell r="AN691">
            <v>2973</v>
          </cell>
          <cell r="AO691">
            <v>1</v>
          </cell>
          <cell r="AQ691">
            <v>0</v>
          </cell>
          <cell r="AR691">
            <v>19</v>
          </cell>
          <cell r="AS691">
            <v>3</v>
          </cell>
          <cell r="AT691">
            <v>2</v>
          </cell>
          <cell r="AU691">
            <v>0</v>
          </cell>
          <cell r="AV691">
            <v>1</v>
          </cell>
          <cell r="AW691">
            <v>1</v>
          </cell>
          <cell r="AX691">
            <v>2</v>
          </cell>
          <cell r="AY691">
            <v>3</v>
          </cell>
          <cell r="AZ691">
            <v>1</v>
          </cell>
          <cell r="BA691">
            <v>1</v>
          </cell>
          <cell r="BB691">
            <v>0</v>
          </cell>
          <cell r="BC691">
            <v>0</v>
          </cell>
          <cell r="BD691">
            <v>0</v>
          </cell>
          <cell r="BE691">
            <v>0</v>
          </cell>
          <cell r="BF691">
            <v>0</v>
          </cell>
          <cell r="BG691">
            <v>0</v>
          </cell>
          <cell r="BH691">
            <v>1</v>
          </cell>
          <cell r="BI691">
            <v>0</v>
          </cell>
          <cell r="BJ691">
            <v>0</v>
          </cell>
          <cell r="BK691">
            <v>0</v>
          </cell>
          <cell r="BL691">
            <v>1</v>
          </cell>
          <cell r="BM691">
            <v>0</v>
          </cell>
          <cell r="BN691">
            <v>0</v>
          </cell>
          <cell r="BO691">
            <v>0</v>
          </cell>
          <cell r="BP691">
            <v>0</v>
          </cell>
          <cell r="BQ691">
            <v>0</v>
          </cell>
          <cell r="BR691">
            <v>0</v>
          </cell>
          <cell r="BS691">
            <v>0</v>
          </cell>
          <cell r="BT691">
            <v>1</v>
          </cell>
          <cell r="BU691">
            <v>0</v>
          </cell>
        </row>
        <row r="692">
          <cell r="A692">
            <v>31</v>
          </cell>
          <cell r="B692">
            <v>31</v>
          </cell>
          <cell r="D692">
            <v>0</v>
          </cell>
          <cell r="F692">
            <v>0</v>
          </cell>
          <cell r="G692">
            <v>1</v>
          </cell>
          <cell r="I692">
            <v>1</v>
          </cell>
          <cell r="J692">
            <v>0</v>
          </cell>
          <cell r="K692">
            <v>12</v>
          </cell>
          <cell r="L692">
            <v>12</v>
          </cell>
          <cell r="M692">
            <v>3</v>
          </cell>
          <cell r="O692">
            <v>0</v>
          </cell>
          <cell r="P692">
            <v>0</v>
          </cell>
          <cell r="Q692">
            <v>1</v>
          </cell>
          <cell r="R692">
            <v>0</v>
          </cell>
          <cell r="S692">
            <v>0</v>
          </cell>
          <cell r="T692">
            <v>4</v>
          </cell>
          <cell r="V692">
            <v>1</v>
          </cell>
          <cell r="W692">
            <v>41</v>
          </cell>
          <cell r="X692">
            <v>3</v>
          </cell>
          <cell r="Y692">
            <v>2</v>
          </cell>
          <cell r="AA692">
            <v>1</v>
          </cell>
          <cell r="AB692">
            <v>0</v>
          </cell>
          <cell r="AC692">
            <v>0</v>
          </cell>
          <cell r="AD692">
            <v>0</v>
          </cell>
          <cell r="AE692">
            <v>0</v>
          </cell>
          <cell r="AF692">
            <v>0</v>
          </cell>
          <cell r="AG692">
            <v>0</v>
          </cell>
          <cell r="AH692">
            <v>0</v>
          </cell>
          <cell r="AI692">
            <v>4</v>
          </cell>
          <cell r="AK692">
            <v>0</v>
          </cell>
          <cell r="AL692">
            <v>1</v>
          </cell>
          <cell r="AN692">
            <v>5855</v>
          </cell>
          <cell r="AO692">
            <v>0</v>
          </cell>
          <cell r="AQ692">
            <v>1</v>
          </cell>
          <cell r="AR692">
            <v>11</v>
          </cell>
          <cell r="AS692">
            <v>3</v>
          </cell>
          <cell r="AT692">
            <v>3</v>
          </cell>
          <cell r="AU692">
            <v>2</v>
          </cell>
          <cell r="AV692">
            <v>10</v>
          </cell>
          <cell r="AW692">
            <v>10</v>
          </cell>
          <cell r="AX692">
            <v>2</v>
          </cell>
          <cell r="AY692">
            <v>1</v>
          </cell>
          <cell r="AZ692">
            <v>9</v>
          </cell>
          <cell r="BA692">
            <v>9</v>
          </cell>
          <cell r="BB692">
            <v>7</v>
          </cell>
          <cell r="BC692">
            <v>8</v>
          </cell>
          <cell r="BD692">
            <v>8</v>
          </cell>
          <cell r="BE692">
            <v>5</v>
          </cell>
          <cell r="BF692">
            <v>5</v>
          </cell>
          <cell r="BG692">
            <v>10</v>
          </cell>
          <cell r="BH692">
            <v>0</v>
          </cell>
          <cell r="BI692">
            <v>1</v>
          </cell>
          <cell r="BJ692">
            <v>0</v>
          </cell>
          <cell r="BK692">
            <v>0</v>
          </cell>
          <cell r="BL692">
            <v>0</v>
          </cell>
          <cell r="BM692">
            <v>0</v>
          </cell>
          <cell r="BN692">
            <v>0</v>
          </cell>
          <cell r="BO692">
            <v>1</v>
          </cell>
          <cell r="BP692">
            <v>0</v>
          </cell>
          <cell r="BQ692">
            <v>5</v>
          </cell>
          <cell r="BR692">
            <v>0</v>
          </cell>
          <cell r="BS692">
            <v>0</v>
          </cell>
          <cell r="BT692">
            <v>10</v>
          </cell>
          <cell r="BU692">
            <v>0</v>
          </cell>
        </row>
        <row r="693">
          <cell r="A693">
            <v>40</v>
          </cell>
          <cell r="B693">
            <v>40</v>
          </cell>
          <cell r="D693">
            <v>0</v>
          </cell>
          <cell r="F693">
            <v>1</v>
          </cell>
          <cell r="G693">
            <v>0</v>
          </cell>
          <cell r="I693">
            <v>1</v>
          </cell>
          <cell r="J693">
            <v>0</v>
          </cell>
          <cell r="K693">
            <v>9</v>
          </cell>
          <cell r="L693">
            <v>9</v>
          </cell>
          <cell r="M693">
            <v>4</v>
          </cell>
          <cell r="O693">
            <v>0</v>
          </cell>
          <cell r="P693">
            <v>0</v>
          </cell>
          <cell r="Q693">
            <v>1</v>
          </cell>
          <cell r="R693">
            <v>0</v>
          </cell>
          <cell r="S693">
            <v>0</v>
          </cell>
          <cell r="T693">
            <v>4</v>
          </cell>
          <cell r="V693">
            <v>0</v>
          </cell>
          <cell r="W693">
            <v>35</v>
          </cell>
          <cell r="X693">
            <v>3</v>
          </cell>
          <cell r="Y693">
            <v>1</v>
          </cell>
          <cell r="AA693">
            <v>0</v>
          </cell>
          <cell r="AB693">
            <v>0</v>
          </cell>
          <cell r="AC693">
            <v>0</v>
          </cell>
          <cell r="AD693">
            <v>0</v>
          </cell>
          <cell r="AE693">
            <v>0</v>
          </cell>
          <cell r="AF693">
            <v>0</v>
          </cell>
          <cell r="AG693">
            <v>0</v>
          </cell>
          <cell r="AH693">
            <v>1</v>
          </cell>
          <cell r="AI693">
            <v>2</v>
          </cell>
          <cell r="AK693">
            <v>0</v>
          </cell>
          <cell r="AL693">
            <v>0</v>
          </cell>
          <cell r="AN693">
            <v>3617</v>
          </cell>
          <cell r="AO693">
            <v>8</v>
          </cell>
          <cell r="AQ693">
            <v>1</v>
          </cell>
          <cell r="AR693">
            <v>14</v>
          </cell>
          <cell r="AS693">
            <v>3</v>
          </cell>
          <cell r="AT693">
            <v>4</v>
          </cell>
          <cell r="AU693">
            <v>1</v>
          </cell>
          <cell r="AV693">
            <v>3</v>
          </cell>
          <cell r="AW693">
            <v>3</v>
          </cell>
          <cell r="AX693">
            <v>2</v>
          </cell>
          <cell r="AY693">
            <v>3</v>
          </cell>
          <cell r="AZ693">
            <v>1</v>
          </cell>
          <cell r="BA693">
            <v>1</v>
          </cell>
          <cell r="BB693">
            <v>1</v>
          </cell>
          <cell r="BC693">
            <v>0</v>
          </cell>
          <cell r="BD693">
            <v>0</v>
          </cell>
          <cell r="BE693">
            <v>0</v>
          </cell>
          <cell r="BF693">
            <v>0</v>
          </cell>
          <cell r="BG693">
            <v>0</v>
          </cell>
          <cell r="BH693">
            <v>0</v>
          </cell>
          <cell r="BI693">
            <v>0</v>
          </cell>
          <cell r="BJ693">
            <v>1</v>
          </cell>
          <cell r="BK693">
            <v>0</v>
          </cell>
          <cell r="BL693">
            <v>0</v>
          </cell>
          <cell r="BM693">
            <v>1</v>
          </cell>
          <cell r="BN693">
            <v>0</v>
          </cell>
          <cell r="BO693">
            <v>0</v>
          </cell>
          <cell r="BP693">
            <v>0</v>
          </cell>
          <cell r="BQ693">
            <v>0</v>
          </cell>
          <cell r="BR693">
            <v>0</v>
          </cell>
          <cell r="BS693">
            <v>0</v>
          </cell>
          <cell r="BT693">
            <v>3</v>
          </cell>
          <cell r="BU693">
            <v>0</v>
          </cell>
        </row>
        <row r="694">
          <cell r="A694">
            <v>32</v>
          </cell>
          <cell r="B694">
            <v>32</v>
          </cell>
          <cell r="D694">
            <v>0</v>
          </cell>
          <cell r="F694">
            <v>0</v>
          </cell>
          <cell r="G694">
            <v>1</v>
          </cell>
          <cell r="I694">
            <v>1</v>
          </cell>
          <cell r="J694">
            <v>0</v>
          </cell>
          <cell r="K694">
            <v>3</v>
          </cell>
          <cell r="L694">
            <v>3</v>
          </cell>
          <cell r="M694">
            <v>4</v>
          </cell>
          <cell r="O694">
            <v>0</v>
          </cell>
          <cell r="P694">
            <v>0</v>
          </cell>
          <cell r="Q694">
            <v>1</v>
          </cell>
          <cell r="R694">
            <v>0</v>
          </cell>
          <cell r="S694">
            <v>0</v>
          </cell>
          <cell r="T694">
            <v>3</v>
          </cell>
          <cell r="V694">
            <v>1</v>
          </cell>
          <cell r="W694">
            <v>93</v>
          </cell>
          <cell r="X694">
            <v>3</v>
          </cell>
          <cell r="Y694">
            <v>2</v>
          </cell>
          <cell r="AA694">
            <v>0</v>
          </cell>
          <cell r="AB694">
            <v>0</v>
          </cell>
          <cell r="AC694">
            <v>0</v>
          </cell>
          <cell r="AD694">
            <v>0</v>
          </cell>
          <cell r="AE694">
            <v>1</v>
          </cell>
          <cell r="AF694">
            <v>1</v>
          </cell>
          <cell r="AG694">
            <v>0</v>
          </cell>
          <cell r="AH694">
            <v>0</v>
          </cell>
          <cell r="AI694">
            <v>1</v>
          </cell>
          <cell r="AK694">
            <v>0</v>
          </cell>
          <cell r="AL694">
            <v>1</v>
          </cell>
          <cell r="AN694">
            <v>6725</v>
          </cell>
          <cell r="AO694">
            <v>1</v>
          </cell>
          <cell r="AQ694">
            <v>0</v>
          </cell>
          <cell r="AR694">
            <v>12</v>
          </cell>
          <cell r="AS694">
            <v>3</v>
          </cell>
          <cell r="AT694">
            <v>3</v>
          </cell>
          <cell r="AU694">
            <v>1</v>
          </cell>
          <cell r="AV694">
            <v>8</v>
          </cell>
          <cell r="AW694">
            <v>8</v>
          </cell>
          <cell r="AX694">
            <v>2</v>
          </cell>
          <cell r="AY694">
            <v>4</v>
          </cell>
          <cell r="AZ694">
            <v>8</v>
          </cell>
          <cell r="BA694">
            <v>8</v>
          </cell>
          <cell r="BB694">
            <v>7</v>
          </cell>
          <cell r="BC694">
            <v>6</v>
          </cell>
          <cell r="BD694">
            <v>6</v>
          </cell>
          <cell r="BE694">
            <v>3</v>
          </cell>
          <cell r="BF694">
            <v>3</v>
          </cell>
          <cell r="BG694">
            <v>6</v>
          </cell>
          <cell r="BH694">
            <v>0</v>
          </cell>
          <cell r="BI694">
            <v>1</v>
          </cell>
          <cell r="BJ694">
            <v>0</v>
          </cell>
          <cell r="BK694">
            <v>0</v>
          </cell>
          <cell r="BL694">
            <v>0</v>
          </cell>
          <cell r="BM694">
            <v>0</v>
          </cell>
          <cell r="BN694">
            <v>1</v>
          </cell>
          <cell r="BO694">
            <v>0</v>
          </cell>
          <cell r="BP694">
            <v>0</v>
          </cell>
          <cell r="BQ694">
            <v>3</v>
          </cell>
          <cell r="BR694">
            <v>0</v>
          </cell>
          <cell r="BS694">
            <v>0</v>
          </cell>
          <cell r="BT694">
            <v>8</v>
          </cell>
          <cell r="BU694">
            <v>0</v>
          </cell>
        </row>
        <row r="695">
          <cell r="A695">
            <v>36</v>
          </cell>
          <cell r="B695">
            <v>36</v>
          </cell>
          <cell r="D695">
            <v>1</v>
          </cell>
          <cell r="F695">
            <v>0</v>
          </cell>
          <cell r="G695">
            <v>1</v>
          </cell>
          <cell r="I695">
            <v>0</v>
          </cell>
          <cell r="J695">
            <v>1</v>
          </cell>
          <cell r="K695">
            <v>3</v>
          </cell>
          <cell r="L695">
            <v>3</v>
          </cell>
          <cell r="M695">
            <v>1</v>
          </cell>
          <cell r="O695">
            <v>1</v>
          </cell>
          <cell r="P695">
            <v>0</v>
          </cell>
          <cell r="Q695">
            <v>0</v>
          </cell>
          <cell r="R695">
            <v>0</v>
          </cell>
          <cell r="S695">
            <v>0</v>
          </cell>
          <cell r="T695">
            <v>3</v>
          </cell>
          <cell r="V695">
            <v>0</v>
          </cell>
          <cell r="W695">
            <v>51</v>
          </cell>
          <cell r="X695">
            <v>2</v>
          </cell>
          <cell r="Y695">
            <v>3</v>
          </cell>
          <cell r="AA695">
            <v>0</v>
          </cell>
          <cell r="AB695">
            <v>1</v>
          </cell>
          <cell r="AC695">
            <v>0</v>
          </cell>
          <cell r="AD695">
            <v>0</v>
          </cell>
          <cell r="AE695">
            <v>0</v>
          </cell>
          <cell r="AF695">
            <v>0</v>
          </cell>
          <cell r="AG695">
            <v>0</v>
          </cell>
          <cell r="AH695">
            <v>0</v>
          </cell>
          <cell r="AI695">
            <v>4</v>
          </cell>
          <cell r="AK695">
            <v>0</v>
          </cell>
          <cell r="AL695">
            <v>1</v>
          </cell>
          <cell r="AN695">
            <v>10325</v>
          </cell>
          <cell r="AO695">
            <v>1</v>
          </cell>
          <cell r="AQ695">
            <v>1</v>
          </cell>
          <cell r="AR695">
            <v>11</v>
          </cell>
          <cell r="AS695">
            <v>3</v>
          </cell>
          <cell r="AT695">
            <v>1</v>
          </cell>
          <cell r="AU695">
            <v>1</v>
          </cell>
          <cell r="AV695">
            <v>16</v>
          </cell>
          <cell r="AW695">
            <v>16</v>
          </cell>
          <cell r="AX695">
            <v>6</v>
          </cell>
          <cell r="AY695">
            <v>3</v>
          </cell>
          <cell r="AZ695">
            <v>16</v>
          </cell>
          <cell r="BA695">
            <v>16</v>
          </cell>
          <cell r="BB695">
            <v>7</v>
          </cell>
          <cell r="BC695">
            <v>3</v>
          </cell>
          <cell r="BD695">
            <v>3</v>
          </cell>
          <cell r="BE695">
            <v>7</v>
          </cell>
          <cell r="BF695">
            <v>7</v>
          </cell>
          <cell r="BG695">
            <v>21</v>
          </cell>
          <cell r="BH695">
            <v>0</v>
          </cell>
          <cell r="BI695">
            <v>1</v>
          </cell>
          <cell r="BJ695">
            <v>0</v>
          </cell>
          <cell r="BK695">
            <v>0</v>
          </cell>
          <cell r="BL695">
            <v>0</v>
          </cell>
          <cell r="BM695">
            <v>0</v>
          </cell>
          <cell r="BN695">
            <v>0</v>
          </cell>
          <cell r="BO695">
            <v>1</v>
          </cell>
          <cell r="BP695">
            <v>0</v>
          </cell>
          <cell r="BQ695">
            <v>0</v>
          </cell>
          <cell r="BR695">
            <v>7</v>
          </cell>
          <cell r="BS695">
            <v>0</v>
          </cell>
          <cell r="BT695">
            <v>0</v>
          </cell>
          <cell r="BU695">
            <v>16</v>
          </cell>
        </row>
        <row r="696">
          <cell r="A696">
            <v>33</v>
          </cell>
          <cell r="B696">
            <v>33</v>
          </cell>
          <cell r="D696">
            <v>0</v>
          </cell>
          <cell r="F696">
            <v>0</v>
          </cell>
          <cell r="G696">
            <v>1</v>
          </cell>
          <cell r="I696">
            <v>1</v>
          </cell>
          <cell r="J696">
            <v>0</v>
          </cell>
          <cell r="K696">
            <v>1</v>
          </cell>
          <cell r="L696">
            <v>1</v>
          </cell>
          <cell r="M696">
            <v>3</v>
          </cell>
          <cell r="O696">
            <v>1</v>
          </cell>
          <cell r="P696">
            <v>0</v>
          </cell>
          <cell r="Q696">
            <v>0</v>
          </cell>
          <cell r="R696">
            <v>0</v>
          </cell>
          <cell r="S696">
            <v>0</v>
          </cell>
          <cell r="T696">
            <v>2</v>
          </cell>
          <cell r="V696">
            <v>1</v>
          </cell>
          <cell r="W696">
            <v>42</v>
          </cell>
          <cell r="X696">
            <v>2</v>
          </cell>
          <cell r="Y696">
            <v>2</v>
          </cell>
          <cell r="AA696">
            <v>1</v>
          </cell>
          <cell r="AB696">
            <v>0</v>
          </cell>
          <cell r="AC696">
            <v>0</v>
          </cell>
          <cell r="AD696">
            <v>0</v>
          </cell>
          <cell r="AE696">
            <v>0</v>
          </cell>
          <cell r="AF696">
            <v>0</v>
          </cell>
          <cell r="AG696">
            <v>0</v>
          </cell>
          <cell r="AH696">
            <v>0</v>
          </cell>
          <cell r="AI696">
            <v>4</v>
          </cell>
          <cell r="AK696">
            <v>1</v>
          </cell>
          <cell r="AL696">
            <v>0</v>
          </cell>
          <cell r="AN696">
            <v>6949</v>
          </cell>
          <cell r="AO696">
            <v>0</v>
          </cell>
          <cell r="AQ696">
            <v>0</v>
          </cell>
          <cell r="AR696">
            <v>14</v>
          </cell>
          <cell r="AS696">
            <v>3</v>
          </cell>
          <cell r="AT696">
            <v>1</v>
          </cell>
          <cell r="AU696">
            <v>0</v>
          </cell>
          <cell r="AV696">
            <v>6</v>
          </cell>
          <cell r="AW696">
            <v>6</v>
          </cell>
          <cell r="AX696">
            <v>3</v>
          </cell>
          <cell r="AY696">
            <v>3</v>
          </cell>
          <cell r="AZ696">
            <v>5</v>
          </cell>
          <cell r="BA696">
            <v>5</v>
          </cell>
          <cell r="BB696">
            <v>0</v>
          </cell>
          <cell r="BC696">
            <v>1</v>
          </cell>
          <cell r="BD696">
            <v>1</v>
          </cell>
          <cell r="BE696">
            <v>4</v>
          </cell>
          <cell r="BF696">
            <v>4</v>
          </cell>
          <cell r="BG696">
            <v>8</v>
          </cell>
          <cell r="BH696">
            <v>1</v>
          </cell>
          <cell r="BI696">
            <v>0</v>
          </cell>
          <cell r="BJ696">
            <v>0</v>
          </cell>
          <cell r="BK696">
            <v>0</v>
          </cell>
          <cell r="BL696">
            <v>1</v>
          </cell>
          <cell r="BM696">
            <v>0</v>
          </cell>
          <cell r="BN696">
            <v>0</v>
          </cell>
          <cell r="BO696">
            <v>0</v>
          </cell>
          <cell r="BP696">
            <v>0</v>
          </cell>
          <cell r="BQ696">
            <v>4</v>
          </cell>
          <cell r="BR696">
            <v>0</v>
          </cell>
          <cell r="BS696">
            <v>0</v>
          </cell>
          <cell r="BT696">
            <v>6</v>
          </cell>
          <cell r="BU696">
            <v>0</v>
          </cell>
        </row>
        <row r="697">
          <cell r="A697">
            <v>37</v>
          </cell>
          <cell r="B697">
            <v>37</v>
          </cell>
          <cell r="D697">
            <v>1</v>
          </cell>
          <cell r="F697">
            <v>0</v>
          </cell>
          <cell r="G697">
            <v>1</v>
          </cell>
          <cell r="I697">
            <v>0</v>
          </cell>
          <cell r="J697">
            <v>1</v>
          </cell>
          <cell r="K697">
            <v>1</v>
          </cell>
          <cell r="L697">
            <v>1</v>
          </cell>
          <cell r="M697">
            <v>4</v>
          </cell>
          <cell r="O697">
            <v>1</v>
          </cell>
          <cell r="P697">
            <v>0</v>
          </cell>
          <cell r="Q697">
            <v>0</v>
          </cell>
          <cell r="R697">
            <v>0</v>
          </cell>
          <cell r="S697">
            <v>0</v>
          </cell>
          <cell r="T697">
            <v>1</v>
          </cell>
          <cell r="V697">
            <v>0</v>
          </cell>
          <cell r="W697">
            <v>46</v>
          </cell>
          <cell r="X697">
            <v>2</v>
          </cell>
          <cell r="Y697">
            <v>3</v>
          </cell>
          <cell r="AA697">
            <v>0</v>
          </cell>
          <cell r="AB697">
            <v>1</v>
          </cell>
          <cell r="AC697">
            <v>0</v>
          </cell>
          <cell r="AD697">
            <v>0</v>
          </cell>
          <cell r="AE697">
            <v>0</v>
          </cell>
          <cell r="AF697">
            <v>0</v>
          </cell>
          <cell r="AG697">
            <v>0</v>
          </cell>
          <cell r="AH697">
            <v>0</v>
          </cell>
          <cell r="AI697">
            <v>3</v>
          </cell>
          <cell r="AK697">
            <v>0</v>
          </cell>
          <cell r="AL697">
            <v>1</v>
          </cell>
          <cell r="AN697">
            <v>10609</v>
          </cell>
          <cell r="AO697">
            <v>5</v>
          </cell>
          <cell r="AQ697">
            <v>0</v>
          </cell>
          <cell r="AR697">
            <v>11</v>
          </cell>
          <cell r="AS697">
            <v>3</v>
          </cell>
          <cell r="AT697">
            <v>3</v>
          </cell>
          <cell r="AU697">
            <v>0</v>
          </cell>
          <cell r="AV697">
            <v>17</v>
          </cell>
          <cell r="AW697">
            <v>17</v>
          </cell>
          <cell r="AX697">
            <v>2</v>
          </cell>
          <cell r="AY697">
            <v>1</v>
          </cell>
          <cell r="AZ697">
            <v>14</v>
          </cell>
          <cell r="BA697">
            <v>14</v>
          </cell>
          <cell r="BB697">
            <v>1</v>
          </cell>
          <cell r="BC697">
            <v>11</v>
          </cell>
          <cell r="BD697">
            <v>11</v>
          </cell>
          <cell r="BE697">
            <v>7</v>
          </cell>
          <cell r="BF697">
            <v>7</v>
          </cell>
          <cell r="BG697">
            <v>21</v>
          </cell>
          <cell r="BH697">
            <v>0</v>
          </cell>
          <cell r="BI697">
            <v>1</v>
          </cell>
          <cell r="BJ697">
            <v>0</v>
          </cell>
          <cell r="BK697">
            <v>0</v>
          </cell>
          <cell r="BL697">
            <v>0</v>
          </cell>
          <cell r="BM697">
            <v>0</v>
          </cell>
          <cell r="BN697">
            <v>1</v>
          </cell>
          <cell r="BO697">
            <v>0</v>
          </cell>
          <cell r="BP697">
            <v>0</v>
          </cell>
          <cell r="BQ697">
            <v>0</v>
          </cell>
          <cell r="BR697">
            <v>7</v>
          </cell>
          <cell r="BS697">
            <v>0</v>
          </cell>
          <cell r="BT697">
            <v>0</v>
          </cell>
          <cell r="BU697">
            <v>17</v>
          </cell>
        </row>
        <row r="698">
          <cell r="A698">
            <v>45</v>
          </cell>
          <cell r="B698">
            <v>45</v>
          </cell>
          <cell r="D698">
            <v>0</v>
          </cell>
          <cell r="F698">
            <v>0</v>
          </cell>
          <cell r="G698">
            <v>0</v>
          </cell>
          <cell r="I698">
            <v>1</v>
          </cell>
          <cell r="J698">
            <v>0</v>
          </cell>
          <cell r="K698">
            <v>4</v>
          </cell>
          <cell r="L698">
            <v>4</v>
          </cell>
          <cell r="M698">
            <v>2</v>
          </cell>
          <cell r="O698">
            <v>1</v>
          </cell>
          <cell r="P698">
            <v>0</v>
          </cell>
          <cell r="Q698">
            <v>0</v>
          </cell>
          <cell r="R698">
            <v>0</v>
          </cell>
          <cell r="S698">
            <v>0</v>
          </cell>
          <cell r="T698">
            <v>3</v>
          </cell>
          <cell r="V698">
            <v>0</v>
          </cell>
          <cell r="W698">
            <v>57</v>
          </cell>
          <cell r="X698">
            <v>3</v>
          </cell>
          <cell r="Y698">
            <v>2</v>
          </cell>
          <cell r="AA698">
            <v>0</v>
          </cell>
          <cell r="AB698">
            <v>0</v>
          </cell>
          <cell r="AC698">
            <v>1</v>
          </cell>
          <cell r="AD698">
            <v>0</v>
          </cell>
          <cell r="AE698">
            <v>0</v>
          </cell>
          <cell r="AF698">
            <v>0</v>
          </cell>
          <cell r="AG698">
            <v>0</v>
          </cell>
          <cell r="AH698">
            <v>0</v>
          </cell>
          <cell r="AI698">
            <v>2</v>
          </cell>
          <cell r="AK698">
            <v>0</v>
          </cell>
          <cell r="AL698">
            <v>1</v>
          </cell>
          <cell r="AN698">
            <v>4447</v>
          </cell>
          <cell r="AO698">
            <v>1</v>
          </cell>
          <cell r="AQ698">
            <v>0</v>
          </cell>
          <cell r="AR698">
            <v>12</v>
          </cell>
          <cell r="AS698">
            <v>3</v>
          </cell>
          <cell r="AT698">
            <v>2</v>
          </cell>
          <cell r="AU698">
            <v>0</v>
          </cell>
          <cell r="AV698">
            <v>9</v>
          </cell>
          <cell r="AW698">
            <v>9</v>
          </cell>
          <cell r="AX698">
            <v>5</v>
          </cell>
          <cell r="AY698">
            <v>2</v>
          </cell>
          <cell r="AZ698">
            <v>9</v>
          </cell>
          <cell r="BA698">
            <v>9</v>
          </cell>
          <cell r="BB698">
            <v>7</v>
          </cell>
          <cell r="BC698">
            <v>0</v>
          </cell>
          <cell r="BD698">
            <v>0</v>
          </cell>
          <cell r="BE698">
            <v>8</v>
          </cell>
          <cell r="BF698">
            <v>8</v>
          </cell>
          <cell r="BG698">
            <v>16</v>
          </cell>
          <cell r="BH698">
            <v>0</v>
          </cell>
          <cell r="BI698">
            <v>1</v>
          </cell>
          <cell r="BJ698">
            <v>0</v>
          </cell>
          <cell r="BK698">
            <v>0</v>
          </cell>
          <cell r="BL698">
            <v>0</v>
          </cell>
          <cell r="BM698">
            <v>0</v>
          </cell>
          <cell r="BN698">
            <v>1</v>
          </cell>
          <cell r="BO698">
            <v>0</v>
          </cell>
          <cell r="BP698">
            <v>0</v>
          </cell>
          <cell r="BQ698">
            <v>8</v>
          </cell>
          <cell r="BR698">
            <v>0</v>
          </cell>
          <cell r="BS698">
            <v>0</v>
          </cell>
          <cell r="BT698">
            <v>9</v>
          </cell>
          <cell r="BU698">
            <v>0</v>
          </cell>
        </row>
        <row r="699">
          <cell r="A699">
            <v>29</v>
          </cell>
          <cell r="B699">
            <v>29</v>
          </cell>
          <cell r="D699">
            <v>0</v>
          </cell>
          <cell r="F699">
            <v>1</v>
          </cell>
          <cell r="G699">
            <v>0</v>
          </cell>
          <cell r="I699">
            <v>0</v>
          </cell>
          <cell r="J699">
            <v>1</v>
          </cell>
          <cell r="K699">
            <v>20</v>
          </cell>
          <cell r="L699">
            <v>20</v>
          </cell>
          <cell r="M699">
            <v>3</v>
          </cell>
          <cell r="O699">
            <v>0</v>
          </cell>
          <cell r="P699">
            <v>0</v>
          </cell>
          <cell r="Q699">
            <v>0</v>
          </cell>
          <cell r="R699">
            <v>0</v>
          </cell>
          <cell r="S699">
            <v>1</v>
          </cell>
          <cell r="T699">
            <v>3</v>
          </cell>
          <cell r="V699">
            <v>1</v>
          </cell>
          <cell r="W699">
            <v>84</v>
          </cell>
          <cell r="X699">
            <v>3</v>
          </cell>
          <cell r="Y699">
            <v>1</v>
          </cell>
          <cell r="AA699">
            <v>0</v>
          </cell>
          <cell r="AB699">
            <v>0</v>
          </cell>
          <cell r="AC699">
            <v>0</v>
          </cell>
          <cell r="AD699">
            <v>0</v>
          </cell>
          <cell r="AE699">
            <v>0</v>
          </cell>
          <cell r="AF699">
            <v>0</v>
          </cell>
          <cell r="AG699">
            <v>1</v>
          </cell>
          <cell r="AH699">
            <v>0</v>
          </cell>
          <cell r="AI699">
            <v>4</v>
          </cell>
          <cell r="AK699">
            <v>0</v>
          </cell>
          <cell r="AL699">
            <v>1</v>
          </cell>
          <cell r="AN699">
            <v>2157</v>
          </cell>
          <cell r="AO699">
            <v>1</v>
          </cell>
          <cell r="AQ699">
            <v>0</v>
          </cell>
          <cell r="AR699">
            <v>15</v>
          </cell>
          <cell r="AS699">
            <v>3</v>
          </cell>
          <cell r="AT699">
            <v>2</v>
          </cell>
          <cell r="AU699">
            <v>1</v>
          </cell>
          <cell r="AV699">
            <v>3</v>
          </cell>
          <cell r="AW699">
            <v>3</v>
          </cell>
          <cell r="AX699">
            <v>5</v>
          </cell>
          <cell r="AY699">
            <v>3</v>
          </cell>
          <cell r="AZ699">
            <v>3</v>
          </cell>
          <cell r="BA699">
            <v>3</v>
          </cell>
          <cell r="BB699">
            <v>1</v>
          </cell>
          <cell r="BC699">
            <v>0</v>
          </cell>
          <cell r="BD699">
            <v>0</v>
          </cell>
          <cell r="BE699">
            <v>2</v>
          </cell>
          <cell r="BF699">
            <v>2</v>
          </cell>
          <cell r="BG699">
            <v>2</v>
          </cell>
          <cell r="BH699">
            <v>0</v>
          </cell>
          <cell r="BI699">
            <v>0</v>
          </cell>
          <cell r="BJ699">
            <v>0</v>
          </cell>
          <cell r="BK699">
            <v>1</v>
          </cell>
          <cell r="BL699">
            <v>0</v>
          </cell>
          <cell r="BM699">
            <v>0</v>
          </cell>
          <cell r="BN699">
            <v>1</v>
          </cell>
          <cell r="BO699">
            <v>0</v>
          </cell>
          <cell r="BP699">
            <v>0</v>
          </cell>
          <cell r="BQ699">
            <v>0</v>
          </cell>
          <cell r="BR699">
            <v>2</v>
          </cell>
          <cell r="BS699">
            <v>0</v>
          </cell>
          <cell r="BT699">
            <v>0</v>
          </cell>
          <cell r="BU699">
            <v>3</v>
          </cell>
        </row>
        <row r="700">
          <cell r="A700">
            <v>35</v>
          </cell>
          <cell r="B700">
            <v>35</v>
          </cell>
          <cell r="D700">
            <v>0</v>
          </cell>
          <cell r="F700">
            <v>0</v>
          </cell>
          <cell r="G700">
            <v>1</v>
          </cell>
          <cell r="I700">
            <v>0</v>
          </cell>
          <cell r="J700">
            <v>1</v>
          </cell>
          <cell r="K700">
            <v>18</v>
          </cell>
          <cell r="L700">
            <v>18</v>
          </cell>
          <cell r="M700">
            <v>3</v>
          </cell>
          <cell r="O700">
            <v>0</v>
          </cell>
          <cell r="P700">
            <v>0</v>
          </cell>
          <cell r="Q700">
            <v>1</v>
          </cell>
          <cell r="R700">
            <v>0</v>
          </cell>
          <cell r="S700">
            <v>0</v>
          </cell>
          <cell r="T700">
            <v>3</v>
          </cell>
          <cell r="V700">
            <v>1</v>
          </cell>
          <cell r="W700">
            <v>86</v>
          </cell>
          <cell r="X700">
            <v>3</v>
          </cell>
          <cell r="Y700">
            <v>2</v>
          </cell>
          <cell r="AA700">
            <v>0</v>
          </cell>
          <cell r="AB700">
            <v>1</v>
          </cell>
          <cell r="AC700">
            <v>0</v>
          </cell>
          <cell r="AD700">
            <v>0</v>
          </cell>
          <cell r="AE700">
            <v>0</v>
          </cell>
          <cell r="AF700">
            <v>0</v>
          </cell>
          <cell r="AG700">
            <v>0</v>
          </cell>
          <cell r="AH700">
            <v>0</v>
          </cell>
          <cell r="AI700">
            <v>3</v>
          </cell>
          <cell r="AK700">
            <v>0</v>
          </cell>
          <cell r="AL700">
            <v>1</v>
          </cell>
          <cell r="AN700">
            <v>4601</v>
          </cell>
          <cell r="AO700">
            <v>1</v>
          </cell>
          <cell r="AQ700">
            <v>0</v>
          </cell>
          <cell r="AR700">
            <v>16</v>
          </cell>
          <cell r="AS700">
            <v>3</v>
          </cell>
          <cell r="AT700">
            <v>2</v>
          </cell>
          <cell r="AU700">
            <v>0</v>
          </cell>
          <cell r="AV700">
            <v>5</v>
          </cell>
          <cell r="AW700">
            <v>5</v>
          </cell>
          <cell r="AX700">
            <v>3</v>
          </cell>
          <cell r="AY700">
            <v>3</v>
          </cell>
          <cell r="AZ700">
            <v>5</v>
          </cell>
          <cell r="BA700">
            <v>5</v>
          </cell>
          <cell r="BB700">
            <v>2</v>
          </cell>
          <cell r="BC700">
            <v>1</v>
          </cell>
          <cell r="BD700">
            <v>1</v>
          </cell>
          <cell r="BE700">
            <v>0</v>
          </cell>
          <cell r="BF700">
            <v>0</v>
          </cell>
          <cell r="BG700">
            <v>0</v>
          </cell>
          <cell r="BH700">
            <v>0</v>
          </cell>
          <cell r="BI700">
            <v>1</v>
          </cell>
          <cell r="BJ700">
            <v>0</v>
          </cell>
          <cell r="BK700">
            <v>0</v>
          </cell>
          <cell r="BL700">
            <v>0</v>
          </cell>
          <cell r="BM700">
            <v>0</v>
          </cell>
          <cell r="BN700">
            <v>1</v>
          </cell>
          <cell r="BO700">
            <v>0</v>
          </cell>
          <cell r="BP700">
            <v>0</v>
          </cell>
          <cell r="BQ700">
            <v>0</v>
          </cell>
          <cell r="BR700">
            <v>0</v>
          </cell>
          <cell r="BS700">
            <v>0</v>
          </cell>
          <cell r="BT700">
            <v>0</v>
          </cell>
          <cell r="BU700">
            <v>5</v>
          </cell>
        </row>
        <row r="701">
          <cell r="A701">
            <v>52</v>
          </cell>
          <cell r="B701">
            <v>52</v>
          </cell>
          <cell r="D701">
            <v>0</v>
          </cell>
          <cell r="F701">
            <v>0</v>
          </cell>
          <cell r="G701">
            <v>1</v>
          </cell>
          <cell r="I701">
            <v>1</v>
          </cell>
          <cell r="J701">
            <v>0</v>
          </cell>
          <cell r="K701">
            <v>1</v>
          </cell>
          <cell r="L701">
            <v>1</v>
          </cell>
          <cell r="M701">
            <v>2</v>
          </cell>
          <cell r="O701">
            <v>1</v>
          </cell>
          <cell r="P701">
            <v>0</v>
          </cell>
          <cell r="Q701">
            <v>0</v>
          </cell>
          <cell r="R701">
            <v>0</v>
          </cell>
          <cell r="S701">
            <v>0</v>
          </cell>
          <cell r="T701">
            <v>4</v>
          </cell>
          <cell r="V701">
            <v>0</v>
          </cell>
          <cell r="W701">
            <v>70</v>
          </cell>
          <cell r="X701">
            <v>3</v>
          </cell>
          <cell r="Y701">
            <v>4</v>
          </cell>
          <cell r="AA701">
            <v>0</v>
          </cell>
          <cell r="AB701">
            <v>0</v>
          </cell>
          <cell r="AC701">
            <v>0</v>
          </cell>
          <cell r="AD701">
            <v>1</v>
          </cell>
          <cell r="AE701">
            <v>0</v>
          </cell>
          <cell r="AF701">
            <v>0</v>
          </cell>
          <cell r="AG701">
            <v>0</v>
          </cell>
          <cell r="AH701">
            <v>0</v>
          </cell>
          <cell r="AI701">
            <v>4</v>
          </cell>
          <cell r="AK701">
            <v>0</v>
          </cell>
          <cell r="AL701">
            <v>1</v>
          </cell>
          <cell r="AN701">
            <v>17099</v>
          </cell>
          <cell r="AO701">
            <v>2</v>
          </cell>
          <cell r="AQ701">
            <v>0</v>
          </cell>
          <cell r="AR701">
            <v>15</v>
          </cell>
          <cell r="AS701">
            <v>3</v>
          </cell>
          <cell r="AT701">
            <v>2</v>
          </cell>
          <cell r="AU701">
            <v>1</v>
          </cell>
          <cell r="AV701">
            <v>26</v>
          </cell>
          <cell r="AW701">
            <v>26</v>
          </cell>
          <cell r="AX701">
            <v>2</v>
          </cell>
          <cell r="AY701">
            <v>2</v>
          </cell>
          <cell r="AZ701">
            <v>9</v>
          </cell>
          <cell r="BA701">
            <v>9</v>
          </cell>
          <cell r="BB701">
            <v>8</v>
          </cell>
          <cell r="BC701">
            <v>7</v>
          </cell>
          <cell r="BD701">
            <v>7</v>
          </cell>
          <cell r="BE701">
            <v>8</v>
          </cell>
          <cell r="BF701">
            <v>8</v>
          </cell>
          <cell r="BG701">
            <v>32</v>
          </cell>
          <cell r="BH701">
            <v>0</v>
          </cell>
          <cell r="BI701">
            <v>1</v>
          </cell>
          <cell r="BJ701">
            <v>0</v>
          </cell>
          <cell r="BK701">
            <v>0</v>
          </cell>
          <cell r="BL701">
            <v>0</v>
          </cell>
          <cell r="BM701">
            <v>0</v>
          </cell>
          <cell r="BN701">
            <v>1</v>
          </cell>
          <cell r="BO701">
            <v>0</v>
          </cell>
          <cell r="BP701">
            <v>0</v>
          </cell>
          <cell r="BQ701">
            <v>8</v>
          </cell>
          <cell r="BR701">
            <v>0</v>
          </cell>
          <cell r="BS701">
            <v>0</v>
          </cell>
          <cell r="BT701">
            <v>26</v>
          </cell>
          <cell r="BU701">
            <v>0</v>
          </cell>
        </row>
        <row r="702">
          <cell r="A702">
            <v>58</v>
          </cell>
          <cell r="B702">
            <v>58</v>
          </cell>
          <cell r="D702">
            <v>1</v>
          </cell>
          <cell r="F702">
            <v>0</v>
          </cell>
          <cell r="G702">
            <v>1</v>
          </cell>
          <cell r="I702">
            <v>1</v>
          </cell>
          <cell r="J702">
            <v>0</v>
          </cell>
          <cell r="K702">
            <v>2</v>
          </cell>
          <cell r="L702">
            <v>2</v>
          </cell>
          <cell r="M702">
            <v>3</v>
          </cell>
          <cell r="O702">
            <v>0</v>
          </cell>
          <cell r="P702">
            <v>0</v>
          </cell>
          <cell r="Q702">
            <v>0</v>
          </cell>
          <cell r="R702">
            <v>0</v>
          </cell>
          <cell r="S702">
            <v>1</v>
          </cell>
          <cell r="T702">
            <v>4</v>
          </cell>
          <cell r="V702">
            <v>0</v>
          </cell>
          <cell r="W702">
            <v>51</v>
          </cell>
          <cell r="X702">
            <v>3</v>
          </cell>
          <cell r="Y702">
            <v>1</v>
          </cell>
          <cell r="AA702">
            <v>0</v>
          </cell>
          <cell r="AB702">
            <v>0</v>
          </cell>
          <cell r="AC702">
            <v>0</v>
          </cell>
          <cell r="AD702">
            <v>0</v>
          </cell>
          <cell r="AE702">
            <v>0</v>
          </cell>
          <cell r="AF702">
            <v>0</v>
          </cell>
          <cell r="AG702">
            <v>0</v>
          </cell>
          <cell r="AH702">
            <v>1</v>
          </cell>
          <cell r="AI702">
            <v>3</v>
          </cell>
          <cell r="AK702">
            <v>1</v>
          </cell>
          <cell r="AL702">
            <v>0</v>
          </cell>
          <cell r="AN702">
            <v>2479</v>
          </cell>
          <cell r="AO702">
            <v>4</v>
          </cell>
          <cell r="AQ702">
            <v>0</v>
          </cell>
          <cell r="AR702">
            <v>24</v>
          </cell>
          <cell r="AS702">
            <v>4</v>
          </cell>
          <cell r="AT702">
            <v>1</v>
          </cell>
          <cell r="AU702">
            <v>0</v>
          </cell>
          <cell r="AV702">
            <v>7</v>
          </cell>
          <cell r="AW702">
            <v>7</v>
          </cell>
          <cell r="AX702">
            <v>4</v>
          </cell>
          <cell r="AY702">
            <v>3</v>
          </cell>
          <cell r="AZ702">
            <v>1</v>
          </cell>
          <cell r="BA702">
            <v>1</v>
          </cell>
          <cell r="BB702">
            <v>0</v>
          </cell>
          <cell r="BC702">
            <v>0</v>
          </cell>
          <cell r="BD702">
            <v>0</v>
          </cell>
          <cell r="BE702">
            <v>0</v>
          </cell>
          <cell r="BF702">
            <v>0</v>
          </cell>
          <cell r="BG702">
            <v>0</v>
          </cell>
          <cell r="BH702">
            <v>1</v>
          </cell>
          <cell r="BI702">
            <v>0</v>
          </cell>
          <cell r="BJ702">
            <v>0</v>
          </cell>
          <cell r="BK702">
            <v>0</v>
          </cell>
          <cell r="BL702">
            <v>1</v>
          </cell>
          <cell r="BM702">
            <v>0</v>
          </cell>
          <cell r="BN702">
            <v>0</v>
          </cell>
          <cell r="BO702">
            <v>0</v>
          </cell>
          <cell r="BP702">
            <v>0</v>
          </cell>
          <cell r="BQ702">
            <v>0</v>
          </cell>
          <cell r="BR702">
            <v>0</v>
          </cell>
          <cell r="BS702">
            <v>0</v>
          </cell>
          <cell r="BT702">
            <v>7</v>
          </cell>
          <cell r="BU702">
            <v>0</v>
          </cell>
        </row>
        <row r="703">
          <cell r="A703">
            <v>53</v>
          </cell>
          <cell r="B703">
            <v>53</v>
          </cell>
          <cell r="D703">
            <v>0</v>
          </cell>
          <cell r="F703">
            <v>0</v>
          </cell>
          <cell r="G703">
            <v>1</v>
          </cell>
          <cell r="I703">
            <v>0</v>
          </cell>
          <cell r="J703">
            <v>1</v>
          </cell>
          <cell r="K703">
            <v>2</v>
          </cell>
          <cell r="L703">
            <v>2</v>
          </cell>
          <cell r="M703">
            <v>2</v>
          </cell>
          <cell r="O703">
            <v>0</v>
          </cell>
          <cell r="P703">
            <v>0</v>
          </cell>
          <cell r="Q703">
            <v>1</v>
          </cell>
          <cell r="R703">
            <v>0</v>
          </cell>
          <cell r="S703">
            <v>0</v>
          </cell>
          <cell r="T703">
            <v>3</v>
          </cell>
          <cell r="V703">
            <v>0</v>
          </cell>
          <cell r="W703">
            <v>45</v>
          </cell>
          <cell r="X703">
            <v>3</v>
          </cell>
          <cell r="Y703">
            <v>4</v>
          </cell>
          <cell r="AA703">
            <v>0</v>
          </cell>
          <cell r="AB703">
            <v>0</v>
          </cell>
          <cell r="AC703">
            <v>0</v>
          </cell>
          <cell r="AD703">
            <v>1</v>
          </cell>
          <cell r="AE703">
            <v>0</v>
          </cell>
          <cell r="AF703">
            <v>0</v>
          </cell>
          <cell r="AG703">
            <v>0</v>
          </cell>
          <cell r="AH703">
            <v>0</v>
          </cell>
          <cell r="AI703">
            <v>3</v>
          </cell>
          <cell r="AK703">
            <v>0</v>
          </cell>
          <cell r="AL703">
            <v>0</v>
          </cell>
          <cell r="AN703">
            <v>14852</v>
          </cell>
          <cell r="AO703">
            <v>6</v>
          </cell>
          <cell r="AQ703">
            <v>0</v>
          </cell>
          <cell r="AR703">
            <v>13</v>
          </cell>
          <cell r="AS703">
            <v>3</v>
          </cell>
          <cell r="AT703">
            <v>3</v>
          </cell>
          <cell r="AU703">
            <v>1</v>
          </cell>
          <cell r="AV703">
            <v>22</v>
          </cell>
          <cell r="AW703">
            <v>22</v>
          </cell>
          <cell r="AX703">
            <v>3</v>
          </cell>
          <cell r="AY703">
            <v>4</v>
          </cell>
          <cell r="AZ703">
            <v>17</v>
          </cell>
          <cell r="BA703">
            <v>17</v>
          </cell>
          <cell r="BB703">
            <v>13</v>
          </cell>
          <cell r="BC703">
            <v>15</v>
          </cell>
          <cell r="BD703">
            <v>14</v>
          </cell>
          <cell r="BE703">
            <v>2</v>
          </cell>
          <cell r="BF703">
            <v>2</v>
          </cell>
          <cell r="BG703">
            <v>8</v>
          </cell>
          <cell r="BH703">
            <v>1</v>
          </cell>
          <cell r="BI703">
            <v>0</v>
          </cell>
          <cell r="BJ703">
            <v>0</v>
          </cell>
          <cell r="BK703">
            <v>0</v>
          </cell>
          <cell r="BL703">
            <v>1</v>
          </cell>
          <cell r="BM703">
            <v>0</v>
          </cell>
          <cell r="BN703">
            <v>0</v>
          </cell>
          <cell r="BO703">
            <v>0</v>
          </cell>
          <cell r="BP703">
            <v>0</v>
          </cell>
          <cell r="BQ703">
            <v>0</v>
          </cell>
          <cell r="BR703">
            <v>2</v>
          </cell>
          <cell r="BS703">
            <v>0</v>
          </cell>
          <cell r="BT703">
            <v>0</v>
          </cell>
          <cell r="BU703">
            <v>22</v>
          </cell>
        </row>
        <row r="704">
          <cell r="A704">
            <v>30</v>
          </cell>
          <cell r="B704">
            <v>30</v>
          </cell>
          <cell r="D704">
            <v>0</v>
          </cell>
          <cell r="F704">
            <v>0</v>
          </cell>
          <cell r="G704">
            <v>1</v>
          </cell>
          <cell r="I704">
            <v>0</v>
          </cell>
          <cell r="J704">
            <v>1</v>
          </cell>
          <cell r="K704">
            <v>8</v>
          </cell>
          <cell r="L704">
            <v>8</v>
          </cell>
          <cell r="M704">
            <v>2</v>
          </cell>
          <cell r="O704">
            <v>0</v>
          </cell>
          <cell r="P704">
            <v>1</v>
          </cell>
          <cell r="Q704">
            <v>0</v>
          </cell>
          <cell r="R704">
            <v>0</v>
          </cell>
          <cell r="S704">
            <v>0</v>
          </cell>
          <cell r="T704">
            <v>3</v>
          </cell>
          <cell r="V704">
            <v>0</v>
          </cell>
          <cell r="W704">
            <v>62</v>
          </cell>
          <cell r="X704">
            <v>3</v>
          </cell>
          <cell r="Y704">
            <v>3</v>
          </cell>
          <cell r="AA704">
            <v>0</v>
          </cell>
          <cell r="AB704">
            <v>1</v>
          </cell>
          <cell r="AC704">
            <v>0</v>
          </cell>
          <cell r="AD704">
            <v>0</v>
          </cell>
          <cell r="AE704">
            <v>0</v>
          </cell>
          <cell r="AF704">
            <v>0</v>
          </cell>
          <cell r="AG704">
            <v>0</v>
          </cell>
          <cell r="AH704">
            <v>0</v>
          </cell>
          <cell r="AI704">
            <v>3</v>
          </cell>
          <cell r="AK704">
            <v>0</v>
          </cell>
          <cell r="AL704">
            <v>0</v>
          </cell>
          <cell r="AN704">
            <v>7264</v>
          </cell>
          <cell r="AO704">
            <v>5</v>
          </cell>
          <cell r="AQ704">
            <v>0</v>
          </cell>
          <cell r="AR704">
            <v>11</v>
          </cell>
          <cell r="AS704">
            <v>3</v>
          </cell>
          <cell r="AT704">
            <v>1</v>
          </cell>
          <cell r="AU704">
            <v>1</v>
          </cell>
          <cell r="AV704">
            <v>10</v>
          </cell>
          <cell r="AW704">
            <v>10</v>
          </cell>
          <cell r="AX704">
            <v>2</v>
          </cell>
          <cell r="AY704">
            <v>4</v>
          </cell>
          <cell r="AZ704">
            <v>8</v>
          </cell>
          <cell r="BA704">
            <v>8</v>
          </cell>
          <cell r="BB704">
            <v>4</v>
          </cell>
          <cell r="BC704">
            <v>7</v>
          </cell>
          <cell r="BD704">
            <v>7</v>
          </cell>
          <cell r="BE704">
            <v>7</v>
          </cell>
          <cell r="BF704">
            <v>7</v>
          </cell>
          <cell r="BG704">
            <v>21</v>
          </cell>
          <cell r="BH704">
            <v>1</v>
          </cell>
          <cell r="BI704">
            <v>0</v>
          </cell>
          <cell r="BJ704">
            <v>0</v>
          </cell>
          <cell r="BK704">
            <v>0</v>
          </cell>
          <cell r="BL704">
            <v>1</v>
          </cell>
          <cell r="BM704">
            <v>0</v>
          </cell>
          <cell r="BN704">
            <v>0</v>
          </cell>
          <cell r="BO704">
            <v>0</v>
          </cell>
          <cell r="BP704">
            <v>0</v>
          </cell>
          <cell r="BQ704">
            <v>0</v>
          </cell>
          <cell r="BR704">
            <v>7</v>
          </cell>
          <cell r="BS704">
            <v>0</v>
          </cell>
          <cell r="BT704">
            <v>0</v>
          </cell>
          <cell r="BU704">
            <v>10</v>
          </cell>
        </row>
        <row r="705">
          <cell r="A705">
            <v>38</v>
          </cell>
          <cell r="B705">
            <v>38</v>
          </cell>
          <cell r="D705">
            <v>0</v>
          </cell>
          <cell r="F705">
            <v>0</v>
          </cell>
          <cell r="G705">
            <v>0</v>
          </cell>
          <cell r="I705">
            <v>0</v>
          </cell>
          <cell r="J705">
            <v>1</v>
          </cell>
          <cell r="K705">
            <v>10</v>
          </cell>
          <cell r="L705">
            <v>10</v>
          </cell>
          <cell r="M705">
            <v>3</v>
          </cell>
          <cell r="O705">
            <v>0</v>
          </cell>
          <cell r="P705">
            <v>0</v>
          </cell>
          <cell r="Q705">
            <v>0</v>
          </cell>
          <cell r="R705">
            <v>0</v>
          </cell>
          <cell r="S705">
            <v>1</v>
          </cell>
          <cell r="T705">
            <v>3</v>
          </cell>
          <cell r="V705">
            <v>1</v>
          </cell>
          <cell r="W705">
            <v>85</v>
          </cell>
          <cell r="X705">
            <v>3</v>
          </cell>
          <cell r="Y705">
            <v>2</v>
          </cell>
          <cell r="AA705">
            <v>0</v>
          </cell>
          <cell r="AB705">
            <v>1</v>
          </cell>
          <cell r="AC705">
            <v>0</v>
          </cell>
          <cell r="AD705">
            <v>0</v>
          </cell>
          <cell r="AE705">
            <v>0</v>
          </cell>
          <cell r="AF705">
            <v>0</v>
          </cell>
          <cell r="AG705">
            <v>0</v>
          </cell>
          <cell r="AH705">
            <v>0</v>
          </cell>
          <cell r="AI705">
            <v>4</v>
          </cell>
          <cell r="AK705">
            <v>1</v>
          </cell>
          <cell r="AL705">
            <v>0</v>
          </cell>
          <cell r="AN705">
            <v>5666</v>
          </cell>
          <cell r="AO705">
            <v>1</v>
          </cell>
          <cell r="AQ705">
            <v>1</v>
          </cell>
          <cell r="AR705">
            <v>13</v>
          </cell>
          <cell r="AS705">
            <v>3</v>
          </cell>
          <cell r="AT705">
            <v>2</v>
          </cell>
          <cell r="AU705">
            <v>0</v>
          </cell>
          <cell r="AV705">
            <v>6</v>
          </cell>
          <cell r="AW705">
            <v>6</v>
          </cell>
          <cell r="AX705">
            <v>1</v>
          </cell>
          <cell r="AY705">
            <v>3</v>
          </cell>
          <cell r="AZ705">
            <v>5</v>
          </cell>
          <cell r="BA705">
            <v>5</v>
          </cell>
          <cell r="BB705">
            <v>3</v>
          </cell>
          <cell r="BC705">
            <v>1</v>
          </cell>
          <cell r="BD705">
            <v>1</v>
          </cell>
          <cell r="BE705">
            <v>3</v>
          </cell>
          <cell r="BF705">
            <v>3</v>
          </cell>
          <cell r="BG705">
            <v>6</v>
          </cell>
          <cell r="BH705">
            <v>1</v>
          </cell>
          <cell r="BI705">
            <v>0</v>
          </cell>
          <cell r="BJ705">
            <v>0</v>
          </cell>
          <cell r="BK705">
            <v>0</v>
          </cell>
          <cell r="BL705">
            <v>0</v>
          </cell>
          <cell r="BM705">
            <v>1</v>
          </cell>
          <cell r="BN705">
            <v>0</v>
          </cell>
          <cell r="BO705">
            <v>0</v>
          </cell>
          <cell r="BP705">
            <v>0</v>
          </cell>
          <cell r="BQ705">
            <v>0</v>
          </cell>
          <cell r="BR705">
            <v>3</v>
          </cell>
          <cell r="BS705">
            <v>0</v>
          </cell>
          <cell r="BT705">
            <v>0</v>
          </cell>
          <cell r="BU705">
            <v>6</v>
          </cell>
        </row>
        <row r="706">
          <cell r="A706">
            <v>35</v>
          </cell>
          <cell r="B706">
            <v>35</v>
          </cell>
          <cell r="D706">
            <v>0</v>
          </cell>
          <cell r="F706">
            <v>0</v>
          </cell>
          <cell r="G706">
            <v>1</v>
          </cell>
          <cell r="I706">
            <v>0</v>
          </cell>
          <cell r="J706">
            <v>1</v>
          </cell>
          <cell r="K706">
            <v>3</v>
          </cell>
          <cell r="L706">
            <v>3</v>
          </cell>
          <cell r="M706">
            <v>4</v>
          </cell>
          <cell r="O706">
            <v>1</v>
          </cell>
          <cell r="P706">
            <v>0</v>
          </cell>
          <cell r="Q706">
            <v>0</v>
          </cell>
          <cell r="R706">
            <v>0</v>
          </cell>
          <cell r="S706">
            <v>0</v>
          </cell>
          <cell r="T706">
            <v>4</v>
          </cell>
          <cell r="V706">
            <v>0</v>
          </cell>
          <cell r="W706">
            <v>92</v>
          </cell>
          <cell r="X706">
            <v>3</v>
          </cell>
          <cell r="Y706">
            <v>3</v>
          </cell>
          <cell r="AA706">
            <v>0</v>
          </cell>
          <cell r="AB706">
            <v>1</v>
          </cell>
          <cell r="AC706">
            <v>0</v>
          </cell>
          <cell r="AD706">
            <v>0</v>
          </cell>
          <cell r="AE706">
            <v>0</v>
          </cell>
          <cell r="AF706">
            <v>0</v>
          </cell>
          <cell r="AG706">
            <v>0</v>
          </cell>
          <cell r="AH706">
            <v>0</v>
          </cell>
          <cell r="AI706">
            <v>4</v>
          </cell>
          <cell r="AK706">
            <v>0</v>
          </cell>
          <cell r="AL706">
            <v>0</v>
          </cell>
          <cell r="AN706">
            <v>7823</v>
          </cell>
          <cell r="AO706">
            <v>6</v>
          </cell>
          <cell r="AQ706">
            <v>0</v>
          </cell>
          <cell r="AR706">
            <v>13</v>
          </cell>
          <cell r="AS706">
            <v>3</v>
          </cell>
          <cell r="AT706">
            <v>2</v>
          </cell>
          <cell r="AU706">
            <v>1</v>
          </cell>
          <cell r="AV706">
            <v>12</v>
          </cell>
          <cell r="AW706">
            <v>12</v>
          </cell>
          <cell r="AX706">
            <v>2</v>
          </cell>
          <cell r="AY706">
            <v>3</v>
          </cell>
          <cell r="AZ706">
            <v>10</v>
          </cell>
          <cell r="BA706">
            <v>10</v>
          </cell>
          <cell r="BB706">
            <v>9</v>
          </cell>
          <cell r="BC706">
            <v>0</v>
          </cell>
          <cell r="BD706">
            <v>0</v>
          </cell>
          <cell r="BE706">
            <v>8</v>
          </cell>
          <cell r="BF706">
            <v>8</v>
          </cell>
          <cell r="BG706">
            <v>24</v>
          </cell>
          <cell r="BH706">
            <v>1</v>
          </cell>
          <cell r="BI706">
            <v>0</v>
          </cell>
          <cell r="BJ706">
            <v>0</v>
          </cell>
          <cell r="BK706">
            <v>0</v>
          </cell>
          <cell r="BL706">
            <v>1</v>
          </cell>
          <cell r="BM706">
            <v>0</v>
          </cell>
          <cell r="BN706">
            <v>0</v>
          </cell>
          <cell r="BO706">
            <v>0</v>
          </cell>
          <cell r="BP706">
            <v>0</v>
          </cell>
          <cell r="BQ706">
            <v>0</v>
          </cell>
          <cell r="BR706">
            <v>8</v>
          </cell>
          <cell r="BS706">
            <v>0</v>
          </cell>
          <cell r="BT706">
            <v>0</v>
          </cell>
          <cell r="BU706">
            <v>12</v>
          </cell>
        </row>
        <row r="707">
          <cell r="A707">
            <v>39</v>
          </cell>
          <cell r="B707">
            <v>39</v>
          </cell>
          <cell r="D707">
            <v>0</v>
          </cell>
          <cell r="F707">
            <v>0</v>
          </cell>
          <cell r="G707">
            <v>1</v>
          </cell>
          <cell r="I707">
            <v>0</v>
          </cell>
          <cell r="J707">
            <v>1</v>
          </cell>
          <cell r="K707">
            <v>2</v>
          </cell>
          <cell r="L707">
            <v>2</v>
          </cell>
          <cell r="M707">
            <v>5</v>
          </cell>
          <cell r="O707">
            <v>1</v>
          </cell>
          <cell r="P707">
            <v>0</v>
          </cell>
          <cell r="Q707">
            <v>0</v>
          </cell>
          <cell r="R707">
            <v>0</v>
          </cell>
          <cell r="S707">
            <v>0</v>
          </cell>
          <cell r="T707">
            <v>1</v>
          </cell>
          <cell r="V707">
            <v>0</v>
          </cell>
          <cell r="W707">
            <v>41</v>
          </cell>
          <cell r="X707">
            <v>4</v>
          </cell>
          <cell r="Y707">
            <v>3</v>
          </cell>
          <cell r="AA707">
            <v>0</v>
          </cell>
          <cell r="AB707">
            <v>1</v>
          </cell>
          <cell r="AC707">
            <v>0</v>
          </cell>
          <cell r="AD707">
            <v>0</v>
          </cell>
          <cell r="AE707">
            <v>0</v>
          </cell>
          <cell r="AF707">
            <v>0</v>
          </cell>
          <cell r="AG707">
            <v>0</v>
          </cell>
          <cell r="AH707">
            <v>0</v>
          </cell>
          <cell r="AI707">
            <v>3</v>
          </cell>
          <cell r="AK707">
            <v>1</v>
          </cell>
          <cell r="AL707">
            <v>0</v>
          </cell>
          <cell r="AN707">
            <v>7880</v>
          </cell>
          <cell r="AO707">
            <v>0</v>
          </cell>
          <cell r="AQ707">
            <v>0</v>
          </cell>
          <cell r="AR707">
            <v>18</v>
          </cell>
          <cell r="AS707">
            <v>3</v>
          </cell>
          <cell r="AT707">
            <v>4</v>
          </cell>
          <cell r="AU707">
            <v>0</v>
          </cell>
          <cell r="AV707">
            <v>9</v>
          </cell>
          <cell r="AW707">
            <v>9</v>
          </cell>
          <cell r="AX707">
            <v>3</v>
          </cell>
          <cell r="AY707">
            <v>3</v>
          </cell>
          <cell r="AZ707">
            <v>8</v>
          </cell>
          <cell r="BA707">
            <v>8</v>
          </cell>
          <cell r="BB707">
            <v>7</v>
          </cell>
          <cell r="BC707">
            <v>0</v>
          </cell>
          <cell r="BD707">
            <v>0</v>
          </cell>
          <cell r="BE707">
            <v>7</v>
          </cell>
          <cell r="BF707">
            <v>7</v>
          </cell>
          <cell r="BG707">
            <v>21</v>
          </cell>
          <cell r="BH707">
            <v>1</v>
          </cell>
          <cell r="BI707">
            <v>0</v>
          </cell>
          <cell r="BJ707">
            <v>0</v>
          </cell>
          <cell r="BK707">
            <v>0</v>
          </cell>
          <cell r="BL707">
            <v>1</v>
          </cell>
          <cell r="BM707">
            <v>0</v>
          </cell>
          <cell r="BN707">
            <v>0</v>
          </cell>
          <cell r="BO707">
            <v>0</v>
          </cell>
          <cell r="BP707">
            <v>0</v>
          </cell>
          <cell r="BQ707">
            <v>0</v>
          </cell>
          <cell r="BR707">
            <v>7</v>
          </cell>
          <cell r="BS707">
            <v>0</v>
          </cell>
          <cell r="BT707">
            <v>0</v>
          </cell>
          <cell r="BU707">
            <v>9</v>
          </cell>
        </row>
        <row r="708">
          <cell r="A708">
            <v>40</v>
          </cell>
          <cell r="B708">
            <v>40</v>
          </cell>
          <cell r="D708">
            <v>1</v>
          </cell>
          <cell r="F708">
            <v>0</v>
          </cell>
          <cell r="G708">
            <v>0</v>
          </cell>
          <cell r="I708">
            <v>0</v>
          </cell>
          <cell r="J708">
            <v>1</v>
          </cell>
          <cell r="K708">
            <v>24</v>
          </cell>
          <cell r="L708">
            <v>24</v>
          </cell>
          <cell r="M708">
            <v>3</v>
          </cell>
          <cell r="O708">
            <v>1</v>
          </cell>
          <cell r="P708">
            <v>0</v>
          </cell>
          <cell r="Q708">
            <v>0</v>
          </cell>
          <cell r="R708">
            <v>0</v>
          </cell>
          <cell r="S708">
            <v>0</v>
          </cell>
          <cell r="T708">
            <v>2</v>
          </cell>
          <cell r="V708">
            <v>1</v>
          </cell>
          <cell r="W708">
            <v>100</v>
          </cell>
          <cell r="X708">
            <v>4</v>
          </cell>
          <cell r="Y708">
            <v>4</v>
          </cell>
          <cell r="AA708">
            <v>0</v>
          </cell>
          <cell r="AB708">
            <v>1</v>
          </cell>
          <cell r="AC708">
            <v>0</v>
          </cell>
          <cell r="AD708">
            <v>0</v>
          </cell>
          <cell r="AE708">
            <v>0</v>
          </cell>
          <cell r="AF708">
            <v>0</v>
          </cell>
          <cell r="AG708">
            <v>0</v>
          </cell>
          <cell r="AH708">
            <v>0</v>
          </cell>
          <cell r="AI708">
            <v>2</v>
          </cell>
          <cell r="AK708">
            <v>1</v>
          </cell>
          <cell r="AL708">
            <v>0</v>
          </cell>
          <cell r="AN708">
            <v>13194</v>
          </cell>
          <cell r="AO708">
            <v>4</v>
          </cell>
          <cell r="AQ708">
            <v>1</v>
          </cell>
          <cell r="AR708">
            <v>16</v>
          </cell>
          <cell r="AS708">
            <v>3</v>
          </cell>
          <cell r="AT708">
            <v>4</v>
          </cell>
          <cell r="AU708">
            <v>0</v>
          </cell>
          <cell r="AV708">
            <v>22</v>
          </cell>
          <cell r="AW708">
            <v>22</v>
          </cell>
          <cell r="AX708">
            <v>2</v>
          </cell>
          <cell r="AY708">
            <v>2</v>
          </cell>
          <cell r="AZ708">
            <v>1</v>
          </cell>
          <cell r="BA708">
            <v>1</v>
          </cell>
          <cell r="BB708">
            <v>0</v>
          </cell>
          <cell r="BC708">
            <v>0</v>
          </cell>
          <cell r="BD708">
            <v>0</v>
          </cell>
          <cell r="BE708">
            <v>0</v>
          </cell>
          <cell r="BF708">
            <v>0</v>
          </cell>
          <cell r="BG708">
            <v>0</v>
          </cell>
          <cell r="BH708">
            <v>1</v>
          </cell>
          <cell r="BI708">
            <v>0</v>
          </cell>
          <cell r="BJ708">
            <v>0</v>
          </cell>
          <cell r="BK708">
            <v>0</v>
          </cell>
          <cell r="BL708">
            <v>0</v>
          </cell>
          <cell r="BM708">
            <v>1</v>
          </cell>
          <cell r="BN708">
            <v>0</v>
          </cell>
          <cell r="BO708">
            <v>0</v>
          </cell>
          <cell r="BP708">
            <v>0</v>
          </cell>
          <cell r="BQ708">
            <v>0</v>
          </cell>
          <cell r="BR708">
            <v>0</v>
          </cell>
          <cell r="BS708">
            <v>0</v>
          </cell>
          <cell r="BT708">
            <v>0</v>
          </cell>
          <cell r="BU708">
            <v>22</v>
          </cell>
        </row>
        <row r="709">
          <cell r="A709">
            <v>47</v>
          </cell>
          <cell r="B709">
            <v>47</v>
          </cell>
          <cell r="D709">
            <v>0</v>
          </cell>
          <cell r="F709">
            <v>1</v>
          </cell>
          <cell r="G709">
            <v>0</v>
          </cell>
          <cell r="I709">
            <v>1</v>
          </cell>
          <cell r="J709">
            <v>0</v>
          </cell>
          <cell r="K709">
            <v>16</v>
          </cell>
          <cell r="L709">
            <v>16</v>
          </cell>
          <cell r="M709">
            <v>4</v>
          </cell>
          <cell r="O709">
            <v>0</v>
          </cell>
          <cell r="P709">
            <v>0</v>
          </cell>
          <cell r="Q709">
            <v>1</v>
          </cell>
          <cell r="R709">
            <v>0</v>
          </cell>
          <cell r="S709">
            <v>0</v>
          </cell>
          <cell r="T709">
            <v>3</v>
          </cell>
          <cell r="V709">
            <v>0</v>
          </cell>
          <cell r="W709">
            <v>64</v>
          </cell>
          <cell r="X709">
            <v>4</v>
          </cell>
          <cell r="Y709">
            <v>2</v>
          </cell>
          <cell r="AA709">
            <v>0</v>
          </cell>
          <cell r="AB709">
            <v>0</v>
          </cell>
          <cell r="AC709">
            <v>0</v>
          </cell>
          <cell r="AD709">
            <v>0</v>
          </cell>
          <cell r="AE709">
            <v>1</v>
          </cell>
          <cell r="AF709">
            <v>1</v>
          </cell>
          <cell r="AG709">
            <v>0</v>
          </cell>
          <cell r="AH709">
            <v>0</v>
          </cell>
          <cell r="AI709">
            <v>3</v>
          </cell>
          <cell r="AK709">
            <v>0</v>
          </cell>
          <cell r="AL709">
            <v>0</v>
          </cell>
          <cell r="AN709">
            <v>5067</v>
          </cell>
          <cell r="AO709">
            <v>1</v>
          </cell>
          <cell r="AQ709">
            <v>1</v>
          </cell>
          <cell r="AR709">
            <v>19</v>
          </cell>
          <cell r="AS709">
            <v>3</v>
          </cell>
          <cell r="AT709">
            <v>3</v>
          </cell>
          <cell r="AU709">
            <v>0</v>
          </cell>
          <cell r="AV709">
            <v>20</v>
          </cell>
          <cell r="AW709">
            <v>20</v>
          </cell>
          <cell r="AX709">
            <v>3</v>
          </cell>
          <cell r="AY709">
            <v>4</v>
          </cell>
          <cell r="AZ709">
            <v>19</v>
          </cell>
          <cell r="BA709">
            <v>19</v>
          </cell>
          <cell r="BB709">
            <v>10</v>
          </cell>
          <cell r="BC709">
            <v>2</v>
          </cell>
          <cell r="BD709">
            <v>2</v>
          </cell>
          <cell r="BE709">
            <v>7</v>
          </cell>
          <cell r="BF709">
            <v>7</v>
          </cell>
          <cell r="BG709">
            <v>14</v>
          </cell>
          <cell r="BH709">
            <v>0</v>
          </cell>
          <cell r="BI709">
            <v>0</v>
          </cell>
          <cell r="BJ709">
            <v>1</v>
          </cell>
          <cell r="BK709">
            <v>0</v>
          </cell>
          <cell r="BL709">
            <v>0</v>
          </cell>
          <cell r="BM709">
            <v>1</v>
          </cell>
          <cell r="BN709">
            <v>0</v>
          </cell>
          <cell r="BO709">
            <v>0</v>
          </cell>
          <cell r="BP709">
            <v>0</v>
          </cell>
          <cell r="BQ709">
            <v>7</v>
          </cell>
          <cell r="BR709">
            <v>0</v>
          </cell>
          <cell r="BS709">
            <v>0</v>
          </cell>
          <cell r="BT709">
            <v>20</v>
          </cell>
          <cell r="BU709">
            <v>0</v>
          </cell>
        </row>
        <row r="710">
          <cell r="A710">
            <v>36</v>
          </cell>
          <cell r="B710">
            <v>36</v>
          </cell>
          <cell r="D710">
            <v>0</v>
          </cell>
          <cell r="F710">
            <v>0</v>
          </cell>
          <cell r="G710">
            <v>0</v>
          </cell>
          <cell r="I710">
            <v>0</v>
          </cell>
          <cell r="J710">
            <v>1</v>
          </cell>
          <cell r="K710">
            <v>8</v>
          </cell>
          <cell r="L710">
            <v>8</v>
          </cell>
          <cell r="M710">
            <v>4</v>
          </cell>
          <cell r="O710">
            <v>0</v>
          </cell>
          <cell r="P710">
            <v>0</v>
          </cell>
          <cell r="Q710">
            <v>0</v>
          </cell>
          <cell r="R710">
            <v>0</v>
          </cell>
          <cell r="S710">
            <v>1</v>
          </cell>
          <cell r="T710">
            <v>1</v>
          </cell>
          <cell r="V710">
            <v>0</v>
          </cell>
          <cell r="W710">
            <v>84</v>
          </cell>
          <cell r="X710">
            <v>3</v>
          </cell>
          <cell r="Y710">
            <v>2</v>
          </cell>
          <cell r="AA710">
            <v>0</v>
          </cell>
          <cell r="AB710">
            <v>1</v>
          </cell>
          <cell r="AC710">
            <v>0</v>
          </cell>
          <cell r="AD710">
            <v>0</v>
          </cell>
          <cell r="AE710">
            <v>0</v>
          </cell>
          <cell r="AF710">
            <v>0</v>
          </cell>
          <cell r="AG710">
            <v>0</v>
          </cell>
          <cell r="AH710">
            <v>0</v>
          </cell>
          <cell r="AI710">
            <v>4</v>
          </cell>
          <cell r="AK710">
            <v>0</v>
          </cell>
          <cell r="AL710">
            <v>0</v>
          </cell>
          <cell r="AN710">
            <v>5079</v>
          </cell>
          <cell r="AO710">
            <v>4</v>
          </cell>
          <cell r="AQ710">
            <v>0</v>
          </cell>
          <cell r="AR710">
            <v>13</v>
          </cell>
          <cell r="AS710">
            <v>3</v>
          </cell>
          <cell r="AT710">
            <v>4</v>
          </cell>
          <cell r="AU710">
            <v>2</v>
          </cell>
          <cell r="AV710">
            <v>12</v>
          </cell>
          <cell r="AW710">
            <v>12</v>
          </cell>
          <cell r="AX710">
            <v>3</v>
          </cell>
          <cell r="AY710">
            <v>3</v>
          </cell>
          <cell r="AZ710">
            <v>7</v>
          </cell>
          <cell r="BA710">
            <v>7</v>
          </cell>
          <cell r="BB710">
            <v>7</v>
          </cell>
          <cell r="BC710">
            <v>0</v>
          </cell>
          <cell r="BD710">
            <v>0</v>
          </cell>
          <cell r="BE710">
            <v>7</v>
          </cell>
          <cell r="BF710">
            <v>7</v>
          </cell>
          <cell r="BG710">
            <v>14</v>
          </cell>
          <cell r="BH710">
            <v>1</v>
          </cell>
          <cell r="BI710">
            <v>0</v>
          </cell>
          <cell r="BJ710">
            <v>0</v>
          </cell>
          <cell r="BK710">
            <v>0</v>
          </cell>
          <cell r="BL710">
            <v>1</v>
          </cell>
          <cell r="BM710">
            <v>0</v>
          </cell>
          <cell r="BN710">
            <v>0</v>
          </cell>
          <cell r="BO710">
            <v>0</v>
          </cell>
          <cell r="BP710">
            <v>0</v>
          </cell>
          <cell r="BQ710">
            <v>0</v>
          </cell>
          <cell r="BR710">
            <v>7</v>
          </cell>
          <cell r="BS710">
            <v>0</v>
          </cell>
          <cell r="BT710">
            <v>0</v>
          </cell>
          <cell r="BU710">
            <v>12</v>
          </cell>
        </row>
        <row r="711">
          <cell r="A711">
            <v>31</v>
          </cell>
          <cell r="B711">
            <v>31</v>
          </cell>
          <cell r="D711">
            <v>1</v>
          </cell>
          <cell r="F711">
            <v>0</v>
          </cell>
          <cell r="G711">
            <v>0</v>
          </cell>
          <cell r="I711">
            <v>1</v>
          </cell>
          <cell r="J711">
            <v>0</v>
          </cell>
          <cell r="K711">
            <v>9</v>
          </cell>
          <cell r="L711">
            <v>9</v>
          </cell>
          <cell r="M711">
            <v>2</v>
          </cell>
          <cell r="O711">
            <v>0</v>
          </cell>
          <cell r="P711">
            <v>0</v>
          </cell>
          <cell r="Q711">
            <v>1</v>
          </cell>
          <cell r="R711">
            <v>0</v>
          </cell>
          <cell r="S711">
            <v>0</v>
          </cell>
          <cell r="T711">
            <v>3</v>
          </cell>
          <cell r="V711">
            <v>0</v>
          </cell>
          <cell r="W711">
            <v>46</v>
          </cell>
          <cell r="X711">
            <v>2</v>
          </cell>
          <cell r="Y711">
            <v>1</v>
          </cell>
          <cell r="AA711">
            <v>0</v>
          </cell>
          <cell r="AB711">
            <v>0</v>
          </cell>
          <cell r="AC711">
            <v>0</v>
          </cell>
          <cell r="AD711">
            <v>0</v>
          </cell>
          <cell r="AE711">
            <v>0</v>
          </cell>
          <cell r="AF711">
            <v>0</v>
          </cell>
          <cell r="AG711">
            <v>0</v>
          </cell>
          <cell r="AH711">
            <v>1</v>
          </cell>
          <cell r="AI711">
            <v>1</v>
          </cell>
          <cell r="AK711">
            <v>1</v>
          </cell>
          <cell r="AL711">
            <v>0</v>
          </cell>
          <cell r="AN711">
            <v>2321</v>
          </cell>
          <cell r="AO711">
            <v>0</v>
          </cell>
          <cell r="AQ711">
            <v>1</v>
          </cell>
          <cell r="AR711">
            <v>22</v>
          </cell>
          <cell r="AS711">
            <v>4</v>
          </cell>
          <cell r="AT711">
            <v>1</v>
          </cell>
          <cell r="AU711">
            <v>0</v>
          </cell>
          <cell r="AV711">
            <v>4</v>
          </cell>
          <cell r="AW711">
            <v>4</v>
          </cell>
          <cell r="AX711">
            <v>0</v>
          </cell>
          <cell r="AY711">
            <v>3</v>
          </cell>
          <cell r="AZ711">
            <v>3</v>
          </cell>
          <cell r="BA711">
            <v>3</v>
          </cell>
          <cell r="BB711">
            <v>2</v>
          </cell>
          <cell r="BC711">
            <v>1</v>
          </cell>
          <cell r="BD711">
            <v>1</v>
          </cell>
          <cell r="BE711">
            <v>2</v>
          </cell>
          <cell r="BF711">
            <v>2</v>
          </cell>
          <cell r="BG711">
            <v>2</v>
          </cell>
          <cell r="BH711">
            <v>1</v>
          </cell>
          <cell r="BI711">
            <v>0</v>
          </cell>
          <cell r="BJ711">
            <v>0</v>
          </cell>
          <cell r="BK711">
            <v>0</v>
          </cell>
          <cell r="BL711">
            <v>0</v>
          </cell>
          <cell r="BM711">
            <v>1</v>
          </cell>
          <cell r="BN711">
            <v>0</v>
          </cell>
          <cell r="BO711">
            <v>0</v>
          </cell>
          <cell r="BP711">
            <v>0</v>
          </cell>
          <cell r="BQ711">
            <v>2</v>
          </cell>
          <cell r="BR711">
            <v>0</v>
          </cell>
          <cell r="BS711">
            <v>0</v>
          </cell>
          <cell r="BT711">
            <v>4</v>
          </cell>
          <cell r="BU711">
            <v>0</v>
          </cell>
        </row>
        <row r="712">
          <cell r="A712">
            <v>33</v>
          </cell>
          <cell r="B712">
            <v>33</v>
          </cell>
          <cell r="D712">
            <v>0</v>
          </cell>
          <cell r="F712">
            <v>0</v>
          </cell>
          <cell r="G712">
            <v>0</v>
          </cell>
          <cell r="I712">
            <v>0</v>
          </cell>
          <cell r="J712">
            <v>1</v>
          </cell>
          <cell r="K712">
            <v>17</v>
          </cell>
          <cell r="L712">
            <v>17</v>
          </cell>
          <cell r="M712">
            <v>3</v>
          </cell>
          <cell r="O712">
            <v>1</v>
          </cell>
          <cell r="P712">
            <v>0</v>
          </cell>
          <cell r="Q712">
            <v>0</v>
          </cell>
          <cell r="R712">
            <v>0</v>
          </cell>
          <cell r="S712">
            <v>0</v>
          </cell>
          <cell r="T712">
            <v>4</v>
          </cell>
          <cell r="V712">
            <v>0</v>
          </cell>
          <cell r="W712">
            <v>38</v>
          </cell>
          <cell r="X712">
            <v>3</v>
          </cell>
          <cell r="Y712">
            <v>4</v>
          </cell>
          <cell r="AA712">
            <v>0</v>
          </cell>
          <cell r="AB712">
            <v>0</v>
          </cell>
          <cell r="AC712">
            <v>0</v>
          </cell>
          <cell r="AD712">
            <v>1</v>
          </cell>
          <cell r="AE712">
            <v>0</v>
          </cell>
          <cell r="AF712">
            <v>0</v>
          </cell>
          <cell r="AG712">
            <v>0</v>
          </cell>
          <cell r="AH712">
            <v>0</v>
          </cell>
          <cell r="AI712">
            <v>3</v>
          </cell>
          <cell r="AK712">
            <v>1</v>
          </cell>
          <cell r="AL712">
            <v>0</v>
          </cell>
          <cell r="AN712">
            <v>17444</v>
          </cell>
          <cell r="AO712">
            <v>1</v>
          </cell>
          <cell r="AQ712">
            <v>0</v>
          </cell>
          <cell r="AR712">
            <v>11</v>
          </cell>
          <cell r="AS712">
            <v>3</v>
          </cell>
          <cell r="AT712">
            <v>4</v>
          </cell>
          <cell r="AU712">
            <v>0</v>
          </cell>
          <cell r="AV712">
            <v>10</v>
          </cell>
          <cell r="AW712">
            <v>10</v>
          </cell>
          <cell r="AX712">
            <v>2</v>
          </cell>
          <cell r="AY712">
            <v>3</v>
          </cell>
          <cell r="AZ712">
            <v>10</v>
          </cell>
          <cell r="BA712">
            <v>10</v>
          </cell>
          <cell r="BB712">
            <v>8</v>
          </cell>
          <cell r="BC712">
            <v>6</v>
          </cell>
          <cell r="BD712">
            <v>6</v>
          </cell>
          <cell r="BE712">
            <v>0</v>
          </cell>
          <cell r="BF712">
            <v>0</v>
          </cell>
          <cell r="BG712">
            <v>0</v>
          </cell>
          <cell r="BH712">
            <v>1</v>
          </cell>
          <cell r="BI712">
            <v>0</v>
          </cell>
          <cell r="BJ712">
            <v>0</v>
          </cell>
          <cell r="BK712">
            <v>0</v>
          </cell>
          <cell r="BL712">
            <v>1</v>
          </cell>
          <cell r="BM712">
            <v>0</v>
          </cell>
          <cell r="BN712">
            <v>0</v>
          </cell>
          <cell r="BO712">
            <v>0</v>
          </cell>
          <cell r="BP712">
            <v>0</v>
          </cell>
          <cell r="BQ712">
            <v>0</v>
          </cell>
          <cell r="BR712">
            <v>0</v>
          </cell>
          <cell r="BS712">
            <v>0</v>
          </cell>
          <cell r="BT712">
            <v>0</v>
          </cell>
          <cell r="BU712">
            <v>10</v>
          </cell>
        </row>
        <row r="713">
          <cell r="A713">
            <v>29</v>
          </cell>
          <cell r="B713">
            <v>29</v>
          </cell>
          <cell r="D713">
            <v>1</v>
          </cell>
          <cell r="F713">
            <v>0</v>
          </cell>
          <cell r="G713">
            <v>1</v>
          </cell>
          <cell r="I713">
            <v>1</v>
          </cell>
          <cell r="J713">
            <v>0</v>
          </cell>
          <cell r="K713">
            <v>10</v>
          </cell>
          <cell r="L713">
            <v>10</v>
          </cell>
          <cell r="M713">
            <v>3</v>
          </cell>
          <cell r="O713">
            <v>1</v>
          </cell>
          <cell r="P713">
            <v>0</v>
          </cell>
          <cell r="Q713">
            <v>0</v>
          </cell>
          <cell r="R713">
            <v>0</v>
          </cell>
          <cell r="S713">
            <v>0</v>
          </cell>
          <cell r="T713">
            <v>4</v>
          </cell>
          <cell r="V713">
            <v>1</v>
          </cell>
          <cell r="W713">
            <v>92</v>
          </cell>
          <cell r="X713">
            <v>2</v>
          </cell>
          <cell r="Y713">
            <v>1</v>
          </cell>
          <cell r="AA713">
            <v>0</v>
          </cell>
          <cell r="AB713">
            <v>0</v>
          </cell>
          <cell r="AC713">
            <v>0</v>
          </cell>
          <cell r="AD713">
            <v>0</v>
          </cell>
          <cell r="AE713">
            <v>0</v>
          </cell>
          <cell r="AF713">
            <v>0</v>
          </cell>
          <cell r="AG713">
            <v>0</v>
          </cell>
          <cell r="AH713">
            <v>1</v>
          </cell>
          <cell r="AI713">
            <v>1</v>
          </cell>
          <cell r="AK713">
            <v>1</v>
          </cell>
          <cell r="AL713">
            <v>0</v>
          </cell>
          <cell r="AN713">
            <v>2404</v>
          </cell>
          <cell r="AO713">
            <v>6</v>
          </cell>
          <cell r="AQ713">
            <v>1</v>
          </cell>
          <cell r="AR713">
            <v>20</v>
          </cell>
          <cell r="AS713">
            <v>4</v>
          </cell>
          <cell r="AT713">
            <v>3</v>
          </cell>
          <cell r="AU713">
            <v>0</v>
          </cell>
          <cell r="AV713">
            <v>3</v>
          </cell>
          <cell r="AW713">
            <v>3</v>
          </cell>
          <cell r="AX713">
            <v>5</v>
          </cell>
          <cell r="AY713">
            <v>3</v>
          </cell>
          <cell r="AZ713">
            <v>0</v>
          </cell>
          <cell r="BA713">
            <v>0</v>
          </cell>
          <cell r="BB713">
            <v>0</v>
          </cell>
          <cell r="BC713">
            <v>0</v>
          </cell>
          <cell r="BD713">
            <v>0</v>
          </cell>
          <cell r="BE713">
            <v>0</v>
          </cell>
          <cell r="BF713">
            <v>0</v>
          </cell>
          <cell r="BG713">
            <v>0</v>
          </cell>
          <cell r="BH713">
            <v>1</v>
          </cell>
          <cell r="BI713">
            <v>0</v>
          </cell>
          <cell r="BJ713">
            <v>0</v>
          </cell>
          <cell r="BK713">
            <v>0</v>
          </cell>
          <cell r="BL713">
            <v>0</v>
          </cell>
          <cell r="BM713">
            <v>1</v>
          </cell>
          <cell r="BN713">
            <v>0</v>
          </cell>
          <cell r="BO713">
            <v>0</v>
          </cell>
          <cell r="BP713">
            <v>0</v>
          </cell>
          <cell r="BQ713">
            <v>0</v>
          </cell>
          <cell r="BR713">
            <v>0</v>
          </cell>
          <cell r="BS713">
            <v>0</v>
          </cell>
          <cell r="BT713">
            <v>3</v>
          </cell>
          <cell r="BU713">
            <v>0</v>
          </cell>
        </row>
        <row r="714">
          <cell r="A714">
            <v>33</v>
          </cell>
          <cell r="B714">
            <v>33</v>
          </cell>
          <cell r="D714">
            <v>0</v>
          </cell>
          <cell r="F714">
            <v>0</v>
          </cell>
          <cell r="G714">
            <v>1</v>
          </cell>
          <cell r="I714">
            <v>1</v>
          </cell>
          <cell r="J714">
            <v>0</v>
          </cell>
          <cell r="K714">
            <v>13</v>
          </cell>
          <cell r="L714">
            <v>13</v>
          </cell>
          <cell r="M714">
            <v>1</v>
          </cell>
          <cell r="O714">
            <v>1</v>
          </cell>
          <cell r="P714">
            <v>0</v>
          </cell>
          <cell r="Q714">
            <v>0</v>
          </cell>
          <cell r="R714">
            <v>0</v>
          </cell>
          <cell r="S714">
            <v>0</v>
          </cell>
          <cell r="T714">
            <v>2</v>
          </cell>
          <cell r="V714">
            <v>1</v>
          </cell>
          <cell r="W714">
            <v>53</v>
          </cell>
          <cell r="X714">
            <v>3</v>
          </cell>
          <cell r="Y714">
            <v>1</v>
          </cell>
          <cell r="AA714">
            <v>0</v>
          </cell>
          <cell r="AB714">
            <v>0</v>
          </cell>
          <cell r="AC714">
            <v>0</v>
          </cell>
          <cell r="AD714">
            <v>0</v>
          </cell>
          <cell r="AE714">
            <v>0</v>
          </cell>
          <cell r="AF714">
            <v>0</v>
          </cell>
          <cell r="AG714">
            <v>0</v>
          </cell>
          <cell r="AH714">
            <v>1</v>
          </cell>
          <cell r="AI714">
            <v>4</v>
          </cell>
          <cell r="AK714">
            <v>1</v>
          </cell>
          <cell r="AL714">
            <v>0</v>
          </cell>
          <cell r="AN714">
            <v>3452</v>
          </cell>
          <cell r="AO714">
            <v>3</v>
          </cell>
          <cell r="AQ714">
            <v>0</v>
          </cell>
          <cell r="AR714">
            <v>18</v>
          </cell>
          <cell r="AS714">
            <v>3</v>
          </cell>
          <cell r="AT714">
            <v>1</v>
          </cell>
          <cell r="AU714">
            <v>0</v>
          </cell>
          <cell r="AV714">
            <v>5</v>
          </cell>
          <cell r="AW714">
            <v>5</v>
          </cell>
          <cell r="AX714">
            <v>4</v>
          </cell>
          <cell r="AY714">
            <v>3</v>
          </cell>
          <cell r="AZ714">
            <v>3</v>
          </cell>
          <cell r="BA714">
            <v>3</v>
          </cell>
          <cell r="BB714">
            <v>2</v>
          </cell>
          <cell r="BC714">
            <v>0</v>
          </cell>
          <cell r="BD714">
            <v>0</v>
          </cell>
          <cell r="BE714">
            <v>2</v>
          </cell>
          <cell r="BF714">
            <v>2</v>
          </cell>
          <cell r="BG714">
            <v>2</v>
          </cell>
          <cell r="BH714">
            <v>1</v>
          </cell>
          <cell r="BI714">
            <v>0</v>
          </cell>
          <cell r="BJ714">
            <v>0</v>
          </cell>
          <cell r="BK714">
            <v>0</v>
          </cell>
          <cell r="BL714">
            <v>1</v>
          </cell>
          <cell r="BM714">
            <v>0</v>
          </cell>
          <cell r="BN714">
            <v>0</v>
          </cell>
          <cell r="BO714">
            <v>0</v>
          </cell>
          <cell r="BP714">
            <v>0</v>
          </cell>
          <cell r="BQ714">
            <v>2</v>
          </cell>
          <cell r="BR714">
            <v>0</v>
          </cell>
          <cell r="BS714">
            <v>0</v>
          </cell>
          <cell r="BT714">
            <v>5</v>
          </cell>
          <cell r="BU714">
            <v>0</v>
          </cell>
        </row>
        <row r="715">
          <cell r="A715">
            <v>45</v>
          </cell>
          <cell r="B715">
            <v>45</v>
          </cell>
          <cell r="D715">
            <v>0</v>
          </cell>
          <cell r="F715">
            <v>0</v>
          </cell>
          <cell r="G715">
            <v>1</v>
          </cell>
          <cell r="I715">
            <v>1</v>
          </cell>
          <cell r="J715">
            <v>0</v>
          </cell>
          <cell r="K715">
            <v>1</v>
          </cell>
          <cell r="L715">
            <v>1</v>
          </cell>
          <cell r="M715">
            <v>4</v>
          </cell>
          <cell r="O715">
            <v>0</v>
          </cell>
          <cell r="P715">
            <v>0</v>
          </cell>
          <cell r="Q715">
            <v>1</v>
          </cell>
          <cell r="R715">
            <v>0</v>
          </cell>
          <cell r="S715">
            <v>0</v>
          </cell>
          <cell r="T715">
            <v>4</v>
          </cell>
          <cell r="V715">
            <v>1</v>
          </cell>
          <cell r="W715">
            <v>91</v>
          </cell>
          <cell r="X715">
            <v>3</v>
          </cell>
          <cell r="Y715">
            <v>1</v>
          </cell>
          <cell r="AA715">
            <v>0</v>
          </cell>
          <cell r="AB715">
            <v>0</v>
          </cell>
          <cell r="AC715">
            <v>1</v>
          </cell>
          <cell r="AD715">
            <v>0</v>
          </cell>
          <cell r="AE715">
            <v>0</v>
          </cell>
          <cell r="AF715">
            <v>0</v>
          </cell>
          <cell r="AG715">
            <v>0</v>
          </cell>
          <cell r="AH715">
            <v>0</v>
          </cell>
          <cell r="AI715">
            <v>4</v>
          </cell>
          <cell r="AK715">
            <v>0</v>
          </cell>
          <cell r="AL715">
            <v>0</v>
          </cell>
          <cell r="AN715">
            <v>2270</v>
          </cell>
          <cell r="AO715">
            <v>3</v>
          </cell>
          <cell r="AQ715">
            <v>0</v>
          </cell>
          <cell r="AR715">
            <v>14</v>
          </cell>
          <cell r="AS715">
            <v>3</v>
          </cell>
          <cell r="AT715">
            <v>4</v>
          </cell>
          <cell r="AU715">
            <v>2</v>
          </cell>
          <cell r="AV715">
            <v>8</v>
          </cell>
          <cell r="AW715">
            <v>8</v>
          </cell>
          <cell r="AX715">
            <v>2</v>
          </cell>
          <cell r="AY715">
            <v>3</v>
          </cell>
          <cell r="AZ715">
            <v>5</v>
          </cell>
          <cell r="BA715">
            <v>5</v>
          </cell>
          <cell r="BB715">
            <v>3</v>
          </cell>
          <cell r="BC715">
            <v>0</v>
          </cell>
          <cell r="BD715">
            <v>0</v>
          </cell>
          <cell r="BE715">
            <v>2</v>
          </cell>
          <cell r="BF715">
            <v>2</v>
          </cell>
          <cell r="BG715">
            <v>2</v>
          </cell>
          <cell r="BH715">
            <v>1</v>
          </cell>
          <cell r="BI715">
            <v>0</v>
          </cell>
          <cell r="BJ715">
            <v>0</v>
          </cell>
          <cell r="BK715">
            <v>0</v>
          </cell>
          <cell r="BL715">
            <v>1</v>
          </cell>
          <cell r="BM715">
            <v>0</v>
          </cell>
          <cell r="BN715">
            <v>0</v>
          </cell>
          <cell r="BO715">
            <v>0</v>
          </cell>
          <cell r="BP715">
            <v>0</v>
          </cell>
          <cell r="BQ715">
            <v>2</v>
          </cell>
          <cell r="BR715">
            <v>0</v>
          </cell>
          <cell r="BS715">
            <v>0</v>
          </cell>
          <cell r="BT715">
            <v>8</v>
          </cell>
          <cell r="BU715">
            <v>0</v>
          </cell>
        </row>
        <row r="716">
          <cell r="A716">
            <v>50</v>
          </cell>
          <cell r="B716">
            <v>50</v>
          </cell>
          <cell r="D716">
            <v>0</v>
          </cell>
          <cell r="F716">
            <v>0</v>
          </cell>
          <cell r="G716">
            <v>1</v>
          </cell>
          <cell r="I716">
            <v>1</v>
          </cell>
          <cell r="J716">
            <v>0</v>
          </cell>
          <cell r="K716">
            <v>1</v>
          </cell>
          <cell r="L716">
            <v>1</v>
          </cell>
          <cell r="M716">
            <v>2</v>
          </cell>
          <cell r="O716">
            <v>0</v>
          </cell>
          <cell r="P716">
            <v>0</v>
          </cell>
          <cell r="Q716">
            <v>1</v>
          </cell>
          <cell r="R716">
            <v>0</v>
          </cell>
          <cell r="S716">
            <v>0</v>
          </cell>
          <cell r="T716">
            <v>4</v>
          </cell>
          <cell r="V716">
            <v>0</v>
          </cell>
          <cell r="W716">
            <v>66</v>
          </cell>
          <cell r="X716">
            <v>3</v>
          </cell>
          <cell r="Y716">
            <v>4</v>
          </cell>
          <cell r="AA716">
            <v>0</v>
          </cell>
          <cell r="AB716">
            <v>0</v>
          </cell>
          <cell r="AC716">
            <v>0</v>
          </cell>
          <cell r="AD716">
            <v>0</v>
          </cell>
          <cell r="AE716">
            <v>0</v>
          </cell>
          <cell r="AF716">
            <v>0</v>
          </cell>
          <cell r="AG716">
            <v>0</v>
          </cell>
          <cell r="AH716">
            <v>0</v>
          </cell>
          <cell r="AI716">
            <v>4</v>
          </cell>
          <cell r="AK716">
            <v>0</v>
          </cell>
          <cell r="AL716">
            <v>0</v>
          </cell>
          <cell r="AN716">
            <v>17399</v>
          </cell>
          <cell r="AO716">
            <v>9</v>
          </cell>
          <cell r="AQ716">
            <v>0</v>
          </cell>
          <cell r="AR716">
            <v>22</v>
          </cell>
          <cell r="AS716">
            <v>4</v>
          </cell>
          <cell r="AT716">
            <v>3</v>
          </cell>
          <cell r="AU716">
            <v>1</v>
          </cell>
          <cell r="AV716">
            <v>32</v>
          </cell>
          <cell r="AW716">
            <v>32</v>
          </cell>
          <cell r="AX716">
            <v>1</v>
          </cell>
          <cell r="AY716">
            <v>2</v>
          </cell>
          <cell r="AZ716">
            <v>5</v>
          </cell>
          <cell r="BA716">
            <v>5</v>
          </cell>
          <cell r="BB716">
            <v>4</v>
          </cell>
          <cell r="BC716">
            <v>1</v>
          </cell>
          <cell r="BD716">
            <v>1</v>
          </cell>
          <cell r="BE716">
            <v>3</v>
          </cell>
          <cell r="BF716">
            <v>3</v>
          </cell>
          <cell r="BG716">
            <v>12</v>
          </cell>
          <cell r="BH716">
            <v>1</v>
          </cell>
          <cell r="BI716">
            <v>0</v>
          </cell>
          <cell r="BJ716">
            <v>0</v>
          </cell>
          <cell r="BK716">
            <v>0</v>
          </cell>
          <cell r="BL716">
            <v>1</v>
          </cell>
          <cell r="BM716">
            <v>0</v>
          </cell>
          <cell r="BN716">
            <v>0</v>
          </cell>
          <cell r="BO716">
            <v>0</v>
          </cell>
          <cell r="BP716">
            <v>0</v>
          </cell>
          <cell r="BQ716">
            <v>3</v>
          </cell>
          <cell r="BR716">
            <v>0</v>
          </cell>
          <cell r="BS716">
            <v>0</v>
          </cell>
          <cell r="BT716">
            <v>32</v>
          </cell>
          <cell r="BU716">
            <v>0</v>
          </cell>
        </row>
        <row r="717">
          <cell r="A717">
            <v>33</v>
          </cell>
          <cell r="B717">
            <v>33</v>
          </cell>
          <cell r="D717">
            <v>0</v>
          </cell>
          <cell r="F717">
            <v>1</v>
          </cell>
          <cell r="G717">
            <v>0</v>
          </cell>
          <cell r="I717">
            <v>1</v>
          </cell>
          <cell r="J717">
            <v>0</v>
          </cell>
          <cell r="K717">
            <v>1</v>
          </cell>
          <cell r="L717">
            <v>1</v>
          </cell>
          <cell r="M717">
            <v>4</v>
          </cell>
          <cell r="O717">
            <v>0</v>
          </cell>
          <cell r="P717">
            <v>1</v>
          </cell>
          <cell r="Q717">
            <v>0</v>
          </cell>
          <cell r="R717">
            <v>0</v>
          </cell>
          <cell r="S717">
            <v>0</v>
          </cell>
          <cell r="T717">
            <v>3</v>
          </cell>
          <cell r="V717">
            <v>1</v>
          </cell>
          <cell r="W717">
            <v>84</v>
          </cell>
          <cell r="X717">
            <v>4</v>
          </cell>
          <cell r="Y717">
            <v>2</v>
          </cell>
          <cell r="AA717">
            <v>1</v>
          </cell>
          <cell r="AB717">
            <v>0</v>
          </cell>
          <cell r="AC717">
            <v>0</v>
          </cell>
          <cell r="AD717">
            <v>0</v>
          </cell>
          <cell r="AE717">
            <v>0</v>
          </cell>
          <cell r="AF717">
            <v>0</v>
          </cell>
          <cell r="AG717">
            <v>0</v>
          </cell>
          <cell r="AH717">
            <v>0</v>
          </cell>
          <cell r="AI717">
            <v>2</v>
          </cell>
          <cell r="AK717">
            <v>0</v>
          </cell>
          <cell r="AL717">
            <v>1</v>
          </cell>
          <cell r="AN717">
            <v>5488</v>
          </cell>
          <cell r="AO717">
            <v>1</v>
          </cell>
          <cell r="AQ717">
            <v>1</v>
          </cell>
          <cell r="AR717">
            <v>13</v>
          </cell>
          <cell r="AS717">
            <v>3</v>
          </cell>
          <cell r="AT717">
            <v>1</v>
          </cell>
          <cell r="AU717">
            <v>1</v>
          </cell>
          <cell r="AV717">
            <v>6</v>
          </cell>
          <cell r="AW717">
            <v>6</v>
          </cell>
          <cell r="AX717">
            <v>2</v>
          </cell>
          <cell r="AY717">
            <v>3</v>
          </cell>
          <cell r="AZ717">
            <v>6</v>
          </cell>
          <cell r="BA717">
            <v>6</v>
          </cell>
          <cell r="BB717">
            <v>5</v>
          </cell>
          <cell r="BC717">
            <v>1</v>
          </cell>
          <cell r="BD717">
            <v>1</v>
          </cell>
          <cell r="BE717">
            <v>2</v>
          </cell>
          <cell r="BF717">
            <v>2</v>
          </cell>
          <cell r="BG717">
            <v>4</v>
          </cell>
          <cell r="BH717">
            <v>0</v>
          </cell>
          <cell r="BI717">
            <v>0</v>
          </cell>
          <cell r="BJ717">
            <v>0</v>
          </cell>
          <cell r="BK717">
            <v>1</v>
          </cell>
          <cell r="BL717">
            <v>0</v>
          </cell>
          <cell r="BM717">
            <v>0</v>
          </cell>
          <cell r="BN717">
            <v>0</v>
          </cell>
          <cell r="BO717">
            <v>1</v>
          </cell>
          <cell r="BP717">
            <v>0</v>
          </cell>
          <cell r="BQ717">
            <v>2</v>
          </cell>
          <cell r="BR717">
            <v>0</v>
          </cell>
          <cell r="BS717">
            <v>0</v>
          </cell>
          <cell r="BT717">
            <v>6</v>
          </cell>
          <cell r="BU717">
            <v>0</v>
          </cell>
        </row>
        <row r="718">
          <cell r="A718">
            <v>41</v>
          </cell>
          <cell r="B718">
            <v>41</v>
          </cell>
          <cell r="D718">
            <v>0</v>
          </cell>
          <cell r="F718">
            <v>1</v>
          </cell>
          <cell r="G718">
            <v>0</v>
          </cell>
          <cell r="I718">
            <v>1</v>
          </cell>
          <cell r="J718">
            <v>0</v>
          </cell>
          <cell r="K718">
            <v>9</v>
          </cell>
          <cell r="L718">
            <v>9</v>
          </cell>
          <cell r="M718">
            <v>3</v>
          </cell>
          <cell r="O718">
            <v>0</v>
          </cell>
          <cell r="P718">
            <v>0</v>
          </cell>
          <cell r="Q718">
            <v>1</v>
          </cell>
          <cell r="R718">
            <v>0</v>
          </cell>
          <cell r="S718">
            <v>0</v>
          </cell>
          <cell r="T718">
            <v>1</v>
          </cell>
          <cell r="V718">
            <v>0</v>
          </cell>
          <cell r="W718">
            <v>64</v>
          </cell>
          <cell r="X718">
            <v>3</v>
          </cell>
          <cell r="Y718">
            <v>5</v>
          </cell>
          <cell r="AA718">
            <v>0</v>
          </cell>
          <cell r="AB718">
            <v>0</v>
          </cell>
          <cell r="AC718">
            <v>0</v>
          </cell>
          <cell r="AD718">
            <v>0</v>
          </cell>
          <cell r="AE718">
            <v>0</v>
          </cell>
          <cell r="AF718">
            <v>0</v>
          </cell>
          <cell r="AG718">
            <v>0</v>
          </cell>
          <cell r="AH718">
            <v>0</v>
          </cell>
          <cell r="AI718">
            <v>3</v>
          </cell>
          <cell r="AK718">
            <v>0</v>
          </cell>
          <cell r="AL718">
            <v>0</v>
          </cell>
          <cell r="AN718">
            <v>19419</v>
          </cell>
          <cell r="AO718">
            <v>2</v>
          </cell>
          <cell r="AQ718">
            <v>0</v>
          </cell>
          <cell r="AR718">
            <v>17</v>
          </cell>
          <cell r="AS718">
            <v>3</v>
          </cell>
          <cell r="AT718">
            <v>2</v>
          </cell>
          <cell r="AU718">
            <v>1</v>
          </cell>
          <cell r="AV718">
            <v>21</v>
          </cell>
          <cell r="AW718">
            <v>21</v>
          </cell>
          <cell r="AX718">
            <v>2</v>
          </cell>
          <cell r="AY718">
            <v>4</v>
          </cell>
          <cell r="AZ718">
            <v>18</v>
          </cell>
          <cell r="BA718">
            <v>18</v>
          </cell>
          <cell r="BB718">
            <v>16</v>
          </cell>
          <cell r="BC718">
            <v>0</v>
          </cell>
          <cell r="BD718">
            <v>0</v>
          </cell>
          <cell r="BE718">
            <v>11</v>
          </cell>
          <cell r="BF718">
            <v>11</v>
          </cell>
          <cell r="BG718">
            <v>55</v>
          </cell>
          <cell r="BH718">
            <v>0</v>
          </cell>
          <cell r="BI718">
            <v>0</v>
          </cell>
          <cell r="BJ718">
            <v>1</v>
          </cell>
          <cell r="BK718">
            <v>0</v>
          </cell>
          <cell r="BL718">
            <v>1</v>
          </cell>
          <cell r="BM718">
            <v>0</v>
          </cell>
          <cell r="BN718">
            <v>0</v>
          </cell>
          <cell r="BO718">
            <v>0</v>
          </cell>
          <cell r="BP718">
            <v>0</v>
          </cell>
          <cell r="BQ718">
            <v>11</v>
          </cell>
          <cell r="BR718">
            <v>0</v>
          </cell>
          <cell r="BS718">
            <v>0</v>
          </cell>
          <cell r="BT718">
            <v>21</v>
          </cell>
          <cell r="BU718">
            <v>0</v>
          </cell>
        </row>
        <row r="719">
          <cell r="A719">
            <v>27</v>
          </cell>
          <cell r="B719">
            <v>27</v>
          </cell>
          <cell r="D719">
            <v>0</v>
          </cell>
          <cell r="F719">
            <v>0</v>
          </cell>
          <cell r="G719">
            <v>1</v>
          </cell>
          <cell r="I719">
            <v>1</v>
          </cell>
          <cell r="J719">
            <v>0</v>
          </cell>
          <cell r="K719">
            <v>16</v>
          </cell>
          <cell r="L719">
            <v>16</v>
          </cell>
          <cell r="M719">
            <v>4</v>
          </cell>
          <cell r="O719">
            <v>0</v>
          </cell>
          <cell r="P719">
            <v>0</v>
          </cell>
          <cell r="Q719">
            <v>0</v>
          </cell>
          <cell r="R719">
            <v>0</v>
          </cell>
          <cell r="S719">
            <v>1</v>
          </cell>
          <cell r="T719">
            <v>3</v>
          </cell>
          <cell r="V719">
            <v>1</v>
          </cell>
          <cell r="W719">
            <v>37</v>
          </cell>
          <cell r="X719">
            <v>3</v>
          </cell>
          <cell r="Y719">
            <v>1</v>
          </cell>
          <cell r="AA719">
            <v>0</v>
          </cell>
          <cell r="AB719">
            <v>0</v>
          </cell>
          <cell r="AC719">
            <v>1</v>
          </cell>
          <cell r="AD719">
            <v>0</v>
          </cell>
          <cell r="AE719">
            <v>0</v>
          </cell>
          <cell r="AF719">
            <v>0</v>
          </cell>
          <cell r="AG719">
            <v>0</v>
          </cell>
          <cell r="AH719">
            <v>0</v>
          </cell>
          <cell r="AI719">
            <v>2</v>
          </cell>
          <cell r="AK719">
            <v>0</v>
          </cell>
          <cell r="AL719">
            <v>1</v>
          </cell>
          <cell r="AN719">
            <v>2811</v>
          </cell>
          <cell r="AO719">
            <v>9</v>
          </cell>
          <cell r="AQ719">
            <v>0</v>
          </cell>
          <cell r="AR719">
            <v>14</v>
          </cell>
          <cell r="AS719">
            <v>3</v>
          </cell>
          <cell r="AT719">
            <v>2</v>
          </cell>
          <cell r="AU719">
            <v>1</v>
          </cell>
          <cell r="AV719">
            <v>4</v>
          </cell>
          <cell r="AW719">
            <v>4</v>
          </cell>
          <cell r="AX719">
            <v>2</v>
          </cell>
          <cell r="AY719">
            <v>3</v>
          </cell>
          <cell r="AZ719">
            <v>2</v>
          </cell>
          <cell r="BA719">
            <v>2</v>
          </cell>
          <cell r="BB719">
            <v>2</v>
          </cell>
          <cell r="BC719">
            <v>2</v>
          </cell>
          <cell r="BD719">
            <v>2</v>
          </cell>
          <cell r="BE719">
            <v>2</v>
          </cell>
          <cell r="BF719">
            <v>2</v>
          </cell>
          <cell r="BG719">
            <v>2</v>
          </cell>
          <cell r="BH719">
            <v>0</v>
          </cell>
          <cell r="BI719">
            <v>1</v>
          </cell>
          <cell r="BJ719">
            <v>0</v>
          </cell>
          <cell r="BK719">
            <v>0</v>
          </cell>
          <cell r="BL719">
            <v>0</v>
          </cell>
          <cell r="BM719">
            <v>0</v>
          </cell>
          <cell r="BN719">
            <v>1</v>
          </cell>
          <cell r="BO719">
            <v>0</v>
          </cell>
          <cell r="BP719">
            <v>0</v>
          </cell>
          <cell r="BQ719">
            <v>2</v>
          </cell>
          <cell r="BR719">
            <v>0</v>
          </cell>
          <cell r="BS719">
            <v>0</v>
          </cell>
          <cell r="BT719">
            <v>4</v>
          </cell>
          <cell r="BU719">
            <v>0</v>
          </cell>
        </row>
        <row r="720">
          <cell r="A720">
            <v>45</v>
          </cell>
          <cell r="B720">
            <v>45</v>
          </cell>
          <cell r="D720">
            <v>0</v>
          </cell>
          <cell r="F720">
            <v>0</v>
          </cell>
          <cell r="G720">
            <v>0</v>
          </cell>
          <cell r="I720">
            <v>1</v>
          </cell>
          <cell r="J720">
            <v>0</v>
          </cell>
          <cell r="K720">
            <v>23</v>
          </cell>
          <cell r="L720">
            <v>23</v>
          </cell>
          <cell r="M720">
            <v>2</v>
          </cell>
          <cell r="O720">
            <v>1</v>
          </cell>
          <cell r="P720">
            <v>0</v>
          </cell>
          <cell r="Q720">
            <v>0</v>
          </cell>
          <cell r="R720">
            <v>0</v>
          </cell>
          <cell r="S720">
            <v>0</v>
          </cell>
          <cell r="T720">
            <v>4</v>
          </cell>
          <cell r="V720">
            <v>0</v>
          </cell>
          <cell r="W720">
            <v>42</v>
          </cell>
          <cell r="X720">
            <v>3</v>
          </cell>
          <cell r="Y720">
            <v>2</v>
          </cell>
          <cell r="AA720">
            <v>0</v>
          </cell>
          <cell r="AB720">
            <v>0</v>
          </cell>
          <cell r="AC720">
            <v>1</v>
          </cell>
          <cell r="AD720">
            <v>0</v>
          </cell>
          <cell r="AE720">
            <v>0</v>
          </cell>
          <cell r="AF720">
            <v>0</v>
          </cell>
          <cell r="AG720">
            <v>0</v>
          </cell>
          <cell r="AH720">
            <v>0</v>
          </cell>
          <cell r="AI720">
            <v>1</v>
          </cell>
          <cell r="AK720">
            <v>0</v>
          </cell>
          <cell r="AL720">
            <v>1</v>
          </cell>
          <cell r="AN720">
            <v>3633</v>
          </cell>
          <cell r="AO720">
            <v>1</v>
          </cell>
          <cell r="AQ720">
            <v>1</v>
          </cell>
          <cell r="AR720">
            <v>15</v>
          </cell>
          <cell r="AS720">
            <v>3</v>
          </cell>
          <cell r="AT720">
            <v>3</v>
          </cell>
          <cell r="AU720">
            <v>1</v>
          </cell>
          <cell r="AV720">
            <v>9</v>
          </cell>
          <cell r="AW720">
            <v>9</v>
          </cell>
          <cell r="AX720">
            <v>2</v>
          </cell>
          <cell r="AY720">
            <v>3</v>
          </cell>
          <cell r="AZ720">
            <v>9</v>
          </cell>
          <cell r="BA720">
            <v>9</v>
          </cell>
          <cell r="BB720">
            <v>8</v>
          </cell>
          <cell r="BC720">
            <v>0</v>
          </cell>
          <cell r="BD720">
            <v>0</v>
          </cell>
          <cell r="BE720">
            <v>8</v>
          </cell>
          <cell r="BF720">
            <v>8</v>
          </cell>
          <cell r="BG720">
            <v>16</v>
          </cell>
          <cell r="BH720">
            <v>0</v>
          </cell>
          <cell r="BI720">
            <v>1</v>
          </cell>
          <cell r="BJ720">
            <v>0</v>
          </cell>
          <cell r="BK720">
            <v>0</v>
          </cell>
          <cell r="BL720">
            <v>0</v>
          </cell>
          <cell r="BM720">
            <v>0</v>
          </cell>
          <cell r="BN720">
            <v>0</v>
          </cell>
          <cell r="BO720">
            <v>1</v>
          </cell>
          <cell r="BP720">
            <v>0</v>
          </cell>
          <cell r="BQ720">
            <v>8</v>
          </cell>
          <cell r="BR720">
            <v>0</v>
          </cell>
          <cell r="BS720">
            <v>0</v>
          </cell>
          <cell r="BT720">
            <v>9</v>
          </cell>
          <cell r="BU720">
            <v>0</v>
          </cell>
        </row>
        <row r="721">
          <cell r="A721">
            <v>47</v>
          </cell>
          <cell r="B721">
            <v>47</v>
          </cell>
          <cell r="D721">
            <v>0</v>
          </cell>
          <cell r="F721">
            <v>0</v>
          </cell>
          <cell r="G721">
            <v>1</v>
          </cell>
          <cell r="I721">
            <v>0</v>
          </cell>
          <cell r="J721">
            <v>1</v>
          </cell>
          <cell r="K721">
            <v>4</v>
          </cell>
          <cell r="L721">
            <v>4</v>
          </cell>
          <cell r="M721">
            <v>2</v>
          </cell>
          <cell r="O721">
            <v>1</v>
          </cell>
          <cell r="P721">
            <v>0</v>
          </cell>
          <cell r="Q721">
            <v>0</v>
          </cell>
          <cell r="R721">
            <v>0</v>
          </cell>
          <cell r="S721">
            <v>0</v>
          </cell>
          <cell r="T721">
            <v>4</v>
          </cell>
          <cell r="V721">
            <v>1</v>
          </cell>
          <cell r="W721">
            <v>83</v>
          </cell>
          <cell r="X721">
            <v>3</v>
          </cell>
          <cell r="Y721">
            <v>2</v>
          </cell>
          <cell r="AA721">
            <v>0</v>
          </cell>
          <cell r="AB721">
            <v>1</v>
          </cell>
          <cell r="AC721">
            <v>0</v>
          </cell>
          <cell r="AD721">
            <v>0</v>
          </cell>
          <cell r="AE721">
            <v>0</v>
          </cell>
          <cell r="AF721">
            <v>0</v>
          </cell>
          <cell r="AG721">
            <v>0</v>
          </cell>
          <cell r="AH721">
            <v>0</v>
          </cell>
          <cell r="AI721">
            <v>4</v>
          </cell>
          <cell r="AK721">
            <v>1</v>
          </cell>
          <cell r="AL721">
            <v>0</v>
          </cell>
          <cell r="AN721">
            <v>4163</v>
          </cell>
          <cell r="AO721">
            <v>1</v>
          </cell>
          <cell r="AQ721">
            <v>1</v>
          </cell>
          <cell r="AR721">
            <v>17</v>
          </cell>
          <cell r="AS721">
            <v>3</v>
          </cell>
          <cell r="AT721">
            <v>3</v>
          </cell>
          <cell r="AU721">
            <v>0</v>
          </cell>
          <cell r="AV721">
            <v>9</v>
          </cell>
          <cell r="AW721">
            <v>9</v>
          </cell>
          <cell r="AX721">
            <v>0</v>
          </cell>
          <cell r="AY721">
            <v>3</v>
          </cell>
          <cell r="AZ721">
            <v>9</v>
          </cell>
          <cell r="BA721">
            <v>9</v>
          </cell>
          <cell r="BB721">
            <v>0</v>
          </cell>
          <cell r="BC721">
            <v>0</v>
          </cell>
          <cell r="BD721">
            <v>0</v>
          </cell>
          <cell r="BE721">
            <v>7</v>
          </cell>
          <cell r="BF721">
            <v>7</v>
          </cell>
          <cell r="BG721">
            <v>14</v>
          </cell>
          <cell r="BH721">
            <v>1</v>
          </cell>
          <cell r="BI721">
            <v>0</v>
          </cell>
          <cell r="BJ721">
            <v>0</v>
          </cell>
          <cell r="BK721">
            <v>0</v>
          </cell>
          <cell r="BL721">
            <v>0</v>
          </cell>
          <cell r="BM721">
            <v>1</v>
          </cell>
          <cell r="BN721">
            <v>0</v>
          </cell>
          <cell r="BO721">
            <v>0</v>
          </cell>
          <cell r="BP721">
            <v>0</v>
          </cell>
          <cell r="BQ721">
            <v>0</v>
          </cell>
          <cell r="BR721">
            <v>7</v>
          </cell>
          <cell r="BS721">
            <v>0</v>
          </cell>
          <cell r="BT721">
            <v>0</v>
          </cell>
          <cell r="BU721">
            <v>9</v>
          </cell>
        </row>
        <row r="722">
          <cell r="A722">
            <v>30</v>
          </cell>
          <cell r="B722">
            <v>30</v>
          </cell>
          <cell r="D722">
            <v>1</v>
          </cell>
          <cell r="F722">
            <v>0</v>
          </cell>
          <cell r="G722">
            <v>1</v>
          </cell>
          <cell r="I722">
            <v>1</v>
          </cell>
          <cell r="J722">
            <v>0</v>
          </cell>
          <cell r="K722">
            <v>22</v>
          </cell>
          <cell r="L722">
            <v>22</v>
          </cell>
          <cell r="M722">
            <v>3</v>
          </cell>
          <cell r="O722">
            <v>1</v>
          </cell>
          <cell r="P722">
            <v>0</v>
          </cell>
          <cell r="Q722">
            <v>0</v>
          </cell>
          <cell r="R722">
            <v>0</v>
          </cell>
          <cell r="S722">
            <v>0</v>
          </cell>
          <cell r="T722">
            <v>1</v>
          </cell>
          <cell r="V722">
            <v>1</v>
          </cell>
          <cell r="W722">
            <v>48</v>
          </cell>
          <cell r="X722">
            <v>3</v>
          </cell>
          <cell r="Y722">
            <v>1</v>
          </cell>
          <cell r="AA722">
            <v>0</v>
          </cell>
          <cell r="AB722">
            <v>0</v>
          </cell>
          <cell r="AC722">
            <v>0</v>
          </cell>
          <cell r="AD722">
            <v>0</v>
          </cell>
          <cell r="AE722">
            <v>0</v>
          </cell>
          <cell r="AF722">
            <v>0</v>
          </cell>
          <cell r="AG722">
            <v>0</v>
          </cell>
          <cell r="AH722">
            <v>1</v>
          </cell>
          <cell r="AI722">
            <v>3</v>
          </cell>
          <cell r="AK722">
            <v>0</v>
          </cell>
          <cell r="AL722">
            <v>1</v>
          </cell>
          <cell r="AN722">
            <v>2132</v>
          </cell>
          <cell r="AO722">
            <v>4</v>
          </cell>
          <cell r="AQ722">
            <v>1</v>
          </cell>
          <cell r="AR722">
            <v>11</v>
          </cell>
          <cell r="AS722">
            <v>3</v>
          </cell>
          <cell r="AT722">
            <v>2</v>
          </cell>
          <cell r="AU722">
            <v>0</v>
          </cell>
          <cell r="AV722">
            <v>7</v>
          </cell>
          <cell r="AW722">
            <v>7</v>
          </cell>
          <cell r="AX722">
            <v>2</v>
          </cell>
          <cell r="AY722">
            <v>3</v>
          </cell>
          <cell r="AZ722">
            <v>5</v>
          </cell>
          <cell r="BA722">
            <v>5</v>
          </cell>
          <cell r="BB722">
            <v>2</v>
          </cell>
          <cell r="BC722">
            <v>0</v>
          </cell>
          <cell r="BD722">
            <v>0</v>
          </cell>
          <cell r="BE722">
            <v>1</v>
          </cell>
          <cell r="BF722">
            <v>1</v>
          </cell>
          <cell r="BG722">
            <v>1</v>
          </cell>
          <cell r="BH722">
            <v>0</v>
          </cell>
          <cell r="BI722">
            <v>1</v>
          </cell>
          <cell r="BJ722">
            <v>0</v>
          </cell>
          <cell r="BK722">
            <v>0</v>
          </cell>
          <cell r="BL722">
            <v>0</v>
          </cell>
          <cell r="BM722">
            <v>0</v>
          </cell>
          <cell r="BN722">
            <v>0</v>
          </cell>
          <cell r="BO722">
            <v>1</v>
          </cell>
          <cell r="BP722">
            <v>0</v>
          </cell>
          <cell r="BQ722">
            <v>1</v>
          </cell>
          <cell r="BR722">
            <v>0</v>
          </cell>
          <cell r="BS722">
            <v>0</v>
          </cell>
          <cell r="BT722">
            <v>7</v>
          </cell>
          <cell r="BU722">
            <v>0</v>
          </cell>
        </row>
        <row r="723">
          <cell r="A723">
            <v>50</v>
          </cell>
          <cell r="B723">
            <v>50</v>
          </cell>
          <cell r="D723">
            <v>0</v>
          </cell>
          <cell r="F723">
            <v>0</v>
          </cell>
          <cell r="G723">
            <v>1</v>
          </cell>
          <cell r="I723">
            <v>1</v>
          </cell>
          <cell r="J723">
            <v>0</v>
          </cell>
          <cell r="K723">
            <v>24</v>
          </cell>
          <cell r="L723">
            <v>24</v>
          </cell>
          <cell r="M723">
            <v>3</v>
          </cell>
          <cell r="O723">
            <v>1</v>
          </cell>
          <cell r="P723">
            <v>0</v>
          </cell>
          <cell r="Q723">
            <v>0</v>
          </cell>
          <cell r="R723">
            <v>0</v>
          </cell>
          <cell r="S723">
            <v>0</v>
          </cell>
          <cell r="T723">
            <v>4</v>
          </cell>
          <cell r="V723">
            <v>0</v>
          </cell>
          <cell r="W723">
            <v>95</v>
          </cell>
          <cell r="X723">
            <v>3</v>
          </cell>
          <cell r="Y723">
            <v>4</v>
          </cell>
          <cell r="AA723">
            <v>0</v>
          </cell>
          <cell r="AB723">
            <v>0</v>
          </cell>
          <cell r="AC723">
            <v>0</v>
          </cell>
          <cell r="AD723">
            <v>0</v>
          </cell>
          <cell r="AE723">
            <v>1</v>
          </cell>
          <cell r="AF723">
            <v>1</v>
          </cell>
          <cell r="AG723">
            <v>0</v>
          </cell>
          <cell r="AH723">
            <v>0</v>
          </cell>
          <cell r="AI723">
            <v>3</v>
          </cell>
          <cell r="AK723">
            <v>0</v>
          </cell>
          <cell r="AL723">
            <v>1</v>
          </cell>
          <cell r="AN723">
            <v>13973</v>
          </cell>
          <cell r="AO723">
            <v>3</v>
          </cell>
          <cell r="AQ723">
            <v>1</v>
          </cell>
          <cell r="AR723">
            <v>18</v>
          </cell>
          <cell r="AS723">
            <v>3</v>
          </cell>
          <cell r="AT723">
            <v>4</v>
          </cell>
          <cell r="AU723">
            <v>1</v>
          </cell>
          <cell r="AV723">
            <v>22</v>
          </cell>
          <cell r="AW723">
            <v>22</v>
          </cell>
          <cell r="AX723">
            <v>2</v>
          </cell>
          <cell r="AY723">
            <v>3</v>
          </cell>
          <cell r="AZ723">
            <v>12</v>
          </cell>
          <cell r="BA723">
            <v>12</v>
          </cell>
          <cell r="BB723">
            <v>11</v>
          </cell>
          <cell r="BC723">
            <v>1</v>
          </cell>
          <cell r="BD723">
            <v>1</v>
          </cell>
          <cell r="BE723">
            <v>5</v>
          </cell>
          <cell r="BF723">
            <v>5</v>
          </cell>
          <cell r="BG723">
            <v>20</v>
          </cell>
          <cell r="BH723">
            <v>0</v>
          </cell>
          <cell r="BI723">
            <v>1</v>
          </cell>
          <cell r="BJ723">
            <v>0</v>
          </cell>
          <cell r="BK723">
            <v>0</v>
          </cell>
          <cell r="BL723">
            <v>0</v>
          </cell>
          <cell r="BM723">
            <v>0</v>
          </cell>
          <cell r="BN723">
            <v>0</v>
          </cell>
          <cell r="BO723">
            <v>1</v>
          </cell>
          <cell r="BP723">
            <v>0</v>
          </cell>
          <cell r="BQ723">
            <v>5</v>
          </cell>
          <cell r="BR723">
            <v>0</v>
          </cell>
          <cell r="BS723">
            <v>0</v>
          </cell>
          <cell r="BT723">
            <v>22</v>
          </cell>
          <cell r="BU723">
            <v>0</v>
          </cell>
        </row>
        <row r="724">
          <cell r="A724">
            <v>38</v>
          </cell>
          <cell r="B724">
            <v>38</v>
          </cell>
          <cell r="D724">
            <v>0</v>
          </cell>
          <cell r="F724">
            <v>1</v>
          </cell>
          <cell r="G724">
            <v>0</v>
          </cell>
          <cell r="I724">
            <v>1</v>
          </cell>
          <cell r="J724">
            <v>0</v>
          </cell>
          <cell r="K724">
            <v>10</v>
          </cell>
          <cell r="L724">
            <v>10</v>
          </cell>
          <cell r="M724">
            <v>1</v>
          </cell>
          <cell r="O724">
            <v>0</v>
          </cell>
          <cell r="P724">
            <v>0</v>
          </cell>
          <cell r="Q724">
            <v>1</v>
          </cell>
          <cell r="R724">
            <v>0</v>
          </cell>
          <cell r="S724">
            <v>0</v>
          </cell>
          <cell r="T724">
            <v>3</v>
          </cell>
          <cell r="V724">
            <v>0</v>
          </cell>
          <cell r="W724">
            <v>66</v>
          </cell>
          <cell r="X724">
            <v>3</v>
          </cell>
          <cell r="Y724">
            <v>1</v>
          </cell>
          <cell r="AA724">
            <v>0</v>
          </cell>
          <cell r="AB724">
            <v>0</v>
          </cell>
          <cell r="AC724">
            <v>0</v>
          </cell>
          <cell r="AD724">
            <v>0</v>
          </cell>
          <cell r="AE724">
            <v>0</v>
          </cell>
          <cell r="AF724">
            <v>0</v>
          </cell>
          <cell r="AG724">
            <v>0</v>
          </cell>
          <cell r="AH724">
            <v>1</v>
          </cell>
          <cell r="AI724">
            <v>3</v>
          </cell>
          <cell r="AK724">
            <v>0</v>
          </cell>
          <cell r="AL724">
            <v>1</v>
          </cell>
          <cell r="AN724">
            <v>2684</v>
          </cell>
          <cell r="AO724">
            <v>0</v>
          </cell>
          <cell r="AQ724">
            <v>0</v>
          </cell>
          <cell r="AR724">
            <v>17</v>
          </cell>
          <cell r="AS724">
            <v>3</v>
          </cell>
          <cell r="AT724">
            <v>2</v>
          </cell>
          <cell r="AU724">
            <v>1</v>
          </cell>
          <cell r="AV724">
            <v>3</v>
          </cell>
          <cell r="AW724">
            <v>3</v>
          </cell>
          <cell r="AX724">
            <v>0</v>
          </cell>
          <cell r="AY724">
            <v>2</v>
          </cell>
          <cell r="AZ724">
            <v>2</v>
          </cell>
          <cell r="BA724">
            <v>2</v>
          </cell>
          <cell r="BB724">
            <v>1</v>
          </cell>
          <cell r="BC724">
            <v>0</v>
          </cell>
          <cell r="BD724">
            <v>0</v>
          </cell>
          <cell r="BE724">
            <v>2</v>
          </cell>
          <cell r="BF724">
            <v>2</v>
          </cell>
          <cell r="BG724">
            <v>2</v>
          </cell>
          <cell r="BH724">
            <v>0</v>
          </cell>
          <cell r="BI724">
            <v>0</v>
          </cell>
          <cell r="BJ724">
            <v>0</v>
          </cell>
          <cell r="BK724">
            <v>1</v>
          </cell>
          <cell r="BL724">
            <v>0</v>
          </cell>
          <cell r="BM724">
            <v>0</v>
          </cell>
          <cell r="BN724">
            <v>1</v>
          </cell>
          <cell r="BO724">
            <v>0</v>
          </cell>
          <cell r="BP724">
            <v>0</v>
          </cell>
          <cell r="BQ724">
            <v>2</v>
          </cell>
          <cell r="BR724">
            <v>0</v>
          </cell>
          <cell r="BS724">
            <v>0</v>
          </cell>
          <cell r="BT724">
            <v>3</v>
          </cell>
          <cell r="BU724">
            <v>0</v>
          </cell>
        </row>
        <row r="725">
          <cell r="A725">
            <v>46</v>
          </cell>
          <cell r="B725">
            <v>46</v>
          </cell>
          <cell r="D725">
            <v>0</v>
          </cell>
          <cell r="F725">
            <v>0</v>
          </cell>
          <cell r="G725">
            <v>1</v>
          </cell>
          <cell r="I725">
            <v>1</v>
          </cell>
          <cell r="J725">
            <v>0</v>
          </cell>
          <cell r="K725">
            <v>7</v>
          </cell>
          <cell r="L725">
            <v>7</v>
          </cell>
          <cell r="M725">
            <v>2</v>
          </cell>
          <cell r="O725">
            <v>0</v>
          </cell>
          <cell r="P725">
            <v>0</v>
          </cell>
          <cell r="Q725">
            <v>1</v>
          </cell>
          <cell r="R725">
            <v>0</v>
          </cell>
          <cell r="S725">
            <v>0</v>
          </cell>
          <cell r="T725">
            <v>4</v>
          </cell>
          <cell r="V725">
            <v>0</v>
          </cell>
          <cell r="W725">
            <v>75</v>
          </cell>
          <cell r="X725">
            <v>3</v>
          </cell>
          <cell r="Y725">
            <v>3</v>
          </cell>
          <cell r="AA725">
            <v>0</v>
          </cell>
          <cell r="AB725">
            <v>0</v>
          </cell>
          <cell r="AC725">
            <v>0</v>
          </cell>
          <cell r="AD725">
            <v>0</v>
          </cell>
          <cell r="AE725">
            <v>1</v>
          </cell>
          <cell r="AF725">
            <v>1</v>
          </cell>
          <cell r="AG725">
            <v>0</v>
          </cell>
          <cell r="AH725">
            <v>0</v>
          </cell>
          <cell r="AI725">
            <v>3</v>
          </cell>
          <cell r="AK725">
            <v>0</v>
          </cell>
          <cell r="AL725">
            <v>0</v>
          </cell>
          <cell r="AN725">
            <v>10845</v>
          </cell>
          <cell r="AO725">
            <v>6</v>
          </cell>
          <cell r="AQ725">
            <v>0</v>
          </cell>
          <cell r="AR725">
            <v>13</v>
          </cell>
          <cell r="AS725">
            <v>3</v>
          </cell>
          <cell r="AT725">
            <v>2</v>
          </cell>
          <cell r="AU725">
            <v>1</v>
          </cell>
          <cell r="AV725">
            <v>13</v>
          </cell>
          <cell r="AW725">
            <v>13</v>
          </cell>
          <cell r="AX725">
            <v>3</v>
          </cell>
          <cell r="AY725">
            <v>3</v>
          </cell>
          <cell r="AZ725">
            <v>8</v>
          </cell>
          <cell r="BA725">
            <v>8</v>
          </cell>
          <cell r="BB725">
            <v>7</v>
          </cell>
          <cell r="BC725">
            <v>0</v>
          </cell>
          <cell r="BD725">
            <v>0</v>
          </cell>
          <cell r="BE725">
            <v>7</v>
          </cell>
          <cell r="BF725">
            <v>7</v>
          </cell>
          <cell r="BG725">
            <v>21</v>
          </cell>
          <cell r="BH725">
            <v>1</v>
          </cell>
          <cell r="BI725">
            <v>0</v>
          </cell>
          <cell r="BJ725">
            <v>0</v>
          </cell>
          <cell r="BK725">
            <v>0</v>
          </cell>
          <cell r="BL725">
            <v>1</v>
          </cell>
          <cell r="BM725">
            <v>0</v>
          </cell>
          <cell r="BN725">
            <v>0</v>
          </cell>
          <cell r="BO725">
            <v>0</v>
          </cell>
          <cell r="BP725">
            <v>0</v>
          </cell>
          <cell r="BQ725">
            <v>7</v>
          </cell>
          <cell r="BR725">
            <v>0</v>
          </cell>
          <cell r="BS725">
            <v>0</v>
          </cell>
          <cell r="BT725">
            <v>13</v>
          </cell>
          <cell r="BU725">
            <v>0</v>
          </cell>
        </row>
        <row r="726">
          <cell r="A726">
            <v>24</v>
          </cell>
          <cell r="B726">
            <v>24</v>
          </cell>
          <cell r="D726">
            <v>0</v>
          </cell>
          <cell r="F726">
            <v>0</v>
          </cell>
          <cell r="G726">
            <v>1</v>
          </cell>
          <cell r="I726">
            <v>1</v>
          </cell>
          <cell r="J726">
            <v>0</v>
          </cell>
          <cell r="K726">
            <v>17</v>
          </cell>
          <cell r="L726">
            <v>17</v>
          </cell>
          <cell r="M726">
            <v>1</v>
          </cell>
          <cell r="O726">
            <v>0</v>
          </cell>
          <cell r="P726">
            <v>0</v>
          </cell>
          <cell r="Q726">
            <v>1</v>
          </cell>
          <cell r="R726">
            <v>0</v>
          </cell>
          <cell r="S726">
            <v>0</v>
          </cell>
          <cell r="T726">
            <v>4</v>
          </cell>
          <cell r="V726">
            <v>1</v>
          </cell>
          <cell r="W726">
            <v>41</v>
          </cell>
          <cell r="X726">
            <v>2</v>
          </cell>
          <cell r="Y726">
            <v>2</v>
          </cell>
          <cell r="AA726">
            <v>0</v>
          </cell>
          <cell r="AB726">
            <v>0</v>
          </cell>
          <cell r="AC726">
            <v>0</v>
          </cell>
          <cell r="AD726">
            <v>0</v>
          </cell>
          <cell r="AE726">
            <v>1</v>
          </cell>
          <cell r="AF726">
            <v>1</v>
          </cell>
          <cell r="AG726">
            <v>0</v>
          </cell>
          <cell r="AH726">
            <v>0</v>
          </cell>
          <cell r="AI726">
            <v>3</v>
          </cell>
          <cell r="AK726">
            <v>0</v>
          </cell>
          <cell r="AL726">
            <v>0</v>
          </cell>
          <cell r="AN726">
            <v>4377</v>
          </cell>
          <cell r="AO726">
            <v>1</v>
          </cell>
          <cell r="AQ726">
            <v>0</v>
          </cell>
          <cell r="AR726">
            <v>15</v>
          </cell>
          <cell r="AS726">
            <v>3</v>
          </cell>
          <cell r="AT726">
            <v>2</v>
          </cell>
          <cell r="AU726">
            <v>2</v>
          </cell>
          <cell r="AV726">
            <v>5</v>
          </cell>
          <cell r="AW726">
            <v>5</v>
          </cell>
          <cell r="AX726">
            <v>6</v>
          </cell>
          <cell r="AY726">
            <v>3</v>
          </cell>
          <cell r="AZ726">
            <v>4</v>
          </cell>
          <cell r="BA726">
            <v>4</v>
          </cell>
          <cell r="BB726">
            <v>2</v>
          </cell>
          <cell r="BC726">
            <v>3</v>
          </cell>
          <cell r="BD726">
            <v>3</v>
          </cell>
          <cell r="BE726">
            <v>2</v>
          </cell>
          <cell r="BF726">
            <v>2</v>
          </cell>
          <cell r="BG726">
            <v>4</v>
          </cell>
          <cell r="BH726">
            <v>1</v>
          </cell>
          <cell r="BI726">
            <v>0</v>
          </cell>
          <cell r="BJ726">
            <v>0</v>
          </cell>
          <cell r="BK726">
            <v>0</v>
          </cell>
          <cell r="BL726">
            <v>1</v>
          </cell>
          <cell r="BM726">
            <v>0</v>
          </cell>
          <cell r="BN726">
            <v>0</v>
          </cell>
          <cell r="BO726">
            <v>0</v>
          </cell>
          <cell r="BP726">
            <v>0</v>
          </cell>
          <cell r="BQ726">
            <v>2</v>
          </cell>
          <cell r="BR726">
            <v>0</v>
          </cell>
          <cell r="BS726">
            <v>0</v>
          </cell>
          <cell r="BT726">
            <v>5</v>
          </cell>
          <cell r="BU726">
            <v>0</v>
          </cell>
        </row>
        <row r="727">
          <cell r="A727">
            <v>35</v>
          </cell>
          <cell r="B727">
            <v>35</v>
          </cell>
          <cell r="D727">
            <v>1</v>
          </cell>
          <cell r="F727">
            <v>0</v>
          </cell>
          <cell r="G727">
            <v>1</v>
          </cell>
          <cell r="I727">
            <v>1</v>
          </cell>
          <cell r="J727">
            <v>0</v>
          </cell>
          <cell r="K727">
            <v>14</v>
          </cell>
          <cell r="L727">
            <v>14</v>
          </cell>
          <cell r="M727">
            <v>4</v>
          </cell>
          <cell r="O727">
            <v>0</v>
          </cell>
          <cell r="P727">
            <v>1</v>
          </cell>
          <cell r="Q727">
            <v>0</v>
          </cell>
          <cell r="R727">
            <v>0</v>
          </cell>
          <cell r="S727">
            <v>0</v>
          </cell>
          <cell r="T727">
            <v>3</v>
          </cell>
          <cell r="V727">
            <v>0</v>
          </cell>
          <cell r="W727">
            <v>39</v>
          </cell>
          <cell r="X727">
            <v>2</v>
          </cell>
          <cell r="Y727">
            <v>1</v>
          </cell>
          <cell r="AA727">
            <v>0</v>
          </cell>
          <cell r="AB727">
            <v>0</v>
          </cell>
          <cell r="AC727">
            <v>1</v>
          </cell>
          <cell r="AD727">
            <v>0</v>
          </cell>
          <cell r="AE727">
            <v>0</v>
          </cell>
          <cell r="AF727">
            <v>0</v>
          </cell>
          <cell r="AG727">
            <v>0</v>
          </cell>
          <cell r="AH727">
            <v>0</v>
          </cell>
          <cell r="AI727">
            <v>2</v>
          </cell>
          <cell r="AK727">
            <v>0</v>
          </cell>
          <cell r="AL727">
            <v>0</v>
          </cell>
          <cell r="AN727">
            <v>3743</v>
          </cell>
          <cell r="AO727">
            <v>1</v>
          </cell>
          <cell r="AQ727">
            <v>1</v>
          </cell>
          <cell r="AR727">
            <v>24</v>
          </cell>
          <cell r="AS727">
            <v>4</v>
          </cell>
          <cell r="AT727">
            <v>4</v>
          </cell>
          <cell r="AU727">
            <v>1</v>
          </cell>
          <cell r="AV727">
            <v>5</v>
          </cell>
          <cell r="AW727">
            <v>5</v>
          </cell>
          <cell r="AX727">
            <v>2</v>
          </cell>
          <cell r="AY727">
            <v>1</v>
          </cell>
          <cell r="AZ727">
            <v>4</v>
          </cell>
          <cell r="BA727">
            <v>4</v>
          </cell>
          <cell r="BB727">
            <v>2</v>
          </cell>
          <cell r="BC727">
            <v>0</v>
          </cell>
          <cell r="BD727">
            <v>0</v>
          </cell>
          <cell r="BE727">
            <v>2</v>
          </cell>
          <cell r="BF727">
            <v>2</v>
          </cell>
          <cell r="BG727">
            <v>2</v>
          </cell>
          <cell r="BH727">
            <v>1</v>
          </cell>
          <cell r="BI727">
            <v>0</v>
          </cell>
          <cell r="BJ727">
            <v>0</v>
          </cell>
          <cell r="BK727">
            <v>0</v>
          </cell>
          <cell r="BL727">
            <v>0</v>
          </cell>
          <cell r="BM727">
            <v>1</v>
          </cell>
          <cell r="BN727">
            <v>0</v>
          </cell>
          <cell r="BO727">
            <v>0</v>
          </cell>
          <cell r="BP727">
            <v>0</v>
          </cell>
          <cell r="BQ727">
            <v>2</v>
          </cell>
          <cell r="BR727">
            <v>0</v>
          </cell>
          <cell r="BS727">
            <v>0</v>
          </cell>
          <cell r="BT727">
            <v>5</v>
          </cell>
          <cell r="BU727">
            <v>0</v>
          </cell>
        </row>
        <row r="728">
          <cell r="A728">
            <v>31</v>
          </cell>
          <cell r="B728">
            <v>31</v>
          </cell>
          <cell r="D728">
            <v>0</v>
          </cell>
          <cell r="F728">
            <v>1</v>
          </cell>
          <cell r="G728">
            <v>0</v>
          </cell>
          <cell r="I728">
            <v>1</v>
          </cell>
          <cell r="J728">
            <v>0</v>
          </cell>
          <cell r="K728">
            <v>1</v>
          </cell>
          <cell r="L728">
            <v>1</v>
          </cell>
          <cell r="M728">
            <v>1</v>
          </cell>
          <cell r="O728">
            <v>1</v>
          </cell>
          <cell r="P728">
            <v>0</v>
          </cell>
          <cell r="Q728">
            <v>0</v>
          </cell>
          <cell r="R728">
            <v>0</v>
          </cell>
          <cell r="S728">
            <v>0</v>
          </cell>
          <cell r="T728">
            <v>3</v>
          </cell>
          <cell r="V728">
            <v>1</v>
          </cell>
          <cell r="W728">
            <v>96</v>
          </cell>
          <cell r="X728">
            <v>3</v>
          </cell>
          <cell r="Y728">
            <v>2</v>
          </cell>
          <cell r="AA728">
            <v>0</v>
          </cell>
          <cell r="AB728">
            <v>0</v>
          </cell>
          <cell r="AC728">
            <v>0</v>
          </cell>
          <cell r="AD728">
            <v>0</v>
          </cell>
          <cell r="AE728">
            <v>1</v>
          </cell>
          <cell r="AF728">
            <v>1</v>
          </cell>
          <cell r="AG728">
            <v>0</v>
          </cell>
          <cell r="AH728">
            <v>0</v>
          </cell>
          <cell r="AI728">
            <v>1</v>
          </cell>
          <cell r="AK728">
            <v>0</v>
          </cell>
          <cell r="AL728">
            <v>1</v>
          </cell>
          <cell r="AN728">
            <v>4148</v>
          </cell>
          <cell r="AO728">
            <v>1</v>
          </cell>
          <cell r="AQ728">
            <v>0</v>
          </cell>
          <cell r="AR728">
            <v>12</v>
          </cell>
          <cell r="AS728">
            <v>3</v>
          </cell>
          <cell r="AT728">
            <v>3</v>
          </cell>
          <cell r="AU728">
            <v>1</v>
          </cell>
          <cell r="AV728">
            <v>4</v>
          </cell>
          <cell r="AW728">
            <v>4</v>
          </cell>
          <cell r="AX728">
            <v>1</v>
          </cell>
          <cell r="AY728">
            <v>3</v>
          </cell>
          <cell r="AZ728">
            <v>4</v>
          </cell>
          <cell r="BA728">
            <v>4</v>
          </cell>
          <cell r="BB728">
            <v>3</v>
          </cell>
          <cell r="BC728">
            <v>0</v>
          </cell>
          <cell r="BD728">
            <v>0</v>
          </cell>
          <cell r="BE728">
            <v>3</v>
          </cell>
          <cell r="BF728">
            <v>3</v>
          </cell>
          <cell r="BG728">
            <v>6</v>
          </cell>
          <cell r="BH728">
            <v>0</v>
          </cell>
          <cell r="BI728">
            <v>0</v>
          </cell>
          <cell r="BJ728">
            <v>0</v>
          </cell>
          <cell r="BK728">
            <v>1</v>
          </cell>
          <cell r="BL728">
            <v>0</v>
          </cell>
          <cell r="BM728">
            <v>0</v>
          </cell>
          <cell r="BN728">
            <v>1</v>
          </cell>
          <cell r="BO728">
            <v>0</v>
          </cell>
          <cell r="BP728">
            <v>0</v>
          </cell>
          <cell r="BQ728">
            <v>3</v>
          </cell>
          <cell r="BR728">
            <v>0</v>
          </cell>
          <cell r="BS728">
            <v>0</v>
          </cell>
          <cell r="BT728">
            <v>4</v>
          </cell>
          <cell r="BU728">
            <v>0</v>
          </cell>
        </row>
        <row r="729">
          <cell r="A729">
            <v>18</v>
          </cell>
          <cell r="B729">
            <v>19</v>
          </cell>
          <cell r="D729">
            <v>0</v>
          </cell>
          <cell r="F729">
            <v>0</v>
          </cell>
          <cell r="G729">
            <v>0</v>
          </cell>
          <cell r="I729">
            <v>1</v>
          </cell>
          <cell r="J729">
            <v>0</v>
          </cell>
          <cell r="K729">
            <v>5</v>
          </cell>
          <cell r="L729">
            <v>5</v>
          </cell>
          <cell r="M729">
            <v>2</v>
          </cell>
          <cell r="O729">
            <v>1</v>
          </cell>
          <cell r="P729">
            <v>0</v>
          </cell>
          <cell r="Q729">
            <v>0</v>
          </cell>
          <cell r="R729">
            <v>0</v>
          </cell>
          <cell r="S729">
            <v>0</v>
          </cell>
          <cell r="T729">
            <v>2</v>
          </cell>
          <cell r="V729">
            <v>0</v>
          </cell>
          <cell r="W729">
            <v>73</v>
          </cell>
          <cell r="X729">
            <v>3</v>
          </cell>
          <cell r="Y729">
            <v>1</v>
          </cell>
          <cell r="AA729">
            <v>0</v>
          </cell>
          <cell r="AB729">
            <v>0</v>
          </cell>
          <cell r="AC729">
            <v>0</v>
          </cell>
          <cell r="AD729">
            <v>0</v>
          </cell>
          <cell r="AE729">
            <v>0</v>
          </cell>
          <cell r="AF729">
            <v>0</v>
          </cell>
          <cell r="AG729">
            <v>0</v>
          </cell>
          <cell r="AH729">
            <v>1</v>
          </cell>
          <cell r="AI729">
            <v>4</v>
          </cell>
          <cell r="AK729">
            <v>1</v>
          </cell>
          <cell r="AL729">
            <v>0</v>
          </cell>
          <cell r="AN729">
            <v>1382.46</v>
          </cell>
          <cell r="AO729">
            <v>1</v>
          </cell>
          <cell r="AQ729">
            <v>0</v>
          </cell>
          <cell r="AR729">
            <v>15</v>
          </cell>
          <cell r="AS729">
            <v>3</v>
          </cell>
          <cell r="AT729">
            <v>4</v>
          </cell>
          <cell r="AU729">
            <v>0</v>
          </cell>
          <cell r="AV729">
            <v>0</v>
          </cell>
          <cell r="AW729">
            <v>1</v>
          </cell>
          <cell r="AX729">
            <v>2</v>
          </cell>
          <cell r="AY729">
            <v>3</v>
          </cell>
          <cell r="AZ729">
            <v>0</v>
          </cell>
          <cell r="BA729">
            <v>0</v>
          </cell>
          <cell r="BB729">
            <v>0</v>
          </cell>
          <cell r="BC729">
            <v>0</v>
          </cell>
          <cell r="BD729">
            <v>0</v>
          </cell>
          <cell r="BE729">
            <v>0</v>
          </cell>
          <cell r="BF729">
            <v>0</v>
          </cell>
          <cell r="BG729">
            <v>0</v>
          </cell>
          <cell r="BH729">
            <v>1</v>
          </cell>
          <cell r="BI729">
            <v>0</v>
          </cell>
          <cell r="BJ729">
            <v>0</v>
          </cell>
          <cell r="BK729">
            <v>0</v>
          </cell>
          <cell r="BL729">
            <v>1</v>
          </cell>
          <cell r="BM729">
            <v>0</v>
          </cell>
          <cell r="BN729">
            <v>0</v>
          </cell>
          <cell r="BO729">
            <v>0</v>
          </cell>
          <cell r="BP729">
            <v>0</v>
          </cell>
          <cell r="BQ729">
            <v>0</v>
          </cell>
          <cell r="BR729">
            <v>0</v>
          </cell>
          <cell r="BS729">
            <v>0</v>
          </cell>
          <cell r="BT729">
            <v>1</v>
          </cell>
          <cell r="BU729">
            <v>0</v>
          </cell>
        </row>
        <row r="730">
          <cell r="A730">
            <v>54</v>
          </cell>
          <cell r="B730">
            <v>54</v>
          </cell>
          <cell r="D730">
            <v>0</v>
          </cell>
          <cell r="F730">
            <v>0</v>
          </cell>
          <cell r="G730">
            <v>1</v>
          </cell>
          <cell r="I730">
            <v>1</v>
          </cell>
          <cell r="J730">
            <v>0</v>
          </cell>
          <cell r="K730">
            <v>17</v>
          </cell>
          <cell r="L730">
            <v>17</v>
          </cell>
          <cell r="M730">
            <v>3</v>
          </cell>
          <cell r="O730">
            <v>0</v>
          </cell>
          <cell r="P730">
            <v>0</v>
          </cell>
          <cell r="Q730">
            <v>0</v>
          </cell>
          <cell r="R730">
            <v>0</v>
          </cell>
          <cell r="S730">
            <v>1</v>
          </cell>
          <cell r="T730">
            <v>3</v>
          </cell>
          <cell r="V730">
            <v>1</v>
          </cell>
          <cell r="W730">
            <v>56</v>
          </cell>
          <cell r="X730">
            <v>3</v>
          </cell>
          <cell r="Y730">
            <v>3</v>
          </cell>
          <cell r="AA730">
            <v>0</v>
          </cell>
          <cell r="AB730">
            <v>0</v>
          </cell>
          <cell r="AC730">
            <v>0</v>
          </cell>
          <cell r="AD730">
            <v>0</v>
          </cell>
          <cell r="AE730">
            <v>1</v>
          </cell>
          <cell r="AF730">
            <v>1</v>
          </cell>
          <cell r="AG730">
            <v>0</v>
          </cell>
          <cell r="AH730">
            <v>0</v>
          </cell>
          <cell r="AI730">
            <v>3</v>
          </cell>
          <cell r="AK730">
            <v>0</v>
          </cell>
          <cell r="AL730">
            <v>1</v>
          </cell>
          <cell r="AN730">
            <v>10739</v>
          </cell>
          <cell r="AO730">
            <v>8</v>
          </cell>
          <cell r="AQ730">
            <v>0</v>
          </cell>
          <cell r="AR730">
            <v>11</v>
          </cell>
          <cell r="AS730">
            <v>3</v>
          </cell>
          <cell r="AT730">
            <v>3</v>
          </cell>
          <cell r="AU730">
            <v>1</v>
          </cell>
          <cell r="AV730">
            <v>22</v>
          </cell>
          <cell r="AW730">
            <v>22</v>
          </cell>
          <cell r="AX730">
            <v>2</v>
          </cell>
          <cell r="AY730">
            <v>3</v>
          </cell>
          <cell r="AZ730">
            <v>10</v>
          </cell>
          <cell r="BA730">
            <v>10</v>
          </cell>
          <cell r="BB730">
            <v>7</v>
          </cell>
          <cell r="BC730">
            <v>0</v>
          </cell>
          <cell r="BD730">
            <v>0</v>
          </cell>
          <cell r="BE730">
            <v>8</v>
          </cell>
          <cell r="BF730">
            <v>8</v>
          </cell>
          <cell r="BG730">
            <v>24</v>
          </cell>
          <cell r="BH730">
            <v>0</v>
          </cell>
          <cell r="BI730">
            <v>1</v>
          </cell>
          <cell r="BJ730">
            <v>0</v>
          </cell>
          <cell r="BK730">
            <v>0</v>
          </cell>
          <cell r="BL730">
            <v>0</v>
          </cell>
          <cell r="BM730">
            <v>0</v>
          </cell>
          <cell r="BN730">
            <v>1</v>
          </cell>
          <cell r="BO730">
            <v>0</v>
          </cell>
          <cell r="BP730">
            <v>0</v>
          </cell>
          <cell r="BQ730">
            <v>8</v>
          </cell>
          <cell r="BR730">
            <v>0</v>
          </cell>
          <cell r="BS730">
            <v>0</v>
          </cell>
          <cell r="BT730">
            <v>22</v>
          </cell>
          <cell r="BU730">
            <v>0</v>
          </cell>
        </row>
        <row r="731">
          <cell r="A731">
            <v>35</v>
          </cell>
          <cell r="B731">
            <v>35</v>
          </cell>
          <cell r="D731">
            <v>0</v>
          </cell>
          <cell r="F731">
            <v>0</v>
          </cell>
          <cell r="G731">
            <v>1</v>
          </cell>
          <cell r="I731">
            <v>1</v>
          </cell>
          <cell r="J731">
            <v>0</v>
          </cell>
          <cell r="K731">
            <v>25</v>
          </cell>
          <cell r="L731">
            <v>25</v>
          </cell>
          <cell r="M731">
            <v>4</v>
          </cell>
          <cell r="O731">
            <v>0</v>
          </cell>
          <cell r="P731">
            <v>0</v>
          </cell>
          <cell r="Q731">
            <v>1</v>
          </cell>
          <cell r="R731">
            <v>0</v>
          </cell>
          <cell r="S731">
            <v>0</v>
          </cell>
          <cell r="T731">
            <v>3</v>
          </cell>
          <cell r="V731">
            <v>1</v>
          </cell>
          <cell r="W731">
            <v>57</v>
          </cell>
          <cell r="X731">
            <v>3</v>
          </cell>
          <cell r="Y731">
            <v>3</v>
          </cell>
          <cell r="AA731">
            <v>1</v>
          </cell>
          <cell r="AB731">
            <v>0</v>
          </cell>
          <cell r="AC731">
            <v>0</v>
          </cell>
          <cell r="AD731">
            <v>0</v>
          </cell>
          <cell r="AE731">
            <v>0</v>
          </cell>
          <cell r="AF731">
            <v>0</v>
          </cell>
          <cell r="AG731">
            <v>0</v>
          </cell>
          <cell r="AH731">
            <v>0</v>
          </cell>
          <cell r="AI731">
            <v>3</v>
          </cell>
          <cell r="AK731">
            <v>0</v>
          </cell>
          <cell r="AL731">
            <v>0</v>
          </cell>
          <cell r="AN731">
            <v>10388</v>
          </cell>
          <cell r="AO731">
            <v>1</v>
          </cell>
          <cell r="AQ731">
            <v>1</v>
          </cell>
          <cell r="AR731">
            <v>11</v>
          </cell>
          <cell r="AS731">
            <v>3</v>
          </cell>
          <cell r="AT731">
            <v>3</v>
          </cell>
          <cell r="AU731">
            <v>1</v>
          </cell>
          <cell r="AV731">
            <v>16</v>
          </cell>
          <cell r="AW731">
            <v>16</v>
          </cell>
          <cell r="AX731">
            <v>3</v>
          </cell>
          <cell r="AY731">
            <v>2</v>
          </cell>
          <cell r="AZ731">
            <v>16</v>
          </cell>
          <cell r="BA731">
            <v>16</v>
          </cell>
          <cell r="BB731">
            <v>10</v>
          </cell>
          <cell r="BC731">
            <v>10</v>
          </cell>
          <cell r="BD731">
            <v>10</v>
          </cell>
          <cell r="BE731">
            <v>1</v>
          </cell>
          <cell r="BF731">
            <v>1</v>
          </cell>
          <cell r="BG731">
            <v>3</v>
          </cell>
          <cell r="BH731">
            <v>1</v>
          </cell>
          <cell r="BI731">
            <v>0</v>
          </cell>
          <cell r="BJ731">
            <v>0</v>
          </cell>
          <cell r="BK731">
            <v>0</v>
          </cell>
          <cell r="BL731">
            <v>0</v>
          </cell>
          <cell r="BM731">
            <v>1</v>
          </cell>
          <cell r="BN731">
            <v>0</v>
          </cell>
          <cell r="BO731">
            <v>0</v>
          </cell>
          <cell r="BP731">
            <v>0</v>
          </cell>
          <cell r="BQ731">
            <v>1</v>
          </cell>
          <cell r="BR731">
            <v>0</v>
          </cell>
          <cell r="BS731">
            <v>0</v>
          </cell>
          <cell r="BT731">
            <v>16</v>
          </cell>
          <cell r="BU731">
            <v>0</v>
          </cell>
        </row>
        <row r="732">
          <cell r="A732">
            <v>30</v>
          </cell>
          <cell r="B732">
            <v>30</v>
          </cell>
          <cell r="D732">
            <v>0</v>
          </cell>
          <cell r="F732">
            <v>0</v>
          </cell>
          <cell r="G732">
            <v>1</v>
          </cell>
          <cell r="I732">
            <v>1</v>
          </cell>
          <cell r="J732">
            <v>0</v>
          </cell>
          <cell r="K732">
            <v>8</v>
          </cell>
          <cell r="L732">
            <v>8</v>
          </cell>
          <cell r="M732">
            <v>2</v>
          </cell>
          <cell r="O732">
            <v>1</v>
          </cell>
          <cell r="P732">
            <v>0</v>
          </cell>
          <cell r="Q732">
            <v>0</v>
          </cell>
          <cell r="R732">
            <v>0</v>
          </cell>
          <cell r="S732">
            <v>0</v>
          </cell>
          <cell r="T732">
            <v>2</v>
          </cell>
          <cell r="V732">
            <v>1</v>
          </cell>
          <cell r="W732">
            <v>73</v>
          </cell>
          <cell r="X732">
            <v>4</v>
          </cell>
          <cell r="Y732">
            <v>3</v>
          </cell>
          <cell r="AA732">
            <v>0</v>
          </cell>
          <cell r="AB732">
            <v>0</v>
          </cell>
          <cell r="AC732">
            <v>0</v>
          </cell>
          <cell r="AD732">
            <v>0</v>
          </cell>
          <cell r="AE732">
            <v>0</v>
          </cell>
          <cell r="AF732">
            <v>0</v>
          </cell>
          <cell r="AG732">
            <v>0</v>
          </cell>
          <cell r="AH732">
            <v>0</v>
          </cell>
          <cell r="AI732">
            <v>1</v>
          </cell>
          <cell r="AK732">
            <v>0</v>
          </cell>
          <cell r="AL732">
            <v>1</v>
          </cell>
          <cell r="AN732">
            <v>11416</v>
          </cell>
          <cell r="AO732">
            <v>0</v>
          </cell>
          <cell r="AQ732">
            <v>1</v>
          </cell>
          <cell r="AR732">
            <v>12</v>
          </cell>
          <cell r="AS732">
            <v>3</v>
          </cell>
          <cell r="AT732">
            <v>3</v>
          </cell>
          <cell r="AU732">
            <v>3</v>
          </cell>
          <cell r="AV732">
            <v>9</v>
          </cell>
          <cell r="AW732">
            <v>9</v>
          </cell>
          <cell r="AX732">
            <v>4</v>
          </cell>
          <cell r="AY732">
            <v>2</v>
          </cell>
          <cell r="AZ732">
            <v>8</v>
          </cell>
          <cell r="BA732">
            <v>8</v>
          </cell>
          <cell r="BB732">
            <v>7</v>
          </cell>
          <cell r="BC732">
            <v>1</v>
          </cell>
          <cell r="BD732">
            <v>1</v>
          </cell>
          <cell r="BE732">
            <v>7</v>
          </cell>
          <cell r="BF732">
            <v>7</v>
          </cell>
          <cell r="BG732">
            <v>21</v>
          </cell>
          <cell r="BH732">
            <v>0</v>
          </cell>
          <cell r="BI732">
            <v>1</v>
          </cell>
          <cell r="BJ732">
            <v>0</v>
          </cell>
          <cell r="BK732">
            <v>0</v>
          </cell>
          <cell r="BL732">
            <v>0</v>
          </cell>
          <cell r="BM732">
            <v>0</v>
          </cell>
          <cell r="BN732">
            <v>0</v>
          </cell>
          <cell r="BO732">
            <v>1</v>
          </cell>
          <cell r="BP732">
            <v>0</v>
          </cell>
          <cell r="BQ732">
            <v>7</v>
          </cell>
          <cell r="BR732">
            <v>0</v>
          </cell>
          <cell r="BS732">
            <v>0</v>
          </cell>
          <cell r="BT732">
            <v>9</v>
          </cell>
          <cell r="BU732">
            <v>0</v>
          </cell>
        </row>
        <row r="733">
          <cell r="A733">
            <v>20</v>
          </cell>
          <cell r="B733">
            <v>20</v>
          </cell>
          <cell r="D733">
            <v>1</v>
          </cell>
          <cell r="F733">
            <v>0</v>
          </cell>
          <cell r="G733">
            <v>1</v>
          </cell>
          <cell r="I733">
            <v>1</v>
          </cell>
          <cell r="J733">
            <v>0</v>
          </cell>
          <cell r="K733">
            <v>11</v>
          </cell>
          <cell r="L733">
            <v>11</v>
          </cell>
          <cell r="M733">
            <v>3</v>
          </cell>
          <cell r="O733">
            <v>0</v>
          </cell>
          <cell r="P733">
            <v>0</v>
          </cell>
          <cell r="Q733">
            <v>1</v>
          </cell>
          <cell r="R733">
            <v>0</v>
          </cell>
          <cell r="S733">
            <v>0</v>
          </cell>
          <cell r="T733">
            <v>4</v>
          </cell>
          <cell r="V733">
            <v>1</v>
          </cell>
          <cell r="W733">
            <v>98</v>
          </cell>
          <cell r="X733">
            <v>2</v>
          </cell>
          <cell r="Y733">
            <v>1</v>
          </cell>
          <cell r="AA733">
            <v>0</v>
          </cell>
          <cell r="AB733">
            <v>0</v>
          </cell>
          <cell r="AC733">
            <v>0</v>
          </cell>
          <cell r="AD733">
            <v>0</v>
          </cell>
          <cell r="AE733">
            <v>0</v>
          </cell>
          <cell r="AF733">
            <v>0</v>
          </cell>
          <cell r="AG733">
            <v>0</v>
          </cell>
          <cell r="AH733">
            <v>1</v>
          </cell>
          <cell r="AI733">
            <v>1</v>
          </cell>
          <cell r="AK733">
            <v>1</v>
          </cell>
          <cell r="AL733">
            <v>0</v>
          </cell>
          <cell r="AN733">
            <v>2600</v>
          </cell>
          <cell r="AO733">
            <v>1</v>
          </cell>
          <cell r="AQ733">
            <v>1</v>
          </cell>
          <cell r="AR733">
            <v>15</v>
          </cell>
          <cell r="AS733">
            <v>3</v>
          </cell>
          <cell r="AT733">
            <v>1</v>
          </cell>
          <cell r="AU733">
            <v>0</v>
          </cell>
          <cell r="AV733">
            <v>1</v>
          </cell>
          <cell r="AW733">
            <v>1</v>
          </cell>
          <cell r="AX733">
            <v>2</v>
          </cell>
          <cell r="AY733">
            <v>3</v>
          </cell>
          <cell r="AZ733">
            <v>1</v>
          </cell>
          <cell r="BA733">
            <v>1</v>
          </cell>
          <cell r="BB733">
            <v>0</v>
          </cell>
          <cell r="BC733">
            <v>0</v>
          </cell>
          <cell r="BD733">
            <v>0</v>
          </cell>
          <cell r="BE733">
            <v>0</v>
          </cell>
          <cell r="BF733">
            <v>0</v>
          </cell>
          <cell r="BG733">
            <v>0</v>
          </cell>
          <cell r="BH733">
            <v>1</v>
          </cell>
          <cell r="BI733">
            <v>0</v>
          </cell>
          <cell r="BJ733">
            <v>0</v>
          </cell>
          <cell r="BK733">
            <v>0</v>
          </cell>
          <cell r="BL733">
            <v>0</v>
          </cell>
          <cell r="BM733">
            <v>1</v>
          </cell>
          <cell r="BN733">
            <v>0</v>
          </cell>
          <cell r="BO733">
            <v>0</v>
          </cell>
          <cell r="BP733">
            <v>0</v>
          </cell>
          <cell r="BQ733">
            <v>0</v>
          </cell>
          <cell r="BR733">
            <v>0</v>
          </cell>
          <cell r="BS733">
            <v>0</v>
          </cell>
          <cell r="BT733">
            <v>1</v>
          </cell>
          <cell r="BU733">
            <v>0</v>
          </cell>
        </row>
        <row r="734">
          <cell r="A734">
            <v>30</v>
          </cell>
          <cell r="B734">
            <v>30</v>
          </cell>
          <cell r="D734">
            <v>1</v>
          </cell>
          <cell r="F734">
            <v>1</v>
          </cell>
          <cell r="G734">
            <v>0</v>
          </cell>
          <cell r="I734">
            <v>1</v>
          </cell>
          <cell r="J734">
            <v>0</v>
          </cell>
          <cell r="K734">
            <v>5</v>
          </cell>
          <cell r="L734">
            <v>5</v>
          </cell>
          <cell r="M734">
            <v>3</v>
          </cell>
          <cell r="O734">
            <v>0</v>
          </cell>
          <cell r="P734">
            <v>0</v>
          </cell>
          <cell r="Q734">
            <v>1</v>
          </cell>
          <cell r="R734">
            <v>0</v>
          </cell>
          <cell r="S734">
            <v>0</v>
          </cell>
          <cell r="T734">
            <v>2</v>
          </cell>
          <cell r="V734">
            <v>1</v>
          </cell>
          <cell r="W734">
            <v>60</v>
          </cell>
          <cell r="X734">
            <v>3</v>
          </cell>
          <cell r="Y734">
            <v>1</v>
          </cell>
          <cell r="AA734">
            <v>0</v>
          </cell>
          <cell r="AB734">
            <v>0</v>
          </cell>
          <cell r="AC734">
            <v>1</v>
          </cell>
          <cell r="AD734">
            <v>0</v>
          </cell>
          <cell r="AE734">
            <v>0</v>
          </cell>
          <cell r="AF734">
            <v>0</v>
          </cell>
          <cell r="AG734">
            <v>0</v>
          </cell>
          <cell r="AH734">
            <v>0</v>
          </cell>
          <cell r="AI734">
            <v>2</v>
          </cell>
          <cell r="AK734">
            <v>1</v>
          </cell>
          <cell r="AL734">
            <v>0</v>
          </cell>
          <cell r="AN734">
            <v>2422</v>
          </cell>
          <cell r="AO734">
            <v>0</v>
          </cell>
          <cell r="AQ734">
            <v>0</v>
          </cell>
          <cell r="AR734">
            <v>17</v>
          </cell>
          <cell r="AS734">
            <v>3</v>
          </cell>
          <cell r="AT734">
            <v>1</v>
          </cell>
          <cell r="AU734">
            <v>0</v>
          </cell>
          <cell r="AV734">
            <v>4</v>
          </cell>
          <cell r="AW734">
            <v>4</v>
          </cell>
          <cell r="AX734">
            <v>3</v>
          </cell>
          <cell r="AY734">
            <v>3</v>
          </cell>
          <cell r="AZ734">
            <v>3</v>
          </cell>
          <cell r="BA734">
            <v>3</v>
          </cell>
          <cell r="BB734">
            <v>2</v>
          </cell>
          <cell r="BC734">
            <v>1</v>
          </cell>
          <cell r="BD734">
            <v>1</v>
          </cell>
          <cell r="BE734">
            <v>2</v>
          </cell>
          <cell r="BF734">
            <v>2</v>
          </cell>
          <cell r="BG734">
            <v>2</v>
          </cell>
          <cell r="BH734">
            <v>0</v>
          </cell>
          <cell r="BI734">
            <v>0</v>
          </cell>
          <cell r="BJ734">
            <v>1</v>
          </cell>
          <cell r="BK734">
            <v>0</v>
          </cell>
          <cell r="BL734">
            <v>1</v>
          </cell>
          <cell r="BM734">
            <v>0</v>
          </cell>
          <cell r="BN734">
            <v>0</v>
          </cell>
          <cell r="BO734">
            <v>0</v>
          </cell>
          <cell r="BP734">
            <v>0</v>
          </cell>
          <cell r="BQ734">
            <v>2</v>
          </cell>
          <cell r="BR734">
            <v>0</v>
          </cell>
          <cell r="BS734">
            <v>0</v>
          </cell>
          <cell r="BT734">
            <v>4</v>
          </cell>
          <cell r="BU734">
            <v>0</v>
          </cell>
        </row>
        <row r="735">
          <cell r="A735">
            <v>26</v>
          </cell>
          <cell r="B735">
            <v>26</v>
          </cell>
          <cell r="D735">
            <v>0</v>
          </cell>
          <cell r="F735">
            <v>0</v>
          </cell>
          <cell r="G735">
            <v>1</v>
          </cell>
          <cell r="I735">
            <v>1</v>
          </cell>
          <cell r="J735">
            <v>0</v>
          </cell>
          <cell r="K735">
            <v>2</v>
          </cell>
          <cell r="L735">
            <v>2</v>
          </cell>
          <cell r="M735">
            <v>2</v>
          </cell>
          <cell r="O735">
            <v>0</v>
          </cell>
          <cell r="P735">
            <v>0</v>
          </cell>
          <cell r="Q735">
            <v>1</v>
          </cell>
          <cell r="R735">
            <v>0</v>
          </cell>
          <cell r="S735">
            <v>0</v>
          </cell>
          <cell r="T735">
            <v>4</v>
          </cell>
          <cell r="V735">
            <v>0</v>
          </cell>
          <cell r="W735">
            <v>32</v>
          </cell>
          <cell r="X735">
            <v>4</v>
          </cell>
          <cell r="Y735">
            <v>2</v>
          </cell>
          <cell r="AA735">
            <v>0</v>
          </cell>
          <cell r="AB735">
            <v>0</v>
          </cell>
          <cell r="AC735">
            <v>0</v>
          </cell>
          <cell r="AD735">
            <v>0</v>
          </cell>
          <cell r="AE735">
            <v>1</v>
          </cell>
          <cell r="AF735">
            <v>1</v>
          </cell>
          <cell r="AG735">
            <v>0</v>
          </cell>
          <cell r="AH735">
            <v>0</v>
          </cell>
          <cell r="AI735">
            <v>4</v>
          </cell>
          <cell r="AK735">
            <v>0</v>
          </cell>
          <cell r="AL735">
            <v>1</v>
          </cell>
          <cell r="AN735">
            <v>5472</v>
          </cell>
          <cell r="AO735">
            <v>1</v>
          </cell>
          <cell r="AQ735">
            <v>0</v>
          </cell>
          <cell r="AR735">
            <v>12</v>
          </cell>
          <cell r="AS735">
            <v>3</v>
          </cell>
          <cell r="AT735">
            <v>2</v>
          </cell>
          <cell r="AU735">
            <v>0</v>
          </cell>
          <cell r="AV735">
            <v>8</v>
          </cell>
          <cell r="AW735">
            <v>8</v>
          </cell>
          <cell r="AX735">
            <v>2</v>
          </cell>
          <cell r="AY735">
            <v>3</v>
          </cell>
          <cell r="AZ735">
            <v>8</v>
          </cell>
          <cell r="BA735">
            <v>8</v>
          </cell>
          <cell r="BB735">
            <v>7</v>
          </cell>
          <cell r="BC735">
            <v>1</v>
          </cell>
          <cell r="BD735">
            <v>1</v>
          </cell>
          <cell r="BE735">
            <v>3</v>
          </cell>
          <cell r="BF735">
            <v>3</v>
          </cell>
          <cell r="BG735">
            <v>6</v>
          </cell>
          <cell r="BH735">
            <v>0</v>
          </cell>
          <cell r="BI735">
            <v>1</v>
          </cell>
          <cell r="BJ735">
            <v>0</v>
          </cell>
          <cell r="BK735">
            <v>0</v>
          </cell>
          <cell r="BL735">
            <v>0</v>
          </cell>
          <cell r="BM735">
            <v>0</v>
          </cell>
          <cell r="BN735">
            <v>1</v>
          </cell>
          <cell r="BO735">
            <v>0</v>
          </cell>
          <cell r="BP735">
            <v>0</v>
          </cell>
          <cell r="BQ735">
            <v>3</v>
          </cell>
          <cell r="BR735">
            <v>0</v>
          </cell>
          <cell r="BS735">
            <v>0</v>
          </cell>
          <cell r="BT735">
            <v>8</v>
          </cell>
          <cell r="BU735">
            <v>0</v>
          </cell>
        </row>
        <row r="736">
          <cell r="A736">
            <v>22</v>
          </cell>
          <cell r="B736">
            <v>22</v>
          </cell>
          <cell r="D736">
            <v>0</v>
          </cell>
          <cell r="F736">
            <v>0</v>
          </cell>
          <cell r="G736">
            <v>1</v>
          </cell>
          <cell r="I736">
            <v>1</v>
          </cell>
          <cell r="J736">
            <v>0</v>
          </cell>
          <cell r="K736">
            <v>8</v>
          </cell>
          <cell r="L736">
            <v>8</v>
          </cell>
          <cell r="M736">
            <v>1</v>
          </cell>
          <cell r="O736">
            <v>1</v>
          </cell>
          <cell r="P736">
            <v>0</v>
          </cell>
          <cell r="Q736">
            <v>0</v>
          </cell>
          <cell r="R736">
            <v>0</v>
          </cell>
          <cell r="S736">
            <v>0</v>
          </cell>
          <cell r="T736">
            <v>2</v>
          </cell>
          <cell r="V736">
            <v>0</v>
          </cell>
          <cell r="W736">
            <v>94</v>
          </cell>
          <cell r="X736">
            <v>1</v>
          </cell>
          <cell r="Y736">
            <v>1</v>
          </cell>
          <cell r="AA736">
            <v>0</v>
          </cell>
          <cell r="AB736">
            <v>0</v>
          </cell>
          <cell r="AC736">
            <v>1</v>
          </cell>
          <cell r="AD736">
            <v>0</v>
          </cell>
          <cell r="AE736">
            <v>0</v>
          </cell>
          <cell r="AF736">
            <v>0</v>
          </cell>
          <cell r="AG736">
            <v>0</v>
          </cell>
          <cell r="AH736">
            <v>0</v>
          </cell>
          <cell r="AI736">
            <v>1</v>
          </cell>
          <cell r="AK736">
            <v>0</v>
          </cell>
          <cell r="AL736">
            <v>1</v>
          </cell>
          <cell r="AN736">
            <v>2451</v>
          </cell>
          <cell r="AO736">
            <v>1</v>
          </cell>
          <cell r="AQ736">
            <v>0</v>
          </cell>
          <cell r="AR736">
            <v>15</v>
          </cell>
          <cell r="AS736">
            <v>3</v>
          </cell>
          <cell r="AT736">
            <v>1</v>
          </cell>
          <cell r="AU736">
            <v>1</v>
          </cell>
          <cell r="AV736">
            <v>4</v>
          </cell>
          <cell r="AW736">
            <v>4</v>
          </cell>
          <cell r="AX736">
            <v>3</v>
          </cell>
          <cell r="AY736">
            <v>2</v>
          </cell>
          <cell r="AZ736">
            <v>4</v>
          </cell>
          <cell r="BA736">
            <v>4</v>
          </cell>
          <cell r="BB736">
            <v>3</v>
          </cell>
          <cell r="BC736">
            <v>1</v>
          </cell>
          <cell r="BD736">
            <v>1</v>
          </cell>
          <cell r="BE736">
            <v>1</v>
          </cell>
          <cell r="BF736">
            <v>1</v>
          </cell>
          <cell r="BG736">
            <v>1</v>
          </cell>
          <cell r="BH736">
            <v>0</v>
          </cell>
          <cell r="BI736">
            <v>1</v>
          </cell>
          <cell r="BJ736">
            <v>0</v>
          </cell>
          <cell r="BK736">
            <v>0</v>
          </cell>
          <cell r="BL736">
            <v>0</v>
          </cell>
          <cell r="BM736">
            <v>0</v>
          </cell>
          <cell r="BN736">
            <v>1</v>
          </cell>
          <cell r="BO736">
            <v>0</v>
          </cell>
          <cell r="BP736">
            <v>0</v>
          </cell>
          <cell r="BQ736">
            <v>1</v>
          </cell>
          <cell r="BR736">
            <v>0</v>
          </cell>
          <cell r="BS736">
            <v>0</v>
          </cell>
          <cell r="BT736">
            <v>4</v>
          </cell>
          <cell r="BU736">
            <v>0</v>
          </cell>
        </row>
        <row r="737">
          <cell r="A737">
            <v>48</v>
          </cell>
          <cell r="B737">
            <v>48</v>
          </cell>
          <cell r="D737">
            <v>0</v>
          </cell>
          <cell r="F737">
            <v>0</v>
          </cell>
          <cell r="G737">
            <v>1</v>
          </cell>
          <cell r="I737">
            <v>1</v>
          </cell>
          <cell r="J737">
            <v>0</v>
          </cell>
          <cell r="K737">
            <v>6</v>
          </cell>
          <cell r="L737">
            <v>6</v>
          </cell>
          <cell r="M737">
            <v>3</v>
          </cell>
          <cell r="O737">
            <v>1</v>
          </cell>
          <cell r="P737">
            <v>0</v>
          </cell>
          <cell r="Q737">
            <v>0</v>
          </cell>
          <cell r="R737">
            <v>0</v>
          </cell>
          <cell r="S737">
            <v>0</v>
          </cell>
          <cell r="T737">
            <v>1</v>
          </cell>
          <cell r="V737">
            <v>0</v>
          </cell>
          <cell r="W737">
            <v>97</v>
          </cell>
          <cell r="X737">
            <v>2</v>
          </cell>
          <cell r="Y737">
            <v>2</v>
          </cell>
          <cell r="AA737">
            <v>1</v>
          </cell>
          <cell r="AB737">
            <v>0</v>
          </cell>
          <cell r="AC737">
            <v>0</v>
          </cell>
          <cell r="AD737">
            <v>0</v>
          </cell>
          <cell r="AE737">
            <v>0</v>
          </cell>
          <cell r="AF737">
            <v>0</v>
          </cell>
          <cell r="AG737">
            <v>0</v>
          </cell>
          <cell r="AH737">
            <v>0</v>
          </cell>
          <cell r="AI737">
            <v>3</v>
          </cell>
          <cell r="AK737">
            <v>1</v>
          </cell>
          <cell r="AL737">
            <v>0</v>
          </cell>
          <cell r="AN737">
            <v>4240</v>
          </cell>
          <cell r="AO737">
            <v>2</v>
          </cell>
          <cell r="AQ737">
            <v>0</v>
          </cell>
          <cell r="AR737">
            <v>13</v>
          </cell>
          <cell r="AS737">
            <v>3</v>
          </cell>
          <cell r="AT737">
            <v>4</v>
          </cell>
          <cell r="AU737">
            <v>0</v>
          </cell>
          <cell r="AV737">
            <v>19</v>
          </cell>
          <cell r="AW737">
            <v>19</v>
          </cell>
          <cell r="AX737">
            <v>0</v>
          </cell>
          <cell r="AY737">
            <v>3</v>
          </cell>
          <cell r="AZ737">
            <v>2</v>
          </cell>
          <cell r="BA737">
            <v>2</v>
          </cell>
          <cell r="BB737">
            <v>2</v>
          </cell>
          <cell r="BC737">
            <v>2</v>
          </cell>
          <cell r="BD737">
            <v>2</v>
          </cell>
          <cell r="BE737">
            <v>2</v>
          </cell>
          <cell r="BF737">
            <v>2</v>
          </cell>
          <cell r="BG737">
            <v>4</v>
          </cell>
          <cell r="BH737">
            <v>1</v>
          </cell>
          <cell r="BI737">
            <v>0</v>
          </cell>
          <cell r="BJ737">
            <v>0</v>
          </cell>
          <cell r="BK737">
            <v>0</v>
          </cell>
          <cell r="BL737">
            <v>1</v>
          </cell>
          <cell r="BM737">
            <v>0</v>
          </cell>
          <cell r="BN737">
            <v>0</v>
          </cell>
          <cell r="BO737">
            <v>0</v>
          </cell>
          <cell r="BP737">
            <v>0</v>
          </cell>
          <cell r="BQ737">
            <v>2</v>
          </cell>
          <cell r="BR737">
            <v>0</v>
          </cell>
          <cell r="BS737">
            <v>0</v>
          </cell>
          <cell r="BT737">
            <v>19</v>
          </cell>
          <cell r="BU737">
            <v>0</v>
          </cell>
        </row>
        <row r="738">
          <cell r="A738">
            <v>48</v>
          </cell>
          <cell r="B738">
            <v>48</v>
          </cell>
          <cell r="D738">
            <v>0</v>
          </cell>
          <cell r="F738">
            <v>0</v>
          </cell>
          <cell r="G738">
            <v>1</v>
          </cell>
          <cell r="I738">
            <v>1</v>
          </cell>
          <cell r="J738">
            <v>0</v>
          </cell>
          <cell r="K738">
            <v>4</v>
          </cell>
          <cell r="L738">
            <v>4</v>
          </cell>
          <cell r="M738">
            <v>4</v>
          </cell>
          <cell r="O738">
            <v>1</v>
          </cell>
          <cell r="P738">
            <v>0</v>
          </cell>
          <cell r="Q738">
            <v>0</v>
          </cell>
          <cell r="R738">
            <v>0</v>
          </cell>
          <cell r="S738">
            <v>0</v>
          </cell>
          <cell r="T738">
            <v>3</v>
          </cell>
          <cell r="V738">
            <v>0</v>
          </cell>
          <cell r="W738">
            <v>78</v>
          </cell>
          <cell r="X738">
            <v>2</v>
          </cell>
          <cell r="Y738">
            <v>3</v>
          </cell>
          <cell r="AA738">
            <v>1</v>
          </cell>
          <cell r="AB738">
            <v>0</v>
          </cell>
          <cell r="AC738">
            <v>0</v>
          </cell>
          <cell r="AD738">
            <v>0</v>
          </cell>
          <cell r="AE738">
            <v>0</v>
          </cell>
          <cell r="AF738">
            <v>0</v>
          </cell>
          <cell r="AG738">
            <v>0</v>
          </cell>
          <cell r="AH738">
            <v>0</v>
          </cell>
          <cell r="AI738">
            <v>3</v>
          </cell>
          <cell r="AK738">
            <v>1</v>
          </cell>
          <cell r="AL738">
            <v>0</v>
          </cell>
          <cell r="AN738">
            <v>10999</v>
          </cell>
          <cell r="AO738">
            <v>7</v>
          </cell>
          <cell r="AQ738">
            <v>0</v>
          </cell>
          <cell r="AR738">
            <v>14</v>
          </cell>
          <cell r="AS738">
            <v>3</v>
          </cell>
          <cell r="AT738">
            <v>2</v>
          </cell>
          <cell r="AU738">
            <v>0</v>
          </cell>
          <cell r="AV738">
            <v>27</v>
          </cell>
          <cell r="AW738">
            <v>27</v>
          </cell>
          <cell r="AX738">
            <v>3</v>
          </cell>
          <cell r="AY738">
            <v>3</v>
          </cell>
          <cell r="AZ738">
            <v>15</v>
          </cell>
          <cell r="BA738">
            <v>15</v>
          </cell>
          <cell r="BB738">
            <v>11</v>
          </cell>
          <cell r="BC738">
            <v>4</v>
          </cell>
          <cell r="BD738">
            <v>4</v>
          </cell>
          <cell r="BE738">
            <v>8</v>
          </cell>
          <cell r="BF738">
            <v>8</v>
          </cell>
          <cell r="BG738">
            <v>24</v>
          </cell>
          <cell r="BH738">
            <v>1</v>
          </cell>
          <cell r="BI738">
            <v>0</v>
          </cell>
          <cell r="BJ738">
            <v>0</v>
          </cell>
          <cell r="BK738">
            <v>0</v>
          </cell>
          <cell r="BL738">
            <v>1</v>
          </cell>
          <cell r="BM738">
            <v>0</v>
          </cell>
          <cell r="BN738">
            <v>0</v>
          </cell>
          <cell r="BO738">
            <v>0</v>
          </cell>
          <cell r="BP738">
            <v>0</v>
          </cell>
          <cell r="BQ738">
            <v>8</v>
          </cell>
          <cell r="BR738">
            <v>0</v>
          </cell>
          <cell r="BS738">
            <v>0</v>
          </cell>
          <cell r="BT738">
            <v>27</v>
          </cell>
          <cell r="BU738">
            <v>0</v>
          </cell>
        </row>
        <row r="739">
          <cell r="A739">
            <v>41</v>
          </cell>
          <cell r="B739">
            <v>41</v>
          </cell>
          <cell r="D739">
            <v>0</v>
          </cell>
          <cell r="F739">
            <v>0</v>
          </cell>
          <cell r="G739">
            <v>1</v>
          </cell>
          <cell r="I739">
            <v>1</v>
          </cell>
          <cell r="J739">
            <v>0</v>
          </cell>
          <cell r="K739">
            <v>7</v>
          </cell>
          <cell r="L739">
            <v>7</v>
          </cell>
          <cell r="M739">
            <v>2</v>
          </cell>
          <cell r="O739">
            <v>0</v>
          </cell>
          <cell r="P739">
            <v>0</v>
          </cell>
          <cell r="Q739">
            <v>1</v>
          </cell>
          <cell r="R739">
            <v>0</v>
          </cell>
          <cell r="S739">
            <v>0</v>
          </cell>
          <cell r="T739">
            <v>4</v>
          </cell>
          <cell r="V739">
            <v>1</v>
          </cell>
          <cell r="W739">
            <v>42</v>
          </cell>
          <cell r="X739">
            <v>3</v>
          </cell>
          <cell r="Y739">
            <v>2</v>
          </cell>
          <cell r="AA739">
            <v>0</v>
          </cell>
          <cell r="AB739">
            <v>0</v>
          </cell>
          <cell r="AC739">
            <v>0</v>
          </cell>
          <cell r="AD739">
            <v>0</v>
          </cell>
          <cell r="AE739">
            <v>1</v>
          </cell>
          <cell r="AF739">
            <v>1</v>
          </cell>
          <cell r="AG739">
            <v>0</v>
          </cell>
          <cell r="AH739">
            <v>0</v>
          </cell>
          <cell r="AI739">
            <v>3</v>
          </cell>
          <cell r="AK739">
            <v>1</v>
          </cell>
          <cell r="AL739">
            <v>0</v>
          </cell>
          <cell r="AN739">
            <v>5003</v>
          </cell>
          <cell r="AO739">
            <v>6</v>
          </cell>
          <cell r="AQ739">
            <v>0</v>
          </cell>
          <cell r="AR739">
            <v>14</v>
          </cell>
          <cell r="AS739">
            <v>3</v>
          </cell>
          <cell r="AT739">
            <v>2</v>
          </cell>
          <cell r="AU739">
            <v>0</v>
          </cell>
          <cell r="AV739">
            <v>8</v>
          </cell>
          <cell r="AW739">
            <v>8</v>
          </cell>
          <cell r="AX739">
            <v>6</v>
          </cell>
          <cell r="AY739">
            <v>3</v>
          </cell>
          <cell r="AZ739">
            <v>2</v>
          </cell>
          <cell r="BA739">
            <v>2</v>
          </cell>
          <cell r="BB739">
            <v>2</v>
          </cell>
          <cell r="BC739">
            <v>2</v>
          </cell>
          <cell r="BD739">
            <v>2</v>
          </cell>
          <cell r="BE739">
            <v>1</v>
          </cell>
          <cell r="BF739">
            <v>1</v>
          </cell>
          <cell r="BG739">
            <v>2</v>
          </cell>
          <cell r="BH739">
            <v>1</v>
          </cell>
          <cell r="BI739">
            <v>0</v>
          </cell>
          <cell r="BJ739">
            <v>0</v>
          </cell>
          <cell r="BK739">
            <v>0</v>
          </cell>
          <cell r="BL739">
            <v>1</v>
          </cell>
          <cell r="BM739">
            <v>0</v>
          </cell>
          <cell r="BN739">
            <v>0</v>
          </cell>
          <cell r="BO739">
            <v>0</v>
          </cell>
          <cell r="BP739">
            <v>0</v>
          </cell>
          <cell r="BQ739">
            <v>1</v>
          </cell>
          <cell r="BR739">
            <v>0</v>
          </cell>
          <cell r="BS739">
            <v>0</v>
          </cell>
          <cell r="BT739">
            <v>8</v>
          </cell>
          <cell r="BU739">
            <v>0</v>
          </cell>
        </row>
        <row r="740">
          <cell r="A740">
            <v>39</v>
          </cell>
          <cell r="B740">
            <v>39</v>
          </cell>
          <cell r="D740">
            <v>0</v>
          </cell>
          <cell r="F740">
            <v>0</v>
          </cell>
          <cell r="G740">
            <v>1</v>
          </cell>
          <cell r="I740">
            <v>1</v>
          </cell>
          <cell r="J740">
            <v>0</v>
          </cell>
          <cell r="K740">
            <v>1</v>
          </cell>
          <cell r="L740">
            <v>1</v>
          </cell>
          <cell r="M740">
            <v>1</v>
          </cell>
          <cell r="O740">
            <v>1</v>
          </cell>
          <cell r="P740">
            <v>0</v>
          </cell>
          <cell r="Q740">
            <v>0</v>
          </cell>
          <cell r="R740">
            <v>0</v>
          </cell>
          <cell r="S740">
            <v>0</v>
          </cell>
          <cell r="T740">
            <v>4</v>
          </cell>
          <cell r="V740">
            <v>1</v>
          </cell>
          <cell r="W740">
            <v>65</v>
          </cell>
          <cell r="X740">
            <v>2</v>
          </cell>
          <cell r="Y740">
            <v>4</v>
          </cell>
          <cell r="AA740">
            <v>0</v>
          </cell>
          <cell r="AB740">
            <v>0</v>
          </cell>
          <cell r="AC740">
            <v>0</v>
          </cell>
          <cell r="AD740">
            <v>0</v>
          </cell>
          <cell r="AE740">
            <v>1</v>
          </cell>
          <cell r="AF740">
            <v>1</v>
          </cell>
          <cell r="AG740">
            <v>0</v>
          </cell>
          <cell r="AH740">
            <v>0</v>
          </cell>
          <cell r="AI740">
            <v>4</v>
          </cell>
          <cell r="AK740">
            <v>0</v>
          </cell>
          <cell r="AL740">
            <v>1</v>
          </cell>
          <cell r="AN740">
            <v>12742</v>
          </cell>
          <cell r="AO740">
            <v>1</v>
          </cell>
          <cell r="AQ740">
            <v>0</v>
          </cell>
          <cell r="AR740">
            <v>16</v>
          </cell>
          <cell r="AS740">
            <v>3</v>
          </cell>
          <cell r="AT740">
            <v>3</v>
          </cell>
          <cell r="AU740">
            <v>1</v>
          </cell>
          <cell r="AV740">
            <v>21</v>
          </cell>
          <cell r="AW740">
            <v>21</v>
          </cell>
          <cell r="AX740">
            <v>3</v>
          </cell>
          <cell r="AY740">
            <v>3</v>
          </cell>
          <cell r="AZ740">
            <v>21</v>
          </cell>
          <cell r="BA740">
            <v>21</v>
          </cell>
          <cell r="BB740">
            <v>6</v>
          </cell>
          <cell r="BC740">
            <v>11</v>
          </cell>
          <cell r="BD740">
            <v>11</v>
          </cell>
          <cell r="BE740">
            <v>8</v>
          </cell>
          <cell r="BF740">
            <v>8</v>
          </cell>
          <cell r="BG740">
            <v>32</v>
          </cell>
          <cell r="BH740">
            <v>0</v>
          </cell>
          <cell r="BI740">
            <v>1</v>
          </cell>
          <cell r="BJ740">
            <v>0</v>
          </cell>
          <cell r="BK740">
            <v>0</v>
          </cell>
          <cell r="BL740">
            <v>0</v>
          </cell>
          <cell r="BM740">
            <v>0</v>
          </cell>
          <cell r="BN740">
            <v>1</v>
          </cell>
          <cell r="BO740">
            <v>0</v>
          </cell>
          <cell r="BP740">
            <v>0</v>
          </cell>
          <cell r="BQ740">
            <v>8</v>
          </cell>
          <cell r="BR740">
            <v>0</v>
          </cell>
          <cell r="BS740">
            <v>0</v>
          </cell>
          <cell r="BT740">
            <v>21</v>
          </cell>
          <cell r="BU740">
            <v>0</v>
          </cell>
        </row>
        <row r="741">
          <cell r="A741">
            <v>27</v>
          </cell>
          <cell r="B741">
            <v>27</v>
          </cell>
          <cell r="D741">
            <v>0</v>
          </cell>
          <cell r="F741">
            <v>0</v>
          </cell>
          <cell r="G741">
            <v>1</v>
          </cell>
          <cell r="I741">
            <v>1</v>
          </cell>
          <cell r="J741">
            <v>0</v>
          </cell>
          <cell r="K741">
            <v>2</v>
          </cell>
          <cell r="L741">
            <v>2</v>
          </cell>
          <cell r="M741">
            <v>4</v>
          </cell>
          <cell r="O741">
            <v>1</v>
          </cell>
          <cell r="P741">
            <v>0</v>
          </cell>
          <cell r="Q741">
            <v>0</v>
          </cell>
          <cell r="R741">
            <v>0</v>
          </cell>
          <cell r="S741">
            <v>0</v>
          </cell>
          <cell r="T741">
            <v>1</v>
          </cell>
          <cell r="V741">
            <v>1</v>
          </cell>
          <cell r="W741">
            <v>47</v>
          </cell>
          <cell r="X741">
            <v>3</v>
          </cell>
          <cell r="Y741">
            <v>2</v>
          </cell>
          <cell r="AA741">
            <v>0</v>
          </cell>
          <cell r="AB741">
            <v>0</v>
          </cell>
          <cell r="AC741">
            <v>0</v>
          </cell>
          <cell r="AD741">
            <v>0</v>
          </cell>
          <cell r="AE741">
            <v>1</v>
          </cell>
          <cell r="AF741">
            <v>1</v>
          </cell>
          <cell r="AG741">
            <v>0</v>
          </cell>
          <cell r="AH741">
            <v>0</v>
          </cell>
          <cell r="AI741">
            <v>4</v>
          </cell>
          <cell r="AK741">
            <v>0</v>
          </cell>
          <cell r="AL741">
            <v>1</v>
          </cell>
          <cell r="AN741">
            <v>4227</v>
          </cell>
          <cell r="AO741">
            <v>0</v>
          </cell>
          <cell r="AQ741">
            <v>0</v>
          </cell>
          <cell r="AR741">
            <v>18</v>
          </cell>
          <cell r="AS741">
            <v>3</v>
          </cell>
          <cell r="AT741">
            <v>2</v>
          </cell>
          <cell r="AU741">
            <v>1</v>
          </cell>
          <cell r="AV741">
            <v>4</v>
          </cell>
          <cell r="AW741">
            <v>4</v>
          </cell>
          <cell r="AX741">
            <v>2</v>
          </cell>
          <cell r="AY741">
            <v>3</v>
          </cell>
          <cell r="AZ741">
            <v>3</v>
          </cell>
          <cell r="BA741">
            <v>3</v>
          </cell>
          <cell r="BB741">
            <v>2</v>
          </cell>
          <cell r="BC741">
            <v>2</v>
          </cell>
          <cell r="BD741">
            <v>2</v>
          </cell>
          <cell r="BE741">
            <v>2</v>
          </cell>
          <cell r="BF741">
            <v>2</v>
          </cell>
          <cell r="BG741">
            <v>4</v>
          </cell>
          <cell r="BH741">
            <v>0</v>
          </cell>
          <cell r="BI741">
            <v>1</v>
          </cell>
          <cell r="BJ741">
            <v>0</v>
          </cell>
          <cell r="BK741">
            <v>0</v>
          </cell>
          <cell r="BL741">
            <v>0</v>
          </cell>
          <cell r="BM741">
            <v>0</v>
          </cell>
          <cell r="BN741">
            <v>1</v>
          </cell>
          <cell r="BO741">
            <v>0</v>
          </cell>
          <cell r="BP741">
            <v>0</v>
          </cell>
          <cell r="BQ741">
            <v>2</v>
          </cell>
          <cell r="BR741">
            <v>0</v>
          </cell>
          <cell r="BS741">
            <v>0</v>
          </cell>
          <cell r="BT741">
            <v>4</v>
          </cell>
          <cell r="BU741">
            <v>0</v>
          </cell>
        </row>
        <row r="742">
          <cell r="A742">
            <v>35</v>
          </cell>
          <cell r="B742">
            <v>35</v>
          </cell>
          <cell r="D742">
            <v>0</v>
          </cell>
          <cell r="F742">
            <v>0</v>
          </cell>
          <cell r="G742">
            <v>1</v>
          </cell>
          <cell r="I742">
            <v>1</v>
          </cell>
          <cell r="J742">
            <v>0</v>
          </cell>
          <cell r="K742">
            <v>10</v>
          </cell>
          <cell r="L742">
            <v>10</v>
          </cell>
          <cell r="M742">
            <v>3</v>
          </cell>
          <cell r="O742">
            <v>0</v>
          </cell>
          <cell r="P742">
            <v>1</v>
          </cell>
          <cell r="Q742">
            <v>0</v>
          </cell>
          <cell r="R742">
            <v>0</v>
          </cell>
          <cell r="S742">
            <v>0</v>
          </cell>
          <cell r="T742">
            <v>2</v>
          </cell>
          <cell r="V742">
            <v>0</v>
          </cell>
          <cell r="W742">
            <v>45</v>
          </cell>
          <cell r="X742">
            <v>3</v>
          </cell>
          <cell r="Y742">
            <v>1</v>
          </cell>
          <cell r="AA742">
            <v>0</v>
          </cell>
          <cell r="AB742">
            <v>0</v>
          </cell>
          <cell r="AC742">
            <v>1</v>
          </cell>
          <cell r="AD742">
            <v>0</v>
          </cell>
          <cell r="AE742">
            <v>0</v>
          </cell>
          <cell r="AF742">
            <v>0</v>
          </cell>
          <cell r="AG742">
            <v>0</v>
          </cell>
          <cell r="AH742">
            <v>0</v>
          </cell>
          <cell r="AI742">
            <v>4</v>
          </cell>
          <cell r="AK742">
            <v>0</v>
          </cell>
          <cell r="AL742">
            <v>0</v>
          </cell>
          <cell r="AN742">
            <v>3917</v>
          </cell>
          <cell r="AO742">
            <v>1</v>
          </cell>
          <cell r="AQ742">
            <v>0</v>
          </cell>
          <cell r="AR742">
            <v>20</v>
          </cell>
          <cell r="AS742">
            <v>4</v>
          </cell>
          <cell r="AT742">
            <v>1</v>
          </cell>
          <cell r="AU742">
            <v>1</v>
          </cell>
          <cell r="AV742">
            <v>3</v>
          </cell>
          <cell r="AW742">
            <v>3</v>
          </cell>
          <cell r="AX742">
            <v>4</v>
          </cell>
          <cell r="AY742">
            <v>2</v>
          </cell>
          <cell r="AZ742">
            <v>3</v>
          </cell>
          <cell r="BA742">
            <v>3</v>
          </cell>
          <cell r="BB742">
            <v>2</v>
          </cell>
          <cell r="BC742">
            <v>1</v>
          </cell>
          <cell r="BD742">
            <v>1</v>
          </cell>
          <cell r="BE742">
            <v>2</v>
          </cell>
          <cell r="BF742">
            <v>2</v>
          </cell>
          <cell r="BG742">
            <v>2</v>
          </cell>
          <cell r="BH742">
            <v>1</v>
          </cell>
          <cell r="BI742">
            <v>0</v>
          </cell>
          <cell r="BJ742">
            <v>0</v>
          </cell>
          <cell r="BK742">
            <v>0</v>
          </cell>
          <cell r="BL742">
            <v>1</v>
          </cell>
          <cell r="BM742">
            <v>0</v>
          </cell>
          <cell r="BN742">
            <v>0</v>
          </cell>
          <cell r="BO742">
            <v>0</v>
          </cell>
          <cell r="BP742">
            <v>0</v>
          </cell>
          <cell r="BQ742">
            <v>2</v>
          </cell>
          <cell r="BR742">
            <v>0</v>
          </cell>
          <cell r="BS742">
            <v>0</v>
          </cell>
          <cell r="BT742">
            <v>3</v>
          </cell>
          <cell r="BU742">
            <v>0</v>
          </cell>
        </row>
        <row r="743">
          <cell r="A743">
            <v>42</v>
          </cell>
          <cell r="B743">
            <v>42</v>
          </cell>
          <cell r="D743">
            <v>0</v>
          </cell>
          <cell r="F743">
            <v>0</v>
          </cell>
          <cell r="G743">
            <v>1</v>
          </cell>
          <cell r="I743">
            <v>0</v>
          </cell>
          <cell r="J743">
            <v>1</v>
          </cell>
          <cell r="K743">
            <v>5</v>
          </cell>
          <cell r="L743">
            <v>5</v>
          </cell>
          <cell r="M743">
            <v>2</v>
          </cell>
          <cell r="O743">
            <v>0</v>
          </cell>
          <cell r="P743">
            <v>0</v>
          </cell>
          <cell r="Q743">
            <v>0</v>
          </cell>
          <cell r="R743">
            <v>1</v>
          </cell>
          <cell r="S743">
            <v>0</v>
          </cell>
          <cell r="T743">
            <v>4</v>
          </cell>
          <cell r="V743">
            <v>0</v>
          </cell>
          <cell r="W743">
            <v>90</v>
          </cell>
          <cell r="X743">
            <v>3</v>
          </cell>
          <cell r="Y743">
            <v>5</v>
          </cell>
          <cell r="AA743">
            <v>0</v>
          </cell>
          <cell r="AB743">
            <v>0</v>
          </cell>
          <cell r="AC743">
            <v>0</v>
          </cell>
          <cell r="AD743">
            <v>1</v>
          </cell>
          <cell r="AE743">
            <v>0</v>
          </cell>
          <cell r="AF743">
            <v>0</v>
          </cell>
          <cell r="AG743">
            <v>0</v>
          </cell>
          <cell r="AH743">
            <v>0</v>
          </cell>
          <cell r="AI743">
            <v>3</v>
          </cell>
          <cell r="AK743">
            <v>0</v>
          </cell>
          <cell r="AL743">
            <v>1</v>
          </cell>
          <cell r="AN743">
            <v>18303</v>
          </cell>
          <cell r="AO743">
            <v>6</v>
          </cell>
          <cell r="AQ743">
            <v>0</v>
          </cell>
          <cell r="AR743">
            <v>13</v>
          </cell>
          <cell r="AS743">
            <v>3</v>
          </cell>
          <cell r="AT743">
            <v>2</v>
          </cell>
          <cell r="AU743">
            <v>0</v>
          </cell>
          <cell r="AV743">
            <v>21</v>
          </cell>
          <cell r="AW743">
            <v>21</v>
          </cell>
          <cell r="AX743">
            <v>3</v>
          </cell>
          <cell r="AY743">
            <v>4</v>
          </cell>
          <cell r="AZ743">
            <v>1</v>
          </cell>
          <cell r="BA743">
            <v>1</v>
          </cell>
          <cell r="BB743">
            <v>0</v>
          </cell>
          <cell r="BC743">
            <v>0</v>
          </cell>
          <cell r="BD743">
            <v>0</v>
          </cell>
          <cell r="BE743">
            <v>0</v>
          </cell>
          <cell r="BF743">
            <v>0</v>
          </cell>
          <cell r="BG743">
            <v>0</v>
          </cell>
          <cell r="BH743">
            <v>0</v>
          </cell>
          <cell r="BI743">
            <v>1</v>
          </cell>
          <cell r="BJ743">
            <v>0</v>
          </cell>
          <cell r="BK743">
            <v>0</v>
          </cell>
          <cell r="BL743">
            <v>0</v>
          </cell>
          <cell r="BM743">
            <v>0</v>
          </cell>
          <cell r="BN743">
            <v>1</v>
          </cell>
          <cell r="BO743">
            <v>0</v>
          </cell>
          <cell r="BP743">
            <v>0</v>
          </cell>
          <cell r="BQ743">
            <v>0</v>
          </cell>
          <cell r="BR743">
            <v>0</v>
          </cell>
          <cell r="BS743">
            <v>0</v>
          </cell>
          <cell r="BT743">
            <v>0</v>
          </cell>
          <cell r="BU743">
            <v>21</v>
          </cell>
        </row>
        <row r="744">
          <cell r="A744">
            <v>50</v>
          </cell>
          <cell r="B744">
            <v>50</v>
          </cell>
          <cell r="D744">
            <v>0</v>
          </cell>
          <cell r="F744">
            <v>0</v>
          </cell>
          <cell r="G744">
            <v>1</v>
          </cell>
          <cell r="I744">
            <v>1</v>
          </cell>
          <cell r="J744">
            <v>0</v>
          </cell>
          <cell r="K744">
            <v>9</v>
          </cell>
          <cell r="L744">
            <v>9</v>
          </cell>
          <cell r="M744">
            <v>3</v>
          </cell>
          <cell r="O744">
            <v>1</v>
          </cell>
          <cell r="P744">
            <v>0</v>
          </cell>
          <cell r="Q744">
            <v>0</v>
          </cell>
          <cell r="R744">
            <v>0</v>
          </cell>
          <cell r="S744">
            <v>0</v>
          </cell>
          <cell r="T744">
            <v>1</v>
          </cell>
          <cell r="V744">
            <v>0</v>
          </cell>
          <cell r="W744">
            <v>64</v>
          </cell>
          <cell r="X744">
            <v>3</v>
          </cell>
          <cell r="Y744">
            <v>1</v>
          </cell>
          <cell r="AA744">
            <v>0</v>
          </cell>
          <cell r="AB744">
            <v>0</v>
          </cell>
          <cell r="AC744">
            <v>1</v>
          </cell>
          <cell r="AD744">
            <v>0</v>
          </cell>
          <cell r="AE744">
            <v>0</v>
          </cell>
          <cell r="AF744">
            <v>0</v>
          </cell>
          <cell r="AG744">
            <v>0</v>
          </cell>
          <cell r="AH744">
            <v>0</v>
          </cell>
          <cell r="AI744">
            <v>4</v>
          </cell>
          <cell r="AK744">
            <v>0</v>
          </cell>
          <cell r="AL744">
            <v>1</v>
          </cell>
          <cell r="AN744">
            <v>2380</v>
          </cell>
          <cell r="AO744">
            <v>4</v>
          </cell>
          <cell r="AQ744">
            <v>0</v>
          </cell>
          <cell r="AR744">
            <v>18</v>
          </cell>
          <cell r="AS744">
            <v>3</v>
          </cell>
          <cell r="AT744">
            <v>2</v>
          </cell>
          <cell r="AU744">
            <v>0</v>
          </cell>
          <cell r="AV744">
            <v>8</v>
          </cell>
          <cell r="AW744">
            <v>8</v>
          </cell>
          <cell r="AX744">
            <v>5</v>
          </cell>
          <cell r="AY744">
            <v>3</v>
          </cell>
          <cell r="AZ744">
            <v>1</v>
          </cell>
          <cell r="BA744">
            <v>1</v>
          </cell>
          <cell r="BB744">
            <v>0</v>
          </cell>
          <cell r="BC744">
            <v>0</v>
          </cell>
          <cell r="BD744">
            <v>0</v>
          </cell>
          <cell r="BE744">
            <v>0</v>
          </cell>
          <cell r="BF744">
            <v>0</v>
          </cell>
          <cell r="BG744">
            <v>0</v>
          </cell>
          <cell r="BH744">
            <v>0</v>
          </cell>
          <cell r="BI744">
            <v>1</v>
          </cell>
          <cell r="BJ744">
            <v>0</v>
          </cell>
          <cell r="BK744">
            <v>0</v>
          </cell>
          <cell r="BL744">
            <v>0</v>
          </cell>
          <cell r="BM744">
            <v>0</v>
          </cell>
          <cell r="BN744">
            <v>1</v>
          </cell>
          <cell r="BO744">
            <v>0</v>
          </cell>
          <cell r="BP744">
            <v>0</v>
          </cell>
          <cell r="BQ744">
            <v>0</v>
          </cell>
          <cell r="BR744">
            <v>0</v>
          </cell>
          <cell r="BS744">
            <v>0</v>
          </cell>
          <cell r="BT744">
            <v>8</v>
          </cell>
          <cell r="BU744">
            <v>0</v>
          </cell>
        </row>
        <row r="745">
          <cell r="A745">
            <v>59</v>
          </cell>
          <cell r="B745">
            <v>58.309999999999945</v>
          </cell>
          <cell r="D745">
            <v>0</v>
          </cell>
          <cell r="F745">
            <v>0</v>
          </cell>
          <cell r="G745">
            <v>1</v>
          </cell>
          <cell r="I745">
            <v>1</v>
          </cell>
          <cell r="J745">
            <v>0</v>
          </cell>
          <cell r="K745">
            <v>2</v>
          </cell>
          <cell r="L745">
            <v>2</v>
          </cell>
          <cell r="M745">
            <v>3</v>
          </cell>
          <cell r="O745">
            <v>1</v>
          </cell>
          <cell r="P745">
            <v>0</v>
          </cell>
          <cell r="Q745">
            <v>0</v>
          </cell>
          <cell r="R745">
            <v>0</v>
          </cell>
          <cell r="S745">
            <v>0</v>
          </cell>
          <cell r="T745">
            <v>3</v>
          </cell>
          <cell r="V745">
            <v>1</v>
          </cell>
          <cell r="W745">
            <v>69</v>
          </cell>
          <cell r="X745">
            <v>2</v>
          </cell>
          <cell r="Y745">
            <v>4</v>
          </cell>
          <cell r="AA745">
            <v>0</v>
          </cell>
          <cell r="AB745">
            <v>0</v>
          </cell>
          <cell r="AC745">
            <v>0</v>
          </cell>
          <cell r="AD745">
            <v>0</v>
          </cell>
          <cell r="AE745">
            <v>1</v>
          </cell>
          <cell r="AF745">
            <v>1</v>
          </cell>
          <cell r="AG745">
            <v>0</v>
          </cell>
          <cell r="AH745">
            <v>0</v>
          </cell>
          <cell r="AI745">
            <v>4</v>
          </cell>
          <cell r="AK745">
            <v>1</v>
          </cell>
          <cell r="AL745">
            <v>0</v>
          </cell>
          <cell r="AN745">
            <v>13726</v>
          </cell>
          <cell r="AO745">
            <v>3</v>
          </cell>
          <cell r="AQ745">
            <v>1</v>
          </cell>
          <cell r="AR745">
            <v>13</v>
          </cell>
          <cell r="AS745">
            <v>3</v>
          </cell>
          <cell r="AT745">
            <v>1</v>
          </cell>
          <cell r="AU745">
            <v>0</v>
          </cell>
          <cell r="AV745">
            <v>30</v>
          </cell>
          <cell r="AW745">
            <v>30</v>
          </cell>
          <cell r="AX745">
            <v>4</v>
          </cell>
          <cell r="AY745">
            <v>3</v>
          </cell>
          <cell r="AZ745">
            <v>5</v>
          </cell>
          <cell r="BA745">
            <v>5</v>
          </cell>
          <cell r="BB745">
            <v>3</v>
          </cell>
          <cell r="BC745">
            <v>4</v>
          </cell>
          <cell r="BD745">
            <v>4</v>
          </cell>
          <cell r="BE745">
            <v>3</v>
          </cell>
          <cell r="BF745">
            <v>3</v>
          </cell>
          <cell r="BG745">
            <v>12</v>
          </cell>
          <cell r="BH745">
            <v>1</v>
          </cell>
          <cell r="BI745">
            <v>0</v>
          </cell>
          <cell r="BJ745">
            <v>0</v>
          </cell>
          <cell r="BK745">
            <v>0</v>
          </cell>
          <cell r="BL745">
            <v>0</v>
          </cell>
          <cell r="BM745">
            <v>1</v>
          </cell>
          <cell r="BN745">
            <v>0</v>
          </cell>
          <cell r="BO745">
            <v>0</v>
          </cell>
          <cell r="BP745">
            <v>0</v>
          </cell>
          <cell r="BQ745">
            <v>3</v>
          </cell>
          <cell r="BR745">
            <v>0</v>
          </cell>
          <cell r="BS745">
            <v>0</v>
          </cell>
          <cell r="BT745">
            <v>30</v>
          </cell>
          <cell r="BU745">
            <v>0</v>
          </cell>
        </row>
        <row r="746">
          <cell r="A746">
            <v>37</v>
          </cell>
          <cell r="B746">
            <v>37</v>
          </cell>
          <cell r="D746">
            <v>1</v>
          </cell>
          <cell r="F746">
            <v>0</v>
          </cell>
          <cell r="G746">
            <v>1</v>
          </cell>
          <cell r="I746">
            <v>1</v>
          </cell>
          <cell r="J746">
            <v>0</v>
          </cell>
          <cell r="K746">
            <v>11</v>
          </cell>
          <cell r="L746">
            <v>11</v>
          </cell>
          <cell r="M746">
            <v>2</v>
          </cell>
          <cell r="O746">
            <v>0</v>
          </cell>
          <cell r="P746">
            <v>0</v>
          </cell>
          <cell r="Q746">
            <v>1</v>
          </cell>
          <cell r="R746">
            <v>0</v>
          </cell>
          <cell r="S746">
            <v>0</v>
          </cell>
          <cell r="T746">
            <v>1</v>
          </cell>
          <cell r="V746">
            <v>1</v>
          </cell>
          <cell r="W746">
            <v>61</v>
          </cell>
          <cell r="X746">
            <v>1</v>
          </cell>
          <cell r="Y746">
            <v>2</v>
          </cell>
          <cell r="AA746">
            <v>1</v>
          </cell>
          <cell r="AB746">
            <v>0</v>
          </cell>
          <cell r="AC746">
            <v>0</v>
          </cell>
          <cell r="AD746">
            <v>0</v>
          </cell>
          <cell r="AE746">
            <v>0</v>
          </cell>
          <cell r="AF746">
            <v>0</v>
          </cell>
          <cell r="AG746">
            <v>0</v>
          </cell>
          <cell r="AH746">
            <v>0</v>
          </cell>
          <cell r="AI746">
            <v>2</v>
          </cell>
          <cell r="AK746">
            <v>0</v>
          </cell>
          <cell r="AL746">
            <v>1</v>
          </cell>
          <cell r="AN746">
            <v>4777</v>
          </cell>
          <cell r="AO746">
            <v>5</v>
          </cell>
          <cell r="AQ746">
            <v>0</v>
          </cell>
          <cell r="AR746">
            <v>15</v>
          </cell>
          <cell r="AS746">
            <v>3</v>
          </cell>
          <cell r="AT746">
            <v>1</v>
          </cell>
          <cell r="AU746">
            <v>0</v>
          </cell>
          <cell r="AV746">
            <v>15</v>
          </cell>
          <cell r="AW746">
            <v>15</v>
          </cell>
          <cell r="AX746">
            <v>2</v>
          </cell>
          <cell r="AY746">
            <v>1</v>
          </cell>
          <cell r="AZ746">
            <v>1</v>
          </cell>
          <cell r="BA746">
            <v>1</v>
          </cell>
          <cell r="BB746">
            <v>0</v>
          </cell>
          <cell r="BC746">
            <v>0</v>
          </cell>
          <cell r="BD746">
            <v>0</v>
          </cell>
          <cell r="BE746">
            <v>0</v>
          </cell>
          <cell r="BF746">
            <v>0</v>
          </cell>
          <cell r="BG746">
            <v>0</v>
          </cell>
          <cell r="BH746">
            <v>0</v>
          </cell>
          <cell r="BI746">
            <v>1</v>
          </cell>
          <cell r="BJ746">
            <v>0</v>
          </cell>
          <cell r="BK746">
            <v>0</v>
          </cell>
          <cell r="BL746">
            <v>0</v>
          </cell>
          <cell r="BM746">
            <v>0</v>
          </cell>
          <cell r="BN746">
            <v>1</v>
          </cell>
          <cell r="BO746">
            <v>0</v>
          </cell>
          <cell r="BP746">
            <v>0</v>
          </cell>
          <cell r="BQ746">
            <v>0</v>
          </cell>
          <cell r="BR746">
            <v>0</v>
          </cell>
          <cell r="BS746">
            <v>0</v>
          </cell>
          <cell r="BT746">
            <v>15</v>
          </cell>
          <cell r="BU746">
            <v>0</v>
          </cell>
        </row>
        <row r="747">
          <cell r="A747">
            <v>55</v>
          </cell>
          <cell r="B747">
            <v>55</v>
          </cell>
          <cell r="D747">
            <v>0</v>
          </cell>
          <cell r="F747">
            <v>1</v>
          </cell>
          <cell r="G747">
            <v>0</v>
          </cell>
          <cell r="I747">
            <v>1</v>
          </cell>
          <cell r="J747">
            <v>0</v>
          </cell>
          <cell r="K747">
            <v>18</v>
          </cell>
          <cell r="L747">
            <v>18</v>
          </cell>
          <cell r="M747">
            <v>4</v>
          </cell>
          <cell r="O747">
            <v>0</v>
          </cell>
          <cell r="P747">
            <v>0</v>
          </cell>
          <cell r="Q747">
            <v>1</v>
          </cell>
          <cell r="R747">
            <v>0</v>
          </cell>
          <cell r="S747">
            <v>0</v>
          </cell>
          <cell r="T747">
            <v>3</v>
          </cell>
          <cell r="V747">
            <v>0</v>
          </cell>
          <cell r="W747">
            <v>62</v>
          </cell>
          <cell r="X747">
            <v>3</v>
          </cell>
          <cell r="Y747">
            <v>2</v>
          </cell>
          <cell r="AA747">
            <v>1</v>
          </cell>
          <cell r="AB747">
            <v>0</v>
          </cell>
          <cell r="AC747">
            <v>0</v>
          </cell>
          <cell r="AD747">
            <v>0</v>
          </cell>
          <cell r="AE747">
            <v>0</v>
          </cell>
          <cell r="AF747">
            <v>0</v>
          </cell>
          <cell r="AG747">
            <v>0</v>
          </cell>
          <cell r="AH747">
            <v>0</v>
          </cell>
          <cell r="AI747">
            <v>2</v>
          </cell>
          <cell r="AK747">
            <v>0</v>
          </cell>
          <cell r="AL747">
            <v>1</v>
          </cell>
          <cell r="AN747">
            <v>6385</v>
          </cell>
          <cell r="AO747">
            <v>3</v>
          </cell>
          <cell r="AQ747">
            <v>1</v>
          </cell>
          <cell r="AR747">
            <v>14</v>
          </cell>
          <cell r="AS747">
            <v>3</v>
          </cell>
          <cell r="AT747">
            <v>4</v>
          </cell>
          <cell r="AU747">
            <v>2</v>
          </cell>
          <cell r="AV747">
            <v>17</v>
          </cell>
          <cell r="AW747">
            <v>17</v>
          </cell>
          <cell r="AX747">
            <v>3</v>
          </cell>
          <cell r="AY747">
            <v>3</v>
          </cell>
          <cell r="AZ747">
            <v>8</v>
          </cell>
          <cell r="BA747">
            <v>8</v>
          </cell>
          <cell r="BB747">
            <v>7</v>
          </cell>
          <cell r="BC747">
            <v>6</v>
          </cell>
          <cell r="BD747">
            <v>6</v>
          </cell>
          <cell r="BE747">
            <v>7</v>
          </cell>
          <cell r="BF747">
            <v>7</v>
          </cell>
          <cell r="BG747">
            <v>14</v>
          </cell>
          <cell r="BH747">
            <v>0</v>
          </cell>
          <cell r="BI747">
            <v>0</v>
          </cell>
          <cell r="BJ747">
            <v>0</v>
          </cell>
          <cell r="BK747">
            <v>1</v>
          </cell>
          <cell r="BL747">
            <v>0</v>
          </cell>
          <cell r="BM747">
            <v>0</v>
          </cell>
          <cell r="BN747">
            <v>0</v>
          </cell>
          <cell r="BO747">
            <v>1</v>
          </cell>
          <cell r="BP747">
            <v>0</v>
          </cell>
          <cell r="BQ747">
            <v>7</v>
          </cell>
          <cell r="BR747">
            <v>0</v>
          </cell>
          <cell r="BS747">
            <v>0</v>
          </cell>
          <cell r="BT747">
            <v>17</v>
          </cell>
          <cell r="BU747">
            <v>0</v>
          </cell>
        </row>
        <row r="748">
          <cell r="A748">
            <v>41</v>
          </cell>
          <cell r="B748">
            <v>41</v>
          </cell>
          <cell r="D748">
            <v>0</v>
          </cell>
          <cell r="F748">
            <v>0</v>
          </cell>
          <cell r="G748">
            <v>0</v>
          </cell>
          <cell r="I748">
            <v>1</v>
          </cell>
          <cell r="J748">
            <v>0</v>
          </cell>
          <cell r="K748">
            <v>7</v>
          </cell>
          <cell r="L748">
            <v>7</v>
          </cell>
          <cell r="M748">
            <v>1</v>
          </cell>
          <cell r="O748">
            <v>1</v>
          </cell>
          <cell r="P748">
            <v>0</v>
          </cell>
          <cell r="Q748">
            <v>0</v>
          </cell>
          <cell r="R748">
            <v>0</v>
          </cell>
          <cell r="S748">
            <v>0</v>
          </cell>
          <cell r="T748">
            <v>2</v>
          </cell>
          <cell r="V748">
            <v>1</v>
          </cell>
          <cell r="W748">
            <v>55</v>
          </cell>
          <cell r="X748">
            <v>1</v>
          </cell>
          <cell r="Y748">
            <v>5</v>
          </cell>
          <cell r="AA748">
            <v>0</v>
          </cell>
          <cell r="AB748">
            <v>0</v>
          </cell>
          <cell r="AC748">
            <v>0</v>
          </cell>
          <cell r="AD748">
            <v>0</v>
          </cell>
          <cell r="AE748">
            <v>0</v>
          </cell>
          <cell r="AF748">
            <v>0</v>
          </cell>
          <cell r="AG748">
            <v>0</v>
          </cell>
          <cell r="AH748">
            <v>0</v>
          </cell>
          <cell r="AI748">
            <v>3</v>
          </cell>
          <cell r="AK748">
            <v>0</v>
          </cell>
          <cell r="AL748">
            <v>0</v>
          </cell>
          <cell r="AN748">
            <v>19626.310000000001</v>
          </cell>
          <cell r="AO748">
            <v>1</v>
          </cell>
          <cell r="AQ748">
            <v>0</v>
          </cell>
          <cell r="AR748">
            <v>22</v>
          </cell>
          <cell r="AS748">
            <v>4</v>
          </cell>
          <cell r="AT748">
            <v>2</v>
          </cell>
          <cell r="AU748">
            <v>2</v>
          </cell>
          <cell r="AV748">
            <v>21</v>
          </cell>
          <cell r="AW748">
            <v>21</v>
          </cell>
          <cell r="AX748">
            <v>3</v>
          </cell>
          <cell r="AY748">
            <v>3</v>
          </cell>
          <cell r="AZ748">
            <v>21</v>
          </cell>
          <cell r="BA748">
            <v>21</v>
          </cell>
          <cell r="BB748">
            <v>16</v>
          </cell>
          <cell r="BC748">
            <v>5</v>
          </cell>
          <cell r="BD748">
            <v>5</v>
          </cell>
          <cell r="BE748">
            <v>10</v>
          </cell>
          <cell r="BF748">
            <v>10</v>
          </cell>
          <cell r="BG748">
            <v>50</v>
          </cell>
          <cell r="BH748">
            <v>1</v>
          </cell>
          <cell r="BI748">
            <v>0</v>
          </cell>
          <cell r="BJ748">
            <v>0</v>
          </cell>
          <cell r="BK748">
            <v>0</v>
          </cell>
          <cell r="BL748">
            <v>1</v>
          </cell>
          <cell r="BM748">
            <v>0</v>
          </cell>
          <cell r="BN748">
            <v>0</v>
          </cell>
          <cell r="BO748">
            <v>0</v>
          </cell>
          <cell r="BP748">
            <v>0</v>
          </cell>
          <cell r="BQ748">
            <v>10</v>
          </cell>
          <cell r="BR748">
            <v>0</v>
          </cell>
          <cell r="BS748">
            <v>0</v>
          </cell>
          <cell r="BT748">
            <v>21</v>
          </cell>
          <cell r="BU748">
            <v>0</v>
          </cell>
        </row>
        <row r="749">
          <cell r="A749">
            <v>38</v>
          </cell>
          <cell r="B749">
            <v>38</v>
          </cell>
          <cell r="D749">
            <v>0</v>
          </cell>
          <cell r="F749">
            <v>0</v>
          </cell>
          <cell r="G749">
            <v>1</v>
          </cell>
          <cell r="I749">
            <v>0</v>
          </cell>
          <cell r="J749">
            <v>1</v>
          </cell>
          <cell r="K749">
            <v>3</v>
          </cell>
          <cell r="L749">
            <v>3</v>
          </cell>
          <cell r="M749">
            <v>4</v>
          </cell>
          <cell r="O749">
            <v>1</v>
          </cell>
          <cell r="P749">
            <v>0</v>
          </cell>
          <cell r="Q749">
            <v>0</v>
          </cell>
          <cell r="R749">
            <v>0</v>
          </cell>
          <cell r="S749">
            <v>0</v>
          </cell>
          <cell r="T749">
            <v>2</v>
          </cell>
          <cell r="V749">
            <v>0</v>
          </cell>
          <cell r="W749">
            <v>42</v>
          </cell>
          <cell r="X749">
            <v>3</v>
          </cell>
          <cell r="Y749">
            <v>2</v>
          </cell>
          <cell r="AA749">
            <v>0</v>
          </cell>
          <cell r="AB749">
            <v>1</v>
          </cell>
          <cell r="AC749">
            <v>0</v>
          </cell>
          <cell r="AD749">
            <v>0</v>
          </cell>
          <cell r="AE749">
            <v>0</v>
          </cell>
          <cell r="AF749">
            <v>0</v>
          </cell>
          <cell r="AG749">
            <v>0</v>
          </cell>
          <cell r="AH749">
            <v>0</v>
          </cell>
          <cell r="AI749">
            <v>4</v>
          </cell>
          <cell r="AK749">
            <v>1</v>
          </cell>
          <cell r="AL749">
            <v>0</v>
          </cell>
          <cell r="AN749">
            <v>6861</v>
          </cell>
          <cell r="AO749">
            <v>8</v>
          </cell>
          <cell r="AQ749">
            <v>1</v>
          </cell>
          <cell r="AR749">
            <v>12</v>
          </cell>
          <cell r="AS749">
            <v>3</v>
          </cell>
          <cell r="AT749">
            <v>3</v>
          </cell>
          <cell r="AU749">
            <v>0</v>
          </cell>
          <cell r="AV749">
            <v>19</v>
          </cell>
          <cell r="AW749">
            <v>19</v>
          </cell>
          <cell r="AX749">
            <v>1</v>
          </cell>
          <cell r="AY749">
            <v>3</v>
          </cell>
          <cell r="AZ749">
            <v>1</v>
          </cell>
          <cell r="BA749">
            <v>1</v>
          </cell>
          <cell r="BB749">
            <v>0</v>
          </cell>
          <cell r="BC749">
            <v>0</v>
          </cell>
          <cell r="BD749">
            <v>0</v>
          </cell>
          <cell r="BE749">
            <v>0</v>
          </cell>
          <cell r="BF749">
            <v>0</v>
          </cell>
          <cell r="BG749">
            <v>0</v>
          </cell>
          <cell r="BH749">
            <v>1</v>
          </cell>
          <cell r="BI749">
            <v>0</v>
          </cell>
          <cell r="BJ749">
            <v>0</v>
          </cell>
          <cell r="BK749">
            <v>0</v>
          </cell>
          <cell r="BL749">
            <v>0</v>
          </cell>
          <cell r="BM749">
            <v>1</v>
          </cell>
          <cell r="BN749">
            <v>0</v>
          </cell>
          <cell r="BO749">
            <v>0</v>
          </cell>
          <cell r="BP749">
            <v>0</v>
          </cell>
          <cell r="BQ749">
            <v>0</v>
          </cell>
          <cell r="BR749">
            <v>0</v>
          </cell>
          <cell r="BS749">
            <v>0</v>
          </cell>
          <cell r="BT749">
            <v>0</v>
          </cell>
          <cell r="BU749">
            <v>19</v>
          </cell>
        </row>
        <row r="750">
          <cell r="A750">
            <v>26</v>
          </cell>
          <cell r="B750">
            <v>26</v>
          </cell>
          <cell r="D750">
            <v>1</v>
          </cell>
          <cell r="F750">
            <v>0</v>
          </cell>
          <cell r="G750">
            <v>0</v>
          </cell>
          <cell r="I750">
            <v>0</v>
          </cell>
          <cell r="J750">
            <v>1</v>
          </cell>
          <cell r="K750">
            <v>29</v>
          </cell>
          <cell r="L750">
            <v>29</v>
          </cell>
          <cell r="M750">
            <v>2</v>
          </cell>
          <cell r="O750">
            <v>0</v>
          </cell>
          <cell r="P750">
            <v>0</v>
          </cell>
          <cell r="Q750">
            <v>1</v>
          </cell>
          <cell r="R750">
            <v>0</v>
          </cell>
          <cell r="S750">
            <v>0</v>
          </cell>
          <cell r="T750">
            <v>2</v>
          </cell>
          <cell r="V750">
            <v>0</v>
          </cell>
          <cell r="W750">
            <v>79</v>
          </cell>
          <cell r="X750">
            <v>1</v>
          </cell>
          <cell r="Y750">
            <v>2</v>
          </cell>
          <cell r="AA750">
            <v>0</v>
          </cell>
          <cell r="AB750">
            <v>1</v>
          </cell>
          <cell r="AC750">
            <v>0</v>
          </cell>
          <cell r="AD750">
            <v>0</v>
          </cell>
          <cell r="AE750">
            <v>0</v>
          </cell>
          <cell r="AF750">
            <v>0</v>
          </cell>
          <cell r="AG750">
            <v>0</v>
          </cell>
          <cell r="AH750">
            <v>0</v>
          </cell>
          <cell r="AI750">
            <v>1</v>
          </cell>
          <cell r="AK750">
            <v>1</v>
          </cell>
          <cell r="AL750">
            <v>0</v>
          </cell>
          <cell r="AN750">
            <v>4969</v>
          </cell>
          <cell r="AO750">
            <v>8</v>
          </cell>
          <cell r="AQ750">
            <v>0</v>
          </cell>
          <cell r="AR750">
            <v>18</v>
          </cell>
          <cell r="AS750">
            <v>3</v>
          </cell>
          <cell r="AT750">
            <v>4</v>
          </cell>
          <cell r="AU750">
            <v>0</v>
          </cell>
          <cell r="AV750">
            <v>7</v>
          </cell>
          <cell r="AW750">
            <v>7</v>
          </cell>
          <cell r="AX750">
            <v>6</v>
          </cell>
          <cell r="AY750">
            <v>3</v>
          </cell>
          <cell r="AZ750">
            <v>2</v>
          </cell>
          <cell r="BA750">
            <v>2</v>
          </cell>
          <cell r="BB750">
            <v>2</v>
          </cell>
          <cell r="BC750">
            <v>2</v>
          </cell>
          <cell r="BD750">
            <v>2</v>
          </cell>
          <cell r="BE750">
            <v>2</v>
          </cell>
          <cell r="BF750">
            <v>2</v>
          </cell>
          <cell r="BG750">
            <v>4</v>
          </cell>
          <cell r="BH750">
            <v>1</v>
          </cell>
          <cell r="BI750">
            <v>0</v>
          </cell>
          <cell r="BJ750">
            <v>0</v>
          </cell>
          <cell r="BK750">
            <v>0</v>
          </cell>
          <cell r="BL750">
            <v>1</v>
          </cell>
          <cell r="BM750">
            <v>0</v>
          </cell>
          <cell r="BN750">
            <v>0</v>
          </cell>
          <cell r="BO750">
            <v>0</v>
          </cell>
          <cell r="BP750">
            <v>0</v>
          </cell>
          <cell r="BQ750">
            <v>0</v>
          </cell>
          <cell r="BR750">
            <v>2</v>
          </cell>
          <cell r="BS750">
            <v>0</v>
          </cell>
          <cell r="BT750">
            <v>0</v>
          </cell>
          <cell r="BU750">
            <v>7</v>
          </cell>
        </row>
        <row r="751">
          <cell r="A751">
            <v>52</v>
          </cell>
          <cell r="B751">
            <v>52</v>
          </cell>
          <cell r="D751">
            <v>1</v>
          </cell>
          <cell r="F751">
            <v>0</v>
          </cell>
          <cell r="G751">
            <v>1</v>
          </cell>
          <cell r="I751">
            <v>0</v>
          </cell>
          <cell r="J751">
            <v>1</v>
          </cell>
          <cell r="K751">
            <v>2</v>
          </cell>
          <cell r="L751">
            <v>2</v>
          </cell>
          <cell r="M751">
            <v>1</v>
          </cell>
          <cell r="O751">
            <v>0</v>
          </cell>
          <cell r="P751">
            <v>0</v>
          </cell>
          <cell r="Q751">
            <v>0</v>
          </cell>
          <cell r="R751">
            <v>1</v>
          </cell>
          <cell r="S751">
            <v>0</v>
          </cell>
          <cell r="T751">
            <v>1</v>
          </cell>
          <cell r="V751">
            <v>1</v>
          </cell>
          <cell r="W751">
            <v>57</v>
          </cell>
          <cell r="X751">
            <v>1</v>
          </cell>
          <cell r="Y751">
            <v>5</v>
          </cell>
          <cell r="AA751">
            <v>0</v>
          </cell>
          <cell r="AB751">
            <v>0</v>
          </cell>
          <cell r="AC751">
            <v>0</v>
          </cell>
          <cell r="AD751">
            <v>1</v>
          </cell>
          <cell r="AE751">
            <v>0</v>
          </cell>
          <cell r="AF751">
            <v>0</v>
          </cell>
          <cell r="AG751">
            <v>0</v>
          </cell>
          <cell r="AH751">
            <v>0</v>
          </cell>
          <cell r="AI751">
            <v>4</v>
          </cell>
          <cell r="AK751">
            <v>0</v>
          </cell>
          <cell r="AL751">
            <v>1</v>
          </cell>
          <cell r="AN751">
            <v>19626.310000000001</v>
          </cell>
          <cell r="AO751">
            <v>1</v>
          </cell>
          <cell r="AQ751">
            <v>0</v>
          </cell>
          <cell r="AR751">
            <v>15</v>
          </cell>
          <cell r="AS751">
            <v>3</v>
          </cell>
          <cell r="AT751">
            <v>4</v>
          </cell>
          <cell r="AU751">
            <v>1</v>
          </cell>
          <cell r="AV751">
            <v>33</v>
          </cell>
          <cell r="AW751">
            <v>33</v>
          </cell>
          <cell r="AX751">
            <v>3</v>
          </cell>
          <cell r="AY751">
            <v>3</v>
          </cell>
          <cell r="AZ751">
            <v>32</v>
          </cell>
          <cell r="BA751">
            <v>31</v>
          </cell>
          <cell r="BB751">
            <v>14</v>
          </cell>
          <cell r="BC751">
            <v>6</v>
          </cell>
          <cell r="BD751">
            <v>6</v>
          </cell>
          <cell r="BE751">
            <v>9</v>
          </cell>
          <cell r="BF751">
            <v>9</v>
          </cell>
          <cell r="BG751">
            <v>45</v>
          </cell>
          <cell r="BH751">
            <v>0</v>
          </cell>
          <cell r="BI751">
            <v>1</v>
          </cell>
          <cell r="BJ751">
            <v>0</v>
          </cell>
          <cell r="BK751">
            <v>0</v>
          </cell>
          <cell r="BL751">
            <v>0</v>
          </cell>
          <cell r="BM751">
            <v>0</v>
          </cell>
          <cell r="BN751">
            <v>1</v>
          </cell>
          <cell r="BO751">
            <v>0</v>
          </cell>
          <cell r="BP751">
            <v>0</v>
          </cell>
          <cell r="BQ751">
            <v>0</v>
          </cell>
          <cell r="BR751">
            <v>9</v>
          </cell>
          <cell r="BS751">
            <v>0</v>
          </cell>
          <cell r="BT751">
            <v>0</v>
          </cell>
          <cell r="BU751">
            <v>33</v>
          </cell>
        </row>
        <row r="752">
          <cell r="A752">
            <v>44</v>
          </cell>
          <cell r="B752">
            <v>44</v>
          </cell>
          <cell r="D752">
            <v>0</v>
          </cell>
          <cell r="F752">
            <v>0</v>
          </cell>
          <cell r="G752">
            <v>1</v>
          </cell>
          <cell r="I752">
            <v>0</v>
          </cell>
          <cell r="J752">
            <v>1</v>
          </cell>
          <cell r="K752">
            <v>28</v>
          </cell>
          <cell r="L752">
            <v>28</v>
          </cell>
          <cell r="M752">
            <v>3</v>
          </cell>
          <cell r="O752">
            <v>0</v>
          </cell>
          <cell r="P752">
            <v>0</v>
          </cell>
          <cell r="Q752">
            <v>1</v>
          </cell>
          <cell r="R752">
            <v>0</v>
          </cell>
          <cell r="S752">
            <v>0</v>
          </cell>
          <cell r="T752">
            <v>4</v>
          </cell>
          <cell r="V752">
            <v>1</v>
          </cell>
          <cell r="W752">
            <v>53</v>
          </cell>
          <cell r="X752">
            <v>4</v>
          </cell>
          <cell r="Y752">
            <v>4</v>
          </cell>
          <cell r="AA752">
            <v>0</v>
          </cell>
          <cell r="AB752">
            <v>1</v>
          </cell>
          <cell r="AC752">
            <v>0</v>
          </cell>
          <cell r="AD752">
            <v>0</v>
          </cell>
          <cell r="AE752">
            <v>0</v>
          </cell>
          <cell r="AF752">
            <v>0</v>
          </cell>
          <cell r="AG752">
            <v>0</v>
          </cell>
          <cell r="AH752">
            <v>0</v>
          </cell>
          <cell r="AI752">
            <v>4</v>
          </cell>
          <cell r="AK752">
            <v>0</v>
          </cell>
          <cell r="AL752">
            <v>1</v>
          </cell>
          <cell r="AN752">
            <v>13320</v>
          </cell>
          <cell r="AO752">
            <v>3</v>
          </cell>
          <cell r="AQ752">
            <v>1</v>
          </cell>
          <cell r="AR752">
            <v>18</v>
          </cell>
          <cell r="AS752">
            <v>3</v>
          </cell>
          <cell r="AT752">
            <v>3</v>
          </cell>
          <cell r="AU752">
            <v>1</v>
          </cell>
          <cell r="AV752">
            <v>23</v>
          </cell>
          <cell r="AW752">
            <v>23</v>
          </cell>
          <cell r="AX752">
            <v>2</v>
          </cell>
          <cell r="AY752">
            <v>3</v>
          </cell>
          <cell r="AZ752">
            <v>12</v>
          </cell>
          <cell r="BA752">
            <v>12</v>
          </cell>
          <cell r="BB752">
            <v>11</v>
          </cell>
          <cell r="BC752">
            <v>11</v>
          </cell>
          <cell r="BD752">
            <v>11</v>
          </cell>
          <cell r="BE752">
            <v>11</v>
          </cell>
          <cell r="BF752">
            <v>11</v>
          </cell>
          <cell r="BG752">
            <v>44</v>
          </cell>
          <cell r="BH752">
            <v>0</v>
          </cell>
          <cell r="BI752">
            <v>1</v>
          </cell>
          <cell r="BJ752">
            <v>0</v>
          </cell>
          <cell r="BK752">
            <v>0</v>
          </cell>
          <cell r="BL752">
            <v>0</v>
          </cell>
          <cell r="BM752">
            <v>0</v>
          </cell>
          <cell r="BN752">
            <v>0</v>
          </cell>
          <cell r="BO752">
            <v>1</v>
          </cell>
          <cell r="BP752">
            <v>0</v>
          </cell>
          <cell r="BQ752">
            <v>0</v>
          </cell>
          <cell r="BR752">
            <v>11</v>
          </cell>
          <cell r="BS752">
            <v>0</v>
          </cell>
          <cell r="BT752">
            <v>0</v>
          </cell>
          <cell r="BU752">
            <v>23</v>
          </cell>
        </row>
        <row r="753">
          <cell r="A753">
            <v>50</v>
          </cell>
          <cell r="B753">
            <v>50</v>
          </cell>
          <cell r="D753">
            <v>0</v>
          </cell>
          <cell r="F753">
            <v>0</v>
          </cell>
          <cell r="G753">
            <v>0</v>
          </cell>
          <cell r="I753">
            <v>0</v>
          </cell>
          <cell r="J753">
            <v>1</v>
          </cell>
          <cell r="K753">
            <v>1</v>
          </cell>
          <cell r="L753">
            <v>1</v>
          </cell>
          <cell r="M753">
            <v>3</v>
          </cell>
          <cell r="O753">
            <v>1</v>
          </cell>
          <cell r="P753">
            <v>0</v>
          </cell>
          <cell r="Q753">
            <v>0</v>
          </cell>
          <cell r="R753">
            <v>0</v>
          </cell>
          <cell r="S753">
            <v>0</v>
          </cell>
          <cell r="T753">
            <v>4</v>
          </cell>
          <cell r="V753">
            <v>1</v>
          </cell>
          <cell r="W753">
            <v>95</v>
          </cell>
          <cell r="X753">
            <v>3</v>
          </cell>
          <cell r="Y753">
            <v>2</v>
          </cell>
          <cell r="AA753">
            <v>0</v>
          </cell>
          <cell r="AB753">
            <v>1</v>
          </cell>
          <cell r="AC753">
            <v>0</v>
          </cell>
          <cell r="AD753">
            <v>0</v>
          </cell>
          <cell r="AE753">
            <v>0</v>
          </cell>
          <cell r="AF753">
            <v>0</v>
          </cell>
          <cell r="AG753">
            <v>0</v>
          </cell>
          <cell r="AH753">
            <v>0</v>
          </cell>
          <cell r="AI753">
            <v>3</v>
          </cell>
          <cell r="AK753">
            <v>0</v>
          </cell>
          <cell r="AL753">
            <v>1</v>
          </cell>
          <cell r="AN753">
            <v>6347</v>
          </cell>
          <cell r="AO753">
            <v>0</v>
          </cell>
          <cell r="AQ753">
            <v>0</v>
          </cell>
          <cell r="AR753">
            <v>12</v>
          </cell>
          <cell r="AS753">
            <v>3</v>
          </cell>
          <cell r="AT753">
            <v>1</v>
          </cell>
          <cell r="AU753">
            <v>1</v>
          </cell>
          <cell r="AV753">
            <v>19</v>
          </cell>
          <cell r="AW753">
            <v>19</v>
          </cell>
          <cell r="AX753">
            <v>3</v>
          </cell>
          <cell r="AY753">
            <v>3</v>
          </cell>
          <cell r="AZ753">
            <v>18</v>
          </cell>
          <cell r="BA753">
            <v>18</v>
          </cell>
          <cell r="BB753">
            <v>7</v>
          </cell>
          <cell r="BC753">
            <v>0</v>
          </cell>
          <cell r="BD753">
            <v>0</v>
          </cell>
          <cell r="BE753">
            <v>13</v>
          </cell>
          <cell r="BF753">
            <v>13</v>
          </cell>
          <cell r="BG753">
            <v>26</v>
          </cell>
          <cell r="BH753">
            <v>0</v>
          </cell>
          <cell r="BI753">
            <v>1</v>
          </cell>
          <cell r="BJ753">
            <v>0</v>
          </cell>
          <cell r="BK753">
            <v>0</v>
          </cell>
          <cell r="BL753">
            <v>0</v>
          </cell>
          <cell r="BM753">
            <v>0</v>
          </cell>
          <cell r="BN753">
            <v>1</v>
          </cell>
          <cell r="BO753">
            <v>0</v>
          </cell>
          <cell r="BP753">
            <v>0</v>
          </cell>
          <cell r="BQ753">
            <v>0</v>
          </cell>
          <cell r="BR753">
            <v>13</v>
          </cell>
          <cell r="BS753">
            <v>0</v>
          </cell>
          <cell r="BT753">
            <v>0</v>
          </cell>
          <cell r="BU753">
            <v>19</v>
          </cell>
        </row>
        <row r="754">
          <cell r="A754">
            <v>36</v>
          </cell>
          <cell r="B754">
            <v>36</v>
          </cell>
          <cell r="D754">
            <v>1</v>
          </cell>
          <cell r="F754">
            <v>0</v>
          </cell>
          <cell r="G754">
            <v>1</v>
          </cell>
          <cell r="I754">
            <v>1</v>
          </cell>
          <cell r="J754">
            <v>0</v>
          </cell>
          <cell r="K754">
            <v>16</v>
          </cell>
          <cell r="L754">
            <v>16</v>
          </cell>
          <cell r="M754">
            <v>4</v>
          </cell>
          <cell r="O754">
            <v>1</v>
          </cell>
          <cell r="P754">
            <v>0</v>
          </cell>
          <cell r="Q754">
            <v>0</v>
          </cell>
          <cell r="R754">
            <v>0</v>
          </cell>
          <cell r="S754">
            <v>0</v>
          </cell>
          <cell r="T754">
            <v>3</v>
          </cell>
          <cell r="V754">
            <v>1</v>
          </cell>
          <cell r="W754">
            <v>43</v>
          </cell>
          <cell r="X754">
            <v>4</v>
          </cell>
          <cell r="Y754">
            <v>1</v>
          </cell>
          <cell r="AA754">
            <v>0</v>
          </cell>
          <cell r="AB754">
            <v>0</v>
          </cell>
          <cell r="AC754">
            <v>1</v>
          </cell>
          <cell r="AD754">
            <v>0</v>
          </cell>
          <cell r="AE754">
            <v>0</v>
          </cell>
          <cell r="AF754">
            <v>0</v>
          </cell>
          <cell r="AG754">
            <v>0</v>
          </cell>
          <cell r="AH754">
            <v>0</v>
          </cell>
          <cell r="AI754">
            <v>1</v>
          </cell>
          <cell r="AK754">
            <v>1</v>
          </cell>
          <cell r="AL754">
            <v>0</v>
          </cell>
          <cell r="AN754">
            <v>2743</v>
          </cell>
          <cell r="AO754">
            <v>1</v>
          </cell>
          <cell r="AQ754">
            <v>0</v>
          </cell>
          <cell r="AR754">
            <v>16</v>
          </cell>
          <cell r="AS754">
            <v>3</v>
          </cell>
          <cell r="AT754">
            <v>3</v>
          </cell>
          <cell r="AU754">
            <v>0</v>
          </cell>
          <cell r="AV754">
            <v>18</v>
          </cell>
          <cell r="AW754">
            <v>18</v>
          </cell>
          <cell r="AX754">
            <v>1</v>
          </cell>
          <cell r="AY754">
            <v>3</v>
          </cell>
          <cell r="AZ754">
            <v>17</v>
          </cell>
          <cell r="BA754">
            <v>17</v>
          </cell>
          <cell r="BB754">
            <v>13</v>
          </cell>
          <cell r="BC754">
            <v>15</v>
          </cell>
          <cell r="BD754">
            <v>14</v>
          </cell>
          <cell r="BE754">
            <v>14</v>
          </cell>
          <cell r="BF754">
            <v>14</v>
          </cell>
          <cell r="BG754">
            <v>14</v>
          </cell>
          <cell r="BH754">
            <v>1</v>
          </cell>
          <cell r="BI754">
            <v>0</v>
          </cell>
          <cell r="BJ754">
            <v>0</v>
          </cell>
          <cell r="BK754">
            <v>0</v>
          </cell>
          <cell r="BL754">
            <v>1</v>
          </cell>
          <cell r="BM754">
            <v>0</v>
          </cell>
          <cell r="BN754">
            <v>0</v>
          </cell>
          <cell r="BO754">
            <v>0</v>
          </cell>
          <cell r="BP754">
            <v>0</v>
          </cell>
          <cell r="BQ754">
            <v>14</v>
          </cell>
          <cell r="BR754">
            <v>0</v>
          </cell>
          <cell r="BS754">
            <v>0</v>
          </cell>
          <cell r="BT754">
            <v>18</v>
          </cell>
          <cell r="BU754">
            <v>0</v>
          </cell>
        </row>
        <row r="755">
          <cell r="A755">
            <v>39</v>
          </cell>
          <cell r="B755">
            <v>39</v>
          </cell>
          <cell r="D755">
            <v>0</v>
          </cell>
          <cell r="F755">
            <v>1</v>
          </cell>
          <cell r="G755">
            <v>0</v>
          </cell>
          <cell r="I755">
            <v>1</v>
          </cell>
          <cell r="J755">
            <v>0</v>
          </cell>
          <cell r="K755">
            <v>22</v>
          </cell>
          <cell r="L755">
            <v>22</v>
          </cell>
          <cell r="M755">
            <v>3</v>
          </cell>
          <cell r="O755">
            <v>0</v>
          </cell>
          <cell r="P755">
            <v>0</v>
          </cell>
          <cell r="Q755">
            <v>1</v>
          </cell>
          <cell r="R755">
            <v>0</v>
          </cell>
          <cell r="S755">
            <v>0</v>
          </cell>
          <cell r="T755">
            <v>4</v>
          </cell>
          <cell r="V755">
            <v>1</v>
          </cell>
          <cell r="W755">
            <v>82</v>
          </cell>
          <cell r="X755">
            <v>3</v>
          </cell>
          <cell r="Y755">
            <v>3</v>
          </cell>
          <cell r="AA755">
            <v>0</v>
          </cell>
          <cell r="AB755">
            <v>0</v>
          </cell>
          <cell r="AC755">
            <v>0</v>
          </cell>
          <cell r="AD755">
            <v>0</v>
          </cell>
          <cell r="AE755">
            <v>1</v>
          </cell>
          <cell r="AF755">
            <v>1</v>
          </cell>
          <cell r="AG755">
            <v>0</v>
          </cell>
          <cell r="AH755">
            <v>0</v>
          </cell>
          <cell r="AI755">
            <v>1</v>
          </cell>
          <cell r="AK755">
            <v>1</v>
          </cell>
          <cell r="AL755">
            <v>0</v>
          </cell>
          <cell r="AN755">
            <v>10880</v>
          </cell>
          <cell r="AO755">
            <v>1</v>
          </cell>
          <cell r="AQ755">
            <v>1</v>
          </cell>
          <cell r="AR755">
            <v>13</v>
          </cell>
          <cell r="AS755">
            <v>3</v>
          </cell>
          <cell r="AT755">
            <v>3</v>
          </cell>
          <cell r="AU755">
            <v>0</v>
          </cell>
          <cell r="AV755">
            <v>21</v>
          </cell>
          <cell r="AW755">
            <v>21</v>
          </cell>
          <cell r="AX755">
            <v>2</v>
          </cell>
          <cell r="AY755">
            <v>3</v>
          </cell>
          <cell r="AZ755">
            <v>21</v>
          </cell>
          <cell r="BA755">
            <v>21</v>
          </cell>
          <cell r="BB755">
            <v>6</v>
          </cell>
          <cell r="BC755">
            <v>2</v>
          </cell>
          <cell r="BD755">
            <v>2</v>
          </cell>
          <cell r="BE755">
            <v>8</v>
          </cell>
          <cell r="BF755">
            <v>8</v>
          </cell>
          <cell r="BG755">
            <v>24</v>
          </cell>
          <cell r="BH755">
            <v>0</v>
          </cell>
          <cell r="BI755">
            <v>0</v>
          </cell>
          <cell r="BJ755">
            <v>1</v>
          </cell>
          <cell r="BK755">
            <v>0</v>
          </cell>
          <cell r="BL755">
            <v>0</v>
          </cell>
          <cell r="BM755">
            <v>1</v>
          </cell>
          <cell r="BN755">
            <v>0</v>
          </cell>
          <cell r="BO755">
            <v>0</v>
          </cell>
          <cell r="BP755">
            <v>0</v>
          </cell>
          <cell r="BQ755">
            <v>8</v>
          </cell>
          <cell r="BR755">
            <v>0</v>
          </cell>
          <cell r="BS755">
            <v>0</v>
          </cell>
          <cell r="BT755">
            <v>21</v>
          </cell>
          <cell r="BU755">
            <v>0</v>
          </cell>
        </row>
        <row r="756">
          <cell r="A756">
            <v>33</v>
          </cell>
          <cell r="B756">
            <v>33</v>
          </cell>
          <cell r="D756">
            <v>0</v>
          </cell>
          <cell r="F756">
            <v>0</v>
          </cell>
          <cell r="G756">
            <v>0</v>
          </cell>
          <cell r="I756">
            <v>0</v>
          </cell>
          <cell r="J756">
            <v>1</v>
          </cell>
          <cell r="K756">
            <v>8</v>
          </cell>
          <cell r="L756">
            <v>8</v>
          </cell>
          <cell r="M756">
            <v>1</v>
          </cell>
          <cell r="O756">
            <v>1</v>
          </cell>
          <cell r="P756">
            <v>0</v>
          </cell>
          <cell r="Q756">
            <v>0</v>
          </cell>
          <cell r="R756">
            <v>0</v>
          </cell>
          <cell r="S756">
            <v>0</v>
          </cell>
          <cell r="T756">
            <v>2</v>
          </cell>
          <cell r="V756">
            <v>1</v>
          </cell>
          <cell r="W756">
            <v>88</v>
          </cell>
          <cell r="X756">
            <v>2</v>
          </cell>
          <cell r="Y756">
            <v>1</v>
          </cell>
          <cell r="AA756">
            <v>0</v>
          </cell>
          <cell r="AB756">
            <v>0</v>
          </cell>
          <cell r="AC756">
            <v>0</v>
          </cell>
          <cell r="AD756">
            <v>0</v>
          </cell>
          <cell r="AE756">
            <v>0</v>
          </cell>
          <cell r="AF756">
            <v>0</v>
          </cell>
          <cell r="AG756">
            <v>1</v>
          </cell>
          <cell r="AH756">
            <v>0</v>
          </cell>
          <cell r="AI756">
            <v>4</v>
          </cell>
          <cell r="AK756">
            <v>1</v>
          </cell>
          <cell r="AL756">
            <v>0</v>
          </cell>
          <cell r="AN756">
            <v>2342</v>
          </cell>
          <cell r="AO756">
            <v>0</v>
          </cell>
          <cell r="AQ756">
            <v>0</v>
          </cell>
          <cell r="AR756">
            <v>19</v>
          </cell>
          <cell r="AS756">
            <v>3</v>
          </cell>
          <cell r="AT756">
            <v>4</v>
          </cell>
          <cell r="AU756">
            <v>0</v>
          </cell>
          <cell r="AV756">
            <v>3</v>
          </cell>
          <cell r="AW756">
            <v>3</v>
          </cell>
          <cell r="AX756">
            <v>2</v>
          </cell>
          <cell r="AY756">
            <v>2</v>
          </cell>
          <cell r="AZ756">
            <v>2</v>
          </cell>
          <cell r="BA756">
            <v>2</v>
          </cell>
          <cell r="BB756">
            <v>2</v>
          </cell>
          <cell r="BC756">
            <v>2</v>
          </cell>
          <cell r="BD756">
            <v>2</v>
          </cell>
          <cell r="BE756">
            <v>2</v>
          </cell>
          <cell r="BF756">
            <v>2</v>
          </cell>
          <cell r="BG756">
            <v>2</v>
          </cell>
          <cell r="BH756">
            <v>1</v>
          </cell>
          <cell r="BI756">
            <v>0</v>
          </cell>
          <cell r="BJ756">
            <v>0</v>
          </cell>
          <cell r="BK756">
            <v>0</v>
          </cell>
          <cell r="BL756">
            <v>1</v>
          </cell>
          <cell r="BM756">
            <v>0</v>
          </cell>
          <cell r="BN756">
            <v>0</v>
          </cell>
          <cell r="BO756">
            <v>0</v>
          </cell>
          <cell r="BP756">
            <v>0</v>
          </cell>
          <cell r="BQ756">
            <v>0</v>
          </cell>
          <cell r="BR756">
            <v>2</v>
          </cell>
          <cell r="BS756">
            <v>0</v>
          </cell>
          <cell r="BT756">
            <v>0</v>
          </cell>
          <cell r="BU756">
            <v>3</v>
          </cell>
        </row>
        <row r="757">
          <cell r="A757">
            <v>45</v>
          </cell>
          <cell r="B757">
            <v>45</v>
          </cell>
          <cell r="D757">
            <v>0</v>
          </cell>
          <cell r="F757">
            <v>0</v>
          </cell>
          <cell r="G757">
            <v>1</v>
          </cell>
          <cell r="I757">
            <v>0</v>
          </cell>
          <cell r="J757">
            <v>1</v>
          </cell>
          <cell r="K757">
            <v>11</v>
          </cell>
          <cell r="L757">
            <v>11</v>
          </cell>
          <cell r="M757">
            <v>2</v>
          </cell>
          <cell r="O757">
            <v>1</v>
          </cell>
          <cell r="P757">
            <v>0</v>
          </cell>
          <cell r="Q757">
            <v>0</v>
          </cell>
          <cell r="R757">
            <v>0</v>
          </cell>
          <cell r="S757">
            <v>0</v>
          </cell>
          <cell r="T757">
            <v>4</v>
          </cell>
          <cell r="V757">
            <v>1</v>
          </cell>
          <cell r="W757">
            <v>90</v>
          </cell>
          <cell r="X757">
            <v>3</v>
          </cell>
          <cell r="Y757">
            <v>4</v>
          </cell>
          <cell r="AA757">
            <v>0</v>
          </cell>
          <cell r="AB757">
            <v>0</v>
          </cell>
          <cell r="AC757">
            <v>0</v>
          </cell>
          <cell r="AD757">
            <v>1</v>
          </cell>
          <cell r="AE757">
            <v>0</v>
          </cell>
          <cell r="AF757">
            <v>0</v>
          </cell>
          <cell r="AG757">
            <v>0</v>
          </cell>
          <cell r="AH757">
            <v>0</v>
          </cell>
          <cell r="AI757">
            <v>4</v>
          </cell>
          <cell r="AK757">
            <v>0</v>
          </cell>
          <cell r="AL757">
            <v>1</v>
          </cell>
          <cell r="AN757">
            <v>17650</v>
          </cell>
          <cell r="AO757">
            <v>3</v>
          </cell>
          <cell r="AQ757">
            <v>0</v>
          </cell>
          <cell r="AR757">
            <v>13</v>
          </cell>
          <cell r="AS757">
            <v>3</v>
          </cell>
          <cell r="AT757">
            <v>2</v>
          </cell>
          <cell r="AU757">
            <v>1</v>
          </cell>
          <cell r="AV757">
            <v>26</v>
          </cell>
          <cell r="AW757">
            <v>26</v>
          </cell>
          <cell r="AX757">
            <v>4</v>
          </cell>
          <cell r="AY757">
            <v>4</v>
          </cell>
          <cell r="AZ757">
            <v>9</v>
          </cell>
          <cell r="BA757">
            <v>9</v>
          </cell>
          <cell r="BB757">
            <v>3</v>
          </cell>
          <cell r="BC757">
            <v>1</v>
          </cell>
          <cell r="BD757">
            <v>1</v>
          </cell>
          <cell r="BE757">
            <v>1</v>
          </cell>
          <cell r="BF757">
            <v>1</v>
          </cell>
          <cell r="BG757">
            <v>4</v>
          </cell>
          <cell r="BH757">
            <v>0</v>
          </cell>
          <cell r="BI757">
            <v>1</v>
          </cell>
          <cell r="BJ757">
            <v>0</v>
          </cell>
          <cell r="BK757">
            <v>0</v>
          </cell>
          <cell r="BL757">
            <v>0</v>
          </cell>
          <cell r="BM757">
            <v>0</v>
          </cell>
          <cell r="BN757">
            <v>1</v>
          </cell>
          <cell r="BO757">
            <v>0</v>
          </cell>
          <cell r="BP757">
            <v>0</v>
          </cell>
          <cell r="BQ757">
            <v>0</v>
          </cell>
          <cell r="BR757">
            <v>1</v>
          </cell>
          <cell r="BS757">
            <v>0</v>
          </cell>
          <cell r="BT757">
            <v>0</v>
          </cell>
          <cell r="BU757">
            <v>26</v>
          </cell>
        </row>
        <row r="758">
          <cell r="A758">
            <v>32</v>
          </cell>
          <cell r="B758">
            <v>32</v>
          </cell>
          <cell r="D758">
            <v>0</v>
          </cell>
          <cell r="F758">
            <v>0</v>
          </cell>
          <cell r="G758">
            <v>0</v>
          </cell>
          <cell r="I758">
            <v>1</v>
          </cell>
          <cell r="J758">
            <v>0</v>
          </cell>
          <cell r="K758">
            <v>29</v>
          </cell>
          <cell r="L758">
            <v>29</v>
          </cell>
          <cell r="M758">
            <v>4</v>
          </cell>
          <cell r="O758">
            <v>0</v>
          </cell>
          <cell r="P758">
            <v>0</v>
          </cell>
          <cell r="Q758">
            <v>1</v>
          </cell>
          <cell r="R758">
            <v>0</v>
          </cell>
          <cell r="S758">
            <v>0</v>
          </cell>
          <cell r="T758">
            <v>4</v>
          </cell>
          <cell r="V758">
            <v>1</v>
          </cell>
          <cell r="W758">
            <v>69</v>
          </cell>
          <cell r="X758">
            <v>3</v>
          </cell>
          <cell r="Y758">
            <v>1</v>
          </cell>
          <cell r="AA758">
            <v>0</v>
          </cell>
          <cell r="AB758">
            <v>0</v>
          </cell>
          <cell r="AC758">
            <v>1</v>
          </cell>
          <cell r="AD758">
            <v>0</v>
          </cell>
          <cell r="AE758">
            <v>0</v>
          </cell>
          <cell r="AF758">
            <v>0</v>
          </cell>
          <cell r="AG758">
            <v>0</v>
          </cell>
          <cell r="AH758">
            <v>0</v>
          </cell>
          <cell r="AI758">
            <v>3</v>
          </cell>
          <cell r="AK758">
            <v>1</v>
          </cell>
          <cell r="AL758">
            <v>0</v>
          </cell>
          <cell r="AN758">
            <v>4025</v>
          </cell>
          <cell r="AO758">
            <v>9</v>
          </cell>
          <cell r="AQ758">
            <v>0</v>
          </cell>
          <cell r="AR758">
            <v>12</v>
          </cell>
          <cell r="AS758">
            <v>3</v>
          </cell>
          <cell r="AT758">
            <v>2</v>
          </cell>
          <cell r="AU758">
            <v>0</v>
          </cell>
          <cell r="AV758">
            <v>10</v>
          </cell>
          <cell r="AW758">
            <v>10</v>
          </cell>
          <cell r="AX758">
            <v>2</v>
          </cell>
          <cell r="AY758">
            <v>3</v>
          </cell>
          <cell r="AZ758">
            <v>8</v>
          </cell>
          <cell r="BA758">
            <v>8</v>
          </cell>
          <cell r="BB758">
            <v>7</v>
          </cell>
          <cell r="BC758">
            <v>7</v>
          </cell>
          <cell r="BD758">
            <v>7</v>
          </cell>
          <cell r="BE758">
            <v>7</v>
          </cell>
          <cell r="BF758">
            <v>7</v>
          </cell>
          <cell r="BG758">
            <v>7</v>
          </cell>
          <cell r="BH758">
            <v>1</v>
          </cell>
          <cell r="BI758">
            <v>0</v>
          </cell>
          <cell r="BJ758">
            <v>0</v>
          </cell>
          <cell r="BK758">
            <v>0</v>
          </cell>
          <cell r="BL758">
            <v>1</v>
          </cell>
          <cell r="BM758">
            <v>0</v>
          </cell>
          <cell r="BN758">
            <v>0</v>
          </cell>
          <cell r="BO758">
            <v>0</v>
          </cell>
          <cell r="BP758">
            <v>0</v>
          </cell>
          <cell r="BQ758">
            <v>7</v>
          </cell>
          <cell r="BR758">
            <v>0</v>
          </cell>
          <cell r="BS758">
            <v>0</v>
          </cell>
          <cell r="BT758">
            <v>10</v>
          </cell>
          <cell r="BU758">
            <v>0</v>
          </cell>
        </row>
        <row r="759">
          <cell r="A759">
            <v>34</v>
          </cell>
          <cell r="B759">
            <v>34</v>
          </cell>
          <cell r="D759">
            <v>0</v>
          </cell>
          <cell r="F759">
            <v>0</v>
          </cell>
          <cell r="G759">
            <v>1</v>
          </cell>
          <cell r="I759">
            <v>0</v>
          </cell>
          <cell r="J759">
            <v>1</v>
          </cell>
          <cell r="K759">
            <v>1</v>
          </cell>
          <cell r="L759">
            <v>1</v>
          </cell>
          <cell r="M759">
            <v>4</v>
          </cell>
          <cell r="O759">
            <v>0</v>
          </cell>
          <cell r="P759">
            <v>0</v>
          </cell>
          <cell r="Q759">
            <v>0</v>
          </cell>
          <cell r="R759">
            <v>1</v>
          </cell>
          <cell r="S759">
            <v>0</v>
          </cell>
          <cell r="T759">
            <v>2</v>
          </cell>
          <cell r="V759">
            <v>0</v>
          </cell>
          <cell r="W759">
            <v>75</v>
          </cell>
          <cell r="X759">
            <v>4</v>
          </cell>
          <cell r="Y759">
            <v>2</v>
          </cell>
          <cell r="AA759">
            <v>0</v>
          </cell>
          <cell r="AB759">
            <v>1</v>
          </cell>
          <cell r="AC759">
            <v>0</v>
          </cell>
          <cell r="AD759">
            <v>0</v>
          </cell>
          <cell r="AE759">
            <v>0</v>
          </cell>
          <cell r="AF759">
            <v>0</v>
          </cell>
          <cell r="AG759">
            <v>0</v>
          </cell>
          <cell r="AH759">
            <v>0</v>
          </cell>
          <cell r="AI759">
            <v>4</v>
          </cell>
          <cell r="AK759">
            <v>0</v>
          </cell>
          <cell r="AL759">
            <v>0</v>
          </cell>
          <cell r="AN759">
            <v>9725</v>
          </cell>
          <cell r="AO759">
            <v>0</v>
          </cell>
          <cell r="AQ759">
            <v>0</v>
          </cell>
          <cell r="AR759">
            <v>11</v>
          </cell>
          <cell r="AS759">
            <v>3</v>
          </cell>
          <cell r="AT759">
            <v>4</v>
          </cell>
          <cell r="AU759">
            <v>1</v>
          </cell>
          <cell r="AV759">
            <v>16</v>
          </cell>
          <cell r="AW759">
            <v>16</v>
          </cell>
          <cell r="AX759">
            <v>2</v>
          </cell>
          <cell r="AY759">
            <v>2</v>
          </cell>
          <cell r="AZ759">
            <v>15</v>
          </cell>
          <cell r="BA759">
            <v>15</v>
          </cell>
          <cell r="BB759">
            <v>1</v>
          </cell>
          <cell r="BC759">
            <v>0</v>
          </cell>
          <cell r="BD759">
            <v>0</v>
          </cell>
          <cell r="BE759">
            <v>9</v>
          </cell>
          <cell r="BF759">
            <v>9</v>
          </cell>
          <cell r="BG759">
            <v>18</v>
          </cell>
          <cell r="BH759">
            <v>1</v>
          </cell>
          <cell r="BI759">
            <v>0</v>
          </cell>
          <cell r="BJ759">
            <v>0</v>
          </cell>
          <cell r="BK759">
            <v>0</v>
          </cell>
          <cell r="BL759">
            <v>1</v>
          </cell>
          <cell r="BM759">
            <v>0</v>
          </cell>
          <cell r="BN759">
            <v>0</v>
          </cell>
          <cell r="BO759">
            <v>0</v>
          </cell>
          <cell r="BP759">
            <v>0</v>
          </cell>
          <cell r="BQ759">
            <v>0</v>
          </cell>
          <cell r="BR759">
            <v>9</v>
          </cell>
          <cell r="BS759">
            <v>0</v>
          </cell>
          <cell r="BT759">
            <v>0</v>
          </cell>
          <cell r="BU759">
            <v>16</v>
          </cell>
        </row>
        <row r="760">
          <cell r="A760">
            <v>59</v>
          </cell>
          <cell r="B760">
            <v>58.309999999999945</v>
          </cell>
          <cell r="D760">
            <v>0</v>
          </cell>
          <cell r="F760">
            <v>0</v>
          </cell>
          <cell r="G760">
            <v>1</v>
          </cell>
          <cell r="I760">
            <v>0</v>
          </cell>
          <cell r="J760">
            <v>1</v>
          </cell>
          <cell r="K760">
            <v>1</v>
          </cell>
          <cell r="L760">
            <v>1</v>
          </cell>
          <cell r="M760">
            <v>2</v>
          </cell>
          <cell r="O760">
            <v>0</v>
          </cell>
          <cell r="P760">
            <v>0</v>
          </cell>
          <cell r="Q760">
            <v>0</v>
          </cell>
          <cell r="R760">
            <v>0</v>
          </cell>
          <cell r="S760">
            <v>1</v>
          </cell>
          <cell r="T760">
            <v>2</v>
          </cell>
          <cell r="V760">
            <v>0</v>
          </cell>
          <cell r="W760">
            <v>66</v>
          </cell>
          <cell r="X760">
            <v>3</v>
          </cell>
          <cell r="Y760">
            <v>3</v>
          </cell>
          <cell r="AA760">
            <v>0</v>
          </cell>
          <cell r="AB760">
            <v>0</v>
          </cell>
          <cell r="AC760">
            <v>0</v>
          </cell>
          <cell r="AD760">
            <v>1</v>
          </cell>
          <cell r="AE760">
            <v>0</v>
          </cell>
          <cell r="AF760">
            <v>0</v>
          </cell>
          <cell r="AG760">
            <v>0</v>
          </cell>
          <cell r="AH760">
            <v>0</v>
          </cell>
          <cell r="AI760">
            <v>4</v>
          </cell>
          <cell r="AK760">
            <v>0</v>
          </cell>
          <cell r="AL760">
            <v>1</v>
          </cell>
          <cell r="AN760">
            <v>11904</v>
          </cell>
          <cell r="AO760">
            <v>3</v>
          </cell>
          <cell r="AQ760">
            <v>1</v>
          </cell>
          <cell r="AR760">
            <v>14</v>
          </cell>
          <cell r="AS760">
            <v>3</v>
          </cell>
          <cell r="AT760">
            <v>3</v>
          </cell>
          <cell r="AU760">
            <v>1</v>
          </cell>
          <cell r="AV760">
            <v>14</v>
          </cell>
          <cell r="AW760">
            <v>14</v>
          </cell>
          <cell r="AX760">
            <v>1</v>
          </cell>
          <cell r="AY760">
            <v>1</v>
          </cell>
          <cell r="AZ760">
            <v>6</v>
          </cell>
          <cell r="BA760">
            <v>6</v>
          </cell>
          <cell r="BB760">
            <v>4</v>
          </cell>
          <cell r="BC760">
            <v>0</v>
          </cell>
          <cell r="BD760">
            <v>0</v>
          </cell>
          <cell r="BE760">
            <v>4</v>
          </cell>
          <cell r="BF760">
            <v>4</v>
          </cell>
          <cell r="BG760">
            <v>12</v>
          </cell>
          <cell r="BH760">
            <v>0</v>
          </cell>
          <cell r="BI760">
            <v>1</v>
          </cell>
          <cell r="BJ760">
            <v>0</v>
          </cell>
          <cell r="BK760">
            <v>0</v>
          </cell>
          <cell r="BL760">
            <v>0</v>
          </cell>
          <cell r="BM760">
            <v>0</v>
          </cell>
          <cell r="BN760">
            <v>0</v>
          </cell>
          <cell r="BO760">
            <v>1</v>
          </cell>
          <cell r="BP760">
            <v>0</v>
          </cell>
          <cell r="BQ760">
            <v>0</v>
          </cell>
          <cell r="BR760">
            <v>4</v>
          </cell>
          <cell r="BS760">
            <v>0</v>
          </cell>
          <cell r="BT760">
            <v>0</v>
          </cell>
          <cell r="BU760">
            <v>14</v>
          </cell>
        </row>
        <row r="761">
          <cell r="A761">
            <v>45</v>
          </cell>
          <cell r="B761">
            <v>45</v>
          </cell>
          <cell r="D761">
            <v>0</v>
          </cell>
          <cell r="F761">
            <v>0</v>
          </cell>
          <cell r="G761">
            <v>1</v>
          </cell>
          <cell r="I761">
            <v>0</v>
          </cell>
          <cell r="J761">
            <v>0</v>
          </cell>
          <cell r="K761">
            <v>24</v>
          </cell>
          <cell r="L761">
            <v>24</v>
          </cell>
          <cell r="M761">
            <v>4</v>
          </cell>
          <cell r="O761">
            <v>0</v>
          </cell>
          <cell r="P761">
            <v>0</v>
          </cell>
          <cell r="Q761">
            <v>1</v>
          </cell>
          <cell r="R761">
            <v>0</v>
          </cell>
          <cell r="S761">
            <v>0</v>
          </cell>
          <cell r="T761">
            <v>2</v>
          </cell>
          <cell r="V761">
            <v>0</v>
          </cell>
          <cell r="W761">
            <v>36</v>
          </cell>
          <cell r="X761">
            <v>3</v>
          </cell>
          <cell r="Y761">
            <v>1</v>
          </cell>
          <cell r="AA761">
            <v>0</v>
          </cell>
          <cell r="AB761">
            <v>0</v>
          </cell>
          <cell r="AC761">
            <v>0</v>
          </cell>
          <cell r="AD761">
            <v>0</v>
          </cell>
          <cell r="AE761">
            <v>0</v>
          </cell>
          <cell r="AF761">
            <v>0</v>
          </cell>
          <cell r="AG761">
            <v>0</v>
          </cell>
          <cell r="AH761">
            <v>0</v>
          </cell>
          <cell r="AI761">
            <v>2</v>
          </cell>
          <cell r="AK761">
            <v>1</v>
          </cell>
          <cell r="AL761">
            <v>0</v>
          </cell>
          <cell r="AN761">
            <v>2177</v>
          </cell>
          <cell r="AO761">
            <v>1</v>
          </cell>
          <cell r="AQ761">
            <v>0</v>
          </cell>
          <cell r="AR761">
            <v>16</v>
          </cell>
          <cell r="AS761">
            <v>3</v>
          </cell>
          <cell r="AT761">
            <v>1</v>
          </cell>
          <cell r="AU761">
            <v>0</v>
          </cell>
          <cell r="AV761">
            <v>6</v>
          </cell>
          <cell r="AW761">
            <v>6</v>
          </cell>
          <cell r="AX761">
            <v>3</v>
          </cell>
          <cell r="AY761">
            <v>3</v>
          </cell>
          <cell r="AZ761">
            <v>6</v>
          </cell>
          <cell r="BA761">
            <v>6</v>
          </cell>
          <cell r="BB761">
            <v>3</v>
          </cell>
          <cell r="BC761">
            <v>0</v>
          </cell>
          <cell r="BD761">
            <v>0</v>
          </cell>
          <cell r="BE761">
            <v>4</v>
          </cell>
          <cell r="BF761">
            <v>4</v>
          </cell>
          <cell r="BG761">
            <v>4</v>
          </cell>
          <cell r="BH761">
            <v>1</v>
          </cell>
          <cell r="BI761">
            <v>0</v>
          </cell>
          <cell r="BJ761">
            <v>0</v>
          </cell>
          <cell r="BK761">
            <v>0</v>
          </cell>
          <cell r="BL761">
            <v>1</v>
          </cell>
          <cell r="BM761">
            <v>0</v>
          </cell>
          <cell r="BN761">
            <v>0</v>
          </cell>
          <cell r="BO761">
            <v>0</v>
          </cell>
          <cell r="BP761">
            <v>4</v>
          </cell>
          <cell r="BQ761">
            <v>0</v>
          </cell>
          <cell r="BR761">
            <v>0</v>
          </cell>
          <cell r="BS761">
            <v>6</v>
          </cell>
          <cell r="BT761">
            <v>0</v>
          </cell>
          <cell r="BU761">
            <v>0</v>
          </cell>
        </row>
        <row r="762">
          <cell r="A762">
            <v>53</v>
          </cell>
          <cell r="B762">
            <v>53</v>
          </cell>
          <cell r="D762">
            <v>0</v>
          </cell>
          <cell r="F762">
            <v>1</v>
          </cell>
          <cell r="G762">
            <v>0</v>
          </cell>
          <cell r="I762">
            <v>0</v>
          </cell>
          <cell r="J762">
            <v>1</v>
          </cell>
          <cell r="K762">
            <v>2</v>
          </cell>
          <cell r="L762">
            <v>2</v>
          </cell>
          <cell r="M762">
            <v>3</v>
          </cell>
          <cell r="O762">
            <v>0</v>
          </cell>
          <cell r="P762">
            <v>0</v>
          </cell>
          <cell r="Q762">
            <v>0</v>
          </cell>
          <cell r="R762">
            <v>1</v>
          </cell>
          <cell r="S762">
            <v>0</v>
          </cell>
          <cell r="T762">
            <v>3</v>
          </cell>
          <cell r="V762">
            <v>1</v>
          </cell>
          <cell r="W762">
            <v>38</v>
          </cell>
          <cell r="X762">
            <v>2</v>
          </cell>
          <cell r="Y762">
            <v>3</v>
          </cell>
          <cell r="AA762">
            <v>0</v>
          </cell>
          <cell r="AB762">
            <v>1</v>
          </cell>
          <cell r="AC762">
            <v>0</v>
          </cell>
          <cell r="AD762">
            <v>0</v>
          </cell>
          <cell r="AE762">
            <v>0</v>
          </cell>
          <cell r="AF762">
            <v>0</v>
          </cell>
          <cell r="AG762">
            <v>0</v>
          </cell>
          <cell r="AH762">
            <v>0</v>
          </cell>
          <cell r="AI762">
            <v>2</v>
          </cell>
          <cell r="AK762">
            <v>0</v>
          </cell>
          <cell r="AL762">
            <v>1</v>
          </cell>
          <cell r="AN762">
            <v>7525</v>
          </cell>
          <cell r="AO762">
            <v>2</v>
          </cell>
          <cell r="AQ762">
            <v>0</v>
          </cell>
          <cell r="AR762">
            <v>12</v>
          </cell>
          <cell r="AS762">
            <v>3</v>
          </cell>
          <cell r="AT762">
            <v>1</v>
          </cell>
          <cell r="AU762">
            <v>1</v>
          </cell>
          <cell r="AV762">
            <v>30</v>
          </cell>
          <cell r="AW762">
            <v>30</v>
          </cell>
          <cell r="AX762">
            <v>2</v>
          </cell>
          <cell r="AY762">
            <v>3</v>
          </cell>
          <cell r="AZ762">
            <v>15</v>
          </cell>
          <cell r="BA762">
            <v>15</v>
          </cell>
          <cell r="BB762">
            <v>7</v>
          </cell>
          <cell r="BC762">
            <v>6</v>
          </cell>
          <cell r="BD762">
            <v>6</v>
          </cell>
          <cell r="BE762">
            <v>12</v>
          </cell>
          <cell r="BF762">
            <v>12</v>
          </cell>
          <cell r="BG762">
            <v>36</v>
          </cell>
          <cell r="BH762">
            <v>0</v>
          </cell>
          <cell r="BI762">
            <v>0</v>
          </cell>
          <cell r="BJ762">
            <v>0</v>
          </cell>
          <cell r="BK762">
            <v>1</v>
          </cell>
          <cell r="BL762">
            <v>0</v>
          </cell>
          <cell r="BM762">
            <v>0</v>
          </cell>
          <cell r="BN762">
            <v>1</v>
          </cell>
          <cell r="BO762">
            <v>0</v>
          </cell>
          <cell r="BP762">
            <v>0</v>
          </cell>
          <cell r="BQ762">
            <v>0</v>
          </cell>
          <cell r="BR762">
            <v>12</v>
          </cell>
          <cell r="BS762">
            <v>0</v>
          </cell>
          <cell r="BT762">
            <v>0</v>
          </cell>
          <cell r="BU762">
            <v>30</v>
          </cell>
        </row>
        <row r="763">
          <cell r="A763">
            <v>36</v>
          </cell>
          <cell r="B763">
            <v>36</v>
          </cell>
          <cell r="D763">
            <v>1</v>
          </cell>
          <cell r="F763">
            <v>0</v>
          </cell>
          <cell r="G763">
            <v>1</v>
          </cell>
          <cell r="I763">
            <v>1</v>
          </cell>
          <cell r="J763">
            <v>0</v>
          </cell>
          <cell r="K763">
            <v>15</v>
          </cell>
          <cell r="L763">
            <v>15</v>
          </cell>
          <cell r="M763">
            <v>3</v>
          </cell>
          <cell r="O763">
            <v>0</v>
          </cell>
          <cell r="P763">
            <v>1</v>
          </cell>
          <cell r="Q763">
            <v>0</v>
          </cell>
          <cell r="R763">
            <v>0</v>
          </cell>
          <cell r="S763">
            <v>0</v>
          </cell>
          <cell r="T763">
            <v>1</v>
          </cell>
          <cell r="V763">
            <v>0</v>
          </cell>
          <cell r="W763">
            <v>81</v>
          </cell>
          <cell r="X763">
            <v>3</v>
          </cell>
          <cell r="Y763">
            <v>2</v>
          </cell>
          <cell r="AA763">
            <v>0</v>
          </cell>
          <cell r="AB763">
            <v>0</v>
          </cell>
          <cell r="AC763">
            <v>1</v>
          </cell>
          <cell r="AD763">
            <v>0</v>
          </cell>
          <cell r="AE763">
            <v>0</v>
          </cell>
          <cell r="AF763">
            <v>0</v>
          </cell>
          <cell r="AG763">
            <v>0</v>
          </cell>
          <cell r="AH763">
            <v>0</v>
          </cell>
          <cell r="AI763">
            <v>3</v>
          </cell>
          <cell r="AK763">
            <v>0</v>
          </cell>
          <cell r="AL763">
            <v>0</v>
          </cell>
          <cell r="AN763">
            <v>4834</v>
          </cell>
          <cell r="AO763">
            <v>7</v>
          </cell>
          <cell r="AQ763">
            <v>0</v>
          </cell>
          <cell r="AR763">
            <v>14</v>
          </cell>
          <cell r="AS763">
            <v>3</v>
          </cell>
          <cell r="AT763">
            <v>2</v>
          </cell>
          <cell r="AU763">
            <v>1</v>
          </cell>
          <cell r="AV763">
            <v>9</v>
          </cell>
          <cell r="AW763">
            <v>9</v>
          </cell>
          <cell r="AX763">
            <v>3</v>
          </cell>
          <cell r="AY763">
            <v>2</v>
          </cell>
          <cell r="AZ763">
            <v>1</v>
          </cell>
          <cell r="BA763">
            <v>1</v>
          </cell>
          <cell r="BB763">
            <v>0</v>
          </cell>
          <cell r="BC763">
            <v>0</v>
          </cell>
          <cell r="BD763">
            <v>0</v>
          </cell>
          <cell r="BE763">
            <v>0</v>
          </cell>
          <cell r="BF763">
            <v>0</v>
          </cell>
          <cell r="BG763">
            <v>0</v>
          </cell>
          <cell r="BH763">
            <v>1</v>
          </cell>
          <cell r="BI763">
            <v>0</v>
          </cell>
          <cell r="BJ763">
            <v>0</v>
          </cell>
          <cell r="BK763">
            <v>0</v>
          </cell>
          <cell r="BL763">
            <v>1</v>
          </cell>
          <cell r="BM763">
            <v>0</v>
          </cell>
          <cell r="BN763">
            <v>0</v>
          </cell>
          <cell r="BO763">
            <v>0</v>
          </cell>
          <cell r="BP763">
            <v>0</v>
          </cell>
          <cell r="BQ763">
            <v>0</v>
          </cell>
          <cell r="BR763">
            <v>0</v>
          </cell>
          <cell r="BS763">
            <v>0</v>
          </cell>
          <cell r="BT763">
            <v>9</v>
          </cell>
          <cell r="BU763">
            <v>0</v>
          </cell>
        </row>
        <row r="764">
          <cell r="A764">
            <v>26</v>
          </cell>
          <cell r="B764">
            <v>26</v>
          </cell>
          <cell r="D764">
            <v>1</v>
          </cell>
          <cell r="F764">
            <v>1</v>
          </cell>
          <cell r="G764">
            <v>0</v>
          </cell>
          <cell r="I764">
            <v>1</v>
          </cell>
          <cell r="J764">
            <v>0</v>
          </cell>
          <cell r="K764">
            <v>2</v>
          </cell>
          <cell r="L764">
            <v>2</v>
          </cell>
          <cell r="M764">
            <v>3</v>
          </cell>
          <cell r="O764">
            <v>1</v>
          </cell>
          <cell r="P764">
            <v>0</v>
          </cell>
          <cell r="Q764">
            <v>0</v>
          </cell>
          <cell r="R764">
            <v>0</v>
          </cell>
          <cell r="S764">
            <v>0</v>
          </cell>
          <cell r="T764">
            <v>1</v>
          </cell>
          <cell r="V764">
            <v>0</v>
          </cell>
          <cell r="W764">
            <v>57</v>
          </cell>
          <cell r="X764">
            <v>3</v>
          </cell>
          <cell r="Y764">
            <v>1</v>
          </cell>
          <cell r="AA764">
            <v>0</v>
          </cell>
          <cell r="AB764">
            <v>0</v>
          </cell>
          <cell r="AC764">
            <v>0</v>
          </cell>
          <cell r="AD764">
            <v>0</v>
          </cell>
          <cell r="AE764">
            <v>0</v>
          </cell>
          <cell r="AF764">
            <v>0</v>
          </cell>
          <cell r="AG764">
            <v>0</v>
          </cell>
          <cell r="AH764">
            <v>1</v>
          </cell>
          <cell r="AI764">
            <v>1</v>
          </cell>
          <cell r="AK764">
            <v>0</v>
          </cell>
          <cell r="AL764">
            <v>1</v>
          </cell>
          <cell r="AN764">
            <v>2042</v>
          </cell>
          <cell r="AO764">
            <v>6</v>
          </cell>
          <cell r="AQ764">
            <v>1</v>
          </cell>
          <cell r="AR764">
            <v>14</v>
          </cell>
          <cell r="AS764">
            <v>3</v>
          </cell>
          <cell r="AT764">
            <v>2</v>
          </cell>
          <cell r="AU764">
            <v>1</v>
          </cell>
          <cell r="AV764">
            <v>6</v>
          </cell>
          <cell r="AW764">
            <v>6</v>
          </cell>
          <cell r="AX764">
            <v>2</v>
          </cell>
          <cell r="AY764">
            <v>3</v>
          </cell>
          <cell r="AZ764">
            <v>3</v>
          </cell>
          <cell r="BA764">
            <v>3</v>
          </cell>
          <cell r="BB764">
            <v>2</v>
          </cell>
          <cell r="BC764">
            <v>1</v>
          </cell>
          <cell r="BD764">
            <v>1</v>
          </cell>
          <cell r="BE764">
            <v>2</v>
          </cell>
          <cell r="BF764">
            <v>2</v>
          </cell>
          <cell r="BG764">
            <v>2</v>
          </cell>
          <cell r="BH764">
            <v>0</v>
          </cell>
          <cell r="BI764">
            <v>0</v>
          </cell>
          <cell r="BJ764">
            <v>0</v>
          </cell>
          <cell r="BK764">
            <v>1</v>
          </cell>
          <cell r="BL764">
            <v>0</v>
          </cell>
          <cell r="BM764">
            <v>0</v>
          </cell>
          <cell r="BN764">
            <v>0</v>
          </cell>
          <cell r="BO764">
            <v>1</v>
          </cell>
          <cell r="BP764">
            <v>0</v>
          </cell>
          <cell r="BQ764">
            <v>2</v>
          </cell>
          <cell r="BR764">
            <v>0</v>
          </cell>
          <cell r="BS764">
            <v>0</v>
          </cell>
          <cell r="BT764">
            <v>6</v>
          </cell>
          <cell r="BU764">
            <v>0</v>
          </cell>
        </row>
        <row r="765">
          <cell r="A765">
            <v>34</v>
          </cell>
          <cell r="B765">
            <v>34</v>
          </cell>
          <cell r="D765">
            <v>0</v>
          </cell>
          <cell r="F765">
            <v>0</v>
          </cell>
          <cell r="G765">
            <v>1</v>
          </cell>
          <cell r="I765">
            <v>0</v>
          </cell>
          <cell r="J765">
            <v>1</v>
          </cell>
          <cell r="K765">
            <v>10</v>
          </cell>
          <cell r="L765">
            <v>10</v>
          </cell>
          <cell r="M765">
            <v>4</v>
          </cell>
          <cell r="O765">
            <v>1</v>
          </cell>
          <cell r="P765">
            <v>0</v>
          </cell>
          <cell r="Q765">
            <v>0</v>
          </cell>
          <cell r="R765">
            <v>0</v>
          </cell>
          <cell r="S765">
            <v>0</v>
          </cell>
          <cell r="T765">
            <v>3</v>
          </cell>
          <cell r="V765">
            <v>1</v>
          </cell>
          <cell r="W765">
            <v>87</v>
          </cell>
          <cell r="X765">
            <v>3</v>
          </cell>
          <cell r="Y765">
            <v>1</v>
          </cell>
          <cell r="AA765">
            <v>0</v>
          </cell>
          <cell r="AB765">
            <v>0</v>
          </cell>
          <cell r="AC765">
            <v>0</v>
          </cell>
          <cell r="AD765">
            <v>0</v>
          </cell>
          <cell r="AE765">
            <v>0</v>
          </cell>
          <cell r="AF765">
            <v>0</v>
          </cell>
          <cell r="AG765">
            <v>1</v>
          </cell>
          <cell r="AH765">
            <v>0</v>
          </cell>
          <cell r="AI765">
            <v>3</v>
          </cell>
          <cell r="AK765">
            <v>0</v>
          </cell>
          <cell r="AL765">
            <v>1</v>
          </cell>
          <cell r="AN765">
            <v>2220</v>
          </cell>
          <cell r="AO765">
            <v>1</v>
          </cell>
          <cell r="AQ765">
            <v>1</v>
          </cell>
          <cell r="AR765">
            <v>19</v>
          </cell>
          <cell r="AS765">
            <v>3</v>
          </cell>
          <cell r="AT765">
            <v>4</v>
          </cell>
          <cell r="AU765">
            <v>1</v>
          </cell>
          <cell r="AV765">
            <v>1</v>
          </cell>
          <cell r="AW765">
            <v>1</v>
          </cell>
          <cell r="AX765">
            <v>2</v>
          </cell>
          <cell r="AY765">
            <v>3</v>
          </cell>
          <cell r="AZ765">
            <v>1</v>
          </cell>
          <cell r="BA765">
            <v>1</v>
          </cell>
          <cell r="BB765">
            <v>1</v>
          </cell>
          <cell r="BC765">
            <v>0</v>
          </cell>
          <cell r="BD765">
            <v>0</v>
          </cell>
          <cell r="BE765">
            <v>0</v>
          </cell>
          <cell r="BF765">
            <v>0</v>
          </cell>
          <cell r="BG765">
            <v>0</v>
          </cell>
          <cell r="BH765">
            <v>0</v>
          </cell>
          <cell r="BI765">
            <v>1</v>
          </cell>
          <cell r="BJ765">
            <v>0</v>
          </cell>
          <cell r="BK765">
            <v>0</v>
          </cell>
          <cell r="BL765">
            <v>0</v>
          </cell>
          <cell r="BM765">
            <v>0</v>
          </cell>
          <cell r="BN765">
            <v>0</v>
          </cell>
          <cell r="BO765">
            <v>1</v>
          </cell>
          <cell r="BP765">
            <v>0</v>
          </cell>
          <cell r="BQ765">
            <v>0</v>
          </cell>
          <cell r="BR765">
            <v>0</v>
          </cell>
          <cell r="BS765">
            <v>0</v>
          </cell>
          <cell r="BT765">
            <v>0</v>
          </cell>
          <cell r="BU765">
            <v>1</v>
          </cell>
        </row>
        <row r="766">
          <cell r="A766">
            <v>28</v>
          </cell>
          <cell r="B766">
            <v>28</v>
          </cell>
          <cell r="D766">
            <v>0</v>
          </cell>
          <cell r="F766">
            <v>0</v>
          </cell>
          <cell r="G766">
            <v>1</v>
          </cell>
          <cell r="I766">
            <v>0</v>
          </cell>
          <cell r="J766">
            <v>1</v>
          </cell>
          <cell r="K766">
            <v>10</v>
          </cell>
          <cell r="L766">
            <v>10</v>
          </cell>
          <cell r="M766">
            <v>1</v>
          </cell>
          <cell r="O766">
            <v>0</v>
          </cell>
          <cell r="P766">
            <v>0</v>
          </cell>
          <cell r="Q766">
            <v>1</v>
          </cell>
          <cell r="R766">
            <v>0</v>
          </cell>
          <cell r="S766">
            <v>0</v>
          </cell>
          <cell r="T766">
            <v>4</v>
          </cell>
          <cell r="V766">
            <v>0</v>
          </cell>
          <cell r="W766">
            <v>74</v>
          </cell>
          <cell r="X766">
            <v>3</v>
          </cell>
          <cell r="Y766">
            <v>1</v>
          </cell>
          <cell r="AA766">
            <v>0</v>
          </cell>
          <cell r="AB766">
            <v>0</v>
          </cell>
          <cell r="AC766">
            <v>0</v>
          </cell>
          <cell r="AD766">
            <v>0</v>
          </cell>
          <cell r="AE766">
            <v>0</v>
          </cell>
          <cell r="AF766">
            <v>0</v>
          </cell>
          <cell r="AG766">
            <v>1</v>
          </cell>
          <cell r="AH766">
            <v>0</v>
          </cell>
          <cell r="AI766">
            <v>2</v>
          </cell>
          <cell r="AK766">
            <v>0</v>
          </cell>
          <cell r="AL766">
            <v>1</v>
          </cell>
          <cell r="AN766">
            <v>1382.46</v>
          </cell>
          <cell r="AO766">
            <v>1</v>
          </cell>
          <cell r="AQ766">
            <v>0</v>
          </cell>
          <cell r="AR766">
            <v>22</v>
          </cell>
          <cell r="AS766">
            <v>4</v>
          </cell>
          <cell r="AT766">
            <v>2</v>
          </cell>
          <cell r="AU766">
            <v>0</v>
          </cell>
          <cell r="AV766">
            <v>1</v>
          </cell>
          <cell r="AW766">
            <v>1</v>
          </cell>
          <cell r="AX766">
            <v>5</v>
          </cell>
          <cell r="AY766">
            <v>3</v>
          </cell>
          <cell r="AZ766">
            <v>1</v>
          </cell>
          <cell r="BA766">
            <v>1</v>
          </cell>
          <cell r="BB766">
            <v>0</v>
          </cell>
          <cell r="BC766">
            <v>0</v>
          </cell>
          <cell r="BD766">
            <v>0</v>
          </cell>
          <cell r="BE766">
            <v>0</v>
          </cell>
          <cell r="BF766">
            <v>0</v>
          </cell>
          <cell r="BG766">
            <v>0</v>
          </cell>
          <cell r="BH766">
            <v>0</v>
          </cell>
          <cell r="BI766">
            <v>1</v>
          </cell>
          <cell r="BJ766">
            <v>0</v>
          </cell>
          <cell r="BK766">
            <v>0</v>
          </cell>
          <cell r="BL766">
            <v>0</v>
          </cell>
          <cell r="BM766">
            <v>0</v>
          </cell>
          <cell r="BN766">
            <v>1</v>
          </cell>
          <cell r="BO766">
            <v>0</v>
          </cell>
          <cell r="BP766">
            <v>0</v>
          </cell>
          <cell r="BQ766">
            <v>0</v>
          </cell>
          <cell r="BR766">
            <v>0</v>
          </cell>
          <cell r="BS766">
            <v>0</v>
          </cell>
          <cell r="BT766">
            <v>0</v>
          </cell>
          <cell r="BU766">
            <v>1</v>
          </cell>
        </row>
        <row r="767">
          <cell r="A767">
            <v>38</v>
          </cell>
          <cell r="B767">
            <v>38</v>
          </cell>
          <cell r="D767">
            <v>0</v>
          </cell>
          <cell r="F767">
            <v>1</v>
          </cell>
          <cell r="G767">
            <v>0</v>
          </cell>
          <cell r="I767">
            <v>1</v>
          </cell>
          <cell r="J767">
            <v>0</v>
          </cell>
          <cell r="K767">
            <v>3</v>
          </cell>
          <cell r="L767">
            <v>3</v>
          </cell>
          <cell r="M767">
            <v>4</v>
          </cell>
          <cell r="O767">
            <v>0</v>
          </cell>
          <cell r="P767">
            <v>1</v>
          </cell>
          <cell r="Q767">
            <v>0</v>
          </cell>
          <cell r="R767">
            <v>0</v>
          </cell>
          <cell r="S767">
            <v>0</v>
          </cell>
          <cell r="T767">
            <v>3</v>
          </cell>
          <cell r="V767">
            <v>0</v>
          </cell>
          <cell r="W767">
            <v>44</v>
          </cell>
          <cell r="X767">
            <v>3</v>
          </cell>
          <cell r="Y767">
            <v>1</v>
          </cell>
          <cell r="AA767">
            <v>0</v>
          </cell>
          <cell r="AB767">
            <v>0</v>
          </cell>
          <cell r="AC767">
            <v>0</v>
          </cell>
          <cell r="AD767">
            <v>0</v>
          </cell>
          <cell r="AE767">
            <v>0</v>
          </cell>
          <cell r="AF767">
            <v>0</v>
          </cell>
          <cell r="AG767">
            <v>0</v>
          </cell>
          <cell r="AH767">
            <v>1</v>
          </cell>
          <cell r="AI767">
            <v>3</v>
          </cell>
          <cell r="AK767">
            <v>0</v>
          </cell>
          <cell r="AL767">
            <v>1</v>
          </cell>
          <cell r="AN767">
            <v>2821</v>
          </cell>
          <cell r="AO767">
            <v>3</v>
          </cell>
          <cell r="AQ767">
            <v>0</v>
          </cell>
          <cell r="AR767">
            <v>16</v>
          </cell>
          <cell r="AS767">
            <v>3</v>
          </cell>
          <cell r="AT767">
            <v>1</v>
          </cell>
          <cell r="AU767">
            <v>1</v>
          </cell>
          <cell r="AV767">
            <v>8</v>
          </cell>
          <cell r="AW767">
            <v>8</v>
          </cell>
          <cell r="AX767">
            <v>2</v>
          </cell>
          <cell r="AY767">
            <v>3</v>
          </cell>
          <cell r="AZ767">
            <v>2</v>
          </cell>
          <cell r="BA767">
            <v>2</v>
          </cell>
          <cell r="BB767">
            <v>2</v>
          </cell>
          <cell r="BC767">
            <v>2</v>
          </cell>
          <cell r="BD767">
            <v>2</v>
          </cell>
          <cell r="BE767">
            <v>2</v>
          </cell>
          <cell r="BF767">
            <v>2</v>
          </cell>
          <cell r="BG767">
            <v>2</v>
          </cell>
          <cell r="BH767">
            <v>0</v>
          </cell>
          <cell r="BI767">
            <v>0</v>
          </cell>
          <cell r="BJ767">
            <v>0</v>
          </cell>
          <cell r="BK767">
            <v>1</v>
          </cell>
          <cell r="BL767">
            <v>0</v>
          </cell>
          <cell r="BM767">
            <v>0</v>
          </cell>
          <cell r="BN767">
            <v>1</v>
          </cell>
          <cell r="BO767">
            <v>0</v>
          </cell>
          <cell r="BP767">
            <v>0</v>
          </cell>
          <cell r="BQ767">
            <v>2</v>
          </cell>
          <cell r="BR767">
            <v>0</v>
          </cell>
          <cell r="BS767">
            <v>0</v>
          </cell>
          <cell r="BT767">
            <v>8</v>
          </cell>
          <cell r="BU767">
            <v>0</v>
          </cell>
        </row>
        <row r="768">
          <cell r="A768">
            <v>50</v>
          </cell>
          <cell r="B768">
            <v>50</v>
          </cell>
          <cell r="D768">
            <v>0</v>
          </cell>
          <cell r="F768">
            <v>0</v>
          </cell>
          <cell r="G768">
            <v>1</v>
          </cell>
          <cell r="I768">
            <v>1</v>
          </cell>
          <cell r="J768">
            <v>0</v>
          </cell>
          <cell r="K768">
            <v>2</v>
          </cell>
          <cell r="L768">
            <v>2</v>
          </cell>
          <cell r="M768">
            <v>4</v>
          </cell>
          <cell r="O768">
            <v>0</v>
          </cell>
          <cell r="P768">
            <v>0</v>
          </cell>
          <cell r="Q768">
            <v>1</v>
          </cell>
          <cell r="R768">
            <v>0</v>
          </cell>
          <cell r="S768">
            <v>0</v>
          </cell>
          <cell r="T768">
            <v>2</v>
          </cell>
          <cell r="V768">
            <v>0</v>
          </cell>
          <cell r="W768">
            <v>62</v>
          </cell>
          <cell r="X768">
            <v>3</v>
          </cell>
          <cell r="Y768">
            <v>5</v>
          </cell>
          <cell r="AA768">
            <v>0</v>
          </cell>
          <cell r="AB768">
            <v>0</v>
          </cell>
          <cell r="AC768">
            <v>0</v>
          </cell>
          <cell r="AD768">
            <v>0</v>
          </cell>
          <cell r="AE768">
            <v>0</v>
          </cell>
          <cell r="AF768">
            <v>0</v>
          </cell>
          <cell r="AG768">
            <v>0</v>
          </cell>
          <cell r="AH768">
            <v>0</v>
          </cell>
          <cell r="AI768">
            <v>3</v>
          </cell>
          <cell r="AK768">
            <v>0</v>
          </cell>
          <cell r="AL768">
            <v>1</v>
          </cell>
          <cell r="AN768">
            <v>19237</v>
          </cell>
          <cell r="AO768">
            <v>2</v>
          </cell>
          <cell r="AQ768">
            <v>1</v>
          </cell>
          <cell r="AR768">
            <v>11</v>
          </cell>
          <cell r="AS768">
            <v>3</v>
          </cell>
          <cell r="AT768">
            <v>4</v>
          </cell>
          <cell r="AU768">
            <v>1</v>
          </cell>
          <cell r="AV768">
            <v>29</v>
          </cell>
          <cell r="AW768">
            <v>29</v>
          </cell>
          <cell r="AX768">
            <v>2</v>
          </cell>
          <cell r="AY768">
            <v>2</v>
          </cell>
          <cell r="AZ768">
            <v>8</v>
          </cell>
          <cell r="BA768">
            <v>8</v>
          </cell>
          <cell r="BB768">
            <v>1</v>
          </cell>
          <cell r="BC768">
            <v>7</v>
          </cell>
          <cell r="BD768">
            <v>7</v>
          </cell>
          <cell r="BE768">
            <v>7</v>
          </cell>
          <cell r="BF768">
            <v>7</v>
          </cell>
          <cell r="BG768">
            <v>35</v>
          </cell>
          <cell r="BH768">
            <v>0</v>
          </cell>
          <cell r="BI768">
            <v>1</v>
          </cell>
          <cell r="BJ768">
            <v>0</v>
          </cell>
          <cell r="BK768">
            <v>0</v>
          </cell>
          <cell r="BL768">
            <v>0</v>
          </cell>
          <cell r="BM768">
            <v>0</v>
          </cell>
          <cell r="BN768">
            <v>0</v>
          </cell>
          <cell r="BO768">
            <v>1</v>
          </cell>
          <cell r="BP768">
            <v>0</v>
          </cell>
          <cell r="BQ768">
            <v>7</v>
          </cell>
          <cell r="BR768">
            <v>0</v>
          </cell>
          <cell r="BS768">
            <v>0</v>
          </cell>
          <cell r="BT768">
            <v>29</v>
          </cell>
          <cell r="BU768">
            <v>0</v>
          </cell>
        </row>
        <row r="769">
          <cell r="A769">
            <v>37</v>
          </cell>
          <cell r="B769">
            <v>37</v>
          </cell>
          <cell r="D769">
            <v>0</v>
          </cell>
          <cell r="F769">
            <v>0</v>
          </cell>
          <cell r="G769">
            <v>1</v>
          </cell>
          <cell r="I769">
            <v>1</v>
          </cell>
          <cell r="J769">
            <v>0</v>
          </cell>
          <cell r="K769">
            <v>3</v>
          </cell>
          <cell r="L769">
            <v>3</v>
          </cell>
          <cell r="M769">
            <v>3</v>
          </cell>
          <cell r="O769">
            <v>0</v>
          </cell>
          <cell r="P769">
            <v>1</v>
          </cell>
          <cell r="Q769">
            <v>0</v>
          </cell>
          <cell r="R769">
            <v>0</v>
          </cell>
          <cell r="S769">
            <v>0</v>
          </cell>
          <cell r="T769">
            <v>4</v>
          </cell>
          <cell r="V769">
            <v>1</v>
          </cell>
          <cell r="W769">
            <v>35</v>
          </cell>
          <cell r="X769">
            <v>3</v>
          </cell>
          <cell r="Y769">
            <v>2</v>
          </cell>
          <cell r="AA769">
            <v>1</v>
          </cell>
          <cell r="AB769">
            <v>0</v>
          </cell>
          <cell r="AC769">
            <v>0</v>
          </cell>
          <cell r="AD769">
            <v>0</v>
          </cell>
          <cell r="AE769">
            <v>0</v>
          </cell>
          <cell r="AF769">
            <v>0</v>
          </cell>
          <cell r="AG769">
            <v>0</v>
          </cell>
          <cell r="AH769">
            <v>0</v>
          </cell>
          <cell r="AI769">
            <v>2</v>
          </cell>
          <cell r="AK769">
            <v>1</v>
          </cell>
          <cell r="AL769">
            <v>0</v>
          </cell>
          <cell r="AN769">
            <v>4107</v>
          </cell>
          <cell r="AO769">
            <v>3</v>
          </cell>
          <cell r="AQ769">
            <v>0</v>
          </cell>
          <cell r="AR769">
            <v>15</v>
          </cell>
          <cell r="AS769">
            <v>3</v>
          </cell>
          <cell r="AT769">
            <v>1</v>
          </cell>
          <cell r="AU769">
            <v>0</v>
          </cell>
          <cell r="AV769">
            <v>8</v>
          </cell>
          <cell r="AW769">
            <v>8</v>
          </cell>
          <cell r="AX769">
            <v>3</v>
          </cell>
          <cell r="AY769">
            <v>2</v>
          </cell>
          <cell r="AZ769">
            <v>4</v>
          </cell>
          <cell r="BA769">
            <v>4</v>
          </cell>
          <cell r="BB769">
            <v>3</v>
          </cell>
          <cell r="BC769">
            <v>0</v>
          </cell>
          <cell r="BD769">
            <v>0</v>
          </cell>
          <cell r="BE769">
            <v>1</v>
          </cell>
          <cell r="BF769">
            <v>1</v>
          </cell>
          <cell r="BG769">
            <v>2</v>
          </cell>
          <cell r="BH769">
            <v>1</v>
          </cell>
          <cell r="BI769">
            <v>0</v>
          </cell>
          <cell r="BJ769">
            <v>0</v>
          </cell>
          <cell r="BK769">
            <v>0</v>
          </cell>
          <cell r="BL769">
            <v>1</v>
          </cell>
          <cell r="BM769">
            <v>0</v>
          </cell>
          <cell r="BN769">
            <v>0</v>
          </cell>
          <cell r="BO769">
            <v>0</v>
          </cell>
          <cell r="BP769">
            <v>0</v>
          </cell>
          <cell r="BQ769">
            <v>1</v>
          </cell>
          <cell r="BR769">
            <v>0</v>
          </cell>
          <cell r="BS769">
            <v>0</v>
          </cell>
          <cell r="BT769">
            <v>8</v>
          </cell>
          <cell r="BU769">
            <v>0</v>
          </cell>
        </row>
        <row r="770">
          <cell r="A770">
            <v>40</v>
          </cell>
          <cell r="B770">
            <v>40</v>
          </cell>
          <cell r="D770">
            <v>0</v>
          </cell>
          <cell r="F770">
            <v>0</v>
          </cell>
          <cell r="G770">
            <v>1</v>
          </cell>
          <cell r="I770">
            <v>0</v>
          </cell>
          <cell r="J770">
            <v>1</v>
          </cell>
          <cell r="K770">
            <v>26</v>
          </cell>
          <cell r="L770">
            <v>26</v>
          </cell>
          <cell r="M770">
            <v>3</v>
          </cell>
          <cell r="O770">
            <v>0</v>
          </cell>
          <cell r="P770">
            <v>0</v>
          </cell>
          <cell r="Q770">
            <v>0</v>
          </cell>
          <cell r="R770">
            <v>1</v>
          </cell>
          <cell r="S770">
            <v>0</v>
          </cell>
          <cell r="T770">
            <v>3</v>
          </cell>
          <cell r="V770">
            <v>0</v>
          </cell>
          <cell r="W770">
            <v>74</v>
          </cell>
          <cell r="X770">
            <v>3</v>
          </cell>
          <cell r="Y770">
            <v>2</v>
          </cell>
          <cell r="AA770">
            <v>0</v>
          </cell>
          <cell r="AB770">
            <v>1</v>
          </cell>
          <cell r="AC770">
            <v>0</v>
          </cell>
          <cell r="AD770">
            <v>0</v>
          </cell>
          <cell r="AE770">
            <v>0</v>
          </cell>
          <cell r="AF770">
            <v>0</v>
          </cell>
          <cell r="AG770">
            <v>0</v>
          </cell>
          <cell r="AH770">
            <v>0</v>
          </cell>
          <cell r="AI770">
            <v>1</v>
          </cell>
          <cell r="AK770">
            <v>0</v>
          </cell>
          <cell r="AL770">
            <v>1</v>
          </cell>
          <cell r="AN770">
            <v>8396</v>
          </cell>
          <cell r="AO770">
            <v>1</v>
          </cell>
          <cell r="AQ770">
            <v>0</v>
          </cell>
          <cell r="AR770">
            <v>14</v>
          </cell>
          <cell r="AS770">
            <v>3</v>
          </cell>
          <cell r="AT770">
            <v>2</v>
          </cell>
          <cell r="AU770">
            <v>1</v>
          </cell>
          <cell r="AV770">
            <v>8</v>
          </cell>
          <cell r="AW770">
            <v>8</v>
          </cell>
          <cell r="AX770">
            <v>3</v>
          </cell>
          <cell r="AY770">
            <v>2</v>
          </cell>
          <cell r="AZ770">
            <v>7</v>
          </cell>
          <cell r="BA770">
            <v>7</v>
          </cell>
          <cell r="BB770">
            <v>7</v>
          </cell>
          <cell r="BC770">
            <v>7</v>
          </cell>
          <cell r="BD770">
            <v>7</v>
          </cell>
          <cell r="BE770">
            <v>5</v>
          </cell>
          <cell r="BF770">
            <v>5</v>
          </cell>
          <cell r="BG770">
            <v>10</v>
          </cell>
          <cell r="BH770">
            <v>0</v>
          </cell>
          <cell r="BI770">
            <v>1</v>
          </cell>
          <cell r="BJ770">
            <v>0</v>
          </cell>
          <cell r="BK770">
            <v>0</v>
          </cell>
          <cell r="BL770">
            <v>0</v>
          </cell>
          <cell r="BM770">
            <v>0</v>
          </cell>
          <cell r="BN770">
            <v>1</v>
          </cell>
          <cell r="BO770">
            <v>0</v>
          </cell>
          <cell r="BP770">
            <v>0</v>
          </cell>
          <cell r="BQ770">
            <v>0</v>
          </cell>
          <cell r="BR770">
            <v>5</v>
          </cell>
          <cell r="BS770">
            <v>0</v>
          </cell>
          <cell r="BT770">
            <v>0</v>
          </cell>
          <cell r="BU770">
            <v>8</v>
          </cell>
        </row>
        <row r="771">
          <cell r="A771">
            <v>26</v>
          </cell>
          <cell r="B771">
            <v>26</v>
          </cell>
          <cell r="D771">
            <v>0</v>
          </cell>
          <cell r="F771">
            <v>1</v>
          </cell>
          <cell r="G771">
            <v>0</v>
          </cell>
          <cell r="I771">
            <v>1</v>
          </cell>
          <cell r="J771">
            <v>0</v>
          </cell>
          <cell r="K771">
            <v>1</v>
          </cell>
          <cell r="L771">
            <v>1</v>
          </cell>
          <cell r="M771">
            <v>1</v>
          </cell>
          <cell r="O771">
            <v>0</v>
          </cell>
          <cell r="P771">
            <v>0</v>
          </cell>
          <cell r="Q771">
            <v>1</v>
          </cell>
          <cell r="R771">
            <v>0</v>
          </cell>
          <cell r="S771">
            <v>0</v>
          </cell>
          <cell r="T771">
            <v>1</v>
          </cell>
          <cell r="V771">
            <v>1</v>
          </cell>
          <cell r="W771">
            <v>66</v>
          </cell>
          <cell r="X771">
            <v>2</v>
          </cell>
          <cell r="Y771">
            <v>1</v>
          </cell>
          <cell r="AA771">
            <v>0</v>
          </cell>
          <cell r="AB771">
            <v>0</v>
          </cell>
          <cell r="AC771">
            <v>0</v>
          </cell>
          <cell r="AD771">
            <v>0</v>
          </cell>
          <cell r="AE771">
            <v>0</v>
          </cell>
          <cell r="AF771">
            <v>0</v>
          </cell>
          <cell r="AG771">
            <v>0</v>
          </cell>
          <cell r="AH771">
            <v>1</v>
          </cell>
          <cell r="AI771">
            <v>3</v>
          </cell>
          <cell r="AK771">
            <v>0</v>
          </cell>
          <cell r="AL771">
            <v>0</v>
          </cell>
          <cell r="AN771">
            <v>2007</v>
          </cell>
          <cell r="AO771">
            <v>1</v>
          </cell>
          <cell r="AQ771">
            <v>0</v>
          </cell>
          <cell r="AR771">
            <v>13</v>
          </cell>
          <cell r="AS771">
            <v>3</v>
          </cell>
          <cell r="AT771">
            <v>3</v>
          </cell>
          <cell r="AU771">
            <v>2</v>
          </cell>
          <cell r="AV771">
            <v>5</v>
          </cell>
          <cell r="AW771">
            <v>5</v>
          </cell>
          <cell r="AX771">
            <v>5</v>
          </cell>
          <cell r="AY771">
            <v>3</v>
          </cell>
          <cell r="AZ771">
            <v>5</v>
          </cell>
          <cell r="BA771">
            <v>5</v>
          </cell>
          <cell r="BB771">
            <v>3</v>
          </cell>
          <cell r="BC771">
            <v>1</v>
          </cell>
          <cell r="BD771">
            <v>1</v>
          </cell>
          <cell r="BE771">
            <v>3</v>
          </cell>
          <cell r="BF771">
            <v>3</v>
          </cell>
          <cell r="BG771">
            <v>3</v>
          </cell>
          <cell r="BH771">
            <v>0</v>
          </cell>
          <cell r="BI771">
            <v>0</v>
          </cell>
          <cell r="BJ771">
            <v>1</v>
          </cell>
          <cell r="BK771">
            <v>0</v>
          </cell>
          <cell r="BL771">
            <v>1</v>
          </cell>
          <cell r="BM771">
            <v>0</v>
          </cell>
          <cell r="BN771">
            <v>0</v>
          </cell>
          <cell r="BO771">
            <v>0</v>
          </cell>
          <cell r="BP771">
            <v>0</v>
          </cell>
          <cell r="BQ771">
            <v>3</v>
          </cell>
          <cell r="BR771">
            <v>0</v>
          </cell>
          <cell r="BS771">
            <v>0</v>
          </cell>
          <cell r="BT771">
            <v>5</v>
          </cell>
          <cell r="BU771">
            <v>0</v>
          </cell>
        </row>
        <row r="772">
          <cell r="A772">
            <v>46</v>
          </cell>
          <cell r="B772">
            <v>46</v>
          </cell>
          <cell r="D772">
            <v>0</v>
          </cell>
          <cell r="F772">
            <v>0</v>
          </cell>
          <cell r="G772">
            <v>1</v>
          </cell>
          <cell r="I772">
            <v>1</v>
          </cell>
          <cell r="J772">
            <v>0</v>
          </cell>
          <cell r="K772">
            <v>1</v>
          </cell>
          <cell r="L772">
            <v>1</v>
          </cell>
          <cell r="M772">
            <v>4</v>
          </cell>
          <cell r="O772">
            <v>0</v>
          </cell>
          <cell r="P772">
            <v>0</v>
          </cell>
          <cell r="Q772">
            <v>1</v>
          </cell>
          <cell r="R772">
            <v>0</v>
          </cell>
          <cell r="S772">
            <v>0</v>
          </cell>
          <cell r="T772">
            <v>4</v>
          </cell>
          <cell r="V772">
            <v>0</v>
          </cell>
          <cell r="W772">
            <v>40</v>
          </cell>
          <cell r="X772">
            <v>3</v>
          </cell>
          <cell r="Y772">
            <v>5</v>
          </cell>
          <cell r="AA772">
            <v>0</v>
          </cell>
          <cell r="AB772">
            <v>0</v>
          </cell>
          <cell r="AC772">
            <v>0</v>
          </cell>
          <cell r="AD772">
            <v>0</v>
          </cell>
          <cell r="AE772">
            <v>0</v>
          </cell>
          <cell r="AF772">
            <v>0</v>
          </cell>
          <cell r="AG772">
            <v>0</v>
          </cell>
          <cell r="AH772">
            <v>0</v>
          </cell>
          <cell r="AI772">
            <v>4</v>
          </cell>
          <cell r="AK772">
            <v>0</v>
          </cell>
          <cell r="AL772">
            <v>0</v>
          </cell>
          <cell r="AN772">
            <v>19626.310000000001</v>
          </cell>
          <cell r="AO772">
            <v>9</v>
          </cell>
          <cell r="AQ772">
            <v>0</v>
          </cell>
          <cell r="AR772">
            <v>17</v>
          </cell>
          <cell r="AS772">
            <v>3</v>
          </cell>
          <cell r="AT772">
            <v>4</v>
          </cell>
          <cell r="AU772">
            <v>2</v>
          </cell>
          <cell r="AV772">
            <v>23</v>
          </cell>
          <cell r="AW772">
            <v>23</v>
          </cell>
          <cell r="AX772">
            <v>0</v>
          </cell>
          <cell r="AY772">
            <v>3</v>
          </cell>
          <cell r="AZ772">
            <v>2</v>
          </cell>
          <cell r="BA772">
            <v>2</v>
          </cell>
          <cell r="BB772">
            <v>2</v>
          </cell>
          <cell r="BC772">
            <v>2</v>
          </cell>
          <cell r="BD772">
            <v>2</v>
          </cell>
          <cell r="BE772">
            <v>2</v>
          </cell>
          <cell r="BF772">
            <v>2</v>
          </cell>
          <cell r="BG772">
            <v>10</v>
          </cell>
          <cell r="BH772">
            <v>1</v>
          </cell>
          <cell r="BI772">
            <v>0</v>
          </cell>
          <cell r="BJ772">
            <v>0</v>
          </cell>
          <cell r="BK772">
            <v>0</v>
          </cell>
          <cell r="BL772">
            <v>1</v>
          </cell>
          <cell r="BM772">
            <v>0</v>
          </cell>
          <cell r="BN772">
            <v>0</v>
          </cell>
          <cell r="BO772">
            <v>0</v>
          </cell>
          <cell r="BP772">
            <v>0</v>
          </cell>
          <cell r="BQ772">
            <v>2</v>
          </cell>
          <cell r="BR772">
            <v>0</v>
          </cell>
          <cell r="BS772">
            <v>0</v>
          </cell>
          <cell r="BT772">
            <v>23</v>
          </cell>
          <cell r="BU772">
            <v>0</v>
          </cell>
        </row>
        <row r="773">
          <cell r="A773">
            <v>54</v>
          </cell>
          <cell r="B773">
            <v>54</v>
          </cell>
          <cell r="D773">
            <v>0</v>
          </cell>
          <cell r="F773">
            <v>0</v>
          </cell>
          <cell r="G773">
            <v>1</v>
          </cell>
          <cell r="I773">
            <v>0</v>
          </cell>
          <cell r="J773">
            <v>1</v>
          </cell>
          <cell r="K773">
            <v>2</v>
          </cell>
          <cell r="L773">
            <v>2</v>
          </cell>
          <cell r="M773">
            <v>4</v>
          </cell>
          <cell r="O773">
            <v>1</v>
          </cell>
          <cell r="P773">
            <v>0</v>
          </cell>
          <cell r="Q773">
            <v>0</v>
          </cell>
          <cell r="R773">
            <v>0</v>
          </cell>
          <cell r="S773">
            <v>0</v>
          </cell>
          <cell r="T773">
            <v>3</v>
          </cell>
          <cell r="V773">
            <v>1</v>
          </cell>
          <cell r="W773">
            <v>41</v>
          </cell>
          <cell r="X773">
            <v>2</v>
          </cell>
          <cell r="Y773">
            <v>3</v>
          </cell>
          <cell r="AA773">
            <v>0</v>
          </cell>
          <cell r="AB773">
            <v>1</v>
          </cell>
          <cell r="AC773">
            <v>0</v>
          </cell>
          <cell r="AD773">
            <v>0</v>
          </cell>
          <cell r="AE773">
            <v>0</v>
          </cell>
          <cell r="AF773">
            <v>0</v>
          </cell>
          <cell r="AG773">
            <v>0</v>
          </cell>
          <cell r="AH773">
            <v>0</v>
          </cell>
          <cell r="AI773">
            <v>3</v>
          </cell>
          <cell r="AK773">
            <v>0</v>
          </cell>
          <cell r="AL773">
            <v>1</v>
          </cell>
          <cell r="AN773">
            <v>10686</v>
          </cell>
          <cell r="AO773">
            <v>6</v>
          </cell>
          <cell r="AQ773">
            <v>0</v>
          </cell>
          <cell r="AR773">
            <v>11</v>
          </cell>
          <cell r="AS773">
            <v>3</v>
          </cell>
          <cell r="AT773">
            <v>2</v>
          </cell>
          <cell r="AU773">
            <v>1</v>
          </cell>
          <cell r="AV773">
            <v>13</v>
          </cell>
          <cell r="AW773">
            <v>13</v>
          </cell>
          <cell r="AX773">
            <v>4</v>
          </cell>
          <cell r="AY773">
            <v>3</v>
          </cell>
          <cell r="AZ773">
            <v>9</v>
          </cell>
          <cell r="BA773">
            <v>9</v>
          </cell>
          <cell r="BB773">
            <v>4</v>
          </cell>
          <cell r="BC773">
            <v>7</v>
          </cell>
          <cell r="BD773">
            <v>7</v>
          </cell>
          <cell r="BE773">
            <v>0</v>
          </cell>
          <cell r="BF773">
            <v>0</v>
          </cell>
          <cell r="BG773">
            <v>0</v>
          </cell>
          <cell r="BH773">
            <v>0</v>
          </cell>
          <cell r="BI773">
            <v>1</v>
          </cell>
          <cell r="BJ773">
            <v>0</v>
          </cell>
          <cell r="BK773">
            <v>0</v>
          </cell>
          <cell r="BL773">
            <v>0</v>
          </cell>
          <cell r="BM773">
            <v>0</v>
          </cell>
          <cell r="BN773">
            <v>1</v>
          </cell>
          <cell r="BO773">
            <v>0</v>
          </cell>
          <cell r="BP773">
            <v>0</v>
          </cell>
          <cell r="BQ773">
            <v>0</v>
          </cell>
          <cell r="BR773">
            <v>0</v>
          </cell>
          <cell r="BS773">
            <v>0</v>
          </cell>
          <cell r="BT773">
            <v>0</v>
          </cell>
          <cell r="BU773">
            <v>13</v>
          </cell>
        </row>
        <row r="774">
          <cell r="A774">
            <v>56</v>
          </cell>
          <cell r="B774">
            <v>56</v>
          </cell>
          <cell r="D774">
            <v>0</v>
          </cell>
          <cell r="F774">
            <v>1</v>
          </cell>
          <cell r="G774">
            <v>0</v>
          </cell>
          <cell r="I774">
            <v>1</v>
          </cell>
          <cell r="J774">
            <v>0</v>
          </cell>
          <cell r="K774">
            <v>9</v>
          </cell>
          <cell r="L774">
            <v>9</v>
          </cell>
          <cell r="M774">
            <v>3</v>
          </cell>
          <cell r="O774">
            <v>0</v>
          </cell>
          <cell r="P774">
            <v>0</v>
          </cell>
          <cell r="Q774">
            <v>1</v>
          </cell>
          <cell r="R774">
            <v>0</v>
          </cell>
          <cell r="S774">
            <v>0</v>
          </cell>
          <cell r="T774">
            <v>1</v>
          </cell>
          <cell r="V774">
            <v>1</v>
          </cell>
          <cell r="W774">
            <v>63</v>
          </cell>
          <cell r="X774">
            <v>3</v>
          </cell>
          <cell r="Y774">
            <v>1</v>
          </cell>
          <cell r="AA774">
            <v>0</v>
          </cell>
          <cell r="AB774">
            <v>0</v>
          </cell>
          <cell r="AC774">
            <v>0</v>
          </cell>
          <cell r="AD774">
            <v>0</v>
          </cell>
          <cell r="AE774">
            <v>0</v>
          </cell>
          <cell r="AF774">
            <v>0</v>
          </cell>
          <cell r="AG774">
            <v>0</v>
          </cell>
          <cell r="AH774">
            <v>1</v>
          </cell>
          <cell r="AI774">
            <v>3</v>
          </cell>
          <cell r="AK774">
            <v>0</v>
          </cell>
          <cell r="AL774">
            <v>1</v>
          </cell>
          <cell r="AN774">
            <v>2942</v>
          </cell>
          <cell r="AO774">
            <v>2</v>
          </cell>
          <cell r="AQ774">
            <v>0</v>
          </cell>
          <cell r="AR774">
            <v>19</v>
          </cell>
          <cell r="AS774">
            <v>3</v>
          </cell>
          <cell r="AT774">
            <v>2</v>
          </cell>
          <cell r="AU774">
            <v>1</v>
          </cell>
          <cell r="AV774">
            <v>18</v>
          </cell>
          <cell r="AW774">
            <v>18</v>
          </cell>
          <cell r="AX774">
            <v>4</v>
          </cell>
          <cell r="AY774">
            <v>3</v>
          </cell>
          <cell r="AZ774">
            <v>5</v>
          </cell>
          <cell r="BA774">
            <v>5</v>
          </cell>
          <cell r="BB774">
            <v>4</v>
          </cell>
          <cell r="BC774">
            <v>0</v>
          </cell>
          <cell r="BD774">
            <v>0</v>
          </cell>
          <cell r="BE774">
            <v>3</v>
          </cell>
          <cell r="BF774">
            <v>3</v>
          </cell>
          <cell r="BG774">
            <v>3</v>
          </cell>
          <cell r="BH774">
            <v>0</v>
          </cell>
          <cell r="BI774">
            <v>0</v>
          </cell>
          <cell r="BJ774">
            <v>0</v>
          </cell>
          <cell r="BK774">
            <v>1</v>
          </cell>
          <cell r="BL774">
            <v>0</v>
          </cell>
          <cell r="BM774">
            <v>0</v>
          </cell>
          <cell r="BN774">
            <v>1</v>
          </cell>
          <cell r="BO774">
            <v>0</v>
          </cell>
          <cell r="BP774">
            <v>0</v>
          </cell>
          <cell r="BQ774">
            <v>3</v>
          </cell>
          <cell r="BR774">
            <v>0</v>
          </cell>
          <cell r="BS774">
            <v>0</v>
          </cell>
          <cell r="BT774">
            <v>18</v>
          </cell>
          <cell r="BU774">
            <v>0</v>
          </cell>
        </row>
        <row r="775">
          <cell r="A775">
            <v>36</v>
          </cell>
          <cell r="B775">
            <v>36</v>
          </cell>
          <cell r="D775">
            <v>0</v>
          </cell>
          <cell r="F775">
            <v>0</v>
          </cell>
          <cell r="G775">
            <v>1</v>
          </cell>
          <cell r="I775">
            <v>1</v>
          </cell>
          <cell r="J775">
            <v>0</v>
          </cell>
          <cell r="K775">
            <v>12</v>
          </cell>
          <cell r="L775">
            <v>12</v>
          </cell>
          <cell r="M775">
            <v>5</v>
          </cell>
          <cell r="O775">
            <v>0</v>
          </cell>
          <cell r="P775">
            <v>0</v>
          </cell>
          <cell r="Q775">
            <v>1</v>
          </cell>
          <cell r="R775">
            <v>0</v>
          </cell>
          <cell r="S775">
            <v>0</v>
          </cell>
          <cell r="T775">
            <v>4</v>
          </cell>
          <cell r="V775">
            <v>1</v>
          </cell>
          <cell r="W775">
            <v>51</v>
          </cell>
          <cell r="X775">
            <v>2</v>
          </cell>
          <cell r="Y775">
            <v>3</v>
          </cell>
          <cell r="AA775">
            <v>0</v>
          </cell>
          <cell r="AB775">
            <v>0</v>
          </cell>
          <cell r="AC775">
            <v>0</v>
          </cell>
          <cell r="AD775">
            <v>0</v>
          </cell>
          <cell r="AE775">
            <v>1</v>
          </cell>
          <cell r="AF775">
            <v>1</v>
          </cell>
          <cell r="AG775">
            <v>0</v>
          </cell>
          <cell r="AH775">
            <v>0</v>
          </cell>
          <cell r="AI775">
            <v>4</v>
          </cell>
          <cell r="AK775">
            <v>1</v>
          </cell>
          <cell r="AL775">
            <v>0</v>
          </cell>
          <cell r="AN775">
            <v>8858</v>
          </cell>
          <cell r="AO775">
            <v>0</v>
          </cell>
          <cell r="AQ775">
            <v>0</v>
          </cell>
          <cell r="AR775">
            <v>11</v>
          </cell>
          <cell r="AS775">
            <v>3</v>
          </cell>
          <cell r="AT775">
            <v>2</v>
          </cell>
          <cell r="AU775">
            <v>0</v>
          </cell>
          <cell r="AV775">
            <v>15</v>
          </cell>
          <cell r="AW775">
            <v>15</v>
          </cell>
          <cell r="AX775">
            <v>2</v>
          </cell>
          <cell r="AY775">
            <v>2</v>
          </cell>
          <cell r="AZ775">
            <v>14</v>
          </cell>
          <cell r="BA775">
            <v>14</v>
          </cell>
          <cell r="BB775">
            <v>8</v>
          </cell>
          <cell r="BC775">
            <v>7</v>
          </cell>
          <cell r="BD775">
            <v>7</v>
          </cell>
          <cell r="BE775">
            <v>8</v>
          </cell>
          <cell r="BF775">
            <v>8</v>
          </cell>
          <cell r="BG775">
            <v>24</v>
          </cell>
          <cell r="BH775">
            <v>1</v>
          </cell>
          <cell r="BI775">
            <v>0</v>
          </cell>
          <cell r="BJ775">
            <v>0</v>
          </cell>
          <cell r="BK775">
            <v>0</v>
          </cell>
          <cell r="BL775">
            <v>1</v>
          </cell>
          <cell r="BM775">
            <v>0</v>
          </cell>
          <cell r="BN775">
            <v>0</v>
          </cell>
          <cell r="BO775">
            <v>0</v>
          </cell>
          <cell r="BP775">
            <v>0</v>
          </cell>
          <cell r="BQ775">
            <v>8</v>
          </cell>
          <cell r="BR775">
            <v>0</v>
          </cell>
          <cell r="BS775">
            <v>0</v>
          </cell>
          <cell r="BT775">
            <v>15</v>
          </cell>
          <cell r="BU775">
            <v>0</v>
          </cell>
        </row>
        <row r="776">
          <cell r="A776">
            <v>55</v>
          </cell>
          <cell r="B776">
            <v>55</v>
          </cell>
          <cell r="D776">
            <v>0</v>
          </cell>
          <cell r="F776">
            <v>0</v>
          </cell>
          <cell r="G776">
            <v>0</v>
          </cell>
          <cell r="I776">
            <v>1</v>
          </cell>
          <cell r="J776">
            <v>0</v>
          </cell>
          <cell r="K776">
            <v>2</v>
          </cell>
          <cell r="L776">
            <v>2</v>
          </cell>
          <cell r="M776">
            <v>1</v>
          </cell>
          <cell r="O776">
            <v>0</v>
          </cell>
          <cell r="P776">
            <v>0</v>
          </cell>
          <cell r="Q776">
            <v>1</v>
          </cell>
          <cell r="R776">
            <v>0</v>
          </cell>
          <cell r="S776">
            <v>0</v>
          </cell>
          <cell r="T776">
            <v>3</v>
          </cell>
          <cell r="V776">
            <v>0</v>
          </cell>
          <cell r="W776">
            <v>40</v>
          </cell>
          <cell r="X776">
            <v>2</v>
          </cell>
          <cell r="Y776">
            <v>4</v>
          </cell>
          <cell r="AA776">
            <v>0</v>
          </cell>
          <cell r="AB776">
            <v>0</v>
          </cell>
          <cell r="AC776">
            <v>0</v>
          </cell>
          <cell r="AD776">
            <v>1</v>
          </cell>
          <cell r="AE776">
            <v>0</v>
          </cell>
          <cell r="AF776">
            <v>0</v>
          </cell>
          <cell r="AG776">
            <v>0</v>
          </cell>
          <cell r="AH776">
            <v>0</v>
          </cell>
          <cell r="AI776">
            <v>1</v>
          </cell>
          <cell r="AK776">
            <v>1</v>
          </cell>
          <cell r="AL776">
            <v>0</v>
          </cell>
          <cell r="AN776">
            <v>16756</v>
          </cell>
          <cell r="AO776">
            <v>7</v>
          </cell>
          <cell r="AQ776">
            <v>0</v>
          </cell>
          <cell r="AR776">
            <v>15</v>
          </cell>
          <cell r="AS776">
            <v>3</v>
          </cell>
          <cell r="AT776">
            <v>2</v>
          </cell>
          <cell r="AU776">
            <v>0</v>
          </cell>
          <cell r="AV776">
            <v>31</v>
          </cell>
          <cell r="AW776">
            <v>31</v>
          </cell>
          <cell r="AX776">
            <v>3</v>
          </cell>
          <cell r="AY776">
            <v>4</v>
          </cell>
          <cell r="AZ776">
            <v>9</v>
          </cell>
          <cell r="BA776">
            <v>9</v>
          </cell>
          <cell r="BB776">
            <v>7</v>
          </cell>
          <cell r="BC776">
            <v>6</v>
          </cell>
          <cell r="BD776">
            <v>6</v>
          </cell>
          <cell r="BE776">
            <v>2</v>
          </cell>
          <cell r="BF776">
            <v>2</v>
          </cell>
          <cell r="BG776">
            <v>8</v>
          </cell>
          <cell r="BH776">
            <v>1</v>
          </cell>
          <cell r="BI776">
            <v>0</v>
          </cell>
          <cell r="BJ776">
            <v>0</v>
          </cell>
          <cell r="BK776">
            <v>0</v>
          </cell>
          <cell r="BL776">
            <v>1</v>
          </cell>
          <cell r="BM776">
            <v>0</v>
          </cell>
          <cell r="BN776">
            <v>0</v>
          </cell>
          <cell r="BO776">
            <v>0</v>
          </cell>
          <cell r="BP776">
            <v>0</v>
          </cell>
          <cell r="BQ776">
            <v>2</v>
          </cell>
          <cell r="BR776">
            <v>0</v>
          </cell>
          <cell r="BS776">
            <v>0</v>
          </cell>
          <cell r="BT776">
            <v>31</v>
          </cell>
          <cell r="BU776">
            <v>0</v>
          </cell>
        </row>
        <row r="777">
          <cell r="A777">
            <v>43</v>
          </cell>
          <cell r="B777">
            <v>43</v>
          </cell>
          <cell r="D777">
            <v>0</v>
          </cell>
          <cell r="F777">
            <v>0</v>
          </cell>
          <cell r="G777">
            <v>1</v>
          </cell>
          <cell r="I777">
            <v>0</v>
          </cell>
          <cell r="J777">
            <v>1</v>
          </cell>
          <cell r="K777">
            <v>25</v>
          </cell>
          <cell r="L777">
            <v>25</v>
          </cell>
          <cell r="M777">
            <v>3</v>
          </cell>
          <cell r="O777">
            <v>0</v>
          </cell>
          <cell r="P777">
            <v>0</v>
          </cell>
          <cell r="Q777">
            <v>1</v>
          </cell>
          <cell r="R777">
            <v>0</v>
          </cell>
          <cell r="S777">
            <v>0</v>
          </cell>
          <cell r="T777">
            <v>3</v>
          </cell>
          <cell r="V777">
            <v>0</v>
          </cell>
          <cell r="W777">
            <v>79</v>
          </cell>
          <cell r="X777">
            <v>2</v>
          </cell>
          <cell r="Y777">
            <v>3</v>
          </cell>
          <cell r="AA777">
            <v>0</v>
          </cell>
          <cell r="AB777">
            <v>1</v>
          </cell>
          <cell r="AC777">
            <v>0</v>
          </cell>
          <cell r="AD777">
            <v>0</v>
          </cell>
          <cell r="AE777">
            <v>0</v>
          </cell>
          <cell r="AF777">
            <v>0</v>
          </cell>
          <cell r="AG777">
            <v>0</v>
          </cell>
          <cell r="AH777">
            <v>0</v>
          </cell>
          <cell r="AI777">
            <v>4</v>
          </cell>
          <cell r="AK777">
            <v>0</v>
          </cell>
          <cell r="AL777">
            <v>0</v>
          </cell>
          <cell r="AN777">
            <v>10798</v>
          </cell>
          <cell r="AO777">
            <v>5</v>
          </cell>
          <cell r="AQ777">
            <v>0</v>
          </cell>
          <cell r="AR777">
            <v>13</v>
          </cell>
          <cell r="AS777">
            <v>3</v>
          </cell>
          <cell r="AT777">
            <v>3</v>
          </cell>
          <cell r="AU777">
            <v>1</v>
          </cell>
          <cell r="AV777">
            <v>18</v>
          </cell>
          <cell r="AW777">
            <v>18</v>
          </cell>
          <cell r="AX777">
            <v>5</v>
          </cell>
          <cell r="AY777">
            <v>3</v>
          </cell>
          <cell r="AZ777">
            <v>1</v>
          </cell>
          <cell r="BA777">
            <v>1</v>
          </cell>
          <cell r="BB777">
            <v>0</v>
          </cell>
          <cell r="BC777">
            <v>0</v>
          </cell>
          <cell r="BD777">
            <v>0</v>
          </cell>
          <cell r="BE777">
            <v>0</v>
          </cell>
          <cell r="BF777">
            <v>0</v>
          </cell>
          <cell r="BG777">
            <v>0</v>
          </cell>
          <cell r="BH777">
            <v>1</v>
          </cell>
          <cell r="BI777">
            <v>0</v>
          </cell>
          <cell r="BJ777">
            <v>0</v>
          </cell>
          <cell r="BK777">
            <v>0</v>
          </cell>
          <cell r="BL777">
            <v>1</v>
          </cell>
          <cell r="BM777">
            <v>0</v>
          </cell>
          <cell r="BN777">
            <v>0</v>
          </cell>
          <cell r="BO777">
            <v>0</v>
          </cell>
          <cell r="BP777">
            <v>0</v>
          </cell>
          <cell r="BQ777">
            <v>0</v>
          </cell>
          <cell r="BR777">
            <v>0</v>
          </cell>
          <cell r="BS777">
            <v>0</v>
          </cell>
          <cell r="BT777">
            <v>0</v>
          </cell>
          <cell r="BU777">
            <v>18</v>
          </cell>
        </row>
        <row r="778">
          <cell r="A778">
            <v>20</v>
          </cell>
          <cell r="B778">
            <v>20</v>
          </cell>
          <cell r="D778">
            <v>1</v>
          </cell>
          <cell r="F778">
            <v>1</v>
          </cell>
          <cell r="G778">
            <v>0</v>
          </cell>
          <cell r="I778">
            <v>0</v>
          </cell>
          <cell r="J778">
            <v>1</v>
          </cell>
          <cell r="K778">
            <v>9</v>
          </cell>
          <cell r="L778">
            <v>9</v>
          </cell>
          <cell r="M778">
            <v>3</v>
          </cell>
          <cell r="O778">
            <v>0</v>
          </cell>
          <cell r="P778">
            <v>0</v>
          </cell>
          <cell r="Q778">
            <v>0</v>
          </cell>
          <cell r="R778">
            <v>1</v>
          </cell>
          <cell r="S778">
            <v>0</v>
          </cell>
          <cell r="T778">
            <v>4</v>
          </cell>
          <cell r="V778">
            <v>1</v>
          </cell>
          <cell r="W778">
            <v>54</v>
          </cell>
          <cell r="X778">
            <v>3</v>
          </cell>
          <cell r="Y778">
            <v>1</v>
          </cell>
          <cell r="AA778">
            <v>0</v>
          </cell>
          <cell r="AB778">
            <v>0</v>
          </cell>
          <cell r="AC778">
            <v>0</v>
          </cell>
          <cell r="AD778">
            <v>0</v>
          </cell>
          <cell r="AE778">
            <v>0</v>
          </cell>
          <cell r="AF778">
            <v>0</v>
          </cell>
          <cell r="AG778">
            <v>1</v>
          </cell>
          <cell r="AH778">
            <v>0</v>
          </cell>
          <cell r="AI778">
            <v>4</v>
          </cell>
          <cell r="AK778">
            <v>1</v>
          </cell>
          <cell r="AL778">
            <v>0</v>
          </cell>
          <cell r="AN778">
            <v>2323</v>
          </cell>
          <cell r="AO778">
            <v>1</v>
          </cell>
          <cell r="AQ778">
            <v>1</v>
          </cell>
          <cell r="AR778">
            <v>14</v>
          </cell>
          <cell r="AS778">
            <v>3</v>
          </cell>
          <cell r="AT778">
            <v>2</v>
          </cell>
          <cell r="AU778">
            <v>0</v>
          </cell>
          <cell r="AV778">
            <v>2</v>
          </cell>
          <cell r="AW778">
            <v>2</v>
          </cell>
          <cell r="AX778">
            <v>3</v>
          </cell>
          <cell r="AY778">
            <v>3</v>
          </cell>
          <cell r="AZ778">
            <v>2</v>
          </cell>
          <cell r="BA778">
            <v>2</v>
          </cell>
          <cell r="BB778">
            <v>2</v>
          </cell>
          <cell r="BC778">
            <v>0</v>
          </cell>
          <cell r="BD778">
            <v>0</v>
          </cell>
          <cell r="BE778">
            <v>2</v>
          </cell>
          <cell r="BF778">
            <v>2</v>
          </cell>
          <cell r="BG778">
            <v>2</v>
          </cell>
          <cell r="BH778">
            <v>0</v>
          </cell>
          <cell r="BI778">
            <v>0</v>
          </cell>
          <cell r="BJ778">
            <v>1</v>
          </cell>
          <cell r="BK778">
            <v>0</v>
          </cell>
          <cell r="BL778">
            <v>0</v>
          </cell>
          <cell r="BM778">
            <v>1</v>
          </cell>
          <cell r="BN778">
            <v>0</v>
          </cell>
          <cell r="BO778">
            <v>0</v>
          </cell>
          <cell r="BP778">
            <v>0</v>
          </cell>
          <cell r="BQ778">
            <v>0</v>
          </cell>
          <cell r="BR778">
            <v>2</v>
          </cell>
          <cell r="BS778">
            <v>0</v>
          </cell>
          <cell r="BT778">
            <v>0</v>
          </cell>
          <cell r="BU778">
            <v>2</v>
          </cell>
        </row>
        <row r="779">
          <cell r="A779">
            <v>21</v>
          </cell>
          <cell r="B779">
            <v>21</v>
          </cell>
          <cell r="D779">
            <v>1</v>
          </cell>
          <cell r="F779">
            <v>0</v>
          </cell>
          <cell r="G779">
            <v>1</v>
          </cell>
          <cell r="I779">
            <v>1</v>
          </cell>
          <cell r="J779">
            <v>0</v>
          </cell>
          <cell r="K779">
            <v>10</v>
          </cell>
          <cell r="L779">
            <v>10</v>
          </cell>
          <cell r="M779">
            <v>3</v>
          </cell>
          <cell r="O779">
            <v>1</v>
          </cell>
          <cell r="P779">
            <v>0</v>
          </cell>
          <cell r="Q779">
            <v>0</v>
          </cell>
          <cell r="R779">
            <v>0</v>
          </cell>
          <cell r="S779">
            <v>0</v>
          </cell>
          <cell r="T779">
            <v>3</v>
          </cell>
          <cell r="V779">
            <v>1</v>
          </cell>
          <cell r="W779">
            <v>36</v>
          </cell>
          <cell r="X779">
            <v>2</v>
          </cell>
          <cell r="Y779">
            <v>1</v>
          </cell>
          <cell r="AA779">
            <v>0</v>
          </cell>
          <cell r="AB779">
            <v>0</v>
          </cell>
          <cell r="AC779">
            <v>1</v>
          </cell>
          <cell r="AD779">
            <v>0</v>
          </cell>
          <cell r="AE779">
            <v>0</v>
          </cell>
          <cell r="AF779">
            <v>0</v>
          </cell>
          <cell r="AG779">
            <v>0</v>
          </cell>
          <cell r="AH779">
            <v>0</v>
          </cell>
          <cell r="AI779">
            <v>1</v>
          </cell>
          <cell r="AK779">
            <v>1</v>
          </cell>
          <cell r="AL779">
            <v>0</v>
          </cell>
          <cell r="AN779">
            <v>1416</v>
          </cell>
          <cell r="AO779">
            <v>1</v>
          </cell>
          <cell r="AQ779">
            <v>0</v>
          </cell>
          <cell r="AR779">
            <v>13</v>
          </cell>
          <cell r="AS779">
            <v>3</v>
          </cell>
          <cell r="AT779">
            <v>1</v>
          </cell>
          <cell r="AU779">
            <v>0</v>
          </cell>
          <cell r="AV779">
            <v>1</v>
          </cell>
          <cell r="AW779">
            <v>1</v>
          </cell>
          <cell r="AX779">
            <v>6</v>
          </cell>
          <cell r="AY779">
            <v>2</v>
          </cell>
          <cell r="AZ779">
            <v>1</v>
          </cell>
          <cell r="BA779">
            <v>1</v>
          </cell>
          <cell r="BB779">
            <v>0</v>
          </cell>
          <cell r="BC779">
            <v>1</v>
          </cell>
          <cell r="BD779">
            <v>1</v>
          </cell>
          <cell r="BE779">
            <v>0</v>
          </cell>
          <cell r="BF779">
            <v>0</v>
          </cell>
          <cell r="BG779">
            <v>0</v>
          </cell>
          <cell r="BH779">
            <v>1</v>
          </cell>
          <cell r="BI779">
            <v>0</v>
          </cell>
          <cell r="BJ779">
            <v>0</v>
          </cell>
          <cell r="BK779">
            <v>0</v>
          </cell>
          <cell r="BL779">
            <v>1</v>
          </cell>
          <cell r="BM779">
            <v>0</v>
          </cell>
          <cell r="BN779">
            <v>0</v>
          </cell>
          <cell r="BO779">
            <v>0</v>
          </cell>
          <cell r="BP779">
            <v>0</v>
          </cell>
          <cell r="BQ779">
            <v>0</v>
          </cell>
          <cell r="BR779">
            <v>0</v>
          </cell>
          <cell r="BS779">
            <v>0</v>
          </cell>
          <cell r="BT779">
            <v>1</v>
          </cell>
          <cell r="BU779">
            <v>0</v>
          </cell>
        </row>
        <row r="780">
          <cell r="A780">
            <v>46</v>
          </cell>
          <cell r="B780">
            <v>46</v>
          </cell>
          <cell r="D780">
            <v>0</v>
          </cell>
          <cell r="F780">
            <v>0</v>
          </cell>
          <cell r="G780">
            <v>1</v>
          </cell>
          <cell r="I780">
            <v>1</v>
          </cell>
          <cell r="J780">
            <v>0</v>
          </cell>
          <cell r="K780">
            <v>8</v>
          </cell>
          <cell r="L780">
            <v>8</v>
          </cell>
          <cell r="M780">
            <v>4</v>
          </cell>
          <cell r="O780">
            <v>1</v>
          </cell>
          <cell r="P780">
            <v>0</v>
          </cell>
          <cell r="Q780">
            <v>0</v>
          </cell>
          <cell r="R780">
            <v>0</v>
          </cell>
          <cell r="S780">
            <v>0</v>
          </cell>
          <cell r="T780">
            <v>4</v>
          </cell>
          <cell r="V780">
            <v>1</v>
          </cell>
          <cell r="W780">
            <v>74</v>
          </cell>
          <cell r="X780">
            <v>2</v>
          </cell>
          <cell r="Y780">
            <v>2</v>
          </cell>
          <cell r="AA780">
            <v>0</v>
          </cell>
          <cell r="AB780">
            <v>0</v>
          </cell>
          <cell r="AC780">
            <v>0</v>
          </cell>
          <cell r="AD780">
            <v>0</v>
          </cell>
          <cell r="AE780">
            <v>0</v>
          </cell>
          <cell r="AF780">
            <v>0</v>
          </cell>
          <cell r="AG780">
            <v>0</v>
          </cell>
          <cell r="AH780">
            <v>1</v>
          </cell>
          <cell r="AI780">
            <v>1</v>
          </cell>
          <cell r="AK780">
            <v>0</v>
          </cell>
          <cell r="AL780">
            <v>0</v>
          </cell>
          <cell r="AN780">
            <v>4615</v>
          </cell>
          <cell r="AO780">
            <v>8</v>
          </cell>
          <cell r="AQ780">
            <v>1</v>
          </cell>
          <cell r="AR780">
            <v>23</v>
          </cell>
          <cell r="AS780">
            <v>4</v>
          </cell>
          <cell r="AT780">
            <v>1</v>
          </cell>
          <cell r="AU780">
            <v>3</v>
          </cell>
          <cell r="AV780">
            <v>19</v>
          </cell>
          <cell r="AW780">
            <v>19</v>
          </cell>
          <cell r="AX780">
            <v>2</v>
          </cell>
          <cell r="AY780">
            <v>3</v>
          </cell>
          <cell r="AZ780">
            <v>16</v>
          </cell>
          <cell r="BA780">
            <v>16</v>
          </cell>
          <cell r="BB780">
            <v>13</v>
          </cell>
          <cell r="BC780">
            <v>1</v>
          </cell>
          <cell r="BD780">
            <v>1</v>
          </cell>
          <cell r="BE780">
            <v>7</v>
          </cell>
          <cell r="BF780">
            <v>7</v>
          </cell>
          <cell r="BG780">
            <v>14</v>
          </cell>
          <cell r="BH780">
            <v>1</v>
          </cell>
          <cell r="BI780">
            <v>0</v>
          </cell>
          <cell r="BJ780">
            <v>0</v>
          </cell>
          <cell r="BK780">
            <v>0</v>
          </cell>
          <cell r="BL780">
            <v>0</v>
          </cell>
          <cell r="BM780">
            <v>1</v>
          </cell>
          <cell r="BN780">
            <v>0</v>
          </cell>
          <cell r="BO780">
            <v>0</v>
          </cell>
          <cell r="BP780">
            <v>0</v>
          </cell>
          <cell r="BQ780">
            <v>7</v>
          </cell>
          <cell r="BR780">
            <v>0</v>
          </cell>
          <cell r="BS780">
            <v>0</v>
          </cell>
          <cell r="BT780">
            <v>19</v>
          </cell>
          <cell r="BU780">
            <v>0</v>
          </cell>
        </row>
        <row r="781">
          <cell r="A781">
            <v>51</v>
          </cell>
          <cell r="B781">
            <v>51</v>
          </cell>
          <cell r="D781">
            <v>1</v>
          </cell>
          <cell r="F781">
            <v>0</v>
          </cell>
          <cell r="G781">
            <v>1</v>
          </cell>
          <cell r="I781">
            <v>1</v>
          </cell>
          <cell r="J781">
            <v>0</v>
          </cell>
          <cell r="K781">
            <v>4</v>
          </cell>
          <cell r="L781">
            <v>4</v>
          </cell>
          <cell r="M781">
            <v>4</v>
          </cell>
          <cell r="O781">
            <v>1</v>
          </cell>
          <cell r="P781">
            <v>0</v>
          </cell>
          <cell r="Q781">
            <v>0</v>
          </cell>
          <cell r="R781">
            <v>0</v>
          </cell>
          <cell r="S781">
            <v>0</v>
          </cell>
          <cell r="T781">
            <v>1</v>
          </cell>
          <cell r="V781">
            <v>0</v>
          </cell>
          <cell r="W781">
            <v>34</v>
          </cell>
          <cell r="X781">
            <v>3</v>
          </cell>
          <cell r="Y781">
            <v>1</v>
          </cell>
          <cell r="AA781">
            <v>0</v>
          </cell>
          <cell r="AB781">
            <v>0</v>
          </cell>
          <cell r="AC781">
            <v>0</v>
          </cell>
          <cell r="AD781">
            <v>0</v>
          </cell>
          <cell r="AE781">
            <v>0</v>
          </cell>
          <cell r="AF781">
            <v>0</v>
          </cell>
          <cell r="AG781">
            <v>0</v>
          </cell>
          <cell r="AH781">
            <v>1</v>
          </cell>
          <cell r="AI781">
            <v>3</v>
          </cell>
          <cell r="AK781">
            <v>0</v>
          </cell>
          <cell r="AL781">
            <v>1</v>
          </cell>
          <cell r="AN781">
            <v>2461</v>
          </cell>
          <cell r="AO781">
            <v>9</v>
          </cell>
          <cell r="AQ781">
            <v>1</v>
          </cell>
          <cell r="AR781">
            <v>12</v>
          </cell>
          <cell r="AS781">
            <v>3</v>
          </cell>
          <cell r="AT781">
            <v>3</v>
          </cell>
          <cell r="AU781">
            <v>3</v>
          </cell>
          <cell r="AV781">
            <v>18</v>
          </cell>
          <cell r="AW781">
            <v>18</v>
          </cell>
          <cell r="AX781">
            <v>2</v>
          </cell>
          <cell r="AY781">
            <v>4</v>
          </cell>
          <cell r="AZ781">
            <v>10</v>
          </cell>
          <cell r="BA781">
            <v>10</v>
          </cell>
          <cell r="BB781">
            <v>0</v>
          </cell>
          <cell r="BC781">
            <v>2</v>
          </cell>
          <cell r="BD781">
            <v>2</v>
          </cell>
          <cell r="BE781">
            <v>7</v>
          </cell>
          <cell r="BF781">
            <v>7</v>
          </cell>
          <cell r="BG781">
            <v>7</v>
          </cell>
          <cell r="BH781">
            <v>0</v>
          </cell>
          <cell r="BI781">
            <v>1</v>
          </cell>
          <cell r="BJ781">
            <v>0</v>
          </cell>
          <cell r="BK781">
            <v>0</v>
          </cell>
          <cell r="BL781">
            <v>0</v>
          </cell>
          <cell r="BM781">
            <v>0</v>
          </cell>
          <cell r="BN781">
            <v>0</v>
          </cell>
          <cell r="BO781">
            <v>1</v>
          </cell>
          <cell r="BP781">
            <v>0</v>
          </cell>
          <cell r="BQ781">
            <v>7</v>
          </cell>
          <cell r="BR781">
            <v>0</v>
          </cell>
          <cell r="BS781">
            <v>0</v>
          </cell>
          <cell r="BT781">
            <v>18</v>
          </cell>
          <cell r="BU781">
            <v>0</v>
          </cell>
        </row>
        <row r="782">
          <cell r="A782">
            <v>28</v>
          </cell>
          <cell r="B782">
            <v>28</v>
          </cell>
          <cell r="D782">
            <v>1</v>
          </cell>
          <cell r="F782">
            <v>0</v>
          </cell>
          <cell r="G782">
            <v>0</v>
          </cell>
          <cell r="I782">
            <v>1</v>
          </cell>
          <cell r="J782">
            <v>0</v>
          </cell>
          <cell r="K782">
            <v>24</v>
          </cell>
          <cell r="L782">
            <v>24</v>
          </cell>
          <cell r="M782">
            <v>2</v>
          </cell>
          <cell r="O782">
            <v>0</v>
          </cell>
          <cell r="P782">
            <v>0</v>
          </cell>
          <cell r="Q782">
            <v>0</v>
          </cell>
          <cell r="R782">
            <v>0</v>
          </cell>
          <cell r="S782">
            <v>1</v>
          </cell>
          <cell r="T782">
            <v>2</v>
          </cell>
          <cell r="V782">
            <v>0</v>
          </cell>
          <cell r="W782">
            <v>72</v>
          </cell>
          <cell r="X782">
            <v>2</v>
          </cell>
          <cell r="Y782">
            <v>3</v>
          </cell>
          <cell r="AA782">
            <v>1</v>
          </cell>
          <cell r="AB782">
            <v>0</v>
          </cell>
          <cell r="AC782">
            <v>0</v>
          </cell>
          <cell r="AD782">
            <v>0</v>
          </cell>
          <cell r="AE782">
            <v>0</v>
          </cell>
          <cell r="AF782">
            <v>0</v>
          </cell>
          <cell r="AG782">
            <v>0</v>
          </cell>
          <cell r="AH782">
            <v>0</v>
          </cell>
          <cell r="AI782">
            <v>1</v>
          </cell>
          <cell r="AK782">
            <v>1</v>
          </cell>
          <cell r="AL782">
            <v>0</v>
          </cell>
          <cell r="AN782">
            <v>8722</v>
          </cell>
          <cell r="AO782">
            <v>1</v>
          </cell>
          <cell r="AQ782">
            <v>0</v>
          </cell>
          <cell r="AR782">
            <v>12</v>
          </cell>
          <cell r="AS782">
            <v>3</v>
          </cell>
          <cell r="AT782">
            <v>1</v>
          </cell>
          <cell r="AU782">
            <v>0</v>
          </cell>
          <cell r="AV782">
            <v>10</v>
          </cell>
          <cell r="AW782">
            <v>10</v>
          </cell>
          <cell r="AX782">
            <v>2</v>
          </cell>
          <cell r="AY782">
            <v>2</v>
          </cell>
          <cell r="AZ782">
            <v>10</v>
          </cell>
          <cell r="BA782">
            <v>10</v>
          </cell>
          <cell r="BB782">
            <v>7</v>
          </cell>
          <cell r="BC782">
            <v>1</v>
          </cell>
          <cell r="BD782">
            <v>1</v>
          </cell>
          <cell r="BE782">
            <v>9</v>
          </cell>
          <cell r="BF782">
            <v>9</v>
          </cell>
          <cell r="BG782">
            <v>27</v>
          </cell>
          <cell r="BH782">
            <v>1</v>
          </cell>
          <cell r="BI782">
            <v>0</v>
          </cell>
          <cell r="BJ782">
            <v>0</v>
          </cell>
          <cell r="BK782">
            <v>0</v>
          </cell>
          <cell r="BL782">
            <v>1</v>
          </cell>
          <cell r="BM782">
            <v>0</v>
          </cell>
          <cell r="BN782">
            <v>0</v>
          </cell>
          <cell r="BO782">
            <v>0</v>
          </cell>
          <cell r="BP782">
            <v>0</v>
          </cell>
          <cell r="BQ782">
            <v>9</v>
          </cell>
          <cell r="BR782">
            <v>0</v>
          </cell>
          <cell r="BS782">
            <v>0</v>
          </cell>
          <cell r="BT782">
            <v>10</v>
          </cell>
          <cell r="BU782">
            <v>0</v>
          </cell>
        </row>
        <row r="783">
          <cell r="A783">
            <v>26</v>
          </cell>
          <cell r="B783">
            <v>26</v>
          </cell>
          <cell r="D783">
            <v>0</v>
          </cell>
          <cell r="F783">
            <v>0</v>
          </cell>
          <cell r="G783">
            <v>1</v>
          </cell>
          <cell r="I783">
            <v>1</v>
          </cell>
          <cell r="J783">
            <v>0</v>
          </cell>
          <cell r="K783">
            <v>1</v>
          </cell>
          <cell r="L783">
            <v>1</v>
          </cell>
          <cell r="M783">
            <v>2</v>
          </cell>
          <cell r="O783">
            <v>0</v>
          </cell>
          <cell r="P783">
            <v>0</v>
          </cell>
          <cell r="Q783">
            <v>1</v>
          </cell>
          <cell r="R783">
            <v>0</v>
          </cell>
          <cell r="S783">
            <v>0</v>
          </cell>
          <cell r="T783">
            <v>1</v>
          </cell>
          <cell r="V783">
            <v>0</v>
          </cell>
          <cell r="W783">
            <v>59</v>
          </cell>
          <cell r="X783">
            <v>2</v>
          </cell>
          <cell r="Y783">
            <v>1</v>
          </cell>
          <cell r="AA783">
            <v>0</v>
          </cell>
          <cell r="AB783">
            <v>0</v>
          </cell>
          <cell r="AC783">
            <v>1</v>
          </cell>
          <cell r="AD783">
            <v>0</v>
          </cell>
          <cell r="AE783">
            <v>0</v>
          </cell>
          <cell r="AF783">
            <v>0</v>
          </cell>
          <cell r="AG783">
            <v>0</v>
          </cell>
          <cell r="AH783">
            <v>0</v>
          </cell>
          <cell r="AI783">
            <v>1</v>
          </cell>
          <cell r="AK783">
            <v>0</v>
          </cell>
          <cell r="AL783">
            <v>1</v>
          </cell>
          <cell r="AN783">
            <v>3955</v>
          </cell>
          <cell r="AO783">
            <v>1</v>
          </cell>
          <cell r="AQ783">
            <v>0</v>
          </cell>
          <cell r="AR783">
            <v>16</v>
          </cell>
          <cell r="AS783">
            <v>3</v>
          </cell>
          <cell r="AT783">
            <v>1</v>
          </cell>
          <cell r="AU783">
            <v>2</v>
          </cell>
          <cell r="AV783">
            <v>6</v>
          </cell>
          <cell r="AW783">
            <v>6</v>
          </cell>
          <cell r="AX783">
            <v>2</v>
          </cell>
          <cell r="AY783">
            <v>3</v>
          </cell>
          <cell r="AZ783">
            <v>5</v>
          </cell>
          <cell r="BA783">
            <v>5</v>
          </cell>
          <cell r="BB783">
            <v>3</v>
          </cell>
          <cell r="BC783">
            <v>1</v>
          </cell>
          <cell r="BD783">
            <v>1</v>
          </cell>
          <cell r="BE783">
            <v>3</v>
          </cell>
          <cell r="BF783">
            <v>3</v>
          </cell>
          <cell r="BG783">
            <v>3</v>
          </cell>
          <cell r="BH783">
            <v>0</v>
          </cell>
          <cell r="BI783">
            <v>1</v>
          </cell>
          <cell r="BJ783">
            <v>0</v>
          </cell>
          <cell r="BK783">
            <v>0</v>
          </cell>
          <cell r="BL783">
            <v>0</v>
          </cell>
          <cell r="BM783">
            <v>0</v>
          </cell>
          <cell r="BN783">
            <v>1</v>
          </cell>
          <cell r="BO783">
            <v>0</v>
          </cell>
          <cell r="BP783">
            <v>0</v>
          </cell>
          <cell r="BQ783">
            <v>3</v>
          </cell>
          <cell r="BR783">
            <v>0</v>
          </cell>
          <cell r="BS783">
            <v>0</v>
          </cell>
          <cell r="BT783">
            <v>6</v>
          </cell>
          <cell r="BU783">
            <v>0</v>
          </cell>
        </row>
        <row r="784">
          <cell r="A784">
            <v>30</v>
          </cell>
          <cell r="B784">
            <v>30</v>
          </cell>
          <cell r="D784">
            <v>0</v>
          </cell>
          <cell r="F784">
            <v>0</v>
          </cell>
          <cell r="G784">
            <v>1</v>
          </cell>
          <cell r="I784">
            <v>1</v>
          </cell>
          <cell r="J784">
            <v>0</v>
          </cell>
          <cell r="K784">
            <v>20</v>
          </cell>
          <cell r="L784">
            <v>20</v>
          </cell>
          <cell r="M784">
            <v>3</v>
          </cell>
          <cell r="O784">
            <v>0</v>
          </cell>
          <cell r="P784">
            <v>1</v>
          </cell>
          <cell r="Q784">
            <v>0</v>
          </cell>
          <cell r="R784">
            <v>0</v>
          </cell>
          <cell r="S784">
            <v>0</v>
          </cell>
          <cell r="T784">
            <v>3</v>
          </cell>
          <cell r="V784">
            <v>0</v>
          </cell>
          <cell r="W784">
            <v>85</v>
          </cell>
          <cell r="X784">
            <v>3</v>
          </cell>
          <cell r="Y784">
            <v>2</v>
          </cell>
          <cell r="AA784">
            <v>0</v>
          </cell>
          <cell r="AB784">
            <v>0</v>
          </cell>
          <cell r="AC784">
            <v>0</v>
          </cell>
          <cell r="AD784">
            <v>0</v>
          </cell>
          <cell r="AE784">
            <v>1</v>
          </cell>
          <cell r="AF784">
            <v>1</v>
          </cell>
          <cell r="AG784">
            <v>0</v>
          </cell>
          <cell r="AH784">
            <v>0</v>
          </cell>
          <cell r="AI784">
            <v>1</v>
          </cell>
          <cell r="AK784">
            <v>0</v>
          </cell>
          <cell r="AL784">
            <v>1</v>
          </cell>
          <cell r="AN784">
            <v>9957</v>
          </cell>
          <cell r="AO784">
            <v>0</v>
          </cell>
          <cell r="AQ784">
            <v>0</v>
          </cell>
          <cell r="AR784">
            <v>15</v>
          </cell>
          <cell r="AS784">
            <v>3</v>
          </cell>
          <cell r="AT784">
            <v>3</v>
          </cell>
          <cell r="AU784">
            <v>1</v>
          </cell>
          <cell r="AV784">
            <v>7</v>
          </cell>
          <cell r="AW784">
            <v>7</v>
          </cell>
          <cell r="AX784">
            <v>1</v>
          </cell>
          <cell r="AY784">
            <v>2</v>
          </cell>
          <cell r="AZ784">
            <v>6</v>
          </cell>
          <cell r="BA784">
            <v>6</v>
          </cell>
          <cell r="BB784">
            <v>2</v>
          </cell>
          <cell r="BC784">
            <v>0</v>
          </cell>
          <cell r="BD784">
            <v>0</v>
          </cell>
          <cell r="BE784">
            <v>2</v>
          </cell>
          <cell r="BF784">
            <v>2</v>
          </cell>
          <cell r="BG784">
            <v>4</v>
          </cell>
          <cell r="BH784">
            <v>0</v>
          </cell>
          <cell r="BI784">
            <v>1</v>
          </cell>
          <cell r="BJ784">
            <v>0</v>
          </cell>
          <cell r="BK784">
            <v>0</v>
          </cell>
          <cell r="BL784">
            <v>0</v>
          </cell>
          <cell r="BM784">
            <v>0</v>
          </cell>
          <cell r="BN784">
            <v>1</v>
          </cell>
          <cell r="BO784">
            <v>0</v>
          </cell>
          <cell r="BP784">
            <v>0</v>
          </cell>
          <cell r="BQ784">
            <v>2</v>
          </cell>
          <cell r="BR784">
            <v>0</v>
          </cell>
          <cell r="BS784">
            <v>0</v>
          </cell>
          <cell r="BT784">
            <v>7</v>
          </cell>
          <cell r="BU784">
            <v>0</v>
          </cell>
        </row>
        <row r="785">
          <cell r="A785">
            <v>41</v>
          </cell>
          <cell r="B785">
            <v>41</v>
          </cell>
          <cell r="D785">
            <v>0</v>
          </cell>
          <cell r="F785">
            <v>0</v>
          </cell>
          <cell r="G785">
            <v>1</v>
          </cell>
          <cell r="I785">
            <v>1</v>
          </cell>
          <cell r="J785">
            <v>0</v>
          </cell>
          <cell r="K785">
            <v>7</v>
          </cell>
          <cell r="L785">
            <v>7</v>
          </cell>
          <cell r="M785">
            <v>2</v>
          </cell>
          <cell r="O785">
            <v>0</v>
          </cell>
          <cell r="P785">
            <v>0</v>
          </cell>
          <cell r="Q785">
            <v>0</v>
          </cell>
          <cell r="R785">
            <v>0</v>
          </cell>
          <cell r="S785">
            <v>1</v>
          </cell>
          <cell r="T785">
            <v>2</v>
          </cell>
          <cell r="V785">
            <v>1</v>
          </cell>
          <cell r="W785">
            <v>43</v>
          </cell>
          <cell r="X785">
            <v>4</v>
          </cell>
          <cell r="Y785">
            <v>1</v>
          </cell>
          <cell r="AA785">
            <v>0</v>
          </cell>
          <cell r="AB785">
            <v>0</v>
          </cell>
          <cell r="AC785">
            <v>0</v>
          </cell>
          <cell r="AD785">
            <v>0</v>
          </cell>
          <cell r="AE785">
            <v>0</v>
          </cell>
          <cell r="AF785">
            <v>0</v>
          </cell>
          <cell r="AG785">
            <v>0</v>
          </cell>
          <cell r="AH785">
            <v>1</v>
          </cell>
          <cell r="AI785">
            <v>3</v>
          </cell>
          <cell r="AK785">
            <v>0</v>
          </cell>
          <cell r="AL785">
            <v>1</v>
          </cell>
          <cell r="AN785">
            <v>3376</v>
          </cell>
          <cell r="AO785">
            <v>1</v>
          </cell>
          <cell r="AQ785">
            <v>0</v>
          </cell>
          <cell r="AR785">
            <v>13</v>
          </cell>
          <cell r="AS785">
            <v>3</v>
          </cell>
          <cell r="AT785">
            <v>3</v>
          </cell>
          <cell r="AU785">
            <v>0</v>
          </cell>
          <cell r="AV785">
            <v>10</v>
          </cell>
          <cell r="AW785">
            <v>10</v>
          </cell>
          <cell r="AX785">
            <v>3</v>
          </cell>
          <cell r="AY785">
            <v>3</v>
          </cell>
          <cell r="AZ785">
            <v>10</v>
          </cell>
          <cell r="BA785">
            <v>10</v>
          </cell>
          <cell r="BB785">
            <v>6</v>
          </cell>
          <cell r="BC785">
            <v>0</v>
          </cell>
          <cell r="BD785">
            <v>0</v>
          </cell>
          <cell r="BE785">
            <v>8</v>
          </cell>
          <cell r="BF785">
            <v>8</v>
          </cell>
          <cell r="BG785">
            <v>8</v>
          </cell>
          <cell r="BH785">
            <v>0</v>
          </cell>
          <cell r="BI785">
            <v>1</v>
          </cell>
          <cell r="BJ785">
            <v>0</v>
          </cell>
          <cell r="BK785">
            <v>0</v>
          </cell>
          <cell r="BL785">
            <v>0</v>
          </cell>
          <cell r="BM785">
            <v>0</v>
          </cell>
          <cell r="BN785">
            <v>1</v>
          </cell>
          <cell r="BO785">
            <v>0</v>
          </cell>
          <cell r="BP785">
            <v>0</v>
          </cell>
          <cell r="BQ785">
            <v>8</v>
          </cell>
          <cell r="BR785">
            <v>0</v>
          </cell>
          <cell r="BS785">
            <v>0</v>
          </cell>
          <cell r="BT785">
            <v>10</v>
          </cell>
          <cell r="BU785">
            <v>0</v>
          </cell>
        </row>
        <row r="786">
          <cell r="A786">
            <v>38</v>
          </cell>
          <cell r="B786">
            <v>38</v>
          </cell>
          <cell r="D786">
            <v>0</v>
          </cell>
          <cell r="F786">
            <v>0</v>
          </cell>
          <cell r="G786">
            <v>1</v>
          </cell>
          <cell r="I786">
            <v>1</v>
          </cell>
          <cell r="J786">
            <v>0</v>
          </cell>
          <cell r="K786">
            <v>17</v>
          </cell>
          <cell r="L786">
            <v>17</v>
          </cell>
          <cell r="M786">
            <v>1</v>
          </cell>
          <cell r="O786">
            <v>1</v>
          </cell>
          <cell r="P786">
            <v>0</v>
          </cell>
          <cell r="Q786">
            <v>0</v>
          </cell>
          <cell r="R786">
            <v>0</v>
          </cell>
          <cell r="S786">
            <v>0</v>
          </cell>
          <cell r="T786">
            <v>3</v>
          </cell>
          <cell r="V786">
            <v>1</v>
          </cell>
          <cell r="W786">
            <v>65</v>
          </cell>
          <cell r="X786">
            <v>2</v>
          </cell>
          <cell r="Y786">
            <v>3</v>
          </cell>
          <cell r="AA786">
            <v>1</v>
          </cell>
          <cell r="AB786">
            <v>0</v>
          </cell>
          <cell r="AC786">
            <v>0</v>
          </cell>
          <cell r="AD786">
            <v>0</v>
          </cell>
          <cell r="AE786">
            <v>0</v>
          </cell>
          <cell r="AF786">
            <v>0</v>
          </cell>
          <cell r="AG786">
            <v>0</v>
          </cell>
          <cell r="AH786">
            <v>0</v>
          </cell>
          <cell r="AI786">
            <v>3</v>
          </cell>
          <cell r="AK786">
            <v>0</v>
          </cell>
          <cell r="AL786">
            <v>1</v>
          </cell>
          <cell r="AN786">
            <v>8823</v>
          </cell>
          <cell r="AO786">
            <v>0</v>
          </cell>
          <cell r="AQ786">
            <v>0</v>
          </cell>
          <cell r="AR786">
            <v>18</v>
          </cell>
          <cell r="AS786">
            <v>3</v>
          </cell>
          <cell r="AT786">
            <v>1</v>
          </cell>
          <cell r="AU786">
            <v>1</v>
          </cell>
          <cell r="AV786">
            <v>20</v>
          </cell>
          <cell r="AW786">
            <v>20</v>
          </cell>
          <cell r="AX786">
            <v>4</v>
          </cell>
          <cell r="AY786">
            <v>2</v>
          </cell>
          <cell r="AZ786">
            <v>19</v>
          </cell>
          <cell r="BA786">
            <v>19</v>
          </cell>
          <cell r="BB786">
            <v>9</v>
          </cell>
          <cell r="BC786">
            <v>1</v>
          </cell>
          <cell r="BD786">
            <v>1</v>
          </cell>
          <cell r="BE786">
            <v>9</v>
          </cell>
          <cell r="BF786">
            <v>9</v>
          </cell>
          <cell r="BG786">
            <v>27</v>
          </cell>
          <cell r="BH786">
            <v>0</v>
          </cell>
          <cell r="BI786">
            <v>1</v>
          </cell>
          <cell r="BJ786">
            <v>0</v>
          </cell>
          <cell r="BK786">
            <v>0</v>
          </cell>
          <cell r="BL786">
            <v>0</v>
          </cell>
          <cell r="BM786">
            <v>0</v>
          </cell>
          <cell r="BN786">
            <v>1</v>
          </cell>
          <cell r="BO786">
            <v>0</v>
          </cell>
          <cell r="BP786">
            <v>0</v>
          </cell>
          <cell r="BQ786">
            <v>9</v>
          </cell>
          <cell r="BR786">
            <v>0</v>
          </cell>
          <cell r="BS786">
            <v>0</v>
          </cell>
          <cell r="BT786">
            <v>20</v>
          </cell>
          <cell r="BU786">
            <v>0</v>
          </cell>
        </row>
        <row r="787">
          <cell r="A787">
            <v>40</v>
          </cell>
          <cell r="B787">
            <v>40</v>
          </cell>
          <cell r="D787">
            <v>0</v>
          </cell>
          <cell r="F787">
            <v>0</v>
          </cell>
          <cell r="G787">
            <v>1</v>
          </cell>
          <cell r="I787">
            <v>1</v>
          </cell>
          <cell r="J787">
            <v>0</v>
          </cell>
          <cell r="K787">
            <v>20</v>
          </cell>
          <cell r="L787">
            <v>20</v>
          </cell>
          <cell r="M787">
            <v>4</v>
          </cell>
          <cell r="O787">
            <v>0</v>
          </cell>
          <cell r="P787">
            <v>0</v>
          </cell>
          <cell r="Q787">
            <v>0</v>
          </cell>
          <cell r="R787">
            <v>0</v>
          </cell>
          <cell r="S787">
            <v>1</v>
          </cell>
          <cell r="T787">
            <v>1</v>
          </cell>
          <cell r="V787">
            <v>0</v>
          </cell>
          <cell r="W787">
            <v>61</v>
          </cell>
          <cell r="X787">
            <v>3</v>
          </cell>
          <cell r="Y787">
            <v>3</v>
          </cell>
          <cell r="AA787">
            <v>1</v>
          </cell>
          <cell r="AB787">
            <v>0</v>
          </cell>
          <cell r="AC787">
            <v>0</v>
          </cell>
          <cell r="AD787">
            <v>0</v>
          </cell>
          <cell r="AE787">
            <v>0</v>
          </cell>
          <cell r="AF787">
            <v>0</v>
          </cell>
          <cell r="AG787">
            <v>0</v>
          </cell>
          <cell r="AH787">
            <v>0</v>
          </cell>
          <cell r="AI787">
            <v>4</v>
          </cell>
          <cell r="AK787">
            <v>0</v>
          </cell>
          <cell r="AL787">
            <v>1</v>
          </cell>
          <cell r="AN787">
            <v>10322</v>
          </cell>
          <cell r="AO787">
            <v>4</v>
          </cell>
          <cell r="AQ787">
            <v>0</v>
          </cell>
          <cell r="AR787">
            <v>20</v>
          </cell>
          <cell r="AS787">
            <v>4</v>
          </cell>
          <cell r="AT787">
            <v>4</v>
          </cell>
          <cell r="AU787">
            <v>1</v>
          </cell>
          <cell r="AV787">
            <v>14</v>
          </cell>
          <cell r="AW787">
            <v>14</v>
          </cell>
          <cell r="AX787">
            <v>6</v>
          </cell>
          <cell r="AY787">
            <v>3</v>
          </cell>
          <cell r="AZ787">
            <v>11</v>
          </cell>
          <cell r="BA787">
            <v>11</v>
          </cell>
          <cell r="BB787">
            <v>10</v>
          </cell>
          <cell r="BC787">
            <v>11</v>
          </cell>
          <cell r="BD787">
            <v>11</v>
          </cell>
          <cell r="BE787">
            <v>1</v>
          </cell>
          <cell r="BF787">
            <v>1</v>
          </cell>
          <cell r="BG787">
            <v>3</v>
          </cell>
          <cell r="BH787">
            <v>0</v>
          </cell>
          <cell r="BI787">
            <v>1</v>
          </cell>
          <cell r="BJ787">
            <v>0</v>
          </cell>
          <cell r="BK787">
            <v>0</v>
          </cell>
          <cell r="BL787">
            <v>0</v>
          </cell>
          <cell r="BM787">
            <v>0</v>
          </cell>
          <cell r="BN787">
            <v>1</v>
          </cell>
          <cell r="BO787">
            <v>0</v>
          </cell>
          <cell r="BP787">
            <v>0</v>
          </cell>
          <cell r="BQ787">
            <v>1</v>
          </cell>
          <cell r="BR787">
            <v>0</v>
          </cell>
          <cell r="BS787">
            <v>0</v>
          </cell>
          <cell r="BT787">
            <v>14</v>
          </cell>
          <cell r="BU787">
            <v>0</v>
          </cell>
        </row>
        <row r="788">
          <cell r="A788">
            <v>27</v>
          </cell>
          <cell r="B788">
            <v>27</v>
          </cell>
          <cell r="D788">
            <v>0</v>
          </cell>
          <cell r="F788">
            <v>0</v>
          </cell>
          <cell r="G788">
            <v>0</v>
          </cell>
          <cell r="I788">
            <v>1</v>
          </cell>
          <cell r="J788">
            <v>0</v>
          </cell>
          <cell r="K788">
            <v>8</v>
          </cell>
          <cell r="L788">
            <v>8</v>
          </cell>
          <cell r="M788">
            <v>5</v>
          </cell>
          <cell r="O788">
            <v>1</v>
          </cell>
          <cell r="P788">
            <v>0</v>
          </cell>
          <cell r="Q788">
            <v>0</v>
          </cell>
          <cell r="R788">
            <v>0</v>
          </cell>
          <cell r="S788">
            <v>0</v>
          </cell>
          <cell r="T788">
            <v>1</v>
          </cell>
          <cell r="V788">
            <v>0</v>
          </cell>
          <cell r="W788">
            <v>87</v>
          </cell>
          <cell r="X788">
            <v>1</v>
          </cell>
          <cell r="Y788">
            <v>1</v>
          </cell>
          <cell r="AA788">
            <v>0</v>
          </cell>
          <cell r="AB788">
            <v>0</v>
          </cell>
          <cell r="AC788">
            <v>1</v>
          </cell>
          <cell r="AD788">
            <v>0</v>
          </cell>
          <cell r="AE788">
            <v>0</v>
          </cell>
          <cell r="AF788">
            <v>0</v>
          </cell>
          <cell r="AG788">
            <v>0</v>
          </cell>
          <cell r="AH788">
            <v>0</v>
          </cell>
          <cell r="AI788">
            <v>3</v>
          </cell>
          <cell r="AK788">
            <v>0</v>
          </cell>
          <cell r="AL788">
            <v>1</v>
          </cell>
          <cell r="AN788">
            <v>4621</v>
          </cell>
          <cell r="AO788">
            <v>1</v>
          </cell>
          <cell r="AQ788">
            <v>0</v>
          </cell>
          <cell r="AR788">
            <v>19</v>
          </cell>
          <cell r="AS788">
            <v>3</v>
          </cell>
          <cell r="AT788">
            <v>4</v>
          </cell>
          <cell r="AU788">
            <v>3</v>
          </cell>
          <cell r="AV788">
            <v>3</v>
          </cell>
          <cell r="AW788">
            <v>3</v>
          </cell>
          <cell r="AX788">
            <v>4</v>
          </cell>
          <cell r="AY788">
            <v>3</v>
          </cell>
          <cell r="AZ788">
            <v>3</v>
          </cell>
          <cell r="BA788">
            <v>3</v>
          </cell>
          <cell r="BB788">
            <v>2</v>
          </cell>
          <cell r="BC788">
            <v>1</v>
          </cell>
          <cell r="BD788">
            <v>1</v>
          </cell>
          <cell r="BE788">
            <v>2</v>
          </cell>
          <cell r="BF788">
            <v>2</v>
          </cell>
          <cell r="BG788">
            <v>2</v>
          </cell>
          <cell r="BH788">
            <v>0</v>
          </cell>
          <cell r="BI788">
            <v>1</v>
          </cell>
          <cell r="BJ788">
            <v>0</v>
          </cell>
          <cell r="BK788">
            <v>0</v>
          </cell>
          <cell r="BL788">
            <v>0</v>
          </cell>
          <cell r="BM788">
            <v>0</v>
          </cell>
          <cell r="BN788">
            <v>1</v>
          </cell>
          <cell r="BO788">
            <v>0</v>
          </cell>
          <cell r="BP788">
            <v>0</v>
          </cell>
          <cell r="BQ788">
            <v>2</v>
          </cell>
          <cell r="BR788">
            <v>0</v>
          </cell>
          <cell r="BS788">
            <v>0</v>
          </cell>
          <cell r="BT788">
            <v>3</v>
          </cell>
          <cell r="BU788">
            <v>0</v>
          </cell>
        </row>
        <row r="789">
          <cell r="A789">
            <v>55</v>
          </cell>
          <cell r="B789">
            <v>55</v>
          </cell>
          <cell r="D789">
            <v>0</v>
          </cell>
          <cell r="F789">
            <v>1</v>
          </cell>
          <cell r="G789">
            <v>0</v>
          </cell>
          <cell r="I789">
            <v>1</v>
          </cell>
          <cell r="J789">
            <v>0</v>
          </cell>
          <cell r="K789">
            <v>2</v>
          </cell>
          <cell r="L789">
            <v>2</v>
          </cell>
          <cell r="M789">
            <v>1</v>
          </cell>
          <cell r="O789">
            <v>1</v>
          </cell>
          <cell r="P789">
            <v>0</v>
          </cell>
          <cell r="Q789">
            <v>0</v>
          </cell>
          <cell r="R789">
            <v>0</v>
          </cell>
          <cell r="S789">
            <v>0</v>
          </cell>
          <cell r="T789">
            <v>4</v>
          </cell>
          <cell r="V789">
            <v>0</v>
          </cell>
          <cell r="W789">
            <v>65</v>
          </cell>
          <cell r="X789">
            <v>3</v>
          </cell>
          <cell r="Y789">
            <v>3</v>
          </cell>
          <cell r="AA789">
            <v>0</v>
          </cell>
          <cell r="AB789">
            <v>0</v>
          </cell>
          <cell r="AC789">
            <v>0</v>
          </cell>
          <cell r="AD789">
            <v>0</v>
          </cell>
          <cell r="AE789">
            <v>1</v>
          </cell>
          <cell r="AF789">
            <v>1</v>
          </cell>
          <cell r="AG789">
            <v>0</v>
          </cell>
          <cell r="AH789">
            <v>0</v>
          </cell>
          <cell r="AI789">
            <v>2</v>
          </cell>
          <cell r="AK789">
            <v>0</v>
          </cell>
          <cell r="AL789">
            <v>1</v>
          </cell>
          <cell r="AN789">
            <v>10976</v>
          </cell>
          <cell r="AO789">
            <v>3</v>
          </cell>
          <cell r="AQ789">
            <v>0</v>
          </cell>
          <cell r="AR789">
            <v>18</v>
          </cell>
          <cell r="AS789">
            <v>3</v>
          </cell>
          <cell r="AT789">
            <v>2</v>
          </cell>
          <cell r="AU789">
            <v>1</v>
          </cell>
          <cell r="AV789">
            <v>23</v>
          </cell>
          <cell r="AW789">
            <v>23</v>
          </cell>
          <cell r="AX789">
            <v>4</v>
          </cell>
          <cell r="AY789">
            <v>3</v>
          </cell>
          <cell r="AZ789">
            <v>3</v>
          </cell>
          <cell r="BA789">
            <v>3</v>
          </cell>
          <cell r="BB789">
            <v>2</v>
          </cell>
          <cell r="BC789">
            <v>1</v>
          </cell>
          <cell r="BD789">
            <v>1</v>
          </cell>
          <cell r="BE789">
            <v>2</v>
          </cell>
          <cell r="BF789">
            <v>2</v>
          </cell>
          <cell r="BG789">
            <v>6</v>
          </cell>
          <cell r="BH789">
            <v>0</v>
          </cell>
          <cell r="BI789">
            <v>0</v>
          </cell>
          <cell r="BJ789">
            <v>0</v>
          </cell>
          <cell r="BK789">
            <v>1</v>
          </cell>
          <cell r="BL789">
            <v>0</v>
          </cell>
          <cell r="BM789">
            <v>0</v>
          </cell>
          <cell r="BN789">
            <v>1</v>
          </cell>
          <cell r="BO789">
            <v>0</v>
          </cell>
          <cell r="BP789">
            <v>0</v>
          </cell>
          <cell r="BQ789">
            <v>2</v>
          </cell>
          <cell r="BR789">
            <v>0</v>
          </cell>
          <cell r="BS789">
            <v>0</v>
          </cell>
          <cell r="BT789">
            <v>23</v>
          </cell>
          <cell r="BU789">
            <v>0</v>
          </cell>
        </row>
        <row r="790">
          <cell r="A790">
            <v>28</v>
          </cell>
          <cell r="B790">
            <v>28</v>
          </cell>
          <cell r="D790">
            <v>0</v>
          </cell>
          <cell r="F790">
            <v>0</v>
          </cell>
          <cell r="G790">
            <v>1</v>
          </cell>
          <cell r="I790">
            <v>1</v>
          </cell>
          <cell r="J790">
            <v>0</v>
          </cell>
          <cell r="K790">
            <v>10</v>
          </cell>
          <cell r="L790">
            <v>10</v>
          </cell>
          <cell r="M790">
            <v>3</v>
          </cell>
          <cell r="O790">
            <v>0</v>
          </cell>
          <cell r="P790">
            <v>1</v>
          </cell>
          <cell r="Q790">
            <v>0</v>
          </cell>
          <cell r="R790">
            <v>0</v>
          </cell>
          <cell r="S790">
            <v>0</v>
          </cell>
          <cell r="T790">
            <v>3</v>
          </cell>
          <cell r="V790">
            <v>1</v>
          </cell>
          <cell r="W790">
            <v>59</v>
          </cell>
          <cell r="X790">
            <v>3</v>
          </cell>
          <cell r="Y790">
            <v>2</v>
          </cell>
          <cell r="AA790">
            <v>0</v>
          </cell>
          <cell r="AB790">
            <v>0</v>
          </cell>
          <cell r="AC790">
            <v>0</v>
          </cell>
          <cell r="AD790">
            <v>0</v>
          </cell>
          <cell r="AE790">
            <v>0</v>
          </cell>
          <cell r="AF790">
            <v>0</v>
          </cell>
          <cell r="AG790">
            <v>0</v>
          </cell>
          <cell r="AH790">
            <v>1</v>
          </cell>
          <cell r="AI790">
            <v>3</v>
          </cell>
          <cell r="AK790">
            <v>1</v>
          </cell>
          <cell r="AL790">
            <v>0</v>
          </cell>
          <cell r="AN790">
            <v>3660</v>
          </cell>
          <cell r="AO790">
            <v>3</v>
          </cell>
          <cell r="AQ790">
            <v>0</v>
          </cell>
          <cell r="AR790">
            <v>13</v>
          </cell>
          <cell r="AS790">
            <v>3</v>
          </cell>
          <cell r="AT790">
            <v>4</v>
          </cell>
          <cell r="AU790">
            <v>0</v>
          </cell>
          <cell r="AV790">
            <v>10</v>
          </cell>
          <cell r="AW790">
            <v>10</v>
          </cell>
          <cell r="AX790">
            <v>4</v>
          </cell>
          <cell r="AY790">
            <v>4</v>
          </cell>
          <cell r="AZ790">
            <v>8</v>
          </cell>
          <cell r="BA790">
            <v>8</v>
          </cell>
          <cell r="BB790">
            <v>7</v>
          </cell>
          <cell r="BC790">
            <v>1</v>
          </cell>
          <cell r="BD790">
            <v>1</v>
          </cell>
          <cell r="BE790">
            <v>7</v>
          </cell>
          <cell r="BF790">
            <v>7</v>
          </cell>
          <cell r="BG790">
            <v>14</v>
          </cell>
          <cell r="BH790">
            <v>1</v>
          </cell>
          <cell r="BI790">
            <v>0</v>
          </cell>
          <cell r="BJ790">
            <v>0</v>
          </cell>
          <cell r="BK790">
            <v>0</v>
          </cell>
          <cell r="BL790">
            <v>1</v>
          </cell>
          <cell r="BM790">
            <v>0</v>
          </cell>
          <cell r="BN790">
            <v>0</v>
          </cell>
          <cell r="BO790">
            <v>0</v>
          </cell>
          <cell r="BP790">
            <v>0</v>
          </cell>
          <cell r="BQ790">
            <v>7</v>
          </cell>
          <cell r="BR790">
            <v>0</v>
          </cell>
          <cell r="BS790">
            <v>0</v>
          </cell>
          <cell r="BT790">
            <v>10</v>
          </cell>
          <cell r="BU790">
            <v>0</v>
          </cell>
        </row>
        <row r="791">
          <cell r="A791">
            <v>44</v>
          </cell>
          <cell r="B791">
            <v>44</v>
          </cell>
          <cell r="D791">
            <v>1</v>
          </cell>
          <cell r="F791">
            <v>0</v>
          </cell>
          <cell r="G791">
            <v>1</v>
          </cell>
          <cell r="I791">
            <v>0</v>
          </cell>
          <cell r="J791">
            <v>0</v>
          </cell>
          <cell r="K791">
            <v>1</v>
          </cell>
          <cell r="L791">
            <v>1</v>
          </cell>
          <cell r="M791">
            <v>2</v>
          </cell>
          <cell r="O791">
            <v>0</v>
          </cell>
          <cell r="P791">
            <v>0</v>
          </cell>
          <cell r="Q791">
            <v>1</v>
          </cell>
          <cell r="R791">
            <v>0</v>
          </cell>
          <cell r="S791">
            <v>0</v>
          </cell>
          <cell r="T791">
            <v>2</v>
          </cell>
          <cell r="V791">
            <v>0</v>
          </cell>
          <cell r="W791">
            <v>91</v>
          </cell>
          <cell r="X791">
            <v>2</v>
          </cell>
          <cell r="Y791">
            <v>3</v>
          </cell>
          <cell r="AA791">
            <v>0</v>
          </cell>
          <cell r="AB791">
            <v>0</v>
          </cell>
          <cell r="AC791">
            <v>0</v>
          </cell>
          <cell r="AD791">
            <v>0</v>
          </cell>
          <cell r="AE791">
            <v>0</v>
          </cell>
          <cell r="AF791">
            <v>0</v>
          </cell>
          <cell r="AG791">
            <v>0</v>
          </cell>
          <cell r="AH791">
            <v>0</v>
          </cell>
          <cell r="AI791">
            <v>1</v>
          </cell>
          <cell r="AK791">
            <v>0</v>
          </cell>
          <cell r="AL791">
            <v>1</v>
          </cell>
          <cell r="AN791">
            <v>10482</v>
          </cell>
          <cell r="AO791">
            <v>9</v>
          </cell>
          <cell r="AQ791">
            <v>0</v>
          </cell>
          <cell r="AR791">
            <v>14</v>
          </cell>
          <cell r="AS791">
            <v>3</v>
          </cell>
          <cell r="AT791">
            <v>4</v>
          </cell>
          <cell r="AU791">
            <v>1</v>
          </cell>
          <cell r="AV791">
            <v>24</v>
          </cell>
          <cell r="AW791">
            <v>24</v>
          </cell>
          <cell r="AX791">
            <v>1</v>
          </cell>
          <cell r="AY791">
            <v>3</v>
          </cell>
          <cell r="AZ791">
            <v>20</v>
          </cell>
          <cell r="BA791">
            <v>20</v>
          </cell>
          <cell r="BB791">
            <v>6</v>
          </cell>
          <cell r="BC791">
            <v>3</v>
          </cell>
          <cell r="BD791">
            <v>3</v>
          </cell>
          <cell r="BE791">
            <v>6</v>
          </cell>
          <cell r="BF791">
            <v>6</v>
          </cell>
          <cell r="BG791">
            <v>18</v>
          </cell>
          <cell r="BH791">
            <v>0</v>
          </cell>
          <cell r="BI791">
            <v>1</v>
          </cell>
          <cell r="BJ791">
            <v>0</v>
          </cell>
          <cell r="BK791">
            <v>0</v>
          </cell>
          <cell r="BL791">
            <v>0</v>
          </cell>
          <cell r="BM791">
            <v>0</v>
          </cell>
          <cell r="BN791">
            <v>1</v>
          </cell>
          <cell r="BO791">
            <v>0</v>
          </cell>
          <cell r="BP791">
            <v>6</v>
          </cell>
          <cell r="BQ791">
            <v>0</v>
          </cell>
          <cell r="BR791">
            <v>0</v>
          </cell>
          <cell r="BS791">
            <v>24</v>
          </cell>
          <cell r="BT791">
            <v>0</v>
          </cell>
          <cell r="BU791">
            <v>0</v>
          </cell>
        </row>
        <row r="792">
          <cell r="A792">
            <v>33</v>
          </cell>
          <cell r="B792">
            <v>33</v>
          </cell>
          <cell r="D792">
            <v>0</v>
          </cell>
          <cell r="F792">
            <v>0</v>
          </cell>
          <cell r="G792">
            <v>1</v>
          </cell>
          <cell r="I792">
            <v>1</v>
          </cell>
          <cell r="J792">
            <v>0</v>
          </cell>
          <cell r="K792">
            <v>5</v>
          </cell>
          <cell r="L792">
            <v>5</v>
          </cell>
          <cell r="M792">
            <v>3</v>
          </cell>
          <cell r="O792">
            <v>1</v>
          </cell>
          <cell r="P792">
            <v>0</v>
          </cell>
          <cell r="Q792">
            <v>0</v>
          </cell>
          <cell r="R792">
            <v>0</v>
          </cell>
          <cell r="S792">
            <v>0</v>
          </cell>
          <cell r="T792">
            <v>4</v>
          </cell>
          <cell r="V792">
            <v>0</v>
          </cell>
          <cell r="W792">
            <v>34</v>
          </cell>
          <cell r="X792">
            <v>2</v>
          </cell>
          <cell r="Y792">
            <v>3</v>
          </cell>
          <cell r="AA792">
            <v>1</v>
          </cell>
          <cell r="AB792">
            <v>0</v>
          </cell>
          <cell r="AC792">
            <v>0</v>
          </cell>
          <cell r="AD792">
            <v>0</v>
          </cell>
          <cell r="AE792">
            <v>0</v>
          </cell>
          <cell r="AF792">
            <v>0</v>
          </cell>
          <cell r="AG792">
            <v>0</v>
          </cell>
          <cell r="AH792">
            <v>0</v>
          </cell>
          <cell r="AI792">
            <v>4</v>
          </cell>
          <cell r="AK792">
            <v>0</v>
          </cell>
          <cell r="AL792">
            <v>0</v>
          </cell>
          <cell r="AN792">
            <v>7119</v>
          </cell>
          <cell r="AO792">
            <v>4</v>
          </cell>
          <cell r="AQ792">
            <v>0</v>
          </cell>
          <cell r="AR792">
            <v>15</v>
          </cell>
          <cell r="AS792">
            <v>3</v>
          </cell>
          <cell r="AT792">
            <v>3</v>
          </cell>
          <cell r="AU792">
            <v>1</v>
          </cell>
          <cell r="AV792">
            <v>9</v>
          </cell>
          <cell r="AW792">
            <v>9</v>
          </cell>
          <cell r="AX792">
            <v>2</v>
          </cell>
          <cell r="AY792">
            <v>3</v>
          </cell>
          <cell r="AZ792">
            <v>3</v>
          </cell>
          <cell r="BA792">
            <v>3</v>
          </cell>
          <cell r="BB792">
            <v>2</v>
          </cell>
          <cell r="BC792">
            <v>1</v>
          </cell>
          <cell r="BD792">
            <v>1</v>
          </cell>
          <cell r="BE792">
            <v>2</v>
          </cell>
          <cell r="BF792">
            <v>2</v>
          </cell>
          <cell r="BG792">
            <v>6</v>
          </cell>
          <cell r="BH792">
            <v>1</v>
          </cell>
          <cell r="BI792">
            <v>0</v>
          </cell>
          <cell r="BJ792">
            <v>0</v>
          </cell>
          <cell r="BK792">
            <v>0</v>
          </cell>
          <cell r="BL792">
            <v>1</v>
          </cell>
          <cell r="BM792">
            <v>0</v>
          </cell>
          <cell r="BN792">
            <v>0</v>
          </cell>
          <cell r="BO792">
            <v>0</v>
          </cell>
          <cell r="BP792">
            <v>0</v>
          </cell>
          <cell r="BQ792">
            <v>2</v>
          </cell>
          <cell r="BR792">
            <v>0</v>
          </cell>
          <cell r="BS792">
            <v>0</v>
          </cell>
          <cell r="BT792">
            <v>9</v>
          </cell>
          <cell r="BU792">
            <v>0</v>
          </cell>
        </row>
        <row r="793">
          <cell r="A793">
            <v>35</v>
          </cell>
          <cell r="B793">
            <v>35</v>
          </cell>
          <cell r="D793">
            <v>1</v>
          </cell>
          <cell r="F793">
            <v>0</v>
          </cell>
          <cell r="G793">
            <v>1</v>
          </cell>
          <cell r="I793">
            <v>0</v>
          </cell>
          <cell r="J793">
            <v>1</v>
          </cell>
          <cell r="K793">
            <v>4</v>
          </cell>
          <cell r="L793">
            <v>4</v>
          </cell>
          <cell r="M793">
            <v>3</v>
          </cell>
          <cell r="O793">
            <v>0</v>
          </cell>
          <cell r="P793">
            <v>0</v>
          </cell>
          <cell r="Q793">
            <v>0</v>
          </cell>
          <cell r="R793">
            <v>0</v>
          </cell>
          <cell r="S793">
            <v>1</v>
          </cell>
          <cell r="T793">
            <v>4</v>
          </cell>
          <cell r="V793">
            <v>0</v>
          </cell>
          <cell r="W793">
            <v>86</v>
          </cell>
          <cell r="X793">
            <v>3</v>
          </cell>
          <cell r="Y793">
            <v>3</v>
          </cell>
          <cell r="AA793">
            <v>0</v>
          </cell>
          <cell r="AB793">
            <v>1</v>
          </cell>
          <cell r="AC793">
            <v>0</v>
          </cell>
          <cell r="AD793">
            <v>0</v>
          </cell>
          <cell r="AE793">
            <v>0</v>
          </cell>
          <cell r="AF793">
            <v>0</v>
          </cell>
          <cell r="AG793">
            <v>0</v>
          </cell>
          <cell r="AH793">
            <v>0</v>
          </cell>
          <cell r="AI793">
            <v>1</v>
          </cell>
          <cell r="AK793">
            <v>1</v>
          </cell>
          <cell r="AL793">
            <v>0</v>
          </cell>
          <cell r="AN793">
            <v>9582</v>
          </cell>
          <cell r="AO793">
            <v>0</v>
          </cell>
          <cell r="AQ793">
            <v>1</v>
          </cell>
          <cell r="AR793">
            <v>22</v>
          </cell>
          <cell r="AS793">
            <v>4</v>
          </cell>
          <cell r="AT793">
            <v>1</v>
          </cell>
          <cell r="AU793">
            <v>0</v>
          </cell>
          <cell r="AV793">
            <v>9</v>
          </cell>
          <cell r="AW793">
            <v>9</v>
          </cell>
          <cell r="AX793">
            <v>2</v>
          </cell>
          <cell r="AY793">
            <v>3</v>
          </cell>
          <cell r="AZ793">
            <v>8</v>
          </cell>
          <cell r="BA793">
            <v>8</v>
          </cell>
          <cell r="BB793">
            <v>7</v>
          </cell>
          <cell r="BC793">
            <v>4</v>
          </cell>
          <cell r="BD793">
            <v>4</v>
          </cell>
          <cell r="BE793">
            <v>7</v>
          </cell>
          <cell r="BF793">
            <v>7</v>
          </cell>
          <cell r="BG793">
            <v>21</v>
          </cell>
          <cell r="BH793">
            <v>1</v>
          </cell>
          <cell r="BI793">
            <v>0</v>
          </cell>
          <cell r="BJ793">
            <v>0</v>
          </cell>
          <cell r="BK793">
            <v>0</v>
          </cell>
          <cell r="BL793">
            <v>0</v>
          </cell>
          <cell r="BM793">
            <v>1</v>
          </cell>
          <cell r="BN793">
            <v>0</v>
          </cell>
          <cell r="BO793">
            <v>0</v>
          </cell>
          <cell r="BP793">
            <v>0</v>
          </cell>
          <cell r="BQ793">
            <v>0</v>
          </cell>
          <cell r="BR793">
            <v>7</v>
          </cell>
          <cell r="BS793">
            <v>0</v>
          </cell>
          <cell r="BT793">
            <v>0</v>
          </cell>
          <cell r="BU793">
            <v>9</v>
          </cell>
        </row>
        <row r="794">
          <cell r="A794">
            <v>33</v>
          </cell>
          <cell r="B794">
            <v>33</v>
          </cell>
          <cell r="D794">
            <v>1</v>
          </cell>
          <cell r="F794">
            <v>1</v>
          </cell>
          <cell r="G794">
            <v>0</v>
          </cell>
          <cell r="I794">
            <v>1</v>
          </cell>
          <cell r="J794">
            <v>0</v>
          </cell>
          <cell r="K794">
            <v>29</v>
          </cell>
          <cell r="L794">
            <v>29</v>
          </cell>
          <cell r="M794">
            <v>4</v>
          </cell>
          <cell r="O794">
            <v>0</v>
          </cell>
          <cell r="P794">
            <v>0</v>
          </cell>
          <cell r="Q794">
            <v>1</v>
          </cell>
          <cell r="R794">
            <v>0</v>
          </cell>
          <cell r="S794">
            <v>0</v>
          </cell>
          <cell r="T794">
            <v>1</v>
          </cell>
          <cell r="V794">
            <v>1</v>
          </cell>
          <cell r="W794">
            <v>54</v>
          </cell>
          <cell r="X794">
            <v>2</v>
          </cell>
          <cell r="Y794">
            <v>2</v>
          </cell>
          <cell r="AA794">
            <v>0</v>
          </cell>
          <cell r="AB794">
            <v>0</v>
          </cell>
          <cell r="AC794">
            <v>0</v>
          </cell>
          <cell r="AD794">
            <v>0</v>
          </cell>
          <cell r="AE794">
            <v>0</v>
          </cell>
          <cell r="AF794">
            <v>0</v>
          </cell>
          <cell r="AG794">
            <v>0</v>
          </cell>
          <cell r="AH794">
            <v>1</v>
          </cell>
          <cell r="AI794">
            <v>3</v>
          </cell>
          <cell r="AK794">
            <v>1</v>
          </cell>
          <cell r="AL794">
            <v>0</v>
          </cell>
          <cell r="AN794">
            <v>4508</v>
          </cell>
          <cell r="AO794">
            <v>1</v>
          </cell>
          <cell r="AQ794">
            <v>0</v>
          </cell>
          <cell r="AR794">
            <v>22</v>
          </cell>
          <cell r="AS794">
            <v>4</v>
          </cell>
          <cell r="AT794">
            <v>2</v>
          </cell>
          <cell r="AU794">
            <v>0</v>
          </cell>
          <cell r="AV794">
            <v>14</v>
          </cell>
          <cell r="AW794">
            <v>14</v>
          </cell>
          <cell r="AX794">
            <v>4</v>
          </cell>
          <cell r="AY794">
            <v>3</v>
          </cell>
          <cell r="AZ794">
            <v>13</v>
          </cell>
          <cell r="BA794">
            <v>13</v>
          </cell>
          <cell r="BB794">
            <v>7</v>
          </cell>
          <cell r="BC794">
            <v>3</v>
          </cell>
          <cell r="BD794">
            <v>3</v>
          </cell>
          <cell r="BE794">
            <v>8</v>
          </cell>
          <cell r="BF794">
            <v>8</v>
          </cell>
          <cell r="BG794">
            <v>16</v>
          </cell>
          <cell r="BH794">
            <v>0</v>
          </cell>
          <cell r="BI794">
            <v>0</v>
          </cell>
          <cell r="BJ794">
            <v>1</v>
          </cell>
          <cell r="BK794">
            <v>0</v>
          </cell>
          <cell r="BL794">
            <v>1</v>
          </cell>
          <cell r="BM794">
            <v>0</v>
          </cell>
          <cell r="BN794">
            <v>0</v>
          </cell>
          <cell r="BO794">
            <v>0</v>
          </cell>
          <cell r="BP794">
            <v>0</v>
          </cell>
          <cell r="BQ794">
            <v>8</v>
          </cell>
          <cell r="BR794">
            <v>0</v>
          </cell>
          <cell r="BS794">
            <v>0</v>
          </cell>
          <cell r="BT794">
            <v>14</v>
          </cell>
          <cell r="BU794">
            <v>0</v>
          </cell>
        </row>
        <row r="795">
          <cell r="A795">
            <v>28</v>
          </cell>
          <cell r="B795">
            <v>28</v>
          </cell>
          <cell r="D795">
            <v>0</v>
          </cell>
          <cell r="F795">
            <v>0</v>
          </cell>
          <cell r="G795">
            <v>1</v>
          </cell>
          <cell r="I795">
            <v>1</v>
          </cell>
          <cell r="J795">
            <v>0</v>
          </cell>
          <cell r="K795">
            <v>15</v>
          </cell>
          <cell r="L795">
            <v>15</v>
          </cell>
          <cell r="M795">
            <v>2</v>
          </cell>
          <cell r="O795">
            <v>1</v>
          </cell>
          <cell r="P795">
            <v>0</v>
          </cell>
          <cell r="Q795">
            <v>0</v>
          </cell>
          <cell r="R795">
            <v>0</v>
          </cell>
          <cell r="S795">
            <v>0</v>
          </cell>
          <cell r="T795">
            <v>1</v>
          </cell>
          <cell r="V795">
            <v>0</v>
          </cell>
          <cell r="W795">
            <v>50</v>
          </cell>
          <cell r="X795">
            <v>3</v>
          </cell>
          <cell r="Y795">
            <v>1</v>
          </cell>
          <cell r="AA795">
            <v>0</v>
          </cell>
          <cell r="AB795">
            <v>0</v>
          </cell>
          <cell r="AC795">
            <v>1</v>
          </cell>
          <cell r="AD795">
            <v>0</v>
          </cell>
          <cell r="AE795">
            <v>0</v>
          </cell>
          <cell r="AF795">
            <v>0</v>
          </cell>
          <cell r="AG795">
            <v>0</v>
          </cell>
          <cell r="AH795">
            <v>0</v>
          </cell>
          <cell r="AI795">
            <v>3</v>
          </cell>
          <cell r="AK795">
            <v>0</v>
          </cell>
          <cell r="AL795">
            <v>0</v>
          </cell>
          <cell r="AN795">
            <v>2207</v>
          </cell>
          <cell r="AO795">
            <v>1</v>
          </cell>
          <cell r="AQ795">
            <v>0</v>
          </cell>
          <cell r="AR795">
            <v>16</v>
          </cell>
          <cell r="AS795">
            <v>3</v>
          </cell>
          <cell r="AT795">
            <v>4</v>
          </cell>
          <cell r="AU795">
            <v>1</v>
          </cell>
          <cell r="AV795">
            <v>4</v>
          </cell>
          <cell r="AW795">
            <v>4</v>
          </cell>
          <cell r="AX795">
            <v>5</v>
          </cell>
          <cell r="AY795">
            <v>2</v>
          </cell>
          <cell r="AZ795">
            <v>4</v>
          </cell>
          <cell r="BA795">
            <v>4</v>
          </cell>
          <cell r="BB795">
            <v>2</v>
          </cell>
          <cell r="BC795">
            <v>2</v>
          </cell>
          <cell r="BD795">
            <v>2</v>
          </cell>
          <cell r="BE795">
            <v>2</v>
          </cell>
          <cell r="BF795">
            <v>2</v>
          </cell>
          <cell r="BG795">
            <v>2</v>
          </cell>
          <cell r="BH795">
            <v>1</v>
          </cell>
          <cell r="BI795">
            <v>0</v>
          </cell>
          <cell r="BJ795">
            <v>0</v>
          </cell>
          <cell r="BK795">
            <v>0</v>
          </cell>
          <cell r="BL795">
            <v>1</v>
          </cell>
          <cell r="BM795">
            <v>0</v>
          </cell>
          <cell r="BN795">
            <v>0</v>
          </cell>
          <cell r="BO795">
            <v>0</v>
          </cell>
          <cell r="BP795">
            <v>0</v>
          </cell>
          <cell r="BQ795">
            <v>2</v>
          </cell>
          <cell r="BR795">
            <v>0</v>
          </cell>
          <cell r="BS795">
            <v>0</v>
          </cell>
          <cell r="BT795">
            <v>4</v>
          </cell>
          <cell r="BU795">
            <v>0</v>
          </cell>
        </row>
        <row r="796">
          <cell r="A796">
            <v>34</v>
          </cell>
          <cell r="B796">
            <v>34</v>
          </cell>
          <cell r="D796">
            <v>0</v>
          </cell>
          <cell r="F796">
            <v>1</v>
          </cell>
          <cell r="G796">
            <v>0</v>
          </cell>
          <cell r="I796">
            <v>1</v>
          </cell>
          <cell r="J796">
            <v>0</v>
          </cell>
          <cell r="K796">
            <v>3</v>
          </cell>
          <cell r="L796">
            <v>3</v>
          </cell>
          <cell r="M796">
            <v>1</v>
          </cell>
          <cell r="O796">
            <v>1</v>
          </cell>
          <cell r="P796">
            <v>0</v>
          </cell>
          <cell r="Q796">
            <v>0</v>
          </cell>
          <cell r="R796">
            <v>0</v>
          </cell>
          <cell r="S796">
            <v>0</v>
          </cell>
          <cell r="T796">
            <v>1</v>
          </cell>
          <cell r="V796">
            <v>0</v>
          </cell>
          <cell r="W796">
            <v>45</v>
          </cell>
          <cell r="X796">
            <v>3</v>
          </cell>
          <cell r="Y796">
            <v>2</v>
          </cell>
          <cell r="AA796">
            <v>1</v>
          </cell>
          <cell r="AB796">
            <v>0</v>
          </cell>
          <cell r="AC796">
            <v>0</v>
          </cell>
          <cell r="AD796">
            <v>0</v>
          </cell>
          <cell r="AE796">
            <v>0</v>
          </cell>
          <cell r="AF796">
            <v>0</v>
          </cell>
          <cell r="AG796">
            <v>0</v>
          </cell>
          <cell r="AH796">
            <v>0</v>
          </cell>
          <cell r="AI796">
            <v>4</v>
          </cell>
          <cell r="AK796">
            <v>1</v>
          </cell>
          <cell r="AL796">
            <v>0</v>
          </cell>
          <cell r="AN796">
            <v>7756</v>
          </cell>
          <cell r="AO796">
            <v>0</v>
          </cell>
          <cell r="AQ796">
            <v>0</v>
          </cell>
          <cell r="AR796">
            <v>17</v>
          </cell>
          <cell r="AS796">
            <v>3</v>
          </cell>
          <cell r="AT796">
            <v>3</v>
          </cell>
          <cell r="AU796">
            <v>0</v>
          </cell>
          <cell r="AV796">
            <v>7</v>
          </cell>
          <cell r="AW796">
            <v>7</v>
          </cell>
          <cell r="AX796">
            <v>1</v>
          </cell>
          <cell r="AY796">
            <v>2</v>
          </cell>
          <cell r="AZ796">
            <v>6</v>
          </cell>
          <cell r="BA796">
            <v>6</v>
          </cell>
          <cell r="BB796">
            <v>2</v>
          </cell>
          <cell r="BC796">
            <v>0</v>
          </cell>
          <cell r="BD796">
            <v>0</v>
          </cell>
          <cell r="BE796">
            <v>4</v>
          </cell>
          <cell r="BF796">
            <v>4</v>
          </cell>
          <cell r="BG796">
            <v>8</v>
          </cell>
          <cell r="BH796">
            <v>0</v>
          </cell>
          <cell r="BI796">
            <v>0</v>
          </cell>
          <cell r="BJ796">
            <v>1</v>
          </cell>
          <cell r="BK796">
            <v>0</v>
          </cell>
          <cell r="BL796">
            <v>1</v>
          </cell>
          <cell r="BM796">
            <v>0</v>
          </cell>
          <cell r="BN796">
            <v>0</v>
          </cell>
          <cell r="BO796">
            <v>0</v>
          </cell>
          <cell r="BP796">
            <v>0</v>
          </cell>
          <cell r="BQ796">
            <v>4</v>
          </cell>
          <cell r="BR796">
            <v>0</v>
          </cell>
          <cell r="BS796">
            <v>0</v>
          </cell>
          <cell r="BT796">
            <v>7</v>
          </cell>
          <cell r="BU796">
            <v>0</v>
          </cell>
        </row>
        <row r="797">
          <cell r="A797">
            <v>37</v>
          </cell>
          <cell r="B797">
            <v>37</v>
          </cell>
          <cell r="D797">
            <v>0</v>
          </cell>
          <cell r="F797">
            <v>0</v>
          </cell>
          <cell r="G797">
            <v>1</v>
          </cell>
          <cell r="I797">
            <v>0</v>
          </cell>
          <cell r="J797">
            <v>1</v>
          </cell>
          <cell r="K797">
            <v>10</v>
          </cell>
          <cell r="L797">
            <v>10</v>
          </cell>
          <cell r="M797">
            <v>4</v>
          </cell>
          <cell r="O797">
            <v>1</v>
          </cell>
          <cell r="P797">
            <v>0</v>
          </cell>
          <cell r="Q797">
            <v>0</v>
          </cell>
          <cell r="R797">
            <v>0</v>
          </cell>
          <cell r="S797">
            <v>0</v>
          </cell>
          <cell r="T797">
            <v>4</v>
          </cell>
          <cell r="V797">
            <v>1</v>
          </cell>
          <cell r="W797">
            <v>88</v>
          </cell>
          <cell r="X797">
            <v>2</v>
          </cell>
          <cell r="Y797">
            <v>2</v>
          </cell>
          <cell r="AA797">
            <v>0</v>
          </cell>
          <cell r="AB797">
            <v>1</v>
          </cell>
          <cell r="AC797">
            <v>0</v>
          </cell>
          <cell r="AD797">
            <v>0</v>
          </cell>
          <cell r="AE797">
            <v>0</v>
          </cell>
          <cell r="AF797">
            <v>0</v>
          </cell>
          <cell r="AG797">
            <v>0</v>
          </cell>
          <cell r="AH797">
            <v>0</v>
          </cell>
          <cell r="AI797">
            <v>4</v>
          </cell>
          <cell r="AK797">
            <v>0</v>
          </cell>
          <cell r="AL797">
            <v>0</v>
          </cell>
          <cell r="AN797">
            <v>6694</v>
          </cell>
          <cell r="AO797">
            <v>2</v>
          </cell>
          <cell r="AQ797">
            <v>1</v>
          </cell>
          <cell r="AR797">
            <v>14</v>
          </cell>
          <cell r="AS797">
            <v>3</v>
          </cell>
          <cell r="AT797">
            <v>3</v>
          </cell>
          <cell r="AU797">
            <v>3</v>
          </cell>
          <cell r="AV797">
            <v>8</v>
          </cell>
          <cell r="AW797">
            <v>8</v>
          </cell>
          <cell r="AX797">
            <v>5</v>
          </cell>
          <cell r="AY797">
            <v>3</v>
          </cell>
          <cell r="AZ797">
            <v>1</v>
          </cell>
          <cell r="BA797">
            <v>1</v>
          </cell>
          <cell r="BB797">
            <v>0</v>
          </cell>
          <cell r="BC797">
            <v>0</v>
          </cell>
          <cell r="BD797">
            <v>0</v>
          </cell>
          <cell r="BE797">
            <v>0</v>
          </cell>
          <cell r="BF797">
            <v>0</v>
          </cell>
          <cell r="BG797">
            <v>0</v>
          </cell>
          <cell r="BH797">
            <v>1</v>
          </cell>
          <cell r="BI797">
            <v>0</v>
          </cell>
          <cell r="BJ797">
            <v>0</v>
          </cell>
          <cell r="BK797">
            <v>0</v>
          </cell>
          <cell r="BL797">
            <v>0</v>
          </cell>
          <cell r="BM797">
            <v>1</v>
          </cell>
          <cell r="BN797">
            <v>0</v>
          </cell>
          <cell r="BO797">
            <v>0</v>
          </cell>
          <cell r="BP797">
            <v>0</v>
          </cell>
          <cell r="BQ797">
            <v>0</v>
          </cell>
          <cell r="BR797">
            <v>0</v>
          </cell>
          <cell r="BS797">
            <v>0</v>
          </cell>
          <cell r="BT797">
            <v>0</v>
          </cell>
          <cell r="BU797">
            <v>8</v>
          </cell>
        </row>
        <row r="798">
          <cell r="A798">
            <v>25</v>
          </cell>
          <cell r="B798">
            <v>25</v>
          </cell>
          <cell r="D798">
            <v>1</v>
          </cell>
          <cell r="F798">
            <v>0</v>
          </cell>
          <cell r="G798">
            <v>1</v>
          </cell>
          <cell r="I798">
            <v>1</v>
          </cell>
          <cell r="J798">
            <v>0</v>
          </cell>
          <cell r="K798">
            <v>4</v>
          </cell>
          <cell r="L798">
            <v>4</v>
          </cell>
          <cell r="M798">
            <v>1</v>
          </cell>
          <cell r="O798">
            <v>0</v>
          </cell>
          <cell r="P798">
            <v>0</v>
          </cell>
          <cell r="Q798">
            <v>0</v>
          </cell>
          <cell r="R798">
            <v>0</v>
          </cell>
          <cell r="S798">
            <v>1</v>
          </cell>
          <cell r="T798">
            <v>4</v>
          </cell>
          <cell r="V798">
            <v>0</v>
          </cell>
          <cell r="W798">
            <v>32</v>
          </cell>
          <cell r="X798">
            <v>3</v>
          </cell>
          <cell r="Y798">
            <v>1</v>
          </cell>
          <cell r="AA798">
            <v>0</v>
          </cell>
          <cell r="AB798">
            <v>0</v>
          </cell>
          <cell r="AC798">
            <v>1</v>
          </cell>
          <cell r="AD798">
            <v>0</v>
          </cell>
          <cell r="AE798">
            <v>0</v>
          </cell>
          <cell r="AF798">
            <v>0</v>
          </cell>
          <cell r="AG798">
            <v>0</v>
          </cell>
          <cell r="AH798">
            <v>0</v>
          </cell>
          <cell r="AI798">
            <v>4</v>
          </cell>
          <cell r="AK798">
            <v>0</v>
          </cell>
          <cell r="AL798">
            <v>1</v>
          </cell>
          <cell r="AN798">
            <v>3691</v>
          </cell>
          <cell r="AO798">
            <v>1</v>
          </cell>
          <cell r="AQ798">
            <v>1</v>
          </cell>
          <cell r="AR798">
            <v>15</v>
          </cell>
          <cell r="AS798">
            <v>3</v>
          </cell>
          <cell r="AT798">
            <v>2</v>
          </cell>
          <cell r="AU798">
            <v>1</v>
          </cell>
          <cell r="AV798">
            <v>7</v>
          </cell>
          <cell r="AW798">
            <v>7</v>
          </cell>
          <cell r="AX798">
            <v>3</v>
          </cell>
          <cell r="AY798">
            <v>4</v>
          </cell>
          <cell r="AZ798">
            <v>7</v>
          </cell>
          <cell r="BA798">
            <v>7</v>
          </cell>
          <cell r="BB798">
            <v>7</v>
          </cell>
          <cell r="BC798">
            <v>5</v>
          </cell>
          <cell r="BD798">
            <v>5</v>
          </cell>
          <cell r="BE798">
            <v>6</v>
          </cell>
          <cell r="BF798">
            <v>6</v>
          </cell>
          <cell r="BG798">
            <v>6</v>
          </cell>
          <cell r="BH798">
            <v>0</v>
          </cell>
          <cell r="BI798">
            <v>1</v>
          </cell>
          <cell r="BJ798">
            <v>0</v>
          </cell>
          <cell r="BK798">
            <v>0</v>
          </cell>
          <cell r="BL798">
            <v>0</v>
          </cell>
          <cell r="BM798">
            <v>0</v>
          </cell>
          <cell r="BN798">
            <v>0</v>
          </cell>
          <cell r="BO798">
            <v>1</v>
          </cell>
          <cell r="BP798">
            <v>0</v>
          </cell>
          <cell r="BQ798">
            <v>6</v>
          </cell>
          <cell r="BR798">
            <v>0</v>
          </cell>
          <cell r="BS798">
            <v>0</v>
          </cell>
          <cell r="BT798">
            <v>7</v>
          </cell>
          <cell r="BU798">
            <v>0</v>
          </cell>
        </row>
        <row r="799">
          <cell r="A799">
            <v>26</v>
          </cell>
          <cell r="B799">
            <v>26</v>
          </cell>
          <cell r="D799">
            <v>1</v>
          </cell>
          <cell r="F799">
            <v>0</v>
          </cell>
          <cell r="G799">
            <v>1</v>
          </cell>
          <cell r="I799">
            <v>1</v>
          </cell>
          <cell r="J799">
            <v>0</v>
          </cell>
          <cell r="K799">
            <v>21</v>
          </cell>
          <cell r="L799">
            <v>21</v>
          </cell>
          <cell r="M799">
            <v>3</v>
          </cell>
          <cell r="O799">
            <v>0</v>
          </cell>
          <cell r="P799">
            <v>0</v>
          </cell>
          <cell r="Q799">
            <v>1</v>
          </cell>
          <cell r="R799">
            <v>0</v>
          </cell>
          <cell r="S799">
            <v>0</v>
          </cell>
          <cell r="T799">
            <v>1</v>
          </cell>
          <cell r="V799">
            <v>0</v>
          </cell>
          <cell r="W799">
            <v>37</v>
          </cell>
          <cell r="X799">
            <v>3</v>
          </cell>
          <cell r="Y799">
            <v>1</v>
          </cell>
          <cell r="AA799">
            <v>0</v>
          </cell>
          <cell r="AB799">
            <v>0</v>
          </cell>
          <cell r="AC799">
            <v>1</v>
          </cell>
          <cell r="AD799">
            <v>0</v>
          </cell>
          <cell r="AE799">
            <v>0</v>
          </cell>
          <cell r="AF799">
            <v>0</v>
          </cell>
          <cell r="AG799">
            <v>0</v>
          </cell>
          <cell r="AH799">
            <v>0</v>
          </cell>
          <cell r="AI799">
            <v>3</v>
          </cell>
          <cell r="AK799">
            <v>0</v>
          </cell>
          <cell r="AL799">
            <v>0</v>
          </cell>
          <cell r="AN799">
            <v>2377</v>
          </cell>
          <cell r="AO799">
            <v>1</v>
          </cell>
          <cell r="AQ799">
            <v>0</v>
          </cell>
          <cell r="AR799">
            <v>20</v>
          </cell>
          <cell r="AS799">
            <v>4</v>
          </cell>
          <cell r="AT799">
            <v>3</v>
          </cell>
          <cell r="AU799">
            <v>1</v>
          </cell>
          <cell r="AV799">
            <v>1</v>
          </cell>
          <cell r="AW799">
            <v>1</v>
          </cell>
          <cell r="AX799">
            <v>0</v>
          </cell>
          <cell r="AY799">
            <v>2</v>
          </cell>
          <cell r="AZ799">
            <v>1</v>
          </cell>
          <cell r="BA799">
            <v>1</v>
          </cell>
          <cell r="BB799">
            <v>1</v>
          </cell>
          <cell r="BC799">
            <v>0</v>
          </cell>
          <cell r="BD799">
            <v>0</v>
          </cell>
          <cell r="BE799">
            <v>0</v>
          </cell>
          <cell r="BF799">
            <v>0</v>
          </cell>
          <cell r="BG799">
            <v>0</v>
          </cell>
          <cell r="BH799">
            <v>1</v>
          </cell>
          <cell r="BI799">
            <v>0</v>
          </cell>
          <cell r="BJ799">
            <v>0</v>
          </cell>
          <cell r="BK799">
            <v>0</v>
          </cell>
          <cell r="BL799">
            <v>1</v>
          </cell>
          <cell r="BM799">
            <v>0</v>
          </cell>
          <cell r="BN799">
            <v>0</v>
          </cell>
          <cell r="BO799">
            <v>0</v>
          </cell>
          <cell r="BP799">
            <v>0</v>
          </cell>
          <cell r="BQ799">
            <v>0</v>
          </cell>
          <cell r="BR799">
            <v>0</v>
          </cell>
          <cell r="BS799">
            <v>0</v>
          </cell>
          <cell r="BT799">
            <v>1</v>
          </cell>
          <cell r="BU799">
            <v>0</v>
          </cell>
        </row>
        <row r="800">
          <cell r="A800">
            <v>33</v>
          </cell>
          <cell r="B800">
            <v>33</v>
          </cell>
          <cell r="D800">
            <v>1</v>
          </cell>
          <cell r="F800">
            <v>0</v>
          </cell>
          <cell r="G800">
            <v>1</v>
          </cell>
          <cell r="I800">
            <v>1</v>
          </cell>
          <cell r="J800">
            <v>0</v>
          </cell>
          <cell r="K800">
            <v>25</v>
          </cell>
          <cell r="L800">
            <v>25</v>
          </cell>
          <cell r="M800">
            <v>3</v>
          </cell>
          <cell r="O800">
            <v>0</v>
          </cell>
          <cell r="P800">
            <v>0</v>
          </cell>
          <cell r="Q800">
            <v>1</v>
          </cell>
          <cell r="R800">
            <v>0</v>
          </cell>
          <cell r="S800">
            <v>0</v>
          </cell>
          <cell r="T800">
            <v>1</v>
          </cell>
          <cell r="V800">
            <v>0</v>
          </cell>
          <cell r="W800">
            <v>55</v>
          </cell>
          <cell r="X800">
            <v>2</v>
          </cell>
          <cell r="Y800">
            <v>1</v>
          </cell>
          <cell r="AA800">
            <v>0</v>
          </cell>
          <cell r="AB800">
            <v>0</v>
          </cell>
          <cell r="AC800">
            <v>0</v>
          </cell>
          <cell r="AD800">
            <v>0</v>
          </cell>
          <cell r="AE800">
            <v>0</v>
          </cell>
          <cell r="AF800">
            <v>0</v>
          </cell>
          <cell r="AG800">
            <v>0</v>
          </cell>
          <cell r="AH800">
            <v>1</v>
          </cell>
          <cell r="AI800">
            <v>2</v>
          </cell>
          <cell r="AK800">
            <v>1</v>
          </cell>
          <cell r="AL800">
            <v>0</v>
          </cell>
          <cell r="AN800">
            <v>2313</v>
          </cell>
          <cell r="AO800">
            <v>4</v>
          </cell>
          <cell r="AQ800">
            <v>1</v>
          </cell>
          <cell r="AR800">
            <v>20</v>
          </cell>
          <cell r="AS800">
            <v>4</v>
          </cell>
          <cell r="AT800">
            <v>2</v>
          </cell>
          <cell r="AU800">
            <v>0</v>
          </cell>
          <cell r="AV800">
            <v>5</v>
          </cell>
          <cell r="AW800">
            <v>5</v>
          </cell>
          <cell r="AX800">
            <v>0</v>
          </cell>
          <cell r="AY800">
            <v>3</v>
          </cell>
          <cell r="AZ800">
            <v>2</v>
          </cell>
          <cell r="BA800">
            <v>2</v>
          </cell>
          <cell r="BB800">
            <v>2</v>
          </cell>
          <cell r="BC800">
            <v>2</v>
          </cell>
          <cell r="BD800">
            <v>2</v>
          </cell>
          <cell r="BE800">
            <v>2</v>
          </cell>
          <cell r="BF800">
            <v>2</v>
          </cell>
          <cell r="BG800">
            <v>2</v>
          </cell>
          <cell r="BH800">
            <v>1</v>
          </cell>
          <cell r="BI800">
            <v>0</v>
          </cell>
          <cell r="BJ800">
            <v>0</v>
          </cell>
          <cell r="BK800">
            <v>0</v>
          </cell>
          <cell r="BL800">
            <v>0</v>
          </cell>
          <cell r="BM800">
            <v>1</v>
          </cell>
          <cell r="BN800">
            <v>0</v>
          </cell>
          <cell r="BO800">
            <v>0</v>
          </cell>
          <cell r="BP800">
            <v>0</v>
          </cell>
          <cell r="BQ800">
            <v>2</v>
          </cell>
          <cell r="BR800">
            <v>0</v>
          </cell>
          <cell r="BS800">
            <v>0</v>
          </cell>
          <cell r="BT800">
            <v>5</v>
          </cell>
          <cell r="BU800">
            <v>0</v>
          </cell>
        </row>
        <row r="801">
          <cell r="A801">
            <v>42</v>
          </cell>
          <cell r="B801">
            <v>42</v>
          </cell>
          <cell r="D801">
            <v>0</v>
          </cell>
          <cell r="F801">
            <v>0</v>
          </cell>
          <cell r="G801">
            <v>1</v>
          </cell>
          <cell r="I801">
            <v>1</v>
          </cell>
          <cell r="J801">
            <v>0</v>
          </cell>
          <cell r="K801">
            <v>2</v>
          </cell>
          <cell r="L801">
            <v>2</v>
          </cell>
          <cell r="M801">
            <v>2</v>
          </cell>
          <cell r="O801">
            <v>0</v>
          </cell>
          <cell r="P801">
            <v>0</v>
          </cell>
          <cell r="Q801">
            <v>1</v>
          </cell>
          <cell r="R801">
            <v>0</v>
          </cell>
          <cell r="S801">
            <v>0</v>
          </cell>
          <cell r="T801">
            <v>4</v>
          </cell>
          <cell r="V801">
            <v>0</v>
          </cell>
          <cell r="W801">
            <v>35</v>
          </cell>
          <cell r="X801">
            <v>3</v>
          </cell>
          <cell r="Y801">
            <v>4</v>
          </cell>
          <cell r="AA801">
            <v>0</v>
          </cell>
          <cell r="AB801">
            <v>0</v>
          </cell>
          <cell r="AC801">
            <v>0</v>
          </cell>
          <cell r="AD801">
            <v>1</v>
          </cell>
          <cell r="AE801">
            <v>0</v>
          </cell>
          <cell r="AF801">
            <v>0</v>
          </cell>
          <cell r="AG801">
            <v>0</v>
          </cell>
          <cell r="AH801">
            <v>0</v>
          </cell>
          <cell r="AI801">
            <v>1</v>
          </cell>
          <cell r="AK801">
            <v>0</v>
          </cell>
          <cell r="AL801">
            <v>1</v>
          </cell>
          <cell r="AN801">
            <v>17665</v>
          </cell>
          <cell r="AO801">
            <v>0</v>
          </cell>
          <cell r="AQ801">
            <v>0</v>
          </cell>
          <cell r="AR801">
            <v>17</v>
          </cell>
          <cell r="AS801">
            <v>3</v>
          </cell>
          <cell r="AT801">
            <v>4</v>
          </cell>
          <cell r="AU801">
            <v>1</v>
          </cell>
          <cell r="AV801">
            <v>23</v>
          </cell>
          <cell r="AW801">
            <v>23</v>
          </cell>
          <cell r="AX801">
            <v>3</v>
          </cell>
          <cell r="AY801">
            <v>3</v>
          </cell>
          <cell r="AZ801">
            <v>22</v>
          </cell>
          <cell r="BA801">
            <v>22</v>
          </cell>
          <cell r="BB801">
            <v>6</v>
          </cell>
          <cell r="BC801">
            <v>13</v>
          </cell>
          <cell r="BD801">
            <v>13</v>
          </cell>
          <cell r="BE801">
            <v>7</v>
          </cell>
          <cell r="BF801">
            <v>7</v>
          </cell>
          <cell r="BG801">
            <v>28</v>
          </cell>
          <cell r="BH801">
            <v>0</v>
          </cell>
          <cell r="BI801">
            <v>1</v>
          </cell>
          <cell r="BJ801">
            <v>0</v>
          </cell>
          <cell r="BK801">
            <v>0</v>
          </cell>
          <cell r="BL801">
            <v>0</v>
          </cell>
          <cell r="BM801">
            <v>0</v>
          </cell>
          <cell r="BN801">
            <v>1</v>
          </cell>
          <cell r="BO801">
            <v>0</v>
          </cell>
          <cell r="BP801">
            <v>0</v>
          </cell>
          <cell r="BQ801">
            <v>7</v>
          </cell>
          <cell r="BR801">
            <v>0</v>
          </cell>
          <cell r="BS801">
            <v>0</v>
          </cell>
          <cell r="BT801">
            <v>23</v>
          </cell>
          <cell r="BU801">
            <v>0</v>
          </cell>
        </row>
        <row r="802">
          <cell r="A802">
            <v>28</v>
          </cell>
          <cell r="B802">
            <v>28</v>
          </cell>
          <cell r="D802">
            <v>1</v>
          </cell>
          <cell r="F802">
            <v>1</v>
          </cell>
          <cell r="G802">
            <v>0</v>
          </cell>
          <cell r="I802">
            <v>1</v>
          </cell>
          <cell r="J802">
            <v>0</v>
          </cell>
          <cell r="K802">
            <v>1</v>
          </cell>
          <cell r="L802">
            <v>1</v>
          </cell>
          <cell r="M802">
            <v>3</v>
          </cell>
          <cell r="O802">
            <v>0</v>
          </cell>
          <cell r="P802">
            <v>0</v>
          </cell>
          <cell r="Q802">
            <v>1</v>
          </cell>
          <cell r="R802">
            <v>0</v>
          </cell>
          <cell r="S802">
            <v>0</v>
          </cell>
          <cell r="T802">
            <v>1</v>
          </cell>
          <cell r="V802">
            <v>0</v>
          </cell>
          <cell r="W802">
            <v>45</v>
          </cell>
          <cell r="X802">
            <v>2</v>
          </cell>
          <cell r="Y802">
            <v>1</v>
          </cell>
          <cell r="AA802">
            <v>0</v>
          </cell>
          <cell r="AB802">
            <v>0</v>
          </cell>
          <cell r="AC802">
            <v>1</v>
          </cell>
          <cell r="AD802">
            <v>0</v>
          </cell>
          <cell r="AE802">
            <v>0</v>
          </cell>
          <cell r="AF802">
            <v>0</v>
          </cell>
          <cell r="AG802">
            <v>0</v>
          </cell>
          <cell r="AH802">
            <v>0</v>
          </cell>
          <cell r="AI802">
            <v>2</v>
          </cell>
          <cell r="AK802">
            <v>0</v>
          </cell>
          <cell r="AL802">
            <v>0</v>
          </cell>
          <cell r="AN802">
            <v>2596</v>
          </cell>
          <cell r="AO802">
            <v>1</v>
          </cell>
          <cell r="AQ802">
            <v>0</v>
          </cell>
          <cell r="AR802">
            <v>15</v>
          </cell>
          <cell r="AS802">
            <v>3</v>
          </cell>
          <cell r="AT802">
            <v>1</v>
          </cell>
          <cell r="AU802">
            <v>2</v>
          </cell>
          <cell r="AV802">
            <v>1</v>
          </cell>
          <cell r="AW802">
            <v>1</v>
          </cell>
          <cell r="AX802">
            <v>2</v>
          </cell>
          <cell r="AY802">
            <v>3</v>
          </cell>
          <cell r="AZ802">
            <v>1</v>
          </cell>
          <cell r="BA802">
            <v>1</v>
          </cell>
          <cell r="BB802">
            <v>0</v>
          </cell>
          <cell r="BC802">
            <v>0</v>
          </cell>
          <cell r="BD802">
            <v>0</v>
          </cell>
          <cell r="BE802">
            <v>0</v>
          </cell>
          <cell r="BF802">
            <v>0</v>
          </cell>
          <cell r="BG802">
            <v>0</v>
          </cell>
          <cell r="BH802">
            <v>0</v>
          </cell>
          <cell r="BI802">
            <v>0</v>
          </cell>
          <cell r="BJ802">
            <v>1</v>
          </cell>
          <cell r="BK802">
            <v>0</v>
          </cell>
          <cell r="BL802">
            <v>1</v>
          </cell>
          <cell r="BM802">
            <v>0</v>
          </cell>
          <cell r="BN802">
            <v>0</v>
          </cell>
          <cell r="BO802">
            <v>0</v>
          </cell>
          <cell r="BP802">
            <v>0</v>
          </cell>
          <cell r="BQ802">
            <v>0</v>
          </cell>
          <cell r="BR802">
            <v>0</v>
          </cell>
          <cell r="BS802">
            <v>0</v>
          </cell>
          <cell r="BT802">
            <v>1</v>
          </cell>
          <cell r="BU802">
            <v>0</v>
          </cell>
        </row>
        <row r="803">
          <cell r="A803">
            <v>50</v>
          </cell>
          <cell r="B803">
            <v>50</v>
          </cell>
          <cell r="D803">
            <v>1</v>
          </cell>
          <cell r="F803">
            <v>1</v>
          </cell>
          <cell r="G803">
            <v>0</v>
          </cell>
          <cell r="I803">
            <v>0</v>
          </cell>
          <cell r="J803">
            <v>1</v>
          </cell>
          <cell r="K803">
            <v>1</v>
          </cell>
          <cell r="L803">
            <v>1</v>
          </cell>
          <cell r="M803">
            <v>4</v>
          </cell>
          <cell r="O803">
            <v>0</v>
          </cell>
          <cell r="P803">
            <v>1</v>
          </cell>
          <cell r="Q803">
            <v>0</v>
          </cell>
          <cell r="R803">
            <v>0</v>
          </cell>
          <cell r="S803">
            <v>0</v>
          </cell>
          <cell r="T803">
            <v>4</v>
          </cell>
          <cell r="V803">
            <v>0</v>
          </cell>
          <cell r="W803">
            <v>81</v>
          </cell>
          <cell r="X803">
            <v>3</v>
          </cell>
          <cell r="Y803">
            <v>2</v>
          </cell>
          <cell r="AA803">
            <v>0</v>
          </cell>
          <cell r="AB803">
            <v>1</v>
          </cell>
          <cell r="AC803">
            <v>0</v>
          </cell>
          <cell r="AD803">
            <v>0</v>
          </cell>
          <cell r="AE803">
            <v>0</v>
          </cell>
          <cell r="AF803">
            <v>0</v>
          </cell>
          <cell r="AG803">
            <v>0</v>
          </cell>
          <cell r="AH803">
            <v>0</v>
          </cell>
          <cell r="AI803">
            <v>3</v>
          </cell>
          <cell r="AK803">
            <v>1</v>
          </cell>
          <cell r="AL803">
            <v>0</v>
          </cell>
          <cell r="AN803">
            <v>4728</v>
          </cell>
          <cell r="AO803">
            <v>3</v>
          </cell>
          <cell r="AQ803">
            <v>1</v>
          </cell>
          <cell r="AR803">
            <v>14</v>
          </cell>
          <cell r="AS803">
            <v>3</v>
          </cell>
          <cell r="AT803">
            <v>4</v>
          </cell>
          <cell r="AU803">
            <v>0</v>
          </cell>
          <cell r="AV803">
            <v>5</v>
          </cell>
          <cell r="AW803">
            <v>5</v>
          </cell>
          <cell r="AX803">
            <v>4</v>
          </cell>
          <cell r="AY803">
            <v>3</v>
          </cell>
          <cell r="AZ803">
            <v>0</v>
          </cell>
          <cell r="BA803">
            <v>0</v>
          </cell>
          <cell r="BB803">
            <v>0</v>
          </cell>
          <cell r="BC803">
            <v>0</v>
          </cell>
          <cell r="BD803">
            <v>0</v>
          </cell>
          <cell r="BE803">
            <v>0</v>
          </cell>
          <cell r="BF803">
            <v>0</v>
          </cell>
          <cell r="BG803">
            <v>0</v>
          </cell>
          <cell r="BH803">
            <v>0</v>
          </cell>
          <cell r="BI803">
            <v>0</v>
          </cell>
          <cell r="BJ803">
            <v>1</v>
          </cell>
          <cell r="BK803">
            <v>0</v>
          </cell>
          <cell r="BL803">
            <v>0</v>
          </cell>
          <cell r="BM803">
            <v>1</v>
          </cell>
          <cell r="BN803">
            <v>0</v>
          </cell>
          <cell r="BO803">
            <v>0</v>
          </cell>
          <cell r="BP803">
            <v>0</v>
          </cell>
          <cell r="BQ803">
            <v>0</v>
          </cell>
          <cell r="BR803">
            <v>0</v>
          </cell>
          <cell r="BS803">
            <v>0</v>
          </cell>
          <cell r="BT803">
            <v>0</v>
          </cell>
          <cell r="BU803">
            <v>5</v>
          </cell>
        </row>
        <row r="804">
          <cell r="A804">
            <v>33</v>
          </cell>
          <cell r="B804">
            <v>33</v>
          </cell>
          <cell r="D804">
            <v>0</v>
          </cell>
          <cell r="F804">
            <v>1</v>
          </cell>
          <cell r="G804">
            <v>0</v>
          </cell>
          <cell r="I804">
            <v>0</v>
          </cell>
          <cell r="J804">
            <v>1</v>
          </cell>
          <cell r="K804">
            <v>7</v>
          </cell>
          <cell r="L804">
            <v>7</v>
          </cell>
          <cell r="M804">
            <v>3</v>
          </cell>
          <cell r="O804">
            <v>1</v>
          </cell>
          <cell r="P804">
            <v>0</v>
          </cell>
          <cell r="Q804">
            <v>0</v>
          </cell>
          <cell r="R804">
            <v>0</v>
          </cell>
          <cell r="S804">
            <v>0</v>
          </cell>
          <cell r="T804">
            <v>4</v>
          </cell>
          <cell r="V804">
            <v>1</v>
          </cell>
          <cell r="W804">
            <v>30</v>
          </cell>
          <cell r="X804">
            <v>3</v>
          </cell>
          <cell r="Y804">
            <v>2</v>
          </cell>
          <cell r="AA804">
            <v>0</v>
          </cell>
          <cell r="AB804">
            <v>1</v>
          </cell>
          <cell r="AC804">
            <v>0</v>
          </cell>
          <cell r="AD804">
            <v>0</v>
          </cell>
          <cell r="AE804">
            <v>0</v>
          </cell>
          <cell r="AF804">
            <v>0</v>
          </cell>
          <cell r="AG804">
            <v>0</v>
          </cell>
          <cell r="AH804">
            <v>0</v>
          </cell>
          <cell r="AI804">
            <v>2</v>
          </cell>
          <cell r="AK804">
            <v>0</v>
          </cell>
          <cell r="AL804">
            <v>1</v>
          </cell>
          <cell r="AN804">
            <v>4302</v>
          </cell>
          <cell r="AO804">
            <v>0</v>
          </cell>
          <cell r="AQ804">
            <v>0</v>
          </cell>
          <cell r="AR804">
            <v>17</v>
          </cell>
          <cell r="AS804">
            <v>3</v>
          </cell>
          <cell r="AT804">
            <v>3</v>
          </cell>
          <cell r="AU804">
            <v>1</v>
          </cell>
          <cell r="AV804">
            <v>4</v>
          </cell>
          <cell r="AW804">
            <v>4</v>
          </cell>
          <cell r="AX804">
            <v>3</v>
          </cell>
          <cell r="AY804">
            <v>3</v>
          </cell>
          <cell r="AZ804">
            <v>3</v>
          </cell>
          <cell r="BA804">
            <v>3</v>
          </cell>
          <cell r="BB804">
            <v>2</v>
          </cell>
          <cell r="BC804">
            <v>0</v>
          </cell>
          <cell r="BD804">
            <v>0</v>
          </cell>
          <cell r="BE804">
            <v>2</v>
          </cell>
          <cell r="BF804">
            <v>2</v>
          </cell>
          <cell r="BG804">
            <v>4</v>
          </cell>
          <cell r="BH804">
            <v>0</v>
          </cell>
          <cell r="BI804">
            <v>0</v>
          </cell>
          <cell r="BJ804">
            <v>0</v>
          </cell>
          <cell r="BK804">
            <v>1</v>
          </cell>
          <cell r="BL804">
            <v>0</v>
          </cell>
          <cell r="BM804">
            <v>0</v>
          </cell>
          <cell r="BN804">
            <v>1</v>
          </cell>
          <cell r="BO804">
            <v>0</v>
          </cell>
          <cell r="BP804">
            <v>0</v>
          </cell>
          <cell r="BQ804">
            <v>0</v>
          </cell>
          <cell r="BR804">
            <v>2</v>
          </cell>
          <cell r="BS804">
            <v>0</v>
          </cell>
          <cell r="BT804">
            <v>0</v>
          </cell>
          <cell r="BU804">
            <v>4</v>
          </cell>
        </row>
        <row r="805">
          <cell r="A805">
            <v>34</v>
          </cell>
          <cell r="B805">
            <v>34</v>
          </cell>
          <cell r="D805">
            <v>0</v>
          </cell>
          <cell r="F805">
            <v>0</v>
          </cell>
          <cell r="G805">
            <v>0</v>
          </cell>
          <cell r="I805">
            <v>1</v>
          </cell>
          <cell r="J805">
            <v>0</v>
          </cell>
          <cell r="K805">
            <v>3</v>
          </cell>
          <cell r="L805">
            <v>3</v>
          </cell>
          <cell r="M805">
            <v>4</v>
          </cell>
          <cell r="O805">
            <v>1</v>
          </cell>
          <cell r="P805">
            <v>0</v>
          </cell>
          <cell r="Q805">
            <v>0</v>
          </cell>
          <cell r="R805">
            <v>0</v>
          </cell>
          <cell r="S805">
            <v>0</v>
          </cell>
          <cell r="T805">
            <v>3</v>
          </cell>
          <cell r="V805">
            <v>0</v>
          </cell>
          <cell r="W805">
            <v>40</v>
          </cell>
          <cell r="X805">
            <v>2</v>
          </cell>
          <cell r="Y805">
            <v>1</v>
          </cell>
          <cell r="AA805">
            <v>0</v>
          </cell>
          <cell r="AB805">
            <v>0</v>
          </cell>
          <cell r="AC805">
            <v>0</v>
          </cell>
          <cell r="AD805">
            <v>0</v>
          </cell>
          <cell r="AE805">
            <v>0</v>
          </cell>
          <cell r="AF805">
            <v>0</v>
          </cell>
          <cell r="AG805">
            <v>0</v>
          </cell>
          <cell r="AH805">
            <v>1</v>
          </cell>
          <cell r="AI805">
            <v>4</v>
          </cell>
          <cell r="AK805">
            <v>0</v>
          </cell>
          <cell r="AL805">
            <v>1</v>
          </cell>
          <cell r="AN805">
            <v>2979</v>
          </cell>
          <cell r="AO805">
            <v>3</v>
          </cell>
          <cell r="AQ805">
            <v>0</v>
          </cell>
          <cell r="AR805">
            <v>17</v>
          </cell>
          <cell r="AS805">
            <v>3</v>
          </cell>
          <cell r="AT805">
            <v>4</v>
          </cell>
          <cell r="AU805">
            <v>3</v>
          </cell>
          <cell r="AV805">
            <v>6</v>
          </cell>
          <cell r="AW805">
            <v>6</v>
          </cell>
          <cell r="AX805">
            <v>2</v>
          </cell>
          <cell r="AY805">
            <v>3</v>
          </cell>
          <cell r="AZ805">
            <v>0</v>
          </cell>
          <cell r="BA805">
            <v>0</v>
          </cell>
          <cell r="BB805">
            <v>0</v>
          </cell>
          <cell r="BC805">
            <v>0</v>
          </cell>
          <cell r="BD805">
            <v>0</v>
          </cell>
          <cell r="BE805">
            <v>0</v>
          </cell>
          <cell r="BF805">
            <v>0</v>
          </cell>
          <cell r="BG805">
            <v>0</v>
          </cell>
          <cell r="BH805">
            <v>0</v>
          </cell>
          <cell r="BI805">
            <v>1</v>
          </cell>
          <cell r="BJ805">
            <v>0</v>
          </cell>
          <cell r="BK805">
            <v>0</v>
          </cell>
          <cell r="BL805">
            <v>0</v>
          </cell>
          <cell r="BM805">
            <v>0</v>
          </cell>
          <cell r="BN805">
            <v>1</v>
          </cell>
          <cell r="BO805">
            <v>0</v>
          </cell>
          <cell r="BP805">
            <v>0</v>
          </cell>
          <cell r="BQ805">
            <v>0</v>
          </cell>
          <cell r="BR805">
            <v>0</v>
          </cell>
          <cell r="BS805">
            <v>0</v>
          </cell>
          <cell r="BT805">
            <v>6</v>
          </cell>
          <cell r="BU805">
            <v>0</v>
          </cell>
        </row>
        <row r="806">
          <cell r="A806">
            <v>48</v>
          </cell>
          <cell r="B806">
            <v>48</v>
          </cell>
          <cell r="D806">
            <v>0</v>
          </cell>
          <cell r="F806">
            <v>0</v>
          </cell>
          <cell r="G806">
            <v>0</v>
          </cell>
          <cell r="I806">
            <v>1</v>
          </cell>
          <cell r="J806">
            <v>0</v>
          </cell>
          <cell r="K806">
            <v>1</v>
          </cell>
          <cell r="L806">
            <v>1</v>
          </cell>
          <cell r="M806">
            <v>4</v>
          </cell>
          <cell r="O806">
            <v>0</v>
          </cell>
          <cell r="P806">
            <v>0</v>
          </cell>
          <cell r="Q806">
            <v>1</v>
          </cell>
          <cell r="R806">
            <v>0</v>
          </cell>
          <cell r="S806">
            <v>0</v>
          </cell>
          <cell r="T806">
            <v>1</v>
          </cell>
          <cell r="V806">
            <v>0</v>
          </cell>
          <cell r="W806">
            <v>35</v>
          </cell>
          <cell r="X806">
            <v>4</v>
          </cell>
          <cell r="Y806">
            <v>4</v>
          </cell>
          <cell r="AA806">
            <v>0</v>
          </cell>
          <cell r="AB806">
            <v>0</v>
          </cell>
          <cell r="AC806">
            <v>0</v>
          </cell>
          <cell r="AD806">
            <v>1</v>
          </cell>
          <cell r="AE806">
            <v>0</v>
          </cell>
          <cell r="AF806">
            <v>0</v>
          </cell>
          <cell r="AG806">
            <v>0</v>
          </cell>
          <cell r="AH806">
            <v>0</v>
          </cell>
          <cell r="AI806">
            <v>4</v>
          </cell>
          <cell r="AK806">
            <v>1</v>
          </cell>
          <cell r="AL806">
            <v>0</v>
          </cell>
          <cell r="AN806">
            <v>16885</v>
          </cell>
          <cell r="AO806">
            <v>2</v>
          </cell>
          <cell r="AQ806">
            <v>0</v>
          </cell>
          <cell r="AR806">
            <v>22</v>
          </cell>
          <cell r="AS806">
            <v>4</v>
          </cell>
          <cell r="AT806">
            <v>3</v>
          </cell>
          <cell r="AU806">
            <v>0</v>
          </cell>
          <cell r="AV806">
            <v>27</v>
          </cell>
          <cell r="AW806">
            <v>27</v>
          </cell>
          <cell r="AX806">
            <v>3</v>
          </cell>
          <cell r="AY806">
            <v>2</v>
          </cell>
          <cell r="AZ806">
            <v>5</v>
          </cell>
          <cell r="BA806">
            <v>5</v>
          </cell>
          <cell r="BB806">
            <v>4</v>
          </cell>
          <cell r="BC806">
            <v>2</v>
          </cell>
          <cell r="BD806">
            <v>2</v>
          </cell>
          <cell r="BE806">
            <v>1</v>
          </cell>
          <cell r="BF806">
            <v>1</v>
          </cell>
          <cell r="BG806">
            <v>4</v>
          </cell>
          <cell r="BH806">
            <v>1</v>
          </cell>
          <cell r="BI806">
            <v>0</v>
          </cell>
          <cell r="BJ806">
            <v>0</v>
          </cell>
          <cell r="BK806">
            <v>0</v>
          </cell>
          <cell r="BL806">
            <v>1</v>
          </cell>
          <cell r="BM806">
            <v>0</v>
          </cell>
          <cell r="BN806">
            <v>0</v>
          </cell>
          <cell r="BO806">
            <v>0</v>
          </cell>
          <cell r="BP806">
            <v>0</v>
          </cell>
          <cell r="BQ806">
            <v>1</v>
          </cell>
          <cell r="BR806">
            <v>0</v>
          </cell>
          <cell r="BS806">
            <v>0</v>
          </cell>
          <cell r="BT806">
            <v>27</v>
          </cell>
          <cell r="BU806">
            <v>0</v>
          </cell>
        </row>
        <row r="807">
          <cell r="A807">
            <v>45</v>
          </cell>
          <cell r="B807">
            <v>45</v>
          </cell>
          <cell r="D807">
            <v>0</v>
          </cell>
          <cell r="F807">
            <v>0</v>
          </cell>
          <cell r="G807">
            <v>0</v>
          </cell>
          <cell r="I807">
            <v>0</v>
          </cell>
          <cell r="J807">
            <v>1</v>
          </cell>
          <cell r="K807">
            <v>9</v>
          </cell>
          <cell r="L807">
            <v>9</v>
          </cell>
          <cell r="M807">
            <v>4</v>
          </cell>
          <cell r="O807">
            <v>1</v>
          </cell>
          <cell r="P807">
            <v>0</v>
          </cell>
          <cell r="Q807">
            <v>0</v>
          </cell>
          <cell r="R807">
            <v>0</v>
          </cell>
          <cell r="S807">
            <v>0</v>
          </cell>
          <cell r="T807">
            <v>2</v>
          </cell>
          <cell r="V807">
            <v>1</v>
          </cell>
          <cell r="W807">
            <v>65</v>
          </cell>
          <cell r="X807">
            <v>2</v>
          </cell>
          <cell r="Y807">
            <v>2</v>
          </cell>
          <cell r="AA807">
            <v>0</v>
          </cell>
          <cell r="AB807">
            <v>1</v>
          </cell>
          <cell r="AC807">
            <v>0</v>
          </cell>
          <cell r="AD807">
            <v>0</v>
          </cell>
          <cell r="AE807">
            <v>0</v>
          </cell>
          <cell r="AF807">
            <v>0</v>
          </cell>
          <cell r="AG807">
            <v>0</v>
          </cell>
          <cell r="AH807">
            <v>0</v>
          </cell>
          <cell r="AI807">
            <v>3</v>
          </cell>
          <cell r="AK807">
            <v>0</v>
          </cell>
          <cell r="AL807">
            <v>1</v>
          </cell>
          <cell r="AN807">
            <v>5593</v>
          </cell>
          <cell r="AO807">
            <v>1</v>
          </cell>
          <cell r="AQ807">
            <v>0</v>
          </cell>
          <cell r="AR807">
            <v>13</v>
          </cell>
          <cell r="AS807">
            <v>3</v>
          </cell>
          <cell r="AT807">
            <v>4</v>
          </cell>
          <cell r="AU807">
            <v>1</v>
          </cell>
          <cell r="AV807">
            <v>15</v>
          </cell>
          <cell r="AW807">
            <v>15</v>
          </cell>
          <cell r="AX807">
            <v>2</v>
          </cell>
          <cell r="AY807">
            <v>3</v>
          </cell>
          <cell r="AZ807">
            <v>15</v>
          </cell>
          <cell r="BA807">
            <v>15</v>
          </cell>
          <cell r="BB807">
            <v>10</v>
          </cell>
          <cell r="BC807">
            <v>4</v>
          </cell>
          <cell r="BD807">
            <v>4</v>
          </cell>
          <cell r="BE807">
            <v>12</v>
          </cell>
          <cell r="BF807">
            <v>12</v>
          </cell>
          <cell r="BG807">
            <v>24</v>
          </cell>
          <cell r="BH807">
            <v>0</v>
          </cell>
          <cell r="BI807">
            <v>1</v>
          </cell>
          <cell r="BJ807">
            <v>0</v>
          </cell>
          <cell r="BK807">
            <v>0</v>
          </cell>
          <cell r="BL807">
            <v>0</v>
          </cell>
          <cell r="BM807">
            <v>0</v>
          </cell>
          <cell r="BN807">
            <v>1</v>
          </cell>
          <cell r="BO807">
            <v>0</v>
          </cell>
          <cell r="BP807">
            <v>0</v>
          </cell>
          <cell r="BQ807">
            <v>0</v>
          </cell>
          <cell r="BR807">
            <v>12</v>
          </cell>
          <cell r="BS807">
            <v>0</v>
          </cell>
          <cell r="BT807">
            <v>0</v>
          </cell>
          <cell r="BU807">
            <v>15</v>
          </cell>
        </row>
        <row r="808">
          <cell r="A808">
            <v>52</v>
          </cell>
          <cell r="B808">
            <v>52</v>
          </cell>
          <cell r="D808">
            <v>0</v>
          </cell>
          <cell r="F808">
            <v>0</v>
          </cell>
          <cell r="G808">
            <v>1</v>
          </cell>
          <cell r="I808">
            <v>1</v>
          </cell>
          <cell r="J808">
            <v>0</v>
          </cell>
          <cell r="K808">
            <v>7</v>
          </cell>
          <cell r="L808">
            <v>7</v>
          </cell>
          <cell r="M808">
            <v>4</v>
          </cell>
          <cell r="O808">
            <v>1</v>
          </cell>
          <cell r="P808">
            <v>0</v>
          </cell>
          <cell r="Q808">
            <v>0</v>
          </cell>
          <cell r="R808">
            <v>0</v>
          </cell>
          <cell r="S808">
            <v>0</v>
          </cell>
          <cell r="T808">
            <v>2</v>
          </cell>
          <cell r="V808">
            <v>0</v>
          </cell>
          <cell r="W808">
            <v>87</v>
          </cell>
          <cell r="X808">
            <v>3</v>
          </cell>
          <cell r="Y808">
            <v>3</v>
          </cell>
          <cell r="AA808">
            <v>1</v>
          </cell>
          <cell r="AB808">
            <v>0</v>
          </cell>
          <cell r="AC808">
            <v>0</v>
          </cell>
          <cell r="AD808">
            <v>0</v>
          </cell>
          <cell r="AE808">
            <v>0</v>
          </cell>
          <cell r="AF808">
            <v>0</v>
          </cell>
          <cell r="AG808">
            <v>0</v>
          </cell>
          <cell r="AH808">
            <v>0</v>
          </cell>
          <cell r="AI808">
            <v>2</v>
          </cell>
          <cell r="AK808">
            <v>1</v>
          </cell>
          <cell r="AL808">
            <v>0</v>
          </cell>
          <cell r="AN808">
            <v>10445</v>
          </cell>
          <cell r="AO808">
            <v>7</v>
          </cell>
          <cell r="AQ808">
            <v>0</v>
          </cell>
          <cell r="AR808">
            <v>19</v>
          </cell>
          <cell r="AS808">
            <v>3</v>
          </cell>
          <cell r="AT808">
            <v>4</v>
          </cell>
          <cell r="AU808">
            <v>0</v>
          </cell>
          <cell r="AV808">
            <v>18</v>
          </cell>
          <cell r="AW808">
            <v>18</v>
          </cell>
          <cell r="AX808">
            <v>4</v>
          </cell>
          <cell r="AY808">
            <v>3</v>
          </cell>
          <cell r="AZ808">
            <v>8</v>
          </cell>
          <cell r="BA808">
            <v>8</v>
          </cell>
          <cell r="BB808">
            <v>6</v>
          </cell>
          <cell r="BC808">
            <v>4</v>
          </cell>
          <cell r="BD808">
            <v>4</v>
          </cell>
          <cell r="BE808">
            <v>0</v>
          </cell>
          <cell r="BF808">
            <v>0</v>
          </cell>
          <cell r="BG808">
            <v>0</v>
          </cell>
          <cell r="BH808">
            <v>1</v>
          </cell>
          <cell r="BI808">
            <v>0</v>
          </cell>
          <cell r="BJ808">
            <v>0</v>
          </cell>
          <cell r="BK808">
            <v>0</v>
          </cell>
          <cell r="BL808">
            <v>1</v>
          </cell>
          <cell r="BM808">
            <v>0</v>
          </cell>
          <cell r="BN808">
            <v>0</v>
          </cell>
          <cell r="BO808">
            <v>0</v>
          </cell>
          <cell r="BP808">
            <v>0</v>
          </cell>
          <cell r="BQ808">
            <v>0</v>
          </cell>
          <cell r="BR808">
            <v>0</v>
          </cell>
          <cell r="BS808">
            <v>0</v>
          </cell>
          <cell r="BT808">
            <v>18</v>
          </cell>
          <cell r="BU808">
            <v>0</v>
          </cell>
        </row>
        <row r="809">
          <cell r="A809">
            <v>38</v>
          </cell>
          <cell r="B809">
            <v>38</v>
          </cell>
          <cell r="D809">
            <v>0</v>
          </cell>
          <cell r="F809">
            <v>0</v>
          </cell>
          <cell r="G809">
            <v>1</v>
          </cell>
          <cell r="I809">
            <v>0</v>
          </cell>
          <cell r="J809">
            <v>1</v>
          </cell>
          <cell r="K809">
            <v>10</v>
          </cell>
          <cell r="L809">
            <v>10</v>
          </cell>
          <cell r="M809">
            <v>4</v>
          </cell>
          <cell r="O809">
            <v>0</v>
          </cell>
          <cell r="P809">
            <v>0</v>
          </cell>
          <cell r="Q809">
            <v>0</v>
          </cell>
          <cell r="R809">
            <v>1</v>
          </cell>
          <cell r="S809">
            <v>0</v>
          </cell>
          <cell r="T809">
            <v>3</v>
          </cell>
          <cell r="V809">
            <v>0</v>
          </cell>
          <cell r="W809">
            <v>73</v>
          </cell>
          <cell r="X809">
            <v>2</v>
          </cell>
          <cell r="Y809">
            <v>3</v>
          </cell>
          <cell r="AA809">
            <v>0</v>
          </cell>
          <cell r="AB809">
            <v>1</v>
          </cell>
          <cell r="AC809">
            <v>0</v>
          </cell>
          <cell r="AD809">
            <v>0</v>
          </cell>
          <cell r="AE809">
            <v>0</v>
          </cell>
          <cell r="AF809">
            <v>0</v>
          </cell>
          <cell r="AG809">
            <v>0</v>
          </cell>
          <cell r="AH809">
            <v>0</v>
          </cell>
          <cell r="AI809">
            <v>3</v>
          </cell>
          <cell r="AK809">
            <v>0</v>
          </cell>
          <cell r="AL809">
            <v>0</v>
          </cell>
          <cell r="AN809">
            <v>8740</v>
          </cell>
          <cell r="AO809">
            <v>0</v>
          </cell>
          <cell r="AQ809">
            <v>1</v>
          </cell>
          <cell r="AR809">
            <v>14</v>
          </cell>
          <cell r="AS809">
            <v>3</v>
          </cell>
          <cell r="AT809">
            <v>2</v>
          </cell>
          <cell r="AU809">
            <v>2</v>
          </cell>
          <cell r="AV809">
            <v>9</v>
          </cell>
          <cell r="AW809">
            <v>9</v>
          </cell>
          <cell r="AX809">
            <v>2</v>
          </cell>
          <cell r="AY809">
            <v>3</v>
          </cell>
          <cell r="AZ809">
            <v>8</v>
          </cell>
          <cell r="BA809">
            <v>8</v>
          </cell>
          <cell r="BB809">
            <v>7</v>
          </cell>
          <cell r="BC809">
            <v>2</v>
          </cell>
          <cell r="BD809">
            <v>2</v>
          </cell>
          <cell r="BE809">
            <v>7</v>
          </cell>
          <cell r="BF809">
            <v>7</v>
          </cell>
          <cell r="BG809">
            <v>21</v>
          </cell>
          <cell r="BH809">
            <v>1</v>
          </cell>
          <cell r="BI809">
            <v>0</v>
          </cell>
          <cell r="BJ809">
            <v>0</v>
          </cell>
          <cell r="BK809">
            <v>0</v>
          </cell>
          <cell r="BL809">
            <v>0</v>
          </cell>
          <cell r="BM809">
            <v>1</v>
          </cell>
          <cell r="BN809">
            <v>0</v>
          </cell>
          <cell r="BO809">
            <v>0</v>
          </cell>
          <cell r="BP809">
            <v>0</v>
          </cell>
          <cell r="BQ809">
            <v>0</v>
          </cell>
          <cell r="BR809">
            <v>7</v>
          </cell>
          <cell r="BS809">
            <v>0</v>
          </cell>
          <cell r="BT809">
            <v>0</v>
          </cell>
          <cell r="BU809">
            <v>9</v>
          </cell>
        </row>
        <row r="810">
          <cell r="A810">
            <v>29</v>
          </cell>
          <cell r="B810">
            <v>29</v>
          </cell>
          <cell r="D810">
            <v>0</v>
          </cell>
          <cell r="F810">
            <v>0</v>
          </cell>
          <cell r="G810">
            <v>1</v>
          </cell>
          <cell r="I810">
            <v>1</v>
          </cell>
          <cell r="J810">
            <v>0</v>
          </cell>
          <cell r="K810">
            <v>28</v>
          </cell>
          <cell r="L810">
            <v>28</v>
          </cell>
          <cell r="M810">
            <v>4</v>
          </cell>
          <cell r="O810">
            <v>1</v>
          </cell>
          <cell r="P810">
            <v>0</v>
          </cell>
          <cell r="Q810">
            <v>0</v>
          </cell>
          <cell r="R810">
            <v>0</v>
          </cell>
          <cell r="S810">
            <v>0</v>
          </cell>
          <cell r="T810">
            <v>3</v>
          </cell>
          <cell r="V810">
            <v>1</v>
          </cell>
          <cell r="W810">
            <v>93</v>
          </cell>
          <cell r="X810">
            <v>3</v>
          </cell>
          <cell r="Y810">
            <v>1</v>
          </cell>
          <cell r="AA810">
            <v>0</v>
          </cell>
          <cell r="AB810">
            <v>0</v>
          </cell>
          <cell r="AC810">
            <v>0</v>
          </cell>
          <cell r="AD810">
            <v>0</v>
          </cell>
          <cell r="AE810">
            <v>0</v>
          </cell>
          <cell r="AF810">
            <v>0</v>
          </cell>
          <cell r="AG810">
            <v>0</v>
          </cell>
          <cell r="AH810">
            <v>1</v>
          </cell>
          <cell r="AI810">
            <v>4</v>
          </cell>
          <cell r="AK810">
            <v>0</v>
          </cell>
          <cell r="AL810">
            <v>0</v>
          </cell>
          <cell r="AN810">
            <v>2514</v>
          </cell>
          <cell r="AO810">
            <v>4</v>
          </cell>
          <cell r="AQ810">
            <v>0</v>
          </cell>
          <cell r="AR810">
            <v>22</v>
          </cell>
          <cell r="AS810">
            <v>4</v>
          </cell>
          <cell r="AT810">
            <v>1</v>
          </cell>
          <cell r="AU810">
            <v>1</v>
          </cell>
          <cell r="AV810">
            <v>11</v>
          </cell>
          <cell r="AW810">
            <v>11</v>
          </cell>
          <cell r="AX810">
            <v>1</v>
          </cell>
          <cell r="AY810">
            <v>3</v>
          </cell>
          <cell r="AZ810">
            <v>7</v>
          </cell>
          <cell r="BA810">
            <v>7</v>
          </cell>
          <cell r="BB810">
            <v>5</v>
          </cell>
          <cell r="BC810">
            <v>1</v>
          </cell>
          <cell r="BD810">
            <v>1</v>
          </cell>
          <cell r="BE810">
            <v>7</v>
          </cell>
          <cell r="BF810">
            <v>7</v>
          </cell>
          <cell r="BG810">
            <v>7</v>
          </cell>
          <cell r="BH810">
            <v>1</v>
          </cell>
          <cell r="BI810">
            <v>0</v>
          </cell>
          <cell r="BJ810">
            <v>0</v>
          </cell>
          <cell r="BK810">
            <v>0</v>
          </cell>
          <cell r="BL810">
            <v>1</v>
          </cell>
          <cell r="BM810">
            <v>0</v>
          </cell>
          <cell r="BN810">
            <v>0</v>
          </cell>
          <cell r="BO810">
            <v>0</v>
          </cell>
          <cell r="BP810">
            <v>0</v>
          </cell>
          <cell r="BQ810">
            <v>7</v>
          </cell>
          <cell r="BR810">
            <v>0</v>
          </cell>
          <cell r="BS810">
            <v>0</v>
          </cell>
          <cell r="BT810">
            <v>11</v>
          </cell>
          <cell r="BU810">
            <v>0</v>
          </cell>
        </row>
        <row r="811">
          <cell r="A811">
            <v>28</v>
          </cell>
          <cell r="B811">
            <v>28</v>
          </cell>
          <cell r="D811">
            <v>0</v>
          </cell>
          <cell r="F811">
            <v>0</v>
          </cell>
          <cell r="G811">
            <v>1</v>
          </cell>
          <cell r="I811">
            <v>1</v>
          </cell>
          <cell r="J811">
            <v>0</v>
          </cell>
          <cell r="K811">
            <v>3</v>
          </cell>
          <cell r="L811">
            <v>3</v>
          </cell>
          <cell r="M811">
            <v>3</v>
          </cell>
          <cell r="O811">
            <v>0</v>
          </cell>
          <cell r="P811">
            <v>0</v>
          </cell>
          <cell r="Q811">
            <v>1</v>
          </cell>
          <cell r="R811">
            <v>0</v>
          </cell>
          <cell r="S811">
            <v>0</v>
          </cell>
          <cell r="T811">
            <v>4</v>
          </cell>
          <cell r="V811">
            <v>1</v>
          </cell>
          <cell r="W811">
            <v>93</v>
          </cell>
          <cell r="X811">
            <v>3</v>
          </cell>
          <cell r="Y811">
            <v>3</v>
          </cell>
          <cell r="AA811">
            <v>0</v>
          </cell>
          <cell r="AB811">
            <v>0</v>
          </cell>
          <cell r="AC811">
            <v>0</v>
          </cell>
          <cell r="AD811">
            <v>0</v>
          </cell>
          <cell r="AE811">
            <v>1</v>
          </cell>
          <cell r="AF811">
            <v>1</v>
          </cell>
          <cell r="AG811">
            <v>0</v>
          </cell>
          <cell r="AH811">
            <v>0</v>
          </cell>
          <cell r="AI811">
            <v>2</v>
          </cell>
          <cell r="AK811">
            <v>0</v>
          </cell>
          <cell r="AL811">
            <v>0</v>
          </cell>
          <cell r="AN811">
            <v>7655</v>
          </cell>
          <cell r="AO811">
            <v>0</v>
          </cell>
          <cell r="AQ811">
            <v>0</v>
          </cell>
          <cell r="AR811">
            <v>17</v>
          </cell>
          <cell r="AS811">
            <v>3</v>
          </cell>
          <cell r="AT811">
            <v>2</v>
          </cell>
          <cell r="AU811">
            <v>3</v>
          </cell>
          <cell r="AV811">
            <v>10</v>
          </cell>
          <cell r="AW811">
            <v>10</v>
          </cell>
          <cell r="AX811">
            <v>3</v>
          </cell>
          <cell r="AY811">
            <v>2</v>
          </cell>
          <cell r="AZ811">
            <v>9</v>
          </cell>
          <cell r="BA811">
            <v>9</v>
          </cell>
          <cell r="BB811">
            <v>7</v>
          </cell>
          <cell r="BC811">
            <v>1</v>
          </cell>
          <cell r="BD811">
            <v>1</v>
          </cell>
          <cell r="BE811">
            <v>7</v>
          </cell>
          <cell r="BF811">
            <v>7</v>
          </cell>
          <cell r="BG811">
            <v>21</v>
          </cell>
          <cell r="BH811">
            <v>1</v>
          </cell>
          <cell r="BI811">
            <v>0</v>
          </cell>
          <cell r="BJ811">
            <v>0</v>
          </cell>
          <cell r="BK811">
            <v>0</v>
          </cell>
          <cell r="BL811">
            <v>1</v>
          </cell>
          <cell r="BM811">
            <v>0</v>
          </cell>
          <cell r="BN811">
            <v>0</v>
          </cell>
          <cell r="BO811">
            <v>0</v>
          </cell>
          <cell r="BP811">
            <v>0</v>
          </cell>
          <cell r="BQ811">
            <v>7</v>
          </cell>
          <cell r="BR811">
            <v>0</v>
          </cell>
          <cell r="BS811">
            <v>0</v>
          </cell>
          <cell r="BT811">
            <v>10</v>
          </cell>
          <cell r="BU811">
            <v>0</v>
          </cell>
        </row>
        <row r="812">
          <cell r="A812">
            <v>46</v>
          </cell>
          <cell r="B812">
            <v>46</v>
          </cell>
          <cell r="D812">
            <v>0</v>
          </cell>
          <cell r="F812">
            <v>0</v>
          </cell>
          <cell r="G812">
            <v>1</v>
          </cell>
          <cell r="I812">
            <v>0</v>
          </cell>
          <cell r="J812">
            <v>1</v>
          </cell>
          <cell r="K812">
            <v>3</v>
          </cell>
          <cell r="L812">
            <v>3</v>
          </cell>
          <cell r="M812">
            <v>1</v>
          </cell>
          <cell r="O812">
            <v>0</v>
          </cell>
          <cell r="P812">
            <v>0</v>
          </cell>
          <cell r="Q812">
            <v>0</v>
          </cell>
          <cell r="R812">
            <v>1</v>
          </cell>
          <cell r="S812">
            <v>0</v>
          </cell>
          <cell r="T812">
            <v>1</v>
          </cell>
          <cell r="V812">
            <v>0</v>
          </cell>
          <cell r="W812">
            <v>52</v>
          </cell>
          <cell r="X812">
            <v>3</v>
          </cell>
          <cell r="Y812">
            <v>4</v>
          </cell>
          <cell r="AA812">
            <v>0</v>
          </cell>
          <cell r="AB812">
            <v>0</v>
          </cell>
          <cell r="AC812">
            <v>0</v>
          </cell>
          <cell r="AD812">
            <v>1</v>
          </cell>
          <cell r="AE812">
            <v>0</v>
          </cell>
          <cell r="AF812">
            <v>0</v>
          </cell>
          <cell r="AG812">
            <v>0</v>
          </cell>
          <cell r="AH812">
            <v>0</v>
          </cell>
          <cell r="AI812">
            <v>3</v>
          </cell>
          <cell r="AK812">
            <v>0</v>
          </cell>
          <cell r="AL812">
            <v>1</v>
          </cell>
          <cell r="AN812">
            <v>17465</v>
          </cell>
          <cell r="AO812">
            <v>3</v>
          </cell>
          <cell r="AQ812">
            <v>0</v>
          </cell>
          <cell r="AR812">
            <v>12</v>
          </cell>
          <cell r="AS812">
            <v>3</v>
          </cell>
          <cell r="AT812">
            <v>4</v>
          </cell>
          <cell r="AU812">
            <v>1</v>
          </cell>
          <cell r="AV812">
            <v>23</v>
          </cell>
          <cell r="AW812">
            <v>23</v>
          </cell>
          <cell r="AX812">
            <v>3</v>
          </cell>
          <cell r="AY812">
            <v>3</v>
          </cell>
          <cell r="AZ812">
            <v>12</v>
          </cell>
          <cell r="BA812">
            <v>12</v>
          </cell>
          <cell r="BB812">
            <v>9</v>
          </cell>
          <cell r="BC812">
            <v>4</v>
          </cell>
          <cell r="BD812">
            <v>4</v>
          </cell>
          <cell r="BE812">
            <v>9</v>
          </cell>
          <cell r="BF812">
            <v>9</v>
          </cell>
          <cell r="BG812">
            <v>36</v>
          </cell>
          <cell r="BH812">
            <v>0</v>
          </cell>
          <cell r="BI812">
            <v>1</v>
          </cell>
          <cell r="BJ812">
            <v>0</v>
          </cell>
          <cell r="BK812">
            <v>0</v>
          </cell>
          <cell r="BL812">
            <v>0</v>
          </cell>
          <cell r="BM812">
            <v>0</v>
          </cell>
          <cell r="BN812">
            <v>1</v>
          </cell>
          <cell r="BO812">
            <v>0</v>
          </cell>
          <cell r="BP812">
            <v>0</v>
          </cell>
          <cell r="BQ812">
            <v>0</v>
          </cell>
          <cell r="BR812">
            <v>9</v>
          </cell>
          <cell r="BS812">
            <v>0</v>
          </cell>
          <cell r="BT812">
            <v>0</v>
          </cell>
          <cell r="BU812">
            <v>23</v>
          </cell>
        </row>
        <row r="813">
          <cell r="A813">
            <v>38</v>
          </cell>
          <cell r="B813">
            <v>38</v>
          </cell>
          <cell r="D813">
            <v>0</v>
          </cell>
          <cell r="F813">
            <v>0</v>
          </cell>
          <cell r="G813">
            <v>1</v>
          </cell>
          <cell r="I813">
            <v>0</v>
          </cell>
          <cell r="J813">
            <v>1</v>
          </cell>
          <cell r="K813">
            <v>2</v>
          </cell>
          <cell r="L813">
            <v>2</v>
          </cell>
          <cell r="M813">
            <v>2</v>
          </cell>
          <cell r="O813">
            <v>0</v>
          </cell>
          <cell r="P813">
            <v>0</v>
          </cell>
          <cell r="Q813">
            <v>0</v>
          </cell>
          <cell r="R813">
            <v>1</v>
          </cell>
          <cell r="S813">
            <v>0</v>
          </cell>
          <cell r="T813">
            <v>4</v>
          </cell>
          <cell r="V813">
            <v>0</v>
          </cell>
          <cell r="W813">
            <v>32</v>
          </cell>
          <cell r="X813">
            <v>3</v>
          </cell>
          <cell r="Y813">
            <v>3</v>
          </cell>
          <cell r="AA813">
            <v>0</v>
          </cell>
          <cell r="AB813">
            <v>1</v>
          </cell>
          <cell r="AC813">
            <v>0</v>
          </cell>
          <cell r="AD813">
            <v>0</v>
          </cell>
          <cell r="AE813">
            <v>0</v>
          </cell>
          <cell r="AF813">
            <v>0</v>
          </cell>
          <cell r="AG813">
            <v>0</v>
          </cell>
          <cell r="AH813">
            <v>0</v>
          </cell>
          <cell r="AI813">
            <v>2</v>
          </cell>
          <cell r="AK813">
            <v>1</v>
          </cell>
          <cell r="AL813">
            <v>0</v>
          </cell>
          <cell r="AN813">
            <v>7351</v>
          </cell>
          <cell r="AO813">
            <v>7</v>
          </cell>
          <cell r="AQ813">
            <v>0</v>
          </cell>
          <cell r="AR813">
            <v>16</v>
          </cell>
          <cell r="AS813">
            <v>3</v>
          </cell>
          <cell r="AT813">
            <v>3</v>
          </cell>
          <cell r="AU813">
            <v>0</v>
          </cell>
          <cell r="AV813">
            <v>10</v>
          </cell>
          <cell r="AW813">
            <v>10</v>
          </cell>
          <cell r="AX813">
            <v>2</v>
          </cell>
          <cell r="AY813">
            <v>3</v>
          </cell>
          <cell r="AZ813">
            <v>1</v>
          </cell>
          <cell r="BA813">
            <v>1</v>
          </cell>
          <cell r="BB813">
            <v>0</v>
          </cell>
          <cell r="BC813">
            <v>0</v>
          </cell>
          <cell r="BD813">
            <v>0</v>
          </cell>
          <cell r="BE813">
            <v>0</v>
          </cell>
          <cell r="BF813">
            <v>0</v>
          </cell>
          <cell r="BG813">
            <v>0</v>
          </cell>
          <cell r="BH813">
            <v>1</v>
          </cell>
          <cell r="BI813">
            <v>0</v>
          </cell>
          <cell r="BJ813">
            <v>0</v>
          </cell>
          <cell r="BK813">
            <v>0</v>
          </cell>
          <cell r="BL813">
            <v>1</v>
          </cell>
          <cell r="BM813">
            <v>0</v>
          </cell>
          <cell r="BN813">
            <v>0</v>
          </cell>
          <cell r="BO813">
            <v>0</v>
          </cell>
          <cell r="BP813">
            <v>0</v>
          </cell>
          <cell r="BQ813">
            <v>0</v>
          </cell>
          <cell r="BR813">
            <v>0</v>
          </cell>
          <cell r="BS813">
            <v>0</v>
          </cell>
          <cell r="BT813">
            <v>0</v>
          </cell>
          <cell r="BU813">
            <v>10</v>
          </cell>
        </row>
        <row r="814">
          <cell r="A814">
            <v>43</v>
          </cell>
          <cell r="B814">
            <v>43</v>
          </cell>
          <cell r="D814">
            <v>0</v>
          </cell>
          <cell r="F814">
            <v>1</v>
          </cell>
          <cell r="G814">
            <v>0</v>
          </cell>
          <cell r="I814">
            <v>1</v>
          </cell>
          <cell r="J814">
            <v>0</v>
          </cell>
          <cell r="K814">
            <v>27</v>
          </cell>
          <cell r="L814">
            <v>27</v>
          </cell>
          <cell r="M814">
            <v>3</v>
          </cell>
          <cell r="O814">
            <v>1</v>
          </cell>
          <cell r="P814">
            <v>0</v>
          </cell>
          <cell r="Q814">
            <v>0</v>
          </cell>
          <cell r="R814">
            <v>0</v>
          </cell>
          <cell r="S814">
            <v>0</v>
          </cell>
          <cell r="T814">
            <v>3</v>
          </cell>
          <cell r="V814">
            <v>1</v>
          </cell>
          <cell r="W814">
            <v>83</v>
          </cell>
          <cell r="X814">
            <v>3</v>
          </cell>
          <cell r="Y814">
            <v>3</v>
          </cell>
          <cell r="AA814">
            <v>0</v>
          </cell>
          <cell r="AB814">
            <v>0</v>
          </cell>
          <cell r="AC814">
            <v>0</v>
          </cell>
          <cell r="AD814">
            <v>0</v>
          </cell>
          <cell r="AE814">
            <v>1</v>
          </cell>
          <cell r="AF814">
            <v>1</v>
          </cell>
          <cell r="AG814">
            <v>0</v>
          </cell>
          <cell r="AH814">
            <v>0</v>
          </cell>
          <cell r="AI814">
            <v>1</v>
          </cell>
          <cell r="AK814">
            <v>0</v>
          </cell>
          <cell r="AL814">
            <v>1</v>
          </cell>
          <cell r="AN814">
            <v>10820</v>
          </cell>
          <cell r="AO814">
            <v>8</v>
          </cell>
          <cell r="AQ814">
            <v>0</v>
          </cell>
          <cell r="AR814">
            <v>11</v>
          </cell>
          <cell r="AS814">
            <v>3</v>
          </cell>
          <cell r="AT814">
            <v>3</v>
          </cell>
          <cell r="AU814">
            <v>1</v>
          </cell>
          <cell r="AV814">
            <v>18</v>
          </cell>
          <cell r="AW814">
            <v>18</v>
          </cell>
          <cell r="AX814">
            <v>1</v>
          </cell>
          <cell r="AY814">
            <v>3</v>
          </cell>
          <cell r="AZ814">
            <v>8</v>
          </cell>
          <cell r="BA814">
            <v>8</v>
          </cell>
          <cell r="BB814">
            <v>7</v>
          </cell>
          <cell r="BC814">
            <v>0</v>
          </cell>
          <cell r="BD814">
            <v>0</v>
          </cell>
          <cell r="BE814">
            <v>1</v>
          </cell>
          <cell r="BF814">
            <v>1</v>
          </cell>
          <cell r="BG814">
            <v>3</v>
          </cell>
          <cell r="BH814">
            <v>0</v>
          </cell>
          <cell r="BI814">
            <v>0</v>
          </cell>
          <cell r="BJ814">
            <v>0</v>
          </cell>
          <cell r="BK814">
            <v>1</v>
          </cell>
          <cell r="BL814">
            <v>0</v>
          </cell>
          <cell r="BM814">
            <v>0</v>
          </cell>
          <cell r="BN814">
            <v>1</v>
          </cell>
          <cell r="BO814">
            <v>0</v>
          </cell>
          <cell r="BP814">
            <v>0</v>
          </cell>
          <cell r="BQ814">
            <v>1</v>
          </cell>
          <cell r="BR814">
            <v>0</v>
          </cell>
          <cell r="BS814">
            <v>0</v>
          </cell>
          <cell r="BT814">
            <v>18</v>
          </cell>
          <cell r="BU814">
            <v>0</v>
          </cell>
        </row>
        <row r="815">
          <cell r="A815">
            <v>39</v>
          </cell>
          <cell r="B815">
            <v>39</v>
          </cell>
          <cell r="D815">
            <v>1</v>
          </cell>
          <cell r="F815">
            <v>1</v>
          </cell>
          <cell r="G815">
            <v>0</v>
          </cell>
          <cell r="I815">
            <v>1</v>
          </cell>
          <cell r="J815">
            <v>0</v>
          </cell>
          <cell r="K815">
            <v>2</v>
          </cell>
          <cell r="L815">
            <v>2</v>
          </cell>
          <cell r="M815">
            <v>3</v>
          </cell>
          <cell r="O815">
            <v>1</v>
          </cell>
          <cell r="P815">
            <v>0</v>
          </cell>
          <cell r="Q815">
            <v>0</v>
          </cell>
          <cell r="R815">
            <v>0</v>
          </cell>
          <cell r="S815">
            <v>0</v>
          </cell>
          <cell r="T815">
            <v>1</v>
          </cell>
          <cell r="V815">
            <v>0</v>
          </cell>
          <cell r="W815">
            <v>84</v>
          </cell>
          <cell r="X815">
            <v>3</v>
          </cell>
          <cell r="Y815">
            <v>4</v>
          </cell>
          <cell r="AA815">
            <v>1</v>
          </cell>
          <cell r="AB815">
            <v>0</v>
          </cell>
          <cell r="AC815">
            <v>0</v>
          </cell>
          <cell r="AD815">
            <v>0</v>
          </cell>
          <cell r="AE815">
            <v>0</v>
          </cell>
          <cell r="AF815">
            <v>0</v>
          </cell>
          <cell r="AG815">
            <v>0</v>
          </cell>
          <cell r="AH815">
            <v>0</v>
          </cell>
          <cell r="AI815">
            <v>4</v>
          </cell>
          <cell r="AK815">
            <v>0</v>
          </cell>
          <cell r="AL815">
            <v>0</v>
          </cell>
          <cell r="AN815">
            <v>12169</v>
          </cell>
          <cell r="AO815">
            <v>7</v>
          </cell>
          <cell r="AQ815">
            <v>0</v>
          </cell>
          <cell r="AR815">
            <v>11</v>
          </cell>
          <cell r="AS815">
            <v>3</v>
          </cell>
          <cell r="AT815">
            <v>4</v>
          </cell>
          <cell r="AU815">
            <v>3</v>
          </cell>
          <cell r="AV815">
            <v>21</v>
          </cell>
          <cell r="AW815">
            <v>21</v>
          </cell>
          <cell r="AX815">
            <v>4</v>
          </cell>
          <cell r="AY815">
            <v>3</v>
          </cell>
          <cell r="AZ815">
            <v>18</v>
          </cell>
          <cell r="BA815">
            <v>18</v>
          </cell>
          <cell r="BB815">
            <v>7</v>
          </cell>
          <cell r="BC815">
            <v>11</v>
          </cell>
          <cell r="BD815">
            <v>11</v>
          </cell>
          <cell r="BE815">
            <v>5</v>
          </cell>
          <cell r="BF815">
            <v>5</v>
          </cell>
          <cell r="BG815">
            <v>20</v>
          </cell>
          <cell r="BH815">
            <v>0</v>
          </cell>
          <cell r="BI815">
            <v>0</v>
          </cell>
          <cell r="BJ815">
            <v>1</v>
          </cell>
          <cell r="BK815">
            <v>0</v>
          </cell>
          <cell r="BL815">
            <v>1</v>
          </cell>
          <cell r="BM815">
            <v>0</v>
          </cell>
          <cell r="BN815">
            <v>0</v>
          </cell>
          <cell r="BO815">
            <v>0</v>
          </cell>
          <cell r="BP815">
            <v>0</v>
          </cell>
          <cell r="BQ815">
            <v>5</v>
          </cell>
          <cell r="BR815">
            <v>0</v>
          </cell>
          <cell r="BS815">
            <v>0</v>
          </cell>
          <cell r="BT815">
            <v>21</v>
          </cell>
          <cell r="BU815">
            <v>0</v>
          </cell>
        </row>
        <row r="816">
          <cell r="A816">
            <v>40</v>
          </cell>
          <cell r="B816">
            <v>40</v>
          </cell>
          <cell r="D816">
            <v>0</v>
          </cell>
          <cell r="F816">
            <v>0</v>
          </cell>
          <cell r="G816">
            <v>1</v>
          </cell>
          <cell r="I816">
            <v>1</v>
          </cell>
          <cell r="J816">
            <v>0</v>
          </cell>
          <cell r="K816">
            <v>14</v>
          </cell>
          <cell r="L816">
            <v>14</v>
          </cell>
          <cell r="M816">
            <v>3</v>
          </cell>
          <cell r="O816">
            <v>0</v>
          </cell>
          <cell r="P816">
            <v>0</v>
          </cell>
          <cell r="Q816">
            <v>1</v>
          </cell>
          <cell r="R816">
            <v>0</v>
          </cell>
          <cell r="S816">
            <v>0</v>
          </cell>
          <cell r="T816">
            <v>3</v>
          </cell>
          <cell r="V816">
            <v>0</v>
          </cell>
          <cell r="W816">
            <v>44</v>
          </cell>
          <cell r="X816">
            <v>2</v>
          </cell>
          <cell r="Y816">
            <v>5</v>
          </cell>
          <cell r="AA816">
            <v>0</v>
          </cell>
          <cell r="AB816">
            <v>0</v>
          </cell>
          <cell r="AC816">
            <v>0</v>
          </cell>
          <cell r="AD816">
            <v>0</v>
          </cell>
          <cell r="AE816">
            <v>0</v>
          </cell>
          <cell r="AF816">
            <v>0</v>
          </cell>
          <cell r="AG816">
            <v>0</v>
          </cell>
          <cell r="AH816">
            <v>0</v>
          </cell>
          <cell r="AI816">
            <v>3</v>
          </cell>
          <cell r="AK816">
            <v>1</v>
          </cell>
          <cell r="AL816">
            <v>0</v>
          </cell>
          <cell r="AN816">
            <v>19626</v>
          </cell>
          <cell r="AO816">
            <v>1</v>
          </cell>
          <cell r="AQ816">
            <v>0</v>
          </cell>
          <cell r="AR816">
            <v>14</v>
          </cell>
          <cell r="AS816">
            <v>3</v>
          </cell>
          <cell r="AT816">
            <v>1</v>
          </cell>
          <cell r="AU816">
            <v>0</v>
          </cell>
          <cell r="AV816">
            <v>21</v>
          </cell>
          <cell r="AW816">
            <v>21</v>
          </cell>
          <cell r="AX816">
            <v>2</v>
          </cell>
          <cell r="AY816">
            <v>4</v>
          </cell>
          <cell r="AZ816">
            <v>20</v>
          </cell>
          <cell r="BA816">
            <v>20</v>
          </cell>
          <cell r="BB816">
            <v>7</v>
          </cell>
          <cell r="BC816">
            <v>4</v>
          </cell>
          <cell r="BD816">
            <v>4</v>
          </cell>
          <cell r="BE816">
            <v>9</v>
          </cell>
          <cell r="BF816">
            <v>9</v>
          </cell>
          <cell r="BG816">
            <v>45</v>
          </cell>
          <cell r="BH816">
            <v>1</v>
          </cell>
          <cell r="BI816">
            <v>0</v>
          </cell>
          <cell r="BJ816">
            <v>0</v>
          </cell>
          <cell r="BK816">
            <v>0</v>
          </cell>
          <cell r="BL816">
            <v>1</v>
          </cell>
          <cell r="BM816">
            <v>0</v>
          </cell>
          <cell r="BN816">
            <v>0</v>
          </cell>
          <cell r="BO816">
            <v>0</v>
          </cell>
          <cell r="BP816">
            <v>0</v>
          </cell>
          <cell r="BQ816">
            <v>9</v>
          </cell>
          <cell r="BR816">
            <v>0</v>
          </cell>
          <cell r="BS816">
            <v>0</v>
          </cell>
          <cell r="BT816">
            <v>21</v>
          </cell>
          <cell r="BU816">
            <v>0</v>
          </cell>
        </row>
        <row r="817">
          <cell r="A817">
            <v>21</v>
          </cell>
          <cell r="B817">
            <v>21</v>
          </cell>
          <cell r="D817">
            <v>0</v>
          </cell>
          <cell r="F817">
            <v>0</v>
          </cell>
          <cell r="G817">
            <v>1</v>
          </cell>
          <cell r="I817">
            <v>1</v>
          </cell>
          <cell r="J817">
            <v>0</v>
          </cell>
          <cell r="K817">
            <v>1</v>
          </cell>
          <cell r="L817">
            <v>1</v>
          </cell>
          <cell r="M817">
            <v>1</v>
          </cell>
          <cell r="O817">
            <v>0</v>
          </cell>
          <cell r="P817">
            <v>0</v>
          </cell>
          <cell r="Q817">
            <v>0</v>
          </cell>
          <cell r="R817">
            <v>0</v>
          </cell>
          <cell r="S817">
            <v>1</v>
          </cell>
          <cell r="T817">
            <v>4</v>
          </cell>
          <cell r="V817">
            <v>1</v>
          </cell>
          <cell r="W817">
            <v>70</v>
          </cell>
          <cell r="X817">
            <v>2</v>
          </cell>
          <cell r="Y817">
            <v>1</v>
          </cell>
          <cell r="AA817">
            <v>0</v>
          </cell>
          <cell r="AB817">
            <v>0</v>
          </cell>
          <cell r="AC817">
            <v>0</v>
          </cell>
          <cell r="AD817">
            <v>0</v>
          </cell>
          <cell r="AE817">
            <v>0</v>
          </cell>
          <cell r="AF817">
            <v>0</v>
          </cell>
          <cell r="AG817">
            <v>0</v>
          </cell>
          <cell r="AH817">
            <v>1</v>
          </cell>
          <cell r="AI817">
            <v>2</v>
          </cell>
          <cell r="AK817">
            <v>1</v>
          </cell>
          <cell r="AL817">
            <v>0</v>
          </cell>
          <cell r="AN817">
            <v>2070</v>
          </cell>
          <cell r="AO817">
            <v>1</v>
          </cell>
          <cell r="AQ817">
            <v>1</v>
          </cell>
          <cell r="AR817">
            <v>11</v>
          </cell>
          <cell r="AS817">
            <v>3</v>
          </cell>
          <cell r="AT817">
            <v>3</v>
          </cell>
          <cell r="AU817">
            <v>0</v>
          </cell>
          <cell r="AV817">
            <v>2</v>
          </cell>
          <cell r="AW817">
            <v>2</v>
          </cell>
          <cell r="AX817">
            <v>6</v>
          </cell>
          <cell r="AY817">
            <v>4</v>
          </cell>
          <cell r="AZ817">
            <v>2</v>
          </cell>
          <cell r="BA817">
            <v>2</v>
          </cell>
          <cell r="BB817">
            <v>2</v>
          </cell>
          <cell r="BC817">
            <v>2</v>
          </cell>
          <cell r="BD817">
            <v>2</v>
          </cell>
          <cell r="BE817">
            <v>2</v>
          </cell>
          <cell r="BF817">
            <v>2</v>
          </cell>
          <cell r="BG817">
            <v>2</v>
          </cell>
          <cell r="BH817">
            <v>1</v>
          </cell>
          <cell r="BI817">
            <v>0</v>
          </cell>
          <cell r="BJ817">
            <v>0</v>
          </cell>
          <cell r="BK817">
            <v>0</v>
          </cell>
          <cell r="BL817">
            <v>0</v>
          </cell>
          <cell r="BM817">
            <v>1</v>
          </cell>
          <cell r="BN817">
            <v>0</v>
          </cell>
          <cell r="BO817">
            <v>0</v>
          </cell>
          <cell r="BP817">
            <v>0</v>
          </cell>
          <cell r="BQ817">
            <v>2</v>
          </cell>
          <cell r="BR817">
            <v>0</v>
          </cell>
          <cell r="BS817">
            <v>0</v>
          </cell>
          <cell r="BT817">
            <v>2</v>
          </cell>
          <cell r="BU817">
            <v>0</v>
          </cell>
        </row>
        <row r="818">
          <cell r="A818">
            <v>39</v>
          </cell>
          <cell r="B818">
            <v>39</v>
          </cell>
          <cell r="D818">
            <v>0</v>
          </cell>
          <cell r="F818">
            <v>0</v>
          </cell>
          <cell r="G818">
            <v>0</v>
          </cell>
          <cell r="I818">
            <v>1</v>
          </cell>
          <cell r="J818">
            <v>0</v>
          </cell>
          <cell r="K818">
            <v>9</v>
          </cell>
          <cell r="L818">
            <v>9</v>
          </cell>
          <cell r="M818">
            <v>3</v>
          </cell>
          <cell r="O818">
            <v>1</v>
          </cell>
          <cell r="P818">
            <v>0</v>
          </cell>
          <cell r="Q818">
            <v>0</v>
          </cell>
          <cell r="R818">
            <v>0</v>
          </cell>
          <cell r="S818">
            <v>0</v>
          </cell>
          <cell r="T818">
            <v>3</v>
          </cell>
          <cell r="V818">
            <v>0</v>
          </cell>
          <cell r="W818">
            <v>70</v>
          </cell>
          <cell r="X818">
            <v>3</v>
          </cell>
          <cell r="Y818">
            <v>2</v>
          </cell>
          <cell r="AA818">
            <v>0</v>
          </cell>
          <cell r="AB818">
            <v>0</v>
          </cell>
          <cell r="AC818">
            <v>1</v>
          </cell>
          <cell r="AD818">
            <v>0</v>
          </cell>
          <cell r="AE818">
            <v>0</v>
          </cell>
          <cell r="AF818">
            <v>0</v>
          </cell>
          <cell r="AG818">
            <v>0</v>
          </cell>
          <cell r="AH818">
            <v>0</v>
          </cell>
          <cell r="AI818">
            <v>2</v>
          </cell>
          <cell r="AK818">
            <v>1</v>
          </cell>
          <cell r="AL818">
            <v>0</v>
          </cell>
          <cell r="AN818">
            <v>6782</v>
          </cell>
          <cell r="AO818">
            <v>9</v>
          </cell>
          <cell r="AQ818">
            <v>0</v>
          </cell>
          <cell r="AR818">
            <v>15</v>
          </cell>
          <cell r="AS818">
            <v>3</v>
          </cell>
          <cell r="AT818">
            <v>3</v>
          </cell>
          <cell r="AU818">
            <v>0</v>
          </cell>
          <cell r="AV818">
            <v>9</v>
          </cell>
          <cell r="AW818">
            <v>9</v>
          </cell>
          <cell r="AX818">
            <v>2</v>
          </cell>
          <cell r="AY818">
            <v>2</v>
          </cell>
          <cell r="AZ818">
            <v>5</v>
          </cell>
          <cell r="BA818">
            <v>5</v>
          </cell>
          <cell r="BB818">
            <v>4</v>
          </cell>
          <cell r="BC818">
            <v>0</v>
          </cell>
          <cell r="BD818">
            <v>0</v>
          </cell>
          <cell r="BE818">
            <v>3</v>
          </cell>
          <cell r="BF818">
            <v>3</v>
          </cell>
          <cell r="BG818">
            <v>6</v>
          </cell>
          <cell r="BH818">
            <v>1</v>
          </cell>
          <cell r="BI818">
            <v>0</v>
          </cell>
          <cell r="BJ818">
            <v>0</v>
          </cell>
          <cell r="BK818">
            <v>0</v>
          </cell>
          <cell r="BL818">
            <v>1</v>
          </cell>
          <cell r="BM818">
            <v>0</v>
          </cell>
          <cell r="BN818">
            <v>0</v>
          </cell>
          <cell r="BO818">
            <v>0</v>
          </cell>
          <cell r="BP818">
            <v>0</v>
          </cell>
          <cell r="BQ818">
            <v>3</v>
          </cell>
          <cell r="BR818">
            <v>0</v>
          </cell>
          <cell r="BS818">
            <v>0</v>
          </cell>
          <cell r="BT818">
            <v>9</v>
          </cell>
          <cell r="BU818">
            <v>0</v>
          </cell>
        </row>
        <row r="819">
          <cell r="A819">
            <v>36</v>
          </cell>
          <cell r="B819">
            <v>36</v>
          </cell>
          <cell r="D819">
            <v>0</v>
          </cell>
          <cell r="F819">
            <v>0</v>
          </cell>
          <cell r="G819">
            <v>0</v>
          </cell>
          <cell r="I819">
            <v>1</v>
          </cell>
          <cell r="J819">
            <v>0</v>
          </cell>
          <cell r="K819">
            <v>18</v>
          </cell>
          <cell r="L819">
            <v>18</v>
          </cell>
          <cell r="M819">
            <v>4</v>
          </cell>
          <cell r="O819">
            <v>1</v>
          </cell>
          <cell r="P819">
            <v>0</v>
          </cell>
          <cell r="Q819">
            <v>0</v>
          </cell>
          <cell r="R819">
            <v>0</v>
          </cell>
          <cell r="S819">
            <v>0</v>
          </cell>
          <cell r="T819">
            <v>1</v>
          </cell>
          <cell r="V819">
            <v>0</v>
          </cell>
          <cell r="W819">
            <v>78</v>
          </cell>
          <cell r="X819">
            <v>3</v>
          </cell>
          <cell r="Y819">
            <v>2</v>
          </cell>
          <cell r="AA819">
            <v>0</v>
          </cell>
          <cell r="AB819">
            <v>0</v>
          </cell>
          <cell r="AC819">
            <v>0</v>
          </cell>
          <cell r="AD819">
            <v>0</v>
          </cell>
          <cell r="AE819">
            <v>1</v>
          </cell>
          <cell r="AF819">
            <v>1</v>
          </cell>
          <cell r="AG819">
            <v>0</v>
          </cell>
          <cell r="AH819">
            <v>0</v>
          </cell>
          <cell r="AI819">
            <v>4</v>
          </cell>
          <cell r="AK819">
            <v>1</v>
          </cell>
          <cell r="AL819">
            <v>0</v>
          </cell>
          <cell r="AN819">
            <v>7779</v>
          </cell>
          <cell r="AO819">
            <v>2</v>
          </cell>
          <cell r="AQ819">
            <v>0</v>
          </cell>
          <cell r="AR819">
            <v>20</v>
          </cell>
          <cell r="AS819">
            <v>4</v>
          </cell>
          <cell r="AT819">
            <v>1</v>
          </cell>
          <cell r="AU819">
            <v>0</v>
          </cell>
          <cell r="AV819">
            <v>18</v>
          </cell>
          <cell r="AW819">
            <v>18</v>
          </cell>
          <cell r="AX819">
            <v>0</v>
          </cell>
          <cell r="AY819">
            <v>3</v>
          </cell>
          <cell r="AZ819">
            <v>11</v>
          </cell>
          <cell r="BA819">
            <v>11</v>
          </cell>
          <cell r="BB819">
            <v>9</v>
          </cell>
          <cell r="BC819">
            <v>0</v>
          </cell>
          <cell r="BD819">
            <v>0</v>
          </cell>
          <cell r="BE819">
            <v>9</v>
          </cell>
          <cell r="BF819">
            <v>9</v>
          </cell>
          <cell r="BG819">
            <v>18</v>
          </cell>
          <cell r="BH819">
            <v>1</v>
          </cell>
          <cell r="BI819">
            <v>0</v>
          </cell>
          <cell r="BJ819">
            <v>0</v>
          </cell>
          <cell r="BK819">
            <v>0</v>
          </cell>
          <cell r="BL819">
            <v>1</v>
          </cell>
          <cell r="BM819">
            <v>0</v>
          </cell>
          <cell r="BN819">
            <v>0</v>
          </cell>
          <cell r="BO819">
            <v>0</v>
          </cell>
          <cell r="BP819">
            <v>0</v>
          </cell>
          <cell r="BQ819">
            <v>9</v>
          </cell>
          <cell r="BR819">
            <v>0</v>
          </cell>
          <cell r="BS819">
            <v>0</v>
          </cell>
          <cell r="BT819">
            <v>18</v>
          </cell>
          <cell r="BU819">
            <v>0</v>
          </cell>
        </row>
        <row r="820">
          <cell r="A820">
            <v>31</v>
          </cell>
          <cell r="B820">
            <v>31</v>
          </cell>
          <cell r="D820">
            <v>0</v>
          </cell>
          <cell r="F820">
            <v>1</v>
          </cell>
          <cell r="G820">
            <v>0</v>
          </cell>
          <cell r="I820">
            <v>0</v>
          </cell>
          <cell r="J820">
            <v>1</v>
          </cell>
          <cell r="K820">
            <v>20</v>
          </cell>
          <cell r="L820">
            <v>20</v>
          </cell>
          <cell r="M820">
            <v>3</v>
          </cell>
          <cell r="O820">
            <v>1</v>
          </cell>
          <cell r="P820">
            <v>0</v>
          </cell>
          <cell r="Q820">
            <v>0</v>
          </cell>
          <cell r="R820">
            <v>0</v>
          </cell>
          <cell r="S820">
            <v>0</v>
          </cell>
          <cell r="T820">
            <v>3</v>
          </cell>
          <cell r="V820">
            <v>0</v>
          </cell>
          <cell r="W820">
            <v>67</v>
          </cell>
          <cell r="X820">
            <v>4</v>
          </cell>
          <cell r="Y820">
            <v>1</v>
          </cell>
          <cell r="AA820">
            <v>0</v>
          </cell>
          <cell r="AB820">
            <v>0</v>
          </cell>
          <cell r="AC820">
            <v>0</v>
          </cell>
          <cell r="AD820">
            <v>0</v>
          </cell>
          <cell r="AE820">
            <v>0</v>
          </cell>
          <cell r="AF820">
            <v>0</v>
          </cell>
          <cell r="AG820">
            <v>1</v>
          </cell>
          <cell r="AH820">
            <v>0</v>
          </cell>
          <cell r="AI820">
            <v>4</v>
          </cell>
          <cell r="AK820">
            <v>0</v>
          </cell>
          <cell r="AL820">
            <v>1</v>
          </cell>
          <cell r="AN820">
            <v>2791</v>
          </cell>
          <cell r="AO820">
            <v>0</v>
          </cell>
          <cell r="AQ820">
            <v>0</v>
          </cell>
          <cell r="AR820">
            <v>12</v>
          </cell>
          <cell r="AS820">
            <v>3</v>
          </cell>
          <cell r="AT820">
            <v>1</v>
          </cell>
          <cell r="AU820">
            <v>1</v>
          </cell>
          <cell r="AV820">
            <v>3</v>
          </cell>
          <cell r="AW820">
            <v>3</v>
          </cell>
          <cell r="AX820">
            <v>4</v>
          </cell>
          <cell r="AY820">
            <v>3</v>
          </cell>
          <cell r="AZ820">
            <v>2</v>
          </cell>
          <cell r="BA820">
            <v>2</v>
          </cell>
          <cell r="BB820">
            <v>2</v>
          </cell>
          <cell r="BC820">
            <v>2</v>
          </cell>
          <cell r="BD820">
            <v>2</v>
          </cell>
          <cell r="BE820">
            <v>2</v>
          </cell>
          <cell r="BF820">
            <v>2</v>
          </cell>
          <cell r="BG820">
            <v>2</v>
          </cell>
          <cell r="BH820">
            <v>0</v>
          </cell>
          <cell r="BI820">
            <v>0</v>
          </cell>
          <cell r="BJ820">
            <v>0</v>
          </cell>
          <cell r="BK820">
            <v>1</v>
          </cell>
          <cell r="BL820">
            <v>0</v>
          </cell>
          <cell r="BM820">
            <v>0</v>
          </cell>
          <cell r="BN820">
            <v>1</v>
          </cell>
          <cell r="BO820">
            <v>0</v>
          </cell>
          <cell r="BP820">
            <v>0</v>
          </cell>
          <cell r="BQ820">
            <v>0</v>
          </cell>
          <cell r="BR820">
            <v>2</v>
          </cell>
          <cell r="BS820">
            <v>0</v>
          </cell>
          <cell r="BT820">
            <v>0</v>
          </cell>
          <cell r="BU820">
            <v>3</v>
          </cell>
        </row>
        <row r="821">
          <cell r="A821">
            <v>28</v>
          </cell>
          <cell r="B821">
            <v>28</v>
          </cell>
          <cell r="D821">
            <v>0</v>
          </cell>
          <cell r="F821">
            <v>0</v>
          </cell>
          <cell r="G821">
            <v>1</v>
          </cell>
          <cell r="I821">
            <v>1</v>
          </cell>
          <cell r="J821">
            <v>0</v>
          </cell>
          <cell r="K821">
            <v>2</v>
          </cell>
          <cell r="L821">
            <v>2</v>
          </cell>
          <cell r="M821">
            <v>1</v>
          </cell>
          <cell r="O821">
            <v>1</v>
          </cell>
          <cell r="P821">
            <v>0</v>
          </cell>
          <cell r="Q821">
            <v>0</v>
          </cell>
          <cell r="R821">
            <v>0</v>
          </cell>
          <cell r="S821">
            <v>0</v>
          </cell>
          <cell r="T821">
            <v>1</v>
          </cell>
          <cell r="V821">
            <v>0</v>
          </cell>
          <cell r="W821">
            <v>67</v>
          </cell>
          <cell r="X821">
            <v>2</v>
          </cell>
          <cell r="Y821">
            <v>1</v>
          </cell>
          <cell r="AA821">
            <v>0</v>
          </cell>
          <cell r="AB821">
            <v>0</v>
          </cell>
          <cell r="AC821">
            <v>0</v>
          </cell>
          <cell r="AD821">
            <v>0</v>
          </cell>
          <cell r="AE821">
            <v>0</v>
          </cell>
          <cell r="AF821">
            <v>0</v>
          </cell>
          <cell r="AG821">
            <v>0</v>
          </cell>
          <cell r="AH821">
            <v>1</v>
          </cell>
          <cell r="AI821">
            <v>2</v>
          </cell>
          <cell r="AK821">
            <v>0</v>
          </cell>
          <cell r="AL821">
            <v>1</v>
          </cell>
          <cell r="AN821">
            <v>3201</v>
          </cell>
          <cell r="AO821">
            <v>0</v>
          </cell>
          <cell r="AQ821">
            <v>0</v>
          </cell>
          <cell r="AR821">
            <v>17</v>
          </cell>
          <cell r="AS821">
            <v>3</v>
          </cell>
          <cell r="AT821">
            <v>1</v>
          </cell>
          <cell r="AU821">
            <v>0</v>
          </cell>
          <cell r="AV821">
            <v>6</v>
          </cell>
          <cell r="AW821">
            <v>6</v>
          </cell>
          <cell r="AX821">
            <v>2</v>
          </cell>
          <cell r="AY821">
            <v>1</v>
          </cell>
          <cell r="AZ821">
            <v>5</v>
          </cell>
          <cell r="BA821">
            <v>5</v>
          </cell>
          <cell r="BB821">
            <v>3</v>
          </cell>
          <cell r="BC821">
            <v>0</v>
          </cell>
          <cell r="BD821">
            <v>0</v>
          </cell>
          <cell r="BE821">
            <v>4</v>
          </cell>
          <cell r="BF821">
            <v>4</v>
          </cell>
          <cell r="BG821">
            <v>4</v>
          </cell>
          <cell r="BH821">
            <v>0</v>
          </cell>
          <cell r="BI821">
            <v>1</v>
          </cell>
          <cell r="BJ821">
            <v>0</v>
          </cell>
          <cell r="BK821">
            <v>0</v>
          </cell>
          <cell r="BL821">
            <v>0</v>
          </cell>
          <cell r="BM821">
            <v>0</v>
          </cell>
          <cell r="BN821">
            <v>1</v>
          </cell>
          <cell r="BO821">
            <v>0</v>
          </cell>
          <cell r="BP821">
            <v>0</v>
          </cell>
          <cell r="BQ821">
            <v>4</v>
          </cell>
          <cell r="BR821">
            <v>0</v>
          </cell>
          <cell r="BS821">
            <v>0</v>
          </cell>
          <cell r="BT821">
            <v>6</v>
          </cell>
          <cell r="BU821">
            <v>0</v>
          </cell>
        </row>
        <row r="822">
          <cell r="A822">
            <v>35</v>
          </cell>
          <cell r="B822">
            <v>35</v>
          </cell>
          <cell r="D822">
            <v>0</v>
          </cell>
          <cell r="F822">
            <v>1</v>
          </cell>
          <cell r="G822">
            <v>0</v>
          </cell>
          <cell r="I822">
            <v>0</v>
          </cell>
          <cell r="J822">
            <v>1</v>
          </cell>
          <cell r="K822">
            <v>11</v>
          </cell>
          <cell r="L822">
            <v>11</v>
          </cell>
          <cell r="M822">
            <v>2</v>
          </cell>
          <cell r="O822">
            <v>0</v>
          </cell>
          <cell r="P822">
            <v>0</v>
          </cell>
          <cell r="Q822">
            <v>0</v>
          </cell>
          <cell r="R822">
            <v>1</v>
          </cell>
          <cell r="S822">
            <v>0</v>
          </cell>
          <cell r="T822">
            <v>4</v>
          </cell>
          <cell r="V822">
            <v>0</v>
          </cell>
          <cell r="W822">
            <v>54</v>
          </cell>
          <cell r="X822">
            <v>3</v>
          </cell>
          <cell r="Y822">
            <v>2</v>
          </cell>
          <cell r="AA822">
            <v>0</v>
          </cell>
          <cell r="AB822">
            <v>1</v>
          </cell>
          <cell r="AC822">
            <v>0</v>
          </cell>
          <cell r="AD822">
            <v>0</v>
          </cell>
          <cell r="AE822">
            <v>0</v>
          </cell>
          <cell r="AF822">
            <v>0</v>
          </cell>
          <cell r="AG822">
            <v>0</v>
          </cell>
          <cell r="AH822">
            <v>0</v>
          </cell>
          <cell r="AI822">
            <v>4</v>
          </cell>
          <cell r="AK822">
            <v>0</v>
          </cell>
          <cell r="AL822">
            <v>0</v>
          </cell>
          <cell r="AN822">
            <v>4968</v>
          </cell>
          <cell r="AO822">
            <v>1</v>
          </cell>
          <cell r="AQ822">
            <v>0</v>
          </cell>
          <cell r="AR822">
            <v>11</v>
          </cell>
          <cell r="AS822">
            <v>3</v>
          </cell>
          <cell r="AT822">
            <v>4</v>
          </cell>
          <cell r="AU822">
            <v>1</v>
          </cell>
          <cell r="AV822">
            <v>5</v>
          </cell>
          <cell r="AW822">
            <v>5</v>
          </cell>
          <cell r="AX822">
            <v>3</v>
          </cell>
          <cell r="AY822">
            <v>3</v>
          </cell>
          <cell r="AZ822">
            <v>5</v>
          </cell>
          <cell r="BA822">
            <v>5</v>
          </cell>
          <cell r="BB822">
            <v>2</v>
          </cell>
          <cell r="BC822">
            <v>0</v>
          </cell>
          <cell r="BD822">
            <v>0</v>
          </cell>
          <cell r="BE822">
            <v>2</v>
          </cell>
          <cell r="BF822">
            <v>2</v>
          </cell>
          <cell r="BG822">
            <v>4</v>
          </cell>
          <cell r="BH822">
            <v>0</v>
          </cell>
          <cell r="BI822">
            <v>0</v>
          </cell>
          <cell r="BJ822">
            <v>1</v>
          </cell>
          <cell r="BK822">
            <v>0</v>
          </cell>
          <cell r="BL822">
            <v>1</v>
          </cell>
          <cell r="BM822">
            <v>0</v>
          </cell>
          <cell r="BN822">
            <v>0</v>
          </cell>
          <cell r="BO822">
            <v>0</v>
          </cell>
          <cell r="BP822">
            <v>0</v>
          </cell>
          <cell r="BQ822">
            <v>0</v>
          </cell>
          <cell r="BR822">
            <v>2</v>
          </cell>
          <cell r="BS822">
            <v>0</v>
          </cell>
          <cell r="BT822">
            <v>0</v>
          </cell>
          <cell r="BU822">
            <v>5</v>
          </cell>
        </row>
        <row r="823">
          <cell r="A823">
            <v>49</v>
          </cell>
          <cell r="B823">
            <v>49</v>
          </cell>
          <cell r="D823">
            <v>0</v>
          </cell>
          <cell r="F823">
            <v>0</v>
          </cell>
          <cell r="G823">
            <v>1</v>
          </cell>
          <cell r="I823">
            <v>0</v>
          </cell>
          <cell r="J823">
            <v>1</v>
          </cell>
          <cell r="K823">
            <v>8</v>
          </cell>
          <cell r="L823">
            <v>8</v>
          </cell>
          <cell r="M823">
            <v>4</v>
          </cell>
          <cell r="O823">
            <v>0</v>
          </cell>
          <cell r="P823">
            <v>0</v>
          </cell>
          <cell r="Q823">
            <v>0</v>
          </cell>
          <cell r="R823">
            <v>0</v>
          </cell>
          <cell r="S823">
            <v>1</v>
          </cell>
          <cell r="T823">
            <v>4</v>
          </cell>
          <cell r="V823">
            <v>0</v>
          </cell>
          <cell r="W823">
            <v>56</v>
          </cell>
          <cell r="X823">
            <v>2</v>
          </cell>
          <cell r="Y823">
            <v>4</v>
          </cell>
          <cell r="AA823">
            <v>0</v>
          </cell>
          <cell r="AB823">
            <v>1</v>
          </cell>
          <cell r="AC823">
            <v>0</v>
          </cell>
          <cell r="AD823">
            <v>0</v>
          </cell>
          <cell r="AE823">
            <v>0</v>
          </cell>
          <cell r="AF823">
            <v>0</v>
          </cell>
          <cell r="AG823">
            <v>0</v>
          </cell>
          <cell r="AH823">
            <v>0</v>
          </cell>
          <cell r="AI823">
            <v>2</v>
          </cell>
          <cell r="AK823">
            <v>0</v>
          </cell>
          <cell r="AL823">
            <v>1</v>
          </cell>
          <cell r="AN823">
            <v>13120</v>
          </cell>
          <cell r="AO823">
            <v>6</v>
          </cell>
          <cell r="AQ823">
            <v>0</v>
          </cell>
          <cell r="AR823">
            <v>17</v>
          </cell>
          <cell r="AS823">
            <v>3</v>
          </cell>
          <cell r="AT823">
            <v>2</v>
          </cell>
          <cell r="AU823">
            <v>1</v>
          </cell>
          <cell r="AV823">
            <v>22</v>
          </cell>
          <cell r="AW823">
            <v>22</v>
          </cell>
          <cell r="AX823">
            <v>3</v>
          </cell>
          <cell r="AY823">
            <v>3</v>
          </cell>
          <cell r="AZ823">
            <v>9</v>
          </cell>
          <cell r="BA823">
            <v>9</v>
          </cell>
          <cell r="BB823">
            <v>8</v>
          </cell>
          <cell r="BC823">
            <v>2</v>
          </cell>
          <cell r="BD823">
            <v>2</v>
          </cell>
          <cell r="BE823">
            <v>3</v>
          </cell>
          <cell r="BF823">
            <v>3</v>
          </cell>
          <cell r="BG823">
            <v>12</v>
          </cell>
          <cell r="BH823">
            <v>0</v>
          </cell>
          <cell r="BI823">
            <v>1</v>
          </cell>
          <cell r="BJ823">
            <v>0</v>
          </cell>
          <cell r="BK823">
            <v>0</v>
          </cell>
          <cell r="BL823">
            <v>0</v>
          </cell>
          <cell r="BM823">
            <v>0</v>
          </cell>
          <cell r="BN823">
            <v>1</v>
          </cell>
          <cell r="BO823">
            <v>0</v>
          </cell>
          <cell r="BP823">
            <v>0</v>
          </cell>
          <cell r="BQ823">
            <v>0</v>
          </cell>
          <cell r="BR823">
            <v>3</v>
          </cell>
          <cell r="BS823">
            <v>0</v>
          </cell>
          <cell r="BT823">
            <v>0</v>
          </cell>
          <cell r="BU823">
            <v>22</v>
          </cell>
        </row>
        <row r="824">
          <cell r="A824">
            <v>34</v>
          </cell>
          <cell r="B824">
            <v>34</v>
          </cell>
          <cell r="D824">
            <v>0</v>
          </cell>
          <cell r="F824">
            <v>1</v>
          </cell>
          <cell r="G824">
            <v>0</v>
          </cell>
          <cell r="I824">
            <v>1</v>
          </cell>
          <cell r="J824">
            <v>0</v>
          </cell>
          <cell r="K824">
            <v>2</v>
          </cell>
          <cell r="L824">
            <v>2</v>
          </cell>
          <cell r="M824">
            <v>2</v>
          </cell>
          <cell r="O824">
            <v>1</v>
          </cell>
          <cell r="P824">
            <v>0</v>
          </cell>
          <cell r="Q824">
            <v>0</v>
          </cell>
          <cell r="R824">
            <v>0</v>
          </cell>
          <cell r="S824">
            <v>0</v>
          </cell>
          <cell r="T824">
            <v>4</v>
          </cell>
          <cell r="V824">
            <v>0</v>
          </cell>
          <cell r="W824">
            <v>95</v>
          </cell>
          <cell r="X824">
            <v>3</v>
          </cell>
          <cell r="Y824">
            <v>2</v>
          </cell>
          <cell r="AA824">
            <v>0</v>
          </cell>
          <cell r="AB824">
            <v>0</v>
          </cell>
          <cell r="AC824">
            <v>0</v>
          </cell>
          <cell r="AD824">
            <v>0</v>
          </cell>
          <cell r="AE824">
            <v>1</v>
          </cell>
          <cell r="AF824">
            <v>1</v>
          </cell>
          <cell r="AG824">
            <v>0</v>
          </cell>
          <cell r="AH824">
            <v>0</v>
          </cell>
          <cell r="AI824">
            <v>3</v>
          </cell>
          <cell r="AK824">
            <v>1</v>
          </cell>
          <cell r="AL824">
            <v>0</v>
          </cell>
          <cell r="AN824">
            <v>4033</v>
          </cell>
          <cell r="AO824">
            <v>2</v>
          </cell>
          <cell r="AQ824">
            <v>0</v>
          </cell>
          <cell r="AR824">
            <v>11</v>
          </cell>
          <cell r="AS824">
            <v>3</v>
          </cell>
          <cell r="AT824">
            <v>4</v>
          </cell>
          <cell r="AU824">
            <v>0</v>
          </cell>
          <cell r="AV824">
            <v>5</v>
          </cell>
          <cell r="AW824">
            <v>5</v>
          </cell>
          <cell r="AX824">
            <v>3</v>
          </cell>
          <cell r="AY824">
            <v>2</v>
          </cell>
          <cell r="AZ824">
            <v>3</v>
          </cell>
          <cell r="BA824">
            <v>3</v>
          </cell>
          <cell r="BB824">
            <v>2</v>
          </cell>
          <cell r="BC824">
            <v>0</v>
          </cell>
          <cell r="BD824">
            <v>0</v>
          </cell>
          <cell r="BE824">
            <v>2</v>
          </cell>
          <cell r="BF824">
            <v>2</v>
          </cell>
          <cell r="BG824">
            <v>4</v>
          </cell>
          <cell r="BH824">
            <v>0</v>
          </cell>
          <cell r="BI824">
            <v>0</v>
          </cell>
          <cell r="BJ824">
            <v>1</v>
          </cell>
          <cell r="BK824">
            <v>0</v>
          </cell>
          <cell r="BL824">
            <v>1</v>
          </cell>
          <cell r="BM824">
            <v>0</v>
          </cell>
          <cell r="BN824">
            <v>0</v>
          </cell>
          <cell r="BO824">
            <v>0</v>
          </cell>
          <cell r="BP824">
            <v>0</v>
          </cell>
          <cell r="BQ824">
            <v>2</v>
          </cell>
          <cell r="BR824">
            <v>0</v>
          </cell>
          <cell r="BS824">
            <v>0</v>
          </cell>
          <cell r="BT824">
            <v>5</v>
          </cell>
          <cell r="BU824">
            <v>0</v>
          </cell>
        </row>
        <row r="825">
          <cell r="A825">
            <v>29</v>
          </cell>
          <cell r="B825">
            <v>29</v>
          </cell>
          <cell r="D825">
            <v>0</v>
          </cell>
          <cell r="F825">
            <v>1</v>
          </cell>
          <cell r="G825">
            <v>0</v>
          </cell>
          <cell r="I825">
            <v>1</v>
          </cell>
          <cell r="J825">
            <v>0</v>
          </cell>
          <cell r="K825">
            <v>10</v>
          </cell>
          <cell r="L825">
            <v>10</v>
          </cell>
          <cell r="M825">
            <v>3</v>
          </cell>
          <cell r="O825">
            <v>1</v>
          </cell>
          <cell r="P825">
            <v>0</v>
          </cell>
          <cell r="Q825">
            <v>0</v>
          </cell>
          <cell r="R825">
            <v>0</v>
          </cell>
          <cell r="S825">
            <v>0</v>
          </cell>
          <cell r="T825">
            <v>4</v>
          </cell>
          <cell r="V825">
            <v>1</v>
          </cell>
          <cell r="W825">
            <v>61</v>
          </cell>
          <cell r="X825">
            <v>3</v>
          </cell>
          <cell r="Y825">
            <v>1</v>
          </cell>
          <cell r="AA825">
            <v>0</v>
          </cell>
          <cell r="AB825">
            <v>0</v>
          </cell>
          <cell r="AC825">
            <v>0</v>
          </cell>
          <cell r="AD825">
            <v>0</v>
          </cell>
          <cell r="AE825">
            <v>0</v>
          </cell>
          <cell r="AF825">
            <v>0</v>
          </cell>
          <cell r="AG825">
            <v>0</v>
          </cell>
          <cell r="AH825">
            <v>1</v>
          </cell>
          <cell r="AI825">
            <v>2</v>
          </cell>
          <cell r="AK825">
            <v>0</v>
          </cell>
          <cell r="AL825">
            <v>0</v>
          </cell>
          <cell r="AN825">
            <v>3291</v>
          </cell>
          <cell r="AO825">
            <v>0</v>
          </cell>
          <cell r="AQ825">
            <v>0</v>
          </cell>
          <cell r="AR825">
            <v>14</v>
          </cell>
          <cell r="AS825">
            <v>3</v>
          </cell>
          <cell r="AT825">
            <v>4</v>
          </cell>
          <cell r="AU825">
            <v>2</v>
          </cell>
          <cell r="AV825">
            <v>8</v>
          </cell>
          <cell r="AW825">
            <v>8</v>
          </cell>
          <cell r="AX825">
            <v>2</v>
          </cell>
          <cell r="AY825">
            <v>2</v>
          </cell>
          <cell r="AZ825">
            <v>7</v>
          </cell>
          <cell r="BA825">
            <v>7</v>
          </cell>
          <cell r="BB825">
            <v>5</v>
          </cell>
          <cell r="BC825">
            <v>1</v>
          </cell>
          <cell r="BD825">
            <v>1</v>
          </cell>
          <cell r="BE825">
            <v>1</v>
          </cell>
          <cell r="BF825">
            <v>1</v>
          </cell>
          <cell r="BG825">
            <v>1</v>
          </cell>
          <cell r="BH825">
            <v>0</v>
          </cell>
          <cell r="BI825">
            <v>0</v>
          </cell>
          <cell r="BJ825">
            <v>1</v>
          </cell>
          <cell r="BK825">
            <v>0</v>
          </cell>
          <cell r="BL825">
            <v>1</v>
          </cell>
          <cell r="BM825">
            <v>0</v>
          </cell>
          <cell r="BN825">
            <v>0</v>
          </cell>
          <cell r="BO825">
            <v>0</v>
          </cell>
          <cell r="BP825">
            <v>0</v>
          </cell>
          <cell r="BQ825">
            <v>1</v>
          </cell>
          <cell r="BR825">
            <v>0</v>
          </cell>
          <cell r="BS825">
            <v>0</v>
          </cell>
          <cell r="BT825">
            <v>8</v>
          </cell>
          <cell r="BU825">
            <v>0</v>
          </cell>
        </row>
        <row r="826">
          <cell r="A826">
            <v>42</v>
          </cell>
          <cell r="B826">
            <v>42</v>
          </cell>
          <cell r="D826">
            <v>0</v>
          </cell>
          <cell r="F826">
            <v>0</v>
          </cell>
          <cell r="G826">
            <v>1</v>
          </cell>
          <cell r="I826">
            <v>1</v>
          </cell>
          <cell r="J826">
            <v>0</v>
          </cell>
          <cell r="K826">
            <v>29</v>
          </cell>
          <cell r="L826">
            <v>29</v>
          </cell>
          <cell r="M826">
            <v>3</v>
          </cell>
          <cell r="O826">
            <v>0</v>
          </cell>
          <cell r="P826">
            <v>0</v>
          </cell>
          <cell r="Q826">
            <v>1</v>
          </cell>
          <cell r="R826">
            <v>0</v>
          </cell>
          <cell r="S826">
            <v>0</v>
          </cell>
          <cell r="T826">
            <v>2</v>
          </cell>
          <cell r="V826">
            <v>0</v>
          </cell>
          <cell r="W826">
            <v>56</v>
          </cell>
          <cell r="X826">
            <v>1</v>
          </cell>
          <cell r="Y826">
            <v>2</v>
          </cell>
          <cell r="AA826">
            <v>0</v>
          </cell>
          <cell r="AB826">
            <v>0</v>
          </cell>
          <cell r="AC826">
            <v>1</v>
          </cell>
          <cell r="AD826">
            <v>0</v>
          </cell>
          <cell r="AE826">
            <v>0</v>
          </cell>
          <cell r="AF826">
            <v>0</v>
          </cell>
          <cell r="AG826">
            <v>0</v>
          </cell>
          <cell r="AH826">
            <v>0</v>
          </cell>
          <cell r="AI826">
            <v>4</v>
          </cell>
          <cell r="AK826">
            <v>1</v>
          </cell>
          <cell r="AL826">
            <v>0</v>
          </cell>
          <cell r="AN826">
            <v>4272</v>
          </cell>
          <cell r="AO826">
            <v>4</v>
          </cell>
          <cell r="AQ826">
            <v>0</v>
          </cell>
          <cell r="AR826">
            <v>19</v>
          </cell>
          <cell r="AS826">
            <v>3</v>
          </cell>
          <cell r="AT826">
            <v>1</v>
          </cell>
          <cell r="AU826">
            <v>0</v>
          </cell>
          <cell r="AV826">
            <v>16</v>
          </cell>
          <cell r="AW826">
            <v>16</v>
          </cell>
          <cell r="AX826">
            <v>3</v>
          </cell>
          <cell r="AY826">
            <v>3</v>
          </cell>
          <cell r="AZ826">
            <v>1</v>
          </cell>
          <cell r="BA826">
            <v>1</v>
          </cell>
          <cell r="BB826">
            <v>0</v>
          </cell>
          <cell r="BC826">
            <v>0</v>
          </cell>
          <cell r="BD826">
            <v>0</v>
          </cell>
          <cell r="BE826">
            <v>0</v>
          </cell>
          <cell r="BF826">
            <v>0</v>
          </cell>
          <cell r="BG826">
            <v>0</v>
          </cell>
          <cell r="BH826">
            <v>1</v>
          </cell>
          <cell r="BI826">
            <v>0</v>
          </cell>
          <cell r="BJ826">
            <v>0</v>
          </cell>
          <cell r="BK826">
            <v>0</v>
          </cell>
          <cell r="BL826">
            <v>1</v>
          </cell>
          <cell r="BM826">
            <v>0</v>
          </cell>
          <cell r="BN826">
            <v>0</v>
          </cell>
          <cell r="BO826">
            <v>0</v>
          </cell>
          <cell r="BP826">
            <v>0</v>
          </cell>
          <cell r="BQ826">
            <v>0</v>
          </cell>
          <cell r="BR826">
            <v>0</v>
          </cell>
          <cell r="BS826">
            <v>0</v>
          </cell>
          <cell r="BT826">
            <v>16</v>
          </cell>
          <cell r="BU826">
            <v>0</v>
          </cell>
        </row>
        <row r="827">
          <cell r="A827">
            <v>29</v>
          </cell>
          <cell r="B827">
            <v>29</v>
          </cell>
          <cell r="D827">
            <v>0</v>
          </cell>
          <cell r="F827">
            <v>0</v>
          </cell>
          <cell r="G827">
            <v>1</v>
          </cell>
          <cell r="I827">
            <v>1</v>
          </cell>
          <cell r="J827">
            <v>0</v>
          </cell>
          <cell r="K827">
            <v>8</v>
          </cell>
          <cell r="L827">
            <v>8</v>
          </cell>
          <cell r="M827">
            <v>1</v>
          </cell>
          <cell r="O827">
            <v>0</v>
          </cell>
          <cell r="P827">
            <v>0</v>
          </cell>
          <cell r="Q827">
            <v>1</v>
          </cell>
          <cell r="R827">
            <v>0</v>
          </cell>
          <cell r="S827">
            <v>0</v>
          </cell>
          <cell r="T827">
            <v>2</v>
          </cell>
          <cell r="V827">
            <v>0</v>
          </cell>
          <cell r="W827">
            <v>79</v>
          </cell>
          <cell r="X827">
            <v>2</v>
          </cell>
          <cell r="Y827">
            <v>2</v>
          </cell>
          <cell r="AA827">
            <v>0</v>
          </cell>
          <cell r="AB827">
            <v>0</v>
          </cell>
          <cell r="AC827">
            <v>0</v>
          </cell>
          <cell r="AD827">
            <v>0</v>
          </cell>
          <cell r="AE827">
            <v>1</v>
          </cell>
          <cell r="AF827">
            <v>1</v>
          </cell>
          <cell r="AG827">
            <v>0</v>
          </cell>
          <cell r="AH827">
            <v>0</v>
          </cell>
          <cell r="AI827">
            <v>4</v>
          </cell>
          <cell r="AK827">
            <v>0</v>
          </cell>
          <cell r="AL827">
            <v>1</v>
          </cell>
          <cell r="AN827">
            <v>5056</v>
          </cell>
          <cell r="AO827">
            <v>1</v>
          </cell>
          <cell r="AQ827">
            <v>1</v>
          </cell>
          <cell r="AR827">
            <v>15</v>
          </cell>
          <cell r="AS827">
            <v>3</v>
          </cell>
          <cell r="AT827">
            <v>3</v>
          </cell>
          <cell r="AU827">
            <v>1</v>
          </cell>
          <cell r="AV827">
            <v>10</v>
          </cell>
          <cell r="AW827">
            <v>10</v>
          </cell>
          <cell r="AX827">
            <v>2</v>
          </cell>
          <cell r="AY827">
            <v>2</v>
          </cell>
          <cell r="AZ827">
            <v>10</v>
          </cell>
          <cell r="BA827">
            <v>10</v>
          </cell>
          <cell r="BB827">
            <v>7</v>
          </cell>
          <cell r="BC827">
            <v>1</v>
          </cell>
          <cell r="BD827">
            <v>1</v>
          </cell>
          <cell r="BE827">
            <v>2</v>
          </cell>
          <cell r="BF827">
            <v>2</v>
          </cell>
          <cell r="BG827">
            <v>4</v>
          </cell>
          <cell r="BH827">
            <v>0</v>
          </cell>
          <cell r="BI827">
            <v>1</v>
          </cell>
          <cell r="BJ827">
            <v>0</v>
          </cell>
          <cell r="BK827">
            <v>0</v>
          </cell>
          <cell r="BL827">
            <v>0</v>
          </cell>
          <cell r="BM827">
            <v>0</v>
          </cell>
          <cell r="BN827">
            <v>0</v>
          </cell>
          <cell r="BO827">
            <v>1</v>
          </cell>
          <cell r="BP827">
            <v>0</v>
          </cell>
          <cell r="BQ827">
            <v>2</v>
          </cell>
          <cell r="BR827">
            <v>0</v>
          </cell>
          <cell r="BS827">
            <v>0</v>
          </cell>
          <cell r="BT827">
            <v>10</v>
          </cell>
          <cell r="BU827">
            <v>0</v>
          </cell>
        </row>
        <row r="828">
          <cell r="A828">
            <v>38</v>
          </cell>
          <cell r="B828">
            <v>38</v>
          </cell>
          <cell r="D828">
            <v>0</v>
          </cell>
          <cell r="F828">
            <v>0</v>
          </cell>
          <cell r="G828">
            <v>1</v>
          </cell>
          <cell r="I828">
            <v>0</v>
          </cell>
          <cell r="J828">
            <v>0</v>
          </cell>
          <cell r="K828">
            <v>1</v>
          </cell>
          <cell r="L828">
            <v>1</v>
          </cell>
          <cell r="M828">
            <v>3</v>
          </cell>
          <cell r="O828">
            <v>0</v>
          </cell>
          <cell r="P828">
            <v>0</v>
          </cell>
          <cell r="Q828">
            <v>0</v>
          </cell>
          <cell r="R828">
            <v>0</v>
          </cell>
          <cell r="S828">
            <v>0</v>
          </cell>
          <cell r="T828">
            <v>3</v>
          </cell>
          <cell r="V828">
            <v>0</v>
          </cell>
          <cell r="W828">
            <v>37</v>
          </cell>
          <cell r="X828">
            <v>4</v>
          </cell>
          <cell r="Y828">
            <v>1</v>
          </cell>
          <cell r="AA828">
            <v>0</v>
          </cell>
          <cell r="AB828">
            <v>0</v>
          </cell>
          <cell r="AC828">
            <v>0</v>
          </cell>
          <cell r="AD828">
            <v>0</v>
          </cell>
          <cell r="AE828">
            <v>0</v>
          </cell>
          <cell r="AF828">
            <v>0</v>
          </cell>
          <cell r="AG828">
            <v>0</v>
          </cell>
          <cell r="AH828">
            <v>0</v>
          </cell>
          <cell r="AI828">
            <v>3</v>
          </cell>
          <cell r="AK828">
            <v>0</v>
          </cell>
          <cell r="AL828">
            <v>1</v>
          </cell>
          <cell r="AN828">
            <v>2844</v>
          </cell>
          <cell r="AO828">
            <v>1</v>
          </cell>
          <cell r="AQ828">
            <v>0</v>
          </cell>
          <cell r="AR828">
            <v>13</v>
          </cell>
          <cell r="AS828">
            <v>3</v>
          </cell>
          <cell r="AT828">
            <v>4</v>
          </cell>
          <cell r="AU828">
            <v>1</v>
          </cell>
          <cell r="AV828">
            <v>7</v>
          </cell>
          <cell r="AW828">
            <v>7</v>
          </cell>
          <cell r="AX828">
            <v>2</v>
          </cell>
          <cell r="AY828">
            <v>4</v>
          </cell>
          <cell r="AZ828">
            <v>7</v>
          </cell>
          <cell r="BA828">
            <v>7</v>
          </cell>
          <cell r="BB828">
            <v>6</v>
          </cell>
          <cell r="BC828">
            <v>5</v>
          </cell>
          <cell r="BD828">
            <v>5</v>
          </cell>
          <cell r="BE828">
            <v>0</v>
          </cell>
          <cell r="BF828">
            <v>0</v>
          </cell>
          <cell r="BG828">
            <v>0</v>
          </cell>
          <cell r="BH828">
            <v>0</v>
          </cell>
          <cell r="BI828">
            <v>1</v>
          </cell>
          <cell r="BJ828">
            <v>0</v>
          </cell>
          <cell r="BK828">
            <v>0</v>
          </cell>
          <cell r="BL828">
            <v>0</v>
          </cell>
          <cell r="BM828">
            <v>0</v>
          </cell>
          <cell r="BN828">
            <v>1</v>
          </cell>
          <cell r="BO828">
            <v>0</v>
          </cell>
          <cell r="BP828">
            <v>0</v>
          </cell>
          <cell r="BQ828">
            <v>0</v>
          </cell>
          <cell r="BR828">
            <v>0</v>
          </cell>
          <cell r="BS828">
            <v>7</v>
          </cell>
          <cell r="BT828">
            <v>0</v>
          </cell>
          <cell r="BU828">
            <v>0</v>
          </cell>
        </row>
        <row r="829">
          <cell r="A829">
            <v>28</v>
          </cell>
          <cell r="B829">
            <v>28</v>
          </cell>
          <cell r="D829">
            <v>0</v>
          </cell>
          <cell r="F829">
            <v>1</v>
          </cell>
          <cell r="G829">
            <v>0</v>
          </cell>
          <cell r="I829">
            <v>1</v>
          </cell>
          <cell r="J829">
            <v>0</v>
          </cell>
          <cell r="K829">
            <v>6</v>
          </cell>
          <cell r="L829">
            <v>6</v>
          </cell>
          <cell r="M829">
            <v>3</v>
          </cell>
          <cell r="O829">
            <v>1</v>
          </cell>
          <cell r="P829">
            <v>0</v>
          </cell>
          <cell r="Q829">
            <v>0</v>
          </cell>
          <cell r="R829">
            <v>0</v>
          </cell>
          <cell r="S829">
            <v>0</v>
          </cell>
          <cell r="T829">
            <v>3</v>
          </cell>
          <cell r="V829">
            <v>0</v>
          </cell>
          <cell r="W829">
            <v>39</v>
          </cell>
          <cell r="X829">
            <v>2</v>
          </cell>
          <cell r="Y829">
            <v>1</v>
          </cell>
          <cell r="AA829">
            <v>0</v>
          </cell>
          <cell r="AB829">
            <v>0</v>
          </cell>
          <cell r="AC829">
            <v>0</v>
          </cell>
          <cell r="AD829">
            <v>0</v>
          </cell>
          <cell r="AE829">
            <v>0</v>
          </cell>
          <cell r="AF829">
            <v>0</v>
          </cell>
          <cell r="AG829">
            <v>0</v>
          </cell>
          <cell r="AH829">
            <v>1</v>
          </cell>
          <cell r="AI829">
            <v>3</v>
          </cell>
          <cell r="AK829">
            <v>0</v>
          </cell>
          <cell r="AL829">
            <v>0</v>
          </cell>
          <cell r="AN829">
            <v>2703</v>
          </cell>
          <cell r="AO829">
            <v>1</v>
          </cell>
          <cell r="AQ829">
            <v>1</v>
          </cell>
          <cell r="AR829">
            <v>14</v>
          </cell>
          <cell r="AS829">
            <v>3</v>
          </cell>
          <cell r="AT829">
            <v>4</v>
          </cell>
          <cell r="AU829">
            <v>1</v>
          </cell>
          <cell r="AV829">
            <v>3</v>
          </cell>
          <cell r="AW829">
            <v>3</v>
          </cell>
          <cell r="AX829">
            <v>2</v>
          </cell>
          <cell r="AY829">
            <v>3</v>
          </cell>
          <cell r="AZ829">
            <v>3</v>
          </cell>
          <cell r="BA829">
            <v>3</v>
          </cell>
          <cell r="BB829">
            <v>1</v>
          </cell>
          <cell r="BC829">
            <v>0</v>
          </cell>
          <cell r="BD829">
            <v>0</v>
          </cell>
          <cell r="BE829">
            <v>2</v>
          </cell>
          <cell r="BF829">
            <v>2</v>
          </cell>
          <cell r="BG829">
            <v>2</v>
          </cell>
          <cell r="BH829">
            <v>0</v>
          </cell>
          <cell r="BI829">
            <v>0</v>
          </cell>
          <cell r="BJ829">
            <v>1</v>
          </cell>
          <cell r="BK829">
            <v>0</v>
          </cell>
          <cell r="BL829">
            <v>0</v>
          </cell>
          <cell r="BM829">
            <v>1</v>
          </cell>
          <cell r="BN829">
            <v>0</v>
          </cell>
          <cell r="BO829">
            <v>0</v>
          </cell>
          <cell r="BP829">
            <v>0</v>
          </cell>
          <cell r="BQ829">
            <v>2</v>
          </cell>
          <cell r="BR829">
            <v>0</v>
          </cell>
          <cell r="BS829">
            <v>0</v>
          </cell>
          <cell r="BT829">
            <v>3</v>
          </cell>
          <cell r="BU829">
            <v>0</v>
          </cell>
        </row>
        <row r="830">
          <cell r="A830">
            <v>18</v>
          </cell>
          <cell r="B830">
            <v>19</v>
          </cell>
          <cell r="D830">
            <v>1</v>
          </cell>
          <cell r="F830">
            <v>0</v>
          </cell>
          <cell r="G830">
            <v>0</v>
          </cell>
          <cell r="I830">
            <v>1</v>
          </cell>
          <cell r="J830">
            <v>0</v>
          </cell>
          <cell r="K830">
            <v>8</v>
          </cell>
          <cell r="L830">
            <v>8</v>
          </cell>
          <cell r="M830">
            <v>1</v>
          </cell>
          <cell r="O830">
            <v>0</v>
          </cell>
          <cell r="P830">
            <v>0</v>
          </cell>
          <cell r="Q830">
            <v>1</v>
          </cell>
          <cell r="R830">
            <v>0</v>
          </cell>
          <cell r="S830">
            <v>0</v>
          </cell>
          <cell r="T830">
            <v>3</v>
          </cell>
          <cell r="V830">
            <v>0</v>
          </cell>
          <cell r="W830">
            <v>80</v>
          </cell>
          <cell r="X830">
            <v>3</v>
          </cell>
          <cell r="Y830">
            <v>1</v>
          </cell>
          <cell r="AA830">
            <v>0</v>
          </cell>
          <cell r="AB830">
            <v>0</v>
          </cell>
          <cell r="AC830">
            <v>1</v>
          </cell>
          <cell r="AD830">
            <v>0</v>
          </cell>
          <cell r="AE830">
            <v>0</v>
          </cell>
          <cell r="AF830">
            <v>0</v>
          </cell>
          <cell r="AG830">
            <v>0</v>
          </cell>
          <cell r="AH830">
            <v>0</v>
          </cell>
          <cell r="AI830">
            <v>3</v>
          </cell>
          <cell r="AK830">
            <v>1</v>
          </cell>
          <cell r="AL830">
            <v>0</v>
          </cell>
          <cell r="AN830">
            <v>1904</v>
          </cell>
          <cell r="AO830">
            <v>1</v>
          </cell>
          <cell r="AQ830">
            <v>0</v>
          </cell>
          <cell r="AR830">
            <v>12</v>
          </cell>
          <cell r="AS830">
            <v>3</v>
          </cell>
          <cell r="AT830">
            <v>4</v>
          </cell>
          <cell r="AU830">
            <v>0</v>
          </cell>
          <cell r="AV830">
            <v>0</v>
          </cell>
          <cell r="AW830">
            <v>1</v>
          </cell>
          <cell r="AX830">
            <v>0</v>
          </cell>
          <cell r="AY830">
            <v>3</v>
          </cell>
          <cell r="AZ830">
            <v>0</v>
          </cell>
          <cell r="BA830">
            <v>0</v>
          </cell>
          <cell r="BB830">
            <v>0</v>
          </cell>
          <cell r="BC830">
            <v>0</v>
          </cell>
          <cell r="BD830">
            <v>0</v>
          </cell>
          <cell r="BE830">
            <v>0</v>
          </cell>
          <cell r="BF830">
            <v>0</v>
          </cell>
          <cell r="BG830">
            <v>0</v>
          </cell>
          <cell r="BH830">
            <v>1</v>
          </cell>
          <cell r="BI830">
            <v>0</v>
          </cell>
          <cell r="BJ830">
            <v>0</v>
          </cell>
          <cell r="BK830">
            <v>0</v>
          </cell>
          <cell r="BL830">
            <v>1</v>
          </cell>
          <cell r="BM830">
            <v>0</v>
          </cell>
          <cell r="BN830">
            <v>0</v>
          </cell>
          <cell r="BO830">
            <v>0</v>
          </cell>
          <cell r="BP830">
            <v>0</v>
          </cell>
          <cell r="BQ830">
            <v>0</v>
          </cell>
          <cell r="BR830">
            <v>0</v>
          </cell>
          <cell r="BS830">
            <v>0</v>
          </cell>
          <cell r="BT830">
            <v>1</v>
          </cell>
          <cell r="BU830">
            <v>0</v>
          </cell>
        </row>
        <row r="831">
          <cell r="A831">
            <v>33</v>
          </cell>
          <cell r="B831">
            <v>33</v>
          </cell>
          <cell r="D831">
            <v>1</v>
          </cell>
          <cell r="F831">
            <v>0</v>
          </cell>
          <cell r="G831">
            <v>1</v>
          </cell>
          <cell r="I831">
            <v>0</v>
          </cell>
          <cell r="J831">
            <v>1</v>
          </cell>
          <cell r="K831">
            <v>9</v>
          </cell>
          <cell r="L831">
            <v>9</v>
          </cell>
          <cell r="M831">
            <v>4</v>
          </cell>
          <cell r="O831">
            <v>0</v>
          </cell>
          <cell r="P831">
            <v>0</v>
          </cell>
          <cell r="Q831">
            <v>0</v>
          </cell>
          <cell r="R831">
            <v>1</v>
          </cell>
          <cell r="S831">
            <v>0</v>
          </cell>
          <cell r="T831">
            <v>1</v>
          </cell>
          <cell r="V831">
            <v>1</v>
          </cell>
          <cell r="W831">
            <v>77</v>
          </cell>
          <cell r="X831">
            <v>3</v>
          </cell>
          <cell r="Y831">
            <v>2</v>
          </cell>
          <cell r="AA831">
            <v>0</v>
          </cell>
          <cell r="AB831">
            <v>1</v>
          </cell>
          <cell r="AC831">
            <v>0</v>
          </cell>
          <cell r="AD831">
            <v>0</v>
          </cell>
          <cell r="AE831">
            <v>0</v>
          </cell>
          <cell r="AF831">
            <v>0</v>
          </cell>
          <cell r="AG831">
            <v>0</v>
          </cell>
          <cell r="AH831">
            <v>0</v>
          </cell>
          <cell r="AI831">
            <v>1</v>
          </cell>
          <cell r="AK831">
            <v>1</v>
          </cell>
          <cell r="AL831">
            <v>0</v>
          </cell>
          <cell r="AN831">
            <v>8224</v>
          </cell>
          <cell r="AO831">
            <v>0</v>
          </cell>
          <cell r="AQ831">
            <v>1</v>
          </cell>
          <cell r="AR831">
            <v>17</v>
          </cell>
          <cell r="AS831">
            <v>3</v>
          </cell>
          <cell r="AT831">
            <v>1</v>
          </cell>
          <cell r="AU831">
            <v>0</v>
          </cell>
          <cell r="AV831">
            <v>6</v>
          </cell>
          <cell r="AW831">
            <v>6</v>
          </cell>
          <cell r="AX831">
            <v>3</v>
          </cell>
          <cell r="AY831">
            <v>3</v>
          </cell>
          <cell r="AZ831">
            <v>5</v>
          </cell>
          <cell r="BA831">
            <v>5</v>
          </cell>
          <cell r="BB831">
            <v>2</v>
          </cell>
          <cell r="BC831">
            <v>0</v>
          </cell>
          <cell r="BD831">
            <v>0</v>
          </cell>
          <cell r="BE831">
            <v>3</v>
          </cell>
          <cell r="BF831">
            <v>3</v>
          </cell>
          <cell r="BG831">
            <v>6</v>
          </cell>
          <cell r="BH831">
            <v>1</v>
          </cell>
          <cell r="BI831">
            <v>0</v>
          </cell>
          <cell r="BJ831">
            <v>0</v>
          </cell>
          <cell r="BK831">
            <v>0</v>
          </cell>
          <cell r="BL831">
            <v>0</v>
          </cell>
          <cell r="BM831">
            <v>1</v>
          </cell>
          <cell r="BN831">
            <v>0</v>
          </cell>
          <cell r="BO831">
            <v>0</v>
          </cell>
          <cell r="BP831">
            <v>0</v>
          </cell>
          <cell r="BQ831">
            <v>0</v>
          </cell>
          <cell r="BR831">
            <v>3</v>
          </cell>
          <cell r="BS831">
            <v>0</v>
          </cell>
          <cell r="BT831">
            <v>0</v>
          </cell>
          <cell r="BU831">
            <v>6</v>
          </cell>
        </row>
        <row r="832">
          <cell r="A832">
            <v>41</v>
          </cell>
          <cell r="B832">
            <v>41</v>
          </cell>
          <cell r="D832">
            <v>0</v>
          </cell>
          <cell r="F832">
            <v>0</v>
          </cell>
          <cell r="G832">
            <v>1</v>
          </cell>
          <cell r="I832">
            <v>1</v>
          </cell>
          <cell r="J832">
            <v>0</v>
          </cell>
          <cell r="K832">
            <v>12</v>
          </cell>
          <cell r="L832">
            <v>12</v>
          </cell>
          <cell r="M832">
            <v>4</v>
          </cell>
          <cell r="O832">
            <v>1</v>
          </cell>
          <cell r="P832">
            <v>0</v>
          </cell>
          <cell r="Q832">
            <v>0</v>
          </cell>
          <cell r="R832">
            <v>0</v>
          </cell>
          <cell r="S832">
            <v>0</v>
          </cell>
          <cell r="T832">
            <v>2</v>
          </cell>
          <cell r="V832">
            <v>0</v>
          </cell>
          <cell r="W832">
            <v>46</v>
          </cell>
          <cell r="X832">
            <v>3</v>
          </cell>
          <cell r="Y832">
            <v>1</v>
          </cell>
          <cell r="AA832">
            <v>0</v>
          </cell>
          <cell r="AB832">
            <v>0</v>
          </cell>
          <cell r="AC832">
            <v>1</v>
          </cell>
          <cell r="AD832">
            <v>0</v>
          </cell>
          <cell r="AE832">
            <v>0</v>
          </cell>
          <cell r="AF832">
            <v>0</v>
          </cell>
          <cell r="AG832">
            <v>0</v>
          </cell>
          <cell r="AH832">
            <v>0</v>
          </cell>
          <cell r="AI832">
            <v>4</v>
          </cell>
          <cell r="AK832">
            <v>0</v>
          </cell>
          <cell r="AL832">
            <v>1</v>
          </cell>
          <cell r="AN832">
            <v>4766</v>
          </cell>
          <cell r="AO832">
            <v>3</v>
          </cell>
          <cell r="AQ832">
            <v>1</v>
          </cell>
          <cell r="AR832">
            <v>11</v>
          </cell>
          <cell r="AS832">
            <v>3</v>
          </cell>
          <cell r="AT832">
            <v>1</v>
          </cell>
          <cell r="AU832">
            <v>1</v>
          </cell>
          <cell r="AV832">
            <v>6</v>
          </cell>
          <cell r="AW832">
            <v>6</v>
          </cell>
          <cell r="AX832">
            <v>4</v>
          </cell>
          <cell r="AY832">
            <v>3</v>
          </cell>
          <cell r="AZ832">
            <v>1</v>
          </cell>
          <cell r="BA832">
            <v>1</v>
          </cell>
          <cell r="BB832">
            <v>0</v>
          </cell>
          <cell r="BC832">
            <v>0</v>
          </cell>
          <cell r="BD832">
            <v>0</v>
          </cell>
          <cell r="BE832">
            <v>0</v>
          </cell>
          <cell r="BF832">
            <v>0</v>
          </cell>
          <cell r="BG832">
            <v>0</v>
          </cell>
          <cell r="BH832">
            <v>0</v>
          </cell>
          <cell r="BI832">
            <v>1</v>
          </cell>
          <cell r="BJ832">
            <v>0</v>
          </cell>
          <cell r="BK832">
            <v>0</v>
          </cell>
          <cell r="BL832">
            <v>0</v>
          </cell>
          <cell r="BM832">
            <v>0</v>
          </cell>
          <cell r="BN832">
            <v>0</v>
          </cell>
          <cell r="BO832">
            <v>1</v>
          </cell>
          <cell r="BP832">
            <v>0</v>
          </cell>
          <cell r="BQ832">
            <v>0</v>
          </cell>
          <cell r="BR832">
            <v>0</v>
          </cell>
          <cell r="BS832">
            <v>0</v>
          </cell>
          <cell r="BT832">
            <v>6</v>
          </cell>
          <cell r="BU832">
            <v>0</v>
          </cell>
        </row>
        <row r="833">
          <cell r="A833">
            <v>31</v>
          </cell>
          <cell r="B833">
            <v>31</v>
          </cell>
          <cell r="D833">
            <v>1</v>
          </cell>
          <cell r="F833">
            <v>1</v>
          </cell>
          <cell r="G833">
            <v>0</v>
          </cell>
          <cell r="I833">
            <v>1</v>
          </cell>
          <cell r="J833">
            <v>0</v>
          </cell>
          <cell r="K833">
            <v>15</v>
          </cell>
          <cell r="L833">
            <v>15</v>
          </cell>
          <cell r="M833">
            <v>3</v>
          </cell>
          <cell r="O833">
            <v>0</v>
          </cell>
          <cell r="P833">
            <v>0</v>
          </cell>
          <cell r="Q833">
            <v>1</v>
          </cell>
          <cell r="R833">
            <v>0</v>
          </cell>
          <cell r="S833">
            <v>0</v>
          </cell>
          <cell r="T833">
            <v>3</v>
          </cell>
          <cell r="V833">
            <v>0</v>
          </cell>
          <cell r="W833">
            <v>72</v>
          </cell>
          <cell r="X833">
            <v>3</v>
          </cell>
          <cell r="Y833">
            <v>1</v>
          </cell>
          <cell r="AA833">
            <v>0</v>
          </cell>
          <cell r="AB833">
            <v>0</v>
          </cell>
          <cell r="AC833">
            <v>1</v>
          </cell>
          <cell r="AD833">
            <v>0</v>
          </cell>
          <cell r="AE833">
            <v>0</v>
          </cell>
          <cell r="AF833">
            <v>0</v>
          </cell>
          <cell r="AG833">
            <v>0</v>
          </cell>
          <cell r="AH833">
            <v>0</v>
          </cell>
          <cell r="AI833">
            <v>3</v>
          </cell>
          <cell r="AK833">
            <v>0</v>
          </cell>
          <cell r="AL833">
            <v>1</v>
          </cell>
          <cell r="AN833">
            <v>2610</v>
          </cell>
          <cell r="AO833">
            <v>1</v>
          </cell>
          <cell r="AQ833">
            <v>0</v>
          </cell>
          <cell r="AR833">
            <v>12</v>
          </cell>
          <cell r="AS833">
            <v>3</v>
          </cell>
          <cell r="AT833">
            <v>3</v>
          </cell>
          <cell r="AU833">
            <v>1</v>
          </cell>
          <cell r="AV833">
            <v>2</v>
          </cell>
          <cell r="AW833">
            <v>2</v>
          </cell>
          <cell r="AX833">
            <v>5</v>
          </cell>
          <cell r="AY833">
            <v>2</v>
          </cell>
          <cell r="AZ833">
            <v>2</v>
          </cell>
          <cell r="BA833">
            <v>2</v>
          </cell>
          <cell r="BB833">
            <v>2</v>
          </cell>
          <cell r="BC833">
            <v>2</v>
          </cell>
          <cell r="BD833">
            <v>2</v>
          </cell>
          <cell r="BE833">
            <v>2</v>
          </cell>
          <cell r="BF833">
            <v>2</v>
          </cell>
          <cell r="BG833">
            <v>2</v>
          </cell>
          <cell r="BH833">
            <v>0</v>
          </cell>
          <cell r="BI833">
            <v>0</v>
          </cell>
          <cell r="BJ833">
            <v>0</v>
          </cell>
          <cell r="BK833">
            <v>1</v>
          </cell>
          <cell r="BL833">
            <v>0</v>
          </cell>
          <cell r="BM833">
            <v>0</v>
          </cell>
          <cell r="BN833">
            <v>1</v>
          </cell>
          <cell r="BO833">
            <v>0</v>
          </cell>
          <cell r="BP833">
            <v>0</v>
          </cell>
          <cell r="BQ833">
            <v>2</v>
          </cell>
          <cell r="BR833">
            <v>0</v>
          </cell>
          <cell r="BS833">
            <v>0</v>
          </cell>
          <cell r="BT833">
            <v>2</v>
          </cell>
          <cell r="BU833">
            <v>0</v>
          </cell>
        </row>
        <row r="834">
          <cell r="A834">
            <v>37</v>
          </cell>
          <cell r="B834">
            <v>37</v>
          </cell>
          <cell r="D834">
            <v>0</v>
          </cell>
          <cell r="F834">
            <v>0</v>
          </cell>
          <cell r="G834">
            <v>1</v>
          </cell>
          <cell r="I834">
            <v>1</v>
          </cell>
          <cell r="J834">
            <v>0</v>
          </cell>
          <cell r="K834">
            <v>25</v>
          </cell>
          <cell r="L834">
            <v>25</v>
          </cell>
          <cell r="M834">
            <v>2</v>
          </cell>
          <cell r="O834">
            <v>0</v>
          </cell>
          <cell r="P834">
            <v>0</v>
          </cell>
          <cell r="Q834">
            <v>1</v>
          </cell>
          <cell r="R834">
            <v>0</v>
          </cell>
          <cell r="S834">
            <v>0</v>
          </cell>
          <cell r="T834">
            <v>3</v>
          </cell>
          <cell r="V834">
            <v>1</v>
          </cell>
          <cell r="W834">
            <v>52</v>
          </cell>
          <cell r="X834">
            <v>2</v>
          </cell>
          <cell r="Y834">
            <v>2</v>
          </cell>
          <cell r="AA834">
            <v>1</v>
          </cell>
          <cell r="AB834">
            <v>0</v>
          </cell>
          <cell r="AC834">
            <v>0</v>
          </cell>
          <cell r="AD834">
            <v>0</v>
          </cell>
          <cell r="AE834">
            <v>0</v>
          </cell>
          <cell r="AF834">
            <v>0</v>
          </cell>
          <cell r="AG834">
            <v>0</v>
          </cell>
          <cell r="AH834">
            <v>0</v>
          </cell>
          <cell r="AI834">
            <v>4</v>
          </cell>
          <cell r="AK834">
            <v>0</v>
          </cell>
          <cell r="AL834">
            <v>0</v>
          </cell>
          <cell r="AN834">
            <v>5731</v>
          </cell>
          <cell r="AO834">
            <v>7</v>
          </cell>
          <cell r="AQ834">
            <v>0</v>
          </cell>
          <cell r="AR834">
            <v>13</v>
          </cell>
          <cell r="AS834">
            <v>3</v>
          </cell>
          <cell r="AT834">
            <v>3</v>
          </cell>
          <cell r="AU834">
            <v>2</v>
          </cell>
          <cell r="AV834">
            <v>9</v>
          </cell>
          <cell r="AW834">
            <v>9</v>
          </cell>
          <cell r="AX834">
            <v>2</v>
          </cell>
          <cell r="AY834">
            <v>3</v>
          </cell>
          <cell r="AZ834">
            <v>6</v>
          </cell>
          <cell r="BA834">
            <v>6</v>
          </cell>
          <cell r="BB834">
            <v>2</v>
          </cell>
          <cell r="BC834">
            <v>1</v>
          </cell>
          <cell r="BD834">
            <v>1</v>
          </cell>
          <cell r="BE834">
            <v>3</v>
          </cell>
          <cell r="BF834">
            <v>3</v>
          </cell>
          <cell r="BG834">
            <v>6</v>
          </cell>
          <cell r="BH834">
            <v>1</v>
          </cell>
          <cell r="BI834">
            <v>0</v>
          </cell>
          <cell r="BJ834">
            <v>0</v>
          </cell>
          <cell r="BK834">
            <v>0</v>
          </cell>
          <cell r="BL834">
            <v>1</v>
          </cell>
          <cell r="BM834">
            <v>0</v>
          </cell>
          <cell r="BN834">
            <v>0</v>
          </cell>
          <cell r="BO834">
            <v>0</v>
          </cell>
          <cell r="BP834">
            <v>0</v>
          </cell>
          <cell r="BQ834">
            <v>3</v>
          </cell>
          <cell r="BR834">
            <v>0</v>
          </cell>
          <cell r="BS834">
            <v>0</v>
          </cell>
          <cell r="BT834">
            <v>9</v>
          </cell>
          <cell r="BU834">
            <v>0</v>
          </cell>
        </row>
        <row r="835">
          <cell r="A835">
            <v>27</v>
          </cell>
          <cell r="B835">
            <v>27</v>
          </cell>
          <cell r="D835">
            <v>0</v>
          </cell>
          <cell r="F835">
            <v>0</v>
          </cell>
          <cell r="G835">
            <v>1</v>
          </cell>
          <cell r="I835">
            <v>1</v>
          </cell>
          <cell r="J835">
            <v>0</v>
          </cell>
          <cell r="K835">
            <v>6</v>
          </cell>
          <cell r="L835">
            <v>6</v>
          </cell>
          <cell r="M835">
            <v>3</v>
          </cell>
          <cell r="O835">
            <v>1</v>
          </cell>
          <cell r="P835">
            <v>0</v>
          </cell>
          <cell r="Q835">
            <v>0</v>
          </cell>
          <cell r="R835">
            <v>0</v>
          </cell>
          <cell r="S835">
            <v>0</v>
          </cell>
          <cell r="T835">
            <v>4</v>
          </cell>
          <cell r="V835">
            <v>0</v>
          </cell>
          <cell r="W835">
            <v>55</v>
          </cell>
          <cell r="X835">
            <v>2</v>
          </cell>
          <cell r="Y835">
            <v>1</v>
          </cell>
          <cell r="AA835">
            <v>0</v>
          </cell>
          <cell r="AB835">
            <v>0</v>
          </cell>
          <cell r="AC835">
            <v>0</v>
          </cell>
          <cell r="AD835">
            <v>0</v>
          </cell>
          <cell r="AE835">
            <v>0</v>
          </cell>
          <cell r="AF835">
            <v>0</v>
          </cell>
          <cell r="AG835">
            <v>0</v>
          </cell>
          <cell r="AH835">
            <v>1</v>
          </cell>
          <cell r="AI835">
            <v>3</v>
          </cell>
          <cell r="AK835">
            <v>0</v>
          </cell>
          <cell r="AL835">
            <v>1</v>
          </cell>
          <cell r="AN835">
            <v>2539</v>
          </cell>
          <cell r="AO835">
            <v>1</v>
          </cell>
          <cell r="AQ835">
            <v>0</v>
          </cell>
          <cell r="AR835">
            <v>13</v>
          </cell>
          <cell r="AS835">
            <v>3</v>
          </cell>
          <cell r="AT835">
            <v>3</v>
          </cell>
          <cell r="AU835">
            <v>1</v>
          </cell>
          <cell r="AV835">
            <v>4</v>
          </cell>
          <cell r="AW835">
            <v>4</v>
          </cell>
          <cell r="AX835">
            <v>0</v>
          </cell>
          <cell r="AY835">
            <v>3</v>
          </cell>
          <cell r="AZ835">
            <v>4</v>
          </cell>
          <cell r="BA835">
            <v>4</v>
          </cell>
          <cell r="BB835">
            <v>2</v>
          </cell>
          <cell r="BC835">
            <v>2</v>
          </cell>
          <cell r="BD835">
            <v>2</v>
          </cell>
          <cell r="BE835">
            <v>2</v>
          </cell>
          <cell r="BF835">
            <v>2</v>
          </cell>
          <cell r="BG835">
            <v>2</v>
          </cell>
          <cell r="BH835">
            <v>0</v>
          </cell>
          <cell r="BI835">
            <v>1</v>
          </cell>
          <cell r="BJ835">
            <v>0</v>
          </cell>
          <cell r="BK835">
            <v>0</v>
          </cell>
          <cell r="BL835">
            <v>0</v>
          </cell>
          <cell r="BM835">
            <v>0</v>
          </cell>
          <cell r="BN835">
            <v>1</v>
          </cell>
          <cell r="BO835">
            <v>0</v>
          </cell>
          <cell r="BP835">
            <v>0</v>
          </cell>
          <cell r="BQ835">
            <v>2</v>
          </cell>
          <cell r="BR835">
            <v>0</v>
          </cell>
          <cell r="BS835">
            <v>0</v>
          </cell>
          <cell r="BT835">
            <v>4</v>
          </cell>
          <cell r="BU835">
            <v>0</v>
          </cell>
        </row>
        <row r="836">
          <cell r="A836">
            <v>34</v>
          </cell>
          <cell r="B836">
            <v>34</v>
          </cell>
          <cell r="D836">
            <v>0</v>
          </cell>
          <cell r="F836">
            <v>0</v>
          </cell>
          <cell r="G836">
            <v>1</v>
          </cell>
          <cell r="I836">
            <v>0</v>
          </cell>
          <cell r="J836">
            <v>1</v>
          </cell>
          <cell r="K836">
            <v>9</v>
          </cell>
          <cell r="L836">
            <v>9</v>
          </cell>
          <cell r="M836">
            <v>1</v>
          </cell>
          <cell r="O836">
            <v>1</v>
          </cell>
          <cell r="P836">
            <v>0</v>
          </cell>
          <cell r="Q836">
            <v>0</v>
          </cell>
          <cell r="R836">
            <v>0</v>
          </cell>
          <cell r="S836">
            <v>0</v>
          </cell>
          <cell r="T836">
            <v>2</v>
          </cell>
          <cell r="V836">
            <v>1</v>
          </cell>
          <cell r="W836">
            <v>70</v>
          </cell>
          <cell r="X836">
            <v>3</v>
          </cell>
          <cell r="Y836">
            <v>2</v>
          </cell>
          <cell r="AA836">
            <v>0</v>
          </cell>
          <cell r="AB836">
            <v>1</v>
          </cell>
          <cell r="AC836">
            <v>0</v>
          </cell>
          <cell r="AD836">
            <v>0</v>
          </cell>
          <cell r="AE836">
            <v>0</v>
          </cell>
          <cell r="AF836">
            <v>0</v>
          </cell>
          <cell r="AG836">
            <v>0</v>
          </cell>
          <cell r="AH836">
            <v>0</v>
          </cell>
          <cell r="AI836">
            <v>3</v>
          </cell>
          <cell r="AK836">
            <v>0</v>
          </cell>
          <cell r="AL836">
            <v>1</v>
          </cell>
          <cell r="AN836">
            <v>5714</v>
          </cell>
          <cell r="AO836">
            <v>1</v>
          </cell>
          <cell r="AQ836">
            <v>0</v>
          </cell>
          <cell r="AR836">
            <v>20</v>
          </cell>
          <cell r="AS836">
            <v>4</v>
          </cell>
          <cell r="AT836">
            <v>1</v>
          </cell>
          <cell r="AU836">
            <v>0</v>
          </cell>
          <cell r="AV836">
            <v>6</v>
          </cell>
          <cell r="AW836">
            <v>6</v>
          </cell>
          <cell r="AX836">
            <v>3</v>
          </cell>
          <cell r="AY836">
            <v>2</v>
          </cell>
          <cell r="AZ836">
            <v>6</v>
          </cell>
          <cell r="BA836">
            <v>6</v>
          </cell>
          <cell r="BB836">
            <v>5</v>
          </cell>
          <cell r="BC836">
            <v>1</v>
          </cell>
          <cell r="BD836">
            <v>1</v>
          </cell>
          <cell r="BE836">
            <v>3</v>
          </cell>
          <cell r="BF836">
            <v>3</v>
          </cell>
          <cell r="BG836">
            <v>6</v>
          </cell>
          <cell r="BH836">
            <v>0</v>
          </cell>
          <cell r="BI836">
            <v>1</v>
          </cell>
          <cell r="BJ836">
            <v>0</v>
          </cell>
          <cell r="BK836">
            <v>0</v>
          </cell>
          <cell r="BL836">
            <v>0</v>
          </cell>
          <cell r="BM836">
            <v>0</v>
          </cell>
          <cell r="BN836">
            <v>1</v>
          </cell>
          <cell r="BO836">
            <v>0</v>
          </cell>
          <cell r="BP836">
            <v>0</v>
          </cell>
          <cell r="BQ836">
            <v>0</v>
          </cell>
          <cell r="BR836">
            <v>3</v>
          </cell>
          <cell r="BS836">
            <v>0</v>
          </cell>
          <cell r="BT836">
            <v>0</v>
          </cell>
          <cell r="BU836">
            <v>6</v>
          </cell>
        </row>
        <row r="837">
          <cell r="A837">
            <v>35</v>
          </cell>
          <cell r="B837">
            <v>35</v>
          </cell>
          <cell r="D837">
            <v>0</v>
          </cell>
          <cell r="F837">
            <v>0</v>
          </cell>
          <cell r="G837">
            <v>1</v>
          </cell>
          <cell r="I837">
            <v>0</v>
          </cell>
          <cell r="J837">
            <v>0</v>
          </cell>
          <cell r="K837">
            <v>8</v>
          </cell>
          <cell r="L837">
            <v>8</v>
          </cell>
          <cell r="M837">
            <v>4</v>
          </cell>
          <cell r="O837">
            <v>0</v>
          </cell>
          <cell r="P837">
            <v>0</v>
          </cell>
          <cell r="Q837">
            <v>0</v>
          </cell>
          <cell r="R837">
            <v>0</v>
          </cell>
          <cell r="S837">
            <v>1</v>
          </cell>
          <cell r="T837">
            <v>3</v>
          </cell>
          <cell r="V837">
            <v>0</v>
          </cell>
          <cell r="W837">
            <v>100</v>
          </cell>
          <cell r="X837">
            <v>3</v>
          </cell>
          <cell r="Y837">
            <v>1</v>
          </cell>
          <cell r="AA837">
            <v>0</v>
          </cell>
          <cell r="AB837">
            <v>0</v>
          </cell>
          <cell r="AC837">
            <v>0</v>
          </cell>
          <cell r="AD837">
            <v>0</v>
          </cell>
          <cell r="AE837">
            <v>0</v>
          </cell>
          <cell r="AF837">
            <v>0</v>
          </cell>
          <cell r="AG837">
            <v>0</v>
          </cell>
          <cell r="AH837">
            <v>0</v>
          </cell>
          <cell r="AI837">
            <v>3</v>
          </cell>
          <cell r="AK837">
            <v>1</v>
          </cell>
          <cell r="AL837">
            <v>0</v>
          </cell>
          <cell r="AN837">
            <v>4323</v>
          </cell>
          <cell r="AO837">
            <v>1</v>
          </cell>
          <cell r="AQ837">
            <v>0</v>
          </cell>
          <cell r="AR837">
            <v>17</v>
          </cell>
          <cell r="AS837">
            <v>3</v>
          </cell>
          <cell r="AT837">
            <v>2</v>
          </cell>
          <cell r="AU837">
            <v>0</v>
          </cell>
          <cell r="AV837">
            <v>6</v>
          </cell>
          <cell r="AW837">
            <v>6</v>
          </cell>
          <cell r="AX837">
            <v>2</v>
          </cell>
          <cell r="AY837">
            <v>1</v>
          </cell>
          <cell r="AZ837">
            <v>5</v>
          </cell>
          <cell r="BA837">
            <v>5</v>
          </cell>
          <cell r="BB837">
            <v>4</v>
          </cell>
          <cell r="BC837">
            <v>1</v>
          </cell>
          <cell r="BD837">
            <v>1</v>
          </cell>
          <cell r="BE837">
            <v>4</v>
          </cell>
          <cell r="BF837">
            <v>4</v>
          </cell>
          <cell r="BG837">
            <v>4</v>
          </cell>
          <cell r="BH837">
            <v>1</v>
          </cell>
          <cell r="BI837">
            <v>0</v>
          </cell>
          <cell r="BJ837">
            <v>0</v>
          </cell>
          <cell r="BK837">
            <v>0</v>
          </cell>
          <cell r="BL837">
            <v>1</v>
          </cell>
          <cell r="BM837">
            <v>0</v>
          </cell>
          <cell r="BN837">
            <v>0</v>
          </cell>
          <cell r="BO837">
            <v>0</v>
          </cell>
          <cell r="BP837">
            <v>4</v>
          </cell>
          <cell r="BQ837">
            <v>0</v>
          </cell>
          <cell r="BR837">
            <v>0</v>
          </cell>
          <cell r="BS837">
            <v>6</v>
          </cell>
          <cell r="BT837">
            <v>0</v>
          </cell>
          <cell r="BU837">
            <v>0</v>
          </cell>
        </row>
        <row r="838">
          <cell r="A838">
            <v>29</v>
          </cell>
          <cell r="B838">
            <v>29</v>
          </cell>
          <cell r="D838">
            <v>1</v>
          </cell>
          <cell r="F838">
            <v>0</v>
          </cell>
          <cell r="G838">
            <v>1</v>
          </cell>
          <cell r="I838">
            <v>0</v>
          </cell>
          <cell r="J838">
            <v>1</v>
          </cell>
          <cell r="K838">
            <v>23</v>
          </cell>
          <cell r="L838">
            <v>23</v>
          </cell>
          <cell r="M838">
            <v>1</v>
          </cell>
          <cell r="O838">
            <v>1</v>
          </cell>
          <cell r="P838">
            <v>0</v>
          </cell>
          <cell r="Q838">
            <v>0</v>
          </cell>
          <cell r="R838">
            <v>0</v>
          </cell>
          <cell r="S838">
            <v>0</v>
          </cell>
          <cell r="T838">
            <v>4</v>
          </cell>
          <cell r="V838">
            <v>1</v>
          </cell>
          <cell r="W838">
            <v>45</v>
          </cell>
          <cell r="X838">
            <v>2</v>
          </cell>
          <cell r="Y838">
            <v>3</v>
          </cell>
          <cell r="AA838">
            <v>0</v>
          </cell>
          <cell r="AB838">
            <v>1</v>
          </cell>
          <cell r="AC838">
            <v>0</v>
          </cell>
          <cell r="AD838">
            <v>0</v>
          </cell>
          <cell r="AE838">
            <v>0</v>
          </cell>
          <cell r="AF838">
            <v>0</v>
          </cell>
          <cell r="AG838">
            <v>0</v>
          </cell>
          <cell r="AH838">
            <v>0</v>
          </cell>
          <cell r="AI838">
            <v>1</v>
          </cell>
          <cell r="AK838">
            <v>0</v>
          </cell>
          <cell r="AL838">
            <v>1</v>
          </cell>
          <cell r="AN838">
            <v>7336</v>
          </cell>
          <cell r="AO838">
            <v>1</v>
          </cell>
          <cell r="AQ838">
            <v>0</v>
          </cell>
          <cell r="AR838">
            <v>13</v>
          </cell>
          <cell r="AS838">
            <v>3</v>
          </cell>
          <cell r="AT838">
            <v>1</v>
          </cell>
          <cell r="AU838">
            <v>1</v>
          </cell>
          <cell r="AV838">
            <v>11</v>
          </cell>
          <cell r="AW838">
            <v>11</v>
          </cell>
          <cell r="AX838">
            <v>3</v>
          </cell>
          <cell r="AY838">
            <v>1</v>
          </cell>
          <cell r="AZ838">
            <v>11</v>
          </cell>
          <cell r="BA838">
            <v>11</v>
          </cell>
          <cell r="BB838">
            <v>8</v>
          </cell>
          <cell r="BC838">
            <v>3</v>
          </cell>
          <cell r="BD838">
            <v>3</v>
          </cell>
          <cell r="BE838">
            <v>10</v>
          </cell>
          <cell r="BF838">
            <v>10</v>
          </cell>
          <cell r="BG838">
            <v>30</v>
          </cell>
          <cell r="BH838">
            <v>0</v>
          </cell>
          <cell r="BI838">
            <v>1</v>
          </cell>
          <cell r="BJ838">
            <v>0</v>
          </cell>
          <cell r="BK838">
            <v>0</v>
          </cell>
          <cell r="BL838">
            <v>0</v>
          </cell>
          <cell r="BM838">
            <v>0</v>
          </cell>
          <cell r="BN838">
            <v>1</v>
          </cell>
          <cell r="BO838">
            <v>0</v>
          </cell>
          <cell r="BP838">
            <v>0</v>
          </cell>
          <cell r="BQ838">
            <v>0</v>
          </cell>
          <cell r="BR838">
            <v>10</v>
          </cell>
          <cell r="BS838">
            <v>0</v>
          </cell>
          <cell r="BT838">
            <v>0</v>
          </cell>
          <cell r="BU838">
            <v>11</v>
          </cell>
        </row>
        <row r="839">
          <cell r="A839">
            <v>40</v>
          </cell>
          <cell r="B839">
            <v>40</v>
          </cell>
          <cell r="D839">
            <v>0</v>
          </cell>
          <cell r="F839">
            <v>1</v>
          </cell>
          <cell r="G839">
            <v>0</v>
          </cell>
          <cell r="I839">
            <v>1</v>
          </cell>
          <cell r="J839">
            <v>0</v>
          </cell>
          <cell r="K839">
            <v>9</v>
          </cell>
          <cell r="L839">
            <v>9</v>
          </cell>
          <cell r="M839">
            <v>4</v>
          </cell>
          <cell r="O839">
            <v>0</v>
          </cell>
          <cell r="P839">
            <v>0</v>
          </cell>
          <cell r="Q839">
            <v>1</v>
          </cell>
          <cell r="R839">
            <v>0</v>
          </cell>
          <cell r="S839">
            <v>0</v>
          </cell>
          <cell r="T839">
            <v>2</v>
          </cell>
          <cell r="V839">
            <v>1</v>
          </cell>
          <cell r="W839">
            <v>88</v>
          </cell>
          <cell r="X839">
            <v>3</v>
          </cell>
          <cell r="Y839">
            <v>3</v>
          </cell>
          <cell r="AA839">
            <v>0</v>
          </cell>
          <cell r="AB839">
            <v>0</v>
          </cell>
          <cell r="AC839">
            <v>0</v>
          </cell>
          <cell r="AD839">
            <v>0</v>
          </cell>
          <cell r="AE839">
            <v>0</v>
          </cell>
          <cell r="AF839">
            <v>0</v>
          </cell>
          <cell r="AG839">
            <v>0</v>
          </cell>
          <cell r="AH839">
            <v>0</v>
          </cell>
          <cell r="AI839">
            <v>3</v>
          </cell>
          <cell r="AK839">
            <v>1</v>
          </cell>
          <cell r="AL839">
            <v>0</v>
          </cell>
          <cell r="AN839">
            <v>13499</v>
          </cell>
          <cell r="AO839">
            <v>9</v>
          </cell>
          <cell r="AQ839">
            <v>0</v>
          </cell>
          <cell r="AR839">
            <v>17</v>
          </cell>
          <cell r="AS839">
            <v>3</v>
          </cell>
          <cell r="AT839">
            <v>3</v>
          </cell>
          <cell r="AU839">
            <v>0</v>
          </cell>
          <cell r="AV839">
            <v>20</v>
          </cell>
          <cell r="AW839">
            <v>20</v>
          </cell>
          <cell r="AX839">
            <v>3</v>
          </cell>
          <cell r="AY839">
            <v>2</v>
          </cell>
          <cell r="AZ839">
            <v>18</v>
          </cell>
          <cell r="BA839">
            <v>18</v>
          </cell>
          <cell r="BB839">
            <v>7</v>
          </cell>
          <cell r="BC839">
            <v>2</v>
          </cell>
          <cell r="BD839">
            <v>2</v>
          </cell>
          <cell r="BE839">
            <v>13</v>
          </cell>
          <cell r="BF839">
            <v>13</v>
          </cell>
          <cell r="BG839">
            <v>39</v>
          </cell>
          <cell r="BH839">
            <v>0</v>
          </cell>
          <cell r="BI839">
            <v>0</v>
          </cell>
          <cell r="BJ839">
            <v>1</v>
          </cell>
          <cell r="BK839">
            <v>0</v>
          </cell>
          <cell r="BL839">
            <v>1</v>
          </cell>
          <cell r="BM839">
            <v>0</v>
          </cell>
          <cell r="BN839">
            <v>0</v>
          </cell>
          <cell r="BO839">
            <v>0</v>
          </cell>
          <cell r="BP839">
            <v>0</v>
          </cell>
          <cell r="BQ839">
            <v>13</v>
          </cell>
          <cell r="BR839">
            <v>0</v>
          </cell>
          <cell r="BS839">
            <v>0</v>
          </cell>
          <cell r="BT839">
            <v>20</v>
          </cell>
          <cell r="BU839">
            <v>0</v>
          </cell>
        </row>
        <row r="840">
          <cell r="A840">
            <v>42</v>
          </cell>
          <cell r="B840">
            <v>42</v>
          </cell>
          <cell r="D840">
            <v>1</v>
          </cell>
          <cell r="F840">
            <v>1</v>
          </cell>
          <cell r="G840">
            <v>0</v>
          </cell>
          <cell r="I840">
            <v>0</v>
          </cell>
          <cell r="J840">
            <v>1</v>
          </cell>
          <cell r="K840">
            <v>12</v>
          </cell>
          <cell r="L840">
            <v>12</v>
          </cell>
          <cell r="M840">
            <v>3</v>
          </cell>
          <cell r="O840">
            <v>1</v>
          </cell>
          <cell r="P840">
            <v>0</v>
          </cell>
          <cell r="Q840">
            <v>0</v>
          </cell>
          <cell r="R840">
            <v>0</v>
          </cell>
          <cell r="S840">
            <v>0</v>
          </cell>
          <cell r="T840">
            <v>3</v>
          </cell>
          <cell r="V840">
            <v>0</v>
          </cell>
          <cell r="W840">
            <v>44</v>
          </cell>
          <cell r="X840">
            <v>3</v>
          </cell>
          <cell r="Y840">
            <v>4</v>
          </cell>
          <cell r="AA840">
            <v>0</v>
          </cell>
          <cell r="AB840">
            <v>1</v>
          </cell>
          <cell r="AC840">
            <v>0</v>
          </cell>
          <cell r="AD840">
            <v>0</v>
          </cell>
          <cell r="AE840">
            <v>0</v>
          </cell>
          <cell r="AF840">
            <v>0</v>
          </cell>
          <cell r="AG840">
            <v>0</v>
          </cell>
          <cell r="AH840">
            <v>0</v>
          </cell>
          <cell r="AI840">
            <v>1</v>
          </cell>
          <cell r="AK840">
            <v>1</v>
          </cell>
          <cell r="AL840">
            <v>0</v>
          </cell>
          <cell r="AN840">
            <v>13758</v>
          </cell>
          <cell r="AO840">
            <v>0</v>
          </cell>
          <cell r="AQ840">
            <v>1</v>
          </cell>
          <cell r="AR840">
            <v>12</v>
          </cell>
          <cell r="AS840">
            <v>3</v>
          </cell>
          <cell r="AT840">
            <v>2</v>
          </cell>
          <cell r="AU840">
            <v>0</v>
          </cell>
          <cell r="AV840">
            <v>22</v>
          </cell>
          <cell r="AW840">
            <v>22</v>
          </cell>
          <cell r="AX840">
            <v>2</v>
          </cell>
          <cell r="AY840">
            <v>2</v>
          </cell>
          <cell r="AZ840">
            <v>21</v>
          </cell>
          <cell r="BA840">
            <v>21</v>
          </cell>
          <cell r="BB840">
            <v>9</v>
          </cell>
          <cell r="BC840">
            <v>13</v>
          </cell>
          <cell r="BD840">
            <v>13</v>
          </cell>
          <cell r="BE840">
            <v>14</v>
          </cell>
          <cell r="BF840">
            <v>14</v>
          </cell>
          <cell r="BG840">
            <v>56</v>
          </cell>
          <cell r="BH840">
            <v>0</v>
          </cell>
          <cell r="BI840">
            <v>0</v>
          </cell>
          <cell r="BJ840">
            <v>1</v>
          </cell>
          <cell r="BK840">
            <v>0</v>
          </cell>
          <cell r="BL840">
            <v>0</v>
          </cell>
          <cell r="BM840">
            <v>1</v>
          </cell>
          <cell r="BN840">
            <v>0</v>
          </cell>
          <cell r="BO840">
            <v>0</v>
          </cell>
          <cell r="BP840">
            <v>0</v>
          </cell>
          <cell r="BQ840">
            <v>0</v>
          </cell>
          <cell r="BR840">
            <v>14</v>
          </cell>
          <cell r="BS840">
            <v>0</v>
          </cell>
          <cell r="BT840">
            <v>0</v>
          </cell>
          <cell r="BU840">
            <v>22</v>
          </cell>
        </row>
        <row r="841">
          <cell r="A841">
            <v>42</v>
          </cell>
          <cell r="B841">
            <v>42</v>
          </cell>
          <cell r="D841">
            <v>0</v>
          </cell>
          <cell r="F841">
            <v>0</v>
          </cell>
          <cell r="G841">
            <v>1</v>
          </cell>
          <cell r="I841">
            <v>0</v>
          </cell>
          <cell r="J841">
            <v>1</v>
          </cell>
          <cell r="K841">
            <v>4</v>
          </cell>
          <cell r="L841">
            <v>4</v>
          </cell>
          <cell r="M841">
            <v>4</v>
          </cell>
          <cell r="O841">
            <v>0</v>
          </cell>
          <cell r="P841">
            <v>0</v>
          </cell>
          <cell r="Q841">
            <v>0</v>
          </cell>
          <cell r="R841">
            <v>1</v>
          </cell>
          <cell r="S841">
            <v>0</v>
          </cell>
          <cell r="T841">
            <v>2</v>
          </cell>
          <cell r="V841">
            <v>0</v>
          </cell>
          <cell r="W841">
            <v>45</v>
          </cell>
          <cell r="X841">
            <v>3</v>
          </cell>
          <cell r="Y841">
            <v>2</v>
          </cell>
          <cell r="AA841">
            <v>0</v>
          </cell>
          <cell r="AB841">
            <v>1</v>
          </cell>
          <cell r="AC841">
            <v>0</v>
          </cell>
          <cell r="AD841">
            <v>0</v>
          </cell>
          <cell r="AE841">
            <v>0</v>
          </cell>
          <cell r="AF841">
            <v>0</v>
          </cell>
          <cell r="AG841">
            <v>0</v>
          </cell>
          <cell r="AH841">
            <v>0</v>
          </cell>
          <cell r="AI841">
            <v>1</v>
          </cell>
          <cell r="AK841">
            <v>1</v>
          </cell>
          <cell r="AL841">
            <v>0</v>
          </cell>
          <cell r="AN841">
            <v>5155</v>
          </cell>
          <cell r="AO841">
            <v>7</v>
          </cell>
          <cell r="AQ841">
            <v>0</v>
          </cell>
          <cell r="AR841">
            <v>13</v>
          </cell>
          <cell r="AS841">
            <v>3</v>
          </cell>
          <cell r="AT841">
            <v>4</v>
          </cell>
          <cell r="AU841">
            <v>0</v>
          </cell>
          <cell r="AV841">
            <v>9</v>
          </cell>
          <cell r="AW841">
            <v>9</v>
          </cell>
          <cell r="AX841">
            <v>3</v>
          </cell>
          <cell r="AY841">
            <v>4</v>
          </cell>
          <cell r="AZ841">
            <v>6</v>
          </cell>
          <cell r="BA841">
            <v>6</v>
          </cell>
          <cell r="BB841">
            <v>4</v>
          </cell>
          <cell r="BC841">
            <v>1</v>
          </cell>
          <cell r="BD841">
            <v>1</v>
          </cell>
          <cell r="BE841">
            <v>5</v>
          </cell>
          <cell r="BF841">
            <v>5</v>
          </cell>
          <cell r="BG841">
            <v>10</v>
          </cell>
          <cell r="BH841">
            <v>1</v>
          </cell>
          <cell r="BI841">
            <v>0</v>
          </cell>
          <cell r="BJ841">
            <v>0</v>
          </cell>
          <cell r="BK841">
            <v>0</v>
          </cell>
          <cell r="BL841">
            <v>1</v>
          </cell>
          <cell r="BM841">
            <v>0</v>
          </cell>
          <cell r="BN841">
            <v>0</v>
          </cell>
          <cell r="BO841">
            <v>0</v>
          </cell>
          <cell r="BP841">
            <v>0</v>
          </cell>
          <cell r="BQ841">
            <v>0</v>
          </cell>
          <cell r="BR841">
            <v>5</v>
          </cell>
          <cell r="BS841">
            <v>0</v>
          </cell>
          <cell r="BT841">
            <v>0</v>
          </cell>
          <cell r="BU841">
            <v>9</v>
          </cell>
        </row>
        <row r="842">
          <cell r="A842">
            <v>35</v>
          </cell>
          <cell r="B842">
            <v>35</v>
          </cell>
          <cell r="D842">
            <v>0</v>
          </cell>
          <cell r="F842">
            <v>0</v>
          </cell>
          <cell r="G842">
            <v>1</v>
          </cell>
          <cell r="I842">
            <v>1</v>
          </cell>
          <cell r="J842">
            <v>0</v>
          </cell>
          <cell r="K842">
            <v>1</v>
          </cell>
          <cell r="L842">
            <v>1</v>
          </cell>
          <cell r="M842">
            <v>4</v>
          </cell>
          <cell r="O842">
            <v>0</v>
          </cell>
          <cell r="P842">
            <v>0</v>
          </cell>
          <cell r="Q842">
            <v>1</v>
          </cell>
          <cell r="R842">
            <v>0</v>
          </cell>
          <cell r="S842">
            <v>0</v>
          </cell>
          <cell r="T842">
            <v>4</v>
          </cell>
          <cell r="V842">
            <v>0</v>
          </cell>
          <cell r="W842">
            <v>58</v>
          </cell>
          <cell r="X842">
            <v>2</v>
          </cell>
          <cell r="Y842">
            <v>1</v>
          </cell>
          <cell r="AA842">
            <v>0</v>
          </cell>
          <cell r="AB842">
            <v>0</v>
          </cell>
          <cell r="AC842">
            <v>1</v>
          </cell>
          <cell r="AD842">
            <v>0</v>
          </cell>
          <cell r="AE842">
            <v>0</v>
          </cell>
          <cell r="AF842">
            <v>0</v>
          </cell>
          <cell r="AG842">
            <v>0</v>
          </cell>
          <cell r="AH842">
            <v>0</v>
          </cell>
          <cell r="AI842">
            <v>3</v>
          </cell>
          <cell r="AK842">
            <v>0</v>
          </cell>
          <cell r="AL842">
            <v>1</v>
          </cell>
          <cell r="AN842">
            <v>2258</v>
          </cell>
          <cell r="AO842">
            <v>6</v>
          </cell>
          <cell r="AQ842">
            <v>0</v>
          </cell>
          <cell r="AR842">
            <v>12</v>
          </cell>
          <cell r="AS842">
            <v>3</v>
          </cell>
          <cell r="AT842">
            <v>2</v>
          </cell>
          <cell r="AU842">
            <v>1</v>
          </cell>
          <cell r="AV842">
            <v>10</v>
          </cell>
          <cell r="AW842">
            <v>10</v>
          </cell>
          <cell r="AX842">
            <v>2</v>
          </cell>
          <cell r="AY842">
            <v>3</v>
          </cell>
          <cell r="AZ842">
            <v>8</v>
          </cell>
          <cell r="BA842">
            <v>8</v>
          </cell>
          <cell r="BB842">
            <v>0</v>
          </cell>
          <cell r="BC842">
            <v>1</v>
          </cell>
          <cell r="BD842">
            <v>1</v>
          </cell>
          <cell r="BE842">
            <v>7</v>
          </cell>
          <cell r="BF842">
            <v>7</v>
          </cell>
          <cell r="BG842">
            <v>7</v>
          </cell>
          <cell r="BH842">
            <v>0</v>
          </cell>
          <cell r="BI842">
            <v>1</v>
          </cell>
          <cell r="BJ842">
            <v>0</v>
          </cell>
          <cell r="BK842">
            <v>0</v>
          </cell>
          <cell r="BL842">
            <v>0</v>
          </cell>
          <cell r="BM842">
            <v>0</v>
          </cell>
          <cell r="BN842">
            <v>1</v>
          </cell>
          <cell r="BO842">
            <v>0</v>
          </cell>
          <cell r="BP842">
            <v>0</v>
          </cell>
          <cell r="BQ842">
            <v>7</v>
          </cell>
          <cell r="BR842">
            <v>0</v>
          </cell>
          <cell r="BS842">
            <v>0</v>
          </cell>
          <cell r="BT842">
            <v>10</v>
          </cell>
          <cell r="BU842">
            <v>0</v>
          </cell>
        </row>
        <row r="843">
          <cell r="A843">
            <v>24</v>
          </cell>
          <cell r="B843">
            <v>24</v>
          </cell>
          <cell r="D843">
            <v>0</v>
          </cell>
          <cell r="F843">
            <v>0</v>
          </cell>
          <cell r="G843">
            <v>1</v>
          </cell>
          <cell r="I843">
            <v>1</v>
          </cell>
          <cell r="J843">
            <v>0</v>
          </cell>
          <cell r="K843">
            <v>24</v>
          </cell>
          <cell r="L843">
            <v>24</v>
          </cell>
          <cell r="M843">
            <v>3</v>
          </cell>
          <cell r="O843">
            <v>0</v>
          </cell>
          <cell r="P843">
            <v>0</v>
          </cell>
          <cell r="Q843">
            <v>1</v>
          </cell>
          <cell r="R843">
            <v>0</v>
          </cell>
          <cell r="S843">
            <v>0</v>
          </cell>
          <cell r="T843">
            <v>4</v>
          </cell>
          <cell r="V843">
            <v>0</v>
          </cell>
          <cell r="W843">
            <v>49</v>
          </cell>
          <cell r="X843">
            <v>3</v>
          </cell>
          <cell r="Y843">
            <v>1</v>
          </cell>
          <cell r="AA843">
            <v>0</v>
          </cell>
          <cell r="AB843">
            <v>0</v>
          </cell>
          <cell r="AC843">
            <v>1</v>
          </cell>
          <cell r="AD843">
            <v>0</v>
          </cell>
          <cell r="AE843">
            <v>0</v>
          </cell>
          <cell r="AF843">
            <v>0</v>
          </cell>
          <cell r="AG843">
            <v>0</v>
          </cell>
          <cell r="AH843">
            <v>0</v>
          </cell>
          <cell r="AI843">
            <v>2</v>
          </cell>
          <cell r="AK843">
            <v>1</v>
          </cell>
          <cell r="AL843">
            <v>0</v>
          </cell>
          <cell r="AN843">
            <v>3597</v>
          </cell>
          <cell r="AO843">
            <v>8</v>
          </cell>
          <cell r="AQ843">
            <v>0</v>
          </cell>
          <cell r="AR843">
            <v>22</v>
          </cell>
          <cell r="AS843">
            <v>4</v>
          </cell>
          <cell r="AT843">
            <v>4</v>
          </cell>
          <cell r="AU843">
            <v>0</v>
          </cell>
          <cell r="AV843">
            <v>6</v>
          </cell>
          <cell r="AW843">
            <v>6</v>
          </cell>
          <cell r="AX843">
            <v>2</v>
          </cell>
          <cell r="AY843">
            <v>3</v>
          </cell>
          <cell r="AZ843">
            <v>4</v>
          </cell>
          <cell r="BA843">
            <v>4</v>
          </cell>
          <cell r="BB843">
            <v>3</v>
          </cell>
          <cell r="BC843">
            <v>1</v>
          </cell>
          <cell r="BD843">
            <v>1</v>
          </cell>
          <cell r="BE843">
            <v>2</v>
          </cell>
          <cell r="BF843">
            <v>2</v>
          </cell>
          <cell r="BG843">
            <v>2</v>
          </cell>
          <cell r="BH843">
            <v>1</v>
          </cell>
          <cell r="BI843">
            <v>0</v>
          </cell>
          <cell r="BJ843">
            <v>0</v>
          </cell>
          <cell r="BK843">
            <v>0</v>
          </cell>
          <cell r="BL843">
            <v>1</v>
          </cell>
          <cell r="BM843">
            <v>0</v>
          </cell>
          <cell r="BN843">
            <v>0</v>
          </cell>
          <cell r="BO843">
            <v>0</v>
          </cell>
          <cell r="BP843">
            <v>0</v>
          </cell>
          <cell r="BQ843">
            <v>2</v>
          </cell>
          <cell r="BR843">
            <v>0</v>
          </cell>
          <cell r="BS843">
            <v>0</v>
          </cell>
          <cell r="BT843">
            <v>6</v>
          </cell>
          <cell r="BU843">
            <v>0</v>
          </cell>
        </row>
        <row r="844">
          <cell r="A844">
            <v>28</v>
          </cell>
          <cell r="B844">
            <v>28</v>
          </cell>
          <cell r="D844">
            <v>1</v>
          </cell>
          <cell r="F844">
            <v>0</v>
          </cell>
          <cell r="G844">
            <v>1</v>
          </cell>
          <cell r="I844">
            <v>1</v>
          </cell>
          <cell r="J844">
            <v>0</v>
          </cell>
          <cell r="K844">
            <v>12</v>
          </cell>
          <cell r="L844">
            <v>12</v>
          </cell>
          <cell r="M844">
            <v>1</v>
          </cell>
          <cell r="O844">
            <v>1</v>
          </cell>
          <cell r="P844">
            <v>0</v>
          </cell>
          <cell r="Q844">
            <v>0</v>
          </cell>
          <cell r="R844">
            <v>0</v>
          </cell>
          <cell r="S844">
            <v>0</v>
          </cell>
          <cell r="T844">
            <v>3</v>
          </cell>
          <cell r="V844">
            <v>1</v>
          </cell>
          <cell r="W844">
            <v>79</v>
          </cell>
          <cell r="X844">
            <v>3</v>
          </cell>
          <cell r="Y844">
            <v>1</v>
          </cell>
          <cell r="AA844">
            <v>0</v>
          </cell>
          <cell r="AB844">
            <v>0</v>
          </cell>
          <cell r="AC844">
            <v>1</v>
          </cell>
          <cell r="AD844">
            <v>0</v>
          </cell>
          <cell r="AE844">
            <v>0</v>
          </cell>
          <cell r="AF844">
            <v>0</v>
          </cell>
          <cell r="AG844">
            <v>0</v>
          </cell>
          <cell r="AH844">
            <v>0</v>
          </cell>
          <cell r="AI844">
            <v>4</v>
          </cell>
          <cell r="AK844">
            <v>0</v>
          </cell>
          <cell r="AL844">
            <v>1</v>
          </cell>
          <cell r="AN844">
            <v>2515</v>
          </cell>
          <cell r="AO844">
            <v>1</v>
          </cell>
          <cell r="AQ844">
            <v>1</v>
          </cell>
          <cell r="AR844">
            <v>11</v>
          </cell>
          <cell r="AS844">
            <v>3</v>
          </cell>
          <cell r="AT844">
            <v>4</v>
          </cell>
          <cell r="AU844">
            <v>0</v>
          </cell>
          <cell r="AV844">
            <v>1</v>
          </cell>
          <cell r="AW844">
            <v>1</v>
          </cell>
          <cell r="AX844">
            <v>4</v>
          </cell>
          <cell r="AY844">
            <v>2</v>
          </cell>
          <cell r="AZ844">
            <v>1</v>
          </cell>
          <cell r="BA844">
            <v>1</v>
          </cell>
          <cell r="BB844">
            <v>1</v>
          </cell>
          <cell r="BC844">
            <v>0</v>
          </cell>
          <cell r="BD844">
            <v>0</v>
          </cell>
          <cell r="BE844">
            <v>0</v>
          </cell>
          <cell r="BF844">
            <v>0</v>
          </cell>
          <cell r="BG844">
            <v>0</v>
          </cell>
          <cell r="BH844">
            <v>0</v>
          </cell>
          <cell r="BI844">
            <v>1</v>
          </cell>
          <cell r="BJ844">
            <v>0</v>
          </cell>
          <cell r="BK844">
            <v>0</v>
          </cell>
          <cell r="BL844">
            <v>0</v>
          </cell>
          <cell r="BM844">
            <v>0</v>
          </cell>
          <cell r="BN844">
            <v>0</v>
          </cell>
          <cell r="BO844">
            <v>1</v>
          </cell>
          <cell r="BP844">
            <v>0</v>
          </cell>
          <cell r="BQ844">
            <v>0</v>
          </cell>
          <cell r="BR844">
            <v>0</v>
          </cell>
          <cell r="BS844">
            <v>0</v>
          </cell>
          <cell r="BT844">
            <v>1</v>
          </cell>
          <cell r="BU844">
            <v>0</v>
          </cell>
        </row>
        <row r="845">
          <cell r="A845">
            <v>26</v>
          </cell>
          <cell r="B845">
            <v>26</v>
          </cell>
          <cell r="D845">
            <v>0</v>
          </cell>
          <cell r="F845">
            <v>0</v>
          </cell>
          <cell r="G845">
            <v>1</v>
          </cell>
          <cell r="I845">
            <v>1</v>
          </cell>
          <cell r="J845">
            <v>0</v>
          </cell>
          <cell r="K845">
            <v>3</v>
          </cell>
          <cell r="L845">
            <v>3</v>
          </cell>
          <cell r="M845">
            <v>4</v>
          </cell>
          <cell r="O845">
            <v>0</v>
          </cell>
          <cell r="P845">
            <v>0</v>
          </cell>
          <cell r="Q845">
            <v>1</v>
          </cell>
          <cell r="R845">
            <v>0</v>
          </cell>
          <cell r="S845">
            <v>0</v>
          </cell>
          <cell r="T845">
            <v>1</v>
          </cell>
          <cell r="V845">
            <v>0</v>
          </cell>
          <cell r="W845">
            <v>82</v>
          </cell>
          <cell r="X845">
            <v>4</v>
          </cell>
          <cell r="Y845">
            <v>1</v>
          </cell>
          <cell r="AA845">
            <v>0</v>
          </cell>
          <cell r="AB845">
            <v>0</v>
          </cell>
          <cell r="AC845">
            <v>1</v>
          </cell>
          <cell r="AD845">
            <v>0</v>
          </cell>
          <cell r="AE845">
            <v>0</v>
          </cell>
          <cell r="AF845">
            <v>0</v>
          </cell>
          <cell r="AG845">
            <v>0</v>
          </cell>
          <cell r="AH845">
            <v>0</v>
          </cell>
          <cell r="AI845">
            <v>4</v>
          </cell>
          <cell r="AK845">
            <v>0</v>
          </cell>
          <cell r="AL845">
            <v>1</v>
          </cell>
          <cell r="AN845">
            <v>4420</v>
          </cell>
          <cell r="AO845">
            <v>1</v>
          </cell>
          <cell r="AQ845">
            <v>0</v>
          </cell>
          <cell r="AR845">
            <v>22</v>
          </cell>
          <cell r="AS845">
            <v>4</v>
          </cell>
          <cell r="AT845">
            <v>2</v>
          </cell>
          <cell r="AU845">
            <v>1</v>
          </cell>
          <cell r="AV845">
            <v>8</v>
          </cell>
          <cell r="AW845">
            <v>8</v>
          </cell>
          <cell r="AX845">
            <v>2</v>
          </cell>
          <cell r="AY845">
            <v>3</v>
          </cell>
          <cell r="AZ845">
            <v>8</v>
          </cell>
          <cell r="BA845">
            <v>8</v>
          </cell>
          <cell r="BB845">
            <v>7</v>
          </cell>
          <cell r="BC845">
            <v>0</v>
          </cell>
          <cell r="BD845">
            <v>0</v>
          </cell>
          <cell r="BE845">
            <v>7</v>
          </cell>
          <cell r="BF845">
            <v>7</v>
          </cell>
          <cell r="BG845">
            <v>7</v>
          </cell>
          <cell r="BH845">
            <v>0</v>
          </cell>
          <cell r="BI845">
            <v>1</v>
          </cell>
          <cell r="BJ845">
            <v>0</v>
          </cell>
          <cell r="BK845">
            <v>0</v>
          </cell>
          <cell r="BL845">
            <v>0</v>
          </cell>
          <cell r="BM845">
            <v>0</v>
          </cell>
          <cell r="BN845">
            <v>1</v>
          </cell>
          <cell r="BO845">
            <v>0</v>
          </cell>
          <cell r="BP845">
            <v>0</v>
          </cell>
          <cell r="BQ845">
            <v>7</v>
          </cell>
          <cell r="BR845">
            <v>0</v>
          </cell>
          <cell r="BS845">
            <v>0</v>
          </cell>
          <cell r="BT845">
            <v>8</v>
          </cell>
          <cell r="BU845">
            <v>0</v>
          </cell>
        </row>
        <row r="846">
          <cell r="A846">
            <v>30</v>
          </cell>
          <cell r="B846">
            <v>30</v>
          </cell>
          <cell r="D846">
            <v>0</v>
          </cell>
          <cell r="F846">
            <v>0</v>
          </cell>
          <cell r="G846">
            <v>1</v>
          </cell>
          <cell r="I846">
            <v>0</v>
          </cell>
          <cell r="J846">
            <v>1</v>
          </cell>
          <cell r="K846">
            <v>10</v>
          </cell>
          <cell r="L846">
            <v>10</v>
          </cell>
          <cell r="M846">
            <v>3</v>
          </cell>
          <cell r="O846">
            <v>0</v>
          </cell>
          <cell r="P846">
            <v>0</v>
          </cell>
          <cell r="Q846">
            <v>0</v>
          </cell>
          <cell r="R846">
            <v>1</v>
          </cell>
          <cell r="S846">
            <v>0</v>
          </cell>
          <cell r="T846">
            <v>3</v>
          </cell>
          <cell r="V846">
            <v>0</v>
          </cell>
          <cell r="W846">
            <v>72</v>
          </cell>
          <cell r="X846">
            <v>2</v>
          </cell>
          <cell r="Y846">
            <v>2</v>
          </cell>
          <cell r="AA846">
            <v>0</v>
          </cell>
          <cell r="AB846">
            <v>1</v>
          </cell>
          <cell r="AC846">
            <v>0</v>
          </cell>
          <cell r="AD846">
            <v>0</v>
          </cell>
          <cell r="AE846">
            <v>0</v>
          </cell>
          <cell r="AF846">
            <v>0</v>
          </cell>
          <cell r="AG846">
            <v>0</v>
          </cell>
          <cell r="AH846">
            <v>0</v>
          </cell>
          <cell r="AI846">
            <v>3</v>
          </cell>
          <cell r="AK846">
            <v>0</v>
          </cell>
          <cell r="AL846">
            <v>1</v>
          </cell>
          <cell r="AN846">
            <v>6578</v>
          </cell>
          <cell r="AO846">
            <v>1</v>
          </cell>
          <cell r="AQ846">
            <v>0</v>
          </cell>
          <cell r="AR846">
            <v>18</v>
          </cell>
          <cell r="AS846">
            <v>3</v>
          </cell>
          <cell r="AT846">
            <v>1</v>
          </cell>
          <cell r="AU846">
            <v>1</v>
          </cell>
          <cell r="AV846">
            <v>10</v>
          </cell>
          <cell r="AW846">
            <v>10</v>
          </cell>
          <cell r="AX846">
            <v>3</v>
          </cell>
          <cell r="AY846">
            <v>3</v>
          </cell>
          <cell r="AZ846">
            <v>10</v>
          </cell>
          <cell r="BA846">
            <v>10</v>
          </cell>
          <cell r="BB846">
            <v>3</v>
          </cell>
          <cell r="BC846">
            <v>1</v>
          </cell>
          <cell r="BD846">
            <v>1</v>
          </cell>
          <cell r="BE846">
            <v>4</v>
          </cell>
          <cell r="BF846">
            <v>4</v>
          </cell>
          <cell r="BG846">
            <v>8</v>
          </cell>
          <cell r="BH846">
            <v>0</v>
          </cell>
          <cell r="BI846">
            <v>1</v>
          </cell>
          <cell r="BJ846">
            <v>0</v>
          </cell>
          <cell r="BK846">
            <v>0</v>
          </cell>
          <cell r="BL846">
            <v>0</v>
          </cell>
          <cell r="BM846">
            <v>0</v>
          </cell>
          <cell r="BN846">
            <v>1</v>
          </cell>
          <cell r="BO846">
            <v>0</v>
          </cell>
          <cell r="BP846">
            <v>0</v>
          </cell>
          <cell r="BQ846">
            <v>0</v>
          </cell>
          <cell r="BR846">
            <v>4</v>
          </cell>
          <cell r="BS846">
            <v>0</v>
          </cell>
          <cell r="BT846">
            <v>0</v>
          </cell>
          <cell r="BU846">
            <v>10</v>
          </cell>
        </row>
        <row r="847">
          <cell r="A847">
            <v>40</v>
          </cell>
          <cell r="B847">
            <v>40</v>
          </cell>
          <cell r="D847">
            <v>0</v>
          </cell>
          <cell r="F847">
            <v>1</v>
          </cell>
          <cell r="G847">
            <v>0</v>
          </cell>
          <cell r="I847">
            <v>1</v>
          </cell>
          <cell r="J847">
            <v>0</v>
          </cell>
          <cell r="K847">
            <v>26</v>
          </cell>
          <cell r="L847">
            <v>26</v>
          </cell>
          <cell r="M847">
            <v>2</v>
          </cell>
          <cell r="O847">
            <v>0</v>
          </cell>
          <cell r="P847">
            <v>0</v>
          </cell>
          <cell r="Q847">
            <v>1</v>
          </cell>
          <cell r="R847">
            <v>0</v>
          </cell>
          <cell r="S847">
            <v>0</v>
          </cell>
          <cell r="T847">
            <v>3</v>
          </cell>
          <cell r="V847">
            <v>1</v>
          </cell>
          <cell r="W847">
            <v>92</v>
          </cell>
          <cell r="X847">
            <v>2</v>
          </cell>
          <cell r="Y847">
            <v>2</v>
          </cell>
          <cell r="AA847">
            <v>0</v>
          </cell>
          <cell r="AB847">
            <v>0</v>
          </cell>
          <cell r="AC847">
            <v>0</v>
          </cell>
          <cell r="AD847">
            <v>0</v>
          </cell>
          <cell r="AE847">
            <v>0</v>
          </cell>
          <cell r="AF847">
            <v>0</v>
          </cell>
          <cell r="AG847">
            <v>0</v>
          </cell>
          <cell r="AH847">
            <v>1</v>
          </cell>
          <cell r="AI847">
            <v>4</v>
          </cell>
          <cell r="AK847">
            <v>0</v>
          </cell>
          <cell r="AL847">
            <v>1</v>
          </cell>
          <cell r="AN847">
            <v>4422</v>
          </cell>
          <cell r="AO847">
            <v>3</v>
          </cell>
          <cell r="AQ847">
            <v>1</v>
          </cell>
          <cell r="AR847">
            <v>13</v>
          </cell>
          <cell r="AS847">
            <v>3</v>
          </cell>
          <cell r="AT847">
            <v>4</v>
          </cell>
          <cell r="AU847">
            <v>1</v>
          </cell>
          <cell r="AV847">
            <v>16</v>
          </cell>
          <cell r="AW847">
            <v>16</v>
          </cell>
          <cell r="AX847">
            <v>3</v>
          </cell>
          <cell r="AY847">
            <v>1</v>
          </cell>
          <cell r="AZ847">
            <v>1</v>
          </cell>
          <cell r="BA847">
            <v>1</v>
          </cell>
          <cell r="BB847">
            <v>1</v>
          </cell>
          <cell r="BC847">
            <v>0</v>
          </cell>
          <cell r="BD847">
            <v>0</v>
          </cell>
          <cell r="BE847">
            <v>0</v>
          </cell>
          <cell r="BF847">
            <v>0</v>
          </cell>
          <cell r="BG847">
            <v>0</v>
          </cell>
          <cell r="BH847">
            <v>0</v>
          </cell>
          <cell r="BI847">
            <v>0</v>
          </cell>
          <cell r="BJ847">
            <v>0</v>
          </cell>
          <cell r="BK847">
            <v>1</v>
          </cell>
          <cell r="BL847">
            <v>0</v>
          </cell>
          <cell r="BM847">
            <v>0</v>
          </cell>
          <cell r="BN847">
            <v>0</v>
          </cell>
          <cell r="BO847">
            <v>1</v>
          </cell>
          <cell r="BP847">
            <v>0</v>
          </cell>
          <cell r="BQ847">
            <v>0</v>
          </cell>
          <cell r="BR847">
            <v>0</v>
          </cell>
          <cell r="BS847">
            <v>0</v>
          </cell>
          <cell r="BT847">
            <v>16</v>
          </cell>
          <cell r="BU847">
            <v>0</v>
          </cell>
        </row>
        <row r="848">
          <cell r="A848">
            <v>35</v>
          </cell>
          <cell r="B848">
            <v>35</v>
          </cell>
          <cell r="D848">
            <v>0</v>
          </cell>
          <cell r="F848">
            <v>0</v>
          </cell>
          <cell r="G848">
            <v>1</v>
          </cell>
          <cell r="I848">
            <v>1</v>
          </cell>
          <cell r="J848">
            <v>0</v>
          </cell>
          <cell r="K848">
            <v>2</v>
          </cell>
          <cell r="L848">
            <v>2</v>
          </cell>
          <cell r="M848">
            <v>3</v>
          </cell>
          <cell r="O848">
            <v>1</v>
          </cell>
          <cell r="P848">
            <v>0</v>
          </cell>
          <cell r="Q848">
            <v>0</v>
          </cell>
          <cell r="R848">
            <v>0</v>
          </cell>
          <cell r="S848">
            <v>0</v>
          </cell>
          <cell r="T848">
            <v>3</v>
          </cell>
          <cell r="V848">
            <v>0</v>
          </cell>
          <cell r="W848">
            <v>44</v>
          </cell>
          <cell r="X848">
            <v>2</v>
          </cell>
          <cell r="Y848">
            <v>3</v>
          </cell>
          <cell r="AA848">
            <v>0</v>
          </cell>
          <cell r="AB848">
            <v>0</v>
          </cell>
          <cell r="AC848">
            <v>0</v>
          </cell>
          <cell r="AD848">
            <v>0</v>
          </cell>
          <cell r="AE848">
            <v>1</v>
          </cell>
          <cell r="AF848">
            <v>1</v>
          </cell>
          <cell r="AG848">
            <v>0</v>
          </cell>
          <cell r="AH848">
            <v>0</v>
          </cell>
          <cell r="AI848">
            <v>2</v>
          </cell>
          <cell r="AK848">
            <v>0</v>
          </cell>
          <cell r="AL848">
            <v>0</v>
          </cell>
          <cell r="AN848">
            <v>10274</v>
          </cell>
          <cell r="AO848">
            <v>2</v>
          </cell>
          <cell r="AQ848">
            <v>0</v>
          </cell>
          <cell r="AR848">
            <v>18</v>
          </cell>
          <cell r="AS848">
            <v>3</v>
          </cell>
          <cell r="AT848">
            <v>2</v>
          </cell>
          <cell r="AU848">
            <v>1</v>
          </cell>
          <cell r="AV848">
            <v>15</v>
          </cell>
          <cell r="AW848">
            <v>15</v>
          </cell>
          <cell r="AX848">
            <v>2</v>
          </cell>
          <cell r="AY848">
            <v>4</v>
          </cell>
          <cell r="AZ848">
            <v>7</v>
          </cell>
          <cell r="BA848">
            <v>7</v>
          </cell>
          <cell r="BB848">
            <v>7</v>
          </cell>
          <cell r="BC848">
            <v>6</v>
          </cell>
          <cell r="BD848">
            <v>6</v>
          </cell>
          <cell r="BE848">
            <v>4</v>
          </cell>
          <cell r="BF848">
            <v>4</v>
          </cell>
          <cell r="BG848">
            <v>12</v>
          </cell>
          <cell r="BH848">
            <v>1</v>
          </cell>
          <cell r="BI848">
            <v>0</v>
          </cell>
          <cell r="BJ848">
            <v>0</v>
          </cell>
          <cell r="BK848">
            <v>0</v>
          </cell>
          <cell r="BL848">
            <v>1</v>
          </cell>
          <cell r="BM848">
            <v>0</v>
          </cell>
          <cell r="BN848">
            <v>0</v>
          </cell>
          <cell r="BO848">
            <v>0</v>
          </cell>
          <cell r="BP848">
            <v>0</v>
          </cell>
          <cell r="BQ848">
            <v>4</v>
          </cell>
          <cell r="BR848">
            <v>0</v>
          </cell>
          <cell r="BS848">
            <v>0</v>
          </cell>
          <cell r="BT848">
            <v>15</v>
          </cell>
          <cell r="BU848">
            <v>0</v>
          </cell>
        </row>
        <row r="849">
          <cell r="A849">
            <v>34</v>
          </cell>
          <cell r="B849">
            <v>34</v>
          </cell>
          <cell r="D849">
            <v>0</v>
          </cell>
          <cell r="F849">
            <v>1</v>
          </cell>
          <cell r="G849">
            <v>0</v>
          </cell>
          <cell r="I849">
            <v>1</v>
          </cell>
          <cell r="J849">
            <v>0</v>
          </cell>
          <cell r="K849">
            <v>1</v>
          </cell>
          <cell r="L849">
            <v>1</v>
          </cell>
          <cell r="M849">
            <v>3</v>
          </cell>
          <cell r="O849">
            <v>0</v>
          </cell>
          <cell r="P849">
            <v>0</v>
          </cell>
          <cell r="Q849">
            <v>1</v>
          </cell>
          <cell r="R849">
            <v>0</v>
          </cell>
          <cell r="S849">
            <v>0</v>
          </cell>
          <cell r="T849">
            <v>4</v>
          </cell>
          <cell r="V849">
            <v>0</v>
          </cell>
          <cell r="W849">
            <v>97</v>
          </cell>
          <cell r="X849">
            <v>2</v>
          </cell>
          <cell r="Y849">
            <v>2</v>
          </cell>
          <cell r="AA849">
            <v>1</v>
          </cell>
          <cell r="AB849">
            <v>0</v>
          </cell>
          <cell r="AC849">
            <v>0</v>
          </cell>
          <cell r="AD849">
            <v>0</v>
          </cell>
          <cell r="AE849">
            <v>0</v>
          </cell>
          <cell r="AF849">
            <v>0</v>
          </cell>
          <cell r="AG849">
            <v>0</v>
          </cell>
          <cell r="AH849">
            <v>0</v>
          </cell>
          <cell r="AI849">
            <v>1</v>
          </cell>
          <cell r="AK849">
            <v>1</v>
          </cell>
          <cell r="AL849">
            <v>0</v>
          </cell>
          <cell r="AN849">
            <v>5343</v>
          </cell>
          <cell r="AO849">
            <v>0</v>
          </cell>
          <cell r="AQ849">
            <v>0</v>
          </cell>
          <cell r="AR849">
            <v>20</v>
          </cell>
          <cell r="AS849">
            <v>4</v>
          </cell>
          <cell r="AT849">
            <v>3</v>
          </cell>
          <cell r="AU849">
            <v>0</v>
          </cell>
          <cell r="AV849">
            <v>14</v>
          </cell>
          <cell r="AW849">
            <v>14</v>
          </cell>
          <cell r="AX849">
            <v>3</v>
          </cell>
          <cell r="AY849">
            <v>3</v>
          </cell>
          <cell r="AZ849">
            <v>13</v>
          </cell>
          <cell r="BA849">
            <v>13</v>
          </cell>
          <cell r="BB849">
            <v>9</v>
          </cell>
          <cell r="BC849">
            <v>4</v>
          </cell>
          <cell r="BD849">
            <v>4</v>
          </cell>
          <cell r="BE849">
            <v>9</v>
          </cell>
          <cell r="BF849">
            <v>9</v>
          </cell>
          <cell r="BG849">
            <v>18</v>
          </cell>
          <cell r="BH849">
            <v>0</v>
          </cell>
          <cell r="BI849">
            <v>0</v>
          </cell>
          <cell r="BJ849">
            <v>1</v>
          </cell>
          <cell r="BK849">
            <v>0</v>
          </cell>
          <cell r="BL849">
            <v>1</v>
          </cell>
          <cell r="BM849">
            <v>0</v>
          </cell>
          <cell r="BN849">
            <v>0</v>
          </cell>
          <cell r="BO849">
            <v>0</v>
          </cell>
          <cell r="BP849">
            <v>0</v>
          </cell>
          <cell r="BQ849">
            <v>9</v>
          </cell>
          <cell r="BR849">
            <v>0</v>
          </cell>
          <cell r="BS849">
            <v>0</v>
          </cell>
          <cell r="BT849">
            <v>14</v>
          </cell>
          <cell r="BU849">
            <v>0</v>
          </cell>
        </row>
        <row r="850">
          <cell r="A850">
            <v>35</v>
          </cell>
          <cell r="B850">
            <v>35</v>
          </cell>
          <cell r="D850">
            <v>0</v>
          </cell>
          <cell r="F850">
            <v>1</v>
          </cell>
          <cell r="G850">
            <v>0</v>
          </cell>
          <cell r="I850">
            <v>1</v>
          </cell>
          <cell r="J850">
            <v>0</v>
          </cell>
          <cell r="K850">
            <v>4</v>
          </cell>
          <cell r="L850">
            <v>4</v>
          </cell>
          <cell r="M850">
            <v>4</v>
          </cell>
          <cell r="O850">
            <v>0</v>
          </cell>
          <cell r="P850">
            <v>1</v>
          </cell>
          <cell r="Q850">
            <v>0</v>
          </cell>
          <cell r="R850">
            <v>0</v>
          </cell>
          <cell r="S850">
            <v>0</v>
          </cell>
          <cell r="T850">
            <v>4</v>
          </cell>
          <cell r="V850">
            <v>0</v>
          </cell>
          <cell r="W850">
            <v>47</v>
          </cell>
          <cell r="X850">
            <v>2</v>
          </cell>
          <cell r="Y850">
            <v>1</v>
          </cell>
          <cell r="AA850">
            <v>0</v>
          </cell>
          <cell r="AB850">
            <v>0</v>
          </cell>
          <cell r="AC850">
            <v>1</v>
          </cell>
          <cell r="AD850">
            <v>0</v>
          </cell>
          <cell r="AE850">
            <v>0</v>
          </cell>
          <cell r="AF850">
            <v>0</v>
          </cell>
          <cell r="AG850">
            <v>0</v>
          </cell>
          <cell r="AH850">
            <v>0</v>
          </cell>
          <cell r="AI850">
            <v>4</v>
          </cell>
          <cell r="AK850">
            <v>0</v>
          </cell>
          <cell r="AL850">
            <v>1</v>
          </cell>
          <cell r="AN850">
            <v>2376</v>
          </cell>
          <cell r="AO850">
            <v>1</v>
          </cell>
          <cell r="AQ850">
            <v>0</v>
          </cell>
          <cell r="AR850">
            <v>13</v>
          </cell>
          <cell r="AS850">
            <v>3</v>
          </cell>
          <cell r="AT850">
            <v>2</v>
          </cell>
          <cell r="AU850">
            <v>1</v>
          </cell>
          <cell r="AV850">
            <v>2</v>
          </cell>
          <cell r="AW850">
            <v>2</v>
          </cell>
          <cell r="AX850">
            <v>2</v>
          </cell>
          <cell r="AY850">
            <v>4</v>
          </cell>
          <cell r="AZ850">
            <v>2</v>
          </cell>
          <cell r="BA850">
            <v>2</v>
          </cell>
          <cell r="BB850">
            <v>2</v>
          </cell>
          <cell r="BC850">
            <v>2</v>
          </cell>
          <cell r="BD850">
            <v>2</v>
          </cell>
          <cell r="BE850">
            <v>2</v>
          </cell>
          <cell r="BF850">
            <v>2</v>
          </cell>
          <cell r="BG850">
            <v>2</v>
          </cell>
          <cell r="BH850">
            <v>0</v>
          </cell>
          <cell r="BI850">
            <v>0</v>
          </cell>
          <cell r="BJ850">
            <v>0</v>
          </cell>
          <cell r="BK850">
            <v>1</v>
          </cell>
          <cell r="BL850">
            <v>0</v>
          </cell>
          <cell r="BM850">
            <v>0</v>
          </cell>
          <cell r="BN850">
            <v>1</v>
          </cell>
          <cell r="BO850">
            <v>0</v>
          </cell>
          <cell r="BP850">
            <v>0</v>
          </cell>
          <cell r="BQ850">
            <v>2</v>
          </cell>
          <cell r="BR850">
            <v>0</v>
          </cell>
          <cell r="BS850">
            <v>0</v>
          </cell>
          <cell r="BT850">
            <v>2</v>
          </cell>
          <cell r="BU850">
            <v>0</v>
          </cell>
        </row>
        <row r="851">
          <cell r="A851">
            <v>43</v>
          </cell>
          <cell r="B851">
            <v>43</v>
          </cell>
          <cell r="D851">
            <v>1</v>
          </cell>
          <cell r="F851">
            <v>0</v>
          </cell>
          <cell r="G851">
            <v>1</v>
          </cell>
          <cell r="I851">
            <v>0</v>
          </cell>
          <cell r="J851">
            <v>1</v>
          </cell>
          <cell r="K851">
            <v>9</v>
          </cell>
          <cell r="L851">
            <v>9</v>
          </cell>
          <cell r="M851">
            <v>3</v>
          </cell>
          <cell r="O851">
            <v>0</v>
          </cell>
          <cell r="P851">
            <v>0</v>
          </cell>
          <cell r="Q851">
            <v>0</v>
          </cell>
          <cell r="R851">
            <v>1</v>
          </cell>
          <cell r="S851">
            <v>0</v>
          </cell>
          <cell r="T851">
            <v>1</v>
          </cell>
          <cell r="V851">
            <v>1</v>
          </cell>
          <cell r="W851">
            <v>85</v>
          </cell>
          <cell r="X851">
            <v>1</v>
          </cell>
          <cell r="Y851">
            <v>2</v>
          </cell>
          <cell r="AA851">
            <v>0</v>
          </cell>
          <cell r="AB851">
            <v>1</v>
          </cell>
          <cell r="AC851">
            <v>0</v>
          </cell>
          <cell r="AD851">
            <v>0</v>
          </cell>
          <cell r="AE851">
            <v>0</v>
          </cell>
          <cell r="AF851">
            <v>0</v>
          </cell>
          <cell r="AG851">
            <v>0</v>
          </cell>
          <cell r="AH851">
            <v>0</v>
          </cell>
          <cell r="AI851">
            <v>3</v>
          </cell>
          <cell r="AK851">
            <v>1</v>
          </cell>
          <cell r="AL851">
            <v>0</v>
          </cell>
          <cell r="AN851">
            <v>5346</v>
          </cell>
          <cell r="AO851">
            <v>8</v>
          </cell>
          <cell r="AQ851">
            <v>0</v>
          </cell>
          <cell r="AR851">
            <v>13</v>
          </cell>
          <cell r="AS851">
            <v>3</v>
          </cell>
          <cell r="AT851">
            <v>2</v>
          </cell>
          <cell r="AU851">
            <v>0</v>
          </cell>
          <cell r="AV851">
            <v>7</v>
          </cell>
          <cell r="AW851">
            <v>7</v>
          </cell>
          <cell r="AX851">
            <v>2</v>
          </cell>
          <cell r="AY851">
            <v>2</v>
          </cell>
          <cell r="AZ851">
            <v>4</v>
          </cell>
          <cell r="BA851">
            <v>4</v>
          </cell>
          <cell r="BB851">
            <v>3</v>
          </cell>
          <cell r="BC851">
            <v>1</v>
          </cell>
          <cell r="BD851">
            <v>1</v>
          </cell>
          <cell r="BE851">
            <v>3</v>
          </cell>
          <cell r="BF851">
            <v>3</v>
          </cell>
          <cell r="BG851">
            <v>6</v>
          </cell>
          <cell r="BH851">
            <v>1</v>
          </cell>
          <cell r="BI851">
            <v>0</v>
          </cell>
          <cell r="BJ851">
            <v>0</v>
          </cell>
          <cell r="BK851">
            <v>0</v>
          </cell>
          <cell r="BL851">
            <v>1</v>
          </cell>
          <cell r="BM851">
            <v>0</v>
          </cell>
          <cell r="BN851">
            <v>0</v>
          </cell>
          <cell r="BO851">
            <v>0</v>
          </cell>
          <cell r="BP851">
            <v>0</v>
          </cell>
          <cell r="BQ851">
            <v>0</v>
          </cell>
          <cell r="BR851">
            <v>3</v>
          </cell>
          <cell r="BS851">
            <v>0</v>
          </cell>
          <cell r="BT851">
            <v>0</v>
          </cell>
          <cell r="BU851">
            <v>7</v>
          </cell>
        </row>
        <row r="852">
          <cell r="A852">
            <v>32</v>
          </cell>
          <cell r="B852">
            <v>32</v>
          </cell>
          <cell r="D852">
            <v>0</v>
          </cell>
          <cell r="F852">
            <v>0</v>
          </cell>
          <cell r="G852">
            <v>0</v>
          </cell>
          <cell r="I852">
            <v>0</v>
          </cell>
          <cell r="J852">
            <v>1</v>
          </cell>
          <cell r="K852">
            <v>2</v>
          </cell>
          <cell r="L852">
            <v>2</v>
          </cell>
          <cell r="M852">
            <v>1</v>
          </cell>
          <cell r="O852">
            <v>1</v>
          </cell>
          <cell r="P852">
            <v>0</v>
          </cell>
          <cell r="Q852">
            <v>0</v>
          </cell>
          <cell r="R852">
            <v>0</v>
          </cell>
          <cell r="S852">
            <v>0</v>
          </cell>
          <cell r="T852">
            <v>3</v>
          </cell>
          <cell r="V852">
            <v>1</v>
          </cell>
          <cell r="W852">
            <v>76</v>
          </cell>
          <cell r="X852">
            <v>3</v>
          </cell>
          <cell r="Y852">
            <v>1</v>
          </cell>
          <cell r="AA852">
            <v>0</v>
          </cell>
          <cell r="AB852">
            <v>0</v>
          </cell>
          <cell r="AC852">
            <v>0</v>
          </cell>
          <cell r="AD852">
            <v>0</v>
          </cell>
          <cell r="AE852">
            <v>0</v>
          </cell>
          <cell r="AF852">
            <v>0</v>
          </cell>
          <cell r="AG852">
            <v>1</v>
          </cell>
          <cell r="AH852">
            <v>0</v>
          </cell>
          <cell r="AI852">
            <v>1</v>
          </cell>
          <cell r="AK852">
            <v>0</v>
          </cell>
          <cell r="AL852">
            <v>0</v>
          </cell>
          <cell r="AN852">
            <v>2827</v>
          </cell>
          <cell r="AO852">
            <v>1</v>
          </cell>
          <cell r="AQ852">
            <v>0</v>
          </cell>
          <cell r="AR852">
            <v>12</v>
          </cell>
          <cell r="AS852">
            <v>3</v>
          </cell>
          <cell r="AT852">
            <v>3</v>
          </cell>
          <cell r="AU852">
            <v>3</v>
          </cell>
          <cell r="AV852">
            <v>1</v>
          </cell>
          <cell r="AW852">
            <v>1</v>
          </cell>
          <cell r="AX852">
            <v>3</v>
          </cell>
          <cell r="AY852">
            <v>3</v>
          </cell>
          <cell r="AZ852">
            <v>1</v>
          </cell>
          <cell r="BA852">
            <v>1</v>
          </cell>
          <cell r="BB852">
            <v>0</v>
          </cell>
          <cell r="BC852">
            <v>0</v>
          </cell>
          <cell r="BD852">
            <v>0</v>
          </cell>
          <cell r="BE852">
            <v>0</v>
          </cell>
          <cell r="BF852">
            <v>0</v>
          </cell>
          <cell r="BG852">
            <v>0</v>
          </cell>
          <cell r="BH852">
            <v>1</v>
          </cell>
          <cell r="BI852">
            <v>0</v>
          </cell>
          <cell r="BJ852">
            <v>0</v>
          </cell>
          <cell r="BK852">
            <v>0</v>
          </cell>
          <cell r="BL852">
            <v>1</v>
          </cell>
          <cell r="BM852">
            <v>0</v>
          </cell>
          <cell r="BN852">
            <v>0</v>
          </cell>
          <cell r="BO852">
            <v>0</v>
          </cell>
          <cell r="BP852">
            <v>0</v>
          </cell>
          <cell r="BQ852">
            <v>0</v>
          </cell>
          <cell r="BR852">
            <v>0</v>
          </cell>
          <cell r="BS852">
            <v>0</v>
          </cell>
          <cell r="BT852">
            <v>0</v>
          </cell>
          <cell r="BU852">
            <v>1</v>
          </cell>
        </row>
        <row r="853">
          <cell r="A853">
            <v>56</v>
          </cell>
          <cell r="B853">
            <v>56</v>
          </cell>
          <cell r="D853">
            <v>0</v>
          </cell>
          <cell r="F853">
            <v>0</v>
          </cell>
          <cell r="G853">
            <v>1</v>
          </cell>
          <cell r="I853">
            <v>1</v>
          </cell>
          <cell r="J853">
            <v>0</v>
          </cell>
          <cell r="K853">
            <v>4</v>
          </cell>
          <cell r="L853">
            <v>4</v>
          </cell>
          <cell r="M853">
            <v>4</v>
          </cell>
          <cell r="O853">
            <v>0</v>
          </cell>
          <cell r="P853">
            <v>0</v>
          </cell>
          <cell r="Q853">
            <v>0</v>
          </cell>
          <cell r="R853">
            <v>0</v>
          </cell>
          <cell r="S853">
            <v>1</v>
          </cell>
          <cell r="T853">
            <v>4</v>
          </cell>
          <cell r="V853">
            <v>1</v>
          </cell>
          <cell r="W853">
            <v>92</v>
          </cell>
          <cell r="X853">
            <v>3</v>
          </cell>
          <cell r="Y853">
            <v>5</v>
          </cell>
          <cell r="AA853">
            <v>0</v>
          </cell>
          <cell r="AB853">
            <v>0</v>
          </cell>
          <cell r="AC853">
            <v>0</v>
          </cell>
          <cell r="AD853">
            <v>1</v>
          </cell>
          <cell r="AE853">
            <v>0</v>
          </cell>
          <cell r="AF853">
            <v>0</v>
          </cell>
          <cell r="AG853">
            <v>0</v>
          </cell>
          <cell r="AH853">
            <v>0</v>
          </cell>
          <cell r="AI853">
            <v>1</v>
          </cell>
          <cell r="AK853">
            <v>0</v>
          </cell>
          <cell r="AL853">
            <v>0</v>
          </cell>
          <cell r="AN853">
            <v>19626.310000000001</v>
          </cell>
          <cell r="AO853">
            <v>4</v>
          </cell>
          <cell r="AQ853">
            <v>0</v>
          </cell>
          <cell r="AR853">
            <v>13</v>
          </cell>
          <cell r="AS853">
            <v>3</v>
          </cell>
          <cell r="AT853">
            <v>4</v>
          </cell>
          <cell r="AU853">
            <v>1</v>
          </cell>
          <cell r="AV853">
            <v>28</v>
          </cell>
          <cell r="AW853">
            <v>28</v>
          </cell>
          <cell r="AX853">
            <v>2</v>
          </cell>
          <cell r="AY853">
            <v>3</v>
          </cell>
          <cell r="AZ853">
            <v>5</v>
          </cell>
          <cell r="BA853">
            <v>5</v>
          </cell>
          <cell r="BB853">
            <v>2</v>
          </cell>
          <cell r="BC853">
            <v>4</v>
          </cell>
          <cell r="BD853">
            <v>4</v>
          </cell>
          <cell r="BE853">
            <v>2</v>
          </cell>
          <cell r="BF853">
            <v>2</v>
          </cell>
          <cell r="BG853">
            <v>10</v>
          </cell>
          <cell r="BH853">
            <v>1</v>
          </cell>
          <cell r="BI853">
            <v>0</v>
          </cell>
          <cell r="BJ853">
            <v>0</v>
          </cell>
          <cell r="BK853">
            <v>0</v>
          </cell>
          <cell r="BL853">
            <v>1</v>
          </cell>
          <cell r="BM853">
            <v>0</v>
          </cell>
          <cell r="BN853">
            <v>0</v>
          </cell>
          <cell r="BO853">
            <v>0</v>
          </cell>
          <cell r="BP853">
            <v>0</v>
          </cell>
          <cell r="BQ853">
            <v>2</v>
          </cell>
          <cell r="BR853">
            <v>0</v>
          </cell>
          <cell r="BS853">
            <v>0</v>
          </cell>
          <cell r="BT853">
            <v>28</v>
          </cell>
          <cell r="BU853">
            <v>0</v>
          </cell>
        </row>
        <row r="854">
          <cell r="A854">
            <v>29</v>
          </cell>
          <cell r="B854">
            <v>29</v>
          </cell>
          <cell r="D854">
            <v>0</v>
          </cell>
          <cell r="F854">
            <v>0</v>
          </cell>
          <cell r="G854">
            <v>1</v>
          </cell>
          <cell r="I854">
            <v>1</v>
          </cell>
          <cell r="J854">
            <v>0</v>
          </cell>
          <cell r="K854">
            <v>6</v>
          </cell>
          <cell r="L854">
            <v>6</v>
          </cell>
          <cell r="M854">
            <v>1</v>
          </cell>
          <cell r="O854">
            <v>0</v>
          </cell>
          <cell r="P854">
            <v>0</v>
          </cell>
          <cell r="Q854">
            <v>1</v>
          </cell>
          <cell r="R854">
            <v>0</v>
          </cell>
          <cell r="S854">
            <v>0</v>
          </cell>
          <cell r="T854">
            <v>2</v>
          </cell>
          <cell r="V854">
            <v>1</v>
          </cell>
          <cell r="W854">
            <v>54</v>
          </cell>
          <cell r="X854">
            <v>3</v>
          </cell>
          <cell r="Y854">
            <v>1</v>
          </cell>
          <cell r="AA854">
            <v>0</v>
          </cell>
          <cell r="AB854">
            <v>0</v>
          </cell>
          <cell r="AC854">
            <v>1</v>
          </cell>
          <cell r="AD854">
            <v>0</v>
          </cell>
          <cell r="AE854">
            <v>0</v>
          </cell>
          <cell r="AF854">
            <v>0</v>
          </cell>
          <cell r="AG854">
            <v>0</v>
          </cell>
          <cell r="AH854">
            <v>0</v>
          </cell>
          <cell r="AI854">
            <v>4</v>
          </cell>
          <cell r="AK854">
            <v>0</v>
          </cell>
          <cell r="AL854">
            <v>1</v>
          </cell>
          <cell r="AN854">
            <v>3131</v>
          </cell>
          <cell r="AO854">
            <v>1</v>
          </cell>
          <cell r="AQ854">
            <v>0</v>
          </cell>
          <cell r="AR854">
            <v>13</v>
          </cell>
          <cell r="AS854">
            <v>3</v>
          </cell>
          <cell r="AT854">
            <v>1</v>
          </cell>
          <cell r="AU854">
            <v>1</v>
          </cell>
          <cell r="AV854">
            <v>10</v>
          </cell>
          <cell r="AW854">
            <v>10</v>
          </cell>
          <cell r="AX854">
            <v>5</v>
          </cell>
          <cell r="AY854">
            <v>3</v>
          </cell>
          <cell r="AZ854">
            <v>10</v>
          </cell>
          <cell r="BA854">
            <v>10</v>
          </cell>
          <cell r="BB854">
            <v>8</v>
          </cell>
          <cell r="BC854">
            <v>0</v>
          </cell>
          <cell r="BD854">
            <v>0</v>
          </cell>
          <cell r="BE854">
            <v>8</v>
          </cell>
          <cell r="BF854">
            <v>8</v>
          </cell>
          <cell r="BG854">
            <v>8</v>
          </cell>
          <cell r="BH854">
            <v>0</v>
          </cell>
          <cell r="BI854">
            <v>1</v>
          </cell>
          <cell r="BJ854">
            <v>0</v>
          </cell>
          <cell r="BK854">
            <v>0</v>
          </cell>
          <cell r="BL854">
            <v>0</v>
          </cell>
          <cell r="BM854">
            <v>0</v>
          </cell>
          <cell r="BN854">
            <v>1</v>
          </cell>
          <cell r="BO854">
            <v>0</v>
          </cell>
          <cell r="BP854">
            <v>0</v>
          </cell>
          <cell r="BQ854">
            <v>8</v>
          </cell>
          <cell r="BR854">
            <v>0</v>
          </cell>
          <cell r="BS854">
            <v>0</v>
          </cell>
          <cell r="BT854">
            <v>10</v>
          </cell>
          <cell r="BU854">
            <v>0</v>
          </cell>
        </row>
        <row r="855">
          <cell r="A855">
            <v>19</v>
          </cell>
          <cell r="B855">
            <v>19</v>
          </cell>
          <cell r="D855">
            <v>0</v>
          </cell>
          <cell r="F855">
            <v>0</v>
          </cell>
          <cell r="G855">
            <v>1</v>
          </cell>
          <cell r="I855">
            <v>1</v>
          </cell>
          <cell r="J855">
            <v>0</v>
          </cell>
          <cell r="K855">
            <v>9</v>
          </cell>
          <cell r="L855">
            <v>9</v>
          </cell>
          <cell r="M855">
            <v>2</v>
          </cell>
          <cell r="O855">
            <v>1</v>
          </cell>
          <cell r="P855">
            <v>0</v>
          </cell>
          <cell r="Q855">
            <v>0</v>
          </cell>
          <cell r="R855">
            <v>0</v>
          </cell>
          <cell r="S855">
            <v>0</v>
          </cell>
          <cell r="T855">
            <v>3</v>
          </cell>
          <cell r="V855">
            <v>0</v>
          </cell>
          <cell r="W855">
            <v>54</v>
          </cell>
          <cell r="X855">
            <v>3</v>
          </cell>
          <cell r="Y855">
            <v>1</v>
          </cell>
          <cell r="AA855">
            <v>0</v>
          </cell>
          <cell r="AB855">
            <v>0</v>
          </cell>
          <cell r="AC855">
            <v>0</v>
          </cell>
          <cell r="AD855">
            <v>0</v>
          </cell>
          <cell r="AE855">
            <v>0</v>
          </cell>
          <cell r="AF855">
            <v>0</v>
          </cell>
          <cell r="AG855">
            <v>0</v>
          </cell>
          <cell r="AH855">
            <v>1</v>
          </cell>
          <cell r="AI855">
            <v>1</v>
          </cell>
          <cell r="AK855">
            <v>1</v>
          </cell>
          <cell r="AL855">
            <v>0</v>
          </cell>
          <cell r="AN855">
            <v>2552</v>
          </cell>
          <cell r="AO855">
            <v>1</v>
          </cell>
          <cell r="AQ855">
            <v>0</v>
          </cell>
          <cell r="AR855">
            <v>25</v>
          </cell>
          <cell r="AS855">
            <v>4</v>
          </cell>
          <cell r="AT855">
            <v>3</v>
          </cell>
          <cell r="AU855">
            <v>0</v>
          </cell>
          <cell r="AV855">
            <v>1</v>
          </cell>
          <cell r="AW855">
            <v>1</v>
          </cell>
          <cell r="AX855">
            <v>4</v>
          </cell>
          <cell r="AY855">
            <v>3</v>
          </cell>
          <cell r="AZ855">
            <v>1</v>
          </cell>
          <cell r="BA855">
            <v>1</v>
          </cell>
          <cell r="BB855">
            <v>1</v>
          </cell>
          <cell r="BC855">
            <v>0</v>
          </cell>
          <cell r="BD855">
            <v>0</v>
          </cell>
          <cell r="BE855">
            <v>0</v>
          </cell>
          <cell r="BF855">
            <v>0</v>
          </cell>
          <cell r="BG855">
            <v>0</v>
          </cell>
          <cell r="BH855">
            <v>1</v>
          </cell>
          <cell r="BI855">
            <v>0</v>
          </cell>
          <cell r="BJ855">
            <v>0</v>
          </cell>
          <cell r="BK855">
            <v>0</v>
          </cell>
          <cell r="BL855">
            <v>1</v>
          </cell>
          <cell r="BM855">
            <v>0</v>
          </cell>
          <cell r="BN855">
            <v>0</v>
          </cell>
          <cell r="BO855">
            <v>0</v>
          </cell>
          <cell r="BP855">
            <v>0</v>
          </cell>
          <cell r="BQ855">
            <v>0</v>
          </cell>
          <cell r="BR855">
            <v>0</v>
          </cell>
          <cell r="BS855">
            <v>0</v>
          </cell>
          <cell r="BT855">
            <v>1</v>
          </cell>
          <cell r="BU855">
            <v>0</v>
          </cell>
        </row>
        <row r="856">
          <cell r="A856">
            <v>45</v>
          </cell>
          <cell r="B856">
            <v>45</v>
          </cell>
          <cell r="D856">
            <v>0</v>
          </cell>
          <cell r="F856">
            <v>0</v>
          </cell>
          <cell r="G856">
            <v>1</v>
          </cell>
          <cell r="I856">
            <v>1</v>
          </cell>
          <cell r="J856">
            <v>0</v>
          </cell>
          <cell r="K856">
            <v>7</v>
          </cell>
          <cell r="L856">
            <v>7</v>
          </cell>
          <cell r="M856">
            <v>3</v>
          </cell>
          <cell r="O856">
            <v>0</v>
          </cell>
          <cell r="P856">
            <v>0</v>
          </cell>
          <cell r="Q856">
            <v>1</v>
          </cell>
          <cell r="R856">
            <v>0</v>
          </cell>
          <cell r="S856">
            <v>0</v>
          </cell>
          <cell r="T856">
            <v>1</v>
          </cell>
          <cell r="V856">
            <v>1</v>
          </cell>
          <cell r="W856">
            <v>83</v>
          </cell>
          <cell r="X856">
            <v>3</v>
          </cell>
          <cell r="Y856">
            <v>1</v>
          </cell>
          <cell r="AA856">
            <v>0</v>
          </cell>
          <cell r="AB856">
            <v>0</v>
          </cell>
          <cell r="AC856">
            <v>0</v>
          </cell>
          <cell r="AD856">
            <v>0</v>
          </cell>
          <cell r="AE856">
            <v>0</v>
          </cell>
          <cell r="AF856">
            <v>0</v>
          </cell>
          <cell r="AG856">
            <v>0</v>
          </cell>
          <cell r="AH856">
            <v>1</v>
          </cell>
          <cell r="AI856">
            <v>3</v>
          </cell>
          <cell r="AK856">
            <v>0</v>
          </cell>
          <cell r="AL856">
            <v>1</v>
          </cell>
          <cell r="AN856">
            <v>4477</v>
          </cell>
          <cell r="AO856">
            <v>4</v>
          </cell>
          <cell r="AQ856">
            <v>1</v>
          </cell>
          <cell r="AR856">
            <v>19</v>
          </cell>
          <cell r="AS856">
            <v>3</v>
          </cell>
          <cell r="AT856">
            <v>3</v>
          </cell>
          <cell r="AU856">
            <v>1</v>
          </cell>
          <cell r="AV856">
            <v>7</v>
          </cell>
          <cell r="AW856">
            <v>7</v>
          </cell>
          <cell r="AX856">
            <v>2</v>
          </cell>
          <cell r="AY856">
            <v>2</v>
          </cell>
          <cell r="AZ856">
            <v>3</v>
          </cell>
          <cell r="BA856">
            <v>3</v>
          </cell>
          <cell r="BB856">
            <v>2</v>
          </cell>
          <cell r="BC856">
            <v>0</v>
          </cell>
          <cell r="BD856">
            <v>0</v>
          </cell>
          <cell r="BE856">
            <v>2</v>
          </cell>
          <cell r="BF856">
            <v>2</v>
          </cell>
          <cell r="BG856">
            <v>2</v>
          </cell>
          <cell r="BH856">
            <v>0</v>
          </cell>
          <cell r="BI856">
            <v>1</v>
          </cell>
          <cell r="BJ856">
            <v>0</v>
          </cell>
          <cell r="BK856">
            <v>0</v>
          </cell>
          <cell r="BL856">
            <v>0</v>
          </cell>
          <cell r="BM856">
            <v>0</v>
          </cell>
          <cell r="BN856">
            <v>0</v>
          </cell>
          <cell r="BO856">
            <v>1</v>
          </cell>
          <cell r="BP856">
            <v>0</v>
          </cell>
          <cell r="BQ856">
            <v>2</v>
          </cell>
          <cell r="BR856">
            <v>0</v>
          </cell>
          <cell r="BS856">
            <v>0</v>
          </cell>
          <cell r="BT856">
            <v>7</v>
          </cell>
          <cell r="BU856">
            <v>0</v>
          </cell>
        </row>
        <row r="857">
          <cell r="A857">
            <v>37</v>
          </cell>
          <cell r="B857">
            <v>37</v>
          </cell>
          <cell r="D857">
            <v>0</v>
          </cell>
          <cell r="F857">
            <v>0</v>
          </cell>
          <cell r="G857">
            <v>1</v>
          </cell>
          <cell r="I857">
            <v>1</v>
          </cell>
          <cell r="J857">
            <v>0</v>
          </cell>
          <cell r="K857">
            <v>1</v>
          </cell>
          <cell r="L857">
            <v>1</v>
          </cell>
          <cell r="M857">
            <v>3</v>
          </cell>
          <cell r="O857">
            <v>1</v>
          </cell>
          <cell r="P857">
            <v>0</v>
          </cell>
          <cell r="Q857">
            <v>0</v>
          </cell>
          <cell r="R857">
            <v>0</v>
          </cell>
          <cell r="S857">
            <v>0</v>
          </cell>
          <cell r="T857">
            <v>4</v>
          </cell>
          <cell r="V857">
            <v>1</v>
          </cell>
          <cell r="W857">
            <v>56</v>
          </cell>
          <cell r="X857">
            <v>2</v>
          </cell>
          <cell r="Y857">
            <v>2</v>
          </cell>
          <cell r="AA857">
            <v>0</v>
          </cell>
          <cell r="AB857">
            <v>0</v>
          </cell>
          <cell r="AC857">
            <v>0</v>
          </cell>
          <cell r="AD857">
            <v>0</v>
          </cell>
          <cell r="AE857">
            <v>1</v>
          </cell>
          <cell r="AF857">
            <v>1</v>
          </cell>
          <cell r="AG857">
            <v>0</v>
          </cell>
          <cell r="AH857">
            <v>0</v>
          </cell>
          <cell r="AI857">
            <v>4</v>
          </cell>
          <cell r="AK857">
            <v>0</v>
          </cell>
          <cell r="AL857">
            <v>1</v>
          </cell>
          <cell r="AN857">
            <v>6474</v>
          </cell>
          <cell r="AO857">
            <v>1</v>
          </cell>
          <cell r="AQ857">
            <v>0</v>
          </cell>
          <cell r="AR857">
            <v>13</v>
          </cell>
          <cell r="AS857">
            <v>3</v>
          </cell>
          <cell r="AT857">
            <v>2</v>
          </cell>
          <cell r="AU857">
            <v>1</v>
          </cell>
          <cell r="AV857">
            <v>14</v>
          </cell>
          <cell r="AW857">
            <v>14</v>
          </cell>
          <cell r="AX857">
            <v>2</v>
          </cell>
          <cell r="AY857">
            <v>2</v>
          </cell>
          <cell r="AZ857">
            <v>14</v>
          </cell>
          <cell r="BA857">
            <v>14</v>
          </cell>
          <cell r="BB857">
            <v>8</v>
          </cell>
          <cell r="BC857">
            <v>3</v>
          </cell>
          <cell r="BD857">
            <v>3</v>
          </cell>
          <cell r="BE857">
            <v>11</v>
          </cell>
          <cell r="BF857">
            <v>11</v>
          </cell>
          <cell r="BG857">
            <v>22</v>
          </cell>
          <cell r="BH857">
            <v>0</v>
          </cell>
          <cell r="BI857">
            <v>1</v>
          </cell>
          <cell r="BJ857">
            <v>0</v>
          </cell>
          <cell r="BK857">
            <v>0</v>
          </cell>
          <cell r="BL857">
            <v>0</v>
          </cell>
          <cell r="BM857">
            <v>0</v>
          </cell>
          <cell r="BN857">
            <v>1</v>
          </cell>
          <cell r="BO857">
            <v>0</v>
          </cell>
          <cell r="BP857">
            <v>0</v>
          </cell>
          <cell r="BQ857">
            <v>11</v>
          </cell>
          <cell r="BR857">
            <v>0</v>
          </cell>
          <cell r="BS857">
            <v>0</v>
          </cell>
          <cell r="BT857">
            <v>14</v>
          </cell>
          <cell r="BU857">
            <v>0</v>
          </cell>
        </row>
        <row r="858">
          <cell r="A858">
            <v>20</v>
          </cell>
          <cell r="B858">
            <v>20</v>
          </cell>
          <cell r="D858">
            <v>0</v>
          </cell>
          <cell r="F858">
            <v>0</v>
          </cell>
          <cell r="G858">
            <v>1</v>
          </cell>
          <cell r="I858">
            <v>1</v>
          </cell>
          <cell r="J858">
            <v>0</v>
          </cell>
          <cell r="K858">
            <v>3</v>
          </cell>
          <cell r="L858">
            <v>3</v>
          </cell>
          <cell r="M858">
            <v>3</v>
          </cell>
          <cell r="O858">
            <v>1</v>
          </cell>
          <cell r="P858">
            <v>0</v>
          </cell>
          <cell r="Q858">
            <v>0</v>
          </cell>
          <cell r="R858">
            <v>0</v>
          </cell>
          <cell r="S858">
            <v>0</v>
          </cell>
          <cell r="T858">
            <v>1</v>
          </cell>
          <cell r="V858">
            <v>0</v>
          </cell>
          <cell r="W858">
            <v>87</v>
          </cell>
          <cell r="X858">
            <v>2</v>
          </cell>
          <cell r="Y858">
            <v>1</v>
          </cell>
          <cell r="AA858">
            <v>0</v>
          </cell>
          <cell r="AB858">
            <v>0</v>
          </cell>
          <cell r="AC858">
            <v>1</v>
          </cell>
          <cell r="AD858">
            <v>0</v>
          </cell>
          <cell r="AE858">
            <v>0</v>
          </cell>
          <cell r="AF858">
            <v>0</v>
          </cell>
          <cell r="AG858">
            <v>0</v>
          </cell>
          <cell r="AH858">
            <v>0</v>
          </cell>
          <cell r="AI858">
            <v>3</v>
          </cell>
          <cell r="AK858">
            <v>1</v>
          </cell>
          <cell r="AL858">
            <v>0</v>
          </cell>
          <cell r="AN858">
            <v>3033</v>
          </cell>
          <cell r="AO858">
            <v>1</v>
          </cell>
          <cell r="AQ858">
            <v>0</v>
          </cell>
          <cell r="AR858">
            <v>12</v>
          </cell>
          <cell r="AS858">
            <v>3</v>
          </cell>
          <cell r="AT858">
            <v>1</v>
          </cell>
          <cell r="AU858">
            <v>0</v>
          </cell>
          <cell r="AV858">
            <v>2</v>
          </cell>
          <cell r="AW858">
            <v>2</v>
          </cell>
          <cell r="AX858">
            <v>2</v>
          </cell>
          <cell r="AY858">
            <v>2</v>
          </cell>
          <cell r="AZ858">
            <v>2</v>
          </cell>
          <cell r="BA858">
            <v>2</v>
          </cell>
          <cell r="BB858">
            <v>2</v>
          </cell>
          <cell r="BC858">
            <v>1</v>
          </cell>
          <cell r="BD858">
            <v>1</v>
          </cell>
          <cell r="BE858">
            <v>2</v>
          </cell>
          <cell r="BF858">
            <v>2</v>
          </cell>
          <cell r="BG858">
            <v>2</v>
          </cell>
          <cell r="BH858">
            <v>1</v>
          </cell>
          <cell r="BI858">
            <v>0</v>
          </cell>
          <cell r="BJ858">
            <v>0</v>
          </cell>
          <cell r="BK858">
            <v>0</v>
          </cell>
          <cell r="BL858">
            <v>1</v>
          </cell>
          <cell r="BM858">
            <v>0</v>
          </cell>
          <cell r="BN858">
            <v>0</v>
          </cell>
          <cell r="BO858">
            <v>0</v>
          </cell>
          <cell r="BP858">
            <v>0</v>
          </cell>
          <cell r="BQ858">
            <v>2</v>
          </cell>
          <cell r="BR858">
            <v>0</v>
          </cell>
          <cell r="BS858">
            <v>0</v>
          </cell>
          <cell r="BT858">
            <v>2</v>
          </cell>
          <cell r="BU858">
            <v>0</v>
          </cell>
        </row>
        <row r="859">
          <cell r="A859">
            <v>44</v>
          </cell>
          <cell r="B859">
            <v>44</v>
          </cell>
          <cell r="D859">
            <v>1</v>
          </cell>
          <cell r="F859">
            <v>0</v>
          </cell>
          <cell r="G859">
            <v>1</v>
          </cell>
          <cell r="I859">
            <v>1</v>
          </cell>
          <cell r="J859">
            <v>0</v>
          </cell>
          <cell r="K859">
            <v>10</v>
          </cell>
          <cell r="L859">
            <v>10</v>
          </cell>
          <cell r="M859">
            <v>4</v>
          </cell>
          <cell r="O859">
            <v>1</v>
          </cell>
          <cell r="P859">
            <v>0</v>
          </cell>
          <cell r="Q859">
            <v>0</v>
          </cell>
          <cell r="R859">
            <v>0</v>
          </cell>
          <cell r="S859">
            <v>0</v>
          </cell>
          <cell r="T859">
            <v>3</v>
          </cell>
          <cell r="V859">
            <v>0</v>
          </cell>
          <cell r="W859">
            <v>96</v>
          </cell>
          <cell r="X859">
            <v>3</v>
          </cell>
          <cell r="Y859">
            <v>1</v>
          </cell>
          <cell r="AA859">
            <v>0</v>
          </cell>
          <cell r="AB859">
            <v>0</v>
          </cell>
          <cell r="AC859">
            <v>0</v>
          </cell>
          <cell r="AD859">
            <v>0</v>
          </cell>
          <cell r="AE859">
            <v>0</v>
          </cell>
          <cell r="AF859">
            <v>0</v>
          </cell>
          <cell r="AG859">
            <v>0</v>
          </cell>
          <cell r="AH859">
            <v>1</v>
          </cell>
          <cell r="AI859">
            <v>3</v>
          </cell>
          <cell r="AK859">
            <v>1</v>
          </cell>
          <cell r="AL859">
            <v>0</v>
          </cell>
          <cell r="AN859">
            <v>2936</v>
          </cell>
          <cell r="AO859">
            <v>1</v>
          </cell>
          <cell r="AQ859">
            <v>1</v>
          </cell>
          <cell r="AR859">
            <v>11</v>
          </cell>
          <cell r="AS859">
            <v>3</v>
          </cell>
          <cell r="AT859">
            <v>3</v>
          </cell>
          <cell r="AU859">
            <v>0</v>
          </cell>
          <cell r="AV859">
            <v>6</v>
          </cell>
          <cell r="AW859">
            <v>6</v>
          </cell>
          <cell r="AX859">
            <v>4</v>
          </cell>
          <cell r="AY859">
            <v>3</v>
          </cell>
          <cell r="AZ859">
            <v>6</v>
          </cell>
          <cell r="BA859">
            <v>6</v>
          </cell>
          <cell r="BB859">
            <v>4</v>
          </cell>
          <cell r="BC859">
            <v>0</v>
          </cell>
          <cell r="BD859">
            <v>0</v>
          </cell>
          <cell r="BE859">
            <v>2</v>
          </cell>
          <cell r="BF859">
            <v>2</v>
          </cell>
          <cell r="BG859">
            <v>2</v>
          </cell>
          <cell r="BH859">
            <v>1</v>
          </cell>
          <cell r="BI859">
            <v>0</v>
          </cell>
          <cell r="BJ859">
            <v>0</v>
          </cell>
          <cell r="BK859">
            <v>0</v>
          </cell>
          <cell r="BL859">
            <v>0</v>
          </cell>
          <cell r="BM859">
            <v>1</v>
          </cell>
          <cell r="BN859">
            <v>0</v>
          </cell>
          <cell r="BO859">
            <v>0</v>
          </cell>
          <cell r="BP859">
            <v>0</v>
          </cell>
          <cell r="BQ859">
            <v>2</v>
          </cell>
          <cell r="BR859">
            <v>0</v>
          </cell>
          <cell r="BS859">
            <v>0</v>
          </cell>
          <cell r="BT859">
            <v>6</v>
          </cell>
          <cell r="BU859">
            <v>0</v>
          </cell>
        </row>
        <row r="860">
          <cell r="A860">
            <v>53</v>
          </cell>
          <cell r="B860">
            <v>53</v>
          </cell>
          <cell r="D860">
            <v>0</v>
          </cell>
          <cell r="F860">
            <v>0</v>
          </cell>
          <cell r="G860">
            <v>1</v>
          </cell>
          <cell r="I860">
            <v>1</v>
          </cell>
          <cell r="J860">
            <v>0</v>
          </cell>
          <cell r="K860">
            <v>7</v>
          </cell>
          <cell r="L860">
            <v>7</v>
          </cell>
          <cell r="M860">
            <v>2</v>
          </cell>
          <cell r="O860">
            <v>0</v>
          </cell>
          <cell r="P860">
            <v>0</v>
          </cell>
          <cell r="Q860">
            <v>1</v>
          </cell>
          <cell r="R860">
            <v>0</v>
          </cell>
          <cell r="S860">
            <v>0</v>
          </cell>
          <cell r="T860">
            <v>4</v>
          </cell>
          <cell r="V860">
            <v>1</v>
          </cell>
          <cell r="W860">
            <v>50</v>
          </cell>
          <cell r="X860">
            <v>3</v>
          </cell>
          <cell r="Y860">
            <v>5</v>
          </cell>
          <cell r="AA860">
            <v>0</v>
          </cell>
          <cell r="AB860">
            <v>0</v>
          </cell>
          <cell r="AC860">
            <v>0</v>
          </cell>
          <cell r="AD860">
            <v>1</v>
          </cell>
          <cell r="AE860">
            <v>0</v>
          </cell>
          <cell r="AF860">
            <v>0</v>
          </cell>
          <cell r="AG860">
            <v>0</v>
          </cell>
          <cell r="AH860">
            <v>0</v>
          </cell>
          <cell r="AI860">
            <v>3</v>
          </cell>
          <cell r="AK860">
            <v>0</v>
          </cell>
          <cell r="AL860">
            <v>0</v>
          </cell>
          <cell r="AN860">
            <v>18606</v>
          </cell>
          <cell r="AO860">
            <v>3</v>
          </cell>
          <cell r="AQ860">
            <v>0</v>
          </cell>
          <cell r="AR860">
            <v>18</v>
          </cell>
          <cell r="AS860">
            <v>3</v>
          </cell>
          <cell r="AT860">
            <v>2</v>
          </cell>
          <cell r="AU860">
            <v>1</v>
          </cell>
          <cell r="AV860">
            <v>26</v>
          </cell>
          <cell r="AW860">
            <v>26</v>
          </cell>
          <cell r="AX860">
            <v>6</v>
          </cell>
          <cell r="AY860">
            <v>3</v>
          </cell>
          <cell r="AZ860">
            <v>7</v>
          </cell>
          <cell r="BA860">
            <v>7</v>
          </cell>
          <cell r="BB860">
            <v>7</v>
          </cell>
          <cell r="BC860">
            <v>4</v>
          </cell>
          <cell r="BD860">
            <v>4</v>
          </cell>
          <cell r="BE860">
            <v>7</v>
          </cell>
          <cell r="BF860">
            <v>7</v>
          </cell>
          <cell r="BG860">
            <v>35</v>
          </cell>
          <cell r="BH860">
            <v>1</v>
          </cell>
          <cell r="BI860">
            <v>0</v>
          </cell>
          <cell r="BJ860">
            <v>0</v>
          </cell>
          <cell r="BK860">
            <v>0</v>
          </cell>
          <cell r="BL860">
            <v>1</v>
          </cell>
          <cell r="BM860">
            <v>0</v>
          </cell>
          <cell r="BN860">
            <v>0</v>
          </cell>
          <cell r="BO860">
            <v>0</v>
          </cell>
          <cell r="BP860">
            <v>0</v>
          </cell>
          <cell r="BQ860">
            <v>7</v>
          </cell>
          <cell r="BR860">
            <v>0</v>
          </cell>
          <cell r="BS860">
            <v>0</v>
          </cell>
          <cell r="BT860">
            <v>26</v>
          </cell>
          <cell r="BU860">
            <v>0</v>
          </cell>
        </row>
        <row r="861">
          <cell r="A861">
            <v>29</v>
          </cell>
          <cell r="B861">
            <v>29</v>
          </cell>
          <cell r="D861">
            <v>0</v>
          </cell>
          <cell r="F861">
            <v>0</v>
          </cell>
          <cell r="G861">
            <v>1</v>
          </cell>
          <cell r="I861">
            <v>1</v>
          </cell>
          <cell r="J861">
            <v>0</v>
          </cell>
          <cell r="K861">
            <v>15</v>
          </cell>
          <cell r="L861">
            <v>15</v>
          </cell>
          <cell r="M861">
            <v>1</v>
          </cell>
          <cell r="O861">
            <v>1</v>
          </cell>
          <cell r="P861">
            <v>0</v>
          </cell>
          <cell r="Q861">
            <v>0</v>
          </cell>
          <cell r="R861">
            <v>0</v>
          </cell>
          <cell r="S861">
            <v>0</v>
          </cell>
          <cell r="T861">
            <v>2</v>
          </cell>
          <cell r="V861">
            <v>1</v>
          </cell>
          <cell r="W861">
            <v>69</v>
          </cell>
          <cell r="X861">
            <v>1</v>
          </cell>
          <cell r="Y861">
            <v>1</v>
          </cell>
          <cell r="AA861">
            <v>0</v>
          </cell>
          <cell r="AB861">
            <v>0</v>
          </cell>
          <cell r="AC861">
            <v>0</v>
          </cell>
          <cell r="AD861">
            <v>0</v>
          </cell>
          <cell r="AE861">
            <v>0</v>
          </cell>
          <cell r="AF861">
            <v>0</v>
          </cell>
          <cell r="AG861">
            <v>0</v>
          </cell>
          <cell r="AH861">
            <v>1</v>
          </cell>
          <cell r="AI861">
            <v>4</v>
          </cell>
          <cell r="AK861">
            <v>0</v>
          </cell>
          <cell r="AL861">
            <v>1</v>
          </cell>
          <cell r="AN861">
            <v>2168</v>
          </cell>
          <cell r="AO861">
            <v>0</v>
          </cell>
          <cell r="AQ861">
            <v>1</v>
          </cell>
          <cell r="AR861">
            <v>18</v>
          </cell>
          <cell r="AS861">
            <v>3</v>
          </cell>
          <cell r="AT861">
            <v>1</v>
          </cell>
          <cell r="AU861">
            <v>1</v>
          </cell>
          <cell r="AV861">
            <v>6</v>
          </cell>
          <cell r="AW861">
            <v>6</v>
          </cell>
          <cell r="AX861">
            <v>2</v>
          </cell>
          <cell r="AY861">
            <v>2</v>
          </cell>
          <cell r="AZ861">
            <v>5</v>
          </cell>
          <cell r="BA861">
            <v>5</v>
          </cell>
          <cell r="BB861">
            <v>4</v>
          </cell>
          <cell r="BC861">
            <v>1</v>
          </cell>
          <cell r="BD861">
            <v>1</v>
          </cell>
          <cell r="BE861">
            <v>3</v>
          </cell>
          <cell r="BF861">
            <v>3</v>
          </cell>
          <cell r="BG861">
            <v>3</v>
          </cell>
          <cell r="BH861">
            <v>0</v>
          </cell>
          <cell r="BI861">
            <v>1</v>
          </cell>
          <cell r="BJ861">
            <v>0</v>
          </cell>
          <cell r="BK861">
            <v>0</v>
          </cell>
          <cell r="BL861">
            <v>0</v>
          </cell>
          <cell r="BM861">
            <v>0</v>
          </cell>
          <cell r="BN861">
            <v>0</v>
          </cell>
          <cell r="BO861">
            <v>1</v>
          </cell>
          <cell r="BP861">
            <v>0</v>
          </cell>
          <cell r="BQ861">
            <v>3</v>
          </cell>
          <cell r="BR861">
            <v>0</v>
          </cell>
          <cell r="BS861">
            <v>0</v>
          </cell>
          <cell r="BT861">
            <v>6</v>
          </cell>
          <cell r="BU861">
            <v>0</v>
          </cell>
        </row>
        <row r="862">
          <cell r="A862">
            <v>22</v>
          </cell>
          <cell r="B862">
            <v>22</v>
          </cell>
          <cell r="D862">
            <v>1</v>
          </cell>
          <cell r="F862">
            <v>1</v>
          </cell>
          <cell r="G862">
            <v>0</v>
          </cell>
          <cell r="I862">
            <v>1</v>
          </cell>
          <cell r="J862">
            <v>0</v>
          </cell>
          <cell r="K862">
            <v>3</v>
          </cell>
          <cell r="L862">
            <v>3</v>
          </cell>
          <cell r="M862">
            <v>4</v>
          </cell>
          <cell r="O862">
            <v>1</v>
          </cell>
          <cell r="P862">
            <v>0</v>
          </cell>
          <cell r="Q862">
            <v>0</v>
          </cell>
          <cell r="R862">
            <v>0</v>
          </cell>
          <cell r="S862">
            <v>0</v>
          </cell>
          <cell r="T862">
            <v>3</v>
          </cell>
          <cell r="V862">
            <v>0</v>
          </cell>
          <cell r="W862">
            <v>48</v>
          </cell>
          <cell r="X862">
            <v>2</v>
          </cell>
          <cell r="Y862">
            <v>1</v>
          </cell>
          <cell r="AA862">
            <v>0</v>
          </cell>
          <cell r="AB862">
            <v>0</v>
          </cell>
          <cell r="AC862">
            <v>0</v>
          </cell>
          <cell r="AD862">
            <v>0</v>
          </cell>
          <cell r="AE862">
            <v>0</v>
          </cell>
          <cell r="AF862">
            <v>0</v>
          </cell>
          <cell r="AG862">
            <v>0</v>
          </cell>
          <cell r="AH862">
            <v>1</v>
          </cell>
          <cell r="AI862">
            <v>4</v>
          </cell>
          <cell r="AK862">
            <v>0</v>
          </cell>
          <cell r="AL862">
            <v>1</v>
          </cell>
          <cell r="AN862">
            <v>2853</v>
          </cell>
          <cell r="AO862">
            <v>0</v>
          </cell>
          <cell r="AQ862">
            <v>1</v>
          </cell>
          <cell r="AR862">
            <v>11</v>
          </cell>
          <cell r="AS862">
            <v>3</v>
          </cell>
          <cell r="AT862">
            <v>2</v>
          </cell>
          <cell r="AU862">
            <v>1</v>
          </cell>
          <cell r="AV862">
            <v>1</v>
          </cell>
          <cell r="AW862">
            <v>1</v>
          </cell>
          <cell r="AX862">
            <v>5</v>
          </cell>
          <cell r="AY862">
            <v>3</v>
          </cell>
          <cell r="AZ862">
            <v>0</v>
          </cell>
          <cell r="BA862">
            <v>0</v>
          </cell>
          <cell r="BB862">
            <v>0</v>
          </cell>
          <cell r="BC862">
            <v>0</v>
          </cell>
          <cell r="BD862">
            <v>0</v>
          </cell>
          <cell r="BE862">
            <v>0</v>
          </cell>
          <cell r="BF862">
            <v>0</v>
          </cell>
          <cell r="BG862">
            <v>0</v>
          </cell>
          <cell r="BH862">
            <v>0</v>
          </cell>
          <cell r="BI862">
            <v>0</v>
          </cell>
          <cell r="BJ862">
            <v>0</v>
          </cell>
          <cell r="BK862">
            <v>1</v>
          </cell>
          <cell r="BL862">
            <v>0</v>
          </cell>
          <cell r="BM862">
            <v>0</v>
          </cell>
          <cell r="BN862">
            <v>0</v>
          </cell>
          <cell r="BO862">
            <v>1</v>
          </cell>
          <cell r="BP862">
            <v>0</v>
          </cell>
          <cell r="BQ862">
            <v>0</v>
          </cell>
          <cell r="BR862">
            <v>0</v>
          </cell>
          <cell r="BS862">
            <v>0</v>
          </cell>
          <cell r="BT862">
            <v>1</v>
          </cell>
          <cell r="BU862">
            <v>0</v>
          </cell>
        </row>
        <row r="863">
          <cell r="A863">
            <v>46</v>
          </cell>
          <cell r="B863">
            <v>46</v>
          </cell>
          <cell r="D863">
            <v>0</v>
          </cell>
          <cell r="F863">
            <v>0</v>
          </cell>
          <cell r="G863">
            <v>1</v>
          </cell>
          <cell r="I863">
            <v>0</v>
          </cell>
          <cell r="J863">
            <v>1</v>
          </cell>
          <cell r="K863">
            <v>2</v>
          </cell>
          <cell r="L863">
            <v>2</v>
          </cell>
          <cell r="M863">
            <v>3</v>
          </cell>
          <cell r="O863">
            <v>0</v>
          </cell>
          <cell r="P863">
            <v>0</v>
          </cell>
          <cell r="Q863">
            <v>0</v>
          </cell>
          <cell r="R863">
            <v>1</v>
          </cell>
          <cell r="S863">
            <v>0</v>
          </cell>
          <cell r="T863">
            <v>3</v>
          </cell>
          <cell r="V863">
            <v>1</v>
          </cell>
          <cell r="W863">
            <v>69</v>
          </cell>
          <cell r="X863">
            <v>3</v>
          </cell>
          <cell r="Y863">
            <v>4</v>
          </cell>
          <cell r="AA863">
            <v>0</v>
          </cell>
          <cell r="AB863">
            <v>0</v>
          </cell>
          <cell r="AC863">
            <v>0</v>
          </cell>
          <cell r="AD863">
            <v>1</v>
          </cell>
          <cell r="AE863">
            <v>0</v>
          </cell>
          <cell r="AF863">
            <v>0</v>
          </cell>
          <cell r="AG863">
            <v>0</v>
          </cell>
          <cell r="AH863">
            <v>0</v>
          </cell>
          <cell r="AI863">
            <v>1</v>
          </cell>
          <cell r="AK863">
            <v>0</v>
          </cell>
          <cell r="AL863">
            <v>1</v>
          </cell>
          <cell r="AN863">
            <v>17048</v>
          </cell>
          <cell r="AO863">
            <v>8</v>
          </cell>
          <cell r="AQ863">
            <v>0</v>
          </cell>
          <cell r="AR863">
            <v>23</v>
          </cell>
          <cell r="AS863">
            <v>4</v>
          </cell>
          <cell r="AT863">
            <v>1</v>
          </cell>
          <cell r="AU863">
            <v>0</v>
          </cell>
          <cell r="AV863">
            <v>28</v>
          </cell>
          <cell r="AW863">
            <v>28</v>
          </cell>
          <cell r="AX863">
            <v>2</v>
          </cell>
          <cell r="AY863">
            <v>3</v>
          </cell>
          <cell r="AZ863">
            <v>26</v>
          </cell>
          <cell r="BA863">
            <v>26</v>
          </cell>
          <cell r="BB863">
            <v>15</v>
          </cell>
          <cell r="BC863">
            <v>15</v>
          </cell>
          <cell r="BD863">
            <v>14</v>
          </cell>
          <cell r="BE863">
            <v>9</v>
          </cell>
          <cell r="BF863">
            <v>9</v>
          </cell>
          <cell r="BG863">
            <v>36</v>
          </cell>
          <cell r="BH863">
            <v>0</v>
          </cell>
          <cell r="BI863">
            <v>1</v>
          </cell>
          <cell r="BJ863">
            <v>0</v>
          </cell>
          <cell r="BK863">
            <v>0</v>
          </cell>
          <cell r="BL863">
            <v>0</v>
          </cell>
          <cell r="BM863">
            <v>0</v>
          </cell>
          <cell r="BN863">
            <v>1</v>
          </cell>
          <cell r="BO863">
            <v>0</v>
          </cell>
          <cell r="BP863">
            <v>0</v>
          </cell>
          <cell r="BQ863">
            <v>0</v>
          </cell>
          <cell r="BR863">
            <v>9</v>
          </cell>
          <cell r="BS863">
            <v>0</v>
          </cell>
          <cell r="BT863">
            <v>0</v>
          </cell>
          <cell r="BU863">
            <v>28</v>
          </cell>
        </row>
        <row r="864">
          <cell r="A864">
            <v>44</v>
          </cell>
          <cell r="B864">
            <v>44</v>
          </cell>
          <cell r="D864">
            <v>0</v>
          </cell>
          <cell r="F864">
            <v>0</v>
          </cell>
          <cell r="G864">
            <v>0</v>
          </cell>
          <cell r="I864">
            <v>1</v>
          </cell>
          <cell r="J864">
            <v>0</v>
          </cell>
          <cell r="K864">
            <v>17</v>
          </cell>
          <cell r="L864">
            <v>17</v>
          </cell>
          <cell r="M864">
            <v>3</v>
          </cell>
          <cell r="O864">
            <v>1</v>
          </cell>
          <cell r="P864">
            <v>0</v>
          </cell>
          <cell r="Q864">
            <v>0</v>
          </cell>
          <cell r="R864">
            <v>0</v>
          </cell>
          <cell r="S864">
            <v>0</v>
          </cell>
          <cell r="T864">
            <v>4</v>
          </cell>
          <cell r="V864">
            <v>0</v>
          </cell>
          <cell r="W864">
            <v>74</v>
          </cell>
          <cell r="X864">
            <v>1</v>
          </cell>
          <cell r="Y864">
            <v>1</v>
          </cell>
          <cell r="AA864">
            <v>0</v>
          </cell>
          <cell r="AB864">
            <v>0</v>
          </cell>
          <cell r="AC864">
            <v>0</v>
          </cell>
          <cell r="AD864">
            <v>0</v>
          </cell>
          <cell r="AE864">
            <v>0</v>
          </cell>
          <cell r="AF864">
            <v>0</v>
          </cell>
          <cell r="AG864">
            <v>0</v>
          </cell>
          <cell r="AH864">
            <v>1</v>
          </cell>
          <cell r="AI864">
            <v>3</v>
          </cell>
          <cell r="AK864">
            <v>1</v>
          </cell>
          <cell r="AL864">
            <v>0</v>
          </cell>
          <cell r="AN864">
            <v>2290</v>
          </cell>
          <cell r="AO864">
            <v>2</v>
          </cell>
          <cell r="AQ864">
            <v>0</v>
          </cell>
          <cell r="AR864">
            <v>13</v>
          </cell>
          <cell r="AS864">
            <v>3</v>
          </cell>
          <cell r="AT864">
            <v>4</v>
          </cell>
          <cell r="AU864">
            <v>0</v>
          </cell>
          <cell r="AV864">
            <v>6</v>
          </cell>
          <cell r="AW864">
            <v>6</v>
          </cell>
          <cell r="AX864">
            <v>3</v>
          </cell>
          <cell r="AY864">
            <v>3</v>
          </cell>
          <cell r="AZ864">
            <v>0</v>
          </cell>
          <cell r="BA864">
            <v>0</v>
          </cell>
          <cell r="BB864">
            <v>0</v>
          </cell>
          <cell r="BC864">
            <v>0</v>
          </cell>
          <cell r="BD864">
            <v>0</v>
          </cell>
          <cell r="BE864">
            <v>0</v>
          </cell>
          <cell r="BF864">
            <v>0</v>
          </cell>
          <cell r="BG864">
            <v>0</v>
          </cell>
          <cell r="BH864">
            <v>1</v>
          </cell>
          <cell r="BI864">
            <v>0</v>
          </cell>
          <cell r="BJ864">
            <v>0</v>
          </cell>
          <cell r="BK864">
            <v>0</v>
          </cell>
          <cell r="BL864">
            <v>1</v>
          </cell>
          <cell r="BM864">
            <v>0</v>
          </cell>
          <cell r="BN864">
            <v>0</v>
          </cell>
          <cell r="BO864">
            <v>0</v>
          </cell>
          <cell r="BP864">
            <v>0</v>
          </cell>
          <cell r="BQ864">
            <v>0</v>
          </cell>
          <cell r="BR864">
            <v>0</v>
          </cell>
          <cell r="BS864">
            <v>0</v>
          </cell>
          <cell r="BT864">
            <v>6</v>
          </cell>
          <cell r="BU864">
            <v>0</v>
          </cell>
        </row>
        <row r="865">
          <cell r="A865">
            <v>33</v>
          </cell>
          <cell r="B865">
            <v>33</v>
          </cell>
          <cell r="D865">
            <v>0</v>
          </cell>
          <cell r="F865">
            <v>0</v>
          </cell>
          <cell r="G865">
            <v>1</v>
          </cell>
          <cell r="I865">
            <v>0</v>
          </cell>
          <cell r="J865">
            <v>0</v>
          </cell>
          <cell r="K865">
            <v>2</v>
          </cell>
          <cell r="L865">
            <v>2</v>
          </cell>
          <cell r="M865">
            <v>3</v>
          </cell>
          <cell r="O865">
            <v>0</v>
          </cell>
          <cell r="P865">
            <v>0</v>
          </cell>
          <cell r="Q865">
            <v>0</v>
          </cell>
          <cell r="R865">
            <v>0</v>
          </cell>
          <cell r="S865">
            <v>0</v>
          </cell>
          <cell r="T865">
            <v>2</v>
          </cell>
          <cell r="V865">
            <v>0</v>
          </cell>
          <cell r="W865">
            <v>99</v>
          </cell>
          <cell r="X865">
            <v>3</v>
          </cell>
          <cell r="Y865">
            <v>1</v>
          </cell>
          <cell r="AA865">
            <v>0</v>
          </cell>
          <cell r="AB865">
            <v>0</v>
          </cell>
          <cell r="AC865">
            <v>0</v>
          </cell>
          <cell r="AD865">
            <v>0</v>
          </cell>
          <cell r="AE865">
            <v>0</v>
          </cell>
          <cell r="AF865">
            <v>0</v>
          </cell>
          <cell r="AG865">
            <v>0</v>
          </cell>
          <cell r="AH865">
            <v>0</v>
          </cell>
          <cell r="AI865">
            <v>3</v>
          </cell>
          <cell r="AK865">
            <v>0</v>
          </cell>
          <cell r="AL865">
            <v>1</v>
          </cell>
          <cell r="AN865">
            <v>3600</v>
          </cell>
          <cell r="AO865">
            <v>1</v>
          </cell>
          <cell r="AQ865">
            <v>0</v>
          </cell>
          <cell r="AR865">
            <v>13</v>
          </cell>
          <cell r="AS865">
            <v>3</v>
          </cell>
          <cell r="AT865">
            <v>4</v>
          </cell>
          <cell r="AU865">
            <v>1</v>
          </cell>
          <cell r="AV865">
            <v>5</v>
          </cell>
          <cell r="AW865">
            <v>5</v>
          </cell>
          <cell r="AX865">
            <v>2</v>
          </cell>
          <cell r="AY865">
            <v>3</v>
          </cell>
          <cell r="AZ865">
            <v>5</v>
          </cell>
          <cell r="BA865">
            <v>5</v>
          </cell>
          <cell r="BB865">
            <v>4</v>
          </cell>
          <cell r="BC865">
            <v>1</v>
          </cell>
          <cell r="BD865">
            <v>1</v>
          </cell>
          <cell r="BE865">
            <v>4</v>
          </cell>
          <cell r="BF865">
            <v>4</v>
          </cell>
          <cell r="BG865">
            <v>4</v>
          </cell>
          <cell r="BH865">
            <v>0</v>
          </cell>
          <cell r="BI865">
            <v>1</v>
          </cell>
          <cell r="BJ865">
            <v>0</v>
          </cell>
          <cell r="BK865">
            <v>0</v>
          </cell>
          <cell r="BL865">
            <v>0</v>
          </cell>
          <cell r="BM865">
            <v>0</v>
          </cell>
          <cell r="BN865">
            <v>1</v>
          </cell>
          <cell r="BO865">
            <v>0</v>
          </cell>
          <cell r="BP865">
            <v>4</v>
          </cell>
          <cell r="BQ865">
            <v>0</v>
          </cell>
          <cell r="BR865">
            <v>0</v>
          </cell>
          <cell r="BS865">
            <v>5</v>
          </cell>
          <cell r="BT865">
            <v>0</v>
          </cell>
          <cell r="BU865">
            <v>0</v>
          </cell>
        </row>
        <row r="866">
          <cell r="A866">
            <v>41</v>
          </cell>
          <cell r="B866">
            <v>41</v>
          </cell>
          <cell r="D866">
            <v>1</v>
          </cell>
          <cell r="F866">
            <v>0</v>
          </cell>
          <cell r="G866">
            <v>0</v>
          </cell>
          <cell r="I866">
            <v>1</v>
          </cell>
          <cell r="J866">
            <v>0</v>
          </cell>
          <cell r="K866">
            <v>5</v>
          </cell>
          <cell r="L866">
            <v>5</v>
          </cell>
          <cell r="M866">
            <v>2</v>
          </cell>
          <cell r="O866">
            <v>1</v>
          </cell>
          <cell r="P866">
            <v>0</v>
          </cell>
          <cell r="Q866">
            <v>0</v>
          </cell>
          <cell r="R866">
            <v>0</v>
          </cell>
          <cell r="S866">
            <v>0</v>
          </cell>
          <cell r="T866">
            <v>1</v>
          </cell>
          <cell r="V866">
            <v>0</v>
          </cell>
          <cell r="W866">
            <v>95</v>
          </cell>
          <cell r="X866">
            <v>2</v>
          </cell>
          <cell r="Y866">
            <v>1</v>
          </cell>
          <cell r="AA866">
            <v>0</v>
          </cell>
          <cell r="AB866">
            <v>0</v>
          </cell>
          <cell r="AC866">
            <v>0</v>
          </cell>
          <cell r="AD866">
            <v>0</v>
          </cell>
          <cell r="AE866">
            <v>0</v>
          </cell>
          <cell r="AF866">
            <v>0</v>
          </cell>
          <cell r="AG866">
            <v>0</v>
          </cell>
          <cell r="AH866">
            <v>1</v>
          </cell>
          <cell r="AI866">
            <v>1</v>
          </cell>
          <cell r="AK866">
            <v>0</v>
          </cell>
          <cell r="AL866">
            <v>0</v>
          </cell>
          <cell r="AN866">
            <v>2107</v>
          </cell>
          <cell r="AO866">
            <v>6</v>
          </cell>
          <cell r="AQ866">
            <v>0</v>
          </cell>
          <cell r="AR866">
            <v>17</v>
          </cell>
          <cell r="AS866">
            <v>3</v>
          </cell>
          <cell r="AT866">
            <v>1</v>
          </cell>
          <cell r="AU866">
            <v>1</v>
          </cell>
          <cell r="AV866">
            <v>5</v>
          </cell>
          <cell r="AW866">
            <v>5</v>
          </cell>
          <cell r="AX866">
            <v>2</v>
          </cell>
          <cell r="AY866">
            <v>1</v>
          </cell>
          <cell r="AZ866">
            <v>1</v>
          </cell>
          <cell r="BA866">
            <v>1</v>
          </cell>
          <cell r="BB866">
            <v>0</v>
          </cell>
          <cell r="BC866">
            <v>0</v>
          </cell>
          <cell r="BD866">
            <v>0</v>
          </cell>
          <cell r="BE866">
            <v>0</v>
          </cell>
          <cell r="BF866">
            <v>0</v>
          </cell>
          <cell r="BG866">
            <v>0</v>
          </cell>
          <cell r="BH866">
            <v>1</v>
          </cell>
          <cell r="BI866">
            <v>0</v>
          </cell>
          <cell r="BJ866">
            <v>0</v>
          </cell>
          <cell r="BK866">
            <v>0</v>
          </cell>
          <cell r="BL866">
            <v>1</v>
          </cell>
          <cell r="BM866">
            <v>0</v>
          </cell>
          <cell r="BN866">
            <v>0</v>
          </cell>
          <cell r="BO866">
            <v>0</v>
          </cell>
          <cell r="BP866">
            <v>0</v>
          </cell>
          <cell r="BQ866">
            <v>0</v>
          </cell>
          <cell r="BR866">
            <v>0</v>
          </cell>
          <cell r="BS866">
            <v>0</v>
          </cell>
          <cell r="BT866">
            <v>5</v>
          </cell>
          <cell r="BU866">
            <v>0</v>
          </cell>
        </row>
        <row r="867">
          <cell r="A867">
            <v>30</v>
          </cell>
          <cell r="B867">
            <v>30</v>
          </cell>
          <cell r="D867">
            <v>0</v>
          </cell>
          <cell r="F867">
            <v>0</v>
          </cell>
          <cell r="G867">
            <v>1</v>
          </cell>
          <cell r="I867">
            <v>0</v>
          </cell>
          <cell r="J867">
            <v>1</v>
          </cell>
          <cell r="K867">
            <v>29</v>
          </cell>
          <cell r="L867">
            <v>29</v>
          </cell>
          <cell r="M867">
            <v>4</v>
          </cell>
          <cell r="O867">
            <v>1</v>
          </cell>
          <cell r="P867">
            <v>0</v>
          </cell>
          <cell r="Q867">
            <v>0</v>
          </cell>
          <cell r="R867">
            <v>0</v>
          </cell>
          <cell r="S867">
            <v>0</v>
          </cell>
          <cell r="T867">
            <v>3</v>
          </cell>
          <cell r="V867">
            <v>0</v>
          </cell>
          <cell r="W867">
            <v>61</v>
          </cell>
          <cell r="X867">
            <v>3</v>
          </cell>
          <cell r="Y867">
            <v>2</v>
          </cell>
          <cell r="AA867">
            <v>0</v>
          </cell>
          <cell r="AB867">
            <v>1</v>
          </cell>
          <cell r="AC867">
            <v>0</v>
          </cell>
          <cell r="AD867">
            <v>0</v>
          </cell>
          <cell r="AE867">
            <v>0</v>
          </cell>
          <cell r="AF867">
            <v>0</v>
          </cell>
          <cell r="AG867">
            <v>0</v>
          </cell>
          <cell r="AH867">
            <v>0</v>
          </cell>
          <cell r="AI867">
            <v>1</v>
          </cell>
          <cell r="AK867">
            <v>0</v>
          </cell>
          <cell r="AL867">
            <v>0</v>
          </cell>
          <cell r="AN867">
            <v>4115</v>
          </cell>
          <cell r="AO867">
            <v>8</v>
          </cell>
          <cell r="AQ867">
            <v>0</v>
          </cell>
          <cell r="AR867">
            <v>19</v>
          </cell>
          <cell r="AS867">
            <v>3</v>
          </cell>
          <cell r="AT867">
            <v>3</v>
          </cell>
          <cell r="AU867">
            <v>3</v>
          </cell>
          <cell r="AV867">
            <v>8</v>
          </cell>
          <cell r="AW867">
            <v>8</v>
          </cell>
          <cell r="AX867">
            <v>3</v>
          </cell>
          <cell r="AY867">
            <v>3</v>
          </cell>
          <cell r="AZ867">
            <v>4</v>
          </cell>
          <cell r="BA867">
            <v>4</v>
          </cell>
          <cell r="BB867">
            <v>3</v>
          </cell>
          <cell r="BC867">
            <v>0</v>
          </cell>
          <cell r="BD867">
            <v>0</v>
          </cell>
          <cell r="BE867">
            <v>3</v>
          </cell>
          <cell r="BF867">
            <v>3</v>
          </cell>
          <cell r="BG867">
            <v>6</v>
          </cell>
          <cell r="BH867">
            <v>1</v>
          </cell>
          <cell r="BI867">
            <v>0</v>
          </cell>
          <cell r="BJ867">
            <v>0</v>
          </cell>
          <cell r="BK867">
            <v>0</v>
          </cell>
          <cell r="BL867">
            <v>1</v>
          </cell>
          <cell r="BM867">
            <v>0</v>
          </cell>
          <cell r="BN867">
            <v>0</v>
          </cell>
          <cell r="BO867">
            <v>0</v>
          </cell>
          <cell r="BP867">
            <v>0</v>
          </cell>
          <cell r="BQ867">
            <v>0</v>
          </cell>
          <cell r="BR867">
            <v>3</v>
          </cell>
          <cell r="BS867">
            <v>0</v>
          </cell>
          <cell r="BT867">
            <v>0</v>
          </cell>
          <cell r="BU867">
            <v>8</v>
          </cell>
        </row>
        <row r="868">
          <cell r="A868">
            <v>40</v>
          </cell>
          <cell r="B868">
            <v>40</v>
          </cell>
          <cell r="D868">
            <v>0</v>
          </cell>
          <cell r="F868">
            <v>1</v>
          </cell>
          <cell r="G868">
            <v>0</v>
          </cell>
          <cell r="I868">
            <v>0</v>
          </cell>
          <cell r="J868">
            <v>1</v>
          </cell>
          <cell r="K868">
            <v>2</v>
          </cell>
          <cell r="L868">
            <v>2</v>
          </cell>
          <cell r="M868">
            <v>4</v>
          </cell>
          <cell r="O868">
            <v>0</v>
          </cell>
          <cell r="P868">
            <v>0</v>
          </cell>
          <cell r="Q868">
            <v>1</v>
          </cell>
          <cell r="R868">
            <v>0</v>
          </cell>
          <cell r="S868">
            <v>0</v>
          </cell>
          <cell r="T868">
            <v>2</v>
          </cell>
          <cell r="V868">
            <v>0</v>
          </cell>
          <cell r="W868">
            <v>62</v>
          </cell>
          <cell r="X868">
            <v>3</v>
          </cell>
          <cell r="Y868">
            <v>2</v>
          </cell>
          <cell r="AA868">
            <v>0</v>
          </cell>
          <cell r="AB868">
            <v>1</v>
          </cell>
          <cell r="AC868">
            <v>0</v>
          </cell>
          <cell r="AD868">
            <v>0</v>
          </cell>
          <cell r="AE868">
            <v>0</v>
          </cell>
          <cell r="AF868">
            <v>0</v>
          </cell>
          <cell r="AG868">
            <v>0</v>
          </cell>
          <cell r="AH868">
            <v>0</v>
          </cell>
          <cell r="AI868">
            <v>2</v>
          </cell>
          <cell r="AK868">
            <v>0</v>
          </cell>
          <cell r="AL868">
            <v>1</v>
          </cell>
          <cell r="AN868">
            <v>4327</v>
          </cell>
          <cell r="AO868">
            <v>5</v>
          </cell>
          <cell r="AQ868">
            <v>0</v>
          </cell>
          <cell r="AR868">
            <v>12</v>
          </cell>
          <cell r="AS868">
            <v>3</v>
          </cell>
          <cell r="AT868">
            <v>4</v>
          </cell>
          <cell r="AU868">
            <v>3</v>
          </cell>
          <cell r="AV868">
            <v>5</v>
          </cell>
          <cell r="AW868">
            <v>5</v>
          </cell>
          <cell r="AX868">
            <v>2</v>
          </cell>
          <cell r="AY868">
            <v>3</v>
          </cell>
          <cell r="AZ868">
            <v>0</v>
          </cell>
          <cell r="BA868">
            <v>0</v>
          </cell>
          <cell r="BB868">
            <v>0</v>
          </cell>
          <cell r="BC868">
            <v>0</v>
          </cell>
          <cell r="BD868">
            <v>0</v>
          </cell>
          <cell r="BE868">
            <v>0</v>
          </cell>
          <cell r="BF868">
            <v>0</v>
          </cell>
          <cell r="BG868">
            <v>0</v>
          </cell>
          <cell r="BH868">
            <v>0</v>
          </cell>
          <cell r="BI868">
            <v>0</v>
          </cell>
          <cell r="BJ868">
            <v>0</v>
          </cell>
          <cell r="BK868">
            <v>1</v>
          </cell>
          <cell r="BL868">
            <v>0</v>
          </cell>
          <cell r="BM868">
            <v>0</v>
          </cell>
          <cell r="BN868">
            <v>1</v>
          </cell>
          <cell r="BO868">
            <v>0</v>
          </cell>
          <cell r="BP868">
            <v>0</v>
          </cell>
          <cell r="BQ868">
            <v>0</v>
          </cell>
          <cell r="BR868">
            <v>0</v>
          </cell>
          <cell r="BS868">
            <v>0</v>
          </cell>
          <cell r="BT868">
            <v>0</v>
          </cell>
          <cell r="BU868">
            <v>5</v>
          </cell>
        </row>
        <row r="869">
          <cell r="A869">
            <v>50</v>
          </cell>
          <cell r="B869">
            <v>50</v>
          </cell>
          <cell r="D869">
            <v>0</v>
          </cell>
          <cell r="F869">
            <v>1</v>
          </cell>
          <cell r="G869">
            <v>0</v>
          </cell>
          <cell r="I869">
            <v>1</v>
          </cell>
          <cell r="J869">
            <v>0</v>
          </cell>
          <cell r="K869">
            <v>2</v>
          </cell>
          <cell r="L869">
            <v>2</v>
          </cell>
          <cell r="M869">
            <v>3</v>
          </cell>
          <cell r="O869">
            <v>0</v>
          </cell>
          <cell r="P869">
            <v>0</v>
          </cell>
          <cell r="Q869">
            <v>1</v>
          </cell>
          <cell r="R869">
            <v>0</v>
          </cell>
          <cell r="S869">
            <v>0</v>
          </cell>
          <cell r="T869">
            <v>4</v>
          </cell>
          <cell r="V869">
            <v>1</v>
          </cell>
          <cell r="W869">
            <v>30</v>
          </cell>
          <cell r="X869">
            <v>3</v>
          </cell>
          <cell r="Y869">
            <v>4</v>
          </cell>
          <cell r="AA869">
            <v>0</v>
          </cell>
          <cell r="AB869">
            <v>0</v>
          </cell>
          <cell r="AC869">
            <v>0</v>
          </cell>
          <cell r="AD869">
            <v>1</v>
          </cell>
          <cell r="AE869">
            <v>0</v>
          </cell>
          <cell r="AF869">
            <v>0</v>
          </cell>
          <cell r="AG869">
            <v>0</v>
          </cell>
          <cell r="AH869">
            <v>0</v>
          </cell>
          <cell r="AI869">
            <v>1</v>
          </cell>
          <cell r="AK869">
            <v>0</v>
          </cell>
          <cell r="AL869">
            <v>1</v>
          </cell>
          <cell r="AN869">
            <v>17856</v>
          </cell>
          <cell r="AO869">
            <v>2</v>
          </cell>
          <cell r="AQ869">
            <v>0</v>
          </cell>
          <cell r="AR869">
            <v>22</v>
          </cell>
          <cell r="AS869">
            <v>4</v>
          </cell>
          <cell r="AT869">
            <v>3</v>
          </cell>
          <cell r="AU869">
            <v>1</v>
          </cell>
          <cell r="AV869">
            <v>32</v>
          </cell>
          <cell r="AW869">
            <v>32</v>
          </cell>
          <cell r="AX869">
            <v>3</v>
          </cell>
          <cell r="AY869">
            <v>3</v>
          </cell>
          <cell r="AZ869">
            <v>2</v>
          </cell>
          <cell r="BA869">
            <v>2</v>
          </cell>
          <cell r="BB869">
            <v>2</v>
          </cell>
          <cell r="BC869">
            <v>2</v>
          </cell>
          <cell r="BD869">
            <v>2</v>
          </cell>
          <cell r="BE869">
            <v>2</v>
          </cell>
          <cell r="BF869">
            <v>2</v>
          </cell>
          <cell r="BG869">
            <v>8</v>
          </cell>
          <cell r="BH869">
            <v>0</v>
          </cell>
          <cell r="BI869">
            <v>0</v>
          </cell>
          <cell r="BJ869">
            <v>0</v>
          </cell>
          <cell r="BK869">
            <v>1</v>
          </cell>
          <cell r="BL869">
            <v>0</v>
          </cell>
          <cell r="BM869">
            <v>0</v>
          </cell>
          <cell r="BN869">
            <v>1</v>
          </cell>
          <cell r="BO869">
            <v>0</v>
          </cell>
          <cell r="BP869">
            <v>0</v>
          </cell>
          <cell r="BQ869">
            <v>2</v>
          </cell>
          <cell r="BR869">
            <v>0</v>
          </cell>
          <cell r="BS869">
            <v>0</v>
          </cell>
          <cell r="BT869">
            <v>32</v>
          </cell>
          <cell r="BU869">
            <v>0</v>
          </cell>
        </row>
        <row r="870">
          <cell r="A870">
            <v>28</v>
          </cell>
          <cell r="B870">
            <v>28</v>
          </cell>
          <cell r="D870">
            <v>0</v>
          </cell>
          <cell r="F870">
            <v>0</v>
          </cell>
          <cell r="G870">
            <v>1</v>
          </cell>
          <cell r="I870">
            <v>1</v>
          </cell>
          <cell r="J870">
            <v>0</v>
          </cell>
          <cell r="K870">
            <v>19</v>
          </cell>
          <cell r="L870">
            <v>19</v>
          </cell>
          <cell r="M870">
            <v>4</v>
          </cell>
          <cell r="O870">
            <v>0</v>
          </cell>
          <cell r="P870">
            <v>0</v>
          </cell>
          <cell r="Q870">
            <v>1</v>
          </cell>
          <cell r="R870">
            <v>0</v>
          </cell>
          <cell r="S870">
            <v>0</v>
          </cell>
          <cell r="T870">
            <v>4</v>
          </cell>
          <cell r="V870">
            <v>0</v>
          </cell>
          <cell r="W870">
            <v>78</v>
          </cell>
          <cell r="X870">
            <v>2</v>
          </cell>
          <cell r="Y870">
            <v>1</v>
          </cell>
          <cell r="AA870">
            <v>0</v>
          </cell>
          <cell r="AB870">
            <v>0</v>
          </cell>
          <cell r="AC870">
            <v>1</v>
          </cell>
          <cell r="AD870">
            <v>0</v>
          </cell>
          <cell r="AE870">
            <v>0</v>
          </cell>
          <cell r="AF870">
            <v>0</v>
          </cell>
          <cell r="AG870">
            <v>0</v>
          </cell>
          <cell r="AH870">
            <v>0</v>
          </cell>
          <cell r="AI870">
            <v>1</v>
          </cell>
          <cell r="AK870">
            <v>0</v>
          </cell>
          <cell r="AL870">
            <v>1</v>
          </cell>
          <cell r="AN870">
            <v>3196</v>
          </cell>
          <cell r="AO870">
            <v>1</v>
          </cell>
          <cell r="AQ870">
            <v>0</v>
          </cell>
          <cell r="AR870">
            <v>12</v>
          </cell>
          <cell r="AS870">
            <v>3</v>
          </cell>
          <cell r="AT870">
            <v>3</v>
          </cell>
          <cell r="AU870">
            <v>3</v>
          </cell>
          <cell r="AV870">
            <v>6</v>
          </cell>
          <cell r="AW870">
            <v>6</v>
          </cell>
          <cell r="AX870">
            <v>2</v>
          </cell>
          <cell r="AY870">
            <v>3</v>
          </cell>
          <cell r="AZ870">
            <v>6</v>
          </cell>
          <cell r="BA870">
            <v>6</v>
          </cell>
          <cell r="BB870">
            <v>5</v>
          </cell>
          <cell r="BC870">
            <v>3</v>
          </cell>
          <cell r="BD870">
            <v>3</v>
          </cell>
          <cell r="BE870">
            <v>3</v>
          </cell>
          <cell r="BF870">
            <v>3</v>
          </cell>
          <cell r="BG870">
            <v>3</v>
          </cell>
          <cell r="BH870">
            <v>0</v>
          </cell>
          <cell r="BI870">
            <v>1</v>
          </cell>
          <cell r="BJ870">
            <v>0</v>
          </cell>
          <cell r="BK870">
            <v>0</v>
          </cell>
          <cell r="BL870">
            <v>0</v>
          </cell>
          <cell r="BM870">
            <v>0</v>
          </cell>
          <cell r="BN870">
            <v>1</v>
          </cell>
          <cell r="BO870">
            <v>0</v>
          </cell>
          <cell r="BP870">
            <v>0</v>
          </cell>
          <cell r="BQ870">
            <v>3</v>
          </cell>
          <cell r="BR870">
            <v>0</v>
          </cell>
          <cell r="BS870">
            <v>0</v>
          </cell>
          <cell r="BT870">
            <v>6</v>
          </cell>
          <cell r="BU870">
            <v>0</v>
          </cell>
        </row>
        <row r="871">
          <cell r="A871">
            <v>46</v>
          </cell>
          <cell r="B871">
            <v>46</v>
          </cell>
          <cell r="D871">
            <v>0</v>
          </cell>
          <cell r="F871">
            <v>0</v>
          </cell>
          <cell r="G871">
            <v>1</v>
          </cell>
          <cell r="I871">
            <v>1</v>
          </cell>
          <cell r="J871">
            <v>0</v>
          </cell>
          <cell r="K871">
            <v>15</v>
          </cell>
          <cell r="L871">
            <v>15</v>
          </cell>
          <cell r="M871">
            <v>2</v>
          </cell>
          <cell r="O871">
            <v>1</v>
          </cell>
          <cell r="P871">
            <v>0</v>
          </cell>
          <cell r="Q871">
            <v>0</v>
          </cell>
          <cell r="R871">
            <v>0</v>
          </cell>
          <cell r="S871">
            <v>0</v>
          </cell>
          <cell r="T871">
            <v>4</v>
          </cell>
          <cell r="V871">
            <v>0</v>
          </cell>
          <cell r="W871">
            <v>52</v>
          </cell>
          <cell r="X871">
            <v>3</v>
          </cell>
          <cell r="Y871">
            <v>5</v>
          </cell>
          <cell r="AA871">
            <v>0</v>
          </cell>
          <cell r="AB871">
            <v>0</v>
          </cell>
          <cell r="AC871">
            <v>0</v>
          </cell>
          <cell r="AD871">
            <v>0</v>
          </cell>
          <cell r="AE871">
            <v>0</v>
          </cell>
          <cell r="AF871">
            <v>0</v>
          </cell>
          <cell r="AG871">
            <v>0</v>
          </cell>
          <cell r="AH871">
            <v>0</v>
          </cell>
          <cell r="AI871">
            <v>2</v>
          </cell>
          <cell r="AK871">
            <v>0</v>
          </cell>
          <cell r="AL871">
            <v>1</v>
          </cell>
          <cell r="AN871">
            <v>19081</v>
          </cell>
          <cell r="AO871">
            <v>5</v>
          </cell>
          <cell r="AQ871">
            <v>0</v>
          </cell>
          <cell r="AR871">
            <v>11</v>
          </cell>
          <cell r="AS871">
            <v>3</v>
          </cell>
          <cell r="AT871">
            <v>1</v>
          </cell>
          <cell r="AU871">
            <v>1</v>
          </cell>
          <cell r="AV871">
            <v>25</v>
          </cell>
          <cell r="AW871">
            <v>25</v>
          </cell>
          <cell r="AX871">
            <v>2</v>
          </cell>
          <cell r="AY871">
            <v>3</v>
          </cell>
          <cell r="AZ871">
            <v>4</v>
          </cell>
          <cell r="BA871">
            <v>4</v>
          </cell>
          <cell r="BB871">
            <v>2</v>
          </cell>
          <cell r="BC871">
            <v>0</v>
          </cell>
          <cell r="BD871">
            <v>0</v>
          </cell>
          <cell r="BE871">
            <v>3</v>
          </cell>
          <cell r="BF871">
            <v>3</v>
          </cell>
          <cell r="BG871">
            <v>15</v>
          </cell>
          <cell r="BH871">
            <v>0</v>
          </cell>
          <cell r="BI871">
            <v>1</v>
          </cell>
          <cell r="BJ871">
            <v>0</v>
          </cell>
          <cell r="BK871">
            <v>0</v>
          </cell>
          <cell r="BL871">
            <v>0</v>
          </cell>
          <cell r="BM871">
            <v>0</v>
          </cell>
          <cell r="BN871">
            <v>1</v>
          </cell>
          <cell r="BO871">
            <v>0</v>
          </cell>
          <cell r="BP871">
            <v>0</v>
          </cell>
          <cell r="BQ871">
            <v>3</v>
          </cell>
          <cell r="BR871">
            <v>0</v>
          </cell>
          <cell r="BS871">
            <v>0</v>
          </cell>
          <cell r="BT871">
            <v>25</v>
          </cell>
          <cell r="BU871">
            <v>0</v>
          </cell>
        </row>
        <row r="872">
          <cell r="A872">
            <v>35</v>
          </cell>
          <cell r="B872">
            <v>35</v>
          </cell>
          <cell r="D872">
            <v>0</v>
          </cell>
          <cell r="F872">
            <v>0</v>
          </cell>
          <cell r="G872">
            <v>1</v>
          </cell>
          <cell r="I872">
            <v>0</v>
          </cell>
          <cell r="J872">
            <v>1</v>
          </cell>
          <cell r="K872">
            <v>17</v>
          </cell>
          <cell r="L872">
            <v>17</v>
          </cell>
          <cell r="M872">
            <v>4</v>
          </cell>
          <cell r="O872">
            <v>1</v>
          </cell>
          <cell r="P872">
            <v>0</v>
          </cell>
          <cell r="Q872">
            <v>0</v>
          </cell>
          <cell r="R872">
            <v>0</v>
          </cell>
          <cell r="S872">
            <v>0</v>
          </cell>
          <cell r="T872">
            <v>3</v>
          </cell>
          <cell r="V872">
            <v>0</v>
          </cell>
          <cell r="W872">
            <v>94</v>
          </cell>
          <cell r="X872">
            <v>3</v>
          </cell>
          <cell r="Y872">
            <v>2</v>
          </cell>
          <cell r="AA872">
            <v>0</v>
          </cell>
          <cell r="AB872">
            <v>1</v>
          </cell>
          <cell r="AC872">
            <v>0</v>
          </cell>
          <cell r="AD872">
            <v>0</v>
          </cell>
          <cell r="AE872">
            <v>0</v>
          </cell>
          <cell r="AF872">
            <v>0</v>
          </cell>
          <cell r="AG872">
            <v>0</v>
          </cell>
          <cell r="AH872">
            <v>0</v>
          </cell>
          <cell r="AI872">
            <v>1</v>
          </cell>
          <cell r="AK872">
            <v>0</v>
          </cell>
          <cell r="AL872">
            <v>1</v>
          </cell>
          <cell r="AN872">
            <v>8966</v>
          </cell>
          <cell r="AO872">
            <v>3</v>
          </cell>
          <cell r="AQ872">
            <v>1</v>
          </cell>
          <cell r="AR872">
            <v>15</v>
          </cell>
          <cell r="AS872">
            <v>3</v>
          </cell>
          <cell r="AT872">
            <v>4</v>
          </cell>
          <cell r="AU872">
            <v>3</v>
          </cell>
          <cell r="AV872">
            <v>15</v>
          </cell>
          <cell r="AW872">
            <v>15</v>
          </cell>
          <cell r="AX872">
            <v>2</v>
          </cell>
          <cell r="AY872">
            <v>3</v>
          </cell>
          <cell r="AZ872">
            <v>7</v>
          </cell>
          <cell r="BA872">
            <v>7</v>
          </cell>
          <cell r="BB872">
            <v>7</v>
          </cell>
          <cell r="BC872">
            <v>1</v>
          </cell>
          <cell r="BD872">
            <v>1</v>
          </cell>
          <cell r="BE872">
            <v>7</v>
          </cell>
          <cell r="BF872">
            <v>7</v>
          </cell>
          <cell r="BG872">
            <v>14</v>
          </cell>
          <cell r="BH872">
            <v>0</v>
          </cell>
          <cell r="BI872">
            <v>1</v>
          </cell>
          <cell r="BJ872">
            <v>0</v>
          </cell>
          <cell r="BK872">
            <v>0</v>
          </cell>
          <cell r="BL872">
            <v>0</v>
          </cell>
          <cell r="BM872">
            <v>0</v>
          </cell>
          <cell r="BN872">
            <v>0</v>
          </cell>
          <cell r="BO872">
            <v>1</v>
          </cell>
          <cell r="BP872">
            <v>0</v>
          </cell>
          <cell r="BQ872">
            <v>0</v>
          </cell>
          <cell r="BR872">
            <v>7</v>
          </cell>
          <cell r="BS872">
            <v>0</v>
          </cell>
          <cell r="BT872">
            <v>0</v>
          </cell>
          <cell r="BU872">
            <v>15</v>
          </cell>
        </row>
        <row r="873">
          <cell r="A873">
            <v>24</v>
          </cell>
          <cell r="B873">
            <v>24</v>
          </cell>
          <cell r="D873">
            <v>1</v>
          </cell>
          <cell r="F873">
            <v>0</v>
          </cell>
          <cell r="G873">
            <v>1</v>
          </cell>
          <cell r="I873">
            <v>1</v>
          </cell>
          <cell r="J873">
            <v>0</v>
          </cell>
          <cell r="K873">
            <v>17</v>
          </cell>
          <cell r="L873">
            <v>17</v>
          </cell>
          <cell r="M873">
            <v>2</v>
          </cell>
          <cell r="O873">
            <v>1</v>
          </cell>
          <cell r="P873">
            <v>0</v>
          </cell>
          <cell r="Q873">
            <v>0</v>
          </cell>
          <cell r="R873">
            <v>0</v>
          </cell>
          <cell r="S873">
            <v>0</v>
          </cell>
          <cell r="T873">
            <v>4</v>
          </cell>
          <cell r="V873">
            <v>1</v>
          </cell>
          <cell r="W873">
            <v>97</v>
          </cell>
          <cell r="X873">
            <v>3</v>
          </cell>
          <cell r="Y873">
            <v>1</v>
          </cell>
          <cell r="AA873">
            <v>0</v>
          </cell>
          <cell r="AB873">
            <v>0</v>
          </cell>
          <cell r="AC873">
            <v>1</v>
          </cell>
          <cell r="AD873">
            <v>0</v>
          </cell>
          <cell r="AE873">
            <v>0</v>
          </cell>
          <cell r="AF873">
            <v>0</v>
          </cell>
          <cell r="AG873">
            <v>0</v>
          </cell>
          <cell r="AH873">
            <v>0</v>
          </cell>
          <cell r="AI873">
            <v>2</v>
          </cell>
          <cell r="AK873">
            <v>0</v>
          </cell>
          <cell r="AL873">
            <v>1</v>
          </cell>
          <cell r="AN873">
            <v>2210</v>
          </cell>
          <cell r="AO873">
            <v>1</v>
          </cell>
          <cell r="AQ873">
            <v>0</v>
          </cell>
          <cell r="AR873">
            <v>13</v>
          </cell>
          <cell r="AS873">
            <v>3</v>
          </cell>
          <cell r="AT873">
            <v>1</v>
          </cell>
          <cell r="AU873">
            <v>1</v>
          </cell>
          <cell r="AV873">
            <v>1</v>
          </cell>
          <cell r="AW873">
            <v>1</v>
          </cell>
          <cell r="AX873">
            <v>3</v>
          </cell>
          <cell r="AY873">
            <v>1</v>
          </cell>
          <cell r="AZ873">
            <v>1</v>
          </cell>
          <cell r="BA873">
            <v>1</v>
          </cell>
          <cell r="BB873">
            <v>0</v>
          </cell>
          <cell r="BC873">
            <v>0</v>
          </cell>
          <cell r="BD873">
            <v>0</v>
          </cell>
          <cell r="BE873">
            <v>0</v>
          </cell>
          <cell r="BF873">
            <v>0</v>
          </cell>
          <cell r="BG873">
            <v>0</v>
          </cell>
          <cell r="BH873">
            <v>0</v>
          </cell>
          <cell r="BI873">
            <v>1</v>
          </cell>
          <cell r="BJ873">
            <v>0</v>
          </cell>
          <cell r="BK873">
            <v>0</v>
          </cell>
          <cell r="BL873">
            <v>0</v>
          </cell>
          <cell r="BM873">
            <v>0</v>
          </cell>
          <cell r="BN873">
            <v>1</v>
          </cell>
          <cell r="BO873">
            <v>0</v>
          </cell>
          <cell r="BP873">
            <v>0</v>
          </cell>
          <cell r="BQ873">
            <v>0</v>
          </cell>
          <cell r="BR873">
            <v>0</v>
          </cell>
          <cell r="BS873">
            <v>0</v>
          </cell>
          <cell r="BT873">
            <v>1</v>
          </cell>
          <cell r="BU873">
            <v>0</v>
          </cell>
        </row>
        <row r="874">
          <cell r="A874">
            <v>33</v>
          </cell>
          <cell r="B874">
            <v>33</v>
          </cell>
          <cell r="D874">
            <v>0</v>
          </cell>
          <cell r="F874">
            <v>1</v>
          </cell>
          <cell r="G874">
            <v>0</v>
          </cell>
          <cell r="I874">
            <v>0</v>
          </cell>
          <cell r="J874">
            <v>1</v>
          </cell>
          <cell r="K874">
            <v>25</v>
          </cell>
          <cell r="L874">
            <v>25</v>
          </cell>
          <cell r="M874">
            <v>3</v>
          </cell>
          <cell r="O874">
            <v>0</v>
          </cell>
          <cell r="P874">
            <v>0</v>
          </cell>
          <cell r="Q874">
            <v>1</v>
          </cell>
          <cell r="R874">
            <v>0</v>
          </cell>
          <cell r="S874">
            <v>0</v>
          </cell>
          <cell r="T874">
            <v>2</v>
          </cell>
          <cell r="V874">
            <v>1</v>
          </cell>
          <cell r="W874">
            <v>82</v>
          </cell>
          <cell r="X874">
            <v>3</v>
          </cell>
          <cell r="Y874">
            <v>2</v>
          </cell>
          <cell r="AA874">
            <v>0</v>
          </cell>
          <cell r="AB874">
            <v>1</v>
          </cell>
          <cell r="AC874">
            <v>0</v>
          </cell>
          <cell r="AD874">
            <v>0</v>
          </cell>
          <cell r="AE874">
            <v>0</v>
          </cell>
          <cell r="AF874">
            <v>0</v>
          </cell>
          <cell r="AG874">
            <v>0</v>
          </cell>
          <cell r="AH874">
            <v>0</v>
          </cell>
          <cell r="AI874">
            <v>3</v>
          </cell>
          <cell r="AK874">
            <v>0</v>
          </cell>
          <cell r="AL874">
            <v>1</v>
          </cell>
          <cell r="AN874">
            <v>4539</v>
          </cell>
          <cell r="AO874">
            <v>1</v>
          </cell>
          <cell r="AQ874">
            <v>0</v>
          </cell>
          <cell r="AR874">
            <v>12</v>
          </cell>
          <cell r="AS874">
            <v>3</v>
          </cell>
          <cell r="AT874">
            <v>1</v>
          </cell>
          <cell r="AU874">
            <v>1</v>
          </cell>
          <cell r="AV874">
            <v>10</v>
          </cell>
          <cell r="AW874">
            <v>10</v>
          </cell>
          <cell r="AX874">
            <v>3</v>
          </cell>
          <cell r="AY874">
            <v>2</v>
          </cell>
          <cell r="AZ874">
            <v>10</v>
          </cell>
          <cell r="BA874">
            <v>10</v>
          </cell>
          <cell r="BB874">
            <v>7</v>
          </cell>
          <cell r="BC874">
            <v>0</v>
          </cell>
          <cell r="BD874">
            <v>0</v>
          </cell>
          <cell r="BE874">
            <v>1</v>
          </cell>
          <cell r="BF874">
            <v>1</v>
          </cell>
          <cell r="BG874">
            <v>2</v>
          </cell>
          <cell r="BH874">
            <v>0</v>
          </cell>
          <cell r="BI874">
            <v>0</v>
          </cell>
          <cell r="BJ874">
            <v>0</v>
          </cell>
          <cell r="BK874">
            <v>1</v>
          </cell>
          <cell r="BL874">
            <v>0</v>
          </cell>
          <cell r="BM874">
            <v>0</v>
          </cell>
          <cell r="BN874">
            <v>1</v>
          </cell>
          <cell r="BO874">
            <v>0</v>
          </cell>
          <cell r="BP874">
            <v>0</v>
          </cell>
          <cell r="BQ874">
            <v>0</v>
          </cell>
          <cell r="BR874">
            <v>1</v>
          </cell>
          <cell r="BS874">
            <v>0</v>
          </cell>
          <cell r="BT874">
            <v>0</v>
          </cell>
          <cell r="BU874">
            <v>10</v>
          </cell>
        </row>
        <row r="875">
          <cell r="A875">
            <v>36</v>
          </cell>
          <cell r="B875">
            <v>36</v>
          </cell>
          <cell r="D875">
            <v>0</v>
          </cell>
          <cell r="F875">
            <v>0</v>
          </cell>
          <cell r="G875">
            <v>1</v>
          </cell>
          <cell r="I875">
            <v>1</v>
          </cell>
          <cell r="J875">
            <v>0</v>
          </cell>
          <cell r="K875">
            <v>6</v>
          </cell>
          <cell r="L875">
            <v>6</v>
          </cell>
          <cell r="M875">
            <v>4</v>
          </cell>
          <cell r="O875">
            <v>1</v>
          </cell>
          <cell r="P875">
            <v>0</v>
          </cell>
          <cell r="Q875">
            <v>0</v>
          </cell>
          <cell r="R875">
            <v>0</v>
          </cell>
          <cell r="S875">
            <v>0</v>
          </cell>
          <cell r="T875">
            <v>3</v>
          </cell>
          <cell r="V875">
            <v>0</v>
          </cell>
          <cell r="W875">
            <v>60</v>
          </cell>
          <cell r="X875">
            <v>1</v>
          </cell>
          <cell r="Y875">
            <v>1</v>
          </cell>
          <cell r="AA875">
            <v>0</v>
          </cell>
          <cell r="AB875">
            <v>0</v>
          </cell>
          <cell r="AC875">
            <v>1</v>
          </cell>
          <cell r="AD875">
            <v>0</v>
          </cell>
          <cell r="AE875">
            <v>0</v>
          </cell>
          <cell r="AF875">
            <v>0</v>
          </cell>
          <cell r="AG875">
            <v>0</v>
          </cell>
          <cell r="AH875">
            <v>0</v>
          </cell>
          <cell r="AI875">
            <v>3</v>
          </cell>
          <cell r="AK875">
            <v>0</v>
          </cell>
          <cell r="AL875">
            <v>0</v>
          </cell>
          <cell r="AN875">
            <v>2741</v>
          </cell>
          <cell r="AO875">
            <v>1</v>
          </cell>
          <cell r="AQ875">
            <v>0</v>
          </cell>
          <cell r="AR875">
            <v>14</v>
          </cell>
          <cell r="AS875">
            <v>3</v>
          </cell>
          <cell r="AT875">
            <v>3</v>
          </cell>
          <cell r="AU875">
            <v>1</v>
          </cell>
          <cell r="AV875">
            <v>7</v>
          </cell>
          <cell r="AW875">
            <v>7</v>
          </cell>
          <cell r="AX875">
            <v>4</v>
          </cell>
          <cell r="AY875">
            <v>3</v>
          </cell>
          <cell r="AZ875">
            <v>7</v>
          </cell>
          <cell r="BA875">
            <v>7</v>
          </cell>
          <cell r="BB875">
            <v>7</v>
          </cell>
          <cell r="BC875">
            <v>1</v>
          </cell>
          <cell r="BD875">
            <v>1</v>
          </cell>
          <cell r="BE875">
            <v>7</v>
          </cell>
          <cell r="BF875">
            <v>7</v>
          </cell>
          <cell r="BG875">
            <v>7</v>
          </cell>
          <cell r="BH875">
            <v>1</v>
          </cell>
          <cell r="BI875">
            <v>0</v>
          </cell>
          <cell r="BJ875">
            <v>0</v>
          </cell>
          <cell r="BK875">
            <v>0</v>
          </cell>
          <cell r="BL875">
            <v>1</v>
          </cell>
          <cell r="BM875">
            <v>0</v>
          </cell>
          <cell r="BN875">
            <v>0</v>
          </cell>
          <cell r="BO875">
            <v>0</v>
          </cell>
          <cell r="BP875">
            <v>0</v>
          </cell>
          <cell r="BQ875">
            <v>7</v>
          </cell>
          <cell r="BR875">
            <v>0</v>
          </cell>
          <cell r="BS875">
            <v>0</v>
          </cell>
          <cell r="BT875">
            <v>7</v>
          </cell>
          <cell r="BU875">
            <v>0</v>
          </cell>
        </row>
        <row r="876">
          <cell r="A876">
            <v>30</v>
          </cell>
          <cell r="B876">
            <v>30</v>
          </cell>
          <cell r="D876">
            <v>0</v>
          </cell>
          <cell r="F876">
            <v>0</v>
          </cell>
          <cell r="G876">
            <v>1</v>
          </cell>
          <cell r="I876">
            <v>1</v>
          </cell>
          <cell r="J876">
            <v>0</v>
          </cell>
          <cell r="K876">
            <v>7</v>
          </cell>
          <cell r="L876">
            <v>7</v>
          </cell>
          <cell r="M876">
            <v>4</v>
          </cell>
          <cell r="O876">
            <v>1</v>
          </cell>
          <cell r="P876">
            <v>0</v>
          </cell>
          <cell r="Q876">
            <v>0</v>
          </cell>
          <cell r="R876">
            <v>0</v>
          </cell>
          <cell r="S876">
            <v>0</v>
          </cell>
          <cell r="T876">
            <v>3</v>
          </cell>
          <cell r="V876">
            <v>0</v>
          </cell>
          <cell r="W876">
            <v>49</v>
          </cell>
          <cell r="X876">
            <v>3</v>
          </cell>
          <cell r="Y876">
            <v>2</v>
          </cell>
          <cell r="AA876">
            <v>0</v>
          </cell>
          <cell r="AB876">
            <v>0</v>
          </cell>
          <cell r="AC876">
            <v>1</v>
          </cell>
          <cell r="AD876">
            <v>0</v>
          </cell>
          <cell r="AE876">
            <v>0</v>
          </cell>
          <cell r="AF876">
            <v>0</v>
          </cell>
          <cell r="AG876">
            <v>0</v>
          </cell>
          <cell r="AH876">
            <v>0</v>
          </cell>
          <cell r="AI876">
            <v>3</v>
          </cell>
          <cell r="AK876">
            <v>0</v>
          </cell>
          <cell r="AL876">
            <v>0</v>
          </cell>
          <cell r="AN876">
            <v>3491</v>
          </cell>
          <cell r="AO876">
            <v>1</v>
          </cell>
          <cell r="AQ876">
            <v>0</v>
          </cell>
          <cell r="AR876">
            <v>13</v>
          </cell>
          <cell r="AS876">
            <v>3</v>
          </cell>
          <cell r="AT876">
            <v>1</v>
          </cell>
          <cell r="AU876">
            <v>3</v>
          </cell>
          <cell r="AV876">
            <v>10</v>
          </cell>
          <cell r="AW876">
            <v>10</v>
          </cell>
          <cell r="AX876">
            <v>4</v>
          </cell>
          <cell r="AY876">
            <v>2</v>
          </cell>
          <cell r="AZ876">
            <v>10</v>
          </cell>
          <cell r="BA876">
            <v>10</v>
          </cell>
          <cell r="BB876">
            <v>7</v>
          </cell>
          <cell r="BC876">
            <v>8</v>
          </cell>
          <cell r="BD876">
            <v>8</v>
          </cell>
          <cell r="BE876">
            <v>9</v>
          </cell>
          <cell r="BF876">
            <v>9</v>
          </cell>
          <cell r="BG876">
            <v>18</v>
          </cell>
          <cell r="BH876">
            <v>1</v>
          </cell>
          <cell r="BI876">
            <v>0</v>
          </cell>
          <cell r="BJ876">
            <v>0</v>
          </cell>
          <cell r="BK876">
            <v>0</v>
          </cell>
          <cell r="BL876">
            <v>1</v>
          </cell>
          <cell r="BM876">
            <v>0</v>
          </cell>
          <cell r="BN876">
            <v>0</v>
          </cell>
          <cell r="BO876">
            <v>0</v>
          </cell>
          <cell r="BP876">
            <v>0</v>
          </cell>
          <cell r="BQ876">
            <v>9</v>
          </cell>
          <cell r="BR876">
            <v>0</v>
          </cell>
          <cell r="BS876">
            <v>0</v>
          </cell>
          <cell r="BT876">
            <v>10</v>
          </cell>
          <cell r="BU876">
            <v>0</v>
          </cell>
        </row>
        <row r="877">
          <cell r="A877">
            <v>44</v>
          </cell>
          <cell r="B877">
            <v>44</v>
          </cell>
          <cell r="D877">
            <v>0</v>
          </cell>
          <cell r="F877">
            <v>0</v>
          </cell>
          <cell r="G877">
            <v>1</v>
          </cell>
          <cell r="I877">
            <v>1</v>
          </cell>
          <cell r="J877">
            <v>0</v>
          </cell>
          <cell r="K877">
            <v>29</v>
          </cell>
          <cell r="L877">
            <v>29</v>
          </cell>
          <cell r="M877">
            <v>4</v>
          </cell>
          <cell r="O877">
            <v>0</v>
          </cell>
          <cell r="P877">
            <v>1</v>
          </cell>
          <cell r="Q877">
            <v>0</v>
          </cell>
          <cell r="R877">
            <v>0</v>
          </cell>
          <cell r="S877">
            <v>0</v>
          </cell>
          <cell r="T877">
            <v>4</v>
          </cell>
          <cell r="V877">
            <v>0</v>
          </cell>
          <cell r="W877">
            <v>32</v>
          </cell>
          <cell r="X877">
            <v>3</v>
          </cell>
          <cell r="Y877">
            <v>2</v>
          </cell>
          <cell r="AA877">
            <v>0</v>
          </cell>
          <cell r="AB877">
            <v>0</v>
          </cell>
          <cell r="AC877">
            <v>0</v>
          </cell>
          <cell r="AD877">
            <v>0</v>
          </cell>
          <cell r="AE877">
            <v>0</v>
          </cell>
          <cell r="AF877">
            <v>0</v>
          </cell>
          <cell r="AG877">
            <v>0</v>
          </cell>
          <cell r="AH877">
            <v>1</v>
          </cell>
          <cell r="AI877">
            <v>4</v>
          </cell>
          <cell r="AK877">
            <v>1</v>
          </cell>
          <cell r="AL877">
            <v>0</v>
          </cell>
          <cell r="AN877">
            <v>4541</v>
          </cell>
          <cell r="AO877">
            <v>1</v>
          </cell>
          <cell r="AQ877">
            <v>0</v>
          </cell>
          <cell r="AR877">
            <v>25</v>
          </cell>
          <cell r="AS877">
            <v>4</v>
          </cell>
          <cell r="AT877">
            <v>2</v>
          </cell>
          <cell r="AU877">
            <v>0</v>
          </cell>
          <cell r="AV877">
            <v>20</v>
          </cell>
          <cell r="AW877">
            <v>20</v>
          </cell>
          <cell r="AX877">
            <v>3</v>
          </cell>
          <cell r="AY877">
            <v>3</v>
          </cell>
          <cell r="AZ877">
            <v>20</v>
          </cell>
          <cell r="BA877">
            <v>20</v>
          </cell>
          <cell r="BB877">
            <v>11</v>
          </cell>
          <cell r="BC877">
            <v>13</v>
          </cell>
          <cell r="BD877">
            <v>13</v>
          </cell>
          <cell r="BE877">
            <v>17</v>
          </cell>
          <cell r="BF877">
            <v>14</v>
          </cell>
          <cell r="BG877">
            <v>28</v>
          </cell>
          <cell r="BH877">
            <v>1</v>
          </cell>
          <cell r="BI877">
            <v>0</v>
          </cell>
          <cell r="BJ877">
            <v>0</v>
          </cell>
          <cell r="BK877">
            <v>0</v>
          </cell>
          <cell r="BL877">
            <v>1</v>
          </cell>
          <cell r="BM877">
            <v>0</v>
          </cell>
          <cell r="BN877">
            <v>0</v>
          </cell>
          <cell r="BO877">
            <v>0</v>
          </cell>
          <cell r="BP877">
            <v>0</v>
          </cell>
          <cell r="BQ877">
            <v>14</v>
          </cell>
          <cell r="BR877">
            <v>0</v>
          </cell>
          <cell r="BS877">
            <v>0</v>
          </cell>
          <cell r="BT877">
            <v>20</v>
          </cell>
          <cell r="BU877">
            <v>0</v>
          </cell>
        </row>
        <row r="878">
          <cell r="A878">
            <v>20</v>
          </cell>
          <cell r="B878">
            <v>20</v>
          </cell>
          <cell r="D878">
            <v>0</v>
          </cell>
          <cell r="F878">
            <v>0</v>
          </cell>
          <cell r="G878">
            <v>1</v>
          </cell>
          <cell r="I878">
            <v>0</v>
          </cell>
          <cell r="J878">
            <v>1</v>
          </cell>
          <cell r="K878">
            <v>21</v>
          </cell>
          <cell r="L878">
            <v>21</v>
          </cell>
          <cell r="M878">
            <v>3</v>
          </cell>
          <cell r="O878">
            <v>0</v>
          </cell>
          <cell r="P878">
            <v>0</v>
          </cell>
          <cell r="Q878">
            <v>0</v>
          </cell>
          <cell r="R878">
            <v>1</v>
          </cell>
          <cell r="S878">
            <v>0</v>
          </cell>
          <cell r="T878">
            <v>3</v>
          </cell>
          <cell r="V878">
            <v>0</v>
          </cell>
          <cell r="W878">
            <v>43</v>
          </cell>
          <cell r="X878">
            <v>4</v>
          </cell>
          <cell r="Y878">
            <v>1</v>
          </cell>
          <cell r="AA878">
            <v>0</v>
          </cell>
          <cell r="AB878">
            <v>0</v>
          </cell>
          <cell r="AC878">
            <v>0</v>
          </cell>
          <cell r="AD878">
            <v>0</v>
          </cell>
          <cell r="AE878">
            <v>0</v>
          </cell>
          <cell r="AF878">
            <v>0</v>
          </cell>
          <cell r="AG878">
            <v>1</v>
          </cell>
          <cell r="AH878">
            <v>0</v>
          </cell>
          <cell r="AI878">
            <v>4</v>
          </cell>
          <cell r="AK878">
            <v>1</v>
          </cell>
          <cell r="AL878">
            <v>0</v>
          </cell>
          <cell r="AN878">
            <v>2678</v>
          </cell>
          <cell r="AO878">
            <v>1</v>
          </cell>
          <cell r="AQ878">
            <v>0</v>
          </cell>
          <cell r="AR878">
            <v>17</v>
          </cell>
          <cell r="AS878">
            <v>3</v>
          </cell>
          <cell r="AT878">
            <v>4</v>
          </cell>
          <cell r="AU878">
            <v>0</v>
          </cell>
          <cell r="AV878">
            <v>2</v>
          </cell>
          <cell r="AW878">
            <v>2</v>
          </cell>
          <cell r="AX878">
            <v>2</v>
          </cell>
          <cell r="AY878">
            <v>3</v>
          </cell>
          <cell r="AZ878">
            <v>2</v>
          </cell>
          <cell r="BA878">
            <v>2</v>
          </cell>
          <cell r="BB878">
            <v>1</v>
          </cell>
          <cell r="BC878">
            <v>2</v>
          </cell>
          <cell r="BD878">
            <v>2</v>
          </cell>
          <cell r="BE878">
            <v>2</v>
          </cell>
          <cell r="BF878">
            <v>2</v>
          </cell>
          <cell r="BG878">
            <v>2</v>
          </cell>
          <cell r="BH878">
            <v>1</v>
          </cell>
          <cell r="BI878">
            <v>0</v>
          </cell>
          <cell r="BJ878">
            <v>0</v>
          </cell>
          <cell r="BK878">
            <v>0</v>
          </cell>
          <cell r="BL878">
            <v>1</v>
          </cell>
          <cell r="BM878">
            <v>0</v>
          </cell>
          <cell r="BN878">
            <v>0</v>
          </cell>
          <cell r="BO878">
            <v>0</v>
          </cell>
          <cell r="BP878">
            <v>0</v>
          </cell>
          <cell r="BQ878">
            <v>0</v>
          </cell>
          <cell r="BR878">
            <v>2</v>
          </cell>
          <cell r="BS878">
            <v>0</v>
          </cell>
          <cell r="BT878">
            <v>0</v>
          </cell>
          <cell r="BU878">
            <v>2</v>
          </cell>
        </row>
        <row r="879">
          <cell r="A879">
            <v>46</v>
          </cell>
          <cell r="B879">
            <v>46</v>
          </cell>
          <cell r="D879">
            <v>0</v>
          </cell>
          <cell r="F879">
            <v>0</v>
          </cell>
          <cell r="G879">
            <v>1</v>
          </cell>
          <cell r="I879">
            <v>1</v>
          </cell>
          <cell r="J879">
            <v>0</v>
          </cell>
          <cell r="K879">
            <v>2</v>
          </cell>
          <cell r="L879">
            <v>2</v>
          </cell>
          <cell r="M879">
            <v>4</v>
          </cell>
          <cell r="O879">
            <v>0</v>
          </cell>
          <cell r="P879">
            <v>0</v>
          </cell>
          <cell r="Q879">
            <v>0</v>
          </cell>
          <cell r="R879">
            <v>0</v>
          </cell>
          <cell r="S879">
            <v>1</v>
          </cell>
          <cell r="T879">
            <v>4</v>
          </cell>
          <cell r="V879">
            <v>0</v>
          </cell>
          <cell r="W879">
            <v>60</v>
          </cell>
          <cell r="X879">
            <v>3</v>
          </cell>
          <cell r="Y879">
            <v>2</v>
          </cell>
          <cell r="AA879">
            <v>0</v>
          </cell>
          <cell r="AB879">
            <v>0</v>
          </cell>
          <cell r="AC879">
            <v>0</v>
          </cell>
          <cell r="AD879">
            <v>0</v>
          </cell>
          <cell r="AE879">
            <v>1</v>
          </cell>
          <cell r="AF879">
            <v>1</v>
          </cell>
          <cell r="AG879">
            <v>0</v>
          </cell>
          <cell r="AH879">
            <v>0</v>
          </cell>
          <cell r="AI879">
            <v>4</v>
          </cell>
          <cell r="AK879">
            <v>0</v>
          </cell>
          <cell r="AL879">
            <v>0</v>
          </cell>
          <cell r="AN879">
            <v>7379</v>
          </cell>
          <cell r="AO879">
            <v>2</v>
          </cell>
          <cell r="AQ879">
            <v>0</v>
          </cell>
          <cell r="AR879">
            <v>11</v>
          </cell>
          <cell r="AS879">
            <v>3</v>
          </cell>
          <cell r="AT879">
            <v>3</v>
          </cell>
          <cell r="AU879">
            <v>1</v>
          </cell>
          <cell r="AV879">
            <v>12</v>
          </cell>
          <cell r="AW879">
            <v>12</v>
          </cell>
          <cell r="AX879">
            <v>3</v>
          </cell>
          <cell r="AY879">
            <v>2</v>
          </cell>
          <cell r="AZ879">
            <v>6</v>
          </cell>
          <cell r="BA879">
            <v>6</v>
          </cell>
          <cell r="BB879">
            <v>3</v>
          </cell>
          <cell r="BC879">
            <v>1</v>
          </cell>
          <cell r="BD879">
            <v>1</v>
          </cell>
          <cell r="BE879">
            <v>4</v>
          </cell>
          <cell r="BF879">
            <v>4</v>
          </cell>
          <cell r="BG879">
            <v>8</v>
          </cell>
          <cell r="BH879">
            <v>1</v>
          </cell>
          <cell r="BI879">
            <v>0</v>
          </cell>
          <cell r="BJ879">
            <v>0</v>
          </cell>
          <cell r="BK879">
            <v>0</v>
          </cell>
          <cell r="BL879">
            <v>1</v>
          </cell>
          <cell r="BM879">
            <v>0</v>
          </cell>
          <cell r="BN879">
            <v>0</v>
          </cell>
          <cell r="BO879">
            <v>0</v>
          </cell>
          <cell r="BP879">
            <v>0</v>
          </cell>
          <cell r="BQ879">
            <v>4</v>
          </cell>
          <cell r="BR879">
            <v>0</v>
          </cell>
          <cell r="BS879">
            <v>0</v>
          </cell>
          <cell r="BT879">
            <v>12</v>
          </cell>
          <cell r="BU879">
            <v>0</v>
          </cell>
        </row>
        <row r="880">
          <cell r="A880">
            <v>42</v>
          </cell>
          <cell r="B880">
            <v>42</v>
          </cell>
          <cell r="D880">
            <v>0</v>
          </cell>
          <cell r="F880">
            <v>0</v>
          </cell>
          <cell r="G880">
            <v>0</v>
          </cell>
          <cell r="I880">
            <v>0</v>
          </cell>
          <cell r="J880">
            <v>0</v>
          </cell>
          <cell r="K880">
            <v>2</v>
          </cell>
          <cell r="L880">
            <v>2</v>
          </cell>
          <cell r="M880">
            <v>5</v>
          </cell>
          <cell r="O880">
            <v>0</v>
          </cell>
          <cell r="P880">
            <v>0</v>
          </cell>
          <cell r="Q880">
            <v>1</v>
          </cell>
          <cell r="R880">
            <v>0</v>
          </cell>
          <cell r="S880">
            <v>0</v>
          </cell>
          <cell r="T880">
            <v>4</v>
          </cell>
          <cell r="V880">
            <v>0</v>
          </cell>
          <cell r="W880">
            <v>79</v>
          </cell>
          <cell r="X880">
            <v>4</v>
          </cell>
          <cell r="Y880">
            <v>2</v>
          </cell>
          <cell r="AA880">
            <v>0</v>
          </cell>
          <cell r="AB880">
            <v>0</v>
          </cell>
          <cell r="AC880">
            <v>0</v>
          </cell>
          <cell r="AD880">
            <v>0</v>
          </cell>
          <cell r="AE880">
            <v>0</v>
          </cell>
          <cell r="AF880">
            <v>0</v>
          </cell>
          <cell r="AG880">
            <v>0</v>
          </cell>
          <cell r="AH880">
            <v>0</v>
          </cell>
          <cell r="AI880">
            <v>1</v>
          </cell>
          <cell r="AK880">
            <v>0</v>
          </cell>
          <cell r="AL880">
            <v>1</v>
          </cell>
          <cell r="AN880">
            <v>6272</v>
          </cell>
          <cell r="AO880">
            <v>7</v>
          </cell>
          <cell r="AQ880">
            <v>0</v>
          </cell>
          <cell r="AR880">
            <v>16</v>
          </cell>
          <cell r="AS880">
            <v>3</v>
          </cell>
          <cell r="AT880">
            <v>1</v>
          </cell>
          <cell r="AU880">
            <v>1</v>
          </cell>
          <cell r="AV880">
            <v>10</v>
          </cell>
          <cell r="AW880">
            <v>10</v>
          </cell>
          <cell r="AX880">
            <v>3</v>
          </cell>
          <cell r="AY880">
            <v>4</v>
          </cell>
          <cell r="AZ880">
            <v>4</v>
          </cell>
          <cell r="BA880">
            <v>4</v>
          </cell>
          <cell r="BB880">
            <v>3</v>
          </cell>
          <cell r="BC880">
            <v>0</v>
          </cell>
          <cell r="BD880">
            <v>0</v>
          </cell>
          <cell r="BE880">
            <v>3</v>
          </cell>
          <cell r="BF880">
            <v>3</v>
          </cell>
          <cell r="BG880">
            <v>6</v>
          </cell>
          <cell r="BH880">
            <v>0</v>
          </cell>
          <cell r="BI880">
            <v>1</v>
          </cell>
          <cell r="BJ880">
            <v>0</v>
          </cell>
          <cell r="BK880">
            <v>0</v>
          </cell>
          <cell r="BL880">
            <v>0</v>
          </cell>
          <cell r="BM880">
            <v>0</v>
          </cell>
          <cell r="BN880">
            <v>1</v>
          </cell>
          <cell r="BO880">
            <v>0</v>
          </cell>
          <cell r="BP880">
            <v>3</v>
          </cell>
          <cell r="BQ880">
            <v>0</v>
          </cell>
          <cell r="BR880">
            <v>0</v>
          </cell>
          <cell r="BS880">
            <v>10</v>
          </cell>
          <cell r="BT880">
            <v>0</v>
          </cell>
          <cell r="BU880">
            <v>0</v>
          </cell>
        </row>
        <row r="881">
          <cell r="A881">
            <v>60</v>
          </cell>
          <cell r="B881">
            <v>58.309999999999945</v>
          </cell>
          <cell r="D881">
            <v>0</v>
          </cell>
          <cell r="F881">
            <v>0</v>
          </cell>
          <cell r="G881">
            <v>1</v>
          </cell>
          <cell r="I881">
            <v>0</v>
          </cell>
          <cell r="J881">
            <v>1</v>
          </cell>
          <cell r="K881">
            <v>7</v>
          </cell>
          <cell r="L881">
            <v>7</v>
          </cell>
          <cell r="M881">
            <v>4</v>
          </cell>
          <cell r="O881">
            <v>0</v>
          </cell>
          <cell r="P881">
            <v>0</v>
          </cell>
          <cell r="Q881">
            <v>0</v>
          </cell>
          <cell r="R881">
            <v>1</v>
          </cell>
          <cell r="S881">
            <v>0</v>
          </cell>
          <cell r="T881">
            <v>2</v>
          </cell>
          <cell r="V881">
            <v>0</v>
          </cell>
          <cell r="W881">
            <v>52</v>
          </cell>
          <cell r="X881">
            <v>4</v>
          </cell>
          <cell r="Y881">
            <v>2</v>
          </cell>
          <cell r="AA881">
            <v>0</v>
          </cell>
          <cell r="AB881">
            <v>1</v>
          </cell>
          <cell r="AC881">
            <v>0</v>
          </cell>
          <cell r="AD881">
            <v>0</v>
          </cell>
          <cell r="AE881">
            <v>0</v>
          </cell>
          <cell r="AF881">
            <v>0</v>
          </cell>
          <cell r="AG881">
            <v>0</v>
          </cell>
          <cell r="AH881">
            <v>0</v>
          </cell>
          <cell r="AI881">
            <v>4</v>
          </cell>
          <cell r="AK881">
            <v>0</v>
          </cell>
          <cell r="AL881">
            <v>0</v>
          </cell>
          <cell r="AN881">
            <v>5220</v>
          </cell>
          <cell r="AO881">
            <v>0</v>
          </cell>
          <cell r="AQ881">
            <v>1</v>
          </cell>
          <cell r="AR881">
            <v>18</v>
          </cell>
          <cell r="AS881">
            <v>3</v>
          </cell>
          <cell r="AT881">
            <v>2</v>
          </cell>
          <cell r="AU881">
            <v>1</v>
          </cell>
          <cell r="AV881">
            <v>12</v>
          </cell>
          <cell r="AW881">
            <v>12</v>
          </cell>
          <cell r="AX881">
            <v>3</v>
          </cell>
          <cell r="AY881">
            <v>3</v>
          </cell>
          <cell r="AZ881">
            <v>11</v>
          </cell>
          <cell r="BA881">
            <v>11</v>
          </cell>
          <cell r="BB881">
            <v>7</v>
          </cell>
          <cell r="BC881">
            <v>1</v>
          </cell>
          <cell r="BD881">
            <v>1</v>
          </cell>
          <cell r="BE881">
            <v>9</v>
          </cell>
          <cell r="BF881">
            <v>9</v>
          </cell>
          <cell r="BG881">
            <v>18</v>
          </cell>
          <cell r="BH881">
            <v>1</v>
          </cell>
          <cell r="BI881">
            <v>0</v>
          </cell>
          <cell r="BJ881">
            <v>0</v>
          </cell>
          <cell r="BK881">
            <v>0</v>
          </cell>
          <cell r="BL881">
            <v>0</v>
          </cell>
          <cell r="BM881">
            <v>1</v>
          </cell>
          <cell r="BN881">
            <v>0</v>
          </cell>
          <cell r="BO881">
            <v>0</v>
          </cell>
          <cell r="BP881">
            <v>0</v>
          </cell>
          <cell r="BQ881">
            <v>0</v>
          </cell>
          <cell r="BR881">
            <v>9</v>
          </cell>
          <cell r="BS881">
            <v>0</v>
          </cell>
          <cell r="BT881">
            <v>0</v>
          </cell>
          <cell r="BU881">
            <v>12</v>
          </cell>
        </row>
        <row r="882">
          <cell r="A882">
            <v>32</v>
          </cell>
          <cell r="B882">
            <v>32</v>
          </cell>
          <cell r="D882">
            <v>0</v>
          </cell>
          <cell r="F882">
            <v>1</v>
          </cell>
          <cell r="G882">
            <v>0</v>
          </cell>
          <cell r="I882">
            <v>1</v>
          </cell>
          <cell r="J882">
            <v>0</v>
          </cell>
          <cell r="K882">
            <v>13</v>
          </cell>
          <cell r="L882">
            <v>13</v>
          </cell>
          <cell r="M882">
            <v>3</v>
          </cell>
          <cell r="O882">
            <v>0</v>
          </cell>
          <cell r="P882">
            <v>1</v>
          </cell>
          <cell r="Q882">
            <v>0</v>
          </cell>
          <cell r="R882">
            <v>0</v>
          </cell>
          <cell r="S882">
            <v>0</v>
          </cell>
          <cell r="T882">
            <v>3</v>
          </cell>
          <cell r="V882">
            <v>1</v>
          </cell>
          <cell r="W882">
            <v>77</v>
          </cell>
          <cell r="X882">
            <v>2</v>
          </cell>
          <cell r="Y882">
            <v>1</v>
          </cell>
          <cell r="AA882">
            <v>0</v>
          </cell>
          <cell r="AB882">
            <v>0</v>
          </cell>
          <cell r="AC882">
            <v>1</v>
          </cell>
          <cell r="AD882">
            <v>0</v>
          </cell>
          <cell r="AE882">
            <v>0</v>
          </cell>
          <cell r="AF882">
            <v>0</v>
          </cell>
          <cell r="AG882">
            <v>0</v>
          </cell>
          <cell r="AH882">
            <v>0</v>
          </cell>
          <cell r="AI882">
            <v>2</v>
          </cell>
          <cell r="AK882">
            <v>0</v>
          </cell>
          <cell r="AL882">
            <v>1</v>
          </cell>
          <cell r="AN882">
            <v>2743</v>
          </cell>
          <cell r="AO882">
            <v>1</v>
          </cell>
          <cell r="AQ882">
            <v>0</v>
          </cell>
          <cell r="AR882">
            <v>20</v>
          </cell>
          <cell r="AS882">
            <v>4</v>
          </cell>
          <cell r="AT882">
            <v>3</v>
          </cell>
          <cell r="AU882">
            <v>1</v>
          </cell>
          <cell r="AV882">
            <v>2</v>
          </cell>
          <cell r="AW882">
            <v>2</v>
          </cell>
          <cell r="AX882">
            <v>2</v>
          </cell>
          <cell r="AY882">
            <v>3</v>
          </cell>
          <cell r="AZ882">
            <v>2</v>
          </cell>
          <cell r="BA882">
            <v>2</v>
          </cell>
          <cell r="BB882">
            <v>2</v>
          </cell>
          <cell r="BC882">
            <v>2</v>
          </cell>
          <cell r="BD882">
            <v>2</v>
          </cell>
          <cell r="BE882">
            <v>2</v>
          </cell>
          <cell r="BF882">
            <v>2</v>
          </cell>
          <cell r="BG882">
            <v>2</v>
          </cell>
          <cell r="BH882">
            <v>0</v>
          </cell>
          <cell r="BI882">
            <v>0</v>
          </cell>
          <cell r="BJ882">
            <v>0</v>
          </cell>
          <cell r="BK882">
            <v>1</v>
          </cell>
          <cell r="BL882">
            <v>0</v>
          </cell>
          <cell r="BM882">
            <v>0</v>
          </cell>
          <cell r="BN882">
            <v>1</v>
          </cell>
          <cell r="BO882">
            <v>0</v>
          </cell>
          <cell r="BP882">
            <v>0</v>
          </cell>
          <cell r="BQ882">
            <v>2</v>
          </cell>
          <cell r="BR882">
            <v>0</v>
          </cell>
          <cell r="BS882">
            <v>0</v>
          </cell>
          <cell r="BT882">
            <v>2</v>
          </cell>
          <cell r="BU882">
            <v>0</v>
          </cell>
        </row>
        <row r="883">
          <cell r="A883">
            <v>32</v>
          </cell>
          <cell r="B883">
            <v>32</v>
          </cell>
          <cell r="D883">
            <v>0</v>
          </cell>
          <cell r="F883">
            <v>1</v>
          </cell>
          <cell r="G883">
            <v>0</v>
          </cell>
          <cell r="I883">
            <v>1</v>
          </cell>
          <cell r="J883">
            <v>0</v>
          </cell>
          <cell r="K883">
            <v>2</v>
          </cell>
          <cell r="L883">
            <v>2</v>
          </cell>
          <cell r="M883">
            <v>2</v>
          </cell>
          <cell r="O883">
            <v>1</v>
          </cell>
          <cell r="P883">
            <v>0</v>
          </cell>
          <cell r="Q883">
            <v>0</v>
          </cell>
          <cell r="R883">
            <v>0</v>
          </cell>
          <cell r="S883">
            <v>0</v>
          </cell>
          <cell r="T883">
            <v>4</v>
          </cell>
          <cell r="V883">
            <v>1</v>
          </cell>
          <cell r="W883">
            <v>38</v>
          </cell>
          <cell r="X883">
            <v>3</v>
          </cell>
          <cell r="Y883">
            <v>2</v>
          </cell>
          <cell r="AA883">
            <v>0</v>
          </cell>
          <cell r="AB883">
            <v>0</v>
          </cell>
          <cell r="AC883">
            <v>0</v>
          </cell>
          <cell r="AD883">
            <v>0</v>
          </cell>
          <cell r="AE883">
            <v>0</v>
          </cell>
          <cell r="AF883">
            <v>0</v>
          </cell>
          <cell r="AG883">
            <v>0</v>
          </cell>
          <cell r="AH883">
            <v>1</v>
          </cell>
          <cell r="AI883">
            <v>3</v>
          </cell>
          <cell r="AK883">
            <v>1</v>
          </cell>
          <cell r="AL883">
            <v>0</v>
          </cell>
          <cell r="AN883">
            <v>4998</v>
          </cell>
          <cell r="AO883">
            <v>4</v>
          </cell>
          <cell r="AQ883">
            <v>1</v>
          </cell>
          <cell r="AR883">
            <v>14</v>
          </cell>
          <cell r="AS883">
            <v>3</v>
          </cell>
          <cell r="AT883">
            <v>4</v>
          </cell>
          <cell r="AU883">
            <v>0</v>
          </cell>
          <cell r="AV883">
            <v>10</v>
          </cell>
          <cell r="AW883">
            <v>10</v>
          </cell>
          <cell r="AX883">
            <v>2</v>
          </cell>
          <cell r="AY883">
            <v>3</v>
          </cell>
          <cell r="AZ883">
            <v>8</v>
          </cell>
          <cell r="BA883">
            <v>8</v>
          </cell>
          <cell r="BB883">
            <v>7</v>
          </cell>
          <cell r="BC883">
            <v>0</v>
          </cell>
          <cell r="BD883">
            <v>0</v>
          </cell>
          <cell r="BE883">
            <v>7</v>
          </cell>
          <cell r="BF883">
            <v>7</v>
          </cell>
          <cell r="BG883">
            <v>14</v>
          </cell>
          <cell r="BH883">
            <v>0</v>
          </cell>
          <cell r="BI883">
            <v>0</v>
          </cell>
          <cell r="BJ883">
            <v>1</v>
          </cell>
          <cell r="BK883">
            <v>0</v>
          </cell>
          <cell r="BL883">
            <v>0</v>
          </cell>
          <cell r="BM883">
            <v>1</v>
          </cell>
          <cell r="BN883">
            <v>0</v>
          </cell>
          <cell r="BO883">
            <v>0</v>
          </cell>
          <cell r="BP883">
            <v>0</v>
          </cell>
          <cell r="BQ883">
            <v>7</v>
          </cell>
          <cell r="BR883">
            <v>0</v>
          </cell>
          <cell r="BS883">
            <v>0</v>
          </cell>
          <cell r="BT883">
            <v>10</v>
          </cell>
          <cell r="BU883">
            <v>0</v>
          </cell>
        </row>
        <row r="884">
          <cell r="A884">
            <v>36</v>
          </cell>
          <cell r="B884">
            <v>36</v>
          </cell>
          <cell r="D884">
            <v>0</v>
          </cell>
          <cell r="F884">
            <v>0</v>
          </cell>
          <cell r="G884">
            <v>1</v>
          </cell>
          <cell r="I884">
            <v>1</v>
          </cell>
          <cell r="J884">
            <v>0</v>
          </cell>
          <cell r="K884">
            <v>1</v>
          </cell>
          <cell r="L884">
            <v>1</v>
          </cell>
          <cell r="M884">
            <v>3</v>
          </cell>
          <cell r="O884">
            <v>0</v>
          </cell>
          <cell r="P884">
            <v>0</v>
          </cell>
          <cell r="Q884">
            <v>0</v>
          </cell>
          <cell r="R884">
            <v>0</v>
          </cell>
          <cell r="S884">
            <v>1</v>
          </cell>
          <cell r="T884">
            <v>3</v>
          </cell>
          <cell r="V884">
            <v>1</v>
          </cell>
          <cell r="W884">
            <v>77</v>
          </cell>
          <cell r="X884">
            <v>1</v>
          </cell>
          <cell r="Y884">
            <v>3</v>
          </cell>
          <cell r="AA884">
            <v>0</v>
          </cell>
          <cell r="AB884">
            <v>0</v>
          </cell>
          <cell r="AC884">
            <v>0</v>
          </cell>
          <cell r="AD884">
            <v>0</v>
          </cell>
          <cell r="AE884">
            <v>1</v>
          </cell>
          <cell r="AF884">
            <v>1</v>
          </cell>
          <cell r="AG884">
            <v>0</v>
          </cell>
          <cell r="AH884">
            <v>0</v>
          </cell>
          <cell r="AI884">
            <v>1</v>
          </cell>
          <cell r="AK884">
            <v>0</v>
          </cell>
          <cell r="AL884">
            <v>0</v>
          </cell>
          <cell r="AN884">
            <v>10252</v>
          </cell>
          <cell r="AO884">
            <v>2</v>
          </cell>
          <cell r="AQ884">
            <v>1</v>
          </cell>
          <cell r="AR884">
            <v>21</v>
          </cell>
          <cell r="AS884">
            <v>4</v>
          </cell>
          <cell r="AT884">
            <v>3</v>
          </cell>
          <cell r="AU884">
            <v>1</v>
          </cell>
          <cell r="AV884">
            <v>17</v>
          </cell>
          <cell r="AW884">
            <v>17</v>
          </cell>
          <cell r="AX884">
            <v>2</v>
          </cell>
          <cell r="AY884">
            <v>3</v>
          </cell>
          <cell r="AZ884">
            <v>7</v>
          </cell>
          <cell r="BA884">
            <v>7</v>
          </cell>
          <cell r="BB884">
            <v>7</v>
          </cell>
          <cell r="BC884">
            <v>7</v>
          </cell>
          <cell r="BD884">
            <v>7</v>
          </cell>
          <cell r="BE884">
            <v>7</v>
          </cell>
          <cell r="BF884">
            <v>7</v>
          </cell>
          <cell r="BG884">
            <v>21</v>
          </cell>
          <cell r="BH884">
            <v>1</v>
          </cell>
          <cell r="BI884">
            <v>0</v>
          </cell>
          <cell r="BJ884">
            <v>0</v>
          </cell>
          <cell r="BK884">
            <v>0</v>
          </cell>
          <cell r="BL884">
            <v>0</v>
          </cell>
          <cell r="BM884">
            <v>1</v>
          </cell>
          <cell r="BN884">
            <v>0</v>
          </cell>
          <cell r="BO884">
            <v>0</v>
          </cell>
          <cell r="BP884">
            <v>0</v>
          </cell>
          <cell r="BQ884">
            <v>7</v>
          </cell>
          <cell r="BR884">
            <v>0</v>
          </cell>
          <cell r="BS884">
            <v>0</v>
          </cell>
          <cell r="BT884">
            <v>17</v>
          </cell>
          <cell r="BU884">
            <v>0</v>
          </cell>
        </row>
        <row r="885">
          <cell r="A885">
            <v>33</v>
          </cell>
          <cell r="B885">
            <v>33</v>
          </cell>
          <cell r="D885">
            <v>0</v>
          </cell>
          <cell r="F885">
            <v>0</v>
          </cell>
          <cell r="G885">
            <v>1</v>
          </cell>
          <cell r="I885">
            <v>1</v>
          </cell>
          <cell r="J885">
            <v>0</v>
          </cell>
          <cell r="K885">
            <v>9</v>
          </cell>
          <cell r="L885">
            <v>9</v>
          </cell>
          <cell r="M885">
            <v>3</v>
          </cell>
          <cell r="O885">
            <v>0</v>
          </cell>
          <cell r="P885">
            <v>0</v>
          </cell>
          <cell r="Q885">
            <v>1</v>
          </cell>
          <cell r="R885">
            <v>0</v>
          </cell>
          <cell r="S885">
            <v>0</v>
          </cell>
          <cell r="T885">
            <v>1</v>
          </cell>
          <cell r="V885">
            <v>0</v>
          </cell>
          <cell r="W885">
            <v>60</v>
          </cell>
          <cell r="X885">
            <v>3</v>
          </cell>
          <cell r="Y885">
            <v>1</v>
          </cell>
          <cell r="AA885">
            <v>0</v>
          </cell>
          <cell r="AB885">
            <v>0</v>
          </cell>
          <cell r="AC885">
            <v>0</v>
          </cell>
          <cell r="AD885">
            <v>0</v>
          </cell>
          <cell r="AE885">
            <v>0</v>
          </cell>
          <cell r="AF885">
            <v>0</v>
          </cell>
          <cell r="AG885">
            <v>0</v>
          </cell>
          <cell r="AH885">
            <v>1</v>
          </cell>
          <cell r="AI885">
            <v>4</v>
          </cell>
          <cell r="AK885">
            <v>0</v>
          </cell>
          <cell r="AL885">
            <v>1</v>
          </cell>
          <cell r="AN885">
            <v>2781</v>
          </cell>
          <cell r="AO885">
            <v>0</v>
          </cell>
          <cell r="AQ885">
            <v>0</v>
          </cell>
          <cell r="AR885">
            <v>13</v>
          </cell>
          <cell r="AS885">
            <v>3</v>
          </cell>
          <cell r="AT885">
            <v>2</v>
          </cell>
          <cell r="AU885">
            <v>1</v>
          </cell>
          <cell r="AV885">
            <v>15</v>
          </cell>
          <cell r="AW885">
            <v>15</v>
          </cell>
          <cell r="AX885">
            <v>5</v>
          </cell>
          <cell r="AY885">
            <v>3</v>
          </cell>
          <cell r="AZ885">
            <v>14</v>
          </cell>
          <cell r="BA885">
            <v>14</v>
          </cell>
          <cell r="BB885">
            <v>10</v>
          </cell>
          <cell r="BC885">
            <v>4</v>
          </cell>
          <cell r="BD885">
            <v>4</v>
          </cell>
          <cell r="BE885">
            <v>10</v>
          </cell>
          <cell r="BF885">
            <v>10</v>
          </cell>
          <cell r="BG885">
            <v>10</v>
          </cell>
          <cell r="BH885">
            <v>0</v>
          </cell>
          <cell r="BI885">
            <v>1</v>
          </cell>
          <cell r="BJ885">
            <v>0</v>
          </cell>
          <cell r="BK885">
            <v>0</v>
          </cell>
          <cell r="BL885">
            <v>0</v>
          </cell>
          <cell r="BM885">
            <v>0</v>
          </cell>
          <cell r="BN885">
            <v>1</v>
          </cell>
          <cell r="BO885">
            <v>0</v>
          </cell>
          <cell r="BP885">
            <v>0</v>
          </cell>
          <cell r="BQ885">
            <v>10</v>
          </cell>
          <cell r="BR885">
            <v>0</v>
          </cell>
          <cell r="BS885">
            <v>0</v>
          </cell>
          <cell r="BT885">
            <v>15</v>
          </cell>
          <cell r="BU885">
            <v>0</v>
          </cell>
        </row>
        <row r="886">
          <cell r="A886">
            <v>40</v>
          </cell>
          <cell r="B886">
            <v>40</v>
          </cell>
          <cell r="D886">
            <v>0</v>
          </cell>
          <cell r="F886">
            <v>0</v>
          </cell>
          <cell r="G886">
            <v>1</v>
          </cell>
          <cell r="I886">
            <v>0</v>
          </cell>
          <cell r="J886">
            <v>1</v>
          </cell>
          <cell r="K886">
            <v>10</v>
          </cell>
          <cell r="L886">
            <v>10</v>
          </cell>
          <cell r="M886">
            <v>3</v>
          </cell>
          <cell r="O886">
            <v>0</v>
          </cell>
          <cell r="P886">
            <v>0</v>
          </cell>
          <cell r="Q886">
            <v>0</v>
          </cell>
          <cell r="R886">
            <v>0</v>
          </cell>
          <cell r="S886">
            <v>1</v>
          </cell>
          <cell r="T886">
            <v>2</v>
          </cell>
          <cell r="V886">
            <v>1</v>
          </cell>
          <cell r="W886">
            <v>84</v>
          </cell>
          <cell r="X886">
            <v>2</v>
          </cell>
          <cell r="Y886">
            <v>2</v>
          </cell>
          <cell r="AA886">
            <v>0</v>
          </cell>
          <cell r="AB886">
            <v>1</v>
          </cell>
          <cell r="AC886">
            <v>0</v>
          </cell>
          <cell r="AD886">
            <v>0</v>
          </cell>
          <cell r="AE886">
            <v>0</v>
          </cell>
          <cell r="AF886">
            <v>0</v>
          </cell>
          <cell r="AG886">
            <v>0</v>
          </cell>
          <cell r="AH886">
            <v>0</v>
          </cell>
          <cell r="AI886">
            <v>2</v>
          </cell>
          <cell r="AK886">
            <v>0</v>
          </cell>
          <cell r="AL886">
            <v>0</v>
          </cell>
          <cell r="AN886">
            <v>6852</v>
          </cell>
          <cell r="AO886">
            <v>7</v>
          </cell>
          <cell r="AQ886">
            <v>0</v>
          </cell>
          <cell r="AR886">
            <v>12</v>
          </cell>
          <cell r="AS886">
            <v>3</v>
          </cell>
          <cell r="AT886">
            <v>2</v>
          </cell>
          <cell r="AU886">
            <v>1</v>
          </cell>
          <cell r="AV886">
            <v>7</v>
          </cell>
          <cell r="AW886">
            <v>7</v>
          </cell>
          <cell r="AX886">
            <v>2</v>
          </cell>
          <cell r="AY886">
            <v>4</v>
          </cell>
          <cell r="AZ886">
            <v>5</v>
          </cell>
          <cell r="BA886">
            <v>5</v>
          </cell>
          <cell r="BB886">
            <v>1</v>
          </cell>
          <cell r="BC886">
            <v>1</v>
          </cell>
          <cell r="BD886">
            <v>1</v>
          </cell>
          <cell r="BE886">
            <v>3</v>
          </cell>
          <cell r="BF886">
            <v>3</v>
          </cell>
          <cell r="BG886">
            <v>6</v>
          </cell>
          <cell r="BH886">
            <v>1</v>
          </cell>
          <cell r="BI886">
            <v>0</v>
          </cell>
          <cell r="BJ886">
            <v>0</v>
          </cell>
          <cell r="BK886">
            <v>0</v>
          </cell>
          <cell r="BL886">
            <v>1</v>
          </cell>
          <cell r="BM886">
            <v>0</v>
          </cell>
          <cell r="BN886">
            <v>0</v>
          </cell>
          <cell r="BO886">
            <v>0</v>
          </cell>
          <cell r="BP886">
            <v>0</v>
          </cell>
          <cell r="BQ886">
            <v>0</v>
          </cell>
          <cell r="BR886">
            <v>3</v>
          </cell>
          <cell r="BS886">
            <v>0</v>
          </cell>
          <cell r="BT886">
            <v>0</v>
          </cell>
          <cell r="BU886">
            <v>7</v>
          </cell>
        </row>
        <row r="887">
          <cell r="A887">
            <v>25</v>
          </cell>
          <cell r="B887">
            <v>25</v>
          </cell>
          <cell r="D887">
            <v>0</v>
          </cell>
          <cell r="F887">
            <v>0</v>
          </cell>
          <cell r="G887">
            <v>1</v>
          </cell>
          <cell r="I887">
            <v>0</v>
          </cell>
          <cell r="J887">
            <v>1</v>
          </cell>
          <cell r="K887">
            <v>10</v>
          </cell>
          <cell r="L887">
            <v>10</v>
          </cell>
          <cell r="M887">
            <v>4</v>
          </cell>
          <cell r="O887">
            <v>1</v>
          </cell>
          <cell r="P887">
            <v>0</v>
          </cell>
          <cell r="Q887">
            <v>0</v>
          </cell>
          <cell r="R887">
            <v>0</v>
          </cell>
          <cell r="S887">
            <v>0</v>
          </cell>
          <cell r="T887">
            <v>3</v>
          </cell>
          <cell r="V887">
            <v>0</v>
          </cell>
          <cell r="W887">
            <v>57</v>
          </cell>
          <cell r="X887">
            <v>3</v>
          </cell>
          <cell r="Y887">
            <v>2</v>
          </cell>
          <cell r="AA887">
            <v>0</v>
          </cell>
          <cell r="AB887">
            <v>1</v>
          </cell>
          <cell r="AC887">
            <v>0</v>
          </cell>
          <cell r="AD887">
            <v>0</v>
          </cell>
          <cell r="AE887">
            <v>0</v>
          </cell>
          <cell r="AF887">
            <v>0</v>
          </cell>
          <cell r="AG887">
            <v>0</v>
          </cell>
          <cell r="AH887">
            <v>0</v>
          </cell>
          <cell r="AI887">
            <v>4</v>
          </cell>
          <cell r="AK887">
            <v>1</v>
          </cell>
          <cell r="AL887">
            <v>0</v>
          </cell>
          <cell r="AN887">
            <v>4950</v>
          </cell>
          <cell r="AO887">
            <v>0</v>
          </cell>
          <cell r="AQ887">
            <v>0</v>
          </cell>
          <cell r="AR887">
            <v>14</v>
          </cell>
          <cell r="AS887">
            <v>3</v>
          </cell>
          <cell r="AT887">
            <v>2</v>
          </cell>
          <cell r="AU887">
            <v>0</v>
          </cell>
          <cell r="AV887">
            <v>5</v>
          </cell>
          <cell r="AW887">
            <v>5</v>
          </cell>
          <cell r="AX887">
            <v>4</v>
          </cell>
          <cell r="AY887">
            <v>3</v>
          </cell>
          <cell r="AZ887">
            <v>4</v>
          </cell>
          <cell r="BA887">
            <v>4</v>
          </cell>
          <cell r="BB887">
            <v>3</v>
          </cell>
          <cell r="BC887">
            <v>1</v>
          </cell>
          <cell r="BD887">
            <v>1</v>
          </cell>
          <cell r="BE887">
            <v>1</v>
          </cell>
          <cell r="BF887">
            <v>1</v>
          </cell>
          <cell r="BG887">
            <v>2</v>
          </cell>
          <cell r="BH887">
            <v>1</v>
          </cell>
          <cell r="BI887">
            <v>0</v>
          </cell>
          <cell r="BJ887">
            <v>0</v>
          </cell>
          <cell r="BK887">
            <v>0</v>
          </cell>
          <cell r="BL887">
            <v>1</v>
          </cell>
          <cell r="BM887">
            <v>0</v>
          </cell>
          <cell r="BN887">
            <v>0</v>
          </cell>
          <cell r="BO887">
            <v>0</v>
          </cell>
          <cell r="BP887">
            <v>0</v>
          </cell>
          <cell r="BQ887">
            <v>0</v>
          </cell>
          <cell r="BR887">
            <v>1</v>
          </cell>
          <cell r="BS887">
            <v>0</v>
          </cell>
          <cell r="BT887">
            <v>0</v>
          </cell>
          <cell r="BU887">
            <v>5</v>
          </cell>
        </row>
        <row r="888">
          <cell r="A888">
            <v>30</v>
          </cell>
          <cell r="B888">
            <v>30</v>
          </cell>
          <cell r="D888">
            <v>0</v>
          </cell>
          <cell r="F888">
            <v>0</v>
          </cell>
          <cell r="G888">
            <v>1</v>
          </cell>
          <cell r="I888">
            <v>1</v>
          </cell>
          <cell r="J888">
            <v>0</v>
          </cell>
          <cell r="K888">
            <v>1</v>
          </cell>
          <cell r="L888">
            <v>1</v>
          </cell>
          <cell r="M888">
            <v>3</v>
          </cell>
          <cell r="O888">
            <v>0</v>
          </cell>
          <cell r="P888">
            <v>0</v>
          </cell>
          <cell r="Q888">
            <v>1</v>
          </cell>
          <cell r="R888">
            <v>0</v>
          </cell>
          <cell r="S888">
            <v>0</v>
          </cell>
          <cell r="T888">
            <v>4</v>
          </cell>
          <cell r="V888">
            <v>0</v>
          </cell>
          <cell r="W888">
            <v>63</v>
          </cell>
          <cell r="X888">
            <v>3</v>
          </cell>
          <cell r="Y888">
            <v>1</v>
          </cell>
          <cell r="AA888">
            <v>0</v>
          </cell>
          <cell r="AB888">
            <v>0</v>
          </cell>
          <cell r="AC888">
            <v>0</v>
          </cell>
          <cell r="AD888">
            <v>0</v>
          </cell>
          <cell r="AE888">
            <v>0</v>
          </cell>
          <cell r="AF888">
            <v>0</v>
          </cell>
          <cell r="AG888">
            <v>0</v>
          </cell>
          <cell r="AH888">
            <v>1</v>
          </cell>
          <cell r="AI888">
            <v>2</v>
          </cell>
          <cell r="AK888">
            <v>0</v>
          </cell>
          <cell r="AL888">
            <v>1</v>
          </cell>
          <cell r="AN888">
            <v>3579</v>
          </cell>
          <cell r="AO888">
            <v>0</v>
          </cell>
          <cell r="AQ888">
            <v>1</v>
          </cell>
          <cell r="AR888">
            <v>21</v>
          </cell>
          <cell r="AS888">
            <v>4</v>
          </cell>
          <cell r="AT888">
            <v>1</v>
          </cell>
          <cell r="AU888">
            <v>1</v>
          </cell>
          <cell r="AV888">
            <v>12</v>
          </cell>
          <cell r="AW888">
            <v>12</v>
          </cell>
          <cell r="AX888">
            <v>2</v>
          </cell>
          <cell r="AY888">
            <v>3</v>
          </cell>
          <cell r="AZ888">
            <v>11</v>
          </cell>
          <cell r="BA888">
            <v>11</v>
          </cell>
          <cell r="BB888">
            <v>9</v>
          </cell>
          <cell r="BC888">
            <v>5</v>
          </cell>
          <cell r="BD888">
            <v>5</v>
          </cell>
          <cell r="BE888">
            <v>7</v>
          </cell>
          <cell r="BF888">
            <v>7</v>
          </cell>
          <cell r="BG888">
            <v>7</v>
          </cell>
          <cell r="BH888">
            <v>0</v>
          </cell>
          <cell r="BI888">
            <v>1</v>
          </cell>
          <cell r="BJ888">
            <v>0</v>
          </cell>
          <cell r="BK888">
            <v>0</v>
          </cell>
          <cell r="BL888">
            <v>0</v>
          </cell>
          <cell r="BM888">
            <v>0</v>
          </cell>
          <cell r="BN888">
            <v>0</v>
          </cell>
          <cell r="BO888">
            <v>1</v>
          </cell>
          <cell r="BP888">
            <v>0</v>
          </cell>
          <cell r="BQ888">
            <v>7</v>
          </cell>
          <cell r="BR888">
            <v>0</v>
          </cell>
          <cell r="BS888">
            <v>0</v>
          </cell>
          <cell r="BT888">
            <v>12</v>
          </cell>
          <cell r="BU888">
            <v>0</v>
          </cell>
        </row>
        <row r="889">
          <cell r="A889">
            <v>42</v>
          </cell>
          <cell r="B889">
            <v>42</v>
          </cell>
          <cell r="D889">
            <v>0</v>
          </cell>
          <cell r="F889">
            <v>1</v>
          </cell>
          <cell r="G889">
            <v>0</v>
          </cell>
          <cell r="I889">
            <v>1</v>
          </cell>
          <cell r="J889">
            <v>0</v>
          </cell>
          <cell r="K889">
            <v>26</v>
          </cell>
          <cell r="L889">
            <v>26</v>
          </cell>
          <cell r="M889">
            <v>5</v>
          </cell>
          <cell r="O889">
            <v>0</v>
          </cell>
          <cell r="P889">
            <v>0</v>
          </cell>
          <cell r="Q889">
            <v>1</v>
          </cell>
          <cell r="R889">
            <v>0</v>
          </cell>
          <cell r="S889">
            <v>0</v>
          </cell>
          <cell r="T889">
            <v>1</v>
          </cell>
          <cell r="V889">
            <v>1</v>
          </cell>
          <cell r="W889">
            <v>60</v>
          </cell>
          <cell r="X889">
            <v>3</v>
          </cell>
          <cell r="Y889">
            <v>3</v>
          </cell>
          <cell r="AA889">
            <v>0</v>
          </cell>
          <cell r="AB889">
            <v>0</v>
          </cell>
          <cell r="AC889">
            <v>0</v>
          </cell>
          <cell r="AD889">
            <v>0</v>
          </cell>
          <cell r="AE889">
            <v>0</v>
          </cell>
          <cell r="AF889">
            <v>0</v>
          </cell>
          <cell r="AG889">
            <v>0</v>
          </cell>
          <cell r="AH889">
            <v>0</v>
          </cell>
          <cell r="AI889">
            <v>1</v>
          </cell>
          <cell r="AK889">
            <v>0</v>
          </cell>
          <cell r="AL889">
            <v>1</v>
          </cell>
          <cell r="AN889">
            <v>13191</v>
          </cell>
          <cell r="AO889">
            <v>3</v>
          </cell>
          <cell r="AQ889">
            <v>1</v>
          </cell>
          <cell r="AR889">
            <v>17</v>
          </cell>
          <cell r="AS889">
            <v>3</v>
          </cell>
          <cell r="AT889">
            <v>3</v>
          </cell>
          <cell r="AU889">
            <v>0</v>
          </cell>
          <cell r="AV889">
            <v>20</v>
          </cell>
          <cell r="AW889">
            <v>20</v>
          </cell>
          <cell r="AX889">
            <v>6</v>
          </cell>
          <cell r="AY889">
            <v>3</v>
          </cell>
          <cell r="AZ889">
            <v>1</v>
          </cell>
          <cell r="BA889">
            <v>1</v>
          </cell>
          <cell r="BB889">
            <v>0</v>
          </cell>
          <cell r="BC889">
            <v>0</v>
          </cell>
          <cell r="BD889">
            <v>0</v>
          </cell>
          <cell r="BE889">
            <v>0</v>
          </cell>
          <cell r="BF889">
            <v>0</v>
          </cell>
          <cell r="BG889">
            <v>0</v>
          </cell>
          <cell r="BH889">
            <v>0</v>
          </cell>
          <cell r="BI889">
            <v>0</v>
          </cell>
          <cell r="BJ889">
            <v>0</v>
          </cell>
          <cell r="BK889">
            <v>1</v>
          </cell>
          <cell r="BL889">
            <v>0</v>
          </cell>
          <cell r="BM889">
            <v>0</v>
          </cell>
          <cell r="BN889">
            <v>0</v>
          </cell>
          <cell r="BO889">
            <v>1</v>
          </cell>
          <cell r="BP889">
            <v>0</v>
          </cell>
          <cell r="BQ889">
            <v>0</v>
          </cell>
          <cell r="BR889">
            <v>0</v>
          </cell>
          <cell r="BS889">
            <v>0</v>
          </cell>
          <cell r="BT889">
            <v>20</v>
          </cell>
          <cell r="BU889">
            <v>0</v>
          </cell>
        </row>
        <row r="890">
          <cell r="A890">
            <v>35</v>
          </cell>
          <cell r="B890">
            <v>35</v>
          </cell>
          <cell r="D890">
            <v>0</v>
          </cell>
          <cell r="F890">
            <v>0</v>
          </cell>
          <cell r="G890">
            <v>0</v>
          </cell>
          <cell r="I890">
            <v>0</v>
          </cell>
          <cell r="J890">
            <v>1</v>
          </cell>
          <cell r="K890">
            <v>8</v>
          </cell>
          <cell r="L890">
            <v>8</v>
          </cell>
          <cell r="M890">
            <v>2</v>
          </cell>
          <cell r="O890">
            <v>0</v>
          </cell>
          <cell r="P890">
            <v>0</v>
          </cell>
          <cell r="Q890">
            <v>0</v>
          </cell>
          <cell r="R890">
            <v>1</v>
          </cell>
          <cell r="S890">
            <v>0</v>
          </cell>
          <cell r="T890">
            <v>3</v>
          </cell>
          <cell r="V890">
            <v>1</v>
          </cell>
          <cell r="W890">
            <v>78</v>
          </cell>
          <cell r="X890">
            <v>2</v>
          </cell>
          <cell r="Y890">
            <v>3</v>
          </cell>
          <cell r="AA890">
            <v>0</v>
          </cell>
          <cell r="AB890">
            <v>1</v>
          </cell>
          <cell r="AC890">
            <v>0</v>
          </cell>
          <cell r="AD890">
            <v>0</v>
          </cell>
          <cell r="AE890">
            <v>0</v>
          </cell>
          <cell r="AF890">
            <v>0</v>
          </cell>
          <cell r="AG890">
            <v>0</v>
          </cell>
          <cell r="AH890">
            <v>0</v>
          </cell>
          <cell r="AI890">
            <v>4</v>
          </cell>
          <cell r="AK890">
            <v>0</v>
          </cell>
          <cell r="AL890">
            <v>1</v>
          </cell>
          <cell r="AN890">
            <v>10377</v>
          </cell>
          <cell r="AO890">
            <v>4</v>
          </cell>
          <cell r="AQ890">
            <v>1</v>
          </cell>
          <cell r="AR890">
            <v>11</v>
          </cell>
          <cell r="AS890">
            <v>3</v>
          </cell>
          <cell r="AT890">
            <v>2</v>
          </cell>
          <cell r="AU890">
            <v>1</v>
          </cell>
          <cell r="AV890">
            <v>16</v>
          </cell>
          <cell r="AW890">
            <v>16</v>
          </cell>
          <cell r="AX890">
            <v>6</v>
          </cell>
          <cell r="AY890">
            <v>2</v>
          </cell>
          <cell r="AZ890">
            <v>13</v>
          </cell>
          <cell r="BA890">
            <v>13</v>
          </cell>
          <cell r="BB890">
            <v>2</v>
          </cell>
          <cell r="BC890">
            <v>4</v>
          </cell>
          <cell r="BD890">
            <v>4</v>
          </cell>
          <cell r="BE890">
            <v>12</v>
          </cell>
          <cell r="BF890">
            <v>12</v>
          </cell>
          <cell r="BG890">
            <v>36</v>
          </cell>
          <cell r="BH890">
            <v>0</v>
          </cell>
          <cell r="BI890">
            <v>1</v>
          </cell>
          <cell r="BJ890">
            <v>0</v>
          </cell>
          <cell r="BK890">
            <v>0</v>
          </cell>
          <cell r="BL890">
            <v>0</v>
          </cell>
          <cell r="BM890">
            <v>0</v>
          </cell>
          <cell r="BN890">
            <v>0</v>
          </cell>
          <cell r="BO890">
            <v>1</v>
          </cell>
          <cell r="BP890">
            <v>0</v>
          </cell>
          <cell r="BQ890">
            <v>0</v>
          </cell>
          <cell r="BR890">
            <v>12</v>
          </cell>
          <cell r="BS890">
            <v>0</v>
          </cell>
          <cell r="BT890">
            <v>0</v>
          </cell>
          <cell r="BU890">
            <v>16</v>
          </cell>
        </row>
        <row r="891">
          <cell r="A891">
            <v>27</v>
          </cell>
          <cell r="B891">
            <v>27</v>
          </cell>
          <cell r="D891">
            <v>0</v>
          </cell>
          <cell r="F891">
            <v>0</v>
          </cell>
          <cell r="G891">
            <v>1</v>
          </cell>
          <cell r="I891">
            <v>1</v>
          </cell>
          <cell r="J891">
            <v>0</v>
          </cell>
          <cell r="K891">
            <v>14</v>
          </cell>
          <cell r="L891">
            <v>14</v>
          </cell>
          <cell r="M891">
            <v>3</v>
          </cell>
          <cell r="O891">
            <v>1</v>
          </cell>
          <cell r="P891">
            <v>0</v>
          </cell>
          <cell r="Q891">
            <v>0</v>
          </cell>
          <cell r="R891">
            <v>0</v>
          </cell>
          <cell r="S891">
            <v>0</v>
          </cell>
          <cell r="T891">
            <v>1</v>
          </cell>
          <cell r="V891">
            <v>0</v>
          </cell>
          <cell r="W891">
            <v>42</v>
          </cell>
          <cell r="X891">
            <v>3</v>
          </cell>
          <cell r="Y891">
            <v>1</v>
          </cell>
          <cell r="AA891">
            <v>0</v>
          </cell>
          <cell r="AB891">
            <v>0</v>
          </cell>
          <cell r="AC891">
            <v>0</v>
          </cell>
          <cell r="AD891">
            <v>0</v>
          </cell>
          <cell r="AE891">
            <v>0</v>
          </cell>
          <cell r="AF891">
            <v>0</v>
          </cell>
          <cell r="AG891">
            <v>0</v>
          </cell>
          <cell r="AH891">
            <v>1</v>
          </cell>
          <cell r="AI891">
            <v>1</v>
          </cell>
          <cell r="AK891">
            <v>0</v>
          </cell>
          <cell r="AL891">
            <v>1</v>
          </cell>
          <cell r="AN891">
            <v>2235</v>
          </cell>
          <cell r="AO891">
            <v>1</v>
          </cell>
          <cell r="AQ891">
            <v>1</v>
          </cell>
          <cell r="AR891">
            <v>14</v>
          </cell>
          <cell r="AS891">
            <v>3</v>
          </cell>
          <cell r="AT891">
            <v>4</v>
          </cell>
          <cell r="AU891">
            <v>2</v>
          </cell>
          <cell r="AV891">
            <v>9</v>
          </cell>
          <cell r="AW891">
            <v>9</v>
          </cell>
          <cell r="AX891">
            <v>3</v>
          </cell>
          <cell r="AY891">
            <v>2</v>
          </cell>
          <cell r="AZ891">
            <v>9</v>
          </cell>
          <cell r="BA891">
            <v>9</v>
          </cell>
          <cell r="BB891">
            <v>7</v>
          </cell>
          <cell r="BC891">
            <v>6</v>
          </cell>
          <cell r="BD891">
            <v>6</v>
          </cell>
          <cell r="BE891">
            <v>8</v>
          </cell>
          <cell r="BF891">
            <v>8</v>
          </cell>
          <cell r="BG891">
            <v>8</v>
          </cell>
          <cell r="BH891">
            <v>0</v>
          </cell>
          <cell r="BI891">
            <v>1</v>
          </cell>
          <cell r="BJ891">
            <v>0</v>
          </cell>
          <cell r="BK891">
            <v>0</v>
          </cell>
          <cell r="BL891">
            <v>0</v>
          </cell>
          <cell r="BM891">
            <v>0</v>
          </cell>
          <cell r="BN891">
            <v>0</v>
          </cell>
          <cell r="BO891">
            <v>1</v>
          </cell>
          <cell r="BP891">
            <v>0</v>
          </cell>
          <cell r="BQ891">
            <v>8</v>
          </cell>
          <cell r="BR891">
            <v>0</v>
          </cell>
          <cell r="BS891">
            <v>0</v>
          </cell>
          <cell r="BT891">
            <v>9</v>
          </cell>
          <cell r="BU891">
            <v>0</v>
          </cell>
        </row>
        <row r="892">
          <cell r="A892">
            <v>54</v>
          </cell>
          <cell r="B892">
            <v>54</v>
          </cell>
          <cell r="D892">
            <v>0</v>
          </cell>
          <cell r="F892">
            <v>1</v>
          </cell>
          <cell r="G892">
            <v>0</v>
          </cell>
          <cell r="I892">
            <v>1</v>
          </cell>
          <cell r="J892">
            <v>0</v>
          </cell>
          <cell r="K892">
            <v>1</v>
          </cell>
          <cell r="L892">
            <v>1</v>
          </cell>
          <cell r="M892">
            <v>4</v>
          </cell>
          <cell r="O892">
            <v>1</v>
          </cell>
          <cell r="P892">
            <v>0</v>
          </cell>
          <cell r="Q892">
            <v>0</v>
          </cell>
          <cell r="R892">
            <v>0</v>
          </cell>
          <cell r="S892">
            <v>0</v>
          </cell>
          <cell r="T892">
            <v>4</v>
          </cell>
          <cell r="V892">
            <v>1</v>
          </cell>
          <cell r="W892">
            <v>53</v>
          </cell>
          <cell r="X892">
            <v>3</v>
          </cell>
          <cell r="Y892">
            <v>3</v>
          </cell>
          <cell r="AA892">
            <v>0</v>
          </cell>
          <cell r="AB892">
            <v>0</v>
          </cell>
          <cell r="AC892">
            <v>0</v>
          </cell>
          <cell r="AD892">
            <v>0</v>
          </cell>
          <cell r="AE892">
            <v>1</v>
          </cell>
          <cell r="AF892">
            <v>1</v>
          </cell>
          <cell r="AG892">
            <v>0</v>
          </cell>
          <cell r="AH892">
            <v>0</v>
          </cell>
          <cell r="AI892">
            <v>3</v>
          </cell>
          <cell r="AK892">
            <v>0</v>
          </cell>
          <cell r="AL892">
            <v>0</v>
          </cell>
          <cell r="AN892">
            <v>10502</v>
          </cell>
          <cell r="AO892">
            <v>7</v>
          </cell>
          <cell r="AQ892">
            <v>0</v>
          </cell>
          <cell r="AR892">
            <v>17</v>
          </cell>
          <cell r="AS892">
            <v>3</v>
          </cell>
          <cell r="AT892">
            <v>1</v>
          </cell>
          <cell r="AU892">
            <v>1</v>
          </cell>
          <cell r="AV892">
            <v>33</v>
          </cell>
          <cell r="AW892">
            <v>33</v>
          </cell>
          <cell r="AX892">
            <v>2</v>
          </cell>
          <cell r="AY892">
            <v>1</v>
          </cell>
          <cell r="AZ892">
            <v>5</v>
          </cell>
          <cell r="BA892">
            <v>5</v>
          </cell>
          <cell r="BB892">
            <v>4</v>
          </cell>
          <cell r="BC892">
            <v>1</v>
          </cell>
          <cell r="BD892">
            <v>1</v>
          </cell>
          <cell r="BE892">
            <v>4</v>
          </cell>
          <cell r="BF892">
            <v>4</v>
          </cell>
          <cell r="BG892">
            <v>12</v>
          </cell>
          <cell r="BH892">
            <v>0</v>
          </cell>
          <cell r="BI892">
            <v>0</v>
          </cell>
          <cell r="BJ892">
            <v>1</v>
          </cell>
          <cell r="BK892">
            <v>0</v>
          </cell>
          <cell r="BL892">
            <v>1</v>
          </cell>
          <cell r="BM892">
            <v>0</v>
          </cell>
          <cell r="BN892">
            <v>0</v>
          </cell>
          <cell r="BO892">
            <v>0</v>
          </cell>
          <cell r="BP892">
            <v>0</v>
          </cell>
          <cell r="BQ892">
            <v>4</v>
          </cell>
          <cell r="BR892">
            <v>0</v>
          </cell>
          <cell r="BS892">
            <v>0</v>
          </cell>
          <cell r="BT892">
            <v>33</v>
          </cell>
          <cell r="BU892">
            <v>0</v>
          </cell>
        </row>
        <row r="893">
          <cell r="A893">
            <v>44</v>
          </cell>
          <cell r="B893">
            <v>44</v>
          </cell>
          <cell r="D893">
            <v>0</v>
          </cell>
          <cell r="F893">
            <v>0</v>
          </cell>
          <cell r="G893">
            <v>1</v>
          </cell>
          <cell r="I893">
            <v>1</v>
          </cell>
          <cell r="J893">
            <v>0</v>
          </cell>
          <cell r="K893">
            <v>2</v>
          </cell>
          <cell r="L893">
            <v>2</v>
          </cell>
          <cell r="M893">
            <v>1</v>
          </cell>
          <cell r="O893">
            <v>1</v>
          </cell>
          <cell r="P893">
            <v>0</v>
          </cell>
          <cell r="Q893">
            <v>0</v>
          </cell>
          <cell r="R893">
            <v>0</v>
          </cell>
          <cell r="S893">
            <v>0</v>
          </cell>
          <cell r="T893">
            <v>1</v>
          </cell>
          <cell r="V893">
            <v>1</v>
          </cell>
          <cell r="W893">
            <v>72</v>
          </cell>
          <cell r="X893">
            <v>4</v>
          </cell>
          <cell r="Y893">
            <v>1</v>
          </cell>
          <cell r="AA893">
            <v>0</v>
          </cell>
          <cell r="AB893">
            <v>0</v>
          </cell>
          <cell r="AC893">
            <v>0</v>
          </cell>
          <cell r="AD893">
            <v>0</v>
          </cell>
          <cell r="AE893">
            <v>0</v>
          </cell>
          <cell r="AF893">
            <v>0</v>
          </cell>
          <cell r="AG893">
            <v>0</v>
          </cell>
          <cell r="AH893">
            <v>1</v>
          </cell>
          <cell r="AI893">
            <v>4</v>
          </cell>
          <cell r="AK893">
            <v>0</v>
          </cell>
          <cell r="AL893">
            <v>1</v>
          </cell>
          <cell r="AN893">
            <v>2011</v>
          </cell>
          <cell r="AO893">
            <v>1</v>
          </cell>
          <cell r="AQ893">
            <v>0</v>
          </cell>
          <cell r="AR893">
            <v>13</v>
          </cell>
          <cell r="AS893">
            <v>3</v>
          </cell>
          <cell r="AT893">
            <v>4</v>
          </cell>
          <cell r="AU893">
            <v>1</v>
          </cell>
          <cell r="AV893">
            <v>10</v>
          </cell>
          <cell r="AW893">
            <v>10</v>
          </cell>
          <cell r="AX893">
            <v>5</v>
          </cell>
          <cell r="AY893">
            <v>3</v>
          </cell>
          <cell r="AZ893">
            <v>10</v>
          </cell>
          <cell r="BA893">
            <v>10</v>
          </cell>
          <cell r="BB893">
            <v>5</v>
          </cell>
          <cell r="BC893">
            <v>7</v>
          </cell>
          <cell r="BD893">
            <v>7</v>
          </cell>
          <cell r="BE893">
            <v>7</v>
          </cell>
          <cell r="BF893">
            <v>7</v>
          </cell>
          <cell r="BG893">
            <v>7</v>
          </cell>
          <cell r="BH893">
            <v>0</v>
          </cell>
          <cell r="BI893">
            <v>1</v>
          </cell>
          <cell r="BJ893">
            <v>0</v>
          </cell>
          <cell r="BK893">
            <v>0</v>
          </cell>
          <cell r="BL893">
            <v>0</v>
          </cell>
          <cell r="BM893">
            <v>0</v>
          </cell>
          <cell r="BN893">
            <v>1</v>
          </cell>
          <cell r="BO893">
            <v>0</v>
          </cell>
          <cell r="BP893">
            <v>0</v>
          </cell>
          <cell r="BQ893">
            <v>7</v>
          </cell>
          <cell r="BR893">
            <v>0</v>
          </cell>
          <cell r="BS893">
            <v>0</v>
          </cell>
          <cell r="BT893">
            <v>10</v>
          </cell>
          <cell r="BU893">
            <v>0</v>
          </cell>
        </row>
        <row r="894">
          <cell r="A894">
            <v>19</v>
          </cell>
          <cell r="B894">
            <v>19</v>
          </cell>
          <cell r="D894">
            <v>1</v>
          </cell>
          <cell r="F894">
            <v>0</v>
          </cell>
          <cell r="G894">
            <v>0</v>
          </cell>
          <cell r="I894">
            <v>1</v>
          </cell>
          <cell r="J894">
            <v>0</v>
          </cell>
          <cell r="K894">
            <v>10</v>
          </cell>
          <cell r="L894">
            <v>10</v>
          </cell>
          <cell r="M894">
            <v>3</v>
          </cell>
          <cell r="O894">
            <v>0</v>
          </cell>
          <cell r="P894">
            <v>0</v>
          </cell>
          <cell r="Q894">
            <v>1</v>
          </cell>
          <cell r="R894">
            <v>0</v>
          </cell>
          <cell r="S894">
            <v>0</v>
          </cell>
          <cell r="T894">
            <v>1</v>
          </cell>
          <cell r="V894">
            <v>1</v>
          </cell>
          <cell r="W894">
            <v>96</v>
          </cell>
          <cell r="X894">
            <v>2</v>
          </cell>
          <cell r="Y894">
            <v>1</v>
          </cell>
          <cell r="AA894">
            <v>0</v>
          </cell>
          <cell r="AB894">
            <v>0</v>
          </cell>
          <cell r="AC894">
            <v>0</v>
          </cell>
          <cell r="AD894">
            <v>0</v>
          </cell>
          <cell r="AE894">
            <v>0</v>
          </cell>
          <cell r="AF894">
            <v>0</v>
          </cell>
          <cell r="AG894">
            <v>0</v>
          </cell>
          <cell r="AH894">
            <v>1</v>
          </cell>
          <cell r="AI894">
            <v>2</v>
          </cell>
          <cell r="AK894">
            <v>1</v>
          </cell>
          <cell r="AL894">
            <v>0</v>
          </cell>
          <cell r="AN894">
            <v>1859</v>
          </cell>
          <cell r="AO894">
            <v>1</v>
          </cell>
          <cell r="AQ894">
            <v>1</v>
          </cell>
          <cell r="AR894">
            <v>25</v>
          </cell>
          <cell r="AS894">
            <v>4</v>
          </cell>
          <cell r="AT894">
            <v>2</v>
          </cell>
          <cell r="AU894">
            <v>0</v>
          </cell>
          <cell r="AV894">
            <v>1</v>
          </cell>
          <cell r="AW894">
            <v>1</v>
          </cell>
          <cell r="AX894">
            <v>2</v>
          </cell>
          <cell r="AY894">
            <v>4</v>
          </cell>
          <cell r="AZ894">
            <v>1</v>
          </cell>
          <cell r="BA894">
            <v>1</v>
          </cell>
          <cell r="BB894">
            <v>1</v>
          </cell>
          <cell r="BC894">
            <v>0</v>
          </cell>
          <cell r="BD894">
            <v>0</v>
          </cell>
          <cell r="BE894">
            <v>0</v>
          </cell>
          <cell r="BF894">
            <v>0</v>
          </cell>
          <cell r="BG894">
            <v>0</v>
          </cell>
          <cell r="BH894">
            <v>1</v>
          </cell>
          <cell r="BI894">
            <v>0</v>
          </cell>
          <cell r="BJ894">
            <v>0</v>
          </cell>
          <cell r="BK894">
            <v>0</v>
          </cell>
          <cell r="BL894">
            <v>0</v>
          </cell>
          <cell r="BM894">
            <v>1</v>
          </cell>
          <cell r="BN894">
            <v>0</v>
          </cell>
          <cell r="BO894">
            <v>0</v>
          </cell>
          <cell r="BP894">
            <v>0</v>
          </cell>
          <cell r="BQ894">
            <v>0</v>
          </cell>
          <cell r="BR894">
            <v>0</v>
          </cell>
          <cell r="BS894">
            <v>0</v>
          </cell>
          <cell r="BT894">
            <v>1</v>
          </cell>
          <cell r="BU894">
            <v>0</v>
          </cell>
        </row>
        <row r="895">
          <cell r="A895">
            <v>29</v>
          </cell>
          <cell r="B895">
            <v>29</v>
          </cell>
          <cell r="D895">
            <v>0</v>
          </cell>
          <cell r="F895">
            <v>0</v>
          </cell>
          <cell r="G895">
            <v>1</v>
          </cell>
          <cell r="I895">
            <v>1</v>
          </cell>
          <cell r="J895">
            <v>0</v>
          </cell>
          <cell r="K895">
            <v>1</v>
          </cell>
          <cell r="L895">
            <v>1</v>
          </cell>
          <cell r="M895">
            <v>3</v>
          </cell>
          <cell r="O895">
            <v>1</v>
          </cell>
          <cell r="P895">
            <v>0</v>
          </cell>
          <cell r="Q895">
            <v>0</v>
          </cell>
          <cell r="R895">
            <v>0</v>
          </cell>
          <cell r="S895">
            <v>0</v>
          </cell>
          <cell r="T895">
            <v>1</v>
          </cell>
          <cell r="V895">
            <v>1</v>
          </cell>
          <cell r="W895">
            <v>97</v>
          </cell>
          <cell r="X895">
            <v>3</v>
          </cell>
          <cell r="Y895">
            <v>1</v>
          </cell>
          <cell r="AA895">
            <v>0</v>
          </cell>
          <cell r="AB895">
            <v>0</v>
          </cell>
          <cell r="AC895">
            <v>0</v>
          </cell>
          <cell r="AD895">
            <v>0</v>
          </cell>
          <cell r="AE895">
            <v>0</v>
          </cell>
          <cell r="AF895">
            <v>0</v>
          </cell>
          <cell r="AG895">
            <v>0</v>
          </cell>
          <cell r="AH895">
            <v>1</v>
          </cell>
          <cell r="AI895">
            <v>4</v>
          </cell>
          <cell r="AK895">
            <v>0</v>
          </cell>
          <cell r="AL895">
            <v>0</v>
          </cell>
          <cell r="AN895">
            <v>3760</v>
          </cell>
          <cell r="AO895">
            <v>1</v>
          </cell>
          <cell r="AQ895">
            <v>0</v>
          </cell>
          <cell r="AR895">
            <v>15</v>
          </cell>
          <cell r="AS895">
            <v>3</v>
          </cell>
          <cell r="AT895">
            <v>1</v>
          </cell>
          <cell r="AU895">
            <v>3</v>
          </cell>
          <cell r="AV895">
            <v>3</v>
          </cell>
          <cell r="AW895">
            <v>3</v>
          </cell>
          <cell r="AX895">
            <v>5</v>
          </cell>
          <cell r="AY895">
            <v>3</v>
          </cell>
          <cell r="AZ895">
            <v>3</v>
          </cell>
          <cell r="BA895">
            <v>3</v>
          </cell>
          <cell r="BB895">
            <v>2</v>
          </cell>
          <cell r="BC895">
            <v>1</v>
          </cell>
          <cell r="BD895">
            <v>1</v>
          </cell>
          <cell r="BE895">
            <v>2</v>
          </cell>
          <cell r="BF895">
            <v>2</v>
          </cell>
          <cell r="BG895">
            <v>2</v>
          </cell>
          <cell r="BH895">
            <v>1</v>
          </cell>
          <cell r="BI895">
            <v>0</v>
          </cell>
          <cell r="BJ895">
            <v>0</v>
          </cell>
          <cell r="BK895">
            <v>0</v>
          </cell>
          <cell r="BL895">
            <v>1</v>
          </cell>
          <cell r="BM895">
            <v>0</v>
          </cell>
          <cell r="BN895">
            <v>0</v>
          </cell>
          <cell r="BO895">
            <v>0</v>
          </cell>
          <cell r="BP895">
            <v>0</v>
          </cell>
          <cell r="BQ895">
            <v>2</v>
          </cell>
          <cell r="BR895">
            <v>0</v>
          </cell>
          <cell r="BS895">
            <v>0</v>
          </cell>
          <cell r="BT895">
            <v>3</v>
          </cell>
          <cell r="BU895">
            <v>0</v>
          </cell>
        </row>
        <row r="896">
          <cell r="A896">
            <v>54</v>
          </cell>
          <cell r="B896">
            <v>54</v>
          </cell>
          <cell r="D896">
            <v>0</v>
          </cell>
          <cell r="F896">
            <v>0</v>
          </cell>
          <cell r="G896">
            <v>1</v>
          </cell>
          <cell r="I896">
            <v>1</v>
          </cell>
          <cell r="J896">
            <v>0</v>
          </cell>
          <cell r="K896">
            <v>3</v>
          </cell>
          <cell r="L896">
            <v>3</v>
          </cell>
          <cell r="M896">
            <v>3</v>
          </cell>
          <cell r="O896">
            <v>1</v>
          </cell>
          <cell r="P896">
            <v>0</v>
          </cell>
          <cell r="Q896">
            <v>0</v>
          </cell>
          <cell r="R896">
            <v>0</v>
          </cell>
          <cell r="S896">
            <v>0</v>
          </cell>
          <cell r="T896">
            <v>4</v>
          </cell>
          <cell r="V896">
            <v>0</v>
          </cell>
          <cell r="W896">
            <v>85</v>
          </cell>
          <cell r="X896">
            <v>3</v>
          </cell>
          <cell r="Y896">
            <v>4</v>
          </cell>
          <cell r="AA896">
            <v>0</v>
          </cell>
          <cell r="AB896">
            <v>0</v>
          </cell>
          <cell r="AC896">
            <v>0</v>
          </cell>
          <cell r="AD896">
            <v>0</v>
          </cell>
          <cell r="AE896">
            <v>0</v>
          </cell>
          <cell r="AF896">
            <v>0</v>
          </cell>
          <cell r="AG896">
            <v>0</v>
          </cell>
          <cell r="AH896">
            <v>0</v>
          </cell>
          <cell r="AI896">
            <v>4</v>
          </cell>
          <cell r="AK896">
            <v>0</v>
          </cell>
          <cell r="AL896">
            <v>1</v>
          </cell>
          <cell r="AN896">
            <v>17779</v>
          </cell>
          <cell r="AO896">
            <v>3</v>
          </cell>
          <cell r="AQ896">
            <v>0</v>
          </cell>
          <cell r="AR896">
            <v>14</v>
          </cell>
          <cell r="AS896">
            <v>3</v>
          </cell>
          <cell r="AT896">
            <v>1</v>
          </cell>
          <cell r="AU896">
            <v>0</v>
          </cell>
          <cell r="AV896">
            <v>36</v>
          </cell>
          <cell r="AW896">
            <v>35</v>
          </cell>
          <cell r="AX896">
            <v>2</v>
          </cell>
          <cell r="AY896">
            <v>3</v>
          </cell>
          <cell r="AZ896">
            <v>10</v>
          </cell>
          <cell r="BA896">
            <v>10</v>
          </cell>
          <cell r="BB896">
            <v>9</v>
          </cell>
          <cell r="BC896">
            <v>0</v>
          </cell>
          <cell r="BD896">
            <v>0</v>
          </cell>
          <cell r="BE896">
            <v>9</v>
          </cell>
          <cell r="BF896">
            <v>9</v>
          </cell>
          <cell r="BG896">
            <v>36</v>
          </cell>
          <cell r="BH896">
            <v>0</v>
          </cell>
          <cell r="BI896">
            <v>1</v>
          </cell>
          <cell r="BJ896">
            <v>0</v>
          </cell>
          <cell r="BK896">
            <v>0</v>
          </cell>
          <cell r="BL896">
            <v>0</v>
          </cell>
          <cell r="BM896">
            <v>0</v>
          </cell>
          <cell r="BN896">
            <v>1</v>
          </cell>
          <cell r="BO896">
            <v>0</v>
          </cell>
          <cell r="BP896">
            <v>0</v>
          </cell>
          <cell r="BQ896">
            <v>9</v>
          </cell>
          <cell r="BR896">
            <v>0</v>
          </cell>
          <cell r="BS896">
            <v>0</v>
          </cell>
          <cell r="BT896">
            <v>35</v>
          </cell>
          <cell r="BU896">
            <v>0</v>
          </cell>
        </row>
        <row r="897">
          <cell r="A897">
            <v>31</v>
          </cell>
          <cell r="B897">
            <v>31</v>
          </cell>
          <cell r="D897">
            <v>0</v>
          </cell>
          <cell r="F897">
            <v>0</v>
          </cell>
          <cell r="G897">
            <v>1</v>
          </cell>
          <cell r="I897">
            <v>1</v>
          </cell>
          <cell r="J897">
            <v>0</v>
          </cell>
          <cell r="K897">
            <v>11</v>
          </cell>
          <cell r="L897">
            <v>11</v>
          </cell>
          <cell r="M897">
            <v>2</v>
          </cell>
          <cell r="O897">
            <v>0</v>
          </cell>
          <cell r="P897">
            <v>0</v>
          </cell>
          <cell r="Q897">
            <v>1</v>
          </cell>
          <cell r="R897">
            <v>0</v>
          </cell>
          <cell r="S897">
            <v>0</v>
          </cell>
          <cell r="T897">
            <v>3</v>
          </cell>
          <cell r="V897">
            <v>0</v>
          </cell>
          <cell r="W897">
            <v>80</v>
          </cell>
          <cell r="X897">
            <v>3</v>
          </cell>
          <cell r="Y897">
            <v>2</v>
          </cell>
          <cell r="AA897">
            <v>1</v>
          </cell>
          <cell r="AB897">
            <v>0</v>
          </cell>
          <cell r="AC897">
            <v>0</v>
          </cell>
          <cell r="AD897">
            <v>0</v>
          </cell>
          <cell r="AE897">
            <v>0</v>
          </cell>
          <cell r="AF897">
            <v>0</v>
          </cell>
          <cell r="AG897">
            <v>0</v>
          </cell>
          <cell r="AH897">
            <v>0</v>
          </cell>
          <cell r="AI897">
            <v>1</v>
          </cell>
          <cell r="AK897">
            <v>0</v>
          </cell>
          <cell r="AL897">
            <v>1</v>
          </cell>
          <cell r="AN897">
            <v>6833</v>
          </cell>
          <cell r="AO897">
            <v>1</v>
          </cell>
          <cell r="AQ897">
            <v>1</v>
          </cell>
          <cell r="AR897">
            <v>12</v>
          </cell>
          <cell r="AS897">
            <v>3</v>
          </cell>
          <cell r="AT897">
            <v>4</v>
          </cell>
          <cell r="AU897">
            <v>0</v>
          </cell>
          <cell r="AV897">
            <v>6</v>
          </cell>
          <cell r="AW897">
            <v>6</v>
          </cell>
          <cell r="AX897">
            <v>2</v>
          </cell>
          <cell r="AY897">
            <v>2</v>
          </cell>
          <cell r="AZ897">
            <v>6</v>
          </cell>
          <cell r="BA897">
            <v>6</v>
          </cell>
          <cell r="BB897">
            <v>5</v>
          </cell>
          <cell r="BC897">
            <v>0</v>
          </cell>
          <cell r="BD897">
            <v>0</v>
          </cell>
          <cell r="BE897">
            <v>1</v>
          </cell>
          <cell r="BF897">
            <v>1</v>
          </cell>
          <cell r="BG897">
            <v>2</v>
          </cell>
          <cell r="BH897">
            <v>0</v>
          </cell>
          <cell r="BI897">
            <v>1</v>
          </cell>
          <cell r="BJ897">
            <v>0</v>
          </cell>
          <cell r="BK897">
            <v>0</v>
          </cell>
          <cell r="BL897">
            <v>0</v>
          </cell>
          <cell r="BM897">
            <v>0</v>
          </cell>
          <cell r="BN897">
            <v>0</v>
          </cell>
          <cell r="BO897">
            <v>1</v>
          </cell>
          <cell r="BP897">
            <v>0</v>
          </cell>
          <cell r="BQ897">
            <v>1</v>
          </cell>
          <cell r="BR897">
            <v>0</v>
          </cell>
          <cell r="BS897">
            <v>0</v>
          </cell>
          <cell r="BT897">
            <v>6</v>
          </cell>
          <cell r="BU897">
            <v>0</v>
          </cell>
        </row>
        <row r="898">
          <cell r="A898">
            <v>31</v>
          </cell>
          <cell r="B898">
            <v>31</v>
          </cell>
          <cell r="D898">
            <v>0</v>
          </cell>
          <cell r="F898">
            <v>0</v>
          </cell>
          <cell r="G898">
            <v>1</v>
          </cell>
          <cell r="I898">
            <v>1</v>
          </cell>
          <cell r="J898">
            <v>0</v>
          </cell>
          <cell r="K898">
            <v>24</v>
          </cell>
          <cell r="L898">
            <v>24</v>
          </cell>
          <cell r="M898">
            <v>3</v>
          </cell>
          <cell r="O898">
            <v>0</v>
          </cell>
          <cell r="P898">
            <v>0</v>
          </cell>
          <cell r="Q898">
            <v>1</v>
          </cell>
          <cell r="R898">
            <v>0</v>
          </cell>
          <cell r="S898">
            <v>0</v>
          </cell>
          <cell r="T898">
            <v>3</v>
          </cell>
          <cell r="V898">
            <v>1</v>
          </cell>
          <cell r="W898">
            <v>96</v>
          </cell>
          <cell r="X898">
            <v>2</v>
          </cell>
          <cell r="Y898">
            <v>2</v>
          </cell>
          <cell r="AA898">
            <v>1</v>
          </cell>
          <cell r="AB898">
            <v>0</v>
          </cell>
          <cell r="AC898">
            <v>0</v>
          </cell>
          <cell r="AD898">
            <v>0</v>
          </cell>
          <cell r="AE898">
            <v>0</v>
          </cell>
          <cell r="AF898">
            <v>0</v>
          </cell>
          <cell r="AG898">
            <v>0</v>
          </cell>
          <cell r="AH898">
            <v>0</v>
          </cell>
          <cell r="AI898">
            <v>1</v>
          </cell>
          <cell r="AK898">
            <v>1</v>
          </cell>
          <cell r="AL898">
            <v>0</v>
          </cell>
          <cell r="AN898">
            <v>6812</v>
          </cell>
          <cell r="AO898">
            <v>1</v>
          </cell>
          <cell r="AQ898">
            <v>0</v>
          </cell>
          <cell r="AR898">
            <v>19</v>
          </cell>
          <cell r="AS898">
            <v>3</v>
          </cell>
          <cell r="AT898">
            <v>2</v>
          </cell>
          <cell r="AU898">
            <v>0</v>
          </cell>
          <cell r="AV898">
            <v>10</v>
          </cell>
          <cell r="AW898">
            <v>10</v>
          </cell>
          <cell r="AX898">
            <v>2</v>
          </cell>
          <cell r="AY898">
            <v>3</v>
          </cell>
          <cell r="AZ898">
            <v>10</v>
          </cell>
          <cell r="BA898">
            <v>10</v>
          </cell>
          <cell r="BB898">
            <v>9</v>
          </cell>
          <cell r="BC898">
            <v>1</v>
          </cell>
          <cell r="BD898">
            <v>1</v>
          </cell>
          <cell r="BE898">
            <v>8</v>
          </cell>
          <cell r="BF898">
            <v>8</v>
          </cell>
          <cell r="BG898">
            <v>16</v>
          </cell>
          <cell r="BH898">
            <v>1</v>
          </cell>
          <cell r="BI898">
            <v>0</v>
          </cell>
          <cell r="BJ898">
            <v>0</v>
          </cell>
          <cell r="BK898">
            <v>0</v>
          </cell>
          <cell r="BL898">
            <v>1</v>
          </cell>
          <cell r="BM898">
            <v>0</v>
          </cell>
          <cell r="BN898">
            <v>0</v>
          </cell>
          <cell r="BO898">
            <v>0</v>
          </cell>
          <cell r="BP898">
            <v>0</v>
          </cell>
          <cell r="BQ898">
            <v>8</v>
          </cell>
          <cell r="BR898">
            <v>0</v>
          </cell>
          <cell r="BS898">
            <v>0</v>
          </cell>
          <cell r="BT898">
            <v>10</v>
          </cell>
          <cell r="BU898">
            <v>0</v>
          </cell>
        </row>
        <row r="899">
          <cell r="A899">
            <v>59</v>
          </cell>
          <cell r="B899">
            <v>58.309999999999945</v>
          </cell>
          <cell r="D899">
            <v>0</v>
          </cell>
          <cell r="F899">
            <v>0</v>
          </cell>
          <cell r="G899">
            <v>1</v>
          </cell>
          <cell r="I899">
            <v>0</v>
          </cell>
          <cell r="J899">
            <v>1</v>
          </cell>
          <cell r="K899">
            <v>3</v>
          </cell>
          <cell r="L899">
            <v>3</v>
          </cell>
          <cell r="M899">
            <v>3</v>
          </cell>
          <cell r="O899">
            <v>1</v>
          </cell>
          <cell r="P899">
            <v>0</v>
          </cell>
          <cell r="Q899">
            <v>0</v>
          </cell>
          <cell r="R899">
            <v>0</v>
          </cell>
          <cell r="S899">
            <v>0</v>
          </cell>
          <cell r="T899">
            <v>3</v>
          </cell>
          <cell r="V899">
            <v>1</v>
          </cell>
          <cell r="W899">
            <v>48</v>
          </cell>
          <cell r="X899">
            <v>2</v>
          </cell>
          <cell r="Y899">
            <v>2</v>
          </cell>
          <cell r="AA899">
            <v>0</v>
          </cell>
          <cell r="AB899">
            <v>1</v>
          </cell>
          <cell r="AC899">
            <v>0</v>
          </cell>
          <cell r="AD899">
            <v>0</v>
          </cell>
          <cell r="AE899">
            <v>0</v>
          </cell>
          <cell r="AF899">
            <v>0</v>
          </cell>
          <cell r="AG899">
            <v>0</v>
          </cell>
          <cell r="AH899">
            <v>0</v>
          </cell>
          <cell r="AI899">
            <v>4</v>
          </cell>
          <cell r="AK899">
            <v>1</v>
          </cell>
          <cell r="AL899">
            <v>0</v>
          </cell>
          <cell r="AN899">
            <v>5171</v>
          </cell>
          <cell r="AO899">
            <v>5</v>
          </cell>
          <cell r="AQ899">
            <v>0</v>
          </cell>
          <cell r="AR899">
            <v>17</v>
          </cell>
          <cell r="AS899">
            <v>3</v>
          </cell>
          <cell r="AT899">
            <v>4</v>
          </cell>
          <cell r="AU899">
            <v>0</v>
          </cell>
          <cell r="AV899">
            <v>13</v>
          </cell>
          <cell r="AW899">
            <v>13</v>
          </cell>
          <cell r="AX899">
            <v>2</v>
          </cell>
          <cell r="AY899">
            <v>3</v>
          </cell>
          <cell r="AZ899">
            <v>6</v>
          </cell>
          <cell r="BA899">
            <v>6</v>
          </cell>
          <cell r="BB899">
            <v>1</v>
          </cell>
          <cell r="BC899">
            <v>0</v>
          </cell>
          <cell r="BD899">
            <v>0</v>
          </cell>
          <cell r="BE899">
            <v>5</v>
          </cell>
          <cell r="BF899">
            <v>5</v>
          </cell>
          <cell r="BG899">
            <v>10</v>
          </cell>
          <cell r="BH899">
            <v>1</v>
          </cell>
          <cell r="BI899">
            <v>0</v>
          </cell>
          <cell r="BJ899">
            <v>0</v>
          </cell>
          <cell r="BK899">
            <v>0</v>
          </cell>
          <cell r="BL899">
            <v>1</v>
          </cell>
          <cell r="BM899">
            <v>0</v>
          </cell>
          <cell r="BN899">
            <v>0</v>
          </cell>
          <cell r="BO899">
            <v>0</v>
          </cell>
          <cell r="BP899">
            <v>0</v>
          </cell>
          <cell r="BQ899">
            <v>0</v>
          </cell>
          <cell r="BR899">
            <v>5</v>
          </cell>
          <cell r="BS899">
            <v>0</v>
          </cell>
          <cell r="BT899">
            <v>0</v>
          </cell>
          <cell r="BU899">
            <v>13</v>
          </cell>
        </row>
        <row r="900">
          <cell r="A900">
            <v>43</v>
          </cell>
          <cell r="B900">
            <v>43</v>
          </cell>
          <cell r="D900">
            <v>0</v>
          </cell>
          <cell r="F900">
            <v>0</v>
          </cell>
          <cell r="G900">
            <v>1</v>
          </cell>
          <cell r="I900">
            <v>1</v>
          </cell>
          <cell r="J900">
            <v>0</v>
          </cell>
          <cell r="K900">
            <v>3</v>
          </cell>
          <cell r="L900">
            <v>3</v>
          </cell>
          <cell r="M900">
            <v>3</v>
          </cell>
          <cell r="O900">
            <v>1</v>
          </cell>
          <cell r="P900">
            <v>0</v>
          </cell>
          <cell r="Q900">
            <v>0</v>
          </cell>
          <cell r="R900">
            <v>0</v>
          </cell>
          <cell r="S900">
            <v>0</v>
          </cell>
          <cell r="T900">
            <v>3</v>
          </cell>
          <cell r="V900">
            <v>0</v>
          </cell>
          <cell r="W900">
            <v>96</v>
          </cell>
          <cell r="X900">
            <v>1</v>
          </cell>
          <cell r="Y900">
            <v>5</v>
          </cell>
          <cell r="AA900">
            <v>0</v>
          </cell>
          <cell r="AB900">
            <v>0</v>
          </cell>
          <cell r="AC900">
            <v>0</v>
          </cell>
          <cell r="AD900">
            <v>0</v>
          </cell>
          <cell r="AE900">
            <v>0</v>
          </cell>
          <cell r="AF900">
            <v>0</v>
          </cell>
          <cell r="AG900">
            <v>0</v>
          </cell>
          <cell r="AH900">
            <v>0</v>
          </cell>
          <cell r="AI900">
            <v>4</v>
          </cell>
          <cell r="AK900">
            <v>0</v>
          </cell>
          <cell r="AL900">
            <v>1</v>
          </cell>
          <cell r="AN900">
            <v>19626.310000000001</v>
          </cell>
          <cell r="AO900">
            <v>3</v>
          </cell>
          <cell r="AQ900">
            <v>0</v>
          </cell>
          <cell r="AR900">
            <v>14</v>
          </cell>
          <cell r="AS900">
            <v>3</v>
          </cell>
          <cell r="AT900">
            <v>2</v>
          </cell>
          <cell r="AU900">
            <v>1</v>
          </cell>
          <cell r="AV900">
            <v>25</v>
          </cell>
          <cell r="AW900">
            <v>25</v>
          </cell>
          <cell r="AX900">
            <v>2</v>
          </cell>
          <cell r="AY900">
            <v>3</v>
          </cell>
          <cell r="AZ900">
            <v>8</v>
          </cell>
          <cell r="BA900">
            <v>8</v>
          </cell>
          <cell r="BB900">
            <v>7</v>
          </cell>
          <cell r="BC900">
            <v>0</v>
          </cell>
          <cell r="BD900">
            <v>0</v>
          </cell>
          <cell r="BE900">
            <v>7</v>
          </cell>
          <cell r="BF900">
            <v>7</v>
          </cell>
          <cell r="BG900">
            <v>35</v>
          </cell>
          <cell r="BH900">
            <v>0</v>
          </cell>
          <cell r="BI900">
            <v>1</v>
          </cell>
          <cell r="BJ900">
            <v>0</v>
          </cell>
          <cell r="BK900">
            <v>0</v>
          </cell>
          <cell r="BL900">
            <v>0</v>
          </cell>
          <cell r="BM900">
            <v>0</v>
          </cell>
          <cell r="BN900">
            <v>1</v>
          </cell>
          <cell r="BO900">
            <v>0</v>
          </cell>
          <cell r="BP900">
            <v>0</v>
          </cell>
          <cell r="BQ900">
            <v>7</v>
          </cell>
          <cell r="BR900">
            <v>0</v>
          </cell>
          <cell r="BS900">
            <v>0</v>
          </cell>
          <cell r="BT900">
            <v>25</v>
          </cell>
          <cell r="BU900">
            <v>0</v>
          </cell>
        </row>
        <row r="901">
          <cell r="A901">
            <v>49</v>
          </cell>
          <cell r="B901">
            <v>49</v>
          </cell>
          <cell r="D901">
            <v>0</v>
          </cell>
          <cell r="F901">
            <v>0</v>
          </cell>
          <cell r="G901">
            <v>1</v>
          </cell>
          <cell r="I901">
            <v>1</v>
          </cell>
          <cell r="J901">
            <v>0</v>
          </cell>
          <cell r="K901">
            <v>4</v>
          </cell>
          <cell r="L901">
            <v>4</v>
          </cell>
          <cell r="M901">
            <v>2</v>
          </cell>
          <cell r="O901">
            <v>0</v>
          </cell>
          <cell r="P901">
            <v>0</v>
          </cell>
          <cell r="Q901">
            <v>1</v>
          </cell>
          <cell r="R901">
            <v>0</v>
          </cell>
          <cell r="S901">
            <v>0</v>
          </cell>
          <cell r="T901">
            <v>1</v>
          </cell>
          <cell r="V901">
            <v>0</v>
          </cell>
          <cell r="W901">
            <v>85</v>
          </cell>
          <cell r="X901">
            <v>2</v>
          </cell>
          <cell r="Y901">
            <v>5</v>
          </cell>
          <cell r="AA901">
            <v>0</v>
          </cell>
          <cell r="AB901">
            <v>0</v>
          </cell>
          <cell r="AC901">
            <v>0</v>
          </cell>
          <cell r="AD901">
            <v>1</v>
          </cell>
          <cell r="AE901">
            <v>0</v>
          </cell>
          <cell r="AF901">
            <v>0</v>
          </cell>
          <cell r="AG901">
            <v>0</v>
          </cell>
          <cell r="AH901">
            <v>0</v>
          </cell>
          <cell r="AI901">
            <v>3</v>
          </cell>
          <cell r="AK901">
            <v>0</v>
          </cell>
          <cell r="AL901">
            <v>1</v>
          </cell>
          <cell r="AN901">
            <v>18711</v>
          </cell>
          <cell r="AO901">
            <v>2</v>
          </cell>
          <cell r="AQ901">
            <v>0</v>
          </cell>
          <cell r="AR901">
            <v>13</v>
          </cell>
          <cell r="AS901">
            <v>3</v>
          </cell>
          <cell r="AT901">
            <v>3</v>
          </cell>
          <cell r="AU901">
            <v>1</v>
          </cell>
          <cell r="AV901">
            <v>23</v>
          </cell>
          <cell r="AW901">
            <v>23</v>
          </cell>
          <cell r="AX901">
            <v>2</v>
          </cell>
          <cell r="AY901">
            <v>4</v>
          </cell>
          <cell r="AZ901">
            <v>1</v>
          </cell>
          <cell r="BA901">
            <v>1</v>
          </cell>
          <cell r="BB901">
            <v>0</v>
          </cell>
          <cell r="BC901">
            <v>0</v>
          </cell>
          <cell r="BD901">
            <v>0</v>
          </cell>
          <cell r="BE901">
            <v>0</v>
          </cell>
          <cell r="BF901">
            <v>0</v>
          </cell>
          <cell r="BG901">
            <v>0</v>
          </cell>
          <cell r="BH901">
            <v>0</v>
          </cell>
          <cell r="BI901">
            <v>1</v>
          </cell>
          <cell r="BJ901">
            <v>0</v>
          </cell>
          <cell r="BK901">
            <v>0</v>
          </cell>
          <cell r="BL901">
            <v>0</v>
          </cell>
          <cell r="BM901">
            <v>0</v>
          </cell>
          <cell r="BN901">
            <v>1</v>
          </cell>
          <cell r="BO901">
            <v>0</v>
          </cell>
          <cell r="BP901">
            <v>0</v>
          </cell>
          <cell r="BQ901">
            <v>0</v>
          </cell>
          <cell r="BR901">
            <v>0</v>
          </cell>
          <cell r="BS901">
            <v>0</v>
          </cell>
          <cell r="BT901">
            <v>23</v>
          </cell>
          <cell r="BU901">
            <v>0</v>
          </cell>
        </row>
        <row r="902">
          <cell r="A902">
            <v>36</v>
          </cell>
          <cell r="B902">
            <v>36</v>
          </cell>
          <cell r="D902">
            <v>0</v>
          </cell>
          <cell r="F902">
            <v>1</v>
          </cell>
          <cell r="G902">
            <v>0</v>
          </cell>
          <cell r="I902">
            <v>1</v>
          </cell>
          <cell r="J902">
            <v>0</v>
          </cell>
          <cell r="K902">
            <v>3</v>
          </cell>
          <cell r="L902">
            <v>3</v>
          </cell>
          <cell r="M902">
            <v>3</v>
          </cell>
          <cell r="O902">
            <v>0</v>
          </cell>
          <cell r="P902">
            <v>0</v>
          </cell>
          <cell r="Q902">
            <v>0</v>
          </cell>
          <cell r="R902">
            <v>0</v>
          </cell>
          <cell r="S902">
            <v>1</v>
          </cell>
          <cell r="T902">
            <v>3</v>
          </cell>
          <cell r="V902">
            <v>0</v>
          </cell>
          <cell r="W902">
            <v>46</v>
          </cell>
          <cell r="X902">
            <v>3</v>
          </cell>
          <cell r="Y902">
            <v>1</v>
          </cell>
          <cell r="AA902">
            <v>0</v>
          </cell>
          <cell r="AB902">
            <v>0</v>
          </cell>
          <cell r="AC902">
            <v>0</v>
          </cell>
          <cell r="AD902">
            <v>0</v>
          </cell>
          <cell r="AE902">
            <v>0</v>
          </cell>
          <cell r="AF902">
            <v>0</v>
          </cell>
          <cell r="AG902">
            <v>0</v>
          </cell>
          <cell r="AH902">
            <v>1</v>
          </cell>
          <cell r="AI902">
            <v>2</v>
          </cell>
          <cell r="AK902">
            <v>0</v>
          </cell>
          <cell r="AL902">
            <v>1</v>
          </cell>
          <cell r="AN902">
            <v>3692</v>
          </cell>
          <cell r="AO902">
            <v>1</v>
          </cell>
          <cell r="AQ902">
            <v>0</v>
          </cell>
          <cell r="AR902">
            <v>12</v>
          </cell>
          <cell r="AS902">
            <v>3</v>
          </cell>
          <cell r="AT902">
            <v>3</v>
          </cell>
          <cell r="AU902">
            <v>0</v>
          </cell>
          <cell r="AV902">
            <v>12</v>
          </cell>
          <cell r="AW902">
            <v>12</v>
          </cell>
          <cell r="AX902">
            <v>2</v>
          </cell>
          <cell r="AY902">
            <v>2</v>
          </cell>
          <cell r="AZ902">
            <v>11</v>
          </cell>
          <cell r="BA902">
            <v>11</v>
          </cell>
          <cell r="BB902">
            <v>10</v>
          </cell>
          <cell r="BC902">
            <v>0</v>
          </cell>
          <cell r="BD902">
            <v>0</v>
          </cell>
          <cell r="BE902">
            <v>7</v>
          </cell>
          <cell r="BF902">
            <v>7</v>
          </cell>
          <cell r="BG902">
            <v>7</v>
          </cell>
          <cell r="BH902">
            <v>0</v>
          </cell>
          <cell r="BI902">
            <v>0</v>
          </cell>
          <cell r="BJ902">
            <v>0</v>
          </cell>
          <cell r="BK902">
            <v>1</v>
          </cell>
          <cell r="BL902">
            <v>0</v>
          </cell>
          <cell r="BM902">
            <v>0</v>
          </cell>
          <cell r="BN902">
            <v>1</v>
          </cell>
          <cell r="BO902">
            <v>0</v>
          </cell>
          <cell r="BP902">
            <v>0</v>
          </cell>
          <cell r="BQ902">
            <v>7</v>
          </cell>
          <cell r="BR902">
            <v>0</v>
          </cell>
          <cell r="BS902">
            <v>0</v>
          </cell>
          <cell r="BT902">
            <v>12</v>
          </cell>
          <cell r="BU902">
            <v>0</v>
          </cell>
        </row>
        <row r="903">
          <cell r="A903">
            <v>48</v>
          </cell>
          <cell r="B903">
            <v>48</v>
          </cell>
          <cell r="D903">
            <v>0</v>
          </cell>
          <cell r="F903">
            <v>0</v>
          </cell>
          <cell r="G903">
            <v>1</v>
          </cell>
          <cell r="I903">
            <v>1</v>
          </cell>
          <cell r="J903">
            <v>0</v>
          </cell>
          <cell r="K903">
            <v>2</v>
          </cell>
          <cell r="L903">
            <v>2</v>
          </cell>
          <cell r="M903">
            <v>2</v>
          </cell>
          <cell r="O903">
            <v>0</v>
          </cell>
          <cell r="P903">
            <v>0</v>
          </cell>
          <cell r="Q903">
            <v>0</v>
          </cell>
          <cell r="R903">
            <v>0</v>
          </cell>
          <cell r="S903">
            <v>1</v>
          </cell>
          <cell r="T903">
            <v>4</v>
          </cell>
          <cell r="V903">
            <v>0</v>
          </cell>
          <cell r="W903">
            <v>76</v>
          </cell>
          <cell r="X903">
            <v>4</v>
          </cell>
          <cell r="Y903">
            <v>1</v>
          </cell>
          <cell r="AA903">
            <v>0</v>
          </cell>
          <cell r="AB903">
            <v>0</v>
          </cell>
          <cell r="AC903">
            <v>1</v>
          </cell>
          <cell r="AD903">
            <v>0</v>
          </cell>
          <cell r="AE903">
            <v>0</v>
          </cell>
          <cell r="AF903">
            <v>0</v>
          </cell>
          <cell r="AG903">
            <v>0</v>
          </cell>
          <cell r="AH903">
            <v>0</v>
          </cell>
          <cell r="AI903">
            <v>2</v>
          </cell>
          <cell r="AK903">
            <v>1</v>
          </cell>
          <cell r="AL903">
            <v>0</v>
          </cell>
          <cell r="AN903">
            <v>2559</v>
          </cell>
          <cell r="AO903">
            <v>5</v>
          </cell>
          <cell r="AQ903">
            <v>0</v>
          </cell>
          <cell r="AR903">
            <v>11</v>
          </cell>
          <cell r="AS903">
            <v>3</v>
          </cell>
          <cell r="AT903">
            <v>3</v>
          </cell>
          <cell r="AU903">
            <v>0</v>
          </cell>
          <cell r="AV903">
            <v>7</v>
          </cell>
          <cell r="AW903">
            <v>7</v>
          </cell>
          <cell r="AX903">
            <v>4</v>
          </cell>
          <cell r="AY903">
            <v>2</v>
          </cell>
          <cell r="AZ903">
            <v>1</v>
          </cell>
          <cell r="BA903">
            <v>1</v>
          </cell>
          <cell r="BB903">
            <v>0</v>
          </cell>
          <cell r="BC903">
            <v>0</v>
          </cell>
          <cell r="BD903">
            <v>0</v>
          </cell>
          <cell r="BE903">
            <v>0</v>
          </cell>
          <cell r="BF903">
            <v>0</v>
          </cell>
          <cell r="BG903">
            <v>0</v>
          </cell>
          <cell r="BH903">
            <v>1</v>
          </cell>
          <cell r="BI903">
            <v>0</v>
          </cell>
          <cell r="BJ903">
            <v>0</v>
          </cell>
          <cell r="BK903">
            <v>0</v>
          </cell>
          <cell r="BL903">
            <v>1</v>
          </cell>
          <cell r="BM903">
            <v>0</v>
          </cell>
          <cell r="BN903">
            <v>0</v>
          </cell>
          <cell r="BO903">
            <v>0</v>
          </cell>
          <cell r="BP903">
            <v>0</v>
          </cell>
          <cell r="BQ903">
            <v>0</v>
          </cell>
          <cell r="BR903">
            <v>0</v>
          </cell>
          <cell r="BS903">
            <v>0</v>
          </cell>
          <cell r="BT903">
            <v>7</v>
          </cell>
          <cell r="BU903">
            <v>0</v>
          </cell>
        </row>
        <row r="904">
          <cell r="A904">
            <v>27</v>
          </cell>
          <cell r="B904">
            <v>27</v>
          </cell>
          <cell r="D904">
            <v>0</v>
          </cell>
          <cell r="F904">
            <v>0</v>
          </cell>
          <cell r="G904">
            <v>1</v>
          </cell>
          <cell r="I904">
            <v>1</v>
          </cell>
          <cell r="J904">
            <v>0</v>
          </cell>
          <cell r="K904">
            <v>4</v>
          </cell>
          <cell r="L904">
            <v>4</v>
          </cell>
          <cell r="M904">
            <v>2</v>
          </cell>
          <cell r="O904">
            <v>1</v>
          </cell>
          <cell r="P904">
            <v>0</v>
          </cell>
          <cell r="Q904">
            <v>0</v>
          </cell>
          <cell r="R904">
            <v>0</v>
          </cell>
          <cell r="S904">
            <v>0</v>
          </cell>
          <cell r="T904">
            <v>1</v>
          </cell>
          <cell r="V904">
            <v>0</v>
          </cell>
          <cell r="W904">
            <v>76</v>
          </cell>
          <cell r="X904">
            <v>3</v>
          </cell>
          <cell r="Y904">
            <v>1</v>
          </cell>
          <cell r="AA904">
            <v>0</v>
          </cell>
          <cell r="AB904">
            <v>0</v>
          </cell>
          <cell r="AC904">
            <v>0</v>
          </cell>
          <cell r="AD904">
            <v>0</v>
          </cell>
          <cell r="AE904">
            <v>0</v>
          </cell>
          <cell r="AF904">
            <v>0</v>
          </cell>
          <cell r="AG904">
            <v>0</v>
          </cell>
          <cell r="AH904">
            <v>1</v>
          </cell>
          <cell r="AI904">
            <v>3</v>
          </cell>
          <cell r="AK904">
            <v>0</v>
          </cell>
          <cell r="AL904">
            <v>0</v>
          </cell>
          <cell r="AN904">
            <v>2517</v>
          </cell>
          <cell r="AO904">
            <v>1</v>
          </cell>
          <cell r="AQ904">
            <v>0</v>
          </cell>
          <cell r="AR904">
            <v>11</v>
          </cell>
          <cell r="AS904">
            <v>3</v>
          </cell>
          <cell r="AT904">
            <v>2</v>
          </cell>
          <cell r="AU904">
            <v>3</v>
          </cell>
          <cell r="AV904">
            <v>5</v>
          </cell>
          <cell r="AW904">
            <v>5</v>
          </cell>
          <cell r="AX904">
            <v>2</v>
          </cell>
          <cell r="AY904">
            <v>3</v>
          </cell>
          <cell r="AZ904">
            <v>5</v>
          </cell>
          <cell r="BA904">
            <v>5</v>
          </cell>
          <cell r="BB904">
            <v>3</v>
          </cell>
          <cell r="BC904">
            <v>0</v>
          </cell>
          <cell r="BD904">
            <v>0</v>
          </cell>
          <cell r="BE904">
            <v>3</v>
          </cell>
          <cell r="BF904">
            <v>3</v>
          </cell>
          <cell r="BG904">
            <v>3</v>
          </cell>
          <cell r="BH904">
            <v>1</v>
          </cell>
          <cell r="BI904">
            <v>0</v>
          </cell>
          <cell r="BJ904">
            <v>0</v>
          </cell>
          <cell r="BK904">
            <v>0</v>
          </cell>
          <cell r="BL904">
            <v>1</v>
          </cell>
          <cell r="BM904">
            <v>0</v>
          </cell>
          <cell r="BN904">
            <v>0</v>
          </cell>
          <cell r="BO904">
            <v>0</v>
          </cell>
          <cell r="BP904">
            <v>0</v>
          </cell>
          <cell r="BQ904">
            <v>3</v>
          </cell>
          <cell r="BR904">
            <v>0</v>
          </cell>
          <cell r="BS904">
            <v>0</v>
          </cell>
          <cell r="BT904">
            <v>5</v>
          </cell>
          <cell r="BU904">
            <v>0</v>
          </cell>
        </row>
        <row r="905">
          <cell r="A905">
            <v>29</v>
          </cell>
          <cell r="B905">
            <v>29</v>
          </cell>
          <cell r="D905">
            <v>0</v>
          </cell>
          <cell r="F905">
            <v>0</v>
          </cell>
          <cell r="G905">
            <v>1</v>
          </cell>
          <cell r="I905">
            <v>1</v>
          </cell>
          <cell r="J905">
            <v>0</v>
          </cell>
          <cell r="K905">
            <v>7</v>
          </cell>
          <cell r="L905">
            <v>7</v>
          </cell>
          <cell r="M905">
            <v>3</v>
          </cell>
          <cell r="O905">
            <v>1</v>
          </cell>
          <cell r="P905">
            <v>0</v>
          </cell>
          <cell r="Q905">
            <v>0</v>
          </cell>
          <cell r="R905">
            <v>0</v>
          </cell>
          <cell r="S905">
            <v>0</v>
          </cell>
          <cell r="T905">
            <v>3</v>
          </cell>
          <cell r="V905">
            <v>0</v>
          </cell>
          <cell r="W905">
            <v>82</v>
          </cell>
          <cell r="X905">
            <v>3</v>
          </cell>
          <cell r="Y905">
            <v>2</v>
          </cell>
          <cell r="AA905">
            <v>1</v>
          </cell>
          <cell r="AB905">
            <v>0</v>
          </cell>
          <cell r="AC905">
            <v>0</v>
          </cell>
          <cell r="AD905">
            <v>0</v>
          </cell>
          <cell r="AE905">
            <v>0</v>
          </cell>
          <cell r="AF905">
            <v>0</v>
          </cell>
          <cell r="AG905">
            <v>0</v>
          </cell>
          <cell r="AH905">
            <v>0</v>
          </cell>
          <cell r="AI905">
            <v>4</v>
          </cell>
          <cell r="AK905">
            <v>0</v>
          </cell>
          <cell r="AL905">
            <v>0</v>
          </cell>
          <cell r="AN905">
            <v>6623</v>
          </cell>
          <cell r="AO905">
            <v>1</v>
          </cell>
          <cell r="AQ905">
            <v>1</v>
          </cell>
          <cell r="AR905">
            <v>11</v>
          </cell>
          <cell r="AS905">
            <v>3</v>
          </cell>
          <cell r="AT905">
            <v>2</v>
          </cell>
          <cell r="AU905">
            <v>2</v>
          </cell>
          <cell r="AV905">
            <v>6</v>
          </cell>
          <cell r="AW905">
            <v>6</v>
          </cell>
          <cell r="AX905">
            <v>2</v>
          </cell>
          <cell r="AY905">
            <v>3</v>
          </cell>
          <cell r="AZ905">
            <v>6</v>
          </cell>
          <cell r="BA905">
            <v>6</v>
          </cell>
          <cell r="BB905">
            <v>0</v>
          </cell>
          <cell r="BC905">
            <v>1</v>
          </cell>
          <cell r="BD905">
            <v>1</v>
          </cell>
          <cell r="BE905">
            <v>0</v>
          </cell>
          <cell r="BF905">
            <v>0</v>
          </cell>
          <cell r="BG905">
            <v>0</v>
          </cell>
          <cell r="BH905">
            <v>1</v>
          </cell>
          <cell r="BI905">
            <v>0</v>
          </cell>
          <cell r="BJ905">
            <v>0</v>
          </cell>
          <cell r="BK905">
            <v>0</v>
          </cell>
          <cell r="BL905">
            <v>0</v>
          </cell>
          <cell r="BM905">
            <v>1</v>
          </cell>
          <cell r="BN905">
            <v>0</v>
          </cell>
          <cell r="BO905">
            <v>0</v>
          </cell>
          <cell r="BP905">
            <v>0</v>
          </cell>
          <cell r="BQ905">
            <v>0</v>
          </cell>
          <cell r="BR905">
            <v>0</v>
          </cell>
          <cell r="BS905">
            <v>0</v>
          </cell>
          <cell r="BT905">
            <v>6</v>
          </cell>
          <cell r="BU905">
            <v>0</v>
          </cell>
        </row>
        <row r="906">
          <cell r="A906">
            <v>48</v>
          </cell>
          <cell r="B906">
            <v>48</v>
          </cell>
          <cell r="D906">
            <v>0</v>
          </cell>
          <cell r="F906">
            <v>0</v>
          </cell>
          <cell r="G906">
            <v>1</v>
          </cell>
          <cell r="I906">
            <v>1</v>
          </cell>
          <cell r="J906">
            <v>0</v>
          </cell>
          <cell r="K906">
            <v>1</v>
          </cell>
          <cell r="L906">
            <v>1</v>
          </cell>
          <cell r="M906">
            <v>3</v>
          </cell>
          <cell r="O906">
            <v>1</v>
          </cell>
          <cell r="P906">
            <v>0</v>
          </cell>
          <cell r="Q906">
            <v>0</v>
          </cell>
          <cell r="R906">
            <v>0</v>
          </cell>
          <cell r="S906">
            <v>0</v>
          </cell>
          <cell r="T906">
            <v>4</v>
          </cell>
          <cell r="V906">
            <v>0</v>
          </cell>
          <cell r="W906">
            <v>76</v>
          </cell>
          <cell r="X906">
            <v>2</v>
          </cell>
          <cell r="Y906">
            <v>5</v>
          </cell>
          <cell r="AA906">
            <v>0</v>
          </cell>
          <cell r="AB906">
            <v>0</v>
          </cell>
          <cell r="AC906">
            <v>0</v>
          </cell>
          <cell r="AD906">
            <v>0</v>
          </cell>
          <cell r="AE906">
            <v>0</v>
          </cell>
          <cell r="AF906">
            <v>0</v>
          </cell>
          <cell r="AG906">
            <v>0</v>
          </cell>
          <cell r="AH906">
            <v>0</v>
          </cell>
          <cell r="AI906">
            <v>4</v>
          </cell>
          <cell r="AK906">
            <v>1</v>
          </cell>
          <cell r="AL906">
            <v>0</v>
          </cell>
          <cell r="AN906">
            <v>18265</v>
          </cell>
          <cell r="AO906">
            <v>6</v>
          </cell>
          <cell r="AQ906">
            <v>0</v>
          </cell>
          <cell r="AR906">
            <v>12</v>
          </cell>
          <cell r="AS906">
            <v>3</v>
          </cell>
          <cell r="AT906">
            <v>3</v>
          </cell>
          <cell r="AU906">
            <v>0</v>
          </cell>
          <cell r="AV906">
            <v>25</v>
          </cell>
          <cell r="AW906">
            <v>25</v>
          </cell>
          <cell r="AX906">
            <v>3</v>
          </cell>
          <cell r="AY906">
            <v>4</v>
          </cell>
          <cell r="AZ906">
            <v>1</v>
          </cell>
          <cell r="BA906">
            <v>1</v>
          </cell>
          <cell r="BB906">
            <v>0</v>
          </cell>
          <cell r="BC906">
            <v>0</v>
          </cell>
          <cell r="BD906">
            <v>0</v>
          </cell>
          <cell r="BE906">
            <v>0</v>
          </cell>
          <cell r="BF906">
            <v>0</v>
          </cell>
          <cell r="BG906">
            <v>0</v>
          </cell>
          <cell r="BH906">
            <v>1</v>
          </cell>
          <cell r="BI906">
            <v>0</v>
          </cell>
          <cell r="BJ906">
            <v>0</v>
          </cell>
          <cell r="BK906">
            <v>0</v>
          </cell>
          <cell r="BL906">
            <v>1</v>
          </cell>
          <cell r="BM906">
            <v>0</v>
          </cell>
          <cell r="BN906">
            <v>0</v>
          </cell>
          <cell r="BO906">
            <v>0</v>
          </cell>
          <cell r="BP906">
            <v>0</v>
          </cell>
          <cell r="BQ906">
            <v>0</v>
          </cell>
          <cell r="BR906">
            <v>0</v>
          </cell>
          <cell r="BS906">
            <v>0</v>
          </cell>
          <cell r="BT906">
            <v>25</v>
          </cell>
          <cell r="BU906">
            <v>0</v>
          </cell>
        </row>
        <row r="907">
          <cell r="A907">
            <v>29</v>
          </cell>
          <cell r="B907">
            <v>29</v>
          </cell>
          <cell r="D907">
            <v>0</v>
          </cell>
          <cell r="F907">
            <v>0</v>
          </cell>
          <cell r="G907">
            <v>1</v>
          </cell>
          <cell r="I907">
            <v>1</v>
          </cell>
          <cell r="J907">
            <v>0</v>
          </cell>
          <cell r="K907">
            <v>1</v>
          </cell>
          <cell r="L907">
            <v>1</v>
          </cell>
          <cell r="M907">
            <v>3</v>
          </cell>
          <cell r="O907">
            <v>1</v>
          </cell>
          <cell r="P907">
            <v>0</v>
          </cell>
          <cell r="Q907">
            <v>0</v>
          </cell>
          <cell r="R907">
            <v>0</v>
          </cell>
          <cell r="S907">
            <v>0</v>
          </cell>
          <cell r="T907">
            <v>4</v>
          </cell>
          <cell r="V907">
            <v>1</v>
          </cell>
          <cell r="W907">
            <v>87</v>
          </cell>
          <cell r="X907">
            <v>2</v>
          </cell>
          <cell r="Y907">
            <v>4</v>
          </cell>
          <cell r="AA907">
            <v>0</v>
          </cell>
          <cell r="AB907">
            <v>0</v>
          </cell>
          <cell r="AC907">
            <v>0</v>
          </cell>
          <cell r="AD907">
            <v>0</v>
          </cell>
          <cell r="AE907">
            <v>0</v>
          </cell>
          <cell r="AF907">
            <v>0</v>
          </cell>
          <cell r="AG907">
            <v>0</v>
          </cell>
          <cell r="AH907">
            <v>0</v>
          </cell>
          <cell r="AI907">
            <v>4</v>
          </cell>
          <cell r="AK907">
            <v>0</v>
          </cell>
          <cell r="AL907">
            <v>0</v>
          </cell>
          <cell r="AN907">
            <v>16124</v>
          </cell>
          <cell r="AO907">
            <v>3</v>
          </cell>
          <cell r="AQ907">
            <v>0</v>
          </cell>
          <cell r="AR907">
            <v>14</v>
          </cell>
          <cell r="AS907">
            <v>3</v>
          </cell>
          <cell r="AT907">
            <v>2</v>
          </cell>
          <cell r="AU907">
            <v>2</v>
          </cell>
          <cell r="AV907">
            <v>9</v>
          </cell>
          <cell r="AW907">
            <v>9</v>
          </cell>
          <cell r="AX907">
            <v>2</v>
          </cell>
          <cell r="AY907">
            <v>2</v>
          </cell>
          <cell r="AZ907">
            <v>7</v>
          </cell>
          <cell r="BA907">
            <v>7</v>
          </cell>
          <cell r="BB907">
            <v>7</v>
          </cell>
          <cell r="BC907">
            <v>1</v>
          </cell>
          <cell r="BD907">
            <v>1</v>
          </cell>
          <cell r="BE907">
            <v>7</v>
          </cell>
          <cell r="BF907">
            <v>7</v>
          </cell>
          <cell r="BG907">
            <v>28</v>
          </cell>
          <cell r="BH907">
            <v>1</v>
          </cell>
          <cell r="BI907">
            <v>0</v>
          </cell>
          <cell r="BJ907">
            <v>0</v>
          </cell>
          <cell r="BK907">
            <v>0</v>
          </cell>
          <cell r="BL907">
            <v>1</v>
          </cell>
          <cell r="BM907">
            <v>0</v>
          </cell>
          <cell r="BN907">
            <v>0</v>
          </cell>
          <cell r="BO907">
            <v>0</v>
          </cell>
          <cell r="BP907">
            <v>0</v>
          </cell>
          <cell r="BQ907">
            <v>7</v>
          </cell>
          <cell r="BR907">
            <v>0</v>
          </cell>
          <cell r="BS907">
            <v>0</v>
          </cell>
          <cell r="BT907">
            <v>9</v>
          </cell>
          <cell r="BU907">
            <v>0</v>
          </cell>
        </row>
        <row r="908">
          <cell r="A908">
            <v>34</v>
          </cell>
          <cell r="B908">
            <v>34</v>
          </cell>
          <cell r="D908">
            <v>0</v>
          </cell>
          <cell r="F908">
            <v>0</v>
          </cell>
          <cell r="G908">
            <v>1</v>
          </cell>
          <cell r="I908">
            <v>1</v>
          </cell>
          <cell r="J908">
            <v>0</v>
          </cell>
          <cell r="K908">
            <v>20</v>
          </cell>
          <cell r="L908">
            <v>20</v>
          </cell>
          <cell r="M908">
            <v>3</v>
          </cell>
          <cell r="O908">
            <v>0</v>
          </cell>
          <cell r="P908">
            <v>0</v>
          </cell>
          <cell r="Q908">
            <v>0</v>
          </cell>
          <cell r="R908">
            <v>0</v>
          </cell>
          <cell r="S908">
            <v>1</v>
          </cell>
          <cell r="T908">
            <v>3</v>
          </cell>
          <cell r="V908">
            <v>1</v>
          </cell>
          <cell r="W908">
            <v>89</v>
          </cell>
          <cell r="X908">
            <v>4</v>
          </cell>
          <cell r="Y908">
            <v>1</v>
          </cell>
          <cell r="AA908">
            <v>0</v>
          </cell>
          <cell r="AB908">
            <v>0</v>
          </cell>
          <cell r="AC908">
            <v>0</v>
          </cell>
          <cell r="AD908">
            <v>0</v>
          </cell>
          <cell r="AE908">
            <v>0</v>
          </cell>
          <cell r="AF908">
            <v>0</v>
          </cell>
          <cell r="AG908">
            <v>0</v>
          </cell>
          <cell r="AH908">
            <v>1</v>
          </cell>
          <cell r="AI908">
            <v>3</v>
          </cell>
          <cell r="AK908">
            <v>0</v>
          </cell>
          <cell r="AL908">
            <v>1</v>
          </cell>
          <cell r="AN908">
            <v>2585</v>
          </cell>
          <cell r="AO908">
            <v>0</v>
          </cell>
          <cell r="AQ908">
            <v>0</v>
          </cell>
          <cell r="AR908">
            <v>17</v>
          </cell>
          <cell r="AS908">
            <v>3</v>
          </cell>
          <cell r="AT908">
            <v>4</v>
          </cell>
          <cell r="AU908">
            <v>0</v>
          </cell>
          <cell r="AV908">
            <v>2</v>
          </cell>
          <cell r="AW908">
            <v>2</v>
          </cell>
          <cell r="AX908">
            <v>5</v>
          </cell>
          <cell r="AY908">
            <v>2</v>
          </cell>
          <cell r="AZ908">
            <v>1</v>
          </cell>
          <cell r="BA908">
            <v>1</v>
          </cell>
          <cell r="BB908">
            <v>0</v>
          </cell>
          <cell r="BC908">
            <v>0</v>
          </cell>
          <cell r="BD908">
            <v>0</v>
          </cell>
          <cell r="BE908">
            <v>0</v>
          </cell>
          <cell r="BF908">
            <v>0</v>
          </cell>
          <cell r="BG908">
            <v>0</v>
          </cell>
          <cell r="BH908">
            <v>0</v>
          </cell>
          <cell r="BI908">
            <v>1</v>
          </cell>
          <cell r="BJ908">
            <v>0</v>
          </cell>
          <cell r="BK908">
            <v>0</v>
          </cell>
          <cell r="BL908">
            <v>0</v>
          </cell>
          <cell r="BM908">
            <v>0</v>
          </cell>
          <cell r="BN908">
            <v>1</v>
          </cell>
          <cell r="BO908">
            <v>0</v>
          </cell>
          <cell r="BP908">
            <v>0</v>
          </cell>
          <cell r="BQ908">
            <v>0</v>
          </cell>
          <cell r="BR908">
            <v>0</v>
          </cell>
          <cell r="BS908">
            <v>0</v>
          </cell>
          <cell r="BT908">
            <v>2</v>
          </cell>
          <cell r="BU908">
            <v>0</v>
          </cell>
        </row>
        <row r="909">
          <cell r="A909">
            <v>44</v>
          </cell>
          <cell r="B909">
            <v>44</v>
          </cell>
          <cell r="D909">
            <v>0</v>
          </cell>
          <cell r="F909">
            <v>0</v>
          </cell>
          <cell r="G909">
            <v>1</v>
          </cell>
          <cell r="I909">
            <v>0</v>
          </cell>
          <cell r="J909">
            <v>1</v>
          </cell>
          <cell r="K909">
            <v>5</v>
          </cell>
          <cell r="L909">
            <v>5</v>
          </cell>
          <cell r="M909">
            <v>3</v>
          </cell>
          <cell r="O909">
            <v>0</v>
          </cell>
          <cell r="P909">
            <v>0</v>
          </cell>
          <cell r="Q909">
            <v>0</v>
          </cell>
          <cell r="R909">
            <v>1</v>
          </cell>
          <cell r="S909">
            <v>0</v>
          </cell>
          <cell r="T909">
            <v>2</v>
          </cell>
          <cell r="V909">
            <v>0</v>
          </cell>
          <cell r="W909">
            <v>88</v>
          </cell>
          <cell r="X909">
            <v>3</v>
          </cell>
          <cell r="Y909">
            <v>5</v>
          </cell>
          <cell r="AA909">
            <v>0</v>
          </cell>
          <cell r="AB909">
            <v>0</v>
          </cell>
          <cell r="AC909">
            <v>0</v>
          </cell>
          <cell r="AD909">
            <v>1</v>
          </cell>
          <cell r="AE909">
            <v>0</v>
          </cell>
          <cell r="AF909">
            <v>0</v>
          </cell>
          <cell r="AG909">
            <v>0</v>
          </cell>
          <cell r="AH909">
            <v>0</v>
          </cell>
          <cell r="AI909">
            <v>2</v>
          </cell>
          <cell r="AK909">
            <v>0</v>
          </cell>
          <cell r="AL909">
            <v>1</v>
          </cell>
          <cell r="AN909">
            <v>18213</v>
          </cell>
          <cell r="AO909">
            <v>7</v>
          </cell>
          <cell r="AQ909">
            <v>0</v>
          </cell>
          <cell r="AR909">
            <v>11</v>
          </cell>
          <cell r="AS909">
            <v>3</v>
          </cell>
          <cell r="AT909">
            <v>3</v>
          </cell>
          <cell r="AU909">
            <v>1</v>
          </cell>
          <cell r="AV909">
            <v>26</v>
          </cell>
          <cell r="AW909">
            <v>26</v>
          </cell>
          <cell r="AX909">
            <v>5</v>
          </cell>
          <cell r="AY909">
            <v>3</v>
          </cell>
          <cell r="AZ909">
            <v>22</v>
          </cell>
          <cell r="BA909">
            <v>22</v>
          </cell>
          <cell r="BB909">
            <v>9</v>
          </cell>
          <cell r="BC909">
            <v>3</v>
          </cell>
          <cell r="BD909">
            <v>3</v>
          </cell>
          <cell r="BE909">
            <v>10</v>
          </cell>
          <cell r="BF909">
            <v>10</v>
          </cell>
          <cell r="BG909">
            <v>50</v>
          </cell>
          <cell r="BH909">
            <v>0</v>
          </cell>
          <cell r="BI909">
            <v>1</v>
          </cell>
          <cell r="BJ909">
            <v>0</v>
          </cell>
          <cell r="BK909">
            <v>0</v>
          </cell>
          <cell r="BL909">
            <v>0</v>
          </cell>
          <cell r="BM909">
            <v>0</v>
          </cell>
          <cell r="BN909">
            <v>1</v>
          </cell>
          <cell r="BO909">
            <v>0</v>
          </cell>
          <cell r="BP909">
            <v>0</v>
          </cell>
          <cell r="BQ909">
            <v>0</v>
          </cell>
          <cell r="BR909">
            <v>10</v>
          </cell>
          <cell r="BS909">
            <v>0</v>
          </cell>
          <cell r="BT909">
            <v>0</v>
          </cell>
          <cell r="BU909">
            <v>26</v>
          </cell>
        </row>
        <row r="910">
          <cell r="A910">
            <v>33</v>
          </cell>
          <cell r="B910">
            <v>33</v>
          </cell>
          <cell r="D910">
            <v>0</v>
          </cell>
          <cell r="F910">
            <v>0</v>
          </cell>
          <cell r="G910">
            <v>1</v>
          </cell>
          <cell r="I910">
            <v>0</v>
          </cell>
          <cell r="J910">
            <v>1</v>
          </cell>
          <cell r="K910">
            <v>10</v>
          </cell>
          <cell r="L910">
            <v>10</v>
          </cell>
          <cell r="M910">
            <v>5</v>
          </cell>
          <cell r="O910">
            <v>0</v>
          </cell>
          <cell r="P910">
            <v>0</v>
          </cell>
          <cell r="Q910">
            <v>0</v>
          </cell>
          <cell r="R910">
            <v>1</v>
          </cell>
          <cell r="S910">
            <v>0</v>
          </cell>
          <cell r="T910">
            <v>4</v>
          </cell>
          <cell r="V910">
            <v>0</v>
          </cell>
          <cell r="W910">
            <v>82</v>
          </cell>
          <cell r="X910">
            <v>4</v>
          </cell>
          <cell r="Y910">
            <v>3</v>
          </cell>
          <cell r="AA910">
            <v>0</v>
          </cell>
          <cell r="AB910">
            <v>1</v>
          </cell>
          <cell r="AC910">
            <v>0</v>
          </cell>
          <cell r="AD910">
            <v>0</v>
          </cell>
          <cell r="AE910">
            <v>0</v>
          </cell>
          <cell r="AF910">
            <v>0</v>
          </cell>
          <cell r="AG910">
            <v>0</v>
          </cell>
          <cell r="AH910">
            <v>0</v>
          </cell>
          <cell r="AI910">
            <v>3</v>
          </cell>
          <cell r="AK910">
            <v>0</v>
          </cell>
          <cell r="AL910">
            <v>0</v>
          </cell>
          <cell r="AN910">
            <v>8380</v>
          </cell>
          <cell r="AO910">
            <v>0</v>
          </cell>
          <cell r="AQ910">
            <v>1</v>
          </cell>
          <cell r="AR910">
            <v>14</v>
          </cell>
          <cell r="AS910">
            <v>3</v>
          </cell>
          <cell r="AT910">
            <v>4</v>
          </cell>
          <cell r="AU910">
            <v>2</v>
          </cell>
          <cell r="AV910">
            <v>10</v>
          </cell>
          <cell r="AW910">
            <v>10</v>
          </cell>
          <cell r="AX910">
            <v>3</v>
          </cell>
          <cell r="AY910">
            <v>3</v>
          </cell>
          <cell r="AZ910">
            <v>9</v>
          </cell>
          <cell r="BA910">
            <v>9</v>
          </cell>
          <cell r="BB910">
            <v>8</v>
          </cell>
          <cell r="BC910">
            <v>0</v>
          </cell>
          <cell r="BD910">
            <v>0</v>
          </cell>
          <cell r="BE910">
            <v>8</v>
          </cell>
          <cell r="BF910">
            <v>8</v>
          </cell>
          <cell r="BG910">
            <v>24</v>
          </cell>
          <cell r="BH910">
            <v>1</v>
          </cell>
          <cell r="BI910">
            <v>0</v>
          </cell>
          <cell r="BJ910">
            <v>0</v>
          </cell>
          <cell r="BK910">
            <v>0</v>
          </cell>
          <cell r="BL910">
            <v>0</v>
          </cell>
          <cell r="BM910">
            <v>1</v>
          </cell>
          <cell r="BN910">
            <v>0</v>
          </cell>
          <cell r="BO910">
            <v>0</v>
          </cell>
          <cell r="BP910">
            <v>0</v>
          </cell>
          <cell r="BQ910">
            <v>0</v>
          </cell>
          <cell r="BR910">
            <v>8</v>
          </cell>
          <cell r="BS910">
            <v>0</v>
          </cell>
          <cell r="BT910">
            <v>0</v>
          </cell>
          <cell r="BU910">
            <v>10</v>
          </cell>
        </row>
        <row r="911">
          <cell r="A911">
            <v>19</v>
          </cell>
          <cell r="B911">
            <v>19</v>
          </cell>
          <cell r="D911">
            <v>0</v>
          </cell>
          <cell r="F911">
            <v>0</v>
          </cell>
          <cell r="G911">
            <v>1</v>
          </cell>
          <cell r="I911">
            <v>1</v>
          </cell>
          <cell r="J911">
            <v>0</v>
          </cell>
          <cell r="K911">
            <v>25</v>
          </cell>
          <cell r="L911">
            <v>25</v>
          </cell>
          <cell r="M911">
            <v>3</v>
          </cell>
          <cell r="O911">
            <v>1</v>
          </cell>
          <cell r="P911">
            <v>0</v>
          </cell>
          <cell r="Q911">
            <v>0</v>
          </cell>
          <cell r="R911">
            <v>0</v>
          </cell>
          <cell r="S911">
            <v>0</v>
          </cell>
          <cell r="T911">
            <v>2</v>
          </cell>
          <cell r="V911">
            <v>1</v>
          </cell>
          <cell r="W911">
            <v>57</v>
          </cell>
          <cell r="X911">
            <v>4</v>
          </cell>
          <cell r="Y911">
            <v>1</v>
          </cell>
          <cell r="AA911">
            <v>0</v>
          </cell>
          <cell r="AB911">
            <v>0</v>
          </cell>
          <cell r="AC911">
            <v>0</v>
          </cell>
          <cell r="AD911">
            <v>0</v>
          </cell>
          <cell r="AE911">
            <v>0</v>
          </cell>
          <cell r="AF911">
            <v>0</v>
          </cell>
          <cell r="AG911">
            <v>0</v>
          </cell>
          <cell r="AH911">
            <v>1</v>
          </cell>
          <cell r="AI911">
            <v>4</v>
          </cell>
          <cell r="AK911">
            <v>1</v>
          </cell>
          <cell r="AL911">
            <v>0</v>
          </cell>
          <cell r="AN911">
            <v>2994</v>
          </cell>
          <cell r="AO911">
            <v>1</v>
          </cell>
          <cell r="AQ911">
            <v>1</v>
          </cell>
          <cell r="AR911">
            <v>12</v>
          </cell>
          <cell r="AS911">
            <v>3</v>
          </cell>
          <cell r="AT911">
            <v>4</v>
          </cell>
          <cell r="AU911">
            <v>0</v>
          </cell>
          <cell r="AV911">
            <v>1</v>
          </cell>
          <cell r="AW911">
            <v>1</v>
          </cell>
          <cell r="AX911">
            <v>2</v>
          </cell>
          <cell r="AY911">
            <v>3</v>
          </cell>
          <cell r="AZ911">
            <v>1</v>
          </cell>
          <cell r="BA911">
            <v>1</v>
          </cell>
          <cell r="BB911">
            <v>0</v>
          </cell>
          <cell r="BC911">
            <v>0</v>
          </cell>
          <cell r="BD911">
            <v>0</v>
          </cell>
          <cell r="BE911">
            <v>1</v>
          </cell>
          <cell r="BF911">
            <v>1</v>
          </cell>
          <cell r="BG911">
            <v>1</v>
          </cell>
          <cell r="BH911">
            <v>1</v>
          </cell>
          <cell r="BI911">
            <v>0</v>
          </cell>
          <cell r="BJ911">
            <v>0</v>
          </cell>
          <cell r="BK911">
            <v>0</v>
          </cell>
          <cell r="BL911">
            <v>0</v>
          </cell>
          <cell r="BM911">
            <v>1</v>
          </cell>
          <cell r="BN911">
            <v>0</v>
          </cell>
          <cell r="BO911">
            <v>0</v>
          </cell>
          <cell r="BP911">
            <v>0</v>
          </cell>
          <cell r="BQ911">
            <v>1</v>
          </cell>
          <cell r="BR911">
            <v>0</v>
          </cell>
          <cell r="BS911">
            <v>0</v>
          </cell>
          <cell r="BT911">
            <v>1</v>
          </cell>
          <cell r="BU911">
            <v>0</v>
          </cell>
        </row>
        <row r="912">
          <cell r="A912">
            <v>23</v>
          </cell>
          <cell r="B912">
            <v>23</v>
          </cell>
          <cell r="D912">
            <v>0</v>
          </cell>
          <cell r="F912">
            <v>0</v>
          </cell>
          <cell r="G912">
            <v>1</v>
          </cell>
          <cell r="I912">
            <v>1</v>
          </cell>
          <cell r="J912">
            <v>0</v>
          </cell>
          <cell r="K912">
            <v>1</v>
          </cell>
          <cell r="L912">
            <v>1</v>
          </cell>
          <cell r="M912">
            <v>2</v>
          </cell>
          <cell r="O912">
            <v>1</v>
          </cell>
          <cell r="P912">
            <v>0</v>
          </cell>
          <cell r="Q912">
            <v>0</v>
          </cell>
          <cell r="R912">
            <v>0</v>
          </cell>
          <cell r="S912">
            <v>0</v>
          </cell>
          <cell r="T912">
            <v>4</v>
          </cell>
          <cell r="V912">
            <v>0</v>
          </cell>
          <cell r="W912">
            <v>47</v>
          </cell>
          <cell r="X912">
            <v>3</v>
          </cell>
          <cell r="Y912">
            <v>1</v>
          </cell>
          <cell r="AA912">
            <v>0</v>
          </cell>
          <cell r="AB912">
            <v>0</v>
          </cell>
          <cell r="AC912">
            <v>0</v>
          </cell>
          <cell r="AD912">
            <v>0</v>
          </cell>
          <cell r="AE912">
            <v>0</v>
          </cell>
          <cell r="AF912">
            <v>0</v>
          </cell>
          <cell r="AG912">
            <v>0</v>
          </cell>
          <cell r="AH912">
            <v>1</v>
          </cell>
          <cell r="AI912">
            <v>3</v>
          </cell>
          <cell r="AK912">
            <v>0</v>
          </cell>
          <cell r="AL912">
            <v>1</v>
          </cell>
          <cell r="AN912">
            <v>1382.46</v>
          </cell>
          <cell r="AO912">
            <v>1</v>
          </cell>
          <cell r="AQ912">
            <v>0</v>
          </cell>
          <cell r="AR912">
            <v>22</v>
          </cell>
          <cell r="AS912">
            <v>4</v>
          </cell>
          <cell r="AT912">
            <v>4</v>
          </cell>
          <cell r="AU912">
            <v>1</v>
          </cell>
          <cell r="AV912">
            <v>1</v>
          </cell>
          <cell r="AW912">
            <v>1</v>
          </cell>
          <cell r="AX912">
            <v>2</v>
          </cell>
          <cell r="AY912">
            <v>3</v>
          </cell>
          <cell r="AZ912">
            <v>1</v>
          </cell>
          <cell r="BA912">
            <v>1</v>
          </cell>
          <cell r="BB912">
            <v>0</v>
          </cell>
          <cell r="BC912">
            <v>0</v>
          </cell>
          <cell r="BD912">
            <v>0</v>
          </cell>
          <cell r="BE912">
            <v>1</v>
          </cell>
          <cell r="BF912">
            <v>1</v>
          </cell>
          <cell r="BG912">
            <v>1</v>
          </cell>
          <cell r="BH912">
            <v>0</v>
          </cell>
          <cell r="BI912">
            <v>1</v>
          </cell>
          <cell r="BJ912">
            <v>0</v>
          </cell>
          <cell r="BK912">
            <v>0</v>
          </cell>
          <cell r="BL912">
            <v>0</v>
          </cell>
          <cell r="BM912">
            <v>0</v>
          </cell>
          <cell r="BN912">
            <v>1</v>
          </cell>
          <cell r="BO912">
            <v>0</v>
          </cell>
          <cell r="BP912">
            <v>0</v>
          </cell>
          <cell r="BQ912">
            <v>1</v>
          </cell>
          <cell r="BR912">
            <v>0</v>
          </cell>
          <cell r="BS912">
            <v>0</v>
          </cell>
          <cell r="BT912">
            <v>1</v>
          </cell>
          <cell r="BU912">
            <v>0</v>
          </cell>
        </row>
        <row r="913">
          <cell r="A913">
            <v>25</v>
          </cell>
          <cell r="B913">
            <v>25</v>
          </cell>
          <cell r="D913">
            <v>1</v>
          </cell>
          <cell r="F913">
            <v>1</v>
          </cell>
          <cell r="G913">
            <v>0</v>
          </cell>
          <cell r="I913">
            <v>0</v>
          </cell>
          <cell r="J913">
            <v>1</v>
          </cell>
          <cell r="K913">
            <v>24</v>
          </cell>
          <cell r="L913">
            <v>24</v>
          </cell>
          <cell r="M913">
            <v>1</v>
          </cell>
          <cell r="O913">
            <v>1</v>
          </cell>
          <cell r="P913">
            <v>0</v>
          </cell>
          <cell r="Q913">
            <v>0</v>
          </cell>
          <cell r="R913">
            <v>0</v>
          </cell>
          <cell r="S913">
            <v>0</v>
          </cell>
          <cell r="T913">
            <v>3</v>
          </cell>
          <cell r="V913">
            <v>0</v>
          </cell>
          <cell r="W913">
            <v>73</v>
          </cell>
          <cell r="X913">
            <v>1</v>
          </cell>
          <cell r="Y913">
            <v>1</v>
          </cell>
          <cell r="AA913">
            <v>0</v>
          </cell>
          <cell r="AB913">
            <v>0</v>
          </cell>
          <cell r="AC913">
            <v>0</v>
          </cell>
          <cell r="AD913">
            <v>0</v>
          </cell>
          <cell r="AE913">
            <v>0</v>
          </cell>
          <cell r="AF913">
            <v>0</v>
          </cell>
          <cell r="AG913">
            <v>1</v>
          </cell>
          <cell r="AH913">
            <v>0</v>
          </cell>
          <cell r="AI913">
            <v>4</v>
          </cell>
          <cell r="AK913">
            <v>1</v>
          </cell>
          <cell r="AL913">
            <v>0</v>
          </cell>
          <cell r="AN913">
            <v>1382.46</v>
          </cell>
          <cell r="AO913">
            <v>1</v>
          </cell>
          <cell r="AQ913">
            <v>1</v>
          </cell>
          <cell r="AR913">
            <v>14</v>
          </cell>
          <cell r="AS913">
            <v>3</v>
          </cell>
          <cell r="AT913">
            <v>4</v>
          </cell>
          <cell r="AU913">
            <v>0</v>
          </cell>
          <cell r="AV913">
            <v>1</v>
          </cell>
          <cell r="AW913">
            <v>1</v>
          </cell>
          <cell r="AX913">
            <v>4</v>
          </cell>
          <cell r="AY913">
            <v>3</v>
          </cell>
          <cell r="AZ913">
            <v>1</v>
          </cell>
          <cell r="BA913">
            <v>1</v>
          </cell>
          <cell r="BB913">
            <v>0</v>
          </cell>
          <cell r="BC913">
            <v>1</v>
          </cell>
          <cell r="BD913">
            <v>1</v>
          </cell>
          <cell r="BE913">
            <v>0</v>
          </cell>
          <cell r="BF913">
            <v>0</v>
          </cell>
          <cell r="BG913">
            <v>0</v>
          </cell>
          <cell r="BH913">
            <v>0</v>
          </cell>
          <cell r="BI913">
            <v>0</v>
          </cell>
          <cell r="BJ913">
            <v>1</v>
          </cell>
          <cell r="BK913">
            <v>0</v>
          </cell>
          <cell r="BL913">
            <v>0</v>
          </cell>
          <cell r="BM913">
            <v>1</v>
          </cell>
          <cell r="BN913">
            <v>0</v>
          </cell>
          <cell r="BO913">
            <v>0</v>
          </cell>
          <cell r="BP913">
            <v>0</v>
          </cell>
          <cell r="BQ913">
            <v>0</v>
          </cell>
          <cell r="BR913">
            <v>0</v>
          </cell>
          <cell r="BS913">
            <v>0</v>
          </cell>
          <cell r="BT913">
            <v>0</v>
          </cell>
          <cell r="BU913">
            <v>1</v>
          </cell>
        </row>
        <row r="914">
          <cell r="A914">
            <v>26</v>
          </cell>
          <cell r="B914">
            <v>26</v>
          </cell>
          <cell r="D914">
            <v>0</v>
          </cell>
          <cell r="F914">
            <v>0</v>
          </cell>
          <cell r="G914">
            <v>1</v>
          </cell>
          <cell r="I914">
            <v>1</v>
          </cell>
          <cell r="J914">
            <v>0</v>
          </cell>
          <cell r="K914">
            <v>4</v>
          </cell>
          <cell r="L914">
            <v>4</v>
          </cell>
          <cell r="M914">
            <v>2</v>
          </cell>
          <cell r="O914">
            <v>1</v>
          </cell>
          <cell r="P914">
            <v>0</v>
          </cell>
          <cell r="Q914">
            <v>0</v>
          </cell>
          <cell r="R914">
            <v>0</v>
          </cell>
          <cell r="S914">
            <v>0</v>
          </cell>
          <cell r="T914">
            <v>3</v>
          </cell>
          <cell r="V914">
            <v>0</v>
          </cell>
          <cell r="W914">
            <v>53</v>
          </cell>
          <cell r="X914">
            <v>3</v>
          </cell>
          <cell r="Y914">
            <v>1</v>
          </cell>
          <cell r="AA914">
            <v>0</v>
          </cell>
          <cell r="AB914">
            <v>0</v>
          </cell>
          <cell r="AC914">
            <v>0</v>
          </cell>
          <cell r="AD914">
            <v>0</v>
          </cell>
          <cell r="AE914">
            <v>0</v>
          </cell>
          <cell r="AF914">
            <v>0</v>
          </cell>
          <cell r="AG914">
            <v>0</v>
          </cell>
          <cell r="AH914">
            <v>1</v>
          </cell>
          <cell r="AI914">
            <v>4</v>
          </cell>
          <cell r="AK914">
            <v>1</v>
          </cell>
          <cell r="AL914">
            <v>0</v>
          </cell>
          <cell r="AN914">
            <v>2875</v>
          </cell>
          <cell r="AO914">
            <v>1</v>
          </cell>
          <cell r="AQ914">
            <v>1</v>
          </cell>
          <cell r="AR914">
            <v>20</v>
          </cell>
          <cell r="AS914">
            <v>4</v>
          </cell>
          <cell r="AT914">
            <v>2</v>
          </cell>
          <cell r="AU914">
            <v>0</v>
          </cell>
          <cell r="AV914">
            <v>8</v>
          </cell>
          <cell r="AW914">
            <v>8</v>
          </cell>
          <cell r="AX914">
            <v>2</v>
          </cell>
          <cell r="AY914">
            <v>2</v>
          </cell>
          <cell r="AZ914">
            <v>8</v>
          </cell>
          <cell r="BA914">
            <v>8</v>
          </cell>
          <cell r="BB914">
            <v>5</v>
          </cell>
          <cell r="BC914">
            <v>2</v>
          </cell>
          <cell r="BD914">
            <v>2</v>
          </cell>
          <cell r="BE914">
            <v>2</v>
          </cell>
          <cell r="BF914">
            <v>2</v>
          </cell>
          <cell r="BG914">
            <v>2</v>
          </cell>
          <cell r="BH914">
            <v>1</v>
          </cell>
          <cell r="BI914">
            <v>0</v>
          </cell>
          <cell r="BJ914">
            <v>0</v>
          </cell>
          <cell r="BK914">
            <v>0</v>
          </cell>
          <cell r="BL914">
            <v>0</v>
          </cell>
          <cell r="BM914">
            <v>1</v>
          </cell>
          <cell r="BN914">
            <v>0</v>
          </cell>
          <cell r="BO914">
            <v>0</v>
          </cell>
          <cell r="BP914">
            <v>0</v>
          </cell>
          <cell r="BQ914">
            <v>2</v>
          </cell>
          <cell r="BR914">
            <v>0</v>
          </cell>
          <cell r="BS914">
            <v>0</v>
          </cell>
          <cell r="BT914">
            <v>8</v>
          </cell>
          <cell r="BU914">
            <v>0</v>
          </cell>
        </row>
        <row r="915">
          <cell r="A915">
            <v>45</v>
          </cell>
          <cell r="B915">
            <v>45</v>
          </cell>
          <cell r="D915">
            <v>1</v>
          </cell>
          <cell r="F915">
            <v>0</v>
          </cell>
          <cell r="G915">
            <v>1</v>
          </cell>
          <cell r="I915">
            <v>0</v>
          </cell>
          <cell r="J915">
            <v>1</v>
          </cell>
          <cell r="K915">
            <v>2</v>
          </cell>
          <cell r="L915">
            <v>2</v>
          </cell>
          <cell r="M915">
            <v>3</v>
          </cell>
          <cell r="O915">
            <v>0</v>
          </cell>
          <cell r="P915">
            <v>0</v>
          </cell>
          <cell r="Q915">
            <v>0</v>
          </cell>
          <cell r="R915">
            <v>1</v>
          </cell>
          <cell r="S915">
            <v>0</v>
          </cell>
          <cell r="T915">
            <v>1</v>
          </cell>
          <cell r="V915">
            <v>1</v>
          </cell>
          <cell r="W915">
            <v>94</v>
          </cell>
          <cell r="X915">
            <v>1</v>
          </cell>
          <cell r="Y915">
            <v>5</v>
          </cell>
          <cell r="AA915">
            <v>0</v>
          </cell>
          <cell r="AB915">
            <v>0</v>
          </cell>
          <cell r="AC915">
            <v>0</v>
          </cell>
          <cell r="AD915">
            <v>1</v>
          </cell>
          <cell r="AE915">
            <v>0</v>
          </cell>
          <cell r="AF915">
            <v>0</v>
          </cell>
          <cell r="AG915">
            <v>0</v>
          </cell>
          <cell r="AH915">
            <v>0</v>
          </cell>
          <cell r="AI915">
            <v>2</v>
          </cell>
          <cell r="AK915">
            <v>1</v>
          </cell>
          <cell r="AL915">
            <v>0</v>
          </cell>
          <cell r="AN915">
            <v>18824</v>
          </cell>
          <cell r="AO915">
            <v>2</v>
          </cell>
          <cell r="AQ915">
            <v>1</v>
          </cell>
          <cell r="AR915">
            <v>16</v>
          </cell>
          <cell r="AS915">
            <v>3</v>
          </cell>
          <cell r="AT915">
            <v>1</v>
          </cell>
          <cell r="AU915">
            <v>0</v>
          </cell>
          <cell r="AV915">
            <v>26</v>
          </cell>
          <cell r="AW915">
            <v>26</v>
          </cell>
          <cell r="AX915">
            <v>2</v>
          </cell>
          <cell r="AY915">
            <v>3</v>
          </cell>
          <cell r="AZ915">
            <v>24</v>
          </cell>
          <cell r="BA915">
            <v>24</v>
          </cell>
          <cell r="BB915">
            <v>10</v>
          </cell>
          <cell r="BC915">
            <v>1</v>
          </cell>
          <cell r="BD915">
            <v>1</v>
          </cell>
          <cell r="BE915">
            <v>11</v>
          </cell>
          <cell r="BF915">
            <v>11</v>
          </cell>
          <cell r="BG915">
            <v>55</v>
          </cell>
          <cell r="BH915">
            <v>1</v>
          </cell>
          <cell r="BI915">
            <v>0</v>
          </cell>
          <cell r="BJ915">
            <v>0</v>
          </cell>
          <cell r="BK915">
            <v>0</v>
          </cell>
          <cell r="BL915">
            <v>0</v>
          </cell>
          <cell r="BM915">
            <v>1</v>
          </cell>
          <cell r="BN915">
            <v>0</v>
          </cell>
          <cell r="BO915">
            <v>0</v>
          </cell>
          <cell r="BP915">
            <v>0</v>
          </cell>
          <cell r="BQ915">
            <v>0</v>
          </cell>
          <cell r="BR915">
            <v>11</v>
          </cell>
          <cell r="BS915">
            <v>0</v>
          </cell>
          <cell r="BT915">
            <v>0</v>
          </cell>
          <cell r="BU915">
            <v>26</v>
          </cell>
        </row>
        <row r="916">
          <cell r="A916">
            <v>55</v>
          </cell>
          <cell r="B916">
            <v>55</v>
          </cell>
          <cell r="D916">
            <v>0</v>
          </cell>
          <cell r="F916">
            <v>0</v>
          </cell>
          <cell r="G916">
            <v>0</v>
          </cell>
          <cell r="I916">
            <v>1</v>
          </cell>
          <cell r="J916">
            <v>0</v>
          </cell>
          <cell r="K916">
            <v>8</v>
          </cell>
          <cell r="L916">
            <v>8</v>
          </cell>
          <cell r="M916">
            <v>1</v>
          </cell>
          <cell r="O916">
            <v>0</v>
          </cell>
          <cell r="P916">
            <v>0</v>
          </cell>
          <cell r="Q916">
            <v>1</v>
          </cell>
          <cell r="R916">
            <v>0</v>
          </cell>
          <cell r="S916">
            <v>0</v>
          </cell>
          <cell r="T916">
            <v>4</v>
          </cell>
          <cell r="V916">
            <v>0</v>
          </cell>
          <cell r="W916">
            <v>37</v>
          </cell>
          <cell r="X916">
            <v>2</v>
          </cell>
          <cell r="Y916">
            <v>4</v>
          </cell>
          <cell r="AA916">
            <v>1</v>
          </cell>
          <cell r="AB916">
            <v>0</v>
          </cell>
          <cell r="AC916">
            <v>0</v>
          </cell>
          <cell r="AD916">
            <v>0</v>
          </cell>
          <cell r="AE916">
            <v>0</v>
          </cell>
          <cell r="AF916">
            <v>0</v>
          </cell>
          <cell r="AG916">
            <v>0</v>
          </cell>
          <cell r="AH916">
            <v>0</v>
          </cell>
          <cell r="AI916">
            <v>2</v>
          </cell>
          <cell r="AK916">
            <v>0</v>
          </cell>
          <cell r="AL916">
            <v>0</v>
          </cell>
          <cell r="AN916">
            <v>13577</v>
          </cell>
          <cell r="AO916">
            <v>1</v>
          </cell>
          <cell r="AQ916">
            <v>1</v>
          </cell>
          <cell r="AR916">
            <v>15</v>
          </cell>
          <cell r="AS916">
            <v>3</v>
          </cell>
          <cell r="AT916">
            <v>4</v>
          </cell>
          <cell r="AU916">
            <v>1</v>
          </cell>
          <cell r="AV916">
            <v>34</v>
          </cell>
          <cell r="AW916">
            <v>34</v>
          </cell>
          <cell r="AX916">
            <v>3</v>
          </cell>
          <cell r="AY916">
            <v>3</v>
          </cell>
          <cell r="AZ916">
            <v>33</v>
          </cell>
          <cell r="BA916">
            <v>31</v>
          </cell>
          <cell r="BB916">
            <v>9</v>
          </cell>
          <cell r="BC916">
            <v>15</v>
          </cell>
          <cell r="BD916">
            <v>14</v>
          </cell>
          <cell r="BE916">
            <v>0</v>
          </cell>
          <cell r="BF916">
            <v>0</v>
          </cell>
          <cell r="BG916">
            <v>0</v>
          </cell>
          <cell r="BH916">
            <v>1</v>
          </cell>
          <cell r="BI916">
            <v>0</v>
          </cell>
          <cell r="BJ916">
            <v>0</v>
          </cell>
          <cell r="BK916">
            <v>0</v>
          </cell>
          <cell r="BL916">
            <v>0</v>
          </cell>
          <cell r="BM916">
            <v>1</v>
          </cell>
          <cell r="BN916">
            <v>0</v>
          </cell>
          <cell r="BO916">
            <v>0</v>
          </cell>
          <cell r="BP916">
            <v>0</v>
          </cell>
          <cell r="BQ916">
            <v>0</v>
          </cell>
          <cell r="BR916">
            <v>0</v>
          </cell>
          <cell r="BS916">
            <v>0</v>
          </cell>
          <cell r="BT916">
            <v>34</v>
          </cell>
          <cell r="BU916">
            <v>0</v>
          </cell>
        </row>
        <row r="917">
          <cell r="A917">
            <v>21</v>
          </cell>
          <cell r="B917">
            <v>21</v>
          </cell>
          <cell r="D917">
            <v>1</v>
          </cell>
          <cell r="F917">
            <v>1</v>
          </cell>
          <cell r="G917">
            <v>0</v>
          </cell>
          <cell r="I917">
            <v>1</v>
          </cell>
          <cell r="J917">
            <v>0</v>
          </cell>
          <cell r="K917">
            <v>10</v>
          </cell>
          <cell r="L917">
            <v>10</v>
          </cell>
          <cell r="M917">
            <v>2</v>
          </cell>
          <cell r="O917">
            <v>1</v>
          </cell>
          <cell r="P917">
            <v>0</v>
          </cell>
          <cell r="Q917">
            <v>0</v>
          </cell>
          <cell r="R917">
            <v>0</v>
          </cell>
          <cell r="S917">
            <v>0</v>
          </cell>
          <cell r="T917">
            <v>1</v>
          </cell>
          <cell r="V917">
            <v>1</v>
          </cell>
          <cell r="W917">
            <v>45</v>
          </cell>
          <cell r="X917">
            <v>2</v>
          </cell>
          <cell r="Y917">
            <v>1</v>
          </cell>
          <cell r="AA917">
            <v>0</v>
          </cell>
          <cell r="AB917">
            <v>0</v>
          </cell>
          <cell r="AC917">
            <v>1</v>
          </cell>
          <cell r="AD917">
            <v>0</v>
          </cell>
          <cell r="AE917">
            <v>0</v>
          </cell>
          <cell r="AF917">
            <v>0</v>
          </cell>
          <cell r="AG917">
            <v>0</v>
          </cell>
          <cell r="AH917">
            <v>0</v>
          </cell>
          <cell r="AI917">
            <v>3</v>
          </cell>
          <cell r="AK917">
            <v>1</v>
          </cell>
          <cell r="AL917">
            <v>0</v>
          </cell>
          <cell r="AN917">
            <v>2625</v>
          </cell>
          <cell r="AO917">
            <v>1</v>
          </cell>
          <cell r="AQ917">
            <v>0</v>
          </cell>
          <cell r="AR917">
            <v>20</v>
          </cell>
          <cell r="AS917">
            <v>4</v>
          </cell>
          <cell r="AT917">
            <v>3</v>
          </cell>
          <cell r="AU917">
            <v>0</v>
          </cell>
          <cell r="AV917">
            <v>2</v>
          </cell>
          <cell r="AW917">
            <v>2</v>
          </cell>
          <cell r="AX917">
            <v>2</v>
          </cell>
          <cell r="AY917">
            <v>1</v>
          </cell>
          <cell r="AZ917">
            <v>2</v>
          </cell>
          <cell r="BA917">
            <v>2</v>
          </cell>
          <cell r="BB917">
            <v>2</v>
          </cell>
          <cell r="BC917">
            <v>2</v>
          </cell>
          <cell r="BD917">
            <v>2</v>
          </cell>
          <cell r="BE917">
            <v>2</v>
          </cell>
          <cell r="BF917">
            <v>2</v>
          </cell>
          <cell r="BG917">
            <v>2</v>
          </cell>
          <cell r="BH917">
            <v>0</v>
          </cell>
          <cell r="BI917">
            <v>0</v>
          </cell>
          <cell r="BJ917">
            <v>1</v>
          </cell>
          <cell r="BK917">
            <v>0</v>
          </cell>
          <cell r="BL917">
            <v>1</v>
          </cell>
          <cell r="BM917">
            <v>0</v>
          </cell>
          <cell r="BN917">
            <v>0</v>
          </cell>
          <cell r="BO917">
            <v>0</v>
          </cell>
          <cell r="BP917">
            <v>0</v>
          </cell>
          <cell r="BQ917">
            <v>2</v>
          </cell>
          <cell r="BR917">
            <v>0</v>
          </cell>
          <cell r="BS917">
            <v>0</v>
          </cell>
          <cell r="BT917">
            <v>2</v>
          </cell>
          <cell r="BU917">
            <v>0</v>
          </cell>
        </row>
        <row r="918">
          <cell r="A918">
            <v>46</v>
          </cell>
          <cell r="B918">
            <v>46</v>
          </cell>
          <cell r="D918">
            <v>0</v>
          </cell>
          <cell r="F918">
            <v>0</v>
          </cell>
          <cell r="G918">
            <v>1</v>
          </cell>
          <cell r="I918">
            <v>0</v>
          </cell>
          <cell r="J918">
            <v>1</v>
          </cell>
          <cell r="K918">
            <v>4</v>
          </cell>
          <cell r="L918">
            <v>4</v>
          </cell>
          <cell r="M918">
            <v>2</v>
          </cell>
          <cell r="O918">
            <v>0</v>
          </cell>
          <cell r="P918">
            <v>0</v>
          </cell>
          <cell r="Q918">
            <v>0</v>
          </cell>
          <cell r="R918">
            <v>1</v>
          </cell>
          <cell r="S918">
            <v>0</v>
          </cell>
          <cell r="T918">
            <v>4</v>
          </cell>
          <cell r="V918">
            <v>1</v>
          </cell>
          <cell r="W918">
            <v>33</v>
          </cell>
          <cell r="X918">
            <v>2</v>
          </cell>
          <cell r="Y918">
            <v>5</v>
          </cell>
          <cell r="AA918">
            <v>0</v>
          </cell>
          <cell r="AB918">
            <v>0</v>
          </cell>
          <cell r="AC918">
            <v>0</v>
          </cell>
          <cell r="AD918">
            <v>1</v>
          </cell>
          <cell r="AE918">
            <v>0</v>
          </cell>
          <cell r="AF918">
            <v>0</v>
          </cell>
          <cell r="AG918">
            <v>0</v>
          </cell>
          <cell r="AH918">
            <v>0</v>
          </cell>
          <cell r="AI918">
            <v>2</v>
          </cell>
          <cell r="AK918">
            <v>0</v>
          </cell>
          <cell r="AL918">
            <v>1</v>
          </cell>
          <cell r="AN918">
            <v>18789</v>
          </cell>
          <cell r="AO918">
            <v>2</v>
          </cell>
          <cell r="AQ918">
            <v>0</v>
          </cell>
          <cell r="AR918">
            <v>14</v>
          </cell>
          <cell r="AS918">
            <v>3</v>
          </cell>
          <cell r="AT918">
            <v>3</v>
          </cell>
          <cell r="AU918">
            <v>1</v>
          </cell>
          <cell r="AV918">
            <v>26</v>
          </cell>
          <cell r="AW918">
            <v>26</v>
          </cell>
          <cell r="AX918">
            <v>2</v>
          </cell>
          <cell r="AY918">
            <v>3</v>
          </cell>
          <cell r="AZ918">
            <v>11</v>
          </cell>
          <cell r="BA918">
            <v>11</v>
          </cell>
          <cell r="BB918">
            <v>4</v>
          </cell>
          <cell r="BC918">
            <v>0</v>
          </cell>
          <cell r="BD918">
            <v>0</v>
          </cell>
          <cell r="BE918">
            <v>8</v>
          </cell>
          <cell r="BF918">
            <v>8</v>
          </cell>
          <cell r="BG918">
            <v>40</v>
          </cell>
          <cell r="BH918">
            <v>0</v>
          </cell>
          <cell r="BI918">
            <v>1</v>
          </cell>
          <cell r="BJ918">
            <v>0</v>
          </cell>
          <cell r="BK918">
            <v>0</v>
          </cell>
          <cell r="BL918">
            <v>0</v>
          </cell>
          <cell r="BM918">
            <v>0</v>
          </cell>
          <cell r="BN918">
            <v>1</v>
          </cell>
          <cell r="BO918">
            <v>0</v>
          </cell>
          <cell r="BP918">
            <v>0</v>
          </cell>
          <cell r="BQ918">
            <v>0</v>
          </cell>
          <cell r="BR918">
            <v>8</v>
          </cell>
          <cell r="BS918">
            <v>0</v>
          </cell>
          <cell r="BT918">
            <v>0</v>
          </cell>
          <cell r="BU918">
            <v>26</v>
          </cell>
        </row>
        <row r="919">
          <cell r="A919">
            <v>34</v>
          </cell>
          <cell r="B919">
            <v>34</v>
          </cell>
          <cell r="D919">
            <v>0</v>
          </cell>
          <cell r="F919">
            <v>0</v>
          </cell>
          <cell r="G919">
            <v>1</v>
          </cell>
          <cell r="I919">
            <v>0</v>
          </cell>
          <cell r="J919">
            <v>1</v>
          </cell>
          <cell r="K919">
            <v>2</v>
          </cell>
          <cell r="L919">
            <v>2</v>
          </cell>
          <cell r="M919">
            <v>3</v>
          </cell>
          <cell r="O919">
            <v>0</v>
          </cell>
          <cell r="P919">
            <v>0</v>
          </cell>
          <cell r="Q919">
            <v>0</v>
          </cell>
          <cell r="R919">
            <v>1</v>
          </cell>
          <cell r="S919">
            <v>0</v>
          </cell>
          <cell r="T919">
            <v>3</v>
          </cell>
          <cell r="V919">
            <v>1</v>
          </cell>
          <cell r="W919">
            <v>86</v>
          </cell>
          <cell r="X919">
            <v>3</v>
          </cell>
          <cell r="Y919">
            <v>2</v>
          </cell>
          <cell r="AA919">
            <v>0</v>
          </cell>
          <cell r="AB919">
            <v>1</v>
          </cell>
          <cell r="AC919">
            <v>0</v>
          </cell>
          <cell r="AD919">
            <v>0</v>
          </cell>
          <cell r="AE919">
            <v>0</v>
          </cell>
          <cell r="AF919">
            <v>0</v>
          </cell>
          <cell r="AG919">
            <v>0</v>
          </cell>
          <cell r="AH919">
            <v>0</v>
          </cell>
          <cell r="AI919">
            <v>1</v>
          </cell>
          <cell r="AK919">
            <v>1</v>
          </cell>
          <cell r="AL919">
            <v>0</v>
          </cell>
          <cell r="AN919">
            <v>4538</v>
          </cell>
          <cell r="AO919">
            <v>0</v>
          </cell>
          <cell r="AQ919">
            <v>1</v>
          </cell>
          <cell r="AR919">
            <v>12</v>
          </cell>
          <cell r="AS919">
            <v>3</v>
          </cell>
          <cell r="AT919">
            <v>4</v>
          </cell>
          <cell r="AU919">
            <v>0</v>
          </cell>
          <cell r="AV919">
            <v>4</v>
          </cell>
          <cell r="AW919">
            <v>4</v>
          </cell>
          <cell r="AX919">
            <v>3</v>
          </cell>
          <cell r="AY919">
            <v>3</v>
          </cell>
          <cell r="AZ919">
            <v>3</v>
          </cell>
          <cell r="BA919">
            <v>3</v>
          </cell>
          <cell r="BB919">
            <v>2</v>
          </cell>
          <cell r="BC919">
            <v>0</v>
          </cell>
          <cell r="BD919">
            <v>0</v>
          </cell>
          <cell r="BE919">
            <v>2</v>
          </cell>
          <cell r="BF919">
            <v>2</v>
          </cell>
          <cell r="BG919">
            <v>4</v>
          </cell>
          <cell r="BH919">
            <v>1</v>
          </cell>
          <cell r="BI919">
            <v>0</v>
          </cell>
          <cell r="BJ919">
            <v>0</v>
          </cell>
          <cell r="BK919">
            <v>0</v>
          </cell>
          <cell r="BL919">
            <v>0</v>
          </cell>
          <cell r="BM919">
            <v>1</v>
          </cell>
          <cell r="BN919">
            <v>0</v>
          </cell>
          <cell r="BO919">
            <v>0</v>
          </cell>
          <cell r="BP919">
            <v>0</v>
          </cell>
          <cell r="BQ919">
            <v>0</v>
          </cell>
          <cell r="BR919">
            <v>2</v>
          </cell>
          <cell r="BS919">
            <v>0</v>
          </cell>
          <cell r="BT919">
            <v>0</v>
          </cell>
          <cell r="BU919">
            <v>4</v>
          </cell>
        </row>
        <row r="920">
          <cell r="A920">
            <v>51</v>
          </cell>
          <cell r="B920">
            <v>51</v>
          </cell>
          <cell r="D920">
            <v>0</v>
          </cell>
          <cell r="F920">
            <v>1</v>
          </cell>
          <cell r="G920">
            <v>0</v>
          </cell>
          <cell r="I920">
            <v>0</v>
          </cell>
          <cell r="J920">
            <v>1</v>
          </cell>
          <cell r="K920">
            <v>9</v>
          </cell>
          <cell r="L920">
            <v>9</v>
          </cell>
          <cell r="M920">
            <v>3</v>
          </cell>
          <cell r="O920">
            <v>1</v>
          </cell>
          <cell r="P920">
            <v>0</v>
          </cell>
          <cell r="Q920">
            <v>0</v>
          </cell>
          <cell r="R920">
            <v>0</v>
          </cell>
          <cell r="S920">
            <v>0</v>
          </cell>
          <cell r="T920">
            <v>4</v>
          </cell>
          <cell r="V920">
            <v>0</v>
          </cell>
          <cell r="W920">
            <v>83</v>
          </cell>
          <cell r="X920">
            <v>3</v>
          </cell>
          <cell r="Y920">
            <v>5</v>
          </cell>
          <cell r="AA920">
            <v>0</v>
          </cell>
          <cell r="AB920">
            <v>0</v>
          </cell>
          <cell r="AC920">
            <v>0</v>
          </cell>
          <cell r="AD920">
            <v>1</v>
          </cell>
          <cell r="AE920">
            <v>0</v>
          </cell>
          <cell r="AF920">
            <v>0</v>
          </cell>
          <cell r="AG920">
            <v>0</v>
          </cell>
          <cell r="AH920">
            <v>0</v>
          </cell>
          <cell r="AI920">
            <v>2</v>
          </cell>
          <cell r="AK920">
            <v>0</v>
          </cell>
          <cell r="AL920">
            <v>0</v>
          </cell>
          <cell r="AN920">
            <v>19626.310000000001</v>
          </cell>
          <cell r="AO920">
            <v>4</v>
          </cell>
          <cell r="AQ920">
            <v>1</v>
          </cell>
          <cell r="AR920">
            <v>24</v>
          </cell>
          <cell r="AS920">
            <v>4</v>
          </cell>
          <cell r="AT920">
            <v>1</v>
          </cell>
          <cell r="AU920">
            <v>1</v>
          </cell>
          <cell r="AV920">
            <v>31</v>
          </cell>
          <cell r="AW920">
            <v>31</v>
          </cell>
          <cell r="AX920">
            <v>5</v>
          </cell>
          <cell r="AY920">
            <v>2</v>
          </cell>
          <cell r="AZ920">
            <v>29</v>
          </cell>
          <cell r="BA920">
            <v>29</v>
          </cell>
          <cell r="BB920">
            <v>10</v>
          </cell>
          <cell r="BC920">
            <v>11</v>
          </cell>
          <cell r="BD920">
            <v>11</v>
          </cell>
          <cell r="BE920">
            <v>10</v>
          </cell>
          <cell r="BF920">
            <v>10</v>
          </cell>
          <cell r="BG920">
            <v>50</v>
          </cell>
          <cell r="BH920">
            <v>0</v>
          </cell>
          <cell r="BI920">
            <v>0</v>
          </cell>
          <cell r="BJ920">
            <v>1</v>
          </cell>
          <cell r="BK920">
            <v>0</v>
          </cell>
          <cell r="BL920">
            <v>0</v>
          </cell>
          <cell r="BM920">
            <v>1</v>
          </cell>
          <cell r="BN920">
            <v>0</v>
          </cell>
          <cell r="BO920">
            <v>0</v>
          </cell>
          <cell r="BP920">
            <v>0</v>
          </cell>
          <cell r="BQ920">
            <v>0</v>
          </cell>
          <cell r="BR920">
            <v>10</v>
          </cell>
          <cell r="BS920">
            <v>0</v>
          </cell>
          <cell r="BT920">
            <v>0</v>
          </cell>
          <cell r="BU920">
            <v>31</v>
          </cell>
        </row>
        <row r="921">
          <cell r="A921">
            <v>59</v>
          </cell>
          <cell r="B921">
            <v>58.309999999999945</v>
          </cell>
          <cell r="D921">
            <v>0</v>
          </cell>
          <cell r="F921">
            <v>0</v>
          </cell>
          <cell r="G921">
            <v>1</v>
          </cell>
          <cell r="I921">
            <v>1</v>
          </cell>
          <cell r="J921">
            <v>0</v>
          </cell>
          <cell r="K921">
            <v>18</v>
          </cell>
          <cell r="L921">
            <v>18</v>
          </cell>
          <cell r="M921">
            <v>4</v>
          </cell>
          <cell r="O921">
            <v>0</v>
          </cell>
          <cell r="P921">
            <v>0</v>
          </cell>
          <cell r="Q921">
            <v>1</v>
          </cell>
          <cell r="R921">
            <v>0</v>
          </cell>
          <cell r="S921">
            <v>0</v>
          </cell>
          <cell r="T921">
            <v>4</v>
          </cell>
          <cell r="V921">
            <v>0</v>
          </cell>
          <cell r="W921">
            <v>67</v>
          </cell>
          <cell r="X921">
            <v>3</v>
          </cell>
          <cell r="Y921">
            <v>3</v>
          </cell>
          <cell r="AA921">
            <v>0</v>
          </cell>
          <cell r="AB921">
            <v>0</v>
          </cell>
          <cell r="AC921">
            <v>0</v>
          </cell>
          <cell r="AD921">
            <v>0</v>
          </cell>
          <cell r="AE921">
            <v>1</v>
          </cell>
          <cell r="AF921">
            <v>1</v>
          </cell>
          <cell r="AG921">
            <v>0</v>
          </cell>
          <cell r="AH921">
            <v>0</v>
          </cell>
          <cell r="AI921">
            <v>4</v>
          </cell>
          <cell r="AK921">
            <v>1</v>
          </cell>
          <cell r="AL921">
            <v>0</v>
          </cell>
          <cell r="AN921">
            <v>10512</v>
          </cell>
          <cell r="AO921">
            <v>6</v>
          </cell>
          <cell r="AQ921">
            <v>0</v>
          </cell>
          <cell r="AR921">
            <v>12</v>
          </cell>
          <cell r="AS921">
            <v>3</v>
          </cell>
          <cell r="AT921">
            <v>4</v>
          </cell>
          <cell r="AU921">
            <v>0</v>
          </cell>
          <cell r="AV921">
            <v>25</v>
          </cell>
          <cell r="AW921">
            <v>25</v>
          </cell>
          <cell r="AX921">
            <v>6</v>
          </cell>
          <cell r="AY921">
            <v>2</v>
          </cell>
          <cell r="AZ921">
            <v>9</v>
          </cell>
          <cell r="BA921">
            <v>9</v>
          </cell>
          <cell r="BB921">
            <v>7</v>
          </cell>
          <cell r="BC921">
            <v>5</v>
          </cell>
          <cell r="BD921">
            <v>5</v>
          </cell>
          <cell r="BE921">
            <v>4</v>
          </cell>
          <cell r="BF921">
            <v>4</v>
          </cell>
          <cell r="BG921">
            <v>12</v>
          </cell>
          <cell r="BH921">
            <v>1</v>
          </cell>
          <cell r="BI921">
            <v>0</v>
          </cell>
          <cell r="BJ921">
            <v>0</v>
          </cell>
          <cell r="BK921">
            <v>0</v>
          </cell>
          <cell r="BL921">
            <v>1</v>
          </cell>
          <cell r="BM921">
            <v>0</v>
          </cell>
          <cell r="BN921">
            <v>0</v>
          </cell>
          <cell r="BO921">
            <v>0</v>
          </cell>
          <cell r="BP921">
            <v>0</v>
          </cell>
          <cell r="BQ921">
            <v>4</v>
          </cell>
          <cell r="BR921">
            <v>0</v>
          </cell>
          <cell r="BS921">
            <v>0</v>
          </cell>
          <cell r="BT921">
            <v>25</v>
          </cell>
          <cell r="BU921">
            <v>0</v>
          </cell>
        </row>
        <row r="922">
          <cell r="A922">
            <v>34</v>
          </cell>
          <cell r="B922">
            <v>34</v>
          </cell>
          <cell r="D922">
            <v>0</v>
          </cell>
          <cell r="F922">
            <v>1</v>
          </cell>
          <cell r="G922">
            <v>0</v>
          </cell>
          <cell r="I922">
            <v>1</v>
          </cell>
          <cell r="J922">
            <v>0</v>
          </cell>
          <cell r="K922">
            <v>19</v>
          </cell>
          <cell r="L922">
            <v>19</v>
          </cell>
          <cell r="M922">
            <v>3</v>
          </cell>
          <cell r="O922">
            <v>0</v>
          </cell>
          <cell r="P922">
            <v>0</v>
          </cell>
          <cell r="Q922">
            <v>1</v>
          </cell>
          <cell r="R922">
            <v>0</v>
          </cell>
          <cell r="S922">
            <v>0</v>
          </cell>
          <cell r="T922">
            <v>3</v>
          </cell>
          <cell r="V922">
            <v>1</v>
          </cell>
          <cell r="W922">
            <v>46</v>
          </cell>
          <cell r="X922">
            <v>3</v>
          </cell>
          <cell r="Y922">
            <v>2</v>
          </cell>
          <cell r="AA922">
            <v>0</v>
          </cell>
          <cell r="AB922">
            <v>0</v>
          </cell>
          <cell r="AC922">
            <v>1</v>
          </cell>
          <cell r="AD922">
            <v>0</v>
          </cell>
          <cell r="AE922">
            <v>0</v>
          </cell>
          <cell r="AF922">
            <v>0</v>
          </cell>
          <cell r="AG922">
            <v>0</v>
          </cell>
          <cell r="AH922">
            <v>0</v>
          </cell>
          <cell r="AI922">
            <v>2</v>
          </cell>
          <cell r="AK922">
            <v>0</v>
          </cell>
          <cell r="AL922">
            <v>0</v>
          </cell>
          <cell r="AN922">
            <v>4444</v>
          </cell>
          <cell r="AO922">
            <v>4</v>
          </cell>
          <cell r="AQ922">
            <v>0</v>
          </cell>
          <cell r="AR922">
            <v>13</v>
          </cell>
          <cell r="AS922">
            <v>3</v>
          </cell>
          <cell r="AT922">
            <v>3</v>
          </cell>
          <cell r="AU922">
            <v>2</v>
          </cell>
          <cell r="AV922">
            <v>15</v>
          </cell>
          <cell r="AW922">
            <v>15</v>
          </cell>
          <cell r="AX922">
            <v>2</v>
          </cell>
          <cell r="AY922">
            <v>4</v>
          </cell>
          <cell r="AZ922">
            <v>11</v>
          </cell>
          <cell r="BA922">
            <v>11</v>
          </cell>
          <cell r="BB922">
            <v>8</v>
          </cell>
          <cell r="BC922">
            <v>5</v>
          </cell>
          <cell r="BD922">
            <v>5</v>
          </cell>
          <cell r="BE922">
            <v>10</v>
          </cell>
          <cell r="BF922">
            <v>10</v>
          </cell>
          <cell r="BG922">
            <v>20</v>
          </cell>
          <cell r="BH922">
            <v>0</v>
          </cell>
          <cell r="BI922">
            <v>0</v>
          </cell>
          <cell r="BJ922">
            <v>1</v>
          </cell>
          <cell r="BK922">
            <v>0</v>
          </cell>
          <cell r="BL922">
            <v>1</v>
          </cell>
          <cell r="BM922">
            <v>0</v>
          </cell>
          <cell r="BN922">
            <v>0</v>
          </cell>
          <cell r="BO922">
            <v>0</v>
          </cell>
          <cell r="BP922">
            <v>0</v>
          </cell>
          <cell r="BQ922">
            <v>10</v>
          </cell>
          <cell r="BR922">
            <v>0</v>
          </cell>
          <cell r="BS922">
            <v>0</v>
          </cell>
          <cell r="BT922">
            <v>15</v>
          </cell>
          <cell r="BU922">
            <v>0</v>
          </cell>
        </row>
        <row r="923">
          <cell r="A923">
            <v>28</v>
          </cell>
          <cell r="B923">
            <v>28</v>
          </cell>
          <cell r="D923">
            <v>0</v>
          </cell>
          <cell r="F923">
            <v>1</v>
          </cell>
          <cell r="G923">
            <v>0</v>
          </cell>
          <cell r="I923">
            <v>1</v>
          </cell>
          <cell r="J923">
            <v>0</v>
          </cell>
          <cell r="K923">
            <v>1</v>
          </cell>
          <cell r="L923">
            <v>1</v>
          </cell>
          <cell r="M923">
            <v>4</v>
          </cell>
          <cell r="O923">
            <v>0</v>
          </cell>
          <cell r="P923">
            <v>0</v>
          </cell>
          <cell r="Q923">
            <v>1</v>
          </cell>
          <cell r="R923">
            <v>0</v>
          </cell>
          <cell r="S923">
            <v>0</v>
          </cell>
          <cell r="T923">
            <v>4</v>
          </cell>
          <cell r="V923">
            <v>0</v>
          </cell>
          <cell r="W923">
            <v>44</v>
          </cell>
          <cell r="X923">
            <v>3</v>
          </cell>
          <cell r="Y923">
            <v>1</v>
          </cell>
          <cell r="AA923">
            <v>0</v>
          </cell>
          <cell r="AB923">
            <v>0</v>
          </cell>
          <cell r="AC923">
            <v>1</v>
          </cell>
          <cell r="AD923">
            <v>0</v>
          </cell>
          <cell r="AE923">
            <v>0</v>
          </cell>
          <cell r="AF923">
            <v>0</v>
          </cell>
          <cell r="AG923">
            <v>0</v>
          </cell>
          <cell r="AH923">
            <v>0</v>
          </cell>
          <cell r="AI923">
            <v>3</v>
          </cell>
          <cell r="AK923">
            <v>1</v>
          </cell>
          <cell r="AL923">
            <v>0</v>
          </cell>
          <cell r="AN923">
            <v>2154</v>
          </cell>
          <cell r="AO923">
            <v>0</v>
          </cell>
          <cell r="AQ923">
            <v>1</v>
          </cell>
          <cell r="AR923">
            <v>11</v>
          </cell>
          <cell r="AS923">
            <v>3</v>
          </cell>
          <cell r="AT923">
            <v>3</v>
          </cell>
          <cell r="AU923">
            <v>0</v>
          </cell>
          <cell r="AV923">
            <v>5</v>
          </cell>
          <cell r="AW923">
            <v>5</v>
          </cell>
          <cell r="AX923">
            <v>2</v>
          </cell>
          <cell r="AY923">
            <v>2</v>
          </cell>
          <cell r="AZ923">
            <v>4</v>
          </cell>
          <cell r="BA923">
            <v>4</v>
          </cell>
          <cell r="BB923">
            <v>2</v>
          </cell>
          <cell r="BC923">
            <v>0</v>
          </cell>
          <cell r="BD923">
            <v>0</v>
          </cell>
          <cell r="BE923">
            <v>2</v>
          </cell>
          <cell r="BF923">
            <v>2</v>
          </cell>
          <cell r="BG923">
            <v>2</v>
          </cell>
          <cell r="BH923">
            <v>0</v>
          </cell>
          <cell r="BI923">
            <v>0</v>
          </cell>
          <cell r="BJ923">
            <v>1</v>
          </cell>
          <cell r="BK923">
            <v>0</v>
          </cell>
          <cell r="BL923">
            <v>0</v>
          </cell>
          <cell r="BM923">
            <v>1</v>
          </cell>
          <cell r="BN923">
            <v>0</v>
          </cell>
          <cell r="BO923">
            <v>0</v>
          </cell>
          <cell r="BP923">
            <v>0</v>
          </cell>
          <cell r="BQ923">
            <v>2</v>
          </cell>
          <cell r="BR923">
            <v>0</v>
          </cell>
          <cell r="BS923">
            <v>0</v>
          </cell>
          <cell r="BT923">
            <v>5</v>
          </cell>
          <cell r="BU923">
            <v>0</v>
          </cell>
        </row>
        <row r="924">
          <cell r="A924">
            <v>44</v>
          </cell>
          <cell r="B924">
            <v>44</v>
          </cell>
          <cell r="D924">
            <v>0</v>
          </cell>
          <cell r="F924">
            <v>0</v>
          </cell>
          <cell r="G924">
            <v>1</v>
          </cell>
          <cell r="I924">
            <v>1</v>
          </cell>
          <cell r="J924">
            <v>0</v>
          </cell>
          <cell r="K924">
            <v>4</v>
          </cell>
          <cell r="L924">
            <v>4</v>
          </cell>
          <cell r="M924">
            <v>2</v>
          </cell>
          <cell r="O924">
            <v>1</v>
          </cell>
          <cell r="P924">
            <v>0</v>
          </cell>
          <cell r="Q924">
            <v>0</v>
          </cell>
          <cell r="R924">
            <v>0</v>
          </cell>
          <cell r="S924">
            <v>0</v>
          </cell>
          <cell r="T924">
            <v>3</v>
          </cell>
          <cell r="V924">
            <v>0</v>
          </cell>
          <cell r="W924">
            <v>92</v>
          </cell>
          <cell r="X924">
            <v>4</v>
          </cell>
          <cell r="Y924">
            <v>5</v>
          </cell>
          <cell r="AA924">
            <v>0</v>
          </cell>
          <cell r="AB924">
            <v>0</v>
          </cell>
          <cell r="AC924">
            <v>0</v>
          </cell>
          <cell r="AD924">
            <v>1</v>
          </cell>
          <cell r="AE924">
            <v>0</v>
          </cell>
          <cell r="AF924">
            <v>0</v>
          </cell>
          <cell r="AG924">
            <v>0</v>
          </cell>
          <cell r="AH924">
            <v>0</v>
          </cell>
          <cell r="AI924">
            <v>1</v>
          </cell>
          <cell r="AK924">
            <v>0</v>
          </cell>
          <cell r="AL924">
            <v>0</v>
          </cell>
          <cell r="AN924">
            <v>19190</v>
          </cell>
          <cell r="AO924">
            <v>1</v>
          </cell>
          <cell r="AQ924">
            <v>0</v>
          </cell>
          <cell r="AR924">
            <v>14</v>
          </cell>
          <cell r="AS924">
            <v>3</v>
          </cell>
          <cell r="AT924">
            <v>4</v>
          </cell>
          <cell r="AU924">
            <v>2</v>
          </cell>
          <cell r="AV924">
            <v>26</v>
          </cell>
          <cell r="AW924">
            <v>26</v>
          </cell>
          <cell r="AX924">
            <v>4</v>
          </cell>
          <cell r="AY924">
            <v>2</v>
          </cell>
          <cell r="AZ924">
            <v>25</v>
          </cell>
          <cell r="BA924">
            <v>25</v>
          </cell>
          <cell r="BB924">
            <v>9</v>
          </cell>
          <cell r="BC924">
            <v>14</v>
          </cell>
          <cell r="BD924">
            <v>14</v>
          </cell>
          <cell r="BE924">
            <v>13</v>
          </cell>
          <cell r="BF924">
            <v>13</v>
          </cell>
          <cell r="BG924">
            <v>65</v>
          </cell>
          <cell r="BH924">
            <v>1</v>
          </cell>
          <cell r="BI924">
            <v>0</v>
          </cell>
          <cell r="BJ924">
            <v>0</v>
          </cell>
          <cell r="BK924">
            <v>0</v>
          </cell>
          <cell r="BL924">
            <v>1</v>
          </cell>
          <cell r="BM924">
            <v>0</v>
          </cell>
          <cell r="BN924">
            <v>0</v>
          </cell>
          <cell r="BO924">
            <v>0</v>
          </cell>
          <cell r="BP924">
            <v>0</v>
          </cell>
          <cell r="BQ924">
            <v>13</v>
          </cell>
          <cell r="BR924">
            <v>0</v>
          </cell>
          <cell r="BS924">
            <v>0</v>
          </cell>
          <cell r="BT924">
            <v>26</v>
          </cell>
          <cell r="BU924">
            <v>0</v>
          </cell>
        </row>
        <row r="925">
          <cell r="A925">
            <v>34</v>
          </cell>
          <cell r="B925">
            <v>34</v>
          </cell>
          <cell r="D925">
            <v>0</v>
          </cell>
          <cell r="F925">
            <v>1</v>
          </cell>
          <cell r="G925">
            <v>0</v>
          </cell>
          <cell r="I925">
            <v>0</v>
          </cell>
          <cell r="J925">
            <v>0</v>
          </cell>
          <cell r="K925">
            <v>11</v>
          </cell>
          <cell r="L925">
            <v>11</v>
          </cell>
          <cell r="M925">
            <v>3</v>
          </cell>
          <cell r="O925">
            <v>1</v>
          </cell>
          <cell r="P925">
            <v>0</v>
          </cell>
          <cell r="Q925">
            <v>0</v>
          </cell>
          <cell r="R925">
            <v>0</v>
          </cell>
          <cell r="S925">
            <v>0</v>
          </cell>
          <cell r="T925">
            <v>3</v>
          </cell>
          <cell r="V925">
            <v>0</v>
          </cell>
          <cell r="W925">
            <v>56</v>
          </cell>
          <cell r="X925">
            <v>2</v>
          </cell>
          <cell r="Y925">
            <v>2</v>
          </cell>
          <cell r="AA925">
            <v>0</v>
          </cell>
          <cell r="AB925">
            <v>0</v>
          </cell>
          <cell r="AC925">
            <v>0</v>
          </cell>
          <cell r="AD925">
            <v>0</v>
          </cell>
          <cell r="AE925">
            <v>0</v>
          </cell>
          <cell r="AF925">
            <v>0</v>
          </cell>
          <cell r="AG925">
            <v>0</v>
          </cell>
          <cell r="AH925">
            <v>0</v>
          </cell>
          <cell r="AI925">
            <v>2</v>
          </cell>
          <cell r="AK925">
            <v>0</v>
          </cell>
          <cell r="AL925">
            <v>1</v>
          </cell>
          <cell r="AN925">
            <v>4490</v>
          </cell>
          <cell r="AO925">
            <v>4</v>
          </cell>
          <cell r="AQ925">
            <v>0</v>
          </cell>
          <cell r="AR925">
            <v>11</v>
          </cell>
          <cell r="AS925">
            <v>3</v>
          </cell>
          <cell r="AT925">
            <v>4</v>
          </cell>
          <cell r="AU925">
            <v>2</v>
          </cell>
          <cell r="AV925">
            <v>14</v>
          </cell>
          <cell r="AW925">
            <v>14</v>
          </cell>
          <cell r="AX925">
            <v>5</v>
          </cell>
          <cell r="AY925">
            <v>4</v>
          </cell>
          <cell r="AZ925">
            <v>10</v>
          </cell>
          <cell r="BA925">
            <v>10</v>
          </cell>
          <cell r="BB925">
            <v>9</v>
          </cell>
          <cell r="BC925">
            <v>1</v>
          </cell>
          <cell r="BD925">
            <v>1</v>
          </cell>
          <cell r="BE925">
            <v>8</v>
          </cell>
          <cell r="BF925">
            <v>8</v>
          </cell>
          <cell r="BG925">
            <v>16</v>
          </cell>
          <cell r="BH925">
            <v>0</v>
          </cell>
          <cell r="BI925">
            <v>0</v>
          </cell>
          <cell r="BJ925">
            <v>0</v>
          </cell>
          <cell r="BK925">
            <v>1</v>
          </cell>
          <cell r="BL925">
            <v>0</v>
          </cell>
          <cell r="BM925">
            <v>0</v>
          </cell>
          <cell r="BN925">
            <v>1</v>
          </cell>
          <cell r="BO925">
            <v>0</v>
          </cell>
          <cell r="BP925">
            <v>8</v>
          </cell>
          <cell r="BQ925">
            <v>0</v>
          </cell>
          <cell r="BR925">
            <v>0</v>
          </cell>
          <cell r="BS925">
            <v>14</v>
          </cell>
          <cell r="BT925">
            <v>0</v>
          </cell>
          <cell r="BU925">
            <v>0</v>
          </cell>
        </row>
        <row r="926">
          <cell r="A926">
            <v>35</v>
          </cell>
          <cell r="B926">
            <v>35</v>
          </cell>
          <cell r="D926">
            <v>0</v>
          </cell>
          <cell r="F926">
            <v>0</v>
          </cell>
          <cell r="G926">
            <v>1</v>
          </cell>
          <cell r="I926">
            <v>1</v>
          </cell>
          <cell r="J926">
            <v>0</v>
          </cell>
          <cell r="K926">
            <v>6</v>
          </cell>
          <cell r="L926">
            <v>6</v>
          </cell>
          <cell r="M926">
            <v>1</v>
          </cell>
          <cell r="O926">
            <v>1</v>
          </cell>
          <cell r="P926">
            <v>0</v>
          </cell>
          <cell r="Q926">
            <v>0</v>
          </cell>
          <cell r="R926">
            <v>0</v>
          </cell>
          <cell r="S926">
            <v>0</v>
          </cell>
          <cell r="T926">
            <v>3</v>
          </cell>
          <cell r="V926">
            <v>0</v>
          </cell>
          <cell r="W926">
            <v>66</v>
          </cell>
          <cell r="X926">
            <v>3</v>
          </cell>
          <cell r="Y926">
            <v>1</v>
          </cell>
          <cell r="AA926">
            <v>0</v>
          </cell>
          <cell r="AB926">
            <v>0</v>
          </cell>
          <cell r="AC926">
            <v>0</v>
          </cell>
          <cell r="AD926">
            <v>0</v>
          </cell>
          <cell r="AE926">
            <v>0</v>
          </cell>
          <cell r="AF926">
            <v>0</v>
          </cell>
          <cell r="AG926">
            <v>0</v>
          </cell>
          <cell r="AH926">
            <v>1</v>
          </cell>
          <cell r="AI926">
            <v>3</v>
          </cell>
          <cell r="AK926">
            <v>0</v>
          </cell>
          <cell r="AL926">
            <v>1</v>
          </cell>
          <cell r="AN926">
            <v>3506</v>
          </cell>
          <cell r="AO926">
            <v>0</v>
          </cell>
          <cell r="AQ926">
            <v>1</v>
          </cell>
          <cell r="AR926">
            <v>14</v>
          </cell>
          <cell r="AS926">
            <v>3</v>
          </cell>
          <cell r="AT926">
            <v>4</v>
          </cell>
          <cell r="AU926">
            <v>0</v>
          </cell>
          <cell r="AV926">
            <v>4</v>
          </cell>
          <cell r="AW926">
            <v>4</v>
          </cell>
          <cell r="AX926">
            <v>3</v>
          </cell>
          <cell r="AY926">
            <v>3</v>
          </cell>
          <cell r="AZ926">
            <v>3</v>
          </cell>
          <cell r="BA926">
            <v>3</v>
          </cell>
          <cell r="BB926">
            <v>2</v>
          </cell>
          <cell r="BC926">
            <v>2</v>
          </cell>
          <cell r="BD926">
            <v>2</v>
          </cell>
          <cell r="BE926">
            <v>2</v>
          </cell>
          <cell r="BF926">
            <v>2</v>
          </cell>
          <cell r="BG926">
            <v>2</v>
          </cell>
          <cell r="BH926">
            <v>0</v>
          </cell>
          <cell r="BI926">
            <v>1</v>
          </cell>
          <cell r="BJ926">
            <v>0</v>
          </cell>
          <cell r="BK926">
            <v>0</v>
          </cell>
          <cell r="BL926">
            <v>0</v>
          </cell>
          <cell r="BM926">
            <v>0</v>
          </cell>
          <cell r="BN926">
            <v>0</v>
          </cell>
          <cell r="BO926">
            <v>1</v>
          </cell>
          <cell r="BP926">
            <v>0</v>
          </cell>
          <cell r="BQ926">
            <v>2</v>
          </cell>
          <cell r="BR926">
            <v>0</v>
          </cell>
          <cell r="BS926">
            <v>0</v>
          </cell>
          <cell r="BT926">
            <v>4</v>
          </cell>
          <cell r="BU926">
            <v>0</v>
          </cell>
        </row>
        <row r="927">
          <cell r="A927">
            <v>42</v>
          </cell>
          <cell r="B927">
            <v>42</v>
          </cell>
          <cell r="D927">
            <v>0</v>
          </cell>
          <cell r="F927">
            <v>0</v>
          </cell>
          <cell r="G927">
            <v>1</v>
          </cell>
          <cell r="I927">
            <v>1</v>
          </cell>
          <cell r="J927">
            <v>0</v>
          </cell>
          <cell r="K927">
            <v>7</v>
          </cell>
          <cell r="L927">
            <v>7</v>
          </cell>
          <cell r="M927">
            <v>4</v>
          </cell>
          <cell r="O927">
            <v>0</v>
          </cell>
          <cell r="P927">
            <v>0</v>
          </cell>
          <cell r="Q927">
            <v>1</v>
          </cell>
          <cell r="R927">
            <v>0</v>
          </cell>
          <cell r="S927">
            <v>0</v>
          </cell>
          <cell r="T927">
            <v>2</v>
          </cell>
          <cell r="V927">
            <v>1</v>
          </cell>
          <cell r="W927">
            <v>78</v>
          </cell>
          <cell r="X927">
            <v>4</v>
          </cell>
          <cell r="Y927">
            <v>2</v>
          </cell>
          <cell r="AA927">
            <v>0</v>
          </cell>
          <cell r="AB927">
            <v>0</v>
          </cell>
          <cell r="AC927">
            <v>0</v>
          </cell>
          <cell r="AD927">
            <v>0</v>
          </cell>
          <cell r="AE927">
            <v>0</v>
          </cell>
          <cell r="AF927">
            <v>0</v>
          </cell>
          <cell r="AG927">
            <v>0</v>
          </cell>
          <cell r="AH927">
            <v>1</v>
          </cell>
          <cell r="AI927">
            <v>2</v>
          </cell>
          <cell r="AK927">
            <v>0</v>
          </cell>
          <cell r="AL927">
            <v>1</v>
          </cell>
          <cell r="AN927">
            <v>2372</v>
          </cell>
          <cell r="AO927">
            <v>6</v>
          </cell>
          <cell r="AQ927">
            <v>1</v>
          </cell>
          <cell r="AR927">
            <v>16</v>
          </cell>
          <cell r="AS927">
            <v>3</v>
          </cell>
          <cell r="AT927">
            <v>4</v>
          </cell>
          <cell r="AU927">
            <v>0</v>
          </cell>
          <cell r="AV927">
            <v>18</v>
          </cell>
          <cell r="AW927">
            <v>18</v>
          </cell>
          <cell r="AX927">
            <v>2</v>
          </cell>
          <cell r="AY927">
            <v>3</v>
          </cell>
          <cell r="AZ927">
            <v>1</v>
          </cell>
          <cell r="BA927">
            <v>1</v>
          </cell>
          <cell r="BB927">
            <v>0</v>
          </cell>
          <cell r="BC927">
            <v>0</v>
          </cell>
          <cell r="BD927">
            <v>0</v>
          </cell>
          <cell r="BE927">
            <v>0</v>
          </cell>
          <cell r="BF927">
            <v>0</v>
          </cell>
          <cell r="BG927">
            <v>0</v>
          </cell>
          <cell r="BH927">
            <v>0</v>
          </cell>
          <cell r="BI927">
            <v>1</v>
          </cell>
          <cell r="BJ927">
            <v>0</v>
          </cell>
          <cell r="BK927">
            <v>0</v>
          </cell>
          <cell r="BL927">
            <v>0</v>
          </cell>
          <cell r="BM927">
            <v>0</v>
          </cell>
          <cell r="BN927">
            <v>0</v>
          </cell>
          <cell r="BO927">
            <v>1</v>
          </cell>
          <cell r="BP927">
            <v>0</v>
          </cell>
          <cell r="BQ927">
            <v>0</v>
          </cell>
          <cell r="BR927">
            <v>0</v>
          </cell>
          <cell r="BS927">
            <v>0</v>
          </cell>
          <cell r="BT927">
            <v>18</v>
          </cell>
          <cell r="BU927">
            <v>0</v>
          </cell>
        </row>
        <row r="928">
          <cell r="A928">
            <v>43</v>
          </cell>
          <cell r="B928">
            <v>43</v>
          </cell>
          <cell r="D928">
            <v>0</v>
          </cell>
          <cell r="F928">
            <v>0</v>
          </cell>
          <cell r="G928">
            <v>1</v>
          </cell>
          <cell r="I928">
            <v>0</v>
          </cell>
          <cell r="J928">
            <v>1</v>
          </cell>
          <cell r="K928">
            <v>4</v>
          </cell>
          <cell r="L928">
            <v>4</v>
          </cell>
          <cell r="M928">
            <v>4</v>
          </cell>
          <cell r="O928">
            <v>0</v>
          </cell>
          <cell r="P928">
            <v>0</v>
          </cell>
          <cell r="Q928">
            <v>0</v>
          </cell>
          <cell r="R928">
            <v>1</v>
          </cell>
          <cell r="S928">
            <v>0</v>
          </cell>
          <cell r="T928">
            <v>4</v>
          </cell>
          <cell r="V928">
            <v>1</v>
          </cell>
          <cell r="W928">
            <v>56</v>
          </cell>
          <cell r="X928">
            <v>2</v>
          </cell>
          <cell r="Y928">
            <v>3</v>
          </cell>
          <cell r="AA928">
            <v>0</v>
          </cell>
          <cell r="AB928">
            <v>1</v>
          </cell>
          <cell r="AC928">
            <v>0</v>
          </cell>
          <cell r="AD928">
            <v>0</v>
          </cell>
          <cell r="AE928">
            <v>0</v>
          </cell>
          <cell r="AF928">
            <v>0</v>
          </cell>
          <cell r="AG928">
            <v>0</v>
          </cell>
          <cell r="AH928">
            <v>0</v>
          </cell>
          <cell r="AI928">
            <v>4</v>
          </cell>
          <cell r="AK928">
            <v>1</v>
          </cell>
          <cell r="AL928">
            <v>0</v>
          </cell>
          <cell r="AN928">
            <v>10231</v>
          </cell>
          <cell r="AO928">
            <v>3</v>
          </cell>
          <cell r="AQ928">
            <v>0</v>
          </cell>
          <cell r="AR928">
            <v>14</v>
          </cell>
          <cell r="AS928">
            <v>3</v>
          </cell>
          <cell r="AT928">
            <v>4</v>
          </cell>
          <cell r="AU928">
            <v>0</v>
          </cell>
          <cell r="AV928">
            <v>23</v>
          </cell>
          <cell r="AW928">
            <v>23</v>
          </cell>
          <cell r="AX928">
            <v>3</v>
          </cell>
          <cell r="AY928">
            <v>4</v>
          </cell>
          <cell r="AZ928">
            <v>21</v>
          </cell>
          <cell r="BA928">
            <v>21</v>
          </cell>
          <cell r="BB928">
            <v>7</v>
          </cell>
          <cell r="BC928">
            <v>15</v>
          </cell>
          <cell r="BD928">
            <v>14</v>
          </cell>
          <cell r="BE928">
            <v>17</v>
          </cell>
          <cell r="BF928">
            <v>14</v>
          </cell>
          <cell r="BG928">
            <v>42</v>
          </cell>
          <cell r="BH928">
            <v>1</v>
          </cell>
          <cell r="BI928">
            <v>0</v>
          </cell>
          <cell r="BJ928">
            <v>0</v>
          </cell>
          <cell r="BK928">
            <v>0</v>
          </cell>
          <cell r="BL928">
            <v>1</v>
          </cell>
          <cell r="BM928">
            <v>0</v>
          </cell>
          <cell r="BN928">
            <v>0</v>
          </cell>
          <cell r="BO928">
            <v>0</v>
          </cell>
          <cell r="BP928">
            <v>0</v>
          </cell>
          <cell r="BQ928">
            <v>0</v>
          </cell>
          <cell r="BR928">
            <v>14</v>
          </cell>
          <cell r="BS928">
            <v>0</v>
          </cell>
          <cell r="BT928">
            <v>0</v>
          </cell>
          <cell r="BU928">
            <v>23</v>
          </cell>
        </row>
        <row r="929">
          <cell r="A929">
            <v>36</v>
          </cell>
          <cell r="B929">
            <v>36</v>
          </cell>
          <cell r="D929">
            <v>0</v>
          </cell>
          <cell r="F929">
            <v>0</v>
          </cell>
          <cell r="G929">
            <v>1</v>
          </cell>
          <cell r="I929">
            <v>1</v>
          </cell>
          <cell r="J929">
            <v>0</v>
          </cell>
          <cell r="K929">
            <v>2</v>
          </cell>
          <cell r="L929">
            <v>2</v>
          </cell>
          <cell r="M929">
            <v>4</v>
          </cell>
          <cell r="O929">
            <v>1</v>
          </cell>
          <cell r="P929">
            <v>0</v>
          </cell>
          <cell r="Q929">
            <v>0</v>
          </cell>
          <cell r="R929">
            <v>0</v>
          </cell>
          <cell r="S929">
            <v>0</v>
          </cell>
          <cell r="T929">
            <v>3</v>
          </cell>
          <cell r="V929">
            <v>1</v>
          </cell>
          <cell r="W929">
            <v>53</v>
          </cell>
          <cell r="X929">
            <v>3</v>
          </cell>
          <cell r="Y929">
            <v>2</v>
          </cell>
          <cell r="AA929">
            <v>0</v>
          </cell>
          <cell r="AB929">
            <v>0</v>
          </cell>
          <cell r="AC929">
            <v>0</v>
          </cell>
          <cell r="AD929">
            <v>0</v>
          </cell>
          <cell r="AE929">
            <v>1</v>
          </cell>
          <cell r="AF929">
            <v>1</v>
          </cell>
          <cell r="AG929">
            <v>0</v>
          </cell>
          <cell r="AH929">
            <v>0</v>
          </cell>
          <cell r="AI929">
            <v>2</v>
          </cell>
          <cell r="AK929">
            <v>1</v>
          </cell>
          <cell r="AL929">
            <v>0</v>
          </cell>
          <cell r="AN929">
            <v>5410</v>
          </cell>
          <cell r="AO929">
            <v>9</v>
          </cell>
          <cell r="AQ929">
            <v>1</v>
          </cell>
          <cell r="AR929">
            <v>11</v>
          </cell>
          <cell r="AS929">
            <v>3</v>
          </cell>
          <cell r="AT929">
            <v>4</v>
          </cell>
          <cell r="AU929">
            <v>0</v>
          </cell>
          <cell r="AV929">
            <v>18</v>
          </cell>
          <cell r="AW929">
            <v>18</v>
          </cell>
          <cell r="AX929">
            <v>2</v>
          </cell>
          <cell r="AY929">
            <v>3</v>
          </cell>
          <cell r="AZ929">
            <v>16</v>
          </cell>
          <cell r="BA929">
            <v>16</v>
          </cell>
          <cell r="BB929">
            <v>14</v>
          </cell>
          <cell r="BC929">
            <v>5</v>
          </cell>
          <cell r="BD929">
            <v>5</v>
          </cell>
          <cell r="BE929">
            <v>12</v>
          </cell>
          <cell r="BF929">
            <v>12</v>
          </cell>
          <cell r="BG929">
            <v>24</v>
          </cell>
          <cell r="BH929">
            <v>1</v>
          </cell>
          <cell r="BI929">
            <v>0</v>
          </cell>
          <cell r="BJ929">
            <v>0</v>
          </cell>
          <cell r="BK929">
            <v>0</v>
          </cell>
          <cell r="BL929">
            <v>0</v>
          </cell>
          <cell r="BM929">
            <v>1</v>
          </cell>
          <cell r="BN929">
            <v>0</v>
          </cell>
          <cell r="BO929">
            <v>0</v>
          </cell>
          <cell r="BP929">
            <v>0</v>
          </cell>
          <cell r="BQ929">
            <v>12</v>
          </cell>
          <cell r="BR929">
            <v>0</v>
          </cell>
          <cell r="BS929">
            <v>0</v>
          </cell>
          <cell r="BT929">
            <v>18</v>
          </cell>
          <cell r="BU929">
            <v>0</v>
          </cell>
        </row>
        <row r="930">
          <cell r="A930">
            <v>44</v>
          </cell>
          <cell r="B930">
            <v>44</v>
          </cell>
          <cell r="D930">
            <v>1</v>
          </cell>
          <cell r="F930">
            <v>0</v>
          </cell>
          <cell r="G930">
            <v>1</v>
          </cell>
          <cell r="I930">
            <v>1</v>
          </cell>
          <cell r="J930">
            <v>0</v>
          </cell>
          <cell r="K930">
            <v>15</v>
          </cell>
          <cell r="L930">
            <v>15</v>
          </cell>
          <cell r="M930">
            <v>3</v>
          </cell>
          <cell r="O930">
            <v>0</v>
          </cell>
          <cell r="P930">
            <v>0</v>
          </cell>
          <cell r="Q930">
            <v>1</v>
          </cell>
          <cell r="R930">
            <v>0</v>
          </cell>
          <cell r="S930">
            <v>0</v>
          </cell>
          <cell r="T930">
            <v>1</v>
          </cell>
          <cell r="V930">
            <v>1</v>
          </cell>
          <cell r="W930">
            <v>73</v>
          </cell>
          <cell r="X930">
            <v>3</v>
          </cell>
          <cell r="Y930">
            <v>3</v>
          </cell>
          <cell r="AA930">
            <v>1</v>
          </cell>
          <cell r="AB930">
            <v>0</v>
          </cell>
          <cell r="AC930">
            <v>0</v>
          </cell>
          <cell r="AD930">
            <v>0</v>
          </cell>
          <cell r="AE930">
            <v>0</v>
          </cell>
          <cell r="AF930">
            <v>0</v>
          </cell>
          <cell r="AG930">
            <v>0</v>
          </cell>
          <cell r="AH930">
            <v>0</v>
          </cell>
          <cell r="AI930">
            <v>4</v>
          </cell>
          <cell r="AK930">
            <v>0</v>
          </cell>
          <cell r="AL930">
            <v>1</v>
          </cell>
          <cell r="AN930">
            <v>7978</v>
          </cell>
          <cell r="AO930">
            <v>1</v>
          </cell>
          <cell r="AQ930">
            <v>0</v>
          </cell>
          <cell r="AR930">
            <v>11</v>
          </cell>
          <cell r="AS930">
            <v>3</v>
          </cell>
          <cell r="AT930">
            <v>4</v>
          </cell>
          <cell r="AU930">
            <v>1</v>
          </cell>
          <cell r="AV930">
            <v>10</v>
          </cell>
          <cell r="AW930">
            <v>10</v>
          </cell>
          <cell r="AX930">
            <v>2</v>
          </cell>
          <cell r="AY930">
            <v>3</v>
          </cell>
          <cell r="AZ930">
            <v>10</v>
          </cell>
          <cell r="BA930">
            <v>10</v>
          </cell>
          <cell r="BB930">
            <v>7</v>
          </cell>
          <cell r="BC930">
            <v>0</v>
          </cell>
          <cell r="BD930">
            <v>0</v>
          </cell>
          <cell r="BE930">
            <v>5</v>
          </cell>
          <cell r="BF930">
            <v>5</v>
          </cell>
          <cell r="BG930">
            <v>15</v>
          </cell>
          <cell r="BH930">
            <v>0</v>
          </cell>
          <cell r="BI930">
            <v>1</v>
          </cell>
          <cell r="BJ930">
            <v>0</v>
          </cell>
          <cell r="BK930">
            <v>0</v>
          </cell>
          <cell r="BL930">
            <v>0</v>
          </cell>
          <cell r="BM930">
            <v>0</v>
          </cell>
          <cell r="BN930">
            <v>1</v>
          </cell>
          <cell r="BO930">
            <v>0</v>
          </cell>
          <cell r="BP930">
            <v>0</v>
          </cell>
          <cell r="BQ930">
            <v>5</v>
          </cell>
          <cell r="BR930">
            <v>0</v>
          </cell>
          <cell r="BS930">
            <v>0</v>
          </cell>
          <cell r="BT930">
            <v>10</v>
          </cell>
          <cell r="BU930">
            <v>0</v>
          </cell>
        </row>
        <row r="931">
          <cell r="A931">
            <v>28</v>
          </cell>
          <cell r="B931">
            <v>28</v>
          </cell>
          <cell r="D931">
            <v>0</v>
          </cell>
          <cell r="F931">
            <v>1</v>
          </cell>
          <cell r="G931">
            <v>0</v>
          </cell>
          <cell r="I931">
            <v>1</v>
          </cell>
          <cell r="J931">
            <v>0</v>
          </cell>
          <cell r="K931">
            <v>2</v>
          </cell>
          <cell r="L931">
            <v>2</v>
          </cell>
          <cell r="M931">
            <v>3</v>
          </cell>
          <cell r="O931">
            <v>1</v>
          </cell>
          <cell r="P931">
            <v>0</v>
          </cell>
          <cell r="Q931">
            <v>0</v>
          </cell>
          <cell r="R931">
            <v>0</v>
          </cell>
          <cell r="S931">
            <v>0</v>
          </cell>
          <cell r="T931">
            <v>4</v>
          </cell>
          <cell r="V931">
            <v>0</v>
          </cell>
          <cell r="W931">
            <v>52</v>
          </cell>
          <cell r="X931">
            <v>2</v>
          </cell>
          <cell r="Y931">
            <v>1</v>
          </cell>
          <cell r="AA931">
            <v>0</v>
          </cell>
          <cell r="AB931">
            <v>0</v>
          </cell>
          <cell r="AC931">
            <v>1</v>
          </cell>
          <cell r="AD931">
            <v>0</v>
          </cell>
          <cell r="AE931">
            <v>0</v>
          </cell>
          <cell r="AF931">
            <v>0</v>
          </cell>
          <cell r="AG931">
            <v>0</v>
          </cell>
          <cell r="AH931">
            <v>0</v>
          </cell>
          <cell r="AI931">
            <v>4</v>
          </cell>
          <cell r="AK931">
            <v>0</v>
          </cell>
          <cell r="AL931">
            <v>1</v>
          </cell>
          <cell r="AN931">
            <v>3867</v>
          </cell>
          <cell r="AO931">
            <v>1</v>
          </cell>
          <cell r="AQ931">
            <v>1</v>
          </cell>
          <cell r="AR931">
            <v>12</v>
          </cell>
          <cell r="AS931">
            <v>3</v>
          </cell>
          <cell r="AT931">
            <v>2</v>
          </cell>
          <cell r="AU931">
            <v>1</v>
          </cell>
          <cell r="AV931">
            <v>2</v>
          </cell>
          <cell r="AW931">
            <v>2</v>
          </cell>
          <cell r="AX931">
            <v>2</v>
          </cell>
          <cell r="AY931">
            <v>3</v>
          </cell>
          <cell r="AZ931">
            <v>2</v>
          </cell>
          <cell r="BA931">
            <v>2</v>
          </cell>
          <cell r="BB931">
            <v>2</v>
          </cell>
          <cell r="BC931">
            <v>2</v>
          </cell>
          <cell r="BD931">
            <v>2</v>
          </cell>
          <cell r="BE931">
            <v>2</v>
          </cell>
          <cell r="BF931">
            <v>2</v>
          </cell>
          <cell r="BG931">
            <v>2</v>
          </cell>
          <cell r="BH931">
            <v>0</v>
          </cell>
          <cell r="BI931">
            <v>0</v>
          </cell>
          <cell r="BJ931">
            <v>0</v>
          </cell>
          <cell r="BK931">
            <v>1</v>
          </cell>
          <cell r="BL931">
            <v>0</v>
          </cell>
          <cell r="BM931">
            <v>0</v>
          </cell>
          <cell r="BN931">
            <v>0</v>
          </cell>
          <cell r="BO931">
            <v>1</v>
          </cell>
          <cell r="BP931">
            <v>0</v>
          </cell>
          <cell r="BQ931">
            <v>2</v>
          </cell>
          <cell r="BR931">
            <v>0</v>
          </cell>
          <cell r="BS931">
            <v>0</v>
          </cell>
          <cell r="BT931">
            <v>2</v>
          </cell>
          <cell r="BU931">
            <v>0</v>
          </cell>
        </row>
        <row r="932">
          <cell r="A932">
            <v>51</v>
          </cell>
          <cell r="B932">
            <v>51</v>
          </cell>
          <cell r="D932">
            <v>0</v>
          </cell>
          <cell r="F932">
            <v>1</v>
          </cell>
          <cell r="G932">
            <v>0</v>
          </cell>
          <cell r="I932">
            <v>1</v>
          </cell>
          <cell r="J932">
            <v>0</v>
          </cell>
          <cell r="K932">
            <v>6</v>
          </cell>
          <cell r="L932">
            <v>6</v>
          </cell>
          <cell r="M932">
            <v>2</v>
          </cell>
          <cell r="O932">
            <v>0</v>
          </cell>
          <cell r="P932">
            <v>0</v>
          </cell>
          <cell r="Q932">
            <v>1</v>
          </cell>
          <cell r="R932">
            <v>0</v>
          </cell>
          <cell r="S932">
            <v>0</v>
          </cell>
          <cell r="T932">
            <v>2</v>
          </cell>
          <cell r="V932">
            <v>1</v>
          </cell>
          <cell r="W932">
            <v>40</v>
          </cell>
          <cell r="X932">
            <v>2</v>
          </cell>
          <cell r="Y932">
            <v>1</v>
          </cell>
          <cell r="AA932">
            <v>0</v>
          </cell>
          <cell r="AB932">
            <v>0</v>
          </cell>
          <cell r="AC932">
            <v>1</v>
          </cell>
          <cell r="AD932">
            <v>0</v>
          </cell>
          <cell r="AE932">
            <v>0</v>
          </cell>
          <cell r="AF932">
            <v>0</v>
          </cell>
          <cell r="AG932">
            <v>0</v>
          </cell>
          <cell r="AH932">
            <v>0</v>
          </cell>
          <cell r="AI932">
            <v>3</v>
          </cell>
          <cell r="AK932">
            <v>1</v>
          </cell>
          <cell r="AL932">
            <v>0</v>
          </cell>
          <cell r="AN932">
            <v>2838</v>
          </cell>
          <cell r="AO932">
            <v>0</v>
          </cell>
          <cell r="AQ932">
            <v>0</v>
          </cell>
          <cell r="AR932">
            <v>14</v>
          </cell>
          <cell r="AS932">
            <v>3</v>
          </cell>
          <cell r="AT932">
            <v>2</v>
          </cell>
          <cell r="AU932">
            <v>0</v>
          </cell>
          <cell r="AV932">
            <v>8</v>
          </cell>
          <cell r="AW932">
            <v>8</v>
          </cell>
          <cell r="AX932">
            <v>6</v>
          </cell>
          <cell r="AY932">
            <v>2</v>
          </cell>
          <cell r="AZ932">
            <v>7</v>
          </cell>
          <cell r="BA932">
            <v>7</v>
          </cell>
          <cell r="BB932">
            <v>0</v>
          </cell>
          <cell r="BC932">
            <v>7</v>
          </cell>
          <cell r="BD932">
            <v>7</v>
          </cell>
          <cell r="BE932">
            <v>7</v>
          </cell>
          <cell r="BF932">
            <v>7</v>
          </cell>
          <cell r="BG932">
            <v>7</v>
          </cell>
          <cell r="BH932">
            <v>0</v>
          </cell>
          <cell r="BI932">
            <v>0</v>
          </cell>
          <cell r="BJ932">
            <v>1</v>
          </cell>
          <cell r="BK932">
            <v>0</v>
          </cell>
          <cell r="BL932">
            <v>1</v>
          </cell>
          <cell r="BM932">
            <v>0</v>
          </cell>
          <cell r="BN932">
            <v>0</v>
          </cell>
          <cell r="BO932">
            <v>0</v>
          </cell>
          <cell r="BP932">
            <v>0</v>
          </cell>
          <cell r="BQ932">
            <v>7</v>
          </cell>
          <cell r="BR932">
            <v>0</v>
          </cell>
          <cell r="BS932">
            <v>0</v>
          </cell>
          <cell r="BT932">
            <v>8</v>
          </cell>
          <cell r="BU932">
            <v>0</v>
          </cell>
        </row>
        <row r="933">
          <cell r="A933">
            <v>30</v>
          </cell>
          <cell r="B933">
            <v>30</v>
          </cell>
          <cell r="D933">
            <v>0</v>
          </cell>
          <cell r="F933">
            <v>0</v>
          </cell>
          <cell r="G933">
            <v>0</v>
          </cell>
          <cell r="I933">
            <v>1</v>
          </cell>
          <cell r="J933">
            <v>0</v>
          </cell>
          <cell r="K933">
            <v>9</v>
          </cell>
          <cell r="L933">
            <v>9</v>
          </cell>
          <cell r="M933">
            <v>2</v>
          </cell>
          <cell r="O933">
            <v>0</v>
          </cell>
          <cell r="P933">
            <v>0</v>
          </cell>
          <cell r="Q933">
            <v>1</v>
          </cell>
          <cell r="R933">
            <v>0</v>
          </cell>
          <cell r="S933">
            <v>0</v>
          </cell>
          <cell r="T933">
            <v>3</v>
          </cell>
          <cell r="V933">
            <v>1</v>
          </cell>
          <cell r="W933">
            <v>72</v>
          </cell>
          <cell r="X933">
            <v>3</v>
          </cell>
          <cell r="Y933">
            <v>2</v>
          </cell>
          <cell r="AA933">
            <v>0</v>
          </cell>
          <cell r="AB933">
            <v>0</v>
          </cell>
          <cell r="AC933">
            <v>0</v>
          </cell>
          <cell r="AD933">
            <v>0</v>
          </cell>
          <cell r="AE933">
            <v>1</v>
          </cell>
          <cell r="AF933">
            <v>1</v>
          </cell>
          <cell r="AG933">
            <v>0</v>
          </cell>
          <cell r="AH933">
            <v>0</v>
          </cell>
          <cell r="AI933">
            <v>3</v>
          </cell>
          <cell r="AK933">
            <v>1</v>
          </cell>
          <cell r="AL933">
            <v>0</v>
          </cell>
          <cell r="AN933">
            <v>4695</v>
          </cell>
          <cell r="AO933">
            <v>7</v>
          </cell>
          <cell r="AQ933">
            <v>1</v>
          </cell>
          <cell r="AR933">
            <v>18</v>
          </cell>
          <cell r="AS933">
            <v>3</v>
          </cell>
          <cell r="AT933">
            <v>3</v>
          </cell>
          <cell r="AU933">
            <v>0</v>
          </cell>
          <cell r="AV933">
            <v>10</v>
          </cell>
          <cell r="AW933">
            <v>10</v>
          </cell>
          <cell r="AX933">
            <v>3</v>
          </cell>
          <cell r="AY933">
            <v>3</v>
          </cell>
          <cell r="AZ933">
            <v>8</v>
          </cell>
          <cell r="BA933">
            <v>8</v>
          </cell>
          <cell r="BB933">
            <v>4</v>
          </cell>
          <cell r="BC933">
            <v>1</v>
          </cell>
          <cell r="BD933">
            <v>1</v>
          </cell>
          <cell r="BE933">
            <v>7</v>
          </cell>
          <cell r="BF933">
            <v>7</v>
          </cell>
          <cell r="BG933">
            <v>14</v>
          </cell>
          <cell r="BH933">
            <v>1</v>
          </cell>
          <cell r="BI933">
            <v>0</v>
          </cell>
          <cell r="BJ933">
            <v>0</v>
          </cell>
          <cell r="BK933">
            <v>0</v>
          </cell>
          <cell r="BL933">
            <v>0</v>
          </cell>
          <cell r="BM933">
            <v>1</v>
          </cell>
          <cell r="BN933">
            <v>0</v>
          </cell>
          <cell r="BO933">
            <v>0</v>
          </cell>
          <cell r="BP933">
            <v>0</v>
          </cell>
          <cell r="BQ933">
            <v>7</v>
          </cell>
          <cell r="BR933">
            <v>0</v>
          </cell>
          <cell r="BS933">
            <v>0</v>
          </cell>
          <cell r="BT933">
            <v>10</v>
          </cell>
          <cell r="BU933">
            <v>0</v>
          </cell>
        </row>
        <row r="934">
          <cell r="A934">
            <v>29</v>
          </cell>
          <cell r="B934">
            <v>29</v>
          </cell>
          <cell r="D934">
            <v>1</v>
          </cell>
          <cell r="F934">
            <v>0</v>
          </cell>
          <cell r="G934">
            <v>1</v>
          </cell>
          <cell r="I934">
            <v>1</v>
          </cell>
          <cell r="J934">
            <v>0</v>
          </cell>
          <cell r="K934">
            <v>7</v>
          </cell>
          <cell r="L934">
            <v>7</v>
          </cell>
          <cell r="M934">
            <v>3</v>
          </cell>
          <cell r="O934">
            <v>0</v>
          </cell>
          <cell r="P934">
            <v>0</v>
          </cell>
          <cell r="Q934">
            <v>0</v>
          </cell>
          <cell r="R934">
            <v>0</v>
          </cell>
          <cell r="S934">
            <v>1</v>
          </cell>
          <cell r="T934">
            <v>2</v>
          </cell>
          <cell r="V934">
            <v>1</v>
          </cell>
          <cell r="W934">
            <v>39</v>
          </cell>
          <cell r="X934">
            <v>3</v>
          </cell>
          <cell r="Y934">
            <v>1</v>
          </cell>
          <cell r="AA934">
            <v>0</v>
          </cell>
          <cell r="AB934">
            <v>0</v>
          </cell>
          <cell r="AC934">
            <v>1</v>
          </cell>
          <cell r="AD934">
            <v>0</v>
          </cell>
          <cell r="AE934">
            <v>0</v>
          </cell>
          <cell r="AF934">
            <v>0</v>
          </cell>
          <cell r="AG934">
            <v>0</v>
          </cell>
          <cell r="AH934">
            <v>0</v>
          </cell>
          <cell r="AI934">
            <v>3</v>
          </cell>
          <cell r="AK934">
            <v>0</v>
          </cell>
          <cell r="AL934">
            <v>0</v>
          </cell>
          <cell r="AN934">
            <v>3339</v>
          </cell>
          <cell r="AO934">
            <v>3</v>
          </cell>
          <cell r="AQ934">
            <v>1</v>
          </cell>
          <cell r="AR934">
            <v>13</v>
          </cell>
          <cell r="AS934">
            <v>3</v>
          </cell>
          <cell r="AT934">
            <v>1</v>
          </cell>
          <cell r="AU934">
            <v>2</v>
          </cell>
          <cell r="AV934">
            <v>10</v>
          </cell>
          <cell r="AW934">
            <v>10</v>
          </cell>
          <cell r="AX934">
            <v>2</v>
          </cell>
          <cell r="AY934">
            <v>3</v>
          </cell>
          <cell r="AZ934">
            <v>7</v>
          </cell>
          <cell r="BA934">
            <v>7</v>
          </cell>
          <cell r="BB934">
            <v>7</v>
          </cell>
          <cell r="BC934">
            <v>7</v>
          </cell>
          <cell r="BD934">
            <v>7</v>
          </cell>
          <cell r="BE934">
            <v>7</v>
          </cell>
          <cell r="BF934">
            <v>7</v>
          </cell>
          <cell r="BG934">
            <v>7</v>
          </cell>
          <cell r="BH934">
            <v>1</v>
          </cell>
          <cell r="BI934">
            <v>0</v>
          </cell>
          <cell r="BJ934">
            <v>0</v>
          </cell>
          <cell r="BK934">
            <v>0</v>
          </cell>
          <cell r="BL934">
            <v>0</v>
          </cell>
          <cell r="BM934">
            <v>1</v>
          </cell>
          <cell r="BN934">
            <v>0</v>
          </cell>
          <cell r="BO934">
            <v>0</v>
          </cell>
          <cell r="BP934">
            <v>0</v>
          </cell>
          <cell r="BQ934">
            <v>7</v>
          </cell>
          <cell r="BR934">
            <v>0</v>
          </cell>
          <cell r="BS934">
            <v>0</v>
          </cell>
          <cell r="BT934">
            <v>10</v>
          </cell>
          <cell r="BU934">
            <v>0</v>
          </cell>
        </row>
        <row r="935">
          <cell r="A935">
            <v>28</v>
          </cell>
          <cell r="B935">
            <v>28</v>
          </cell>
          <cell r="D935">
            <v>0</v>
          </cell>
          <cell r="F935">
            <v>0</v>
          </cell>
          <cell r="G935">
            <v>1</v>
          </cell>
          <cell r="I935">
            <v>1</v>
          </cell>
          <cell r="J935">
            <v>0</v>
          </cell>
          <cell r="K935">
            <v>1</v>
          </cell>
          <cell r="L935">
            <v>1</v>
          </cell>
          <cell r="M935">
            <v>3</v>
          </cell>
          <cell r="O935">
            <v>0</v>
          </cell>
          <cell r="P935">
            <v>0</v>
          </cell>
          <cell r="Q935">
            <v>0</v>
          </cell>
          <cell r="R935">
            <v>0</v>
          </cell>
          <cell r="S935">
            <v>1</v>
          </cell>
          <cell r="T935">
            <v>4</v>
          </cell>
          <cell r="V935">
            <v>0</v>
          </cell>
          <cell r="W935">
            <v>84</v>
          </cell>
          <cell r="X935">
            <v>3</v>
          </cell>
          <cell r="Y935">
            <v>1</v>
          </cell>
          <cell r="AA935">
            <v>0</v>
          </cell>
          <cell r="AB935">
            <v>0</v>
          </cell>
          <cell r="AC935">
            <v>0</v>
          </cell>
          <cell r="AD935">
            <v>0</v>
          </cell>
          <cell r="AE935">
            <v>0</v>
          </cell>
          <cell r="AF935">
            <v>0</v>
          </cell>
          <cell r="AG935">
            <v>0</v>
          </cell>
          <cell r="AH935">
            <v>1</v>
          </cell>
          <cell r="AI935">
            <v>1</v>
          </cell>
          <cell r="AK935">
            <v>1</v>
          </cell>
          <cell r="AL935">
            <v>0</v>
          </cell>
          <cell r="AN935">
            <v>2080</v>
          </cell>
          <cell r="AO935">
            <v>2</v>
          </cell>
          <cell r="AQ935">
            <v>0</v>
          </cell>
          <cell r="AR935">
            <v>11</v>
          </cell>
          <cell r="AS935">
            <v>3</v>
          </cell>
          <cell r="AT935">
            <v>2</v>
          </cell>
          <cell r="AU935">
            <v>0</v>
          </cell>
          <cell r="AV935">
            <v>5</v>
          </cell>
          <cell r="AW935">
            <v>5</v>
          </cell>
          <cell r="AX935">
            <v>2</v>
          </cell>
          <cell r="AY935">
            <v>2</v>
          </cell>
          <cell r="AZ935">
            <v>3</v>
          </cell>
          <cell r="BA935">
            <v>3</v>
          </cell>
          <cell r="BB935">
            <v>2</v>
          </cell>
          <cell r="BC935">
            <v>1</v>
          </cell>
          <cell r="BD935">
            <v>1</v>
          </cell>
          <cell r="BE935">
            <v>2</v>
          </cell>
          <cell r="BF935">
            <v>2</v>
          </cell>
          <cell r="BG935">
            <v>2</v>
          </cell>
          <cell r="BH935">
            <v>1</v>
          </cell>
          <cell r="BI935">
            <v>0</v>
          </cell>
          <cell r="BJ935">
            <v>0</v>
          </cell>
          <cell r="BK935">
            <v>0</v>
          </cell>
          <cell r="BL935">
            <v>1</v>
          </cell>
          <cell r="BM935">
            <v>0</v>
          </cell>
          <cell r="BN935">
            <v>0</v>
          </cell>
          <cell r="BO935">
            <v>0</v>
          </cell>
          <cell r="BP935">
            <v>0</v>
          </cell>
          <cell r="BQ935">
            <v>2</v>
          </cell>
          <cell r="BR935">
            <v>0</v>
          </cell>
          <cell r="BS935">
            <v>0</v>
          </cell>
          <cell r="BT935">
            <v>5</v>
          </cell>
          <cell r="BU935">
            <v>0</v>
          </cell>
        </row>
        <row r="936">
          <cell r="A936">
            <v>25</v>
          </cell>
          <cell r="B936">
            <v>25</v>
          </cell>
          <cell r="D936">
            <v>0</v>
          </cell>
          <cell r="F936">
            <v>0</v>
          </cell>
          <cell r="G936">
            <v>1</v>
          </cell>
          <cell r="I936">
            <v>1</v>
          </cell>
          <cell r="J936">
            <v>0</v>
          </cell>
          <cell r="K936">
            <v>1</v>
          </cell>
          <cell r="L936">
            <v>1</v>
          </cell>
          <cell r="M936">
            <v>3</v>
          </cell>
          <cell r="O936">
            <v>0</v>
          </cell>
          <cell r="P936">
            <v>0</v>
          </cell>
          <cell r="Q936">
            <v>1</v>
          </cell>
          <cell r="R936">
            <v>0</v>
          </cell>
          <cell r="S936">
            <v>0</v>
          </cell>
          <cell r="T936">
            <v>4</v>
          </cell>
          <cell r="V936">
            <v>1</v>
          </cell>
          <cell r="W936">
            <v>40</v>
          </cell>
          <cell r="X936">
            <v>3</v>
          </cell>
          <cell r="Y936">
            <v>1</v>
          </cell>
          <cell r="AA936">
            <v>0</v>
          </cell>
          <cell r="AB936">
            <v>0</v>
          </cell>
          <cell r="AC936">
            <v>0</v>
          </cell>
          <cell r="AD936">
            <v>0</v>
          </cell>
          <cell r="AE936">
            <v>0</v>
          </cell>
          <cell r="AF936">
            <v>0</v>
          </cell>
          <cell r="AG936">
            <v>0</v>
          </cell>
          <cell r="AH936">
            <v>1</v>
          </cell>
          <cell r="AI936">
            <v>2</v>
          </cell>
          <cell r="AK936">
            <v>1</v>
          </cell>
          <cell r="AL936">
            <v>0</v>
          </cell>
          <cell r="AN936">
            <v>2096</v>
          </cell>
          <cell r="AO936">
            <v>1</v>
          </cell>
          <cell r="AQ936">
            <v>0</v>
          </cell>
          <cell r="AR936">
            <v>18</v>
          </cell>
          <cell r="AS936">
            <v>3</v>
          </cell>
          <cell r="AT936">
            <v>4</v>
          </cell>
          <cell r="AU936">
            <v>0</v>
          </cell>
          <cell r="AV936">
            <v>2</v>
          </cell>
          <cell r="AW936">
            <v>2</v>
          </cell>
          <cell r="AX936">
            <v>3</v>
          </cell>
          <cell r="AY936">
            <v>2</v>
          </cell>
          <cell r="AZ936">
            <v>2</v>
          </cell>
          <cell r="BA936">
            <v>2</v>
          </cell>
          <cell r="BB936">
            <v>2</v>
          </cell>
          <cell r="BC936">
            <v>2</v>
          </cell>
          <cell r="BD936">
            <v>2</v>
          </cell>
          <cell r="BE936">
            <v>1</v>
          </cell>
          <cell r="BF936">
            <v>1</v>
          </cell>
          <cell r="BG936">
            <v>1</v>
          </cell>
          <cell r="BH936">
            <v>1</v>
          </cell>
          <cell r="BI936">
            <v>0</v>
          </cell>
          <cell r="BJ936">
            <v>0</v>
          </cell>
          <cell r="BK936">
            <v>0</v>
          </cell>
          <cell r="BL936">
            <v>1</v>
          </cell>
          <cell r="BM936">
            <v>0</v>
          </cell>
          <cell r="BN936">
            <v>0</v>
          </cell>
          <cell r="BO936">
            <v>0</v>
          </cell>
          <cell r="BP936">
            <v>0</v>
          </cell>
          <cell r="BQ936">
            <v>1</v>
          </cell>
          <cell r="BR936">
            <v>0</v>
          </cell>
          <cell r="BS936">
            <v>0</v>
          </cell>
          <cell r="BT936">
            <v>2</v>
          </cell>
          <cell r="BU936">
            <v>0</v>
          </cell>
        </row>
        <row r="937">
          <cell r="A937">
            <v>32</v>
          </cell>
          <cell r="B937">
            <v>32</v>
          </cell>
          <cell r="D937">
            <v>0</v>
          </cell>
          <cell r="F937">
            <v>0</v>
          </cell>
          <cell r="G937">
            <v>1</v>
          </cell>
          <cell r="I937">
            <v>0</v>
          </cell>
          <cell r="J937">
            <v>1</v>
          </cell>
          <cell r="K937">
            <v>8</v>
          </cell>
          <cell r="L937">
            <v>8</v>
          </cell>
          <cell r="M937">
            <v>3</v>
          </cell>
          <cell r="O937">
            <v>0</v>
          </cell>
          <cell r="P937">
            <v>0</v>
          </cell>
          <cell r="Q937">
            <v>1</v>
          </cell>
          <cell r="R937">
            <v>0</v>
          </cell>
          <cell r="S937">
            <v>0</v>
          </cell>
          <cell r="T937">
            <v>3</v>
          </cell>
          <cell r="V937">
            <v>0</v>
          </cell>
          <cell r="W937">
            <v>56</v>
          </cell>
          <cell r="X937">
            <v>4</v>
          </cell>
          <cell r="Y937">
            <v>2</v>
          </cell>
          <cell r="AA937">
            <v>0</v>
          </cell>
          <cell r="AB937">
            <v>1</v>
          </cell>
          <cell r="AC937">
            <v>0</v>
          </cell>
          <cell r="AD937">
            <v>0</v>
          </cell>
          <cell r="AE937">
            <v>0</v>
          </cell>
          <cell r="AF937">
            <v>0</v>
          </cell>
          <cell r="AG937">
            <v>0</v>
          </cell>
          <cell r="AH937">
            <v>0</v>
          </cell>
          <cell r="AI937">
            <v>4</v>
          </cell>
          <cell r="AK937">
            <v>0</v>
          </cell>
          <cell r="AL937">
            <v>1</v>
          </cell>
          <cell r="AN937">
            <v>6209</v>
          </cell>
          <cell r="AO937">
            <v>1</v>
          </cell>
          <cell r="AQ937">
            <v>0</v>
          </cell>
          <cell r="AR937">
            <v>15</v>
          </cell>
          <cell r="AS937">
            <v>3</v>
          </cell>
          <cell r="AT937">
            <v>3</v>
          </cell>
          <cell r="AU937">
            <v>2</v>
          </cell>
          <cell r="AV937">
            <v>10</v>
          </cell>
          <cell r="AW937">
            <v>10</v>
          </cell>
          <cell r="AX937">
            <v>4</v>
          </cell>
          <cell r="AY937">
            <v>4</v>
          </cell>
          <cell r="AZ937">
            <v>10</v>
          </cell>
          <cell r="BA937">
            <v>10</v>
          </cell>
          <cell r="BB937">
            <v>7</v>
          </cell>
          <cell r="BC937">
            <v>0</v>
          </cell>
          <cell r="BD937">
            <v>0</v>
          </cell>
          <cell r="BE937">
            <v>8</v>
          </cell>
          <cell r="BF937">
            <v>8</v>
          </cell>
          <cell r="BG937">
            <v>16</v>
          </cell>
          <cell r="BH937">
            <v>0</v>
          </cell>
          <cell r="BI937">
            <v>1</v>
          </cell>
          <cell r="BJ937">
            <v>0</v>
          </cell>
          <cell r="BK937">
            <v>0</v>
          </cell>
          <cell r="BL937">
            <v>0</v>
          </cell>
          <cell r="BM937">
            <v>0</v>
          </cell>
          <cell r="BN937">
            <v>1</v>
          </cell>
          <cell r="BO937">
            <v>0</v>
          </cell>
          <cell r="BP937">
            <v>0</v>
          </cell>
          <cell r="BQ937">
            <v>0</v>
          </cell>
          <cell r="BR937">
            <v>8</v>
          </cell>
          <cell r="BS937">
            <v>0</v>
          </cell>
          <cell r="BT937">
            <v>0</v>
          </cell>
          <cell r="BU937">
            <v>10</v>
          </cell>
        </row>
        <row r="938">
          <cell r="A938">
            <v>45</v>
          </cell>
          <cell r="B938">
            <v>45</v>
          </cell>
          <cell r="D938">
            <v>0</v>
          </cell>
          <cell r="F938">
            <v>1</v>
          </cell>
          <cell r="G938">
            <v>0</v>
          </cell>
          <cell r="I938">
            <v>1</v>
          </cell>
          <cell r="J938">
            <v>0</v>
          </cell>
          <cell r="K938">
            <v>25</v>
          </cell>
          <cell r="L938">
            <v>25</v>
          </cell>
          <cell r="M938">
            <v>3</v>
          </cell>
          <cell r="O938">
            <v>0</v>
          </cell>
          <cell r="P938">
            <v>0</v>
          </cell>
          <cell r="Q938">
            <v>1</v>
          </cell>
          <cell r="R938">
            <v>0</v>
          </cell>
          <cell r="S938">
            <v>0</v>
          </cell>
          <cell r="T938">
            <v>2</v>
          </cell>
          <cell r="V938">
            <v>1</v>
          </cell>
          <cell r="W938">
            <v>83</v>
          </cell>
          <cell r="X938">
            <v>3</v>
          </cell>
          <cell r="Y938">
            <v>5</v>
          </cell>
          <cell r="AA938">
            <v>0</v>
          </cell>
          <cell r="AB938">
            <v>0</v>
          </cell>
          <cell r="AC938">
            <v>0</v>
          </cell>
          <cell r="AD938">
            <v>1</v>
          </cell>
          <cell r="AE938">
            <v>0</v>
          </cell>
          <cell r="AF938">
            <v>0</v>
          </cell>
          <cell r="AG938">
            <v>0</v>
          </cell>
          <cell r="AH938">
            <v>0</v>
          </cell>
          <cell r="AI938">
            <v>2</v>
          </cell>
          <cell r="AK938">
            <v>1</v>
          </cell>
          <cell r="AL938">
            <v>0</v>
          </cell>
          <cell r="AN938">
            <v>18061</v>
          </cell>
          <cell r="AO938">
            <v>3</v>
          </cell>
          <cell r="AQ938">
            <v>0</v>
          </cell>
          <cell r="AR938">
            <v>22</v>
          </cell>
          <cell r="AS938">
            <v>4</v>
          </cell>
          <cell r="AT938">
            <v>3</v>
          </cell>
          <cell r="AU938">
            <v>0</v>
          </cell>
          <cell r="AV938">
            <v>22</v>
          </cell>
          <cell r="AW938">
            <v>22</v>
          </cell>
          <cell r="AX938">
            <v>4</v>
          </cell>
          <cell r="AY938">
            <v>3</v>
          </cell>
          <cell r="AZ938">
            <v>0</v>
          </cell>
          <cell r="BA938">
            <v>0</v>
          </cell>
          <cell r="BB938">
            <v>0</v>
          </cell>
          <cell r="BC938">
            <v>0</v>
          </cell>
          <cell r="BD938">
            <v>0</v>
          </cell>
          <cell r="BE938">
            <v>0</v>
          </cell>
          <cell r="BF938">
            <v>0</v>
          </cell>
          <cell r="BG938">
            <v>0</v>
          </cell>
          <cell r="BH938">
            <v>0</v>
          </cell>
          <cell r="BI938">
            <v>0</v>
          </cell>
          <cell r="BJ938">
            <v>1</v>
          </cell>
          <cell r="BK938">
            <v>0</v>
          </cell>
          <cell r="BL938">
            <v>1</v>
          </cell>
          <cell r="BM938">
            <v>0</v>
          </cell>
          <cell r="BN938">
            <v>0</v>
          </cell>
          <cell r="BO938">
            <v>0</v>
          </cell>
          <cell r="BP938">
            <v>0</v>
          </cell>
          <cell r="BQ938">
            <v>0</v>
          </cell>
          <cell r="BR938">
            <v>0</v>
          </cell>
          <cell r="BS938">
            <v>0</v>
          </cell>
          <cell r="BT938">
            <v>22</v>
          </cell>
          <cell r="BU938">
            <v>0</v>
          </cell>
        </row>
        <row r="939">
          <cell r="A939">
            <v>39</v>
          </cell>
          <cell r="B939">
            <v>39</v>
          </cell>
          <cell r="D939">
            <v>0</v>
          </cell>
          <cell r="F939">
            <v>0</v>
          </cell>
          <cell r="G939">
            <v>1</v>
          </cell>
          <cell r="I939">
            <v>1</v>
          </cell>
          <cell r="J939">
            <v>0</v>
          </cell>
          <cell r="K939">
            <v>13</v>
          </cell>
          <cell r="L939">
            <v>13</v>
          </cell>
          <cell r="M939">
            <v>4</v>
          </cell>
          <cell r="O939">
            <v>0</v>
          </cell>
          <cell r="P939">
            <v>0</v>
          </cell>
          <cell r="Q939">
            <v>1</v>
          </cell>
          <cell r="R939">
            <v>0</v>
          </cell>
          <cell r="S939">
            <v>0</v>
          </cell>
          <cell r="T939">
            <v>3</v>
          </cell>
          <cell r="V939">
            <v>1</v>
          </cell>
          <cell r="W939">
            <v>94</v>
          </cell>
          <cell r="X939">
            <v>2</v>
          </cell>
          <cell r="Y939">
            <v>4</v>
          </cell>
          <cell r="AA939">
            <v>0</v>
          </cell>
          <cell r="AB939">
            <v>0</v>
          </cell>
          <cell r="AC939">
            <v>0</v>
          </cell>
          <cell r="AD939">
            <v>1</v>
          </cell>
          <cell r="AE939">
            <v>0</v>
          </cell>
          <cell r="AF939">
            <v>0</v>
          </cell>
          <cell r="AG939">
            <v>0</v>
          </cell>
          <cell r="AH939">
            <v>0</v>
          </cell>
          <cell r="AI939">
            <v>2</v>
          </cell>
          <cell r="AK939">
            <v>0</v>
          </cell>
          <cell r="AL939">
            <v>0</v>
          </cell>
          <cell r="AN939">
            <v>17123</v>
          </cell>
          <cell r="AO939">
            <v>6</v>
          </cell>
          <cell r="AQ939">
            <v>1</v>
          </cell>
          <cell r="AR939">
            <v>13</v>
          </cell>
          <cell r="AS939">
            <v>3</v>
          </cell>
          <cell r="AT939">
            <v>4</v>
          </cell>
          <cell r="AU939">
            <v>2</v>
          </cell>
          <cell r="AV939">
            <v>21</v>
          </cell>
          <cell r="AW939">
            <v>21</v>
          </cell>
          <cell r="AX939">
            <v>4</v>
          </cell>
          <cell r="AY939">
            <v>3</v>
          </cell>
          <cell r="AZ939">
            <v>19</v>
          </cell>
          <cell r="BA939">
            <v>19</v>
          </cell>
          <cell r="BB939">
            <v>9</v>
          </cell>
          <cell r="BC939">
            <v>15</v>
          </cell>
          <cell r="BD939">
            <v>14</v>
          </cell>
          <cell r="BE939">
            <v>2</v>
          </cell>
          <cell r="BF939">
            <v>2</v>
          </cell>
          <cell r="BG939">
            <v>8</v>
          </cell>
          <cell r="BH939">
            <v>1</v>
          </cell>
          <cell r="BI939">
            <v>0</v>
          </cell>
          <cell r="BJ939">
            <v>0</v>
          </cell>
          <cell r="BK939">
            <v>0</v>
          </cell>
          <cell r="BL939">
            <v>0</v>
          </cell>
          <cell r="BM939">
            <v>1</v>
          </cell>
          <cell r="BN939">
            <v>0</v>
          </cell>
          <cell r="BO939">
            <v>0</v>
          </cell>
          <cell r="BP939">
            <v>0</v>
          </cell>
          <cell r="BQ939">
            <v>2</v>
          </cell>
          <cell r="BR939">
            <v>0</v>
          </cell>
          <cell r="BS939">
            <v>0</v>
          </cell>
          <cell r="BT939">
            <v>21</v>
          </cell>
          <cell r="BU939">
            <v>0</v>
          </cell>
        </row>
        <row r="940">
          <cell r="A940">
            <v>58</v>
          </cell>
          <cell r="B940">
            <v>58</v>
          </cell>
          <cell r="D940">
            <v>0</v>
          </cell>
          <cell r="F940">
            <v>0</v>
          </cell>
          <cell r="G940">
            <v>1</v>
          </cell>
          <cell r="I940">
            <v>1</v>
          </cell>
          <cell r="J940">
            <v>0</v>
          </cell>
          <cell r="K940">
            <v>23</v>
          </cell>
          <cell r="L940">
            <v>23</v>
          </cell>
          <cell r="M940">
            <v>4</v>
          </cell>
          <cell r="O940">
            <v>1</v>
          </cell>
          <cell r="P940">
            <v>0</v>
          </cell>
          <cell r="Q940">
            <v>0</v>
          </cell>
          <cell r="R940">
            <v>0</v>
          </cell>
          <cell r="S940">
            <v>0</v>
          </cell>
          <cell r="T940">
            <v>1</v>
          </cell>
          <cell r="V940">
            <v>0</v>
          </cell>
          <cell r="W940">
            <v>88</v>
          </cell>
          <cell r="X940">
            <v>3</v>
          </cell>
          <cell r="Y940">
            <v>1</v>
          </cell>
          <cell r="AA940">
            <v>0</v>
          </cell>
          <cell r="AB940">
            <v>0</v>
          </cell>
          <cell r="AC940">
            <v>0</v>
          </cell>
          <cell r="AD940">
            <v>0</v>
          </cell>
          <cell r="AE940">
            <v>0</v>
          </cell>
          <cell r="AF940">
            <v>0</v>
          </cell>
          <cell r="AG940">
            <v>0</v>
          </cell>
          <cell r="AH940">
            <v>1</v>
          </cell>
          <cell r="AI940">
            <v>3</v>
          </cell>
          <cell r="AK940">
            <v>0</v>
          </cell>
          <cell r="AL940">
            <v>0</v>
          </cell>
          <cell r="AN940">
            <v>2372</v>
          </cell>
          <cell r="AO940">
            <v>1</v>
          </cell>
          <cell r="AQ940">
            <v>0</v>
          </cell>
          <cell r="AR940">
            <v>12</v>
          </cell>
          <cell r="AS940">
            <v>3</v>
          </cell>
          <cell r="AT940">
            <v>4</v>
          </cell>
          <cell r="AU940">
            <v>2</v>
          </cell>
          <cell r="AV940">
            <v>2</v>
          </cell>
          <cell r="AW940">
            <v>2</v>
          </cell>
          <cell r="AX940">
            <v>3</v>
          </cell>
          <cell r="AY940">
            <v>3</v>
          </cell>
          <cell r="AZ940">
            <v>2</v>
          </cell>
          <cell r="BA940">
            <v>2</v>
          </cell>
          <cell r="BB940">
            <v>2</v>
          </cell>
          <cell r="BC940">
            <v>2</v>
          </cell>
          <cell r="BD940">
            <v>2</v>
          </cell>
          <cell r="BE940">
            <v>2</v>
          </cell>
          <cell r="BF940">
            <v>2</v>
          </cell>
          <cell r="BG940">
            <v>2</v>
          </cell>
          <cell r="BH940">
            <v>1</v>
          </cell>
          <cell r="BI940">
            <v>0</v>
          </cell>
          <cell r="BJ940">
            <v>0</v>
          </cell>
          <cell r="BK940">
            <v>0</v>
          </cell>
          <cell r="BL940">
            <v>1</v>
          </cell>
          <cell r="BM940">
            <v>0</v>
          </cell>
          <cell r="BN940">
            <v>0</v>
          </cell>
          <cell r="BO940">
            <v>0</v>
          </cell>
          <cell r="BP940">
            <v>0</v>
          </cell>
          <cell r="BQ940">
            <v>2</v>
          </cell>
          <cell r="BR940">
            <v>0</v>
          </cell>
          <cell r="BS940">
            <v>0</v>
          </cell>
          <cell r="BT940">
            <v>2</v>
          </cell>
          <cell r="BU940">
            <v>0</v>
          </cell>
        </row>
        <row r="941">
          <cell r="A941">
            <v>32</v>
          </cell>
          <cell r="B941">
            <v>32</v>
          </cell>
          <cell r="D941">
            <v>1</v>
          </cell>
          <cell r="F941">
            <v>0</v>
          </cell>
          <cell r="G941">
            <v>1</v>
          </cell>
          <cell r="I941">
            <v>1</v>
          </cell>
          <cell r="J941">
            <v>0</v>
          </cell>
          <cell r="K941">
            <v>7</v>
          </cell>
          <cell r="L941">
            <v>7</v>
          </cell>
          <cell r="M941">
            <v>2</v>
          </cell>
          <cell r="O941">
            <v>1</v>
          </cell>
          <cell r="P941">
            <v>0</v>
          </cell>
          <cell r="Q941">
            <v>0</v>
          </cell>
          <cell r="R941">
            <v>0</v>
          </cell>
          <cell r="S941">
            <v>0</v>
          </cell>
          <cell r="T941">
            <v>4</v>
          </cell>
          <cell r="V941">
            <v>0</v>
          </cell>
          <cell r="W941">
            <v>79</v>
          </cell>
          <cell r="X941">
            <v>3</v>
          </cell>
          <cell r="Y941">
            <v>2</v>
          </cell>
          <cell r="AA941">
            <v>0</v>
          </cell>
          <cell r="AB941">
            <v>0</v>
          </cell>
          <cell r="AC941">
            <v>1</v>
          </cell>
          <cell r="AD941">
            <v>0</v>
          </cell>
          <cell r="AE941">
            <v>0</v>
          </cell>
          <cell r="AF941">
            <v>0</v>
          </cell>
          <cell r="AG941">
            <v>0</v>
          </cell>
          <cell r="AH941">
            <v>0</v>
          </cell>
          <cell r="AI941">
            <v>3</v>
          </cell>
          <cell r="AK941">
            <v>0</v>
          </cell>
          <cell r="AL941">
            <v>1</v>
          </cell>
          <cell r="AN941">
            <v>4883</v>
          </cell>
          <cell r="AO941">
            <v>1</v>
          </cell>
          <cell r="AQ941">
            <v>0</v>
          </cell>
          <cell r="AR941">
            <v>18</v>
          </cell>
          <cell r="AS941">
            <v>3</v>
          </cell>
          <cell r="AT941">
            <v>1</v>
          </cell>
          <cell r="AU941">
            <v>1</v>
          </cell>
          <cell r="AV941">
            <v>10</v>
          </cell>
          <cell r="AW941">
            <v>10</v>
          </cell>
          <cell r="AX941">
            <v>3</v>
          </cell>
          <cell r="AY941">
            <v>3</v>
          </cell>
          <cell r="AZ941">
            <v>10</v>
          </cell>
          <cell r="BA941">
            <v>10</v>
          </cell>
          <cell r="BB941">
            <v>4</v>
          </cell>
          <cell r="BC941">
            <v>1</v>
          </cell>
          <cell r="BD941">
            <v>1</v>
          </cell>
          <cell r="BE941">
            <v>1</v>
          </cell>
          <cell r="BF941">
            <v>1</v>
          </cell>
          <cell r="BG941">
            <v>2</v>
          </cell>
          <cell r="BH941">
            <v>0</v>
          </cell>
          <cell r="BI941">
            <v>1</v>
          </cell>
          <cell r="BJ941">
            <v>0</v>
          </cell>
          <cell r="BK941">
            <v>0</v>
          </cell>
          <cell r="BL941">
            <v>0</v>
          </cell>
          <cell r="BM941">
            <v>0</v>
          </cell>
          <cell r="BN941">
            <v>1</v>
          </cell>
          <cell r="BO941">
            <v>0</v>
          </cell>
          <cell r="BP941">
            <v>0</v>
          </cell>
          <cell r="BQ941">
            <v>1</v>
          </cell>
          <cell r="BR941">
            <v>0</v>
          </cell>
          <cell r="BS941">
            <v>0</v>
          </cell>
          <cell r="BT941">
            <v>10</v>
          </cell>
          <cell r="BU941">
            <v>0</v>
          </cell>
        </row>
        <row r="942">
          <cell r="A942">
            <v>39</v>
          </cell>
          <cell r="B942">
            <v>39</v>
          </cell>
          <cell r="D942">
            <v>1</v>
          </cell>
          <cell r="F942">
            <v>0</v>
          </cell>
          <cell r="G942">
            <v>1</v>
          </cell>
          <cell r="I942">
            <v>1</v>
          </cell>
          <cell r="J942">
            <v>0</v>
          </cell>
          <cell r="K942">
            <v>23</v>
          </cell>
          <cell r="L942">
            <v>23</v>
          </cell>
          <cell r="M942">
            <v>3</v>
          </cell>
          <cell r="O942">
            <v>0</v>
          </cell>
          <cell r="P942">
            <v>0</v>
          </cell>
          <cell r="Q942">
            <v>1</v>
          </cell>
          <cell r="R942">
            <v>0</v>
          </cell>
          <cell r="S942">
            <v>0</v>
          </cell>
          <cell r="T942">
            <v>3</v>
          </cell>
          <cell r="V942">
            <v>0</v>
          </cell>
          <cell r="W942">
            <v>93</v>
          </cell>
          <cell r="X942">
            <v>3</v>
          </cell>
          <cell r="Y942">
            <v>1</v>
          </cell>
          <cell r="AA942">
            <v>0</v>
          </cell>
          <cell r="AB942">
            <v>0</v>
          </cell>
          <cell r="AC942">
            <v>0</v>
          </cell>
          <cell r="AD942">
            <v>0</v>
          </cell>
          <cell r="AE942">
            <v>0</v>
          </cell>
          <cell r="AF942">
            <v>0</v>
          </cell>
          <cell r="AG942">
            <v>0</v>
          </cell>
          <cell r="AH942">
            <v>1</v>
          </cell>
          <cell r="AI942">
            <v>1</v>
          </cell>
          <cell r="AK942">
            <v>1</v>
          </cell>
          <cell r="AL942">
            <v>0</v>
          </cell>
          <cell r="AN942">
            <v>3904</v>
          </cell>
          <cell r="AO942">
            <v>0</v>
          </cell>
          <cell r="AQ942">
            <v>0</v>
          </cell>
          <cell r="AR942">
            <v>13</v>
          </cell>
          <cell r="AS942">
            <v>3</v>
          </cell>
          <cell r="AT942">
            <v>1</v>
          </cell>
          <cell r="AU942">
            <v>0</v>
          </cell>
          <cell r="AV942">
            <v>6</v>
          </cell>
          <cell r="AW942">
            <v>6</v>
          </cell>
          <cell r="AX942">
            <v>2</v>
          </cell>
          <cell r="AY942">
            <v>3</v>
          </cell>
          <cell r="AZ942">
            <v>5</v>
          </cell>
          <cell r="BA942">
            <v>5</v>
          </cell>
          <cell r="BB942">
            <v>2</v>
          </cell>
          <cell r="BC942">
            <v>0</v>
          </cell>
          <cell r="BD942">
            <v>0</v>
          </cell>
          <cell r="BE942">
            <v>3</v>
          </cell>
          <cell r="BF942">
            <v>3</v>
          </cell>
          <cell r="BG942">
            <v>3</v>
          </cell>
          <cell r="BH942">
            <v>1</v>
          </cell>
          <cell r="BI942">
            <v>0</v>
          </cell>
          <cell r="BJ942">
            <v>0</v>
          </cell>
          <cell r="BK942">
            <v>0</v>
          </cell>
          <cell r="BL942">
            <v>1</v>
          </cell>
          <cell r="BM942">
            <v>0</v>
          </cell>
          <cell r="BN942">
            <v>0</v>
          </cell>
          <cell r="BO942">
            <v>0</v>
          </cell>
          <cell r="BP942">
            <v>0</v>
          </cell>
          <cell r="BQ942">
            <v>3</v>
          </cell>
          <cell r="BR942">
            <v>0</v>
          </cell>
          <cell r="BS942">
            <v>0</v>
          </cell>
          <cell r="BT942">
            <v>6</v>
          </cell>
          <cell r="BU942">
            <v>0</v>
          </cell>
        </row>
        <row r="943">
          <cell r="A943">
            <v>30</v>
          </cell>
          <cell r="B943">
            <v>30</v>
          </cell>
          <cell r="D943">
            <v>0</v>
          </cell>
          <cell r="F943">
            <v>0</v>
          </cell>
          <cell r="G943">
            <v>1</v>
          </cell>
          <cell r="I943">
            <v>1</v>
          </cell>
          <cell r="J943">
            <v>0</v>
          </cell>
          <cell r="K943">
            <v>6</v>
          </cell>
          <cell r="L943">
            <v>6</v>
          </cell>
          <cell r="M943">
            <v>3</v>
          </cell>
          <cell r="O943">
            <v>0</v>
          </cell>
          <cell r="P943">
            <v>0</v>
          </cell>
          <cell r="Q943">
            <v>0</v>
          </cell>
          <cell r="R943">
            <v>0</v>
          </cell>
          <cell r="S943">
            <v>1</v>
          </cell>
          <cell r="T943">
            <v>1</v>
          </cell>
          <cell r="V943">
            <v>1</v>
          </cell>
          <cell r="W943">
            <v>48</v>
          </cell>
          <cell r="X943">
            <v>2</v>
          </cell>
          <cell r="Y943">
            <v>2</v>
          </cell>
          <cell r="AA943">
            <v>0</v>
          </cell>
          <cell r="AB943">
            <v>0</v>
          </cell>
          <cell r="AC943">
            <v>1</v>
          </cell>
          <cell r="AD943">
            <v>0</v>
          </cell>
          <cell r="AE943">
            <v>0</v>
          </cell>
          <cell r="AF943">
            <v>0</v>
          </cell>
          <cell r="AG943">
            <v>0</v>
          </cell>
          <cell r="AH943">
            <v>0</v>
          </cell>
          <cell r="AI943">
            <v>4</v>
          </cell>
          <cell r="AK943">
            <v>0</v>
          </cell>
          <cell r="AL943">
            <v>1</v>
          </cell>
          <cell r="AN943">
            <v>4627</v>
          </cell>
          <cell r="AO943">
            <v>0</v>
          </cell>
          <cell r="AQ943">
            <v>0</v>
          </cell>
          <cell r="AR943">
            <v>12</v>
          </cell>
          <cell r="AS943">
            <v>3</v>
          </cell>
          <cell r="AT943">
            <v>1</v>
          </cell>
          <cell r="AU943">
            <v>1</v>
          </cell>
          <cell r="AV943">
            <v>10</v>
          </cell>
          <cell r="AW943">
            <v>10</v>
          </cell>
          <cell r="AX943">
            <v>6</v>
          </cell>
          <cell r="AY943">
            <v>3</v>
          </cell>
          <cell r="AZ943">
            <v>9</v>
          </cell>
          <cell r="BA943">
            <v>9</v>
          </cell>
          <cell r="BB943">
            <v>2</v>
          </cell>
          <cell r="BC943">
            <v>6</v>
          </cell>
          <cell r="BD943">
            <v>6</v>
          </cell>
          <cell r="BE943">
            <v>7</v>
          </cell>
          <cell r="BF943">
            <v>7</v>
          </cell>
          <cell r="BG943">
            <v>14</v>
          </cell>
          <cell r="BH943">
            <v>0</v>
          </cell>
          <cell r="BI943">
            <v>1</v>
          </cell>
          <cell r="BJ943">
            <v>0</v>
          </cell>
          <cell r="BK943">
            <v>0</v>
          </cell>
          <cell r="BL943">
            <v>0</v>
          </cell>
          <cell r="BM943">
            <v>0</v>
          </cell>
          <cell r="BN943">
            <v>1</v>
          </cell>
          <cell r="BO943">
            <v>0</v>
          </cell>
          <cell r="BP943">
            <v>0</v>
          </cell>
          <cell r="BQ943">
            <v>7</v>
          </cell>
          <cell r="BR943">
            <v>0</v>
          </cell>
          <cell r="BS943">
            <v>0</v>
          </cell>
          <cell r="BT943">
            <v>10</v>
          </cell>
          <cell r="BU943">
            <v>0</v>
          </cell>
        </row>
        <row r="944">
          <cell r="A944">
            <v>36</v>
          </cell>
          <cell r="B944">
            <v>36</v>
          </cell>
          <cell r="D944">
            <v>0</v>
          </cell>
          <cell r="F944">
            <v>0</v>
          </cell>
          <cell r="G944">
            <v>1</v>
          </cell>
          <cell r="I944">
            <v>1</v>
          </cell>
          <cell r="J944">
            <v>0</v>
          </cell>
          <cell r="K944">
            <v>10</v>
          </cell>
          <cell r="L944">
            <v>10</v>
          </cell>
          <cell r="M944">
            <v>4</v>
          </cell>
          <cell r="O944">
            <v>0</v>
          </cell>
          <cell r="P944">
            <v>0</v>
          </cell>
          <cell r="Q944">
            <v>0</v>
          </cell>
          <cell r="R944">
            <v>0</v>
          </cell>
          <cell r="S944">
            <v>1</v>
          </cell>
          <cell r="T944">
            <v>4</v>
          </cell>
          <cell r="V944">
            <v>1</v>
          </cell>
          <cell r="W944">
            <v>63</v>
          </cell>
          <cell r="X944">
            <v>3</v>
          </cell>
          <cell r="Y944">
            <v>3</v>
          </cell>
          <cell r="AA944">
            <v>1</v>
          </cell>
          <cell r="AB944">
            <v>0</v>
          </cell>
          <cell r="AC944">
            <v>0</v>
          </cell>
          <cell r="AD944">
            <v>0</v>
          </cell>
          <cell r="AE944">
            <v>0</v>
          </cell>
          <cell r="AF944">
            <v>0</v>
          </cell>
          <cell r="AG944">
            <v>0</v>
          </cell>
          <cell r="AH944">
            <v>0</v>
          </cell>
          <cell r="AI944">
            <v>3</v>
          </cell>
          <cell r="AK944">
            <v>0</v>
          </cell>
          <cell r="AL944">
            <v>1</v>
          </cell>
          <cell r="AN944">
            <v>7094</v>
          </cell>
          <cell r="AO944">
            <v>3</v>
          </cell>
          <cell r="AQ944">
            <v>0</v>
          </cell>
          <cell r="AR944">
            <v>12</v>
          </cell>
          <cell r="AS944">
            <v>3</v>
          </cell>
          <cell r="AT944">
            <v>1</v>
          </cell>
          <cell r="AU944">
            <v>0</v>
          </cell>
          <cell r="AV944">
            <v>10</v>
          </cell>
          <cell r="AW944">
            <v>10</v>
          </cell>
          <cell r="AX944">
            <v>0</v>
          </cell>
          <cell r="AY944">
            <v>3</v>
          </cell>
          <cell r="AZ944">
            <v>7</v>
          </cell>
          <cell r="BA944">
            <v>7</v>
          </cell>
          <cell r="BB944">
            <v>7</v>
          </cell>
          <cell r="BC944">
            <v>1</v>
          </cell>
          <cell r="BD944">
            <v>1</v>
          </cell>
          <cell r="BE944">
            <v>7</v>
          </cell>
          <cell r="BF944">
            <v>7</v>
          </cell>
          <cell r="BG944">
            <v>21</v>
          </cell>
          <cell r="BH944">
            <v>0</v>
          </cell>
          <cell r="BI944">
            <v>1</v>
          </cell>
          <cell r="BJ944">
            <v>0</v>
          </cell>
          <cell r="BK944">
            <v>0</v>
          </cell>
          <cell r="BL944">
            <v>0</v>
          </cell>
          <cell r="BM944">
            <v>0</v>
          </cell>
          <cell r="BN944">
            <v>1</v>
          </cell>
          <cell r="BO944">
            <v>0</v>
          </cell>
          <cell r="BP944">
            <v>0</v>
          </cell>
          <cell r="BQ944">
            <v>7</v>
          </cell>
          <cell r="BR944">
            <v>0</v>
          </cell>
          <cell r="BS944">
            <v>0</v>
          </cell>
          <cell r="BT944">
            <v>10</v>
          </cell>
          <cell r="BU944">
            <v>0</v>
          </cell>
        </row>
        <row r="945">
          <cell r="A945">
            <v>46</v>
          </cell>
          <cell r="B945">
            <v>46</v>
          </cell>
          <cell r="D945">
            <v>0</v>
          </cell>
          <cell r="F945">
            <v>0</v>
          </cell>
          <cell r="G945">
            <v>1</v>
          </cell>
          <cell r="I945">
            <v>0</v>
          </cell>
          <cell r="J945">
            <v>0</v>
          </cell>
          <cell r="K945">
            <v>1</v>
          </cell>
          <cell r="L945">
            <v>1</v>
          </cell>
          <cell r="M945">
            <v>2</v>
          </cell>
          <cell r="O945">
            <v>1</v>
          </cell>
          <cell r="P945">
            <v>0</v>
          </cell>
          <cell r="Q945">
            <v>0</v>
          </cell>
          <cell r="R945">
            <v>0</v>
          </cell>
          <cell r="S945">
            <v>0</v>
          </cell>
          <cell r="T945">
            <v>4</v>
          </cell>
          <cell r="V945">
            <v>1</v>
          </cell>
          <cell r="W945">
            <v>44</v>
          </cell>
          <cell r="X945">
            <v>3</v>
          </cell>
          <cell r="Y945">
            <v>1</v>
          </cell>
          <cell r="AA945">
            <v>0</v>
          </cell>
          <cell r="AB945">
            <v>0</v>
          </cell>
          <cell r="AC945">
            <v>0</v>
          </cell>
          <cell r="AD945">
            <v>0</v>
          </cell>
          <cell r="AE945">
            <v>0</v>
          </cell>
          <cell r="AF945">
            <v>0</v>
          </cell>
          <cell r="AG945">
            <v>0</v>
          </cell>
          <cell r="AH945">
            <v>0</v>
          </cell>
          <cell r="AI945">
            <v>1</v>
          </cell>
          <cell r="AK945">
            <v>1</v>
          </cell>
          <cell r="AL945">
            <v>0</v>
          </cell>
          <cell r="AN945">
            <v>3423</v>
          </cell>
          <cell r="AO945">
            <v>6</v>
          </cell>
          <cell r="AQ945">
            <v>0</v>
          </cell>
          <cell r="AR945">
            <v>12</v>
          </cell>
          <cell r="AS945">
            <v>3</v>
          </cell>
          <cell r="AT945">
            <v>3</v>
          </cell>
          <cell r="AU945">
            <v>0</v>
          </cell>
          <cell r="AV945">
            <v>10</v>
          </cell>
          <cell r="AW945">
            <v>10</v>
          </cell>
          <cell r="AX945">
            <v>3</v>
          </cell>
          <cell r="AY945">
            <v>4</v>
          </cell>
          <cell r="AZ945">
            <v>7</v>
          </cell>
          <cell r="BA945">
            <v>7</v>
          </cell>
          <cell r="BB945">
            <v>6</v>
          </cell>
          <cell r="BC945">
            <v>5</v>
          </cell>
          <cell r="BD945">
            <v>5</v>
          </cell>
          <cell r="BE945">
            <v>7</v>
          </cell>
          <cell r="BF945">
            <v>7</v>
          </cell>
          <cell r="BG945">
            <v>7</v>
          </cell>
          <cell r="BH945">
            <v>1</v>
          </cell>
          <cell r="BI945">
            <v>0</v>
          </cell>
          <cell r="BJ945">
            <v>0</v>
          </cell>
          <cell r="BK945">
            <v>0</v>
          </cell>
          <cell r="BL945">
            <v>1</v>
          </cell>
          <cell r="BM945">
            <v>0</v>
          </cell>
          <cell r="BN945">
            <v>0</v>
          </cell>
          <cell r="BO945">
            <v>0</v>
          </cell>
          <cell r="BP945">
            <v>7</v>
          </cell>
          <cell r="BQ945">
            <v>0</v>
          </cell>
          <cell r="BR945">
            <v>0</v>
          </cell>
          <cell r="BS945">
            <v>10</v>
          </cell>
          <cell r="BT945">
            <v>0</v>
          </cell>
          <cell r="BU945">
            <v>0</v>
          </cell>
        </row>
        <row r="946">
          <cell r="A946">
            <v>28</v>
          </cell>
          <cell r="B946">
            <v>28</v>
          </cell>
          <cell r="D946">
            <v>0</v>
          </cell>
          <cell r="F946">
            <v>0</v>
          </cell>
          <cell r="G946">
            <v>0</v>
          </cell>
          <cell r="I946">
            <v>1</v>
          </cell>
          <cell r="J946">
            <v>0</v>
          </cell>
          <cell r="K946">
            <v>1</v>
          </cell>
          <cell r="L946">
            <v>1</v>
          </cell>
          <cell r="M946">
            <v>3</v>
          </cell>
          <cell r="O946">
            <v>1</v>
          </cell>
          <cell r="P946">
            <v>0</v>
          </cell>
          <cell r="Q946">
            <v>0</v>
          </cell>
          <cell r="R946">
            <v>0</v>
          </cell>
          <cell r="S946">
            <v>0</v>
          </cell>
          <cell r="T946">
            <v>3</v>
          </cell>
          <cell r="V946">
            <v>1</v>
          </cell>
          <cell r="W946">
            <v>55</v>
          </cell>
          <cell r="X946">
            <v>1</v>
          </cell>
          <cell r="Y946">
            <v>2</v>
          </cell>
          <cell r="AA946">
            <v>0</v>
          </cell>
          <cell r="AB946">
            <v>0</v>
          </cell>
          <cell r="AC946">
            <v>1</v>
          </cell>
          <cell r="AD946">
            <v>0</v>
          </cell>
          <cell r="AE946">
            <v>0</v>
          </cell>
          <cell r="AF946">
            <v>0</v>
          </cell>
          <cell r="AG946">
            <v>0</v>
          </cell>
          <cell r="AH946">
            <v>0</v>
          </cell>
          <cell r="AI946">
            <v>4</v>
          </cell>
          <cell r="AK946">
            <v>0</v>
          </cell>
          <cell r="AL946">
            <v>1</v>
          </cell>
          <cell r="AN946">
            <v>6674</v>
          </cell>
          <cell r="AO946">
            <v>0</v>
          </cell>
          <cell r="AQ946">
            <v>0</v>
          </cell>
          <cell r="AR946">
            <v>11</v>
          </cell>
          <cell r="AS946">
            <v>3</v>
          </cell>
          <cell r="AT946">
            <v>1</v>
          </cell>
          <cell r="AU946">
            <v>3</v>
          </cell>
          <cell r="AV946">
            <v>10</v>
          </cell>
          <cell r="AW946">
            <v>10</v>
          </cell>
          <cell r="AX946">
            <v>6</v>
          </cell>
          <cell r="AY946">
            <v>3</v>
          </cell>
          <cell r="AZ946">
            <v>9</v>
          </cell>
          <cell r="BA946">
            <v>9</v>
          </cell>
          <cell r="BB946">
            <v>8</v>
          </cell>
          <cell r="BC946">
            <v>7</v>
          </cell>
          <cell r="BD946">
            <v>7</v>
          </cell>
          <cell r="BE946">
            <v>5</v>
          </cell>
          <cell r="BF946">
            <v>5</v>
          </cell>
          <cell r="BG946">
            <v>10</v>
          </cell>
          <cell r="BH946">
            <v>0</v>
          </cell>
          <cell r="BI946">
            <v>1</v>
          </cell>
          <cell r="BJ946">
            <v>0</v>
          </cell>
          <cell r="BK946">
            <v>0</v>
          </cell>
          <cell r="BL946">
            <v>0</v>
          </cell>
          <cell r="BM946">
            <v>0</v>
          </cell>
          <cell r="BN946">
            <v>1</v>
          </cell>
          <cell r="BO946">
            <v>0</v>
          </cell>
          <cell r="BP946">
            <v>0</v>
          </cell>
          <cell r="BQ946">
            <v>5</v>
          </cell>
          <cell r="BR946">
            <v>0</v>
          </cell>
          <cell r="BS946">
            <v>0</v>
          </cell>
          <cell r="BT946">
            <v>10</v>
          </cell>
          <cell r="BU946">
            <v>0</v>
          </cell>
        </row>
        <row r="947">
          <cell r="A947">
            <v>50</v>
          </cell>
          <cell r="B947">
            <v>50</v>
          </cell>
          <cell r="D947">
            <v>0</v>
          </cell>
          <cell r="F947">
            <v>0</v>
          </cell>
          <cell r="G947">
            <v>1</v>
          </cell>
          <cell r="I947">
            <v>1</v>
          </cell>
          <cell r="J947">
            <v>0</v>
          </cell>
          <cell r="K947">
            <v>28</v>
          </cell>
          <cell r="L947">
            <v>28</v>
          </cell>
          <cell r="M947">
            <v>3</v>
          </cell>
          <cell r="O947">
            <v>1</v>
          </cell>
          <cell r="P947">
            <v>0</v>
          </cell>
          <cell r="Q947">
            <v>0</v>
          </cell>
          <cell r="R947">
            <v>0</v>
          </cell>
          <cell r="S947">
            <v>0</v>
          </cell>
          <cell r="T947">
            <v>4</v>
          </cell>
          <cell r="V947">
            <v>1</v>
          </cell>
          <cell r="W947">
            <v>43</v>
          </cell>
          <cell r="X947">
            <v>3</v>
          </cell>
          <cell r="Y947">
            <v>4</v>
          </cell>
          <cell r="AA947">
            <v>0</v>
          </cell>
          <cell r="AB947">
            <v>0</v>
          </cell>
          <cell r="AC947">
            <v>0</v>
          </cell>
          <cell r="AD947">
            <v>0</v>
          </cell>
          <cell r="AE947">
            <v>0</v>
          </cell>
          <cell r="AF947">
            <v>0</v>
          </cell>
          <cell r="AG947">
            <v>0</v>
          </cell>
          <cell r="AH947">
            <v>0</v>
          </cell>
          <cell r="AI947">
            <v>1</v>
          </cell>
          <cell r="AK947">
            <v>0</v>
          </cell>
          <cell r="AL947">
            <v>1</v>
          </cell>
          <cell r="AN947">
            <v>16880</v>
          </cell>
          <cell r="AO947">
            <v>4</v>
          </cell>
          <cell r="AQ947">
            <v>1</v>
          </cell>
          <cell r="AR947">
            <v>11</v>
          </cell>
          <cell r="AS947">
            <v>3</v>
          </cell>
          <cell r="AT947">
            <v>2</v>
          </cell>
          <cell r="AU947">
            <v>0</v>
          </cell>
          <cell r="AV947">
            <v>25</v>
          </cell>
          <cell r="AW947">
            <v>25</v>
          </cell>
          <cell r="AX947">
            <v>2</v>
          </cell>
          <cell r="AY947">
            <v>3</v>
          </cell>
          <cell r="AZ947">
            <v>3</v>
          </cell>
          <cell r="BA947">
            <v>3</v>
          </cell>
          <cell r="BB947">
            <v>2</v>
          </cell>
          <cell r="BC947">
            <v>1</v>
          </cell>
          <cell r="BD947">
            <v>1</v>
          </cell>
          <cell r="BE947">
            <v>2</v>
          </cell>
          <cell r="BF947">
            <v>2</v>
          </cell>
          <cell r="BG947">
            <v>8</v>
          </cell>
          <cell r="BH947">
            <v>0</v>
          </cell>
          <cell r="BI947">
            <v>1</v>
          </cell>
          <cell r="BJ947">
            <v>0</v>
          </cell>
          <cell r="BK947">
            <v>0</v>
          </cell>
          <cell r="BL947">
            <v>0</v>
          </cell>
          <cell r="BM947">
            <v>0</v>
          </cell>
          <cell r="BN947">
            <v>0</v>
          </cell>
          <cell r="BO947">
            <v>1</v>
          </cell>
          <cell r="BP947">
            <v>0</v>
          </cell>
          <cell r="BQ947">
            <v>2</v>
          </cell>
          <cell r="BR947">
            <v>0</v>
          </cell>
          <cell r="BS947">
            <v>0</v>
          </cell>
          <cell r="BT947">
            <v>25</v>
          </cell>
          <cell r="BU947">
            <v>0</v>
          </cell>
        </row>
        <row r="948">
          <cell r="A948">
            <v>40</v>
          </cell>
          <cell r="B948">
            <v>40</v>
          </cell>
          <cell r="D948">
            <v>1</v>
          </cell>
          <cell r="F948">
            <v>0</v>
          </cell>
          <cell r="G948">
            <v>1</v>
          </cell>
          <cell r="I948">
            <v>0</v>
          </cell>
          <cell r="J948">
            <v>1</v>
          </cell>
          <cell r="K948">
            <v>25</v>
          </cell>
          <cell r="L948">
            <v>25</v>
          </cell>
          <cell r="M948">
            <v>4</v>
          </cell>
          <cell r="O948">
            <v>0</v>
          </cell>
          <cell r="P948">
            <v>0</v>
          </cell>
          <cell r="Q948">
            <v>0</v>
          </cell>
          <cell r="R948">
            <v>1</v>
          </cell>
          <cell r="S948">
            <v>0</v>
          </cell>
          <cell r="T948">
            <v>4</v>
          </cell>
          <cell r="V948">
            <v>0</v>
          </cell>
          <cell r="W948">
            <v>57</v>
          </cell>
          <cell r="X948">
            <v>2</v>
          </cell>
          <cell r="Y948">
            <v>3</v>
          </cell>
          <cell r="AA948">
            <v>0</v>
          </cell>
          <cell r="AB948">
            <v>1</v>
          </cell>
          <cell r="AC948">
            <v>0</v>
          </cell>
          <cell r="AD948">
            <v>0</v>
          </cell>
          <cell r="AE948">
            <v>0</v>
          </cell>
          <cell r="AF948">
            <v>0</v>
          </cell>
          <cell r="AG948">
            <v>0</v>
          </cell>
          <cell r="AH948">
            <v>0</v>
          </cell>
          <cell r="AI948">
            <v>2</v>
          </cell>
          <cell r="AK948">
            <v>1</v>
          </cell>
          <cell r="AL948">
            <v>0</v>
          </cell>
          <cell r="AN948">
            <v>9094</v>
          </cell>
          <cell r="AO948">
            <v>2</v>
          </cell>
          <cell r="AQ948">
            <v>1</v>
          </cell>
          <cell r="AR948">
            <v>12</v>
          </cell>
          <cell r="AS948">
            <v>3</v>
          </cell>
          <cell r="AT948">
            <v>3</v>
          </cell>
          <cell r="AU948">
            <v>0</v>
          </cell>
          <cell r="AV948">
            <v>9</v>
          </cell>
          <cell r="AW948">
            <v>9</v>
          </cell>
          <cell r="AX948">
            <v>2</v>
          </cell>
          <cell r="AY948">
            <v>3</v>
          </cell>
          <cell r="AZ948">
            <v>5</v>
          </cell>
          <cell r="BA948">
            <v>5</v>
          </cell>
          <cell r="BB948">
            <v>4</v>
          </cell>
          <cell r="BC948">
            <v>1</v>
          </cell>
          <cell r="BD948">
            <v>1</v>
          </cell>
          <cell r="BE948">
            <v>0</v>
          </cell>
          <cell r="BF948">
            <v>0</v>
          </cell>
          <cell r="BG948">
            <v>0</v>
          </cell>
          <cell r="BH948">
            <v>1</v>
          </cell>
          <cell r="BI948">
            <v>0</v>
          </cell>
          <cell r="BJ948">
            <v>0</v>
          </cell>
          <cell r="BK948">
            <v>0</v>
          </cell>
          <cell r="BL948">
            <v>0</v>
          </cell>
          <cell r="BM948">
            <v>1</v>
          </cell>
          <cell r="BN948">
            <v>0</v>
          </cell>
          <cell r="BO948">
            <v>0</v>
          </cell>
          <cell r="BP948">
            <v>0</v>
          </cell>
          <cell r="BQ948">
            <v>0</v>
          </cell>
          <cell r="BR948">
            <v>0</v>
          </cell>
          <cell r="BS948">
            <v>0</v>
          </cell>
          <cell r="BT948">
            <v>0</v>
          </cell>
          <cell r="BU948">
            <v>9</v>
          </cell>
        </row>
        <row r="949">
          <cell r="A949">
            <v>52</v>
          </cell>
          <cell r="B949">
            <v>52</v>
          </cell>
          <cell r="D949">
            <v>1</v>
          </cell>
          <cell r="F949">
            <v>0</v>
          </cell>
          <cell r="G949">
            <v>1</v>
          </cell>
          <cell r="I949">
            <v>0</v>
          </cell>
          <cell r="J949">
            <v>1</v>
          </cell>
          <cell r="K949">
            <v>5</v>
          </cell>
          <cell r="L949">
            <v>5</v>
          </cell>
          <cell r="M949">
            <v>3</v>
          </cell>
          <cell r="O949">
            <v>1</v>
          </cell>
          <cell r="P949">
            <v>0</v>
          </cell>
          <cell r="Q949">
            <v>0</v>
          </cell>
          <cell r="R949">
            <v>0</v>
          </cell>
          <cell r="S949">
            <v>0</v>
          </cell>
          <cell r="T949">
            <v>2</v>
          </cell>
          <cell r="V949">
            <v>0</v>
          </cell>
          <cell r="W949">
            <v>64</v>
          </cell>
          <cell r="X949">
            <v>3</v>
          </cell>
          <cell r="Y949">
            <v>3</v>
          </cell>
          <cell r="AA949">
            <v>0</v>
          </cell>
          <cell r="AB949">
            <v>1</v>
          </cell>
          <cell r="AC949">
            <v>0</v>
          </cell>
          <cell r="AD949">
            <v>0</v>
          </cell>
          <cell r="AE949">
            <v>0</v>
          </cell>
          <cell r="AF949">
            <v>0</v>
          </cell>
          <cell r="AG949">
            <v>0</v>
          </cell>
          <cell r="AH949">
            <v>0</v>
          </cell>
          <cell r="AI949">
            <v>2</v>
          </cell>
          <cell r="AK949">
            <v>1</v>
          </cell>
          <cell r="AL949">
            <v>0</v>
          </cell>
          <cell r="AN949">
            <v>8446</v>
          </cell>
          <cell r="AO949">
            <v>9</v>
          </cell>
          <cell r="AQ949">
            <v>1</v>
          </cell>
          <cell r="AR949">
            <v>19</v>
          </cell>
          <cell r="AS949">
            <v>3</v>
          </cell>
          <cell r="AT949">
            <v>3</v>
          </cell>
          <cell r="AU949">
            <v>0</v>
          </cell>
          <cell r="AV949">
            <v>10</v>
          </cell>
          <cell r="AW949">
            <v>10</v>
          </cell>
          <cell r="AX949">
            <v>2</v>
          </cell>
          <cell r="AY949">
            <v>2</v>
          </cell>
          <cell r="AZ949">
            <v>8</v>
          </cell>
          <cell r="BA949">
            <v>8</v>
          </cell>
          <cell r="BB949">
            <v>7</v>
          </cell>
          <cell r="BC949">
            <v>7</v>
          </cell>
          <cell r="BD949">
            <v>7</v>
          </cell>
          <cell r="BE949">
            <v>7</v>
          </cell>
          <cell r="BF949">
            <v>7</v>
          </cell>
          <cell r="BG949">
            <v>21</v>
          </cell>
          <cell r="BH949">
            <v>1</v>
          </cell>
          <cell r="BI949">
            <v>0</v>
          </cell>
          <cell r="BJ949">
            <v>0</v>
          </cell>
          <cell r="BK949">
            <v>0</v>
          </cell>
          <cell r="BL949">
            <v>0</v>
          </cell>
          <cell r="BM949">
            <v>1</v>
          </cell>
          <cell r="BN949">
            <v>0</v>
          </cell>
          <cell r="BO949">
            <v>0</v>
          </cell>
          <cell r="BP949">
            <v>0</v>
          </cell>
          <cell r="BQ949">
            <v>0</v>
          </cell>
          <cell r="BR949">
            <v>7</v>
          </cell>
          <cell r="BS949">
            <v>0</v>
          </cell>
          <cell r="BT949">
            <v>0</v>
          </cell>
          <cell r="BU949">
            <v>10</v>
          </cell>
        </row>
        <row r="950">
          <cell r="A950">
            <v>30</v>
          </cell>
          <cell r="B950">
            <v>30</v>
          </cell>
          <cell r="D950">
            <v>0</v>
          </cell>
          <cell r="F950">
            <v>0</v>
          </cell>
          <cell r="G950">
            <v>1</v>
          </cell>
          <cell r="I950">
            <v>1</v>
          </cell>
          <cell r="J950">
            <v>0</v>
          </cell>
          <cell r="K950">
            <v>17</v>
          </cell>
          <cell r="L950">
            <v>17</v>
          </cell>
          <cell r="M950">
            <v>4</v>
          </cell>
          <cell r="O950">
            <v>0</v>
          </cell>
          <cell r="P950">
            <v>0</v>
          </cell>
          <cell r="Q950">
            <v>1</v>
          </cell>
          <cell r="R950">
            <v>0</v>
          </cell>
          <cell r="S950">
            <v>0</v>
          </cell>
          <cell r="T950">
            <v>2</v>
          </cell>
          <cell r="V950">
            <v>1</v>
          </cell>
          <cell r="W950">
            <v>95</v>
          </cell>
          <cell r="X950">
            <v>3</v>
          </cell>
          <cell r="Y950">
            <v>3</v>
          </cell>
          <cell r="AA950">
            <v>0</v>
          </cell>
          <cell r="AB950">
            <v>0</v>
          </cell>
          <cell r="AC950">
            <v>0</v>
          </cell>
          <cell r="AD950">
            <v>1</v>
          </cell>
          <cell r="AE950">
            <v>0</v>
          </cell>
          <cell r="AF950">
            <v>0</v>
          </cell>
          <cell r="AG950">
            <v>0</v>
          </cell>
          <cell r="AH950">
            <v>0</v>
          </cell>
          <cell r="AI950">
            <v>1</v>
          </cell>
          <cell r="AK950">
            <v>0</v>
          </cell>
          <cell r="AL950">
            <v>1</v>
          </cell>
          <cell r="AN950">
            <v>11916</v>
          </cell>
          <cell r="AO950">
            <v>1</v>
          </cell>
          <cell r="AQ950">
            <v>1</v>
          </cell>
          <cell r="AR950">
            <v>23</v>
          </cell>
          <cell r="AS950">
            <v>4</v>
          </cell>
          <cell r="AT950">
            <v>4</v>
          </cell>
          <cell r="AU950">
            <v>2</v>
          </cell>
          <cell r="AV950">
            <v>9</v>
          </cell>
          <cell r="AW950">
            <v>9</v>
          </cell>
          <cell r="AX950">
            <v>2</v>
          </cell>
          <cell r="AY950">
            <v>3</v>
          </cell>
          <cell r="AZ950">
            <v>9</v>
          </cell>
          <cell r="BA950">
            <v>9</v>
          </cell>
          <cell r="BB950">
            <v>1</v>
          </cell>
          <cell r="BC950">
            <v>0</v>
          </cell>
          <cell r="BD950">
            <v>0</v>
          </cell>
          <cell r="BE950">
            <v>8</v>
          </cell>
          <cell r="BF950">
            <v>8</v>
          </cell>
          <cell r="BG950">
            <v>24</v>
          </cell>
          <cell r="BH950">
            <v>0</v>
          </cell>
          <cell r="BI950">
            <v>1</v>
          </cell>
          <cell r="BJ950">
            <v>0</v>
          </cell>
          <cell r="BK950">
            <v>0</v>
          </cell>
          <cell r="BL950">
            <v>0</v>
          </cell>
          <cell r="BM950">
            <v>0</v>
          </cell>
          <cell r="BN950">
            <v>0</v>
          </cell>
          <cell r="BO950">
            <v>1</v>
          </cell>
          <cell r="BP950">
            <v>0</v>
          </cell>
          <cell r="BQ950">
            <v>8</v>
          </cell>
          <cell r="BR950">
            <v>0</v>
          </cell>
          <cell r="BS950">
            <v>0</v>
          </cell>
          <cell r="BT950">
            <v>9</v>
          </cell>
          <cell r="BU950">
            <v>0</v>
          </cell>
        </row>
        <row r="951">
          <cell r="A951">
            <v>39</v>
          </cell>
          <cell r="B951">
            <v>39</v>
          </cell>
          <cell r="D951">
            <v>0</v>
          </cell>
          <cell r="F951">
            <v>0</v>
          </cell>
          <cell r="G951">
            <v>1</v>
          </cell>
          <cell r="I951">
            <v>1</v>
          </cell>
          <cell r="J951">
            <v>0</v>
          </cell>
          <cell r="K951">
            <v>18</v>
          </cell>
          <cell r="L951">
            <v>18</v>
          </cell>
          <cell r="M951">
            <v>2</v>
          </cell>
          <cell r="O951">
            <v>1</v>
          </cell>
          <cell r="P951">
            <v>0</v>
          </cell>
          <cell r="Q951">
            <v>0</v>
          </cell>
          <cell r="R951">
            <v>0</v>
          </cell>
          <cell r="S951">
            <v>0</v>
          </cell>
          <cell r="T951">
            <v>1</v>
          </cell>
          <cell r="V951">
            <v>0</v>
          </cell>
          <cell r="W951">
            <v>32</v>
          </cell>
          <cell r="X951">
            <v>3</v>
          </cell>
          <cell r="Y951">
            <v>2</v>
          </cell>
          <cell r="AA951">
            <v>0</v>
          </cell>
          <cell r="AB951">
            <v>0</v>
          </cell>
          <cell r="AC951">
            <v>0</v>
          </cell>
          <cell r="AD951">
            <v>0</v>
          </cell>
          <cell r="AE951">
            <v>1</v>
          </cell>
          <cell r="AF951">
            <v>1</v>
          </cell>
          <cell r="AG951">
            <v>0</v>
          </cell>
          <cell r="AH951">
            <v>0</v>
          </cell>
          <cell r="AI951">
            <v>3</v>
          </cell>
          <cell r="AK951">
            <v>1</v>
          </cell>
          <cell r="AL951">
            <v>0</v>
          </cell>
          <cell r="AN951">
            <v>4534</v>
          </cell>
          <cell r="AO951">
            <v>0</v>
          </cell>
          <cell r="AQ951">
            <v>0</v>
          </cell>
          <cell r="AR951">
            <v>11</v>
          </cell>
          <cell r="AS951">
            <v>3</v>
          </cell>
          <cell r="AT951">
            <v>1</v>
          </cell>
          <cell r="AU951">
            <v>0</v>
          </cell>
          <cell r="AV951">
            <v>9</v>
          </cell>
          <cell r="AW951">
            <v>9</v>
          </cell>
          <cell r="AX951">
            <v>6</v>
          </cell>
          <cell r="AY951">
            <v>3</v>
          </cell>
          <cell r="AZ951">
            <v>8</v>
          </cell>
          <cell r="BA951">
            <v>8</v>
          </cell>
          <cell r="BB951">
            <v>7</v>
          </cell>
          <cell r="BC951">
            <v>1</v>
          </cell>
          <cell r="BD951">
            <v>1</v>
          </cell>
          <cell r="BE951">
            <v>7</v>
          </cell>
          <cell r="BF951">
            <v>7</v>
          </cell>
          <cell r="BG951">
            <v>14</v>
          </cell>
          <cell r="BH951">
            <v>1</v>
          </cell>
          <cell r="BI951">
            <v>0</v>
          </cell>
          <cell r="BJ951">
            <v>0</v>
          </cell>
          <cell r="BK951">
            <v>0</v>
          </cell>
          <cell r="BL951">
            <v>1</v>
          </cell>
          <cell r="BM951">
            <v>0</v>
          </cell>
          <cell r="BN951">
            <v>0</v>
          </cell>
          <cell r="BO951">
            <v>0</v>
          </cell>
          <cell r="BP951">
            <v>0</v>
          </cell>
          <cell r="BQ951">
            <v>7</v>
          </cell>
          <cell r="BR951">
            <v>0</v>
          </cell>
          <cell r="BS951">
            <v>0</v>
          </cell>
          <cell r="BT951">
            <v>9</v>
          </cell>
          <cell r="BU951">
            <v>0</v>
          </cell>
        </row>
        <row r="952">
          <cell r="A952">
            <v>31</v>
          </cell>
          <cell r="B952">
            <v>31</v>
          </cell>
          <cell r="D952">
            <v>0</v>
          </cell>
          <cell r="F952">
            <v>0</v>
          </cell>
          <cell r="G952">
            <v>0</v>
          </cell>
          <cell r="I952">
            <v>0</v>
          </cell>
          <cell r="J952">
            <v>1</v>
          </cell>
          <cell r="K952">
            <v>2</v>
          </cell>
          <cell r="L952">
            <v>2</v>
          </cell>
          <cell r="M952">
            <v>4</v>
          </cell>
          <cell r="O952">
            <v>1</v>
          </cell>
          <cell r="P952">
            <v>0</v>
          </cell>
          <cell r="Q952">
            <v>0</v>
          </cell>
          <cell r="R952">
            <v>0</v>
          </cell>
          <cell r="S952">
            <v>0</v>
          </cell>
          <cell r="T952">
            <v>4</v>
          </cell>
          <cell r="V952">
            <v>1</v>
          </cell>
          <cell r="W952">
            <v>57</v>
          </cell>
          <cell r="X952">
            <v>3</v>
          </cell>
          <cell r="Y952">
            <v>3</v>
          </cell>
          <cell r="AA952">
            <v>0</v>
          </cell>
          <cell r="AB952">
            <v>1</v>
          </cell>
          <cell r="AC952">
            <v>0</v>
          </cell>
          <cell r="AD952">
            <v>0</v>
          </cell>
          <cell r="AE952">
            <v>0</v>
          </cell>
          <cell r="AF952">
            <v>0</v>
          </cell>
          <cell r="AG952">
            <v>0</v>
          </cell>
          <cell r="AH952">
            <v>0</v>
          </cell>
          <cell r="AI952">
            <v>3</v>
          </cell>
          <cell r="AK952">
            <v>0</v>
          </cell>
          <cell r="AL952">
            <v>0</v>
          </cell>
          <cell r="AN952">
            <v>9852</v>
          </cell>
          <cell r="AO952">
            <v>1</v>
          </cell>
          <cell r="AQ952">
            <v>1</v>
          </cell>
          <cell r="AR952">
            <v>19</v>
          </cell>
          <cell r="AS952">
            <v>3</v>
          </cell>
          <cell r="AT952">
            <v>1</v>
          </cell>
          <cell r="AU952">
            <v>1</v>
          </cell>
          <cell r="AV952">
            <v>10</v>
          </cell>
          <cell r="AW952">
            <v>10</v>
          </cell>
          <cell r="AX952">
            <v>5</v>
          </cell>
          <cell r="AY952">
            <v>2</v>
          </cell>
          <cell r="AZ952">
            <v>10</v>
          </cell>
          <cell r="BA952">
            <v>10</v>
          </cell>
          <cell r="BB952">
            <v>8</v>
          </cell>
          <cell r="BC952">
            <v>9</v>
          </cell>
          <cell r="BD952">
            <v>9</v>
          </cell>
          <cell r="BE952">
            <v>6</v>
          </cell>
          <cell r="BF952">
            <v>6</v>
          </cell>
          <cell r="BG952">
            <v>18</v>
          </cell>
          <cell r="BH952">
            <v>1</v>
          </cell>
          <cell r="BI952">
            <v>0</v>
          </cell>
          <cell r="BJ952">
            <v>0</v>
          </cell>
          <cell r="BK952">
            <v>0</v>
          </cell>
          <cell r="BL952">
            <v>0</v>
          </cell>
          <cell r="BM952">
            <v>1</v>
          </cell>
          <cell r="BN952">
            <v>0</v>
          </cell>
          <cell r="BO952">
            <v>0</v>
          </cell>
          <cell r="BP952">
            <v>0</v>
          </cell>
          <cell r="BQ952">
            <v>0</v>
          </cell>
          <cell r="BR952">
            <v>6</v>
          </cell>
          <cell r="BS952">
            <v>0</v>
          </cell>
          <cell r="BT952">
            <v>0</v>
          </cell>
          <cell r="BU952">
            <v>10</v>
          </cell>
        </row>
        <row r="953">
          <cell r="A953">
            <v>41</v>
          </cell>
          <cell r="B953">
            <v>41</v>
          </cell>
          <cell r="D953">
            <v>0</v>
          </cell>
          <cell r="F953">
            <v>0</v>
          </cell>
          <cell r="G953">
            <v>0</v>
          </cell>
          <cell r="I953">
            <v>0</v>
          </cell>
          <cell r="J953">
            <v>1</v>
          </cell>
          <cell r="K953">
            <v>10</v>
          </cell>
          <cell r="L953">
            <v>10</v>
          </cell>
          <cell r="M953">
            <v>2</v>
          </cell>
          <cell r="O953">
            <v>0</v>
          </cell>
          <cell r="P953">
            <v>0</v>
          </cell>
          <cell r="Q953">
            <v>1</v>
          </cell>
          <cell r="R953">
            <v>0</v>
          </cell>
          <cell r="S953">
            <v>0</v>
          </cell>
          <cell r="T953">
            <v>3</v>
          </cell>
          <cell r="V953">
            <v>0</v>
          </cell>
          <cell r="W953">
            <v>40</v>
          </cell>
          <cell r="X953">
            <v>1</v>
          </cell>
          <cell r="Y953">
            <v>2</v>
          </cell>
          <cell r="AA953">
            <v>0</v>
          </cell>
          <cell r="AB953">
            <v>1</v>
          </cell>
          <cell r="AC953">
            <v>0</v>
          </cell>
          <cell r="AD953">
            <v>0</v>
          </cell>
          <cell r="AE953">
            <v>0</v>
          </cell>
          <cell r="AF953">
            <v>0</v>
          </cell>
          <cell r="AG953">
            <v>0</v>
          </cell>
          <cell r="AH953">
            <v>0</v>
          </cell>
          <cell r="AI953">
            <v>2</v>
          </cell>
          <cell r="AK953">
            <v>1</v>
          </cell>
          <cell r="AL953">
            <v>0</v>
          </cell>
          <cell r="AN953">
            <v>6151</v>
          </cell>
          <cell r="AO953">
            <v>1</v>
          </cell>
          <cell r="AQ953">
            <v>0</v>
          </cell>
          <cell r="AR953">
            <v>13</v>
          </cell>
          <cell r="AS953">
            <v>3</v>
          </cell>
          <cell r="AT953">
            <v>1</v>
          </cell>
          <cell r="AU953">
            <v>0</v>
          </cell>
          <cell r="AV953">
            <v>19</v>
          </cell>
          <cell r="AW953">
            <v>19</v>
          </cell>
          <cell r="AX953">
            <v>4</v>
          </cell>
          <cell r="AY953">
            <v>3</v>
          </cell>
          <cell r="AZ953">
            <v>19</v>
          </cell>
          <cell r="BA953">
            <v>19</v>
          </cell>
          <cell r="BB953">
            <v>2</v>
          </cell>
          <cell r="BC953">
            <v>11</v>
          </cell>
          <cell r="BD953">
            <v>11</v>
          </cell>
          <cell r="BE953">
            <v>9</v>
          </cell>
          <cell r="BF953">
            <v>9</v>
          </cell>
          <cell r="BG953">
            <v>18</v>
          </cell>
          <cell r="BH953">
            <v>1</v>
          </cell>
          <cell r="BI953">
            <v>0</v>
          </cell>
          <cell r="BJ953">
            <v>0</v>
          </cell>
          <cell r="BK953">
            <v>0</v>
          </cell>
          <cell r="BL953">
            <v>1</v>
          </cell>
          <cell r="BM953">
            <v>0</v>
          </cell>
          <cell r="BN953">
            <v>0</v>
          </cell>
          <cell r="BO953">
            <v>0</v>
          </cell>
          <cell r="BP953">
            <v>0</v>
          </cell>
          <cell r="BQ953">
            <v>0</v>
          </cell>
          <cell r="BR953">
            <v>9</v>
          </cell>
          <cell r="BS953">
            <v>0</v>
          </cell>
          <cell r="BT953">
            <v>0</v>
          </cell>
          <cell r="BU953">
            <v>19</v>
          </cell>
        </row>
        <row r="954">
          <cell r="A954">
            <v>31</v>
          </cell>
          <cell r="B954">
            <v>31</v>
          </cell>
          <cell r="D954">
            <v>1</v>
          </cell>
          <cell r="F954">
            <v>1</v>
          </cell>
          <cell r="G954">
            <v>0</v>
          </cell>
          <cell r="I954">
            <v>0</v>
          </cell>
          <cell r="J954">
            <v>1</v>
          </cell>
          <cell r="K954">
            <v>1</v>
          </cell>
          <cell r="L954">
            <v>1</v>
          </cell>
          <cell r="M954">
            <v>3</v>
          </cell>
          <cell r="O954">
            <v>1</v>
          </cell>
          <cell r="P954">
            <v>0</v>
          </cell>
          <cell r="Q954">
            <v>0</v>
          </cell>
          <cell r="R954">
            <v>0</v>
          </cell>
          <cell r="S954">
            <v>0</v>
          </cell>
          <cell r="T954">
            <v>4</v>
          </cell>
          <cell r="V954">
            <v>1</v>
          </cell>
          <cell r="W954">
            <v>54</v>
          </cell>
          <cell r="X954">
            <v>3</v>
          </cell>
          <cell r="Y954">
            <v>1</v>
          </cell>
          <cell r="AA954">
            <v>0</v>
          </cell>
          <cell r="AB954">
            <v>0</v>
          </cell>
          <cell r="AC954">
            <v>0</v>
          </cell>
          <cell r="AD954">
            <v>0</v>
          </cell>
          <cell r="AE954">
            <v>0</v>
          </cell>
          <cell r="AF954">
            <v>0</v>
          </cell>
          <cell r="AG954">
            <v>1</v>
          </cell>
          <cell r="AH954">
            <v>0</v>
          </cell>
          <cell r="AI954">
            <v>2</v>
          </cell>
          <cell r="AK954">
            <v>1</v>
          </cell>
          <cell r="AL954">
            <v>0</v>
          </cell>
          <cell r="AN954">
            <v>2302</v>
          </cell>
          <cell r="AO954">
            <v>1</v>
          </cell>
          <cell r="AQ954">
            <v>1</v>
          </cell>
          <cell r="AR954">
            <v>11</v>
          </cell>
          <cell r="AS954">
            <v>3</v>
          </cell>
          <cell r="AT954">
            <v>1</v>
          </cell>
          <cell r="AU954">
            <v>0</v>
          </cell>
          <cell r="AV954">
            <v>3</v>
          </cell>
          <cell r="AW954">
            <v>3</v>
          </cell>
          <cell r="AX954">
            <v>2</v>
          </cell>
          <cell r="AY954">
            <v>4</v>
          </cell>
          <cell r="AZ954">
            <v>3</v>
          </cell>
          <cell r="BA954">
            <v>3</v>
          </cell>
          <cell r="BB954">
            <v>2</v>
          </cell>
          <cell r="BC954">
            <v>2</v>
          </cell>
          <cell r="BD954">
            <v>2</v>
          </cell>
          <cell r="BE954">
            <v>2</v>
          </cell>
          <cell r="BF954">
            <v>2</v>
          </cell>
          <cell r="BG954">
            <v>2</v>
          </cell>
          <cell r="BH954">
            <v>0</v>
          </cell>
          <cell r="BI954">
            <v>0</v>
          </cell>
          <cell r="BJ954">
            <v>1</v>
          </cell>
          <cell r="BK954">
            <v>0</v>
          </cell>
          <cell r="BL954">
            <v>0</v>
          </cell>
          <cell r="BM954">
            <v>1</v>
          </cell>
          <cell r="BN954">
            <v>0</v>
          </cell>
          <cell r="BO954">
            <v>0</v>
          </cell>
          <cell r="BP954">
            <v>0</v>
          </cell>
          <cell r="BQ954">
            <v>0</v>
          </cell>
          <cell r="BR954">
            <v>2</v>
          </cell>
          <cell r="BS954">
            <v>0</v>
          </cell>
          <cell r="BT954">
            <v>0</v>
          </cell>
          <cell r="BU954">
            <v>3</v>
          </cell>
        </row>
        <row r="955">
          <cell r="A955">
            <v>44</v>
          </cell>
          <cell r="B955">
            <v>44</v>
          </cell>
          <cell r="D955">
            <v>1</v>
          </cell>
          <cell r="F955">
            <v>0</v>
          </cell>
          <cell r="G955">
            <v>1</v>
          </cell>
          <cell r="I955">
            <v>1</v>
          </cell>
          <cell r="J955">
            <v>0</v>
          </cell>
          <cell r="K955">
            <v>3</v>
          </cell>
          <cell r="L955">
            <v>3</v>
          </cell>
          <cell r="M955">
            <v>3</v>
          </cell>
          <cell r="O955">
            <v>1</v>
          </cell>
          <cell r="P955">
            <v>0</v>
          </cell>
          <cell r="Q955">
            <v>0</v>
          </cell>
          <cell r="R955">
            <v>0</v>
          </cell>
          <cell r="S955">
            <v>0</v>
          </cell>
          <cell r="T955">
            <v>1</v>
          </cell>
          <cell r="V955">
            <v>0</v>
          </cell>
          <cell r="W955">
            <v>89</v>
          </cell>
          <cell r="X955">
            <v>3</v>
          </cell>
          <cell r="Y955">
            <v>1</v>
          </cell>
          <cell r="AA955">
            <v>0</v>
          </cell>
          <cell r="AB955">
            <v>0</v>
          </cell>
          <cell r="AC955">
            <v>1</v>
          </cell>
          <cell r="AD955">
            <v>0</v>
          </cell>
          <cell r="AE955">
            <v>0</v>
          </cell>
          <cell r="AF955">
            <v>0</v>
          </cell>
          <cell r="AG955">
            <v>0</v>
          </cell>
          <cell r="AH955">
            <v>0</v>
          </cell>
          <cell r="AI955">
            <v>1</v>
          </cell>
          <cell r="AK955">
            <v>0</v>
          </cell>
          <cell r="AL955">
            <v>1</v>
          </cell>
          <cell r="AN955">
            <v>2362</v>
          </cell>
          <cell r="AO955">
            <v>4</v>
          </cell>
          <cell r="AQ955">
            <v>0</v>
          </cell>
          <cell r="AR955">
            <v>12</v>
          </cell>
          <cell r="AS955">
            <v>3</v>
          </cell>
          <cell r="AT955">
            <v>3</v>
          </cell>
          <cell r="AU955">
            <v>0</v>
          </cell>
          <cell r="AV955">
            <v>10</v>
          </cell>
          <cell r="AW955">
            <v>10</v>
          </cell>
          <cell r="AX955">
            <v>4</v>
          </cell>
          <cell r="AY955">
            <v>4</v>
          </cell>
          <cell r="AZ955">
            <v>3</v>
          </cell>
          <cell r="BA955">
            <v>3</v>
          </cell>
          <cell r="BB955">
            <v>2</v>
          </cell>
          <cell r="BC955">
            <v>1</v>
          </cell>
          <cell r="BD955">
            <v>1</v>
          </cell>
          <cell r="BE955">
            <v>2</v>
          </cell>
          <cell r="BF955">
            <v>2</v>
          </cell>
          <cell r="BG955">
            <v>2</v>
          </cell>
          <cell r="BH955">
            <v>0</v>
          </cell>
          <cell r="BI955">
            <v>1</v>
          </cell>
          <cell r="BJ955">
            <v>0</v>
          </cell>
          <cell r="BK955">
            <v>0</v>
          </cell>
          <cell r="BL955">
            <v>0</v>
          </cell>
          <cell r="BM955">
            <v>0</v>
          </cell>
          <cell r="BN955">
            <v>1</v>
          </cell>
          <cell r="BO955">
            <v>0</v>
          </cell>
          <cell r="BP955">
            <v>0</v>
          </cell>
          <cell r="BQ955">
            <v>2</v>
          </cell>
          <cell r="BR955">
            <v>0</v>
          </cell>
          <cell r="BS955">
            <v>0</v>
          </cell>
          <cell r="BT955">
            <v>10</v>
          </cell>
          <cell r="BU955">
            <v>0</v>
          </cell>
        </row>
        <row r="956">
          <cell r="A956">
            <v>42</v>
          </cell>
          <cell r="B956">
            <v>42</v>
          </cell>
          <cell r="D956">
            <v>0</v>
          </cell>
          <cell r="F956">
            <v>0</v>
          </cell>
          <cell r="G956">
            <v>0</v>
          </cell>
          <cell r="I956">
            <v>1</v>
          </cell>
          <cell r="J956">
            <v>0</v>
          </cell>
          <cell r="K956">
            <v>2</v>
          </cell>
          <cell r="L956">
            <v>2</v>
          </cell>
          <cell r="M956">
            <v>1</v>
          </cell>
          <cell r="O956">
            <v>1</v>
          </cell>
          <cell r="P956">
            <v>0</v>
          </cell>
          <cell r="Q956">
            <v>0</v>
          </cell>
          <cell r="R956">
            <v>0</v>
          </cell>
          <cell r="S956">
            <v>0</v>
          </cell>
          <cell r="T956">
            <v>3</v>
          </cell>
          <cell r="V956">
            <v>0</v>
          </cell>
          <cell r="W956">
            <v>37</v>
          </cell>
          <cell r="X956">
            <v>3</v>
          </cell>
          <cell r="Y956">
            <v>4</v>
          </cell>
          <cell r="AA956">
            <v>0</v>
          </cell>
          <cell r="AB956">
            <v>0</v>
          </cell>
          <cell r="AC956">
            <v>0</v>
          </cell>
          <cell r="AD956">
            <v>1</v>
          </cell>
          <cell r="AE956">
            <v>0</v>
          </cell>
          <cell r="AF956">
            <v>0</v>
          </cell>
          <cell r="AG956">
            <v>0</v>
          </cell>
          <cell r="AH956">
            <v>0</v>
          </cell>
          <cell r="AI956">
            <v>3</v>
          </cell>
          <cell r="AK956">
            <v>0</v>
          </cell>
          <cell r="AL956">
            <v>1</v>
          </cell>
          <cell r="AN956">
            <v>17861</v>
          </cell>
          <cell r="AO956">
            <v>0</v>
          </cell>
          <cell r="AQ956">
            <v>1</v>
          </cell>
          <cell r="AR956">
            <v>13</v>
          </cell>
          <cell r="AS956">
            <v>3</v>
          </cell>
          <cell r="AT956">
            <v>4</v>
          </cell>
          <cell r="AU956">
            <v>0</v>
          </cell>
          <cell r="AV956">
            <v>21</v>
          </cell>
          <cell r="AW956">
            <v>21</v>
          </cell>
          <cell r="AX956">
            <v>3</v>
          </cell>
          <cell r="AY956">
            <v>2</v>
          </cell>
          <cell r="AZ956">
            <v>20</v>
          </cell>
          <cell r="BA956">
            <v>20</v>
          </cell>
          <cell r="BB956">
            <v>8</v>
          </cell>
          <cell r="BC956">
            <v>2</v>
          </cell>
          <cell r="BD956">
            <v>2</v>
          </cell>
          <cell r="BE956">
            <v>10</v>
          </cell>
          <cell r="BF956">
            <v>10</v>
          </cell>
          <cell r="BG956">
            <v>40</v>
          </cell>
          <cell r="BH956">
            <v>0</v>
          </cell>
          <cell r="BI956">
            <v>1</v>
          </cell>
          <cell r="BJ956">
            <v>0</v>
          </cell>
          <cell r="BK956">
            <v>0</v>
          </cell>
          <cell r="BL956">
            <v>0</v>
          </cell>
          <cell r="BM956">
            <v>0</v>
          </cell>
          <cell r="BN956">
            <v>0</v>
          </cell>
          <cell r="BO956">
            <v>1</v>
          </cell>
          <cell r="BP956">
            <v>0</v>
          </cell>
          <cell r="BQ956">
            <v>10</v>
          </cell>
          <cell r="BR956">
            <v>0</v>
          </cell>
          <cell r="BS956">
            <v>0</v>
          </cell>
          <cell r="BT956">
            <v>21</v>
          </cell>
          <cell r="BU956">
            <v>0</v>
          </cell>
        </row>
        <row r="957">
          <cell r="A957">
            <v>55</v>
          </cell>
          <cell r="B957">
            <v>55</v>
          </cell>
          <cell r="D957">
            <v>0</v>
          </cell>
          <cell r="F957">
            <v>0</v>
          </cell>
          <cell r="G957">
            <v>1</v>
          </cell>
          <cell r="I957">
            <v>1</v>
          </cell>
          <cell r="J957">
            <v>0</v>
          </cell>
          <cell r="K957">
            <v>2</v>
          </cell>
          <cell r="L957">
            <v>2</v>
          </cell>
          <cell r="M957">
            <v>2</v>
          </cell>
          <cell r="O957">
            <v>0</v>
          </cell>
          <cell r="P957">
            <v>0</v>
          </cell>
          <cell r="Q957">
            <v>1</v>
          </cell>
          <cell r="R957">
            <v>0</v>
          </cell>
          <cell r="S957">
            <v>0</v>
          </cell>
          <cell r="T957">
            <v>4</v>
          </cell>
          <cell r="V957">
            <v>1</v>
          </cell>
          <cell r="W957">
            <v>58</v>
          </cell>
          <cell r="X957">
            <v>1</v>
          </cell>
          <cell r="Y957">
            <v>5</v>
          </cell>
          <cell r="AA957">
            <v>0</v>
          </cell>
          <cell r="AB957">
            <v>0</v>
          </cell>
          <cell r="AC957">
            <v>0</v>
          </cell>
          <cell r="AD957">
            <v>1</v>
          </cell>
          <cell r="AE957">
            <v>0</v>
          </cell>
          <cell r="AF957">
            <v>0</v>
          </cell>
          <cell r="AG957">
            <v>0</v>
          </cell>
          <cell r="AH957">
            <v>0</v>
          </cell>
          <cell r="AI957">
            <v>3</v>
          </cell>
          <cell r="AK957">
            <v>0</v>
          </cell>
          <cell r="AL957">
            <v>1</v>
          </cell>
          <cell r="AN957">
            <v>19187</v>
          </cell>
          <cell r="AO957">
            <v>4</v>
          </cell>
          <cell r="AQ957">
            <v>0</v>
          </cell>
          <cell r="AR957">
            <v>14</v>
          </cell>
          <cell r="AS957">
            <v>3</v>
          </cell>
          <cell r="AT957">
            <v>4</v>
          </cell>
          <cell r="AU957">
            <v>1</v>
          </cell>
          <cell r="AV957">
            <v>23</v>
          </cell>
          <cell r="AW957">
            <v>23</v>
          </cell>
          <cell r="AX957">
            <v>5</v>
          </cell>
          <cell r="AY957">
            <v>3</v>
          </cell>
          <cell r="AZ957">
            <v>19</v>
          </cell>
          <cell r="BA957">
            <v>19</v>
          </cell>
          <cell r="BB957">
            <v>9</v>
          </cell>
          <cell r="BC957">
            <v>9</v>
          </cell>
          <cell r="BD957">
            <v>9</v>
          </cell>
          <cell r="BE957">
            <v>11</v>
          </cell>
          <cell r="BF957">
            <v>11</v>
          </cell>
          <cell r="BG957">
            <v>55</v>
          </cell>
          <cell r="BH957">
            <v>0</v>
          </cell>
          <cell r="BI957">
            <v>1</v>
          </cell>
          <cell r="BJ957">
            <v>0</v>
          </cell>
          <cell r="BK957">
            <v>0</v>
          </cell>
          <cell r="BL957">
            <v>0</v>
          </cell>
          <cell r="BM957">
            <v>0</v>
          </cell>
          <cell r="BN957">
            <v>1</v>
          </cell>
          <cell r="BO957">
            <v>0</v>
          </cell>
          <cell r="BP957">
            <v>0</v>
          </cell>
          <cell r="BQ957">
            <v>11</v>
          </cell>
          <cell r="BR957">
            <v>0</v>
          </cell>
          <cell r="BS957">
            <v>0</v>
          </cell>
          <cell r="BT957">
            <v>23</v>
          </cell>
          <cell r="BU957">
            <v>0</v>
          </cell>
        </row>
        <row r="958">
          <cell r="A958">
            <v>56</v>
          </cell>
          <cell r="B958">
            <v>56</v>
          </cell>
          <cell r="D958">
            <v>0</v>
          </cell>
          <cell r="F958">
            <v>0</v>
          </cell>
          <cell r="G958">
            <v>1</v>
          </cell>
          <cell r="I958">
            <v>0</v>
          </cell>
          <cell r="J958">
            <v>0</v>
          </cell>
          <cell r="K958">
            <v>8</v>
          </cell>
          <cell r="L958">
            <v>8</v>
          </cell>
          <cell r="M958">
            <v>4</v>
          </cell>
          <cell r="O958">
            <v>1</v>
          </cell>
          <cell r="P958">
            <v>0</v>
          </cell>
          <cell r="Q958">
            <v>0</v>
          </cell>
          <cell r="R958">
            <v>0</v>
          </cell>
          <cell r="S958">
            <v>0</v>
          </cell>
          <cell r="T958">
            <v>4</v>
          </cell>
          <cell r="V958">
            <v>0</v>
          </cell>
          <cell r="W958">
            <v>99</v>
          </cell>
          <cell r="X958">
            <v>3</v>
          </cell>
          <cell r="Y958">
            <v>5</v>
          </cell>
          <cell r="AA958">
            <v>0</v>
          </cell>
          <cell r="AB958">
            <v>0</v>
          </cell>
          <cell r="AC958">
            <v>0</v>
          </cell>
          <cell r="AD958">
            <v>1</v>
          </cell>
          <cell r="AE958">
            <v>0</v>
          </cell>
          <cell r="AF958">
            <v>0</v>
          </cell>
          <cell r="AG958">
            <v>0</v>
          </cell>
          <cell r="AH958">
            <v>0</v>
          </cell>
          <cell r="AI958">
            <v>2</v>
          </cell>
          <cell r="AK958">
            <v>1</v>
          </cell>
          <cell r="AL958">
            <v>0</v>
          </cell>
          <cell r="AN958">
            <v>19626.310000000001</v>
          </cell>
          <cell r="AO958">
            <v>6</v>
          </cell>
          <cell r="AQ958">
            <v>0</v>
          </cell>
          <cell r="AR958">
            <v>14</v>
          </cell>
          <cell r="AS958">
            <v>3</v>
          </cell>
          <cell r="AT958">
            <v>1</v>
          </cell>
          <cell r="AU958">
            <v>0</v>
          </cell>
          <cell r="AV958">
            <v>36</v>
          </cell>
          <cell r="AW958">
            <v>35</v>
          </cell>
          <cell r="AX958">
            <v>4</v>
          </cell>
          <cell r="AY958">
            <v>3</v>
          </cell>
          <cell r="AZ958">
            <v>7</v>
          </cell>
          <cell r="BA958">
            <v>7</v>
          </cell>
          <cell r="BB958">
            <v>3</v>
          </cell>
          <cell r="BC958">
            <v>7</v>
          </cell>
          <cell r="BD958">
            <v>7</v>
          </cell>
          <cell r="BE958">
            <v>7</v>
          </cell>
          <cell r="BF958">
            <v>7</v>
          </cell>
          <cell r="BG958">
            <v>35</v>
          </cell>
          <cell r="BH958">
            <v>1</v>
          </cell>
          <cell r="BI958">
            <v>0</v>
          </cell>
          <cell r="BJ958">
            <v>0</v>
          </cell>
          <cell r="BK958">
            <v>0</v>
          </cell>
          <cell r="BL958">
            <v>1</v>
          </cell>
          <cell r="BM958">
            <v>0</v>
          </cell>
          <cell r="BN958">
            <v>0</v>
          </cell>
          <cell r="BO958">
            <v>0</v>
          </cell>
          <cell r="BP958">
            <v>7</v>
          </cell>
          <cell r="BQ958">
            <v>0</v>
          </cell>
          <cell r="BR958">
            <v>0</v>
          </cell>
          <cell r="BS958">
            <v>35</v>
          </cell>
          <cell r="BT958">
            <v>0</v>
          </cell>
          <cell r="BU958">
            <v>0</v>
          </cell>
        </row>
        <row r="959">
          <cell r="A959">
            <v>40</v>
          </cell>
          <cell r="B959">
            <v>40</v>
          </cell>
          <cell r="D959">
            <v>0</v>
          </cell>
          <cell r="F959">
            <v>0</v>
          </cell>
          <cell r="G959">
            <v>0</v>
          </cell>
          <cell r="I959">
            <v>1</v>
          </cell>
          <cell r="J959">
            <v>0</v>
          </cell>
          <cell r="K959">
            <v>16</v>
          </cell>
          <cell r="L959">
            <v>16</v>
          </cell>
          <cell r="M959">
            <v>2</v>
          </cell>
          <cell r="O959">
            <v>1</v>
          </cell>
          <cell r="P959">
            <v>0</v>
          </cell>
          <cell r="Q959">
            <v>0</v>
          </cell>
          <cell r="R959">
            <v>0</v>
          </cell>
          <cell r="S959">
            <v>0</v>
          </cell>
          <cell r="T959">
            <v>3</v>
          </cell>
          <cell r="V959">
            <v>0</v>
          </cell>
          <cell r="W959">
            <v>74</v>
          </cell>
          <cell r="X959">
            <v>3</v>
          </cell>
          <cell r="Y959">
            <v>1</v>
          </cell>
          <cell r="AA959">
            <v>0</v>
          </cell>
          <cell r="AB959">
            <v>0</v>
          </cell>
          <cell r="AC959">
            <v>0</v>
          </cell>
          <cell r="AD959">
            <v>0</v>
          </cell>
          <cell r="AE959">
            <v>0</v>
          </cell>
          <cell r="AF959">
            <v>0</v>
          </cell>
          <cell r="AG959">
            <v>0</v>
          </cell>
          <cell r="AH959">
            <v>1</v>
          </cell>
          <cell r="AI959">
            <v>3</v>
          </cell>
          <cell r="AK959">
            <v>0</v>
          </cell>
          <cell r="AL959">
            <v>0</v>
          </cell>
          <cell r="AN959">
            <v>3544</v>
          </cell>
          <cell r="AO959">
            <v>9</v>
          </cell>
          <cell r="AQ959">
            <v>0</v>
          </cell>
          <cell r="AR959">
            <v>16</v>
          </cell>
          <cell r="AS959">
            <v>3</v>
          </cell>
          <cell r="AT959">
            <v>2</v>
          </cell>
          <cell r="AU959">
            <v>1</v>
          </cell>
          <cell r="AV959">
            <v>6</v>
          </cell>
          <cell r="AW959">
            <v>6</v>
          </cell>
          <cell r="AX959">
            <v>0</v>
          </cell>
          <cell r="AY959">
            <v>3</v>
          </cell>
          <cell r="AZ959">
            <v>4</v>
          </cell>
          <cell r="BA959">
            <v>4</v>
          </cell>
          <cell r="BB959">
            <v>2</v>
          </cell>
          <cell r="BC959">
            <v>0</v>
          </cell>
          <cell r="BD959">
            <v>0</v>
          </cell>
          <cell r="BE959">
            <v>0</v>
          </cell>
          <cell r="BF959">
            <v>0</v>
          </cell>
          <cell r="BG959">
            <v>0</v>
          </cell>
          <cell r="BH959">
            <v>1</v>
          </cell>
          <cell r="BI959">
            <v>0</v>
          </cell>
          <cell r="BJ959">
            <v>0</v>
          </cell>
          <cell r="BK959">
            <v>0</v>
          </cell>
          <cell r="BL959">
            <v>1</v>
          </cell>
          <cell r="BM959">
            <v>0</v>
          </cell>
          <cell r="BN959">
            <v>0</v>
          </cell>
          <cell r="BO959">
            <v>0</v>
          </cell>
          <cell r="BP959">
            <v>0</v>
          </cell>
          <cell r="BQ959">
            <v>0</v>
          </cell>
          <cell r="BR959">
            <v>0</v>
          </cell>
          <cell r="BS959">
            <v>0</v>
          </cell>
          <cell r="BT959">
            <v>6</v>
          </cell>
          <cell r="BU959">
            <v>0</v>
          </cell>
        </row>
        <row r="960">
          <cell r="A960">
            <v>34</v>
          </cell>
          <cell r="B960">
            <v>34</v>
          </cell>
          <cell r="D960">
            <v>0</v>
          </cell>
          <cell r="F960">
            <v>0</v>
          </cell>
          <cell r="G960">
            <v>1</v>
          </cell>
          <cell r="I960">
            <v>1</v>
          </cell>
          <cell r="J960">
            <v>0</v>
          </cell>
          <cell r="K960">
            <v>9</v>
          </cell>
          <cell r="L960">
            <v>9</v>
          </cell>
          <cell r="M960">
            <v>3</v>
          </cell>
          <cell r="O960">
            <v>1</v>
          </cell>
          <cell r="P960">
            <v>0</v>
          </cell>
          <cell r="Q960">
            <v>0</v>
          </cell>
          <cell r="R960">
            <v>0</v>
          </cell>
          <cell r="S960">
            <v>0</v>
          </cell>
          <cell r="T960">
            <v>4</v>
          </cell>
          <cell r="V960">
            <v>0</v>
          </cell>
          <cell r="W960">
            <v>86</v>
          </cell>
          <cell r="X960">
            <v>3</v>
          </cell>
          <cell r="Y960">
            <v>3</v>
          </cell>
          <cell r="AA960">
            <v>1</v>
          </cell>
          <cell r="AB960">
            <v>0</v>
          </cell>
          <cell r="AC960">
            <v>0</v>
          </cell>
          <cell r="AD960">
            <v>0</v>
          </cell>
          <cell r="AE960">
            <v>0</v>
          </cell>
          <cell r="AF960">
            <v>0</v>
          </cell>
          <cell r="AG960">
            <v>0</v>
          </cell>
          <cell r="AH960">
            <v>0</v>
          </cell>
          <cell r="AI960">
            <v>4</v>
          </cell>
          <cell r="AK960">
            <v>0</v>
          </cell>
          <cell r="AL960">
            <v>0</v>
          </cell>
          <cell r="AN960">
            <v>8500</v>
          </cell>
          <cell r="AO960">
            <v>0</v>
          </cell>
          <cell r="AQ960">
            <v>0</v>
          </cell>
          <cell r="AR960">
            <v>11</v>
          </cell>
          <cell r="AS960">
            <v>3</v>
          </cell>
          <cell r="AT960">
            <v>4</v>
          </cell>
          <cell r="AU960">
            <v>1</v>
          </cell>
          <cell r="AV960">
            <v>10</v>
          </cell>
          <cell r="AW960">
            <v>10</v>
          </cell>
          <cell r="AX960">
            <v>0</v>
          </cell>
          <cell r="AY960">
            <v>2</v>
          </cell>
          <cell r="AZ960">
            <v>9</v>
          </cell>
          <cell r="BA960">
            <v>9</v>
          </cell>
          <cell r="BB960">
            <v>7</v>
          </cell>
          <cell r="BC960">
            <v>1</v>
          </cell>
          <cell r="BD960">
            <v>1</v>
          </cell>
          <cell r="BE960">
            <v>6</v>
          </cell>
          <cell r="BF960">
            <v>6</v>
          </cell>
          <cell r="BG960">
            <v>18</v>
          </cell>
          <cell r="BH960">
            <v>1</v>
          </cell>
          <cell r="BI960">
            <v>0</v>
          </cell>
          <cell r="BJ960">
            <v>0</v>
          </cell>
          <cell r="BK960">
            <v>0</v>
          </cell>
          <cell r="BL960">
            <v>1</v>
          </cell>
          <cell r="BM960">
            <v>0</v>
          </cell>
          <cell r="BN960">
            <v>0</v>
          </cell>
          <cell r="BO960">
            <v>0</v>
          </cell>
          <cell r="BP960">
            <v>0</v>
          </cell>
          <cell r="BQ960">
            <v>6</v>
          </cell>
          <cell r="BR960">
            <v>0</v>
          </cell>
          <cell r="BS960">
            <v>0</v>
          </cell>
          <cell r="BT960">
            <v>10</v>
          </cell>
          <cell r="BU960">
            <v>0</v>
          </cell>
        </row>
        <row r="961">
          <cell r="A961">
            <v>40</v>
          </cell>
          <cell r="B961">
            <v>40</v>
          </cell>
          <cell r="D961">
            <v>0</v>
          </cell>
          <cell r="F961">
            <v>0</v>
          </cell>
          <cell r="G961">
            <v>1</v>
          </cell>
          <cell r="I961">
            <v>1</v>
          </cell>
          <cell r="J961">
            <v>0</v>
          </cell>
          <cell r="K961">
            <v>2</v>
          </cell>
          <cell r="L961">
            <v>2</v>
          </cell>
          <cell r="M961">
            <v>3</v>
          </cell>
          <cell r="O961">
            <v>1</v>
          </cell>
          <cell r="P961">
            <v>0</v>
          </cell>
          <cell r="Q961">
            <v>0</v>
          </cell>
          <cell r="R961">
            <v>0</v>
          </cell>
          <cell r="S961">
            <v>0</v>
          </cell>
          <cell r="T961">
            <v>3</v>
          </cell>
          <cell r="V961">
            <v>0</v>
          </cell>
          <cell r="W961">
            <v>98</v>
          </cell>
          <cell r="X961">
            <v>3</v>
          </cell>
          <cell r="Y961">
            <v>2</v>
          </cell>
          <cell r="AA961">
            <v>0</v>
          </cell>
          <cell r="AB961">
            <v>0</v>
          </cell>
          <cell r="AC961">
            <v>0</v>
          </cell>
          <cell r="AD961">
            <v>0</v>
          </cell>
          <cell r="AE961">
            <v>0</v>
          </cell>
          <cell r="AF961">
            <v>0</v>
          </cell>
          <cell r="AG961">
            <v>0</v>
          </cell>
          <cell r="AH961">
            <v>1</v>
          </cell>
          <cell r="AI961">
            <v>4</v>
          </cell>
          <cell r="AK961">
            <v>1</v>
          </cell>
          <cell r="AL961">
            <v>0</v>
          </cell>
          <cell r="AN961">
            <v>4661</v>
          </cell>
          <cell r="AO961">
            <v>1</v>
          </cell>
          <cell r="AQ961">
            <v>0</v>
          </cell>
          <cell r="AR961">
            <v>13</v>
          </cell>
          <cell r="AS961">
            <v>3</v>
          </cell>
          <cell r="AT961">
            <v>3</v>
          </cell>
          <cell r="AU961">
            <v>0</v>
          </cell>
          <cell r="AV961">
            <v>9</v>
          </cell>
          <cell r="AW961">
            <v>9</v>
          </cell>
          <cell r="AX961">
            <v>4</v>
          </cell>
          <cell r="AY961">
            <v>3</v>
          </cell>
          <cell r="AZ961">
            <v>9</v>
          </cell>
          <cell r="BA961">
            <v>9</v>
          </cell>
          <cell r="BB961">
            <v>8</v>
          </cell>
          <cell r="BC961">
            <v>8</v>
          </cell>
          <cell r="BD961">
            <v>8</v>
          </cell>
          <cell r="BE961">
            <v>8</v>
          </cell>
          <cell r="BF961">
            <v>8</v>
          </cell>
          <cell r="BG961">
            <v>16</v>
          </cell>
          <cell r="BH961">
            <v>1</v>
          </cell>
          <cell r="BI961">
            <v>0</v>
          </cell>
          <cell r="BJ961">
            <v>0</v>
          </cell>
          <cell r="BK961">
            <v>0</v>
          </cell>
          <cell r="BL961">
            <v>1</v>
          </cell>
          <cell r="BM961">
            <v>0</v>
          </cell>
          <cell r="BN961">
            <v>0</v>
          </cell>
          <cell r="BO961">
            <v>0</v>
          </cell>
          <cell r="BP961">
            <v>0</v>
          </cell>
          <cell r="BQ961">
            <v>8</v>
          </cell>
          <cell r="BR961">
            <v>0</v>
          </cell>
          <cell r="BS961">
            <v>0</v>
          </cell>
          <cell r="BT961">
            <v>9</v>
          </cell>
          <cell r="BU961">
            <v>0</v>
          </cell>
        </row>
        <row r="962">
          <cell r="A962">
            <v>41</v>
          </cell>
          <cell r="B962">
            <v>41</v>
          </cell>
          <cell r="D962">
            <v>0</v>
          </cell>
          <cell r="F962">
            <v>1</v>
          </cell>
          <cell r="G962">
            <v>0</v>
          </cell>
          <cell r="I962">
            <v>0</v>
          </cell>
          <cell r="J962">
            <v>1</v>
          </cell>
          <cell r="K962">
            <v>1</v>
          </cell>
          <cell r="L962">
            <v>1</v>
          </cell>
          <cell r="M962">
            <v>3</v>
          </cell>
          <cell r="O962">
            <v>0</v>
          </cell>
          <cell r="P962">
            <v>0</v>
          </cell>
          <cell r="Q962">
            <v>0</v>
          </cell>
          <cell r="R962">
            <v>1</v>
          </cell>
          <cell r="S962">
            <v>0</v>
          </cell>
          <cell r="T962">
            <v>3</v>
          </cell>
          <cell r="V962">
            <v>1</v>
          </cell>
          <cell r="W962">
            <v>66</v>
          </cell>
          <cell r="X962">
            <v>3</v>
          </cell>
          <cell r="Y962">
            <v>2</v>
          </cell>
          <cell r="AA962">
            <v>0</v>
          </cell>
          <cell r="AB962">
            <v>1</v>
          </cell>
          <cell r="AC962">
            <v>0</v>
          </cell>
          <cell r="AD962">
            <v>0</v>
          </cell>
          <cell r="AE962">
            <v>0</v>
          </cell>
          <cell r="AF962">
            <v>0</v>
          </cell>
          <cell r="AG962">
            <v>0</v>
          </cell>
          <cell r="AH962">
            <v>0</v>
          </cell>
          <cell r="AI962">
            <v>1</v>
          </cell>
          <cell r="AK962">
            <v>0</v>
          </cell>
          <cell r="AL962">
            <v>0</v>
          </cell>
          <cell r="AN962">
            <v>4103</v>
          </cell>
          <cell r="AO962">
            <v>0</v>
          </cell>
          <cell r="AQ962">
            <v>0</v>
          </cell>
          <cell r="AR962">
            <v>17</v>
          </cell>
          <cell r="AS962">
            <v>3</v>
          </cell>
          <cell r="AT962">
            <v>4</v>
          </cell>
          <cell r="AU962">
            <v>1</v>
          </cell>
          <cell r="AV962">
            <v>10</v>
          </cell>
          <cell r="AW962">
            <v>10</v>
          </cell>
          <cell r="AX962">
            <v>2</v>
          </cell>
          <cell r="AY962">
            <v>3</v>
          </cell>
          <cell r="AZ962">
            <v>9</v>
          </cell>
          <cell r="BA962">
            <v>9</v>
          </cell>
          <cell r="BB962">
            <v>3</v>
          </cell>
          <cell r="BC962">
            <v>1</v>
          </cell>
          <cell r="BD962">
            <v>1</v>
          </cell>
          <cell r="BE962">
            <v>7</v>
          </cell>
          <cell r="BF962">
            <v>7</v>
          </cell>
          <cell r="BG962">
            <v>14</v>
          </cell>
          <cell r="BH962">
            <v>0</v>
          </cell>
          <cell r="BI962">
            <v>0</v>
          </cell>
          <cell r="BJ962">
            <v>1</v>
          </cell>
          <cell r="BK962">
            <v>0</v>
          </cell>
          <cell r="BL962">
            <v>1</v>
          </cell>
          <cell r="BM962">
            <v>0</v>
          </cell>
          <cell r="BN962">
            <v>0</v>
          </cell>
          <cell r="BO962">
            <v>0</v>
          </cell>
          <cell r="BP962">
            <v>0</v>
          </cell>
          <cell r="BQ962">
            <v>0</v>
          </cell>
          <cell r="BR962">
            <v>7</v>
          </cell>
          <cell r="BS962">
            <v>0</v>
          </cell>
          <cell r="BT962">
            <v>0</v>
          </cell>
          <cell r="BU962">
            <v>10</v>
          </cell>
        </row>
        <row r="963">
          <cell r="A963">
            <v>35</v>
          </cell>
          <cell r="B963">
            <v>35</v>
          </cell>
          <cell r="D963">
            <v>0</v>
          </cell>
          <cell r="F963">
            <v>1</v>
          </cell>
          <cell r="G963">
            <v>0</v>
          </cell>
          <cell r="I963">
            <v>1</v>
          </cell>
          <cell r="J963">
            <v>0</v>
          </cell>
          <cell r="K963">
            <v>4</v>
          </cell>
          <cell r="L963">
            <v>4</v>
          </cell>
          <cell r="M963">
            <v>4</v>
          </cell>
          <cell r="O963">
            <v>1</v>
          </cell>
          <cell r="P963">
            <v>0</v>
          </cell>
          <cell r="Q963">
            <v>0</v>
          </cell>
          <cell r="R963">
            <v>0</v>
          </cell>
          <cell r="S963">
            <v>0</v>
          </cell>
          <cell r="T963">
            <v>3</v>
          </cell>
          <cell r="V963">
            <v>0</v>
          </cell>
          <cell r="W963">
            <v>87</v>
          </cell>
          <cell r="X963">
            <v>3</v>
          </cell>
          <cell r="Y963">
            <v>2</v>
          </cell>
          <cell r="AA963">
            <v>0</v>
          </cell>
          <cell r="AB963">
            <v>0</v>
          </cell>
          <cell r="AC963">
            <v>0</v>
          </cell>
          <cell r="AD963">
            <v>0</v>
          </cell>
          <cell r="AE963">
            <v>0</v>
          </cell>
          <cell r="AF963">
            <v>0</v>
          </cell>
          <cell r="AG963">
            <v>0</v>
          </cell>
          <cell r="AH963">
            <v>1</v>
          </cell>
          <cell r="AI963">
            <v>3</v>
          </cell>
          <cell r="AK963">
            <v>1</v>
          </cell>
          <cell r="AL963">
            <v>0</v>
          </cell>
          <cell r="AN963">
            <v>4249</v>
          </cell>
          <cell r="AO963">
            <v>1</v>
          </cell>
          <cell r="AQ963">
            <v>1</v>
          </cell>
          <cell r="AR963">
            <v>11</v>
          </cell>
          <cell r="AS963">
            <v>3</v>
          </cell>
          <cell r="AT963">
            <v>2</v>
          </cell>
          <cell r="AU963">
            <v>0</v>
          </cell>
          <cell r="AV963">
            <v>9</v>
          </cell>
          <cell r="AW963">
            <v>9</v>
          </cell>
          <cell r="AX963">
            <v>3</v>
          </cell>
          <cell r="AY963">
            <v>3</v>
          </cell>
          <cell r="AZ963">
            <v>9</v>
          </cell>
          <cell r="BA963">
            <v>9</v>
          </cell>
          <cell r="BB963">
            <v>6</v>
          </cell>
          <cell r="BC963">
            <v>1</v>
          </cell>
          <cell r="BD963">
            <v>1</v>
          </cell>
          <cell r="BE963">
            <v>1</v>
          </cell>
          <cell r="BF963">
            <v>1</v>
          </cell>
          <cell r="BG963">
            <v>2</v>
          </cell>
          <cell r="BH963">
            <v>0</v>
          </cell>
          <cell r="BI963">
            <v>0</v>
          </cell>
          <cell r="BJ963">
            <v>1</v>
          </cell>
          <cell r="BK963">
            <v>0</v>
          </cell>
          <cell r="BL963">
            <v>0</v>
          </cell>
          <cell r="BM963">
            <v>1</v>
          </cell>
          <cell r="BN963">
            <v>0</v>
          </cell>
          <cell r="BO963">
            <v>0</v>
          </cell>
          <cell r="BP963">
            <v>0</v>
          </cell>
          <cell r="BQ963">
            <v>1</v>
          </cell>
          <cell r="BR963">
            <v>0</v>
          </cell>
          <cell r="BS963">
            <v>0</v>
          </cell>
          <cell r="BT963">
            <v>9</v>
          </cell>
          <cell r="BU963">
            <v>0</v>
          </cell>
        </row>
        <row r="964">
          <cell r="A964">
            <v>51</v>
          </cell>
          <cell r="B964">
            <v>51</v>
          </cell>
          <cell r="D964">
            <v>0</v>
          </cell>
          <cell r="F964">
            <v>0</v>
          </cell>
          <cell r="G964">
            <v>1</v>
          </cell>
          <cell r="I964">
            <v>0</v>
          </cell>
          <cell r="J964">
            <v>0</v>
          </cell>
          <cell r="K964">
            <v>5</v>
          </cell>
          <cell r="L964">
            <v>5</v>
          </cell>
          <cell r="M964">
            <v>3</v>
          </cell>
          <cell r="O964">
            <v>1</v>
          </cell>
          <cell r="P964">
            <v>0</v>
          </cell>
          <cell r="Q964">
            <v>0</v>
          </cell>
          <cell r="R964">
            <v>0</v>
          </cell>
          <cell r="S964">
            <v>0</v>
          </cell>
          <cell r="T964">
            <v>3</v>
          </cell>
          <cell r="V964">
            <v>0</v>
          </cell>
          <cell r="W964">
            <v>84</v>
          </cell>
          <cell r="X964">
            <v>3</v>
          </cell>
          <cell r="Y964">
            <v>4</v>
          </cell>
          <cell r="AA964">
            <v>0</v>
          </cell>
          <cell r="AB964">
            <v>0</v>
          </cell>
          <cell r="AC964">
            <v>0</v>
          </cell>
          <cell r="AD964">
            <v>1</v>
          </cell>
          <cell r="AE964">
            <v>0</v>
          </cell>
          <cell r="AF964">
            <v>0</v>
          </cell>
          <cell r="AG964">
            <v>0</v>
          </cell>
          <cell r="AH964">
            <v>0</v>
          </cell>
          <cell r="AI964">
            <v>2</v>
          </cell>
          <cell r="AK964">
            <v>0</v>
          </cell>
          <cell r="AL964">
            <v>0</v>
          </cell>
          <cell r="AN964">
            <v>14026</v>
          </cell>
          <cell r="AO964">
            <v>1</v>
          </cell>
          <cell r="AQ964">
            <v>1</v>
          </cell>
          <cell r="AR964">
            <v>11</v>
          </cell>
          <cell r="AS964">
            <v>3</v>
          </cell>
          <cell r="AT964">
            <v>2</v>
          </cell>
          <cell r="AU964">
            <v>1</v>
          </cell>
          <cell r="AV964">
            <v>33</v>
          </cell>
          <cell r="AW964">
            <v>33</v>
          </cell>
          <cell r="AX964">
            <v>2</v>
          </cell>
          <cell r="AY964">
            <v>3</v>
          </cell>
          <cell r="AZ964">
            <v>33</v>
          </cell>
          <cell r="BA964">
            <v>31</v>
          </cell>
          <cell r="BB964">
            <v>9</v>
          </cell>
          <cell r="BC964">
            <v>0</v>
          </cell>
          <cell r="BD964">
            <v>0</v>
          </cell>
          <cell r="BE964">
            <v>10</v>
          </cell>
          <cell r="BF964">
            <v>10</v>
          </cell>
          <cell r="BG964">
            <v>40</v>
          </cell>
          <cell r="BH964">
            <v>1</v>
          </cell>
          <cell r="BI964">
            <v>0</v>
          </cell>
          <cell r="BJ964">
            <v>0</v>
          </cell>
          <cell r="BK964">
            <v>0</v>
          </cell>
          <cell r="BL964">
            <v>0</v>
          </cell>
          <cell r="BM964">
            <v>1</v>
          </cell>
          <cell r="BN964">
            <v>0</v>
          </cell>
          <cell r="BO964">
            <v>0</v>
          </cell>
          <cell r="BP964">
            <v>10</v>
          </cell>
          <cell r="BQ964">
            <v>0</v>
          </cell>
          <cell r="BR964">
            <v>0</v>
          </cell>
          <cell r="BS964">
            <v>33</v>
          </cell>
          <cell r="BT964">
            <v>0</v>
          </cell>
          <cell r="BU964">
            <v>0</v>
          </cell>
        </row>
        <row r="965">
          <cell r="A965">
            <v>38</v>
          </cell>
          <cell r="B965">
            <v>38</v>
          </cell>
          <cell r="D965">
            <v>0</v>
          </cell>
          <cell r="F965">
            <v>0</v>
          </cell>
          <cell r="G965">
            <v>1</v>
          </cell>
          <cell r="I965">
            <v>0</v>
          </cell>
          <cell r="J965">
            <v>1</v>
          </cell>
          <cell r="K965">
            <v>2</v>
          </cell>
          <cell r="L965">
            <v>2</v>
          </cell>
          <cell r="M965">
            <v>2</v>
          </cell>
          <cell r="O965">
            <v>1</v>
          </cell>
          <cell r="P965">
            <v>0</v>
          </cell>
          <cell r="Q965">
            <v>0</v>
          </cell>
          <cell r="R965">
            <v>0</v>
          </cell>
          <cell r="S965">
            <v>0</v>
          </cell>
          <cell r="T965">
            <v>2</v>
          </cell>
          <cell r="V965">
            <v>1</v>
          </cell>
          <cell r="W965">
            <v>31</v>
          </cell>
          <cell r="X965">
            <v>3</v>
          </cell>
          <cell r="Y965">
            <v>2</v>
          </cell>
          <cell r="AA965">
            <v>0</v>
          </cell>
          <cell r="AB965">
            <v>1</v>
          </cell>
          <cell r="AC965">
            <v>0</v>
          </cell>
          <cell r="AD965">
            <v>0</v>
          </cell>
          <cell r="AE965">
            <v>0</v>
          </cell>
          <cell r="AF965">
            <v>0</v>
          </cell>
          <cell r="AG965">
            <v>0</v>
          </cell>
          <cell r="AH965">
            <v>0</v>
          </cell>
          <cell r="AI965">
            <v>1</v>
          </cell>
          <cell r="AK965">
            <v>0</v>
          </cell>
          <cell r="AL965">
            <v>0</v>
          </cell>
          <cell r="AN965">
            <v>6893</v>
          </cell>
          <cell r="AO965">
            <v>3</v>
          </cell>
          <cell r="AQ965">
            <v>0</v>
          </cell>
          <cell r="AR965">
            <v>15</v>
          </cell>
          <cell r="AS965">
            <v>3</v>
          </cell>
          <cell r="AT965">
            <v>4</v>
          </cell>
          <cell r="AU965">
            <v>1</v>
          </cell>
          <cell r="AV965">
            <v>11</v>
          </cell>
          <cell r="AW965">
            <v>11</v>
          </cell>
          <cell r="AX965">
            <v>3</v>
          </cell>
          <cell r="AY965">
            <v>3</v>
          </cell>
          <cell r="AZ965">
            <v>7</v>
          </cell>
          <cell r="BA965">
            <v>7</v>
          </cell>
          <cell r="BB965">
            <v>7</v>
          </cell>
          <cell r="BC965">
            <v>1</v>
          </cell>
          <cell r="BD965">
            <v>1</v>
          </cell>
          <cell r="BE965">
            <v>7</v>
          </cell>
          <cell r="BF965">
            <v>7</v>
          </cell>
          <cell r="BG965">
            <v>14</v>
          </cell>
          <cell r="BH965">
            <v>1</v>
          </cell>
          <cell r="BI965">
            <v>0</v>
          </cell>
          <cell r="BJ965">
            <v>0</v>
          </cell>
          <cell r="BK965">
            <v>0</v>
          </cell>
          <cell r="BL965">
            <v>1</v>
          </cell>
          <cell r="BM965">
            <v>0</v>
          </cell>
          <cell r="BN965">
            <v>0</v>
          </cell>
          <cell r="BO965">
            <v>0</v>
          </cell>
          <cell r="BP965">
            <v>0</v>
          </cell>
          <cell r="BQ965">
            <v>0</v>
          </cell>
          <cell r="BR965">
            <v>7</v>
          </cell>
          <cell r="BS965">
            <v>0</v>
          </cell>
          <cell r="BT965">
            <v>0</v>
          </cell>
          <cell r="BU965">
            <v>11</v>
          </cell>
        </row>
        <row r="966">
          <cell r="A966">
            <v>34</v>
          </cell>
          <cell r="B966">
            <v>34</v>
          </cell>
          <cell r="D966">
            <v>0</v>
          </cell>
          <cell r="F966">
            <v>0</v>
          </cell>
          <cell r="G966">
            <v>1</v>
          </cell>
          <cell r="I966">
            <v>0</v>
          </cell>
          <cell r="J966">
            <v>1</v>
          </cell>
          <cell r="K966">
            <v>15</v>
          </cell>
          <cell r="L966">
            <v>15</v>
          </cell>
          <cell r="M966">
            <v>2</v>
          </cell>
          <cell r="O966">
            <v>0</v>
          </cell>
          <cell r="P966">
            <v>0</v>
          </cell>
          <cell r="Q966">
            <v>1</v>
          </cell>
          <cell r="R966">
            <v>0</v>
          </cell>
          <cell r="S966">
            <v>0</v>
          </cell>
          <cell r="T966">
            <v>3</v>
          </cell>
          <cell r="V966">
            <v>1</v>
          </cell>
          <cell r="W966">
            <v>66</v>
          </cell>
          <cell r="X966">
            <v>3</v>
          </cell>
          <cell r="Y966">
            <v>2</v>
          </cell>
          <cell r="AA966">
            <v>0</v>
          </cell>
          <cell r="AB966">
            <v>1</v>
          </cell>
          <cell r="AC966">
            <v>0</v>
          </cell>
          <cell r="AD966">
            <v>0</v>
          </cell>
          <cell r="AE966">
            <v>0</v>
          </cell>
          <cell r="AF966">
            <v>0</v>
          </cell>
          <cell r="AG966">
            <v>0</v>
          </cell>
          <cell r="AH966">
            <v>0</v>
          </cell>
          <cell r="AI966">
            <v>1</v>
          </cell>
          <cell r="AK966">
            <v>1</v>
          </cell>
          <cell r="AL966">
            <v>0</v>
          </cell>
          <cell r="AN966">
            <v>6125</v>
          </cell>
          <cell r="AO966">
            <v>1</v>
          </cell>
          <cell r="AQ966">
            <v>0</v>
          </cell>
          <cell r="AR966">
            <v>12</v>
          </cell>
          <cell r="AS966">
            <v>3</v>
          </cell>
          <cell r="AT966">
            <v>4</v>
          </cell>
          <cell r="AU966">
            <v>0</v>
          </cell>
          <cell r="AV966">
            <v>10</v>
          </cell>
          <cell r="AW966">
            <v>10</v>
          </cell>
          <cell r="AX966">
            <v>6</v>
          </cell>
          <cell r="AY966">
            <v>4</v>
          </cell>
          <cell r="AZ966">
            <v>10</v>
          </cell>
          <cell r="BA966">
            <v>10</v>
          </cell>
          <cell r="BB966">
            <v>8</v>
          </cell>
          <cell r="BC966">
            <v>9</v>
          </cell>
          <cell r="BD966">
            <v>9</v>
          </cell>
          <cell r="BE966">
            <v>6</v>
          </cell>
          <cell r="BF966">
            <v>6</v>
          </cell>
          <cell r="BG966">
            <v>12</v>
          </cell>
          <cell r="BH966">
            <v>1</v>
          </cell>
          <cell r="BI966">
            <v>0</v>
          </cell>
          <cell r="BJ966">
            <v>0</v>
          </cell>
          <cell r="BK966">
            <v>0</v>
          </cell>
          <cell r="BL966">
            <v>1</v>
          </cell>
          <cell r="BM966">
            <v>0</v>
          </cell>
          <cell r="BN966">
            <v>0</v>
          </cell>
          <cell r="BO966">
            <v>0</v>
          </cell>
          <cell r="BP966">
            <v>0</v>
          </cell>
          <cell r="BQ966">
            <v>0</v>
          </cell>
          <cell r="BR966">
            <v>6</v>
          </cell>
          <cell r="BS966">
            <v>0</v>
          </cell>
          <cell r="BT966">
            <v>0</v>
          </cell>
          <cell r="BU966">
            <v>10</v>
          </cell>
        </row>
        <row r="967">
          <cell r="A967">
            <v>25</v>
          </cell>
          <cell r="B967">
            <v>25</v>
          </cell>
          <cell r="D967">
            <v>0</v>
          </cell>
          <cell r="F967">
            <v>0</v>
          </cell>
          <cell r="G967">
            <v>1</v>
          </cell>
          <cell r="I967">
            <v>1</v>
          </cell>
          <cell r="J967">
            <v>0</v>
          </cell>
          <cell r="K967">
            <v>19</v>
          </cell>
          <cell r="L967">
            <v>19</v>
          </cell>
          <cell r="M967">
            <v>1</v>
          </cell>
          <cell r="O967">
            <v>0</v>
          </cell>
          <cell r="P967">
            <v>0</v>
          </cell>
          <cell r="Q967">
            <v>1</v>
          </cell>
          <cell r="R967">
            <v>0</v>
          </cell>
          <cell r="S967">
            <v>0</v>
          </cell>
          <cell r="T967">
            <v>4</v>
          </cell>
          <cell r="V967">
            <v>0</v>
          </cell>
          <cell r="W967">
            <v>67</v>
          </cell>
          <cell r="X967">
            <v>3</v>
          </cell>
          <cell r="Y967">
            <v>1</v>
          </cell>
          <cell r="AA967">
            <v>0</v>
          </cell>
          <cell r="AB967">
            <v>0</v>
          </cell>
          <cell r="AC967">
            <v>1</v>
          </cell>
          <cell r="AD967">
            <v>0</v>
          </cell>
          <cell r="AE967">
            <v>0</v>
          </cell>
          <cell r="AF967">
            <v>0</v>
          </cell>
          <cell r="AG967">
            <v>0</v>
          </cell>
          <cell r="AH967">
            <v>0</v>
          </cell>
          <cell r="AI967">
            <v>4</v>
          </cell>
          <cell r="AK967">
            <v>0</v>
          </cell>
          <cell r="AL967">
            <v>1</v>
          </cell>
          <cell r="AN967">
            <v>3669</v>
          </cell>
          <cell r="AO967">
            <v>3</v>
          </cell>
          <cell r="AQ967">
            <v>0</v>
          </cell>
          <cell r="AR967">
            <v>11</v>
          </cell>
          <cell r="AS967">
            <v>3</v>
          </cell>
          <cell r="AT967">
            <v>3</v>
          </cell>
          <cell r="AU967">
            <v>3</v>
          </cell>
          <cell r="AV967">
            <v>7</v>
          </cell>
          <cell r="AW967">
            <v>7</v>
          </cell>
          <cell r="AX967">
            <v>6</v>
          </cell>
          <cell r="AY967">
            <v>2</v>
          </cell>
          <cell r="AZ967">
            <v>3</v>
          </cell>
          <cell r="BA967">
            <v>3</v>
          </cell>
          <cell r="BB967">
            <v>2</v>
          </cell>
          <cell r="BC967">
            <v>1</v>
          </cell>
          <cell r="BD967">
            <v>1</v>
          </cell>
          <cell r="BE967">
            <v>2</v>
          </cell>
          <cell r="BF967">
            <v>2</v>
          </cell>
          <cell r="BG967">
            <v>2</v>
          </cell>
          <cell r="BH967">
            <v>0</v>
          </cell>
          <cell r="BI967">
            <v>1</v>
          </cell>
          <cell r="BJ967">
            <v>0</v>
          </cell>
          <cell r="BK967">
            <v>0</v>
          </cell>
          <cell r="BL967">
            <v>0</v>
          </cell>
          <cell r="BM967">
            <v>0</v>
          </cell>
          <cell r="BN967">
            <v>1</v>
          </cell>
          <cell r="BO967">
            <v>0</v>
          </cell>
          <cell r="BP967">
            <v>0</v>
          </cell>
          <cell r="BQ967">
            <v>2</v>
          </cell>
          <cell r="BR967">
            <v>0</v>
          </cell>
          <cell r="BS967">
            <v>0</v>
          </cell>
          <cell r="BT967">
            <v>7</v>
          </cell>
          <cell r="BU967">
            <v>0</v>
          </cell>
        </row>
        <row r="968">
          <cell r="A968">
            <v>58</v>
          </cell>
          <cell r="B968">
            <v>58</v>
          </cell>
          <cell r="D968">
            <v>1</v>
          </cell>
          <cell r="F968">
            <v>0</v>
          </cell>
          <cell r="G968">
            <v>1</v>
          </cell>
          <cell r="I968">
            <v>1</v>
          </cell>
          <cell r="J968">
            <v>0</v>
          </cell>
          <cell r="K968">
            <v>7</v>
          </cell>
          <cell r="L968">
            <v>7</v>
          </cell>
          <cell r="M968">
            <v>4</v>
          </cell>
          <cell r="O968">
            <v>0</v>
          </cell>
          <cell r="P968">
            <v>0</v>
          </cell>
          <cell r="Q968">
            <v>1</v>
          </cell>
          <cell r="R968">
            <v>0</v>
          </cell>
          <cell r="S968">
            <v>0</v>
          </cell>
          <cell r="T968">
            <v>3</v>
          </cell>
          <cell r="V968">
            <v>1</v>
          </cell>
          <cell r="W968">
            <v>53</v>
          </cell>
          <cell r="X968">
            <v>2</v>
          </cell>
          <cell r="Y968">
            <v>3</v>
          </cell>
          <cell r="AA968">
            <v>0</v>
          </cell>
          <cell r="AB968">
            <v>0</v>
          </cell>
          <cell r="AC968">
            <v>0</v>
          </cell>
          <cell r="AD968">
            <v>0</v>
          </cell>
          <cell r="AE968">
            <v>1</v>
          </cell>
          <cell r="AF968">
            <v>1</v>
          </cell>
          <cell r="AG968">
            <v>0</v>
          </cell>
          <cell r="AH968">
            <v>0</v>
          </cell>
          <cell r="AI968">
            <v>1</v>
          </cell>
          <cell r="AK968">
            <v>0</v>
          </cell>
          <cell r="AL968">
            <v>1</v>
          </cell>
          <cell r="AN968">
            <v>10008</v>
          </cell>
          <cell r="AO968">
            <v>7</v>
          </cell>
          <cell r="AQ968">
            <v>1</v>
          </cell>
          <cell r="AR968">
            <v>14</v>
          </cell>
          <cell r="AS968">
            <v>3</v>
          </cell>
          <cell r="AT968">
            <v>4</v>
          </cell>
          <cell r="AU968">
            <v>0</v>
          </cell>
          <cell r="AV968">
            <v>31</v>
          </cell>
          <cell r="AW968">
            <v>31</v>
          </cell>
          <cell r="AX968">
            <v>0</v>
          </cell>
          <cell r="AY968">
            <v>2</v>
          </cell>
          <cell r="AZ968">
            <v>10</v>
          </cell>
          <cell r="BA968">
            <v>10</v>
          </cell>
          <cell r="BB968">
            <v>9</v>
          </cell>
          <cell r="BC968">
            <v>5</v>
          </cell>
          <cell r="BD968">
            <v>5</v>
          </cell>
          <cell r="BE968">
            <v>9</v>
          </cell>
          <cell r="BF968">
            <v>9</v>
          </cell>
          <cell r="BG968">
            <v>27</v>
          </cell>
          <cell r="BH968">
            <v>0</v>
          </cell>
          <cell r="BI968">
            <v>1</v>
          </cell>
          <cell r="BJ968">
            <v>0</v>
          </cell>
          <cell r="BK968">
            <v>0</v>
          </cell>
          <cell r="BL968">
            <v>0</v>
          </cell>
          <cell r="BM968">
            <v>0</v>
          </cell>
          <cell r="BN968">
            <v>0</v>
          </cell>
          <cell r="BO968">
            <v>1</v>
          </cell>
          <cell r="BP968">
            <v>0</v>
          </cell>
          <cell r="BQ968">
            <v>9</v>
          </cell>
          <cell r="BR968">
            <v>0</v>
          </cell>
          <cell r="BS968">
            <v>0</v>
          </cell>
          <cell r="BT968">
            <v>31</v>
          </cell>
          <cell r="BU968">
            <v>0</v>
          </cell>
        </row>
        <row r="969">
          <cell r="A969">
            <v>40</v>
          </cell>
          <cell r="B969">
            <v>40</v>
          </cell>
          <cell r="D969">
            <v>0</v>
          </cell>
          <cell r="F969">
            <v>0</v>
          </cell>
          <cell r="G969">
            <v>1</v>
          </cell>
          <cell r="I969">
            <v>1</v>
          </cell>
          <cell r="J969">
            <v>0</v>
          </cell>
          <cell r="K969">
            <v>1</v>
          </cell>
          <cell r="L969">
            <v>1</v>
          </cell>
          <cell r="M969">
            <v>4</v>
          </cell>
          <cell r="O969">
            <v>1</v>
          </cell>
          <cell r="P969">
            <v>0</v>
          </cell>
          <cell r="Q969">
            <v>0</v>
          </cell>
          <cell r="R969">
            <v>0</v>
          </cell>
          <cell r="S969">
            <v>0</v>
          </cell>
          <cell r="T969">
            <v>2</v>
          </cell>
          <cell r="V969">
            <v>0</v>
          </cell>
          <cell r="W969">
            <v>88</v>
          </cell>
          <cell r="X969">
            <v>3</v>
          </cell>
          <cell r="Y969">
            <v>1</v>
          </cell>
          <cell r="AA969">
            <v>0</v>
          </cell>
          <cell r="AB969">
            <v>0</v>
          </cell>
          <cell r="AC969">
            <v>1</v>
          </cell>
          <cell r="AD969">
            <v>0</v>
          </cell>
          <cell r="AE969">
            <v>0</v>
          </cell>
          <cell r="AF969">
            <v>0</v>
          </cell>
          <cell r="AG969">
            <v>0</v>
          </cell>
          <cell r="AH969">
            <v>0</v>
          </cell>
          <cell r="AI969">
            <v>2</v>
          </cell>
          <cell r="AK969">
            <v>0</v>
          </cell>
          <cell r="AL969">
            <v>1</v>
          </cell>
          <cell r="AN969">
            <v>2387</v>
          </cell>
          <cell r="AO969">
            <v>3</v>
          </cell>
          <cell r="AQ969">
            <v>0</v>
          </cell>
          <cell r="AR969">
            <v>22</v>
          </cell>
          <cell r="AS969">
            <v>4</v>
          </cell>
          <cell r="AT969">
            <v>3</v>
          </cell>
          <cell r="AU969">
            <v>1</v>
          </cell>
          <cell r="AV969">
            <v>7</v>
          </cell>
          <cell r="AW969">
            <v>7</v>
          </cell>
          <cell r="AX969">
            <v>3</v>
          </cell>
          <cell r="AY969">
            <v>3</v>
          </cell>
          <cell r="AZ969">
            <v>4</v>
          </cell>
          <cell r="BA969">
            <v>4</v>
          </cell>
          <cell r="BB969">
            <v>2</v>
          </cell>
          <cell r="BC969">
            <v>0</v>
          </cell>
          <cell r="BD969">
            <v>0</v>
          </cell>
          <cell r="BE969">
            <v>3</v>
          </cell>
          <cell r="BF969">
            <v>3</v>
          </cell>
          <cell r="BG969">
            <v>3</v>
          </cell>
          <cell r="BH969">
            <v>0</v>
          </cell>
          <cell r="BI969">
            <v>1</v>
          </cell>
          <cell r="BJ969">
            <v>0</v>
          </cell>
          <cell r="BK969">
            <v>0</v>
          </cell>
          <cell r="BL969">
            <v>0</v>
          </cell>
          <cell r="BM969">
            <v>0</v>
          </cell>
          <cell r="BN969">
            <v>1</v>
          </cell>
          <cell r="BO969">
            <v>0</v>
          </cell>
          <cell r="BP969">
            <v>0</v>
          </cell>
          <cell r="BQ969">
            <v>3</v>
          </cell>
          <cell r="BR969">
            <v>0</v>
          </cell>
          <cell r="BS969">
            <v>0</v>
          </cell>
          <cell r="BT969">
            <v>7</v>
          </cell>
          <cell r="BU969">
            <v>0</v>
          </cell>
        </row>
        <row r="970">
          <cell r="A970">
            <v>36</v>
          </cell>
          <cell r="B970">
            <v>36</v>
          </cell>
          <cell r="D970">
            <v>0</v>
          </cell>
          <cell r="F970">
            <v>1</v>
          </cell>
          <cell r="G970">
            <v>0</v>
          </cell>
          <cell r="I970">
            <v>0</v>
          </cell>
          <cell r="J970">
            <v>1</v>
          </cell>
          <cell r="K970">
            <v>7</v>
          </cell>
          <cell r="L970">
            <v>7</v>
          </cell>
          <cell r="M970">
            <v>3</v>
          </cell>
          <cell r="O970">
            <v>0</v>
          </cell>
          <cell r="P970">
            <v>0</v>
          </cell>
          <cell r="Q970">
            <v>0</v>
          </cell>
          <cell r="R970">
            <v>1</v>
          </cell>
          <cell r="S970">
            <v>0</v>
          </cell>
          <cell r="T970">
            <v>1</v>
          </cell>
          <cell r="V970">
            <v>1</v>
          </cell>
          <cell r="W970">
            <v>83</v>
          </cell>
          <cell r="X970">
            <v>4</v>
          </cell>
          <cell r="Y970">
            <v>2</v>
          </cell>
          <cell r="AA970">
            <v>0</v>
          </cell>
          <cell r="AB970">
            <v>1</v>
          </cell>
          <cell r="AC970">
            <v>0</v>
          </cell>
          <cell r="AD970">
            <v>0</v>
          </cell>
          <cell r="AE970">
            <v>0</v>
          </cell>
          <cell r="AF970">
            <v>0</v>
          </cell>
          <cell r="AG970">
            <v>0</v>
          </cell>
          <cell r="AH970">
            <v>0</v>
          </cell>
          <cell r="AI970">
            <v>1</v>
          </cell>
          <cell r="AK970">
            <v>0</v>
          </cell>
          <cell r="AL970">
            <v>1</v>
          </cell>
          <cell r="AN970">
            <v>4639</v>
          </cell>
          <cell r="AO970">
            <v>2</v>
          </cell>
          <cell r="AQ970">
            <v>0</v>
          </cell>
          <cell r="AR970">
            <v>16</v>
          </cell>
          <cell r="AS970">
            <v>3</v>
          </cell>
          <cell r="AT970">
            <v>4</v>
          </cell>
          <cell r="AU970">
            <v>1</v>
          </cell>
          <cell r="AV970">
            <v>17</v>
          </cell>
          <cell r="AW970">
            <v>17</v>
          </cell>
          <cell r="AX970">
            <v>2</v>
          </cell>
          <cell r="AY970">
            <v>2</v>
          </cell>
          <cell r="AZ970">
            <v>15</v>
          </cell>
          <cell r="BA970">
            <v>15</v>
          </cell>
          <cell r="BB970">
            <v>7</v>
          </cell>
          <cell r="BC970">
            <v>6</v>
          </cell>
          <cell r="BD970">
            <v>6</v>
          </cell>
          <cell r="BE970">
            <v>13</v>
          </cell>
          <cell r="BF970">
            <v>13</v>
          </cell>
          <cell r="BG970">
            <v>26</v>
          </cell>
          <cell r="BH970">
            <v>0</v>
          </cell>
          <cell r="BI970">
            <v>0</v>
          </cell>
          <cell r="BJ970">
            <v>0</v>
          </cell>
          <cell r="BK970">
            <v>1</v>
          </cell>
          <cell r="BL970">
            <v>0</v>
          </cell>
          <cell r="BM970">
            <v>0</v>
          </cell>
          <cell r="BN970">
            <v>1</v>
          </cell>
          <cell r="BO970">
            <v>0</v>
          </cell>
          <cell r="BP970">
            <v>0</v>
          </cell>
          <cell r="BQ970">
            <v>0</v>
          </cell>
          <cell r="BR970">
            <v>13</v>
          </cell>
          <cell r="BS970">
            <v>0</v>
          </cell>
          <cell r="BT970">
            <v>0</v>
          </cell>
          <cell r="BU970">
            <v>17</v>
          </cell>
        </row>
        <row r="971">
          <cell r="A971">
            <v>48</v>
          </cell>
          <cell r="B971">
            <v>48</v>
          </cell>
          <cell r="D971">
            <v>0</v>
          </cell>
          <cell r="F971">
            <v>0</v>
          </cell>
          <cell r="G971">
            <v>1</v>
          </cell>
          <cell r="I971">
            <v>1</v>
          </cell>
          <cell r="J971">
            <v>0</v>
          </cell>
          <cell r="K971">
            <v>4</v>
          </cell>
          <cell r="L971">
            <v>4</v>
          </cell>
          <cell r="M971">
            <v>3</v>
          </cell>
          <cell r="O971">
            <v>1</v>
          </cell>
          <cell r="P971">
            <v>0</v>
          </cell>
          <cell r="Q971">
            <v>0</v>
          </cell>
          <cell r="R971">
            <v>0</v>
          </cell>
          <cell r="S971">
            <v>0</v>
          </cell>
          <cell r="T971">
            <v>4</v>
          </cell>
          <cell r="V971">
            <v>0</v>
          </cell>
          <cell r="W971">
            <v>54</v>
          </cell>
          <cell r="X971">
            <v>3</v>
          </cell>
          <cell r="Y971">
            <v>3</v>
          </cell>
          <cell r="AA971">
            <v>0</v>
          </cell>
          <cell r="AB971">
            <v>0</v>
          </cell>
          <cell r="AC971">
            <v>0</v>
          </cell>
          <cell r="AD971">
            <v>0</v>
          </cell>
          <cell r="AE971">
            <v>1</v>
          </cell>
          <cell r="AF971">
            <v>1</v>
          </cell>
          <cell r="AG971">
            <v>0</v>
          </cell>
          <cell r="AH971">
            <v>0</v>
          </cell>
          <cell r="AI971">
            <v>4</v>
          </cell>
          <cell r="AK971">
            <v>1</v>
          </cell>
          <cell r="AL971">
            <v>0</v>
          </cell>
          <cell r="AN971">
            <v>7898</v>
          </cell>
          <cell r="AO971">
            <v>1</v>
          </cell>
          <cell r="AQ971">
            <v>0</v>
          </cell>
          <cell r="AR971">
            <v>11</v>
          </cell>
          <cell r="AS971">
            <v>3</v>
          </cell>
          <cell r="AT971">
            <v>3</v>
          </cell>
          <cell r="AU971">
            <v>0</v>
          </cell>
          <cell r="AV971">
            <v>11</v>
          </cell>
          <cell r="AW971">
            <v>11</v>
          </cell>
          <cell r="AX971">
            <v>2</v>
          </cell>
          <cell r="AY971">
            <v>3</v>
          </cell>
          <cell r="AZ971">
            <v>10</v>
          </cell>
          <cell r="BA971">
            <v>10</v>
          </cell>
          <cell r="BB971">
            <v>9</v>
          </cell>
          <cell r="BC971">
            <v>0</v>
          </cell>
          <cell r="BD971">
            <v>0</v>
          </cell>
          <cell r="BE971">
            <v>8</v>
          </cell>
          <cell r="BF971">
            <v>8</v>
          </cell>
          <cell r="BG971">
            <v>24</v>
          </cell>
          <cell r="BH971">
            <v>1</v>
          </cell>
          <cell r="BI971">
            <v>0</v>
          </cell>
          <cell r="BJ971">
            <v>0</v>
          </cell>
          <cell r="BK971">
            <v>0</v>
          </cell>
          <cell r="BL971">
            <v>1</v>
          </cell>
          <cell r="BM971">
            <v>0</v>
          </cell>
          <cell r="BN971">
            <v>0</v>
          </cell>
          <cell r="BO971">
            <v>0</v>
          </cell>
          <cell r="BP971">
            <v>0</v>
          </cell>
          <cell r="BQ971">
            <v>8</v>
          </cell>
          <cell r="BR971">
            <v>0</v>
          </cell>
          <cell r="BS971">
            <v>0</v>
          </cell>
          <cell r="BT971">
            <v>11</v>
          </cell>
          <cell r="BU971">
            <v>0</v>
          </cell>
        </row>
        <row r="972">
          <cell r="A972">
            <v>27</v>
          </cell>
          <cell r="B972">
            <v>27</v>
          </cell>
          <cell r="D972">
            <v>0</v>
          </cell>
          <cell r="F972">
            <v>0</v>
          </cell>
          <cell r="G972">
            <v>1</v>
          </cell>
          <cell r="I972">
            <v>0</v>
          </cell>
          <cell r="J972">
            <v>1</v>
          </cell>
          <cell r="K972">
            <v>11</v>
          </cell>
          <cell r="L972">
            <v>11</v>
          </cell>
          <cell r="M972">
            <v>3</v>
          </cell>
          <cell r="O972">
            <v>0</v>
          </cell>
          <cell r="P972">
            <v>0</v>
          </cell>
          <cell r="Q972">
            <v>1</v>
          </cell>
          <cell r="R972">
            <v>0</v>
          </cell>
          <cell r="S972">
            <v>0</v>
          </cell>
          <cell r="T972">
            <v>3</v>
          </cell>
          <cell r="V972">
            <v>1</v>
          </cell>
          <cell r="W972">
            <v>98</v>
          </cell>
          <cell r="X972">
            <v>4</v>
          </cell>
          <cell r="Y972">
            <v>1</v>
          </cell>
          <cell r="AA972">
            <v>0</v>
          </cell>
          <cell r="AB972">
            <v>0</v>
          </cell>
          <cell r="AC972">
            <v>0</v>
          </cell>
          <cell r="AD972">
            <v>0</v>
          </cell>
          <cell r="AE972">
            <v>0</v>
          </cell>
          <cell r="AF972">
            <v>0</v>
          </cell>
          <cell r="AG972">
            <v>1</v>
          </cell>
          <cell r="AH972">
            <v>0</v>
          </cell>
          <cell r="AI972">
            <v>4</v>
          </cell>
          <cell r="AK972">
            <v>0</v>
          </cell>
          <cell r="AL972">
            <v>1</v>
          </cell>
          <cell r="AN972">
            <v>2534</v>
          </cell>
          <cell r="AO972">
            <v>8</v>
          </cell>
          <cell r="AQ972">
            <v>0</v>
          </cell>
          <cell r="AR972">
            <v>14</v>
          </cell>
          <cell r="AS972">
            <v>3</v>
          </cell>
          <cell r="AT972">
            <v>2</v>
          </cell>
          <cell r="AU972">
            <v>1</v>
          </cell>
          <cell r="AV972">
            <v>5</v>
          </cell>
          <cell r="AW972">
            <v>5</v>
          </cell>
          <cell r="AX972">
            <v>4</v>
          </cell>
          <cell r="AY972">
            <v>3</v>
          </cell>
          <cell r="AZ972">
            <v>1</v>
          </cell>
          <cell r="BA972">
            <v>1</v>
          </cell>
          <cell r="BB972">
            <v>0</v>
          </cell>
          <cell r="BC972">
            <v>0</v>
          </cell>
          <cell r="BD972">
            <v>0</v>
          </cell>
          <cell r="BE972">
            <v>0</v>
          </cell>
          <cell r="BF972">
            <v>0</v>
          </cell>
          <cell r="BG972">
            <v>0</v>
          </cell>
          <cell r="BH972">
            <v>0</v>
          </cell>
          <cell r="BI972">
            <v>1</v>
          </cell>
          <cell r="BJ972">
            <v>0</v>
          </cell>
          <cell r="BK972">
            <v>0</v>
          </cell>
          <cell r="BL972">
            <v>0</v>
          </cell>
          <cell r="BM972">
            <v>0</v>
          </cell>
          <cell r="BN972">
            <v>1</v>
          </cell>
          <cell r="BO972">
            <v>0</v>
          </cell>
          <cell r="BP972">
            <v>0</v>
          </cell>
          <cell r="BQ972">
            <v>0</v>
          </cell>
          <cell r="BR972">
            <v>0</v>
          </cell>
          <cell r="BS972">
            <v>0</v>
          </cell>
          <cell r="BT972">
            <v>0</v>
          </cell>
          <cell r="BU972">
            <v>5</v>
          </cell>
        </row>
        <row r="973">
          <cell r="A973">
            <v>51</v>
          </cell>
          <cell r="B973">
            <v>51</v>
          </cell>
          <cell r="D973">
            <v>0</v>
          </cell>
          <cell r="F973">
            <v>0</v>
          </cell>
          <cell r="G973">
            <v>1</v>
          </cell>
          <cell r="I973">
            <v>1</v>
          </cell>
          <cell r="J973">
            <v>0</v>
          </cell>
          <cell r="K973">
            <v>11</v>
          </cell>
          <cell r="L973">
            <v>11</v>
          </cell>
          <cell r="M973">
            <v>2</v>
          </cell>
          <cell r="O973">
            <v>0</v>
          </cell>
          <cell r="P973">
            <v>0</v>
          </cell>
          <cell r="Q973">
            <v>0</v>
          </cell>
          <cell r="R973">
            <v>0</v>
          </cell>
          <cell r="S973">
            <v>1</v>
          </cell>
          <cell r="T973">
            <v>4</v>
          </cell>
          <cell r="V973">
            <v>1</v>
          </cell>
          <cell r="W973">
            <v>82</v>
          </cell>
          <cell r="X973">
            <v>2</v>
          </cell>
          <cell r="Y973">
            <v>4</v>
          </cell>
          <cell r="AA973">
            <v>0</v>
          </cell>
          <cell r="AB973">
            <v>0</v>
          </cell>
          <cell r="AC973">
            <v>0</v>
          </cell>
          <cell r="AD973">
            <v>0</v>
          </cell>
          <cell r="AE973">
            <v>1</v>
          </cell>
          <cell r="AF973">
            <v>1</v>
          </cell>
          <cell r="AG973">
            <v>0</v>
          </cell>
          <cell r="AH973">
            <v>0</v>
          </cell>
          <cell r="AI973">
            <v>2</v>
          </cell>
          <cell r="AK973">
            <v>1</v>
          </cell>
          <cell r="AL973">
            <v>0</v>
          </cell>
          <cell r="AN973">
            <v>13142</v>
          </cell>
          <cell r="AO973">
            <v>3</v>
          </cell>
          <cell r="AQ973">
            <v>0</v>
          </cell>
          <cell r="AR973">
            <v>16</v>
          </cell>
          <cell r="AS973">
            <v>3</v>
          </cell>
          <cell r="AT973">
            <v>2</v>
          </cell>
          <cell r="AU973">
            <v>0</v>
          </cell>
          <cell r="AV973">
            <v>29</v>
          </cell>
          <cell r="AW973">
            <v>29</v>
          </cell>
          <cell r="AX973">
            <v>1</v>
          </cell>
          <cell r="AY973">
            <v>2</v>
          </cell>
          <cell r="AZ973">
            <v>5</v>
          </cell>
          <cell r="BA973">
            <v>5</v>
          </cell>
          <cell r="BB973">
            <v>2</v>
          </cell>
          <cell r="BC973">
            <v>0</v>
          </cell>
          <cell r="BD973">
            <v>0</v>
          </cell>
          <cell r="BE973">
            <v>3</v>
          </cell>
          <cell r="BF973">
            <v>3</v>
          </cell>
          <cell r="BG973">
            <v>12</v>
          </cell>
          <cell r="BH973">
            <v>1</v>
          </cell>
          <cell r="BI973">
            <v>0</v>
          </cell>
          <cell r="BJ973">
            <v>0</v>
          </cell>
          <cell r="BK973">
            <v>0</v>
          </cell>
          <cell r="BL973">
            <v>1</v>
          </cell>
          <cell r="BM973">
            <v>0</v>
          </cell>
          <cell r="BN973">
            <v>0</v>
          </cell>
          <cell r="BO973">
            <v>0</v>
          </cell>
          <cell r="BP973">
            <v>0</v>
          </cell>
          <cell r="BQ973">
            <v>3</v>
          </cell>
          <cell r="BR973">
            <v>0</v>
          </cell>
          <cell r="BS973">
            <v>0</v>
          </cell>
          <cell r="BT973">
            <v>29</v>
          </cell>
          <cell r="BU973">
            <v>0</v>
          </cell>
        </row>
        <row r="974">
          <cell r="A974">
            <v>18</v>
          </cell>
          <cell r="B974">
            <v>19</v>
          </cell>
          <cell r="D974">
            <v>0</v>
          </cell>
          <cell r="F974">
            <v>0</v>
          </cell>
          <cell r="G974">
            <v>0</v>
          </cell>
          <cell r="I974">
            <v>1</v>
          </cell>
          <cell r="J974">
            <v>0</v>
          </cell>
          <cell r="K974">
            <v>1</v>
          </cell>
          <cell r="L974">
            <v>1</v>
          </cell>
          <cell r="M974">
            <v>3</v>
          </cell>
          <cell r="O974">
            <v>1</v>
          </cell>
          <cell r="P974">
            <v>0</v>
          </cell>
          <cell r="Q974">
            <v>0</v>
          </cell>
          <cell r="R974">
            <v>0</v>
          </cell>
          <cell r="S974">
            <v>0</v>
          </cell>
          <cell r="T974">
            <v>4</v>
          </cell>
          <cell r="V974">
            <v>1</v>
          </cell>
          <cell r="W974">
            <v>97</v>
          </cell>
          <cell r="X974">
            <v>3</v>
          </cell>
          <cell r="Y974">
            <v>1</v>
          </cell>
          <cell r="AA974">
            <v>0</v>
          </cell>
          <cell r="AB974">
            <v>0</v>
          </cell>
          <cell r="AC974">
            <v>1</v>
          </cell>
          <cell r="AD974">
            <v>0</v>
          </cell>
          <cell r="AE974">
            <v>0</v>
          </cell>
          <cell r="AF974">
            <v>0</v>
          </cell>
          <cell r="AG974">
            <v>0</v>
          </cell>
          <cell r="AH974">
            <v>0</v>
          </cell>
          <cell r="AI974">
            <v>4</v>
          </cell>
          <cell r="AK974">
            <v>1</v>
          </cell>
          <cell r="AL974">
            <v>0</v>
          </cell>
          <cell r="AN974">
            <v>1611</v>
          </cell>
          <cell r="AO974">
            <v>1</v>
          </cell>
          <cell r="AQ974">
            <v>0</v>
          </cell>
          <cell r="AR974">
            <v>15</v>
          </cell>
          <cell r="AS974">
            <v>3</v>
          </cell>
          <cell r="AT974">
            <v>3</v>
          </cell>
          <cell r="AU974">
            <v>0</v>
          </cell>
          <cell r="AV974">
            <v>0</v>
          </cell>
          <cell r="AW974">
            <v>1</v>
          </cell>
          <cell r="AX974">
            <v>5</v>
          </cell>
          <cell r="AY974">
            <v>4</v>
          </cell>
          <cell r="AZ974">
            <v>0</v>
          </cell>
          <cell r="BA974">
            <v>0</v>
          </cell>
          <cell r="BB974">
            <v>0</v>
          </cell>
          <cell r="BC974">
            <v>0</v>
          </cell>
          <cell r="BD974">
            <v>0</v>
          </cell>
          <cell r="BE974">
            <v>0</v>
          </cell>
          <cell r="BF974">
            <v>0</v>
          </cell>
          <cell r="BG974">
            <v>0</v>
          </cell>
          <cell r="BH974">
            <v>1</v>
          </cell>
          <cell r="BI974">
            <v>0</v>
          </cell>
          <cell r="BJ974">
            <v>0</v>
          </cell>
          <cell r="BK974">
            <v>0</v>
          </cell>
          <cell r="BL974">
            <v>1</v>
          </cell>
          <cell r="BM974">
            <v>0</v>
          </cell>
          <cell r="BN974">
            <v>0</v>
          </cell>
          <cell r="BO974">
            <v>0</v>
          </cell>
          <cell r="BP974">
            <v>0</v>
          </cell>
          <cell r="BQ974">
            <v>0</v>
          </cell>
          <cell r="BR974">
            <v>0</v>
          </cell>
          <cell r="BS974">
            <v>0</v>
          </cell>
          <cell r="BT974">
            <v>1</v>
          </cell>
          <cell r="BU974">
            <v>0</v>
          </cell>
        </row>
        <row r="975">
          <cell r="A975">
            <v>35</v>
          </cell>
          <cell r="B975">
            <v>35</v>
          </cell>
          <cell r="D975">
            <v>0</v>
          </cell>
          <cell r="F975">
            <v>0</v>
          </cell>
          <cell r="G975">
            <v>1</v>
          </cell>
          <cell r="I975">
            <v>1</v>
          </cell>
          <cell r="J975">
            <v>0</v>
          </cell>
          <cell r="K975">
            <v>1</v>
          </cell>
          <cell r="L975">
            <v>1</v>
          </cell>
          <cell r="M975">
            <v>3</v>
          </cell>
          <cell r="O975">
            <v>0</v>
          </cell>
          <cell r="P975">
            <v>0</v>
          </cell>
          <cell r="Q975">
            <v>1</v>
          </cell>
          <cell r="R975">
            <v>0</v>
          </cell>
          <cell r="S975">
            <v>0</v>
          </cell>
          <cell r="T975">
            <v>4</v>
          </cell>
          <cell r="V975">
            <v>1</v>
          </cell>
          <cell r="W975">
            <v>60</v>
          </cell>
          <cell r="X975">
            <v>2</v>
          </cell>
          <cell r="Y975">
            <v>2</v>
          </cell>
          <cell r="AA975">
            <v>0</v>
          </cell>
          <cell r="AB975">
            <v>0</v>
          </cell>
          <cell r="AC975">
            <v>1</v>
          </cell>
          <cell r="AD975">
            <v>0</v>
          </cell>
          <cell r="AE975">
            <v>0</v>
          </cell>
          <cell r="AF975">
            <v>0</v>
          </cell>
          <cell r="AG975">
            <v>0</v>
          </cell>
          <cell r="AH975">
            <v>0</v>
          </cell>
          <cell r="AI975">
            <v>4</v>
          </cell>
          <cell r="AK975">
            <v>0</v>
          </cell>
          <cell r="AL975">
            <v>1</v>
          </cell>
          <cell r="AN975">
            <v>5363</v>
          </cell>
          <cell r="AO975">
            <v>0</v>
          </cell>
          <cell r="AQ975">
            <v>0</v>
          </cell>
          <cell r="AR975">
            <v>12</v>
          </cell>
          <cell r="AS975">
            <v>3</v>
          </cell>
          <cell r="AT975">
            <v>2</v>
          </cell>
          <cell r="AU975">
            <v>1</v>
          </cell>
          <cell r="AV975">
            <v>10</v>
          </cell>
          <cell r="AW975">
            <v>10</v>
          </cell>
          <cell r="AX975">
            <v>0</v>
          </cell>
          <cell r="AY975">
            <v>3</v>
          </cell>
          <cell r="AZ975">
            <v>9</v>
          </cell>
          <cell r="BA975">
            <v>9</v>
          </cell>
          <cell r="BB975">
            <v>7</v>
          </cell>
          <cell r="BC975">
            <v>0</v>
          </cell>
          <cell r="BD975">
            <v>0</v>
          </cell>
          <cell r="BE975">
            <v>0</v>
          </cell>
          <cell r="BF975">
            <v>0</v>
          </cell>
          <cell r="BG975">
            <v>0</v>
          </cell>
          <cell r="BH975">
            <v>0</v>
          </cell>
          <cell r="BI975">
            <v>1</v>
          </cell>
          <cell r="BJ975">
            <v>0</v>
          </cell>
          <cell r="BK975">
            <v>0</v>
          </cell>
          <cell r="BL975">
            <v>0</v>
          </cell>
          <cell r="BM975">
            <v>0</v>
          </cell>
          <cell r="BN975">
            <v>1</v>
          </cell>
          <cell r="BO975">
            <v>0</v>
          </cell>
          <cell r="BP975">
            <v>0</v>
          </cell>
          <cell r="BQ975">
            <v>0</v>
          </cell>
          <cell r="BR975">
            <v>0</v>
          </cell>
          <cell r="BS975">
            <v>0</v>
          </cell>
          <cell r="BT975">
            <v>10</v>
          </cell>
          <cell r="BU975">
            <v>0</v>
          </cell>
        </row>
        <row r="976">
          <cell r="A976">
            <v>27</v>
          </cell>
          <cell r="B976">
            <v>27</v>
          </cell>
          <cell r="D976">
            <v>0</v>
          </cell>
          <cell r="F976">
            <v>1</v>
          </cell>
          <cell r="G976">
            <v>0</v>
          </cell>
          <cell r="I976">
            <v>0</v>
          </cell>
          <cell r="J976">
            <v>1</v>
          </cell>
          <cell r="K976">
            <v>2</v>
          </cell>
          <cell r="L976">
            <v>2</v>
          </cell>
          <cell r="M976">
            <v>1</v>
          </cell>
          <cell r="O976">
            <v>1</v>
          </cell>
          <cell r="P976">
            <v>0</v>
          </cell>
          <cell r="Q976">
            <v>0</v>
          </cell>
          <cell r="R976">
            <v>0</v>
          </cell>
          <cell r="S976">
            <v>0</v>
          </cell>
          <cell r="T976">
            <v>4</v>
          </cell>
          <cell r="V976">
            <v>0</v>
          </cell>
          <cell r="W976">
            <v>43</v>
          </cell>
          <cell r="X976">
            <v>1</v>
          </cell>
          <cell r="Y976">
            <v>2</v>
          </cell>
          <cell r="AA976">
            <v>0</v>
          </cell>
          <cell r="AB976">
            <v>1</v>
          </cell>
          <cell r="AC976">
            <v>0</v>
          </cell>
          <cell r="AD976">
            <v>0</v>
          </cell>
          <cell r="AE976">
            <v>0</v>
          </cell>
          <cell r="AF976">
            <v>0</v>
          </cell>
          <cell r="AG976">
            <v>0</v>
          </cell>
          <cell r="AH976">
            <v>0</v>
          </cell>
          <cell r="AI976">
            <v>4</v>
          </cell>
          <cell r="AK976">
            <v>1</v>
          </cell>
          <cell r="AL976">
            <v>0</v>
          </cell>
          <cell r="AN976">
            <v>5071</v>
          </cell>
          <cell r="AO976">
            <v>3</v>
          </cell>
          <cell r="AQ976">
            <v>0</v>
          </cell>
          <cell r="AR976">
            <v>20</v>
          </cell>
          <cell r="AS976">
            <v>4</v>
          </cell>
          <cell r="AT976">
            <v>2</v>
          </cell>
          <cell r="AU976">
            <v>0</v>
          </cell>
          <cell r="AV976">
            <v>8</v>
          </cell>
          <cell r="AW976">
            <v>8</v>
          </cell>
          <cell r="AX976">
            <v>3</v>
          </cell>
          <cell r="AY976">
            <v>3</v>
          </cell>
          <cell r="AZ976">
            <v>6</v>
          </cell>
          <cell r="BA976">
            <v>6</v>
          </cell>
          <cell r="BB976">
            <v>2</v>
          </cell>
          <cell r="BC976">
            <v>0</v>
          </cell>
          <cell r="BD976">
            <v>0</v>
          </cell>
          <cell r="BE976">
            <v>0</v>
          </cell>
          <cell r="BF976">
            <v>0</v>
          </cell>
          <cell r="BG976">
            <v>0</v>
          </cell>
          <cell r="BH976">
            <v>0</v>
          </cell>
          <cell r="BI976">
            <v>0</v>
          </cell>
          <cell r="BJ976">
            <v>1</v>
          </cell>
          <cell r="BK976">
            <v>0</v>
          </cell>
          <cell r="BL976">
            <v>1</v>
          </cell>
          <cell r="BM976">
            <v>0</v>
          </cell>
          <cell r="BN976">
            <v>0</v>
          </cell>
          <cell r="BO976">
            <v>0</v>
          </cell>
          <cell r="BP976">
            <v>0</v>
          </cell>
          <cell r="BQ976">
            <v>0</v>
          </cell>
          <cell r="BR976">
            <v>0</v>
          </cell>
          <cell r="BS976">
            <v>0</v>
          </cell>
          <cell r="BT976">
            <v>0</v>
          </cell>
          <cell r="BU976">
            <v>8</v>
          </cell>
        </row>
        <row r="977">
          <cell r="A977">
            <v>55</v>
          </cell>
          <cell r="B977">
            <v>55</v>
          </cell>
          <cell r="D977">
            <v>1</v>
          </cell>
          <cell r="F977">
            <v>0</v>
          </cell>
          <cell r="G977">
            <v>1</v>
          </cell>
          <cell r="I977">
            <v>0</v>
          </cell>
          <cell r="J977">
            <v>1</v>
          </cell>
          <cell r="K977">
            <v>13</v>
          </cell>
          <cell r="L977">
            <v>13</v>
          </cell>
          <cell r="M977">
            <v>4</v>
          </cell>
          <cell r="O977">
            <v>0</v>
          </cell>
          <cell r="P977">
            <v>0</v>
          </cell>
          <cell r="Q977">
            <v>0</v>
          </cell>
          <cell r="R977">
            <v>1</v>
          </cell>
          <cell r="S977">
            <v>0</v>
          </cell>
          <cell r="T977">
            <v>1</v>
          </cell>
          <cell r="V977">
            <v>0</v>
          </cell>
          <cell r="W977">
            <v>85</v>
          </cell>
          <cell r="X977">
            <v>4</v>
          </cell>
          <cell r="Y977">
            <v>4</v>
          </cell>
          <cell r="AA977">
            <v>0</v>
          </cell>
          <cell r="AB977">
            <v>1</v>
          </cell>
          <cell r="AC977">
            <v>0</v>
          </cell>
          <cell r="AD977">
            <v>0</v>
          </cell>
          <cell r="AE977">
            <v>0</v>
          </cell>
          <cell r="AF977">
            <v>0</v>
          </cell>
          <cell r="AG977">
            <v>0</v>
          </cell>
          <cell r="AH977">
            <v>0</v>
          </cell>
          <cell r="AI977">
            <v>3</v>
          </cell>
          <cell r="AK977">
            <v>1</v>
          </cell>
          <cell r="AL977">
            <v>0</v>
          </cell>
          <cell r="AN977">
            <v>13695</v>
          </cell>
          <cell r="AO977">
            <v>6</v>
          </cell>
          <cell r="AQ977">
            <v>1</v>
          </cell>
          <cell r="AR977">
            <v>17</v>
          </cell>
          <cell r="AS977">
            <v>3</v>
          </cell>
          <cell r="AT977">
            <v>3</v>
          </cell>
          <cell r="AU977">
            <v>0</v>
          </cell>
          <cell r="AV977">
            <v>24</v>
          </cell>
          <cell r="AW977">
            <v>24</v>
          </cell>
          <cell r="AX977">
            <v>2</v>
          </cell>
          <cell r="AY977">
            <v>2</v>
          </cell>
          <cell r="AZ977">
            <v>19</v>
          </cell>
          <cell r="BA977">
            <v>19</v>
          </cell>
          <cell r="BB977">
            <v>7</v>
          </cell>
          <cell r="BC977">
            <v>3</v>
          </cell>
          <cell r="BD977">
            <v>3</v>
          </cell>
          <cell r="BE977">
            <v>8</v>
          </cell>
          <cell r="BF977">
            <v>8</v>
          </cell>
          <cell r="BG977">
            <v>32</v>
          </cell>
          <cell r="BH977">
            <v>1</v>
          </cell>
          <cell r="BI977">
            <v>0</v>
          </cell>
          <cell r="BJ977">
            <v>0</v>
          </cell>
          <cell r="BK977">
            <v>0</v>
          </cell>
          <cell r="BL977">
            <v>0</v>
          </cell>
          <cell r="BM977">
            <v>1</v>
          </cell>
          <cell r="BN977">
            <v>0</v>
          </cell>
          <cell r="BO977">
            <v>0</v>
          </cell>
          <cell r="BP977">
            <v>0</v>
          </cell>
          <cell r="BQ977">
            <v>0</v>
          </cell>
          <cell r="BR977">
            <v>8</v>
          </cell>
          <cell r="BS977">
            <v>0</v>
          </cell>
          <cell r="BT977">
            <v>0</v>
          </cell>
          <cell r="BU977">
            <v>24</v>
          </cell>
        </row>
        <row r="978">
          <cell r="A978">
            <v>56</v>
          </cell>
          <cell r="B978">
            <v>56</v>
          </cell>
          <cell r="D978">
            <v>0</v>
          </cell>
          <cell r="F978">
            <v>0</v>
          </cell>
          <cell r="G978">
            <v>1</v>
          </cell>
          <cell r="I978">
            <v>1</v>
          </cell>
          <cell r="J978">
            <v>0</v>
          </cell>
          <cell r="K978">
            <v>23</v>
          </cell>
          <cell r="L978">
            <v>23</v>
          </cell>
          <cell r="M978">
            <v>3</v>
          </cell>
          <cell r="O978">
            <v>1</v>
          </cell>
          <cell r="P978">
            <v>0</v>
          </cell>
          <cell r="Q978">
            <v>0</v>
          </cell>
          <cell r="R978">
            <v>0</v>
          </cell>
          <cell r="S978">
            <v>0</v>
          </cell>
          <cell r="T978">
            <v>4</v>
          </cell>
          <cell r="V978">
            <v>0</v>
          </cell>
          <cell r="W978">
            <v>68</v>
          </cell>
          <cell r="X978">
            <v>3</v>
          </cell>
          <cell r="Y978">
            <v>4</v>
          </cell>
          <cell r="AA978">
            <v>0</v>
          </cell>
          <cell r="AB978">
            <v>0</v>
          </cell>
          <cell r="AC978">
            <v>0</v>
          </cell>
          <cell r="AD978">
            <v>0</v>
          </cell>
          <cell r="AE978">
            <v>1</v>
          </cell>
          <cell r="AF978">
            <v>1</v>
          </cell>
          <cell r="AG978">
            <v>0</v>
          </cell>
          <cell r="AH978">
            <v>0</v>
          </cell>
          <cell r="AI978">
            <v>2</v>
          </cell>
          <cell r="AK978">
            <v>0</v>
          </cell>
          <cell r="AL978">
            <v>1</v>
          </cell>
          <cell r="AN978">
            <v>13402</v>
          </cell>
          <cell r="AO978">
            <v>4</v>
          </cell>
          <cell r="AQ978">
            <v>1</v>
          </cell>
          <cell r="AR978">
            <v>12</v>
          </cell>
          <cell r="AS978">
            <v>3</v>
          </cell>
          <cell r="AT978">
            <v>1</v>
          </cell>
          <cell r="AU978">
            <v>1</v>
          </cell>
          <cell r="AV978">
            <v>33</v>
          </cell>
          <cell r="AW978">
            <v>33</v>
          </cell>
          <cell r="AX978">
            <v>0</v>
          </cell>
          <cell r="AY978">
            <v>3</v>
          </cell>
          <cell r="AZ978">
            <v>19</v>
          </cell>
          <cell r="BA978">
            <v>19</v>
          </cell>
          <cell r="BB978">
            <v>16</v>
          </cell>
          <cell r="BC978">
            <v>15</v>
          </cell>
          <cell r="BD978">
            <v>14</v>
          </cell>
          <cell r="BE978">
            <v>9</v>
          </cell>
          <cell r="BF978">
            <v>9</v>
          </cell>
          <cell r="BG978">
            <v>36</v>
          </cell>
          <cell r="BH978">
            <v>0</v>
          </cell>
          <cell r="BI978">
            <v>1</v>
          </cell>
          <cell r="BJ978">
            <v>0</v>
          </cell>
          <cell r="BK978">
            <v>0</v>
          </cell>
          <cell r="BL978">
            <v>0</v>
          </cell>
          <cell r="BM978">
            <v>0</v>
          </cell>
          <cell r="BN978">
            <v>0</v>
          </cell>
          <cell r="BO978">
            <v>1</v>
          </cell>
          <cell r="BP978">
            <v>0</v>
          </cell>
          <cell r="BQ978">
            <v>9</v>
          </cell>
          <cell r="BR978">
            <v>0</v>
          </cell>
          <cell r="BS978">
            <v>0</v>
          </cell>
          <cell r="BT978">
            <v>33</v>
          </cell>
          <cell r="BU978">
            <v>0</v>
          </cell>
        </row>
        <row r="979">
          <cell r="A979">
            <v>34</v>
          </cell>
          <cell r="B979">
            <v>34</v>
          </cell>
          <cell r="D979">
            <v>0</v>
          </cell>
          <cell r="F979">
            <v>0</v>
          </cell>
          <cell r="G979">
            <v>0</v>
          </cell>
          <cell r="I979">
            <v>1</v>
          </cell>
          <cell r="J979">
            <v>0</v>
          </cell>
          <cell r="K979">
            <v>26</v>
          </cell>
          <cell r="L979">
            <v>26</v>
          </cell>
          <cell r="M979">
            <v>1</v>
          </cell>
          <cell r="O979">
            <v>0</v>
          </cell>
          <cell r="P979">
            <v>0</v>
          </cell>
          <cell r="Q979">
            <v>0</v>
          </cell>
          <cell r="R979">
            <v>0</v>
          </cell>
          <cell r="S979">
            <v>1</v>
          </cell>
          <cell r="T979">
            <v>1</v>
          </cell>
          <cell r="V979">
            <v>1</v>
          </cell>
          <cell r="W979">
            <v>92</v>
          </cell>
          <cell r="X979">
            <v>2</v>
          </cell>
          <cell r="Y979">
            <v>1</v>
          </cell>
          <cell r="AA979">
            <v>0</v>
          </cell>
          <cell r="AB979">
            <v>0</v>
          </cell>
          <cell r="AC979">
            <v>0</v>
          </cell>
          <cell r="AD979">
            <v>0</v>
          </cell>
          <cell r="AE979">
            <v>0</v>
          </cell>
          <cell r="AF979">
            <v>0</v>
          </cell>
          <cell r="AG979">
            <v>0</v>
          </cell>
          <cell r="AH979">
            <v>1</v>
          </cell>
          <cell r="AI979">
            <v>3</v>
          </cell>
          <cell r="AK979">
            <v>0</v>
          </cell>
          <cell r="AL979">
            <v>0</v>
          </cell>
          <cell r="AN979">
            <v>2029</v>
          </cell>
          <cell r="AO979">
            <v>1</v>
          </cell>
          <cell r="AQ979">
            <v>0</v>
          </cell>
          <cell r="AR979">
            <v>20</v>
          </cell>
          <cell r="AS979">
            <v>4</v>
          </cell>
          <cell r="AT979">
            <v>3</v>
          </cell>
          <cell r="AU979">
            <v>3</v>
          </cell>
          <cell r="AV979">
            <v>5</v>
          </cell>
          <cell r="AW979">
            <v>5</v>
          </cell>
          <cell r="AX979">
            <v>2</v>
          </cell>
          <cell r="AY979">
            <v>3</v>
          </cell>
          <cell r="AZ979">
            <v>5</v>
          </cell>
          <cell r="BA979">
            <v>5</v>
          </cell>
          <cell r="BB979">
            <v>4</v>
          </cell>
          <cell r="BC979">
            <v>0</v>
          </cell>
          <cell r="BD979">
            <v>0</v>
          </cell>
          <cell r="BE979">
            <v>0</v>
          </cell>
          <cell r="BF979">
            <v>0</v>
          </cell>
          <cell r="BG979">
            <v>0</v>
          </cell>
          <cell r="BH979">
            <v>1</v>
          </cell>
          <cell r="BI979">
            <v>0</v>
          </cell>
          <cell r="BJ979">
            <v>0</v>
          </cell>
          <cell r="BK979">
            <v>0</v>
          </cell>
          <cell r="BL979">
            <v>1</v>
          </cell>
          <cell r="BM979">
            <v>0</v>
          </cell>
          <cell r="BN979">
            <v>0</v>
          </cell>
          <cell r="BO979">
            <v>0</v>
          </cell>
          <cell r="BP979">
            <v>0</v>
          </cell>
          <cell r="BQ979">
            <v>0</v>
          </cell>
          <cell r="BR979">
            <v>0</v>
          </cell>
          <cell r="BS979">
            <v>0</v>
          </cell>
          <cell r="BT979">
            <v>5</v>
          </cell>
          <cell r="BU979">
            <v>0</v>
          </cell>
        </row>
        <row r="980">
          <cell r="A980">
            <v>40</v>
          </cell>
          <cell r="B980">
            <v>40</v>
          </cell>
          <cell r="D980">
            <v>0</v>
          </cell>
          <cell r="F980">
            <v>0</v>
          </cell>
          <cell r="G980">
            <v>1</v>
          </cell>
          <cell r="I980">
            <v>1</v>
          </cell>
          <cell r="J980">
            <v>0</v>
          </cell>
          <cell r="K980">
            <v>2</v>
          </cell>
          <cell r="L980">
            <v>2</v>
          </cell>
          <cell r="M980">
            <v>1</v>
          </cell>
          <cell r="O980">
            <v>0</v>
          </cell>
          <cell r="P980">
            <v>0</v>
          </cell>
          <cell r="Q980">
            <v>1</v>
          </cell>
          <cell r="R980">
            <v>0</v>
          </cell>
          <cell r="S980">
            <v>0</v>
          </cell>
          <cell r="T980">
            <v>2</v>
          </cell>
          <cell r="V980">
            <v>1</v>
          </cell>
          <cell r="W980">
            <v>89</v>
          </cell>
          <cell r="X980">
            <v>4</v>
          </cell>
          <cell r="Y980">
            <v>2</v>
          </cell>
          <cell r="AA980">
            <v>1</v>
          </cell>
          <cell r="AB980">
            <v>0</v>
          </cell>
          <cell r="AC980">
            <v>0</v>
          </cell>
          <cell r="AD980">
            <v>0</v>
          </cell>
          <cell r="AE980">
            <v>0</v>
          </cell>
          <cell r="AF980">
            <v>0</v>
          </cell>
          <cell r="AG980">
            <v>0</v>
          </cell>
          <cell r="AH980">
            <v>0</v>
          </cell>
          <cell r="AI980">
            <v>3</v>
          </cell>
          <cell r="AK980">
            <v>0</v>
          </cell>
          <cell r="AL980">
            <v>0</v>
          </cell>
          <cell r="AN980">
            <v>6377</v>
          </cell>
          <cell r="AO980">
            <v>5</v>
          </cell>
          <cell r="AQ980">
            <v>0</v>
          </cell>
          <cell r="AR980">
            <v>20</v>
          </cell>
          <cell r="AS980">
            <v>4</v>
          </cell>
          <cell r="AT980">
            <v>2</v>
          </cell>
          <cell r="AU980">
            <v>3</v>
          </cell>
          <cell r="AV980">
            <v>15</v>
          </cell>
          <cell r="AW980">
            <v>15</v>
          </cell>
          <cell r="AX980">
            <v>0</v>
          </cell>
          <cell r="AY980">
            <v>3</v>
          </cell>
          <cell r="AZ980">
            <v>12</v>
          </cell>
          <cell r="BA980">
            <v>12</v>
          </cell>
          <cell r="BB980">
            <v>11</v>
          </cell>
          <cell r="BC980">
            <v>11</v>
          </cell>
          <cell r="BD980">
            <v>11</v>
          </cell>
          <cell r="BE980">
            <v>8</v>
          </cell>
          <cell r="BF980">
            <v>8</v>
          </cell>
          <cell r="BG980">
            <v>16</v>
          </cell>
          <cell r="BH980">
            <v>1</v>
          </cell>
          <cell r="BI980">
            <v>0</v>
          </cell>
          <cell r="BJ980">
            <v>0</v>
          </cell>
          <cell r="BK980">
            <v>0</v>
          </cell>
          <cell r="BL980">
            <v>1</v>
          </cell>
          <cell r="BM980">
            <v>0</v>
          </cell>
          <cell r="BN980">
            <v>0</v>
          </cell>
          <cell r="BO980">
            <v>0</v>
          </cell>
          <cell r="BP980">
            <v>0</v>
          </cell>
          <cell r="BQ980">
            <v>8</v>
          </cell>
          <cell r="BR980">
            <v>0</v>
          </cell>
          <cell r="BS980">
            <v>0</v>
          </cell>
          <cell r="BT980">
            <v>15</v>
          </cell>
          <cell r="BU980">
            <v>0</v>
          </cell>
        </row>
        <row r="981">
          <cell r="A981">
            <v>34</v>
          </cell>
          <cell r="B981">
            <v>34</v>
          </cell>
          <cell r="D981">
            <v>0</v>
          </cell>
          <cell r="F981">
            <v>0</v>
          </cell>
          <cell r="G981">
            <v>1</v>
          </cell>
          <cell r="I981">
            <v>1</v>
          </cell>
          <cell r="J981">
            <v>0</v>
          </cell>
          <cell r="K981">
            <v>29</v>
          </cell>
          <cell r="L981">
            <v>29</v>
          </cell>
          <cell r="M981">
            <v>3</v>
          </cell>
          <cell r="O981">
            <v>0</v>
          </cell>
          <cell r="P981">
            <v>0</v>
          </cell>
          <cell r="Q981">
            <v>1</v>
          </cell>
          <cell r="R981">
            <v>0</v>
          </cell>
          <cell r="S981">
            <v>0</v>
          </cell>
          <cell r="T981">
            <v>2</v>
          </cell>
          <cell r="V981">
            <v>0</v>
          </cell>
          <cell r="W981">
            <v>86</v>
          </cell>
          <cell r="X981">
            <v>3</v>
          </cell>
          <cell r="Y981">
            <v>2</v>
          </cell>
          <cell r="AA981">
            <v>0</v>
          </cell>
          <cell r="AB981">
            <v>0</v>
          </cell>
          <cell r="AC981">
            <v>1</v>
          </cell>
          <cell r="AD981">
            <v>0</v>
          </cell>
          <cell r="AE981">
            <v>0</v>
          </cell>
          <cell r="AF981">
            <v>0</v>
          </cell>
          <cell r="AG981">
            <v>0</v>
          </cell>
          <cell r="AH981">
            <v>0</v>
          </cell>
          <cell r="AI981">
            <v>3</v>
          </cell>
          <cell r="AK981">
            <v>0</v>
          </cell>
          <cell r="AL981">
            <v>1</v>
          </cell>
          <cell r="AN981">
            <v>5429</v>
          </cell>
          <cell r="AO981">
            <v>4</v>
          </cell>
          <cell r="AQ981">
            <v>0</v>
          </cell>
          <cell r="AR981">
            <v>13</v>
          </cell>
          <cell r="AS981">
            <v>3</v>
          </cell>
          <cell r="AT981">
            <v>1</v>
          </cell>
          <cell r="AU981">
            <v>2</v>
          </cell>
          <cell r="AV981">
            <v>10</v>
          </cell>
          <cell r="AW981">
            <v>10</v>
          </cell>
          <cell r="AX981">
            <v>1</v>
          </cell>
          <cell r="AY981">
            <v>3</v>
          </cell>
          <cell r="AZ981">
            <v>8</v>
          </cell>
          <cell r="BA981">
            <v>8</v>
          </cell>
          <cell r="BB981">
            <v>7</v>
          </cell>
          <cell r="BC981">
            <v>7</v>
          </cell>
          <cell r="BD981">
            <v>7</v>
          </cell>
          <cell r="BE981">
            <v>7</v>
          </cell>
          <cell r="BF981">
            <v>7</v>
          </cell>
          <cell r="BG981">
            <v>14</v>
          </cell>
          <cell r="BH981">
            <v>0</v>
          </cell>
          <cell r="BI981">
            <v>1</v>
          </cell>
          <cell r="BJ981">
            <v>0</v>
          </cell>
          <cell r="BK981">
            <v>0</v>
          </cell>
          <cell r="BL981">
            <v>0</v>
          </cell>
          <cell r="BM981">
            <v>0</v>
          </cell>
          <cell r="BN981">
            <v>1</v>
          </cell>
          <cell r="BO981">
            <v>0</v>
          </cell>
          <cell r="BP981">
            <v>0</v>
          </cell>
          <cell r="BQ981">
            <v>7</v>
          </cell>
          <cell r="BR981">
            <v>0</v>
          </cell>
          <cell r="BS981">
            <v>0</v>
          </cell>
          <cell r="BT981">
            <v>10</v>
          </cell>
          <cell r="BU981">
            <v>0</v>
          </cell>
        </row>
        <row r="982">
          <cell r="A982">
            <v>31</v>
          </cell>
          <cell r="B982">
            <v>31</v>
          </cell>
          <cell r="D982">
            <v>1</v>
          </cell>
          <cell r="F982">
            <v>1</v>
          </cell>
          <cell r="G982">
            <v>0</v>
          </cell>
          <cell r="I982">
            <v>0</v>
          </cell>
          <cell r="J982">
            <v>1</v>
          </cell>
          <cell r="K982">
            <v>2</v>
          </cell>
          <cell r="L982">
            <v>2</v>
          </cell>
          <cell r="M982">
            <v>3</v>
          </cell>
          <cell r="O982">
            <v>1</v>
          </cell>
          <cell r="P982">
            <v>0</v>
          </cell>
          <cell r="Q982">
            <v>0</v>
          </cell>
          <cell r="R982">
            <v>0</v>
          </cell>
          <cell r="S982">
            <v>0</v>
          </cell>
          <cell r="T982">
            <v>3</v>
          </cell>
          <cell r="V982">
            <v>1</v>
          </cell>
          <cell r="W982">
            <v>90</v>
          </cell>
          <cell r="X982">
            <v>2</v>
          </cell>
          <cell r="Y982">
            <v>1</v>
          </cell>
          <cell r="AA982">
            <v>0</v>
          </cell>
          <cell r="AB982">
            <v>0</v>
          </cell>
          <cell r="AC982">
            <v>0</v>
          </cell>
          <cell r="AD982">
            <v>0</v>
          </cell>
          <cell r="AE982">
            <v>0</v>
          </cell>
          <cell r="AF982">
            <v>0</v>
          </cell>
          <cell r="AG982">
            <v>1</v>
          </cell>
          <cell r="AH982">
            <v>0</v>
          </cell>
          <cell r="AI982">
            <v>4</v>
          </cell>
          <cell r="AK982">
            <v>1</v>
          </cell>
          <cell r="AL982">
            <v>0</v>
          </cell>
          <cell r="AN982">
            <v>2785</v>
          </cell>
          <cell r="AO982">
            <v>7</v>
          </cell>
          <cell r="AQ982">
            <v>0</v>
          </cell>
          <cell r="AR982">
            <v>14</v>
          </cell>
          <cell r="AS982">
            <v>3</v>
          </cell>
          <cell r="AT982">
            <v>3</v>
          </cell>
          <cell r="AU982">
            <v>0</v>
          </cell>
          <cell r="AV982">
            <v>3</v>
          </cell>
          <cell r="AW982">
            <v>3</v>
          </cell>
          <cell r="AX982">
            <v>3</v>
          </cell>
          <cell r="AY982">
            <v>4</v>
          </cell>
          <cell r="AZ982">
            <v>1</v>
          </cell>
          <cell r="BA982">
            <v>1</v>
          </cell>
          <cell r="BB982">
            <v>0</v>
          </cell>
          <cell r="BC982">
            <v>0</v>
          </cell>
          <cell r="BD982">
            <v>0</v>
          </cell>
          <cell r="BE982">
            <v>0</v>
          </cell>
          <cell r="BF982">
            <v>0</v>
          </cell>
          <cell r="BG982">
            <v>0</v>
          </cell>
          <cell r="BH982">
            <v>0</v>
          </cell>
          <cell r="BI982">
            <v>0</v>
          </cell>
          <cell r="BJ982">
            <v>1</v>
          </cell>
          <cell r="BK982">
            <v>0</v>
          </cell>
          <cell r="BL982">
            <v>1</v>
          </cell>
          <cell r="BM982">
            <v>0</v>
          </cell>
          <cell r="BN982">
            <v>0</v>
          </cell>
          <cell r="BO982">
            <v>0</v>
          </cell>
          <cell r="BP982">
            <v>0</v>
          </cell>
          <cell r="BQ982">
            <v>0</v>
          </cell>
          <cell r="BR982">
            <v>0</v>
          </cell>
          <cell r="BS982">
            <v>0</v>
          </cell>
          <cell r="BT982">
            <v>0</v>
          </cell>
          <cell r="BU982">
            <v>3</v>
          </cell>
        </row>
        <row r="983">
          <cell r="A983">
            <v>35</v>
          </cell>
          <cell r="B983">
            <v>35</v>
          </cell>
          <cell r="D983">
            <v>1</v>
          </cell>
          <cell r="F983">
            <v>1</v>
          </cell>
          <cell r="G983">
            <v>0</v>
          </cell>
          <cell r="I983">
            <v>0</v>
          </cell>
          <cell r="J983">
            <v>1</v>
          </cell>
          <cell r="K983">
            <v>18</v>
          </cell>
          <cell r="L983">
            <v>18</v>
          </cell>
          <cell r="M983">
            <v>4</v>
          </cell>
          <cell r="O983">
            <v>0</v>
          </cell>
          <cell r="P983">
            <v>0</v>
          </cell>
          <cell r="Q983">
            <v>0</v>
          </cell>
          <cell r="R983">
            <v>1</v>
          </cell>
          <cell r="S983">
            <v>0</v>
          </cell>
          <cell r="T983">
            <v>4</v>
          </cell>
          <cell r="V983">
            <v>1</v>
          </cell>
          <cell r="W983">
            <v>67</v>
          </cell>
          <cell r="X983">
            <v>3</v>
          </cell>
          <cell r="Y983">
            <v>2</v>
          </cell>
          <cell r="AA983">
            <v>0</v>
          </cell>
          <cell r="AB983">
            <v>1</v>
          </cell>
          <cell r="AC983">
            <v>0</v>
          </cell>
          <cell r="AD983">
            <v>0</v>
          </cell>
          <cell r="AE983">
            <v>0</v>
          </cell>
          <cell r="AF983">
            <v>0</v>
          </cell>
          <cell r="AG983">
            <v>0</v>
          </cell>
          <cell r="AH983">
            <v>0</v>
          </cell>
          <cell r="AI983">
            <v>3</v>
          </cell>
          <cell r="AK983">
            <v>0</v>
          </cell>
          <cell r="AL983">
            <v>1</v>
          </cell>
          <cell r="AN983">
            <v>4614</v>
          </cell>
          <cell r="AO983">
            <v>0</v>
          </cell>
          <cell r="AQ983">
            <v>1</v>
          </cell>
          <cell r="AR983">
            <v>18</v>
          </cell>
          <cell r="AS983">
            <v>3</v>
          </cell>
          <cell r="AT983">
            <v>3</v>
          </cell>
          <cell r="AU983">
            <v>1</v>
          </cell>
          <cell r="AV983">
            <v>5</v>
          </cell>
          <cell r="AW983">
            <v>5</v>
          </cell>
          <cell r="AX983">
            <v>0</v>
          </cell>
          <cell r="AY983">
            <v>2</v>
          </cell>
          <cell r="AZ983">
            <v>4</v>
          </cell>
          <cell r="BA983">
            <v>4</v>
          </cell>
          <cell r="BB983">
            <v>2</v>
          </cell>
          <cell r="BC983">
            <v>3</v>
          </cell>
          <cell r="BD983">
            <v>3</v>
          </cell>
          <cell r="BE983">
            <v>2</v>
          </cell>
          <cell r="BF983">
            <v>2</v>
          </cell>
          <cell r="BG983">
            <v>4</v>
          </cell>
          <cell r="BH983">
            <v>0</v>
          </cell>
          <cell r="BI983">
            <v>0</v>
          </cell>
          <cell r="BJ983">
            <v>0</v>
          </cell>
          <cell r="BK983">
            <v>1</v>
          </cell>
          <cell r="BL983">
            <v>0</v>
          </cell>
          <cell r="BM983">
            <v>0</v>
          </cell>
          <cell r="BN983">
            <v>0</v>
          </cell>
          <cell r="BO983">
            <v>1</v>
          </cell>
          <cell r="BP983">
            <v>0</v>
          </cell>
          <cell r="BQ983">
            <v>0</v>
          </cell>
          <cell r="BR983">
            <v>2</v>
          </cell>
          <cell r="BS983">
            <v>0</v>
          </cell>
          <cell r="BT983">
            <v>0</v>
          </cell>
          <cell r="BU983">
            <v>5</v>
          </cell>
        </row>
        <row r="984">
          <cell r="A984">
            <v>38</v>
          </cell>
          <cell r="B984">
            <v>38</v>
          </cell>
          <cell r="D984">
            <v>0</v>
          </cell>
          <cell r="F984">
            <v>1</v>
          </cell>
          <cell r="G984">
            <v>0</v>
          </cell>
          <cell r="I984">
            <v>1</v>
          </cell>
          <cell r="J984">
            <v>0</v>
          </cell>
          <cell r="K984">
            <v>7</v>
          </cell>
          <cell r="L984">
            <v>7</v>
          </cell>
          <cell r="M984">
            <v>3</v>
          </cell>
          <cell r="O984">
            <v>1</v>
          </cell>
          <cell r="P984">
            <v>0</v>
          </cell>
          <cell r="Q984">
            <v>0</v>
          </cell>
          <cell r="R984">
            <v>0</v>
          </cell>
          <cell r="S984">
            <v>0</v>
          </cell>
          <cell r="T984">
            <v>4</v>
          </cell>
          <cell r="V984">
            <v>0</v>
          </cell>
          <cell r="W984">
            <v>57</v>
          </cell>
          <cell r="X984">
            <v>4</v>
          </cell>
          <cell r="Y984">
            <v>1</v>
          </cell>
          <cell r="AA984">
            <v>0</v>
          </cell>
          <cell r="AB984">
            <v>0</v>
          </cell>
          <cell r="AC984">
            <v>0</v>
          </cell>
          <cell r="AD984">
            <v>0</v>
          </cell>
          <cell r="AE984">
            <v>0</v>
          </cell>
          <cell r="AF984">
            <v>0</v>
          </cell>
          <cell r="AG984">
            <v>0</v>
          </cell>
          <cell r="AH984">
            <v>1</v>
          </cell>
          <cell r="AI984">
            <v>3</v>
          </cell>
          <cell r="AK984">
            <v>0</v>
          </cell>
          <cell r="AL984">
            <v>0</v>
          </cell>
          <cell r="AN984">
            <v>2610</v>
          </cell>
          <cell r="AO984">
            <v>1</v>
          </cell>
          <cell r="AQ984">
            <v>0</v>
          </cell>
          <cell r="AR984">
            <v>11</v>
          </cell>
          <cell r="AS984">
            <v>3</v>
          </cell>
          <cell r="AT984">
            <v>4</v>
          </cell>
          <cell r="AU984">
            <v>3</v>
          </cell>
          <cell r="AV984">
            <v>4</v>
          </cell>
          <cell r="AW984">
            <v>4</v>
          </cell>
          <cell r="AX984">
            <v>2</v>
          </cell>
          <cell r="AY984">
            <v>3</v>
          </cell>
          <cell r="AZ984">
            <v>4</v>
          </cell>
          <cell r="BA984">
            <v>4</v>
          </cell>
          <cell r="BB984">
            <v>2</v>
          </cell>
          <cell r="BC984">
            <v>0</v>
          </cell>
          <cell r="BD984">
            <v>0</v>
          </cell>
          <cell r="BE984">
            <v>3</v>
          </cell>
          <cell r="BF984">
            <v>3</v>
          </cell>
          <cell r="BG984">
            <v>3</v>
          </cell>
          <cell r="BH984">
            <v>0</v>
          </cell>
          <cell r="BI984">
            <v>0</v>
          </cell>
          <cell r="BJ984">
            <v>1</v>
          </cell>
          <cell r="BK984">
            <v>0</v>
          </cell>
          <cell r="BL984">
            <v>1</v>
          </cell>
          <cell r="BM984">
            <v>0</v>
          </cell>
          <cell r="BN984">
            <v>0</v>
          </cell>
          <cell r="BO984">
            <v>0</v>
          </cell>
          <cell r="BP984">
            <v>0</v>
          </cell>
          <cell r="BQ984">
            <v>3</v>
          </cell>
          <cell r="BR984">
            <v>0</v>
          </cell>
          <cell r="BS984">
            <v>0</v>
          </cell>
          <cell r="BT984">
            <v>4</v>
          </cell>
          <cell r="BU984">
            <v>0</v>
          </cell>
        </row>
        <row r="985">
          <cell r="A985">
            <v>34</v>
          </cell>
          <cell r="B985">
            <v>34</v>
          </cell>
          <cell r="D985">
            <v>0</v>
          </cell>
          <cell r="F985">
            <v>0</v>
          </cell>
          <cell r="G985">
            <v>1</v>
          </cell>
          <cell r="I985">
            <v>1</v>
          </cell>
          <cell r="J985">
            <v>0</v>
          </cell>
          <cell r="K985">
            <v>2</v>
          </cell>
          <cell r="L985">
            <v>2</v>
          </cell>
          <cell r="M985">
            <v>4</v>
          </cell>
          <cell r="O985">
            <v>0</v>
          </cell>
          <cell r="P985">
            <v>0</v>
          </cell>
          <cell r="Q985">
            <v>0</v>
          </cell>
          <cell r="R985">
            <v>0</v>
          </cell>
          <cell r="S985">
            <v>1</v>
          </cell>
          <cell r="T985">
            <v>3</v>
          </cell>
          <cell r="V985">
            <v>1</v>
          </cell>
          <cell r="W985">
            <v>98</v>
          </cell>
          <cell r="X985">
            <v>3</v>
          </cell>
          <cell r="Y985">
            <v>2</v>
          </cell>
          <cell r="AA985">
            <v>1</v>
          </cell>
          <cell r="AB985">
            <v>0</v>
          </cell>
          <cell r="AC985">
            <v>0</v>
          </cell>
          <cell r="AD985">
            <v>0</v>
          </cell>
          <cell r="AE985">
            <v>0</v>
          </cell>
          <cell r="AF985">
            <v>0</v>
          </cell>
          <cell r="AG985">
            <v>0</v>
          </cell>
          <cell r="AH985">
            <v>0</v>
          </cell>
          <cell r="AI985">
            <v>4</v>
          </cell>
          <cell r="AK985">
            <v>1</v>
          </cell>
          <cell r="AL985">
            <v>0</v>
          </cell>
          <cell r="AN985">
            <v>6687</v>
          </cell>
          <cell r="AO985">
            <v>1</v>
          </cell>
          <cell r="AQ985">
            <v>0</v>
          </cell>
          <cell r="AR985">
            <v>11</v>
          </cell>
          <cell r="AS985">
            <v>3</v>
          </cell>
          <cell r="AT985">
            <v>4</v>
          </cell>
          <cell r="AU985">
            <v>0</v>
          </cell>
          <cell r="AV985">
            <v>14</v>
          </cell>
          <cell r="AW985">
            <v>14</v>
          </cell>
          <cell r="AX985">
            <v>2</v>
          </cell>
          <cell r="AY985">
            <v>4</v>
          </cell>
          <cell r="AZ985">
            <v>14</v>
          </cell>
          <cell r="BA985">
            <v>14</v>
          </cell>
          <cell r="BB985">
            <v>11</v>
          </cell>
          <cell r="BC985">
            <v>4</v>
          </cell>
          <cell r="BD985">
            <v>4</v>
          </cell>
          <cell r="BE985">
            <v>11</v>
          </cell>
          <cell r="BF985">
            <v>11</v>
          </cell>
          <cell r="BG985">
            <v>22</v>
          </cell>
          <cell r="BH985">
            <v>1</v>
          </cell>
          <cell r="BI985">
            <v>0</v>
          </cell>
          <cell r="BJ985">
            <v>0</v>
          </cell>
          <cell r="BK985">
            <v>0</v>
          </cell>
          <cell r="BL985">
            <v>1</v>
          </cell>
          <cell r="BM985">
            <v>0</v>
          </cell>
          <cell r="BN985">
            <v>0</v>
          </cell>
          <cell r="BO985">
            <v>0</v>
          </cell>
          <cell r="BP985">
            <v>0</v>
          </cell>
          <cell r="BQ985">
            <v>11</v>
          </cell>
          <cell r="BR985">
            <v>0</v>
          </cell>
          <cell r="BS985">
            <v>0</v>
          </cell>
          <cell r="BT985">
            <v>14</v>
          </cell>
          <cell r="BU985">
            <v>0</v>
          </cell>
        </row>
        <row r="986">
          <cell r="A986">
            <v>28</v>
          </cell>
          <cell r="B986">
            <v>28</v>
          </cell>
          <cell r="D986">
            <v>0</v>
          </cell>
          <cell r="F986">
            <v>0</v>
          </cell>
          <cell r="G986">
            <v>1</v>
          </cell>
          <cell r="I986">
            <v>0</v>
          </cell>
          <cell r="J986">
            <v>1</v>
          </cell>
          <cell r="K986">
            <v>26</v>
          </cell>
          <cell r="L986">
            <v>26</v>
          </cell>
          <cell r="M986">
            <v>3</v>
          </cell>
          <cell r="O986">
            <v>1</v>
          </cell>
          <cell r="P986">
            <v>0</v>
          </cell>
          <cell r="Q986">
            <v>0</v>
          </cell>
          <cell r="R986">
            <v>0</v>
          </cell>
          <cell r="S986">
            <v>0</v>
          </cell>
          <cell r="T986">
            <v>3</v>
          </cell>
          <cell r="V986">
            <v>0</v>
          </cell>
          <cell r="W986">
            <v>48</v>
          </cell>
          <cell r="X986">
            <v>2</v>
          </cell>
          <cell r="Y986">
            <v>2</v>
          </cell>
          <cell r="AA986">
            <v>0</v>
          </cell>
          <cell r="AB986">
            <v>1</v>
          </cell>
          <cell r="AC986">
            <v>0</v>
          </cell>
          <cell r="AD986">
            <v>0</v>
          </cell>
          <cell r="AE986">
            <v>0</v>
          </cell>
          <cell r="AF986">
            <v>0</v>
          </cell>
          <cell r="AG986">
            <v>0</v>
          </cell>
          <cell r="AH986">
            <v>0</v>
          </cell>
          <cell r="AI986">
            <v>1</v>
          </cell>
          <cell r="AK986">
            <v>0</v>
          </cell>
          <cell r="AL986">
            <v>1</v>
          </cell>
          <cell r="AN986">
            <v>4724</v>
          </cell>
          <cell r="AO986">
            <v>1</v>
          </cell>
          <cell r="AQ986">
            <v>0</v>
          </cell>
          <cell r="AR986">
            <v>11</v>
          </cell>
          <cell r="AS986">
            <v>3</v>
          </cell>
          <cell r="AT986">
            <v>3</v>
          </cell>
          <cell r="AU986">
            <v>1</v>
          </cell>
          <cell r="AV986">
            <v>5</v>
          </cell>
          <cell r="AW986">
            <v>5</v>
          </cell>
          <cell r="AX986">
            <v>0</v>
          </cell>
          <cell r="AY986">
            <v>3</v>
          </cell>
          <cell r="AZ986">
            <v>5</v>
          </cell>
          <cell r="BA986">
            <v>5</v>
          </cell>
          <cell r="BB986">
            <v>3</v>
          </cell>
          <cell r="BC986">
            <v>0</v>
          </cell>
          <cell r="BD986">
            <v>0</v>
          </cell>
          <cell r="BE986">
            <v>4</v>
          </cell>
          <cell r="BF986">
            <v>4</v>
          </cell>
          <cell r="BG986">
            <v>8</v>
          </cell>
          <cell r="BH986">
            <v>0</v>
          </cell>
          <cell r="BI986">
            <v>1</v>
          </cell>
          <cell r="BJ986">
            <v>0</v>
          </cell>
          <cell r="BK986">
            <v>0</v>
          </cell>
          <cell r="BL986">
            <v>0</v>
          </cell>
          <cell r="BM986">
            <v>0</v>
          </cell>
          <cell r="BN986">
            <v>1</v>
          </cell>
          <cell r="BO986">
            <v>0</v>
          </cell>
          <cell r="BP986">
            <v>0</v>
          </cell>
          <cell r="BQ986">
            <v>0</v>
          </cell>
          <cell r="BR986">
            <v>4</v>
          </cell>
          <cell r="BS986">
            <v>0</v>
          </cell>
          <cell r="BT986">
            <v>0</v>
          </cell>
          <cell r="BU986">
            <v>5</v>
          </cell>
        </row>
        <row r="987">
          <cell r="A987">
            <v>31</v>
          </cell>
          <cell r="B987">
            <v>31</v>
          </cell>
          <cell r="D987">
            <v>1</v>
          </cell>
          <cell r="F987">
            <v>0</v>
          </cell>
          <cell r="G987">
            <v>1</v>
          </cell>
          <cell r="I987">
            <v>1</v>
          </cell>
          <cell r="J987">
            <v>0</v>
          </cell>
          <cell r="K987">
            <v>22</v>
          </cell>
          <cell r="L987">
            <v>22</v>
          </cell>
          <cell r="M987">
            <v>4</v>
          </cell>
          <cell r="O987">
            <v>0</v>
          </cell>
          <cell r="P987">
            <v>0</v>
          </cell>
          <cell r="Q987">
            <v>1</v>
          </cell>
          <cell r="R987">
            <v>0</v>
          </cell>
          <cell r="S987">
            <v>0</v>
          </cell>
          <cell r="T987">
            <v>4</v>
          </cell>
          <cell r="V987">
            <v>0</v>
          </cell>
          <cell r="W987">
            <v>98</v>
          </cell>
          <cell r="X987">
            <v>3</v>
          </cell>
          <cell r="Y987">
            <v>2</v>
          </cell>
          <cell r="AA987">
            <v>0</v>
          </cell>
          <cell r="AB987">
            <v>0</v>
          </cell>
          <cell r="AC987">
            <v>0</v>
          </cell>
          <cell r="AD987">
            <v>0</v>
          </cell>
          <cell r="AE987">
            <v>1</v>
          </cell>
          <cell r="AF987">
            <v>1</v>
          </cell>
          <cell r="AG987">
            <v>0</v>
          </cell>
          <cell r="AH987">
            <v>0</v>
          </cell>
          <cell r="AI987">
            <v>3</v>
          </cell>
          <cell r="AK987">
            <v>0</v>
          </cell>
          <cell r="AL987">
            <v>1</v>
          </cell>
          <cell r="AN987">
            <v>6179</v>
          </cell>
          <cell r="AO987">
            <v>1</v>
          </cell>
          <cell r="AQ987">
            <v>1</v>
          </cell>
          <cell r="AR987">
            <v>15</v>
          </cell>
          <cell r="AS987">
            <v>3</v>
          </cell>
          <cell r="AT987">
            <v>4</v>
          </cell>
          <cell r="AU987">
            <v>2</v>
          </cell>
          <cell r="AV987">
            <v>10</v>
          </cell>
          <cell r="AW987">
            <v>10</v>
          </cell>
          <cell r="AX987">
            <v>3</v>
          </cell>
          <cell r="AY987">
            <v>2</v>
          </cell>
          <cell r="AZ987">
            <v>10</v>
          </cell>
          <cell r="BA987">
            <v>10</v>
          </cell>
          <cell r="BB987">
            <v>2</v>
          </cell>
          <cell r="BC987">
            <v>6</v>
          </cell>
          <cell r="BD987">
            <v>6</v>
          </cell>
          <cell r="BE987">
            <v>7</v>
          </cell>
          <cell r="BF987">
            <v>7</v>
          </cell>
          <cell r="BG987">
            <v>14</v>
          </cell>
          <cell r="BH987">
            <v>0</v>
          </cell>
          <cell r="BI987">
            <v>1</v>
          </cell>
          <cell r="BJ987">
            <v>0</v>
          </cell>
          <cell r="BK987">
            <v>0</v>
          </cell>
          <cell r="BL987">
            <v>0</v>
          </cell>
          <cell r="BM987">
            <v>0</v>
          </cell>
          <cell r="BN987">
            <v>0</v>
          </cell>
          <cell r="BO987">
            <v>1</v>
          </cell>
          <cell r="BP987">
            <v>0</v>
          </cell>
          <cell r="BQ987">
            <v>7</v>
          </cell>
          <cell r="BR987">
            <v>0</v>
          </cell>
          <cell r="BS987">
            <v>0</v>
          </cell>
          <cell r="BT987">
            <v>10</v>
          </cell>
          <cell r="BU987">
            <v>0</v>
          </cell>
        </row>
        <row r="988">
          <cell r="A988">
            <v>39</v>
          </cell>
          <cell r="B988">
            <v>39</v>
          </cell>
          <cell r="D988">
            <v>0</v>
          </cell>
          <cell r="F988">
            <v>0</v>
          </cell>
          <cell r="G988">
            <v>1</v>
          </cell>
          <cell r="I988">
            <v>0</v>
          </cell>
          <cell r="J988">
            <v>1</v>
          </cell>
          <cell r="K988">
            <v>21</v>
          </cell>
          <cell r="L988">
            <v>21</v>
          </cell>
          <cell r="M988">
            <v>4</v>
          </cell>
          <cell r="O988">
            <v>1</v>
          </cell>
          <cell r="P988">
            <v>0</v>
          </cell>
          <cell r="Q988">
            <v>0</v>
          </cell>
          <cell r="R988">
            <v>0</v>
          </cell>
          <cell r="S988">
            <v>0</v>
          </cell>
          <cell r="T988">
            <v>1</v>
          </cell>
          <cell r="V988">
            <v>0</v>
          </cell>
          <cell r="W988">
            <v>44</v>
          </cell>
          <cell r="X988">
            <v>2</v>
          </cell>
          <cell r="Y988">
            <v>2</v>
          </cell>
          <cell r="AA988">
            <v>0</v>
          </cell>
          <cell r="AB988">
            <v>1</v>
          </cell>
          <cell r="AC988">
            <v>0</v>
          </cell>
          <cell r="AD988">
            <v>0</v>
          </cell>
          <cell r="AE988">
            <v>0</v>
          </cell>
          <cell r="AF988">
            <v>0</v>
          </cell>
          <cell r="AG988">
            <v>0</v>
          </cell>
          <cell r="AH988">
            <v>0</v>
          </cell>
          <cell r="AI988">
            <v>4</v>
          </cell>
          <cell r="AK988">
            <v>0</v>
          </cell>
          <cell r="AL988">
            <v>1</v>
          </cell>
          <cell r="AN988">
            <v>6120</v>
          </cell>
          <cell r="AO988">
            <v>3</v>
          </cell>
          <cell r="AQ988">
            <v>1</v>
          </cell>
          <cell r="AR988">
            <v>12</v>
          </cell>
          <cell r="AS988">
            <v>3</v>
          </cell>
          <cell r="AT988">
            <v>4</v>
          </cell>
          <cell r="AU988">
            <v>2</v>
          </cell>
          <cell r="AV988">
            <v>8</v>
          </cell>
          <cell r="AW988">
            <v>8</v>
          </cell>
          <cell r="AX988">
            <v>2</v>
          </cell>
          <cell r="AY988">
            <v>4</v>
          </cell>
          <cell r="AZ988">
            <v>5</v>
          </cell>
          <cell r="BA988">
            <v>5</v>
          </cell>
          <cell r="BB988">
            <v>4</v>
          </cell>
          <cell r="BC988">
            <v>1</v>
          </cell>
          <cell r="BD988">
            <v>1</v>
          </cell>
          <cell r="BE988">
            <v>4</v>
          </cell>
          <cell r="BF988">
            <v>4</v>
          </cell>
          <cell r="BG988">
            <v>8</v>
          </cell>
          <cell r="BH988">
            <v>0</v>
          </cell>
          <cell r="BI988">
            <v>1</v>
          </cell>
          <cell r="BJ988">
            <v>0</v>
          </cell>
          <cell r="BK988">
            <v>0</v>
          </cell>
          <cell r="BL988">
            <v>0</v>
          </cell>
          <cell r="BM988">
            <v>0</v>
          </cell>
          <cell r="BN988">
            <v>0</v>
          </cell>
          <cell r="BO988">
            <v>1</v>
          </cell>
          <cell r="BP988">
            <v>0</v>
          </cell>
          <cell r="BQ988">
            <v>0</v>
          </cell>
          <cell r="BR988">
            <v>4</v>
          </cell>
          <cell r="BS988">
            <v>0</v>
          </cell>
          <cell r="BT988">
            <v>0</v>
          </cell>
          <cell r="BU988">
            <v>8</v>
          </cell>
        </row>
        <row r="989">
          <cell r="A989">
            <v>51</v>
          </cell>
          <cell r="B989">
            <v>51</v>
          </cell>
          <cell r="D989">
            <v>0</v>
          </cell>
          <cell r="F989">
            <v>1</v>
          </cell>
          <cell r="G989">
            <v>0</v>
          </cell>
          <cell r="I989">
            <v>0</v>
          </cell>
          <cell r="J989">
            <v>1</v>
          </cell>
          <cell r="K989">
            <v>2</v>
          </cell>
          <cell r="L989">
            <v>2</v>
          </cell>
          <cell r="M989">
            <v>3</v>
          </cell>
          <cell r="O989">
            <v>0</v>
          </cell>
          <cell r="P989">
            <v>0</v>
          </cell>
          <cell r="Q989">
            <v>0</v>
          </cell>
          <cell r="R989">
            <v>1</v>
          </cell>
          <cell r="S989">
            <v>0</v>
          </cell>
          <cell r="T989">
            <v>2</v>
          </cell>
          <cell r="V989">
            <v>0</v>
          </cell>
          <cell r="W989">
            <v>52</v>
          </cell>
          <cell r="X989">
            <v>3</v>
          </cell>
          <cell r="Y989">
            <v>3</v>
          </cell>
          <cell r="AA989">
            <v>0</v>
          </cell>
          <cell r="AB989">
            <v>1</v>
          </cell>
          <cell r="AC989">
            <v>0</v>
          </cell>
          <cell r="AD989">
            <v>0</v>
          </cell>
          <cell r="AE989">
            <v>0</v>
          </cell>
          <cell r="AF989">
            <v>0</v>
          </cell>
          <cell r="AG989">
            <v>0</v>
          </cell>
          <cell r="AH989">
            <v>0</v>
          </cell>
          <cell r="AI989">
            <v>2</v>
          </cell>
          <cell r="AK989">
            <v>0</v>
          </cell>
          <cell r="AL989">
            <v>1</v>
          </cell>
          <cell r="AN989">
            <v>10596</v>
          </cell>
          <cell r="AO989">
            <v>2</v>
          </cell>
          <cell r="AQ989">
            <v>0</v>
          </cell>
          <cell r="AR989">
            <v>11</v>
          </cell>
          <cell r="AS989">
            <v>3</v>
          </cell>
          <cell r="AT989">
            <v>2</v>
          </cell>
          <cell r="AU989">
            <v>0</v>
          </cell>
          <cell r="AV989">
            <v>14</v>
          </cell>
          <cell r="AW989">
            <v>14</v>
          </cell>
          <cell r="AX989">
            <v>5</v>
          </cell>
          <cell r="AY989">
            <v>3</v>
          </cell>
          <cell r="AZ989">
            <v>4</v>
          </cell>
          <cell r="BA989">
            <v>4</v>
          </cell>
          <cell r="BB989">
            <v>2</v>
          </cell>
          <cell r="BC989">
            <v>3</v>
          </cell>
          <cell r="BD989">
            <v>3</v>
          </cell>
          <cell r="BE989">
            <v>2</v>
          </cell>
          <cell r="BF989">
            <v>2</v>
          </cell>
          <cell r="BG989">
            <v>6</v>
          </cell>
          <cell r="BH989">
            <v>0</v>
          </cell>
          <cell r="BI989">
            <v>0</v>
          </cell>
          <cell r="BJ989">
            <v>0</v>
          </cell>
          <cell r="BK989">
            <v>1</v>
          </cell>
          <cell r="BL989">
            <v>0</v>
          </cell>
          <cell r="BM989">
            <v>0</v>
          </cell>
          <cell r="BN989">
            <v>1</v>
          </cell>
          <cell r="BO989">
            <v>0</v>
          </cell>
          <cell r="BP989">
            <v>0</v>
          </cell>
          <cell r="BQ989">
            <v>0</v>
          </cell>
          <cell r="BR989">
            <v>2</v>
          </cell>
          <cell r="BS989">
            <v>0</v>
          </cell>
          <cell r="BT989">
            <v>0</v>
          </cell>
          <cell r="BU989">
            <v>14</v>
          </cell>
        </row>
        <row r="990">
          <cell r="A990">
            <v>41</v>
          </cell>
          <cell r="B990">
            <v>41</v>
          </cell>
          <cell r="D990">
            <v>0</v>
          </cell>
          <cell r="F990">
            <v>1</v>
          </cell>
          <cell r="G990">
            <v>0</v>
          </cell>
          <cell r="I990">
            <v>1</v>
          </cell>
          <cell r="J990">
            <v>0</v>
          </cell>
          <cell r="K990">
            <v>22</v>
          </cell>
          <cell r="L990">
            <v>22</v>
          </cell>
          <cell r="M990">
            <v>3</v>
          </cell>
          <cell r="O990">
            <v>1</v>
          </cell>
          <cell r="P990">
            <v>0</v>
          </cell>
          <cell r="Q990">
            <v>0</v>
          </cell>
          <cell r="R990">
            <v>0</v>
          </cell>
          <cell r="S990">
            <v>0</v>
          </cell>
          <cell r="T990">
            <v>4</v>
          </cell>
          <cell r="V990">
            <v>1</v>
          </cell>
          <cell r="W990">
            <v>75</v>
          </cell>
          <cell r="X990">
            <v>3</v>
          </cell>
          <cell r="Y990">
            <v>2</v>
          </cell>
          <cell r="AA990">
            <v>0</v>
          </cell>
          <cell r="AB990">
            <v>0</v>
          </cell>
          <cell r="AC990">
            <v>0</v>
          </cell>
          <cell r="AD990">
            <v>0</v>
          </cell>
          <cell r="AE990">
            <v>0</v>
          </cell>
          <cell r="AF990">
            <v>0</v>
          </cell>
          <cell r="AG990">
            <v>0</v>
          </cell>
          <cell r="AH990">
            <v>1</v>
          </cell>
          <cell r="AI990">
            <v>4</v>
          </cell>
          <cell r="AK990">
            <v>0</v>
          </cell>
          <cell r="AL990">
            <v>0</v>
          </cell>
          <cell r="AN990">
            <v>5467</v>
          </cell>
          <cell r="AO990">
            <v>3</v>
          </cell>
          <cell r="AQ990">
            <v>1</v>
          </cell>
          <cell r="AR990">
            <v>14</v>
          </cell>
          <cell r="AS990">
            <v>3</v>
          </cell>
          <cell r="AT990">
            <v>1</v>
          </cell>
          <cell r="AU990">
            <v>2</v>
          </cell>
          <cell r="AV990">
            <v>12</v>
          </cell>
          <cell r="AW990">
            <v>12</v>
          </cell>
          <cell r="AX990">
            <v>4</v>
          </cell>
          <cell r="AY990">
            <v>2</v>
          </cell>
          <cell r="AZ990">
            <v>6</v>
          </cell>
          <cell r="BA990">
            <v>6</v>
          </cell>
          <cell r="BB990">
            <v>2</v>
          </cell>
          <cell r="BC990">
            <v>3</v>
          </cell>
          <cell r="BD990">
            <v>3</v>
          </cell>
          <cell r="BE990">
            <v>3</v>
          </cell>
          <cell r="BF990">
            <v>3</v>
          </cell>
          <cell r="BG990">
            <v>6</v>
          </cell>
          <cell r="BH990">
            <v>0</v>
          </cell>
          <cell r="BI990">
            <v>0</v>
          </cell>
          <cell r="BJ990">
            <v>1</v>
          </cell>
          <cell r="BK990">
            <v>0</v>
          </cell>
          <cell r="BL990">
            <v>0</v>
          </cell>
          <cell r="BM990">
            <v>1</v>
          </cell>
          <cell r="BN990">
            <v>0</v>
          </cell>
          <cell r="BO990">
            <v>0</v>
          </cell>
          <cell r="BP990">
            <v>0</v>
          </cell>
          <cell r="BQ990">
            <v>3</v>
          </cell>
          <cell r="BR990">
            <v>0</v>
          </cell>
          <cell r="BS990">
            <v>0</v>
          </cell>
          <cell r="BT990">
            <v>12</v>
          </cell>
          <cell r="BU990">
            <v>0</v>
          </cell>
        </row>
        <row r="991">
          <cell r="A991">
            <v>37</v>
          </cell>
          <cell r="B991">
            <v>37</v>
          </cell>
          <cell r="D991">
            <v>0</v>
          </cell>
          <cell r="F991">
            <v>0</v>
          </cell>
          <cell r="G991">
            <v>1</v>
          </cell>
          <cell r="I991">
            <v>1</v>
          </cell>
          <cell r="J991">
            <v>0</v>
          </cell>
          <cell r="K991">
            <v>4</v>
          </cell>
          <cell r="L991">
            <v>4</v>
          </cell>
          <cell r="M991">
            <v>1</v>
          </cell>
          <cell r="O991">
            <v>1</v>
          </cell>
          <cell r="P991">
            <v>0</v>
          </cell>
          <cell r="Q991">
            <v>0</v>
          </cell>
          <cell r="R991">
            <v>0</v>
          </cell>
          <cell r="S991">
            <v>0</v>
          </cell>
          <cell r="T991">
            <v>3</v>
          </cell>
          <cell r="V991">
            <v>0</v>
          </cell>
          <cell r="W991">
            <v>54</v>
          </cell>
          <cell r="X991">
            <v>3</v>
          </cell>
          <cell r="Y991">
            <v>1</v>
          </cell>
          <cell r="AA991">
            <v>0</v>
          </cell>
          <cell r="AB991">
            <v>0</v>
          </cell>
          <cell r="AC991">
            <v>0</v>
          </cell>
          <cell r="AD991">
            <v>0</v>
          </cell>
          <cell r="AE991">
            <v>0</v>
          </cell>
          <cell r="AF991">
            <v>0</v>
          </cell>
          <cell r="AG991">
            <v>0</v>
          </cell>
          <cell r="AH991">
            <v>1</v>
          </cell>
          <cell r="AI991">
            <v>3</v>
          </cell>
          <cell r="AK991">
            <v>0</v>
          </cell>
          <cell r="AL991">
            <v>1</v>
          </cell>
          <cell r="AN991">
            <v>2996</v>
          </cell>
          <cell r="AO991">
            <v>7</v>
          </cell>
          <cell r="AQ991">
            <v>1</v>
          </cell>
          <cell r="AR991">
            <v>15</v>
          </cell>
          <cell r="AS991">
            <v>3</v>
          </cell>
          <cell r="AT991">
            <v>4</v>
          </cell>
          <cell r="AU991">
            <v>0</v>
          </cell>
          <cell r="AV991">
            <v>8</v>
          </cell>
          <cell r="AW991">
            <v>8</v>
          </cell>
          <cell r="AX991">
            <v>2</v>
          </cell>
          <cell r="AY991">
            <v>3</v>
          </cell>
          <cell r="AZ991">
            <v>6</v>
          </cell>
          <cell r="BA991">
            <v>6</v>
          </cell>
          <cell r="BB991">
            <v>4</v>
          </cell>
          <cell r="BC991">
            <v>1</v>
          </cell>
          <cell r="BD991">
            <v>1</v>
          </cell>
          <cell r="BE991">
            <v>3</v>
          </cell>
          <cell r="BF991">
            <v>3</v>
          </cell>
          <cell r="BG991">
            <v>3</v>
          </cell>
          <cell r="BH991">
            <v>0</v>
          </cell>
          <cell r="BI991">
            <v>1</v>
          </cell>
          <cell r="BJ991">
            <v>0</v>
          </cell>
          <cell r="BK991">
            <v>0</v>
          </cell>
          <cell r="BL991">
            <v>0</v>
          </cell>
          <cell r="BM991">
            <v>0</v>
          </cell>
          <cell r="BN991">
            <v>0</v>
          </cell>
          <cell r="BO991">
            <v>1</v>
          </cell>
          <cell r="BP991">
            <v>0</v>
          </cell>
          <cell r="BQ991">
            <v>3</v>
          </cell>
          <cell r="BR991">
            <v>0</v>
          </cell>
          <cell r="BS991">
            <v>0</v>
          </cell>
          <cell r="BT991">
            <v>8</v>
          </cell>
          <cell r="BU991">
            <v>0</v>
          </cell>
        </row>
        <row r="992">
          <cell r="A992">
            <v>33</v>
          </cell>
          <cell r="B992">
            <v>33</v>
          </cell>
          <cell r="D992">
            <v>0</v>
          </cell>
          <cell r="F992">
            <v>1</v>
          </cell>
          <cell r="G992">
            <v>0</v>
          </cell>
          <cell r="I992">
            <v>0</v>
          </cell>
          <cell r="J992">
            <v>1</v>
          </cell>
          <cell r="K992">
            <v>5</v>
          </cell>
          <cell r="L992">
            <v>5</v>
          </cell>
          <cell r="M992">
            <v>1</v>
          </cell>
          <cell r="O992">
            <v>1</v>
          </cell>
          <cell r="P992">
            <v>0</v>
          </cell>
          <cell r="Q992">
            <v>0</v>
          </cell>
          <cell r="R992">
            <v>0</v>
          </cell>
          <cell r="S992">
            <v>0</v>
          </cell>
          <cell r="T992">
            <v>2</v>
          </cell>
          <cell r="V992">
            <v>0</v>
          </cell>
          <cell r="W992">
            <v>61</v>
          </cell>
          <cell r="X992">
            <v>3</v>
          </cell>
          <cell r="Y992">
            <v>2</v>
          </cell>
          <cell r="AA992">
            <v>0</v>
          </cell>
          <cell r="AB992">
            <v>1</v>
          </cell>
          <cell r="AC992">
            <v>0</v>
          </cell>
          <cell r="AD992">
            <v>0</v>
          </cell>
          <cell r="AE992">
            <v>0</v>
          </cell>
          <cell r="AF992">
            <v>0</v>
          </cell>
          <cell r="AG992">
            <v>0</v>
          </cell>
          <cell r="AH992">
            <v>0</v>
          </cell>
          <cell r="AI992">
            <v>4</v>
          </cell>
          <cell r="AK992">
            <v>0</v>
          </cell>
          <cell r="AL992">
            <v>1</v>
          </cell>
          <cell r="AN992">
            <v>9998</v>
          </cell>
          <cell r="AO992">
            <v>6</v>
          </cell>
          <cell r="AQ992">
            <v>0</v>
          </cell>
          <cell r="AR992">
            <v>13</v>
          </cell>
          <cell r="AS992">
            <v>3</v>
          </cell>
          <cell r="AT992">
            <v>1</v>
          </cell>
          <cell r="AU992">
            <v>0</v>
          </cell>
          <cell r="AV992">
            <v>8</v>
          </cell>
          <cell r="AW992">
            <v>8</v>
          </cell>
          <cell r="AX992">
            <v>2</v>
          </cell>
          <cell r="AY992">
            <v>4</v>
          </cell>
          <cell r="AZ992">
            <v>5</v>
          </cell>
          <cell r="BA992">
            <v>5</v>
          </cell>
          <cell r="BB992">
            <v>4</v>
          </cell>
          <cell r="BC992">
            <v>1</v>
          </cell>
          <cell r="BD992">
            <v>1</v>
          </cell>
          <cell r="BE992">
            <v>2</v>
          </cell>
          <cell r="BF992">
            <v>2</v>
          </cell>
          <cell r="BG992">
            <v>4</v>
          </cell>
          <cell r="BH992">
            <v>0</v>
          </cell>
          <cell r="BI992">
            <v>0</v>
          </cell>
          <cell r="BJ992">
            <v>0</v>
          </cell>
          <cell r="BK992">
            <v>1</v>
          </cell>
          <cell r="BL992">
            <v>0</v>
          </cell>
          <cell r="BM992">
            <v>0</v>
          </cell>
          <cell r="BN992">
            <v>1</v>
          </cell>
          <cell r="BO992">
            <v>0</v>
          </cell>
          <cell r="BP992">
            <v>0</v>
          </cell>
          <cell r="BQ992">
            <v>0</v>
          </cell>
          <cell r="BR992">
            <v>2</v>
          </cell>
          <cell r="BS992">
            <v>0</v>
          </cell>
          <cell r="BT992">
            <v>0</v>
          </cell>
          <cell r="BU992">
            <v>8</v>
          </cell>
        </row>
        <row r="993">
          <cell r="A993">
            <v>32</v>
          </cell>
          <cell r="B993">
            <v>32</v>
          </cell>
          <cell r="D993">
            <v>0</v>
          </cell>
          <cell r="F993">
            <v>0</v>
          </cell>
          <cell r="G993">
            <v>1</v>
          </cell>
          <cell r="I993">
            <v>0</v>
          </cell>
          <cell r="J993">
            <v>1</v>
          </cell>
          <cell r="K993">
            <v>2</v>
          </cell>
          <cell r="L993">
            <v>2</v>
          </cell>
          <cell r="M993">
            <v>1</v>
          </cell>
          <cell r="O993">
            <v>0</v>
          </cell>
          <cell r="P993">
            <v>0</v>
          </cell>
          <cell r="Q993">
            <v>0</v>
          </cell>
          <cell r="R993">
            <v>1</v>
          </cell>
          <cell r="S993">
            <v>0</v>
          </cell>
          <cell r="T993">
            <v>3</v>
          </cell>
          <cell r="V993">
            <v>0</v>
          </cell>
          <cell r="W993">
            <v>36</v>
          </cell>
          <cell r="X993">
            <v>3</v>
          </cell>
          <cell r="Y993">
            <v>2</v>
          </cell>
          <cell r="AA993">
            <v>0</v>
          </cell>
          <cell r="AB993">
            <v>1</v>
          </cell>
          <cell r="AC993">
            <v>0</v>
          </cell>
          <cell r="AD993">
            <v>0</v>
          </cell>
          <cell r="AE993">
            <v>0</v>
          </cell>
          <cell r="AF993">
            <v>0</v>
          </cell>
          <cell r="AG993">
            <v>0</v>
          </cell>
          <cell r="AH993">
            <v>0</v>
          </cell>
          <cell r="AI993">
            <v>2</v>
          </cell>
          <cell r="AK993">
            <v>0</v>
          </cell>
          <cell r="AL993">
            <v>1</v>
          </cell>
          <cell r="AN993">
            <v>4078</v>
          </cell>
          <cell r="AO993">
            <v>0</v>
          </cell>
          <cell r="AQ993">
            <v>1</v>
          </cell>
          <cell r="AR993">
            <v>13</v>
          </cell>
          <cell r="AS993">
            <v>3</v>
          </cell>
          <cell r="AT993">
            <v>1</v>
          </cell>
          <cell r="AU993">
            <v>3</v>
          </cell>
          <cell r="AV993">
            <v>4</v>
          </cell>
          <cell r="AW993">
            <v>4</v>
          </cell>
          <cell r="AX993">
            <v>3</v>
          </cell>
          <cell r="AY993">
            <v>2</v>
          </cell>
          <cell r="AZ993">
            <v>3</v>
          </cell>
          <cell r="BA993">
            <v>3</v>
          </cell>
          <cell r="BB993">
            <v>2</v>
          </cell>
          <cell r="BC993">
            <v>1</v>
          </cell>
          <cell r="BD993">
            <v>1</v>
          </cell>
          <cell r="BE993">
            <v>2</v>
          </cell>
          <cell r="BF993">
            <v>2</v>
          </cell>
          <cell r="BG993">
            <v>4</v>
          </cell>
          <cell r="BH993">
            <v>0</v>
          </cell>
          <cell r="BI993">
            <v>1</v>
          </cell>
          <cell r="BJ993">
            <v>0</v>
          </cell>
          <cell r="BK993">
            <v>0</v>
          </cell>
          <cell r="BL993">
            <v>0</v>
          </cell>
          <cell r="BM993">
            <v>0</v>
          </cell>
          <cell r="BN993">
            <v>0</v>
          </cell>
          <cell r="BO993">
            <v>1</v>
          </cell>
          <cell r="BP993">
            <v>0</v>
          </cell>
          <cell r="BQ993">
            <v>0</v>
          </cell>
          <cell r="BR993">
            <v>2</v>
          </cell>
          <cell r="BS993">
            <v>0</v>
          </cell>
          <cell r="BT993">
            <v>0</v>
          </cell>
          <cell r="BU993">
            <v>4</v>
          </cell>
        </row>
        <row r="994">
          <cell r="A994">
            <v>39</v>
          </cell>
          <cell r="B994">
            <v>39</v>
          </cell>
          <cell r="D994">
            <v>0</v>
          </cell>
          <cell r="F994">
            <v>0</v>
          </cell>
          <cell r="G994">
            <v>0</v>
          </cell>
          <cell r="I994">
            <v>1</v>
          </cell>
          <cell r="J994">
            <v>0</v>
          </cell>
          <cell r="K994">
            <v>25</v>
          </cell>
          <cell r="L994">
            <v>25</v>
          </cell>
          <cell r="M994">
            <v>2</v>
          </cell>
          <cell r="O994">
            <v>1</v>
          </cell>
          <cell r="P994">
            <v>0</v>
          </cell>
          <cell r="Q994">
            <v>0</v>
          </cell>
          <cell r="R994">
            <v>0</v>
          </cell>
          <cell r="S994">
            <v>0</v>
          </cell>
          <cell r="T994">
            <v>3</v>
          </cell>
          <cell r="V994">
            <v>0</v>
          </cell>
          <cell r="W994">
            <v>71</v>
          </cell>
          <cell r="X994">
            <v>3</v>
          </cell>
          <cell r="Y994">
            <v>3</v>
          </cell>
          <cell r="AA994">
            <v>1</v>
          </cell>
          <cell r="AB994">
            <v>0</v>
          </cell>
          <cell r="AC994">
            <v>0</v>
          </cell>
          <cell r="AD994">
            <v>0</v>
          </cell>
          <cell r="AE994">
            <v>0</v>
          </cell>
          <cell r="AF994">
            <v>0</v>
          </cell>
          <cell r="AG994">
            <v>0</v>
          </cell>
          <cell r="AH994">
            <v>0</v>
          </cell>
          <cell r="AI994">
            <v>3</v>
          </cell>
          <cell r="AK994">
            <v>0</v>
          </cell>
          <cell r="AL994">
            <v>1</v>
          </cell>
          <cell r="AN994">
            <v>10920</v>
          </cell>
          <cell r="AO994">
            <v>3</v>
          </cell>
          <cell r="AQ994">
            <v>0</v>
          </cell>
          <cell r="AR994">
            <v>21</v>
          </cell>
          <cell r="AS994">
            <v>4</v>
          </cell>
          <cell r="AT994">
            <v>2</v>
          </cell>
          <cell r="AU994">
            <v>1</v>
          </cell>
          <cell r="AV994">
            <v>13</v>
          </cell>
          <cell r="AW994">
            <v>13</v>
          </cell>
          <cell r="AX994">
            <v>2</v>
          </cell>
          <cell r="AY994">
            <v>3</v>
          </cell>
          <cell r="AZ994">
            <v>6</v>
          </cell>
          <cell r="BA994">
            <v>6</v>
          </cell>
          <cell r="BB994">
            <v>4</v>
          </cell>
          <cell r="BC994">
            <v>0</v>
          </cell>
          <cell r="BD994">
            <v>0</v>
          </cell>
          <cell r="BE994">
            <v>5</v>
          </cell>
          <cell r="BF994">
            <v>5</v>
          </cell>
          <cell r="BG994">
            <v>15</v>
          </cell>
          <cell r="BH994">
            <v>0</v>
          </cell>
          <cell r="BI994">
            <v>1</v>
          </cell>
          <cell r="BJ994">
            <v>0</v>
          </cell>
          <cell r="BK994">
            <v>0</v>
          </cell>
          <cell r="BL994">
            <v>0</v>
          </cell>
          <cell r="BM994">
            <v>0</v>
          </cell>
          <cell r="BN994">
            <v>1</v>
          </cell>
          <cell r="BO994">
            <v>0</v>
          </cell>
          <cell r="BP994">
            <v>0</v>
          </cell>
          <cell r="BQ994">
            <v>5</v>
          </cell>
          <cell r="BR994">
            <v>0</v>
          </cell>
          <cell r="BS994">
            <v>0</v>
          </cell>
          <cell r="BT994">
            <v>13</v>
          </cell>
          <cell r="BU994">
            <v>0</v>
          </cell>
        </row>
        <row r="995">
          <cell r="A995">
            <v>25</v>
          </cell>
          <cell r="B995">
            <v>25</v>
          </cell>
          <cell r="D995">
            <v>0</v>
          </cell>
          <cell r="F995">
            <v>0</v>
          </cell>
          <cell r="G995">
            <v>1</v>
          </cell>
          <cell r="I995">
            <v>0</v>
          </cell>
          <cell r="J995">
            <v>1</v>
          </cell>
          <cell r="K995">
            <v>18</v>
          </cell>
          <cell r="L995">
            <v>18</v>
          </cell>
          <cell r="M995">
            <v>1</v>
          </cell>
          <cell r="O995">
            <v>1</v>
          </cell>
          <cell r="P995">
            <v>0</v>
          </cell>
          <cell r="Q995">
            <v>0</v>
          </cell>
          <cell r="R995">
            <v>0</v>
          </cell>
          <cell r="S995">
            <v>0</v>
          </cell>
          <cell r="T995">
            <v>1</v>
          </cell>
          <cell r="V995">
            <v>0</v>
          </cell>
          <cell r="W995">
            <v>93</v>
          </cell>
          <cell r="X995">
            <v>4</v>
          </cell>
          <cell r="Y995">
            <v>2</v>
          </cell>
          <cell r="AA995">
            <v>0</v>
          </cell>
          <cell r="AB995">
            <v>1</v>
          </cell>
          <cell r="AC995">
            <v>0</v>
          </cell>
          <cell r="AD995">
            <v>0</v>
          </cell>
          <cell r="AE995">
            <v>0</v>
          </cell>
          <cell r="AF995">
            <v>0</v>
          </cell>
          <cell r="AG995">
            <v>0</v>
          </cell>
          <cell r="AH995">
            <v>0</v>
          </cell>
          <cell r="AI995">
            <v>3</v>
          </cell>
          <cell r="AK995">
            <v>0</v>
          </cell>
          <cell r="AL995">
            <v>1</v>
          </cell>
          <cell r="AN995">
            <v>6232</v>
          </cell>
          <cell r="AO995">
            <v>2</v>
          </cell>
          <cell r="AQ995">
            <v>0</v>
          </cell>
          <cell r="AR995">
            <v>11</v>
          </cell>
          <cell r="AS995">
            <v>3</v>
          </cell>
          <cell r="AT995">
            <v>2</v>
          </cell>
          <cell r="AU995">
            <v>0</v>
          </cell>
          <cell r="AV995">
            <v>6</v>
          </cell>
          <cell r="AW995">
            <v>6</v>
          </cell>
          <cell r="AX995">
            <v>3</v>
          </cell>
          <cell r="AY995">
            <v>2</v>
          </cell>
          <cell r="AZ995">
            <v>3</v>
          </cell>
          <cell r="BA995">
            <v>3</v>
          </cell>
          <cell r="BB995">
            <v>2</v>
          </cell>
          <cell r="BC995">
            <v>1</v>
          </cell>
          <cell r="BD995">
            <v>1</v>
          </cell>
          <cell r="BE995">
            <v>2</v>
          </cell>
          <cell r="BF995">
            <v>2</v>
          </cell>
          <cell r="BG995">
            <v>4</v>
          </cell>
          <cell r="BH995">
            <v>0</v>
          </cell>
          <cell r="BI995">
            <v>1</v>
          </cell>
          <cell r="BJ995">
            <v>0</v>
          </cell>
          <cell r="BK995">
            <v>0</v>
          </cell>
          <cell r="BL995">
            <v>0</v>
          </cell>
          <cell r="BM995">
            <v>0</v>
          </cell>
          <cell r="BN995">
            <v>1</v>
          </cell>
          <cell r="BO995">
            <v>0</v>
          </cell>
          <cell r="BP995">
            <v>0</v>
          </cell>
          <cell r="BQ995">
            <v>0</v>
          </cell>
          <cell r="BR995">
            <v>2</v>
          </cell>
          <cell r="BS995">
            <v>0</v>
          </cell>
          <cell r="BT995">
            <v>0</v>
          </cell>
          <cell r="BU995">
            <v>6</v>
          </cell>
        </row>
        <row r="996">
          <cell r="A996">
            <v>52</v>
          </cell>
          <cell r="B996">
            <v>52</v>
          </cell>
          <cell r="D996">
            <v>0</v>
          </cell>
          <cell r="F996">
            <v>1</v>
          </cell>
          <cell r="G996">
            <v>0</v>
          </cell>
          <cell r="I996">
            <v>1</v>
          </cell>
          <cell r="J996">
            <v>0</v>
          </cell>
          <cell r="K996">
            <v>28</v>
          </cell>
          <cell r="L996">
            <v>28</v>
          </cell>
          <cell r="M996">
            <v>2</v>
          </cell>
          <cell r="O996">
            <v>0</v>
          </cell>
          <cell r="P996">
            <v>0</v>
          </cell>
          <cell r="Q996">
            <v>1</v>
          </cell>
          <cell r="R996">
            <v>0</v>
          </cell>
          <cell r="S996">
            <v>0</v>
          </cell>
          <cell r="T996">
            <v>4</v>
          </cell>
          <cell r="V996">
            <v>1</v>
          </cell>
          <cell r="W996">
            <v>59</v>
          </cell>
          <cell r="X996">
            <v>4</v>
          </cell>
          <cell r="Y996">
            <v>4</v>
          </cell>
          <cell r="AA996">
            <v>0</v>
          </cell>
          <cell r="AB996">
            <v>0</v>
          </cell>
          <cell r="AC996">
            <v>0</v>
          </cell>
          <cell r="AD996">
            <v>0</v>
          </cell>
          <cell r="AE996">
            <v>1</v>
          </cell>
          <cell r="AF996">
            <v>1</v>
          </cell>
          <cell r="AG996">
            <v>0</v>
          </cell>
          <cell r="AH996">
            <v>0</v>
          </cell>
          <cell r="AI996">
            <v>3</v>
          </cell>
          <cell r="AK996">
            <v>0</v>
          </cell>
          <cell r="AL996">
            <v>1</v>
          </cell>
          <cell r="AN996">
            <v>13247</v>
          </cell>
          <cell r="AO996">
            <v>2</v>
          </cell>
          <cell r="AQ996">
            <v>1</v>
          </cell>
          <cell r="AR996">
            <v>11</v>
          </cell>
          <cell r="AS996">
            <v>3</v>
          </cell>
          <cell r="AT996">
            <v>2</v>
          </cell>
          <cell r="AU996">
            <v>1</v>
          </cell>
          <cell r="AV996">
            <v>24</v>
          </cell>
          <cell r="AW996">
            <v>24</v>
          </cell>
          <cell r="AX996">
            <v>3</v>
          </cell>
          <cell r="AY996">
            <v>2</v>
          </cell>
          <cell r="AZ996">
            <v>5</v>
          </cell>
          <cell r="BA996">
            <v>5</v>
          </cell>
          <cell r="BB996">
            <v>3</v>
          </cell>
          <cell r="BC996">
            <v>0</v>
          </cell>
          <cell r="BD996">
            <v>0</v>
          </cell>
          <cell r="BE996">
            <v>2</v>
          </cell>
          <cell r="BF996">
            <v>2</v>
          </cell>
          <cell r="BG996">
            <v>8</v>
          </cell>
          <cell r="BH996">
            <v>0</v>
          </cell>
          <cell r="BI996">
            <v>0</v>
          </cell>
          <cell r="BJ996">
            <v>0</v>
          </cell>
          <cell r="BK996">
            <v>1</v>
          </cell>
          <cell r="BL996">
            <v>0</v>
          </cell>
          <cell r="BM996">
            <v>0</v>
          </cell>
          <cell r="BN996">
            <v>0</v>
          </cell>
          <cell r="BO996">
            <v>1</v>
          </cell>
          <cell r="BP996">
            <v>0</v>
          </cell>
          <cell r="BQ996">
            <v>2</v>
          </cell>
          <cell r="BR996">
            <v>0</v>
          </cell>
          <cell r="BS996">
            <v>0</v>
          </cell>
          <cell r="BT996">
            <v>24</v>
          </cell>
          <cell r="BU996">
            <v>0</v>
          </cell>
        </row>
        <row r="997">
          <cell r="A997">
            <v>43</v>
          </cell>
          <cell r="B997">
            <v>43</v>
          </cell>
          <cell r="D997">
            <v>0</v>
          </cell>
          <cell r="F997">
            <v>0</v>
          </cell>
          <cell r="G997">
            <v>1</v>
          </cell>
          <cell r="I997">
            <v>1</v>
          </cell>
          <cell r="J997">
            <v>0</v>
          </cell>
          <cell r="K997">
            <v>6</v>
          </cell>
          <cell r="L997">
            <v>6</v>
          </cell>
          <cell r="M997">
            <v>3</v>
          </cell>
          <cell r="O997">
            <v>0</v>
          </cell>
          <cell r="P997">
            <v>0</v>
          </cell>
          <cell r="Q997">
            <v>1</v>
          </cell>
          <cell r="R997">
            <v>0</v>
          </cell>
          <cell r="S997">
            <v>0</v>
          </cell>
          <cell r="T997">
            <v>1</v>
          </cell>
          <cell r="V997">
            <v>1</v>
          </cell>
          <cell r="W997">
            <v>73</v>
          </cell>
          <cell r="X997">
            <v>2</v>
          </cell>
          <cell r="Y997">
            <v>2</v>
          </cell>
          <cell r="AA997">
            <v>0</v>
          </cell>
          <cell r="AB997">
            <v>0</v>
          </cell>
          <cell r="AC997">
            <v>0</v>
          </cell>
          <cell r="AD997">
            <v>0</v>
          </cell>
          <cell r="AE997">
            <v>0</v>
          </cell>
          <cell r="AF997">
            <v>0</v>
          </cell>
          <cell r="AG997">
            <v>0</v>
          </cell>
          <cell r="AH997">
            <v>1</v>
          </cell>
          <cell r="AI997">
            <v>3</v>
          </cell>
          <cell r="AK997">
            <v>1</v>
          </cell>
          <cell r="AL997">
            <v>0</v>
          </cell>
          <cell r="AN997">
            <v>4081</v>
          </cell>
          <cell r="AO997">
            <v>1</v>
          </cell>
          <cell r="AQ997">
            <v>1</v>
          </cell>
          <cell r="AR997">
            <v>14</v>
          </cell>
          <cell r="AS997">
            <v>3</v>
          </cell>
          <cell r="AT997">
            <v>1</v>
          </cell>
          <cell r="AU997">
            <v>0</v>
          </cell>
          <cell r="AV997">
            <v>20</v>
          </cell>
          <cell r="AW997">
            <v>20</v>
          </cell>
          <cell r="AX997">
            <v>3</v>
          </cell>
          <cell r="AY997">
            <v>1</v>
          </cell>
          <cell r="AZ997">
            <v>20</v>
          </cell>
          <cell r="BA997">
            <v>20</v>
          </cell>
          <cell r="BB997">
            <v>7</v>
          </cell>
          <cell r="BC997">
            <v>1</v>
          </cell>
          <cell r="BD997">
            <v>1</v>
          </cell>
          <cell r="BE997">
            <v>8</v>
          </cell>
          <cell r="BF997">
            <v>8</v>
          </cell>
          <cell r="BG997">
            <v>16</v>
          </cell>
          <cell r="BH997">
            <v>1</v>
          </cell>
          <cell r="BI997">
            <v>0</v>
          </cell>
          <cell r="BJ997">
            <v>0</v>
          </cell>
          <cell r="BK997">
            <v>0</v>
          </cell>
          <cell r="BL997">
            <v>0</v>
          </cell>
          <cell r="BM997">
            <v>1</v>
          </cell>
          <cell r="BN997">
            <v>0</v>
          </cell>
          <cell r="BO997">
            <v>0</v>
          </cell>
          <cell r="BP997">
            <v>0</v>
          </cell>
          <cell r="BQ997">
            <v>8</v>
          </cell>
          <cell r="BR997">
            <v>0</v>
          </cell>
          <cell r="BS997">
            <v>0</v>
          </cell>
          <cell r="BT997">
            <v>20</v>
          </cell>
          <cell r="BU997">
            <v>0</v>
          </cell>
        </row>
        <row r="998">
          <cell r="A998">
            <v>27</v>
          </cell>
          <cell r="B998">
            <v>27</v>
          </cell>
          <cell r="D998">
            <v>0</v>
          </cell>
          <cell r="F998">
            <v>0</v>
          </cell>
          <cell r="G998">
            <v>1</v>
          </cell>
          <cell r="I998">
            <v>0</v>
          </cell>
          <cell r="J998">
            <v>1</v>
          </cell>
          <cell r="K998">
            <v>10</v>
          </cell>
          <cell r="L998">
            <v>10</v>
          </cell>
          <cell r="M998">
            <v>3</v>
          </cell>
          <cell r="O998">
            <v>0</v>
          </cell>
          <cell r="P998">
            <v>0</v>
          </cell>
          <cell r="Q998">
            <v>0</v>
          </cell>
          <cell r="R998">
            <v>1</v>
          </cell>
          <cell r="S998">
            <v>0</v>
          </cell>
          <cell r="T998">
            <v>4</v>
          </cell>
          <cell r="V998">
            <v>1</v>
          </cell>
          <cell r="W998">
            <v>98</v>
          </cell>
          <cell r="X998">
            <v>2</v>
          </cell>
          <cell r="Y998">
            <v>2</v>
          </cell>
          <cell r="AA998">
            <v>0</v>
          </cell>
          <cell r="AB998">
            <v>1</v>
          </cell>
          <cell r="AC998">
            <v>0</v>
          </cell>
          <cell r="AD998">
            <v>0</v>
          </cell>
          <cell r="AE998">
            <v>0</v>
          </cell>
          <cell r="AF998">
            <v>0</v>
          </cell>
          <cell r="AG998">
            <v>0</v>
          </cell>
          <cell r="AH998">
            <v>0</v>
          </cell>
          <cell r="AI998">
            <v>4</v>
          </cell>
          <cell r="AK998">
            <v>0</v>
          </cell>
          <cell r="AL998">
            <v>1</v>
          </cell>
          <cell r="AN998">
            <v>5769</v>
          </cell>
          <cell r="AO998">
            <v>1</v>
          </cell>
          <cell r="AQ998">
            <v>1</v>
          </cell>
          <cell r="AR998">
            <v>11</v>
          </cell>
          <cell r="AS998">
            <v>3</v>
          </cell>
          <cell r="AT998">
            <v>4</v>
          </cell>
          <cell r="AU998">
            <v>0</v>
          </cell>
          <cell r="AV998">
            <v>6</v>
          </cell>
          <cell r="AW998">
            <v>6</v>
          </cell>
          <cell r="AX998">
            <v>3</v>
          </cell>
          <cell r="AY998">
            <v>3</v>
          </cell>
          <cell r="AZ998">
            <v>6</v>
          </cell>
          <cell r="BA998">
            <v>6</v>
          </cell>
          <cell r="BB998">
            <v>2</v>
          </cell>
          <cell r="BC998">
            <v>4</v>
          </cell>
          <cell r="BD998">
            <v>4</v>
          </cell>
          <cell r="BE998">
            <v>4</v>
          </cell>
          <cell r="BF998">
            <v>4</v>
          </cell>
          <cell r="BG998">
            <v>8</v>
          </cell>
          <cell r="BH998">
            <v>0</v>
          </cell>
          <cell r="BI998">
            <v>1</v>
          </cell>
          <cell r="BJ998">
            <v>0</v>
          </cell>
          <cell r="BK998">
            <v>0</v>
          </cell>
          <cell r="BL998">
            <v>0</v>
          </cell>
          <cell r="BM998">
            <v>0</v>
          </cell>
          <cell r="BN998">
            <v>0</v>
          </cell>
          <cell r="BO998">
            <v>1</v>
          </cell>
          <cell r="BP998">
            <v>0</v>
          </cell>
          <cell r="BQ998">
            <v>0</v>
          </cell>
          <cell r="BR998">
            <v>4</v>
          </cell>
          <cell r="BS998">
            <v>0</v>
          </cell>
          <cell r="BT998">
            <v>0</v>
          </cell>
          <cell r="BU998">
            <v>6</v>
          </cell>
        </row>
        <row r="999">
          <cell r="A999">
            <v>27</v>
          </cell>
          <cell r="B999">
            <v>27</v>
          </cell>
          <cell r="D999">
            <v>1</v>
          </cell>
          <cell r="F999">
            <v>0</v>
          </cell>
          <cell r="G999">
            <v>1</v>
          </cell>
          <cell r="I999">
            <v>1</v>
          </cell>
          <cell r="J999">
            <v>0</v>
          </cell>
          <cell r="K999">
            <v>17</v>
          </cell>
          <cell r="L999">
            <v>17</v>
          </cell>
          <cell r="M999">
            <v>4</v>
          </cell>
          <cell r="O999">
            <v>1</v>
          </cell>
          <cell r="P999">
            <v>0</v>
          </cell>
          <cell r="Q999">
            <v>0</v>
          </cell>
          <cell r="R999">
            <v>0</v>
          </cell>
          <cell r="S999">
            <v>0</v>
          </cell>
          <cell r="T999">
            <v>4</v>
          </cell>
          <cell r="V999">
            <v>1</v>
          </cell>
          <cell r="W999">
            <v>51</v>
          </cell>
          <cell r="X999">
            <v>3</v>
          </cell>
          <cell r="Y999">
            <v>1</v>
          </cell>
          <cell r="AA999">
            <v>0</v>
          </cell>
          <cell r="AB999">
            <v>0</v>
          </cell>
          <cell r="AC999">
            <v>0</v>
          </cell>
          <cell r="AD999">
            <v>0</v>
          </cell>
          <cell r="AE999">
            <v>0</v>
          </cell>
          <cell r="AF999">
            <v>0</v>
          </cell>
          <cell r="AG999">
            <v>0</v>
          </cell>
          <cell r="AH999">
            <v>1</v>
          </cell>
          <cell r="AI999">
            <v>3</v>
          </cell>
          <cell r="AK999">
            <v>1</v>
          </cell>
          <cell r="AL999">
            <v>0</v>
          </cell>
          <cell r="AN999">
            <v>2394</v>
          </cell>
          <cell r="AO999">
            <v>1</v>
          </cell>
          <cell r="AQ999">
            <v>1</v>
          </cell>
          <cell r="AR999">
            <v>13</v>
          </cell>
          <cell r="AS999">
            <v>3</v>
          </cell>
          <cell r="AT999">
            <v>4</v>
          </cell>
          <cell r="AU999">
            <v>0</v>
          </cell>
          <cell r="AV999">
            <v>8</v>
          </cell>
          <cell r="AW999">
            <v>8</v>
          </cell>
          <cell r="AX999">
            <v>2</v>
          </cell>
          <cell r="AY999">
            <v>3</v>
          </cell>
          <cell r="AZ999">
            <v>8</v>
          </cell>
          <cell r="BA999">
            <v>8</v>
          </cell>
          <cell r="BB999">
            <v>2</v>
          </cell>
          <cell r="BC999">
            <v>7</v>
          </cell>
          <cell r="BD999">
            <v>7</v>
          </cell>
          <cell r="BE999">
            <v>7</v>
          </cell>
          <cell r="BF999">
            <v>7</v>
          </cell>
          <cell r="BG999">
            <v>7</v>
          </cell>
          <cell r="BH999">
            <v>1</v>
          </cell>
          <cell r="BI999">
            <v>0</v>
          </cell>
          <cell r="BJ999">
            <v>0</v>
          </cell>
          <cell r="BK999">
            <v>0</v>
          </cell>
          <cell r="BL999">
            <v>0</v>
          </cell>
          <cell r="BM999">
            <v>1</v>
          </cell>
          <cell r="BN999">
            <v>0</v>
          </cell>
          <cell r="BO999">
            <v>0</v>
          </cell>
          <cell r="BP999">
            <v>0</v>
          </cell>
          <cell r="BQ999">
            <v>7</v>
          </cell>
          <cell r="BR999">
            <v>0</v>
          </cell>
          <cell r="BS999">
            <v>0</v>
          </cell>
          <cell r="BT999">
            <v>8</v>
          </cell>
          <cell r="BU999">
            <v>0</v>
          </cell>
        </row>
        <row r="1000">
          <cell r="A1000">
            <v>26</v>
          </cell>
          <cell r="B1000">
            <v>26</v>
          </cell>
          <cell r="D1000">
            <v>0</v>
          </cell>
          <cell r="F1000">
            <v>0</v>
          </cell>
          <cell r="G1000">
            <v>1</v>
          </cell>
          <cell r="I1000">
            <v>1</v>
          </cell>
          <cell r="J1000">
            <v>0</v>
          </cell>
          <cell r="K1000">
            <v>2</v>
          </cell>
          <cell r="L1000">
            <v>2</v>
          </cell>
          <cell r="M1000">
            <v>1</v>
          </cell>
          <cell r="O1000">
            <v>0</v>
          </cell>
          <cell r="P1000">
            <v>0</v>
          </cell>
          <cell r="Q1000">
            <v>1</v>
          </cell>
          <cell r="R1000">
            <v>0</v>
          </cell>
          <cell r="S1000">
            <v>0</v>
          </cell>
          <cell r="T1000">
            <v>1</v>
          </cell>
          <cell r="V1000">
            <v>0</v>
          </cell>
          <cell r="W1000">
            <v>36</v>
          </cell>
          <cell r="X1000">
            <v>2</v>
          </cell>
          <cell r="Y1000">
            <v>1</v>
          </cell>
          <cell r="AA1000">
            <v>0</v>
          </cell>
          <cell r="AB1000">
            <v>0</v>
          </cell>
          <cell r="AC1000">
            <v>0</v>
          </cell>
          <cell r="AD1000">
            <v>0</v>
          </cell>
          <cell r="AE1000">
            <v>0</v>
          </cell>
          <cell r="AF1000">
            <v>0</v>
          </cell>
          <cell r="AG1000">
            <v>0</v>
          </cell>
          <cell r="AH1000">
            <v>1</v>
          </cell>
          <cell r="AI1000">
            <v>4</v>
          </cell>
          <cell r="AK1000">
            <v>1</v>
          </cell>
          <cell r="AL1000">
            <v>0</v>
          </cell>
          <cell r="AN1000">
            <v>3904</v>
          </cell>
          <cell r="AO1000">
            <v>0</v>
          </cell>
          <cell r="AQ1000">
            <v>0</v>
          </cell>
          <cell r="AR1000">
            <v>12</v>
          </cell>
          <cell r="AS1000">
            <v>3</v>
          </cell>
          <cell r="AT1000">
            <v>4</v>
          </cell>
          <cell r="AU1000">
            <v>0</v>
          </cell>
          <cell r="AV1000">
            <v>5</v>
          </cell>
          <cell r="AW1000">
            <v>5</v>
          </cell>
          <cell r="AX1000">
            <v>2</v>
          </cell>
          <cell r="AY1000">
            <v>3</v>
          </cell>
          <cell r="AZ1000">
            <v>4</v>
          </cell>
          <cell r="BA1000">
            <v>4</v>
          </cell>
          <cell r="BB1000">
            <v>3</v>
          </cell>
          <cell r="BC1000">
            <v>1</v>
          </cell>
          <cell r="BD1000">
            <v>1</v>
          </cell>
          <cell r="BE1000">
            <v>1</v>
          </cell>
          <cell r="BF1000">
            <v>1</v>
          </cell>
          <cell r="BG1000">
            <v>1</v>
          </cell>
          <cell r="BH1000">
            <v>1</v>
          </cell>
          <cell r="BI1000">
            <v>0</v>
          </cell>
          <cell r="BJ1000">
            <v>0</v>
          </cell>
          <cell r="BK1000">
            <v>0</v>
          </cell>
          <cell r="BL1000">
            <v>1</v>
          </cell>
          <cell r="BM1000">
            <v>0</v>
          </cell>
          <cell r="BN1000">
            <v>0</v>
          </cell>
          <cell r="BO1000">
            <v>0</v>
          </cell>
          <cell r="BP1000">
            <v>0</v>
          </cell>
          <cell r="BQ1000">
            <v>1</v>
          </cell>
          <cell r="BR1000">
            <v>0</v>
          </cell>
          <cell r="BS1000">
            <v>0</v>
          </cell>
          <cell r="BT1000">
            <v>5</v>
          </cell>
          <cell r="BU1000">
            <v>0</v>
          </cell>
        </row>
        <row r="1001">
          <cell r="A1001">
            <v>42</v>
          </cell>
          <cell r="B1001">
            <v>42</v>
          </cell>
          <cell r="D1001">
            <v>0</v>
          </cell>
          <cell r="F1001">
            <v>0</v>
          </cell>
          <cell r="G1001">
            <v>1</v>
          </cell>
          <cell r="I1001">
            <v>0</v>
          </cell>
          <cell r="J1001">
            <v>0</v>
          </cell>
          <cell r="K1001">
            <v>10</v>
          </cell>
          <cell r="L1001">
            <v>10</v>
          </cell>
          <cell r="M1001">
            <v>3</v>
          </cell>
          <cell r="O1001">
            <v>0</v>
          </cell>
          <cell r="P1001">
            <v>0</v>
          </cell>
          <cell r="Q1001">
            <v>0</v>
          </cell>
          <cell r="R1001">
            <v>0</v>
          </cell>
          <cell r="S1001">
            <v>0</v>
          </cell>
          <cell r="T1001">
            <v>3</v>
          </cell>
          <cell r="V1001">
            <v>1</v>
          </cell>
          <cell r="W1001">
            <v>31</v>
          </cell>
          <cell r="X1001">
            <v>3</v>
          </cell>
          <cell r="Y1001">
            <v>4</v>
          </cell>
          <cell r="AA1001">
            <v>0</v>
          </cell>
          <cell r="AB1001">
            <v>0</v>
          </cell>
          <cell r="AC1001">
            <v>0</v>
          </cell>
          <cell r="AD1001">
            <v>1</v>
          </cell>
          <cell r="AE1001">
            <v>0</v>
          </cell>
          <cell r="AF1001">
            <v>0</v>
          </cell>
          <cell r="AG1001">
            <v>0</v>
          </cell>
          <cell r="AH1001">
            <v>0</v>
          </cell>
          <cell r="AI1001">
            <v>1</v>
          </cell>
          <cell r="AK1001">
            <v>0</v>
          </cell>
          <cell r="AL1001">
            <v>1</v>
          </cell>
          <cell r="AN1001">
            <v>16799</v>
          </cell>
          <cell r="AO1001">
            <v>0</v>
          </cell>
          <cell r="AQ1001">
            <v>0</v>
          </cell>
          <cell r="AR1001">
            <v>14</v>
          </cell>
          <cell r="AS1001">
            <v>3</v>
          </cell>
          <cell r="AT1001">
            <v>3</v>
          </cell>
          <cell r="AU1001">
            <v>1</v>
          </cell>
          <cell r="AV1001">
            <v>21</v>
          </cell>
          <cell r="AW1001">
            <v>21</v>
          </cell>
          <cell r="AX1001">
            <v>5</v>
          </cell>
          <cell r="AY1001">
            <v>3</v>
          </cell>
          <cell r="AZ1001">
            <v>20</v>
          </cell>
          <cell r="BA1001">
            <v>20</v>
          </cell>
          <cell r="BB1001">
            <v>7</v>
          </cell>
          <cell r="BC1001">
            <v>0</v>
          </cell>
          <cell r="BD1001">
            <v>0</v>
          </cell>
          <cell r="BE1001">
            <v>9</v>
          </cell>
          <cell r="BF1001">
            <v>9</v>
          </cell>
          <cell r="BG1001">
            <v>36</v>
          </cell>
          <cell r="BH1001">
            <v>0</v>
          </cell>
          <cell r="BI1001">
            <v>1</v>
          </cell>
          <cell r="BJ1001">
            <v>0</v>
          </cell>
          <cell r="BK1001">
            <v>0</v>
          </cell>
          <cell r="BL1001">
            <v>0</v>
          </cell>
          <cell r="BM1001">
            <v>0</v>
          </cell>
          <cell r="BN1001">
            <v>1</v>
          </cell>
          <cell r="BO1001">
            <v>0</v>
          </cell>
          <cell r="BP1001">
            <v>9</v>
          </cell>
          <cell r="BQ1001">
            <v>0</v>
          </cell>
          <cell r="BR1001">
            <v>0</v>
          </cell>
          <cell r="BS1001">
            <v>21</v>
          </cell>
          <cell r="BT1001">
            <v>0</v>
          </cell>
          <cell r="BU1001">
            <v>0</v>
          </cell>
        </row>
        <row r="1002">
          <cell r="A1002">
            <v>52</v>
          </cell>
          <cell r="B1002">
            <v>52</v>
          </cell>
          <cell r="D1002">
            <v>0</v>
          </cell>
          <cell r="F1002">
            <v>0</v>
          </cell>
          <cell r="G1002">
            <v>1</v>
          </cell>
          <cell r="I1002">
            <v>1</v>
          </cell>
          <cell r="J1002">
            <v>0</v>
          </cell>
          <cell r="K1002">
            <v>8</v>
          </cell>
          <cell r="L1002">
            <v>8</v>
          </cell>
          <cell r="M1002">
            <v>4</v>
          </cell>
          <cell r="O1002">
            <v>0</v>
          </cell>
          <cell r="P1002">
            <v>1</v>
          </cell>
          <cell r="Q1002">
            <v>0</v>
          </cell>
          <cell r="R1002">
            <v>0</v>
          </cell>
          <cell r="S1002">
            <v>0</v>
          </cell>
          <cell r="T1002">
            <v>3</v>
          </cell>
          <cell r="V1002">
            <v>1</v>
          </cell>
          <cell r="W1002">
            <v>54</v>
          </cell>
          <cell r="X1002">
            <v>3</v>
          </cell>
          <cell r="Y1002">
            <v>1</v>
          </cell>
          <cell r="AA1002">
            <v>0</v>
          </cell>
          <cell r="AB1002">
            <v>0</v>
          </cell>
          <cell r="AC1002">
            <v>1</v>
          </cell>
          <cell r="AD1002">
            <v>0</v>
          </cell>
          <cell r="AE1002">
            <v>0</v>
          </cell>
          <cell r="AF1002">
            <v>0</v>
          </cell>
          <cell r="AG1002">
            <v>0</v>
          </cell>
          <cell r="AH1002">
            <v>0</v>
          </cell>
          <cell r="AI1002">
            <v>1</v>
          </cell>
          <cell r="AK1002">
            <v>0</v>
          </cell>
          <cell r="AL1002">
            <v>1</v>
          </cell>
          <cell r="AN1002">
            <v>2950</v>
          </cell>
          <cell r="AO1002">
            <v>9</v>
          </cell>
          <cell r="AQ1002">
            <v>0</v>
          </cell>
          <cell r="AR1002">
            <v>13</v>
          </cell>
          <cell r="AS1002">
            <v>3</v>
          </cell>
          <cell r="AT1002">
            <v>3</v>
          </cell>
          <cell r="AU1002">
            <v>0</v>
          </cell>
          <cell r="AV1002">
            <v>12</v>
          </cell>
          <cell r="AW1002">
            <v>12</v>
          </cell>
          <cell r="AX1002">
            <v>2</v>
          </cell>
          <cell r="AY1002">
            <v>1</v>
          </cell>
          <cell r="AZ1002">
            <v>5</v>
          </cell>
          <cell r="BA1002">
            <v>5</v>
          </cell>
          <cell r="BB1002">
            <v>4</v>
          </cell>
          <cell r="BC1002">
            <v>0</v>
          </cell>
          <cell r="BD1002">
            <v>0</v>
          </cell>
          <cell r="BE1002">
            <v>4</v>
          </cell>
          <cell r="BF1002">
            <v>4</v>
          </cell>
          <cell r="BG1002">
            <v>4</v>
          </cell>
          <cell r="BH1002">
            <v>0</v>
          </cell>
          <cell r="BI1002">
            <v>1</v>
          </cell>
          <cell r="BJ1002">
            <v>0</v>
          </cell>
          <cell r="BK1002">
            <v>0</v>
          </cell>
          <cell r="BL1002">
            <v>0</v>
          </cell>
          <cell r="BM1002">
            <v>0</v>
          </cell>
          <cell r="BN1002">
            <v>1</v>
          </cell>
          <cell r="BO1002">
            <v>0</v>
          </cell>
          <cell r="BP1002">
            <v>0</v>
          </cell>
          <cell r="BQ1002">
            <v>4</v>
          </cell>
          <cell r="BR1002">
            <v>0</v>
          </cell>
          <cell r="BS1002">
            <v>0</v>
          </cell>
          <cell r="BT1002">
            <v>12</v>
          </cell>
          <cell r="BU1002">
            <v>0</v>
          </cell>
        </row>
        <row r="1003">
          <cell r="A1003">
            <v>37</v>
          </cell>
          <cell r="B1003">
            <v>37</v>
          </cell>
          <cell r="D1003">
            <v>0</v>
          </cell>
          <cell r="F1003">
            <v>0</v>
          </cell>
          <cell r="G1003">
            <v>1</v>
          </cell>
          <cell r="I1003">
            <v>1</v>
          </cell>
          <cell r="J1003">
            <v>0</v>
          </cell>
          <cell r="K1003">
            <v>11</v>
          </cell>
          <cell r="L1003">
            <v>11</v>
          </cell>
          <cell r="M1003">
            <v>3</v>
          </cell>
          <cell r="O1003">
            <v>0</v>
          </cell>
          <cell r="P1003">
            <v>0</v>
          </cell>
          <cell r="Q1003">
            <v>1</v>
          </cell>
          <cell r="R1003">
            <v>0</v>
          </cell>
          <cell r="S1003">
            <v>0</v>
          </cell>
          <cell r="T1003">
            <v>1</v>
          </cell>
          <cell r="V1003">
            <v>1</v>
          </cell>
          <cell r="W1003">
            <v>94</v>
          </cell>
          <cell r="X1003">
            <v>3</v>
          </cell>
          <cell r="Y1003">
            <v>1</v>
          </cell>
          <cell r="AA1003">
            <v>0</v>
          </cell>
          <cell r="AB1003">
            <v>0</v>
          </cell>
          <cell r="AC1003">
            <v>1</v>
          </cell>
          <cell r="AD1003">
            <v>0</v>
          </cell>
          <cell r="AE1003">
            <v>0</v>
          </cell>
          <cell r="AF1003">
            <v>0</v>
          </cell>
          <cell r="AG1003">
            <v>0</v>
          </cell>
          <cell r="AH1003">
            <v>0</v>
          </cell>
          <cell r="AI1003">
            <v>3</v>
          </cell>
          <cell r="AK1003">
            <v>1</v>
          </cell>
          <cell r="AL1003">
            <v>0</v>
          </cell>
          <cell r="AN1003">
            <v>3629</v>
          </cell>
          <cell r="AO1003">
            <v>4</v>
          </cell>
          <cell r="AQ1003">
            <v>0</v>
          </cell>
          <cell r="AR1003">
            <v>18</v>
          </cell>
          <cell r="AS1003">
            <v>3</v>
          </cell>
          <cell r="AT1003">
            <v>1</v>
          </cell>
          <cell r="AU1003">
            <v>0</v>
          </cell>
          <cell r="AV1003">
            <v>8</v>
          </cell>
          <cell r="AW1003">
            <v>8</v>
          </cell>
          <cell r="AX1003">
            <v>6</v>
          </cell>
          <cell r="AY1003">
            <v>3</v>
          </cell>
          <cell r="AZ1003">
            <v>3</v>
          </cell>
          <cell r="BA1003">
            <v>3</v>
          </cell>
          <cell r="BB1003">
            <v>2</v>
          </cell>
          <cell r="BC1003">
            <v>0</v>
          </cell>
          <cell r="BD1003">
            <v>0</v>
          </cell>
          <cell r="BE1003">
            <v>2</v>
          </cell>
          <cell r="BF1003">
            <v>2</v>
          </cell>
          <cell r="BG1003">
            <v>2</v>
          </cell>
          <cell r="BH1003">
            <v>1</v>
          </cell>
          <cell r="BI1003">
            <v>0</v>
          </cell>
          <cell r="BJ1003">
            <v>0</v>
          </cell>
          <cell r="BK1003">
            <v>0</v>
          </cell>
          <cell r="BL1003">
            <v>1</v>
          </cell>
          <cell r="BM1003">
            <v>0</v>
          </cell>
          <cell r="BN1003">
            <v>0</v>
          </cell>
          <cell r="BO1003">
            <v>0</v>
          </cell>
          <cell r="BP1003">
            <v>0</v>
          </cell>
          <cell r="BQ1003">
            <v>2</v>
          </cell>
          <cell r="BR1003">
            <v>0</v>
          </cell>
          <cell r="BS1003">
            <v>0</v>
          </cell>
          <cell r="BT1003">
            <v>8</v>
          </cell>
          <cell r="BU1003">
            <v>0</v>
          </cell>
        </row>
        <row r="1004">
          <cell r="A1004">
            <v>35</v>
          </cell>
          <cell r="B1004">
            <v>35</v>
          </cell>
          <cell r="D1004">
            <v>0</v>
          </cell>
          <cell r="F1004">
            <v>1</v>
          </cell>
          <cell r="G1004">
            <v>0</v>
          </cell>
          <cell r="I1004">
            <v>1</v>
          </cell>
          <cell r="J1004">
            <v>0</v>
          </cell>
          <cell r="K1004">
            <v>18</v>
          </cell>
          <cell r="L1004">
            <v>18</v>
          </cell>
          <cell r="M1004">
            <v>2</v>
          </cell>
          <cell r="O1004">
            <v>1</v>
          </cell>
          <cell r="P1004">
            <v>0</v>
          </cell>
          <cell r="Q1004">
            <v>0</v>
          </cell>
          <cell r="R1004">
            <v>0</v>
          </cell>
          <cell r="S1004">
            <v>0</v>
          </cell>
          <cell r="T1004">
            <v>3</v>
          </cell>
          <cell r="V1004">
            <v>0</v>
          </cell>
          <cell r="W1004">
            <v>60</v>
          </cell>
          <cell r="X1004">
            <v>3</v>
          </cell>
          <cell r="Y1004">
            <v>3</v>
          </cell>
          <cell r="AA1004">
            <v>0</v>
          </cell>
          <cell r="AB1004">
            <v>0</v>
          </cell>
          <cell r="AC1004">
            <v>0</v>
          </cell>
          <cell r="AD1004">
            <v>0</v>
          </cell>
          <cell r="AE1004">
            <v>1</v>
          </cell>
          <cell r="AF1004">
            <v>1</v>
          </cell>
          <cell r="AG1004">
            <v>0</v>
          </cell>
          <cell r="AH1004">
            <v>0</v>
          </cell>
          <cell r="AI1004">
            <v>4</v>
          </cell>
          <cell r="AK1004">
            <v>1</v>
          </cell>
          <cell r="AL1004">
            <v>0</v>
          </cell>
          <cell r="AN1004">
            <v>9362</v>
          </cell>
          <cell r="AO1004">
            <v>2</v>
          </cell>
          <cell r="AQ1004">
            <v>0</v>
          </cell>
          <cell r="AR1004">
            <v>11</v>
          </cell>
          <cell r="AS1004">
            <v>3</v>
          </cell>
          <cell r="AT1004">
            <v>3</v>
          </cell>
          <cell r="AU1004">
            <v>0</v>
          </cell>
          <cell r="AV1004">
            <v>10</v>
          </cell>
          <cell r="AW1004">
            <v>10</v>
          </cell>
          <cell r="AX1004">
            <v>2</v>
          </cell>
          <cell r="AY1004">
            <v>3</v>
          </cell>
          <cell r="AZ1004">
            <v>2</v>
          </cell>
          <cell r="BA1004">
            <v>2</v>
          </cell>
          <cell r="BB1004">
            <v>2</v>
          </cell>
          <cell r="BC1004">
            <v>2</v>
          </cell>
          <cell r="BD1004">
            <v>2</v>
          </cell>
          <cell r="BE1004">
            <v>2</v>
          </cell>
          <cell r="BF1004">
            <v>2</v>
          </cell>
          <cell r="BG1004">
            <v>6</v>
          </cell>
          <cell r="BH1004">
            <v>0</v>
          </cell>
          <cell r="BI1004">
            <v>0</v>
          </cell>
          <cell r="BJ1004">
            <v>1</v>
          </cell>
          <cell r="BK1004">
            <v>0</v>
          </cell>
          <cell r="BL1004">
            <v>1</v>
          </cell>
          <cell r="BM1004">
            <v>0</v>
          </cell>
          <cell r="BN1004">
            <v>0</v>
          </cell>
          <cell r="BO1004">
            <v>0</v>
          </cell>
          <cell r="BP1004">
            <v>0</v>
          </cell>
          <cell r="BQ1004">
            <v>2</v>
          </cell>
          <cell r="BR1004">
            <v>0</v>
          </cell>
          <cell r="BS1004">
            <v>0</v>
          </cell>
          <cell r="BT1004">
            <v>10</v>
          </cell>
          <cell r="BU1004">
            <v>0</v>
          </cell>
        </row>
        <row r="1005">
          <cell r="A1005">
            <v>25</v>
          </cell>
          <cell r="B1005">
            <v>25</v>
          </cell>
          <cell r="D1005">
            <v>0</v>
          </cell>
          <cell r="F1005">
            <v>0</v>
          </cell>
          <cell r="G1005">
            <v>1</v>
          </cell>
          <cell r="I1005">
            <v>1</v>
          </cell>
          <cell r="J1005">
            <v>0</v>
          </cell>
          <cell r="K1005">
            <v>1</v>
          </cell>
          <cell r="L1005">
            <v>1</v>
          </cell>
          <cell r="M1005">
            <v>3</v>
          </cell>
          <cell r="O1005">
            <v>0</v>
          </cell>
          <cell r="P1005">
            <v>0</v>
          </cell>
          <cell r="Q1005">
            <v>0</v>
          </cell>
          <cell r="R1005">
            <v>0</v>
          </cell>
          <cell r="S1005">
            <v>1</v>
          </cell>
          <cell r="T1005">
            <v>1</v>
          </cell>
          <cell r="V1005">
            <v>0</v>
          </cell>
          <cell r="W1005">
            <v>81</v>
          </cell>
          <cell r="X1005">
            <v>3</v>
          </cell>
          <cell r="Y1005">
            <v>1</v>
          </cell>
          <cell r="AA1005">
            <v>0</v>
          </cell>
          <cell r="AB1005">
            <v>0</v>
          </cell>
          <cell r="AC1005">
            <v>1</v>
          </cell>
          <cell r="AD1005">
            <v>0</v>
          </cell>
          <cell r="AE1005">
            <v>0</v>
          </cell>
          <cell r="AF1005">
            <v>0</v>
          </cell>
          <cell r="AG1005">
            <v>0</v>
          </cell>
          <cell r="AH1005">
            <v>0</v>
          </cell>
          <cell r="AI1005">
            <v>4</v>
          </cell>
          <cell r="AK1005">
            <v>0</v>
          </cell>
          <cell r="AL1005">
            <v>1</v>
          </cell>
          <cell r="AN1005">
            <v>3229</v>
          </cell>
          <cell r="AO1005">
            <v>4</v>
          </cell>
          <cell r="AQ1005">
            <v>0</v>
          </cell>
          <cell r="AR1005">
            <v>11</v>
          </cell>
          <cell r="AS1005">
            <v>3</v>
          </cell>
          <cell r="AT1005">
            <v>2</v>
          </cell>
          <cell r="AU1005">
            <v>1</v>
          </cell>
          <cell r="AV1005">
            <v>7</v>
          </cell>
          <cell r="AW1005">
            <v>7</v>
          </cell>
          <cell r="AX1005">
            <v>2</v>
          </cell>
          <cell r="AY1005">
            <v>2</v>
          </cell>
          <cell r="AZ1005">
            <v>3</v>
          </cell>
          <cell r="BA1005">
            <v>3</v>
          </cell>
          <cell r="BB1005">
            <v>2</v>
          </cell>
          <cell r="BC1005">
            <v>0</v>
          </cell>
          <cell r="BD1005">
            <v>0</v>
          </cell>
          <cell r="BE1005">
            <v>2</v>
          </cell>
          <cell r="BF1005">
            <v>2</v>
          </cell>
          <cell r="BG1005">
            <v>2</v>
          </cell>
          <cell r="BH1005">
            <v>0</v>
          </cell>
          <cell r="BI1005">
            <v>1</v>
          </cell>
          <cell r="BJ1005">
            <v>0</v>
          </cell>
          <cell r="BK1005">
            <v>0</v>
          </cell>
          <cell r="BL1005">
            <v>0</v>
          </cell>
          <cell r="BM1005">
            <v>0</v>
          </cell>
          <cell r="BN1005">
            <v>1</v>
          </cell>
          <cell r="BO1005">
            <v>0</v>
          </cell>
          <cell r="BP1005">
            <v>0</v>
          </cell>
          <cell r="BQ1005">
            <v>2</v>
          </cell>
          <cell r="BR1005">
            <v>0</v>
          </cell>
          <cell r="BS1005">
            <v>0</v>
          </cell>
          <cell r="BT1005">
            <v>7</v>
          </cell>
          <cell r="BU1005">
            <v>0</v>
          </cell>
        </row>
        <row r="1006">
          <cell r="A1006">
            <v>26</v>
          </cell>
          <cell r="B1006">
            <v>26</v>
          </cell>
          <cell r="D1006">
            <v>0</v>
          </cell>
          <cell r="F1006">
            <v>0</v>
          </cell>
          <cell r="G1006">
            <v>1</v>
          </cell>
          <cell r="I1006">
            <v>1</v>
          </cell>
          <cell r="J1006">
            <v>0</v>
          </cell>
          <cell r="K1006">
            <v>7</v>
          </cell>
          <cell r="L1006">
            <v>7</v>
          </cell>
          <cell r="M1006">
            <v>3</v>
          </cell>
          <cell r="O1006">
            <v>0</v>
          </cell>
          <cell r="P1006">
            <v>1</v>
          </cell>
          <cell r="Q1006">
            <v>0</v>
          </cell>
          <cell r="R1006">
            <v>0</v>
          </cell>
          <cell r="S1006">
            <v>0</v>
          </cell>
          <cell r="T1006">
            <v>3</v>
          </cell>
          <cell r="V1006">
            <v>0</v>
          </cell>
          <cell r="W1006">
            <v>100</v>
          </cell>
          <cell r="X1006">
            <v>4</v>
          </cell>
          <cell r="Y1006">
            <v>1</v>
          </cell>
          <cell r="AA1006">
            <v>0</v>
          </cell>
          <cell r="AB1006">
            <v>0</v>
          </cell>
          <cell r="AC1006">
            <v>1</v>
          </cell>
          <cell r="AD1006">
            <v>0</v>
          </cell>
          <cell r="AE1006">
            <v>0</v>
          </cell>
          <cell r="AF1006">
            <v>0</v>
          </cell>
          <cell r="AG1006">
            <v>0</v>
          </cell>
          <cell r="AH1006">
            <v>0</v>
          </cell>
          <cell r="AI1006">
            <v>1</v>
          </cell>
          <cell r="AK1006">
            <v>1</v>
          </cell>
          <cell r="AL1006">
            <v>0</v>
          </cell>
          <cell r="AN1006">
            <v>3578</v>
          </cell>
          <cell r="AO1006">
            <v>0</v>
          </cell>
          <cell r="AQ1006">
            <v>0</v>
          </cell>
          <cell r="AR1006">
            <v>12</v>
          </cell>
          <cell r="AS1006">
            <v>3</v>
          </cell>
          <cell r="AT1006">
            <v>4</v>
          </cell>
          <cell r="AU1006">
            <v>0</v>
          </cell>
          <cell r="AV1006">
            <v>8</v>
          </cell>
          <cell r="AW1006">
            <v>8</v>
          </cell>
          <cell r="AX1006">
            <v>2</v>
          </cell>
          <cell r="AY1006">
            <v>3</v>
          </cell>
          <cell r="AZ1006">
            <v>7</v>
          </cell>
          <cell r="BA1006">
            <v>7</v>
          </cell>
          <cell r="BB1006">
            <v>7</v>
          </cell>
          <cell r="BC1006">
            <v>0</v>
          </cell>
          <cell r="BD1006">
            <v>0</v>
          </cell>
          <cell r="BE1006">
            <v>7</v>
          </cell>
          <cell r="BF1006">
            <v>7</v>
          </cell>
          <cell r="BG1006">
            <v>7</v>
          </cell>
          <cell r="BH1006">
            <v>1</v>
          </cell>
          <cell r="BI1006">
            <v>0</v>
          </cell>
          <cell r="BJ1006">
            <v>0</v>
          </cell>
          <cell r="BK1006">
            <v>0</v>
          </cell>
          <cell r="BL1006">
            <v>1</v>
          </cell>
          <cell r="BM1006">
            <v>0</v>
          </cell>
          <cell r="BN1006">
            <v>0</v>
          </cell>
          <cell r="BO1006">
            <v>0</v>
          </cell>
          <cell r="BP1006">
            <v>0</v>
          </cell>
          <cell r="BQ1006">
            <v>7</v>
          </cell>
          <cell r="BR1006">
            <v>0</v>
          </cell>
          <cell r="BS1006">
            <v>0</v>
          </cell>
          <cell r="BT1006">
            <v>8</v>
          </cell>
          <cell r="BU1006">
            <v>0</v>
          </cell>
        </row>
        <row r="1007">
          <cell r="A1007">
            <v>29</v>
          </cell>
          <cell r="B1007">
            <v>29</v>
          </cell>
          <cell r="D1007">
            <v>0</v>
          </cell>
          <cell r="F1007">
            <v>0</v>
          </cell>
          <cell r="G1007">
            <v>1</v>
          </cell>
          <cell r="I1007">
            <v>0</v>
          </cell>
          <cell r="J1007">
            <v>0</v>
          </cell>
          <cell r="K1007">
            <v>17</v>
          </cell>
          <cell r="L1007">
            <v>17</v>
          </cell>
          <cell r="M1007">
            <v>3</v>
          </cell>
          <cell r="O1007">
            <v>0</v>
          </cell>
          <cell r="P1007">
            <v>1</v>
          </cell>
          <cell r="Q1007">
            <v>0</v>
          </cell>
          <cell r="R1007">
            <v>0</v>
          </cell>
          <cell r="S1007">
            <v>0</v>
          </cell>
          <cell r="T1007">
            <v>2</v>
          </cell>
          <cell r="V1007">
            <v>0</v>
          </cell>
          <cell r="W1007">
            <v>51</v>
          </cell>
          <cell r="X1007">
            <v>2</v>
          </cell>
          <cell r="Y1007">
            <v>3</v>
          </cell>
          <cell r="AA1007">
            <v>0</v>
          </cell>
          <cell r="AB1007">
            <v>0</v>
          </cell>
          <cell r="AC1007">
            <v>0</v>
          </cell>
          <cell r="AD1007">
            <v>0</v>
          </cell>
          <cell r="AE1007">
            <v>0</v>
          </cell>
          <cell r="AF1007">
            <v>0</v>
          </cell>
          <cell r="AG1007">
            <v>0</v>
          </cell>
          <cell r="AH1007">
            <v>0</v>
          </cell>
          <cell r="AI1007">
            <v>1</v>
          </cell>
          <cell r="AK1007">
            <v>1</v>
          </cell>
          <cell r="AL1007">
            <v>0</v>
          </cell>
          <cell r="AN1007">
            <v>7988</v>
          </cell>
          <cell r="AO1007">
            <v>1</v>
          </cell>
          <cell r="AQ1007">
            <v>0</v>
          </cell>
          <cell r="AR1007">
            <v>13</v>
          </cell>
          <cell r="AS1007">
            <v>3</v>
          </cell>
          <cell r="AT1007">
            <v>1</v>
          </cell>
          <cell r="AU1007">
            <v>0</v>
          </cell>
          <cell r="AV1007">
            <v>10</v>
          </cell>
          <cell r="AW1007">
            <v>10</v>
          </cell>
          <cell r="AX1007">
            <v>3</v>
          </cell>
          <cell r="AY1007">
            <v>2</v>
          </cell>
          <cell r="AZ1007">
            <v>10</v>
          </cell>
          <cell r="BA1007">
            <v>10</v>
          </cell>
          <cell r="BB1007">
            <v>9</v>
          </cell>
          <cell r="BC1007">
            <v>0</v>
          </cell>
          <cell r="BD1007">
            <v>0</v>
          </cell>
          <cell r="BE1007">
            <v>9</v>
          </cell>
          <cell r="BF1007">
            <v>9</v>
          </cell>
          <cell r="BG1007">
            <v>27</v>
          </cell>
          <cell r="BH1007">
            <v>1</v>
          </cell>
          <cell r="BI1007">
            <v>0</v>
          </cell>
          <cell r="BJ1007">
            <v>0</v>
          </cell>
          <cell r="BK1007">
            <v>0</v>
          </cell>
          <cell r="BL1007">
            <v>1</v>
          </cell>
          <cell r="BM1007">
            <v>0</v>
          </cell>
          <cell r="BN1007">
            <v>0</v>
          </cell>
          <cell r="BO1007">
            <v>0</v>
          </cell>
          <cell r="BP1007">
            <v>9</v>
          </cell>
          <cell r="BQ1007">
            <v>0</v>
          </cell>
          <cell r="BR1007">
            <v>0</v>
          </cell>
          <cell r="BS1007">
            <v>10</v>
          </cell>
          <cell r="BT1007">
            <v>0</v>
          </cell>
          <cell r="BU1007">
            <v>0</v>
          </cell>
        </row>
        <row r="1008">
          <cell r="A1008">
            <v>49</v>
          </cell>
          <cell r="B1008">
            <v>49</v>
          </cell>
          <cell r="D1008">
            <v>1</v>
          </cell>
          <cell r="F1008">
            <v>1</v>
          </cell>
          <cell r="G1008">
            <v>0</v>
          </cell>
          <cell r="I1008">
            <v>1</v>
          </cell>
          <cell r="J1008">
            <v>0</v>
          </cell>
          <cell r="K1008">
            <v>28</v>
          </cell>
          <cell r="L1008">
            <v>28</v>
          </cell>
          <cell r="M1008">
            <v>2</v>
          </cell>
          <cell r="O1008">
            <v>1</v>
          </cell>
          <cell r="P1008">
            <v>0</v>
          </cell>
          <cell r="Q1008">
            <v>0</v>
          </cell>
          <cell r="R1008">
            <v>0</v>
          </cell>
          <cell r="S1008">
            <v>0</v>
          </cell>
          <cell r="T1008">
            <v>1</v>
          </cell>
          <cell r="V1008">
            <v>0</v>
          </cell>
          <cell r="W1008">
            <v>97</v>
          </cell>
          <cell r="X1008">
            <v>2</v>
          </cell>
          <cell r="Y1008">
            <v>2</v>
          </cell>
          <cell r="AA1008">
            <v>0</v>
          </cell>
          <cell r="AB1008">
            <v>0</v>
          </cell>
          <cell r="AC1008">
            <v>1</v>
          </cell>
          <cell r="AD1008">
            <v>0</v>
          </cell>
          <cell r="AE1008">
            <v>0</v>
          </cell>
          <cell r="AF1008">
            <v>0</v>
          </cell>
          <cell r="AG1008">
            <v>0</v>
          </cell>
          <cell r="AH1008">
            <v>0</v>
          </cell>
          <cell r="AI1008">
            <v>1</v>
          </cell>
          <cell r="AK1008">
            <v>1</v>
          </cell>
          <cell r="AL1008">
            <v>0</v>
          </cell>
          <cell r="AN1008">
            <v>4284</v>
          </cell>
          <cell r="AO1008">
            <v>3</v>
          </cell>
          <cell r="AQ1008">
            <v>0</v>
          </cell>
          <cell r="AR1008">
            <v>20</v>
          </cell>
          <cell r="AS1008">
            <v>4</v>
          </cell>
          <cell r="AT1008">
            <v>1</v>
          </cell>
          <cell r="AU1008">
            <v>0</v>
          </cell>
          <cell r="AV1008">
            <v>20</v>
          </cell>
          <cell r="AW1008">
            <v>20</v>
          </cell>
          <cell r="AX1008">
            <v>2</v>
          </cell>
          <cell r="AY1008">
            <v>3</v>
          </cell>
          <cell r="AZ1008">
            <v>4</v>
          </cell>
          <cell r="BA1008">
            <v>4</v>
          </cell>
          <cell r="BB1008">
            <v>3</v>
          </cell>
          <cell r="BC1008">
            <v>1</v>
          </cell>
          <cell r="BD1008">
            <v>1</v>
          </cell>
          <cell r="BE1008">
            <v>3</v>
          </cell>
          <cell r="BF1008">
            <v>3</v>
          </cell>
          <cell r="BG1008">
            <v>6</v>
          </cell>
          <cell r="BH1008">
            <v>0</v>
          </cell>
          <cell r="BI1008">
            <v>0</v>
          </cell>
          <cell r="BJ1008">
            <v>1</v>
          </cell>
          <cell r="BK1008">
            <v>0</v>
          </cell>
          <cell r="BL1008">
            <v>1</v>
          </cell>
          <cell r="BM1008">
            <v>0</v>
          </cell>
          <cell r="BN1008">
            <v>0</v>
          </cell>
          <cell r="BO1008">
            <v>0</v>
          </cell>
          <cell r="BP1008">
            <v>0</v>
          </cell>
          <cell r="BQ1008">
            <v>3</v>
          </cell>
          <cell r="BR1008">
            <v>0</v>
          </cell>
          <cell r="BS1008">
            <v>0</v>
          </cell>
          <cell r="BT1008">
            <v>20</v>
          </cell>
          <cell r="BU1008">
            <v>0</v>
          </cell>
        </row>
        <row r="1009">
          <cell r="A1009">
            <v>29</v>
          </cell>
          <cell r="B1009">
            <v>29</v>
          </cell>
          <cell r="D1009">
            <v>1</v>
          </cell>
          <cell r="F1009">
            <v>1</v>
          </cell>
          <cell r="G1009">
            <v>0</v>
          </cell>
          <cell r="I1009">
            <v>1</v>
          </cell>
          <cell r="J1009">
            <v>0</v>
          </cell>
          <cell r="K1009">
            <v>14</v>
          </cell>
          <cell r="L1009">
            <v>14</v>
          </cell>
          <cell r="M1009">
            <v>1</v>
          </cell>
          <cell r="O1009">
            <v>0</v>
          </cell>
          <cell r="P1009">
            <v>1</v>
          </cell>
          <cell r="Q1009">
            <v>0</v>
          </cell>
          <cell r="R1009">
            <v>0</v>
          </cell>
          <cell r="S1009">
            <v>0</v>
          </cell>
          <cell r="T1009">
            <v>3</v>
          </cell>
          <cell r="V1009">
            <v>1</v>
          </cell>
          <cell r="W1009">
            <v>84</v>
          </cell>
          <cell r="X1009">
            <v>3</v>
          </cell>
          <cell r="Y1009">
            <v>3</v>
          </cell>
          <cell r="AA1009">
            <v>1</v>
          </cell>
          <cell r="AB1009">
            <v>0</v>
          </cell>
          <cell r="AC1009">
            <v>0</v>
          </cell>
          <cell r="AD1009">
            <v>0</v>
          </cell>
          <cell r="AE1009">
            <v>0</v>
          </cell>
          <cell r="AF1009">
            <v>0</v>
          </cell>
          <cell r="AG1009">
            <v>0</v>
          </cell>
          <cell r="AH1009">
            <v>0</v>
          </cell>
          <cell r="AI1009">
            <v>4</v>
          </cell>
          <cell r="AK1009">
            <v>1</v>
          </cell>
          <cell r="AL1009">
            <v>0</v>
          </cell>
          <cell r="AN1009">
            <v>7553</v>
          </cell>
          <cell r="AO1009">
            <v>0</v>
          </cell>
          <cell r="AQ1009">
            <v>1</v>
          </cell>
          <cell r="AR1009">
            <v>12</v>
          </cell>
          <cell r="AS1009">
            <v>3</v>
          </cell>
          <cell r="AT1009">
            <v>1</v>
          </cell>
          <cell r="AU1009">
            <v>0</v>
          </cell>
          <cell r="AV1009">
            <v>9</v>
          </cell>
          <cell r="AW1009">
            <v>9</v>
          </cell>
          <cell r="AX1009">
            <v>1</v>
          </cell>
          <cell r="AY1009">
            <v>3</v>
          </cell>
          <cell r="AZ1009">
            <v>8</v>
          </cell>
          <cell r="BA1009">
            <v>8</v>
          </cell>
          <cell r="BB1009">
            <v>7</v>
          </cell>
          <cell r="BC1009">
            <v>7</v>
          </cell>
          <cell r="BD1009">
            <v>7</v>
          </cell>
          <cell r="BE1009">
            <v>7</v>
          </cell>
          <cell r="BF1009">
            <v>7</v>
          </cell>
          <cell r="BG1009">
            <v>21</v>
          </cell>
          <cell r="BH1009">
            <v>0</v>
          </cell>
          <cell r="BI1009">
            <v>0</v>
          </cell>
          <cell r="BJ1009">
            <v>1</v>
          </cell>
          <cell r="BK1009">
            <v>0</v>
          </cell>
          <cell r="BL1009">
            <v>0</v>
          </cell>
          <cell r="BM1009">
            <v>1</v>
          </cell>
          <cell r="BN1009">
            <v>0</v>
          </cell>
          <cell r="BO1009">
            <v>0</v>
          </cell>
          <cell r="BP1009">
            <v>0</v>
          </cell>
          <cell r="BQ1009">
            <v>7</v>
          </cell>
          <cell r="BR1009">
            <v>0</v>
          </cell>
          <cell r="BS1009">
            <v>0</v>
          </cell>
          <cell r="BT1009">
            <v>9</v>
          </cell>
          <cell r="BU1009">
            <v>0</v>
          </cell>
        </row>
        <row r="1010">
          <cell r="A1010">
            <v>54</v>
          </cell>
          <cell r="B1010">
            <v>54</v>
          </cell>
          <cell r="D1010">
            <v>0</v>
          </cell>
          <cell r="F1010">
            <v>0</v>
          </cell>
          <cell r="G1010">
            <v>1</v>
          </cell>
          <cell r="I1010">
            <v>1</v>
          </cell>
          <cell r="J1010">
            <v>0</v>
          </cell>
          <cell r="K1010">
            <v>1</v>
          </cell>
          <cell r="L1010">
            <v>1</v>
          </cell>
          <cell r="M1010">
            <v>3</v>
          </cell>
          <cell r="O1010">
            <v>0</v>
          </cell>
          <cell r="P1010">
            <v>0</v>
          </cell>
          <cell r="Q1010">
            <v>1</v>
          </cell>
          <cell r="R1010">
            <v>0</v>
          </cell>
          <cell r="S1010">
            <v>0</v>
          </cell>
          <cell r="T1010">
            <v>4</v>
          </cell>
          <cell r="V1010">
            <v>1</v>
          </cell>
          <cell r="W1010">
            <v>54</v>
          </cell>
          <cell r="X1010">
            <v>3</v>
          </cell>
          <cell r="Y1010">
            <v>4</v>
          </cell>
          <cell r="AA1010">
            <v>0</v>
          </cell>
          <cell r="AB1010">
            <v>0</v>
          </cell>
          <cell r="AC1010">
            <v>0</v>
          </cell>
          <cell r="AD1010">
            <v>0</v>
          </cell>
          <cell r="AE1010">
            <v>0</v>
          </cell>
          <cell r="AF1010">
            <v>0</v>
          </cell>
          <cell r="AG1010">
            <v>0</v>
          </cell>
          <cell r="AH1010">
            <v>0</v>
          </cell>
          <cell r="AI1010">
            <v>4</v>
          </cell>
          <cell r="AK1010">
            <v>1</v>
          </cell>
          <cell r="AL1010">
            <v>0</v>
          </cell>
          <cell r="AN1010">
            <v>17328</v>
          </cell>
          <cell r="AO1010">
            <v>6</v>
          </cell>
          <cell r="AQ1010">
            <v>0</v>
          </cell>
          <cell r="AR1010">
            <v>19</v>
          </cell>
          <cell r="AS1010">
            <v>3</v>
          </cell>
          <cell r="AT1010">
            <v>4</v>
          </cell>
          <cell r="AU1010">
            <v>0</v>
          </cell>
          <cell r="AV1010">
            <v>29</v>
          </cell>
          <cell r="AW1010">
            <v>29</v>
          </cell>
          <cell r="AX1010">
            <v>3</v>
          </cell>
          <cell r="AY1010">
            <v>2</v>
          </cell>
          <cell r="AZ1010">
            <v>20</v>
          </cell>
          <cell r="BA1010">
            <v>20</v>
          </cell>
          <cell r="BB1010">
            <v>7</v>
          </cell>
          <cell r="BC1010">
            <v>12</v>
          </cell>
          <cell r="BD1010">
            <v>12</v>
          </cell>
          <cell r="BE1010">
            <v>7</v>
          </cell>
          <cell r="BF1010">
            <v>7</v>
          </cell>
          <cell r="BG1010">
            <v>28</v>
          </cell>
          <cell r="BH1010">
            <v>1</v>
          </cell>
          <cell r="BI1010">
            <v>0</v>
          </cell>
          <cell r="BJ1010">
            <v>0</v>
          </cell>
          <cell r="BK1010">
            <v>0</v>
          </cell>
          <cell r="BL1010">
            <v>1</v>
          </cell>
          <cell r="BM1010">
            <v>0</v>
          </cell>
          <cell r="BN1010">
            <v>0</v>
          </cell>
          <cell r="BO1010">
            <v>0</v>
          </cell>
          <cell r="BP1010">
            <v>0</v>
          </cell>
          <cell r="BQ1010">
            <v>7</v>
          </cell>
          <cell r="BR1010">
            <v>0</v>
          </cell>
          <cell r="BS1010">
            <v>0</v>
          </cell>
          <cell r="BT1010">
            <v>29</v>
          </cell>
          <cell r="BU1010">
            <v>0</v>
          </cell>
        </row>
        <row r="1011">
          <cell r="A1011">
            <v>58</v>
          </cell>
          <cell r="B1011">
            <v>58</v>
          </cell>
          <cell r="D1011">
            <v>0</v>
          </cell>
          <cell r="F1011">
            <v>0</v>
          </cell>
          <cell r="G1011">
            <v>1</v>
          </cell>
          <cell r="I1011">
            <v>1</v>
          </cell>
          <cell r="J1011">
            <v>0</v>
          </cell>
          <cell r="K1011">
            <v>1</v>
          </cell>
          <cell r="L1011">
            <v>1</v>
          </cell>
          <cell r="M1011">
            <v>3</v>
          </cell>
          <cell r="O1011">
            <v>0</v>
          </cell>
          <cell r="P1011">
            <v>0</v>
          </cell>
          <cell r="Q1011">
            <v>1</v>
          </cell>
          <cell r="R1011">
            <v>0</v>
          </cell>
          <cell r="S1011">
            <v>0</v>
          </cell>
          <cell r="T1011">
            <v>4</v>
          </cell>
          <cell r="V1011">
            <v>1</v>
          </cell>
          <cell r="W1011">
            <v>76</v>
          </cell>
          <cell r="X1011">
            <v>3</v>
          </cell>
          <cell r="Y1011">
            <v>5</v>
          </cell>
          <cell r="AA1011">
            <v>0</v>
          </cell>
          <cell r="AB1011">
            <v>0</v>
          </cell>
          <cell r="AC1011">
            <v>0</v>
          </cell>
          <cell r="AD1011">
            <v>0</v>
          </cell>
          <cell r="AE1011">
            <v>0</v>
          </cell>
          <cell r="AF1011">
            <v>0</v>
          </cell>
          <cell r="AG1011">
            <v>0</v>
          </cell>
          <cell r="AH1011">
            <v>0</v>
          </cell>
          <cell r="AI1011">
            <v>1</v>
          </cell>
          <cell r="AK1011">
            <v>0</v>
          </cell>
          <cell r="AL1011">
            <v>1</v>
          </cell>
          <cell r="AN1011">
            <v>19626.310000000001</v>
          </cell>
          <cell r="AO1011">
            <v>3</v>
          </cell>
          <cell r="AQ1011">
            <v>1</v>
          </cell>
          <cell r="AR1011">
            <v>21</v>
          </cell>
          <cell r="AS1011">
            <v>4</v>
          </cell>
          <cell r="AT1011">
            <v>3</v>
          </cell>
          <cell r="AU1011">
            <v>1</v>
          </cell>
          <cell r="AV1011">
            <v>32</v>
          </cell>
          <cell r="AW1011">
            <v>32</v>
          </cell>
          <cell r="AX1011">
            <v>3</v>
          </cell>
          <cell r="AY1011">
            <v>3</v>
          </cell>
          <cell r="AZ1011">
            <v>9</v>
          </cell>
          <cell r="BA1011">
            <v>9</v>
          </cell>
          <cell r="BB1011">
            <v>8</v>
          </cell>
          <cell r="BC1011">
            <v>1</v>
          </cell>
          <cell r="BD1011">
            <v>1</v>
          </cell>
          <cell r="BE1011">
            <v>5</v>
          </cell>
          <cell r="BF1011">
            <v>5</v>
          </cell>
          <cell r="BG1011">
            <v>25</v>
          </cell>
          <cell r="BH1011">
            <v>0</v>
          </cell>
          <cell r="BI1011">
            <v>1</v>
          </cell>
          <cell r="BJ1011">
            <v>0</v>
          </cell>
          <cell r="BK1011">
            <v>0</v>
          </cell>
          <cell r="BL1011">
            <v>0</v>
          </cell>
          <cell r="BM1011">
            <v>0</v>
          </cell>
          <cell r="BN1011">
            <v>0</v>
          </cell>
          <cell r="BO1011">
            <v>1</v>
          </cell>
          <cell r="BP1011">
            <v>0</v>
          </cell>
          <cell r="BQ1011">
            <v>5</v>
          </cell>
          <cell r="BR1011">
            <v>0</v>
          </cell>
          <cell r="BS1011">
            <v>0</v>
          </cell>
          <cell r="BT1011">
            <v>32</v>
          </cell>
          <cell r="BU1011">
            <v>0</v>
          </cell>
        </row>
        <row r="1012">
          <cell r="A1012">
            <v>55</v>
          </cell>
          <cell r="B1012">
            <v>55</v>
          </cell>
          <cell r="D1012">
            <v>0</v>
          </cell>
          <cell r="F1012">
            <v>0</v>
          </cell>
          <cell r="G1012">
            <v>1</v>
          </cell>
          <cell r="I1012">
            <v>1</v>
          </cell>
          <cell r="J1012">
            <v>0</v>
          </cell>
          <cell r="K1012">
            <v>1</v>
          </cell>
          <cell r="L1012">
            <v>1</v>
          </cell>
          <cell r="M1012">
            <v>4</v>
          </cell>
          <cell r="O1012">
            <v>0</v>
          </cell>
          <cell r="P1012">
            <v>0</v>
          </cell>
          <cell r="Q1012">
            <v>1</v>
          </cell>
          <cell r="R1012">
            <v>0</v>
          </cell>
          <cell r="S1012">
            <v>0</v>
          </cell>
          <cell r="T1012">
            <v>2</v>
          </cell>
          <cell r="V1012">
            <v>0</v>
          </cell>
          <cell r="W1012">
            <v>81</v>
          </cell>
          <cell r="X1012">
            <v>4</v>
          </cell>
          <cell r="Y1012">
            <v>4</v>
          </cell>
          <cell r="AA1012">
            <v>0</v>
          </cell>
          <cell r="AB1012">
            <v>0</v>
          </cell>
          <cell r="AC1012">
            <v>0</v>
          </cell>
          <cell r="AD1012">
            <v>0</v>
          </cell>
          <cell r="AE1012">
            <v>0</v>
          </cell>
          <cell r="AF1012">
            <v>0</v>
          </cell>
          <cell r="AG1012">
            <v>0</v>
          </cell>
          <cell r="AH1012">
            <v>0</v>
          </cell>
          <cell r="AI1012">
            <v>4</v>
          </cell>
          <cell r="AK1012">
            <v>0</v>
          </cell>
          <cell r="AL1012">
            <v>0</v>
          </cell>
          <cell r="AN1012">
            <v>14732</v>
          </cell>
          <cell r="AO1012">
            <v>2</v>
          </cell>
          <cell r="AQ1012">
            <v>0</v>
          </cell>
          <cell r="AR1012">
            <v>13</v>
          </cell>
          <cell r="AS1012">
            <v>3</v>
          </cell>
          <cell r="AT1012">
            <v>4</v>
          </cell>
          <cell r="AU1012">
            <v>2</v>
          </cell>
          <cell r="AV1012">
            <v>31</v>
          </cell>
          <cell r="AW1012">
            <v>31</v>
          </cell>
          <cell r="AX1012">
            <v>4</v>
          </cell>
          <cell r="AY1012">
            <v>4</v>
          </cell>
          <cell r="AZ1012">
            <v>7</v>
          </cell>
          <cell r="BA1012">
            <v>7</v>
          </cell>
          <cell r="BB1012">
            <v>7</v>
          </cell>
          <cell r="BC1012">
            <v>0</v>
          </cell>
          <cell r="BD1012">
            <v>0</v>
          </cell>
          <cell r="BE1012">
            <v>0</v>
          </cell>
          <cell r="BF1012">
            <v>0</v>
          </cell>
          <cell r="BG1012">
            <v>0</v>
          </cell>
          <cell r="BH1012">
            <v>1</v>
          </cell>
          <cell r="BI1012">
            <v>0</v>
          </cell>
          <cell r="BJ1012">
            <v>0</v>
          </cell>
          <cell r="BK1012">
            <v>0</v>
          </cell>
          <cell r="BL1012">
            <v>1</v>
          </cell>
          <cell r="BM1012">
            <v>0</v>
          </cell>
          <cell r="BN1012">
            <v>0</v>
          </cell>
          <cell r="BO1012">
            <v>0</v>
          </cell>
          <cell r="BP1012">
            <v>0</v>
          </cell>
          <cell r="BQ1012">
            <v>0</v>
          </cell>
          <cell r="BR1012">
            <v>0</v>
          </cell>
          <cell r="BS1012">
            <v>0</v>
          </cell>
          <cell r="BT1012">
            <v>31</v>
          </cell>
          <cell r="BU1012">
            <v>0</v>
          </cell>
        </row>
        <row r="1013">
          <cell r="A1013">
            <v>36</v>
          </cell>
          <cell r="B1013">
            <v>36</v>
          </cell>
          <cell r="D1013">
            <v>0</v>
          </cell>
          <cell r="F1013">
            <v>0</v>
          </cell>
          <cell r="G1013">
            <v>1</v>
          </cell>
          <cell r="I1013">
            <v>0</v>
          </cell>
          <cell r="J1013">
            <v>1</v>
          </cell>
          <cell r="K1013">
            <v>3</v>
          </cell>
          <cell r="L1013">
            <v>3</v>
          </cell>
          <cell r="M1013">
            <v>4</v>
          </cell>
          <cell r="O1013">
            <v>0</v>
          </cell>
          <cell r="P1013">
            <v>0</v>
          </cell>
          <cell r="Q1013">
            <v>0</v>
          </cell>
          <cell r="R1013">
            <v>1</v>
          </cell>
          <cell r="S1013">
            <v>0</v>
          </cell>
          <cell r="T1013">
            <v>1</v>
          </cell>
          <cell r="V1013">
            <v>1</v>
          </cell>
          <cell r="W1013">
            <v>99</v>
          </cell>
          <cell r="X1013">
            <v>3</v>
          </cell>
          <cell r="Y1013">
            <v>2</v>
          </cell>
          <cell r="AA1013">
            <v>0</v>
          </cell>
          <cell r="AB1013">
            <v>1</v>
          </cell>
          <cell r="AC1013">
            <v>0</v>
          </cell>
          <cell r="AD1013">
            <v>0</v>
          </cell>
          <cell r="AE1013">
            <v>0</v>
          </cell>
          <cell r="AF1013">
            <v>0</v>
          </cell>
          <cell r="AG1013">
            <v>0</v>
          </cell>
          <cell r="AH1013">
            <v>0</v>
          </cell>
          <cell r="AI1013">
            <v>2</v>
          </cell>
          <cell r="AK1013">
            <v>1</v>
          </cell>
          <cell r="AL1013">
            <v>0</v>
          </cell>
          <cell r="AN1013">
            <v>9278</v>
          </cell>
          <cell r="AO1013">
            <v>3</v>
          </cell>
          <cell r="AQ1013">
            <v>1</v>
          </cell>
          <cell r="AR1013">
            <v>16</v>
          </cell>
          <cell r="AS1013">
            <v>3</v>
          </cell>
          <cell r="AT1013">
            <v>4</v>
          </cell>
          <cell r="AU1013">
            <v>0</v>
          </cell>
          <cell r="AV1013">
            <v>15</v>
          </cell>
          <cell r="AW1013">
            <v>15</v>
          </cell>
          <cell r="AX1013">
            <v>3</v>
          </cell>
          <cell r="AY1013">
            <v>3</v>
          </cell>
          <cell r="AZ1013">
            <v>5</v>
          </cell>
          <cell r="BA1013">
            <v>5</v>
          </cell>
          <cell r="BB1013">
            <v>4</v>
          </cell>
          <cell r="BC1013">
            <v>0</v>
          </cell>
          <cell r="BD1013">
            <v>0</v>
          </cell>
          <cell r="BE1013">
            <v>1</v>
          </cell>
          <cell r="BF1013">
            <v>1</v>
          </cell>
          <cell r="BG1013">
            <v>2</v>
          </cell>
          <cell r="BH1013">
            <v>1</v>
          </cell>
          <cell r="BI1013">
            <v>0</v>
          </cell>
          <cell r="BJ1013">
            <v>0</v>
          </cell>
          <cell r="BK1013">
            <v>0</v>
          </cell>
          <cell r="BL1013">
            <v>0</v>
          </cell>
          <cell r="BM1013">
            <v>1</v>
          </cell>
          <cell r="BN1013">
            <v>0</v>
          </cell>
          <cell r="BO1013">
            <v>0</v>
          </cell>
          <cell r="BP1013">
            <v>0</v>
          </cell>
          <cell r="BQ1013">
            <v>0</v>
          </cell>
          <cell r="BR1013">
            <v>1</v>
          </cell>
          <cell r="BS1013">
            <v>0</v>
          </cell>
          <cell r="BT1013">
            <v>0</v>
          </cell>
          <cell r="BU1013">
            <v>15</v>
          </cell>
        </row>
        <row r="1014">
          <cell r="A1014">
            <v>31</v>
          </cell>
          <cell r="B1014">
            <v>31</v>
          </cell>
          <cell r="D1014">
            <v>1</v>
          </cell>
          <cell r="F1014">
            <v>1</v>
          </cell>
          <cell r="G1014">
            <v>0</v>
          </cell>
          <cell r="I1014">
            <v>0</v>
          </cell>
          <cell r="J1014">
            <v>1</v>
          </cell>
          <cell r="K1014">
            <v>1</v>
          </cell>
          <cell r="L1014">
            <v>1</v>
          </cell>
          <cell r="M1014">
            <v>4</v>
          </cell>
          <cell r="O1014">
            <v>1</v>
          </cell>
          <cell r="P1014">
            <v>0</v>
          </cell>
          <cell r="Q1014">
            <v>0</v>
          </cell>
          <cell r="R1014">
            <v>0</v>
          </cell>
          <cell r="S1014">
            <v>0</v>
          </cell>
          <cell r="T1014">
            <v>2</v>
          </cell>
          <cell r="V1014">
            <v>1</v>
          </cell>
          <cell r="W1014">
            <v>50</v>
          </cell>
          <cell r="X1014">
            <v>1</v>
          </cell>
          <cell r="Y1014">
            <v>1</v>
          </cell>
          <cell r="AA1014">
            <v>0</v>
          </cell>
          <cell r="AB1014">
            <v>0</v>
          </cell>
          <cell r="AC1014">
            <v>0</v>
          </cell>
          <cell r="AD1014">
            <v>0</v>
          </cell>
          <cell r="AE1014">
            <v>0</v>
          </cell>
          <cell r="AF1014">
            <v>0</v>
          </cell>
          <cell r="AG1014">
            <v>1</v>
          </cell>
          <cell r="AH1014">
            <v>0</v>
          </cell>
          <cell r="AI1014">
            <v>3</v>
          </cell>
          <cell r="AK1014">
            <v>1</v>
          </cell>
          <cell r="AL1014">
            <v>0</v>
          </cell>
          <cell r="AN1014">
            <v>1382.46</v>
          </cell>
          <cell r="AO1014">
            <v>1</v>
          </cell>
          <cell r="AQ1014">
            <v>0</v>
          </cell>
          <cell r="AR1014">
            <v>12</v>
          </cell>
          <cell r="AS1014">
            <v>3</v>
          </cell>
          <cell r="AT1014">
            <v>2</v>
          </cell>
          <cell r="AU1014">
            <v>0</v>
          </cell>
          <cell r="AV1014">
            <v>1</v>
          </cell>
          <cell r="AW1014">
            <v>1</v>
          </cell>
          <cell r="AX1014">
            <v>3</v>
          </cell>
          <cell r="AY1014">
            <v>3</v>
          </cell>
          <cell r="AZ1014">
            <v>1</v>
          </cell>
          <cell r="BA1014">
            <v>1</v>
          </cell>
          <cell r="BB1014">
            <v>0</v>
          </cell>
          <cell r="BC1014">
            <v>0</v>
          </cell>
          <cell r="BD1014">
            <v>0</v>
          </cell>
          <cell r="BE1014">
            <v>0</v>
          </cell>
          <cell r="BF1014">
            <v>0</v>
          </cell>
          <cell r="BG1014">
            <v>0</v>
          </cell>
          <cell r="BH1014">
            <v>0</v>
          </cell>
          <cell r="BI1014">
            <v>0</v>
          </cell>
          <cell r="BJ1014">
            <v>1</v>
          </cell>
          <cell r="BK1014">
            <v>0</v>
          </cell>
          <cell r="BL1014">
            <v>1</v>
          </cell>
          <cell r="BM1014">
            <v>0</v>
          </cell>
          <cell r="BN1014">
            <v>0</v>
          </cell>
          <cell r="BO1014">
            <v>0</v>
          </cell>
          <cell r="BP1014">
            <v>0</v>
          </cell>
          <cell r="BQ1014">
            <v>0</v>
          </cell>
          <cell r="BR1014">
            <v>0</v>
          </cell>
          <cell r="BS1014">
            <v>0</v>
          </cell>
          <cell r="BT1014">
            <v>0</v>
          </cell>
          <cell r="BU1014">
            <v>1</v>
          </cell>
        </row>
        <row r="1015">
          <cell r="A1015">
            <v>30</v>
          </cell>
          <cell r="B1015">
            <v>30</v>
          </cell>
          <cell r="D1015">
            <v>0</v>
          </cell>
          <cell r="F1015">
            <v>0</v>
          </cell>
          <cell r="G1015">
            <v>1</v>
          </cell>
          <cell r="I1015">
            <v>0</v>
          </cell>
          <cell r="J1015">
            <v>1</v>
          </cell>
          <cell r="K1015">
            <v>7</v>
          </cell>
          <cell r="L1015">
            <v>7</v>
          </cell>
          <cell r="M1015">
            <v>4</v>
          </cell>
          <cell r="O1015">
            <v>0</v>
          </cell>
          <cell r="P1015">
            <v>0</v>
          </cell>
          <cell r="Q1015">
            <v>0</v>
          </cell>
          <cell r="R1015">
            <v>1</v>
          </cell>
          <cell r="S1015">
            <v>0</v>
          </cell>
          <cell r="T1015">
            <v>4</v>
          </cell>
          <cell r="V1015">
            <v>1</v>
          </cell>
          <cell r="W1015">
            <v>73</v>
          </cell>
          <cell r="X1015">
            <v>3</v>
          </cell>
          <cell r="Y1015">
            <v>2</v>
          </cell>
          <cell r="AA1015">
            <v>0</v>
          </cell>
          <cell r="AB1015">
            <v>1</v>
          </cell>
          <cell r="AC1015">
            <v>0</v>
          </cell>
          <cell r="AD1015">
            <v>0</v>
          </cell>
          <cell r="AE1015">
            <v>0</v>
          </cell>
          <cell r="AF1015">
            <v>0</v>
          </cell>
          <cell r="AG1015">
            <v>0</v>
          </cell>
          <cell r="AH1015">
            <v>0</v>
          </cell>
          <cell r="AI1015">
            <v>1</v>
          </cell>
          <cell r="AK1015">
            <v>0</v>
          </cell>
          <cell r="AL1015">
            <v>0</v>
          </cell>
          <cell r="AN1015">
            <v>4779</v>
          </cell>
          <cell r="AO1015">
            <v>7</v>
          </cell>
          <cell r="AQ1015">
            <v>0</v>
          </cell>
          <cell r="AR1015">
            <v>14</v>
          </cell>
          <cell r="AS1015">
            <v>3</v>
          </cell>
          <cell r="AT1015">
            <v>2</v>
          </cell>
          <cell r="AU1015">
            <v>2</v>
          </cell>
          <cell r="AV1015">
            <v>8</v>
          </cell>
          <cell r="AW1015">
            <v>8</v>
          </cell>
          <cell r="AX1015">
            <v>3</v>
          </cell>
          <cell r="AY1015">
            <v>3</v>
          </cell>
          <cell r="AZ1015">
            <v>3</v>
          </cell>
          <cell r="BA1015">
            <v>3</v>
          </cell>
          <cell r="BB1015">
            <v>2</v>
          </cell>
          <cell r="BC1015">
            <v>0</v>
          </cell>
          <cell r="BD1015">
            <v>0</v>
          </cell>
          <cell r="BE1015">
            <v>2</v>
          </cell>
          <cell r="BF1015">
            <v>2</v>
          </cell>
          <cell r="BG1015">
            <v>4</v>
          </cell>
          <cell r="BH1015">
            <v>1</v>
          </cell>
          <cell r="BI1015">
            <v>0</v>
          </cell>
          <cell r="BJ1015">
            <v>0</v>
          </cell>
          <cell r="BK1015">
            <v>0</v>
          </cell>
          <cell r="BL1015">
            <v>1</v>
          </cell>
          <cell r="BM1015">
            <v>0</v>
          </cell>
          <cell r="BN1015">
            <v>0</v>
          </cell>
          <cell r="BO1015">
            <v>0</v>
          </cell>
          <cell r="BP1015">
            <v>0</v>
          </cell>
          <cell r="BQ1015">
            <v>0</v>
          </cell>
          <cell r="BR1015">
            <v>2</v>
          </cell>
          <cell r="BS1015">
            <v>0</v>
          </cell>
          <cell r="BT1015">
            <v>0</v>
          </cell>
          <cell r="BU1015">
            <v>8</v>
          </cell>
        </row>
        <row r="1016">
          <cell r="A1016">
            <v>31</v>
          </cell>
          <cell r="B1016">
            <v>31</v>
          </cell>
          <cell r="D1016">
            <v>0</v>
          </cell>
          <cell r="F1016">
            <v>0</v>
          </cell>
          <cell r="G1016">
            <v>1</v>
          </cell>
          <cell r="I1016">
            <v>1</v>
          </cell>
          <cell r="J1016">
            <v>0</v>
          </cell>
          <cell r="K1016">
            <v>8</v>
          </cell>
          <cell r="L1016">
            <v>8</v>
          </cell>
          <cell r="M1016">
            <v>5</v>
          </cell>
          <cell r="O1016">
            <v>1</v>
          </cell>
          <cell r="P1016">
            <v>0</v>
          </cell>
          <cell r="Q1016">
            <v>0</v>
          </cell>
          <cell r="R1016">
            <v>0</v>
          </cell>
          <cell r="S1016">
            <v>0</v>
          </cell>
          <cell r="T1016">
            <v>1</v>
          </cell>
          <cell r="V1016">
            <v>1</v>
          </cell>
          <cell r="W1016">
            <v>93</v>
          </cell>
          <cell r="X1016">
            <v>3</v>
          </cell>
          <cell r="Y1016">
            <v>4</v>
          </cell>
          <cell r="AA1016">
            <v>0</v>
          </cell>
          <cell r="AB1016">
            <v>0</v>
          </cell>
          <cell r="AC1016">
            <v>0</v>
          </cell>
          <cell r="AD1016">
            <v>0</v>
          </cell>
          <cell r="AE1016">
            <v>0</v>
          </cell>
          <cell r="AF1016">
            <v>0</v>
          </cell>
          <cell r="AG1016">
            <v>0</v>
          </cell>
          <cell r="AH1016">
            <v>0</v>
          </cell>
          <cell r="AI1016">
            <v>2</v>
          </cell>
          <cell r="AK1016">
            <v>1</v>
          </cell>
          <cell r="AL1016">
            <v>0</v>
          </cell>
          <cell r="AN1016">
            <v>16422</v>
          </cell>
          <cell r="AO1016">
            <v>3</v>
          </cell>
          <cell r="AQ1016">
            <v>0</v>
          </cell>
          <cell r="AR1016">
            <v>11</v>
          </cell>
          <cell r="AS1016">
            <v>3</v>
          </cell>
          <cell r="AT1016">
            <v>3</v>
          </cell>
          <cell r="AU1016">
            <v>0</v>
          </cell>
          <cell r="AV1016">
            <v>9</v>
          </cell>
          <cell r="AW1016">
            <v>9</v>
          </cell>
          <cell r="AX1016">
            <v>3</v>
          </cell>
          <cell r="AY1016">
            <v>4</v>
          </cell>
          <cell r="AZ1016">
            <v>3</v>
          </cell>
          <cell r="BA1016">
            <v>3</v>
          </cell>
          <cell r="BB1016">
            <v>2</v>
          </cell>
          <cell r="BC1016">
            <v>1</v>
          </cell>
          <cell r="BD1016">
            <v>1</v>
          </cell>
          <cell r="BE1016">
            <v>0</v>
          </cell>
          <cell r="BF1016">
            <v>0</v>
          </cell>
          <cell r="BG1016">
            <v>0</v>
          </cell>
          <cell r="BH1016">
            <v>1</v>
          </cell>
          <cell r="BI1016">
            <v>0</v>
          </cell>
          <cell r="BJ1016">
            <v>0</v>
          </cell>
          <cell r="BK1016">
            <v>0</v>
          </cell>
          <cell r="BL1016">
            <v>1</v>
          </cell>
          <cell r="BM1016">
            <v>0</v>
          </cell>
          <cell r="BN1016">
            <v>0</v>
          </cell>
          <cell r="BO1016">
            <v>0</v>
          </cell>
          <cell r="BP1016">
            <v>0</v>
          </cell>
          <cell r="BQ1016">
            <v>0</v>
          </cell>
          <cell r="BR1016">
            <v>0</v>
          </cell>
          <cell r="BS1016">
            <v>0</v>
          </cell>
          <cell r="BT1016">
            <v>9</v>
          </cell>
          <cell r="BU1016">
            <v>0</v>
          </cell>
        </row>
        <row r="1017">
          <cell r="A1017">
            <v>34</v>
          </cell>
          <cell r="B1017">
            <v>34</v>
          </cell>
          <cell r="D1017">
            <v>0</v>
          </cell>
          <cell r="F1017">
            <v>1</v>
          </cell>
          <cell r="G1017">
            <v>0</v>
          </cell>
          <cell r="I1017">
            <v>1</v>
          </cell>
          <cell r="J1017">
            <v>0</v>
          </cell>
          <cell r="K1017">
            <v>1</v>
          </cell>
          <cell r="L1017">
            <v>1</v>
          </cell>
          <cell r="M1017">
            <v>4</v>
          </cell>
          <cell r="O1017">
            <v>0</v>
          </cell>
          <cell r="P1017">
            <v>1</v>
          </cell>
          <cell r="Q1017">
            <v>0</v>
          </cell>
          <cell r="R1017">
            <v>0</v>
          </cell>
          <cell r="S1017">
            <v>0</v>
          </cell>
          <cell r="T1017">
            <v>4</v>
          </cell>
          <cell r="V1017">
            <v>0</v>
          </cell>
          <cell r="W1017">
            <v>91</v>
          </cell>
          <cell r="X1017">
            <v>3</v>
          </cell>
          <cell r="Y1017">
            <v>1</v>
          </cell>
          <cell r="AA1017">
            <v>0</v>
          </cell>
          <cell r="AB1017">
            <v>0</v>
          </cell>
          <cell r="AC1017">
            <v>0</v>
          </cell>
          <cell r="AD1017">
            <v>0</v>
          </cell>
          <cell r="AE1017">
            <v>0</v>
          </cell>
          <cell r="AF1017">
            <v>0</v>
          </cell>
          <cell r="AG1017">
            <v>0</v>
          </cell>
          <cell r="AH1017">
            <v>1</v>
          </cell>
          <cell r="AI1017">
            <v>1</v>
          </cell>
          <cell r="AK1017">
            <v>0</v>
          </cell>
          <cell r="AL1017">
            <v>0</v>
          </cell>
          <cell r="AN1017">
            <v>2996</v>
          </cell>
          <cell r="AO1017">
            <v>5</v>
          </cell>
          <cell r="AQ1017">
            <v>0</v>
          </cell>
          <cell r="AR1017">
            <v>14</v>
          </cell>
          <cell r="AS1017">
            <v>3</v>
          </cell>
          <cell r="AT1017">
            <v>3</v>
          </cell>
          <cell r="AU1017">
            <v>2</v>
          </cell>
          <cell r="AV1017">
            <v>10</v>
          </cell>
          <cell r="AW1017">
            <v>10</v>
          </cell>
          <cell r="AX1017">
            <v>2</v>
          </cell>
          <cell r="AY1017">
            <v>3</v>
          </cell>
          <cell r="AZ1017">
            <v>4</v>
          </cell>
          <cell r="BA1017">
            <v>4</v>
          </cell>
          <cell r="BB1017">
            <v>3</v>
          </cell>
          <cell r="BC1017">
            <v>1</v>
          </cell>
          <cell r="BD1017">
            <v>1</v>
          </cell>
          <cell r="BE1017">
            <v>3</v>
          </cell>
          <cell r="BF1017">
            <v>3</v>
          </cell>
          <cell r="BG1017">
            <v>3</v>
          </cell>
          <cell r="BH1017">
            <v>0</v>
          </cell>
          <cell r="BI1017">
            <v>0</v>
          </cell>
          <cell r="BJ1017">
            <v>1</v>
          </cell>
          <cell r="BK1017">
            <v>0</v>
          </cell>
          <cell r="BL1017">
            <v>1</v>
          </cell>
          <cell r="BM1017">
            <v>0</v>
          </cell>
          <cell r="BN1017">
            <v>0</v>
          </cell>
          <cell r="BO1017">
            <v>0</v>
          </cell>
          <cell r="BP1017">
            <v>0</v>
          </cell>
          <cell r="BQ1017">
            <v>3</v>
          </cell>
          <cell r="BR1017">
            <v>0</v>
          </cell>
          <cell r="BS1017">
            <v>0</v>
          </cell>
          <cell r="BT1017">
            <v>10</v>
          </cell>
          <cell r="BU1017">
            <v>0</v>
          </cell>
        </row>
        <row r="1018">
          <cell r="A1018">
            <v>31</v>
          </cell>
          <cell r="B1018">
            <v>31</v>
          </cell>
          <cell r="D1018">
            <v>1</v>
          </cell>
          <cell r="F1018">
            <v>0</v>
          </cell>
          <cell r="G1018">
            <v>1</v>
          </cell>
          <cell r="I1018">
            <v>1</v>
          </cell>
          <cell r="J1018">
            <v>0</v>
          </cell>
          <cell r="K1018">
            <v>8</v>
          </cell>
          <cell r="L1018">
            <v>8</v>
          </cell>
          <cell r="M1018">
            <v>3</v>
          </cell>
          <cell r="O1018">
            <v>1</v>
          </cell>
          <cell r="P1018">
            <v>0</v>
          </cell>
          <cell r="Q1018">
            <v>0</v>
          </cell>
          <cell r="R1018">
            <v>0</v>
          </cell>
          <cell r="S1018">
            <v>0</v>
          </cell>
          <cell r="T1018">
            <v>1</v>
          </cell>
          <cell r="V1018">
            <v>1</v>
          </cell>
          <cell r="W1018">
            <v>34</v>
          </cell>
          <cell r="X1018">
            <v>2</v>
          </cell>
          <cell r="Y1018">
            <v>1</v>
          </cell>
          <cell r="AA1018">
            <v>0</v>
          </cell>
          <cell r="AB1018">
            <v>0</v>
          </cell>
          <cell r="AC1018">
            <v>0</v>
          </cell>
          <cell r="AD1018">
            <v>0</v>
          </cell>
          <cell r="AE1018">
            <v>0</v>
          </cell>
          <cell r="AF1018">
            <v>0</v>
          </cell>
          <cell r="AG1018">
            <v>0</v>
          </cell>
          <cell r="AH1018">
            <v>1</v>
          </cell>
          <cell r="AI1018">
            <v>2</v>
          </cell>
          <cell r="AK1018">
            <v>1</v>
          </cell>
          <cell r="AL1018">
            <v>0</v>
          </cell>
          <cell r="AN1018">
            <v>1382.46</v>
          </cell>
          <cell r="AO1018">
            <v>1</v>
          </cell>
          <cell r="AQ1018">
            <v>0</v>
          </cell>
          <cell r="AR1018">
            <v>12</v>
          </cell>
          <cell r="AS1018">
            <v>3</v>
          </cell>
          <cell r="AT1018">
            <v>3</v>
          </cell>
          <cell r="AU1018">
            <v>0</v>
          </cell>
          <cell r="AV1018">
            <v>1</v>
          </cell>
          <cell r="AW1018">
            <v>1</v>
          </cell>
          <cell r="AX1018">
            <v>3</v>
          </cell>
          <cell r="AY1018">
            <v>4</v>
          </cell>
          <cell r="AZ1018">
            <v>1</v>
          </cell>
          <cell r="BA1018">
            <v>1</v>
          </cell>
          <cell r="BB1018">
            <v>0</v>
          </cell>
          <cell r="BC1018">
            <v>0</v>
          </cell>
          <cell r="BD1018">
            <v>0</v>
          </cell>
          <cell r="BE1018">
            <v>0</v>
          </cell>
          <cell r="BF1018">
            <v>0</v>
          </cell>
          <cell r="BG1018">
            <v>0</v>
          </cell>
          <cell r="BH1018">
            <v>1</v>
          </cell>
          <cell r="BI1018">
            <v>0</v>
          </cell>
          <cell r="BJ1018">
            <v>0</v>
          </cell>
          <cell r="BK1018">
            <v>0</v>
          </cell>
          <cell r="BL1018">
            <v>1</v>
          </cell>
          <cell r="BM1018">
            <v>0</v>
          </cell>
          <cell r="BN1018">
            <v>0</v>
          </cell>
          <cell r="BO1018">
            <v>0</v>
          </cell>
          <cell r="BP1018">
            <v>0</v>
          </cell>
          <cell r="BQ1018">
            <v>0</v>
          </cell>
          <cell r="BR1018">
            <v>0</v>
          </cell>
          <cell r="BS1018">
            <v>0</v>
          </cell>
          <cell r="BT1018">
            <v>1</v>
          </cell>
          <cell r="BU1018">
            <v>0</v>
          </cell>
        </row>
        <row r="1019">
          <cell r="A1019">
            <v>27</v>
          </cell>
          <cell r="B1019">
            <v>27</v>
          </cell>
          <cell r="D1019">
            <v>0</v>
          </cell>
          <cell r="F1019">
            <v>0</v>
          </cell>
          <cell r="G1019">
            <v>1</v>
          </cell>
          <cell r="I1019">
            <v>1</v>
          </cell>
          <cell r="J1019">
            <v>0</v>
          </cell>
          <cell r="K1019">
            <v>11</v>
          </cell>
          <cell r="L1019">
            <v>11</v>
          </cell>
          <cell r="M1019">
            <v>1</v>
          </cell>
          <cell r="O1019">
            <v>1</v>
          </cell>
          <cell r="P1019">
            <v>0</v>
          </cell>
          <cell r="Q1019">
            <v>0</v>
          </cell>
          <cell r="R1019">
            <v>0</v>
          </cell>
          <cell r="S1019">
            <v>0</v>
          </cell>
          <cell r="T1019">
            <v>2</v>
          </cell>
          <cell r="V1019">
            <v>0</v>
          </cell>
          <cell r="W1019">
            <v>91</v>
          </cell>
          <cell r="X1019">
            <v>3</v>
          </cell>
          <cell r="Y1019">
            <v>1</v>
          </cell>
          <cell r="AA1019">
            <v>0</v>
          </cell>
          <cell r="AB1019">
            <v>0</v>
          </cell>
          <cell r="AC1019">
            <v>1</v>
          </cell>
          <cell r="AD1019">
            <v>0</v>
          </cell>
          <cell r="AE1019">
            <v>0</v>
          </cell>
          <cell r="AF1019">
            <v>0</v>
          </cell>
          <cell r="AG1019">
            <v>0</v>
          </cell>
          <cell r="AH1019">
            <v>0</v>
          </cell>
          <cell r="AI1019">
            <v>1</v>
          </cell>
          <cell r="AK1019">
            <v>0</v>
          </cell>
          <cell r="AL1019">
            <v>1</v>
          </cell>
          <cell r="AN1019">
            <v>2099</v>
          </cell>
          <cell r="AO1019">
            <v>0</v>
          </cell>
          <cell r="AQ1019">
            <v>0</v>
          </cell>
          <cell r="AR1019">
            <v>14</v>
          </cell>
          <cell r="AS1019">
            <v>3</v>
          </cell>
          <cell r="AT1019">
            <v>2</v>
          </cell>
          <cell r="AU1019">
            <v>0</v>
          </cell>
          <cell r="AV1019">
            <v>6</v>
          </cell>
          <cell r="AW1019">
            <v>6</v>
          </cell>
          <cell r="AX1019">
            <v>3</v>
          </cell>
          <cell r="AY1019">
            <v>4</v>
          </cell>
          <cell r="AZ1019">
            <v>5</v>
          </cell>
          <cell r="BA1019">
            <v>5</v>
          </cell>
          <cell r="BB1019">
            <v>0</v>
          </cell>
          <cell r="BC1019">
            <v>1</v>
          </cell>
          <cell r="BD1019">
            <v>1</v>
          </cell>
          <cell r="BE1019">
            <v>4</v>
          </cell>
          <cell r="BF1019">
            <v>4</v>
          </cell>
          <cell r="BG1019">
            <v>4</v>
          </cell>
          <cell r="BH1019">
            <v>0</v>
          </cell>
          <cell r="BI1019">
            <v>1</v>
          </cell>
          <cell r="BJ1019">
            <v>0</v>
          </cell>
          <cell r="BK1019">
            <v>0</v>
          </cell>
          <cell r="BL1019">
            <v>0</v>
          </cell>
          <cell r="BM1019">
            <v>0</v>
          </cell>
          <cell r="BN1019">
            <v>1</v>
          </cell>
          <cell r="BO1019">
            <v>0</v>
          </cell>
          <cell r="BP1019">
            <v>0</v>
          </cell>
          <cell r="BQ1019">
            <v>4</v>
          </cell>
          <cell r="BR1019">
            <v>0</v>
          </cell>
          <cell r="BS1019">
            <v>0</v>
          </cell>
          <cell r="BT1019">
            <v>6</v>
          </cell>
          <cell r="BU1019">
            <v>0</v>
          </cell>
        </row>
        <row r="1020">
          <cell r="A1020">
            <v>36</v>
          </cell>
          <cell r="B1020">
            <v>36</v>
          </cell>
          <cell r="D1020">
            <v>0</v>
          </cell>
          <cell r="F1020">
            <v>0</v>
          </cell>
          <cell r="G1020">
            <v>1</v>
          </cell>
          <cell r="I1020">
            <v>1</v>
          </cell>
          <cell r="J1020">
            <v>0</v>
          </cell>
          <cell r="K1020">
            <v>4</v>
          </cell>
          <cell r="L1020">
            <v>4</v>
          </cell>
          <cell r="M1020">
            <v>4</v>
          </cell>
          <cell r="O1020">
            <v>1</v>
          </cell>
          <cell r="P1020">
            <v>0</v>
          </cell>
          <cell r="Q1020">
            <v>0</v>
          </cell>
          <cell r="R1020">
            <v>0</v>
          </cell>
          <cell r="S1020">
            <v>0</v>
          </cell>
          <cell r="T1020">
            <v>1</v>
          </cell>
          <cell r="V1020">
            <v>0</v>
          </cell>
          <cell r="W1020">
            <v>37</v>
          </cell>
          <cell r="X1020">
            <v>2</v>
          </cell>
          <cell r="Y1020">
            <v>2</v>
          </cell>
          <cell r="AA1020">
            <v>0</v>
          </cell>
          <cell r="AB1020">
            <v>0</v>
          </cell>
          <cell r="AC1020">
            <v>1</v>
          </cell>
          <cell r="AD1020">
            <v>0</v>
          </cell>
          <cell r="AE1020">
            <v>0</v>
          </cell>
          <cell r="AF1020">
            <v>0</v>
          </cell>
          <cell r="AG1020">
            <v>0</v>
          </cell>
          <cell r="AH1020">
            <v>0</v>
          </cell>
          <cell r="AI1020">
            <v>4</v>
          </cell>
          <cell r="AK1020">
            <v>1</v>
          </cell>
          <cell r="AL1020">
            <v>0</v>
          </cell>
          <cell r="AN1020">
            <v>5810</v>
          </cell>
          <cell r="AO1020">
            <v>1</v>
          </cell>
          <cell r="AQ1020">
            <v>0</v>
          </cell>
          <cell r="AR1020">
            <v>16</v>
          </cell>
          <cell r="AS1020">
            <v>3</v>
          </cell>
          <cell r="AT1020">
            <v>3</v>
          </cell>
          <cell r="AU1020">
            <v>0</v>
          </cell>
          <cell r="AV1020">
            <v>10</v>
          </cell>
          <cell r="AW1020">
            <v>10</v>
          </cell>
          <cell r="AX1020">
            <v>2</v>
          </cell>
          <cell r="AY1020">
            <v>2</v>
          </cell>
          <cell r="AZ1020">
            <v>10</v>
          </cell>
          <cell r="BA1020">
            <v>10</v>
          </cell>
          <cell r="BB1020">
            <v>4</v>
          </cell>
          <cell r="BC1020">
            <v>1</v>
          </cell>
          <cell r="BD1020">
            <v>1</v>
          </cell>
          <cell r="BE1020">
            <v>8</v>
          </cell>
          <cell r="BF1020">
            <v>8</v>
          </cell>
          <cell r="BG1020">
            <v>16</v>
          </cell>
          <cell r="BH1020">
            <v>1</v>
          </cell>
          <cell r="BI1020">
            <v>0</v>
          </cell>
          <cell r="BJ1020">
            <v>0</v>
          </cell>
          <cell r="BK1020">
            <v>0</v>
          </cell>
          <cell r="BL1020">
            <v>1</v>
          </cell>
          <cell r="BM1020">
            <v>0</v>
          </cell>
          <cell r="BN1020">
            <v>0</v>
          </cell>
          <cell r="BO1020">
            <v>0</v>
          </cell>
          <cell r="BP1020">
            <v>0</v>
          </cell>
          <cell r="BQ1020">
            <v>8</v>
          </cell>
          <cell r="BR1020">
            <v>0</v>
          </cell>
          <cell r="BS1020">
            <v>0</v>
          </cell>
          <cell r="BT1020">
            <v>10</v>
          </cell>
          <cell r="BU1020">
            <v>0</v>
          </cell>
        </row>
        <row r="1021">
          <cell r="A1021">
            <v>36</v>
          </cell>
          <cell r="B1021">
            <v>36</v>
          </cell>
          <cell r="D1021">
            <v>0</v>
          </cell>
          <cell r="F1021">
            <v>0</v>
          </cell>
          <cell r="G1021">
            <v>1</v>
          </cell>
          <cell r="I1021">
            <v>0</v>
          </cell>
          <cell r="J1021">
            <v>1</v>
          </cell>
          <cell r="K1021">
            <v>16</v>
          </cell>
          <cell r="L1021">
            <v>16</v>
          </cell>
          <cell r="M1021">
            <v>4</v>
          </cell>
          <cell r="O1021">
            <v>0</v>
          </cell>
          <cell r="P1021">
            <v>0</v>
          </cell>
          <cell r="Q1021">
            <v>0</v>
          </cell>
          <cell r="R1021">
            <v>1</v>
          </cell>
          <cell r="S1021">
            <v>0</v>
          </cell>
          <cell r="T1021">
            <v>3</v>
          </cell>
          <cell r="V1021">
            <v>1</v>
          </cell>
          <cell r="W1021">
            <v>98</v>
          </cell>
          <cell r="X1021">
            <v>2</v>
          </cell>
          <cell r="Y1021">
            <v>2</v>
          </cell>
          <cell r="AA1021">
            <v>0</v>
          </cell>
          <cell r="AB1021">
            <v>1</v>
          </cell>
          <cell r="AC1021">
            <v>0</v>
          </cell>
          <cell r="AD1021">
            <v>0</v>
          </cell>
          <cell r="AE1021">
            <v>0</v>
          </cell>
          <cell r="AF1021">
            <v>0</v>
          </cell>
          <cell r="AG1021">
            <v>0</v>
          </cell>
          <cell r="AH1021">
            <v>0</v>
          </cell>
          <cell r="AI1021">
            <v>1</v>
          </cell>
          <cell r="AK1021">
            <v>0</v>
          </cell>
          <cell r="AL1021">
            <v>1</v>
          </cell>
          <cell r="AN1021">
            <v>5647</v>
          </cell>
          <cell r="AO1021">
            <v>4</v>
          </cell>
          <cell r="AQ1021">
            <v>0</v>
          </cell>
          <cell r="AR1021">
            <v>13</v>
          </cell>
          <cell r="AS1021">
            <v>3</v>
          </cell>
          <cell r="AT1021">
            <v>1</v>
          </cell>
          <cell r="AU1021">
            <v>2</v>
          </cell>
          <cell r="AV1021">
            <v>11</v>
          </cell>
          <cell r="AW1021">
            <v>11</v>
          </cell>
          <cell r="AX1021">
            <v>3</v>
          </cell>
          <cell r="AY1021">
            <v>2</v>
          </cell>
          <cell r="AZ1021">
            <v>3</v>
          </cell>
          <cell r="BA1021">
            <v>3</v>
          </cell>
          <cell r="BB1021">
            <v>2</v>
          </cell>
          <cell r="BC1021">
            <v>0</v>
          </cell>
          <cell r="BD1021">
            <v>0</v>
          </cell>
          <cell r="BE1021">
            <v>2</v>
          </cell>
          <cell r="BF1021">
            <v>2</v>
          </cell>
          <cell r="BG1021">
            <v>4</v>
          </cell>
          <cell r="BH1021">
            <v>0</v>
          </cell>
          <cell r="BI1021">
            <v>1</v>
          </cell>
          <cell r="BJ1021">
            <v>0</v>
          </cell>
          <cell r="BK1021">
            <v>0</v>
          </cell>
          <cell r="BL1021">
            <v>0</v>
          </cell>
          <cell r="BM1021">
            <v>0</v>
          </cell>
          <cell r="BN1021">
            <v>1</v>
          </cell>
          <cell r="BO1021">
            <v>0</v>
          </cell>
          <cell r="BP1021">
            <v>0</v>
          </cell>
          <cell r="BQ1021">
            <v>0</v>
          </cell>
          <cell r="BR1021">
            <v>2</v>
          </cell>
          <cell r="BS1021">
            <v>0</v>
          </cell>
          <cell r="BT1021">
            <v>0</v>
          </cell>
          <cell r="BU1021">
            <v>11</v>
          </cell>
        </row>
        <row r="1022">
          <cell r="A1022">
            <v>47</v>
          </cell>
          <cell r="B1022">
            <v>47</v>
          </cell>
          <cell r="D1022">
            <v>0</v>
          </cell>
          <cell r="F1022">
            <v>0</v>
          </cell>
          <cell r="G1022">
            <v>1</v>
          </cell>
          <cell r="I1022">
            <v>1</v>
          </cell>
          <cell r="J1022">
            <v>0</v>
          </cell>
          <cell r="K1022">
            <v>1</v>
          </cell>
          <cell r="L1022">
            <v>1</v>
          </cell>
          <cell r="M1022">
            <v>3</v>
          </cell>
          <cell r="O1022">
            <v>0</v>
          </cell>
          <cell r="P1022">
            <v>0</v>
          </cell>
          <cell r="Q1022">
            <v>0</v>
          </cell>
          <cell r="R1022">
            <v>0</v>
          </cell>
          <cell r="S1022">
            <v>1</v>
          </cell>
          <cell r="T1022">
            <v>1</v>
          </cell>
          <cell r="V1022">
            <v>0</v>
          </cell>
          <cell r="W1022">
            <v>74</v>
          </cell>
          <cell r="X1022">
            <v>3</v>
          </cell>
          <cell r="Y1022">
            <v>1</v>
          </cell>
          <cell r="AA1022">
            <v>0</v>
          </cell>
          <cell r="AB1022">
            <v>0</v>
          </cell>
          <cell r="AC1022">
            <v>0</v>
          </cell>
          <cell r="AD1022">
            <v>0</v>
          </cell>
          <cell r="AE1022">
            <v>0</v>
          </cell>
          <cell r="AF1022">
            <v>0</v>
          </cell>
          <cell r="AG1022">
            <v>0</v>
          </cell>
          <cell r="AH1022">
            <v>1</v>
          </cell>
          <cell r="AI1022">
            <v>4</v>
          </cell>
          <cell r="AK1022">
            <v>0</v>
          </cell>
          <cell r="AL1022">
            <v>1</v>
          </cell>
          <cell r="AN1022">
            <v>3420</v>
          </cell>
          <cell r="AO1022">
            <v>7</v>
          </cell>
          <cell r="AQ1022">
            <v>0</v>
          </cell>
          <cell r="AR1022">
            <v>12</v>
          </cell>
          <cell r="AS1022">
            <v>3</v>
          </cell>
          <cell r="AT1022">
            <v>3</v>
          </cell>
          <cell r="AU1022">
            <v>1</v>
          </cell>
          <cell r="AV1022">
            <v>17</v>
          </cell>
          <cell r="AW1022">
            <v>17</v>
          </cell>
          <cell r="AX1022">
            <v>2</v>
          </cell>
          <cell r="AY1022">
            <v>2</v>
          </cell>
          <cell r="AZ1022">
            <v>6</v>
          </cell>
          <cell r="BA1022">
            <v>6</v>
          </cell>
          <cell r="BB1022">
            <v>5</v>
          </cell>
          <cell r="BC1022">
            <v>1</v>
          </cell>
          <cell r="BD1022">
            <v>1</v>
          </cell>
          <cell r="BE1022">
            <v>2</v>
          </cell>
          <cell r="BF1022">
            <v>2</v>
          </cell>
          <cell r="BG1022">
            <v>2</v>
          </cell>
          <cell r="BH1022">
            <v>0</v>
          </cell>
          <cell r="BI1022">
            <v>1</v>
          </cell>
          <cell r="BJ1022">
            <v>0</v>
          </cell>
          <cell r="BK1022">
            <v>0</v>
          </cell>
          <cell r="BL1022">
            <v>0</v>
          </cell>
          <cell r="BM1022">
            <v>0</v>
          </cell>
          <cell r="BN1022">
            <v>1</v>
          </cell>
          <cell r="BO1022">
            <v>0</v>
          </cell>
          <cell r="BP1022">
            <v>0</v>
          </cell>
          <cell r="BQ1022">
            <v>2</v>
          </cell>
          <cell r="BR1022">
            <v>0</v>
          </cell>
          <cell r="BS1022">
            <v>0</v>
          </cell>
          <cell r="BT1022">
            <v>17</v>
          </cell>
          <cell r="BU1022">
            <v>0</v>
          </cell>
        </row>
        <row r="1023">
          <cell r="A1023">
            <v>25</v>
          </cell>
          <cell r="B1023">
            <v>25</v>
          </cell>
          <cell r="D1023">
            <v>1</v>
          </cell>
          <cell r="F1023">
            <v>0</v>
          </cell>
          <cell r="G1023">
            <v>1</v>
          </cell>
          <cell r="I1023">
            <v>0</v>
          </cell>
          <cell r="J1023">
            <v>1</v>
          </cell>
          <cell r="K1023">
            <v>9</v>
          </cell>
          <cell r="L1023">
            <v>9</v>
          </cell>
          <cell r="M1023">
            <v>2</v>
          </cell>
          <cell r="O1023">
            <v>1</v>
          </cell>
          <cell r="P1023">
            <v>0</v>
          </cell>
          <cell r="Q1023">
            <v>0</v>
          </cell>
          <cell r="R1023">
            <v>0</v>
          </cell>
          <cell r="S1023">
            <v>0</v>
          </cell>
          <cell r="T1023">
            <v>1</v>
          </cell>
          <cell r="V1023">
            <v>0</v>
          </cell>
          <cell r="W1023">
            <v>68</v>
          </cell>
          <cell r="X1023">
            <v>2</v>
          </cell>
          <cell r="Y1023">
            <v>1</v>
          </cell>
          <cell r="AA1023">
            <v>0</v>
          </cell>
          <cell r="AB1023">
            <v>0</v>
          </cell>
          <cell r="AC1023">
            <v>0</v>
          </cell>
          <cell r="AD1023">
            <v>0</v>
          </cell>
          <cell r="AE1023">
            <v>0</v>
          </cell>
          <cell r="AF1023">
            <v>0</v>
          </cell>
          <cell r="AG1023">
            <v>1</v>
          </cell>
          <cell r="AH1023">
            <v>0</v>
          </cell>
          <cell r="AI1023">
            <v>1</v>
          </cell>
          <cell r="AK1023">
            <v>0</v>
          </cell>
          <cell r="AL1023">
            <v>1</v>
          </cell>
          <cell r="AN1023">
            <v>4400</v>
          </cell>
          <cell r="AO1023">
            <v>3</v>
          </cell>
          <cell r="AQ1023">
            <v>0</v>
          </cell>
          <cell r="AR1023">
            <v>12</v>
          </cell>
          <cell r="AS1023">
            <v>3</v>
          </cell>
          <cell r="AT1023">
            <v>1</v>
          </cell>
          <cell r="AU1023">
            <v>0</v>
          </cell>
          <cell r="AV1023">
            <v>6</v>
          </cell>
          <cell r="AW1023">
            <v>6</v>
          </cell>
          <cell r="AX1023">
            <v>2</v>
          </cell>
          <cell r="AY1023">
            <v>3</v>
          </cell>
          <cell r="AZ1023">
            <v>3</v>
          </cell>
          <cell r="BA1023">
            <v>3</v>
          </cell>
          <cell r="BB1023">
            <v>2</v>
          </cell>
          <cell r="BC1023">
            <v>2</v>
          </cell>
          <cell r="BD1023">
            <v>2</v>
          </cell>
          <cell r="BE1023">
            <v>2</v>
          </cell>
          <cell r="BF1023">
            <v>2</v>
          </cell>
          <cell r="BG1023">
            <v>2</v>
          </cell>
          <cell r="BH1023">
            <v>0</v>
          </cell>
          <cell r="BI1023">
            <v>1</v>
          </cell>
          <cell r="BJ1023">
            <v>0</v>
          </cell>
          <cell r="BK1023">
            <v>0</v>
          </cell>
          <cell r="BL1023">
            <v>0</v>
          </cell>
          <cell r="BM1023">
            <v>0</v>
          </cell>
          <cell r="BN1023">
            <v>1</v>
          </cell>
          <cell r="BO1023">
            <v>0</v>
          </cell>
          <cell r="BP1023">
            <v>0</v>
          </cell>
          <cell r="BQ1023">
            <v>0</v>
          </cell>
          <cell r="BR1023">
            <v>2</v>
          </cell>
          <cell r="BS1023">
            <v>0</v>
          </cell>
          <cell r="BT1023">
            <v>0</v>
          </cell>
          <cell r="BU1023">
            <v>6</v>
          </cell>
        </row>
        <row r="1024">
          <cell r="A1024">
            <v>37</v>
          </cell>
          <cell r="B1024">
            <v>37</v>
          </cell>
          <cell r="D1024">
            <v>0</v>
          </cell>
          <cell r="F1024">
            <v>0</v>
          </cell>
          <cell r="G1024">
            <v>0</v>
          </cell>
          <cell r="I1024">
            <v>1</v>
          </cell>
          <cell r="J1024">
            <v>0</v>
          </cell>
          <cell r="K1024">
            <v>5</v>
          </cell>
          <cell r="L1024">
            <v>5</v>
          </cell>
          <cell r="M1024">
            <v>2</v>
          </cell>
          <cell r="O1024">
            <v>0</v>
          </cell>
          <cell r="P1024">
            <v>0</v>
          </cell>
          <cell r="Q1024">
            <v>0</v>
          </cell>
          <cell r="R1024">
            <v>0</v>
          </cell>
          <cell r="S1024">
            <v>1</v>
          </cell>
          <cell r="T1024">
            <v>3</v>
          </cell>
          <cell r="V1024">
            <v>0</v>
          </cell>
          <cell r="W1024">
            <v>84</v>
          </cell>
          <cell r="X1024">
            <v>4</v>
          </cell>
          <cell r="Y1024">
            <v>1</v>
          </cell>
          <cell r="AA1024">
            <v>0</v>
          </cell>
          <cell r="AB1024">
            <v>0</v>
          </cell>
          <cell r="AC1024">
            <v>1</v>
          </cell>
          <cell r="AD1024">
            <v>0</v>
          </cell>
          <cell r="AE1024">
            <v>0</v>
          </cell>
          <cell r="AF1024">
            <v>0</v>
          </cell>
          <cell r="AG1024">
            <v>0</v>
          </cell>
          <cell r="AH1024">
            <v>0</v>
          </cell>
          <cell r="AI1024">
            <v>3</v>
          </cell>
          <cell r="AK1024">
            <v>1</v>
          </cell>
          <cell r="AL1024">
            <v>0</v>
          </cell>
          <cell r="AN1024">
            <v>3500</v>
          </cell>
          <cell r="AO1024">
            <v>0</v>
          </cell>
          <cell r="AQ1024">
            <v>0</v>
          </cell>
          <cell r="AR1024">
            <v>14</v>
          </cell>
          <cell r="AS1024">
            <v>3</v>
          </cell>
          <cell r="AT1024">
            <v>1</v>
          </cell>
          <cell r="AU1024">
            <v>0</v>
          </cell>
          <cell r="AV1024">
            <v>7</v>
          </cell>
          <cell r="AW1024">
            <v>7</v>
          </cell>
          <cell r="AX1024">
            <v>2</v>
          </cell>
          <cell r="AY1024">
            <v>1</v>
          </cell>
          <cell r="AZ1024">
            <v>6</v>
          </cell>
          <cell r="BA1024">
            <v>6</v>
          </cell>
          <cell r="BB1024">
            <v>5</v>
          </cell>
          <cell r="BC1024">
            <v>1</v>
          </cell>
          <cell r="BD1024">
            <v>1</v>
          </cell>
          <cell r="BE1024">
            <v>3</v>
          </cell>
          <cell r="BF1024">
            <v>3</v>
          </cell>
          <cell r="BG1024">
            <v>3</v>
          </cell>
          <cell r="BH1024">
            <v>1</v>
          </cell>
          <cell r="BI1024">
            <v>0</v>
          </cell>
          <cell r="BJ1024">
            <v>0</v>
          </cell>
          <cell r="BK1024">
            <v>0</v>
          </cell>
          <cell r="BL1024">
            <v>1</v>
          </cell>
          <cell r="BM1024">
            <v>0</v>
          </cell>
          <cell r="BN1024">
            <v>0</v>
          </cell>
          <cell r="BO1024">
            <v>0</v>
          </cell>
          <cell r="BP1024">
            <v>0</v>
          </cell>
          <cell r="BQ1024">
            <v>3</v>
          </cell>
          <cell r="BR1024">
            <v>0</v>
          </cell>
          <cell r="BS1024">
            <v>0</v>
          </cell>
          <cell r="BT1024">
            <v>7</v>
          </cell>
          <cell r="BU1024">
            <v>0</v>
          </cell>
        </row>
        <row r="1025">
          <cell r="A1025">
            <v>56</v>
          </cell>
          <cell r="B1025">
            <v>56</v>
          </cell>
          <cell r="D1025">
            <v>0</v>
          </cell>
          <cell r="F1025">
            <v>0</v>
          </cell>
          <cell r="G1025">
            <v>1</v>
          </cell>
          <cell r="I1025">
            <v>1</v>
          </cell>
          <cell r="J1025">
            <v>0</v>
          </cell>
          <cell r="K1025">
            <v>1</v>
          </cell>
          <cell r="L1025">
            <v>1</v>
          </cell>
          <cell r="M1025">
            <v>2</v>
          </cell>
          <cell r="O1025">
            <v>1</v>
          </cell>
          <cell r="P1025">
            <v>0</v>
          </cell>
          <cell r="Q1025">
            <v>0</v>
          </cell>
          <cell r="R1025">
            <v>0</v>
          </cell>
          <cell r="S1025">
            <v>0</v>
          </cell>
          <cell r="T1025">
            <v>1</v>
          </cell>
          <cell r="V1025">
            <v>1</v>
          </cell>
          <cell r="W1025">
            <v>90</v>
          </cell>
          <cell r="X1025">
            <v>3</v>
          </cell>
          <cell r="Y1025">
            <v>1</v>
          </cell>
          <cell r="AA1025">
            <v>0</v>
          </cell>
          <cell r="AB1025">
            <v>0</v>
          </cell>
          <cell r="AC1025">
            <v>0</v>
          </cell>
          <cell r="AD1025">
            <v>0</v>
          </cell>
          <cell r="AE1025">
            <v>0</v>
          </cell>
          <cell r="AF1025">
            <v>0</v>
          </cell>
          <cell r="AG1025">
            <v>0</v>
          </cell>
          <cell r="AH1025">
            <v>1</v>
          </cell>
          <cell r="AI1025">
            <v>1</v>
          </cell>
          <cell r="AK1025">
            <v>0</v>
          </cell>
          <cell r="AL1025">
            <v>1</v>
          </cell>
          <cell r="AN1025">
            <v>2066</v>
          </cell>
          <cell r="AO1025">
            <v>2</v>
          </cell>
          <cell r="AQ1025">
            <v>0</v>
          </cell>
          <cell r="AR1025">
            <v>22</v>
          </cell>
          <cell r="AS1025">
            <v>4</v>
          </cell>
          <cell r="AT1025">
            <v>4</v>
          </cell>
          <cell r="AU1025">
            <v>1</v>
          </cell>
          <cell r="AV1025">
            <v>5</v>
          </cell>
          <cell r="AW1025">
            <v>5</v>
          </cell>
          <cell r="AX1025">
            <v>3</v>
          </cell>
          <cell r="AY1025">
            <v>4</v>
          </cell>
          <cell r="AZ1025">
            <v>3</v>
          </cell>
          <cell r="BA1025">
            <v>3</v>
          </cell>
          <cell r="BB1025">
            <v>2</v>
          </cell>
          <cell r="BC1025">
            <v>1</v>
          </cell>
          <cell r="BD1025">
            <v>1</v>
          </cell>
          <cell r="BE1025">
            <v>0</v>
          </cell>
          <cell r="BF1025">
            <v>0</v>
          </cell>
          <cell r="BG1025">
            <v>0</v>
          </cell>
          <cell r="BH1025">
            <v>0</v>
          </cell>
          <cell r="BI1025">
            <v>1</v>
          </cell>
          <cell r="BJ1025">
            <v>0</v>
          </cell>
          <cell r="BK1025">
            <v>0</v>
          </cell>
          <cell r="BL1025">
            <v>0</v>
          </cell>
          <cell r="BM1025">
            <v>0</v>
          </cell>
          <cell r="BN1025">
            <v>1</v>
          </cell>
          <cell r="BO1025">
            <v>0</v>
          </cell>
          <cell r="BP1025">
            <v>0</v>
          </cell>
          <cell r="BQ1025">
            <v>0</v>
          </cell>
          <cell r="BR1025">
            <v>0</v>
          </cell>
          <cell r="BS1025">
            <v>0</v>
          </cell>
          <cell r="BT1025">
            <v>5</v>
          </cell>
          <cell r="BU1025">
            <v>0</v>
          </cell>
        </row>
        <row r="1026">
          <cell r="A1026">
            <v>47</v>
          </cell>
          <cell r="B1026">
            <v>47</v>
          </cell>
          <cell r="D1026">
            <v>0</v>
          </cell>
          <cell r="F1026">
            <v>0</v>
          </cell>
          <cell r="G1026">
            <v>1</v>
          </cell>
          <cell r="I1026">
            <v>1</v>
          </cell>
          <cell r="J1026">
            <v>0</v>
          </cell>
          <cell r="K1026">
            <v>2</v>
          </cell>
          <cell r="L1026">
            <v>2</v>
          </cell>
          <cell r="M1026">
            <v>4</v>
          </cell>
          <cell r="O1026">
            <v>0</v>
          </cell>
          <cell r="P1026">
            <v>0</v>
          </cell>
          <cell r="Q1026">
            <v>1</v>
          </cell>
          <cell r="R1026">
            <v>0</v>
          </cell>
          <cell r="S1026">
            <v>0</v>
          </cell>
          <cell r="T1026">
            <v>1</v>
          </cell>
          <cell r="V1026">
            <v>1</v>
          </cell>
          <cell r="W1026">
            <v>82</v>
          </cell>
          <cell r="X1026">
            <v>3</v>
          </cell>
          <cell r="Y1026">
            <v>4</v>
          </cell>
          <cell r="AA1026">
            <v>0</v>
          </cell>
          <cell r="AB1026">
            <v>0</v>
          </cell>
          <cell r="AC1026">
            <v>0</v>
          </cell>
          <cell r="AD1026">
            <v>0</v>
          </cell>
          <cell r="AE1026">
            <v>0</v>
          </cell>
          <cell r="AF1026">
            <v>0</v>
          </cell>
          <cell r="AG1026">
            <v>0</v>
          </cell>
          <cell r="AH1026">
            <v>0</v>
          </cell>
          <cell r="AI1026">
            <v>3</v>
          </cell>
          <cell r="AK1026">
            <v>0</v>
          </cell>
          <cell r="AL1026">
            <v>1</v>
          </cell>
          <cell r="AN1026">
            <v>17169</v>
          </cell>
          <cell r="AO1026">
            <v>3</v>
          </cell>
          <cell r="AQ1026">
            <v>0</v>
          </cell>
          <cell r="AR1026">
            <v>19</v>
          </cell>
          <cell r="AS1026">
            <v>3</v>
          </cell>
          <cell r="AT1026">
            <v>2</v>
          </cell>
          <cell r="AU1026">
            <v>2</v>
          </cell>
          <cell r="AV1026">
            <v>26</v>
          </cell>
          <cell r="AW1026">
            <v>26</v>
          </cell>
          <cell r="AX1026">
            <v>2</v>
          </cell>
          <cell r="AY1026">
            <v>4</v>
          </cell>
          <cell r="AZ1026">
            <v>20</v>
          </cell>
          <cell r="BA1026">
            <v>20</v>
          </cell>
          <cell r="BB1026">
            <v>17</v>
          </cell>
          <cell r="BC1026">
            <v>5</v>
          </cell>
          <cell r="BD1026">
            <v>5</v>
          </cell>
          <cell r="BE1026">
            <v>6</v>
          </cell>
          <cell r="BF1026">
            <v>6</v>
          </cell>
          <cell r="BG1026">
            <v>24</v>
          </cell>
          <cell r="BH1026">
            <v>0</v>
          </cell>
          <cell r="BI1026">
            <v>1</v>
          </cell>
          <cell r="BJ1026">
            <v>0</v>
          </cell>
          <cell r="BK1026">
            <v>0</v>
          </cell>
          <cell r="BL1026">
            <v>0</v>
          </cell>
          <cell r="BM1026">
            <v>0</v>
          </cell>
          <cell r="BN1026">
            <v>1</v>
          </cell>
          <cell r="BO1026">
            <v>0</v>
          </cell>
          <cell r="BP1026">
            <v>0</v>
          </cell>
          <cell r="BQ1026">
            <v>6</v>
          </cell>
          <cell r="BR1026">
            <v>0</v>
          </cell>
          <cell r="BS1026">
            <v>0</v>
          </cell>
          <cell r="BT1026">
            <v>26</v>
          </cell>
          <cell r="BU1026">
            <v>0</v>
          </cell>
        </row>
        <row r="1027">
          <cell r="A1027">
            <v>24</v>
          </cell>
          <cell r="B1027">
            <v>24</v>
          </cell>
          <cell r="D1027">
            <v>0</v>
          </cell>
          <cell r="F1027">
            <v>0</v>
          </cell>
          <cell r="G1027">
            <v>1</v>
          </cell>
          <cell r="I1027">
            <v>0</v>
          </cell>
          <cell r="J1027">
            <v>1</v>
          </cell>
          <cell r="K1027">
            <v>4</v>
          </cell>
          <cell r="L1027">
            <v>4</v>
          </cell>
          <cell r="M1027">
            <v>1</v>
          </cell>
          <cell r="O1027">
            <v>0</v>
          </cell>
          <cell r="P1027">
            <v>0</v>
          </cell>
          <cell r="Q1027">
            <v>1</v>
          </cell>
          <cell r="R1027">
            <v>0</v>
          </cell>
          <cell r="S1027">
            <v>0</v>
          </cell>
          <cell r="T1027">
            <v>4</v>
          </cell>
          <cell r="V1027">
            <v>1</v>
          </cell>
          <cell r="W1027">
            <v>42</v>
          </cell>
          <cell r="X1027">
            <v>3</v>
          </cell>
          <cell r="Y1027">
            <v>2</v>
          </cell>
          <cell r="AA1027">
            <v>0</v>
          </cell>
          <cell r="AB1027">
            <v>1</v>
          </cell>
          <cell r="AC1027">
            <v>0</v>
          </cell>
          <cell r="AD1027">
            <v>0</v>
          </cell>
          <cell r="AE1027">
            <v>0</v>
          </cell>
          <cell r="AF1027">
            <v>0</v>
          </cell>
          <cell r="AG1027">
            <v>0</v>
          </cell>
          <cell r="AH1027">
            <v>0</v>
          </cell>
          <cell r="AI1027">
            <v>3</v>
          </cell>
          <cell r="AK1027">
            <v>0</v>
          </cell>
          <cell r="AL1027">
            <v>1</v>
          </cell>
          <cell r="AN1027">
            <v>4162</v>
          </cell>
          <cell r="AO1027">
            <v>1</v>
          </cell>
          <cell r="AQ1027">
            <v>1</v>
          </cell>
          <cell r="AR1027">
            <v>12</v>
          </cell>
          <cell r="AS1027">
            <v>3</v>
          </cell>
          <cell r="AT1027">
            <v>3</v>
          </cell>
          <cell r="AU1027">
            <v>2</v>
          </cell>
          <cell r="AV1027">
            <v>5</v>
          </cell>
          <cell r="AW1027">
            <v>5</v>
          </cell>
          <cell r="AX1027">
            <v>3</v>
          </cell>
          <cell r="AY1027">
            <v>3</v>
          </cell>
          <cell r="AZ1027">
            <v>5</v>
          </cell>
          <cell r="BA1027">
            <v>5</v>
          </cell>
          <cell r="BB1027">
            <v>4</v>
          </cell>
          <cell r="BC1027">
            <v>0</v>
          </cell>
          <cell r="BD1027">
            <v>0</v>
          </cell>
          <cell r="BE1027">
            <v>3</v>
          </cell>
          <cell r="BF1027">
            <v>3</v>
          </cell>
          <cell r="BG1027">
            <v>6</v>
          </cell>
          <cell r="BH1027">
            <v>0</v>
          </cell>
          <cell r="BI1027">
            <v>1</v>
          </cell>
          <cell r="BJ1027">
            <v>0</v>
          </cell>
          <cell r="BK1027">
            <v>0</v>
          </cell>
          <cell r="BL1027">
            <v>0</v>
          </cell>
          <cell r="BM1027">
            <v>0</v>
          </cell>
          <cell r="BN1027">
            <v>0</v>
          </cell>
          <cell r="BO1027">
            <v>1</v>
          </cell>
          <cell r="BP1027">
            <v>0</v>
          </cell>
          <cell r="BQ1027">
            <v>0</v>
          </cell>
          <cell r="BR1027">
            <v>3</v>
          </cell>
          <cell r="BS1027">
            <v>0</v>
          </cell>
          <cell r="BT1027">
            <v>0</v>
          </cell>
          <cell r="BU1027">
            <v>5</v>
          </cell>
        </row>
        <row r="1028">
          <cell r="A1028">
            <v>32</v>
          </cell>
          <cell r="B1028">
            <v>32</v>
          </cell>
          <cell r="D1028">
            <v>0</v>
          </cell>
          <cell r="F1028">
            <v>0</v>
          </cell>
          <cell r="G1028">
            <v>1</v>
          </cell>
          <cell r="I1028">
            <v>0</v>
          </cell>
          <cell r="J1028">
            <v>1</v>
          </cell>
          <cell r="K1028">
            <v>7</v>
          </cell>
          <cell r="L1028">
            <v>7</v>
          </cell>
          <cell r="M1028">
            <v>5</v>
          </cell>
          <cell r="O1028">
            <v>0</v>
          </cell>
          <cell r="P1028">
            <v>0</v>
          </cell>
          <cell r="Q1028">
            <v>0</v>
          </cell>
          <cell r="R1028">
            <v>1</v>
          </cell>
          <cell r="S1028">
            <v>0</v>
          </cell>
          <cell r="T1028">
            <v>4</v>
          </cell>
          <cell r="V1028">
            <v>0</v>
          </cell>
          <cell r="W1028">
            <v>97</v>
          </cell>
          <cell r="X1028">
            <v>3</v>
          </cell>
          <cell r="Y1028">
            <v>2</v>
          </cell>
          <cell r="AA1028">
            <v>0</v>
          </cell>
          <cell r="AB1028">
            <v>1</v>
          </cell>
          <cell r="AC1028">
            <v>0</v>
          </cell>
          <cell r="AD1028">
            <v>0</v>
          </cell>
          <cell r="AE1028">
            <v>0</v>
          </cell>
          <cell r="AF1028">
            <v>0</v>
          </cell>
          <cell r="AG1028">
            <v>0</v>
          </cell>
          <cell r="AH1028">
            <v>0</v>
          </cell>
          <cell r="AI1028">
            <v>4</v>
          </cell>
          <cell r="AK1028">
            <v>0</v>
          </cell>
          <cell r="AL1028">
            <v>1</v>
          </cell>
          <cell r="AN1028">
            <v>9204</v>
          </cell>
          <cell r="AO1028">
            <v>4</v>
          </cell>
          <cell r="AQ1028">
            <v>0</v>
          </cell>
          <cell r="AR1028">
            <v>12</v>
          </cell>
          <cell r="AS1028">
            <v>3</v>
          </cell>
          <cell r="AT1028">
            <v>3</v>
          </cell>
          <cell r="AU1028">
            <v>1</v>
          </cell>
          <cell r="AV1028">
            <v>7</v>
          </cell>
          <cell r="AW1028">
            <v>7</v>
          </cell>
          <cell r="AX1028">
            <v>3</v>
          </cell>
          <cell r="AY1028">
            <v>2</v>
          </cell>
          <cell r="AZ1028">
            <v>4</v>
          </cell>
          <cell r="BA1028">
            <v>4</v>
          </cell>
          <cell r="BB1028">
            <v>3</v>
          </cell>
          <cell r="BC1028">
            <v>0</v>
          </cell>
          <cell r="BD1028">
            <v>0</v>
          </cell>
          <cell r="BE1028">
            <v>3</v>
          </cell>
          <cell r="BF1028">
            <v>3</v>
          </cell>
          <cell r="BG1028">
            <v>6</v>
          </cell>
          <cell r="BH1028">
            <v>0</v>
          </cell>
          <cell r="BI1028">
            <v>1</v>
          </cell>
          <cell r="BJ1028">
            <v>0</v>
          </cell>
          <cell r="BK1028">
            <v>0</v>
          </cell>
          <cell r="BL1028">
            <v>0</v>
          </cell>
          <cell r="BM1028">
            <v>0</v>
          </cell>
          <cell r="BN1028">
            <v>1</v>
          </cell>
          <cell r="BO1028">
            <v>0</v>
          </cell>
          <cell r="BP1028">
            <v>0</v>
          </cell>
          <cell r="BQ1028">
            <v>0</v>
          </cell>
          <cell r="BR1028">
            <v>3</v>
          </cell>
          <cell r="BS1028">
            <v>0</v>
          </cell>
          <cell r="BT1028">
            <v>0</v>
          </cell>
          <cell r="BU1028">
            <v>7</v>
          </cell>
        </row>
        <row r="1029">
          <cell r="A1029">
            <v>34</v>
          </cell>
          <cell r="B1029">
            <v>34</v>
          </cell>
          <cell r="D1029">
            <v>0</v>
          </cell>
          <cell r="F1029">
            <v>0</v>
          </cell>
          <cell r="G1029">
            <v>1</v>
          </cell>
          <cell r="I1029">
            <v>1</v>
          </cell>
          <cell r="J1029">
            <v>0</v>
          </cell>
          <cell r="K1029">
            <v>1</v>
          </cell>
          <cell r="L1029">
            <v>1</v>
          </cell>
          <cell r="M1029">
            <v>3</v>
          </cell>
          <cell r="O1029">
            <v>1</v>
          </cell>
          <cell r="P1029">
            <v>0</v>
          </cell>
          <cell r="Q1029">
            <v>0</v>
          </cell>
          <cell r="R1029">
            <v>0</v>
          </cell>
          <cell r="S1029">
            <v>0</v>
          </cell>
          <cell r="T1029">
            <v>4</v>
          </cell>
          <cell r="V1029">
            <v>1</v>
          </cell>
          <cell r="W1029">
            <v>86</v>
          </cell>
          <cell r="X1029">
            <v>2</v>
          </cell>
          <cell r="Y1029">
            <v>1</v>
          </cell>
          <cell r="AA1029">
            <v>0</v>
          </cell>
          <cell r="AB1029">
            <v>0</v>
          </cell>
          <cell r="AC1029">
            <v>1</v>
          </cell>
          <cell r="AD1029">
            <v>0</v>
          </cell>
          <cell r="AE1029">
            <v>0</v>
          </cell>
          <cell r="AF1029">
            <v>0</v>
          </cell>
          <cell r="AG1029">
            <v>0</v>
          </cell>
          <cell r="AH1029">
            <v>0</v>
          </cell>
          <cell r="AI1029">
            <v>2</v>
          </cell>
          <cell r="AK1029">
            <v>0</v>
          </cell>
          <cell r="AL1029">
            <v>1</v>
          </cell>
          <cell r="AN1029">
            <v>3294</v>
          </cell>
          <cell r="AO1029">
            <v>5</v>
          </cell>
          <cell r="AQ1029">
            <v>0</v>
          </cell>
          <cell r="AR1029">
            <v>17</v>
          </cell>
          <cell r="AS1029">
            <v>3</v>
          </cell>
          <cell r="AT1029">
            <v>1</v>
          </cell>
          <cell r="AU1029">
            <v>1</v>
          </cell>
          <cell r="AV1029">
            <v>7</v>
          </cell>
          <cell r="AW1029">
            <v>7</v>
          </cell>
          <cell r="AX1029">
            <v>2</v>
          </cell>
          <cell r="AY1029">
            <v>2</v>
          </cell>
          <cell r="AZ1029">
            <v>5</v>
          </cell>
          <cell r="BA1029">
            <v>5</v>
          </cell>
          <cell r="BB1029">
            <v>4</v>
          </cell>
          <cell r="BC1029">
            <v>0</v>
          </cell>
          <cell r="BD1029">
            <v>0</v>
          </cell>
          <cell r="BE1029">
            <v>2</v>
          </cell>
          <cell r="BF1029">
            <v>2</v>
          </cell>
          <cell r="BG1029">
            <v>2</v>
          </cell>
          <cell r="BH1029">
            <v>0</v>
          </cell>
          <cell r="BI1029">
            <v>1</v>
          </cell>
          <cell r="BJ1029">
            <v>0</v>
          </cell>
          <cell r="BK1029">
            <v>0</v>
          </cell>
          <cell r="BL1029">
            <v>0</v>
          </cell>
          <cell r="BM1029">
            <v>0</v>
          </cell>
          <cell r="BN1029">
            <v>1</v>
          </cell>
          <cell r="BO1029">
            <v>0</v>
          </cell>
          <cell r="BP1029">
            <v>0</v>
          </cell>
          <cell r="BQ1029">
            <v>2</v>
          </cell>
          <cell r="BR1029">
            <v>0</v>
          </cell>
          <cell r="BS1029">
            <v>0</v>
          </cell>
          <cell r="BT1029">
            <v>7</v>
          </cell>
          <cell r="BU1029">
            <v>0</v>
          </cell>
        </row>
        <row r="1030">
          <cell r="A1030">
            <v>41</v>
          </cell>
          <cell r="B1030">
            <v>41</v>
          </cell>
          <cell r="D1030">
            <v>0</v>
          </cell>
          <cell r="F1030">
            <v>0</v>
          </cell>
          <cell r="G1030">
            <v>1</v>
          </cell>
          <cell r="I1030">
            <v>1</v>
          </cell>
          <cell r="J1030">
            <v>0</v>
          </cell>
          <cell r="K1030">
            <v>5</v>
          </cell>
          <cell r="L1030">
            <v>5</v>
          </cell>
          <cell r="M1030">
            <v>5</v>
          </cell>
          <cell r="O1030">
            <v>0</v>
          </cell>
          <cell r="P1030">
            <v>0</v>
          </cell>
          <cell r="Q1030">
            <v>1</v>
          </cell>
          <cell r="R1030">
            <v>0</v>
          </cell>
          <cell r="S1030">
            <v>0</v>
          </cell>
          <cell r="T1030">
            <v>2</v>
          </cell>
          <cell r="V1030">
            <v>0</v>
          </cell>
          <cell r="W1030">
            <v>90</v>
          </cell>
          <cell r="X1030">
            <v>4</v>
          </cell>
          <cell r="Y1030">
            <v>1</v>
          </cell>
          <cell r="AA1030">
            <v>0</v>
          </cell>
          <cell r="AB1030">
            <v>0</v>
          </cell>
          <cell r="AC1030">
            <v>0</v>
          </cell>
          <cell r="AD1030">
            <v>0</v>
          </cell>
          <cell r="AE1030">
            <v>0</v>
          </cell>
          <cell r="AF1030">
            <v>0</v>
          </cell>
          <cell r="AG1030">
            <v>0</v>
          </cell>
          <cell r="AH1030">
            <v>1</v>
          </cell>
          <cell r="AI1030">
            <v>3</v>
          </cell>
          <cell r="AK1030">
            <v>0</v>
          </cell>
          <cell r="AL1030">
            <v>1</v>
          </cell>
          <cell r="AN1030">
            <v>2127</v>
          </cell>
          <cell r="AO1030">
            <v>2</v>
          </cell>
          <cell r="AQ1030">
            <v>1</v>
          </cell>
          <cell r="AR1030">
            <v>12</v>
          </cell>
          <cell r="AS1030">
            <v>3</v>
          </cell>
          <cell r="AT1030">
            <v>1</v>
          </cell>
          <cell r="AU1030">
            <v>0</v>
          </cell>
          <cell r="AV1030">
            <v>7</v>
          </cell>
          <cell r="AW1030">
            <v>7</v>
          </cell>
          <cell r="AX1030">
            <v>5</v>
          </cell>
          <cell r="AY1030">
            <v>2</v>
          </cell>
          <cell r="AZ1030">
            <v>4</v>
          </cell>
          <cell r="BA1030">
            <v>4</v>
          </cell>
          <cell r="BB1030">
            <v>2</v>
          </cell>
          <cell r="BC1030">
            <v>0</v>
          </cell>
          <cell r="BD1030">
            <v>0</v>
          </cell>
          <cell r="BE1030">
            <v>3</v>
          </cell>
          <cell r="BF1030">
            <v>3</v>
          </cell>
          <cell r="BG1030">
            <v>3</v>
          </cell>
          <cell r="BH1030">
            <v>0</v>
          </cell>
          <cell r="BI1030">
            <v>1</v>
          </cell>
          <cell r="BJ1030">
            <v>0</v>
          </cell>
          <cell r="BK1030">
            <v>0</v>
          </cell>
          <cell r="BL1030">
            <v>0</v>
          </cell>
          <cell r="BM1030">
            <v>0</v>
          </cell>
          <cell r="BN1030">
            <v>0</v>
          </cell>
          <cell r="BO1030">
            <v>1</v>
          </cell>
          <cell r="BP1030">
            <v>0</v>
          </cell>
          <cell r="BQ1030">
            <v>3</v>
          </cell>
          <cell r="BR1030">
            <v>0</v>
          </cell>
          <cell r="BS1030">
            <v>0</v>
          </cell>
          <cell r="BT1030">
            <v>7</v>
          </cell>
          <cell r="BU1030">
            <v>0</v>
          </cell>
        </row>
        <row r="1031">
          <cell r="A1031">
            <v>40</v>
          </cell>
          <cell r="B1031">
            <v>40</v>
          </cell>
          <cell r="D1031">
            <v>0</v>
          </cell>
          <cell r="F1031">
            <v>0</v>
          </cell>
          <cell r="G1031">
            <v>0</v>
          </cell>
          <cell r="I1031">
            <v>1</v>
          </cell>
          <cell r="J1031">
            <v>0</v>
          </cell>
          <cell r="K1031">
            <v>9</v>
          </cell>
          <cell r="L1031">
            <v>9</v>
          </cell>
          <cell r="M1031">
            <v>4</v>
          </cell>
          <cell r="O1031">
            <v>0</v>
          </cell>
          <cell r="P1031">
            <v>1</v>
          </cell>
          <cell r="Q1031">
            <v>0</v>
          </cell>
          <cell r="R1031">
            <v>0</v>
          </cell>
          <cell r="S1031">
            <v>0</v>
          </cell>
          <cell r="T1031">
            <v>3</v>
          </cell>
          <cell r="V1031">
            <v>0</v>
          </cell>
          <cell r="W1031">
            <v>81</v>
          </cell>
          <cell r="X1031">
            <v>3</v>
          </cell>
          <cell r="Y1031">
            <v>2</v>
          </cell>
          <cell r="AA1031">
            <v>0</v>
          </cell>
          <cell r="AB1031">
            <v>0</v>
          </cell>
          <cell r="AC1031">
            <v>1</v>
          </cell>
          <cell r="AD1031">
            <v>0</v>
          </cell>
          <cell r="AE1031">
            <v>0</v>
          </cell>
          <cell r="AF1031">
            <v>0</v>
          </cell>
          <cell r="AG1031">
            <v>0</v>
          </cell>
          <cell r="AH1031">
            <v>0</v>
          </cell>
          <cell r="AI1031">
            <v>3</v>
          </cell>
          <cell r="AK1031">
            <v>0</v>
          </cell>
          <cell r="AL1031">
            <v>0</v>
          </cell>
          <cell r="AN1031">
            <v>3975</v>
          </cell>
          <cell r="AO1031">
            <v>3</v>
          </cell>
          <cell r="AQ1031">
            <v>0</v>
          </cell>
          <cell r="AR1031">
            <v>11</v>
          </cell>
          <cell r="AS1031">
            <v>3</v>
          </cell>
          <cell r="AT1031">
            <v>3</v>
          </cell>
          <cell r="AU1031">
            <v>2</v>
          </cell>
          <cell r="AV1031">
            <v>11</v>
          </cell>
          <cell r="AW1031">
            <v>11</v>
          </cell>
          <cell r="AX1031">
            <v>2</v>
          </cell>
          <cell r="AY1031">
            <v>4</v>
          </cell>
          <cell r="AZ1031">
            <v>8</v>
          </cell>
          <cell r="BA1031">
            <v>8</v>
          </cell>
          <cell r="BB1031">
            <v>7</v>
          </cell>
          <cell r="BC1031">
            <v>0</v>
          </cell>
          <cell r="BD1031">
            <v>0</v>
          </cell>
          <cell r="BE1031">
            <v>7</v>
          </cell>
          <cell r="BF1031">
            <v>7</v>
          </cell>
          <cell r="BG1031">
            <v>14</v>
          </cell>
          <cell r="BH1031">
            <v>1</v>
          </cell>
          <cell r="BI1031">
            <v>0</v>
          </cell>
          <cell r="BJ1031">
            <v>0</v>
          </cell>
          <cell r="BK1031">
            <v>0</v>
          </cell>
          <cell r="BL1031">
            <v>1</v>
          </cell>
          <cell r="BM1031">
            <v>0</v>
          </cell>
          <cell r="BN1031">
            <v>0</v>
          </cell>
          <cell r="BO1031">
            <v>0</v>
          </cell>
          <cell r="BP1031">
            <v>0</v>
          </cell>
          <cell r="BQ1031">
            <v>7</v>
          </cell>
          <cell r="BR1031">
            <v>0</v>
          </cell>
          <cell r="BS1031">
            <v>0</v>
          </cell>
          <cell r="BT1031">
            <v>11</v>
          </cell>
          <cell r="BU1031">
            <v>0</v>
          </cell>
        </row>
        <row r="1032">
          <cell r="A1032">
            <v>31</v>
          </cell>
          <cell r="B1032">
            <v>31</v>
          </cell>
          <cell r="D1032">
            <v>0</v>
          </cell>
          <cell r="F1032">
            <v>0</v>
          </cell>
          <cell r="G1032">
            <v>1</v>
          </cell>
          <cell r="I1032">
            <v>0</v>
          </cell>
          <cell r="J1032">
            <v>1</v>
          </cell>
          <cell r="K1032">
            <v>8</v>
          </cell>
          <cell r="L1032">
            <v>8</v>
          </cell>
          <cell r="M1032">
            <v>2</v>
          </cell>
          <cell r="O1032">
            <v>1</v>
          </cell>
          <cell r="P1032">
            <v>0</v>
          </cell>
          <cell r="Q1032">
            <v>0</v>
          </cell>
          <cell r="R1032">
            <v>0</v>
          </cell>
          <cell r="S1032">
            <v>0</v>
          </cell>
          <cell r="T1032">
            <v>1</v>
          </cell>
          <cell r="V1032">
            <v>0</v>
          </cell>
          <cell r="W1032">
            <v>31</v>
          </cell>
          <cell r="X1032">
            <v>3</v>
          </cell>
          <cell r="Y1032">
            <v>3</v>
          </cell>
          <cell r="AA1032">
            <v>0</v>
          </cell>
          <cell r="AB1032">
            <v>1</v>
          </cell>
          <cell r="AC1032">
            <v>0</v>
          </cell>
          <cell r="AD1032">
            <v>0</v>
          </cell>
          <cell r="AE1032">
            <v>0</v>
          </cell>
          <cell r="AF1032">
            <v>0</v>
          </cell>
          <cell r="AG1032">
            <v>0</v>
          </cell>
          <cell r="AH1032">
            <v>0</v>
          </cell>
          <cell r="AI1032">
            <v>4</v>
          </cell>
          <cell r="AK1032">
            <v>0</v>
          </cell>
          <cell r="AL1032">
            <v>0</v>
          </cell>
          <cell r="AN1032">
            <v>10793</v>
          </cell>
          <cell r="AO1032">
            <v>1</v>
          </cell>
          <cell r="AQ1032">
            <v>0</v>
          </cell>
          <cell r="AR1032">
            <v>18</v>
          </cell>
          <cell r="AS1032">
            <v>3</v>
          </cell>
          <cell r="AT1032">
            <v>1</v>
          </cell>
          <cell r="AU1032">
            <v>1</v>
          </cell>
          <cell r="AV1032">
            <v>13</v>
          </cell>
          <cell r="AW1032">
            <v>13</v>
          </cell>
          <cell r="AX1032">
            <v>5</v>
          </cell>
          <cell r="AY1032">
            <v>3</v>
          </cell>
          <cell r="AZ1032">
            <v>13</v>
          </cell>
          <cell r="BA1032">
            <v>13</v>
          </cell>
          <cell r="BB1032">
            <v>7</v>
          </cell>
          <cell r="BC1032">
            <v>9</v>
          </cell>
          <cell r="BD1032">
            <v>9</v>
          </cell>
          <cell r="BE1032">
            <v>9</v>
          </cell>
          <cell r="BF1032">
            <v>9</v>
          </cell>
          <cell r="BG1032">
            <v>27</v>
          </cell>
          <cell r="BH1032">
            <v>1</v>
          </cell>
          <cell r="BI1032">
            <v>0</v>
          </cell>
          <cell r="BJ1032">
            <v>0</v>
          </cell>
          <cell r="BK1032">
            <v>0</v>
          </cell>
          <cell r="BL1032">
            <v>1</v>
          </cell>
          <cell r="BM1032">
            <v>0</v>
          </cell>
          <cell r="BN1032">
            <v>0</v>
          </cell>
          <cell r="BO1032">
            <v>0</v>
          </cell>
          <cell r="BP1032">
            <v>0</v>
          </cell>
          <cell r="BQ1032">
            <v>0</v>
          </cell>
          <cell r="BR1032">
            <v>9</v>
          </cell>
          <cell r="BS1032">
            <v>0</v>
          </cell>
          <cell r="BT1032">
            <v>0</v>
          </cell>
          <cell r="BU1032">
            <v>13</v>
          </cell>
        </row>
        <row r="1033">
          <cell r="A1033">
            <v>46</v>
          </cell>
          <cell r="B1033">
            <v>46</v>
          </cell>
          <cell r="D1033">
            <v>1</v>
          </cell>
          <cell r="F1033">
            <v>0</v>
          </cell>
          <cell r="G1033">
            <v>1</v>
          </cell>
          <cell r="I1033">
            <v>0</v>
          </cell>
          <cell r="J1033">
            <v>1</v>
          </cell>
          <cell r="K1033">
            <v>9</v>
          </cell>
          <cell r="L1033">
            <v>9</v>
          </cell>
          <cell r="M1033">
            <v>3</v>
          </cell>
          <cell r="O1033">
            <v>0</v>
          </cell>
          <cell r="P1033">
            <v>0</v>
          </cell>
          <cell r="Q1033">
            <v>0</v>
          </cell>
          <cell r="R1033">
            <v>1</v>
          </cell>
          <cell r="S1033">
            <v>0</v>
          </cell>
          <cell r="T1033">
            <v>1</v>
          </cell>
          <cell r="V1033">
            <v>0</v>
          </cell>
          <cell r="W1033">
            <v>52</v>
          </cell>
          <cell r="X1033">
            <v>3</v>
          </cell>
          <cell r="Y1033">
            <v>3</v>
          </cell>
          <cell r="AA1033">
            <v>0</v>
          </cell>
          <cell r="AB1033">
            <v>1</v>
          </cell>
          <cell r="AC1033">
            <v>0</v>
          </cell>
          <cell r="AD1033">
            <v>0</v>
          </cell>
          <cell r="AE1033">
            <v>0</v>
          </cell>
          <cell r="AF1033">
            <v>0</v>
          </cell>
          <cell r="AG1033">
            <v>0</v>
          </cell>
          <cell r="AH1033">
            <v>0</v>
          </cell>
          <cell r="AI1033">
            <v>4</v>
          </cell>
          <cell r="AK1033">
            <v>0</v>
          </cell>
          <cell r="AL1033">
            <v>0</v>
          </cell>
          <cell r="AN1033">
            <v>10096</v>
          </cell>
          <cell r="AO1033">
            <v>4</v>
          </cell>
          <cell r="AQ1033">
            <v>0</v>
          </cell>
          <cell r="AR1033">
            <v>11</v>
          </cell>
          <cell r="AS1033">
            <v>3</v>
          </cell>
          <cell r="AT1033">
            <v>1</v>
          </cell>
          <cell r="AU1033">
            <v>1</v>
          </cell>
          <cell r="AV1033">
            <v>28</v>
          </cell>
          <cell r="AW1033">
            <v>28</v>
          </cell>
          <cell r="AX1033">
            <v>1</v>
          </cell>
          <cell r="AY1033">
            <v>4</v>
          </cell>
          <cell r="AZ1033">
            <v>7</v>
          </cell>
          <cell r="BA1033">
            <v>7</v>
          </cell>
          <cell r="BB1033">
            <v>7</v>
          </cell>
          <cell r="BC1033">
            <v>4</v>
          </cell>
          <cell r="BD1033">
            <v>4</v>
          </cell>
          <cell r="BE1033">
            <v>3</v>
          </cell>
          <cell r="BF1033">
            <v>3</v>
          </cell>
          <cell r="BG1033">
            <v>9</v>
          </cell>
          <cell r="BH1033">
            <v>1</v>
          </cell>
          <cell r="BI1033">
            <v>0</v>
          </cell>
          <cell r="BJ1033">
            <v>0</v>
          </cell>
          <cell r="BK1033">
            <v>0</v>
          </cell>
          <cell r="BL1033">
            <v>1</v>
          </cell>
          <cell r="BM1033">
            <v>0</v>
          </cell>
          <cell r="BN1033">
            <v>0</v>
          </cell>
          <cell r="BO1033">
            <v>0</v>
          </cell>
          <cell r="BP1033">
            <v>0</v>
          </cell>
          <cell r="BQ1033">
            <v>0</v>
          </cell>
          <cell r="BR1033">
            <v>3</v>
          </cell>
          <cell r="BS1033">
            <v>0</v>
          </cell>
          <cell r="BT1033">
            <v>0</v>
          </cell>
          <cell r="BU1033">
            <v>28</v>
          </cell>
        </row>
        <row r="1034">
          <cell r="A1034">
            <v>39</v>
          </cell>
          <cell r="B1034">
            <v>39</v>
          </cell>
          <cell r="D1034">
            <v>1</v>
          </cell>
          <cell r="F1034">
            <v>0</v>
          </cell>
          <cell r="G1034">
            <v>0</v>
          </cell>
          <cell r="I1034">
            <v>1</v>
          </cell>
          <cell r="J1034">
            <v>0</v>
          </cell>
          <cell r="K1034">
            <v>2</v>
          </cell>
          <cell r="L1034">
            <v>2</v>
          </cell>
          <cell r="M1034">
            <v>3</v>
          </cell>
          <cell r="O1034">
            <v>1</v>
          </cell>
          <cell r="P1034">
            <v>0</v>
          </cell>
          <cell r="Q1034">
            <v>0</v>
          </cell>
          <cell r="R1034">
            <v>0</v>
          </cell>
          <cell r="S1034">
            <v>0</v>
          </cell>
          <cell r="T1034">
            <v>1</v>
          </cell>
          <cell r="V1034">
            <v>1</v>
          </cell>
          <cell r="W1034">
            <v>54</v>
          </cell>
          <cell r="X1034">
            <v>2</v>
          </cell>
          <cell r="Y1034">
            <v>1</v>
          </cell>
          <cell r="AA1034">
            <v>0</v>
          </cell>
          <cell r="AB1034">
            <v>0</v>
          </cell>
          <cell r="AC1034">
            <v>1</v>
          </cell>
          <cell r="AD1034">
            <v>0</v>
          </cell>
          <cell r="AE1034">
            <v>0</v>
          </cell>
          <cell r="AF1034">
            <v>0</v>
          </cell>
          <cell r="AG1034">
            <v>0</v>
          </cell>
          <cell r="AH1034">
            <v>0</v>
          </cell>
          <cell r="AI1034">
            <v>1</v>
          </cell>
          <cell r="AK1034">
            <v>1</v>
          </cell>
          <cell r="AL1034">
            <v>0</v>
          </cell>
          <cell r="AN1034">
            <v>3646</v>
          </cell>
          <cell r="AO1034">
            <v>2</v>
          </cell>
          <cell r="AQ1034">
            <v>1</v>
          </cell>
          <cell r="AR1034">
            <v>23</v>
          </cell>
          <cell r="AS1034">
            <v>4</v>
          </cell>
          <cell r="AT1034">
            <v>2</v>
          </cell>
          <cell r="AU1034">
            <v>0</v>
          </cell>
          <cell r="AV1034">
            <v>11</v>
          </cell>
          <cell r="AW1034">
            <v>11</v>
          </cell>
          <cell r="AX1034">
            <v>2</v>
          </cell>
          <cell r="AY1034">
            <v>4</v>
          </cell>
          <cell r="AZ1034">
            <v>1</v>
          </cell>
          <cell r="BA1034">
            <v>1</v>
          </cell>
          <cell r="BB1034">
            <v>0</v>
          </cell>
          <cell r="BC1034">
            <v>0</v>
          </cell>
          <cell r="BD1034">
            <v>0</v>
          </cell>
          <cell r="BE1034">
            <v>0</v>
          </cell>
          <cell r="BF1034">
            <v>0</v>
          </cell>
          <cell r="BG1034">
            <v>0</v>
          </cell>
          <cell r="BH1034">
            <v>1</v>
          </cell>
          <cell r="BI1034">
            <v>0</v>
          </cell>
          <cell r="BJ1034">
            <v>0</v>
          </cell>
          <cell r="BK1034">
            <v>0</v>
          </cell>
          <cell r="BL1034">
            <v>0</v>
          </cell>
          <cell r="BM1034">
            <v>1</v>
          </cell>
          <cell r="BN1034">
            <v>0</v>
          </cell>
          <cell r="BO1034">
            <v>0</v>
          </cell>
          <cell r="BP1034">
            <v>0</v>
          </cell>
          <cell r="BQ1034">
            <v>0</v>
          </cell>
          <cell r="BR1034">
            <v>0</v>
          </cell>
          <cell r="BS1034">
            <v>0</v>
          </cell>
          <cell r="BT1034">
            <v>11</v>
          </cell>
          <cell r="BU1034">
            <v>0</v>
          </cell>
        </row>
        <row r="1035">
          <cell r="A1035">
            <v>31</v>
          </cell>
          <cell r="B1035">
            <v>31</v>
          </cell>
          <cell r="D1035">
            <v>1</v>
          </cell>
          <cell r="F1035">
            <v>1</v>
          </cell>
          <cell r="G1035">
            <v>0</v>
          </cell>
          <cell r="I1035">
            <v>1</v>
          </cell>
          <cell r="J1035">
            <v>0</v>
          </cell>
          <cell r="K1035">
            <v>1</v>
          </cell>
          <cell r="L1035">
            <v>1</v>
          </cell>
          <cell r="M1035">
            <v>5</v>
          </cell>
          <cell r="O1035">
            <v>1</v>
          </cell>
          <cell r="P1035">
            <v>0</v>
          </cell>
          <cell r="Q1035">
            <v>0</v>
          </cell>
          <cell r="R1035">
            <v>0</v>
          </cell>
          <cell r="S1035">
            <v>0</v>
          </cell>
          <cell r="T1035">
            <v>3</v>
          </cell>
          <cell r="V1035">
            <v>1</v>
          </cell>
          <cell r="W1035">
            <v>100</v>
          </cell>
          <cell r="X1035">
            <v>4</v>
          </cell>
          <cell r="Y1035">
            <v>3</v>
          </cell>
          <cell r="AA1035">
            <v>0</v>
          </cell>
          <cell r="AB1035">
            <v>0</v>
          </cell>
          <cell r="AC1035">
            <v>0</v>
          </cell>
          <cell r="AD1035">
            <v>0</v>
          </cell>
          <cell r="AE1035">
            <v>1</v>
          </cell>
          <cell r="AF1035">
            <v>1</v>
          </cell>
          <cell r="AG1035">
            <v>0</v>
          </cell>
          <cell r="AH1035">
            <v>0</v>
          </cell>
          <cell r="AI1035">
            <v>2</v>
          </cell>
          <cell r="AK1035">
            <v>1</v>
          </cell>
          <cell r="AL1035">
            <v>0</v>
          </cell>
          <cell r="AN1035">
            <v>7446</v>
          </cell>
          <cell r="AO1035">
            <v>1</v>
          </cell>
          <cell r="AQ1035">
            <v>0</v>
          </cell>
          <cell r="AR1035">
            <v>11</v>
          </cell>
          <cell r="AS1035">
            <v>3</v>
          </cell>
          <cell r="AT1035">
            <v>1</v>
          </cell>
          <cell r="AU1035">
            <v>0</v>
          </cell>
          <cell r="AV1035">
            <v>10</v>
          </cell>
          <cell r="AW1035">
            <v>10</v>
          </cell>
          <cell r="AX1035">
            <v>2</v>
          </cell>
          <cell r="AY1035">
            <v>3</v>
          </cell>
          <cell r="AZ1035">
            <v>10</v>
          </cell>
          <cell r="BA1035">
            <v>10</v>
          </cell>
          <cell r="BB1035">
            <v>8</v>
          </cell>
          <cell r="BC1035">
            <v>4</v>
          </cell>
          <cell r="BD1035">
            <v>4</v>
          </cell>
          <cell r="BE1035">
            <v>7</v>
          </cell>
          <cell r="BF1035">
            <v>7</v>
          </cell>
          <cell r="BG1035">
            <v>21</v>
          </cell>
          <cell r="BH1035">
            <v>0</v>
          </cell>
          <cell r="BI1035">
            <v>0</v>
          </cell>
          <cell r="BJ1035">
            <v>1</v>
          </cell>
          <cell r="BK1035">
            <v>0</v>
          </cell>
          <cell r="BL1035">
            <v>1</v>
          </cell>
          <cell r="BM1035">
            <v>0</v>
          </cell>
          <cell r="BN1035">
            <v>0</v>
          </cell>
          <cell r="BO1035">
            <v>0</v>
          </cell>
          <cell r="BP1035">
            <v>0</v>
          </cell>
          <cell r="BQ1035">
            <v>7</v>
          </cell>
          <cell r="BR1035">
            <v>0</v>
          </cell>
          <cell r="BS1035">
            <v>0</v>
          </cell>
          <cell r="BT1035">
            <v>10</v>
          </cell>
          <cell r="BU1035">
            <v>0</v>
          </cell>
        </row>
        <row r="1036">
          <cell r="A1036">
            <v>45</v>
          </cell>
          <cell r="B1036">
            <v>45</v>
          </cell>
          <cell r="D1036">
            <v>0</v>
          </cell>
          <cell r="F1036">
            <v>0</v>
          </cell>
          <cell r="G1036">
            <v>1</v>
          </cell>
          <cell r="I1036">
            <v>1</v>
          </cell>
          <cell r="J1036">
            <v>0</v>
          </cell>
          <cell r="K1036">
            <v>20</v>
          </cell>
          <cell r="L1036">
            <v>20</v>
          </cell>
          <cell r="M1036">
            <v>3</v>
          </cell>
          <cell r="O1036">
            <v>0</v>
          </cell>
          <cell r="P1036">
            <v>0</v>
          </cell>
          <cell r="Q1036">
            <v>1</v>
          </cell>
          <cell r="R1036">
            <v>0</v>
          </cell>
          <cell r="S1036">
            <v>0</v>
          </cell>
          <cell r="T1036">
            <v>2</v>
          </cell>
          <cell r="V1036">
            <v>0</v>
          </cell>
          <cell r="W1036">
            <v>95</v>
          </cell>
          <cell r="X1036">
            <v>1</v>
          </cell>
          <cell r="Y1036">
            <v>3</v>
          </cell>
          <cell r="AA1036">
            <v>1</v>
          </cell>
          <cell r="AB1036">
            <v>0</v>
          </cell>
          <cell r="AC1036">
            <v>0</v>
          </cell>
          <cell r="AD1036">
            <v>0</v>
          </cell>
          <cell r="AE1036">
            <v>0</v>
          </cell>
          <cell r="AF1036">
            <v>0</v>
          </cell>
          <cell r="AG1036">
            <v>0</v>
          </cell>
          <cell r="AH1036">
            <v>0</v>
          </cell>
          <cell r="AI1036">
            <v>1</v>
          </cell>
          <cell r="AK1036">
            <v>0</v>
          </cell>
          <cell r="AL1036">
            <v>0</v>
          </cell>
          <cell r="AN1036">
            <v>10851</v>
          </cell>
          <cell r="AO1036">
            <v>2</v>
          </cell>
          <cell r="AQ1036">
            <v>1</v>
          </cell>
          <cell r="AR1036">
            <v>18</v>
          </cell>
          <cell r="AS1036">
            <v>3</v>
          </cell>
          <cell r="AT1036">
            <v>2</v>
          </cell>
          <cell r="AU1036">
            <v>1</v>
          </cell>
          <cell r="AV1036">
            <v>24</v>
          </cell>
          <cell r="AW1036">
            <v>24</v>
          </cell>
          <cell r="AX1036">
            <v>2</v>
          </cell>
          <cell r="AY1036">
            <v>3</v>
          </cell>
          <cell r="AZ1036">
            <v>7</v>
          </cell>
          <cell r="BA1036">
            <v>7</v>
          </cell>
          <cell r="BB1036">
            <v>7</v>
          </cell>
          <cell r="BC1036">
            <v>0</v>
          </cell>
          <cell r="BD1036">
            <v>0</v>
          </cell>
          <cell r="BE1036">
            <v>7</v>
          </cell>
          <cell r="BF1036">
            <v>7</v>
          </cell>
          <cell r="BG1036">
            <v>21</v>
          </cell>
          <cell r="BH1036">
            <v>1</v>
          </cell>
          <cell r="BI1036">
            <v>0</v>
          </cell>
          <cell r="BJ1036">
            <v>0</v>
          </cell>
          <cell r="BK1036">
            <v>0</v>
          </cell>
          <cell r="BL1036">
            <v>0</v>
          </cell>
          <cell r="BM1036">
            <v>1</v>
          </cell>
          <cell r="BN1036">
            <v>0</v>
          </cell>
          <cell r="BO1036">
            <v>0</v>
          </cell>
          <cell r="BP1036">
            <v>0</v>
          </cell>
          <cell r="BQ1036">
            <v>7</v>
          </cell>
          <cell r="BR1036">
            <v>0</v>
          </cell>
          <cell r="BS1036">
            <v>0</v>
          </cell>
          <cell r="BT1036">
            <v>24</v>
          </cell>
          <cell r="BU1036">
            <v>0</v>
          </cell>
        </row>
        <row r="1037">
          <cell r="A1037">
            <v>31</v>
          </cell>
          <cell r="B1037">
            <v>31</v>
          </cell>
          <cell r="D1037">
            <v>0</v>
          </cell>
          <cell r="F1037">
            <v>0</v>
          </cell>
          <cell r="G1037">
            <v>1</v>
          </cell>
          <cell r="I1037">
            <v>0</v>
          </cell>
          <cell r="J1037">
            <v>0</v>
          </cell>
          <cell r="K1037">
            <v>8</v>
          </cell>
          <cell r="L1037">
            <v>8</v>
          </cell>
          <cell r="M1037">
            <v>2</v>
          </cell>
          <cell r="O1037">
            <v>0</v>
          </cell>
          <cell r="P1037">
            <v>0</v>
          </cell>
          <cell r="Q1037">
            <v>1</v>
          </cell>
          <cell r="R1037">
            <v>0</v>
          </cell>
          <cell r="S1037">
            <v>0</v>
          </cell>
          <cell r="T1037">
            <v>4</v>
          </cell>
          <cell r="V1037">
            <v>1</v>
          </cell>
          <cell r="W1037">
            <v>96</v>
          </cell>
          <cell r="X1037">
            <v>4</v>
          </cell>
          <cell r="Y1037">
            <v>1</v>
          </cell>
          <cell r="AA1037">
            <v>0</v>
          </cell>
          <cell r="AB1037">
            <v>0</v>
          </cell>
          <cell r="AC1037">
            <v>0</v>
          </cell>
          <cell r="AD1037">
            <v>0</v>
          </cell>
          <cell r="AE1037">
            <v>0</v>
          </cell>
          <cell r="AF1037">
            <v>0</v>
          </cell>
          <cell r="AG1037">
            <v>0</v>
          </cell>
          <cell r="AH1037">
            <v>0</v>
          </cell>
          <cell r="AI1037">
            <v>2</v>
          </cell>
          <cell r="AK1037">
            <v>1</v>
          </cell>
          <cell r="AL1037">
            <v>0</v>
          </cell>
          <cell r="AN1037">
            <v>2109</v>
          </cell>
          <cell r="AO1037">
            <v>9</v>
          </cell>
          <cell r="AQ1037">
            <v>0</v>
          </cell>
          <cell r="AR1037">
            <v>18</v>
          </cell>
          <cell r="AS1037">
            <v>3</v>
          </cell>
          <cell r="AT1037">
            <v>4</v>
          </cell>
          <cell r="AU1037">
            <v>0</v>
          </cell>
          <cell r="AV1037">
            <v>8</v>
          </cell>
          <cell r="AW1037">
            <v>8</v>
          </cell>
          <cell r="AX1037">
            <v>3</v>
          </cell>
          <cell r="AY1037">
            <v>3</v>
          </cell>
          <cell r="AZ1037">
            <v>3</v>
          </cell>
          <cell r="BA1037">
            <v>3</v>
          </cell>
          <cell r="BB1037">
            <v>2</v>
          </cell>
          <cell r="BC1037">
            <v>0</v>
          </cell>
          <cell r="BD1037">
            <v>0</v>
          </cell>
          <cell r="BE1037">
            <v>2</v>
          </cell>
          <cell r="BF1037">
            <v>2</v>
          </cell>
          <cell r="BG1037">
            <v>2</v>
          </cell>
          <cell r="BH1037">
            <v>1</v>
          </cell>
          <cell r="BI1037">
            <v>0</v>
          </cell>
          <cell r="BJ1037">
            <v>0</v>
          </cell>
          <cell r="BK1037">
            <v>0</v>
          </cell>
          <cell r="BL1037">
            <v>1</v>
          </cell>
          <cell r="BM1037">
            <v>0</v>
          </cell>
          <cell r="BN1037">
            <v>0</v>
          </cell>
          <cell r="BO1037">
            <v>0</v>
          </cell>
          <cell r="BP1037">
            <v>2</v>
          </cell>
          <cell r="BQ1037">
            <v>0</v>
          </cell>
          <cell r="BR1037">
            <v>0</v>
          </cell>
          <cell r="BS1037">
            <v>8</v>
          </cell>
          <cell r="BT1037">
            <v>0</v>
          </cell>
          <cell r="BU1037">
            <v>0</v>
          </cell>
        </row>
        <row r="1038">
          <cell r="A1038">
            <v>31</v>
          </cell>
          <cell r="B1038">
            <v>31</v>
          </cell>
          <cell r="D1038">
            <v>1</v>
          </cell>
          <cell r="F1038">
            <v>1</v>
          </cell>
          <cell r="G1038">
            <v>0</v>
          </cell>
          <cell r="I1038">
            <v>1</v>
          </cell>
          <cell r="J1038">
            <v>0</v>
          </cell>
          <cell r="K1038">
            <v>2</v>
          </cell>
          <cell r="L1038">
            <v>2</v>
          </cell>
          <cell r="M1038">
            <v>3</v>
          </cell>
          <cell r="O1038">
            <v>1</v>
          </cell>
          <cell r="P1038">
            <v>0</v>
          </cell>
          <cell r="Q1038">
            <v>0</v>
          </cell>
          <cell r="R1038">
            <v>0</v>
          </cell>
          <cell r="S1038">
            <v>0</v>
          </cell>
          <cell r="T1038">
            <v>2</v>
          </cell>
          <cell r="V1038">
            <v>0</v>
          </cell>
          <cell r="W1038">
            <v>94</v>
          </cell>
          <cell r="X1038">
            <v>3</v>
          </cell>
          <cell r="Y1038">
            <v>1</v>
          </cell>
          <cell r="AA1038">
            <v>0</v>
          </cell>
          <cell r="AB1038">
            <v>0</v>
          </cell>
          <cell r="AC1038">
            <v>1</v>
          </cell>
          <cell r="AD1038">
            <v>0</v>
          </cell>
          <cell r="AE1038">
            <v>0</v>
          </cell>
          <cell r="AF1038">
            <v>0</v>
          </cell>
          <cell r="AG1038">
            <v>0</v>
          </cell>
          <cell r="AH1038">
            <v>0</v>
          </cell>
          <cell r="AI1038">
            <v>4</v>
          </cell>
          <cell r="AK1038">
            <v>0</v>
          </cell>
          <cell r="AL1038">
            <v>1</v>
          </cell>
          <cell r="AN1038">
            <v>3722</v>
          </cell>
          <cell r="AO1038">
            <v>6</v>
          </cell>
          <cell r="AQ1038">
            <v>1</v>
          </cell>
          <cell r="AR1038">
            <v>13</v>
          </cell>
          <cell r="AS1038">
            <v>3</v>
          </cell>
          <cell r="AT1038">
            <v>3</v>
          </cell>
          <cell r="AU1038">
            <v>1</v>
          </cell>
          <cell r="AV1038">
            <v>7</v>
          </cell>
          <cell r="AW1038">
            <v>7</v>
          </cell>
          <cell r="AX1038">
            <v>2</v>
          </cell>
          <cell r="AY1038">
            <v>1</v>
          </cell>
          <cell r="AZ1038">
            <v>2</v>
          </cell>
          <cell r="BA1038">
            <v>2</v>
          </cell>
          <cell r="BB1038">
            <v>2</v>
          </cell>
          <cell r="BC1038">
            <v>2</v>
          </cell>
          <cell r="BD1038">
            <v>2</v>
          </cell>
          <cell r="BE1038">
            <v>2</v>
          </cell>
          <cell r="BF1038">
            <v>2</v>
          </cell>
          <cell r="BG1038">
            <v>2</v>
          </cell>
          <cell r="BH1038">
            <v>0</v>
          </cell>
          <cell r="BI1038">
            <v>0</v>
          </cell>
          <cell r="BJ1038">
            <v>0</v>
          </cell>
          <cell r="BK1038">
            <v>1</v>
          </cell>
          <cell r="BL1038">
            <v>0</v>
          </cell>
          <cell r="BM1038">
            <v>0</v>
          </cell>
          <cell r="BN1038">
            <v>0</v>
          </cell>
          <cell r="BO1038">
            <v>1</v>
          </cell>
          <cell r="BP1038">
            <v>0</v>
          </cell>
          <cell r="BQ1038">
            <v>2</v>
          </cell>
          <cell r="BR1038">
            <v>0</v>
          </cell>
          <cell r="BS1038">
            <v>0</v>
          </cell>
          <cell r="BT1038">
            <v>7</v>
          </cell>
          <cell r="BU1038">
            <v>0</v>
          </cell>
        </row>
        <row r="1039">
          <cell r="A1039">
            <v>45</v>
          </cell>
          <cell r="B1039">
            <v>45</v>
          </cell>
          <cell r="D1039">
            <v>0</v>
          </cell>
          <cell r="F1039">
            <v>0</v>
          </cell>
          <cell r="G1039">
            <v>1</v>
          </cell>
          <cell r="I1039">
            <v>1</v>
          </cell>
          <cell r="J1039">
            <v>0</v>
          </cell>
          <cell r="K1039">
            <v>29</v>
          </cell>
          <cell r="L1039">
            <v>29</v>
          </cell>
          <cell r="M1039">
            <v>3</v>
          </cell>
          <cell r="O1039">
            <v>0</v>
          </cell>
          <cell r="P1039">
            <v>0</v>
          </cell>
          <cell r="Q1039">
            <v>0</v>
          </cell>
          <cell r="R1039">
            <v>0</v>
          </cell>
          <cell r="S1039">
            <v>1</v>
          </cell>
          <cell r="T1039">
            <v>2</v>
          </cell>
          <cell r="V1039">
            <v>0</v>
          </cell>
          <cell r="W1039">
            <v>55</v>
          </cell>
          <cell r="X1039">
            <v>3</v>
          </cell>
          <cell r="Y1039">
            <v>3</v>
          </cell>
          <cell r="AA1039">
            <v>0</v>
          </cell>
          <cell r="AB1039">
            <v>0</v>
          </cell>
          <cell r="AC1039">
            <v>0</v>
          </cell>
          <cell r="AD1039">
            <v>0</v>
          </cell>
          <cell r="AE1039">
            <v>1</v>
          </cell>
          <cell r="AF1039">
            <v>1</v>
          </cell>
          <cell r="AG1039">
            <v>0</v>
          </cell>
          <cell r="AH1039">
            <v>0</v>
          </cell>
          <cell r="AI1039">
            <v>4</v>
          </cell>
          <cell r="AK1039">
            <v>0</v>
          </cell>
          <cell r="AL1039">
            <v>1</v>
          </cell>
          <cell r="AN1039">
            <v>9380</v>
          </cell>
          <cell r="AO1039">
            <v>4</v>
          </cell>
          <cell r="AQ1039">
            <v>1</v>
          </cell>
          <cell r="AR1039">
            <v>18</v>
          </cell>
          <cell r="AS1039">
            <v>3</v>
          </cell>
          <cell r="AT1039">
            <v>4</v>
          </cell>
          <cell r="AU1039">
            <v>2</v>
          </cell>
          <cell r="AV1039">
            <v>10</v>
          </cell>
          <cell r="AW1039">
            <v>10</v>
          </cell>
          <cell r="AX1039">
            <v>4</v>
          </cell>
          <cell r="AY1039">
            <v>4</v>
          </cell>
          <cell r="AZ1039">
            <v>3</v>
          </cell>
          <cell r="BA1039">
            <v>3</v>
          </cell>
          <cell r="BB1039">
            <v>1</v>
          </cell>
          <cell r="BC1039">
            <v>1</v>
          </cell>
          <cell r="BD1039">
            <v>1</v>
          </cell>
          <cell r="BE1039">
            <v>2</v>
          </cell>
          <cell r="BF1039">
            <v>2</v>
          </cell>
          <cell r="BG1039">
            <v>6</v>
          </cell>
          <cell r="BH1039">
            <v>0</v>
          </cell>
          <cell r="BI1039">
            <v>1</v>
          </cell>
          <cell r="BJ1039">
            <v>0</v>
          </cell>
          <cell r="BK1039">
            <v>0</v>
          </cell>
          <cell r="BL1039">
            <v>0</v>
          </cell>
          <cell r="BM1039">
            <v>0</v>
          </cell>
          <cell r="BN1039">
            <v>0</v>
          </cell>
          <cell r="BO1039">
            <v>1</v>
          </cell>
          <cell r="BP1039">
            <v>0</v>
          </cell>
          <cell r="BQ1039">
            <v>2</v>
          </cell>
          <cell r="BR1039">
            <v>0</v>
          </cell>
          <cell r="BS1039">
            <v>0</v>
          </cell>
          <cell r="BT1039">
            <v>10</v>
          </cell>
          <cell r="BU1039">
            <v>0</v>
          </cell>
        </row>
        <row r="1040">
          <cell r="A1040">
            <v>48</v>
          </cell>
          <cell r="B1040">
            <v>48</v>
          </cell>
          <cell r="D1040">
            <v>0</v>
          </cell>
          <cell r="F1040">
            <v>0</v>
          </cell>
          <cell r="G1040">
            <v>1</v>
          </cell>
          <cell r="I1040">
            <v>0</v>
          </cell>
          <cell r="J1040">
            <v>1</v>
          </cell>
          <cell r="K1040">
            <v>7</v>
          </cell>
          <cell r="L1040">
            <v>7</v>
          </cell>
          <cell r="M1040">
            <v>3</v>
          </cell>
          <cell r="O1040">
            <v>0</v>
          </cell>
          <cell r="P1040">
            <v>0</v>
          </cell>
          <cell r="Q1040">
            <v>0</v>
          </cell>
          <cell r="R1040">
            <v>1</v>
          </cell>
          <cell r="S1040">
            <v>0</v>
          </cell>
          <cell r="T1040">
            <v>3</v>
          </cell>
          <cell r="V1040">
            <v>0</v>
          </cell>
          <cell r="W1040">
            <v>96</v>
          </cell>
          <cell r="X1040">
            <v>3</v>
          </cell>
          <cell r="Y1040">
            <v>2</v>
          </cell>
          <cell r="AA1040">
            <v>0</v>
          </cell>
          <cell r="AB1040">
            <v>1</v>
          </cell>
          <cell r="AC1040">
            <v>0</v>
          </cell>
          <cell r="AD1040">
            <v>0</v>
          </cell>
          <cell r="AE1040">
            <v>0</v>
          </cell>
          <cell r="AF1040">
            <v>0</v>
          </cell>
          <cell r="AG1040">
            <v>0</v>
          </cell>
          <cell r="AH1040">
            <v>0</v>
          </cell>
          <cell r="AI1040">
            <v>1</v>
          </cell>
          <cell r="AK1040">
            <v>0</v>
          </cell>
          <cell r="AL1040">
            <v>0</v>
          </cell>
          <cell r="AN1040">
            <v>5486</v>
          </cell>
          <cell r="AO1040">
            <v>4</v>
          </cell>
          <cell r="AQ1040">
            <v>0</v>
          </cell>
          <cell r="AR1040">
            <v>11</v>
          </cell>
          <cell r="AS1040">
            <v>3</v>
          </cell>
          <cell r="AT1040">
            <v>1</v>
          </cell>
          <cell r="AU1040">
            <v>3</v>
          </cell>
          <cell r="AV1040">
            <v>15</v>
          </cell>
          <cell r="AW1040">
            <v>15</v>
          </cell>
          <cell r="AX1040">
            <v>3</v>
          </cell>
          <cell r="AY1040">
            <v>3</v>
          </cell>
          <cell r="AZ1040">
            <v>2</v>
          </cell>
          <cell r="BA1040">
            <v>2</v>
          </cell>
          <cell r="BB1040">
            <v>2</v>
          </cell>
          <cell r="BC1040">
            <v>2</v>
          </cell>
          <cell r="BD1040">
            <v>2</v>
          </cell>
          <cell r="BE1040">
            <v>2</v>
          </cell>
          <cell r="BF1040">
            <v>2</v>
          </cell>
          <cell r="BG1040">
            <v>4</v>
          </cell>
          <cell r="BH1040">
            <v>1</v>
          </cell>
          <cell r="BI1040">
            <v>0</v>
          </cell>
          <cell r="BJ1040">
            <v>0</v>
          </cell>
          <cell r="BK1040">
            <v>0</v>
          </cell>
          <cell r="BL1040">
            <v>1</v>
          </cell>
          <cell r="BM1040">
            <v>0</v>
          </cell>
          <cell r="BN1040">
            <v>0</v>
          </cell>
          <cell r="BO1040">
            <v>0</v>
          </cell>
          <cell r="BP1040">
            <v>0</v>
          </cell>
          <cell r="BQ1040">
            <v>0</v>
          </cell>
          <cell r="BR1040">
            <v>2</v>
          </cell>
          <cell r="BS1040">
            <v>0</v>
          </cell>
          <cell r="BT1040">
            <v>0</v>
          </cell>
          <cell r="BU1040">
            <v>15</v>
          </cell>
        </row>
        <row r="1041">
          <cell r="A1041">
            <v>34</v>
          </cell>
          <cell r="B1041">
            <v>34</v>
          </cell>
          <cell r="D1041">
            <v>1</v>
          </cell>
          <cell r="F1041">
            <v>0</v>
          </cell>
          <cell r="G1041">
            <v>1</v>
          </cell>
          <cell r="I1041">
            <v>0</v>
          </cell>
          <cell r="J1041">
            <v>0</v>
          </cell>
          <cell r="K1041">
            <v>9</v>
          </cell>
          <cell r="L1041">
            <v>9</v>
          </cell>
          <cell r="M1041">
            <v>4</v>
          </cell>
          <cell r="O1041">
            <v>0</v>
          </cell>
          <cell r="P1041">
            <v>0</v>
          </cell>
          <cell r="Q1041">
            <v>0</v>
          </cell>
          <cell r="R1041">
            <v>0</v>
          </cell>
          <cell r="S1041">
            <v>1</v>
          </cell>
          <cell r="T1041">
            <v>1</v>
          </cell>
          <cell r="V1041">
            <v>1</v>
          </cell>
          <cell r="W1041">
            <v>52</v>
          </cell>
          <cell r="X1041">
            <v>3</v>
          </cell>
          <cell r="Y1041">
            <v>1</v>
          </cell>
          <cell r="AA1041">
            <v>0</v>
          </cell>
          <cell r="AB1041">
            <v>0</v>
          </cell>
          <cell r="AC1041">
            <v>0</v>
          </cell>
          <cell r="AD1041">
            <v>0</v>
          </cell>
          <cell r="AE1041">
            <v>0</v>
          </cell>
          <cell r="AF1041">
            <v>0</v>
          </cell>
          <cell r="AG1041">
            <v>0</v>
          </cell>
          <cell r="AH1041">
            <v>0</v>
          </cell>
          <cell r="AI1041">
            <v>3</v>
          </cell>
          <cell r="AK1041">
            <v>0</v>
          </cell>
          <cell r="AL1041">
            <v>1</v>
          </cell>
          <cell r="AN1041">
            <v>2742</v>
          </cell>
          <cell r="AO1041">
            <v>1</v>
          </cell>
          <cell r="AQ1041">
            <v>0</v>
          </cell>
          <cell r="AR1041">
            <v>15</v>
          </cell>
          <cell r="AS1041">
            <v>3</v>
          </cell>
          <cell r="AT1041">
            <v>4</v>
          </cell>
          <cell r="AU1041">
            <v>0</v>
          </cell>
          <cell r="AV1041">
            <v>2</v>
          </cell>
          <cell r="AW1041">
            <v>2</v>
          </cell>
          <cell r="AX1041">
            <v>0</v>
          </cell>
          <cell r="AY1041">
            <v>3</v>
          </cell>
          <cell r="AZ1041">
            <v>2</v>
          </cell>
          <cell r="BA1041">
            <v>2</v>
          </cell>
          <cell r="BB1041">
            <v>2</v>
          </cell>
          <cell r="BC1041">
            <v>2</v>
          </cell>
          <cell r="BD1041">
            <v>2</v>
          </cell>
          <cell r="BE1041">
            <v>2</v>
          </cell>
          <cell r="BF1041">
            <v>2</v>
          </cell>
          <cell r="BG1041">
            <v>2</v>
          </cell>
          <cell r="BH1041">
            <v>0</v>
          </cell>
          <cell r="BI1041">
            <v>1</v>
          </cell>
          <cell r="BJ1041">
            <v>0</v>
          </cell>
          <cell r="BK1041">
            <v>0</v>
          </cell>
          <cell r="BL1041">
            <v>0</v>
          </cell>
          <cell r="BM1041">
            <v>0</v>
          </cell>
          <cell r="BN1041">
            <v>1</v>
          </cell>
          <cell r="BO1041">
            <v>0</v>
          </cell>
          <cell r="BP1041">
            <v>2</v>
          </cell>
          <cell r="BQ1041">
            <v>0</v>
          </cell>
          <cell r="BR1041">
            <v>0</v>
          </cell>
          <cell r="BS1041">
            <v>2</v>
          </cell>
          <cell r="BT1041">
            <v>0</v>
          </cell>
          <cell r="BU1041">
            <v>0</v>
          </cell>
        </row>
        <row r="1042">
          <cell r="A1042">
            <v>40</v>
          </cell>
          <cell r="B1042">
            <v>40</v>
          </cell>
          <cell r="D1042">
            <v>0</v>
          </cell>
          <cell r="F1042">
            <v>0</v>
          </cell>
          <cell r="G1042">
            <v>0</v>
          </cell>
          <cell r="I1042">
            <v>1</v>
          </cell>
          <cell r="J1042">
            <v>0</v>
          </cell>
          <cell r="K1042">
            <v>8</v>
          </cell>
          <cell r="L1042">
            <v>8</v>
          </cell>
          <cell r="M1042">
            <v>1</v>
          </cell>
          <cell r="O1042">
            <v>0</v>
          </cell>
          <cell r="P1042">
            <v>0</v>
          </cell>
          <cell r="Q1042">
            <v>1</v>
          </cell>
          <cell r="R1042">
            <v>0</v>
          </cell>
          <cell r="S1042">
            <v>0</v>
          </cell>
          <cell r="T1042">
            <v>4</v>
          </cell>
          <cell r="V1042">
            <v>0</v>
          </cell>
          <cell r="W1042">
            <v>55</v>
          </cell>
          <cell r="X1042">
            <v>2</v>
          </cell>
          <cell r="Y1042">
            <v>3</v>
          </cell>
          <cell r="AA1042">
            <v>0</v>
          </cell>
          <cell r="AB1042">
            <v>0</v>
          </cell>
          <cell r="AC1042">
            <v>0</v>
          </cell>
          <cell r="AD1042">
            <v>0</v>
          </cell>
          <cell r="AE1042">
            <v>0</v>
          </cell>
          <cell r="AF1042">
            <v>0</v>
          </cell>
          <cell r="AG1042">
            <v>0</v>
          </cell>
          <cell r="AH1042">
            <v>0</v>
          </cell>
          <cell r="AI1042">
            <v>2</v>
          </cell>
          <cell r="AK1042">
            <v>0</v>
          </cell>
          <cell r="AL1042">
            <v>0</v>
          </cell>
          <cell r="AN1042">
            <v>13757</v>
          </cell>
          <cell r="AO1042">
            <v>2</v>
          </cell>
          <cell r="AQ1042">
            <v>0</v>
          </cell>
          <cell r="AR1042">
            <v>11</v>
          </cell>
          <cell r="AS1042">
            <v>3</v>
          </cell>
          <cell r="AT1042">
            <v>3</v>
          </cell>
          <cell r="AU1042">
            <v>1</v>
          </cell>
          <cell r="AV1042">
            <v>16</v>
          </cell>
          <cell r="AW1042">
            <v>16</v>
          </cell>
          <cell r="AX1042">
            <v>5</v>
          </cell>
          <cell r="AY1042">
            <v>3</v>
          </cell>
          <cell r="AZ1042">
            <v>9</v>
          </cell>
          <cell r="BA1042">
            <v>9</v>
          </cell>
          <cell r="BB1042">
            <v>8</v>
          </cell>
          <cell r="BC1042">
            <v>4</v>
          </cell>
          <cell r="BD1042">
            <v>4</v>
          </cell>
          <cell r="BE1042">
            <v>8</v>
          </cell>
          <cell r="BF1042">
            <v>8</v>
          </cell>
          <cell r="BG1042">
            <v>24</v>
          </cell>
          <cell r="BH1042">
            <v>1</v>
          </cell>
          <cell r="BI1042">
            <v>0</v>
          </cell>
          <cell r="BJ1042">
            <v>0</v>
          </cell>
          <cell r="BK1042">
            <v>0</v>
          </cell>
          <cell r="BL1042">
            <v>1</v>
          </cell>
          <cell r="BM1042">
            <v>0</v>
          </cell>
          <cell r="BN1042">
            <v>0</v>
          </cell>
          <cell r="BO1042">
            <v>0</v>
          </cell>
          <cell r="BP1042">
            <v>0</v>
          </cell>
          <cell r="BQ1042">
            <v>8</v>
          </cell>
          <cell r="BR1042">
            <v>0</v>
          </cell>
          <cell r="BS1042">
            <v>0</v>
          </cell>
          <cell r="BT1042">
            <v>16</v>
          </cell>
          <cell r="BU1042">
            <v>0</v>
          </cell>
        </row>
        <row r="1043">
          <cell r="A1043">
            <v>28</v>
          </cell>
          <cell r="B1043">
            <v>28</v>
          </cell>
          <cell r="D1043">
            <v>0</v>
          </cell>
          <cell r="F1043">
            <v>0</v>
          </cell>
          <cell r="G1043">
            <v>1</v>
          </cell>
          <cell r="I1043">
            <v>0</v>
          </cell>
          <cell r="J1043">
            <v>1</v>
          </cell>
          <cell r="K1043">
            <v>5</v>
          </cell>
          <cell r="L1043">
            <v>5</v>
          </cell>
          <cell r="M1043">
            <v>3</v>
          </cell>
          <cell r="O1043">
            <v>0</v>
          </cell>
          <cell r="P1043">
            <v>0</v>
          </cell>
          <cell r="Q1043">
            <v>1</v>
          </cell>
          <cell r="R1043">
            <v>0</v>
          </cell>
          <cell r="S1043">
            <v>0</v>
          </cell>
          <cell r="T1043">
            <v>4</v>
          </cell>
          <cell r="V1043">
            <v>0</v>
          </cell>
          <cell r="W1043">
            <v>84</v>
          </cell>
          <cell r="X1043">
            <v>3</v>
          </cell>
          <cell r="Y1043">
            <v>2</v>
          </cell>
          <cell r="AA1043">
            <v>0</v>
          </cell>
          <cell r="AB1043">
            <v>1</v>
          </cell>
          <cell r="AC1043">
            <v>0</v>
          </cell>
          <cell r="AD1043">
            <v>0</v>
          </cell>
          <cell r="AE1043">
            <v>0</v>
          </cell>
          <cell r="AF1043">
            <v>0</v>
          </cell>
          <cell r="AG1043">
            <v>0</v>
          </cell>
          <cell r="AH1043">
            <v>0</v>
          </cell>
          <cell r="AI1043">
            <v>1</v>
          </cell>
          <cell r="AK1043">
            <v>1</v>
          </cell>
          <cell r="AL1043">
            <v>0</v>
          </cell>
          <cell r="AN1043">
            <v>8463</v>
          </cell>
          <cell r="AO1043">
            <v>0</v>
          </cell>
          <cell r="AQ1043">
            <v>0</v>
          </cell>
          <cell r="AR1043">
            <v>18</v>
          </cell>
          <cell r="AS1043">
            <v>3</v>
          </cell>
          <cell r="AT1043">
            <v>4</v>
          </cell>
          <cell r="AU1043">
            <v>0</v>
          </cell>
          <cell r="AV1043">
            <v>6</v>
          </cell>
          <cell r="AW1043">
            <v>6</v>
          </cell>
          <cell r="AX1043">
            <v>4</v>
          </cell>
          <cell r="AY1043">
            <v>3</v>
          </cell>
          <cell r="AZ1043">
            <v>5</v>
          </cell>
          <cell r="BA1043">
            <v>5</v>
          </cell>
          <cell r="BB1043">
            <v>4</v>
          </cell>
          <cell r="BC1043">
            <v>1</v>
          </cell>
          <cell r="BD1043">
            <v>1</v>
          </cell>
          <cell r="BE1043">
            <v>3</v>
          </cell>
          <cell r="BF1043">
            <v>3</v>
          </cell>
          <cell r="BG1043">
            <v>6</v>
          </cell>
          <cell r="BH1043">
            <v>1</v>
          </cell>
          <cell r="BI1043">
            <v>0</v>
          </cell>
          <cell r="BJ1043">
            <v>0</v>
          </cell>
          <cell r="BK1043">
            <v>0</v>
          </cell>
          <cell r="BL1043">
            <v>1</v>
          </cell>
          <cell r="BM1043">
            <v>0</v>
          </cell>
          <cell r="BN1043">
            <v>0</v>
          </cell>
          <cell r="BO1043">
            <v>0</v>
          </cell>
          <cell r="BP1043">
            <v>0</v>
          </cell>
          <cell r="BQ1043">
            <v>0</v>
          </cell>
          <cell r="BR1043">
            <v>3</v>
          </cell>
          <cell r="BS1043">
            <v>0</v>
          </cell>
          <cell r="BT1043">
            <v>0</v>
          </cell>
          <cell r="BU1043">
            <v>6</v>
          </cell>
        </row>
        <row r="1044">
          <cell r="A1044">
            <v>44</v>
          </cell>
          <cell r="B1044">
            <v>44</v>
          </cell>
          <cell r="D1044">
            <v>0</v>
          </cell>
          <cell r="F1044">
            <v>0</v>
          </cell>
          <cell r="G1044">
            <v>0</v>
          </cell>
          <cell r="I1044">
            <v>1</v>
          </cell>
          <cell r="J1044">
            <v>0</v>
          </cell>
          <cell r="K1044">
            <v>5</v>
          </cell>
          <cell r="L1044">
            <v>5</v>
          </cell>
          <cell r="M1044">
            <v>3</v>
          </cell>
          <cell r="O1044">
            <v>1</v>
          </cell>
          <cell r="P1044">
            <v>0</v>
          </cell>
          <cell r="Q1044">
            <v>0</v>
          </cell>
          <cell r="R1044">
            <v>0</v>
          </cell>
          <cell r="S1044">
            <v>0</v>
          </cell>
          <cell r="T1044">
            <v>3</v>
          </cell>
          <cell r="V1044">
            <v>0</v>
          </cell>
          <cell r="W1044">
            <v>90</v>
          </cell>
          <cell r="X1044">
            <v>2</v>
          </cell>
          <cell r="Y1044">
            <v>1</v>
          </cell>
          <cell r="AA1044">
            <v>0</v>
          </cell>
          <cell r="AB1044">
            <v>0</v>
          </cell>
          <cell r="AC1044">
            <v>1</v>
          </cell>
          <cell r="AD1044">
            <v>0</v>
          </cell>
          <cell r="AE1044">
            <v>0</v>
          </cell>
          <cell r="AF1044">
            <v>0</v>
          </cell>
          <cell r="AG1044">
            <v>0</v>
          </cell>
          <cell r="AH1044">
            <v>0</v>
          </cell>
          <cell r="AI1044">
            <v>3</v>
          </cell>
          <cell r="AK1044">
            <v>1</v>
          </cell>
          <cell r="AL1044">
            <v>0</v>
          </cell>
          <cell r="AN1044">
            <v>3162</v>
          </cell>
          <cell r="AO1044">
            <v>3</v>
          </cell>
          <cell r="AQ1044">
            <v>0</v>
          </cell>
          <cell r="AR1044">
            <v>14</v>
          </cell>
          <cell r="AS1044">
            <v>3</v>
          </cell>
          <cell r="AT1044">
            <v>4</v>
          </cell>
          <cell r="AU1044">
            <v>0</v>
          </cell>
          <cell r="AV1044">
            <v>7</v>
          </cell>
          <cell r="AW1044">
            <v>7</v>
          </cell>
          <cell r="AX1044">
            <v>5</v>
          </cell>
          <cell r="AY1044">
            <v>3</v>
          </cell>
          <cell r="AZ1044">
            <v>5</v>
          </cell>
          <cell r="BA1044">
            <v>5</v>
          </cell>
          <cell r="BB1044">
            <v>2</v>
          </cell>
          <cell r="BC1044">
            <v>0</v>
          </cell>
          <cell r="BD1044">
            <v>0</v>
          </cell>
          <cell r="BE1044">
            <v>3</v>
          </cell>
          <cell r="BF1044">
            <v>3</v>
          </cell>
          <cell r="BG1044">
            <v>3</v>
          </cell>
          <cell r="BH1044">
            <v>1</v>
          </cell>
          <cell r="BI1044">
            <v>0</v>
          </cell>
          <cell r="BJ1044">
            <v>0</v>
          </cell>
          <cell r="BK1044">
            <v>0</v>
          </cell>
          <cell r="BL1044">
            <v>1</v>
          </cell>
          <cell r="BM1044">
            <v>0</v>
          </cell>
          <cell r="BN1044">
            <v>0</v>
          </cell>
          <cell r="BO1044">
            <v>0</v>
          </cell>
          <cell r="BP1044">
            <v>0</v>
          </cell>
          <cell r="BQ1044">
            <v>3</v>
          </cell>
          <cell r="BR1044">
            <v>0</v>
          </cell>
          <cell r="BS1044">
            <v>0</v>
          </cell>
          <cell r="BT1044">
            <v>7</v>
          </cell>
          <cell r="BU1044">
            <v>0</v>
          </cell>
        </row>
        <row r="1045">
          <cell r="A1045">
            <v>53</v>
          </cell>
          <cell r="B1045">
            <v>53</v>
          </cell>
          <cell r="D1045">
            <v>0</v>
          </cell>
          <cell r="F1045">
            <v>0</v>
          </cell>
          <cell r="G1045">
            <v>1</v>
          </cell>
          <cell r="I1045">
            <v>1</v>
          </cell>
          <cell r="J1045">
            <v>0</v>
          </cell>
          <cell r="K1045">
            <v>2</v>
          </cell>
          <cell r="L1045">
            <v>2</v>
          </cell>
          <cell r="M1045">
            <v>3</v>
          </cell>
          <cell r="O1045">
            <v>0</v>
          </cell>
          <cell r="P1045">
            <v>0</v>
          </cell>
          <cell r="Q1045">
            <v>1</v>
          </cell>
          <cell r="R1045">
            <v>0</v>
          </cell>
          <cell r="S1045">
            <v>0</v>
          </cell>
          <cell r="T1045">
            <v>4</v>
          </cell>
          <cell r="V1045">
            <v>0</v>
          </cell>
          <cell r="W1045">
            <v>39</v>
          </cell>
          <cell r="X1045">
            <v>4</v>
          </cell>
          <cell r="Y1045">
            <v>4</v>
          </cell>
          <cell r="AA1045">
            <v>0</v>
          </cell>
          <cell r="AB1045">
            <v>0</v>
          </cell>
          <cell r="AC1045">
            <v>0</v>
          </cell>
          <cell r="AD1045">
            <v>0</v>
          </cell>
          <cell r="AE1045">
            <v>0</v>
          </cell>
          <cell r="AF1045">
            <v>0</v>
          </cell>
          <cell r="AG1045">
            <v>0</v>
          </cell>
          <cell r="AH1045">
            <v>0</v>
          </cell>
          <cell r="AI1045">
            <v>2</v>
          </cell>
          <cell r="AK1045">
            <v>1</v>
          </cell>
          <cell r="AL1045">
            <v>0</v>
          </cell>
          <cell r="AN1045">
            <v>16598</v>
          </cell>
          <cell r="AO1045">
            <v>4</v>
          </cell>
          <cell r="AQ1045">
            <v>0</v>
          </cell>
          <cell r="AR1045">
            <v>12</v>
          </cell>
          <cell r="AS1045">
            <v>3</v>
          </cell>
          <cell r="AT1045">
            <v>2</v>
          </cell>
          <cell r="AU1045">
            <v>0</v>
          </cell>
          <cell r="AV1045">
            <v>35</v>
          </cell>
          <cell r="AW1045">
            <v>35</v>
          </cell>
          <cell r="AX1045">
            <v>2</v>
          </cell>
          <cell r="AY1045">
            <v>2</v>
          </cell>
          <cell r="AZ1045">
            <v>9</v>
          </cell>
          <cell r="BA1045">
            <v>9</v>
          </cell>
          <cell r="BB1045">
            <v>8</v>
          </cell>
          <cell r="BC1045">
            <v>8</v>
          </cell>
          <cell r="BD1045">
            <v>8</v>
          </cell>
          <cell r="BE1045">
            <v>8</v>
          </cell>
          <cell r="BF1045">
            <v>8</v>
          </cell>
          <cell r="BG1045">
            <v>32</v>
          </cell>
          <cell r="BH1045">
            <v>1</v>
          </cell>
          <cell r="BI1045">
            <v>0</v>
          </cell>
          <cell r="BJ1045">
            <v>0</v>
          </cell>
          <cell r="BK1045">
            <v>0</v>
          </cell>
          <cell r="BL1045">
            <v>1</v>
          </cell>
          <cell r="BM1045">
            <v>0</v>
          </cell>
          <cell r="BN1045">
            <v>0</v>
          </cell>
          <cell r="BO1045">
            <v>0</v>
          </cell>
          <cell r="BP1045">
            <v>0</v>
          </cell>
          <cell r="BQ1045">
            <v>8</v>
          </cell>
          <cell r="BR1045">
            <v>0</v>
          </cell>
          <cell r="BS1045">
            <v>0</v>
          </cell>
          <cell r="BT1045">
            <v>35</v>
          </cell>
          <cell r="BU1045">
            <v>0</v>
          </cell>
        </row>
        <row r="1046">
          <cell r="A1046">
            <v>49</v>
          </cell>
          <cell r="B1046">
            <v>49</v>
          </cell>
          <cell r="D1046">
            <v>0</v>
          </cell>
          <cell r="F1046">
            <v>0</v>
          </cell>
          <cell r="G1046">
            <v>1</v>
          </cell>
          <cell r="I1046">
            <v>1</v>
          </cell>
          <cell r="J1046">
            <v>0</v>
          </cell>
          <cell r="K1046">
            <v>5</v>
          </cell>
          <cell r="L1046">
            <v>5</v>
          </cell>
          <cell r="M1046">
            <v>4</v>
          </cell>
          <cell r="O1046">
            <v>0</v>
          </cell>
          <cell r="P1046">
            <v>0</v>
          </cell>
          <cell r="Q1046">
            <v>0</v>
          </cell>
          <cell r="R1046">
            <v>0</v>
          </cell>
          <cell r="S1046">
            <v>1</v>
          </cell>
          <cell r="T1046">
            <v>1</v>
          </cell>
          <cell r="V1046">
            <v>0</v>
          </cell>
          <cell r="W1046">
            <v>96</v>
          </cell>
          <cell r="X1046">
            <v>3</v>
          </cell>
          <cell r="Y1046">
            <v>2</v>
          </cell>
          <cell r="AA1046">
            <v>1</v>
          </cell>
          <cell r="AB1046">
            <v>0</v>
          </cell>
          <cell r="AC1046">
            <v>0</v>
          </cell>
          <cell r="AD1046">
            <v>0</v>
          </cell>
          <cell r="AE1046">
            <v>0</v>
          </cell>
          <cell r="AF1046">
            <v>0</v>
          </cell>
          <cell r="AG1046">
            <v>0</v>
          </cell>
          <cell r="AH1046">
            <v>0</v>
          </cell>
          <cell r="AI1046">
            <v>3</v>
          </cell>
          <cell r="AK1046">
            <v>0</v>
          </cell>
          <cell r="AL1046">
            <v>1</v>
          </cell>
          <cell r="AN1046">
            <v>6651</v>
          </cell>
          <cell r="AO1046">
            <v>2</v>
          </cell>
          <cell r="AQ1046">
            <v>0</v>
          </cell>
          <cell r="AR1046">
            <v>14</v>
          </cell>
          <cell r="AS1046">
            <v>3</v>
          </cell>
          <cell r="AT1046">
            <v>2</v>
          </cell>
          <cell r="AU1046">
            <v>1</v>
          </cell>
          <cell r="AV1046">
            <v>20</v>
          </cell>
          <cell r="AW1046">
            <v>20</v>
          </cell>
          <cell r="AX1046">
            <v>0</v>
          </cell>
          <cell r="AY1046">
            <v>2</v>
          </cell>
          <cell r="AZ1046">
            <v>3</v>
          </cell>
          <cell r="BA1046">
            <v>3</v>
          </cell>
          <cell r="BB1046">
            <v>2</v>
          </cell>
          <cell r="BC1046">
            <v>1</v>
          </cell>
          <cell r="BD1046">
            <v>1</v>
          </cell>
          <cell r="BE1046">
            <v>2</v>
          </cell>
          <cell r="BF1046">
            <v>2</v>
          </cell>
          <cell r="BG1046">
            <v>4</v>
          </cell>
          <cell r="BH1046">
            <v>0</v>
          </cell>
          <cell r="BI1046">
            <v>1</v>
          </cell>
          <cell r="BJ1046">
            <v>0</v>
          </cell>
          <cell r="BK1046">
            <v>0</v>
          </cell>
          <cell r="BL1046">
            <v>0</v>
          </cell>
          <cell r="BM1046">
            <v>0</v>
          </cell>
          <cell r="BN1046">
            <v>1</v>
          </cell>
          <cell r="BO1046">
            <v>0</v>
          </cell>
          <cell r="BP1046">
            <v>0</v>
          </cell>
          <cell r="BQ1046">
            <v>2</v>
          </cell>
          <cell r="BR1046">
            <v>0</v>
          </cell>
          <cell r="BS1046">
            <v>0</v>
          </cell>
          <cell r="BT1046">
            <v>20</v>
          </cell>
          <cell r="BU1046">
            <v>0</v>
          </cell>
        </row>
        <row r="1047">
          <cell r="A1047">
            <v>40</v>
          </cell>
          <cell r="B1047">
            <v>40</v>
          </cell>
          <cell r="D1047">
            <v>0</v>
          </cell>
          <cell r="F1047">
            <v>0</v>
          </cell>
          <cell r="G1047">
            <v>1</v>
          </cell>
          <cell r="I1047">
            <v>1</v>
          </cell>
          <cell r="J1047">
            <v>0</v>
          </cell>
          <cell r="K1047">
            <v>2</v>
          </cell>
          <cell r="L1047">
            <v>2</v>
          </cell>
          <cell r="M1047">
            <v>3</v>
          </cell>
          <cell r="O1047">
            <v>0</v>
          </cell>
          <cell r="P1047">
            <v>0</v>
          </cell>
          <cell r="Q1047">
            <v>1</v>
          </cell>
          <cell r="R1047">
            <v>0</v>
          </cell>
          <cell r="S1047">
            <v>0</v>
          </cell>
          <cell r="T1047">
            <v>3</v>
          </cell>
          <cell r="V1047">
            <v>0</v>
          </cell>
          <cell r="W1047">
            <v>68</v>
          </cell>
          <cell r="X1047">
            <v>3</v>
          </cell>
          <cell r="Y1047">
            <v>1</v>
          </cell>
          <cell r="AA1047">
            <v>0</v>
          </cell>
          <cell r="AB1047">
            <v>0</v>
          </cell>
          <cell r="AC1047">
            <v>0</v>
          </cell>
          <cell r="AD1047">
            <v>0</v>
          </cell>
          <cell r="AE1047">
            <v>0</v>
          </cell>
          <cell r="AF1047">
            <v>0</v>
          </cell>
          <cell r="AG1047">
            <v>0</v>
          </cell>
          <cell r="AH1047">
            <v>1</v>
          </cell>
          <cell r="AI1047">
            <v>3</v>
          </cell>
          <cell r="AK1047">
            <v>0</v>
          </cell>
          <cell r="AL1047">
            <v>0</v>
          </cell>
          <cell r="AN1047">
            <v>2345</v>
          </cell>
          <cell r="AO1047">
            <v>2</v>
          </cell>
          <cell r="AQ1047">
            <v>0</v>
          </cell>
          <cell r="AR1047">
            <v>14</v>
          </cell>
          <cell r="AS1047">
            <v>3</v>
          </cell>
          <cell r="AT1047">
            <v>3</v>
          </cell>
          <cell r="AU1047">
            <v>1</v>
          </cell>
          <cell r="AV1047">
            <v>8</v>
          </cell>
          <cell r="AW1047">
            <v>8</v>
          </cell>
          <cell r="AX1047">
            <v>3</v>
          </cell>
          <cell r="AY1047">
            <v>4</v>
          </cell>
          <cell r="AZ1047">
            <v>3</v>
          </cell>
          <cell r="BA1047">
            <v>3</v>
          </cell>
          <cell r="BB1047">
            <v>1</v>
          </cell>
          <cell r="BC1047">
            <v>1</v>
          </cell>
          <cell r="BD1047">
            <v>1</v>
          </cell>
          <cell r="BE1047">
            <v>2</v>
          </cell>
          <cell r="BF1047">
            <v>2</v>
          </cell>
          <cell r="BG1047">
            <v>2</v>
          </cell>
          <cell r="BH1047">
            <v>1</v>
          </cell>
          <cell r="BI1047">
            <v>0</v>
          </cell>
          <cell r="BJ1047">
            <v>0</v>
          </cell>
          <cell r="BK1047">
            <v>0</v>
          </cell>
          <cell r="BL1047">
            <v>1</v>
          </cell>
          <cell r="BM1047">
            <v>0</v>
          </cell>
          <cell r="BN1047">
            <v>0</v>
          </cell>
          <cell r="BO1047">
            <v>0</v>
          </cell>
          <cell r="BP1047">
            <v>0</v>
          </cell>
          <cell r="BQ1047">
            <v>2</v>
          </cell>
          <cell r="BR1047">
            <v>0</v>
          </cell>
          <cell r="BS1047">
            <v>0</v>
          </cell>
          <cell r="BT1047">
            <v>8</v>
          </cell>
          <cell r="BU1047">
            <v>0</v>
          </cell>
        </row>
        <row r="1048">
          <cell r="A1048">
            <v>44</v>
          </cell>
          <cell r="B1048">
            <v>44</v>
          </cell>
          <cell r="D1048">
            <v>0</v>
          </cell>
          <cell r="F1048">
            <v>0</v>
          </cell>
          <cell r="G1048">
            <v>1</v>
          </cell>
          <cell r="I1048">
            <v>1</v>
          </cell>
          <cell r="J1048">
            <v>0</v>
          </cell>
          <cell r="K1048">
            <v>20</v>
          </cell>
          <cell r="L1048">
            <v>20</v>
          </cell>
          <cell r="M1048">
            <v>3</v>
          </cell>
          <cell r="O1048">
            <v>1</v>
          </cell>
          <cell r="P1048">
            <v>0</v>
          </cell>
          <cell r="Q1048">
            <v>0</v>
          </cell>
          <cell r="R1048">
            <v>0</v>
          </cell>
          <cell r="S1048">
            <v>0</v>
          </cell>
          <cell r="T1048">
            <v>4</v>
          </cell>
          <cell r="V1048">
            <v>0</v>
          </cell>
          <cell r="W1048">
            <v>49</v>
          </cell>
          <cell r="X1048">
            <v>3</v>
          </cell>
          <cell r="Y1048">
            <v>1</v>
          </cell>
          <cell r="AA1048">
            <v>0</v>
          </cell>
          <cell r="AB1048">
            <v>0</v>
          </cell>
          <cell r="AC1048">
            <v>0</v>
          </cell>
          <cell r="AD1048">
            <v>0</v>
          </cell>
          <cell r="AE1048">
            <v>0</v>
          </cell>
          <cell r="AF1048">
            <v>0</v>
          </cell>
          <cell r="AG1048">
            <v>0</v>
          </cell>
          <cell r="AH1048">
            <v>1</v>
          </cell>
          <cell r="AI1048">
            <v>2</v>
          </cell>
          <cell r="AK1048">
            <v>1</v>
          </cell>
          <cell r="AL1048">
            <v>0</v>
          </cell>
          <cell r="AN1048">
            <v>3420</v>
          </cell>
          <cell r="AO1048">
            <v>1</v>
          </cell>
          <cell r="AQ1048">
            <v>0</v>
          </cell>
          <cell r="AR1048">
            <v>13</v>
          </cell>
          <cell r="AS1048">
            <v>3</v>
          </cell>
          <cell r="AT1048">
            <v>3</v>
          </cell>
          <cell r="AU1048">
            <v>0</v>
          </cell>
          <cell r="AV1048">
            <v>6</v>
          </cell>
          <cell r="AW1048">
            <v>6</v>
          </cell>
          <cell r="AX1048">
            <v>3</v>
          </cell>
          <cell r="AY1048">
            <v>2</v>
          </cell>
          <cell r="AZ1048">
            <v>5</v>
          </cell>
          <cell r="BA1048">
            <v>5</v>
          </cell>
          <cell r="BB1048">
            <v>2</v>
          </cell>
          <cell r="BC1048">
            <v>1</v>
          </cell>
          <cell r="BD1048">
            <v>1</v>
          </cell>
          <cell r="BE1048">
            <v>3</v>
          </cell>
          <cell r="BF1048">
            <v>3</v>
          </cell>
          <cell r="BG1048">
            <v>3</v>
          </cell>
          <cell r="BH1048">
            <v>1</v>
          </cell>
          <cell r="BI1048">
            <v>0</v>
          </cell>
          <cell r="BJ1048">
            <v>0</v>
          </cell>
          <cell r="BK1048">
            <v>0</v>
          </cell>
          <cell r="BL1048">
            <v>1</v>
          </cell>
          <cell r="BM1048">
            <v>0</v>
          </cell>
          <cell r="BN1048">
            <v>0</v>
          </cell>
          <cell r="BO1048">
            <v>0</v>
          </cell>
          <cell r="BP1048">
            <v>0</v>
          </cell>
          <cell r="BQ1048">
            <v>3</v>
          </cell>
          <cell r="BR1048">
            <v>0</v>
          </cell>
          <cell r="BS1048">
            <v>0</v>
          </cell>
          <cell r="BT1048">
            <v>6</v>
          </cell>
          <cell r="BU1048">
            <v>0</v>
          </cell>
        </row>
        <row r="1049">
          <cell r="A1049">
            <v>33</v>
          </cell>
          <cell r="B1049">
            <v>33</v>
          </cell>
          <cell r="D1049">
            <v>0</v>
          </cell>
          <cell r="F1049">
            <v>1</v>
          </cell>
          <cell r="G1049">
            <v>0</v>
          </cell>
          <cell r="I1049">
            <v>0</v>
          </cell>
          <cell r="J1049">
            <v>1</v>
          </cell>
          <cell r="K1049">
            <v>7</v>
          </cell>
          <cell r="L1049">
            <v>7</v>
          </cell>
          <cell r="M1049">
            <v>3</v>
          </cell>
          <cell r="O1049">
            <v>0</v>
          </cell>
          <cell r="P1049">
            <v>0</v>
          </cell>
          <cell r="Q1049">
            <v>1</v>
          </cell>
          <cell r="R1049">
            <v>0</v>
          </cell>
          <cell r="S1049">
            <v>0</v>
          </cell>
          <cell r="T1049">
            <v>4</v>
          </cell>
          <cell r="V1049">
            <v>0</v>
          </cell>
          <cell r="W1049">
            <v>54</v>
          </cell>
          <cell r="X1049">
            <v>3</v>
          </cell>
          <cell r="Y1049">
            <v>2</v>
          </cell>
          <cell r="AA1049">
            <v>0</v>
          </cell>
          <cell r="AB1049">
            <v>1</v>
          </cell>
          <cell r="AC1049">
            <v>0</v>
          </cell>
          <cell r="AD1049">
            <v>0</v>
          </cell>
          <cell r="AE1049">
            <v>0</v>
          </cell>
          <cell r="AF1049">
            <v>0</v>
          </cell>
          <cell r="AG1049">
            <v>0</v>
          </cell>
          <cell r="AH1049">
            <v>0</v>
          </cell>
          <cell r="AI1049">
            <v>1</v>
          </cell>
          <cell r="AK1049">
            <v>0</v>
          </cell>
          <cell r="AL1049">
            <v>1</v>
          </cell>
          <cell r="AN1049">
            <v>4373</v>
          </cell>
          <cell r="AO1049">
            <v>0</v>
          </cell>
          <cell r="AQ1049">
            <v>0</v>
          </cell>
          <cell r="AR1049">
            <v>14</v>
          </cell>
          <cell r="AS1049">
            <v>3</v>
          </cell>
          <cell r="AT1049">
            <v>1</v>
          </cell>
          <cell r="AU1049">
            <v>2</v>
          </cell>
          <cell r="AV1049">
            <v>5</v>
          </cell>
          <cell r="AW1049">
            <v>5</v>
          </cell>
          <cell r="AX1049">
            <v>2</v>
          </cell>
          <cell r="AY1049">
            <v>3</v>
          </cell>
          <cell r="AZ1049">
            <v>4</v>
          </cell>
          <cell r="BA1049">
            <v>4</v>
          </cell>
          <cell r="BB1049">
            <v>3</v>
          </cell>
          <cell r="BC1049">
            <v>0</v>
          </cell>
          <cell r="BD1049">
            <v>0</v>
          </cell>
          <cell r="BE1049">
            <v>3</v>
          </cell>
          <cell r="BF1049">
            <v>3</v>
          </cell>
          <cell r="BG1049">
            <v>6</v>
          </cell>
          <cell r="BH1049">
            <v>0</v>
          </cell>
          <cell r="BI1049">
            <v>0</v>
          </cell>
          <cell r="BJ1049">
            <v>0</v>
          </cell>
          <cell r="BK1049">
            <v>1</v>
          </cell>
          <cell r="BL1049">
            <v>0</v>
          </cell>
          <cell r="BM1049">
            <v>0</v>
          </cell>
          <cell r="BN1049">
            <v>1</v>
          </cell>
          <cell r="BO1049">
            <v>0</v>
          </cell>
          <cell r="BP1049">
            <v>0</v>
          </cell>
          <cell r="BQ1049">
            <v>0</v>
          </cell>
          <cell r="BR1049">
            <v>3</v>
          </cell>
          <cell r="BS1049">
            <v>0</v>
          </cell>
          <cell r="BT1049">
            <v>0</v>
          </cell>
          <cell r="BU1049">
            <v>5</v>
          </cell>
        </row>
        <row r="1050">
          <cell r="A1050">
            <v>34</v>
          </cell>
          <cell r="B1050">
            <v>34</v>
          </cell>
          <cell r="D1050">
            <v>0</v>
          </cell>
          <cell r="F1050">
            <v>0</v>
          </cell>
          <cell r="G1050">
            <v>1</v>
          </cell>
          <cell r="I1050">
            <v>0</v>
          </cell>
          <cell r="J1050">
            <v>1</v>
          </cell>
          <cell r="K1050">
            <v>3</v>
          </cell>
          <cell r="L1050">
            <v>3</v>
          </cell>
          <cell r="M1050">
            <v>3</v>
          </cell>
          <cell r="O1050">
            <v>0</v>
          </cell>
          <cell r="P1050">
            <v>1</v>
          </cell>
          <cell r="Q1050">
            <v>0</v>
          </cell>
          <cell r="R1050">
            <v>0</v>
          </cell>
          <cell r="S1050">
            <v>0</v>
          </cell>
          <cell r="T1050">
            <v>4</v>
          </cell>
          <cell r="V1050">
            <v>0</v>
          </cell>
          <cell r="W1050">
            <v>81</v>
          </cell>
          <cell r="X1050">
            <v>1</v>
          </cell>
          <cell r="Y1050">
            <v>2</v>
          </cell>
          <cell r="AA1050">
            <v>0</v>
          </cell>
          <cell r="AB1050">
            <v>1</v>
          </cell>
          <cell r="AC1050">
            <v>0</v>
          </cell>
          <cell r="AD1050">
            <v>0</v>
          </cell>
          <cell r="AE1050">
            <v>0</v>
          </cell>
          <cell r="AF1050">
            <v>0</v>
          </cell>
          <cell r="AG1050">
            <v>0</v>
          </cell>
          <cell r="AH1050">
            <v>0</v>
          </cell>
          <cell r="AI1050">
            <v>1</v>
          </cell>
          <cell r="AK1050">
            <v>1</v>
          </cell>
          <cell r="AL1050">
            <v>0</v>
          </cell>
          <cell r="AN1050">
            <v>4759</v>
          </cell>
          <cell r="AO1050">
            <v>3</v>
          </cell>
          <cell r="AQ1050">
            <v>0</v>
          </cell>
          <cell r="AR1050">
            <v>18</v>
          </cell>
          <cell r="AS1050">
            <v>3</v>
          </cell>
          <cell r="AT1050">
            <v>4</v>
          </cell>
          <cell r="AU1050">
            <v>0</v>
          </cell>
          <cell r="AV1050">
            <v>15</v>
          </cell>
          <cell r="AW1050">
            <v>15</v>
          </cell>
          <cell r="AX1050">
            <v>2</v>
          </cell>
          <cell r="AY1050">
            <v>3</v>
          </cell>
          <cell r="AZ1050">
            <v>13</v>
          </cell>
          <cell r="BA1050">
            <v>13</v>
          </cell>
          <cell r="BB1050">
            <v>9</v>
          </cell>
          <cell r="BC1050">
            <v>3</v>
          </cell>
          <cell r="BD1050">
            <v>3</v>
          </cell>
          <cell r="BE1050">
            <v>12</v>
          </cell>
          <cell r="BF1050">
            <v>12</v>
          </cell>
          <cell r="BG1050">
            <v>24</v>
          </cell>
          <cell r="BH1050">
            <v>1</v>
          </cell>
          <cell r="BI1050">
            <v>0</v>
          </cell>
          <cell r="BJ1050">
            <v>0</v>
          </cell>
          <cell r="BK1050">
            <v>0</v>
          </cell>
          <cell r="BL1050">
            <v>1</v>
          </cell>
          <cell r="BM1050">
            <v>0</v>
          </cell>
          <cell r="BN1050">
            <v>0</v>
          </cell>
          <cell r="BO1050">
            <v>0</v>
          </cell>
          <cell r="BP1050">
            <v>0</v>
          </cell>
          <cell r="BQ1050">
            <v>0</v>
          </cell>
          <cell r="BR1050">
            <v>12</v>
          </cell>
          <cell r="BS1050">
            <v>0</v>
          </cell>
          <cell r="BT1050">
            <v>0</v>
          </cell>
          <cell r="BU1050">
            <v>15</v>
          </cell>
        </row>
        <row r="1051">
          <cell r="A1051">
            <v>30</v>
          </cell>
          <cell r="B1051">
            <v>30</v>
          </cell>
          <cell r="D1051">
            <v>0</v>
          </cell>
          <cell r="F1051">
            <v>0</v>
          </cell>
          <cell r="G1051">
            <v>1</v>
          </cell>
          <cell r="I1051">
            <v>0</v>
          </cell>
          <cell r="J1051">
            <v>1</v>
          </cell>
          <cell r="K1051">
            <v>16</v>
          </cell>
          <cell r="L1051">
            <v>16</v>
          </cell>
          <cell r="M1051">
            <v>1</v>
          </cell>
          <cell r="O1051">
            <v>1</v>
          </cell>
          <cell r="P1051">
            <v>0</v>
          </cell>
          <cell r="Q1051">
            <v>0</v>
          </cell>
          <cell r="R1051">
            <v>0</v>
          </cell>
          <cell r="S1051">
            <v>0</v>
          </cell>
          <cell r="T1051">
            <v>4</v>
          </cell>
          <cell r="V1051">
            <v>0</v>
          </cell>
          <cell r="W1051">
            <v>96</v>
          </cell>
          <cell r="X1051">
            <v>3</v>
          </cell>
          <cell r="Y1051">
            <v>2</v>
          </cell>
          <cell r="AA1051">
            <v>0</v>
          </cell>
          <cell r="AB1051">
            <v>1</v>
          </cell>
          <cell r="AC1051">
            <v>0</v>
          </cell>
          <cell r="AD1051">
            <v>0</v>
          </cell>
          <cell r="AE1051">
            <v>0</v>
          </cell>
          <cell r="AF1051">
            <v>0</v>
          </cell>
          <cell r="AG1051">
            <v>0</v>
          </cell>
          <cell r="AH1051">
            <v>0</v>
          </cell>
          <cell r="AI1051">
            <v>3</v>
          </cell>
          <cell r="AK1051">
            <v>0</v>
          </cell>
          <cell r="AL1051">
            <v>1</v>
          </cell>
          <cell r="AN1051">
            <v>5301</v>
          </cell>
          <cell r="AO1051">
            <v>8</v>
          </cell>
          <cell r="AQ1051">
            <v>0</v>
          </cell>
          <cell r="AR1051">
            <v>15</v>
          </cell>
          <cell r="AS1051">
            <v>3</v>
          </cell>
          <cell r="AT1051">
            <v>3</v>
          </cell>
          <cell r="AU1051">
            <v>2</v>
          </cell>
          <cell r="AV1051">
            <v>4</v>
          </cell>
          <cell r="AW1051">
            <v>4</v>
          </cell>
          <cell r="AX1051">
            <v>2</v>
          </cell>
          <cell r="AY1051">
            <v>2</v>
          </cell>
          <cell r="AZ1051">
            <v>2</v>
          </cell>
          <cell r="BA1051">
            <v>2</v>
          </cell>
          <cell r="BB1051">
            <v>1</v>
          </cell>
          <cell r="BC1051">
            <v>2</v>
          </cell>
          <cell r="BD1051">
            <v>2</v>
          </cell>
          <cell r="BE1051">
            <v>2</v>
          </cell>
          <cell r="BF1051">
            <v>2</v>
          </cell>
          <cell r="BG1051">
            <v>4</v>
          </cell>
          <cell r="BH1051">
            <v>0</v>
          </cell>
          <cell r="BI1051">
            <v>1</v>
          </cell>
          <cell r="BJ1051">
            <v>0</v>
          </cell>
          <cell r="BK1051">
            <v>0</v>
          </cell>
          <cell r="BL1051">
            <v>0</v>
          </cell>
          <cell r="BM1051">
            <v>0</v>
          </cell>
          <cell r="BN1051">
            <v>1</v>
          </cell>
          <cell r="BO1051">
            <v>0</v>
          </cell>
          <cell r="BP1051">
            <v>0</v>
          </cell>
          <cell r="BQ1051">
            <v>0</v>
          </cell>
          <cell r="BR1051">
            <v>2</v>
          </cell>
          <cell r="BS1051">
            <v>0</v>
          </cell>
          <cell r="BT1051">
            <v>0</v>
          </cell>
          <cell r="BU1051">
            <v>4</v>
          </cell>
        </row>
        <row r="1052">
          <cell r="A1052">
            <v>42</v>
          </cell>
          <cell r="B1052">
            <v>42</v>
          </cell>
          <cell r="D1052">
            <v>0</v>
          </cell>
          <cell r="F1052">
            <v>1</v>
          </cell>
          <cell r="G1052">
            <v>0</v>
          </cell>
          <cell r="I1052">
            <v>1</v>
          </cell>
          <cell r="J1052">
            <v>0</v>
          </cell>
          <cell r="K1052">
            <v>9</v>
          </cell>
          <cell r="L1052">
            <v>9</v>
          </cell>
          <cell r="M1052">
            <v>2</v>
          </cell>
          <cell r="O1052">
            <v>0</v>
          </cell>
          <cell r="P1052">
            <v>0</v>
          </cell>
          <cell r="Q1052">
            <v>1</v>
          </cell>
          <cell r="R1052">
            <v>0</v>
          </cell>
          <cell r="S1052">
            <v>0</v>
          </cell>
          <cell r="T1052">
            <v>1</v>
          </cell>
          <cell r="V1052">
            <v>1</v>
          </cell>
          <cell r="W1052">
            <v>74</v>
          </cell>
          <cell r="X1052">
            <v>3</v>
          </cell>
          <cell r="Y1052">
            <v>1</v>
          </cell>
          <cell r="AA1052">
            <v>0</v>
          </cell>
          <cell r="AB1052">
            <v>0</v>
          </cell>
          <cell r="AC1052">
            <v>1</v>
          </cell>
          <cell r="AD1052">
            <v>0</v>
          </cell>
          <cell r="AE1052">
            <v>0</v>
          </cell>
          <cell r="AF1052">
            <v>0</v>
          </cell>
          <cell r="AG1052">
            <v>0</v>
          </cell>
          <cell r="AH1052">
            <v>0</v>
          </cell>
          <cell r="AI1052">
            <v>4</v>
          </cell>
          <cell r="AK1052">
            <v>1</v>
          </cell>
          <cell r="AL1052">
            <v>0</v>
          </cell>
          <cell r="AN1052">
            <v>3673</v>
          </cell>
          <cell r="AO1052">
            <v>1</v>
          </cell>
          <cell r="AQ1052">
            <v>0</v>
          </cell>
          <cell r="AR1052">
            <v>13</v>
          </cell>
          <cell r="AS1052">
            <v>3</v>
          </cell>
          <cell r="AT1052">
            <v>3</v>
          </cell>
          <cell r="AU1052">
            <v>0</v>
          </cell>
          <cell r="AV1052">
            <v>12</v>
          </cell>
          <cell r="AW1052">
            <v>12</v>
          </cell>
          <cell r="AX1052">
            <v>3</v>
          </cell>
          <cell r="AY1052">
            <v>3</v>
          </cell>
          <cell r="AZ1052">
            <v>12</v>
          </cell>
          <cell r="BA1052">
            <v>12</v>
          </cell>
          <cell r="BB1052">
            <v>9</v>
          </cell>
          <cell r="BC1052">
            <v>5</v>
          </cell>
          <cell r="BD1052">
            <v>5</v>
          </cell>
          <cell r="BE1052">
            <v>8</v>
          </cell>
          <cell r="BF1052">
            <v>8</v>
          </cell>
          <cell r="BG1052">
            <v>8</v>
          </cell>
          <cell r="BH1052">
            <v>0</v>
          </cell>
          <cell r="BI1052">
            <v>0</v>
          </cell>
          <cell r="BJ1052">
            <v>1</v>
          </cell>
          <cell r="BK1052">
            <v>0</v>
          </cell>
          <cell r="BL1052">
            <v>1</v>
          </cell>
          <cell r="BM1052">
            <v>0</v>
          </cell>
          <cell r="BN1052">
            <v>0</v>
          </cell>
          <cell r="BO1052">
            <v>0</v>
          </cell>
          <cell r="BP1052">
            <v>0</v>
          </cell>
          <cell r="BQ1052">
            <v>8</v>
          </cell>
          <cell r="BR1052">
            <v>0</v>
          </cell>
          <cell r="BS1052">
            <v>0</v>
          </cell>
          <cell r="BT1052">
            <v>12</v>
          </cell>
          <cell r="BU1052">
            <v>0</v>
          </cell>
        </row>
        <row r="1053">
          <cell r="A1053">
            <v>44</v>
          </cell>
          <cell r="B1053">
            <v>44</v>
          </cell>
          <cell r="D1053">
            <v>0</v>
          </cell>
          <cell r="F1053">
            <v>1</v>
          </cell>
          <cell r="G1053">
            <v>0</v>
          </cell>
          <cell r="I1053">
            <v>0</v>
          </cell>
          <cell r="J1053">
            <v>1</v>
          </cell>
          <cell r="K1053">
            <v>1</v>
          </cell>
          <cell r="L1053">
            <v>1</v>
          </cell>
          <cell r="M1053">
            <v>5</v>
          </cell>
          <cell r="O1053">
            <v>0</v>
          </cell>
          <cell r="P1053">
            <v>0</v>
          </cell>
          <cell r="Q1053">
            <v>0</v>
          </cell>
          <cell r="R1053">
            <v>1</v>
          </cell>
          <cell r="S1053">
            <v>0</v>
          </cell>
          <cell r="T1053">
            <v>1</v>
          </cell>
          <cell r="V1053">
            <v>1</v>
          </cell>
          <cell r="W1053">
            <v>79</v>
          </cell>
          <cell r="X1053">
            <v>3</v>
          </cell>
          <cell r="Y1053">
            <v>2</v>
          </cell>
          <cell r="AA1053">
            <v>0</v>
          </cell>
          <cell r="AB1053">
            <v>1</v>
          </cell>
          <cell r="AC1053">
            <v>0</v>
          </cell>
          <cell r="AD1053">
            <v>0</v>
          </cell>
          <cell r="AE1053">
            <v>0</v>
          </cell>
          <cell r="AF1053">
            <v>0</v>
          </cell>
          <cell r="AG1053">
            <v>0</v>
          </cell>
          <cell r="AH1053">
            <v>0</v>
          </cell>
          <cell r="AI1053">
            <v>3</v>
          </cell>
          <cell r="AK1053">
            <v>0</v>
          </cell>
          <cell r="AL1053">
            <v>1</v>
          </cell>
          <cell r="AN1053">
            <v>4768</v>
          </cell>
          <cell r="AO1053">
            <v>7</v>
          </cell>
          <cell r="AQ1053">
            <v>0</v>
          </cell>
          <cell r="AR1053">
            <v>12</v>
          </cell>
          <cell r="AS1053">
            <v>3</v>
          </cell>
          <cell r="AT1053">
            <v>3</v>
          </cell>
          <cell r="AU1053">
            <v>1</v>
          </cell>
          <cell r="AV1053">
            <v>11</v>
          </cell>
          <cell r="AW1053">
            <v>11</v>
          </cell>
          <cell r="AX1053">
            <v>4</v>
          </cell>
          <cell r="AY1053">
            <v>2</v>
          </cell>
          <cell r="AZ1053">
            <v>1</v>
          </cell>
          <cell r="BA1053">
            <v>1</v>
          </cell>
          <cell r="BB1053">
            <v>0</v>
          </cell>
          <cell r="BC1053">
            <v>0</v>
          </cell>
          <cell r="BD1053">
            <v>0</v>
          </cell>
          <cell r="BE1053">
            <v>0</v>
          </cell>
          <cell r="BF1053">
            <v>0</v>
          </cell>
          <cell r="BG1053">
            <v>0</v>
          </cell>
          <cell r="BH1053">
            <v>0</v>
          </cell>
          <cell r="BI1053">
            <v>0</v>
          </cell>
          <cell r="BJ1053">
            <v>0</v>
          </cell>
          <cell r="BK1053">
            <v>1</v>
          </cell>
          <cell r="BL1053">
            <v>0</v>
          </cell>
          <cell r="BM1053">
            <v>0</v>
          </cell>
          <cell r="BN1053">
            <v>1</v>
          </cell>
          <cell r="BO1053">
            <v>0</v>
          </cell>
          <cell r="BP1053">
            <v>0</v>
          </cell>
          <cell r="BQ1053">
            <v>0</v>
          </cell>
          <cell r="BR1053">
            <v>0</v>
          </cell>
          <cell r="BS1053">
            <v>0</v>
          </cell>
          <cell r="BT1053">
            <v>0</v>
          </cell>
          <cell r="BU1053">
            <v>11</v>
          </cell>
        </row>
        <row r="1054">
          <cell r="A1054">
            <v>30</v>
          </cell>
          <cell r="B1054">
            <v>30</v>
          </cell>
          <cell r="D1054">
            <v>0</v>
          </cell>
          <cell r="F1054">
            <v>0</v>
          </cell>
          <cell r="G1054">
            <v>0</v>
          </cell>
          <cell r="I1054">
            <v>1</v>
          </cell>
          <cell r="J1054">
            <v>0</v>
          </cell>
          <cell r="K1054">
            <v>7</v>
          </cell>
          <cell r="L1054">
            <v>7</v>
          </cell>
          <cell r="M1054">
            <v>3</v>
          </cell>
          <cell r="O1054">
            <v>0</v>
          </cell>
          <cell r="P1054">
            <v>0</v>
          </cell>
          <cell r="Q1054">
            <v>0</v>
          </cell>
          <cell r="R1054">
            <v>0</v>
          </cell>
          <cell r="S1054">
            <v>1</v>
          </cell>
          <cell r="T1054">
            <v>3</v>
          </cell>
          <cell r="V1054">
            <v>0</v>
          </cell>
          <cell r="W1054">
            <v>64</v>
          </cell>
          <cell r="X1054">
            <v>3</v>
          </cell>
          <cell r="Y1054">
            <v>1</v>
          </cell>
          <cell r="AA1054">
            <v>0</v>
          </cell>
          <cell r="AB1054">
            <v>0</v>
          </cell>
          <cell r="AC1054">
            <v>0</v>
          </cell>
          <cell r="AD1054">
            <v>0</v>
          </cell>
          <cell r="AE1054">
            <v>0</v>
          </cell>
          <cell r="AF1054">
            <v>0</v>
          </cell>
          <cell r="AG1054">
            <v>0</v>
          </cell>
          <cell r="AH1054">
            <v>1</v>
          </cell>
          <cell r="AI1054">
            <v>3</v>
          </cell>
          <cell r="AK1054">
            <v>0</v>
          </cell>
          <cell r="AL1054">
            <v>0</v>
          </cell>
          <cell r="AN1054">
            <v>1382.46</v>
          </cell>
          <cell r="AO1054">
            <v>1</v>
          </cell>
          <cell r="AQ1054">
            <v>0</v>
          </cell>
          <cell r="AR1054">
            <v>13</v>
          </cell>
          <cell r="AS1054">
            <v>3</v>
          </cell>
          <cell r="AT1054">
            <v>2</v>
          </cell>
          <cell r="AU1054">
            <v>2</v>
          </cell>
          <cell r="AV1054">
            <v>1</v>
          </cell>
          <cell r="AW1054">
            <v>1</v>
          </cell>
          <cell r="AX1054">
            <v>2</v>
          </cell>
          <cell r="AY1054">
            <v>2</v>
          </cell>
          <cell r="AZ1054">
            <v>1</v>
          </cell>
          <cell r="BA1054">
            <v>1</v>
          </cell>
          <cell r="BB1054">
            <v>0</v>
          </cell>
          <cell r="BC1054">
            <v>0</v>
          </cell>
          <cell r="BD1054">
            <v>0</v>
          </cell>
          <cell r="BE1054">
            <v>0</v>
          </cell>
          <cell r="BF1054">
            <v>0</v>
          </cell>
          <cell r="BG1054">
            <v>0</v>
          </cell>
          <cell r="BH1054">
            <v>1</v>
          </cell>
          <cell r="BI1054">
            <v>0</v>
          </cell>
          <cell r="BJ1054">
            <v>0</v>
          </cell>
          <cell r="BK1054">
            <v>0</v>
          </cell>
          <cell r="BL1054">
            <v>1</v>
          </cell>
          <cell r="BM1054">
            <v>0</v>
          </cell>
          <cell r="BN1054">
            <v>0</v>
          </cell>
          <cell r="BO1054">
            <v>0</v>
          </cell>
          <cell r="BP1054">
            <v>0</v>
          </cell>
          <cell r="BQ1054">
            <v>0</v>
          </cell>
          <cell r="BR1054">
            <v>0</v>
          </cell>
          <cell r="BS1054">
            <v>0</v>
          </cell>
          <cell r="BT1054">
            <v>1</v>
          </cell>
          <cell r="BU1054">
            <v>0</v>
          </cell>
        </row>
        <row r="1055">
          <cell r="A1055">
            <v>57</v>
          </cell>
          <cell r="B1055">
            <v>57</v>
          </cell>
          <cell r="D1055">
            <v>0</v>
          </cell>
          <cell r="F1055">
            <v>0</v>
          </cell>
          <cell r="G1055">
            <v>1</v>
          </cell>
          <cell r="I1055">
            <v>1</v>
          </cell>
          <cell r="J1055">
            <v>0</v>
          </cell>
          <cell r="K1055">
            <v>1</v>
          </cell>
          <cell r="L1055">
            <v>1</v>
          </cell>
          <cell r="M1055">
            <v>2</v>
          </cell>
          <cell r="O1055">
            <v>1</v>
          </cell>
          <cell r="P1055">
            <v>0</v>
          </cell>
          <cell r="Q1055">
            <v>0</v>
          </cell>
          <cell r="R1055">
            <v>0</v>
          </cell>
          <cell r="S1055">
            <v>0</v>
          </cell>
          <cell r="T1055">
            <v>2</v>
          </cell>
          <cell r="V1055">
            <v>0</v>
          </cell>
          <cell r="W1055">
            <v>93</v>
          </cell>
          <cell r="X1055">
            <v>4</v>
          </cell>
          <cell r="Y1055">
            <v>2</v>
          </cell>
          <cell r="AA1055">
            <v>0</v>
          </cell>
          <cell r="AB1055">
            <v>0</v>
          </cell>
          <cell r="AC1055">
            <v>0</v>
          </cell>
          <cell r="AD1055">
            <v>0</v>
          </cell>
          <cell r="AE1055">
            <v>0</v>
          </cell>
          <cell r="AF1055">
            <v>0</v>
          </cell>
          <cell r="AG1055">
            <v>0</v>
          </cell>
          <cell r="AH1055">
            <v>1</v>
          </cell>
          <cell r="AI1055">
            <v>3</v>
          </cell>
          <cell r="AK1055">
            <v>0</v>
          </cell>
          <cell r="AL1055">
            <v>1</v>
          </cell>
          <cell r="AN1055">
            <v>4900</v>
          </cell>
          <cell r="AO1055">
            <v>0</v>
          </cell>
          <cell r="AQ1055">
            <v>0</v>
          </cell>
          <cell r="AR1055">
            <v>24</v>
          </cell>
          <cell r="AS1055">
            <v>4</v>
          </cell>
          <cell r="AT1055">
            <v>1</v>
          </cell>
          <cell r="AU1055">
            <v>1</v>
          </cell>
          <cell r="AV1055">
            <v>13</v>
          </cell>
          <cell r="AW1055">
            <v>13</v>
          </cell>
          <cell r="AX1055">
            <v>2</v>
          </cell>
          <cell r="AY1055">
            <v>2</v>
          </cell>
          <cell r="AZ1055">
            <v>12</v>
          </cell>
          <cell r="BA1055">
            <v>12</v>
          </cell>
          <cell r="BB1055">
            <v>9</v>
          </cell>
          <cell r="BC1055">
            <v>2</v>
          </cell>
          <cell r="BD1055">
            <v>2</v>
          </cell>
          <cell r="BE1055">
            <v>8</v>
          </cell>
          <cell r="BF1055">
            <v>8</v>
          </cell>
          <cell r="BG1055">
            <v>16</v>
          </cell>
          <cell r="BH1055">
            <v>0</v>
          </cell>
          <cell r="BI1055">
            <v>1</v>
          </cell>
          <cell r="BJ1055">
            <v>0</v>
          </cell>
          <cell r="BK1055">
            <v>0</v>
          </cell>
          <cell r="BL1055">
            <v>0</v>
          </cell>
          <cell r="BM1055">
            <v>0</v>
          </cell>
          <cell r="BN1055">
            <v>1</v>
          </cell>
          <cell r="BO1055">
            <v>0</v>
          </cell>
          <cell r="BP1055">
            <v>0</v>
          </cell>
          <cell r="BQ1055">
            <v>8</v>
          </cell>
          <cell r="BR1055">
            <v>0</v>
          </cell>
          <cell r="BS1055">
            <v>0</v>
          </cell>
          <cell r="BT1055">
            <v>13</v>
          </cell>
          <cell r="BU1055">
            <v>0</v>
          </cell>
        </row>
        <row r="1056">
          <cell r="A1056">
            <v>49</v>
          </cell>
          <cell r="B1056">
            <v>49</v>
          </cell>
          <cell r="D1056">
            <v>0</v>
          </cell>
          <cell r="F1056">
            <v>0</v>
          </cell>
          <cell r="G1056">
            <v>1</v>
          </cell>
          <cell r="I1056">
            <v>1</v>
          </cell>
          <cell r="J1056">
            <v>0</v>
          </cell>
          <cell r="K1056">
            <v>7</v>
          </cell>
          <cell r="L1056">
            <v>7</v>
          </cell>
          <cell r="M1056">
            <v>4</v>
          </cell>
          <cell r="O1056">
            <v>1</v>
          </cell>
          <cell r="P1056">
            <v>0</v>
          </cell>
          <cell r="Q1056">
            <v>0</v>
          </cell>
          <cell r="R1056">
            <v>0</v>
          </cell>
          <cell r="S1056">
            <v>0</v>
          </cell>
          <cell r="T1056">
            <v>3</v>
          </cell>
          <cell r="V1056">
            <v>0</v>
          </cell>
          <cell r="W1056">
            <v>35</v>
          </cell>
          <cell r="X1056">
            <v>3</v>
          </cell>
          <cell r="Y1056">
            <v>3</v>
          </cell>
          <cell r="AA1056">
            <v>1</v>
          </cell>
          <cell r="AB1056">
            <v>0</v>
          </cell>
          <cell r="AC1056">
            <v>0</v>
          </cell>
          <cell r="AD1056">
            <v>0</v>
          </cell>
          <cell r="AE1056">
            <v>0</v>
          </cell>
          <cell r="AF1056">
            <v>0</v>
          </cell>
          <cell r="AG1056">
            <v>0</v>
          </cell>
          <cell r="AH1056">
            <v>0</v>
          </cell>
          <cell r="AI1056">
            <v>2</v>
          </cell>
          <cell r="AK1056">
            <v>0</v>
          </cell>
          <cell r="AL1056">
            <v>0</v>
          </cell>
          <cell r="AN1056">
            <v>10466</v>
          </cell>
          <cell r="AO1056">
            <v>3</v>
          </cell>
          <cell r="AQ1056">
            <v>0</v>
          </cell>
          <cell r="AR1056">
            <v>14</v>
          </cell>
          <cell r="AS1056">
            <v>3</v>
          </cell>
          <cell r="AT1056">
            <v>2</v>
          </cell>
          <cell r="AU1056">
            <v>2</v>
          </cell>
          <cell r="AV1056">
            <v>29</v>
          </cell>
          <cell r="AW1056">
            <v>29</v>
          </cell>
          <cell r="AX1056">
            <v>3</v>
          </cell>
          <cell r="AY1056">
            <v>3</v>
          </cell>
          <cell r="AZ1056">
            <v>8</v>
          </cell>
          <cell r="BA1056">
            <v>8</v>
          </cell>
          <cell r="BB1056">
            <v>7</v>
          </cell>
          <cell r="BC1056">
            <v>0</v>
          </cell>
          <cell r="BD1056">
            <v>0</v>
          </cell>
          <cell r="BE1056">
            <v>7</v>
          </cell>
          <cell r="BF1056">
            <v>7</v>
          </cell>
          <cell r="BG1056">
            <v>21</v>
          </cell>
          <cell r="BH1056">
            <v>1</v>
          </cell>
          <cell r="BI1056">
            <v>0</v>
          </cell>
          <cell r="BJ1056">
            <v>0</v>
          </cell>
          <cell r="BK1056">
            <v>0</v>
          </cell>
          <cell r="BL1056">
            <v>1</v>
          </cell>
          <cell r="BM1056">
            <v>0</v>
          </cell>
          <cell r="BN1056">
            <v>0</v>
          </cell>
          <cell r="BO1056">
            <v>0</v>
          </cell>
          <cell r="BP1056">
            <v>0</v>
          </cell>
          <cell r="BQ1056">
            <v>7</v>
          </cell>
          <cell r="BR1056">
            <v>0</v>
          </cell>
          <cell r="BS1056">
            <v>0</v>
          </cell>
          <cell r="BT1056">
            <v>29</v>
          </cell>
          <cell r="BU1056">
            <v>0</v>
          </cell>
        </row>
        <row r="1057">
          <cell r="A1057">
            <v>34</v>
          </cell>
          <cell r="B1057">
            <v>34</v>
          </cell>
          <cell r="D1057">
            <v>0</v>
          </cell>
          <cell r="F1057">
            <v>1</v>
          </cell>
          <cell r="G1057">
            <v>0</v>
          </cell>
          <cell r="I1057">
            <v>1</v>
          </cell>
          <cell r="J1057">
            <v>0</v>
          </cell>
          <cell r="K1057">
            <v>15</v>
          </cell>
          <cell r="L1057">
            <v>15</v>
          </cell>
          <cell r="M1057">
            <v>3</v>
          </cell>
          <cell r="O1057">
            <v>0</v>
          </cell>
          <cell r="P1057">
            <v>0</v>
          </cell>
          <cell r="Q1057">
            <v>1</v>
          </cell>
          <cell r="R1057">
            <v>0</v>
          </cell>
          <cell r="S1057">
            <v>0</v>
          </cell>
          <cell r="T1057">
            <v>2</v>
          </cell>
          <cell r="V1057">
            <v>0</v>
          </cell>
          <cell r="W1057">
            <v>71</v>
          </cell>
          <cell r="X1057">
            <v>3</v>
          </cell>
          <cell r="Y1057">
            <v>4</v>
          </cell>
          <cell r="AA1057">
            <v>0</v>
          </cell>
          <cell r="AB1057">
            <v>0</v>
          </cell>
          <cell r="AC1057">
            <v>0</v>
          </cell>
          <cell r="AD1057">
            <v>0</v>
          </cell>
          <cell r="AE1057">
            <v>0</v>
          </cell>
          <cell r="AF1057">
            <v>0</v>
          </cell>
          <cell r="AG1057">
            <v>0</v>
          </cell>
          <cell r="AH1057">
            <v>0</v>
          </cell>
          <cell r="AI1057">
            <v>1</v>
          </cell>
          <cell r="AK1057">
            <v>0</v>
          </cell>
          <cell r="AL1057">
            <v>0</v>
          </cell>
          <cell r="AN1057">
            <v>17007</v>
          </cell>
          <cell r="AO1057">
            <v>7</v>
          </cell>
          <cell r="AQ1057">
            <v>0</v>
          </cell>
          <cell r="AR1057">
            <v>14</v>
          </cell>
          <cell r="AS1057">
            <v>3</v>
          </cell>
          <cell r="AT1057">
            <v>4</v>
          </cell>
          <cell r="AU1057">
            <v>2</v>
          </cell>
          <cell r="AV1057">
            <v>16</v>
          </cell>
          <cell r="AW1057">
            <v>16</v>
          </cell>
          <cell r="AX1057">
            <v>3</v>
          </cell>
          <cell r="AY1057">
            <v>2</v>
          </cell>
          <cell r="AZ1057">
            <v>14</v>
          </cell>
          <cell r="BA1057">
            <v>14</v>
          </cell>
          <cell r="BB1057">
            <v>8</v>
          </cell>
          <cell r="BC1057">
            <v>6</v>
          </cell>
          <cell r="BD1057">
            <v>6</v>
          </cell>
          <cell r="BE1057">
            <v>9</v>
          </cell>
          <cell r="BF1057">
            <v>9</v>
          </cell>
          <cell r="BG1057">
            <v>36</v>
          </cell>
          <cell r="BH1057">
            <v>0</v>
          </cell>
          <cell r="BI1057">
            <v>0</v>
          </cell>
          <cell r="BJ1057">
            <v>1</v>
          </cell>
          <cell r="BK1057">
            <v>0</v>
          </cell>
          <cell r="BL1057">
            <v>1</v>
          </cell>
          <cell r="BM1057">
            <v>0</v>
          </cell>
          <cell r="BN1057">
            <v>0</v>
          </cell>
          <cell r="BO1057">
            <v>0</v>
          </cell>
          <cell r="BP1057">
            <v>0</v>
          </cell>
          <cell r="BQ1057">
            <v>9</v>
          </cell>
          <cell r="BR1057">
            <v>0</v>
          </cell>
          <cell r="BS1057">
            <v>0</v>
          </cell>
          <cell r="BT1057">
            <v>16</v>
          </cell>
          <cell r="BU1057">
            <v>0</v>
          </cell>
        </row>
        <row r="1058">
          <cell r="A1058">
            <v>28</v>
          </cell>
          <cell r="B1058">
            <v>28</v>
          </cell>
          <cell r="D1058">
            <v>1</v>
          </cell>
          <cell r="F1058">
            <v>1</v>
          </cell>
          <cell r="G1058">
            <v>0</v>
          </cell>
          <cell r="I1058">
            <v>0</v>
          </cell>
          <cell r="J1058">
            <v>1</v>
          </cell>
          <cell r="K1058">
            <v>1</v>
          </cell>
          <cell r="L1058">
            <v>1</v>
          </cell>
          <cell r="M1058">
            <v>3</v>
          </cell>
          <cell r="O1058">
            <v>0</v>
          </cell>
          <cell r="P1058">
            <v>0</v>
          </cell>
          <cell r="Q1058">
            <v>0</v>
          </cell>
          <cell r="R1058">
            <v>0</v>
          </cell>
          <cell r="S1058">
            <v>1</v>
          </cell>
          <cell r="T1058">
            <v>1</v>
          </cell>
          <cell r="V1058">
            <v>0</v>
          </cell>
          <cell r="W1058">
            <v>92</v>
          </cell>
          <cell r="X1058">
            <v>3</v>
          </cell>
          <cell r="Y1058">
            <v>1</v>
          </cell>
          <cell r="AA1058">
            <v>0</v>
          </cell>
          <cell r="AB1058">
            <v>0</v>
          </cell>
          <cell r="AC1058">
            <v>0</v>
          </cell>
          <cell r="AD1058">
            <v>0</v>
          </cell>
          <cell r="AE1058">
            <v>0</v>
          </cell>
          <cell r="AF1058">
            <v>0</v>
          </cell>
          <cell r="AG1058">
            <v>1</v>
          </cell>
          <cell r="AH1058">
            <v>0</v>
          </cell>
          <cell r="AI1058">
            <v>3</v>
          </cell>
          <cell r="AK1058">
            <v>0</v>
          </cell>
          <cell r="AL1058">
            <v>1</v>
          </cell>
          <cell r="AN1058">
            <v>2909</v>
          </cell>
          <cell r="AO1058">
            <v>3</v>
          </cell>
          <cell r="AQ1058">
            <v>0</v>
          </cell>
          <cell r="AR1058">
            <v>15</v>
          </cell>
          <cell r="AS1058">
            <v>3</v>
          </cell>
          <cell r="AT1058">
            <v>4</v>
          </cell>
          <cell r="AU1058">
            <v>1</v>
          </cell>
          <cell r="AV1058">
            <v>5</v>
          </cell>
          <cell r="AW1058">
            <v>5</v>
          </cell>
          <cell r="AX1058">
            <v>3</v>
          </cell>
          <cell r="AY1058">
            <v>4</v>
          </cell>
          <cell r="AZ1058">
            <v>3</v>
          </cell>
          <cell r="BA1058">
            <v>3</v>
          </cell>
          <cell r="BB1058">
            <v>2</v>
          </cell>
          <cell r="BC1058">
            <v>1</v>
          </cell>
          <cell r="BD1058">
            <v>1</v>
          </cell>
          <cell r="BE1058">
            <v>2</v>
          </cell>
          <cell r="BF1058">
            <v>2</v>
          </cell>
          <cell r="BG1058">
            <v>2</v>
          </cell>
          <cell r="BH1058">
            <v>0</v>
          </cell>
          <cell r="BI1058">
            <v>0</v>
          </cell>
          <cell r="BJ1058">
            <v>0</v>
          </cell>
          <cell r="BK1058">
            <v>1</v>
          </cell>
          <cell r="BL1058">
            <v>0</v>
          </cell>
          <cell r="BM1058">
            <v>0</v>
          </cell>
          <cell r="BN1058">
            <v>1</v>
          </cell>
          <cell r="BO1058">
            <v>0</v>
          </cell>
          <cell r="BP1058">
            <v>0</v>
          </cell>
          <cell r="BQ1058">
            <v>0</v>
          </cell>
          <cell r="BR1058">
            <v>2</v>
          </cell>
          <cell r="BS1058">
            <v>0</v>
          </cell>
          <cell r="BT1058">
            <v>0</v>
          </cell>
          <cell r="BU1058">
            <v>5</v>
          </cell>
        </row>
        <row r="1059">
          <cell r="A1059">
            <v>29</v>
          </cell>
          <cell r="B1059">
            <v>29</v>
          </cell>
          <cell r="D1059">
            <v>1</v>
          </cell>
          <cell r="F1059">
            <v>1</v>
          </cell>
          <cell r="G1059">
            <v>0</v>
          </cell>
          <cell r="I1059">
            <v>0</v>
          </cell>
          <cell r="J1059">
            <v>1</v>
          </cell>
          <cell r="K1059">
            <v>13</v>
          </cell>
          <cell r="L1059">
            <v>13</v>
          </cell>
          <cell r="M1059">
            <v>3</v>
          </cell>
          <cell r="O1059">
            <v>0</v>
          </cell>
          <cell r="P1059">
            <v>0</v>
          </cell>
          <cell r="Q1059">
            <v>0</v>
          </cell>
          <cell r="R1059">
            <v>0</v>
          </cell>
          <cell r="S1059">
            <v>1</v>
          </cell>
          <cell r="T1059">
            <v>1</v>
          </cell>
          <cell r="V1059">
            <v>1</v>
          </cell>
          <cell r="W1059">
            <v>51</v>
          </cell>
          <cell r="X1059">
            <v>3</v>
          </cell>
          <cell r="Y1059">
            <v>2</v>
          </cell>
          <cell r="AA1059">
            <v>0</v>
          </cell>
          <cell r="AB1059">
            <v>1</v>
          </cell>
          <cell r="AC1059">
            <v>0</v>
          </cell>
          <cell r="AD1059">
            <v>0</v>
          </cell>
          <cell r="AE1059">
            <v>0</v>
          </cell>
          <cell r="AF1059">
            <v>0</v>
          </cell>
          <cell r="AG1059">
            <v>0</v>
          </cell>
          <cell r="AH1059">
            <v>0</v>
          </cell>
          <cell r="AI1059">
            <v>2</v>
          </cell>
          <cell r="AK1059">
            <v>1</v>
          </cell>
          <cell r="AL1059">
            <v>0</v>
          </cell>
          <cell r="AN1059">
            <v>5765</v>
          </cell>
          <cell r="AO1059">
            <v>5</v>
          </cell>
          <cell r="AQ1059">
            <v>0</v>
          </cell>
          <cell r="AR1059">
            <v>11</v>
          </cell>
          <cell r="AS1059">
            <v>3</v>
          </cell>
          <cell r="AT1059">
            <v>1</v>
          </cell>
          <cell r="AU1059">
            <v>0</v>
          </cell>
          <cell r="AV1059">
            <v>7</v>
          </cell>
          <cell r="AW1059">
            <v>7</v>
          </cell>
          <cell r="AX1059">
            <v>4</v>
          </cell>
          <cell r="AY1059">
            <v>1</v>
          </cell>
          <cell r="AZ1059">
            <v>5</v>
          </cell>
          <cell r="BA1059">
            <v>5</v>
          </cell>
          <cell r="BB1059">
            <v>3</v>
          </cell>
          <cell r="BC1059">
            <v>0</v>
          </cell>
          <cell r="BD1059">
            <v>0</v>
          </cell>
          <cell r="BE1059">
            <v>0</v>
          </cell>
          <cell r="BF1059">
            <v>0</v>
          </cell>
          <cell r="BG1059">
            <v>0</v>
          </cell>
          <cell r="BH1059">
            <v>0</v>
          </cell>
          <cell r="BI1059">
            <v>0</v>
          </cell>
          <cell r="BJ1059">
            <v>1</v>
          </cell>
          <cell r="BK1059">
            <v>0</v>
          </cell>
          <cell r="BL1059">
            <v>1</v>
          </cell>
          <cell r="BM1059">
            <v>0</v>
          </cell>
          <cell r="BN1059">
            <v>0</v>
          </cell>
          <cell r="BO1059">
            <v>0</v>
          </cell>
          <cell r="BP1059">
            <v>0</v>
          </cell>
          <cell r="BQ1059">
            <v>0</v>
          </cell>
          <cell r="BR1059">
            <v>0</v>
          </cell>
          <cell r="BS1059">
            <v>0</v>
          </cell>
          <cell r="BT1059">
            <v>0</v>
          </cell>
          <cell r="BU1059">
            <v>7</v>
          </cell>
        </row>
        <row r="1060">
          <cell r="A1060">
            <v>34</v>
          </cell>
          <cell r="B1060">
            <v>34</v>
          </cell>
          <cell r="D1060">
            <v>1</v>
          </cell>
          <cell r="F1060">
            <v>0</v>
          </cell>
          <cell r="G1060">
            <v>1</v>
          </cell>
          <cell r="I1060">
            <v>0</v>
          </cell>
          <cell r="J1060">
            <v>1</v>
          </cell>
          <cell r="K1060">
            <v>24</v>
          </cell>
          <cell r="L1060">
            <v>24</v>
          </cell>
          <cell r="M1060">
            <v>4</v>
          </cell>
          <cell r="O1060">
            <v>0</v>
          </cell>
          <cell r="P1060">
            <v>0</v>
          </cell>
          <cell r="Q1060">
            <v>1</v>
          </cell>
          <cell r="R1060">
            <v>0</v>
          </cell>
          <cell r="S1060">
            <v>0</v>
          </cell>
          <cell r="T1060">
            <v>1</v>
          </cell>
          <cell r="V1060">
            <v>1</v>
          </cell>
          <cell r="W1060">
            <v>40</v>
          </cell>
          <cell r="X1060">
            <v>2</v>
          </cell>
          <cell r="Y1060">
            <v>2</v>
          </cell>
          <cell r="AA1060">
            <v>0</v>
          </cell>
          <cell r="AB1060">
            <v>1</v>
          </cell>
          <cell r="AC1060">
            <v>0</v>
          </cell>
          <cell r="AD1060">
            <v>0</v>
          </cell>
          <cell r="AE1060">
            <v>0</v>
          </cell>
          <cell r="AF1060">
            <v>0</v>
          </cell>
          <cell r="AG1060">
            <v>0</v>
          </cell>
          <cell r="AH1060">
            <v>0</v>
          </cell>
          <cell r="AI1060">
            <v>2</v>
          </cell>
          <cell r="AK1060">
            <v>1</v>
          </cell>
          <cell r="AL1060">
            <v>0</v>
          </cell>
          <cell r="AN1060">
            <v>4599</v>
          </cell>
          <cell r="AO1060">
            <v>0</v>
          </cell>
          <cell r="AQ1060">
            <v>1</v>
          </cell>
          <cell r="AR1060">
            <v>23</v>
          </cell>
          <cell r="AS1060">
            <v>4</v>
          </cell>
          <cell r="AT1060">
            <v>3</v>
          </cell>
          <cell r="AU1060">
            <v>0</v>
          </cell>
          <cell r="AV1060">
            <v>16</v>
          </cell>
          <cell r="AW1060">
            <v>16</v>
          </cell>
          <cell r="AX1060">
            <v>2</v>
          </cell>
          <cell r="AY1060">
            <v>4</v>
          </cell>
          <cell r="AZ1060">
            <v>15</v>
          </cell>
          <cell r="BA1060">
            <v>15</v>
          </cell>
          <cell r="BB1060">
            <v>9</v>
          </cell>
          <cell r="BC1060">
            <v>10</v>
          </cell>
          <cell r="BD1060">
            <v>10</v>
          </cell>
          <cell r="BE1060">
            <v>10</v>
          </cell>
          <cell r="BF1060">
            <v>10</v>
          </cell>
          <cell r="BG1060">
            <v>20</v>
          </cell>
          <cell r="BH1060">
            <v>1</v>
          </cell>
          <cell r="BI1060">
            <v>0</v>
          </cell>
          <cell r="BJ1060">
            <v>0</v>
          </cell>
          <cell r="BK1060">
            <v>0</v>
          </cell>
          <cell r="BL1060">
            <v>0</v>
          </cell>
          <cell r="BM1060">
            <v>1</v>
          </cell>
          <cell r="BN1060">
            <v>0</v>
          </cell>
          <cell r="BO1060">
            <v>0</v>
          </cell>
          <cell r="BP1060">
            <v>0</v>
          </cell>
          <cell r="BQ1060">
            <v>0</v>
          </cell>
          <cell r="BR1060">
            <v>10</v>
          </cell>
          <cell r="BS1060">
            <v>0</v>
          </cell>
          <cell r="BT1060">
            <v>0</v>
          </cell>
          <cell r="BU1060">
            <v>16</v>
          </cell>
        </row>
        <row r="1061">
          <cell r="A1061">
            <v>35</v>
          </cell>
          <cell r="B1061">
            <v>35</v>
          </cell>
          <cell r="D1061">
            <v>0</v>
          </cell>
          <cell r="F1061">
            <v>0</v>
          </cell>
          <cell r="G1061">
            <v>1</v>
          </cell>
          <cell r="I1061">
            <v>0</v>
          </cell>
          <cell r="J1061">
            <v>1</v>
          </cell>
          <cell r="K1061">
            <v>7</v>
          </cell>
          <cell r="L1061">
            <v>7</v>
          </cell>
          <cell r="M1061">
            <v>1</v>
          </cell>
          <cell r="O1061">
            <v>1</v>
          </cell>
          <cell r="P1061">
            <v>0</v>
          </cell>
          <cell r="Q1061">
            <v>0</v>
          </cell>
          <cell r="R1061">
            <v>0</v>
          </cell>
          <cell r="S1061">
            <v>0</v>
          </cell>
          <cell r="T1061">
            <v>4</v>
          </cell>
          <cell r="V1061">
            <v>0</v>
          </cell>
          <cell r="W1061">
            <v>76</v>
          </cell>
          <cell r="X1061">
            <v>3</v>
          </cell>
          <cell r="Y1061">
            <v>1</v>
          </cell>
          <cell r="AA1061">
            <v>0</v>
          </cell>
          <cell r="AB1061">
            <v>0</v>
          </cell>
          <cell r="AC1061">
            <v>0</v>
          </cell>
          <cell r="AD1061">
            <v>0</v>
          </cell>
          <cell r="AE1061">
            <v>0</v>
          </cell>
          <cell r="AF1061">
            <v>0</v>
          </cell>
          <cell r="AG1061">
            <v>1</v>
          </cell>
          <cell r="AH1061">
            <v>0</v>
          </cell>
          <cell r="AI1061">
            <v>3</v>
          </cell>
          <cell r="AK1061">
            <v>0</v>
          </cell>
          <cell r="AL1061">
            <v>1</v>
          </cell>
          <cell r="AN1061">
            <v>2404</v>
          </cell>
          <cell r="AO1061">
            <v>1</v>
          </cell>
          <cell r="AQ1061">
            <v>0</v>
          </cell>
          <cell r="AR1061">
            <v>13</v>
          </cell>
          <cell r="AS1061">
            <v>3</v>
          </cell>
          <cell r="AT1061">
            <v>1</v>
          </cell>
          <cell r="AU1061">
            <v>1</v>
          </cell>
          <cell r="AV1061">
            <v>1</v>
          </cell>
          <cell r="AW1061">
            <v>1</v>
          </cell>
          <cell r="AX1061">
            <v>3</v>
          </cell>
          <cell r="AY1061">
            <v>3</v>
          </cell>
          <cell r="AZ1061">
            <v>1</v>
          </cell>
          <cell r="BA1061">
            <v>1</v>
          </cell>
          <cell r="BB1061">
            <v>0</v>
          </cell>
          <cell r="BC1061">
            <v>0</v>
          </cell>
          <cell r="BD1061">
            <v>0</v>
          </cell>
          <cell r="BE1061">
            <v>0</v>
          </cell>
          <cell r="BF1061">
            <v>0</v>
          </cell>
          <cell r="BG1061">
            <v>0</v>
          </cell>
          <cell r="BH1061">
            <v>0</v>
          </cell>
          <cell r="BI1061">
            <v>1</v>
          </cell>
          <cell r="BJ1061">
            <v>0</v>
          </cell>
          <cell r="BK1061">
            <v>0</v>
          </cell>
          <cell r="BL1061">
            <v>0</v>
          </cell>
          <cell r="BM1061">
            <v>0</v>
          </cell>
          <cell r="BN1061">
            <v>1</v>
          </cell>
          <cell r="BO1061">
            <v>0</v>
          </cell>
          <cell r="BP1061">
            <v>0</v>
          </cell>
          <cell r="BQ1061">
            <v>0</v>
          </cell>
          <cell r="BR1061">
            <v>0</v>
          </cell>
          <cell r="BS1061">
            <v>0</v>
          </cell>
          <cell r="BT1061">
            <v>0</v>
          </cell>
          <cell r="BU1061">
            <v>1</v>
          </cell>
        </row>
        <row r="1062">
          <cell r="A1062">
            <v>24</v>
          </cell>
          <cell r="B1062">
            <v>24</v>
          </cell>
          <cell r="D1062">
            <v>1</v>
          </cell>
          <cell r="F1062">
            <v>1</v>
          </cell>
          <cell r="G1062">
            <v>0</v>
          </cell>
          <cell r="I1062">
            <v>1</v>
          </cell>
          <cell r="J1062">
            <v>0</v>
          </cell>
          <cell r="K1062">
            <v>9</v>
          </cell>
          <cell r="L1062">
            <v>9</v>
          </cell>
          <cell r="M1062">
            <v>3</v>
          </cell>
          <cell r="O1062">
            <v>0</v>
          </cell>
          <cell r="P1062">
            <v>0</v>
          </cell>
          <cell r="Q1062">
            <v>1</v>
          </cell>
          <cell r="R1062">
            <v>0</v>
          </cell>
          <cell r="S1062">
            <v>0</v>
          </cell>
          <cell r="T1062">
            <v>2</v>
          </cell>
          <cell r="V1062">
            <v>0</v>
          </cell>
          <cell r="W1062">
            <v>89</v>
          </cell>
          <cell r="X1062">
            <v>3</v>
          </cell>
          <cell r="Y1062">
            <v>1</v>
          </cell>
          <cell r="AA1062">
            <v>0</v>
          </cell>
          <cell r="AB1062">
            <v>0</v>
          </cell>
          <cell r="AC1062">
            <v>1</v>
          </cell>
          <cell r="AD1062">
            <v>0</v>
          </cell>
          <cell r="AE1062">
            <v>0</v>
          </cell>
          <cell r="AF1062">
            <v>0</v>
          </cell>
          <cell r="AG1062">
            <v>0</v>
          </cell>
          <cell r="AH1062">
            <v>0</v>
          </cell>
          <cell r="AI1062">
            <v>1</v>
          </cell>
          <cell r="AK1062">
            <v>1</v>
          </cell>
          <cell r="AL1062">
            <v>0</v>
          </cell>
          <cell r="AN1062">
            <v>3172</v>
          </cell>
          <cell r="AO1062">
            <v>2</v>
          </cell>
          <cell r="AQ1062">
            <v>1</v>
          </cell>
          <cell r="AR1062">
            <v>11</v>
          </cell>
          <cell r="AS1062">
            <v>3</v>
          </cell>
          <cell r="AT1062">
            <v>3</v>
          </cell>
          <cell r="AU1062">
            <v>0</v>
          </cell>
          <cell r="AV1062">
            <v>4</v>
          </cell>
          <cell r="AW1062">
            <v>4</v>
          </cell>
          <cell r="AX1062">
            <v>2</v>
          </cell>
          <cell r="AY1062">
            <v>2</v>
          </cell>
          <cell r="AZ1062">
            <v>0</v>
          </cell>
          <cell r="BA1062">
            <v>0</v>
          </cell>
          <cell r="BB1062">
            <v>0</v>
          </cell>
          <cell r="BC1062">
            <v>0</v>
          </cell>
          <cell r="BD1062">
            <v>0</v>
          </cell>
          <cell r="BE1062">
            <v>0</v>
          </cell>
          <cell r="BF1062">
            <v>0</v>
          </cell>
          <cell r="BG1062">
            <v>0</v>
          </cell>
          <cell r="BH1062">
            <v>0</v>
          </cell>
          <cell r="BI1062">
            <v>0</v>
          </cell>
          <cell r="BJ1062">
            <v>1</v>
          </cell>
          <cell r="BK1062">
            <v>0</v>
          </cell>
          <cell r="BL1062">
            <v>0</v>
          </cell>
          <cell r="BM1062">
            <v>1</v>
          </cell>
          <cell r="BN1062">
            <v>0</v>
          </cell>
          <cell r="BO1062">
            <v>0</v>
          </cell>
          <cell r="BP1062">
            <v>0</v>
          </cell>
          <cell r="BQ1062">
            <v>0</v>
          </cell>
          <cell r="BR1062">
            <v>0</v>
          </cell>
          <cell r="BS1062">
            <v>0</v>
          </cell>
          <cell r="BT1062">
            <v>4</v>
          </cell>
          <cell r="BU1062">
            <v>0</v>
          </cell>
        </row>
        <row r="1063">
          <cell r="A1063">
            <v>24</v>
          </cell>
          <cell r="B1063">
            <v>24</v>
          </cell>
          <cell r="D1063">
            <v>0</v>
          </cell>
          <cell r="F1063">
            <v>0</v>
          </cell>
          <cell r="G1063">
            <v>0</v>
          </cell>
          <cell r="I1063">
            <v>0</v>
          </cell>
          <cell r="J1063">
            <v>1</v>
          </cell>
          <cell r="K1063">
            <v>13</v>
          </cell>
          <cell r="L1063">
            <v>13</v>
          </cell>
          <cell r="M1063">
            <v>2</v>
          </cell>
          <cell r="O1063">
            <v>1</v>
          </cell>
          <cell r="P1063">
            <v>0</v>
          </cell>
          <cell r="Q1063">
            <v>0</v>
          </cell>
          <cell r="R1063">
            <v>0</v>
          </cell>
          <cell r="S1063">
            <v>0</v>
          </cell>
          <cell r="T1063">
            <v>4</v>
          </cell>
          <cell r="V1063">
            <v>1</v>
          </cell>
          <cell r="W1063">
            <v>78</v>
          </cell>
          <cell r="X1063">
            <v>3</v>
          </cell>
          <cell r="Y1063">
            <v>1</v>
          </cell>
          <cell r="AA1063">
            <v>0</v>
          </cell>
          <cell r="AB1063">
            <v>0</v>
          </cell>
          <cell r="AC1063">
            <v>0</v>
          </cell>
          <cell r="AD1063">
            <v>0</v>
          </cell>
          <cell r="AE1063">
            <v>0</v>
          </cell>
          <cell r="AF1063">
            <v>0</v>
          </cell>
          <cell r="AG1063">
            <v>1</v>
          </cell>
          <cell r="AH1063">
            <v>0</v>
          </cell>
          <cell r="AI1063">
            <v>2</v>
          </cell>
          <cell r="AK1063">
            <v>0</v>
          </cell>
          <cell r="AL1063">
            <v>1</v>
          </cell>
          <cell r="AN1063">
            <v>2033</v>
          </cell>
          <cell r="AO1063">
            <v>1</v>
          </cell>
          <cell r="AQ1063">
            <v>0</v>
          </cell>
          <cell r="AR1063">
            <v>13</v>
          </cell>
          <cell r="AS1063">
            <v>3</v>
          </cell>
          <cell r="AT1063">
            <v>3</v>
          </cell>
          <cell r="AU1063">
            <v>1</v>
          </cell>
          <cell r="AV1063">
            <v>1</v>
          </cell>
          <cell r="AW1063">
            <v>1</v>
          </cell>
          <cell r="AX1063">
            <v>2</v>
          </cell>
          <cell r="AY1063">
            <v>3</v>
          </cell>
          <cell r="AZ1063">
            <v>1</v>
          </cell>
          <cell r="BA1063">
            <v>1</v>
          </cell>
          <cell r="BB1063">
            <v>0</v>
          </cell>
          <cell r="BC1063">
            <v>0</v>
          </cell>
          <cell r="BD1063">
            <v>0</v>
          </cell>
          <cell r="BE1063">
            <v>0</v>
          </cell>
          <cell r="BF1063">
            <v>0</v>
          </cell>
          <cell r="BG1063">
            <v>0</v>
          </cell>
          <cell r="BH1063">
            <v>0</v>
          </cell>
          <cell r="BI1063">
            <v>1</v>
          </cell>
          <cell r="BJ1063">
            <v>0</v>
          </cell>
          <cell r="BK1063">
            <v>0</v>
          </cell>
          <cell r="BL1063">
            <v>0</v>
          </cell>
          <cell r="BM1063">
            <v>0</v>
          </cell>
          <cell r="BN1063">
            <v>1</v>
          </cell>
          <cell r="BO1063">
            <v>0</v>
          </cell>
          <cell r="BP1063">
            <v>0</v>
          </cell>
          <cell r="BQ1063">
            <v>0</v>
          </cell>
          <cell r="BR1063">
            <v>0</v>
          </cell>
          <cell r="BS1063">
            <v>0</v>
          </cell>
          <cell r="BT1063">
            <v>0</v>
          </cell>
          <cell r="BU1063">
            <v>1</v>
          </cell>
        </row>
        <row r="1064">
          <cell r="A1064">
            <v>44</v>
          </cell>
          <cell r="B1064">
            <v>44</v>
          </cell>
          <cell r="D1064">
            <v>0</v>
          </cell>
          <cell r="F1064">
            <v>1</v>
          </cell>
          <cell r="G1064">
            <v>0</v>
          </cell>
          <cell r="I1064">
            <v>1</v>
          </cell>
          <cell r="J1064">
            <v>0</v>
          </cell>
          <cell r="K1064">
            <v>2</v>
          </cell>
          <cell r="L1064">
            <v>2</v>
          </cell>
          <cell r="M1064">
            <v>1</v>
          </cell>
          <cell r="O1064">
            <v>0</v>
          </cell>
          <cell r="P1064">
            <v>0</v>
          </cell>
          <cell r="Q1064">
            <v>1</v>
          </cell>
          <cell r="R1064">
            <v>0</v>
          </cell>
          <cell r="S1064">
            <v>0</v>
          </cell>
          <cell r="T1064">
            <v>2</v>
          </cell>
          <cell r="V1064">
            <v>0</v>
          </cell>
          <cell r="W1064">
            <v>86</v>
          </cell>
          <cell r="X1064">
            <v>3</v>
          </cell>
          <cell r="Y1064">
            <v>3</v>
          </cell>
          <cell r="AA1064">
            <v>0</v>
          </cell>
          <cell r="AB1064">
            <v>0</v>
          </cell>
          <cell r="AC1064">
            <v>0</v>
          </cell>
          <cell r="AD1064">
            <v>0</v>
          </cell>
          <cell r="AE1064">
            <v>1</v>
          </cell>
          <cell r="AF1064">
            <v>1</v>
          </cell>
          <cell r="AG1064">
            <v>0</v>
          </cell>
          <cell r="AH1064">
            <v>0</v>
          </cell>
          <cell r="AI1064">
            <v>3</v>
          </cell>
          <cell r="AK1064">
            <v>1</v>
          </cell>
          <cell r="AL1064">
            <v>0</v>
          </cell>
          <cell r="AN1064">
            <v>10209</v>
          </cell>
          <cell r="AO1064">
            <v>5</v>
          </cell>
          <cell r="AQ1064">
            <v>1</v>
          </cell>
          <cell r="AR1064">
            <v>18</v>
          </cell>
          <cell r="AS1064">
            <v>3</v>
          </cell>
          <cell r="AT1064">
            <v>2</v>
          </cell>
          <cell r="AU1064">
            <v>0</v>
          </cell>
          <cell r="AV1064">
            <v>16</v>
          </cell>
          <cell r="AW1064">
            <v>16</v>
          </cell>
          <cell r="AX1064">
            <v>2</v>
          </cell>
          <cell r="AY1064">
            <v>2</v>
          </cell>
          <cell r="AZ1064">
            <v>2</v>
          </cell>
          <cell r="BA1064">
            <v>2</v>
          </cell>
          <cell r="BB1064">
            <v>2</v>
          </cell>
          <cell r="BC1064">
            <v>2</v>
          </cell>
          <cell r="BD1064">
            <v>2</v>
          </cell>
          <cell r="BE1064">
            <v>2</v>
          </cell>
          <cell r="BF1064">
            <v>2</v>
          </cell>
          <cell r="BG1064">
            <v>6</v>
          </cell>
          <cell r="BH1064">
            <v>0</v>
          </cell>
          <cell r="BI1064">
            <v>0</v>
          </cell>
          <cell r="BJ1064">
            <v>1</v>
          </cell>
          <cell r="BK1064">
            <v>0</v>
          </cell>
          <cell r="BL1064">
            <v>0</v>
          </cell>
          <cell r="BM1064">
            <v>1</v>
          </cell>
          <cell r="BN1064">
            <v>0</v>
          </cell>
          <cell r="BO1064">
            <v>0</v>
          </cell>
          <cell r="BP1064">
            <v>0</v>
          </cell>
          <cell r="BQ1064">
            <v>2</v>
          </cell>
          <cell r="BR1064">
            <v>0</v>
          </cell>
          <cell r="BS1064">
            <v>0</v>
          </cell>
          <cell r="BT1064">
            <v>16</v>
          </cell>
          <cell r="BU1064">
            <v>0</v>
          </cell>
        </row>
        <row r="1065">
          <cell r="A1065">
            <v>29</v>
          </cell>
          <cell r="B1065">
            <v>29</v>
          </cell>
          <cell r="D1065">
            <v>0</v>
          </cell>
          <cell r="F1065">
            <v>0</v>
          </cell>
          <cell r="G1065">
            <v>1</v>
          </cell>
          <cell r="I1065">
            <v>0</v>
          </cell>
          <cell r="J1065">
            <v>1</v>
          </cell>
          <cell r="K1065">
            <v>19</v>
          </cell>
          <cell r="L1065">
            <v>19</v>
          </cell>
          <cell r="M1065">
            <v>3</v>
          </cell>
          <cell r="O1065">
            <v>1</v>
          </cell>
          <cell r="P1065">
            <v>0</v>
          </cell>
          <cell r="Q1065">
            <v>0</v>
          </cell>
          <cell r="R1065">
            <v>0</v>
          </cell>
          <cell r="S1065">
            <v>0</v>
          </cell>
          <cell r="T1065">
            <v>3</v>
          </cell>
          <cell r="V1065">
            <v>0</v>
          </cell>
          <cell r="W1065">
            <v>77</v>
          </cell>
          <cell r="X1065">
            <v>2</v>
          </cell>
          <cell r="Y1065">
            <v>2</v>
          </cell>
          <cell r="AA1065">
            <v>0</v>
          </cell>
          <cell r="AB1065">
            <v>1</v>
          </cell>
          <cell r="AC1065">
            <v>0</v>
          </cell>
          <cell r="AD1065">
            <v>0</v>
          </cell>
          <cell r="AE1065">
            <v>0</v>
          </cell>
          <cell r="AF1065">
            <v>0</v>
          </cell>
          <cell r="AG1065">
            <v>0</v>
          </cell>
          <cell r="AH1065">
            <v>0</v>
          </cell>
          <cell r="AI1065">
            <v>3</v>
          </cell>
          <cell r="AK1065">
            <v>0</v>
          </cell>
          <cell r="AL1065">
            <v>0</v>
          </cell>
          <cell r="AN1065">
            <v>8620</v>
          </cell>
          <cell r="AO1065">
            <v>1</v>
          </cell>
          <cell r="AQ1065">
            <v>0</v>
          </cell>
          <cell r="AR1065">
            <v>14</v>
          </cell>
          <cell r="AS1065">
            <v>3</v>
          </cell>
          <cell r="AT1065">
            <v>3</v>
          </cell>
          <cell r="AU1065">
            <v>2</v>
          </cell>
          <cell r="AV1065">
            <v>10</v>
          </cell>
          <cell r="AW1065">
            <v>10</v>
          </cell>
          <cell r="AX1065">
            <v>3</v>
          </cell>
          <cell r="AY1065">
            <v>3</v>
          </cell>
          <cell r="AZ1065">
            <v>10</v>
          </cell>
          <cell r="BA1065">
            <v>10</v>
          </cell>
          <cell r="BB1065">
            <v>7</v>
          </cell>
          <cell r="BC1065">
            <v>0</v>
          </cell>
          <cell r="BD1065">
            <v>0</v>
          </cell>
          <cell r="BE1065">
            <v>4</v>
          </cell>
          <cell r="BF1065">
            <v>4</v>
          </cell>
          <cell r="BG1065">
            <v>8</v>
          </cell>
          <cell r="BH1065">
            <v>1</v>
          </cell>
          <cell r="BI1065">
            <v>0</v>
          </cell>
          <cell r="BJ1065">
            <v>0</v>
          </cell>
          <cell r="BK1065">
            <v>0</v>
          </cell>
          <cell r="BL1065">
            <v>1</v>
          </cell>
          <cell r="BM1065">
            <v>0</v>
          </cell>
          <cell r="BN1065">
            <v>0</v>
          </cell>
          <cell r="BO1065">
            <v>0</v>
          </cell>
          <cell r="BP1065">
            <v>0</v>
          </cell>
          <cell r="BQ1065">
            <v>0</v>
          </cell>
          <cell r="BR1065">
            <v>4</v>
          </cell>
          <cell r="BS1065">
            <v>0</v>
          </cell>
          <cell r="BT1065">
            <v>0</v>
          </cell>
          <cell r="BU1065">
            <v>10</v>
          </cell>
        </row>
        <row r="1066">
          <cell r="A1066">
            <v>30</v>
          </cell>
          <cell r="B1066">
            <v>30</v>
          </cell>
          <cell r="D1066">
            <v>0</v>
          </cell>
          <cell r="F1066">
            <v>0</v>
          </cell>
          <cell r="G1066">
            <v>1</v>
          </cell>
          <cell r="I1066">
            <v>0</v>
          </cell>
          <cell r="J1066">
            <v>0</v>
          </cell>
          <cell r="K1066">
            <v>1</v>
          </cell>
          <cell r="L1066">
            <v>1</v>
          </cell>
          <cell r="M1066">
            <v>3</v>
          </cell>
          <cell r="O1066">
            <v>1</v>
          </cell>
          <cell r="P1066">
            <v>0</v>
          </cell>
          <cell r="Q1066">
            <v>0</v>
          </cell>
          <cell r="R1066">
            <v>0</v>
          </cell>
          <cell r="S1066">
            <v>0</v>
          </cell>
          <cell r="T1066">
            <v>3</v>
          </cell>
          <cell r="V1066">
            <v>0</v>
          </cell>
          <cell r="W1066">
            <v>46</v>
          </cell>
          <cell r="X1066">
            <v>3</v>
          </cell>
          <cell r="Y1066">
            <v>1</v>
          </cell>
          <cell r="AA1066">
            <v>0</v>
          </cell>
          <cell r="AB1066">
            <v>0</v>
          </cell>
          <cell r="AC1066">
            <v>0</v>
          </cell>
          <cell r="AD1066">
            <v>0</v>
          </cell>
          <cell r="AE1066">
            <v>0</v>
          </cell>
          <cell r="AF1066">
            <v>0</v>
          </cell>
          <cell r="AG1066">
            <v>0</v>
          </cell>
          <cell r="AH1066">
            <v>0</v>
          </cell>
          <cell r="AI1066">
            <v>3</v>
          </cell>
          <cell r="AK1066">
            <v>0</v>
          </cell>
          <cell r="AL1066">
            <v>0</v>
          </cell>
          <cell r="AN1066">
            <v>2064</v>
          </cell>
          <cell r="AO1066">
            <v>0</v>
          </cell>
          <cell r="AQ1066">
            <v>0</v>
          </cell>
          <cell r="AR1066">
            <v>21</v>
          </cell>
          <cell r="AS1066">
            <v>4</v>
          </cell>
          <cell r="AT1066">
            <v>1</v>
          </cell>
          <cell r="AU1066">
            <v>1</v>
          </cell>
          <cell r="AV1066">
            <v>6</v>
          </cell>
          <cell r="AW1066">
            <v>6</v>
          </cell>
          <cell r="AX1066">
            <v>3</v>
          </cell>
          <cell r="AY1066">
            <v>4</v>
          </cell>
          <cell r="AZ1066">
            <v>5</v>
          </cell>
          <cell r="BA1066">
            <v>5</v>
          </cell>
          <cell r="BB1066">
            <v>3</v>
          </cell>
          <cell r="BC1066">
            <v>1</v>
          </cell>
          <cell r="BD1066">
            <v>1</v>
          </cell>
          <cell r="BE1066">
            <v>3</v>
          </cell>
          <cell r="BF1066">
            <v>3</v>
          </cell>
          <cell r="BG1066">
            <v>3</v>
          </cell>
          <cell r="BH1066">
            <v>1</v>
          </cell>
          <cell r="BI1066">
            <v>0</v>
          </cell>
          <cell r="BJ1066">
            <v>0</v>
          </cell>
          <cell r="BK1066">
            <v>0</v>
          </cell>
          <cell r="BL1066">
            <v>1</v>
          </cell>
          <cell r="BM1066">
            <v>0</v>
          </cell>
          <cell r="BN1066">
            <v>0</v>
          </cell>
          <cell r="BO1066">
            <v>0</v>
          </cell>
          <cell r="BP1066">
            <v>3</v>
          </cell>
          <cell r="BQ1066">
            <v>0</v>
          </cell>
          <cell r="BR1066">
            <v>0</v>
          </cell>
          <cell r="BS1066">
            <v>6</v>
          </cell>
          <cell r="BT1066">
            <v>0</v>
          </cell>
          <cell r="BU1066">
            <v>0</v>
          </cell>
        </row>
        <row r="1067">
          <cell r="A1067">
            <v>55</v>
          </cell>
          <cell r="B1067">
            <v>55</v>
          </cell>
          <cell r="D1067">
            <v>0</v>
          </cell>
          <cell r="F1067">
            <v>0</v>
          </cell>
          <cell r="G1067">
            <v>1</v>
          </cell>
          <cell r="I1067">
            <v>1</v>
          </cell>
          <cell r="J1067">
            <v>0</v>
          </cell>
          <cell r="K1067">
            <v>4</v>
          </cell>
          <cell r="L1067">
            <v>4</v>
          </cell>
          <cell r="M1067">
            <v>4</v>
          </cell>
          <cell r="O1067">
            <v>1</v>
          </cell>
          <cell r="P1067">
            <v>0</v>
          </cell>
          <cell r="Q1067">
            <v>0</v>
          </cell>
          <cell r="R1067">
            <v>0</v>
          </cell>
          <cell r="S1067">
            <v>0</v>
          </cell>
          <cell r="T1067">
            <v>4</v>
          </cell>
          <cell r="V1067">
            <v>0</v>
          </cell>
          <cell r="W1067">
            <v>30</v>
          </cell>
          <cell r="X1067">
            <v>3</v>
          </cell>
          <cell r="Y1067">
            <v>2</v>
          </cell>
          <cell r="AA1067">
            <v>1</v>
          </cell>
          <cell r="AB1067">
            <v>0</v>
          </cell>
          <cell r="AC1067">
            <v>0</v>
          </cell>
          <cell r="AD1067">
            <v>0</v>
          </cell>
          <cell r="AE1067">
            <v>0</v>
          </cell>
          <cell r="AF1067">
            <v>0</v>
          </cell>
          <cell r="AG1067">
            <v>0</v>
          </cell>
          <cell r="AH1067">
            <v>0</v>
          </cell>
          <cell r="AI1067">
            <v>3</v>
          </cell>
          <cell r="AK1067">
            <v>0</v>
          </cell>
          <cell r="AL1067">
            <v>1</v>
          </cell>
          <cell r="AN1067">
            <v>4035</v>
          </cell>
          <cell r="AO1067">
            <v>0</v>
          </cell>
          <cell r="AQ1067">
            <v>1</v>
          </cell>
          <cell r="AR1067">
            <v>16</v>
          </cell>
          <cell r="AS1067">
            <v>3</v>
          </cell>
          <cell r="AT1067">
            <v>2</v>
          </cell>
          <cell r="AU1067">
            <v>0</v>
          </cell>
          <cell r="AV1067">
            <v>4</v>
          </cell>
          <cell r="AW1067">
            <v>4</v>
          </cell>
          <cell r="AX1067">
            <v>2</v>
          </cell>
          <cell r="AY1067">
            <v>3</v>
          </cell>
          <cell r="AZ1067">
            <v>3</v>
          </cell>
          <cell r="BA1067">
            <v>3</v>
          </cell>
          <cell r="BB1067">
            <v>2</v>
          </cell>
          <cell r="BC1067">
            <v>1</v>
          </cell>
          <cell r="BD1067">
            <v>1</v>
          </cell>
          <cell r="BE1067">
            <v>2</v>
          </cell>
          <cell r="BF1067">
            <v>2</v>
          </cell>
          <cell r="BG1067">
            <v>4</v>
          </cell>
          <cell r="BH1067">
            <v>0</v>
          </cell>
          <cell r="BI1067">
            <v>1</v>
          </cell>
          <cell r="BJ1067">
            <v>0</v>
          </cell>
          <cell r="BK1067">
            <v>0</v>
          </cell>
          <cell r="BL1067">
            <v>0</v>
          </cell>
          <cell r="BM1067">
            <v>0</v>
          </cell>
          <cell r="BN1067">
            <v>0</v>
          </cell>
          <cell r="BO1067">
            <v>1</v>
          </cell>
          <cell r="BP1067">
            <v>0</v>
          </cell>
          <cell r="BQ1067">
            <v>2</v>
          </cell>
          <cell r="BR1067">
            <v>0</v>
          </cell>
          <cell r="BS1067">
            <v>0</v>
          </cell>
          <cell r="BT1067">
            <v>4</v>
          </cell>
          <cell r="BU1067">
            <v>0</v>
          </cell>
        </row>
        <row r="1068">
          <cell r="A1068">
            <v>33</v>
          </cell>
          <cell r="B1068">
            <v>33</v>
          </cell>
          <cell r="D1068">
            <v>0</v>
          </cell>
          <cell r="F1068">
            <v>0</v>
          </cell>
          <cell r="G1068">
            <v>1</v>
          </cell>
          <cell r="I1068">
            <v>1</v>
          </cell>
          <cell r="J1068">
            <v>0</v>
          </cell>
          <cell r="K1068">
            <v>4</v>
          </cell>
          <cell r="L1068">
            <v>4</v>
          </cell>
          <cell r="M1068">
            <v>4</v>
          </cell>
          <cell r="O1068">
            <v>0</v>
          </cell>
          <cell r="P1068">
            <v>0</v>
          </cell>
          <cell r="Q1068">
            <v>1</v>
          </cell>
          <cell r="R1068">
            <v>0</v>
          </cell>
          <cell r="S1068">
            <v>0</v>
          </cell>
          <cell r="T1068">
            <v>1</v>
          </cell>
          <cell r="V1068">
            <v>1</v>
          </cell>
          <cell r="W1068">
            <v>82</v>
          </cell>
          <cell r="X1068">
            <v>2</v>
          </cell>
          <cell r="Y1068">
            <v>1</v>
          </cell>
          <cell r="AA1068">
            <v>0</v>
          </cell>
          <cell r="AB1068">
            <v>0</v>
          </cell>
          <cell r="AC1068">
            <v>1</v>
          </cell>
          <cell r="AD1068">
            <v>0</v>
          </cell>
          <cell r="AE1068">
            <v>0</v>
          </cell>
          <cell r="AF1068">
            <v>0</v>
          </cell>
          <cell r="AG1068">
            <v>0</v>
          </cell>
          <cell r="AH1068">
            <v>0</v>
          </cell>
          <cell r="AI1068">
            <v>2</v>
          </cell>
          <cell r="AK1068">
            <v>0</v>
          </cell>
          <cell r="AL1068">
            <v>1</v>
          </cell>
          <cell r="AN1068">
            <v>3838</v>
          </cell>
          <cell r="AO1068">
            <v>8</v>
          </cell>
          <cell r="AQ1068">
            <v>0</v>
          </cell>
          <cell r="AR1068">
            <v>11</v>
          </cell>
          <cell r="AS1068">
            <v>3</v>
          </cell>
          <cell r="AT1068">
            <v>4</v>
          </cell>
          <cell r="AU1068">
            <v>0</v>
          </cell>
          <cell r="AV1068">
            <v>8</v>
          </cell>
          <cell r="AW1068">
            <v>8</v>
          </cell>
          <cell r="AX1068">
            <v>5</v>
          </cell>
          <cell r="AY1068">
            <v>3</v>
          </cell>
          <cell r="AZ1068">
            <v>5</v>
          </cell>
          <cell r="BA1068">
            <v>5</v>
          </cell>
          <cell r="BB1068">
            <v>4</v>
          </cell>
          <cell r="BC1068">
            <v>0</v>
          </cell>
          <cell r="BD1068">
            <v>0</v>
          </cell>
          <cell r="BE1068">
            <v>2</v>
          </cell>
          <cell r="BF1068">
            <v>2</v>
          </cell>
          <cell r="BG1068">
            <v>2</v>
          </cell>
          <cell r="BH1068">
            <v>0</v>
          </cell>
          <cell r="BI1068">
            <v>1</v>
          </cell>
          <cell r="BJ1068">
            <v>0</v>
          </cell>
          <cell r="BK1068">
            <v>0</v>
          </cell>
          <cell r="BL1068">
            <v>0</v>
          </cell>
          <cell r="BM1068">
            <v>0</v>
          </cell>
          <cell r="BN1068">
            <v>1</v>
          </cell>
          <cell r="BO1068">
            <v>0</v>
          </cell>
          <cell r="BP1068">
            <v>0</v>
          </cell>
          <cell r="BQ1068">
            <v>2</v>
          </cell>
          <cell r="BR1068">
            <v>0</v>
          </cell>
          <cell r="BS1068">
            <v>0</v>
          </cell>
          <cell r="BT1068">
            <v>8</v>
          </cell>
          <cell r="BU1068">
            <v>0</v>
          </cell>
        </row>
        <row r="1069">
          <cell r="A1069">
            <v>47</v>
          </cell>
          <cell r="B1069">
            <v>47</v>
          </cell>
          <cell r="D1069">
            <v>0</v>
          </cell>
          <cell r="F1069">
            <v>0</v>
          </cell>
          <cell r="G1069">
            <v>1</v>
          </cell>
          <cell r="I1069">
            <v>0</v>
          </cell>
          <cell r="J1069">
            <v>1</v>
          </cell>
          <cell r="K1069">
            <v>14</v>
          </cell>
          <cell r="L1069">
            <v>14</v>
          </cell>
          <cell r="M1069">
            <v>3</v>
          </cell>
          <cell r="O1069">
            <v>0</v>
          </cell>
          <cell r="P1069">
            <v>0</v>
          </cell>
          <cell r="Q1069">
            <v>1</v>
          </cell>
          <cell r="R1069">
            <v>0</v>
          </cell>
          <cell r="S1069">
            <v>0</v>
          </cell>
          <cell r="T1069">
            <v>3</v>
          </cell>
          <cell r="V1069">
            <v>1</v>
          </cell>
          <cell r="W1069">
            <v>78</v>
          </cell>
          <cell r="X1069">
            <v>3</v>
          </cell>
          <cell r="Y1069">
            <v>2</v>
          </cell>
          <cell r="AA1069">
            <v>0</v>
          </cell>
          <cell r="AB1069">
            <v>1</v>
          </cell>
          <cell r="AC1069">
            <v>0</v>
          </cell>
          <cell r="AD1069">
            <v>0</v>
          </cell>
          <cell r="AE1069">
            <v>0</v>
          </cell>
          <cell r="AF1069">
            <v>0</v>
          </cell>
          <cell r="AG1069">
            <v>0</v>
          </cell>
          <cell r="AH1069">
            <v>0</v>
          </cell>
          <cell r="AI1069">
            <v>3</v>
          </cell>
          <cell r="AK1069">
            <v>0</v>
          </cell>
          <cell r="AL1069">
            <v>1</v>
          </cell>
          <cell r="AN1069">
            <v>4591</v>
          </cell>
          <cell r="AO1069">
            <v>3</v>
          </cell>
          <cell r="AQ1069">
            <v>1</v>
          </cell>
          <cell r="AR1069">
            <v>17</v>
          </cell>
          <cell r="AS1069">
            <v>3</v>
          </cell>
          <cell r="AT1069">
            <v>3</v>
          </cell>
          <cell r="AU1069">
            <v>1</v>
          </cell>
          <cell r="AV1069">
            <v>11</v>
          </cell>
          <cell r="AW1069">
            <v>11</v>
          </cell>
          <cell r="AX1069">
            <v>4</v>
          </cell>
          <cell r="AY1069">
            <v>2</v>
          </cell>
          <cell r="AZ1069">
            <v>5</v>
          </cell>
          <cell r="BA1069">
            <v>5</v>
          </cell>
          <cell r="BB1069">
            <v>4</v>
          </cell>
          <cell r="BC1069">
            <v>1</v>
          </cell>
          <cell r="BD1069">
            <v>1</v>
          </cell>
          <cell r="BE1069">
            <v>2</v>
          </cell>
          <cell r="BF1069">
            <v>2</v>
          </cell>
          <cell r="BG1069">
            <v>4</v>
          </cell>
          <cell r="BH1069">
            <v>0</v>
          </cell>
          <cell r="BI1069">
            <v>1</v>
          </cell>
          <cell r="BJ1069">
            <v>0</v>
          </cell>
          <cell r="BK1069">
            <v>0</v>
          </cell>
          <cell r="BL1069">
            <v>0</v>
          </cell>
          <cell r="BM1069">
            <v>0</v>
          </cell>
          <cell r="BN1069">
            <v>0</v>
          </cell>
          <cell r="BO1069">
            <v>1</v>
          </cell>
          <cell r="BP1069">
            <v>0</v>
          </cell>
          <cell r="BQ1069">
            <v>0</v>
          </cell>
          <cell r="BR1069">
            <v>2</v>
          </cell>
          <cell r="BS1069">
            <v>0</v>
          </cell>
          <cell r="BT1069">
            <v>0</v>
          </cell>
          <cell r="BU1069">
            <v>11</v>
          </cell>
        </row>
        <row r="1070">
          <cell r="A1070">
            <v>28</v>
          </cell>
          <cell r="B1070">
            <v>28</v>
          </cell>
          <cell r="D1070">
            <v>1</v>
          </cell>
          <cell r="F1070">
            <v>1</v>
          </cell>
          <cell r="G1070">
            <v>0</v>
          </cell>
          <cell r="I1070">
            <v>1</v>
          </cell>
          <cell r="J1070">
            <v>0</v>
          </cell>
          <cell r="K1070">
            <v>2</v>
          </cell>
          <cell r="L1070">
            <v>2</v>
          </cell>
          <cell r="M1070">
            <v>2</v>
          </cell>
          <cell r="O1070">
            <v>0</v>
          </cell>
          <cell r="P1070">
            <v>0</v>
          </cell>
          <cell r="Q1070">
            <v>1</v>
          </cell>
          <cell r="R1070">
            <v>0</v>
          </cell>
          <cell r="S1070">
            <v>0</v>
          </cell>
          <cell r="T1070">
            <v>3</v>
          </cell>
          <cell r="V1070">
            <v>0</v>
          </cell>
          <cell r="W1070">
            <v>38</v>
          </cell>
          <cell r="X1070">
            <v>2</v>
          </cell>
          <cell r="Y1070">
            <v>1</v>
          </cell>
          <cell r="AA1070">
            <v>0</v>
          </cell>
          <cell r="AB1070">
            <v>0</v>
          </cell>
          <cell r="AC1070">
            <v>1</v>
          </cell>
          <cell r="AD1070">
            <v>0</v>
          </cell>
          <cell r="AE1070">
            <v>0</v>
          </cell>
          <cell r="AF1070">
            <v>0</v>
          </cell>
          <cell r="AG1070">
            <v>0</v>
          </cell>
          <cell r="AH1070">
            <v>0</v>
          </cell>
          <cell r="AI1070">
            <v>1</v>
          </cell>
          <cell r="AK1070">
            <v>1</v>
          </cell>
          <cell r="AL1070">
            <v>0</v>
          </cell>
          <cell r="AN1070">
            <v>2561</v>
          </cell>
          <cell r="AO1070">
            <v>7</v>
          </cell>
          <cell r="AQ1070">
            <v>0</v>
          </cell>
          <cell r="AR1070">
            <v>11</v>
          </cell>
          <cell r="AS1070">
            <v>3</v>
          </cell>
          <cell r="AT1070">
            <v>3</v>
          </cell>
          <cell r="AU1070">
            <v>0</v>
          </cell>
          <cell r="AV1070">
            <v>8</v>
          </cell>
          <cell r="AW1070">
            <v>8</v>
          </cell>
          <cell r="AX1070">
            <v>2</v>
          </cell>
          <cell r="AY1070">
            <v>2</v>
          </cell>
          <cell r="AZ1070">
            <v>0</v>
          </cell>
          <cell r="BA1070">
            <v>0</v>
          </cell>
          <cell r="BB1070">
            <v>0</v>
          </cell>
          <cell r="BC1070">
            <v>0</v>
          </cell>
          <cell r="BD1070">
            <v>0</v>
          </cell>
          <cell r="BE1070">
            <v>0</v>
          </cell>
          <cell r="BF1070">
            <v>0</v>
          </cell>
          <cell r="BG1070">
            <v>0</v>
          </cell>
          <cell r="BH1070">
            <v>0</v>
          </cell>
          <cell r="BI1070">
            <v>0</v>
          </cell>
          <cell r="BJ1070">
            <v>1</v>
          </cell>
          <cell r="BK1070">
            <v>0</v>
          </cell>
          <cell r="BL1070">
            <v>1</v>
          </cell>
          <cell r="BM1070">
            <v>0</v>
          </cell>
          <cell r="BN1070">
            <v>0</v>
          </cell>
          <cell r="BO1070">
            <v>0</v>
          </cell>
          <cell r="BP1070">
            <v>0</v>
          </cell>
          <cell r="BQ1070">
            <v>0</v>
          </cell>
          <cell r="BR1070">
            <v>0</v>
          </cell>
          <cell r="BS1070">
            <v>0</v>
          </cell>
          <cell r="BT1070">
            <v>8</v>
          </cell>
          <cell r="BU1070">
            <v>0</v>
          </cell>
        </row>
        <row r="1071">
          <cell r="A1071">
            <v>28</v>
          </cell>
          <cell r="B1071">
            <v>28</v>
          </cell>
          <cell r="D1071">
            <v>0</v>
          </cell>
          <cell r="F1071">
            <v>0</v>
          </cell>
          <cell r="G1071">
            <v>1</v>
          </cell>
          <cell r="I1071">
            <v>1</v>
          </cell>
          <cell r="J1071">
            <v>0</v>
          </cell>
          <cell r="K1071">
            <v>1</v>
          </cell>
          <cell r="L1071">
            <v>1</v>
          </cell>
          <cell r="M1071">
            <v>3</v>
          </cell>
          <cell r="O1071">
            <v>1</v>
          </cell>
          <cell r="P1071">
            <v>0</v>
          </cell>
          <cell r="Q1071">
            <v>0</v>
          </cell>
          <cell r="R1071">
            <v>0</v>
          </cell>
          <cell r="S1071">
            <v>0</v>
          </cell>
          <cell r="T1071">
            <v>1</v>
          </cell>
          <cell r="V1071">
            <v>0</v>
          </cell>
          <cell r="W1071">
            <v>72</v>
          </cell>
          <cell r="X1071">
            <v>2</v>
          </cell>
          <cell r="Y1071">
            <v>1</v>
          </cell>
          <cell r="AA1071">
            <v>0</v>
          </cell>
          <cell r="AB1071">
            <v>0</v>
          </cell>
          <cell r="AC1071">
            <v>0</v>
          </cell>
          <cell r="AD1071">
            <v>0</v>
          </cell>
          <cell r="AE1071">
            <v>0</v>
          </cell>
          <cell r="AF1071">
            <v>0</v>
          </cell>
          <cell r="AG1071">
            <v>0</v>
          </cell>
          <cell r="AH1071">
            <v>1</v>
          </cell>
          <cell r="AI1071">
            <v>3</v>
          </cell>
          <cell r="AK1071">
            <v>0</v>
          </cell>
          <cell r="AL1071">
            <v>0</v>
          </cell>
          <cell r="AN1071">
            <v>1563</v>
          </cell>
          <cell r="AO1071">
            <v>1</v>
          </cell>
          <cell r="AQ1071">
            <v>0</v>
          </cell>
          <cell r="AR1071">
            <v>14</v>
          </cell>
          <cell r="AS1071">
            <v>3</v>
          </cell>
          <cell r="AT1071">
            <v>4</v>
          </cell>
          <cell r="AU1071">
            <v>1</v>
          </cell>
          <cell r="AV1071">
            <v>1</v>
          </cell>
          <cell r="AW1071">
            <v>1</v>
          </cell>
          <cell r="AX1071">
            <v>2</v>
          </cell>
          <cell r="AY1071">
            <v>1</v>
          </cell>
          <cell r="AZ1071">
            <v>1</v>
          </cell>
          <cell r="BA1071">
            <v>1</v>
          </cell>
          <cell r="BB1071">
            <v>0</v>
          </cell>
          <cell r="BC1071">
            <v>0</v>
          </cell>
          <cell r="BD1071">
            <v>0</v>
          </cell>
          <cell r="BE1071">
            <v>0</v>
          </cell>
          <cell r="BF1071">
            <v>0</v>
          </cell>
          <cell r="BG1071">
            <v>0</v>
          </cell>
          <cell r="BH1071">
            <v>1</v>
          </cell>
          <cell r="BI1071">
            <v>0</v>
          </cell>
          <cell r="BJ1071">
            <v>0</v>
          </cell>
          <cell r="BK1071">
            <v>0</v>
          </cell>
          <cell r="BL1071">
            <v>1</v>
          </cell>
          <cell r="BM1071">
            <v>0</v>
          </cell>
          <cell r="BN1071">
            <v>0</v>
          </cell>
          <cell r="BO1071">
            <v>0</v>
          </cell>
          <cell r="BP1071">
            <v>0</v>
          </cell>
          <cell r="BQ1071">
            <v>0</v>
          </cell>
          <cell r="BR1071">
            <v>0</v>
          </cell>
          <cell r="BS1071">
            <v>0</v>
          </cell>
          <cell r="BT1071">
            <v>1</v>
          </cell>
          <cell r="BU1071">
            <v>0</v>
          </cell>
        </row>
        <row r="1072">
          <cell r="A1072">
            <v>28</v>
          </cell>
          <cell r="B1072">
            <v>28</v>
          </cell>
          <cell r="D1072">
            <v>0</v>
          </cell>
          <cell r="F1072">
            <v>1</v>
          </cell>
          <cell r="G1072">
            <v>0</v>
          </cell>
          <cell r="I1072">
            <v>0</v>
          </cell>
          <cell r="J1072">
            <v>1</v>
          </cell>
          <cell r="K1072">
            <v>7</v>
          </cell>
          <cell r="L1072">
            <v>7</v>
          </cell>
          <cell r="M1072">
            <v>3</v>
          </cell>
          <cell r="O1072">
            <v>1</v>
          </cell>
          <cell r="P1072">
            <v>0</v>
          </cell>
          <cell r="Q1072">
            <v>0</v>
          </cell>
          <cell r="R1072">
            <v>0</v>
          </cell>
          <cell r="S1072">
            <v>0</v>
          </cell>
          <cell r="T1072">
            <v>3</v>
          </cell>
          <cell r="V1072">
            <v>0</v>
          </cell>
          <cell r="W1072">
            <v>55</v>
          </cell>
          <cell r="X1072">
            <v>3</v>
          </cell>
          <cell r="Y1072">
            <v>2</v>
          </cell>
          <cell r="AA1072">
            <v>0</v>
          </cell>
          <cell r="AB1072">
            <v>1</v>
          </cell>
          <cell r="AC1072">
            <v>0</v>
          </cell>
          <cell r="AD1072">
            <v>0</v>
          </cell>
          <cell r="AE1072">
            <v>0</v>
          </cell>
          <cell r="AF1072">
            <v>0</v>
          </cell>
          <cell r="AG1072">
            <v>0</v>
          </cell>
          <cell r="AH1072">
            <v>0</v>
          </cell>
          <cell r="AI1072">
            <v>1</v>
          </cell>
          <cell r="AK1072">
            <v>1</v>
          </cell>
          <cell r="AL1072">
            <v>0</v>
          </cell>
          <cell r="AN1072">
            <v>4898</v>
          </cell>
          <cell r="AO1072">
            <v>0</v>
          </cell>
          <cell r="AQ1072">
            <v>0</v>
          </cell>
          <cell r="AR1072">
            <v>14</v>
          </cell>
          <cell r="AS1072">
            <v>3</v>
          </cell>
          <cell r="AT1072">
            <v>4</v>
          </cell>
          <cell r="AU1072">
            <v>0</v>
          </cell>
          <cell r="AV1072">
            <v>5</v>
          </cell>
          <cell r="AW1072">
            <v>5</v>
          </cell>
          <cell r="AX1072">
            <v>5</v>
          </cell>
          <cell r="AY1072">
            <v>3</v>
          </cell>
          <cell r="AZ1072">
            <v>4</v>
          </cell>
          <cell r="BA1072">
            <v>4</v>
          </cell>
          <cell r="BB1072">
            <v>2</v>
          </cell>
          <cell r="BC1072">
            <v>1</v>
          </cell>
          <cell r="BD1072">
            <v>1</v>
          </cell>
          <cell r="BE1072">
            <v>3</v>
          </cell>
          <cell r="BF1072">
            <v>3</v>
          </cell>
          <cell r="BG1072">
            <v>6</v>
          </cell>
          <cell r="BH1072">
            <v>0</v>
          </cell>
          <cell r="BI1072">
            <v>0</v>
          </cell>
          <cell r="BJ1072">
            <v>1</v>
          </cell>
          <cell r="BK1072">
            <v>0</v>
          </cell>
          <cell r="BL1072">
            <v>1</v>
          </cell>
          <cell r="BM1072">
            <v>0</v>
          </cell>
          <cell r="BN1072">
            <v>0</v>
          </cell>
          <cell r="BO1072">
            <v>0</v>
          </cell>
          <cell r="BP1072">
            <v>0</v>
          </cell>
          <cell r="BQ1072">
            <v>0</v>
          </cell>
          <cell r="BR1072">
            <v>3</v>
          </cell>
          <cell r="BS1072">
            <v>0</v>
          </cell>
          <cell r="BT1072">
            <v>0</v>
          </cell>
          <cell r="BU1072">
            <v>5</v>
          </cell>
        </row>
        <row r="1073">
          <cell r="A1073">
            <v>49</v>
          </cell>
          <cell r="B1073">
            <v>49</v>
          </cell>
          <cell r="D1073">
            <v>0</v>
          </cell>
          <cell r="F1073">
            <v>0</v>
          </cell>
          <cell r="G1073">
            <v>1</v>
          </cell>
          <cell r="I1073">
            <v>1</v>
          </cell>
          <cell r="J1073">
            <v>0</v>
          </cell>
          <cell r="K1073">
            <v>3</v>
          </cell>
          <cell r="L1073">
            <v>3</v>
          </cell>
          <cell r="M1073">
            <v>2</v>
          </cell>
          <cell r="O1073">
            <v>0</v>
          </cell>
          <cell r="P1073">
            <v>0</v>
          </cell>
          <cell r="Q1073">
            <v>1</v>
          </cell>
          <cell r="R1073">
            <v>0</v>
          </cell>
          <cell r="S1073">
            <v>0</v>
          </cell>
          <cell r="T1073">
            <v>3</v>
          </cell>
          <cell r="V1073">
            <v>1</v>
          </cell>
          <cell r="W1073">
            <v>43</v>
          </cell>
          <cell r="X1073">
            <v>2</v>
          </cell>
          <cell r="Y1073">
            <v>2</v>
          </cell>
          <cell r="AA1073">
            <v>0</v>
          </cell>
          <cell r="AB1073">
            <v>0</v>
          </cell>
          <cell r="AC1073">
            <v>1</v>
          </cell>
          <cell r="AD1073">
            <v>0</v>
          </cell>
          <cell r="AE1073">
            <v>0</v>
          </cell>
          <cell r="AF1073">
            <v>0</v>
          </cell>
          <cell r="AG1073">
            <v>0</v>
          </cell>
          <cell r="AH1073">
            <v>0</v>
          </cell>
          <cell r="AI1073">
            <v>1</v>
          </cell>
          <cell r="AK1073">
            <v>0</v>
          </cell>
          <cell r="AL1073">
            <v>1</v>
          </cell>
          <cell r="AN1073">
            <v>4789</v>
          </cell>
          <cell r="AO1073">
            <v>4</v>
          </cell>
          <cell r="AQ1073">
            <v>0</v>
          </cell>
          <cell r="AR1073">
            <v>25</v>
          </cell>
          <cell r="AS1073">
            <v>4</v>
          </cell>
          <cell r="AT1073">
            <v>1</v>
          </cell>
          <cell r="AU1073">
            <v>1</v>
          </cell>
          <cell r="AV1073">
            <v>10</v>
          </cell>
          <cell r="AW1073">
            <v>10</v>
          </cell>
          <cell r="AX1073">
            <v>3</v>
          </cell>
          <cell r="AY1073">
            <v>3</v>
          </cell>
          <cell r="AZ1073">
            <v>3</v>
          </cell>
          <cell r="BA1073">
            <v>3</v>
          </cell>
          <cell r="BB1073">
            <v>2</v>
          </cell>
          <cell r="BC1073">
            <v>1</v>
          </cell>
          <cell r="BD1073">
            <v>1</v>
          </cell>
          <cell r="BE1073">
            <v>2</v>
          </cell>
          <cell r="BF1073">
            <v>2</v>
          </cell>
          <cell r="BG1073">
            <v>4</v>
          </cell>
          <cell r="BH1073">
            <v>0</v>
          </cell>
          <cell r="BI1073">
            <v>1</v>
          </cell>
          <cell r="BJ1073">
            <v>0</v>
          </cell>
          <cell r="BK1073">
            <v>0</v>
          </cell>
          <cell r="BL1073">
            <v>0</v>
          </cell>
          <cell r="BM1073">
            <v>0</v>
          </cell>
          <cell r="BN1073">
            <v>1</v>
          </cell>
          <cell r="BO1073">
            <v>0</v>
          </cell>
          <cell r="BP1073">
            <v>0</v>
          </cell>
          <cell r="BQ1073">
            <v>2</v>
          </cell>
          <cell r="BR1073">
            <v>0</v>
          </cell>
          <cell r="BS1073">
            <v>0</v>
          </cell>
          <cell r="BT1073">
            <v>10</v>
          </cell>
          <cell r="BU1073">
            <v>0</v>
          </cell>
        </row>
        <row r="1074">
          <cell r="A1074">
            <v>29</v>
          </cell>
          <cell r="B1074">
            <v>29</v>
          </cell>
          <cell r="D1074">
            <v>0</v>
          </cell>
          <cell r="F1074">
            <v>1</v>
          </cell>
          <cell r="G1074">
            <v>0</v>
          </cell>
          <cell r="I1074">
            <v>1</v>
          </cell>
          <cell r="J1074">
            <v>0</v>
          </cell>
          <cell r="K1074">
            <v>2</v>
          </cell>
          <cell r="L1074">
            <v>2</v>
          </cell>
          <cell r="M1074">
            <v>1</v>
          </cell>
          <cell r="O1074">
            <v>1</v>
          </cell>
          <cell r="P1074">
            <v>0</v>
          </cell>
          <cell r="Q1074">
            <v>0</v>
          </cell>
          <cell r="R1074">
            <v>0</v>
          </cell>
          <cell r="S1074">
            <v>0</v>
          </cell>
          <cell r="T1074">
            <v>4</v>
          </cell>
          <cell r="V1074">
            <v>1</v>
          </cell>
          <cell r="W1074">
            <v>97</v>
          </cell>
          <cell r="X1074">
            <v>3</v>
          </cell>
          <cell r="Y1074">
            <v>1</v>
          </cell>
          <cell r="AA1074">
            <v>0</v>
          </cell>
          <cell r="AB1074">
            <v>0</v>
          </cell>
          <cell r="AC1074">
            <v>1</v>
          </cell>
          <cell r="AD1074">
            <v>0</v>
          </cell>
          <cell r="AE1074">
            <v>0</v>
          </cell>
          <cell r="AF1074">
            <v>0</v>
          </cell>
          <cell r="AG1074">
            <v>0</v>
          </cell>
          <cell r="AH1074">
            <v>0</v>
          </cell>
          <cell r="AI1074">
            <v>2</v>
          </cell>
          <cell r="AK1074">
            <v>0</v>
          </cell>
          <cell r="AL1074">
            <v>1</v>
          </cell>
          <cell r="AN1074">
            <v>3180</v>
          </cell>
          <cell r="AO1074">
            <v>0</v>
          </cell>
          <cell r="AQ1074">
            <v>0</v>
          </cell>
          <cell r="AR1074">
            <v>13</v>
          </cell>
          <cell r="AS1074">
            <v>3</v>
          </cell>
          <cell r="AT1074">
            <v>3</v>
          </cell>
          <cell r="AU1074">
            <v>3</v>
          </cell>
          <cell r="AV1074">
            <v>4</v>
          </cell>
          <cell r="AW1074">
            <v>4</v>
          </cell>
          <cell r="AX1074">
            <v>3</v>
          </cell>
          <cell r="AY1074">
            <v>3</v>
          </cell>
          <cell r="AZ1074">
            <v>3</v>
          </cell>
          <cell r="BA1074">
            <v>3</v>
          </cell>
          <cell r="BB1074">
            <v>2</v>
          </cell>
          <cell r="BC1074">
            <v>0</v>
          </cell>
          <cell r="BD1074">
            <v>0</v>
          </cell>
          <cell r="BE1074">
            <v>2</v>
          </cell>
          <cell r="BF1074">
            <v>2</v>
          </cell>
          <cell r="BG1074">
            <v>2</v>
          </cell>
          <cell r="BH1074">
            <v>0</v>
          </cell>
          <cell r="BI1074">
            <v>0</v>
          </cell>
          <cell r="BJ1074">
            <v>0</v>
          </cell>
          <cell r="BK1074">
            <v>1</v>
          </cell>
          <cell r="BL1074">
            <v>0</v>
          </cell>
          <cell r="BM1074">
            <v>0</v>
          </cell>
          <cell r="BN1074">
            <v>1</v>
          </cell>
          <cell r="BO1074">
            <v>0</v>
          </cell>
          <cell r="BP1074">
            <v>0</v>
          </cell>
          <cell r="BQ1074">
            <v>2</v>
          </cell>
          <cell r="BR1074">
            <v>0</v>
          </cell>
          <cell r="BS1074">
            <v>0</v>
          </cell>
          <cell r="BT1074">
            <v>4</v>
          </cell>
          <cell r="BU1074">
            <v>0</v>
          </cell>
        </row>
        <row r="1075">
          <cell r="A1075">
            <v>28</v>
          </cell>
          <cell r="B1075">
            <v>28</v>
          </cell>
          <cell r="D1075">
            <v>0</v>
          </cell>
          <cell r="F1075">
            <v>0</v>
          </cell>
          <cell r="G1075">
            <v>1</v>
          </cell>
          <cell r="I1075">
            <v>1</v>
          </cell>
          <cell r="J1075">
            <v>0</v>
          </cell>
          <cell r="K1075">
            <v>29</v>
          </cell>
          <cell r="L1075">
            <v>29</v>
          </cell>
          <cell r="M1075">
            <v>1</v>
          </cell>
          <cell r="O1075">
            <v>1</v>
          </cell>
          <cell r="P1075">
            <v>0</v>
          </cell>
          <cell r="Q1075">
            <v>0</v>
          </cell>
          <cell r="R1075">
            <v>0</v>
          </cell>
          <cell r="S1075">
            <v>0</v>
          </cell>
          <cell r="T1075">
            <v>3</v>
          </cell>
          <cell r="V1075">
            <v>0</v>
          </cell>
          <cell r="W1075">
            <v>96</v>
          </cell>
          <cell r="X1075">
            <v>1</v>
          </cell>
          <cell r="Y1075">
            <v>2</v>
          </cell>
          <cell r="AA1075">
            <v>0</v>
          </cell>
          <cell r="AB1075">
            <v>0</v>
          </cell>
          <cell r="AC1075">
            <v>0</v>
          </cell>
          <cell r="AD1075">
            <v>0</v>
          </cell>
          <cell r="AE1075">
            <v>1</v>
          </cell>
          <cell r="AF1075">
            <v>1</v>
          </cell>
          <cell r="AG1075">
            <v>0</v>
          </cell>
          <cell r="AH1075">
            <v>0</v>
          </cell>
          <cell r="AI1075">
            <v>2</v>
          </cell>
          <cell r="AK1075">
            <v>0</v>
          </cell>
          <cell r="AL1075">
            <v>1</v>
          </cell>
          <cell r="AN1075">
            <v>6549</v>
          </cell>
          <cell r="AO1075">
            <v>1</v>
          </cell>
          <cell r="AQ1075">
            <v>0</v>
          </cell>
          <cell r="AR1075">
            <v>14</v>
          </cell>
          <cell r="AS1075">
            <v>3</v>
          </cell>
          <cell r="AT1075">
            <v>2</v>
          </cell>
          <cell r="AU1075">
            <v>2</v>
          </cell>
          <cell r="AV1075">
            <v>8</v>
          </cell>
          <cell r="AW1075">
            <v>8</v>
          </cell>
          <cell r="AX1075">
            <v>2</v>
          </cell>
          <cell r="AY1075">
            <v>2</v>
          </cell>
          <cell r="AZ1075">
            <v>8</v>
          </cell>
          <cell r="BA1075">
            <v>8</v>
          </cell>
          <cell r="BB1075">
            <v>6</v>
          </cell>
          <cell r="BC1075">
            <v>1</v>
          </cell>
          <cell r="BD1075">
            <v>1</v>
          </cell>
          <cell r="BE1075">
            <v>7</v>
          </cell>
          <cell r="BF1075">
            <v>7</v>
          </cell>
          <cell r="BG1075">
            <v>14</v>
          </cell>
          <cell r="BH1075">
            <v>0</v>
          </cell>
          <cell r="BI1075">
            <v>1</v>
          </cell>
          <cell r="BJ1075">
            <v>0</v>
          </cell>
          <cell r="BK1075">
            <v>0</v>
          </cell>
          <cell r="BL1075">
            <v>0</v>
          </cell>
          <cell r="BM1075">
            <v>0</v>
          </cell>
          <cell r="BN1075">
            <v>1</v>
          </cell>
          <cell r="BO1075">
            <v>0</v>
          </cell>
          <cell r="BP1075">
            <v>0</v>
          </cell>
          <cell r="BQ1075">
            <v>7</v>
          </cell>
          <cell r="BR1075">
            <v>0</v>
          </cell>
          <cell r="BS1075">
            <v>0</v>
          </cell>
          <cell r="BT1075">
            <v>8</v>
          </cell>
          <cell r="BU1075">
            <v>0</v>
          </cell>
        </row>
        <row r="1076">
          <cell r="A1076">
            <v>33</v>
          </cell>
          <cell r="B1076">
            <v>33</v>
          </cell>
          <cell r="D1076">
            <v>0</v>
          </cell>
          <cell r="F1076">
            <v>0</v>
          </cell>
          <cell r="G1076">
            <v>1</v>
          </cell>
          <cell r="I1076">
            <v>1</v>
          </cell>
          <cell r="J1076">
            <v>0</v>
          </cell>
          <cell r="K1076">
            <v>8</v>
          </cell>
          <cell r="L1076">
            <v>8</v>
          </cell>
          <cell r="M1076">
            <v>5</v>
          </cell>
          <cell r="O1076">
            <v>1</v>
          </cell>
          <cell r="P1076">
            <v>0</v>
          </cell>
          <cell r="Q1076">
            <v>0</v>
          </cell>
          <cell r="R1076">
            <v>0</v>
          </cell>
          <cell r="S1076">
            <v>0</v>
          </cell>
          <cell r="T1076">
            <v>4</v>
          </cell>
          <cell r="V1076">
            <v>0</v>
          </cell>
          <cell r="W1076">
            <v>69</v>
          </cell>
          <cell r="X1076">
            <v>3</v>
          </cell>
          <cell r="Y1076">
            <v>2</v>
          </cell>
          <cell r="AA1076">
            <v>1</v>
          </cell>
          <cell r="AB1076">
            <v>0</v>
          </cell>
          <cell r="AC1076">
            <v>0</v>
          </cell>
          <cell r="AD1076">
            <v>0</v>
          </cell>
          <cell r="AE1076">
            <v>0</v>
          </cell>
          <cell r="AF1076">
            <v>0</v>
          </cell>
          <cell r="AG1076">
            <v>0</v>
          </cell>
          <cell r="AH1076">
            <v>0</v>
          </cell>
          <cell r="AI1076">
            <v>3</v>
          </cell>
          <cell r="AK1076">
            <v>1</v>
          </cell>
          <cell r="AL1076">
            <v>0</v>
          </cell>
          <cell r="AN1076">
            <v>6388</v>
          </cell>
          <cell r="AO1076">
            <v>2</v>
          </cell>
          <cell r="AQ1076">
            <v>1</v>
          </cell>
          <cell r="AR1076">
            <v>17</v>
          </cell>
          <cell r="AS1076">
            <v>3</v>
          </cell>
          <cell r="AT1076">
            <v>1</v>
          </cell>
          <cell r="AU1076">
            <v>0</v>
          </cell>
          <cell r="AV1076">
            <v>14</v>
          </cell>
          <cell r="AW1076">
            <v>14</v>
          </cell>
          <cell r="AX1076">
            <v>6</v>
          </cell>
          <cell r="AY1076">
            <v>3</v>
          </cell>
          <cell r="AZ1076">
            <v>0</v>
          </cell>
          <cell r="BA1076">
            <v>0</v>
          </cell>
          <cell r="BB1076">
            <v>0</v>
          </cell>
          <cell r="BC1076">
            <v>0</v>
          </cell>
          <cell r="BD1076">
            <v>0</v>
          </cell>
          <cell r="BE1076">
            <v>0</v>
          </cell>
          <cell r="BF1076">
            <v>0</v>
          </cell>
          <cell r="BG1076">
            <v>0</v>
          </cell>
          <cell r="BH1076">
            <v>1</v>
          </cell>
          <cell r="BI1076">
            <v>0</v>
          </cell>
          <cell r="BJ1076">
            <v>0</v>
          </cell>
          <cell r="BK1076">
            <v>0</v>
          </cell>
          <cell r="BL1076">
            <v>0</v>
          </cell>
          <cell r="BM1076">
            <v>1</v>
          </cell>
          <cell r="BN1076">
            <v>0</v>
          </cell>
          <cell r="BO1076">
            <v>0</v>
          </cell>
          <cell r="BP1076">
            <v>0</v>
          </cell>
          <cell r="BQ1076">
            <v>0</v>
          </cell>
          <cell r="BR1076">
            <v>0</v>
          </cell>
          <cell r="BS1076">
            <v>0</v>
          </cell>
          <cell r="BT1076">
            <v>14</v>
          </cell>
          <cell r="BU1076">
            <v>0</v>
          </cell>
        </row>
        <row r="1077">
          <cell r="A1077">
            <v>32</v>
          </cell>
          <cell r="B1077">
            <v>32</v>
          </cell>
          <cell r="D1077">
            <v>0</v>
          </cell>
          <cell r="F1077">
            <v>0</v>
          </cell>
          <cell r="G1077">
            <v>1</v>
          </cell>
          <cell r="I1077">
            <v>1</v>
          </cell>
          <cell r="J1077">
            <v>0</v>
          </cell>
          <cell r="K1077">
            <v>10</v>
          </cell>
          <cell r="L1077">
            <v>10</v>
          </cell>
          <cell r="M1077">
            <v>3</v>
          </cell>
          <cell r="O1077">
            <v>0</v>
          </cell>
          <cell r="P1077">
            <v>0</v>
          </cell>
          <cell r="Q1077">
            <v>1</v>
          </cell>
          <cell r="R1077">
            <v>0</v>
          </cell>
          <cell r="S1077">
            <v>0</v>
          </cell>
          <cell r="T1077">
            <v>3</v>
          </cell>
          <cell r="V1077">
            <v>0</v>
          </cell>
          <cell r="W1077">
            <v>64</v>
          </cell>
          <cell r="X1077">
            <v>3</v>
          </cell>
          <cell r="Y1077">
            <v>3</v>
          </cell>
          <cell r="AA1077">
            <v>0</v>
          </cell>
          <cell r="AB1077">
            <v>0</v>
          </cell>
          <cell r="AC1077">
            <v>0</v>
          </cell>
          <cell r="AD1077">
            <v>1</v>
          </cell>
          <cell r="AE1077">
            <v>0</v>
          </cell>
          <cell r="AF1077">
            <v>0</v>
          </cell>
          <cell r="AG1077">
            <v>0</v>
          </cell>
          <cell r="AH1077">
            <v>0</v>
          </cell>
          <cell r="AI1077">
            <v>4</v>
          </cell>
          <cell r="AK1077">
            <v>1</v>
          </cell>
          <cell r="AL1077">
            <v>0</v>
          </cell>
          <cell r="AN1077">
            <v>11244</v>
          </cell>
          <cell r="AO1077">
            <v>2</v>
          </cell>
          <cell r="AQ1077">
            <v>0</v>
          </cell>
          <cell r="AR1077">
            <v>25</v>
          </cell>
          <cell r="AS1077">
            <v>4</v>
          </cell>
          <cell r="AT1077">
            <v>2</v>
          </cell>
          <cell r="AU1077">
            <v>0</v>
          </cell>
          <cell r="AV1077">
            <v>10</v>
          </cell>
          <cell r="AW1077">
            <v>10</v>
          </cell>
          <cell r="AX1077">
            <v>5</v>
          </cell>
          <cell r="AY1077">
            <v>4</v>
          </cell>
          <cell r="AZ1077">
            <v>5</v>
          </cell>
          <cell r="BA1077">
            <v>5</v>
          </cell>
          <cell r="BB1077">
            <v>2</v>
          </cell>
          <cell r="BC1077">
            <v>0</v>
          </cell>
          <cell r="BD1077">
            <v>0</v>
          </cell>
          <cell r="BE1077">
            <v>0</v>
          </cell>
          <cell r="BF1077">
            <v>0</v>
          </cell>
          <cell r="BG1077">
            <v>0</v>
          </cell>
          <cell r="BH1077">
            <v>1</v>
          </cell>
          <cell r="BI1077">
            <v>0</v>
          </cell>
          <cell r="BJ1077">
            <v>0</v>
          </cell>
          <cell r="BK1077">
            <v>0</v>
          </cell>
          <cell r="BL1077">
            <v>1</v>
          </cell>
          <cell r="BM1077">
            <v>0</v>
          </cell>
          <cell r="BN1077">
            <v>0</v>
          </cell>
          <cell r="BO1077">
            <v>0</v>
          </cell>
          <cell r="BP1077">
            <v>0</v>
          </cell>
          <cell r="BQ1077">
            <v>0</v>
          </cell>
          <cell r="BR1077">
            <v>0</v>
          </cell>
          <cell r="BS1077">
            <v>0</v>
          </cell>
          <cell r="BT1077">
            <v>10</v>
          </cell>
          <cell r="BU1077">
            <v>0</v>
          </cell>
        </row>
        <row r="1078">
          <cell r="A1078">
            <v>54</v>
          </cell>
          <cell r="B1078">
            <v>54</v>
          </cell>
          <cell r="D1078">
            <v>0</v>
          </cell>
          <cell r="F1078">
            <v>1</v>
          </cell>
          <cell r="G1078">
            <v>0</v>
          </cell>
          <cell r="I1078">
            <v>1</v>
          </cell>
          <cell r="J1078">
            <v>0</v>
          </cell>
          <cell r="K1078">
            <v>11</v>
          </cell>
          <cell r="L1078">
            <v>11</v>
          </cell>
          <cell r="M1078">
            <v>4</v>
          </cell>
          <cell r="O1078">
            <v>0</v>
          </cell>
          <cell r="P1078">
            <v>0</v>
          </cell>
          <cell r="Q1078">
            <v>1</v>
          </cell>
          <cell r="R1078">
            <v>0</v>
          </cell>
          <cell r="S1078">
            <v>0</v>
          </cell>
          <cell r="T1078">
            <v>2</v>
          </cell>
          <cell r="V1078">
            <v>1</v>
          </cell>
          <cell r="W1078">
            <v>87</v>
          </cell>
          <cell r="X1078">
            <v>3</v>
          </cell>
          <cell r="Y1078">
            <v>4</v>
          </cell>
          <cell r="AA1078">
            <v>0</v>
          </cell>
          <cell r="AB1078">
            <v>0</v>
          </cell>
          <cell r="AC1078">
            <v>0</v>
          </cell>
          <cell r="AD1078">
            <v>1</v>
          </cell>
          <cell r="AE1078">
            <v>0</v>
          </cell>
          <cell r="AF1078">
            <v>0</v>
          </cell>
          <cell r="AG1078">
            <v>0</v>
          </cell>
          <cell r="AH1078">
            <v>0</v>
          </cell>
          <cell r="AI1078">
            <v>4</v>
          </cell>
          <cell r="AK1078">
            <v>0</v>
          </cell>
          <cell r="AL1078">
            <v>0</v>
          </cell>
          <cell r="AN1078">
            <v>16032</v>
          </cell>
          <cell r="AO1078">
            <v>3</v>
          </cell>
          <cell r="AQ1078">
            <v>0</v>
          </cell>
          <cell r="AR1078">
            <v>20</v>
          </cell>
          <cell r="AS1078">
            <v>4</v>
          </cell>
          <cell r="AT1078">
            <v>1</v>
          </cell>
          <cell r="AU1078">
            <v>1</v>
          </cell>
          <cell r="AV1078">
            <v>26</v>
          </cell>
          <cell r="AW1078">
            <v>26</v>
          </cell>
          <cell r="AX1078">
            <v>2</v>
          </cell>
          <cell r="AY1078">
            <v>3</v>
          </cell>
          <cell r="AZ1078">
            <v>14</v>
          </cell>
          <cell r="BA1078">
            <v>14</v>
          </cell>
          <cell r="BB1078">
            <v>9</v>
          </cell>
          <cell r="BC1078">
            <v>1</v>
          </cell>
          <cell r="BD1078">
            <v>1</v>
          </cell>
          <cell r="BE1078">
            <v>12</v>
          </cell>
          <cell r="BF1078">
            <v>12</v>
          </cell>
          <cell r="BG1078">
            <v>48</v>
          </cell>
          <cell r="BH1078">
            <v>0</v>
          </cell>
          <cell r="BI1078">
            <v>0</v>
          </cell>
          <cell r="BJ1078">
            <v>1</v>
          </cell>
          <cell r="BK1078">
            <v>0</v>
          </cell>
          <cell r="BL1078">
            <v>1</v>
          </cell>
          <cell r="BM1078">
            <v>0</v>
          </cell>
          <cell r="BN1078">
            <v>0</v>
          </cell>
          <cell r="BO1078">
            <v>0</v>
          </cell>
          <cell r="BP1078">
            <v>0</v>
          </cell>
          <cell r="BQ1078">
            <v>12</v>
          </cell>
          <cell r="BR1078">
            <v>0</v>
          </cell>
          <cell r="BS1078">
            <v>0</v>
          </cell>
          <cell r="BT1078">
            <v>26</v>
          </cell>
          <cell r="BU1078">
            <v>0</v>
          </cell>
        </row>
        <row r="1079">
          <cell r="A1079">
            <v>29</v>
          </cell>
          <cell r="B1079">
            <v>29</v>
          </cell>
          <cell r="D1079">
            <v>1</v>
          </cell>
          <cell r="F1079">
            <v>0</v>
          </cell>
          <cell r="G1079">
            <v>1</v>
          </cell>
          <cell r="I1079">
            <v>1</v>
          </cell>
          <cell r="J1079">
            <v>0</v>
          </cell>
          <cell r="K1079">
            <v>1</v>
          </cell>
          <cell r="L1079">
            <v>1</v>
          </cell>
          <cell r="M1079">
            <v>4</v>
          </cell>
          <cell r="O1079">
            <v>0</v>
          </cell>
          <cell r="P1079">
            <v>0</v>
          </cell>
          <cell r="Q1079">
            <v>0</v>
          </cell>
          <cell r="R1079">
            <v>0</v>
          </cell>
          <cell r="S1079">
            <v>1</v>
          </cell>
          <cell r="T1079">
            <v>1</v>
          </cell>
          <cell r="V1079">
            <v>0</v>
          </cell>
          <cell r="W1079">
            <v>100</v>
          </cell>
          <cell r="X1079">
            <v>2</v>
          </cell>
          <cell r="Y1079">
            <v>1</v>
          </cell>
          <cell r="AA1079">
            <v>0</v>
          </cell>
          <cell r="AB1079">
            <v>0</v>
          </cell>
          <cell r="AC1079">
            <v>0</v>
          </cell>
          <cell r="AD1079">
            <v>0</v>
          </cell>
          <cell r="AE1079">
            <v>0</v>
          </cell>
          <cell r="AF1079">
            <v>0</v>
          </cell>
          <cell r="AG1079">
            <v>0</v>
          </cell>
          <cell r="AH1079">
            <v>1</v>
          </cell>
          <cell r="AI1079">
            <v>1</v>
          </cell>
          <cell r="AK1079">
            <v>1</v>
          </cell>
          <cell r="AL1079">
            <v>0</v>
          </cell>
          <cell r="AN1079">
            <v>2362</v>
          </cell>
          <cell r="AO1079">
            <v>6</v>
          </cell>
          <cell r="AQ1079">
            <v>0</v>
          </cell>
          <cell r="AR1079">
            <v>13</v>
          </cell>
          <cell r="AS1079">
            <v>3</v>
          </cell>
          <cell r="AT1079">
            <v>3</v>
          </cell>
          <cell r="AU1079">
            <v>0</v>
          </cell>
          <cell r="AV1079">
            <v>11</v>
          </cell>
          <cell r="AW1079">
            <v>11</v>
          </cell>
          <cell r="AX1079">
            <v>2</v>
          </cell>
          <cell r="AY1079">
            <v>1</v>
          </cell>
          <cell r="AZ1079">
            <v>9</v>
          </cell>
          <cell r="BA1079">
            <v>9</v>
          </cell>
          <cell r="BB1079">
            <v>7</v>
          </cell>
          <cell r="BC1079">
            <v>0</v>
          </cell>
          <cell r="BD1079">
            <v>0</v>
          </cell>
          <cell r="BE1079">
            <v>7</v>
          </cell>
          <cell r="BF1079">
            <v>7</v>
          </cell>
          <cell r="BG1079">
            <v>7</v>
          </cell>
          <cell r="BH1079">
            <v>1</v>
          </cell>
          <cell r="BI1079">
            <v>0</v>
          </cell>
          <cell r="BJ1079">
            <v>0</v>
          </cell>
          <cell r="BK1079">
            <v>0</v>
          </cell>
          <cell r="BL1079">
            <v>1</v>
          </cell>
          <cell r="BM1079">
            <v>0</v>
          </cell>
          <cell r="BN1079">
            <v>0</v>
          </cell>
          <cell r="BO1079">
            <v>0</v>
          </cell>
          <cell r="BP1079">
            <v>0</v>
          </cell>
          <cell r="BQ1079">
            <v>7</v>
          </cell>
          <cell r="BR1079">
            <v>0</v>
          </cell>
          <cell r="BS1079">
            <v>0</v>
          </cell>
          <cell r="BT1079">
            <v>11</v>
          </cell>
          <cell r="BU1079">
            <v>0</v>
          </cell>
        </row>
        <row r="1080">
          <cell r="A1080">
            <v>44</v>
          </cell>
          <cell r="B1080">
            <v>44</v>
          </cell>
          <cell r="D1080">
            <v>0</v>
          </cell>
          <cell r="F1080">
            <v>0</v>
          </cell>
          <cell r="G1080">
            <v>1</v>
          </cell>
          <cell r="I1080">
            <v>1</v>
          </cell>
          <cell r="J1080">
            <v>0</v>
          </cell>
          <cell r="K1080">
            <v>28</v>
          </cell>
          <cell r="L1080">
            <v>28</v>
          </cell>
          <cell r="M1080">
            <v>3</v>
          </cell>
          <cell r="O1080">
            <v>1</v>
          </cell>
          <cell r="P1080">
            <v>0</v>
          </cell>
          <cell r="Q1080">
            <v>0</v>
          </cell>
          <cell r="R1080">
            <v>0</v>
          </cell>
          <cell r="S1080">
            <v>0</v>
          </cell>
          <cell r="T1080">
            <v>4</v>
          </cell>
          <cell r="V1080">
            <v>0</v>
          </cell>
          <cell r="W1080">
            <v>32</v>
          </cell>
          <cell r="X1080">
            <v>3</v>
          </cell>
          <cell r="Y1080">
            <v>4</v>
          </cell>
          <cell r="AA1080">
            <v>0</v>
          </cell>
          <cell r="AB1080">
            <v>0</v>
          </cell>
          <cell r="AC1080">
            <v>0</v>
          </cell>
          <cell r="AD1080">
            <v>0</v>
          </cell>
          <cell r="AE1080">
            <v>0</v>
          </cell>
          <cell r="AF1080">
            <v>0</v>
          </cell>
          <cell r="AG1080">
            <v>0</v>
          </cell>
          <cell r="AH1080">
            <v>0</v>
          </cell>
          <cell r="AI1080">
            <v>1</v>
          </cell>
          <cell r="AK1080">
            <v>0</v>
          </cell>
          <cell r="AL1080">
            <v>1</v>
          </cell>
          <cell r="AN1080">
            <v>16328</v>
          </cell>
          <cell r="AO1080">
            <v>3</v>
          </cell>
          <cell r="AQ1080">
            <v>0</v>
          </cell>
          <cell r="AR1080">
            <v>13</v>
          </cell>
          <cell r="AS1080">
            <v>3</v>
          </cell>
          <cell r="AT1080">
            <v>3</v>
          </cell>
          <cell r="AU1080">
            <v>1</v>
          </cell>
          <cell r="AV1080">
            <v>24</v>
          </cell>
          <cell r="AW1080">
            <v>24</v>
          </cell>
          <cell r="AX1080">
            <v>1</v>
          </cell>
          <cell r="AY1080">
            <v>4</v>
          </cell>
          <cell r="AZ1080">
            <v>20</v>
          </cell>
          <cell r="BA1080">
            <v>20</v>
          </cell>
          <cell r="BB1080">
            <v>6</v>
          </cell>
          <cell r="BC1080">
            <v>14</v>
          </cell>
          <cell r="BD1080">
            <v>14</v>
          </cell>
          <cell r="BE1080">
            <v>17</v>
          </cell>
          <cell r="BF1080">
            <v>14</v>
          </cell>
          <cell r="BG1080">
            <v>56</v>
          </cell>
          <cell r="BH1080">
            <v>0</v>
          </cell>
          <cell r="BI1080">
            <v>1</v>
          </cell>
          <cell r="BJ1080">
            <v>0</v>
          </cell>
          <cell r="BK1080">
            <v>0</v>
          </cell>
          <cell r="BL1080">
            <v>0</v>
          </cell>
          <cell r="BM1080">
            <v>0</v>
          </cell>
          <cell r="BN1080">
            <v>1</v>
          </cell>
          <cell r="BO1080">
            <v>0</v>
          </cell>
          <cell r="BP1080">
            <v>0</v>
          </cell>
          <cell r="BQ1080">
            <v>14</v>
          </cell>
          <cell r="BR1080">
            <v>0</v>
          </cell>
          <cell r="BS1080">
            <v>0</v>
          </cell>
          <cell r="BT1080">
            <v>24</v>
          </cell>
          <cell r="BU1080">
            <v>0</v>
          </cell>
        </row>
        <row r="1081">
          <cell r="A1081">
            <v>39</v>
          </cell>
          <cell r="B1081">
            <v>39</v>
          </cell>
          <cell r="D1081">
            <v>0</v>
          </cell>
          <cell r="F1081">
            <v>0</v>
          </cell>
          <cell r="G1081">
            <v>1</v>
          </cell>
          <cell r="I1081">
            <v>1</v>
          </cell>
          <cell r="J1081">
            <v>0</v>
          </cell>
          <cell r="K1081">
            <v>6</v>
          </cell>
          <cell r="L1081">
            <v>6</v>
          </cell>
          <cell r="M1081">
            <v>3</v>
          </cell>
          <cell r="O1081">
            <v>1</v>
          </cell>
          <cell r="P1081">
            <v>0</v>
          </cell>
          <cell r="Q1081">
            <v>0</v>
          </cell>
          <cell r="R1081">
            <v>0</v>
          </cell>
          <cell r="S1081">
            <v>0</v>
          </cell>
          <cell r="T1081">
            <v>2</v>
          </cell>
          <cell r="V1081">
            <v>1</v>
          </cell>
          <cell r="W1081">
            <v>32</v>
          </cell>
          <cell r="X1081">
            <v>3</v>
          </cell>
          <cell r="Y1081">
            <v>3</v>
          </cell>
          <cell r="AA1081">
            <v>0</v>
          </cell>
          <cell r="AB1081">
            <v>0</v>
          </cell>
          <cell r="AC1081">
            <v>0</v>
          </cell>
          <cell r="AD1081">
            <v>0</v>
          </cell>
          <cell r="AE1081">
            <v>1</v>
          </cell>
          <cell r="AF1081">
            <v>1</v>
          </cell>
          <cell r="AG1081">
            <v>0</v>
          </cell>
          <cell r="AH1081">
            <v>0</v>
          </cell>
          <cell r="AI1081">
            <v>2</v>
          </cell>
          <cell r="AK1081">
            <v>1</v>
          </cell>
          <cell r="AL1081">
            <v>0</v>
          </cell>
          <cell r="AN1081">
            <v>8376</v>
          </cell>
          <cell r="AO1081">
            <v>4</v>
          </cell>
          <cell r="AQ1081">
            <v>0</v>
          </cell>
          <cell r="AR1081">
            <v>18</v>
          </cell>
          <cell r="AS1081">
            <v>3</v>
          </cell>
          <cell r="AT1081">
            <v>4</v>
          </cell>
          <cell r="AU1081">
            <v>0</v>
          </cell>
          <cell r="AV1081">
            <v>9</v>
          </cell>
          <cell r="AW1081">
            <v>9</v>
          </cell>
          <cell r="AX1081">
            <v>3</v>
          </cell>
          <cell r="AY1081">
            <v>3</v>
          </cell>
          <cell r="AZ1081">
            <v>2</v>
          </cell>
          <cell r="BA1081">
            <v>2</v>
          </cell>
          <cell r="BB1081">
            <v>0</v>
          </cell>
          <cell r="BC1081">
            <v>2</v>
          </cell>
          <cell r="BD1081">
            <v>2</v>
          </cell>
          <cell r="BE1081">
            <v>2</v>
          </cell>
          <cell r="BF1081">
            <v>2</v>
          </cell>
          <cell r="BG1081">
            <v>6</v>
          </cell>
          <cell r="BH1081">
            <v>1</v>
          </cell>
          <cell r="BI1081">
            <v>0</v>
          </cell>
          <cell r="BJ1081">
            <v>0</v>
          </cell>
          <cell r="BK1081">
            <v>0</v>
          </cell>
          <cell r="BL1081">
            <v>1</v>
          </cell>
          <cell r="BM1081">
            <v>0</v>
          </cell>
          <cell r="BN1081">
            <v>0</v>
          </cell>
          <cell r="BO1081">
            <v>0</v>
          </cell>
          <cell r="BP1081">
            <v>0</v>
          </cell>
          <cell r="BQ1081">
            <v>2</v>
          </cell>
          <cell r="BR1081">
            <v>0</v>
          </cell>
          <cell r="BS1081">
            <v>0</v>
          </cell>
          <cell r="BT1081">
            <v>9</v>
          </cell>
          <cell r="BU1081">
            <v>0</v>
          </cell>
        </row>
        <row r="1082">
          <cell r="A1082">
            <v>46</v>
          </cell>
          <cell r="B1082">
            <v>46</v>
          </cell>
          <cell r="D1082">
            <v>0</v>
          </cell>
          <cell r="F1082">
            <v>0</v>
          </cell>
          <cell r="G1082">
            <v>1</v>
          </cell>
          <cell r="I1082">
            <v>0</v>
          </cell>
          <cell r="J1082">
            <v>1</v>
          </cell>
          <cell r="K1082">
            <v>3</v>
          </cell>
          <cell r="L1082">
            <v>3</v>
          </cell>
          <cell r="M1082">
            <v>3</v>
          </cell>
          <cell r="O1082">
            <v>1</v>
          </cell>
          <cell r="P1082">
            <v>0</v>
          </cell>
          <cell r="Q1082">
            <v>0</v>
          </cell>
          <cell r="R1082">
            <v>0</v>
          </cell>
          <cell r="S1082">
            <v>0</v>
          </cell>
          <cell r="T1082">
            <v>3</v>
          </cell>
          <cell r="V1082">
            <v>1</v>
          </cell>
          <cell r="W1082">
            <v>51</v>
          </cell>
          <cell r="X1082">
            <v>3</v>
          </cell>
          <cell r="Y1082">
            <v>4</v>
          </cell>
          <cell r="AA1082">
            <v>0</v>
          </cell>
          <cell r="AB1082">
            <v>0</v>
          </cell>
          <cell r="AC1082">
            <v>0</v>
          </cell>
          <cell r="AD1082">
            <v>1</v>
          </cell>
          <cell r="AE1082">
            <v>0</v>
          </cell>
          <cell r="AF1082">
            <v>0</v>
          </cell>
          <cell r="AG1082">
            <v>0</v>
          </cell>
          <cell r="AH1082">
            <v>0</v>
          </cell>
          <cell r="AI1082">
            <v>2</v>
          </cell>
          <cell r="AK1082">
            <v>0</v>
          </cell>
          <cell r="AL1082">
            <v>1</v>
          </cell>
          <cell r="AN1082">
            <v>16606</v>
          </cell>
          <cell r="AO1082">
            <v>8</v>
          </cell>
          <cell r="AQ1082">
            <v>0</v>
          </cell>
          <cell r="AR1082">
            <v>12</v>
          </cell>
          <cell r="AS1082">
            <v>3</v>
          </cell>
          <cell r="AT1082">
            <v>4</v>
          </cell>
          <cell r="AU1082">
            <v>1</v>
          </cell>
          <cell r="AV1082">
            <v>23</v>
          </cell>
          <cell r="AW1082">
            <v>23</v>
          </cell>
          <cell r="AX1082">
            <v>2</v>
          </cell>
          <cell r="AY1082">
            <v>4</v>
          </cell>
          <cell r="AZ1082">
            <v>13</v>
          </cell>
          <cell r="BA1082">
            <v>13</v>
          </cell>
          <cell r="BB1082">
            <v>12</v>
          </cell>
          <cell r="BC1082">
            <v>5</v>
          </cell>
          <cell r="BD1082">
            <v>5</v>
          </cell>
          <cell r="BE1082">
            <v>1</v>
          </cell>
          <cell r="BF1082">
            <v>1</v>
          </cell>
          <cell r="BG1082">
            <v>4</v>
          </cell>
          <cell r="BH1082">
            <v>0</v>
          </cell>
          <cell r="BI1082">
            <v>1</v>
          </cell>
          <cell r="BJ1082">
            <v>0</v>
          </cell>
          <cell r="BK1082">
            <v>0</v>
          </cell>
          <cell r="BL1082">
            <v>0</v>
          </cell>
          <cell r="BM1082">
            <v>0</v>
          </cell>
          <cell r="BN1082">
            <v>1</v>
          </cell>
          <cell r="BO1082">
            <v>0</v>
          </cell>
          <cell r="BP1082">
            <v>0</v>
          </cell>
          <cell r="BQ1082">
            <v>0</v>
          </cell>
          <cell r="BR1082">
            <v>1</v>
          </cell>
          <cell r="BS1082">
            <v>0</v>
          </cell>
          <cell r="BT1082">
            <v>0</v>
          </cell>
          <cell r="BU1082">
            <v>23</v>
          </cell>
        </row>
        <row r="1083">
          <cell r="A1083">
            <v>35</v>
          </cell>
          <cell r="B1083">
            <v>35</v>
          </cell>
          <cell r="D1083">
            <v>0</v>
          </cell>
          <cell r="F1083">
            <v>0</v>
          </cell>
          <cell r="G1083">
            <v>1</v>
          </cell>
          <cell r="I1083">
            <v>1</v>
          </cell>
          <cell r="J1083">
            <v>0</v>
          </cell>
          <cell r="K1083">
            <v>16</v>
          </cell>
          <cell r="L1083">
            <v>16</v>
          </cell>
          <cell r="M1083">
            <v>3</v>
          </cell>
          <cell r="O1083">
            <v>1</v>
          </cell>
          <cell r="P1083">
            <v>0</v>
          </cell>
          <cell r="Q1083">
            <v>0</v>
          </cell>
          <cell r="R1083">
            <v>0</v>
          </cell>
          <cell r="S1083">
            <v>0</v>
          </cell>
          <cell r="T1083">
            <v>4</v>
          </cell>
          <cell r="V1083">
            <v>1</v>
          </cell>
          <cell r="W1083">
            <v>91</v>
          </cell>
          <cell r="X1083">
            <v>2</v>
          </cell>
          <cell r="Y1083">
            <v>3</v>
          </cell>
          <cell r="AA1083">
            <v>1</v>
          </cell>
          <cell r="AB1083">
            <v>0</v>
          </cell>
          <cell r="AC1083">
            <v>0</v>
          </cell>
          <cell r="AD1083">
            <v>0</v>
          </cell>
          <cell r="AE1083">
            <v>0</v>
          </cell>
          <cell r="AF1083">
            <v>0</v>
          </cell>
          <cell r="AG1083">
            <v>0</v>
          </cell>
          <cell r="AH1083">
            <v>0</v>
          </cell>
          <cell r="AI1083">
            <v>2</v>
          </cell>
          <cell r="AK1083">
            <v>1</v>
          </cell>
          <cell r="AL1083">
            <v>0</v>
          </cell>
          <cell r="AN1083">
            <v>8606</v>
          </cell>
          <cell r="AO1083">
            <v>1</v>
          </cell>
          <cell r="AQ1083">
            <v>0</v>
          </cell>
          <cell r="AR1083">
            <v>19</v>
          </cell>
          <cell r="AS1083">
            <v>3</v>
          </cell>
          <cell r="AT1083">
            <v>4</v>
          </cell>
          <cell r="AU1083">
            <v>0</v>
          </cell>
          <cell r="AV1083">
            <v>11</v>
          </cell>
          <cell r="AW1083">
            <v>11</v>
          </cell>
          <cell r="AX1083">
            <v>3</v>
          </cell>
          <cell r="AY1083">
            <v>1</v>
          </cell>
          <cell r="AZ1083">
            <v>11</v>
          </cell>
          <cell r="BA1083">
            <v>11</v>
          </cell>
          <cell r="BB1083">
            <v>8</v>
          </cell>
          <cell r="BC1083">
            <v>3</v>
          </cell>
          <cell r="BD1083">
            <v>3</v>
          </cell>
          <cell r="BE1083">
            <v>3</v>
          </cell>
          <cell r="BF1083">
            <v>3</v>
          </cell>
          <cell r="BG1083">
            <v>9</v>
          </cell>
          <cell r="BH1083">
            <v>1</v>
          </cell>
          <cell r="BI1083">
            <v>0</v>
          </cell>
          <cell r="BJ1083">
            <v>0</v>
          </cell>
          <cell r="BK1083">
            <v>0</v>
          </cell>
          <cell r="BL1083">
            <v>1</v>
          </cell>
          <cell r="BM1083">
            <v>0</v>
          </cell>
          <cell r="BN1083">
            <v>0</v>
          </cell>
          <cell r="BO1083">
            <v>0</v>
          </cell>
          <cell r="BP1083">
            <v>0</v>
          </cell>
          <cell r="BQ1083">
            <v>3</v>
          </cell>
          <cell r="BR1083">
            <v>0</v>
          </cell>
          <cell r="BS1083">
            <v>0</v>
          </cell>
          <cell r="BT1083">
            <v>11</v>
          </cell>
          <cell r="BU1083">
            <v>0</v>
          </cell>
        </row>
        <row r="1084">
          <cell r="A1084">
            <v>23</v>
          </cell>
          <cell r="B1084">
            <v>23</v>
          </cell>
          <cell r="D1084">
            <v>0</v>
          </cell>
          <cell r="F1084">
            <v>0</v>
          </cell>
          <cell r="G1084">
            <v>1</v>
          </cell>
          <cell r="I1084">
            <v>1</v>
          </cell>
          <cell r="J1084">
            <v>0</v>
          </cell>
          <cell r="K1084">
            <v>20</v>
          </cell>
          <cell r="L1084">
            <v>20</v>
          </cell>
          <cell r="M1084">
            <v>1</v>
          </cell>
          <cell r="O1084">
            <v>1</v>
          </cell>
          <cell r="P1084">
            <v>0</v>
          </cell>
          <cell r="Q1084">
            <v>0</v>
          </cell>
          <cell r="R1084">
            <v>0</v>
          </cell>
          <cell r="S1084">
            <v>0</v>
          </cell>
          <cell r="T1084">
            <v>1</v>
          </cell>
          <cell r="V1084">
            <v>0</v>
          </cell>
          <cell r="W1084">
            <v>97</v>
          </cell>
          <cell r="X1084">
            <v>3</v>
          </cell>
          <cell r="Y1084">
            <v>2</v>
          </cell>
          <cell r="AA1084">
            <v>0</v>
          </cell>
          <cell r="AB1084">
            <v>0</v>
          </cell>
          <cell r="AC1084">
            <v>1</v>
          </cell>
          <cell r="AD1084">
            <v>0</v>
          </cell>
          <cell r="AE1084">
            <v>0</v>
          </cell>
          <cell r="AF1084">
            <v>0</v>
          </cell>
          <cell r="AG1084">
            <v>0</v>
          </cell>
          <cell r="AH1084">
            <v>0</v>
          </cell>
          <cell r="AI1084">
            <v>3</v>
          </cell>
          <cell r="AK1084">
            <v>1</v>
          </cell>
          <cell r="AL1084">
            <v>0</v>
          </cell>
          <cell r="AN1084">
            <v>2272</v>
          </cell>
          <cell r="AO1084">
            <v>0</v>
          </cell>
          <cell r="AQ1084">
            <v>0</v>
          </cell>
          <cell r="AR1084">
            <v>14</v>
          </cell>
          <cell r="AS1084">
            <v>3</v>
          </cell>
          <cell r="AT1084">
            <v>2</v>
          </cell>
          <cell r="AU1084">
            <v>0</v>
          </cell>
          <cell r="AV1084">
            <v>5</v>
          </cell>
          <cell r="AW1084">
            <v>5</v>
          </cell>
          <cell r="AX1084">
            <v>2</v>
          </cell>
          <cell r="AY1084">
            <v>3</v>
          </cell>
          <cell r="AZ1084">
            <v>4</v>
          </cell>
          <cell r="BA1084">
            <v>4</v>
          </cell>
          <cell r="BB1084">
            <v>3</v>
          </cell>
          <cell r="BC1084">
            <v>1</v>
          </cell>
          <cell r="BD1084">
            <v>1</v>
          </cell>
          <cell r="BE1084">
            <v>2</v>
          </cell>
          <cell r="BF1084">
            <v>2</v>
          </cell>
          <cell r="BG1084">
            <v>4</v>
          </cell>
          <cell r="BH1084">
            <v>1</v>
          </cell>
          <cell r="BI1084">
            <v>0</v>
          </cell>
          <cell r="BJ1084">
            <v>0</v>
          </cell>
          <cell r="BK1084">
            <v>0</v>
          </cell>
          <cell r="BL1084">
            <v>1</v>
          </cell>
          <cell r="BM1084">
            <v>0</v>
          </cell>
          <cell r="BN1084">
            <v>0</v>
          </cell>
          <cell r="BO1084">
            <v>0</v>
          </cell>
          <cell r="BP1084">
            <v>0</v>
          </cell>
          <cell r="BQ1084">
            <v>2</v>
          </cell>
          <cell r="BR1084">
            <v>0</v>
          </cell>
          <cell r="BS1084">
            <v>0</v>
          </cell>
          <cell r="BT1084">
            <v>5</v>
          </cell>
          <cell r="BU1084">
            <v>0</v>
          </cell>
        </row>
        <row r="1085">
          <cell r="A1085">
            <v>40</v>
          </cell>
          <cell r="B1085">
            <v>40</v>
          </cell>
          <cell r="D1085">
            <v>1</v>
          </cell>
          <cell r="F1085">
            <v>0</v>
          </cell>
          <cell r="G1085">
            <v>1</v>
          </cell>
          <cell r="I1085">
            <v>1</v>
          </cell>
          <cell r="J1085">
            <v>0</v>
          </cell>
          <cell r="K1085">
            <v>9</v>
          </cell>
          <cell r="L1085">
            <v>9</v>
          </cell>
          <cell r="M1085">
            <v>4</v>
          </cell>
          <cell r="O1085">
            <v>1</v>
          </cell>
          <cell r="P1085">
            <v>0</v>
          </cell>
          <cell r="Q1085">
            <v>0</v>
          </cell>
          <cell r="R1085">
            <v>0</v>
          </cell>
          <cell r="S1085">
            <v>0</v>
          </cell>
          <cell r="T1085">
            <v>4</v>
          </cell>
          <cell r="V1085">
            <v>0</v>
          </cell>
          <cell r="W1085">
            <v>86</v>
          </cell>
          <cell r="X1085">
            <v>3</v>
          </cell>
          <cell r="Y1085">
            <v>1</v>
          </cell>
          <cell r="AA1085">
            <v>0</v>
          </cell>
          <cell r="AB1085">
            <v>0</v>
          </cell>
          <cell r="AC1085">
            <v>1</v>
          </cell>
          <cell r="AD1085">
            <v>0</v>
          </cell>
          <cell r="AE1085">
            <v>0</v>
          </cell>
          <cell r="AF1085">
            <v>0</v>
          </cell>
          <cell r="AG1085">
            <v>0</v>
          </cell>
          <cell r="AH1085">
            <v>0</v>
          </cell>
          <cell r="AI1085">
            <v>1</v>
          </cell>
          <cell r="AK1085">
            <v>1</v>
          </cell>
          <cell r="AL1085">
            <v>0</v>
          </cell>
          <cell r="AN1085">
            <v>2018</v>
          </cell>
          <cell r="AO1085">
            <v>3</v>
          </cell>
          <cell r="AQ1085">
            <v>0</v>
          </cell>
          <cell r="AR1085">
            <v>14</v>
          </cell>
          <cell r="AS1085">
            <v>3</v>
          </cell>
          <cell r="AT1085">
            <v>2</v>
          </cell>
          <cell r="AU1085">
            <v>0</v>
          </cell>
          <cell r="AV1085">
            <v>15</v>
          </cell>
          <cell r="AW1085">
            <v>15</v>
          </cell>
          <cell r="AX1085">
            <v>3</v>
          </cell>
          <cell r="AY1085">
            <v>1</v>
          </cell>
          <cell r="AZ1085">
            <v>5</v>
          </cell>
          <cell r="BA1085">
            <v>5</v>
          </cell>
          <cell r="BB1085">
            <v>4</v>
          </cell>
          <cell r="BC1085">
            <v>1</v>
          </cell>
          <cell r="BD1085">
            <v>1</v>
          </cell>
          <cell r="BE1085">
            <v>0</v>
          </cell>
          <cell r="BF1085">
            <v>0</v>
          </cell>
          <cell r="BG1085">
            <v>0</v>
          </cell>
          <cell r="BH1085">
            <v>1</v>
          </cell>
          <cell r="BI1085">
            <v>0</v>
          </cell>
          <cell r="BJ1085">
            <v>0</v>
          </cell>
          <cell r="BK1085">
            <v>0</v>
          </cell>
          <cell r="BL1085">
            <v>1</v>
          </cell>
          <cell r="BM1085">
            <v>0</v>
          </cell>
          <cell r="BN1085">
            <v>0</v>
          </cell>
          <cell r="BO1085">
            <v>0</v>
          </cell>
          <cell r="BP1085">
            <v>0</v>
          </cell>
          <cell r="BQ1085">
            <v>0</v>
          </cell>
          <cell r="BR1085">
            <v>0</v>
          </cell>
          <cell r="BS1085">
            <v>0</v>
          </cell>
          <cell r="BT1085">
            <v>15</v>
          </cell>
          <cell r="BU1085">
            <v>0</v>
          </cell>
        </row>
        <row r="1086">
          <cell r="A1086">
            <v>34</v>
          </cell>
          <cell r="B1086">
            <v>34</v>
          </cell>
          <cell r="D1086">
            <v>0</v>
          </cell>
          <cell r="F1086">
            <v>0</v>
          </cell>
          <cell r="G1086">
            <v>1</v>
          </cell>
          <cell r="I1086">
            <v>0</v>
          </cell>
          <cell r="J1086">
            <v>1</v>
          </cell>
          <cell r="K1086">
            <v>1</v>
          </cell>
          <cell r="L1086">
            <v>1</v>
          </cell>
          <cell r="M1086">
            <v>3</v>
          </cell>
          <cell r="O1086">
            <v>0</v>
          </cell>
          <cell r="P1086">
            <v>0</v>
          </cell>
          <cell r="Q1086">
            <v>0</v>
          </cell>
          <cell r="R1086">
            <v>0</v>
          </cell>
          <cell r="S1086">
            <v>1</v>
          </cell>
          <cell r="T1086">
            <v>4</v>
          </cell>
          <cell r="V1086">
            <v>0</v>
          </cell>
          <cell r="W1086">
            <v>64</v>
          </cell>
          <cell r="X1086">
            <v>2</v>
          </cell>
          <cell r="Y1086">
            <v>3</v>
          </cell>
          <cell r="AA1086">
            <v>0</v>
          </cell>
          <cell r="AB1086">
            <v>1</v>
          </cell>
          <cell r="AC1086">
            <v>0</v>
          </cell>
          <cell r="AD1086">
            <v>0</v>
          </cell>
          <cell r="AE1086">
            <v>0</v>
          </cell>
          <cell r="AF1086">
            <v>0</v>
          </cell>
          <cell r="AG1086">
            <v>0</v>
          </cell>
          <cell r="AH1086">
            <v>0</v>
          </cell>
          <cell r="AI1086">
            <v>3</v>
          </cell>
          <cell r="AK1086">
            <v>0</v>
          </cell>
          <cell r="AL1086">
            <v>1</v>
          </cell>
          <cell r="AN1086">
            <v>7083</v>
          </cell>
          <cell r="AO1086">
            <v>1</v>
          </cell>
          <cell r="AQ1086">
            <v>1</v>
          </cell>
          <cell r="AR1086">
            <v>14</v>
          </cell>
          <cell r="AS1086">
            <v>3</v>
          </cell>
          <cell r="AT1086">
            <v>4</v>
          </cell>
          <cell r="AU1086">
            <v>0</v>
          </cell>
          <cell r="AV1086">
            <v>10</v>
          </cell>
          <cell r="AW1086">
            <v>10</v>
          </cell>
          <cell r="AX1086">
            <v>3</v>
          </cell>
          <cell r="AY1086">
            <v>3</v>
          </cell>
          <cell r="AZ1086">
            <v>10</v>
          </cell>
          <cell r="BA1086">
            <v>10</v>
          </cell>
          <cell r="BB1086">
            <v>9</v>
          </cell>
          <cell r="BC1086">
            <v>8</v>
          </cell>
          <cell r="BD1086">
            <v>8</v>
          </cell>
          <cell r="BE1086">
            <v>6</v>
          </cell>
          <cell r="BF1086">
            <v>6</v>
          </cell>
          <cell r="BG1086">
            <v>18</v>
          </cell>
          <cell r="BH1086">
            <v>0</v>
          </cell>
          <cell r="BI1086">
            <v>1</v>
          </cell>
          <cell r="BJ1086">
            <v>0</v>
          </cell>
          <cell r="BK1086">
            <v>0</v>
          </cell>
          <cell r="BL1086">
            <v>0</v>
          </cell>
          <cell r="BM1086">
            <v>0</v>
          </cell>
          <cell r="BN1086">
            <v>0</v>
          </cell>
          <cell r="BO1086">
            <v>1</v>
          </cell>
          <cell r="BP1086">
            <v>0</v>
          </cell>
          <cell r="BQ1086">
            <v>0</v>
          </cell>
          <cell r="BR1086">
            <v>6</v>
          </cell>
          <cell r="BS1086">
            <v>0</v>
          </cell>
          <cell r="BT1086">
            <v>0</v>
          </cell>
          <cell r="BU1086">
            <v>10</v>
          </cell>
        </row>
        <row r="1087">
          <cell r="A1087">
            <v>31</v>
          </cell>
          <cell r="B1087">
            <v>31</v>
          </cell>
          <cell r="D1087">
            <v>1</v>
          </cell>
          <cell r="F1087">
            <v>1</v>
          </cell>
          <cell r="G1087">
            <v>0</v>
          </cell>
          <cell r="I1087">
            <v>1</v>
          </cell>
          <cell r="J1087">
            <v>0</v>
          </cell>
          <cell r="K1087">
            <v>3</v>
          </cell>
          <cell r="L1087">
            <v>3</v>
          </cell>
          <cell r="M1087">
            <v>3</v>
          </cell>
          <cell r="O1087">
            <v>1</v>
          </cell>
          <cell r="P1087">
            <v>0</v>
          </cell>
          <cell r="Q1087">
            <v>0</v>
          </cell>
          <cell r="R1087">
            <v>0</v>
          </cell>
          <cell r="S1087">
            <v>0</v>
          </cell>
          <cell r="T1087">
            <v>4</v>
          </cell>
          <cell r="V1087">
            <v>1</v>
          </cell>
          <cell r="W1087">
            <v>33</v>
          </cell>
          <cell r="X1087">
            <v>3</v>
          </cell>
          <cell r="Y1087">
            <v>1</v>
          </cell>
          <cell r="AA1087">
            <v>0</v>
          </cell>
          <cell r="AB1087">
            <v>0</v>
          </cell>
          <cell r="AC1087">
            <v>0</v>
          </cell>
          <cell r="AD1087">
            <v>0</v>
          </cell>
          <cell r="AE1087">
            <v>0</v>
          </cell>
          <cell r="AF1087">
            <v>0</v>
          </cell>
          <cell r="AG1087">
            <v>0</v>
          </cell>
          <cell r="AH1087">
            <v>1</v>
          </cell>
          <cell r="AI1087">
            <v>3</v>
          </cell>
          <cell r="AK1087">
            <v>1</v>
          </cell>
          <cell r="AL1087">
            <v>0</v>
          </cell>
          <cell r="AN1087">
            <v>4084</v>
          </cell>
          <cell r="AO1087">
            <v>1</v>
          </cell>
          <cell r="AQ1087">
            <v>0</v>
          </cell>
          <cell r="AR1087">
            <v>12</v>
          </cell>
          <cell r="AS1087">
            <v>3</v>
          </cell>
          <cell r="AT1087">
            <v>1</v>
          </cell>
          <cell r="AU1087">
            <v>0</v>
          </cell>
          <cell r="AV1087">
            <v>7</v>
          </cell>
          <cell r="AW1087">
            <v>7</v>
          </cell>
          <cell r="AX1087">
            <v>2</v>
          </cell>
          <cell r="AY1087">
            <v>1</v>
          </cell>
          <cell r="AZ1087">
            <v>7</v>
          </cell>
          <cell r="BA1087">
            <v>7</v>
          </cell>
          <cell r="BB1087">
            <v>2</v>
          </cell>
          <cell r="BC1087">
            <v>7</v>
          </cell>
          <cell r="BD1087">
            <v>7</v>
          </cell>
          <cell r="BE1087">
            <v>7</v>
          </cell>
          <cell r="BF1087">
            <v>7</v>
          </cell>
          <cell r="BG1087">
            <v>7</v>
          </cell>
          <cell r="BH1087">
            <v>0</v>
          </cell>
          <cell r="BI1087">
            <v>0</v>
          </cell>
          <cell r="BJ1087">
            <v>1</v>
          </cell>
          <cell r="BK1087">
            <v>0</v>
          </cell>
          <cell r="BL1087">
            <v>1</v>
          </cell>
          <cell r="BM1087">
            <v>0</v>
          </cell>
          <cell r="BN1087">
            <v>0</v>
          </cell>
          <cell r="BO1087">
            <v>0</v>
          </cell>
          <cell r="BP1087">
            <v>0</v>
          </cell>
          <cell r="BQ1087">
            <v>7</v>
          </cell>
          <cell r="BR1087">
            <v>0</v>
          </cell>
          <cell r="BS1087">
            <v>0</v>
          </cell>
          <cell r="BT1087">
            <v>7</v>
          </cell>
          <cell r="BU1087">
            <v>0</v>
          </cell>
        </row>
        <row r="1088">
          <cell r="A1088">
            <v>50</v>
          </cell>
          <cell r="B1088">
            <v>50</v>
          </cell>
          <cell r="D1088">
            <v>0</v>
          </cell>
          <cell r="F1088">
            <v>1</v>
          </cell>
          <cell r="G1088">
            <v>0</v>
          </cell>
          <cell r="I1088">
            <v>1</v>
          </cell>
          <cell r="J1088">
            <v>0</v>
          </cell>
          <cell r="K1088">
            <v>22</v>
          </cell>
          <cell r="L1088">
            <v>22</v>
          </cell>
          <cell r="M1088">
            <v>5</v>
          </cell>
          <cell r="O1088">
            <v>0</v>
          </cell>
          <cell r="P1088">
            <v>0</v>
          </cell>
          <cell r="Q1088">
            <v>1</v>
          </cell>
          <cell r="R1088">
            <v>0</v>
          </cell>
          <cell r="S1088">
            <v>0</v>
          </cell>
          <cell r="T1088">
            <v>3</v>
          </cell>
          <cell r="V1088">
            <v>0</v>
          </cell>
          <cell r="W1088">
            <v>88</v>
          </cell>
          <cell r="X1088">
            <v>1</v>
          </cell>
          <cell r="Y1088">
            <v>4</v>
          </cell>
          <cell r="AA1088">
            <v>0</v>
          </cell>
          <cell r="AB1088">
            <v>0</v>
          </cell>
          <cell r="AC1088">
            <v>0</v>
          </cell>
          <cell r="AD1088">
            <v>0</v>
          </cell>
          <cell r="AE1088">
            <v>0</v>
          </cell>
          <cell r="AF1088">
            <v>0</v>
          </cell>
          <cell r="AG1088">
            <v>0</v>
          </cell>
          <cell r="AH1088">
            <v>0</v>
          </cell>
          <cell r="AI1088">
            <v>4</v>
          </cell>
          <cell r="AK1088">
            <v>1</v>
          </cell>
          <cell r="AL1088">
            <v>0</v>
          </cell>
          <cell r="AN1088">
            <v>14411</v>
          </cell>
          <cell r="AO1088">
            <v>1</v>
          </cell>
          <cell r="AQ1088">
            <v>1</v>
          </cell>
          <cell r="AR1088">
            <v>13</v>
          </cell>
          <cell r="AS1088">
            <v>3</v>
          </cell>
          <cell r="AT1088">
            <v>4</v>
          </cell>
          <cell r="AU1088">
            <v>0</v>
          </cell>
          <cell r="AV1088">
            <v>32</v>
          </cell>
          <cell r="AW1088">
            <v>32</v>
          </cell>
          <cell r="AX1088">
            <v>2</v>
          </cell>
          <cell r="AY1088">
            <v>3</v>
          </cell>
          <cell r="AZ1088">
            <v>32</v>
          </cell>
          <cell r="BA1088">
            <v>31</v>
          </cell>
          <cell r="BB1088">
            <v>6</v>
          </cell>
          <cell r="BC1088">
            <v>13</v>
          </cell>
          <cell r="BD1088">
            <v>13</v>
          </cell>
          <cell r="BE1088">
            <v>9</v>
          </cell>
          <cell r="BF1088">
            <v>9</v>
          </cell>
          <cell r="BG1088">
            <v>36</v>
          </cell>
          <cell r="BH1088">
            <v>0</v>
          </cell>
          <cell r="BI1088">
            <v>0</v>
          </cell>
          <cell r="BJ1088">
            <v>1</v>
          </cell>
          <cell r="BK1088">
            <v>0</v>
          </cell>
          <cell r="BL1088">
            <v>0</v>
          </cell>
          <cell r="BM1088">
            <v>1</v>
          </cell>
          <cell r="BN1088">
            <v>0</v>
          </cell>
          <cell r="BO1088">
            <v>0</v>
          </cell>
          <cell r="BP1088">
            <v>0</v>
          </cell>
          <cell r="BQ1088">
            <v>9</v>
          </cell>
          <cell r="BR1088">
            <v>0</v>
          </cell>
          <cell r="BS1088">
            <v>0</v>
          </cell>
          <cell r="BT1088">
            <v>32</v>
          </cell>
          <cell r="BU1088">
            <v>0</v>
          </cell>
        </row>
        <row r="1089">
          <cell r="A1089">
            <v>34</v>
          </cell>
          <cell r="B1089">
            <v>34</v>
          </cell>
          <cell r="D1089">
            <v>0</v>
          </cell>
          <cell r="F1089">
            <v>0</v>
          </cell>
          <cell r="G1089">
            <v>1</v>
          </cell>
          <cell r="I1089">
            <v>0</v>
          </cell>
          <cell r="J1089">
            <v>1</v>
          </cell>
          <cell r="K1089">
            <v>7</v>
          </cell>
          <cell r="L1089">
            <v>7</v>
          </cell>
          <cell r="M1089">
            <v>2</v>
          </cell>
          <cell r="O1089">
            <v>0</v>
          </cell>
          <cell r="P1089">
            <v>0</v>
          </cell>
          <cell r="Q1089">
            <v>0</v>
          </cell>
          <cell r="R1089">
            <v>0</v>
          </cell>
          <cell r="S1089">
            <v>1</v>
          </cell>
          <cell r="T1089">
            <v>2</v>
          </cell>
          <cell r="V1089">
            <v>0</v>
          </cell>
          <cell r="W1089">
            <v>55</v>
          </cell>
          <cell r="X1089">
            <v>3</v>
          </cell>
          <cell r="Y1089">
            <v>1</v>
          </cell>
          <cell r="AA1089">
            <v>0</v>
          </cell>
          <cell r="AB1089">
            <v>0</v>
          </cell>
          <cell r="AC1089">
            <v>0</v>
          </cell>
          <cell r="AD1089">
            <v>0</v>
          </cell>
          <cell r="AE1089">
            <v>0</v>
          </cell>
          <cell r="AF1089">
            <v>0</v>
          </cell>
          <cell r="AG1089">
            <v>1</v>
          </cell>
          <cell r="AH1089">
            <v>0</v>
          </cell>
          <cell r="AI1089">
            <v>3</v>
          </cell>
          <cell r="AK1089">
            <v>0</v>
          </cell>
          <cell r="AL1089">
            <v>1</v>
          </cell>
          <cell r="AN1089">
            <v>2308</v>
          </cell>
          <cell r="AO1089">
            <v>0</v>
          </cell>
          <cell r="AQ1089">
            <v>1</v>
          </cell>
          <cell r="AR1089">
            <v>25</v>
          </cell>
          <cell r="AS1089">
            <v>4</v>
          </cell>
          <cell r="AT1089">
            <v>2</v>
          </cell>
          <cell r="AU1089">
            <v>1</v>
          </cell>
          <cell r="AV1089">
            <v>12</v>
          </cell>
          <cell r="AW1089">
            <v>12</v>
          </cell>
          <cell r="AX1089">
            <v>4</v>
          </cell>
          <cell r="AY1089">
            <v>3</v>
          </cell>
          <cell r="AZ1089">
            <v>11</v>
          </cell>
          <cell r="BA1089">
            <v>11</v>
          </cell>
          <cell r="BB1089">
            <v>10</v>
          </cell>
          <cell r="BC1089">
            <v>5</v>
          </cell>
          <cell r="BD1089">
            <v>5</v>
          </cell>
          <cell r="BE1089">
            <v>7</v>
          </cell>
          <cell r="BF1089">
            <v>7</v>
          </cell>
          <cell r="BG1089">
            <v>7</v>
          </cell>
          <cell r="BH1089">
            <v>0</v>
          </cell>
          <cell r="BI1089">
            <v>1</v>
          </cell>
          <cell r="BJ1089">
            <v>0</v>
          </cell>
          <cell r="BK1089">
            <v>0</v>
          </cell>
          <cell r="BL1089">
            <v>0</v>
          </cell>
          <cell r="BM1089">
            <v>0</v>
          </cell>
          <cell r="BN1089">
            <v>0</v>
          </cell>
          <cell r="BO1089">
            <v>1</v>
          </cell>
          <cell r="BP1089">
            <v>0</v>
          </cell>
          <cell r="BQ1089">
            <v>0</v>
          </cell>
          <cell r="BR1089">
            <v>7</v>
          </cell>
          <cell r="BS1089">
            <v>0</v>
          </cell>
          <cell r="BT1089">
            <v>0</v>
          </cell>
          <cell r="BU1089">
            <v>12</v>
          </cell>
        </row>
        <row r="1090">
          <cell r="A1090">
            <v>42</v>
          </cell>
          <cell r="B1090">
            <v>42</v>
          </cell>
          <cell r="D1090">
            <v>0</v>
          </cell>
          <cell r="F1090">
            <v>0</v>
          </cell>
          <cell r="G1090">
            <v>1</v>
          </cell>
          <cell r="I1090">
            <v>1</v>
          </cell>
          <cell r="J1090">
            <v>0</v>
          </cell>
          <cell r="K1090">
            <v>2</v>
          </cell>
          <cell r="L1090">
            <v>2</v>
          </cell>
          <cell r="M1090">
            <v>3</v>
          </cell>
          <cell r="O1090">
            <v>0</v>
          </cell>
          <cell r="P1090">
            <v>0</v>
          </cell>
          <cell r="Q1090">
            <v>1</v>
          </cell>
          <cell r="R1090">
            <v>0</v>
          </cell>
          <cell r="S1090">
            <v>0</v>
          </cell>
          <cell r="T1090">
            <v>3</v>
          </cell>
          <cell r="V1090">
            <v>0</v>
          </cell>
          <cell r="W1090">
            <v>68</v>
          </cell>
          <cell r="X1090">
            <v>2</v>
          </cell>
          <cell r="Y1090">
            <v>1</v>
          </cell>
          <cell r="AA1090">
            <v>0</v>
          </cell>
          <cell r="AB1090">
            <v>0</v>
          </cell>
          <cell r="AC1090">
            <v>1</v>
          </cell>
          <cell r="AD1090">
            <v>0</v>
          </cell>
          <cell r="AE1090">
            <v>0</v>
          </cell>
          <cell r="AF1090">
            <v>0</v>
          </cell>
          <cell r="AG1090">
            <v>0</v>
          </cell>
          <cell r="AH1090">
            <v>0</v>
          </cell>
          <cell r="AI1090">
            <v>2</v>
          </cell>
          <cell r="AK1090">
            <v>0</v>
          </cell>
          <cell r="AL1090">
            <v>1</v>
          </cell>
          <cell r="AN1090">
            <v>4841</v>
          </cell>
          <cell r="AO1090">
            <v>4</v>
          </cell>
          <cell r="AQ1090">
            <v>0</v>
          </cell>
          <cell r="AR1090">
            <v>14</v>
          </cell>
          <cell r="AS1090">
            <v>3</v>
          </cell>
          <cell r="AT1090">
            <v>2</v>
          </cell>
          <cell r="AU1090">
            <v>1</v>
          </cell>
          <cell r="AV1090">
            <v>4</v>
          </cell>
          <cell r="AW1090">
            <v>4</v>
          </cell>
          <cell r="AX1090">
            <v>3</v>
          </cell>
          <cell r="AY1090">
            <v>3</v>
          </cell>
          <cell r="AZ1090">
            <v>1</v>
          </cell>
          <cell r="BA1090">
            <v>1</v>
          </cell>
          <cell r="BB1090">
            <v>0</v>
          </cell>
          <cell r="BC1090">
            <v>0</v>
          </cell>
          <cell r="BD1090">
            <v>0</v>
          </cell>
          <cell r="BE1090">
            <v>0</v>
          </cell>
          <cell r="BF1090">
            <v>0</v>
          </cell>
          <cell r="BG1090">
            <v>0</v>
          </cell>
          <cell r="BH1090">
            <v>0</v>
          </cell>
          <cell r="BI1090">
            <v>1</v>
          </cell>
          <cell r="BJ1090">
            <v>0</v>
          </cell>
          <cell r="BK1090">
            <v>0</v>
          </cell>
          <cell r="BL1090">
            <v>0</v>
          </cell>
          <cell r="BM1090">
            <v>0</v>
          </cell>
          <cell r="BN1090">
            <v>1</v>
          </cell>
          <cell r="BO1090">
            <v>0</v>
          </cell>
          <cell r="BP1090">
            <v>0</v>
          </cell>
          <cell r="BQ1090">
            <v>0</v>
          </cell>
          <cell r="BR1090">
            <v>0</v>
          </cell>
          <cell r="BS1090">
            <v>0</v>
          </cell>
          <cell r="BT1090">
            <v>4</v>
          </cell>
          <cell r="BU1090">
            <v>0</v>
          </cell>
        </row>
        <row r="1091">
          <cell r="A1091">
            <v>37</v>
          </cell>
          <cell r="B1091">
            <v>37</v>
          </cell>
          <cell r="D1091">
            <v>0</v>
          </cell>
          <cell r="F1091">
            <v>0</v>
          </cell>
          <cell r="G1091">
            <v>1</v>
          </cell>
          <cell r="I1091">
            <v>1</v>
          </cell>
          <cell r="J1091">
            <v>0</v>
          </cell>
          <cell r="K1091">
            <v>13</v>
          </cell>
          <cell r="L1091">
            <v>13</v>
          </cell>
          <cell r="M1091">
            <v>3</v>
          </cell>
          <cell r="O1091">
            <v>0</v>
          </cell>
          <cell r="P1091">
            <v>0</v>
          </cell>
          <cell r="Q1091">
            <v>1</v>
          </cell>
          <cell r="R1091">
            <v>0</v>
          </cell>
          <cell r="S1091">
            <v>0</v>
          </cell>
          <cell r="T1091">
            <v>1</v>
          </cell>
          <cell r="V1091">
            <v>0</v>
          </cell>
          <cell r="W1091">
            <v>47</v>
          </cell>
          <cell r="X1091">
            <v>3</v>
          </cell>
          <cell r="Y1091">
            <v>2</v>
          </cell>
          <cell r="AA1091">
            <v>0</v>
          </cell>
          <cell r="AB1091">
            <v>0</v>
          </cell>
          <cell r="AC1091">
            <v>0</v>
          </cell>
          <cell r="AD1091">
            <v>0</v>
          </cell>
          <cell r="AE1091">
            <v>0</v>
          </cell>
          <cell r="AF1091">
            <v>0</v>
          </cell>
          <cell r="AG1091">
            <v>0</v>
          </cell>
          <cell r="AH1091">
            <v>1</v>
          </cell>
          <cell r="AI1091">
            <v>4</v>
          </cell>
          <cell r="AK1091">
            <v>0</v>
          </cell>
          <cell r="AL1091">
            <v>1</v>
          </cell>
          <cell r="AN1091">
            <v>4285</v>
          </cell>
          <cell r="AO1091">
            <v>1</v>
          </cell>
          <cell r="AQ1091">
            <v>0</v>
          </cell>
          <cell r="AR1091">
            <v>17</v>
          </cell>
          <cell r="AS1091">
            <v>3</v>
          </cell>
          <cell r="AT1091">
            <v>1</v>
          </cell>
          <cell r="AU1091">
            <v>0</v>
          </cell>
          <cell r="AV1091">
            <v>10</v>
          </cell>
          <cell r="AW1091">
            <v>10</v>
          </cell>
          <cell r="AX1091">
            <v>2</v>
          </cell>
          <cell r="AY1091">
            <v>3</v>
          </cell>
          <cell r="AZ1091">
            <v>10</v>
          </cell>
          <cell r="BA1091">
            <v>10</v>
          </cell>
          <cell r="BB1091">
            <v>8</v>
          </cell>
          <cell r="BC1091">
            <v>3</v>
          </cell>
          <cell r="BD1091">
            <v>3</v>
          </cell>
          <cell r="BE1091">
            <v>7</v>
          </cell>
          <cell r="BF1091">
            <v>7</v>
          </cell>
          <cell r="BG1091">
            <v>14</v>
          </cell>
          <cell r="BH1091">
            <v>0</v>
          </cell>
          <cell r="BI1091">
            <v>1</v>
          </cell>
          <cell r="BJ1091">
            <v>0</v>
          </cell>
          <cell r="BK1091">
            <v>0</v>
          </cell>
          <cell r="BL1091">
            <v>0</v>
          </cell>
          <cell r="BM1091">
            <v>0</v>
          </cell>
          <cell r="BN1091">
            <v>1</v>
          </cell>
          <cell r="BO1091">
            <v>0</v>
          </cell>
          <cell r="BP1091">
            <v>0</v>
          </cell>
          <cell r="BQ1091">
            <v>7</v>
          </cell>
          <cell r="BR1091">
            <v>0</v>
          </cell>
          <cell r="BS1091">
            <v>0</v>
          </cell>
          <cell r="BT1091">
            <v>10</v>
          </cell>
          <cell r="BU1091">
            <v>0</v>
          </cell>
        </row>
        <row r="1092">
          <cell r="A1092">
            <v>29</v>
          </cell>
          <cell r="B1092">
            <v>29</v>
          </cell>
          <cell r="D1092">
            <v>0</v>
          </cell>
          <cell r="F1092">
            <v>0</v>
          </cell>
          <cell r="G1092">
            <v>1</v>
          </cell>
          <cell r="I1092">
            <v>1</v>
          </cell>
          <cell r="J1092">
            <v>0</v>
          </cell>
          <cell r="K1092">
            <v>8</v>
          </cell>
          <cell r="L1092">
            <v>8</v>
          </cell>
          <cell r="M1092">
            <v>1</v>
          </cell>
          <cell r="O1092">
            <v>0</v>
          </cell>
          <cell r="P1092">
            <v>1</v>
          </cell>
          <cell r="Q1092">
            <v>0</v>
          </cell>
          <cell r="R1092">
            <v>0</v>
          </cell>
          <cell r="S1092">
            <v>0</v>
          </cell>
          <cell r="T1092">
            <v>3</v>
          </cell>
          <cell r="V1092">
            <v>1</v>
          </cell>
          <cell r="W1092">
            <v>39</v>
          </cell>
          <cell r="X1092">
            <v>1</v>
          </cell>
          <cell r="Y1092">
            <v>2</v>
          </cell>
          <cell r="AA1092">
            <v>1</v>
          </cell>
          <cell r="AB1092">
            <v>0</v>
          </cell>
          <cell r="AC1092">
            <v>0</v>
          </cell>
          <cell r="AD1092">
            <v>0</v>
          </cell>
          <cell r="AE1092">
            <v>0</v>
          </cell>
          <cell r="AF1092">
            <v>0</v>
          </cell>
          <cell r="AG1092">
            <v>0</v>
          </cell>
          <cell r="AH1092">
            <v>0</v>
          </cell>
          <cell r="AI1092">
            <v>1</v>
          </cell>
          <cell r="AK1092">
            <v>0</v>
          </cell>
          <cell r="AL1092">
            <v>1</v>
          </cell>
          <cell r="AN1092">
            <v>9715</v>
          </cell>
          <cell r="AO1092">
            <v>3</v>
          </cell>
          <cell r="AQ1092">
            <v>0</v>
          </cell>
          <cell r="AR1092">
            <v>13</v>
          </cell>
          <cell r="AS1092">
            <v>3</v>
          </cell>
          <cell r="AT1092">
            <v>3</v>
          </cell>
          <cell r="AU1092">
            <v>1</v>
          </cell>
          <cell r="AV1092">
            <v>9</v>
          </cell>
          <cell r="AW1092">
            <v>9</v>
          </cell>
          <cell r="AX1092">
            <v>3</v>
          </cell>
          <cell r="AY1092">
            <v>3</v>
          </cell>
          <cell r="AZ1092">
            <v>7</v>
          </cell>
          <cell r="BA1092">
            <v>7</v>
          </cell>
          <cell r="BB1092">
            <v>7</v>
          </cell>
          <cell r="BC1092">
            <v>0</v>
          </cell>
          <cell r="BD1092">
            <v>0</v>
          </cell>
          <cell r="BE1092">
            <v>7</v>
          </cell>
          <cell r="BF1092">
            <v>7</v>
          </cell>
          <cell r="BG1092">
            <v>14</v>
          </cell>
          <cell r="BH1092">
            <v>0</v>
          </cell>
          <cell r="BI1092">
            <v>1</v>
          </cell>
          <cell r="BJ1092">
            <v>0</v>
          </cell>
          <cell r="BK1092">
            <v>0</v>
          </cell>
          <cell r="BL1092">
            <v>0</v>
          </cell>
          <cell r="BM1092">
            <v>0</v>
          </cell>
          <cell r="BN1092">
            <v>1</v>
          </cell>
          <cell r="BO1092">
            <v>0</v>
          </cell>
          <cell r="BP1092">
            <v>0</v>
          </cell>
          <cell r="BQ1092">
            <v>7</v>
          </cell>
          <cell r="BR1092">
            <v>0</v>
          </cell>
          <cell r="BS1092">
            <v>0</v>
          </cell>
          <cell r="BT1092">
            <v>9</v>
          </cell>
          <cell r="BU1092">
            <v>0</v>
          </cell>
        </row>
        <row r="1093">
          <cell r="A1093">
            <v>33</v>
          </cell>
          <cell r="B1093">
            <v>33</v>
          </cell>
          <cell r="D1093">
            <v>0</v>
          </cell>
          <cell r="F1093">
            <v>0</v>
          </cell>
          <cell r="G1093">
            <v>1</v>
          </cell>
          <cell r="I1093">
            <v>1</v>
          </cell>
          <cell r="J1093">
            <v>0</v>
          </cell>
          <cell r="K1093">
            <v>25</v>
          </cell>
          <cell r="L1093">
            <v>25</v>
          </cell>
          <cell r="M1093">
            <v>3</v>
          </cell>
          <cell r="O1093">
            <v>1</v>
          </cell>
          <cell r="P1093">
            <v>0</v>
          </cell>
          <cell r="Q1093">
            <v>0</v>
          </cell>
          <cell r="R1093">
            <v>0</v>
          </cell>
          <cell r="S1093">
            <v>0</v>
          </cell>
          <cell r="T1093">
            <v>4</v>
          </cell>
          <cell r="V1093">
            <v>0</v>
          </cell>
          <cell r="W1093">
            <v>44</v>
          </cell>
          <cell r="X1093">
            <v>2</v>
          </cell>
          <cell r="Y1093">
            <v>2</v>
          </cell>
          <cell r="AA1093">
            <v>0</v>
          </cell>
          <cell r="AB1093">
            <v>0</v>
          </cell>
          <cell r="AC1093">
            <v>0</v>
          </cell>
          <cell r="AD1093">
            <v>0</v>
          </cell>
          <cell r="AE1093">
            <v>1</v>
          </cell>
          <cell r="AF1093">
            <v>1</v>
          </cell>
          <cell r="AG1093">
            <v>0</v>
          </cell>
          <cell r="AH1093">
            <v>0</v>
          </cell>
          <cell r="AI1093">
            <v>2</v>
          </cell>
          <cell r="AK1093">
            <v>1</v>
          </cell>
          <cell r="AL1093">
            <v>0</v>
          </cell>
          <cell r="AN1093">
            <v>4320</v>
          </cell>
          <cell r="AO1093">
            <v>1</v>
          </cell>
          <cell r="AQ1093">
            <v>0</v>
          </cell>
          <cell r="AR1093">
            <v>13</v>
          </cell>
          <cell r="AS1093">
            <v>3</v>
          </cell>
          <cell r="AT1093">
            <v>4</v>
          </cell>
          <cell r="AU1093">
            <v>0</v>
          </cell>
          <cell r="AV1093">
            <v>5</v>
          </cell>
          <cell r="AW1093">
            <v>5</v>
          </cell>
          <cell r="AX1093">
            <v>2</v>
          </cell>
          <cell r="AY1093">
            <v>3</v>
          </cell>
          <cell r="AZ1093">
            <v>5</v>
          </cell>
          <cell r="BA1093">
            <v>5</v>
          </cell>
          <cell r="BB1093">
            <v>3</v>
          </cell>
          <cell r="BC1093">
            <v>0</v>
          </cell>
          <cell r="BD1093">
            <v>0</v>
          </cell>
          <cell r="BE1093">
            <v>2</v>
          </cell>
          <cell r="BF1093">
            <v>2</v>
          </cell>
          <cell r="BG1093">
            <v>4</v>
          </cell>
          <cell r="BH1093">
            <v>1</v>
          </cell>
          <cell r="BI1093">
            <v>0</v>
          </cell>
          <cell r="BJ1093">
            <v>0</v>
          </cell>
          <cell r="BK1093">
            <v>0</v>
          </cell>
          <cell r="BL1093">
            <v>1</v>
          </cell>
          <cell r="BM1093">
            <v>0</v>
          </cell>
          <cell r="BN1093">
            <v>0</v>
          </cell>
          <cell r="BO1093">
            <v>0</v>
          </cell>
          <cell r="BP1093">
            <v>0</v>
          </cell>
          <cell r="BQ1093">
            <v>2</v>
          </cell>
          <cell r="BR1093">
            <v>0</v>
          </cell>
          <cell r="BS1093">
            <v>0</v>
          </cell>
          <cell r="BT1093">
            <v>5</v>
          </cell>
          <cell r="BU1093">
            <v>0</v>
          </cell>
        </row>
        <row r="1094">
          <cell r="A1094">
            <v>45</v>
          </cell>
          <cell r="B1094">
            <v>45</v>
          </cell>
          <cell r="D1094">
            <v>0</v>
          </cell>
          <cell r="F1094">
            <v>0</v>
          </cell>
          <cell r="G1094">
            <v>1</v>
          </cell>
          <cell r="I1094">
            <v>1</v>
          </cell>
          <cell r="J1094">
            <v>0</v>
          </cell>
          <cell r="K1094">
            <v>28</v>
          </cell>
          <cell r="L1094">
            <v>28</v>
          </cell>
          <cell r="M1094">
            <v>3</v>
          </cell>
          <cell r="O1094">
            <v>0</v>
          </cell>
          <cell r="P1094">
            <v>0</v>
          </cell>
          <cell r="Q1094">
            <v>0</v>
          </cell>
          <cell r="R1094">
            <v>0</v>
          </cell>
          <cell r="S1094">
            <v>1</v>
          </cell>
          <cell r="T1094">
            <v>4</v>
          </cell>
          <cell r="V1094">
            <v>0</v>
          </cell>
          <cell r="W1094">
            <v>97</v>
          </cell>
          <cell r="X1094">
            <v>3</v>
          </cell>
          <cell r="Y1094">
            <v>1</v>
          </cell>
          <cell r="AA1094">
            <v>0</v>
          </cell>
          <cell r="AB1094">
            <v>0</v>
          </cell>
          <cell r="AC1094">
            <v>0</v>
          </cell>
          <cell r="AD1094">
            <v>0</v>
          </cell>
          <cell r="AE1094">
            <v>0</v>
          </cell>
          <cell r="AF1094">
            <v>0</v>
          </cell>
          <cell r="AG1094">
            <v>0</v>
          </cell>
          <cell r="AH1094">
            <v>1</v>
          </cell>
          <cell r="AI1094">
            <v>4</v>
          </cell>
          <cell r="AK1094">
            <v>0</v>
          </cell>
          <cell r="AL1094">
            <v>1</v>
          </cell>
          <cell r="AN1094">
            <v>2132</v>
          </cell>
          <cell r="AO1094">
            <v>4</v>
          </cell>
          <cell r="AQ1094">
            <v>0</v>
          </cell>
          <cell r="AR1094">
            <v>20</v>
          </cell>
          <cell r="AS1094">
            <v>4</v>
          </cell>
          <cell r="AT1094">
            <v>4</v>
          </cell>
          <cell r="AU1094">
            <v>1</v>
          </cell>
          <cell r="AV1094">
            <v>8</v>
          </cell>
          <cell r="AW1094">
            <v>8</v>
          </cell>
          <cell r="AX1094">
            <v>3</v>
          </cell>
          <cell r="AY1094">
            <v>3</v>
          </cell>
          <cell r="AZ1094">
            <v>5</v>
          </cell>
          <cell r="BA1094">
            <v>5</v>
          </cell>
          <cell r="BB1094">
            <v>4</v>
          </cell>
          <cell r="BC1094">
            <v>0</v>
          </cell>
          <cell r="BD1094">
            <v>0</v>
          </cell>
          <cell r="BE1094">
            <v>3</v>
          </cell>
          <cell r="BF1094">
            <v>3</v>
          </cell>
          <cell r="BG1094">
            <v>3</v>
          </cell>
          <cell r="BH1094">
            <v>0</v>
          </cell>
          <cell r="BI1094">
            <v>1</v>
          </cell>
          <cell r="BJ1094">
            <v>0</v>
          </cell>
          <cell r="BK1094">
            <v>0</v>
          </cell>
          <cell r="BL1094">
            <v>0</v>
          </cell>
          <cell r="BM1094">
            <v>0</v>
          </cell>
          <cell r="BN1094">
            <v>1</v>
          </cell>
          <cell r="BO1094">
            <v>0</v>
          </cell>
          <cell r="BP1094">
            <v>0</v>
          </cell>
          <cell r="BQ1094">
            <v>3</v>
          </cell>
          <cell r="BR1094">
            <v>0</v>
          </cell>
          <cell r="BS1094">
            <v>0</v>
          </cell>
          <cell r="BT1094">
            <v>8</v>
          </cell>
          <cell r="BU1094">
            <v>0</v>
          </cell>
        </row>
        <row r="1095">
          <cell r="A1095">
            <v>42</v>
          </cell>
          <cell r="B1095">
            <v>42</v>
          </cell>
          <cell r="D1095">
            <v>0</v>
          </cell>
          <cell r="F1095">
            <v>1</v>
          </cell>
          <cell r="G1095">
            <v>0</v>
          </cell>
          <cell r="I1095">
            <v>1</v>
          </cell>
          <cell r="J1095">
            <v>0</v>
          </cell>
          <cell r="K1095">
            <v>2</v>
          </cell>
          <cell r="L1095">
            <v>2</v>
          </cell>
          <cell r="M1095">
            <v>3</v>
          </cell>
          <cell r="O1095">
            <v>1</v>
          </cell>
          <cell r="P1095">
            <v>0</v>
          </cell>
          <cell r="Q1095">
            <v>0</v>
          </cell>
          <cell r="R1095">
            <v>0</v>
          </cell>
          <cell r="S1095">
            <v>0</v>
          </cell>
          <cell r="T1095">
            <v>4</v>
          </cell>
          <cell r="V1095">
            <v>0</v>
          </cell>
          <cell r="W1095">
            <v>40</v>
          </cell>
          <cell r="X1095">
            <v>3</v>
          </cell>
          <cell r="Y1095">
            <v>3</v>
          </cell>
          <cell r="AA1095">
            <v>1</v>
          </cell>
          <cell r="AB1095">
            <v>0</v>
          </cell>
          <cell r="AC1095">
            <v>0</v>
          </cell>
          <cell r="AD1095">
            <v>0</v>
          </cell>
          <cell r="AE1095">
            <v>0</v>
          </cell>
          <cell r="AF1095">
            <v>0</v>
          </cell>
          <cell r="AG1095">
            <v>0</v>
          </cell>
          <cell r="AH1095">
            <v>0</v>
          </cell>
          <cell r="AI1095">
            <v>4</v>
          </cell>
          <cell r="AK1095">
            <v>0</v>
          </cell>
          <cell r="AL1095">
            <v>1</v>
          </cell>
          <cell r="AN1095">
            <v>10124</v>
          </cell>
          <cell r="AO1095">
            <v>2</v>
          </cell>
          <cell r="AQ1095">
            <v>1</v>
          </cell>
          <cell r="AR1095">
            <v>14</v>
          </cell>
          <cell r="AS1095">
            <v>3</v>
          </cell>
          <cell r="AT1095">
            <v>3</v>
          </cell>
          <cell r="AU1095">
            <v>1</v>
          </cell>
          <cell r="AV1095">
            <v>24</v>
          </cell>
          <cell r="AW1095">
            <v>24</v>
          </cell>
          <cell r="AX1095">
            <v>3</v>
          </cell>
          <cell r="AY1095">
            <v>1</v>
          </cell>
          <cell r="AZ1095">
            <v>20</v>
          </cell>
          <cell r="BA1095">
            <v>20</v>
          </cell>
          <cell r="BB1095">
            <v>8</v>
          </cell>
          <cell r="BC1095">
            <v>13</v>
          </cell>
          <cell r="BD1095">
            <v>13</v>
          </cell>
          <cell r="BE1095">
            <v>9</v>
          </cell>
          <cell r="BF1095">
            <v>9</v>
          </cell>
          <cell r="BG1095">
            <v>27</v>
          </cell>
          <cell r="BH1095">
            <v>0</v>
          </cell>
          <cell r="BI1095">
            <v>0</v>
          </cell>
          <cell r="BJ1095">
            <v>0</v>
          </cell>
          <cell r="BK1095">
            <v>1</v>
          </cell>
          <cell r="BL1095">
            <v>0</v>
          </cell>
          <cell r="BM1095">
            <v>0</v>
          </cell>
          <cell r="BN1095">
            <v>0</v>
          </cell>
          <cell r="BO1095">
            <v>1</v>
          </cell>
          <cell r="BP1095">
            <v>0</v>
          </cell>
          <cell r="BQ1095">
            <v>9</v>
          </cell>
          <cell r="BR1095">
            <v>0</v>
          </cell>
          <cell r="BS1095">
            <v>0</v>
          </cell>
          <cell r="BT1095">
            <v>24</v>
          </cell>
          <cell r="BU1095">
            <v>0</v>
          </cell>
        </row>
        <row r="1096">
          <cell r="A1096">
            <v>40</v>
          </cell>
          <cell r="B1096">
            <v>40</v>
          </cell>
          <cell r="D1096">
            <v>0</v>
          </cell>
          <cell r="F1096">
            <v>0</v>
          </cell>
          <cell r="G1096">
            <v>1</v>
          </cell>
          <cell r="I1096">
            <v>0</v>
          </cell>
          <cell r="J1096">
            <v>1</v>
          </cell>
          <cell r="K1096">
            <v>9</v>
          </cell>
          <cell r="L1096">
            <v>9</v>
          </cell>
          <cell r="M1096">
            <v>2</v>
          </cell>
          <cell r="O1096">
            <v>0</v>
          </cell>
          <cell r="P1096">
            <v>0</v>
          </cell>
          <cell r="Q1096">
            <v>1</v>
          </cell>
          <cell r="R1096">
            <v>0</v>
          </cell>
          <cell r="S1096">
            <v>0</v>
          </cell>
          <cell r="T1096">
            <v>1</v>
          </cell>
          <cell r="V1096">
            <v>0</v>
          </cell>
          <cell r="W1096">
            <v>47</v>
          </cell>
          <cell r="X1096">
            <v>3</v>
          </cell>
          <cell r="Y1096">
            <v>2</v>
          </cell>
          <cell r="AA1096">
            <v>0</v>
          </cell>
          <cell r="AB1096">
            <v>1</v>
          </cell>
          <cell r="AC1096">
            <v>0</v>
          </cell>
          <cell r="AD1096">
            <v>0</v>
          </cell>
          <cell r="AE1096">
            <v>0</v>
          </cell>
          <cell r="AF1096">
            <v>0</v>
          </cell>
          <cell r="AG1096">
            <v>0</v>
          </cell>
          <cell r="AH1096">
            <v>0</v>
          </cell>
          <cell r="AI1096">
            <v>1</v>
          </cell>
          <cell r="AK1096">
            <v>0</v>
          </cell>
          <cell r="AL1096">
            <v>1</v>
          </cell>
          <cell r="AN1096">
            <v>5473</v>
          </cell>
          <cell r="AO1096">
            <v>0</v>
          </cell>
          <cell r="AQ1096">
            <v>0</v>
          </cell>
          <cell r="AR1096">
            <v>12</v>
          </cell>
          <cell r="AS1096">
            <v>3</v>
          </cell>
          <cell r="AT1096">
            <v>4</v>
          </cell>
          <cell r="AU1096">
            <v>0</v>
          </cell>
          <cell r="AV1096">
            <v>9</v>
          </cell>
          <cell r="AW1096">
            <v>9</v>
          </cell>
          <cell r="AX1096">
            <v>5</v>
          </cell>
          <cell r="AY1096">
            <v>4</v>
          </cell>
          <cell r="AZ1096">
            <v>8</v>
          </cell>
          <cell r="BA1096">
            <v>8</v>
          </cell>
          <cell r="BB1096">
            <v>4</v>
          </cell>
          <cell r="BC1096">
            <v>7</v>
          </cell>
          <cell r="BD1096">
            <v>7</v>
          </cell>
          <cell r="BE1096">
            <v>1</v>
          </cell>
          <cell r="BF1096">
            <v>1</v>
          </cell>
          <cell r="BG1096">
            <v>2</v>
          </cell>
          <cell r="BH1096">
            <v>0</v>
          </cell>
          <cell r="BI1096">
            <v>1</v>
          </cell>
          <cell r="BJ1096">
            <v>0</v>
          </cell>
          <cell r="BK1096">
            <v>0</v>
          </cell>
          <cell r="BL1096">
            <v>0</v>
          </cell>
          <cell r="BM1096">
            <v>0</v>
          </cell>
          <cell r="BN1096">
            <v>1</v>
          </cell>
          <cell r="BO1096">
            <v>0</v>
          </cell>
          <cell r="BP1096">
            <v>0</v>
          </cell>
          <cell r="BQ1096">
            <v>0</v>
          </cell>
          <cell r="BR1096">
            <v>1</v>
          </cell>
          <cell r="BS1096">
            <v>0</v>
          </cell>
          <cell r="BT1096">
            <v>0</v>
          </cell>
          <cell r="BU1096">
            <v>9</v>
          </cell>
        </row>
        <row r="1097">
          <cell r="A1097">
            <v>33</v>
          </cell>
          <cell r="B1097">
            <v>33</v>
          </cell>
          <cell r="D1097">
            <v>0</v>
          </cell>
          <cell r="F1097">
            <v>0</v>
          </cell>
          <cell r="G1097">
            <v>1</v>
          </cell>
          <cell r="I1097">
            <v>1</v>
          </cell>
          <cell r="J1097">
            <v>0</v>
          </cell>
          <cell r="K1097">
            <v>28</v>
          </cell>
          <cell r="L1097">
            <v>28</v>
          </cell>
          <cell r="M1097">
            <v>4</v>
          </cell>
          <cell r="O1097">
            <v>1</v>
          </cell>
          <cell r="P1097">
            <v>0</v>
          </cell>
          <cell r="Q1097">
            <v>0</v>
          </cell>
          <cell r="R1097">
            <v>0</v>
          </cell>
          <cell r="S1097">
            <v>0</v>
          </cell>
          <cell r="T1097">
            <v>2</v>
          </cell>
          <cell r="V1097">
            <v>0</v>
          </cell>
          <cell r="W1097">
            <v>79</v>
          </cell>
          <cell r="X1097">
            <v>3</v>
          </cell>
          <cell r="Y1097">
            <v>2</v>
          </cell>
          <cell r="AA1097">
            <v>0</v>
          </cell>
          <cell r="AB1097">
            <v>0</v>
          </cell>
          <cell r="AC1097">
            <v>1</v>
          </cell>
          <cell r="AD1097">
            <v>0</v>
          </cell>
          <cell r="AE1097">
            <v>0</v>
          </cell>
          <cell r="AF1097">
            <v>0</v>
          </cell>
          <cell r="AG1097">
            <v>0</v>
          </cell>
          <cell r="AH1097">
            <v>0</v>
          </cell>
          <cell r="AI1097">
            <v>3</v>
          </cell>
          <cell r="AK1097">
            <v>0</v>
          </cell>
          <cell r="AL1097">
            <v>1</v>
          </cell>
          <cell r="AN1097">
            <v>5207</v>
          </cell>
          <cell r="AO1097">
            <v>1</v>
          </cell>
          <cell r="AQ1097">
            <v>1</v>
          </cell>
          <cell r="AR1097">
            <v>12</v>
          </cell>
          <cell r="AS1097">
            <v>3</v>
          </cell>
          <cell r="AT1097">
            <v>2</v>
          </cell>
          <cell r="AU1097">
            <v>1</v>
          </cell>
          <cell r="AV1097">
            <v>15</v>
          </cell>
          <cell r="AW1097">
            <v>15</v>
          </cell>
          <cell r="AX1097">
            <v>3</v>
          </cell>
          <cell r="AY1097">
            <v>3</v>
          </cell>
          <cell r="AZ1097">
            <v>15</v>
          </cell>
          <cell r="BA1097">
            <v>15</v>
          </cell>
          <cell r="BB1097">
            <v>14</v>
          </cell>
          <cell r="BC1097">
            <v>5</v>
          </cell>
          <cell r="BD1097">
            <v>5</v>
          </cell>
          <cell r="BE1097">
            <v>7</v>
          </cell>
          <cell r="BF1097">
            <v>7</v>
          </cell>
          <cell r="BG1097">
            <v>14</v>
          </cell>
          <cell r="BH1097">
            <v>0</v>
          </cell>
          <cell r="BI1097">
            <v>1</v>
          </cell>
          <cell r="BJ1097">
            <v>0</v>
          </cell>
          <cell r="BK1097">
            <v>0</v>
          </cell>
          <cell r="BL1097">
            <v>0</v>
          </cell>
          <cell r="BM1097">
            <v>0</v>
          </cell>
          <cell r="BN1097">
            <v>0</v>
          </cell>
          <cell r="BO1097">
            <v>1</v>
          </cell>
          <cell r="BP1097">
            <v>0</v>
          </cell>
          <cell r="BQ1097">
            <v>7</v>
          </cell>
          <cell r="BR1097">
            <v>0</v>
          </cell>
          <cell r="BS1097">
            <v>0</v>
          </cell>
          <cell r="BT1097">
            <v>15</v>
          </cell>
          <cell r="BU1097">
            <v>0</v>
          </cell>
        </row>
        <row r="1098">
          <cell r="A1098">
            <v>40</v>
          </cell>
          <cell r="B1098">
            <v>40</v>
          </cell>
          <cell r="D1098">
            <v>0</v>
          </cell>
          <cell r="F1098">
            <v>0</v>
          </cell>
          <cell r="G1098">
            <v>1</v>
          </cell>
          <cell r="I1098">
            <v>0</v>
          </cell>
          <cell r="J1098">
            <v>0</v>
          </cell>
          <cell r="K1098">
            <v>6</v>
          </cell>
          <cell r="L1098">
            <v>6</v>
          </cell>
          <cell r="M1098">
            <v>2</v>
          </cell>
          <cell r="O1098">
            <v>0</v>
          </cell>
          <cell r="P1098">
            <v>0</v>
          </cell>
          <cell r="Q1098">
            <v>1</v>
          </cell>
          <cell r="R1098">
            <v>0</v>
          </cell>
          <cell r="S1098">
            <v>0</v>
          </cell>
          <cell r="T1098">
            <v>3</v>
          </cell>
          <cell r="V1098">
            <v>0</v>
          </cell>
          <cell r="W1098">
            <v>38</v>
          </cell>
          <cell r="X1098">
            <v>3</v>
          </cell>
          <cell r="Y1098">
            <v>4</v>
          </cell>
          <cell r="AA1098">
            <v>0</v>
          </cell>
          <cell r="AB1098">
            <v>0</v>
          </cell>
          <cell r="AC1098">
            <v>0</v>
          </cell>
          <cell r="AD1098">
            <v>1</v>
          </cell>
          <cell r="AE1098">
            <v>0</v>
          </cell>
          <cell r="AF1098">
            <v>0</v>
          </cell>
          <cell r="AG1098">
            <v>0</v>
          </cell>
          <cell r="AH1098">
            <v>0</v>
          </cell>
          <cell r="AI1098">
            <v>4</v>
          </cell>
          <cell r="AK1098">
            <v>1</v>
          </cell>
          <cell r="AL1098">
            <v>0</v>
          </cell>
          <cell r="AN1098">
            <v>16437</v>
          </cell>
          <cell r="AO1098">
            <v>1</v>
          </cell>
          <cell r="AQ1098">
            <v>1</v>
          </cell>
          <cell r="AR1098">
            <v>21</v>
          </cell>
          <cell r="AS1098">
            <v>4</v>
          </cell>
          <cell r="AT1098">
            <v>4</v>
          </cell>
          <cell r="AU1098">
            <v>0</v>
          </cell>
          <cell r="AV1098">
            <v>21</v>
          </cell>
          <cell r="AW1098">
            <v>21</v>
          </cell>
          <cell r="AX1098">
            <v>2</v>
          </cell>
          <cell r="AY1098">
            <v>3</v>
          </cell>
          <cell r="AZ1098">
            <v>21</v>
          </cell>
          <cell r="BA1098">
            <v>21</v>
          </cell>
          <cell r="BB1098">
            <v>7</v>
          </cell>
          <cell r="BC1098">
            <v>7</v>
          </cell>
          <cell r="BD1098">
            <v>7</v>
          </cell>
          <cell r="BE1098">
            <v>7</v>
          </cell>
          <cell r="BF1098">
            <v>7</v>
          </cell>
          <cell r="BG1098">
            <v>28</v>
          </cell>
          <cell r="BH1098">
            <v>1</v>
          </cell>
          <cell r="BI1098">
            <v>0</v>
          </cell>
          <cell r="BJ1098">
            <v>0</v>
          </cell>
          <cell r="BK1098">
            <v>0</v>
          </cell>
          <cell r="BL1098">
            <v>0</v>
          </cell>
          <cell r="BM1098">
            <v>1</v>
          </cell>
          <cell r="BN1098">
            <v>0</v>
          </cell>
          <cell r="BO1098">
            <v>0</v>
          </cell>
          <cell r="BP1098">
            <v>7</v>
          </cell>
          <cell r="BQ1098">
            <v>0</v>
          </cell>
          <cell r="BR1098">
            <v>0</v>
          </cell>
          <cell r="BS1098">
            <v>21</v>
          </cell>
          <cell r="BT1098">
            <v>0</v>
          </cell>
          <cell r="BU1098">
            <v>0</v>
          </cell>
        </row>
        <row r="1099">
          <cell r="A1099">
            <v>24</v>
          </cell>
          <cell r="B1099">
            <v>24</v>
          </cell>
          <cell r="D1099">
            <v>0</v>
          </cell>
          <cell r="F1099">
            <v>0</v>
          </cell>
          <cell r="G1099">
            <v>1</v>
          </cell>
          <cell r="I1099">
            <v>1</v>
          </cell>
          <cell r="J1099">
            <v>0</v>
          </cell>
          <cell r="K1099">
            <v>21</v>
          </cell>
          <cell r="L1099">
            <v>21</v>
          </cell>
          <cell r="M1099">
            <v>2</v>
          </cell>
          <cell r="O1099">
            <v>0</v>
          </cell>
          <cell r="P1099">
            <v>0</v>
          </cell>
          <cell r="Q1099">
            <v>0</v>
          </cell>
          <cell r="R1099">
            <v>0</v>
          </cell>
          <cell r="S1099">
            <v>1</v>
          </cell>
          <cell r="T1099">
            <v>3</v>
          </cell>
          <cell r="V1099">
            <v>0</v>
          </cell>
          <cell r="W1099">
            <v>57</v>
          </cell>
          <cell r="X1099">
            <v>2</v>
          </cell>
          <cell r="Y1099">
            <v>1</v>
          </cell>
          <cell r="AA1099">
            <v>0</v>
          </cell>
          <cell r="AB1099">
            <v>0</v>
          </cell>
          <cell r="AC1099">
            <v>1</v>
          </cell>
          <cell r="AD1099">
            <v>0</v>
          </cell>
          <cell r="AE1099">
            <v>0</v>
          </cell>
          <cell r="AF1099">
            <v>0</v>
          </cell>
          <cell r="AG1099">
            <v>0</v>
          </cell>
          <cell r="AH1099">
            <v>0</v>
          </cell>
          <cell r="AI1099">
            <v>1</v>
          </cell>
          <cell r="AK1099">
            <v>0</v>
          </cell>
          <cell r="AL1099">
            <v>0</v>
          </cell>
          <cell r="AN1099">
            <v>2296</v>
          </cell>
          <cell r="AO1099">
            <v>0</v>
          </cell>
          <cell r="AQ1099">
            <v>0</v>
          </cell>
          <cell r="AR1099">
            <v>14</v>
          </cell>
          <cell r="AS1099">
            <v>3</v>
          </cell>
          <cell r="AT1099">
            <v>2</v>
          </cell>
          <cell r="AU1099">
            <v>3</v>
          </cell>
          <cell r="AV1099">
            <v>2</v>
          </cell>
          <cell r="AW1099">
            <v>2</v>
          </cell>
          <cell r="AX1099">
            <v>3</v>
          </cell>
          <cell r="AY1099">
            <v>3</v>
          </cell>
          <cell r="AZ1099">
            <v>1</v>
          </cell>
          <cell r="BA1099">
            <v>1</v>
          </cell>
          <cell r="BB1099">
            <v>1</v>
          </cell>
          <cell r="BC1099">
            <v>0</v>
          </cell>
          <cell r="BD1099">
            <v>0</v>
          </cell>
          <cell r="BE1099">
            <v>0</v>
          </cell>
          <cell r="BF1099">
            <v>0</v>
          </cell>
          <cell r="BG1099">
            <v>0</v>
          </cell>
          <cell r="BH1099">
            <v>1</v>
          </cell>
          <cell r="BI1099">
            <v>0</v>
          </cell>
          <cell r="BJ1099">
            <v>0</v>
          </cell>
          <cell r="BK1099">
            <v>0</v>
          </cell>
          <cell r="BL1099">
            <v>1</v>
          </cell>
          <cell r="BM1099">
            <v>0</v>
          </cell>
          <cell r="BN1099">
            <v>0</v>
          </cell>
          <cell r="BO1099">
            <v>0</v>
          </cell>
          <cell r="BP1099">
            <v>0</v>
          </cell>
          <cell r="BQ1099">
            <v>0</v>
          </cell>
          <cell r="BR1099">
            <v>0</v>
          </cell>
          <cell r="BS1099">
            <v>0</v>
          </cell>
          <cell r="BT1099">
            <v>2</v>
          </cell>
          <cell r="BU1099">
            <v>0</v>
          </cell>
        </row>
        <row r="1100">
          <cell r="A1100">
            <v>40</v>
          </cell>
          <cell r="B1100">
            <v>40</v>
          </cell>
          <cell r="D1100">
            <v>0</v>
          </cell>
          <cell r="F1100">
            <v>0</v>
          </cell>
          <cell r="G1100">
            <v>0</v>
          </cell>
          <cell r="I1100">
            <v>1</v>
          </cell>
          <cell r="J1100">
            <v>0</v>
          </cell>
          <cell r="K1100">
            <v>8</v>
          </cell>
          <cell r="L1100">
            <v>8</v>
          </cell>
          <cell r="M1100">
            <v>2</v>
          </cell>
          <cell r="O1100">
            <v>1</v>
          </cell>
          <cell r="P1100">
            <v>0</v>
          </cell>
          <cell r="Q1100">
            <v>0</v>
          </cell>
          <cell r="R1100">
            <v>0</v>
          </cell>
          <cell r="S1100">
            <v>0</v>
          </cell>
          <cell r="T1100">
            <v>4</v>
          </cell>
          <cell r="V1100">
            <v>0</v>
          </cell>
          <cell r="W1100">
            <v>72</v>
          </cell>
          <cell r="X1100">
            <v>3</v>
          </cell>
          <cell r="Y1100">
            <v>2</v>
          </cell>
          <cell r="AA1100">
            <v>1</v>
          </cell>
          <cell r="AB1100">
            <v>0</v>
          </cell>
          <cell r="AC1100">
            <v>0</v>
          </cell>
          <cell r="AD1100">
            <v>0</v>
          </cell>
          <cell r="AE1100">
            <v>0</v>
          </cell>
          <cell r="AF1100">
            <v>0</v>
          </cell>
          <cell r="AG1100">
            <v>0</v>
          </cell>
          <cell r="AH1100">
            <v>0</v>
          </cell>
          <cell r="AI1100">
            <v>4</v>
          </cell>
          <cell r="AK1100">
            <v>0</v>
          </cell>
          <cell r="AL1100">
            <v>0</v>
          </cell>
          <cell r="AN1100">
            <v>4069</v>
          </cell>
          <cell r="AO1100">
            <v>3</v>
          </cell>
          <cell r="AQ1100">
            <v>1</v>
          </cell>
          <cell r="AR1100">
            <v>18</v>
          </cell>
          <cell r="AS1100">
            <v>3</v>
          </cell>
          <cell r="AT1100">
            <v>3</v>
          </cell>
          <cell r="AU1100">
            <v>0</v>
          </cell>
          <cell r="AV1100">
            <v>8</v>
          </cell>
          <cell r="AW1100">
            <v>8</v>
          </cell>
          <cell r="AX1100">
            <v>2</v>
          </cell>
          <cell r="AY1100">
            <v>3</v>
          </cell>
          <cell r="AZ1100">
            <v>2</v>
          </cell>
          <cell r="BA1100">
            <v>2</v>
          </cell>
          <cell r="BB1100">
            <v>2</v>
          </cell>
          <cell r="BC1100">
            <v>2</v>
          </cell>
          <cell r="BD1100">
            <v>2</v>
          </cell>
          <cell r="BE1100">
            <v>2</v>
          </cell>
          <cell r="BF1100">
            <v>2</v>
          </cell>
          <cell r="BG1100">
            <v>4</v>
          </cell>
          <cell r="BH1100">
            <v>1</v>
          </cell>
          <cell r="BI1100">
            <v>0</v>
          </cell>
          <cell r="BJ1100">
            <v>0</v>
          </cell>
          <cell r="BK1100">
            <v>0</v>
          </cell>
          <cell r="BL1100">
            <v>0</v>
          </cell>
          <cell r="BM1100">
            <v>1</v>
          </cell>
          <cell r="BN1100">
            <v>0</v>
          </cell>
          <cell r="BO1100">
            <v>0</v>
          </cell>
          <cell r="BP1100">
            <v>0</v>
          </cell>
          <cell r="BQ1100">
            <v>2</v>
          </cell>
          <cell r="BR1100">
            <v>0</v>
          </cell>
          <cell r="BS1100">
            <v>0</v>
          </cell>
          <cell r="BT1100">
            <v>8</v>
          </cell>
          <cell r="BU1100">
            <v>0</v>
          </cell>
        </row>
        <row r="1101">
          <cell r="A1101">
            <v>45</v>
          </cell>
          <cell r="B1101">
            <v>45</v>
          </cell>
          <cell r="D1101">
            <v>0</v>
          </cell>
          <cell r="F1101">
            <v>0</v>
          </cell>
          <cell r="G1101">
            <v>1</v>
          </cell>
          <cell r="I1101">
            <v>1</v>
          </cell>
          <cell r="J1101">
            <v>0</v>
          </cell>
          <cell r="K1101">
            <v>1</v>
          </cell>
          <cell r="L1101">
            <v>1</v>
          </cell>
          <cell r="M1101">
            <v>4</v>
          </cell>
          <cell r="O1101">
            <v>0</v>
          </cell>
          <cell r="P1101">
            <v>0</v>
          </cell>
          <cell r="Q1101">
            <v>0</v>
          </cell>
          <cell r="R1101">
            <v>0</v>
          </cell>
          <cell r="S1101">
            <v>1</v>
          </cell>
          <cell r="T1101">
            <v>1</v>
          </cell>
          <cell r="V1101">
            <v>0</v>
          </cell>
          <cell r="W1101">
            <v>66</v>
          </cell>
          <cell r="X1101">
            <v>3</v>
          </cell>
          <cell r="Y1101">
            <v>3</v>
          </cell>
          <cell r="AA1101">
            <v>1</v>
          </cell>
          <cell r="AB1101">
            <v>0</v>
          </cell>
          <cell r="AC1101">
            <v>0</v>
          </cell>
          <cell r="AD1101">
            <v>0</v>
          </cell>
          <cell r="AE1101">
            <v>0</v>
          </cell>
          <cell r="AF1101">
            <v>0</v>
          </cell>
          <cell r="AG1101">
            <v>0</v>
          </cell>
          <cell r="AH1101">
            <v>0</v>
          </cell>
          <cell r="AI1101">
            <v>2</v>
          </cell>
          <cell r="AK1101">
            <v>0</v>
          </cell>
          <cell r="AL1101">
            <v>0</v>
          </cell>
          <cell r="AN1101">
            <v>7441</v>
          </cell>
          <cell r="AO1101">
            <v>1</v>
          </cell>
          <cell r="AQ1101">
            <v>0</v>
          </cell>
          <cell r="AR1101">
            <v>12</v>
          </cell>
          <cell r="AS1101">
            <v>3</v>
          </cell>
          <cell r="AT1101">
            <v>1</v>
          </cell>
          <cell r="AU1101">
            <v>3</v>
          </cell>
          <cell r="AV1101">
            <v>10</v>
          </cell>
          <cell r="AW1101">
            <v>10</v>
          </cell>
          <cell r="AX1101">
            <v>4</v>
          </cell>
          <cell r="AY1101">
            <v>3</v>
          </cell>
          <cell r="AZ1101">
            <v>10</v>
          </cell>
          <cell r="BA1101">
            <v>10</v>
          </cell>
          <cell r="BB1101">
            <v>8</v>
          </cell>
          <cell r="BC1101">
            <v>7</v>
          </cell>
          <cell r="BD1101">
            <v>7</v>
          </cell>
          <cell r="BE1101">
            <v>7</v>
          </cell>
          <cell r="BF1101">
            <v>7</v>
          </cell>
          <cell r="BG1101">
            <v>21</v>
          </cell>
          <cell r="BH1101">
            <v>1</v>
          </cell>
          <cell r="BI1101">
            <v>0</v>
          </cell>
          <cell r="BJ1101">
            <v>0</v>
          </cell>
          <cell r="BK1101">
            <v>0</v>
          </cell>
          <cell r="BL1101">
            <v>1</v>
          </cell>
          <cell r="BM1101">
            <v>0</v>
          </cell>
          <cell r="BN1101">
            <v>0</v>
          </cell>
          <cell r="BO1101">
            <v>0</v>
          </cell>
          <cell r="BP1101">
            <v>0</v>
          </cell>
          <cell r="BQ1101">
            <v>7</v>
          </cell>
          <cell r="BR1101">
            <v>0</v>
          </cell>
          <cell r="BS1101">
            <v>0</v>
          </cell>
          <cell r="BT1101">
            <v>10</v>
          </cell>
          <cell r="BU1101">
            <v>0</v>
          </cell>
        </row>
        <row r="1102">
          <cell r="A1102">
            <v>35</v>
          </cell>
          <cell r="B1102">
            <v>35</v>
          </cell>
          <cell r="D1102">
            <v>0</v>
          </cell>
          <cell r="F1102">
            <v>0</v>
          </cell>
          <cell r="G1102">
            <v>1</v>
          </cell>
          <cell r="I1102">
            <v>0</v>
          </cell>
          <cell r="J1102">
            <v>1</v>
          </cell>
          <cell r="K1102">
            <v>28</v>
          </cell>
          <cell r="L1102">
            <v>28</v>
          </cell>
          <cell r="M1102">
            <v>4</v>
          </cell>
          <cell r="O1102">
            <v>1</v>
          </cell>
          <cell r="P1102">
            <v>0</v>
          </cell>
          <cell r="Q1102">
            <v>0</v>
          </cell>
          <cell r="R1102">
            <v>0</v>
          </cell>
          <cell r="S1102">
            <v>0</v>
          </cell>
          <cell r="T1102">
            <v>2</v>
          </cell>
          <cell r="V1102">
            <v>1</v>
          </cell>
          <cell r="W1102">
            <v>98</v>
          </cell>
          <cell r="X1102">
            <v>2</v>
          </cell>
          <cell r="Y1102">
            <v>1</v>
          </cell>
          <cell r="AA1102">
            <v>0</v>
          </cell>
          <cell r="AB1102">
            <v>0</v>
          </cell>
          <cell r="AC1102">
            <v>0</v>
          </cell>
          <cell r="AD1102">
            <v>0</v>
          </cell>
          <cell r="AE1102">
            <v>0</v>
          </cell>
          <cell r="AF1102">
            <v>0</v>
          </cell>
          <cell r="AG1102">
            <v>1</v>
          </cell>
          <cell r="AH1102">
            <v>0</v>
          </cell>
          <cell r="AI1102">
            <v>3</v>
          </cell>
          <cell r="AK1102">
            <v>0</v>
          </cell>
          <cell r="AL1102">
            <v>1</v>
          </cell>
          <cell r="AN1102">
            <v>2430</v>
          </cell>
          <cell r="AO1102">
            <v>0</v>
          </cell>
          <cell r="AQ1102">
            <v>0</v>
          </cell>
          <cell r="AR1102">
            <v>23</v>
          </cell>
          <cell r="AS1102">
            <v>4</v>
          </cell>
          <cell r="AT1102">
            <v>1</v>
          </cell>
          <cell r="AU1102">
            <v>2</v>
          </cell>
          <cell r="AV1102">
            <v>6</v>
          </cell>
          <cell r="AW1102">
            <v>6</v>
          </cell>
          <cell r="AX1102">
            <v>5</v>
          </cell>
          <cell r="AY1102">
            <v>3</v>
          </cell>
          <cell r="AZ1102">
            <v>5</v>
          </cell>
          <cell r="BA1102">
            <v>5</v>
          </cell>
          <cell r="BB1102">
            <v>3</v>
          </cell>
          <cell r="BC1102">
            <v>4</v>
          </cell>
          <cell r="BD1102">
            <v>4</v>
          </cell>
          <cell r="BE1102">
            <v>2</v>
          </cell>
          <cell r="BF1102">
            <v>2</v>
          </cell>
          <cell r="BG1102">
            <v>2</v>
          </cell>
          <cell r="BH1102">
            <v>0</v>
          </cell>
          <cell r="BI1102">
            <v>1</v>
          </cell>
          <cell r="BJ1102">
            <v>0</v>
          </cell>
          <cell r="BK1102">
            <v>0</v>
          </cell>
          <cell r="BL1102">
            <v>0</v>
          </cell>
          <cell r="BM1102">
            <v>0</v>
          </cell>
          <cell r="BN1102">
            <v>1</v>
          </cell>
          <cell r="BO1102">
            <v>0</v>
          </cell>
          <cell r="BP1102">
            <v>0</v>
          </cell>
          <cell r="BQ1102">
            <v>0</v>
          </cell>
          <cell r="BR1102">
            <v>2</v>
          </cell>
          <cell r="BS1102">
            <v>0</v>
          </cell>
          <cell r="BT1102">
            <v>0</v>
          </cell>
          <cell r="BU1102">
            <v>6</v>
          </cell>
        </row>
        <row r="1103">
          <cell r="A1103">
            <v>32</v>
          </cell>
          <cell r="B1103">
            <v>32</v>
          </cell>
          <cell r="D1103">
            <v>0</v>
          </cell>
          <cell r="F1103">
            <v>0</v>
          </cell>
          <cell r="G1103">
            <v>1</v>
          </cell>
          <cell r="I1103">
            <v>1</v>
          </cell>
          <cell r="J1103">
            <v>0</v>
          </cell>
          <cell r="K1103">
            <v>5</v>
          </cell>
          <cell r="L1103">
            <v>5</v>
          </cell>
          <cell r="M1103">
            <v>2</v>
          </cell>
          <cell r="O1103">
            <v>1</v>
          </cell>
          <cell r="P1103">
            <v>0</v>
          </cell>
          <cell r="Q1103">
            <v>0</v>
          </cell>
          <cell r="R1103">
            <v>0</v>
          </cell>
          <cell r="S1103">
            <v>0</v>
          </cell>
          <cell r="T1103">
            <v>4</v>
          </cell>
          <cell r="V1103">
            <v>1</v>
          </cell>
          <cell r="W1103">
            <v>67</v>
          </cell>
          <cell r="X1103">
            <v>2</v>
          </cell>
          <cell r="Y1103">
            <v>2</v>
          </cell>
          <cell r="AA1103">
            <v>0</v>
          </cell>
          <cell r="AB1103">
            <v>0</v>
          </cell>
          <cell r="AC1103">
            <v>0</v>
          </cell>
          <cell r="AD1103">
            <v>0</v>
          </cell>
          <cell r="AE1103">
            <v>0</v>
          </cell>
          <cell r="AF1103">
            <v>0</v>
          </cell>
          <cell r="AG1103">
            <v>0</v>
          </cell>
          <cell r="AH1103">
            <v>1</v>
          </cell>
          <cell r="AI1103">
            <v>2</v>
          </cell>
          <cell r="AK1103">
            <v>0</v>
          </cell>
          <cell r="AL1103">
            <v>1</v>
          </cell>
          <cell r="AN1103">
            <v>5878</v>
          </cell>
          <cell r="AO1103">
            <v>3</v>
          </cell>
          <cell r="AQ1103">
            <v>0</v>
          </cell>
          <cell r="AR1103">
            <v>12</v>
          </cell>
          <cell r="AS1103">
            <v>3</v>
          </cell>
          <cell r="AT1103">
            <v>1</v>
          </cell>
          <cell r="AU1103">
            <v>1</v>
          </cell>
          <cell r="AV1103">
            <v>12</v>
          </cell>
          <cell r="AW1103">
            <v>12</v>
          </cell>
          <cell r="AX1103">
            <v>2</v>
          </cell>
          <cell r="AY1103">
            <v>3</v>
          </cell>
          <cell r="AZ1103">
            <v>7</v>
          </cell>
          <cell r="BA1103">
            <v>7</v>
          </cell>
          <cell r="BB1103">
            <v>1</v>
          </cell>
          <cell r="BC1103">
            <v>2</v>
          </cell>
          <cell r="BD1103">
            <v>2</v>
          </cell>
          <cell r="BE1103">
            <v>5</v>
          </cell>
          <cell r="BF1103">
            <v>5</v>
          </cell>
          <cell r="BG1103">
            <v>10</v>
          </cell>
          <cell r="BH1103">
            <v>0</v>
          </cell>
          <cell r="BI1103">
            <v>1</v>
          </cell>
          <cell r="BJ1103">
            <v>0</v>
          </cell>
          <cell r="BK1103">
            <v>0</v>
          </cell>
          <cell r="BL1103">
            <v>0</v>
          </cell>
          <cell r="BM1103">
            <v>0</v>
          </cell>
          <cell r="BN1103">
            <v>1</v>
          </cell>
          <cell r="BO1103">
            <v>0</v>
          </cell>
          <cell r="BP1103">
            <v>0</v>
          </cell>
          <cell r="BQ1103">
            <v>5</v>
          </cell>
          <cell r="BR1103">
            <v>0</v>
          </cell>
          <cell r="BS1103">
            <v>0</v>
          </cell>
          <cell r="BT1103">
            <v>12</v>
          </cell>
          <cell r="BU1103">
            <v>0</v>
          </cell>
        </row>
        <row r="1104">
          <cell r="A1104">
            <v>36</v>
          </cell>
          <cell r="B1104">
            <v>36</v>
          </cell>
          <cell r="D1104">
            <v>0</v>
          </cell>
          <cell r="F1104">
            <v>0</v>
          </cell>
          <cell r="G1104">
            <v>1</v>
          </cell>
          <cell r="I1104">
            <v>0</v>
          </cell>
          <cell r="J1104">
            <v>1</v>
          </cell>
          <cell r="K1104">
            <v>2</v>
          </cell>
          <cell r="L1104">
            <v>2</v>
          </cell>
          <cell r="M1104">
            <v>4</v>
          </cell>
          <cell r="O1104">
            <v>1</v>
          </cell>
          <cell r="P1104">
            <v>0</v>
          </cell>
          <cell r="Q1104">
            <v>0</v>
          </cell>
          <cell r="R1104">
            <v>0</v>
          </cell>
          <cell r="S1104">
            <v>0</v>
          </cell>
          <cell r="T1104">
            <v>3</v>
          </cell>
          <cell r="V1104">
            <v>0</v>
          </cell>
          <cell r="W1104">
            <v>70</v>
          </cell>
          <cell r="X1104">
            <v>3</v>
          </cell>
          <cell r="Y1104">
            <v>1</v>
          </cell>
          <cell r="AA1104">
            <v>0</v>
          </cell>
          <cell r="AB1104">
            <v>0</v>
          </cell>
          <cell r="AC1104">
            <v>0</v>
          </cell>
          <cell r="AD1104">
            <v>0</v>
          </cell>
          <cell r="AE1104">
            <v>0</v>
          </cell>
          <cell r="AF1104">
            <v>0</v>
          </cell>
          <cell r="AG1104">
            <v>1</v>
          </cell>
          <cell r="AH1104">
            <v>0</v>
          </cell>
          <cell r="AI1104">
            <v>4</v>
          </cell>
          <cell r="AK1104">
            <v>1</v>
          </cell>
          <cell r="AL1104">
            <v>0</v>
          </cell>
          <cell r="AN1104">
            <v>2644</v>
          </cell>
          <cell r="AO1104">
            <v>3</v>
          </cell>
          <cell r="AQ1104">
            <v>1</v>
          </cell>
          <cell r="AR1104">
            <v>21</v>
          </cell>
          <cell r="AS1104">
            <v>4</v>
          </cell>
          <cell r="AT1104">
            <v>4</v>
          </cell>
          <cell r="AU1104">
            <v>0</v>
          </cell>
          <cell r="AV1104">
            <v>7</v>
          </cell>
          <cell r="AW1104">
            <v>7</v>
          </cell>
          <cell r="AX1104">
            <v>3</v>
          </cell>
          <cell r="AY1104">
            <v>2</v>
          </cell>
          <cell r="AZ1104">
            <v>3</v>
          </cell>
          <cell r="BA1104">
            <v>3</v>
          </cell>
          <cell r="BB1104">
            <v>2</v>
          </cell>
          <cell r="BC1104">
            <v>1</v>
          </cell>
          <cell r="BD1104">
            <v>1</v>
          </cell>
          <cell r="BE1104">
            <v>2</v>
          </cell>
          <cell r="BF1104">
            <v>2</v>
          </cell>
          <cell r="BG1104">
            <v>2</v>
          </cell>
          <cell r="BH1104">
            <v>1</v>
          </cell>
          <cell r="BI1104">
            <v>0</v>
          </cell>
          <cell r="BJ1104">
            <v>0</v>
          </cell>
          <cell r="BK1104">
            <v>0</v>
          </cell>
          <cell r="BL1104">
            <v>0</v>
          </cell>
          <cell r="BM1104">
            <v>1</v>
          </cell>
          <cell r="BN1104">
            <v>0</v>
          </cell>
          <cell r="BO1104">
            <v>0</v>
          </cell>
          <cell r="BP1104">
            <v>0</v>
          </cell>
          <cell r="BQ1104">
            <v>0</v>
          </cell>
          <cell r="BR1104">
            <v>2</v>
          </cell>
          <cell r="BS1104">
            <v>0</v>
          </cell>
          <cell r="BT1104">
            <v>0</v>
          </cell>
          <cell r="BU1104">
            <v>7</v>
          </cell>
        </row>
        <row r="1105">
          <cell r="A1105">
            <v>48</v>
          </cell>
          <cell r="B1105">
            <v>48</v>
          </cell>
          <cell r="D1105">
            <v>0</v>
          </cell>
          <cell r="F1105">
            <v>0</v>
          </cell>
          <cell r="G1105">
            <v>1</v>
          </cell>
          <cell r="I1105">
            <v>0</v>
          </cell>
          <cell r="J1105">
            <v>1</v>
          </cell>
          <cell r="K1105">
            <v>16</v>
          </cell>
          <cell r="L1105">
            <v>16</v>
          </cell>
          <cell r="M1105">
            <v>4</v>
          </cell>
          <cell r="O1105">
            <v>1</v>
          </cell>
          <cell r="P1105">
            <v>0</v>
          </cell>
          <cell r="Q1105">
            <v>0</v>
          </cell>
          <cell r="R1105">
            <v>0</v>
          </cell>
          <cell r="S1105">
            <v>0</v>
          </cell>
          <cell r="T1105">
            <v>3</v>
          </cell>
          <cell r="V1105">
            <v>1</v>
          </cell>
          <cell r="W1105">
            <v>96</v>
          </cell>
          <cell r="X1105">
            <v>3</v>
          </cell>
          <cell r="Y1105">
            <v>2</v>
          </cell>
          <cell r="AA1105">
            <v>0</v>
          </cell>
          <cell r="AB1105">
            <v>1</v>
          </cell>
          <cell r="AC1105">
            <v>0</v>
          </cell>
          <cell r="AD1105">
            <v>0</v>
          </cell>
          <cell r="AE1105">
            <v>0</v>
          </cell>
          <cell r="AF1105">
            <v>0</v>
          </cell>
          <cell r="AG1105">
            <v>0</v>
          </cell>
          <cell r="AH1105">
            <v>0</v>
          </cell>
          <cell r="AI1105">
            <v>3</v>
          </cell>
          <cell r="AK1105">
            <v>0</v>
          </cell>
          <cell r="AL1105">
            <v>0</v>
          </cell>
          <cell r="AN1105">
            <v>6439</v>
          </cell>
          <cell r="AO1105">
            <v>8</v>
          </cell>
          <cell r="AQ1105">
            <v>0</v>
          </cell>
          <cell r="AR1105">
            <v>14</v>
          </cell>
          <cell r="AS1105">
            <v>3</v>
          </cell>
          <cell r="AT1105">
            <v>3</v>
          </cell>
          <cell r="AU1105">
            <v>1</v>
          </cell>
          <cell r="AV1105">
            <v>18</v>
          </cell>
          <cell r="AW1105">
            <v>18</v>
          </cell>
          <cell r="AX1105">
            <v>2</v>
          </cell>
          <cell r="AY1105">
            <v>3</v>
          </cell>
          <cell r="AZ1105">
            <v>8</v>
          </cell>
          <cell r="BA1105">
            <v>8</v>
          </cell>
          <cell r="BB1105">
            <v>7</v>
          </cell>
          <cell r="BC1105">
            <v>7</v>
          </cell>
          <cell r="BD1105">
            <v>7</v>
          </cell>
          <cell r="BE1105">
            <v>7</v>
          </cell>
          <cell r="BF1105">
            <v>7</v>
          </cell>
          <cell r="BG1105">
            <v>14</v>
          </cell>
          <cell r="BH1105">
            <v>1</v>
          </cell>
          <cell r="BI1105">
            <v>0</v>
          </cell>
          <cell r="BJ1105">
            <v>0</v>
          </cell>
          <cell r="BK1105">
            <v>0</v>
          </cell>
          <cell r="BL1105">
            <v>1</v>
          </cell>
          <cell r="BM1105">
            <v>0</v>
          </cell>
          <cell r="BN1105">
            <v>0</v>
          </cell>
          <cell r="BO1105">
            <v>0</v>
          </cell>
          <cell r="BP1105">
            <v>0</v>
          </cell>
          <cell r="BQ1105">
            <v>0</v>
          </cell>
          <cell r="BR1105">
            <v>7</v>
          </cell>
          <cell r="BS1105">
            <v>0</v>
          </cell>
          <cell r="BT1105">
            <v>0</v>
          </cell>
          <cell r="BU1105">
            <v>18</v>
          </cell>
        </row>
        <row r="1106">
          <cell r="A1106">
            <v>29</v>
          </cell>
          <cell r="B1106">
            <v>29</v>
          </cell>
          <cell r="D1106">
            <v>0</v>
          </cell>
          <cell r="F1106">
            <v>0</v>
          </cell>
          <cell r="G1106">
            <v>1</v>
          </cell>
          <cell r="I1106">
            <v>1</v>
          </cell>
          <cell r="J1106">
            <v>0</v>
          </cell>
          <cell r="K1106">
            <v>9</v>
          </cell>
          <cell r="L1106">
            <v>9</v>
          </cell>
          <cell r="M1106">
            <v>3</v>
          </cell>
          <cell r="O1106">
            <v>1</v>
          </cell>
          <cell r="P1106">
            <v>0</v>
          </cell>
          <cell r="Q1106">
            <v>0</v>
          </cell>
          <cell r="R1106">
            <v>0</v>
          </cell>
          <cell r="S1106">
            <v>0</v>
          </cell>
          <cell r="T1106">
            <v>3</v>
          </cell>
          <cell r="V1106">
            <v>0</v>
          </cell>
          <cell r="W1106">
            <v>91</v>
          </cell>
          <cell r="X1106">
            <v>4</v>
          </cell>
          <cell r="Y1106">
            <v>1</v>
          </cell>
          <cell r="AA1106">
            <v>0</v>
          </cell>
          <cell r="AB1106">
            <v>0</v>
          </cell>
          <cell r="AC1106">
            <v>0</v>
          </cell>
          <cell r="AD1106">
            <v>0</v>
          </cell>
          <cell r="AE1106">
            <v>0</v>
          </cell>
          <cell r="AF1106">
            <v>0</v>
          </cell>
          <cell r="AG1106">
            <v>0</v>
          </cell>
          <cell r="AH1106">
            <v>1</v>
          </cell>
          <cell r="AI1106">
            <v>3</v>
          </cell>
          <cell r="AK1106">
            <v>0</v>
          </cell>
          <cell r="AL1106">
            <v>1</v>
          </cell>
          <cell r="AN1106">
            <v>2451</v>
          </cell>
          <cell r="AO1106">
            <v>6</v>
          </cell>
          <cell r="AQ1106">
            <v>0</v>
          </cell>
          <cell r="AR1106">
            <v>18</v>
          </cell>
          <cell r="AS1106">
            <v>3</v>
          </cell>
          <cell r="AT1106">
            <v>1</v>
          </cell>
          <cell r="AU1106">
            <v>2</v>
          </cell>
          <cell r="AV1106">
            <v>5</v>
          </cell>
          <cell r="AW1106">
            <v>5</v>
          </cell>
          <cell r="AX1106">
            <v>2</v>
          </cell>
          <cell r="AY1106">
            <v>2</v>
          </cell>
          <cell r="AZ1106">
            <v>1</v>
          </cell>
          <cell r="BA1106">
            <v>1</v>
          </cell>
          <cell r="BB1106">
            <v>0</v>
          </cell>
          <cell r="BC1106">
            <v>0</v>
          </cell>
          <cell r="BD1106">
            <v>0</v>
          </cell>
          <cell r="BE1106">
            <v>0</v>
          </cell>
          <cell r="BF1106">
            <v>0</v>
          </cell>
          <cell r="BG1106">
            <v>0</v>
          </cell>
          <cell r="BH1106">
            <v>0</v>
          </cell>
          <cell r="BI1106">
            <v>1</v>
          </cell>
          <cell r="BJ1106">
            <v>0</v>
          </cell>
          <cell r="BK1106">
            <v>0</v>
          </cell>
          <cell r="BL1106">
            <v>0</v>
          </cell>
          <cell r="BM1106">
            <v>0</v>
          </cell>
          <cell r="BN1106">
            <v>1</v>
          </cell>
          <cell r="BO1106">
            <v>0</v>
          </cell>
          <cell r="BP1106">
            <v>0</v>
          </cell>
          <cell r="BQ1106">
            <v>0</v>
          </cell>
          <cell r="BR1106">
            <v>0</v>
          </cell>
          <cell r="BS1106">
            <v>0</v>
          </cell>
          <cell r="BT1106">
            <v>5</v>
          </cell>
          <cell r="BU1106">
            <v>0</v>
          </cell>
        </row>
        <row r="1107">
          <cell r="A1107">
            <v>33</v>
          </cell>
          <cell r="B1107">
            <v>33</v>
          </cell>
          <cell r="D1107">
            <v>0</v>
          </cell>
          <cell r="F1107">
            <v>0</v>
          </cell>
          <cell r="G1107">
            <v>1</v>
          </cell>
          <cell r="I1107">
            <v>0</v>
          </cell>
          <cell r="J1107">
            <v>1</v>
          </cell>
          <cell r="K1107">
            <v>8</v>
          </cell>
          <cell r="L1107">
            <v>8</v>
          </cell>
          <cell r="M1107">
            <v>4</v>
          </cell>
          <cell r="O1107">
            <v>1</v>
          </cell>
          <cell r="P1107">
            <v>0</v>
          </cell>
          <cell r="Q1107">
            <v>0</v>
          </cell>
          <cell r="R1107">
            <v>0</v>
          </cell>
          <cell r="S1107">
            <v>0</v>
          </cell>
          <cell r="T1107">
            <v>1</v>
          </cell>
          <cell r="V1107">
            <v>0</v>
          </cell>
          <cell r="W1107">
            <v>46</v>
          </cell>
          <cell r="X1107">
            <v>3</v>
          </cell>
          <cell r="Y1107">
            <v>2</v>
          </cell>
          <cell r="AA1107">
            <v>0</v>
          </cell>
          <cell r="AB1107">
            <v>1</v>
          </cell>
          <cell r="AC1107">
            <v>0</v>
          </cell>
          <cell r="AD1107">
            <v>0</v>
          </cell>
          <cell r="AE1107">
            <v>0</v>
          </cell>
          <cell r="AF1107">
            <v>0</v>
          </cell>
          <cell r="AG1107">
            <v>0</v>
          </cell>
          <cell r="AH1107">
            <v>0</v>
          </cell>
          <cell r="AI1107">
            <v>1</v>
          </cell>
          <cell r="AK1107">
            <v>0</v>
          </cell>
          <cell r="AL1107">
            <v>1</v>
          </cell>
          <cell r="AN1107">
            <v>6392</v>
          </cell>
          <cell r="AO1107">
            <v>2</v>
          </cell>
          <cell r="AQ1107">
            <v>0</v>
          </cell>
          <cell r="AR1107">
            <v>13</v>
          </cell>
          <cell r="AS1107">
            <v>3</v>
          </cell>
          <cell r="AT1107">
            <v>4</v>
          </cell>
          <cell r="AU1107">
            <v>1</v>
          </cell>
          <cell r="AV1107">
            <v>8</v>
          </cell>
          <cell r="AW1107">
            <v>8</v>
          </cell>
          <cell r="AX1107">
            <v>6</v>
          </cell>
          <cell r="AY1107">
            <v>1</v>
          </cell>
          <cell r="AZ1107">
            <v>2</v>
          </cell>
          <cell r="BA1107">
            <v>2</v>
          </cell>
          <cell r="BB1107">
            <v>2</v>
          </cell>
          <cell r="BC1107">
            <v>2</v>
          </cell>
          <cell r="BD1107">
            <v>2</v>
          </cell>
          <cell r="BE1107">
            <v>2</v>
          </cell>
          <cell r="BF1107">
            <v>2</v>
          </cell>
          <cell r="BG1107">
            <v>4</v>
          </cell>
          <cell r="BH1107">
            <v>0</v>
          </cell>
          <cell r="BI1107">
            <v>1</v>
          </cell>
          <cell r="BJ1107">
            <v>0</v>
          </cell>
          <cell r="BK1107">
            <v>0</v>
          </cell>
          <cell r="BL1107">
            <v>0</v>
          </cell>
          <cell r="BM1107">
            <v>0</v>
          </cell>
          <cell r="BN1107">
            <v>1</v>
          </cell>
          <cell r="BO1107">
            <v>0</v>
          </cell>
          <cell r="BP1107">
            <v>0</v>
          </cell>
          <cell r="BQ1107">
            <v>0</v>
          </cell>
          <cell r="BR1107">
            <v>2</v>
          </cell>
          <cell r="BS1107">
            <v>0</v>
          </cell>
          <cell r="BT1107">
            <v>0</v>
          </cell>
          <cell r="BU1107">
            <v>8</v>
          </cell>
        </row>
        <row r="1108">
          <cell r="A1108">
            <v>30</v>
          </cell>
          <cell r="B1108">
            <v>30</v>
          </cell>
          <cell r="D1108">
            <v>1</v>
          </cell>
          <cell r="F1108">
            <v>0</v>
          </cell>
          <cell r="G1108">
            <v>1</v>
          </cell>
          <cell r="I1108">
            <v>0</v>
          </cell>
          <cell r="J1108">
            <v>1</v>
          </cell>
          <cell r="K1108">
            <v>1</v>
          </cell>
          <cell r="L1108">
            <v>1</v>
          </cell>
          <cell r="M1108">
            <v>3</v>
          </cell>
          <cell r="O1108">
            <v>1</v>
          </cell>
          <cell r="P1108">
            <v>0</v>
          </cell>
          <cell r="Q1108">
            <v>0</v>
          </cell>
          <cell r="R1108">
            <v>0</v>
          </cell>
          <cell r="S1108">
            <v>0</v>
          </cell>
          <cell r="T1108">
            <v>2</v>
          </cell>
          <cell r="V1108">
            <v>0</v>
          </cell>
          <cell r="W1108">
            <v>64</v>
          </cell>
          <cell r="X1108">
            <v>2</v>
          </cell>
          <cell r="Y1108">
            <v>2</v>
          </cell>
          <cell r="AA1108">
            <v>0</v>
          </cell>
          <cell r="AB1108">
            <v>1</v>
          </cell>
          <cell r="AC1108">
            <v>0</v>
          </cell>
          <cell r="AD1108">
            <v>0</v>
          </cell>
          <cell r="AE1108">
            <v>0</v>
          </cell>
          <cell r="AF1108">
            <v>0</v>
          </cell>
          <cell r="AG1108">
            <v>0</v>
          </cell>
          <cell r="AH1108">
            <v>0</v>
          </cell>
          <cell r="AI1108">
            <v>1</v>
          </cell>
          <cell r="AK1108">
            <v>0</v>
          </cell>
          <cell r="AL1108">
            <v>1</v>
          </cell>
          <cell r="AN1108">
            <v>9714</v>
          </cell>
          <cell r="AO1108">
            <v>1</v>
          </cell>
          <cell r="AQ1108">
            <v>0</v>
          </cell>
          <cell r="AR1108">
            <v>11</v>
          </cell>
          <cell r="AS1108">
            <v>3</v>
          </cell>
          <cell r="AT1108">
            <v>4</v>
          </cell>
          <cell r="AU1108">
            <v>1</v>
          </cell>
          <cell r="AV1108">
            <v>10</v>
          </cell>
          <cell r="AW1108">
            <v>10</v>
          </cell>
          <cell r="AX1108">
            <v>4</v>
          </cell>
          <cell r="AY1108">
            <v>3</v>
          </cell>
          <cell r="AZ1108">
            <v>10</v>
          </cell>
          <cell r="BA1108">
            <v>10</v>
          </cell>
          <cell r="BB1108">
            <v>8</v>
          </cell>
          <cell r="BC1108">
            <v>6</v>
          </cell>
          <cell r="BD1108">
            <v>6</v>
          </cell>
          <cell r="BE1108">
            <v>7</v>
          </cell>
          <cell r="BF1108">
            <v>7</v>
          </cell>
          <cell r="BG1108">
            <v>14</v>
          </cell>
          <cell r="BH1108">
            <v>0</v>
          </cell>
          <cell r="BI1108">
            <v>1</v>
          </cell>
          <cell r="BJ1108">
            <v>0</v>
          </cell>
          <cell r="BK1108">
            <v>0</v>
          </cell>
          <cell r="BL1108">
            <v>0</v>
          </cell>
          <cell r="BM1108">
            <v>0</v>
          </cell>
          <cell r="BN1108">
            <v>1</v>
          </cell>
          <cell r="BO1108">
            <v>0</v>
          </cell>
          <cell r="BP1108">
            <v>0</v>
          </cell>
          <cell r="BQ1108">
            <v>0</v>
          </cell>
          <cell r="BR1108">
            <v>7</v>
          </cell>
          <cell r="BS1108">
            <v>0</v>
          </cell>
          <cell r="BT1108">
            <v>0</v>
          </cell>
          <cell r="BU1108">
            <v>10</v>
          </cell>
        </row>
        <row r="1109">
          <cell r="A1109">
            <v>38</v>
          </cell>
          <cell r="B1109">
            <v>38</v>
          </cell>
          <cell r="D1109">
            <v>0</v>
          </cell>
          <cell r="F1109">
            <v>1</v>
          </cell>
          <cell r="G1109">
            <v>0</v>
          </cell>
          <cell r="I1109">
            <v>0</v>
          </cell>
          <cell r="J1109">
            <v>0</v>
          </cell>
          <cell r="K1109">
            <v>10</v>
          </cell>
          <cell r="L1109">
            <v>10</v>
          </cell>
          <cell r="M1109">
            <v>4</v>
          </cell>
          <cell r="O1109">
            <v>0</v>
          </cell>
          <cell r="P1109">
            <v>0</v>
          </cell>
          <cell r="Q1109">
            <v>0</v>
          </cell>
          <cell r="R1109">
            <v>0</v>
          </cell>
          <cell r="S1109">
            <v>0</v>
          </cell>
          <cell r="T1109">
            <v>3</v>
          </cell>
          <cell r="V1109">
            <v>0</v>
          </cell>
          <cell r="W1109">
            <v>71</v>
          </cell>
          <cell r="X1109">
            <v>3</v>
          </cell>
          <cell r="Y1109">
            <v>2</v>
          </cell>
          <cell r="AA1109">
            <v>0</v>
          </cell>
          <cell r="AB1109">
            <v>0</v>
          </cell>
          <cell r="AC1109">
            <v>0</v>
          </cell>
          <cell r="AD1109">
            <v>0</v>
          </cell>
          <cell r="AE1109">
            <v>0</v>
          </cell>
          <cell r="AF1109">
            <v>0</v>
          </cell>
          <cell r="AG1109">
            <v>0</v>
          </cell>
          <cell r="AH1109">
            <v>0</v>
          </cell>
          <cell r="AI1109">
            <v>3</v>
          </cell>
          <cell r="AK1109">
            <v>0</v>
          </cell>
          <cell r="AL1109">
            <v>1</v>
          </cell>
          <cell r="AN1109">
            <v>6077</v>
          </cell>
          <cell r="AO1109">
            <v>3</v>
          </cell>
          <cell r="AQ1109">
            <v>0</v>
          </cell>
          <cell r="AR1109">
            <v>11</v>
          </cell>
          <cell r="AS1109">
            <v>3</v>
          </cell>
          <cell r="AT1109">
            <v>3</v>
          </cell>
          <cell r="AU1109">
            <v>0</v>
          </cell>
          <cell r="AV1109">
            <v>10</v>
          </cell>
          <cell r="AW1109">
            <v>10</v>
          </cell>
          <cell r="AX1109">
            <v>2</v>
          </cell>
          <cell r="AY1109">
            <v>3</v>
          </cell>
          <cell r="AZ1109">
            <v>6</v>
          </cell>
          <cell r="BA1109">
            <v>6</v>
          </cell>
          <cell r="BB1109">
            <v>3</v>
          </cell>
          <cell r="BC1109">
            <v>1</v>
          </cell>
          <cell r="BD1109">
            <v>1</v>
          </cell>
          <cell r="BE1109">
            <v>2</v>
          </cell>
          <cell r="BF1109">
            <v>2</v>
          </cell>
          <cell r="BG1109">
            <v>4</v>
          </cell>
          <cell r="BH1109">
            <v>0</v>
          </cell>
          <cell r="BI1109">
            <v>0</v>
          </cell>
          <cell r="BJ1109">
            <v>0</v>
          </cell>
          <cell r="BK1109">
            <v>1</v>
          </cell>
          <cell r="BL1109">
            <v>0</v>
          </cell>
          <cell r="BM1109">
            <v>0</v>
          </cell>
          <cell r="BN1109">
            <v>1</v>
          </cell>
          <cell r="BO1109">
            <v>0</v>
          </cell>
          <cell r="BP1109">
            <v>2</v>
          </cell>
          <cell r="BQ1109">
            <v>0</v>
          </cell>
          <cell r="BR1109">
            <v>0</v>
          </cell>
          <cell r="BS1109">
            <v>10</v>
          </cell>
          <cell r="BT1109">
            <v>0</v>
          </cell>
          <cell r="BU1109">
            <v>0</v>
          </cell>
        </row>
        <row r="1110">
          <cell r="A1110">
            <v>35</v>
          </cell>
          <cell r="B1110">
            <v>35</v>
          </cell>
          <cell r="D1110">
            <v>0</v>
          </cell>
          <cell r="F1110">
            <v>0</v>
          </cell>
          <cell r="G1110">
            <v>1</v>
          </cell>
          <cell r="I1110">
            <v>1</v>
          </cell>
          <cell r="J1110">
            <v>0</v>
          </cell>
          <cell r="K1110">
            <v>1</v>
          </cell>
          <cell r="L1110">
            <v>1</v>
          </cell>
          <cell r="M1110">
            <v>3</v>
          </cell>
          <cell r="O1110">
            <v>0</v>
          </cell>
          <cell r="P1110">
            <v>0</v>
          </cell>
          <cell r="Q1110">
            <v>1</v>
          </cell>
          <cell r="R1110">
            <v>0</v>
          </cell>
          <cell r="S1110">
            <v>0</v>
          </cell>
          <cell r="T1110">
            <v>4</v>
          </cell>
          <cell r="V1110">
            <v>0</v>
          </cell>
          <cell r="W1110">
            <v>68</v>
          </cell>
          <cell r="X1110">
            <v>2</v>
          </cell>
          <cell r="Y1110">
            <v>1</v>
          </cell>
          <cell r="AA1110">
            <v>0</v>
          </cell>
          <cell r="AB1110">
            <v>0</v>
          </cell>
          <cell r="AC1110">
            <v>1</v>
          </cell>
          <cell r="AD1110">
            <v>0</v>
          </cell>
          <cell r="AE1110">
            <v>0</v>
          </cell>
          <cell r="AF1110">
            <v>0</v>
          </cell>
          <cell r="AG1110">
            <v>0</v>
          </cell>
          <cell r="AH1110">
            <v>0</v>
          </cell>
          <cell r="AI1110">
            <v>1</v>
          </cell>
          <cell r="AK1110">
            <v>1</v>
          </cell>
          <cell r="AL1110">
            <v>0</v>
          </cell>
          <cell r="AN1110">
            <v>2450</v>
          </cell>
          <cell r="AO1110">
            <v>1</v>
          </cell>
          <cell r="AQ1110">
            <v>0</v>
          </cell>
          <cell r="AR1110">
            <v>19</v>
          </cell>
          <cell r="AS1110">
            <v>3</v>
          </cell>
          <cell r="AT1110">
            <v>2</v>
          </cell>
          <cell r="AU1110">
            <v>0</v>
          </cell>
          <cell r="AV1110">
            <v>3</v>
          </cell>
          <cell r="AW1110">
            <v>3</v>
          </cell>
          <cell r="AX1110">
            <v>3</v>
          </cell>
          <cell r="AY1110">
            <v>3</v>
          </cell>
          <cell r="AZ1110">
            <v>3</v>
          </cell>
          <cell r="BA1110">
            <v>3</v>
          </cell>
          <cell r="BB1110">
            <v>0</v>
          </cell>
          <cell r="BC1110">
            <v>1</v>
          </cell>
          <cell r="BD1110">
            <v>1</v>
          </cell>
          <cell r="BE1110">
            <v>2</v>
          </cell>
          <cell r="BF1110">
            <v>2</v>
          </cell>
          <cell r="BG1110">
            <v>2</v>
          </cell>
          <cell r="BH1110">
            <v>1</v>
          </cell>
          <cell r="BI1110">
            <v>0</v>
          </cell>
          <cell r="BJ1110">
            <v>0</v>
          </cell>
          <cell r="BK1110">
            <v>0</v>
          </cell>
          <cell r="BL1110">
            <v>1</v>
          </cell>
          <cell r="BM1110">
            <v>0</v>
          </cell>
          <cell r="BN1110">
            <v>0</v>
          </cell>
          <cell r="BO1110">
            <v>0</v>
          </cell>
          <cell r="BP1110">
            <v>0</v>
          </cell>
          <cell r="BQ1110">
            <v>2</v>
          </cell>
          <cell r="BR1110">
            <v>0</v>
          </cell>
          <cell r="BS1110">
            <v>0</v>
          </cell>
          <cell r="BT1110">
            <v>3</v>
          </cell>
          <cell r="BU1110">
            <v>0</v>
          </cell>
        </row>
        <row r="1111">
          <cell r="A1111">
            <v>30</v>
          </cell>
          <cell r="B1111">
            <v>30</v>
          </cell>
          <cell r="D1111">
            <v>0</v>
          </cell>
          <cell r="F1111">
            <v>0</v>
          </cell>
          <cell r="G1111">
            <v>1</v>
          </cell>
          <cell r="I1111">
            <v>0</v>
          </cell>
          <cell r="J1111">
            <v>1</v>
          </cell>
          <cell r="K1111">
            <v>29</v>
          </cell>
          <cell r="L1111">
            <v>29</v>
          </cell>
          <cell r="M1111">
            <v>4</v>
          </cell>
          <cell r="O1111">
            <v>0</v>
          </cell>
          <cell r="P1111">
            <v>0</v>
          </cell>
          <cell r="Q1111">
            <v>0</v>
          </cell>
          <cell r="R1111">
            <v>0</v>
          </cell>
          <cell r="S1111">
            <v>1</v>
          </cell>
          <cell r="T1111">
            <v>3</v>
          </cell>
          <cell r="V1111">
            <v>0</v>
          </cell>
          <cell r="W1111">
            <v>33</v>
          </cell>
          <cell r="X1111">
            <v>3</v>
          </cell>
          <cell r="Y1111">
            <v>3</v>
          </cell>
          <cell r="AA1111">
            <v>0</v>
          </cell>
          <cell r="AB1111">
            <v>1</v>
          </cell>
          <cell r="AC1111">
            <v>0</v>
          </cell>
          <cell r="AD1111">
            <v>0</v>
          </cell>
          <cell r="AE1111">
            <v>0</v>
          </cell>
          <cell r="AF1111">
            <v>0</v>
          </cell>
          <cell r="AG1111">
            <v>0</v>
          </cell>
          <cell r="AH1111">
            <v>0</v>
          </cell>
          <cell r="AI1111">
            <v>2</v>
          </cell>
          <cell r="AK1111">
            <v>0</v>
          </cell>
          <cell r="AL1111">
            <v>1</v>
          </cell>
          <cell r="AN1111">
            <v>9250</v>
          </cell>
          <cell r="AO1111">
            <v>3</v>
          </cell>
          <cell r="AQ1111">
            <v>0</v>
          </cell>
          <cell r="AR1111">
            <v>12</v>
          </cell>
          <cell r="AS1111">
            <v>3</v>
          </cell>
          <cell r="AT1111">
            <v>2</v>
          </cell>
          <cell r="AU1111">
            <v>1</v>
          </cell>
          <cell r="AV1111">
            <v>9</v>
          </cell>
          <cell r="AW1111">
            <v>9</v>
          </cell>
          <cell r="AX1111">
            <v>3</v>
          </cell>
          <cell r="AY1111">
            <v>3</v>
          </cell>
          <cell r="AZ1111">
            <v>4</v>
          </cell>
          <cell r="BA1111">
            <v>4</v>
          </cell>
          <cell r="BB1111">
            <v>2</v>
          </cell>
          <cell r="BC1111">
            <v>1</v>
          </cell>
          <cell r="BD1111">
            <v>1</v>
          </cell>
          <cell r="BE1111">
            <v>3</v>
          </cell>
          <cell r="BF1111">
            <v>3</v>
          </cell>
          <cell r="BG1111">
            <v>9</v>
          </cell>
          <cell r="BH1111">
            <v>0</v>
          </cell>
          <cell r="BI1111">
            <v>1</v>
          </cell>
          <cell r="BJ1111">
            <v>0</v>
          </cell>
          <cell r="BK1111">
            <v>0</v>
          </cell>
          <cell r="BL1111">
            <v>0</v>
          </cell>
          <cell r="BM1111">
            <v>0</v>
          </cell>
          <cell r="BN1111">
            <v>1</v>
          </cell>
          <cell r="BO1111">
            <v>0</v>
          </cell>
          <cell r="BP1111">
            <v>0</v>
          </cell>
          <cell r="BQ1111">
            <v>0</v>
          </cell>
          <cell r="BR1111">
            <v>3</v>
          </cell>
          <cell r="BS1111">
            <v>0</v>
          </cell>
          <cell r="BT1111">
            <v>0</v>
          </cell>
          <cell r="BU1111">
            <v>9</v>
          </cell>
        </row>
        <row r="1112">
          <cell r="A1112">
            <v>35</v>
          </cell>
          <cell r="B1112">
            <v>35</v>
          </cell>
          <cell r="D1112">
            <v>1</v>
          </cell>
          <cell r="F1112">
            <v>0</v>
          </cell>
          <cell r="G1112">
            <v>1</v>
          </cell>
          <cell r="I1112">
            <v>1</v>
          </cell>
          <cell r="J1112">
            <v>0</v>
          </cell>
          <cell r="K1112">
            <v>2</v>
          </cell>
          <cell r="L1112">
            <v>2</v>
          </cell>
          <cell r="M1112">
            <v>3</v>
          </cell>
          <cell r="O1112">
            <v>1</v>
          </cell>
          <cell r="P1112">
            <v>0</v>
          </cell>
          <cell r="Q1112">
            <v>0</v>
          </cell>
          <cell r="R1112">
            <v>0</v>
          </cell>
          <cell r="S1112">
            <v>0</v>
          </cell>
          <cell r="T1112">
            <v>1</v>
          </cell>
          <cell r="V1112">
            <v>1</v>
          </cell>
          <cell r="W1112">
            <v>69</v>
          </cell>
          <cell r="X1112">
            <v>3</v>
          </cell>
          <cell r="Y1112">
            <v>1</v>
          </cell>
          <cell r="AA1112">
            <v>0</v>
          </cell>
          <cell r="AB1112">
            <v>0</v>
          </cell>
          <cell r="AC1112">
            <v>1</v>
          </cell>
          <cell r="AD1112">
            <v>0</v>
          </cell>
          <cell r="AE1112">
            <v>0</v>
          </cell>
          <cell r="AF1112">
            <v>0</v>
          </cell>
          <cell r="AG1112">
            <v>0</v>
          </cell>
          <cell r="AH1112">
            <v>0</v>
          </cell>
          <cell r="AI1112">
            <v>1</v>
          </cell>
          <cell r="AK1112">
            <v>0</v>
          </cell>
          <cell r="AL1112">
            <v>0</v>
          </cell>
          <cell r="AN1112">
            <v>2074</v>
          </cell>
          <cell r="AO1112">
            <v>1</v>
          </cell>
          <cell r="AQ1112">
            <v>1</v>
          </cell>
          <cell r="AR1112">
            <v>12</v>
          </cell>
          <cell r="AS1112">
            <v>3</v>
          </cell>
          <cell r="AT1112">
            <v>4</v>
          </cell>
          <cell r="AU1112">
            <v>1</v>
          </cell>
          <cell r="AV1112">
            <v>1</v>
          </cell>
          <cell r="AW1112">
            <v>1</v>
          </cell>
          <cell r="AX1112">
            <v>2</v>
          </cell>
          <cell r="AY1112">
            <v>3</v>
          </cell>
          <cell r="AZ1112">
            <v>1</v>
          </cell>
          <cell r="BA1112">
            <v>1</v>
          </cell>
          <cell r="BB1112">
            <v>0</v>
          </cell>
          <cell r="BC1112">
            <v>0</v>
          </cell>
          <cell r="BD1112">
            <v>0</v>
          </cell>
          <cell r="BE1112">
            <v>0</v>
          </cell>
          <cell r="BF1112">
            <v>0</v>
          </cell>
          <cell r="BG1112">
            <v>0</v>
          </cell>
          <cell r="BH1112">
            <v>1</v>
          </cell>
          <cell r="BI1112">
            <v>0</v>
          </cell>
          <cell r="BJ1112">
            <v>0</v>
          </cell>
          <cell r="BK1112">
            <v>0</v>
          </cell>
          <cell r="BL1112">
            <v>0</v>
          </cell>
          <cell r="BM1112">
            <v>1</v>
          </cell>
          <cell r="BN1112">
            <v>0</v>
          </cell>
          <cell r="BO1112">
            <v>0</v>
          </cell>
          <cell r="BP1112">
            <v>0</v>
          </cell>
          <cell r="BQ1112">
            <v>0</v>
          </cell>
          <cell r="BR1112">
            <v>0</v>
          </cell>
          <cell r="BS1112">
            <v>0</v>
          </cell>
          <cell r="BT1112">
            <v>1</v>
          </cell>
          <cell r="BU1112">
            <v>0</v>
          </cell>
        </row>
        <row r="1113">
          <cell r="A1113">
            <v>53</v>
          </cell>
          <cell r="B1113">
            <v>53</v>
          </cell>
          <cell r="D1113">
            <v>1</v>
          </cell>
          <cell r="F1113">
            <v>0</v>
          </cell>
          <cell r="G1113">
            <v>1</v>
          </cell>
          <cell r="I1113">
            <v>1</v>
          </cell>
          <cell r="J1113">
            <v>0</v>
          </cell>
          <cell r="K1113">
            <v>2</v>
          </cell>
          <cell r="L1113">
            <v>2</v>
          </cell>
          <cell r="M1113">
            <v>5</v>
          </cell>
          <cell r="O1113">
            <v>0</v>
          </cell>
          <cell r="P1113">
            <v>0</v>
          </cell>
          <cell r="Q1113">
            <v>0</v>
          </cell>
          <cell r="R1113">
            <v>0</v>
          </cell>
          <cell r="S1113">
            <v>1</v>
          </cell>
          <cell r="T1113">
            <v>3</v>
          </cell>
          <cell r="V1113">
            <v>1</v>
          </cell>
          <cell r="W1113">
            <v>78</v>
          </cell>
          <cell r="X1113">
            <v>2</v>
          </cell>
          <cell r="Y1113">
            <v>3</v>
          </cell>
          <cell r="AA1113">
            <v>0</v>
          </cell>
          <cell r="AB1113">
            <v>0</v>
          </cell>
          <cell r="AC1113">
            <v>0</v>
          </cell>
          <cell r="AD1113">
            <v>0</v>
          </cell>
          <cell r="AE1113">
            <v>1</v>
          </cell>
          <cell r="AF1113">
            <v>1</v>
          </cell>
          <cell r="AG1113">
            <v>0</v>
          </cell>
          <cell r="AH1113">
            <v>0</v>
          </cell>
          <cell r="AI1113">
            <v>4</v>
          </cell>
          <cell r="AK1113">
            <v>0</v>
          </cell>
          <cell r="AL1113">
            <v>1</v>
          </cell>
          <cell r="AN1113">
            <v>10169</v>
          </cell>
          <cell r="AO1113">
            <v>0</v>
          </cell>
          <cell r="AQ1113">
            <v>0</v>
          </cell>
          <cell r="AR1113">
            <v>16</v>
          </cell>
          <cell r="AS1113">
            <v>3</v>
          </cell>
          <cell r="AT1113">
            <v>2</v>
          </cell>
          <cell r="AU1113">
            <v>1</v>
          </cell>
          <cell r="AV1113">
            <v>34</v>
          </cell>
          <cell r="AW1113">
            <v>34</v>
          </cell>
          <cell r="AX1113">
            <v>4</v>
          </cell>
          <cell r="AY1113">
            <v>3</v>
          </cell>
          <cell r="AZ1113">
            <v>33</v>
          </cell>
          <cell r="BA1113">
            <v>31</v>
          </cell>
          <cell r="BB1113">
            <v>7</v>
          </cell>
          <cell r="BC1113">
            <v>1</v>
          </cell>
          <cell r="BD1113">
            <v>1</v>
          </cell>
          <cell r="BE1113">
            <v>9</v>
          </cell>
          <cell r="BF1113">
            <v>9</v>
          </cell>
          <cell r="BG1113">
            <v>27</v>
          </cell>
          <cell r="BH1113">
            <v>0</v>
          </cell>
          <cell r="BI1113">
            <v>1</v>
          </cell>
          <cell r="BJ1113">
            <v>0</v>
          </cell>
          <cell r="BK1113">
            <v>0</v>
          </cell>
          <cell r="BL1113">
            <v>0</v>
          </cell>
          <cell r="BM1113">
            <v>0</v>
          </cell>
          <cell r="BN1113">
            <v>1</v>
          </cell>
          <cell r="BO1113">
            <v>0</v>
          </cell>
          <cell r="BP1113">
            <v>0</v>
          </cell>
          <cell r="BQ1113">
            <v>9</v>
          </cell>
          <cell r="BR1113">
            <v>0</v>
          </cell>
          <cell r="BS1113">
            <v>0</v>
          </cell>
          <cell r="BT1113">
            <v>34</v>
          </cell>
          <cell r="BU1113">
            <v>0</v>
          </cell>
        </row>
        <row r="1114">
          <cell r="A1114">
            <v>38</v>
          </cell>
          <cell r="B1114">
            <v>38</v>
          </cell>
          <cell r="D1114">
            <v>1</v>
          </cell>
          <cell r="F1114">
            <v>0</v>
          </cell>
          <cell r="G1114">
            <v>1</v>
          </cell>
          <cell r="I1114">
            <v>1</v>
          </cell>
          <cell r="J1114">
            <v>0</v>
          </cell>
          <cell r="K1114">
            <v>2</v>
          </cell>
          <cell r="L1114">
            <v>2</v>
          </cell>
          <cell r="M1114">
            <v>3</v>
          </cell>
          <cell r="O1114">
            <v>0</v>
          </cell>
          <cell r="P1114">
            <v>0</v>
          </cell>
          <cell r="Q1114">
            <v>1</v>
          </cell>
          <cell r="R1114">
            <v>0</v>
          </cell>
          <cell r="S1114">
            <v>0</v>
          </cell>
          <cell r="T1114">
            <v>3</v>
          </cell>
          <cell r="V1114">
            <v>0</v>
          </cell>
          <cell r="W1114">
            <v>81</v>
          </cell>
          <cell r="X1114">
            <v>3</v>
          </cell>
          <cell r="Y1114">
            <v>2</v>
          </cell>
          <cell r="AA1114">
            <v>0</v>
          </cell>
          <cell r="AB1114">
            <v>0</v>
          </cell>
          <cell r="AC1114">
            <v>0</v>
          </cell>
          <cell r="AD1114">
            <v>0</v>
          </cell>
          <cell r="AE1114">
            <v>1</v>
          </cell>
          <cell r="AF1114">
            <v>1</v>
          </cell>
          <cell r="AG1114">
            <v>0</v>
          </cell>
          <cell r="AH1114">
            <v>0</v>
          </cell>
          <cell r="AI1114">
            <v>2</v>
          </cell>
          <cell r="AK1114">
            <v>0</v>
          </cell>
          <cell r="AL1114">
            <v>1</v>
          </cell>
          <cell r="AN1114">
            <v>4855</v>
          </cell>
          <cell r="AO1114">
            <v>4</v>
          </cell>
          <cell r="AQ1114">
            <v>0</v>
          </cell>
          <cell r="AR1114">
            <v>11</v>
          </cell>
          <cell r="AS1114">
            <v>3</v>
          </cell>
          <cell r="AT1114">
            <v>1</v>
          </cell>
          <cell r="AU1114">
            <v>2</v>
          </cell>
          <cell r="AV1114">
            <v>7</v>
          </cell>
          <cell r="AW1114">
            <v>7</v>
          </cell>
          <cell r="AX1114">
            <v>2</v>
          </cell>
          <cell r="AY1114">
            <v>3</v>
          </cell>
          <cell r="AZ1114">
            <v>5</v>
          </cell>
          <cell r="BA1114">
            <v>5</v>
          </cell>
          <cell r="BB1114">
            <v>2</v>
          </cell>
          <cell r="BC1114">
            <v>1</v>
          </cell>
          <cell r="BD1114">
            <v>1</v>
          </cell>
          <cell r="BE1114">
            <v>4</v>
          </cell>
          <cell r="BF1114">
            <v>4</v>
          </cell>
          <cell r="BG1114">
            <v>8</v>
          </cell>
          <cell r="BH1114">
            <v>0</v>
          </cell>
          <cell r="BI1114">
            <v>1</v>
          </cell>
          <cell r="BJ1114">
            <v>0</v>
          </cell>
          <cell r="BK1114">
            <v>0</v>
          </cell>
          <cell r="BL1114">
            <v>0</v>
          </cell>
          <cell r="BM1114">
            <v>0</v>
          </cell>
          <cell r="BN1114">
            <v>1</v>
          </cell>
          <cell r="BO1114">
            <v>0</v>
          </cell>
          <cell r="BP1114">
            <v>0</v>
          </cell>
          <cell r="BQ1114">
            <v>4</v>
          </cell>
          <cell r="BR1114">
            <v>0</v>
          </cell>
          <cell r="BS1114">
            <v>0</v>
          </cell>
          <cell r="BT1114">
            <v>7</v>
          </cell>
          <cell r="BU1114">
            <v>0</v>
          </cell>
        </row>
        <row r="1115">
          <cell r="A1115">
            <v>32</v>
          </cell>
          <cell r="B1115">
            <v>32</v>
          </cell>
          <cell r="D1115">
            <v>0</v>
          </cell>
          <cell r="F1115">
            <v>0</v>
          </cell>
          <cell r="G1115">
            <v>0</v>
          </cell>
          <cell r="I1115">
            <v>1</v>
          </cell>
          <cell r="J1115">
            <v>0</v>
          </cell>
          <cell r="K1115">
            <v>1</v>
          </cell>
          <cell r="L1115">
            <v>1</v>
          </cell>
          <cell r="M1115">
            <v>4</v>
          </cell>
          <cell r="O1115">
            <v>0</v>
          </cell>
          <cell r="P1115">
            <v>0</v>
          </cell>
          <cell r="Q1115">
            <v>0</v>
          </cell>
          <cell r="R1115">
            <v>0</v>
          </cell>
          <cell r="S1115">
            <v>1</v>
          </cell>
          <cell r="T1115">
            <v>4</v>
          </cell>
          <cell r="V1115">
            <v>0</v>
          </cell>
          <cell r="W1115">
            <v>62</v>
          </cell>
          <cell r="X1115">
            <v>3</v>
          </cell>
          <cell r="Y1115">
            <v>2</v>
          </cell>
          <cell r="AA1115">
            <v>0</v>
          </cell>
          <cell r="AB1115">
            <v>0</v>
          </cell>
          <cell r="AC1115">
            <v>0</v>
          </cell>
          <cell r="AD1115">
            <v>0</v>
          </cell>
          <cell r="AE1115">
            <v>0</v>
          </cell>
          <cell r="AF1115">
            <v>0</v>
          </cell>
          <cell r="AG1115">
            <v>0</v>
          </cell>
          <cell r="AH1115">
            <v>1</v>
          </cell>
          <cell r="AI1115">
            <v>1</v>
          </cell>
          <cell r="AK1115">
            <v>0</v>
          </cell>
          <cell r="AL1115">
            <v>1</v>
          </cell>
          <cell r="AN1115">
            <v>4087</v>
          </cell>
          <cell r="AO1115">
            <v>4</v>
          </cell>
          <cell r="AQ1115">
            <v>0</v>
          </cell>
          <cell r="AR1115">
            <v>14</v>
          </cell>
          <cell r="AS1115">
            <v>3</v>
          </cell>
          <cell r="AT1115">
            <v>2</v>
          </cell>
          <cell r="AU1115">
            <v>1</v>
          </cell>
          <cell r="AV1115">
            <v>9</v>
          </cell>
          <cell r="AW1115">
            <v>9</v>
          </cell>
          <cell r="AX1115">
            <v>3</v>
          </cell>
          <cell r="AY1115">
            <v>2</v>
          </cell>
          <cell r="AZ1115">
            <v>6</v>
          </cell>
          <cell r="BA1115">
            <v>6</v>
          </cell>
          <cell r="BB1115">
            <v>5</v>
          </cell>
          <cell r="BC1115">
            <v>1</v>
          </cell>
          <cell r="BD1115">
            <v>1</v>
          </cell>
          <cell r="BE1115">
            <v>2</v>
          </cell>
          <cell r="BF1115">
            <v>2</v>
          </cell>
          <cell r="BG1115">
            <v>4</v>
          </cell>
          <cell r="BH1115">
            <v>0</v>
          </cell>
          <cell r="BI1115">
            <v>1</v>
          </cell>
          <cell r="BJ1115">
            <v>0</v>
          </cell>
          <cell r="BK1115">
            <v>0</v>
          </cell>
          <cell r="BL1115">
            <v>0</v>
          </cell>
          <cell r="BM1115">
            <v>0</v>
          </cell>
          <cell r="BN1115">
            <v>1</v>
          </cell>
          <cell r="BO1115">
            <v>0</v>
          </cell>
          <cell r="BP1115">
            <v>0</v>
          </cell>
          <cell r="BQ1115">
            <v>2</v>
          </cell>
          <cell r="BR1115">
            <v>0</v>
          </cell>
          <cell r="BS1115">
            <v>0</v>
          </cell>
          <cell r="BT1115">
            <v>9</v>
          </cell>
          <cell r="BU1115">
            <v>0</v>
          </cell>
        </row>
        <row r="1116">
          <cell r="A1116">
            <v>48</v>
          </cell>
          <cell r="B1116">
            <v>48</v>
          </cell>
          <cell r="D1116">
            <v>0</v>
          </cell>
          <cell r="F1116">
            <v>0</v>
          </cell>
          <cell r="G1116">
            <v>1</v>
          </cell>
          <cell r="I1116">
            <v>1</v>
          </cell>
          <cell r="J1116">
            <v>0</v>
          </cell>
          <cell r="K1116">
            <v>15</v>
          </cell>
          <cell r="L1116">
            <v>15</v>
          </cell>
          <cell r="M1116">
            <v>4</v>
          </cell>
          <cell r="O1116">
            <v>0</v>
          </cell>
          <cell r="P1116">
            <v>1</v>
          </cell>
          <cell r="Q1116">
            <v>0</v>
          </cell>
          <cell r="R1116">
            <v>0</v>
          </cell>
          <cell r="S1116">
            <v>0</v>
          </cell>
          <cell r="T1116">
            <v>3</v>
          </cell>
          <cell r="V1116">
            <v>1</v>
          </cell>
          <cell r="W1116">
            <v>65</v>
          </cell>
          <cell r="X1116">
            <v>3</v>
          </cell>
          <cell r="Y1116">
            <v>1</v>
          </cell>
          <cell r="AA1116">
            <v>0</v>
          </cell>
          <cell r="AB1116">
            <v>0</v>
          </cell>
          <cell r="AC1116">
            <v>0</v>
          </cell>
          <cell r="AD1116">
            <v>0</v>
          </cell>
          <cell r="AE1116">
            <v>0</v>
          </cell>
          <cell r="AF1116">
            <v>0</v>
          </cell>
          <cell r="AG1116">
            <v>0</v>
          </cell>
          <cell r="AH1116">
            <v>1</v>
          </cell>
          <cell r="AI1116">
            <v>1</v>
          </cell>
          <cell r="AK1116">
            <v>0</v>
          </cell>
          <cell r="AL1116">
            <v>1</v>
          </cell>
          <cell r="AN1116">
            <v>2367</v>
          </cell>
          <cell r="AO1116">
            <v>8</v>
          </cell>
          <cell r="AQ1116">
            <v>0</v>
          </cell>
          <cell r="AR1116">
            <v>12</v>
          </cell>
          <cell r="AS1116">
            <v>3</v>
          </cell>
          <cell r="AT1116">
            <v>4</v>
          </cell>
          <cell r="AU1116">
            <v>1</v>
          </cell>
          <cell r="AV1116">
            <v>10</v>
          </cell>
          <cell r="AW1116">
            <v>10</v>
          </cell>
          <cell r="AX1116">
            <v>3</v>
          </cell>
          <cell r="AY1116">
            <v>2</v>
          </cell>
          <cell r="AZ1116">
            <v>8</v>
          </cell>
          <cell r="BA1116">
            <v>8</v>
          </cell>
          <cell r="BB1116">
            <v>2</v>
          </cell>
          <cell r="BC1116">
            <v>7</v>
          </cell>
          <cell r="BD1116">
            <v>7</v>
          </cell>
          <cell r="BE1116">
            <v>6</v>
          </cell>
          <cell r="BF1116">
            <v>6</v>
          </cell>
          <cell r="BG1116">
            <v>6</v>
          </cell>
          <cell r="BH1116">
            <v>0</v>
          </cell>
          <cell r="BI1116">
            <v>1</v>
          </cell>
          <cell r="BJ1116">
            <v>0</v>
          </cell>
          <cell r="BK1116">
            <v>0</v>
          </cell>
          <cell r="BL1116">
            <v>0</v>
          </cell>
          <cell r="BM1116">
            <v>0</v>
          </cell>
          <cell r="BN1116">
            <v>1</v>
          </cell>
          <cell r="BO1116">
            <v>0</v>
          </cell>
          <cell r="BP1116">
            <v>0</v>
          </cell>
          <cell r="BQ1116">
            <v>6</v>
          </cell>
          <cell r="BR1116">
            <v>0</v>
          </cell>
          <cell r="BS1116">
            <v>0</v>
          </cell>
          <cell r="BT1116">
            <v>10</v>
          </cell>
          <cell r="BU1116">
            <v>0</v>
          </cell>
        </row>
        <row r="1117">
          <cell r="A1117">
            <v>34</v>
          </cell>
          <cell r="B1117">
            <v>34</v>
          </cell>
          <cell r="D1117">
            <v>0</v>
          </cell>
          <cell r="F1117">
            <v>0</v>
          </cell>
          <cell r="G1117">
            <v>1</v>
          </cell>
          <cell r="I1117">
            <v>1</v>
          </cell>
          <cell r="J1117">
            <v>0</v>
          </cell>
          <cell r="K1117">
            <v>7</v>
          </cell>
          <cell r="L1117">
            <v>7</v>
          </cell>
          <cell r="M1117">
            <v>4</v>
          </cell>
          <cell r="O1117">
            <v>0</v>
          </cell>
          <cell r="P1117">
            <v>0</v>
          </cell>
          <cell r="Q1117">
            <v>1</v>
          </cell>
          <cell r="R1117">
            <v>0</v>
          </cell>
          <cell r="S1117">
            <v>0</v>
          </cell>
          <cell r="T1117">
            <v>1</v>
          </cell>
          <cell r="V1117">
            <v>0</v>
          </cell>
          <cell r="W1117">
            <v>35</v>
          </cell>
          <cell r="X1117">
            <v>3</v>
          </cell>
          <cell r="Y1117">
            <v>1</v>
          </cell>
          <cell r="AA1117">
            <v>0</v>
          </cell>
          <cell r="AB1117">
            <v>0</v>
          </cell>
          <cell r="AC1117">
            <v>0</v>
          </cell>
          <cell r="AD1117">
            <v>0</v>
          </cell>
          <cell r="AE1117">
            <v>0</v>
          </cell>
          <cell r="AF1117">
            <v>0</v>
          </cell>
          <cell r="AG1117">
            <v>0</v>
          </cell>
          <cell r="AH1117">
            <v>1</v>
          </cell>
          <cell r="AI1117">
            <v>4</v>
          </cell>
          <cell r="AK1117">
            <v>1</v>
          </cell>
          <cell r="AL1117">
            <v>0</v>
          </cell>
          <cell r="AN1117">
            <v>2972</v>
          </cell>
          <cell r="AO1117">
            <v>1</v>
          </cell>
          <cell r="AQ1117">
            <v>0</v>
          </cell>
          <cell r="AR1117">
            <v>13</v>
          </cell>
          <cell r="AS1117">
            <v>3</v>
          </cell>
          <cell r="AT1117">
            <v>3</v>
          </cell>
          <cell r="AU1117">
            <v>0</v>
          </cell>
          <cell r="AV1117">
            <v>1</v>
          </cell>
          <cell r="AW1117">
            <v>1</v>
          </cell>
          <cell r="AX1117">
            <v>4</v>
          </cell>
          <cell r="AY1117">
            <v>1</v>
          </cell>
          <cell r="AZ1117">
            <v>1</v>
          </cell>
          <cell r="BA1117">
            <v>1</v>
          </cell>
          <cell r="BB1117">
            <v>0</v>
          </cell>
          <cell r="BC1117">
            <v>0</v>
          </cell>
          <cell r="BD1117">
            <v>0</v>
          </cell>
          <cell r="BE1117">
            <v>0</v>
          </cell>
          <cell r="BF1117">
            <v>0</v>
          </cell>
          <cell r="BG1117">
            <v>0</v>
          </cell>
          <cell r="BH1117">
            <v>1</v>
          </cell>
          <cell r="BI1117">
            <v>0</v>
          </cell>
          <cell r="BJ1117">
            <v>0</v>
          </cell>
          <cell r="BK1117">
            <v>0</v>
          </cell>
          <cell r="BL1117">
            <v>1</v>
          </cell>
          <cell r="BM1117">
            <v>0</v>
          </cell>
          <cell r="BN1117">
            <v>0</v>
          </cell>
          <cell r="BO1117">
            <v>0</v>
          </cell>
          <cell r="BP1117">
            <v>0</v>
          </cell>
          <cell r="BQ1117">
            <v>0</v>
          </cell>
          <cell r="BR1117">
            <v>0</v>
          </cell>
          <cell r="BS1117">
            <v>0</v>
          </cell>
          <cell r="BT1117">
            <v>1</v>
          </cell>
          <cell r="BU1117">
            <v>0</v>
          </cell>
        </row>
        <row r="1118">
          <cell r="A1118">
            <v>55</v>
          </cell>
          <cell r="B1118">
            <v>55</v>
          </cell>
          <cell r="D1118">
            <v>0</v>
          </cell>
          <cell r="F1118">
            <v>0</v>
          </cell>
          <cell r="G1118">
            <v>1</v>
          </cell>
          <cell r="I1118">
            <v>0</v>
          </cell>
          <cell r="J1118">
            <v>1</v>
          </cell>
          <cell r="K1118">
            <v>26</v>
          </cell>
          <cell r="L1118">
            <v>26</v>
          </cell>
          <cell r="M1118">
            <v>5</v>
          </cell>
          <cell r="O1118">
            <v>0</v>
          </cell>
          <cell r="P1118">
            <v>0</v>
          </cell>
          <cell r="Q1118">
            <v>0</v>
          </cell>
          <cell r="R1118">
            <v>1</v>
          </cell>
          <cell r="S1118">
            <v>0</v>
          </cell>
          <cell r="T1118">
            <v>3</v>
          </cell>
          <cell r="V1118">
            <v>0</v>
          </cell>
          <cell r="W1118">
            <v>60</v>
          </cell>
          <cell r="X1118">
            <v>2</v>
          </cell>
          <cell r="Y1118">
            <v>5</v>
          </cell>
          <cell r="AA1118">
            <v>0</v>
          </cell>
          <cell r="AB1118">
            <v>0</v>
          </cell>
          <cell r="AC1118">
            <v>0</v>
          </cell>
          <cell r="AD1118">
            <v>1</v>
          </cell>
          <cell r="AE1118">
            <v>0</v>
          </cell>
          <cell r="AF1118">
            <v>0</v>
          </cell>
          <cell r="AG1118">
            <v>0</v>
          </cell>
          <cell r="AH1118">
            <v>0</v>
          </cell>
          <cell r="AI1118">
            <v>4</v>
          </cell>
          <cell r="AK1118">
            <v>0</v>
          </cell>
          <cell r="AL1118">
            <v>1</v>
          </cell>
          <cell r="AN1118">
            <v>19586</v>
          </cell>
          <cell r="AO1118">
            <v>1</v>
          </cell>
          <cell r="AQ1118">
            <v>0</v>
          </cell>
          <cell r="AR1118">
            <v>21</v>
          </cell>
          <cell r="AS1118">
            <v>4</v>
          </cell>
          <cell r="AT1118">
            <v>3</v>
          </cell>
          <cell r="AU1118">
            <v>1</v>
          </cell>
          <cell r="AV1118">
            <v>36</v>
          </cell>
          <cell r="AW1118">
            <v>35</v>
          </cell>
          <cell r="AX1118">
            <v>3</v>
          </cell>
          <cell r="AY1118">
            <v>3</v>
          </cell>
          <cell r="AZ1118">
            <v>36</v>
          </cell>
          <cell r="BA1118">
            <v>31</v>
          </cell>
          <cell r="BB1118">
            <v>6</v>
          </cell>
          <cell r="BC1118">
            <v>2</v>
          </cell>
          <cell r="BD1118">
            <v>2</v>
          </cell>
          <cell r="BE1118">
            <v>13</v>
          </cell>
          <cell r="BF1118">
            <v>13</v>
          </cell>
          <cell r="BG1118">
            <v>65</v>
          </cell>
          <cell r="BH1118">
            <v>0</v>
          </cell>
          <cell r="BI1118">
            <v>1</v>
          </cell>
          <cell r="BJ1118">
            <v>0</v>
          </cell>
          <cell r="BK1118">
            <v>0</v>
          </cell>
          <cell r="BL1118">
            <v>0</v>
          </cell>
          <cell r="BM1118">
            <v>0</v>
          </cell>
          <cell r="BN1118">
            <v>1</v>
          </cell>
          <cell r="BO1118">
            <v>0</v>
          </cell>
          <cell r="BP1118">
            <v>0</v>
          </cell>
          <cell r="BQ1118">
            <v>0</v>
          </cell>
          <cell r="BR1118">
            <v>13</v>
          </cell>
          <cell r="BS1118">
            <v>0</v>
          </cell>
          <cell r="BT1118">
            <v>0</v>
          </cell>
          <cell r="BU1118">
            <v>35</v>
          </cell>
        </row>
        <row r="1119">
          <cell r="A1119">
            <v>34</v>
          </cell>
          <cell r="B1119">
            <v>34</v>
          </cell>
          <cell r="D1119">
            <v>0</v>
          </cell>
          <cell r="F1119">
            <v>0</v>
          </cell>
          <cell r="G1119">
            <v>1</v>
          </cell>
          <cell r="I1119">
            <v>1</v>
          </cell>
          <cell r="J1119">
            <v>0</v>
          </cell>
          <cell r="K1119">
            <v>1</v>
          </cell>
          <cell r="L1119">
            <v>1</v>
          </cell>
          <cell r="M1119">
            <v>4</v>
          </cell>
          <cell r="O1119">
            <v>1</v>
          </cell>
          <cell r="P1119">
            <v>0</v>
          </cell>
          <cell r="Q1119">
            <v>0</v>
          </cell>
          <cell r="R1119">
            <v>0</v>
          </cell>
          <cell r="S1119">
            <v>0</v>
          </cell>
          <cell r="T1119">
            <v>2</v>
          </cell>
          <cell r="V1119">
            <v>0</v>
          </cell>
          <cell r="W1119">
            <v>45</v>
          </cell>
          <cell r="X1119">
            <v>3</v>
          </cell>
          <cell r="Y1119">
            <v>2</v>
          </cell>
          <cell r="AA1119">
            <v>0</v>
          </cell>
          <cell r="AB1119">
            <v>0</v>
          </cell>
          <cell r="AC1119">
            <v>0</v>
          </cell>
          <cell r="AD1119">
            <v>0</v>
          </cell>
          <cell r="AE1119">
            <v>0</v>
          </cell>
          <cell r="AF1119">
            <v>0</v>
          </cell>
          <cell r="AG1119">
            <v>0</v>
          </cell>
          <cell r="AH1119">
            <v>1</v>
          </cell>
          <cell r="AI1119">
            <v>4</v>
          </cell>
          <cell r="AK1119">
            <v>0</v>
          </cell>
          <cell r="AL1119">
            <v>1</v>
          </cell>
          <cell r="AN1119">
            <v>5484</v>
          </cell>
          <cell r="AO1119">
            <v>9</v>
          </cell>
          <cell r="AQ1119">
            <v>0</v>
          </cell>
          <cell r="AR1119">
            <v>17</v>
          </cell>
          <cell r="AS1119">
            <v>3</v>
          </cell>
          <cell r="AT1119">
            <v>2</v>
          </cell>
          <cell r="AU1119">
            <v>1</v>
          </cell>
          <cell r="AV1119">
            <v>9</v>
          </cell>
          <cell r="AW1119">
            <v>9</v>
          </cell>
          <cell r="AX1119">
            <v>3</v>
          </cell>
          <cell r="AY1119">
            <v>2</v>
          </cell>
          <cell r="AZ1119">
            <v>2</v>
          </cell>
          <cell r="BA1119">
            <v>2</v>
          </cell>
          <cell r="BB1119">
            <v>2</v>
          </cell>
          <cell r="BC1119">
            <v>2</v>
          </cell>
          <cell r="BD1119">
            <v>2</v>
          </cell>
          <cell r="BE1119">
            <v>1</v>
          </cell>
          <cell r="BF1119">
            <v>1</v>
          </cell>
          <cell r="BG1119">
            <v>2</v>
          </cell>
          <cell r="BH1119">
            <v>0</v>
          </cell>
          <cell r="BI1119">
            <v>1</v>
          </cell>
          <cell r="BJ1119">
            <v>0</v>
          </cell>
          <cell r="BK1119">
            <v>0</v>
          </cell>
          <cell r="BL1119">
            <v>0</v>
          </cell>
          <cell r="BM1119">
            <v>0</v>
          </cell>
          <cell r="BN1119">
            <v>1</v>
          </cell>
          <cell r="BO1119">
            <v>0</v>
          </cell>
          <cell r="BP1119">
            <v>0</v>
          </cell>
          <cell r="BQ1119">
            <v>1</v>
          </cell>
          <cell r="BR1119">
            <v>0</v>
          </cell>
          <cell r="BS1119">
            <v>0</v>
          </cell>
          <cell r="BT1119">
            <v>9</v>
          </cell>
          <cell r="BU1119">
            <v>0</v>
          </cell>
        </row>
        <row r="1120">
          <cell r="A1120">
            <v>26</v>
          </cell>
          <cell r="B1120">
            <v>26</v>
          </cell>
          <cell r="D1120">
            <v>0</v>
          </cell>
          <cell r="F1120">
            <v>0</v>
          </cell>
          <cell r="G1120">
            <v>1</v>
          </cell>
          <cell r="I1120">
            <v>1</v>
          </cell>
          <cell r="J1120">
            <v>0</v>
          </cell>
          <cell r="K1120">
            <v>3</v>
          </cell>
          <cell r="L1120">
            <v>3</v>
          </cell>
          <cell r="M1120">
            <v>3</v>
          </cell>
          <cell r="O1120">
            <v>1</v>
          </cell>
          <cell r="P1120">
            <v>0</v>
          </cell>
          <cell r="Q1120">
            <v>0</v>
          </cell>
          <cell r="R1120">
            <v>0</v>
          </cell>
          <cell r="S1120">
            <v>0</v>
          </cell>
          <cell r="T1120">
            <v>1</v>
          </cell>
          <cell r="V1120">
            <v>1</v>
          </cell>
          <cell r="W1120">
            <v>89</v>
          </cell>
          <cell r="X1120">
            <v>3</v>
          </cell>
          <cell r="Y1120">
            <v>1</v>
          </cell>
          <cell r="AA1120">
            <v>0</v>
          </cell>
          <cell r="AB1120">
            <v>0</v>
          </cell>
          <cell r="AC1120">
            <v>0</v>
          </cell>
          <cell r="AD1120">
            <v>0</v>
          </cell>
          <cell r="AE1120">
            <v>0</v>
          </cell>
          <cell r="AF1120">
            <v>0</v>
          </cell>
          <cell r="AG1120">
            <v>0</v>
          </cell>
          <cell r="AH1120">
            <v>1</v>
          </cell>
          <cell r="AI1120">
            <v>4</v>
          </cell>
          <cell r="AK1120">
            <v>0</v>
          </cell>
          <cell r="AL1120">
            <v>1</v>
          </cell>
          <cell r="AN1120">
            <v>2061</v>
          </cell>
          <cell r="AO1120">
            <v>1</v>
          </cell>
          <cell r="AQ1120">
            <v>0</v>
          </cell>
          <cell r="AR1120">
            <v>21</v>
          </cell>
          <cell r="AS1120">
            <v>4</v>
          </cell>
          <cell r="AT1120">
            <v>1</v>
          </cell>
          <cell r="AU1120">
            <v>0</v>
          </cell>
          <cell r="AV1120">
            <v>1</v>
          </cell>
          <cell r="AW1120">
            <v>1</v>
          </cell>
          <cell r="AX1120">
            <v>5</v>
          </cell>
          <cell r="AY1120">
            <v>3</v>
          </cell>
          <cell r="AZ1120">
            <v>1</v>
          </cell>
          <cell r="BA1120">
            <v>1</v>
          </cell>
          <cell r="BB1120">
            <v>0</v>
          </cell>
          <cell r="BC1120">
            <v>0</v>
          </cell>
          <cell r="BD1120">
            <v>0</v>
          </cell>
          <cell r="BE1120">
            <v>0</v>
          </cell>
          <cell r="BF1120">
            <v>0</v>
          </cell>
          <cell r="BG1120">
            <v>0</v>
          </cell>
          <cell r="BH1120">
            <v>0</v>
          </cell>
          <cell r="BI1120">
            <v>1</v>
          </cell>
          <cell r="BJ1120">
            <v>0</v>
          </cell>
          <cell r="BK1120">
            <v>0</v>
          </cell>
          <cell r="BL1120">
            <v>0</v>
          </cell>
          <cell r="BM1120">
            <v>0</v>
          </cell>
          <cell r="BN1120">
            <v>1</v>
          </cell>
          <cell r="BO1120">
            <v>0</v>
          </cell>
          <cell r="BP1120">
            <v>0</v>
          </cell>
          <cell r="BQ1120">
            <v>0</v>
          </cell>
          <cell r="BR1120">
            <v>0</v>
          </cell>
          <cell r="BS1120">
            <v>0</v>
          </cell>
          <cell r="BT1120">
            <v>1</v>
          </cell>
          <cell r="BU1120">
            <v>0</v>
          </cell>
        </row>
        <row r="1121">
          <cell r="A1121">
            <v>38</v>
          </cell>
          <cell r="B1121">
            <v>38</v>
          </cell>
          <cell r="D1121">
            <v>0</v>
          </cell>
          <cell r="F1121">
            <v>0</v>
          </cell>
          <cell r="G1121">
            <v>1</v>
          </cell>
          <cell r="I1121">
            <v>0</v>
          </cell>
          <cell r="J1121">
            <v>1</v>
          </cell>
          <cell r="K1121">
            <v>14</v>
          </cell>
          <cell r="L1121">
            <v>14</v>
          </cell>
          <cell r="M1121">
            <v>3</v>
          </cell>
          <cell r="O1121">
            <v>1</v>
          </cell>
          <cell r="P1121">
            <v>0</v>
          </cell>
          <cell r="Q1121">
            <v>0</v>
          </cell>
          <cell r="R1121">
            <v>0</v>
          </cell>
          <cell r="S1121">
            <v>0</v>
          </cell>
          <cell r="T1121">
            <v>3</v>
          </cell>
          <cell r="V1121">
            <v>0</v>
          </cell>
          <cell r="W1121">
            <v>80</v>
          </cell>
          <cell r="X1121">
            <v>3</v>
          </cell>
          <cell r="Y1121">
            <v>2</v>
          </cell>
          <cell r="AA1121">
            <v>0</v>
          </cell>
          <cell r="AB1121">
            <v>1</v>
          </cell>
          <cell r="AC1121">
            <v>0</v>
          </cell>
          <cell r="AD1121">
            <v>0</v>
          </cell>
          <cell r="AE1121">
            <v>0</v>
          </cell>
          <cell r="AF1121">
            <v>0</v>
          </cell>
          <cell r="AG1121">
            <v>0</v>
          </cell>
          <cell r="AH1121">
            <v>0</v>
          </cell>
          <cell r="AI1121">
            <v>2</v>
          </cell>
          <cell r="AK1121">
            <v>0</v>
          </cell>
          <cell r="AL1121">
            <v>1</v>
          </cell>
          <cell r="AN1121">
            <v>9924</v>
          </cell>
          <cell r="AO1121">
            <v>0</v>
          </cell>
          <cell r="AQ1121">
            <v>0</v>
          </cell>
          <cell r="AR1121">
            <v>11</v>
          </cell>
          <cell r="AS1121">
            <v>3</v>
          </cell>
          <cell r="AT1121">
            <v>4</v>
          </cell>
          <cell r="AU1121">
            <v>1</v>
          </cell>
          <cell r="AV1121">
            <v>10</v>
          </cell>
          <cell r="AW1121">
            <v>10</v>
          </cell>
          <cell r="AX1121">
            <v>3</v>
          </cell>
          <cell r="AY1121">
            <v>3</v>
          </cell>
          <cell r="AZ1121">
            <v>9</v>
          </cell>
          <cell r="BA1121">
            <v>9</v>
          </cell>
          <cell r="BB1121">
            <v>8</v>
          </cell>
          <cell r="BC1121">
            <v>7</v>
          </cell>
          <cell r="BD1121">
            <v>7</v>
          </cell>
          <cell r="BE1121">
            <v>7</v>
          </cell>
          <cell r="BF1121">
            <v>7</v>
          </cell>
          <cell r="BG1121">
            <v>14</v>
          </cell>
          <cell r="BH1121">
            <v>0</v>
          </cell>
          <cell r="BI1121">
            <v>1</v>
          </cell>
          <cell r="BJ1121">
            <v>0</v>
          </cell>
          <cell r="BK1121">
            <v>0</v>
          </cell>
          <cell r="BL1121">
            <v>0</v>
          </cell>
          <cell r="BM1121">
            <v>0</v>
          </cell>
          <cell r="BN1121">
            <v>1</v>
          </cell>
          <cell r="BO1121">
            <v>0</v>
          </cell>
          <cell r="BP1121">
            <v>0</v>
          </cell>
          <cell r="BQ1121">
            <v>0</v>
          </cell>
          <cell r="BR1121">
            <v>7</v>
          </cell>
          <cell r="BS1121">
            <v>0</v>
          </cell>
          <cell r="BT1121">
            <v>0</v>
          </cell>
          <cell r="BU1121">
            <v>10</v>
          </cell>
        </row>
        <row r="1122">
          <cell r="A1122">
            <v>38</v>
          </cell>
          <cell r="B1122">
            <v>38</v>
          </cell>
          <cell r="D1122">
            <v>0</v>
          </cell>
          <cell r="F1122">
            <v>0</v>
          </cell>
          <cell r="G1122">
            <v>1</v>
          </cell>
          <cell r="I1122">
            <v>0</v>
          </cell>
          <cell r="J1122">
            <v>1</v>
          </cell>
          <cell r="K1122">
            <v>16</v>
          </cell>
          <cell r="L1122">
            <v>16</v>
          </cell>
          <cell r="M1122">
            <v>3</v>
          </cell>
          <cell r="O1122">
            <v>1</v>
          </cell>
          <cell r="P1122">
            <v>0</v>
          </cell>
          <cell r="Q1122">
            <v>0</v>
          </cell>
          <cell r="R1122">
            <v>0</v>
          </cell>
          <cell r="S1122">
            <v>0</v>
          </cell>
          <cell r="T1122">
            <v>2</v>
          </cell>
          <cell r="V1122">
            <v>1</v>
          </cell>
          <cell r="W1122">
            <v>90</v>
          </cell>
          <cell r="X1122">
            <v>3</v>
          </cell>
          <cell r="Y1122">
            <v>2</v>
          </cell>
          <cell r="AA1122">
            <v>0</v>
          </cell>
          <cell r="AB1122">
            <v>1</v>
          </cell>
          <cell r="AC1122">
            <v>0</v>
          </cell>
          <cell r="AD1122">
            <v>0</v>
          </cell>
          <cell r="AE1122">
            <v>0</v>
          </cell>
          <cell r="AF1122">
            <v>0</v>
          </cell>
          <cell r="AG1122">
            <v>0</v>
          </cell>
          <cell r="AH1122">
            <v>0</v>
          </cell>
          <cell r="AI1122">
            <v>2</v>
          </cell>
          <cell r="AK1122">
            <v>1</v>
          </cell>
          <cell r="AL1122">
            <v>0</v>
          </cell>
          <cell r="AN1122">
            <v>4198</v>
          </cell>
          <cell r="AO1122">
            <v>2</v>
          </cell>
          <cell r="AQ1122">
            <v>0</v>
          </cell>
          <cell r="AR1122">
            <v>12</v>
          </cell>
          <cell r="AS1122">
            <v>3</v>
          </cell>
          <cell r="AT1122">
            <v>2</v>
          </cell>
          <cell r="AU1122">
            <v>0</v>
          </cell>
          <cell r="AV1122">
            <v>8</v>
          </cell>
          <cell r="AW1122">
            <v>8</v>
          </cell>
          <cell r="AX1122">
            <v>5</v>
          </cell>
          <cell r="AY1122">
            <v>4</v>
          </cell>
          <cell r="AZ1122">
            <v>3</v>
          </cell>
          <cell r="BA1122">
            <v>3</v>
          </cell>
          <cell r="BB1122">
            <v>2</v>
          </cell>
          <cell r="BC1122">
            <v>1</v>
          </cell>
          <cell r="BD1122">
            <v>1</v>
          </cell>
          <cell r="BE1122">
            <v>2</v>
          </cell>
          <cell r="BF1122">
            <v>2</v>
          </cell>
          <cell r="BG1122">
            <v>4</v>
          </cell>
          <cell r="BH1122">
            <v>1</v>
          </cell>
          <cell r="BI1122">
            <v>0</v>
          </cell>
          <cell r="BJ1122">
            <v>0</v>
          </cell>
          <cell r="BK1122">
            <v>0</v>
          </cell>
          <cell r="BL1122">
            <v>1</v>
          </cell>
          <cell r="BM1122">
            <v>0</v>
          </cell>
          <cell r="BN1122">
            <v>0</v>
          </cell>
          <cell r="BO1122">
            <v>0</v>
          </cell>
          <cell r="BP1122">
            <v>0</v>
          </cell>
          <cell r="BQ1122">
            <v>0</v>
          </cell>
          <cell r="BR1122">
            <v>2</v>
          </cell>
          <cell r="BS1122">
            <v>0</v>
          </cell>
          <cell r="BT1122">
            <v>0</v>
          </cell>
          <cell r="BU1122">
            <v>8</v>
          </cell>
        </row>
        <row r="1123">
          <cell r="A1123">
            <v>36</v>
          </cell>
          <cell r="B1123">
            <v>36</v>
          </cell>
          <cell r="D1123">
            <v>0</v>
          </cell>
          <cell r="F1123">
            <v>0</v>
          </cell>
          <cell r="G1123">
            <v>1</v>
          </cell>
          <cell r="I1123">
            <v>0</v>
          </cell>
          <cell r="J1123">
            <v>1</v>
          </cell>
          <cell r="K1123">
            <v>1</v>
          </cell>
          <cell r="L1123">
            <v>1</v>
          </cell>
          <cell r="M1123">
            <v>4</v>
          </cell>
          <cell r="O1123">
            <v>1</v>
          </cell>
          <cell r="P1123">
            <v>0</v>
          </cell>
          <cell r="Q1123">
            <v>0</v>
          </cell>
          <cell r="R1123">
            <v>0</v>
          </cell>
          <cell r="S1123">
            <v>0</v>
          </cell>
          <cell r="T1123">
            <v>2</v>
          </cell>
          <cell r="V1123">
            <v>1</v>
          </cell>
          <cell r="W1123">
            <v>73</v>
          </cell>
          <cell r="X1123">
            <v>3</v>
          </cell>
          <cell r="Y1123">
            <v>2</v>
          </cell>
          <cell r="AA1123">
            <v>0</v>
          </cell>
          <cell r="AB1123">
            <v>1</v>
          </cell>
          <cell r="AC1123">
            <v>0</v>
          </cell>
          <cell r="AD1123">
            <v>0</v>
          </cell>
          <cell r="AE1123">
            <v>0</v>
          </cell>
          <cell r="AF1123">
            <v>0</v>
          </cell>
          <cell r="AG1123">
            <v>0</v>
          </cell>
          <cell r="AH1123">
            <v>0</v>
          </cell>
          <cell r="AI1123">
            <v>3</v>
          </cell>
          <cell r="AK1123">
            <v>1</v>
          </cell>
          <cell r="AL1123">
            <v>0</v>
          </cell>
          <cell r="AN1123">
            <v>6815</v>
          </cell>
          <cell r="AO1123">
            <v>6</v>
          </cell>
          <cell r="AQ1123">
            <v>0</v>
          </cell>
          <cell r="AR1123">
            <v>13</v>
          </cell>
          <cell r="AS1123">
            <v>3</v>
          </cell>
          <cell r="AT1123">
            <v>1</v>
          </cell>
          <cell r="AU1123">
            <v>0</v>
          </cell>
          <cell r="AV1123">
            <v>15</v>
          </cell>
          <cell r="AW1123">
            <v>15</v>
          </cell>
          <cell r="AX1123">
            <v>5</v>
          </cell>
          <cell r="AY1123">
            <v>3</v>
          </cell>
          <cell r="AZ1123">
            <v>1</v>
          </cell>
          <cell r="BA1123">
            <v>1</v>
          </cell>
          <cell r="BB1123">
            <v>0</v>
          </cell>
          <cell r="BC1123">
            <v>0</v>
          </cell>
          <cell r="BD1123">
            <v>0</v>
          </cell>
          <cell r="BE1123">
            <v>0</v>
          </cell>
          <cell r="BF1123">
            <v>0</v>
          </cell>
          <cell r="BG1123">
            <v>0</v>
          </cell>
          <cell r="BH1123">
            <v>1</v>
          </cell>
          <cell r="BI1123">
            <v>0</v>
          </cell>
          <cell r="BJ1123">
            <v>0</v>
          </cell>
          <cell r="BK1123">
            <v>0</v>
          </cell>
          <cell r="BL1123">
            <v>1</v>
          </cell>
          <cell r="BM1123">
            <v>0</v>
          </cell>
          <cell r="BN1123">
            <v>0</v>
          </cell>
          <cell r="BO1123">
            <v>0</v>
          </cell>
          <cell r="BP1123">
            <v>0</v>
          </cell>
          <cell r="BQ1123">
            <v>0</v>
          </cell>
          <cell r="BR1123">
            <v>0</v>
          </cell>
          <cell r="BS1123">
            <v>0</v>
          </cell>
          <cell r="BT1123">
            <v>0</v>
          </cell>
          <cell r="BU1123">
            <v>15</v>
          </cell>
        </row>
        <row r="1124">
          <cell r="A1124">
            <v>29</v>
          </cell>
          <cell r="B1124">
            <v>29</v>
          </cell>
          <cell r="D1124">
            <v>0</v>
          </cell>
          <cell r="F1124">
            <v>0</v>
          </cell>
          <cell r="G1124">
            <v>1</v>
          </cell>
          <cell r="I1124">
            <v>1</v>
          </cell>
          <cell r="J1124">
            <v>0</v>
          </cell>
          <cell r="K1124">
            <v>3</v>
          </cell>
          <cell r="L1124">
            <v>3</v>
          </cell>
          <cell r="M1124">
            <v>1</v>
          </cell>
          <cell r="O1124">
            <v>0</v>
          </cell>
          <cell r="P1124">
            <v>0</v>
          </cell>
          <cell r="Q1124">
            <v>1</v>
          </cell>
          <cell r="R1124">
            <v>0</v>
          </cell>
          <cell r="S1124">
            <v>0</v>
          </cell>
          <cell r="T1124">
            <v>2</v>
          </cell>
          <cell r="V1124">
            <v>0</v>
          </cell>
          <cell r="W1124">
            <v>87</v>
          </cell>
          <cell r="X1124">
            <v>3</v>
          </cell>
          <cell r="Y1124">
            <v>1</v>
          </cell>
          <cell r="AA1124">
            <v>0</v>
          </cell>
          <cell r="AB1124">
            <v>0</v>
          </cell>
          <cell r="AC1124">
            <v>1</v>
          </cell>
          <cell r="AD1124">
            <v>0</v>
          </cell>
          <cell r="AE1124">
            <v>0</v>
          </cell>
          <cell r="AF1124">
            <v>0</v>
          </cell>
          <cell r="AG1124">
            <v>0</v>
          </cell>
          <cell r="AH1124">
            <v>0</v>
          </cell>
          <cell r="AI1124">
            <v>1</v>
          </cell>
          <cell r="AK1124">
            <v>1</v>
          </cell>
          <cell r="AL1124">
            <v>0</v>
          </cell>
          <cell r="AN1124">
            <v>4723</v>
          </cell>
          <cell r="AO1124">
            <v>1</v>
          </cell>
          <cell r="AQ1124">
            <v>1</v>
          </cell>
          <cell r="AR1124">
            <v>18</v>
          </cell>
          <cell r="AS1124">
            <v>3</v>
          </cell>
          <cell r="AT1124">
            <v>4</v>
          </cell>
          <cell r="AU1124">
            <v>0</v>
          </cell>
          <cell r="AV1124">
            <v>10</v>
          </cell>
          <cell r="AW1124">
            <v>10</v>
          </cell>
          <cell r="AX1124">
            <v>3</v>
          </cell>
          <cell r="AY1124">
            <v>3</v>
          </cell>
          <cell r="AZ1124">
            <v>10</v>
          </cell>
          <cell r="BA1124">
            <v>10</v>
          </cell>
          <cell r="BB1124">
            <v>9</v>
          </cell>
          <cell r="BC1124">
            <v>1</v>
          </cell>
          <cell r="BD1124">
            <v>1</v>
          </cell>
          <cell r="BE1124">
            <v>5</v>
          </cell>
          <cell r="BF1124">
            <v>5</v>
          </cell>
          <cell r="BG1124">
            <v>5</v>
          </cell>
          <cell r="BH1124">
            <v>1</v>
          </cell>
          <cell r="BI1124">
            <v>0</v>
          </cell>
          <cell r="BJ1124">
            <v>0</v>
          </cell>
          <cell r="BK1124">
            <v>0</v>
          </cell>
          <cell r="BL1124">
            <v>0</v>
          </cell>
          <cell r="BM1124">
            <v>1</v>
          </cell>
          <cell r="BN1124">
            <v>0</v>
          </cell>
          <cell r="BO1124">
            <v>0</v>
          </cell>
          <cell r="BP1124">
            <v>0</v>
          </cell>
          <cell r="BQ1124">
            <v>5</v>
          </cell>
          <cell r="BR1124">
            <v>0</v>
          </cell>
          <cell r="BS1124">
            <v>0</v>
          </cell>
          <cell r="BT1124">
            <v>10</v>
          </cell>
          <cell r="BU1124">
            <v>0</v>
          </cell>
        </row>
        <row r="1125">
          <cell r="A1125">
            <v>35</v>
          </cell>
          <cell r="B1125">
            <v>35</v>
          </cell>
          <cell r="D1125">
            <v>0</v>
          </cell>
          <cell r="F1125">
            <v>0</v>
          </cell>
          <cell r="G1125">
            <v>1</v>
          </cell>
          <cell r="I1125">
            <v>1</v>
          </cell>
          <cell r="J1125">
            <v>0</v>
          </cell>
          <cell r="K1125">
            <v>10</v>
          </cell>
          <cell r="L1125">
            <v>10</v>
          </cell>
          <cell r="M1125">
            <v>4</v>
          </cell>
          <cell r="O1125">
            <v>0</v>
          </cell>
          <cell r="P1125">
            <v>0</v>
          </cell>
          <cell r="Q1125">
            <v>1</v>
          </cell>
          <cell r="R1125">
            <v>0</v>
          </cell>
          <cell r="S1125">
            <v>0</v>
          </cell>
          <cell r="T1125">
            <v>1</v>
          </cell>
          <cell r="V1125">
            <v>1</v>
          </cell>
          <cell r="W1125">
            <v>51</v>
          </cell>
          <cell r="X1125">
            <v>3</v>
          </cell>
          <cell r="Y1125">
            <v>2</v>
          </cell>
          <cell r="AA1125">
            <v>1</v>
          </cell>
          <cell r="AB1125">
            <v>0</v>
          </cell>
          <cell r="AC1125">
            <v>0</v>
          </cell>
          <cell r="AD1125">
            <v>0</v>
          </cell>
          <cell r="AE1125">
            <v>0</v>
          </cell>
          <cell r="AF1125">
            <v>0</v>
          </cell>
          <cell r="AG1125">
            <v>0</v>
          </cell>
          <cell r="AH1125">
            <v>0</v>
          </cell>
          <cell r="AI1125">
            <v>3</v>
          </cell>
          <cell r="AK1125">
            <v>1</v>
          </cell>
          <cell r="AL1125">
            <v>0</v>
          </cell>
          <cell r="AN1125">
            <v>6142</v>
          </cell>
          <cell r="AO1125">
            <v>3</v>
          </cell>
          <cell r="AQ1125">
            <v>1</v>
          </cell>
          <cell r="AR1125">
            <v>16</v>
          </cell>
          <cell r="AS1125">
            <v>3</v>
          </cell>
          <cell r="AT1125">
            <v>3</v>
          </cell>
          <cell r="AU1125">
            <v>0</v>
          </cell>
          <cell r="AV1125">
            <v>10</v>
          </cell>
          <cell r="AW1125">
            <v>10</v>
          </cell>
          <cell r="AX1125">
            <v>4</v>
          </cell>
          <cell r="AY1125">
            <v>3</v>
          </cell>
          <cell r="AZ1125">
            <v>5</v>
          </cell>
          <cell r="BA1125">
            <v>5</v>
          </cell>
          <cell r="BB1125">
            <v>2</v>
          </cell>
          <cell r="BC1125">
            <v>0</v>
          </cell>
          <cell r="BD1125">
            <v>0</v>
          </cell>
          <cell r="BE1125">
            <v>4</v>
          </cell>
          <cell r="BF1125">
            <v>4</v>
          </cell>
          <cell r="BG1125">
            <v>8</v>
          </cell>
          <cell r="BH1125">
            <v>1</v>
          </cell>
          <cell r="BI1125">
            <v>0</v>
          </cell>
          <cell r="BJ1125">
            <v>0</v>
          </cell>
          <cell r="BK1125">
            <v>0</v>
          </cell>
          <cell r="BL1125">
            <v>0</v>
          </cell>
          <cell r="BM1125">
            <v>1</v>
          </cell>
          <cell r="BN1125">
            <v>0</v>
          </cell>
          <cell r="BO1125">
            <v>0</v>
          </cell>
          <cell r="BP1125">
            <v>0</v>
          </cell>
          <cell r="BQ1125">
            <v>4</v>
          </cell>
          <cell r="BR1125">
            <v>0</v>
          </cell>
          <cell r="BS1125">
            <v>0</v>
          </cell>
          <cell r="BT1125">
            <v>10</v>
          </cell>
          <cell r="BU1125">
            <v>0</v>
          </cell>
        </row>
        <row r="1126">
          <cell r="A1126">
            <v>39</v>
          </cell>
          <cell r="B1126">
            <v>39</v>
          </cell>
          <cell r="D1126">
            <v>0</v>
          </cell>
          <cell r="F1126">
            <v>0</v>
          </cell>
          <cell r="G1126">
            <v>1</v>
          </cell>
          <cell r="I1126">
            <v>0</v>
          </cell>
          <cell r="J1126">
            <v>1</v>
          </cell>
          <cell r="K1126">
            <v>6</v>
          </cell>
          <cell r="L1126">
            <v>6</v>
          </cell>
          <cell r="M1126">
            <v>3</v>
          </cell>
          <cell r="O1126">
            <v>0</v>
          </cell>
          <cell r="P1126">
            <v>0</v>
          </cell>
          <cell r="Q1126">
            <v>1</v>
          </cell>
          <cell r="R1126">
            <v>0</v>
          </cell>
          <cell r="S1126">
            <v>0</v>
          </cell>
          <cell r="T1126">
            <v>4</v>
          </cell>
          <cell r="V1126">
            <v>0</v>
          </cell>
          <cell r="W1126">
            <v>38</v>
          </cell>
          <cell r="X1126">
            <v>4</v>
          </cell>
          <cell r="Y1126">
            <v>3</v>
          </cell>
          <cell r="AA1126">
            <v>0</v>
          </cell>
          <cell r="AB1126">
            <v>1</v>
          </cell>
          <cell r="AC1126">
            <v>0</v>
          </cell>
          <cell r="AD1126">
            <v>0</v>
          </cell>
          <cell r="AE1126">
            <v>0</v>
          </cell>
          <cell r="AF1126">
            <v>0</v>
          </cell>
          <cell r="AG1126">
            <v>0</v>
          </cell>
          <cell r="AH1126">
            <v>0</v>
          </cell>
          <cell r="AI1126">
            <v>3</v>
          </cell>
          <cell r="AK1126">
            <v>0</v>
          </cell>
          <cell r="AL1126">
            <v>1</v>
          </cell>
          <cell r="AN1126">
            <v>8237</v>
          </cell>
          <cell r="AO1126">
            <v>2</v>
          </cell>
          <cell r="AQ1126">
            <v>0</v>
          </cell>
          <cell r="AR1126">
            <v>11</v>
          </cell>
          <cell r="AS1126">
            <v>3</v>
          </cell>
          <cell r="AT1126">
            <v>1</v>
          </cell>
          <cell r="AU1126">
            <v>1</v>
          </cell>
          <cell r="AV1126">
            <v>11</v>
          </cell>
          <cell r="AW1126">
            <v>11</v>
          </cell>
          <cell r="AX1126">
            <v>3</v>
          </cell>
          <cell r="AY1126">
            <v>3</v>
          </cell>
          <cell r="AZ1126">
            <v>7</v>
          </cell>
          <cell r="BA1126">
            <v>7</v>
          </cell>
          <cell r="BB1126">
            <v>6</v>
          </cell>
          <cell r="BC1126">
            <v>7</v>
          </cell>
          <cell r="BD1126">
            <v>7</v>
          </cell>
          <cell r="BE1126">
            <v>6</v>
          </cell>
          <cell r="BF1126">
            <v>6</v>
          </cell>
          <cell r="BG1126">
            <v>18</v>
          </cell>
          <cell r="BH1126">
            <v>0</v>
          </cell>
          <cell r="BI1126">
            <v>1</v>
          </cell>
          <cell r="BJ1126">
            <v>0</v>
          </cell>
          <cell r="BK1126">
            <v>0</v>
          </cell>
          <cell r="BL1126">
            <v>0</v>
          </cell>
          <cell r="BM1126">
            <v>0</v>
          </cell>
          <cell r="BN1126">
            <v>1</v>
          </cell>
          <cell r="BO1126">
            <v>0</v>
          </cell>
          <cell r="BP1126">
            <v>0</v>
          </cell>
          <cell r="BQ1126">
            <v>0</v>
          </cell>
          <cell r="BR1126">
            <v>6</v>
          </cell>
          <cell r="BS1126">
            <v>0</v>
          </cell>
          <cell r="BT1126">
            <v>0</v>
          </cell>
          <cell r="BU1126">
            <v>11</v>
          </cell>
        </row>
        <row r="1127">
          <cell r="A1127">
            <v>29</v>
          </cell>
          <cell r="B1127">
            <v>29</v>
          </cell>
          <cell r="D1127">
            <v>0</v>
          </cell>
          <cell r="F1127">
            <v>1</v>
          </cell>
          <cell r="G1127">
            <v>0</v>
          </cell>
          <cell r="I1127">
            <v>1</v>
          </cell>
          <cell r="J1127">
            <v>0</v>
          </cell>
          <cell r="K1127">
            <v>2</v>
          </cell>
          <cell r="L1127">
            <v>2</v>
          </cell>
          <cell r="M1127">
            <v>1</v>
          </cell>
          <cell r="O1127">
            <v>1</v>
          </cell>
          <cell r="P1127">
            <v>0</v>
          </cell>
          <cell r="Q1127">
            <v>0</v>
          </cell>
          <cell r="R1127">
            <v>0</v>
          </cell>
          <cell r="S1127">
            <v>0</v>
          </cell>
          <cell r="T1127">
            <v>1</v>
          </cell>
          <cell r="V1127">
            <v>0</v>
          </cell>
          <cell r="W1127">
            <v>87</v>
          </cell>
          <cell r="X1127">
            <v>3</v>
          </cell>
          <cell r="Y1127">
            <v>2</v>
          </cell>
          <cell r="AA1127">
            <v>1</v>
          </cell>
          <cell r="AB1127">
            <v>0</v>
          </cell>
          <cell r="AC1127">
            <v>0</v>
          </cell>
          <cell r="AD1127">
            <v>0</v>
          </cell>
          <cell r="AE1127">
            <v>0</v>
          </cell>
          <cell r="AF1127">
            <v>0</v>
          </cell>
          <cell r="AG1127">
            <v>0</v>
          </cell>
          <cell r="AH1127">
            <v>0</v>
          </cell>
          <cell r="AI1127">
            <v>4</v>
          </cell>
          <cell r="AK1127">
            <v>0</v>
          </cell>
          <cell r="AL1127">
            <v>0</v>
          </cell>
          <cell r="AN1127">
            <v>8853</v>
          </cell>
          <cell r="AO1127">
            <v>1</v>
          </cell>
          <cell r="AQ1127">
            <v>0</v>
          </cell>
          <cell r="AR1127">
            <v>19</v>
          </cell>
          <cell r="AS1127">
            <v>3</v>
          </cell>
          <cell r="AT1127">
            <v>4</v>
          </cell>
          <cell r="AU1127">
            <v>1</v>
          </cell>
          <cell r="AV1127">
            <v>6</v>
          </cell>
          <cell r="AW1127">
            <v>6</v>
          </cell>
          <cell r="AX1127">
            <v>0</v>
          </cell>
          <cell r="AY1127">
            <v>4</v>
          </cell>
          <cell r="AZ1127">
            <v>6</v>
          </cell>
          <cell r="BA1127">
            <v>6</v>
          </cell>
          <cell r="BB1127">
            <v>4</v>
          </cell>
          <cell r="BC1127">
            <v>1</v>
          </cell>
          <cell r="BD1127">
            <v>1</v>
          </cell>
          <cell r="BE1127">
            <v>3</v>
          </cell>
          <cell r="BF1127">
            <v>3</v>
          </cell>
          <cell r="BG1127">
            <v>6</v>
          </cell>
          <cell r="BH1127">
            <v>0</v>
          </cell>
          <cell r="BI1127">
            <v>0</v>
          </cell>
          <cell r="BJ1127">
            <v>1</v>
          </cell>
          <cell r="BK1127">
            <v>0</v>
          </cell>
          <cell r="BL1127">
            <v>1</v>
          </cell>
          <cell r="BM1127">
            <v>0</v>
          </cell>
          <cell r="BN1127">
            <v>0</v>
          </cell>
          <cell r="BO1127">
            <v>0</v>
          </cell>
          <cell r="BP1127">
            <v>0</v>
          </cell>
          <cell r="BQ1127">
            <v>3</v>
          </cell>
          <cell r="BR1127">
            <v>0</v>
          </cell>
          <cell r="BS1127">
            <v>0</v>
          </cell>
          <cell r="BT1127">
            <v>6</v>
          </cell>
          <cell r="BU1127">
            <v>0</v>
          </cell>
        </row>
        <row r="1128">
          <cell r="A1128">
            <v>50</v>
          </cell>
          <cell r="B1128">
            <v>50</v>
          </cell>
          <cell r="D1128">
            <v>0</v>
          </cell>
          <cell r="F1128">
            <v>0</v>
          </cell>
          <cell r="G1128">
            <v>1</v>
          </cell>
          <cell r="I1128">
            <v>0</v>
          </cell>
          <cell r="J1128">
            <v>1</v>
          </cell>
          <cell r="K1128">
            <v>9</v>
          </cell>
          <cell r="L1128">
            <v>9</v>
          </cell>
          <cell r="M1128">
            <v>3</v>
          </cell>
          <cell r="O1128">
            <v>0</v>
          </cell>
          <cell r="P1128">
            <v>0</v>
          </cell>
          <cell r="Q1128">
            <v>0</v>
          </cell>
          <cell r="R1128">
            <v>1</v>
          </cell>
          <cell r="S1128">
            <v>0</v>
          </cell>
          <cell r="T1128">
            <v>3</v>
          </cell>
          <cell r="V1128">
            <v>0</v>
          </cell>
          <cell r="W1128">
            <v>59</v>
          </cell>
          <cell r="X1128">
            <v>3</v>
          </cell>
          <cell r="Y1128">
            <v>5</v>
          </cell>
          <cell r="AA1128">
            <v>0</v>
          </cell>
          <cell r="AB1128">
            <v>0</v>
          </cell>
          <cell r="AC1128">
            <v>0</v>
          </cell>
          <cell r="AD1128">
            <v>1</v>
          </cell>
          <cell r="AE1128">
            <v>0</v>
          </cell>
          <cell r="AF1128">
            <v>0</v>
          </cell>
          <cell r="AG1128">
            <v>0</v>
          </cell>
          <cell r="AH1128">
            <v>0</v>
          </cell>
          <cell r="AI1128">
            <v>3</v>
          </cell>
          <cell r="AK1128">
            <v>0</v>
          </cell>
          <cell r="AL1128">
            <v>1</v>
          </cell>
          <cell r="AN1128">
            <v>19331</v>
          </cell>
          <cell r="AO1128">
            <v>4</v>
          </cell>
          <cell r="AQ1128">
            <v>1</v>
          </cell>
          <cell r="AR1128">
            <v>16</v>
          </cell>
          <cell r="AS1128">
            <v>3</v>
          </cell>
          <cell r="AT1128">
            <v>3</v>
          </cell>
          <cell r="AU1128">
            <v>1</v>
          </cell>
          <cell r="AV1128">
            <v>27</v>
          </cell>
          <cell r="AW1128">
            <v>27</v>
          </cell>
          <cell r="AX1128">
            <v>2</v>
          </cell>
          <cell r="AY1128">
            <v>3</v>
          </cell>
          <cell r="AZ1128">
            <v>1</v>
          </cell>
          <cell r="BA1128">
            <v>1</v>
          </cell>
          <cell r="BB1128">
            <v>0</v>
          </cell>
          <cell r="BC1128">
            <v>0</v>
          </cell>
          <cell r="BD1128">
            <v>0</v>
          </cell>
          <cell r="BE1128">
            <v>0</v>
          </cell>
          <cell r="BF1128">
            <v>0</v>
          </cell>
          <cell r="BG1128">
            <v>0</v>
          </cell>
          <cell r="BH1128">
            <v>0</v>
          </cell>
          <cell r="BI1128">
            <v>1</v>
          </cell>
          <cell r="BJ1128">
            <v>0</v>
          </cell>
          <cell r="BK1128">
            <v>0</v>
          </cell>
          <cell r="BL1128">
            <v>0</v>
          </cell>
          <cell r="BM1128">
            <v>0</v>
          </cell>
          <cell r="BN1128">
            <v>0</v>
          </cell>
          <cell r="BO1128">
            <v>1</v>
          </cell>
          <cell r="BP1128">
            <v>0</v>
          </cell>
          <cell r="BQ1128">
            <v>0</v>
          </cell>
          <cell r="BR1128">
            <v>0</v>
          </cell>
          <cell r="BS1128">
            <v>0</v>
          </cell>
          <cell r="BT1128">
            <v>0</v>
          </cell>
          <cell r="BU1128">
            <v>27</v>
          </cell>
        </row>
        <row r="1129">
          <cell r="A1129">
            <v>23</v>
          </cell>
          <cell r="B1129">
            <v>23</v>
          </cell>
          <cell r="D1129">
            <v>0</v>
          </cell>
          <cell r="F1129">
            <v>0</v>
          </cell>
          <cell r="G1129">
            <v>1</v>
          </cell>
          <cell r="I1129">
            <v>1</v>
          </cell>
          <cell r="J1129">
            <v>0</v>
          </cell>
          <cell r="K1129">
            <v>10</v>
          </cell>
          <cell r="L1129">
            <v>10</v>
          </cell>
          <cell r="M1129">
            <v>3</v>
          </cell>
          <cell r="O1129">
            <v>0</v>
          </cell>
          <cell r="P1129">
            <v>0</v>
          </cell>
          <cell r="Q1129">
            <v>0</v>
          </cell>
          <cell r="R1129">
            <v>0</v>
          </cell>
          <cell r="S1129">
            <v>1</v>
          </cell>
          <cell r="T1129">
            <v>4</v>
          </cell>
          <cell r="V1129">
            <v>0</v>
          </cell>
          <cell r="W1129">
            <v>45</v>
          </cell>
          <cell r="X1129">
            <v>4</v>
          </cell>
          <cell r="Y1129">
            <v>1</v>
          </cell>
          <cell r="AA1129">
            <v>0</v>
          </cell>
          <cell r="AB1129">
            <v>0</v>
          </cell>
          <cell r="AC1129">
            <v>0</v>
          </cell>
          <cell r="AD1129">
            <v>0</v>
          </cell>
          <cell r="AE1129">
            <v>0</v>
          </cell>
          <cell r="AF1129">
            <v>0</v>
          </cell>
          <cell r="AG1129">
            <v>0</v>
          </cell>
          <cell r="AH1129">
            <v>1</v>
          </cell>
          <cell r="AI1129">
            <v>3</v>
          </cell>
          <cell r="AK1129">
            <v>0</v>
          </cell>
          <cell r="AL1129">
            <v>1</v>
          </cell>
          <cell r="AN1129">
            <v>2073</v>
          </cell>
          <cell r="AO1129">
            <v>2</v>
          </cell>
          <cell r="AQ1129">
            <v>0</v>
          </cell>
          <cell r="AR1129">
            <v>16</v>
          </cell>
          <cell r="AS1129">
            <v>3</v>
          </cell>
          <cell r="AT1129">
            <v>4</v>
          </cell>
          <cell r="AU1129">
            <v>1</v>
          </cell>
          <cell r="AV1129">
            <v>4</v>
          </cell>
          <cell r="AW1129">
            <v>4</v>
          </cell>
          <cell r="AX1129">
            <v>2</v>
          </cell>
          <cell r="AY1129">
            <v>3</v>
          </cell>
          <cell r="AZ1129">
            <v>2</v>
          </cell>
          <cell r="BA1129">
            <v>2</v>
          </cell>
          <cell r="BB1129">
            <v>2</v>
          </cell>
          <cell r="BC1129">
            <v>2</v>
          </cell>
          <cell r="BD1129">
            <v>2</v>
          </cell>
          <cell r="BE1129">
            <v>2</v>
          </cell>
          <cell r="BF1129">
            <v>2</v>
          </cell>
          <cell r="BG1129">
            <v>2</v>
          </cell>
          <cell r="BH1129">
            <v>0</v>
          </cell>
          <cell r="BI1129">
            <v>1</v>
          </cell>
          <cell r="BJ1129">
            <v>0</v>
          </cell>
          <cell r="BK1129">
            <v>0</v>
          </cell>
          <cell r="BL1129">
            <v>0</v>
          </cell>
          <cell r="BM1129">
            <v>0</v>
          </cell>
          <cell r="BN1129">
            <v>1</v>
          </cell>
          <cell r="BO1129">
            <v>0</v>
          </cell>
          <cell r="BP1129">
            <v>0</v>
          </cell>
          <cell r="BQ1129">
            <v>2</v>
          </cell>
          <cell r="BR1129">
            <v>0</v>
          </cell>
          <cell r="BS1129">
            <v>0</v>
          </cell>
          <cell r="BT1129">
            <v>4</v>
          </cell>
          <cell r="BU1129">
            <v>0</v>
          </cell>
        </row>
        <row r="1130">
          <cell r="A1130">
            <v>36</v>
          </cell>
          <cell r="B1130">
            <v>36</v>
          </cell>
          <cell r="D1130">
            <v>0</v>
          </cell>
          <cell r="F1130">
            <v>1</v>
          </cell>
          <cell r="G1130">
            <v>0</v>
          </cell>
          <cell r="I1130">
            <v>1</v>
          </cell>
          <cell r="J1130">
            <v>0</v>
          </cell>
          <cell r="K1130">
            <v>6</v>
          </cell>
          <cell r="L1130">
            <v>6</v>
          </cell>
          <cell r="M1130">
            <v>4</v>
          </cell>
          <cell r="O1130">
            <v>1</v>
          </cell>
          <cell r="P1130">
            <v>0</v>
          </cell>
          <cell r="Q1130">
            <v>0</v>
          </cell>
          <cell r="R1130">
            <v>0</v>
          </cell>
          <cell r="S1130">
            <v>0</v>
          </cell>
          <cell r="T1130">
            <v>1</v>
          </cell>
          <cell r="V1130">
            <v>0</v>
          </cell>
          <cell r="W1130">
            <v>80</v>
          </cell>
          <cell r="X1130">
            <v>4</v>
          </cell>
          <cell r="Y1130">
            <v>2</v>
          </cell>
          <cell r="AA1130">
            <v>0</v>
          </cell>
          <cell r="AB1130">
            <v>0</v>
          </cell>
          <cell r="AC1130">
            <v>1</v>
          </cell>
          <cell r="AD1130">
            <v>0</v>
          </cell>
          <cell r="AE1130">
            <v>0</v>
          </cell>
          <cell r="AF1130">
            <v>0</v>
          </cell>
          <cell r="AG1130">
            <v>0</v>
          </cell>
          <cell r="AH1130">
            <v>0</v>
          </cell>
          <cell r="AI1130">
            <v>1</v>
          </cell>
          <cell r="AK1130">
            <v>0</v>
          </cell>
          <cell r="AL1130">
            <v>1</v>
          </cell>
          <cell r="AN1130">
            <v>5562</v>
          </cell>
          <cell r="AO1130">
            <v>3</v>
          </cell>
          <cell r="AQ1130">
            <v>1</v>
          </cell>
          <cell r="AR1130">
            <v>13</v>
          </cell>
          <cell r="AS1130">
            <v>3</v>
          </cell>
          <cell r="AT1130">
            <v>4</v>
          </cell>
          <cell r="AU1130">
            <v>1</v>
          </cell>
          <cell r="AV1130">
            <v>9</v>
          </cell>
          <cell r="AW1130">
            <v>9</v>
          </cell>
          <cell r="AX1130">
            <v>3</v>
          </cell>
          <cell r="AY1130">
            <v>3</v>
          </cell>
          <cell r="AZ1130">
            <v>3</v>
          </cell>
          <cell r="BA1130">
            <v>3</v>
          </cell>
          <cell r="BB1130">
            <v>2</v>
          </cell>
          <cell r="BC1130">
            <v>0</v>
          </cell>
          <cell r="BD1130">
            <v>0</v>
          </cell>
          <cell r="BE1130">
            <v>2</v>
          </cell>
          <cell r="BF1130">
            <v>2</v>
          </cell>
          <cell r="BG1130">
            <v>4</v>
          </cell>
          <cell r="BH1130">
            <v>0</v>
          </cell>
          <cell r="BI1130">
            <v>0</v>
          </cell>
          <cell r="BJ1130">
            <v>0</v>
          </cell>
          <cell r="BK1130">
            <v>1</v>
          </cell>
          <cell r="BL1130">
            <v>0</v>
          </cell>
          <cell r="BM1130">
            <v>0</v>
          </cell>
          <cell r="BN1130">
            <v>0</v>
          </cell>
          <cell r="BO1130">
            <v>1</v>
          </cell>
          <cell r="BP1130">
            <v>0</v>
          </cell>
          <cell r="BQ1130">
            <v>2</v>
          </cell>
          <cell r="BR1130">
            <v>0</v>
          </cell>
          <cell r="BS1130">
            <v>0</v>
          </cell>
          <cell r="BT1130">
            <v>9</v>
          </cell>
          <cell r="BU1130">
            <v>0</v>
          </cell>
        </row>
        <row r="1131">
          <cell r="A1131">
            <v>42</v>
          </cell>
          <cell r="B1131">
            <v>42</v>
          </cell>
          <cell r="D1131">
            <v>0</v>
          </cell>
          <cell r="F1131">
            <v>0</v>
          </cell>
          <cell r="G1131">
            <v>1</v>
          </cell>
          <cell r="I1131">
            <v>1</v>
          </cell>
          <cell r="J1131">
            <v>0</v>
          </cell>
          <cell r="K1131">
            <v>9</v>
          </cell>
          <cell r="L1131">
            <v>9</v>
          </cell>
          <cell r="M1131">
            <v>2</v>
          </cell>
          <cell r="O1131">
            <v>0</v>
          </cell>
          <cell r="P1131">
            <v>1</v>
          </cell>
          <cell r="Q1131">
            <v>0</v>
          </cell>
          <cell r="R1131">
            <v>0</v>
          </cell>
          <cell r="S1131">
            <v>0</v>
          </cell>
          <cell r="T1131">
            <v>4</v>
          </cell>
          <cell r="V1131">
            <v>0</v>
          </cell>
          <cell r="W1131">
            <v>93</v>
          </cell>
          <cell r="X1131">
            <v>2</v>
          </cell>
          <cell r="Y1131">
            <v>5</v>
          </cell>
          <cell r="AA1131">
            <v>0</v>
          </cell>
          <cell r="AB1131">
            <v>0</v>
          </cell>
          <cell r="AC1131">
            <v>0</v>
          </cell>
          <cell r="AD1131">
            <v>1</v>
          </cell>
          <cell r="AE1131">
            <v>0</v>
          </cell>
          <cell r="AF1131">
            <v>0</v>
          </cell>
          <cell r="AG1131">
            <v>0</v>
          </cell>
          <cell r="AH1131">
            <v>0</v>
          </cell>
          <cell r="AI1131">
            <v>4</v>
          </cell>
          <cell r="AK1131">
            <v>1</v>
          </cell>
          <cell r="AL1131">
            <v>0</v>
          </cell>
          <cell r="AN1131">
            <v>19613</v>
          </cell>
          <cell r="AO1131">
            <v>8</v>
          </cell>
          <cell r="AQ1131">
            <v>0</v>
          </cell>
          <cell r="AR1131">
            <v>22</v>
          </cell>
          <cell r="AS1131">
            <v>4</v>
          </cell>
          <cell r="AT1131">
            <v>4</v>
          </cell>
          <cell r="AU1131">
            <v>0</v>
          </cell>
          <cell r="AV1131">
            <v>24</v>
          </cell>
          <cell r="AW1131">
            <v>24</v>
          </cell>
          <cell r="AX1131">
            <v>2</v>
          </cell>
          <cell r="AY1131">
            <v>3</v>
          </cell>
          <cell r="AZ1131">
            <v>1</v>
          </cell>
          <cell r="BA1131">
            <v>1</v>
          </cell>
          <cell r="BB1131">
            <v>0</v>
          </cell>
          <cell r="BC1131">
            <v>0</v>
          </cell>
          <cell r="BD1131">
            <v>0</v>
          </cell>
          <cell r="BE1131">
            <v>1</v>
          </cell>
          <cell r="BF1131">
            <v>1</v>
          </cell>
          <cell r="BG1131">
            <v>5</v>
          </cell>
          <cell r="BH1131">
            <v>1</v>
          </cell>
          <cell r="BI1131">
            <v>0</v>
          </cell>
          <cell r="BJ1131">
            <v>0</v>
          </cell>
          <cell r="BK1131">
            <v>0</v>
          </cell>
          <cell r="BL1131">
            <v>1</v>
          </cell>
          <cell r="BM1131">
            <v>0</v>
          </cell>
          <cell r="BN1131">
            <v>0</v>
          </cell>
          <cell r="BO1131">
            <v>0</v>
          </cell>
          <cell r="BP1131">
            <v>0</v>
          </cell>
          <cell r="BQ1131">
            <v>1</v>
          </cell>
          <cell r="BR1131">
            <v>0</v>
          </cell>
          <cell r="BS1131">
            <v>0</v>
          </cell>
          <cell r="BT1131">
            <v>24</v>
          </cell>
          <cell r="BU1131">
            <v>0</v>
          </cell>
        </row>
        <row r="1132">
          <cell r="A1132">
            <v>35</v>
          </cell>
          <cell r="B1132">
            <v>35</v>
          </cell>
          <cell r="D1132">
            <v>0</v>
          </cell>
          <cell r="F1132">
            <v>0</v>
          </cell>
          <cell r="G1132">
            <v>1</v>
          </cell>
          <cell r="I1132">
            <v>1</v>
          </cell>
          <cell r="J1132">
            <v>0</v>
          </cell>
          <cell r="K1132">
            <v>28</v>
          </cell>
          <cell r="L1132">
            <v>28</v>
          </cell>
          <cell r="M1132">
            <v>3</v>
          </cell>
          <cell r="O1132">
            <v>1</v>
          </cell>
          <cell r="P1132">
            <v>0</v>
          </cell>
          <cell r="Q1132">
            <v>0</v>
          </cell>
          <cell r="R1132">
            <v>0</v>
          </cell>
          <cell r="S1132">
            <v>0</v>
          </cell>
          <cell r="T1132">
            <v>2</v>
          </cell>
          <cell r="V1132">
            <v>0</v>
          </cell>
          <cell r="W1132">
            <v>46</v>
          </cell>
          <cell r="X1132">
            <v>4</v>
          </cell>
          <cell r="Y1132">
            <v>2</v>
          </cell>
          <cell r="AA1132">
            <v>0</v>
          </cell>
          <cell r="AB1132">
            <v>0</v>
          </cell>
          <cell r="AC1132">
            <v>1</v>
          </cell>
          <cell r="AD1132">
            <v>0</v>
          </cell>
          <cell r="AE1132">
            <v>0</v>
          </cell>
          <cell r="AF1132">
            <v>0</v>
          </cell>
          <cell r="AG1132">
            <v>0</v>
          </cell>
          <cell r="AH1132">
            <v>0</v>
          </cell>
          <cell r="AI1132">
            <v>3</v>
          </cell>
          <cell r="AK1132">
            <v>0</v>
          </cell>
          <cell r="AL1132">
            <v>1</v>
          </cell>
          <cell r="AN1132">
            <v>3407</v>
          </cell>
          <cell r="AO1132">
            <v>1</v>
          </cell>
          <cell r="AQ1132">
            <v>0</v>
          </cell>
          <cell r="AR1132">
            <v>17</v>
          </cell>
          <cell r="AS1132">
            <v>3</v>
          </cell>
          <cell r="AT1132">
            <v>4</v>
          </cell>
          <cell r="AU1132">
            <v>2</v>
          </cell>
          <cell r="AV1132">
            <v>10</v>
          </cell>
          <cell r="AW1132">
            <v>10</v>
          </cell>
          <cell r="AX1132">
            <v>3</v>
          </cell>
          <cell r="AY1132">
            <v>2</v>
          </cell>
          <cell r="AZ1132">
            <v>10</v>
          </cell>
          <cell r="BA1132">
            <v>10</v>
          </cell>
          <cell r="BB1132">
            <v>9</v>
          </cell>
          <cell r="BC1132">
            <v>6</v>
          </cell>
          <cell r="BD1132">
            <v>6</v>
          </cell>
          <cell r="BE1132">
            <v>8</v>
          </cell>
          <cell r="BF1132">
            <v>8</v>
          </cell>
          <cell r="BG1132">
            <v>16</v>
          </cell>
          <cell r="BH1132">
            <v>0</v>
          </cell>
          <cell r="BI1132">
            <v>1</v>
          </cell>
          <cell r="BJ1132">
            <v>0</v>
          </cell>
          <cell r="BK1132">
            <v>0</v>
          </cell>
          <cell r="BL1132">
            <v>0</v>
          </cell>
          <cell r="BM1132">
            <v>0</v>
          </cell>
          <cell r="BN1132">
            <v>1</v>
          </cell>
          <cell r="BO1132">
            <v>0</v>
          </cell>
          <cell r="BP1132">
            <v>0</v>
          </cell>
          <cell r="BQ1132">
            <v>8</v>
          </cell>
          <cell r="BR1132">
            <v>0</v>
          </cell>
          <cell r="BS1132">
            <v>0</v>
          </cell>
          <cell r="BT1132">
            <v>10</v>
          </cell>
          <cell r="BU1132">
            <v>0</v>
          </cell>
        </row>
        <row r="1133">
          <cell r="A1133">
            <v>34</v>
          </cell>
          <cell r="B1133">
            <v>34</v>
          </cell>
          <cell r="D1133">
            <v>0</v>
          </cell>
          <cell r="F1133">
            <v>1</v>
          </cell>
          <cell r="G1133">
            <v>0</v>
          </cell>
          <cell r="I1133">
            <v>1</v>
          </cell>
          <cell r="J1133">
            <v>0</v>
          </cell>
          <cell r="K1133">
            <v>10</v>
          </cell>
          <cell r="L1133">
            <v>10</v>
          </cell>
          <cell r="M1133">
            <v>4</v>
          </cell>
          <cell r="O1133">
            <v>0</v>
          </cell>
          <cell r="P1133">
            <v>0</v>
          </cell>
          <cell r="Q1133">
            <v>0</v>
          </cell>
          <cell r="R1133">
            <v>0</v>
          </cell>
          <cell r="S1133">
            <v>1</v>
          </cell>
          <cell r="T1133">
            <v>4</v>
          </cell>
          <cell r="V1133">
            <v>0</v>
          </cell>
          <cell r="W1133">
            <v>92</v>
          </cell>
          <cell r="X1133">
            <v>2</v>
          </cell>
          <cell r="Y1133">
            <v>2</v>
          </cell>
          <cell r="AA1133">
            <v>1</v>
          </cell>
          <cell r="AB1133">
            <v>0</v>
          </cell>
          <cell r="AC1133">
            <v>0</v>
          </cell>
          <cell r="AD1133">
            <v>0</v>
          </cell>
          <cell r="AE1133">
            <v>0</v>
          </cell>
          <cell r="AF1133">
            <v>0</v>
          </cell>
          <cell r="AG1133">
            <v>0</v>
          </cell>
          <cell r="AH1133">
            <v>0</v>
          </cell>
          <cell r="AI1133">
            <v>3</v>
          </cell>
          <cell r="AK1133">
            <v>0</v>
          </cell>
          <cell r="AL1133">
            <v>1</v>
          </cell>
          <cell r="AN1133">
            <v>5063</v>
          </cell>
          <cell r="AO1133">
            <v>1</v>
          </cell>
          <cell r="AQ1133">
            <v>0</v>
          </cell>
          <cell r="AR1133">
            <v>14</v>
          </cell>
          <cell r="AS1133">
            <v>3</v>
          </cell>
          <cell r="AT1133">
            <v>2</v>
          </cell>
          <cell r="AU1133">
            <v>1</v>
          </cell>
          <cell r="AV1133">
            <v>8</v>
          </cell>
          <cell r="AW1133">
            <v>8</v>
          </cell>
          <cell r="AX1133">
            <v>3</v>
          </cell>
          <cell r="AY1133">
            <v>2</v>
          </cell>
          <cell r="AZ1133">
            <v>8</v>
          </cell>
          <cell r="BA1133">
            <v>8</v>
          </cell>
          <cell r="BB1133">
            <v>2</v>
          </cell>
          <cell r="BC1133">
            <v>7</v>
          </cell>
          <cell r="BD1133">
            <v>7</v>
          </cell>
          <cell r="BE1133">
            <v>7</v>
          </cell>
          <cell r="BF1133">
            <v>7</v>
          </cell>
          <cell r="BG1133">
            <v>14</v>
          </cell>
          <cell r="BH1133">
            <v>0</v>
          </cell>
          <cell r="BI1133">
            <v>0</v>
          </cell>
          <cell r="BJ1133">
            <v>0</v>
          </cell>
          <cell r="BK1133">
            <v>1</v>
          </cell>
          <cell r="BL1133">
            <v>0</v>
          </cell>
          <cell r="BM1133">
            <v>0</v>
          </cell>
          <cell r="BN1133">
            <v>1</v>
          </cell>
          <cell r="BO1133">
            <v>0</v>
          </cell>
          <cell r="BP1133">
            <v>0</v>
          </cell>
          <cell r="BQ1133">
            <v>7</v>
          </cell>
          <cell r="BR1133">
            <v>0</v>
          </cell>
          <cell r="BS1133">
            <v>0</v>
          </cell>
          <cell r="BT1133">
            <v>8</v>
          </cell>
          <cell r="BU1133">
            <v>0</v>
          </cell>
        </row>
        <row r="1134">
          <cell r="A1134">
            <v>40</v>
          </cell>
          <cell r="B1134">
            <v>40</v>
          </cell>
          <cell r="D1134">
            <v>0</v>
          </cell>
          <cell r="F1134">
            <v>0</v>
          </cell>
          <cell r="G1134">
            <v>1</v>
          </cell>
          <cell r="I1134">
            <v>0</v>
          </cell>
          <cell r="J1134">
            <v>1</v>
          </cell>
          <cell r="K1134">
            <v>14</v>
          </cell>
          <cell r="L1134">
            <v>14</v>
          </cell>
          <cell r="M1134">
            <v>2</v>
          </cell>
          <cell r="O1134">
            <v>1</v>
          </cell>
          <cell r="P1134">
            <v>0</v>
          </cell>
          <cell r="Q1134">
            <v>0</v>
          </cell>
          <cell r="R1134">
            <v>0</v>
          </cell>
          <cell r="S1134">
            <v>0</v>
          </cell>
          <cell r="T1134">
            <v>4</v>
          </cell>
          <cell r="V1134">
            <v>1</v>
          </cell>
          <cell r="W1134">
            <v>84</v>
          </cell>
          <cell r="X1134">
            <v>3</v>
          </cell>
          <cell r="Y1134">
            <v>2</v>
          </cell>
          <cell r="AA1134">
            <v>0</v>
          </cell>
          <cell r="AB1134">
            <v>1</v>
          </cell>
          <cell r="AC1134">
            <v>0</v>
          </cell>
          <cell r="AD1134">
            <v>0</v>
          </cell>
          <cell r="AE1134">
            <v>0</v>
          </cell>
          <cell r="AF1134">
            <v>0</v>
          </cell>
          <cell r="AG1134">
            <v>0</v>
          </cell>
          <cell r="AH1134">
            <v>0</v>
          </cell>
          <cell r="AI1134">
            <v>1</v>
          </cell>
          <cell r="AK1134">
            <v>0</v>
          </cell>
          <cell r="AL1134">
            <v>1</v>
          </cell>
          <cell r="AN1134">
            <v>4639</v>
          </cell>
          <cell r="AO1134">
            <v>1</v>
          </cell>
          <cell r="AQ1134">
            <v>0</v>
          </cell>
          <cell r="AR1134">
            <v>15</v>
          </cell>
          <cell r="AS1134">
            <v>3</v>
          </cell>
          <cell r="AT1134">
            <v>3</v>
          </cell>
          <cell r="AU1134">
            <v>1</v>
          </cell>
          <cell r="AV1134">
            <v>5</v>
          </cell>
          <cell r="AW1134">
            <v>5</v>
          </cell>
          <cell r="AX1134">
            <v>2</v>
          </cell>
          <cell r="AY1134">
            <v>3</v>
          </cell>
          <cell r="AZ1134">
            <v>5</v>
          </cell>
          <cell r="BA1134">
            <v>5</v>
          </cell>
          <cell r="BB1134">
            <v>4</v>
          </cell>
          <cell r="BC1134">
            <v>1</v>
          </cell>
          <cell r="BD1134">
            <v>1</v>
          </cell>
          <cell r="BE1134">
            <v>2</v>
          </cell>
          <cell r="BF1134">
            <v>2</v>
          </cell>
          <cell r="BG1134">
            <v>4</v>
          </cell>
          <cell r="BH1134">
            <v>0</v>
          </cell>
          <cell r="BI1134">
            <v>1</v>
          </cell>
          <cell r="BJ1134">
            <v>0</v>
          </cell>
          <cell r="BK1134">
            <v>0</v>
          </cell>
          <cell r="BL1134">
            <v>0</v>
          </cell>
          <cell r="BM1134">
            <v>0</v>
          </cell>
          <cell r="BN1134">
            <v>1</v>
          </cell>
          <cell r="BO1134">
            <v>0</v>
          </cell>
          <cell r="BP1134">
            <v>0</v>
          </cell>
          <cell r="BQ1134">
            <v>0</v>
          </cell>
          <cell r="BR1134">
            <v>2</v>
          </cell>
          <cell r="BS1134">
            <v>0</v>
          </cell>
          <cell r="BT1134">
            <v>0</v>
          </cell>
          <cell r="BU1134">
            <v>5</v>
          </cell>
        </row>
        <row r="1135">
          <cell r="A1135">
            <v>43</v>
          </cell>
          <cell r="B1135">
            <v>43</v>
          </cell>
          <cell r="D1135">
            <v>0</v>
          </cell>
          <cell r="F1135">
            <v>0</v>
          </cell>
          <cell r="G1135">
            <v>1</v>
          </cell>
          <cell r="I1135">
            <v>1</v>
          </cell>
          <cell r="J1135">
            <v>0</v>
          </cell>
          <cell r="K1135">
            <v>27</v>
          </cell>
          <cell r="L1135">
            <v>27</v>
          </cell>
          <cell r="M1135">
            <v>3</v>
          </cell>
          <cell r="O1135">
            <v>0</v>
          </cell>
          <cell r="P1135">
            <v>0</v>
          </cell>
          <cell r="Q1135">
            <v>0</v>
          </cell>
          <cell r="R1135">
            <v>0</v>
          </cell>
          <cell r="S1135">
            <v>1</v>
          </cell>
          <cell r="T1135">
            <v>4</v>
          </cell>
          <cell r="V1135">
            <v>0</v>
          </cell>
          <cell r="W1135">
            <v>87</v>
          </cell>
          <cell r="X1135">
            <v>4</v>
          </cell>
          <cell r="Y1135">
            <v>1</v>
          </cell>
          <cell r="AA1135">
            <v>0</v>
          </cell>
          <cell r="AB1135">
            <v>0</v>
          </cell>
          <cell r="AC1135">
            <v>1</v>
          </cell>
          <cell r="AD1135">
            <v>0</v>
          </cell>
          <cell r="AE1135">
            <v>0</v>
          </cell>
          <cell r="AF1135">
            <v>0</v>
          </cell>
          <cell r="AG1135">
            <v>0</v>
          </cell>
          <cell r="AH1135">
            <v>0</v>
          </cell>
          <cell r="AI1135">
            <v>2</v>
          </cell>
          <cell r="AK1135">
            <v>0</v>
          </cell>
          <cell r="AL1135">
            <v>0</v>
          </cell>
          <cell r="AN1135">
            <v>4876</v>
          </cell>
          <cell r="AO1135">
            <v>5</v>
          </cell>
          <cell r="AQ1135">
            <v>0</v>
          </cell>
          <cell r="AR1135">
            <v>12</v>
          </cell>
          <cell r="AS1135">
            <v>3</v>
          </cell>
          <cell r="AT1135">
            <v>3</v>
          </cell>
          <cell r="AU1135">
            <v>1</v>
          </cell>
          <cell r="AV1135">
            <v>8</v>
          </cell>
          <cell r="AW1135">
            <v>8</v>
          </cell>
          <cell r="AX1135">
            <v>0</v>
          </cell>
          <cell r="AY1135">
            <v>3</v>
          </cell>
          <cell r="AZ1135">
            <v>6</v>
          </cell>
          <cell r="BA1135">
            <v>6</v>
          </cell>
          <cell r="BB1135">
            <v>4</v>
          </cell>
          <cell r="BC1135">
            <v>0</v>
          </cell>
          <cell r="BD1135">
            <v>0</v>
          </cell>
          <cell r="BE1135">
            <v>2</v>
          </cell>
          <cell r="BF1135">
            <v>2</v>
          </cell>
          <cell r="BG1135">
            <v>2</v>
          </cell>
          <cell r="BH1135">
            <v>1</v>
          </cell>
          <cell r="BI1135">
            <v>0</v>
          </cell>
          <cell r="BJ1135">
            <v>0</v>
          </cell>
          <cell r="BK1135">
            <v>0</v>
          </cell>
          <cell r="BL1135">
            <v>1</v>
          </cell>
          <cell r="BM1135">
            <v>0</v>
          </cell>
          <cell r="BN1135">
            <v>0</v>
          </cell>
          <cell r="BO1135">
            <v>0</v>
          </cell>
          <cell r="BP1135">
            <v>0</v>
          </cell>
          <cell r="BQ1135">
            <v>2</v>
          </cell>
          <cell r="BR1135">
            <v>0</v>
          </cell>
          <cell r="BS1135">
            <v>0</v>
          </cell>
          <cell r="BT1135">
            <v>8</v>
          </cell>
          <cell r="BU1135">
            <v>0</v>
          </cell>
        </row>
        <row r="1136">
          <cell r="A1136">
            <v>35</v>
          </cell>
          <cell r="B1136">
            <v>35</v>
          </cell>
          <cell r="D1136">
            <v>0</v>
          </cell>
          <cell r="F1136">
            <v>0</v>
          </cell>
          <cell r="G1136">
            <v>1</v>
          </cell>
          <cell r="I1136">
            <v>1</v>
          </cell>
          <cell r="J1136">
            <v>0</v>
          </cell>
          <cell r="K1136">
            <v>7</v>
          </cell>
          <cell r="L1136">
            <v>7</v>
          </cell>
          <cell r="M1136">
            <v>2</v>
          </cell>
          <cell r="O1136">
            <v>1</v>
          </cell>
          <cell r="P1136">
            <v>0</v>
          </cell>
          <cell r="Q1136">
            <v>0</v>
          </cell>
          <cell r="R1136">
            <v>0</v>
          </cell>
          <cell r="S1136">
            <v>0</v>
          </cell>
          <cell r="T1136">
            <v>3</v>
          </cell>
          <cell r="V1136">
            <v>0</v>
          </cell>
          <cell r="W1136">
            <v>63</v>
          </cell>
          <cell r="X1136">
            <v>2</v>
          </cell>
          <cell r="Y1136">
            <v>1</v>
          </cell>
          <cell r="AA1136">
            <v>0</v>
          </cell>
          <cell r="AB1136">
            <v>0</v>
          </cell>
          <cell r="AC1136">
            <v>1</v>
          </cell>
          <cell r="AD1136">
            <v>0</v>
          </cell>
          <cell r="AE1136">
            <v>0</v>
          </cell>
          <cell r="AF1136">
            <v>0</v>
          </cell>
          <cell r="AG1136">
            <v>0</v>
          </cell>
          <cell r="AH1136">
            <v>0</v>
          </cell>
          <cell r="AI1136">
            <v>4</v>
          </cell>
          <cell r="AK1136">
            <v>0</v>
          </cell>
          <cell r="AL1136">
            <v>1</v>
          </cell>
          <cell r="AN1136">
            <v>2690</v>
          </cell>
          <cell r="AO1136">
            <v>1</v>
          </cell>
          <cell r="AQ1136">
            <v>0</v>
          </cell>
          <cell r="AR1136">
            <v>18</v>
          </cell>
          <cell r="AS1136">
            <v>3</v>
          </cell>
          <cell r="AT1136">
            <v>4</v>
          </cell>
          <cell r="AU1136">
            <v>1</v>
          </cell>
          <cell r="AV1136">
            <v>1</v>
          </cell>
          <cell r="AW1136">
            <v>1</v>
          </cell>
          <cell r="AX1136">
            <v>5</v>
          </cell>
          <cell r="AY1136">
            <v>2</v>
          </cell>
          <cell r="AZ1136">
            <v>1</v>
          </cell>
          <cell r="BA1136">
            <v>1</v>
          </cell>
          <cell r="BB1136">
            <v>0</v>
          </cell>
          <cell r="BC1136">
            <v>0</v>
          </cell>
          <cell r="BD1136">
            <v>0</v>
          </cell>
          <cell r="BE1136">
            <v>1</v>
          </cell>
          <cell r="BF1136">
            <v>1</v>
          </cell>
          <cell r="BG1136">
            <v>1</v>
          </cell>
          <cell r="BH1136">
            <v>0</v>
          </cell>
          <cell r="BI1136">
            <v>1</v>
          </cell>
          <cell r="BJ1136">
            <v>0</v>
          </cell>
          <cell r="BK1136">
            <v>0</v>
          </cell>
          <cell r="BL1136">
            <v>0</v>
          </cell>
          <cell r="BM1136">
            <v>0</v>
          </cell>
          <cell r="BN1136">
            <v>1</v>
          </cell>
          <cell r="BO1136">
            <v>0</v>
          </cell>
          <cell r="BP1136">
            <v>0</v>
          </cell>
          <cell r="BQ1136">
            <v>1</v>
          </cell>
          <cell r="BR1136">
            <v>0</v>
          </cell>
          <cell r="BS1136">
            <v>0</v>
          </cell>
          <cell r="BT1136">
            <v>1</v>
          </cell>
          <cell r="BU1136">
            <v>0</v>
          </cell>
        </row>
        <row r="1137">
          <cell r="A1137">
            <v>46</v>
          </cell>
          <cell r="B1137">
            <v>46</v>
          </cell>
          <cell r="D1137">
            <v>0</v>
          </cell>
          <cell r="F1137">
            <v>0</v>
          </cell>
          <cell r="G1137">
            <v>1</v>
          </cell>
          <cell r="I1137">
            <v>0</v>
          </cell>
          <cell r="J1137">
            <v>1</v>
          </cell>
          <cell r="K1137">
            <v>1</v>
          </cell>
          <cell r="L1137">
            <v>1</v>
          </cell>
          <cell r="M1137">
            <v>4</v>
          </cell>
          <cell r="O1137">
            <v>1</v>
          </cell>
          <cell r="P1137">
            <v>0</v>
          </cell>
          <cell r="Q1137">
            <v>0</v>
          </cell>
          <cell r="R1137">
            <v>0</v>
          </cell>
          <cell r="S1137">
            <v>0</v>
          </cell>
          <cell r="T1137">
            <v>4</v>
          </cell>
          <cell r="V1137">
            <v>0</v>
          </cell>
          <cell r="W1137">
            <v>56</v>
          </cell>
          <cell r="X1137">
            <v>4</v>
          </cell>
          <cell r="Y1137">
            <v>4</v>
          </cell>
          <cell r="AA1137">
            <v>0</v>
          </cell>
          <cell r="AB1137">
            <v>0</v>
          </cell>
          <cell r="AC1137">
            <v>0</v>
          </cell>
          <cell r="AD1137">
            <v>1</v>
          </cell>
          <cell r="AE1137">
            <v>0</v>
          </cell>
          <cell r="AF1137">
            <v>0</v>
          </cell>
          <cell r="AG1137">
            <v>0</v>
          </cell>
          <cell r="AH1137">
            <v>0</v>
          </cell>
          <cell r="AI1137">
            <v>1</v>
          </cell>
          <cell r="AK1137">
            <v>1</v>
          </cell>
          <cell r="AL1137">
            <v>0</v>
          </cell>
          <cell r="AN1137">
            <v>17567</v>
          </cell>
          <cell r="AO1137">
            <v>1</v>
          </cell>
          <cell r="AQ1137">
            <v>0</v>
          </cell>
          <cell r="AR1137">
            <v>15</v>
          </cell>
          <cell r="AS1137">
            <v>3</v>
          </cell>
          <cell r="AT1137">
            <v>2</v>
          </cell>
          <cell r="AU1137">
            <v>0</v>
          </cell>
          <cell r="AV1137">
            <v>27</v>
          </cell>
          <cell r="AW1137">
            <v>27</v>
          </cell>
          <cell r="AX1137">
            <v>5</v>
          </cell>
          <cell r="AY1137">
            <v>1</v>
          </cell>
          <cell r="AZ1137">
            <v>26</v>
          </cell>
          <cell r="BA1137">
            <v>26</v>
          </cell>
          <cell r="BB1137">
            <v>0</v>
          </cell>
          <cell r="BC1137">
            <v>0</v>
          </cell>
          <cell r="BD1137">
            <v>0</v>
          </cell>
          <cell r="BE1137">
            <v>12</v>
          </cell>
          <cell r="BF1137">
            <v>12</v>
          </cell>
          <cell r="BG1137">
            <v>48</v>
          </cell>
          <cell r="BH1137">
            <v>1</v>
          </cell>
          <cell r="BI1137">
            <v>0</v>
          </cell>
          <cell r="BJ1137">
            <v>0</v>
          </cell>
          <cell r="BK1137">
            <v>0</v>
          </cell>
          <cell r="BL1137">
            <v>1</v>
          </cell>
          <cell r="BM1137">
            <v>0</v>
          </cell>
          <cell r="BN1137">
            <v>0</v>
          </cell>
          <cell r="BO1137">
            <v>0</v>
          </cell>
          <cell r="BP1137">
            <v>0</v>
          </cell>
          <cell r="BQ1137">
            <v>0</v>
          </cell>
          <cell r="BR1137">
            <v>12</v>
          </cell>
          <cell r="BS1137">
            <v>0</v>
          </cell>
          <cell r="BT1137">
            <v>0</v>
          </cell>
          <cell r="BU1137">
            <v>27</v>
          </cell>
        </row>
        <row r="1138">
          <cell r="A1138">
            <v>28</v>
          </cell>
          <cell r="B1138">
            <v>28</v>
          </cell>
          <cell r="D1138">
            <v>1</v>
          </cell>
          <cell r="F1138">
            <v>0</v>
          </cell>
          <cell r="G1138">
            <v>1</v>
          </cell>
          <cell r="I1138">
            <v>1</v>
          </cell>
          <cell r="J1138">
            <v>0</v>
          </cell>
          <cell r="K1138">
            <v>24</v>
          </cell>
          <cell r="L1138">
            <v>24</v>
          </cell>
          <cell r="M1138">
            <v>3</v>
          </cell>
          <cell r="O1138">
            <v>0</v>
          </cell>
          <cell r="P1138">
            <v>0</v>
          </cell>
          <cell r="Q1138">
            <v>1</v>
          </cell>
          <cell r="R1138">
            <v>0</v>
          </cell>
          <cell r="S1138">
            <v>0</v>
          </cell>
          <cell r="T1138">
            <v>3</v>
          </cell>
          <cell r="V1138">
            <v>0</v>
          </cell>
          <cell r="W1138">
            <v>51</v>
          </cell>
          <cell r="X1138">
            <v>3</v>
          </cell>
          <cell r="Y1138">
            <v>1</v>
          </cell>
          <cell r="AA1138">
            <v>0</v>
          </cell>
          <cell r="AB1138">
            <v>0</v>
          </cell>
          <cell r="AC1138">
            <v>1</v>
          </cell>
          <cell r="AD1138">
            <v>0</v>
          </cell>
          <cell r="AE1138">
            <v>0</v>
          </cell>
          <cell r="AF1138">
            <v>0</v>
          </cell>
          <cell r="AG1138">
            <v>0</v>
          </cell>
          <cell r="AH1138">
            <v>0</v>
          </cell>
          <cell r="AI1138">
            <v>2</v>
          </cell>
          <cell r="AK1138">
            <v>0</v>
          </cell>
          <cell r="AL1138">
            <v>1</v>
          </cell>
          <cell r="AN1138">
            <v>2408</v>
          </cell>
          <cell r="AO1138">
            <v>1</v>
          </cell>
          <cell r="AQ1138">
            <v>1</v>
          </cell>
          <cell r="AR1138">
            <v>17</v>
          </cell>
          <cell r="AS1138">
            <v>3</v>
          </cell>
          <cell r="AT1138">
            <v>3</v>
          </cell>
          <cell r="AU1138">
            <v>3</v>
          </cell>
          <cell r="AV1138">
            <v>1</v>
          </cell>
          <cell r="AW1138">
            <v>1</v>
          </cell>
          <cell r="AX1138">
            <v>3</v>
          </cell>
          <cell r="AY1138">
            <v>3</v>
          </cell>
          <cell r="AZ1138">
            <v>1</v>
          </cell>
          <cell r="BA1138">
            <v>1</v>
          </cell>
          <cell r="BB1138">
            <v>1</v>
          </cell>
          <cell r="BC1138">
            <v>0</v>
          </cell>
          <cell r="BD1138">
            <v>0</v>
          </cell>
          <cell r="BE1138">
            <v>0</v>
          </cell>
          <cell r="BF1138">
            <v>0</v>
          </cell>
          <cell r="BG1138">
            <v>0</v>
          </cell>
          <cell r="BH1138">
            <v>0</v>
          </cell>
          <cell r="BI1138">
            <v>1</v>
          </cell>
          <cell r="BJ1138">
            <v>0</v>
          </cell>
          <cell r="BK1138">
            <v>0</v>
          </cell>
          <cell r="BL1138">
            <v>0</v>
          </cell>
          <cell r="BM1138">
            <v>0</v>
          </cell>
          <cell r="BN1138">
            <v>0</v>
          </cell>
          <cell r="BO1138">
            <v>1</v>
          </cell>
          <cell r="BP1138">
            <v>0</v>
          </cell>
          <cell r="BQ1138">
            <v>0</v>
          </cell>
          <cell r="BR1138">
            <v>0</v>
          </cell>
          <cell r="BS1138">
            <v>0</v>
          </cell>
          <cell r="BT1138">
            <v>1</v>
          </cell>
          <cell r="BU1138">
            <v>0</v>
          </cell>
        </row>
        <row r="1139">
          <cell r="A1139">
            <v>22</v>
          </cell>
          <cell r="B1139">
            <v>22</v>
          </cell>
          <cell r="D1139">
            <v>0</v>
          </cell>
          <cell r="F1139">
            <v>0</v>
          </cell>
          <cell r="G1139">
            <v>0</v>
          </cell>
          <cell r="I1139">
            <v>1</v>
          </cell>
          <cell r="J1139">
            <v>0</v>
          </cell>
          <cell r="K1139">
            <v>26</v>
          </cell>
          <cell r="L1139">
            <v>26</v>
          </cell>
          <cell r="M1139">
            <v>2</v>
          </cell>
          <cell r="O1139">
            <v>0</v>
          </cell>
          <cell r="P1139">
            <v>1</v>
          </cell>
          <cell r="Q1139">
            <v>0</v>
          </cell>
          <cell r="R1139">
            <v>0</v>
          </cell>
          <cell r="S1139">
            <v>0</v>
          </cell>
          <cell r="T1139">
            <v>2</v>
          </cell>
          <cell r="V1139">
            <v>1</v>
          </cell>
          <cell r="W1139">
            <v>85</v>
          </cell>
          <cell r="X1139">
            <v>2</v>
          </cell>
          <cell r="Y1139">
            <v>1</v>
          </cell>
          <cell r="AA1139">
            <v>0</v>
          </cell>
          <cell r="AB1139">
            <v>0</v>
          </cell>
          <cell r="AC1139">
            <v>0</v>
          </cell>
          <cell r="AD1139">
            <v>0</v>
          </cell>
          <cell r="AE1139">
            <v>0</v>
          </cell>
          <cell r="AF1139">
            <v>0</v>
          </cell>
          <cell r="AG1139">
            <v>0</v>
          </cell>
          <cell r="AH1139">
            <v>1</v>
          </cell>
          <cell r="AI1139">
            <v>3</v>
          </cell>
          <cell r="AK1139">
            <v>0</v>
          </cell>
          <cell r="AL1139">
            <v>1</v>
          </cell>
          <cell r="AN1139">
            <v>2814</v>
          </cell>
          <cell r="AO1139">
            <v>1</v>
          </cell>
          <cell r="AQ1139">
            <v>1</v>
          </cell>
          <cell r="AR1139">
            <v>14</v>
          </cell>
          <cell r="AS1139">
            <v>3</v>
          </cell>
          <cell r="AT1139">
            <v>2</v>
          </cell>
          <cell r="AU1139">
            <v>0</v>
          </cell>
          <cell r="AV1139">
            <v>4</v>
          </cell>
          <cell r="AW1139">
            <v>4</v>
          </cell>
          <cell r="AX1139">
            <v>2</v>
          </cell>
          <cell r="AY1139">
            <v>2</v>
          </cell>
          <cell r="AZ1139">
            <v>4</v>
          </cell>
          <cell r="BA1139">
            <v>4</v>
          </cell>
          <cell r="BB1139">
            <v>2</v>
          </cell>
          <cell r="BC1139">
            <v>1</v>
          </cell>
          <cell r="BD1139">
            <v>1</v>
          </cell>
          <cell r="BE1139">
            <v>3</v>
          </cell>
          <cell r="BF1139">
            <v>3</v>
          </cell>
          <cell r="BG1139">
            <v>3</v>
          </cell>
          <cell r="BH1139">
            <v>0</v>
          </cell>
          <cell r="BI1139">
            <v>1</v>
          </cell>
          <cell r="BJ1139">
            <v>0</v>
          </cell>
          <cell r="BK1139">
            <v>0</v>
          </cell>
          <cell r="BL1139">
            <v>0</v>
          </cell>
          <cell r="BM1139">
            <v>0</v>
          </cell>
          <cell r="BN1139">
            <v>0</v>
          </cell>
          <cell r="BO1139">
            <v>1</v>
          </cell>
          <cell r="BP1139">
            <v>0</v>
          </cell>
          <cell r="BQ1139">
            <v>3</v>
          </cell>
          <cell r="BR1139">
            <v>0</v>
          </cell>
          <cell r="BS1139">
            <v>0</v>
          </cell>
          <cell r="BT1139">
            <v>4</v>
          </cell>
          <cell r="BU1139">
            <v>0</v>
          </cell>
        </row>
        <row r="1140">
          <cell r="A1140">
            <v>50</v>
          </cell>
          <cell r="B1140">
            <v>50</v>
          </cell>
          <cell r="D1140">
            <v>0</v>
          </cell>
          <cell r="F1140">
            <v>1</v>
          </cell>
          <cell r="G1140">
            <v>0</v>
          </cell>
          <cell r="I1140">
            <v>1</v>
          </cell>
          <cell r="J1140">
            <v>0</v>
          </cell>
          <cell r="K1140">
            <v>20</v>
          </cell>
          <cell r="L1140">
            <v>20</v>
          </cell>
          <cell r="M1140">
            <v>5</v>
          </cell>
          <cell r="O1140">
            <v>0</v>
          </cell>
          <cell r="P1140">
            <v>0</v>
          </cell>
          <cell r="Q1140">
            <v>1</v>
          </cell>
          <cell r="R1140">
            <v>0</v>
          </cell>
          <cell r="S1140">
            <v>0</v>
          </cell>
          <cell r="T1140">
            <v>2</v>
          </cell>
          <cell r="V1140">
            <v>0</v>
          </cell>
          <cell r="W1140">
            <v>41</v>
          </cell>
          <cell r="X1140">
            <v>3</v>
          </cell>
          <cell r="Y1140">
            <v>4</v>
          </cell>
          <cell r="AA1140">
            <v>1</v>
          </cell>
          <cell r="AB1140">
            <v>0</v>
          </cell>
          <cell r="AC1140">
            <v>0</v>
          </cell>
          <cell r="AD1140">
            <v>0</v>
          </cell>
          <cell r="AE1140">
            <v>0</v>
          </cell>
          <cell r="AF1140">
            <v>0</v>
          </cell>
          <cell r="AG1140">
            <v>0</v>
          </cell>
          <cell r="AH1140">
            <v>0</v>
          </cell>
          <cell r="AI1140">
            <v>3</v>
          </cell>
          <cell r="AK1140">
            <v>0</v>
          </cell>
          <cell r="AL1140">
            <v>1</v>
          </cell>
          <cell r="AN1140">
            <v>11245</v>
          </cell>
          <cell r="AO1140">
            <v>2</v>
          </cell>
          <cell r="AQ1140">
            <v>1</v>
          </cell>
          <cell r="AR1140">
            <v>15</v>
          </cell>
          <cell r="AS1140">
            <v>3</v>
          </cell>
          <cell r="AT1140">
            <v>3</v>
          </cell>
          <cell r="AU1140">
            <v>1</v>
          </cell>
          <cell r="AV1140">
            <v>32</v>
          </cell>
          <cell r="AW1140">
            <v>32</v>
          </cell>
          <cell r="AX1140">
            <v>3</v>
          </cell>
          <cell r="AY1140">
            <v>3</v>
          </cell>
          <cell r="AZ1140">
            <v>30</v>
          </cell>
          <cell r="BA1140">
            <v>30</v>
          </cell>
          <cell r="BB1140">
            <v>8</v>
          </cell>
          <cell r="BC1140">
            <v>12</v>
          </cell>
          <cell r="BD1140">
            <v>12</v>
          </cell>
          <cell r="BE1140">
            <v>13</v>
          </cell>
          <cell r="BF1140">
            <v>13</v>
          </cell>
          <cell r="BG1140">
            <v>52</v>
          </cell>
          <cell r="BH1140">
            <v>0</v>
          </cell>
          <cell r="BI1140">
            <v>0</v>
          </cell>
          <cell r="BJ1140">
            <v>0</v>
          </cell>
          <cell r="BK1140">
            <v>1</v>
          </cell>
          <cell r="BL1140">
            <v>0</v>
          </cell>
          <cell r="BM1140">
            <v>0</v>
          </cell>
          <cell r="BN1140">
            <v>0</v>
          </cell>
          <cell r="BO1140">
            <v>1</v>
          </cell>
          <cell r="BP1140">
            <v>0</v>
          </cell>
          <cell r="BQ1140">
            <v>13</v>
          </cell>
          <cell r="BR1140">
            <v>0</v>
          </cell>
          <cell r="BS1140">
            <v>0</v>
          </cell>
          <cell r="BT1140">
            <v>32</v>
          </cell>
          <cell r="BU1140">
            <v>0</v>
          </cell>
        </row>
        <row r="1141">
          <cell r="A1141">
            <v>32</v>
          </cell>
          <cell r="B1141">
            <v>32</v>
          </cell>
          <cell r="D1141">
            <v>0</v>
          </cell>
          <cell r="F1141">
            <v>0</v>
          </cell>
          <cell r="G1141">
            <v>1</v>
          </cell>
          <cell r="I1141">
            <v>1</v>
          </cell>
          <cell r="J1141">
            <v>0</v>
          </cell>
          <cell r="K1141">
            <v>5</v>
          </cell>
          <cell r="L1141">
            <v>5</v>
          </cell>
          <cell r="M1141">
            <v>4</v>
          </cell>
          <cell r="O1141">
            <v>0</v>
          </cell>
          <cell r="P1141">
            <v>1</v>
          </cell>
          <cell r="Q1141">
            <v>0</v>
          </cell>
          <cell r="R1141">
            <v>0</v>
          </cell>
          <cell r="S1141">
            <v>0</v>
          </cell>
          <cell r="T1141">
            <v>2</v>
          </cell>
          <cell r="V1141">
            <v>1</v>
          </cell>
          <cell r="W1141">
            <v>35</v>
          </cell>
          <cell r="X1141">
            <v>4</v>
          </cell>
          <cell r="Y1141">
            <v>1</v>
          </cell>
          <cell r="AA1141">
            <v>0</v>
          </cell>
          <cell r="AB1141">
            <v>0</v>
          </cell>
          <cell r="AC1141">
            <v>0</v>
          </cell>
          <cell r="AD1141">
            <v>0</v>
          </cell>
          <cell r="AE1141">
            <v>0</v>
          </cell>
          <cell r="AF1141">
            <v>0</v>
          </cell>
          <cell r="AG1141">
            <v>0</v>
          </cell>
          <cell r="AH1141">
            <v>1</v>
          </cell>
          <cell r="AI1141">
            <v>4</v>
          </cell>
          <cell r="AK1141">
            <v>0</v>
          </cell>
          <cell r="AL1141">
            <v>1</v>
          </cell>
          <cell r="AN1141">
            <v>3312</v>
          </cell>
          <cell r="AO1141">
            <v>3</v>
          </cell>
          <cell r="AQ1141">
            <v>0</v>
          </cell>
          <cell r="AR1141">
            <v>17</v>
          </cell>
          <cell r="AS1141">
            <v>3</v>
          </cell>
          <cell r="AT1141">
            <v>4</v>
          </cell>
          <cell r="AU1141">
            <v>2</v>
          </cell>
          <cell r="AV1141">
            <v>6</v>
          </cell>
          <cell r="AW1141">
            <v>6</v>
          </cell>
          <cell r="AX1141">
            <v>3</v>
          </cell>
          <cell r="AY1141">
            <v>3</v>
          </cell>
          <cell r="AZ1141">
            <v>3</v>
          </cell>
          <cell r="BA1141">
            <v>3</v>
          </cell>
          <cell r="BB1141">
            <v>2</v>
          </cell>
          <cell r="BC1141">
            <v>0</v>
          </cell>
          <cell r="BD1141">
            <v>0</v>
          </cell>
          <cell r="BE1141">
            <v>2</v>
          </cell>
          <cell r="BF1141">
            <v>2</v>
          </cell>
          <cell r="BG1141">
            <v>2</v>
          </cell>
          <cell r="BH1141">
            <v>0</v>
          </cell>
          <cell r="BI1141">
            <v>1</v>
          </cell>
          <cell r="BJ1141">
            <v>0</v>
          </cell>
          <cell r="BK1141">
            <v>0</v>
          </cell>
          <cell r="BL1141">
            <v>0</v>
          </cell>
          <cell r="BM1141">
            <v>0</v>
          </cell>
          <cell r="BN1141">
            <v>1</v>
          </cell>
          <cell r="BO1141">
            <v>0</v>
          </cell>
          <cell r="BP1141">
            <v>0</v>
          </cell>
          <cell r="BQ1141">
            <v>2</v>
          </cell>
          <cell r="BR1141">
            <v>0</v>
          </cell>
          <cell r="BS1141">
            <v>0</v>
          </cell>
          <cell r="BT1141">
            <v>6</v>
          </cell>
          <cell r="BU1141">
            <v>0</v>
          </cell>
        </row>
        <row r="1142">
          <cell r="A1142">
            <v>44</v>
          </cell>
          <cell r="B1142">
            <v>44</v>
          </cell>
          <cell r="D1142">
            <v>0</v>
          </cell>
          <cell r="F1142">
            <v>0</v>
          </cell>
          <cell r="G1142">
            <v>1</v>
          </cell>
          <cell r="I1142">
            <v>1</v>
          </cell>
          <cell r="J1142">
            <v>0</v>
          </cell>
          <cell r="K1142">
            <v>7</v>
          </cell>
          <cell r="L1142">
            <v>7</v>
          </cell>
          <cell r="M1142">
            <v>3</v>
          </cell>
          <cell r="O1142">
            <v>0</v>
          </cell>
          <cell r="P1142">
            <v>0</v>
          </cell>
          <cell r="Q1142">
            <v>1</v>
          </cell>
          <cell r="R1142">
            <v>0</v>
          </cell>
          <cell r="S1142">
            <v>0</v>
          </cell>
          <cell r="T1142">
            <v>2</v>
          </cell>
          <cell r="V1142">
            <v>1</v>
          </cell>
          <cell r="W1142">
            <v>31</v>
          </cell>
          <cell r="X1142">
            <v>3</v>
          </cell>
          <cell r="Y1142">
            <v>5</v>
          </cell>
          <cell r="AA1142">
            <v>0</v>
          </cell>
          <cell r="AB1142">
            <v>0</v>
          </cell>
          <cell r="AC1142">
            <v>0</v>
          </cell>
          <cell r="AD1142">
            <v>0</v>
          </cell>
          <cell r="AE1142">
            <v>0</v>
          </cell>
          <cell r="AF1142">
            <v>0</v>
          </cell>
          <cell r="AG1142">
            <v>0</v>
          </cell>
          <cell r="AH1142">
            <v>0</v>
          </cell>
          <cell r="AI1142">
            <v>4</v>
          </cell>
          <cell r="AK1142">
            <v>0</v>
          </cell>
          <cell r="AL1142">
            <v>0</v>
          </cell>
          <cell r="AN1142">
            <v>19049</v>
          </cell>
          <cell r="AO1142">
            <v>0</v>
          </cell>
          <cell r="AQ1142">
            <v>1</v>
          </cell>
          <cell r="AR1142">
            <v>14</v>
          </cell>
          <cell r="AS1142">
            <v>3</v>
          </cell>
          <cell r="AT1142">
            <v>4</v>
          </cell>
          <cell r="AU1142">
            <v>1</v>
          </cell>
          <cell r="AV1142">
            <v>23</v>
          </cell>
          <cell r="AW1142">
            <v>23</v>
          </cell>
          <cell r="AX1142">
            <v>4</v>
          </cell>
          <cell r="AY1142">
            <v>2</v>
          </cell>
          <cell r="AZ1142">
            <v>22</v>
          </cell>
          <cell r="BA1142">
            <v>22</v>
          </cell>
          <cell r="BB1142">
            <v>7</v>
          </cell>
          <cell r="BC1142">
            <v>1</v>
          </cell>
          <cell r="BD1142">
            <v>1</v>
          </cell>
          <cell r="BE1142">
            <v>10</v>
          </cell>
          <cell r="BF1142">
            <v>10</v>
          </cell>
          <cell r="BG1142">
            <v>50</v>
          </cell>
          <cell r="BH1142">
            <v>1</v>
          </cell>
          <cell r="BI1142">
            <v>0</v>
          </cell>
          <cell r="BJ1142">
            <v>0</v>
          </cell>
          <cell r="BK1142">
            <v>0</v>
          </cell>
          <cell r="BL1142">
            <v>0</v>
          </cell>
          <cell r="BM1142">
            <v>1</v>
          </cell>
          <cell r="BN1142">
            <v>0</v>
          </cell>
          <cell r="BO1142">
            <v>0</v>
          </cell>
          <cell r="BP1142">
            <v>0</v>
          </cell>
          <cell r="BQ1142">
            <v>10</v>
          </cell>
          <cell r="BR1142">
            <v>0</v>
          </cell>
          <cell r="BS1142">
            <v>0</v>
          </cell>
          <cell r="BT1142">
            <v>23</v>
          </cell>
          <cell r="BU1142">
            <v>0</v>
          </cell>
        </row>
        <row r="1143">
          <cell r="A1143">
            <v>30</v>
          </cell>
          <cell r="B1143">
            <v>30</v>
          </cell>
          <cell r="D1143">
            <v>0</v>
          </cell>
          <cell r="F1143">
            <v>0</v>
          </cell>
          <cell r="G1143">
            <v>1</v>
          </cell>
          <cell r="I1143">
            <v>1</v>
          </cell>
          <cell r="J1143">
            <v>0</v>
          </cell>
          <cell r="K1143">
            <v>7</v>
          </cell>
          <cell r="L1143">
            <v>7</v>
          </cell>
          <cell r="M1143">
            <v>3</v>
          </cell>
          <cell r="O1143">
            <v>0</v>
          </cell>
          <cell r="P1143">
            <v>0</v>
          </cell>
          <cell r="Q1143">
            <v>1</v>
          </cell>
          <cell r="R1143">
            <v>0</v>
          </cell>
          <cell r="S1143">
            <v>0</v>
          </cell>
          <cell r="T1143">
            <v>2</v>
          </cell>
          <cell r="V1143">
            <v>0</v>
          </cell>
          <cell r="W1143">
            <v>48</v>
          </cell>
          <cell r="X1143">
            <v>2</v>
          </cell>
          <cell r="Y1143">
            <v>1</v>
          </cell>
          <cell r="AA1143">
            <v>0</v>
          </cell>
          <cell r="AB1143">
            <v>0</v>
          </cell>
          <cell r="AC1143">
            <v>0</v>
          </cell>
          <cell r="AD1143">
            <v>0</v>
          </cell>
          <cell r="AE1143">
            <v>0</v>
          </cell>
          <cell r="AF1143">
            <v>0</v>
          </cell>
          <cell r="AG1143">
            <v>0</v>
          </cell>
          <cell r="AH1143">
            <v>1</v>
          </cell>
          <cell r="AI1143">
            <v>2</v>
          </cell>
          <cell r="AK1143">
            <v>0</v>
          </cell>
          <cell r="AL1143">
            <v>1</v>
          </cell>
          <cell r="AN1143">
            <v>2141</v>
          </cell>
          <cell r="AO1143">
            <v>1</v>
          </cell>
          <cell r="AQ1143">
            <v>0</v>
          </cell>
          <cell r="AR1143">
            <v>12</v>
          </cell>
          <cell r="AS1143">
            <v>3</v>
          </cell>
          <cell r="AT1143">
            <v>2</v>
          </cell>
          <cell r="AU1143">
            <v>1</v>
          </cell>
          <cell r="AV1143">
            <v>6</v>
          </cell>
          <cell r="AW1143">
            <v>6</v>
          </cell>
          <cell r="AX1143">
            <v>3</v>
          </cell>
          <cell r="AY1143">
            <v>2</v>
          </cell>
          <cell r="AZ1143">
            <v>6</v>
          </cell>
          <cell r="BA1143">
            <v>6</v>
          </cell>
          <cell r="BB1143">
            <v>4</v>
          </cell>
          <cell r="BC1143">
            <v>1</v>
          </cell>
          <cell r="BD1143">
            <v>1</v>
          </cell>
          <cell r="BE1143">
            <v>1</v>
          </cell>
          <cell r="BF1143">
            <v>1</v>
          </cell>
          <cell r="BG1143">
            <v>1</v>
          </cell>
          <cell r="BH1143">
            <v>0</v>
          </cell>
          <cell r="BI1143">
            <v>1</v>
          </cell>
          <cell r="BJ1143">
            <v>0</v>
          </cell>
          <cell r="BK1143">
            <v>0</v>
          </cell>
          <cell r="BL1143">
            <v>0</v>
          </cell>
          <cell r="BM1143">
            <v>0</v>
          </cell>
          <cell r="BN1143">
            <v>1</v>
          </cell>
          <cell r="BO1143">
            <v>0</v>
          </cell>
          <cell r="BP1143">
            <v>0</v>
          </cell>
          <cell r="BQ1143">
            <v>1</v>
          </cell>
          <cell r="BR1143">
            <v>0</v>
          </cell>
          <cell r="BS1143">
            <v>0</v>
          </cell>
          <cell r="BT1143">
            <v>6</v>
          </cell>
          <cell r="BU1143">
            <v>0</v>
          </cell>
        </row>
        <row r="1144">
          <cell r="A1144">
            <v>45</v>
          </cell>
          <cell r="B1144">
            <v>45</v>
          </cell>
          <cell r="D1144">
            <v>0</v>
          </cell>
          <cell r="F1144">
            <v>0</v>
          </cell>
          <cell r="G1144">
            <v>1</v>
          </cell>
          <cell r="I1144">
            <v>1</v>
          </cell>
          <cell r="J1144">
            <v>0</v>
          </cell>
          <cell r="K1144">
            <v>5</v>
          </cell>
          <cell r="L1144">
            <v>5</v>
          </cell>
          <cell r="M1144">
            <v>5</v>
          </cell>
          <cell r="O1144">
            <v>0</v>
          </cell>
          <cell r="P1144">
            <v>0</v>
          </cell>
          <cell r="Q1144">
            <v>1</v>
          </cell>
          <cell r="R1144">
            <v>0</v>
          </cell>
          <cell r="S1144">
            <v>0</v>
          </cell>
          <cell r="T1144">
            <v>3</v>
          </cell>
          <cell r="V1144">
            <v>1</v>
          </cell>
          <cell r="W1144">
            <v>50</v>
          </cell>
          <cell r="X1144">
            <v>1</v>
          </cell>
          <cell r="Y1144">
            <v>2</v>
          </cell>
          <cell r="AA1144">
            <v>0</v>
          </cell>
          <cell r="AB1144">
            <v>0</v>
          </cell>
          <cell r="AC1144">
            <v>1</v>
          </cell>
          <cell r="AD1144">
            <v>0</v>
          </cell>
          <cell r="AE1144">
            <v>0</v>
          </cell>
          <cell r="AF1144">
            <v>0</v>
          </cell>
          <cell r="AG1144">
            <v>0</v>
          </cell>
          <cell r="AH1144">
            <v>0</v>
          </cell>
          <cell r="AI1144">
            <v>1</v>
          </cell>
          <cell r="AK1144">
            <v>1</v>
          </cell>
          <cell r="AL1144">
            <v>0</v>
          </cell>
          <cell r="AN1144">
            <v>5769</v>
          </cell>
          <cell r="AO1144">
            <v>1</v>
          </cell>
          <cell r="AQ1144">
            <v>1</v>
          </cell>
          <cell r="AR1144">
            <v>14</v>
          </cell>
          <cell r="AS1144">
            <v>3</v>
          </cell>
          <cell r="AT1144">
            <v>1</v>
          </cell>
          <cell r="AU1144">
            <v>0</v>
          </cell>
          <cell r="AV1144">
            <v>10</v>
          </cell>
          <cell r="AW1144">
            <v>10</v>
          </cell>
          <cell r="AX1144">
            <v>3</v>
          </cell>
          <cell r="AY1144">
            <v>3</v>
          </cell>
          <cell r="AZ1144">
            <v>10</v>
          </cell>
          <cell r="BA1144">
            <v>10</v>
          </cell>
          <cell r="BB1144">
            <v>7</v>
          </cell>
          <cell r="BC1144">
            <v>1</v>
          </cell>
          <cell r="BD1144">
            <v>1</v>
          </cell>
          <cell r="BE1144">
            <v>4</v>
          </cell>
          <cell r="BF1144">
            <v>4</v>
          </cell>
          <cell r="BG1144">
            <v>8</v>
          </cell>
          <cell r="BH1144">
            <v>1</v>
          </cell>
          <cell r="BI1144">
            <v>0</v>
          </cell>
          <cell r="BJ1144">
            <v>0</v>
          </cell>
          <cell r="BK1144">
            <v>0</v>
          </cell>
          <cell r="BL1144">
            <v>0</v>
          </cell>
          <cell r="BM1144">
            <v>1</v>
          </cell>
          <cell r="BN1144">
            <v>0</v>
          </cell>
          <cell r="BO1144">
            <v>0</v>
          </cell>
          <cell r="BP1144">
            <v>0</v>
          </cell>
          <cell r="BQ1144">
            <v>4</v>
          </cell>
          <cell r="BR1144">
            <v>0</v>
          </cell>
          <cell r="BS1144">
            <v>0</v>
          </cell>
          <cell r="BT1144">
            <v>10</v>
          </cell>
          <cell r="BU1144">
            <v>0</v>
          </cell>
        </row>
        <row r="1145">
          <cell r="A1145">
            <v>45</v>
          </cell>
          <cell r="B1145">
            <v>45</v>
          </cell>
          <cell r="D1145">
            <v>0</v>
          </cell>
          <cell r="F1145">
            <v>0</v>
          </cell>
          <cell r="G1145">
            <v>0</v>
          </cell>
          <cell r="I1145">
            <v>0</v>
          </cell>
          <cell r="J1145">
            <v>1</v>
          </cell>
          <cell r="K1145">
            <v>26</v>
          </cell>
          <cell r="L1145">
            <v>26</v>
          </cell>
          <cell r="M1145">
            <v>3</v>
          </cell>
          <cell r="O1145">
            <v>0</v>
          </cell>
          <cell r="P1145">
            <v>0</v>
          </cell>
          <cell r="Q1145">
            <v>0</v>
          </cell>
          <cell r="R1145">
            <v>1</v>
          </cell>
          <cell r="S1145">
            <v>0</v>
          </cell>
          <cell r="T1145">
            <v>1</v>
          </cell>
          <cell r="V1145">
            <v>0</v>
          </cell>
          <cell r="W1145">
            <v>52</v>
          </cell>
          <cell r="X1145">
            <v>2</v>
          </cell>
          <cell r="Y1145">
            <v>2</v>
          </cell>
          <cell r="AA1145">
            <v>0</v>
          </cell>
          <cell r="AB1145">
            <v>1</v>
          </cell>
          <cell r="AC1145">
            <v>0</v>
          </cell>
          <cell r="AD1145">
            <v>0</v>
          </cell>
          <cell r="AE1145">
            <v>0</v>
          </cell>
          <cell r="AF1145">
            <v>0</v>
          </cell>
          <cell r="AG1145">
            <v>0</v>
          </cell>
          <cell r="AH1145">
            <v>0</v>
          </cell>
          <cell r="AI1145">
            <v>1</v>
          </cell>
          <cell r="AK1145">
            <v>0</v>
          </cell>
          <cell r="AL1145">
            <v>1</v>
          </cell>
          <cell r="AN1145">
            <v>4385</v>
          </cell>
          <cell r="AO1145">
            <v>1</v>
          </cell>
          <cell r="AQ1145">
            <v>0</v>
          </cell>
          <cell r="AR1145">
            <v>15</v>
          </cell>
          <cell r="AS1145">
            <v>3</v>
          </cell>
          <cell r="AT1145">
            <v>1</v>
          </cell>
          <cell r="AU1145">
            <v>1</v>
          </cell>
          <cell r="AV1145">
            <v>10</v>
          </cell>
          <cell r="AW1145">
            <v>10</v>
          </cell>
          <cell r="AX1145">
            <v>2</v>
          </cell>
          <cell r="AY1145">
            <v>3</v>
          </cell>
          <cell r="AZ1145">
            <v>10</v>
          </cell>
          <cell r="BA1145">
            <v>10</v>
          </cell>
          <cell r="BB1145">
            <v>7</v>
          </cell>
          <cell r="BC1145">
            <v>4</v>
          </cell>
          <cell r="BD1145">
            <v>4</v>
          </cell>
          <cell r="BE1145">
            <v>5</v>
          </cell>
          <cell r="BF1145">
            <v>5</v>
          </cell>
          <cell r="BG1145">
            <v>10</v>
          </cell>
          <cell r="BH1145">
            <v>0</v>
          </cell>
          <cell r="BI1145">
            <v>1</v>
          </cell>
          <cell r="BJ1145">
            <v>0</v>
          </cell>
          <cell r="BK1145">
            <v>0</v>
          </cell>
          <cell r="BL1145">
            <v>0</v>
          </cell>
          <cell r="BM1145">
            <v>0</v>
          </cell>
          <cell r="BN1145">
            <v>1</v>
          </cell>
          <cell r="BO1145">
            <v>0</v>
          </cell>
          <cell r="BP1145">
            <v>0</v>
          </cell>
          <cell r="BQ1145">
            <v>0</v>
          </cell>
          <cell r="BR1145">
            <v>5</v>
          </cell>
          <cell r="BS1145">
            <v>0</v>
          </cell>
          <cell r="BT1145">
            <v>0</v>
          </cell>
          <cell r="BU1145">
            <v>10</v>
          </cell>
        </row>
        <row r="1146">
          <cell r="A1146">
            <v>31</v>
          </cell>
          <cell r="B1146">
            <v>31</v>
          </cell>
          <cell r="D1146">
            <v>0</v>
          </cell>
          <cell r="F1146">
            <v>1</v>
          </cell>
          <cell r="G1146">
            <v>0</v>
          </cell>
          <cell r="I1146">
            <v>0</v>
          </cell>
          <cell r="J1146">
            <v>1</v>
          </cell>
          <cell r="K1146">
            <v>2</v>
          </cell>
          <cell r="L1146">
            <v>2</v>
          </cell>
          <cell r="M1146">
            <v>4</v>
          </cell>
          <cell r="O1146">
            <v>0</v>
          </cell>
          <cell r="P1146">
            <v>1</v>
          </cell>
          <cell r="Q1146">
            <v>0</v>
          </cell>
          <cell r="R1146">
            <v>0</v>
          </cell>
          <cell r="S1146">
            <v>0</v>
          </cell>
          <cell r="T1146">
            <v>4</v>
          </cell>
          <cell r="V1146">
            <v>0</v>
          </cell>
          <cell r="W1146">
            <v>54</v>
          </cell>
          <cell r="X1146">
            <v>3</v>
          </cell>
          <cell r="Y1146">
            <v>2</v>
          </cell>
          <cell r="AA1146">
            <v>0</v>
          </cell>
          <cell r="AB1146">
            <v>1</v>
          </cell>
          <cell r="AC1146">
            <v>0</v>
          </cell>
          <cell r="AD1146">
            <v>0</v>
          </cell>
          <cell r="AE1146">
            <v>0</v>
          </cell>
          <cell r="AF1146">
            <v>0</v>
          </cell>
          <cell r="AG1146">
            <v>0</v>
          </cell>
          <cell r="AH1146">
            <v>0</v>
          </cell>
          <cell r="AI1146">
            <v>1</v>
          </cell>
          <cell r="AK1146">
            <v>1</v>
          </cell>
          <cell r="AL1146">
            <v>0</v>
          </cell>
          <cell r="AN1146">
            <v>5332</v>
          </cell>
          <cell r="AO1146">
            <v>7</v>
          </cell>
          <cell r="AQ1146">
            <v>0</v>
          </cell>
          <cell r="AR1146">
            <v>13</v>
          </cell>
          <cell r="AS1146">
            <v>3</v>
          </cell>
          <cell r="AT1146">
            <v>4</v>
          </cell>
          <cell r="AU1146">
            <v>0</v>
          </cell>
          <cell r="AV1146">
            <v>10</v>
          </cell>
          <cell r="AW1146">
            <v>10</v>
          </cell>
          <cell r="AX1146">
            <v>3</v>
          </cell>
          <cell r="AY1146">
            <v>3</v>
          </cell>
          <cell r="AZ1146">
            <v>5</v>
          </cell>
          <cell r="BA1146">
            <v>5</v>
          </cell>
          <cell r="BB1146">
            <v>2</v>
          </cell>
          <cell r="BC1146">
            <v>0</v>
          </cell>
          <cell r="BD1146">
            <v>0</v>
          </cell>
          <cell r="BE1146">
            <v>3</v>
          </cell>
          <cell r="BF1146">
            <v>3</v>
          </cell>
          <cell r="BG1146">
            <v>6</v>
          </cell>
          <cell r="BH1146">
            <v>0</v>
          </cell>
          <cell r="BI1146">
            <v>0</v>
          </cell>
          <cell r="BJ1146">
            <v>1</v>
          </cell>
          <cell r="BK1146">
            <v>0</v>
          </cell>
          <cell r="BL1146">
            <v>1</v>
          </cell>
          <cell r="BM1146">
            <v>0</v>
          </cell>
          <cell r="BN1146">
            <v>0</v>
          </cell>
          <cell r="BO1146">
            <v>0</v>
          </cell>
          <cell r="BP1146">
            <v>0</v>
          </cell>
          <cell r="BQ1146">
            <v>0</v>
          </cell>
          <cell r="BR1146">
            <v>3</v>
          </cell>
          <cell r="BS1146">
            <v>0</v>
          </cell>
          <cell r="BT1146">
            <v>0</v>
          </cell>
          <cell r="BU1146">
            <v>10</v>
          </cell>
        </row>
        <row r="1147">
          <cell r="A1147">
            <v>36</v>
          </cell>
          <cell r="B1147">
            <v>36</v>
          </cell>
          <cell r="D1147">
            <v>0</v>
          </cell>
          <cell r="F1147">
            <v>0</v>
          </cell>
          <cell r="G1147">
            <v>1</v>
          </cell>
          <cell r="I1147">
            <v>1</v>
          </cell>
          <cell r="J1147">
            <v>0</v>
          </cell>
          <cell r="K1147">
            <v>12</v>
          </cell>
          <cell r="L1147">
            <v>12</v>
          </cell>
          <cell r="M1147">
            <v>4</v>
          </cell>
          <cell r="O1147">
            <v>1</v>
          </cell>
          <cell r="P1147">
            <v>0</v>
          </cell>
          <cell r="Q1147">
            <v>0</v>
          </cell>
          <cell r="R1147">
            <v>0</v>
          </cell>
          <cell r="S1147">
            <v>0</v>
          </cell>
          <cell r="T1147">
            <v>3</v>
          </cell>
          <cell r="V1147">
            <v>1</v>
          </cell>
          <cell r="W1147">
            <v>76</v>
          </cell>
          <cell r="X1147">
            <v>3</v>
          </cell>
          <cell r="Y1147">
            <v>2</v>
          </cell>
          <cell r="AA1147">
            <v>0</v>
          </cell>
          <cell r="AB1147">
            <v>0</v>
          </cell>
          <cell r="AC1147">
            <v>0</v>
          </cell>
          <cell r="AD1147">
            <v>0</v>
          </cell>
          <cell r="AE1147">
            <v>1</v>
          </cell>
          <cell r="AF1147">
            <v>1</v>
          </cell>
          <cell r="AG1147">
            <v>0</v>
          </cell>
          <cell r="AH1147">
            <v>0</v>
          </cell>
          <cell r="AI1147">
            <v>3</v>
          </cell>
          <cell r="AK1147">
            <v>0</v>
          </cell>
          <cell r="AL1147">
            <v>1</v>
          </cell>
          <cell r="AN1147">
            <v>4663</v>
          </cell>
          <cell r="AO1147">
            <v>9</v>
          </cell>
          <cell r="AQ1147">
            <v>1</v>
          </cell>
          <cell r="AR1147">
            <v>12</v>
          </cell>
          <cell r="AS1147">
            <v>3</v>
          </cell>
          <cell r="AT1147">
            <v>2</v>
          </cell>
          <cell r="AU1147">
            <v>2</v>
          </cell>
          <cell r="AV1147">
            <v>7</v>
          </cell>
          <cell r="AW1147">
            <v>7</v>
          </cell>
          <cell r="AX1147">
            <v>2</v>
          </cell>
          <cell r="AY1147">
            <v>3</v>
          </cell>
          <cell r="AZ1147">
            <v>3</v>
          </cell>
          <cell r="BA1147">
            <v>3</v>
          </cell>
          <cell r="BB1147">
            <v>2</v>
          </cell>
          <cell r="BC1147">
            <v>1</v>
          </cell>
          <cell r="BD1147">
            <v>1</v>
          </cell>
          <cell r="BE1147">
            <v>1</v>
          </cell>
          <cell r="BF1147">
            <v>1</v>
          </cell>
          <cell r="BG1147">
            <v>2</v>
          </cell>
          <cell r="BH1147">
            <v>0</v>
          </cell>
          <cell r="BI1147">
            <v>1</v>
          </cell>
          <cell r="BJ1147">
            <v>0</v>
          </cell>
          <cell r="BK1147">
            <v>0</v>
          </cell>
          <cell r="BL1147">
            <v>0</v>
          </cell>
          <cell r="BM1147">
            <v>0</v>
          </cell>
          <cell r="BN1147">
            <v>0</v>
          </cell>
          <cell r="BO1147">
            <v>1</v>
          </cell>
          <cell r="BP1147">
            <v>0</v>
          </cell>
          <cell r="BQ1147">
            <v>1</v>
          </cell>
          <cell r="BR1147">
            <v>0</v>
          </cell>
          <cell r="BS1147">
            <v>0</v>
          </cell>
          <cell r="BT1147">
            <v>7</v>
          </cell>
          <cell r="BU1147">
            <v>0</v>
          </cell>
        </row>
        <row r="1148">
          <cell r="A1148">
            <v>34</v>
          </cell>
          <cell r="B1148">
            <v>34</v>
          </cell>
          <cell r="D1148">
            <v>0</v>
          </cell>
          <cell r="F1148">
            <v>1</v>
          </cell>
          <cell r="G1148">
            <v>0</v>
          </cell>
          <cell r="I1148">
            <v>1</v>
          </cell>
          <cell r="J1148">
            <v>0</v>
          </cell>
          <cell r="K1148">
            <v>10</v>
          </cell>
          <cell r="L1148">
            <v>10</v>
          </cell>
          <cell r="M1148">
            <v>4</v>
          </cell>
          <cell r="O1148">
            <v>1</v>
          </cell>
          <cell r="P1148">
            <v>0</v>
          </cell>
          <cell r="Q1148">
            <v>0</v>
          </cell>
          <cell r="R1148">
            <v>0</v>
          </cell>
          <cell r="S1148">
            <v>0</v>
          </cell>
          <cell r="T1148">
            <v>3</v>
          </cell>
          <cell r="V1148">
            <v>0</v>
          </cell>
          <cell r="W1148">
            <v>42</v>
          </cell>
          <cell r="X1148">
            <v>4</v>
          </cell>
          <cell r="Y1148">
            <v>2</v>
          </cell>
          <cell r="AA1148">
            <v>0</v>
          </cell>
          <cell r="AB1148">
            <v>0</v>
          </cell>
          <cell r="AC1148">
            <v>0</v>
          </cell>
          <cell r="AD1148">
            <v>0</v>
          </cell>
          <cell r="AE1148">
            <v>1</v>
          </cell>
          <cell r="AF1148">
            <v>1</v>
          </cell>
          <cell r="AG1148">
            <v>0</v>
          </cell>
          <cell r="AH1148">
            <v>0</v>
          </cell>
          <cell r="AI1148">
            <v>4</v>
          </cell>
          <cell r="AK1148">
            <v>0</v>
          </cell>
          <cell r="AL1148">
            <v>0</v>
          </cell>
          <cell r="AN1148">
            <v>4724</v>
          </cell>
          <cell r="AO1148">
            <v>1</v>
          </cell>
          <cell r="AQ1148">
            <v>0</v>
          </cell>
          <cell r="AR1148">
            <v>13</v>
          </cell>
          <cell r="AS1148">
            <v>3</v>
          </cell>
          <cell r="AT1148">
            <v>1</v>
          </cell>
          <cell r="AU1148">
            <v>1</v>
          </cell>
          <cell r="AV1148">
            <v>9</v>
          </cell>
          <cell r="AW1148">
            <v>9</v>
          </cell>
          <cell r="AX1148">
            <v>3</v>
          </cell>
          <cell r="AY1148">
            <v>3</v>
          </cell>
          <cell r="AZ1148">
            <v>9</v>
          </cell>
          <cell r="BA1148">
            <v>9</v>
          </cell>
          <cell r="BB1148">
            <v>7</v>
          </cell>
          <cell r="BC1148">
            <v>7</v>
          </cell>
          <cell r="BD1148">
            <v>7</v>
          </cell>
          <cell r="BE1148">
            <v>2</v>
          </cell>
          <cell r="BF1148">
            <v>2</v>
          </cell>
          <cell r="BG1148">
            <v>4</v>
          </cell>
          <cell r="BH1148">
            <v>0</v>
          </cell>
          <cell r="BI1148">
            <v>0</v>
          </cell>
          <cell r="BJ1148">
            <v>1</v>
          </cell>
          <cell r="BK1148">
            <v>0</v>
          </cell>
          <cell r="BL1148">
            <v>1</v>
          </cell>
          <cell r="BM1148">
            <v>0</v>
          </cell>
          <cell r="BN1148">
            <v>0</v>
          </cell>
          <cell r="BO1148">
            <v>0</v>
          </cell>
          <cell r="BP1148">
            <v>0</v>
          </cell>
          <cell r="BQ1148">
            <v>2</v>
          </cell>
          <cell r="BR1148">
            <v>0</v>
          </cell>
          <cell r="BS1148">
            <v>0</v>
          </cell>
          <cell r="BT1148">
            <v>9</v>
          </cell>
          <cell r="BU1148">
            <v>0</v>
          </cell>
        </row>
        <row r="1149">
          <cell r="A1149">
            <v>49</v>
          </cell>
          <cell r="B1149">
            <v>49</v>
          </cell>
          <cell r="D1149">
            <v>0</v>
          </cell>
          <cell r="F1149">
            <v>0</v>
          </cell>
          <cell r="G1149">
            <v>1</v>
          </cell>
          <cell r="I1149">
            <v>1</v>
          </cell>
          <cell r="J1149">
            <v>0</v>
          </cell>
          <cell r="K1149">
            <v>25</v>
          </cell>
          <cell r="L1149">
            <v>25</v>
          </cell>
          <cell r="M1149">
            <v>4</v>
          </cell>
          <cell r="O1149">
            <v>1</v>
          </cell>
          <cell r="P1149">
            <v>0</v>
          </cell>
          <cell r="Q1149">
            <v>0</v>
          </cell>
          <cell r="R1149">
            <v>0</v>
          </cell>
          <cell r="S1149">
            <v>0</v>
          </cell>
          <cell r="T1149">
            <v>3</v>
          </cell>
          <cell r="V1149">
            <v>1</v>
          </cell>
          <cell r="W1149">
            <v>84</v>
          </cell>
          <cell r="X1149">
            <v>3</v>
          </cell>
          <cell r="Y1149">
            <v>1</v>
          </cell>
          <cell r="AA1149">
            <v>0</v>
          </cell>
          <cell r="AB1149">
            <v>0</v>
          </cell>
          <cell r="AC1149">
            <v>1</v>
          </cell>
          <cell r="AD1149">
            <v>0</v>
          </cell>
          <cell r="AE1149">
            <v>0</v>
          </cell>
          <cell r="AF1149">
            <v>0</v>
          </cell>
          <cell r="AG1149">
            <v>0</v>
          </cell>
          <cell r="AH1149">
            <v>0</v>
          </cell>
          <cell r="AI1149">
            <v>1</v>
          </cell>
          <cell r="AK1149">
            <v>0</v>
          </cell>
          <cell r="AL1149">
            <v>1</v>
          </cell>
          <cell r="AN1149">
            <v>3211</v>
          </cell>
          <cell r="AO1149">
            <v>1</v>
          </cell>
          <cell r="AQ1149">
            <v>0</v>
          </cell>
          <cell r="AR1149">
            <v>14</v>
          </cell>
          <cell r="AS1149">
            <v>3</v>
          </cell>
          <cell r="AT1149">
            <v>4</v>
          </cell>
          <cell r="AU1149">
            <v>1</v>
          </cell>
          <cell r="AV1149">
            <v>10</v>
          </cell>
          <cell r="AW1149">
            <v>10</v>
          </cell>
          <cell r="AX1149">
            <v>3</v>
          </cell>
          <cell r="AY1149">
            <v>2</v>
          </cell>
          <cell r="AZ1149">
            <v>9</v>
          </cell>
          <cell r="BA1149">
            <v>9</v>
          </cell>
          <cell r="BB1149">
            <v>6</v>
          </cell>
          <cell r="BC1149">
            <v>1</v>
          </cell>
          <cell r="BD1149">
            <v>1</v>
          </cell>
          <cell r="BE1149">
            <v>4</v>
          </cell>
          <cell r="BF1149">
            <v>4</v>
          </cell>
          <cell r="BG1149">
            <v>4</v>
          </cell>
          <cell r="BH1149">
            <v>0</v>
          </cell>
          <cell r="BI1149">
            <v>1</v>
          </cell>
          <cell r="BJ1149">
            <v>0</v>
          </cell>
          <cell r="BK1149">
            <v>0</v>
          </cell>
          <cell r="BL1149">
            <v>0</v>
          </cell>
          <cell r="BM1149">
            <v>0</v>
          </cell>
          <cell r="BN1149">
            <v>1</v>
          </cell>
          <cell r="BO1149">
            <v>0</v>
          </cell>
          <cell r="BP1149">
            <v>0</v>
          </cell>
          <cell r="BQ1149">
            <v>4</v>
          </cell>
          <cell r="BR1149">
            <v>0</v>
          </cell>
          <cell r="BS1149">
            <v>0</v>
          </cell>
          <cell r="BT1149">
            <v>10</v>
          </cell>
          <cell r="BU1149">
            <v>0</v>
          </cell>
        </row>
        <row r="1150">
          <cell r="A1150">
            <v>39</v>
          </cell>
          <cell r="B1150">
            <v>39</v>
          </cell>
          <cell r="D1150">
            <v>0</v>
          </cell>
          <cell r="F1150">
            <v>0</v>
          </cell>
          <cell r="G1150">
            <v>1</v>
          </cell>
          <cell r="I1150">
            <v>1</v>
          </cell>
          <cell r="J1150">
            <v>0</v>
          </cell>
          <cell r="K1150">
            <v>10</v>
          </cell>
          <cell r="L1150">
            <v>10</v>
          </cell>
          <cell r="M1150">
            <v>5</v>
          </cell>
          <cell r="O1150">
            <v>0</v>
          </cell>
          <cell r="P1150">
            <v>0</v>
          </cell>
          <cell r="Q1150">
            <v>1</v>
          </cell>
          <cell r="R1150">
            <v>0</v>
          </cell>
          <cell r="S1150">
            <v>0</v>
          </cell>
          <cell r="T1150">
            <v>2</v>
          </cell>
          <cell r="V1150">
            <v>0</v>
          </cell>
          <cell r="W1150">
            <v>76</v>
          </cell>
          <cell r="X1150">
            <v>3</v>
          </cell>
          <cell r="Y1150">
            <v>2</v>
          </cell>
          <cell r="AA1150">
            <v>0</v>
          </cell>
          <cell r="AB1150">
            <v>0</v>
          </cell>
          <cell r="AC1150">
            <v>0</v>
          </cell>
          <cell r="AD1150">
            <v>0</v>
          </cell>
          <cell r="AE1150">
            <v>1</v>
          </cell>
          <cell r="AF1150">
            <v>1</v>
          </cell>
          <cell r="AG1150">
            <v>0</v>
          </cell>
          <cell r="AH1150">
            <v>0</v>
          </cell>
          <cell r="AI1150">
            <v>1</v>
          </cell>
          <cell r="AK1150">
            <v>0</v>
          </cell>
          <cell r="AL1150">
            <v>1</v>
          </cell>
          <cell r="AN1150">
            <v>5377</v>
          </cell>
          <cell r="AO1150">
            <v>2</v>
          </cell>
          <cell r="AQ1150">
            <v>0</v>
          </cell>
          <cell r="AR1150">
            <v>13</v>
          </cell>
          <cell r="AS1150">
            <v>3</v>
          </cell>
          <cell r="AT1150">
            <v>4</v>
          </cell>
          <cell r="AU1150">
            <v>3</v>
          </cell>
          <cell r="AV1150">
            <v>10</v>
          </cell>
          <cell r="AW1150">
            <v>10</v>
          </cell>
          <cell r="AX1150">
            <v>3</v>
          </cell>
          <cell r="AY1150">
            <v>3</v>
          </cell>
          <cell r="AZ1150">
            <v>7</v>
          </cell>
          <cell r="BA1150">
            <v>7</v>
          </cell>
          <cell r="BB1150">
            <v>7</v>
          </cell>
          <cell r="BC1150">
            <v>7</v>
          </cell>
          <cell r="BD1150">
            <v>7</v>
          </cell>
          <cell r="BE1150">
            <v>7</v>
          </cell>
          <cell r="BF1150">
            <v>7</v>
          </cell>
          <cell r="BG1150">
            <v>14</v>
          </cell>
          <cell r="BH1150">
            <v>0</v>
          </cell>
          <cell r="BI1150">
            <v>1</v>
          </cell>
          <cell r="BJ1150">
            <v>0</v>
          </cell>
          <cell r="BK1150">
            <v>0</v>
          </cell>
          <cell r="BL1150">
            <v>0</v>
          </cell>
          <cell r="BM1150">
            <v>0</v>
          </cell>
          <cell r="BN1150">
            <v>1</v>
          </cell>
          <cell r="BO1150">
            <v>0</v>
          </cell>
          <cell r="BP1150">
            <v>0</v>
          </cell>
          <cell r="BQ1150">
            <v>7</v>
          </cell>
          <cell r="BR1150">
            <v>0</v>
          </cell>
          <cell r="BS1150">
            <v>0</v>
          </cell>
          <cell r="BT1150">
            <v>10</v>
          </cell>
          <cell r="BU1150">
            <v>0</v>
          </cell>
        </row>
        <row r="1151">
          <cell r="A1151">
            <v>27</v>
          </cell>
          <cell r="B1151">
            <v>27</v>
          </cell>
          <cell r="D1151">
            <v>0</v>
          </cell>
          <cell r="F1151">
            <v>0</v>
          </cell>
          <cell r="G1151">
            <v>1</v>
          </cell>
          <cell r="I1151">
            <v>1</v>
          </cell>
          <cell r="J1151">
            <v>0</v>
          </cell>
          <cell r="K1151">
            <v>19</v>
          </cell>
          <cell r="L1151">
            <v>19</v>
          </cell>
          <cell r="M1151">
            <v>3</v>
          </cell>
          <cell r="O1151">
            <v>0</v>
          </cell>
          <cell r="P1151">
            <v>1</v>
          </cell>
          <cell r="Q1151">
            <v>0</v>
          </cell>
          <cell r="R1151">
            <v>0</v>
          </cell>
          <cell r="S1151">
            <v>0</v>
          </cell>
          <cell r="T1151">
            <v>4</v>
          </cell>
          <cell r="V1151">
            <v>0</v>
          </cell>
          <cell r="W1151">
            <v>67</v>
          </cell>
          <cell r="X1151">
            <v>2</v>
          </cell>
          <cell r="Y1151">
            <v>1</v>
          </cell>
          <cell r="AA1151">
            <v>0</v>
          </cell>
          <cell r="AB1151">
            <v>0</v>
          </cell>
          <cell r="AC1151">
            <v>1</v>
          </cell>
          <cell r="AD1151">
            <v>0</v>
          </cell>
          <cell r="AE1151">
            <v>0</v>
          </cell>
          <cell r="AF1151">
            <v>0</v>
          </cell>
          <cell r="AG1151">
            <v>0</v>
          </cell>
          <cell r="AH1151">
            <v>0</v>
          </cell>
          <cell r="AI1151">
            <v>1</v>
          </cell>
          <cell r="AK1151">
            <v>0</v>
          </cell>
          <cell r="AL1151">
            <v>0</v>
          </cell>
          <cell r="AN1151">
            <v>4066</v>
          </cell>
          <cell r="AO1151">
            <v>1</v>
          </cell>
          <cell r="AQ1151">
            <v>0</v>
          </cell>
          <cell r="AR1151">
            <v>11</v>
          </cell>
          <cell r="AS1151">
            <v>3</v>
          </cell>
          <cell r="AT1151">
            <v>1</v>
          </cell>
          <cell r="AU1151">
            <v>2</v>
          </cell>
          <cell r="AV1151">
            <v>7</v>
          </cell>
          <cell r="AW1151">
            <v>7</v>
          </cell>
          <cell r="AX1151">
            <v>3</v>
          </cell>
          <cell r="AY1151">
            <v>3</v>
          </cell>
          <cell r="AZ1151">
            <v>7</v>
          </cell>
          <cell r="BA1151">
            <v>7</v>
          </cell>
          <cell r="BB1151">
            <v>7</v>
          </cell>
          <cell r="BC1151">
            <v>0</v>
          </cell>
          <cell r="BD1151">
            <v>0</v>
          </cell>
          <cell r="BE1151">
            <v>7</v>
          </cell>
          <cell r="BF1151">
            <v>7</v>
          </cell>
          <cell r="BG1151">
            <v>7</v>
          </cell>
          <cell r="BH1151">
            <v>1</v>
          </cell>
          <cell r="BI1151">
            <v>0</v>
          </cell>
          <cell r="BJ1151">
            <v>0</v>
          </cell>
          <cell r="BK1151">
            <v>0</v>
          </cell>
          <cell r="BL1151">
            <v>1</v>
          </cell>
          <cell r="BM1151">
            <v>0</v>
          </cell>
          <cell r="BN1151">
            <v>0</v>
          </cell>
          <cell r="BO1151">
            <v>0</v>
          </cell>
          <cell r="BP1151">
            <v>0</v>
          </cell>
          <cell r="BQ1151">
            <v>7</v>
          </cell>
          <cell r="BR1151">
            <v>0</v>
          </cell>
          <cell r="BS1151">
            <v>0</v>
          </cell>
          <cell r="BT1151">
            <v>7</v>
          </cell>
          <cell r="BU1151">
            <v>0</v>
          </cell>
        </row>
        <row r="1152">
          <cell r="A1152">
            <v>35</v>
          </cell>
          <cell r="B1152">
            <v>35</v>
          </cell>
          <cell r="D1152">
            <v>0</v>
          </cell>
          <cell r="F1152">
            <v>0</v>
          </cell>
          <cell r="G1152">
            <v>1</v>
          </cell>
          <cell r="I1152">
            <v>1</v>
          </cell>
          <cell r="J1152">
            <v>0</v>
          </cell>
          <cell r="K1152">
            <v>18</v>
          </cell>
          <cell r="L1152">
            <v>18</v>
          </cell>
          <cell r="M1152">
            <v>5</v>
          </cell>
          <cell r="O1152">
            <v>1</v>
          </cell>
          <cell r="P1152">
            <v>0</v>
          </cell>
          <cell r="Q1152">
            <v>0</v>
          </cell>
          <cell r="R1152">
            <v>0</v>
          </cell>
          <cell r="S1152">
            <v>0</v>
          </cell>
          <cell r="T1152">
            <v>2</v>
          </cell>
          <cell r="V1152">
            <v>0</v>
          </cell>
          <cell r="W1152">
            <v>48</v>
          </cell>
          <cell r="X1152">
            <v>4</v>
          </cell>
          <cell r="Y1152">
            <v>2</v>
          </cell>
          <cell r="AA1152">
            <v>0</v>
          </cell>
          <cell r="AB1152">
            <v>0</v>
          </cell>
          <cell r="AC1152">
            <v>0</v>
          </cell>
          <cell r="AD1152">
            <v>0</v>
          </cell>
          <cell r="AE1152">
            <v>0</v>
          </cell>
          <cell r="AF1152">
            <v>0</v>
          </cell>
          <cell r="AG1152">
            <v>0</v>
          </cell>
          <cell r="AH1152">
            <v>1</v>
          </cell>
          <cell r="AI1152">
            <v>1</v>
          </cell>
          <cell r="AK1152">
            <v>0</v>
          </cell>
          <cell r="AL1152">
            <v>1</v>
          </cell>
          <cell r="AN1152">
            <v>5208</v>
          </cell>
          <cell r="AO1152">
            <v>1</v>
          </cell>
          <cell r="AQ1152">
            <v>0</v>
          </cell>
          <cell r="AR1152">
            <v>11</v>
          </cell>
          <cell r="AS1152">
            <v>3</v>
          </cell>
          <cell r="AT1152">
            <v>4</v>
          </cell>
          <cell r="AU1152">
            <v>0</v>
          </cell>
          <cell r="AV1152">
            <v>16</v>
          </cell>
          <cell r="AW1152">
            <v>16</v>
          </cell>
          <cell r="AX1152">
            <v>2</v>
          </cell>
          <cell r="AY1152">
            <v>3</v>
          </cell>
          <cell r="AZ1152">
            <v>16</v>
          </cell>
          <cell r="BA1152">
            <v>16</v>
          </cell>
          <cell r="BB1152">
            <v>15</v>
          </cell>
          <cell r="BC1152">
            <v>1</v>
          </cell>
          <cell r="BD1152">
            <v>1</v>
          </cell>
          <cell r="BE1152">
            <v>10</v>
          </cell>
          <cell r="BF1152">
            <v>10</v>
          </cell>
          <cell r="BG1152">
            <v>20</v>
          </cell>
          <cell r="BH1152">
            <v>0</v>
          </cell>
          <cell r="BI1152">
            <v>1</v>
          </cell>
          <cell r="BJ1152">
            <v>0</v>
          </cell>
          <cell r="BK1152">
            <v>0</v>
          </cell>
          <cell r="BL1152">
            <v>0</v>
          </cell>
          <cell r="BM1152">
            <v>0</v>
          </cell>
          <cell r="BN1152">
            <v>1</v>
          </cell>
          <cell r="BO1152">
            <v>0</v>
          </cell>
          <cell r="BP1152">
            <v>0</v>
          </cell>
          <cell r="BQ1152">
            <v>10</v>
          </cell>
          <cell r="BR1152">
            <v>0</v>
          </cell>
          <cell r="BS1152">
            <v>0</v>
          </cell>
          <cell r="BT1152">
            <v>16</v>
          </cell>
          <cell r="BU1152">
            <v>0</v>
          </cell>
        </row>
        <row r="1153">
          <cell r="A1153">
            <v>28</v>
          </cell>
          <cell r="B1153">
            <v>28</v>
          </cell>
          <cell r="D1153">
            <v>0</v>
          </cell>
          <cell r="F1153">
            <v>0</v>
          </cell>
          <cell r="G1153">
            <v>1</v>
          </cell>
          <cell r="I1153">
            <v>1</v>
          </cell>
          <cell r="J1153">
            <v>0</v>
          </cell>
          <cell r="K1153">
            <v>27</v>
          </cell>
          <cell r="L1153">
            <v>27</v>
          </cell>
          <cell r="M1153">
            <v>3</v>
          </cell>
          <cell r="O1153">
            <v>0</v>
          </cell>
          <cell r="P1153">
            <v>0</v>
          </cell>
          <cell r="Q1153">
            <v>1</v>
          </cell>
          <cell r="R1153">
            <v>0</v>
          </cell>
          <cell r="S1153">
            <v>0</v>
          </cell>
          <cell r="T1153">
            <v>2</v>
          </cell>
          <cell r="V1153">
            <v>1</v>
          </cell>
          <cell r="W1153">
            <v>39</v>
          </cell>
          <cell r="X1153">
            <v>1</v>
          </cell>
          <cell r="Y1153">
            <v>2</v>
          </cell>
          <cell r="AA1153">
            <v>0</v>
          </cell>
          <cell r="AB1153">
            <v>0</v>
          </cell>
          <cell r="AC1153">
            <v>0</v>
          </cell>
          <cell r="AD1153">
            <v>0</v>
          </cell>
          <cell r="AE1153">
            <v>1</v>
          </cell>
          <cell r="AF1153">
            <v>1</v>
          </cell>
          <cell r="AG1153">
            <v>0</v>
          </cell>
          <cell r="AH1153">
            <v>0</v>
          </cell>
          <cell r="AI1153">
            <v>1</v>
          </cell>
          <cell r="AK1153">
            <v>0</v>
          </cell>
          <cell r="AL1153">
            <v>0</v>
          </cell>
          <cell r="AN1153">
            <v>4877</v>
          </cell>
          <cell r="AO1153">
            <v>0</v>
          </cell>
          <cell r="AQ1153">
            <v>0</v>
          </cell>
          <cell r="AR1153">
            <v>21</v>
          </cell>
          <cell r="AS1153">
            <v>4</v>
          </cell>
          <cell r="AT1153">
            <v>2</v>
          </cell>
          <cell r="AU1153">
            <v>1</v>
          </cell>
          <cell r="AV1153">
            <v>6</v>
          </cell>
          <cell r="AW1153">
            <v>6</v>
          </cell>
          <cell r="AX1153">
            <v>5</v>
          </cell>
          <cell r="AY1153">
            <v>2</v>
          </cell>
          <cell r="AZ1153">
            <v>5</v>
          </cell>
          <cell r="BA1153">
            <v>5</v>
          </cell>
          <cell r="BB1153">
            <v>3</v>
          </cell>
          <cell r="BC1153">
            <v>0</v>
          </cell>
          <cell r="BD1153">
            <v>0</v>
          </cell>
          <cell r="BE1153">
            <v>0</v>
          </cell>
          <cell r="BF1153">
            <v>0</v>
          </cell>
          <cell r="BG1153">
            <v>0</v>
          </cell>
          <cell r="BH1153">
            <v>1</v>
          </cell>
          <cell r="BI1153">
            <v>0</v>
          </cell>
          <cell r="BJ1153">
            <v>0</v>
          </cell>
          <cell r="BK1153">
            <v>0</v>
          </cell>
          <cell r="BL1153">
            <v>1</v>
          </cell>
          <cell r="BM1153">
            <v>0</v>
          </cell>
          <cell r="BN1153">
            <v>0</v>
          </cell>
          <cell r="BO1153">
            <v>0</v>
          </cell>
          <cell r="BP1153">
            <v>0</v>
          </cell>
          <cell r="BQ1153">
            <v>0</v>
          </cell>
          <cell r="BR1153">
            <v>0</v>
          </cell>
          <cell r="BS1153">
            <v>0</v>
          </cell>
          <cell r="BT1153">
            <v>6</v>
          </cell>
          <cell r="BU1153">
            <v>0</v>
          </cell>
        </row>
        <row r="1154">
          <cell r="A1154">
            <v>21</v>
          </cell>
          <cell r="B1154">
            <v>21</v>
          </cell>
          <cell r="D1154">
            <v>0</v>
          </cell>
          <cell r="F1154">
            <v>0</v>
          </cell>
          <cell r="G1154">
            <v>1</v>
          </cell>
          <cell r="I1154">
            <v>1</v>
          </cell>
          <cell r="J1154">
            <v>0</v>
          </cell>
          <cell r="K1154">
            <v>5</v>
          </cell>
          <cell r="L1154">
            <v>5</v>
          </cell>
          <cell r="M1154">
            <v>1</v>
          </cell>
          <cell r="O1154">
            <v>0</v>
          </cell>
          <cell r="P1154">
            <v>0</v>
          </cell>
          <cell r="Q1154">
            <v>1</v>
          </cell>
          <cell r="R1154">
            <v>0</v>
          </cell>
          <cell r="S1154">
            <v>0</v>
          </cell>
          <cell r="T1154">
            <v>3</v>
          </cell>
          <cell r="V1154">
            <v>0</v>
          </cell>
          <cell r="W1154">
            <v>97</v>
          </cell>
          <cell r="X1154">
            <v>3</v>
          </cell>
          <cell r="Y1154">
            <v>1</v>
          </cell>
          <cell r="AA1154">
            <v>0</v>
          </cell>
          <cell r="AB1154">
            <v>0</v>
          </cell>
          <cell r="AC1154">
            <v>0</v>
          </cell>
          <cell r="AD1154">
            <v>0</v>
          </cell>
          <cell r="AE1154">
            <v>0</v>
          </cell>
          <cell r="AF1154">
            <v>0</v>
          </cell>
          <cell r="AG1154">
            <v>0</v>
          </cell>
          <cell r="AH1154">
            <v>1</v>
          </cell>
          <cell r="AI1154">
            <v>4</v>
          </cell>
          <cell r="AK1154">
            <v>1</v>
          </cell>
          <cell r="AL1154">
            <v>0</v>
          </cell>
          <cell r="AN1154">
            <v>3117</v>
          </cell>
          <cell r="AO1154">
            <v>1</v>
          </cell>
          <cell r="AQ1154">
            <v>0</v>
          </cell>
          <cell r="AR1154">
            <v>18</v>
          </cell>
          <cell r="AS1154">
            <v>3</v>
          </cell>
          <cell r="AT1154">
            <v>3</v>
          </cell>
          <cell r="AU1154">
            <v>0</v>
          </cell>
          <cell r="AV1154">
            <v>3</v>
          </cell>
          <cell r="AW1154">
            <v>3</v>
          </cell>
          <cell r="AX1154">
            <v>2</v>
          </cell>
          <cell r="AY1154">
            <v>3</v>
          </cell>
          <cell r="AZ1154">
            <v>2</v>
          </cell>
          <cell r="BA1154">
            <v>2</v>
          </cell>
          <cell r="BB1154">
            <v>2</v>
          </cell>
          <cell r="BC1154">
            <v>2</v>
          </cell>
          <cell r="BD1154">
            <v>2</v>
          </cell>
          <cell r="BE1154">
            <v>2</v>
          </cell>
          <cell r="BF1154">
            <v>2</v>
          </cell>
          <cell r="BG1154">
            <v>2</v>
          </cell>
          <cell r="BH1154">
            <v>1</v>
          </cell>
          <cell r="BI1154">
            <v>0</v>
          </cell>
          <cell r="BJ1154">
            <v>0</v>
          </cell>
          <cell r="BK1154">
            <v>0</v>
          </cell>
          <cell r="BL1154">
            <v>1</v>
          </cell>
          <cell r="BM1154">
            <v>0</v>
          </cell>
          <cell r="BN1154">
            <v>0</v>
          </cell>
          <cell r="BO1154">
            <v>0</v>
          </cell>
          <cell r="BP1154">
            <v>0</v>
          </cell>
          <cell r="BQ1154">
            <v>2</v>
          </cell>
          <cell r="BR1154">
            <v>0</v>
          </cell>
          <cell r="BS1154">
            <v>0</v>
          </cell>
          <cell r="BT1154">
            <v>3</v>
          </cell>
          <cell r="BU1154">
            <v>0</v>
          </cell>
        </row>
        <row r="1155">
          <cell r="A1155">
            <v>18</v>
          </cell>
          <cell r="B1155">
            <v>19</v>
          </cell>
          <cell r="D1155">
            <v>1</v>
          </cell>
          <cell r="F1155">
            <v>1</v>
          </cell>
          <cell r="G1155">
            <v>0</v>
          </cell>
          <cell r="I1155">
            <v>0</v>
          </cell>
          <cell r="J1155">
            <v>1</v>
          </cell>
          <cell r="K1155">
            <v>3</v>
          </cell>
          <cell r="L1155">
            <v>3</v>
          </cell>
          <cell r="M1155">
            <v>2</v>
          </cell>
          <cell r="O1155">
            <v>0</v>
          </cell>
          <cell r="P1155">
            <v>0</v>
          </cell>
          <cell r="Q1155">
            <v>1</v>
          </cell>
          <cell r="R1155">
            <v>0</v>
          </cell>
          <cell r="S1155">
            <v>0</v>
          </cell>
          <cell r="T1155">
            <v>2</v>
          </cell>
          <cell r="V1155">
            <v>1</v>
          </cell>
          <cell r="W1155">
            <v>70</v>
          </cell>
          <cell r="X1155">
            <v>3</v>
          </cell>
          <cell r="Y1155">
            <v>1</v>
          </cell>
          <cell r="AA1155">
            <v>0</v>
          </cell>
          <cell r="AB1155">
            <v>0</v>
          </cell>
          <cell r="AC1155">
            <v>0</v>
          </cell>
          <cell r="AD1155">
            <v>0</v>
          </cell>
          <cell r="AE1155">
            <v>0</v>
          </cell>
          <cell r="AF1155">
            <v>0</v>
          </cell>
          <cell r="AG1155">
            <v>1</v>
          </cell>
          <cell r="AH1155">
            <v>0</v>
          </cell>
          <cell r="AI1155">
            <v>4</v>
          </cell>
          <cell r="AK1155">
            <v>1</v>
          </cell>
          <cell r="AL1155">
            <v>0</v>
          </cell>
          <cell r="AN1155">
            <v>1569</v>
          </cell>
          <cell r="AO1155">
            <v>1</v>
          </cell>
          <cell r="AQ1155">
            <v>1</v>
          </cell>
          <cell r="AR1155">
            <v>12</v>
          </cell>
          <cell r="AS1155">
            <v>3</v>
          </cell>
          <cell r="AT1155">
            <v>3</v>
          </cell>
          <cell r="AU1155">
            <v>0</v>
          </cell>
          <cell r="AV1155">
            <v>0</v>
          </cell>
          <cell r="AW1155">
            <v>1</v>
          </cell>
          <cell r="AX1155">
            <v>2</v>
          </cell>
          <cell r="AY1155">
            <v>4</v>
          </cell>
          <cell r="AZ1155">
            <v>0</v>
          </cell>
          <cell r="BA1155">
            <v>0</v>
          </cell>
          <cell r="BB1155">
            <v>0</v>
          </cell>
          <cell r="BC1155">
            <v>0</v>
          </cell>
          <cell r="BD1155">
            <v>0</v>
          </cell>
          <cell r="BE1155">
            <v>0</v>
          </cell>
          <cell r="BF1155">
            <v>0</v>
          </cell>
          <cell r="BG1155">
            <v>0</v>
          </cell>
          <cell r="BH1155">
            <v>0</v>
          </cell>
          <cell r="BI1155">
            <v>0</v>
          </cell>
          <cell r="BJ1155">
            <v>1</v>
          </cell>
          <cell r="BK1155">
            <v>0</v>
          </cell>
          <cell r="BL1155">
            <v>0</v>
          </cell>
          <cell r="BM1155">
            <v>1</v>
          </cell>
          <cell r="BN1155">
            <v>0</v>
          </cell>
          <cell r="BO1155">
            <v>0</v>
          </cell>
          <cell r="BP1155">
            <v>0</v>
          </cell>
          <cell r="BQ1155">
            <v>0</v>
          </cell>
          <cell r="BR1155">
            <v>0</v>
          </cell>
          <cell r="BS1155">
            <v>0</v>
          </cell>
          <cell r="BT1155">
            <v>0</v>
          </cell>
          <cell r="BU1155">
            <v>1</v>
          </cell>
        </row>
        <row r="1156">
          <cell r="A1156">
            <v>47</v>
          </cell>
          <cell r="B1156">
            <v>47</v>
          </cell>
          <cell r="D1156">
            <v>0</v>
          </cell>
          <cell r="F1156">
            <v>0</v>
          </cell>
          <cell r="G1156">
            <v>1</v>
          </cell>
          <cell r="I1156">
            <v>0</v>
          </cell>
          <cell r="J1156">
            <v>0</v>
          </cell>
          <cell r="K1156">
            <v>26</v>
          </cell>
          <cell r="L1156">
            <v>26</v>
          </cell>
          <cell r="M1156">
            <v>4</v>
          </cell>
          <cell r="O1156">
            <v>1</v>
          </cell>
          <cell r="P1156">
            <v>0</v>
          </cell>
          <cell r="Q1156">
            <v>0</v>
          </cell>
          <cell r="R1156">
            <v>0</v>
          </cell>
          <cell r="S1156">
            <v>0</v>
          </cell>
          <cell r="T1156">
            <v>4</v>
          </cell>
          <cell r="V1156">
            <v>1</v>
          </cell>
          <cell r="W1156">
            <v>98</v>
          </cell>
          <cell r="X1156">
            <v>3</v>
          </cell>
          <cell r="Y1156">
            <v>5</v>
          </cell>
          <cell r="AA1156">
            <v>0</v>
          </cell>
          <cell r="AB1156">
            <v>0</v>
          </cell>
          <cell r="AC1156">
            <v>0</v>
          </cell>
          <cell r="AD1156">
            <v>1</v>
          </cell>
          <cell r="AE1156">
            <v>0</v>
          </cell>
          <cell r="AF1156">
            <v>0</v>
          </cell>
          <cell r="AG1156">
            <v>0</v>
          </cell>
          <cell r="AH1156">
            <v>0</v>
          </cell>
          <cell r="AI1156">
            <v>3</v>
          </cell>
          <cell r="AK1156">
            <v>0</v>
          </cell>
          <cell r="AL1156">
            <v>1</v>
          </cell>
          <cell r="AN1156">
            <v>19626.310000000001</v>
          </cell>
          <cell r="AO1156">
            <v>3</v>
          </cell>
          <cell r="AQ1156">
            <v>0</v>
          </cell>
          <cell r="AR1156">
            <v>11</v>
          </cell>
          <cell r="AS1156">
            <v>3</v>
          </cell>
          <cell r="AT1156">
            <v>3</v>
          </cell>
          <cell r="AU1156">
            <v>1</v>
          </cell>
          <cell r="AV1156">
            <v>27</v>
          </cell>
          <cell r="AW1156">
            <v>27</v>
          </cell>
          <cell r="AX1156">
            <v>2</v>
          </cell>
          <cell r="AY1156">
            <v>3</v>
          </cell>
          <cell r="AZ1156">
            <v>5</v>
          </cell>
          <cell r="BA1156">
            <v>5</v>
          </cell>
          <cell r="BB1156">
            <v>2</v>
          </cell>
          <cell r="BC1156">
            <v>1</v>
          </cell>
          <cell r="BD1156">
            <v>1</v>
          </cell>
          <cell r="BE1156">
            <v>0</v>
          </cell>
          <cell r="BF1156">
            <v>0</v>
          </cell>
          <cell r="BG1156">
            <v>0</v>
          </cell>
          <cell r="BH1156">
            <v>0</v>
          </cell>
          <cell r="BI1156">
            <v>1</v>
          </cell>
          <cell r="BJ1156">
            <v>0</v>
          </cell>
          <cell r="BK1156">
            <v>0</v>
          </cell>
          <cell r="BL1156">
            <v>0</v>
          </cell>
          <cell r="BM1156">
            <v>0</v>
          </cell>
          <cell r="BN1156">
            <v>1</v>
          </cell>
          <cell r="BO1156">
            <v>0</v>
          </cell>
          <cell r="BP1156">
            <v>0</v>
          </cell>
          <cell r="BQ1156">
            <v>0</v>
          </cell>
          <cell r="BR1156">
            <v>0</v>
          </cell>
          <cell r="BS1156">
            <v>27</v>
          </cell>
          <cell r="BT1156">
            <v>0</v>
          </cell>
          <cell r="BU1156">
            <v>0</v>
          </cell>
        </row>
        <row r="1157">
          <cell r="A1157">
            <v>39</v>
          </cell>
          <cell r="B1157">
            <v>39</v>
          </cell>
          <cell r="D1157">
            <v>0</v>
          </cell>
          <cell r="F1157">
            <v>0</v>
          </cell>
          <cell r="G1157">
            <v>1</v>
          </cell>
          <cell r="I1157">
            <v>1</v>
          </cell>
          <cell r="J1157">
            <v>0</v>
          </cell>
          <cell r="K1157">
            <v>3</v>
          </cell>
          <cell r="L1157">
            <v>3</v>
          </cell>
          <cell r="M1157">
            <v>2</v>
          </cell>
          <cell r="O1157">
            <v>0</v>
          </cell>
          <cell r="P1157">
            <v>0</v>
          </cell>
          <cell r="Q1157">
            <v>1</v>
          </cell>
          <cell r="R1157">
            <v>0</v>
          </cell>
          <cell r="S1157">
            <v>0</v>
          </cell>
          <cell r="T1157">
            <v>3</v>
          </cell>
          <cell r="V1157">
            <v>0</v>
          </cell>
          <cell r="W1157">
            <v>76</v>
          </cell>
          <cell r="X1157">
            <v>2</v>
          </cell>
          <cell r="Y1157">
            <v>2</v>
          </cell>
          <cell r="AA1157">
            <v>0</v>
          </cell>
          <cell r="AB1157">
            <v>0</v>
          </cell>
          <cell r="AC1157">
            <v>1</v>
          </cell>
          <cell r="AD1157">
            <v>0</v>
          </cell>
          <cell r="AE1157">
            <v>0</v>
          </cell>
          <cell r="AF1157">
            <v>0</v>
          </cell>
          <cell r="AG1157">
            <v>0</v>
          </cell>
          <cell r="AH1157">
            <v>0</v>
          </cell>
          <cell r="AI1157">
            <v>3</v>
          </cell>
          <cell r="AK1157">
            <v>0</v>
          </cell>
          <cell r="AL1157">
            <v>0</v>
          </cell>
          <cell r="AN1157">
            <v>3069</v>
          </cell>
          <cell r="AO1157">
            <v>0</v>
          </cell>
          <cell r="AQ1157">
            <v>0</v>
          </cell>
          <cell r="AR1157">
            <v>15</v>
          </cell>
          <cell r="AS1157">
            <v>3</v>
          </cell>
          <cell r="AT1157">
            <v>4</v>
          </cell>
          <cell r="AU1157">
            <v>1</v>
          </cell>
          <cell r="AV1157">
            <v>11</v>
          </cell>
          <cell r="AW1157">
            <v>11</v>
          </cell>
          <cell r="AX1157">
            <v>3</v>
          </cell>
          <cell r="AY1157">
            <v>3</v>
          </cell>
          <cell r="AZ1157">
            <v>10</v>
          </cell>
          <cell r="BA1157">
            <v>10</v>
          </cell>
          <cell r="BB1157">
            <v>8</v>
          </cell>
          <cell r="BC1157">
            <v>0</v>
          </cell>
          <cell r="BD1157">
            <v>0</v>
          </cell>
          <cell r="BE1157">
            <v>7</v>
          </cell>
          <cell r="BF1157">
            <v>7</v>
          </cell>
          <cell r="BG1157">
            <v>14</v>
          </cell>
          <cell r="BH1157">
            <v>1</v>
          </cell>
          <cell r="BI1157">
            <v>0</v>
          </cell>
          <cell r="BJ1157">
            <v>0</v>
          </cell>
          <cell r="BK1157">
            <v>0</v>
          </cell>
          <cell r="BL1157">
            <v>1</v>
          </cell>
          <cell r="BM1157">
            <v>0</v>
          </cell>
          <cell r="BN1157">
            <v>0</v>
          </cell>
          <cell r="BO1157">
            <v>0</v>
          </cell>
          <cell r="BP1157">
            <v>0</v>
          </cell>
          <cell r="BQ1157">
            <v>7</v>
          </cell>
          <cell r="BR1157">
            <v>0</v>
          </cell>
          <cell r="BS1157">
            <v>0</v>
          </cell>
          <cell r="BT1157">
            <v>11</v>
          </cell>
          <cell r="BU1157">
            <v>0</v>
          </cell>
        </row>
        <row r="1158">
          <cell r="A1158">
            <v>40</v>
          </cell>
          <cell r="B1158">
            <v>40</v>
          </cell>
          <cell r="D1158">
            <v>0</v>
          </cell>
          <cell r="F1158">
            <v>0</v>
          </cell>
          <cell r="G1158">
            <v>1</v>
          </cell>
          <cell r="I1158">
            <v>1</v>
          </cell>
          <cell r="J1158">
            <v>0</v>
          </cell>
          <cell r="K1158">
            <v>15</v>
          </cell>
          <cell r="L1158">
            <v>15</v>
          </cell>
          <cell r="M1158">
            <v>3</v>
          </cell>
          <cell r="O1158">
            <v>1</v>
          </cell>
          <cell r="P1158">
            <v>0</v>
          </cell>
          <cell r="Q1158">
            <v>0</v>
          </cell>
          <cell r="R1158">
            <v>0</v>
          </cell>
          <cell r="S1158">
            <v>0</v>
          </cell>
          <cell r="T1158">
            <v>1</v>
          </cell>
          <cell r="V1158">
            <v>1</v>
          </cell>
          <cell r="W1158">
            <v>80</v>
          </cell>
          <cell r="X1158">
            <v>2</v>
          </cell>
          <cell r="Y1158">
            <v>3</v>
          </cell>
          <cell r="AA1158">
            <v>0</v>
          </cell>
          <cell r="AB1158">
            <v>0</v>
          </cell>
          <cell r="AC1158">
            <v>0</v>
          </cell>
          <cell r="AD1158">
            <v>0</v>
          </cell>
          <cell r="AE1158">
            <v>1</v>
          </cell>
          <cell r="AF1158">
            <v>1</v>
          </cell>
          <cell r="AG1158">
            <v>0</v>
          </cell>
          <cell r="AH1158">
            <v>0</v>
          </cell>
          <cell r="AI1158">
            <v>3</v>
          </cell>
          <cell r="AK1158">
            <v>0</v>
          </cell>
          <cell r="AL1158">
            <v>1</v>
          </cell>
          <cell r="AN1158">
            <v>10435</v>
          </cell>
          <cell r="AO1158">
            <v>1</v>
          </cell>
          <cell r="AQ1158">
            <v>0</v>
          </cell>
          <cell r="AR1158">
            <v>13</v>
          </cell>
          <cell r="AS1158">
            <v>3</v>
          </cell>
          <cell r="AT1158">
            <v>4</v>
          </cell>
          <cell r="AU1158">
            <v>2</v>
          </cell>
          <cell r="AV1158">
            <v>18</v>
          </cell>
          <cell r="AW1158">
            <v>18</v>
          </cell>
          <cell r="AX1158">
            <v>2</v>
          </cell>
          <cell r="AY1158">
            <v>3</v>
          </cell>
          <cell r="AZ1158">
            <v>18</v>
          </cell>
          <cell r="BA1158">
            <v>18</v>
          </cell>
          <cell r="BB1158">
            <v>15</v>
          </cell>
          <cell r="BC1158">
            <v>14</v>
          </cell>
          <cell r="BD1158">
            <v>14</v>
          </cell>
          <cell r="BE1158">
            <v>12</v>
          </cell>
          <cell r="BF1158">
            <v>12</v>
          </cell>
          <cell r="BG1158">
            <v>36</v>
          </cell>
          <cell r="BH1158">
            <v>0</v>
          </cell>
          <cell r="BI1158">
            <v>1</v>
          </cell>
          <cell r="BJ1158">
            <v>0</v>
          </cell>
          <cell r="BK1158">
            <v>0</v>
          </cell>
          <cell r="BL1158">
            <v>0</v>
          </cell>
          <cell r="BM1158">
            <v>0</v>
          </cell>
          <cell r="BN1158">
            <v>1</v>
          </cell>
          <cell r="BO1158">
            <v>0</v>
          </cell>
          <cell r="BP1158">
            <v>0</v>
          </cell>
          <cell r="BQ1158">
            <v>12</v>
          </cell>
          <cell r="BR1158">
            <v>0</v>
          </cell>
          <cell r="BS1158">
            <v>0</v>
          </cell>
          <cell r="BT1158">
            <v>18</v>
          </cell>
          <cell r="BU1158">
            <v>0</v>
          </cell>
        </row>
        <row r="1159">
          <cell r="A1159">
            <v>35</v>
          </cell>
          <cell r="B1159">
            <v>35</v>
          </cell>
          <cell r="D1159">
            <v>0</v>
          </cell>
          <cell r="F1159">
            <v>0</v>
          </cell>
          <cell r="G1159">
            <v>0</v>
          </cell>
          <cell r="I1159">
            <v>1</v>
          </cell>
          <cell r="J1159">
            <v>0</v>
          </cell>
          <cell r="K1159">
            <v>8</v>
          </cell>
          <cell r="L1159">
            <v>8</v>
          </cell>
          <cell r="M1159">
            <v>4</v>
          </cell>
          <cell r="O1159">
            <v>1</v>
          </cell>
          <cell r="P1159">
            <v>0</v>
          </cell>
          <cell r="Q1159">
            <v>0</v>
          </cell>
          <cell r="R1159">
            <v>0</v>
          </cell>
          <cell r="S1159">
            <v>0</v>
          </cell>
          <cell r="T1159">
            <v>3</v>
          </cell>
          <cell r="V1159">
            <v>1</v>
          </cell>
          <cell r="W1159">
            <v>52</v>
          </cell>
          <cell r="X1159">
            <v>3</v>
          </cell>
          <cell r="Y1159">
            <v>2</v>
          </cell>
          <cell r="AA1159">
            <v>1</v>
          </cell>
          <cell r="AB1159">
            <v>0</v>
          </cell>
          <cell r="AC1159">
            <v>0</v>
          </cell>
          <cell r="AD1159">
            <v>0</v>
          </cell>
          <cell r="AE1159">
            <v>0</v>
          </cell>
          <cell r="AF1159">
            <v>0</v>
          </cell>
          <cell r="AG1159">
            <v>0</v>
          </cell>
          <cell r="AH1159">
            <v>0</v>
          </cell>
          <cell r="AI1159">
            <v>3</v>
          </cell>
          <cell r="AK1159">
            <v>0</v>
          </cell>
          <cell r="AL1159">
            <v>1</v>
          </cell>
          <cell r="AN1159">
            <v>4148</v>
          </cell>
          <cell r="AO1159">
            <v>1</v>
          </cell>
          <cell r="AQ1159">
            <v>0</v>
          </cell>
          <cell r="AR1159">
            <v>12</v>
          </cell>
          <cell r="AS1159">
            <v>3</v>
          </cell>
          <cell r="AT1159">
            <v>4</v>
          </cell>
          <cell r="AU1159">
            <v>1</v>
          </cell>
          <cell r="AV1159">
            <v>15</v>
          </cell>
          <cell r="AW1159">
            <v>15</v>
          </cell>
          <cell r="AX1159">
            <v>5</v>
          </cell>
          <cell r="AY1159">
            <v>3</v>
          </cell>
          <cell r="AZ1159">
            <v>14</v>
          </cell>
          <cell r="BA1159">
            <v>14</v>
          </cell>
          <cell r="BB1159">
            <v>11</v>
          </cell>
          <cell r="BC1159">
            <v>2</v>
          </cell>
          <cell r="BD1159">
            <v>2</v>
          </cell>
          <cell r="BE1159">
            <v>9</v>
          </cell>
          <cell r="BF1159">
            <v>9</v>
          </cell>
          <cell r="BG1159">
            <v>18</v>
          </cell>
          <cell r="BH1159">
            <v>0</v>
          </cell>
          <cell r="BI1159">
            <v>1</v>
          </cell>
          <cell r="BJ1159">
            <v>0</v>
          </cell>
          <cell r="BK1159">
            <v>0</v>
          </cell>
          <cell r="BL1159">
            <v>0</v>
          </cell>
          <cell r="BM1159">
            <v>0</v>
          </cell>
          <cell r="BN1159">
            <v>1</v>
          </cell>
          <cell r="BO1159">
            <v>0</v>
          </cell>
          <cell r="BP1159">
            <v>0</v>
          </cell>
          <cell r="BQ1159">
            <v>9</v>
          </cell>
          <cell r="BR1159">
            <v>0</v>
          </cell>
          <cell r="BS1159">
            <v>0</v>
          </cell>
          <cell r="BT1159">
            <v>15</v>
          </cell>
          <cell r="BU1159">
            <v>0</v>
          </cell>
        </row>
        <row r="1160">
          <cell r="A1160">
            <v>37</v>
          </cell>
          <cell r="B1160">
            <v>37</v>
          </cell>
          <cell r="D1160">
            <v>0</v>
          </cell>
          <cell r="F1160">
            <v>0</v>
          </cell>
          <cell r="G1160">
            <v>1</v>
          </cell>
          <cell r="I1160">
            <v>1</v>
          </cell>
          <cell r="J1160">
            <v>0</v>
          </cell>
          <cell r="K1160">
            <v>19</v>
          </cell>
          <cell r="L1160">
            <v>19</v>
          </cell>
          <cell r="M1160">
            <v>3</v>
          </cell>
          <cell r="O1160">
            <v>1</v>
          </cell>
          <cell r="P1160">
            <v>0</v>
          </cell>
          <cell r="Q1160">
            <v>0</v>
          </cell>
          <cell r="R1160">
            <v>0</v>
          </cell>
          <cell r="S1160">
            <v>0</v>
          </cell>
          <cell r="T1160">
            <v>3</v>
          </cell>
          <cell r="V1160">
            <v>0</v>
          </cell>
          <cell r="W1160">
            <v>85</v>
          </cell>
          <cell r="X1160">
            <v>3</v>
          </cell>
          <cell r="Y1160">
            <v>2</v>
          </cell>
          <cell r="AA1160">
            <v>0</v>
          </cell>
          <cell r="AB1160">
            <v>0</v>
          </cell>
          <cell r="AC1160">
            <v>0</v>
          </cell>
          <cell r="AD1160">
            <v>0</v>
          </cell>
          <cell r="AE1160">
            <v>1</v>
          </cell>
          <cell r="AF1160">
            <v>1</v>
          </cell>
          <cell r="AG1160">
            <v>0</v>
          </cell>
          <cell r="AH1160">
            <v>0</v>
          </cell>
          <cell r="AI1160">
            <v>3</v>
          </cell>
          <cell r="AK1160">
            <v>0</v>
          </cell>
          <cell r="AL1160">
            <v>1</v>
          </cell>
          <cell r="AN1160">
            <v>5768</v>
          </cell>
          <cell r="AO1160">
            <v>3</v>
          </cell>
          <cell r="AQ1160">
            <v>0</v>
          </cell>
          <cell r="AR1160">
            <v>17</v>
          </cell>
          <cell r="AS1160">
            <v>3</v>
          </cell>
          <cell r="AT1160">
            <v>1</v>
          </cell>
          <cell r="AU1160">
            <v>3</v>
          </cell>
          <cell r="AV1160">
            <v>9</v>
          </cell>
          <cell r="AW1160">
            <v>9</v>
          </cell>
          <cell r="AX1160">
            <v>2</v>
          </cell>
          <cell r="AY1160">
            <v>2</v>
          </cell>
          <cell r="AZ1160">
            <v>4</v>
          </cell>
          <cell r="BA1160">
            <v>4</v>
          </cell>
          <cell r="BB1160">
            <v>3</v>
          </cell>
          <cell r="BC1160">
            <v>0</v>
          </cell>
          <cell r="BD1160">
            <v>0</v>
          </cell>
          <cell r="BE1160">
            <v>2</v>
          </cell>
          <cell r="BF1160">
            <v>2</v>
          </cell>
          <cell r="BG1160">
            <v>4</v>
          </cell>
          <cell r="BH1160">
            <v>0</v>
          </cell>
          <cell r="BI1160">
            <v>1</v>
          </cell>
          <cell r="BJ1160">
            <v>0</v>
          </cell>
          <cell r="BK1160">
            <v>0</v>
          </cell>
          <cell r="BL1160">
            <v>0</v>
          </cell>
          <cell r="BM1160">
            <v>0</v>
          </cell>
          <cell r="BN1160">
            <v>1</v>
          </cell>
          <cell r="BO1160">
            <v>0</v>
          </cell>
          <cell r="BP1160">
            <v>0</v>
          </cell>
          <cell r="BQ1160">
            <v>2</v>
          </cell>
          <cell r="BR1160">
            <v>0</v>
          </cell>
          <cell r="BS1160">
            <v>0</v>
          </cell>
          <cell r="BT1160">
            <v>9</v>
          </cell>
          <cell r="BU1160">
            <v>0</v>
          </cell>
        </row>
        <row r="1161">
          <cell r="A1161">
            <v>39</v>
          </cell>
          <cell r="B1161">
            <v>39</v>
          </cell>
          <cell r="D1161">
            <v>0</v>
          </cell>
          <cell r="F1161">
            <v>1</v>
          </cell>
          <cell r="G1161">
            <v>0</v>
          </cell>
          <cell r="I1161">
            <v>1</v>
          </cell>
          <cell r="J1161">
            <v>0</v>
          </cell>
          <cell r="K1161">
            <v>4</v>
          </cell>
          <cell r="L1161">
            <v>4</v>
          </cell>
          <cell r="M1161">
            <v>3</v>
          </cell>
          <cell r="O1161">
            <v>0</v>
          </cell>
          <cell r="P1161">
            <v>0</v>
          </cell>
          <cell r="Q1161">
            <v>1</v>
          </cell>
          <cell r="R1161">
            <v>0</v>
          </cell>
          <cell r="S1161">
            <v>0</v>
          </cell>
          <cell r="T1161">
            <v>1</v>
          </cell>
          <cell r="V1161">
            <v>1</v>
          </cell>
          <cell r="W1161">
            <v>81</v>
          </cell>
          <cell r="X1161">
            <v>3</v>
          </cell>
          <cell r="Y1161">
            <v>2</v>
          </cell>
          <cell r="AA1161">
            <v>0</v>
          </cell>
          <cell r="AB1161">
            <v>0</v>
          </cell>
          <cell r="AC1161">
            <v>0</v>
          </cell>
          <cell r="AD1161">
            <v>0</v>
          </cell>
          <cell r="AE1161">
            <v>1</v>
          </cell>
          <cell r="AF1161">
            <v>1</v>
          </cell>
          <cell r="AG1161">
            <v>0</v>
          </cell>
          <cell r="AH1161">
            <v>0</v>
          </cell>
          <cell r="AI1161">
            <v>3</v>
          </cell>
          <cell r="AK1161">
            <v>1</v>
          </cell>
          <cell r="AL1161">
            <v>0</v>
          </cell>
          <cell r="AN1161">
            <v>5042</v>
          </cell>
          <cell r="AO1161">
            <v>0</v>
          </cell>
          <cell r="AQ1161">
            <v>0</v>
          </cell>
          <cell r="AR1161">
            <v>13</v>
          </cell>
          <cell r="AS1161">
            <v>3</v>
          </cell>
          <cell r="AT1161">
            <v>4</v>
          </cell>
          <cell r="AU1161">
            <v>0</v>
          </cell>
          <cell r="AV1161">
            <v>10</v>
          </cell>
          <cell r="AW1161">
            <v>10</v>
          </cell>
          <cell r="AX1161">
            <v>2</v>
          </cell>
          <cell r="AY1161">
            <v>1</v>
          </cell>
          <cell r="AZ1161">
            <v>9</v>
          </cell>
          <cell r="BA1161">
            <v>9</v>
          </cell>
          <cell r="BB1161">
            <v>2</v>
          </cell>
          <cell r="BC1161">
            <v>3</v>
          </cell>
          <cell r="BD1161">
            <v>3</v>
          </cell>
          <cell r="BE1161">
            <v>8</v>
          </cell>
          <cell r="BF1161">
            <v>8</v>
          </cell>
          <cell r="BG1161">
            <v>16</v>
          </cell>
          <cell r="BH1161">
            <v>0</v>
          </cell>
          <cell r="BI1161">
            <v>0</v>
          </cell>
          <cell r="BJ1161">
            <v>1</v>
          </cell>
          <cell r="BK1161">
            <v>0</v>
          </cell>
          <cell r="BL1161">
            <v>1</v>
          </cell>
          <cell r="BM1161">
            <v>0</v>
          </cell>
          <cell r="BN1161">
            <v>0</v>
          </cell>
          <cell r="BO1161">
            <v>0</v>
          </cell>
          <cell r="BP1161">
            <v>0</v>
          </cell>
          <cell r="BQ1161">
            <v>8</v>
          </cell>
          <cell r="BR1161">
            <v>0</v>
          </cell>
          <cell r="BS1161">
            <v>0</v>
          </cell>
          <cell r="BT1161">
            <v>10</v>
          </cell>
          <cell r="BU1161">
            <v>0</v>
          </cell>
        </row>
        <row r="1162">
          <cell r="A1162">
            <v>45</v>
          </cell>
          <cell r="B1162">
            <v>45</v>
          </cell>
          <cell r="D1162">
            <v>0</v>
          </cell>
          <cell r="F1162">
            <v>0</v>
          </cell>
          <cell r="G1162">
            <v>1</v>
          </cell>
          <cell r="I1162">
            <v>1</v>
          </cell>
          <cell r="J1162">
            <v>0</v>
          </cell>
          <cell r="K1162">
            <v>2</v>
          </cell>
          <cell r="L1162">
            <v>2</v>
          </cell>
          <cell r="M1162">
            <v>2</v>
          </cell>
          <cell r="O1162">
            <v>0</v>
          </cell>
          <cell r="P1162">
            <v>1</v>
          </cell>
          <cell r="Q1162">
            <v>0</v>
          </cell>
          <cell r="R1162">
            <v>0</v>
          </cell>
          <cell r="S1162">
            <v>0</v>
          </cell>
          <cell r="T1162">
            <v>4</v>
          </cell>
          <cell r="V1162">
            <v>1</v>
          </cell>
          <cell r="W1162">
            <v>59</v>
          </cell>
          <cell r="X1162">
            <v>2</v>
          </cell>
          <cell r="Y1162">
            <v>2</v>
          </cell>
          <cell r="AA1162">
            <v>0</v>
          </cell>
          <cell r="AB1162">
            <v>0</v>
          </cell>
          <cell r="AC1162">
            <v>0</v>
          </cell>
          <cell r="AD1162">
            <v>0</v>
          </cell>
          <cell r="AE1162">
            <v>1</v>
          </cell>
          <cell r="AF1162">
            <v>1</v>
          </cell>
          <cell r="AG1162">
            <v>0</v>
          </cell>
          <cell r="AH1162">
            <v>0</v>
          </cell>
          <cell r="AI1162">
            <v>4</v>
          </cell>
          <cell r="AK1162">
            <v>0</v>
          </cell>
          <cell r="AL1162">
            <v>0</v>
          </cell>
          <cell r="AN1162">
            <v>5770</v>
          </cell>
          <cell r="AO1162">
            <v>1</v>
          </cell>
          <cell r="AQ1162">
            <v>0</v>
          </cell>
          <cell r="AR1162">
            <v>19</v>
          </cell>
          <cell r="AS1162">
            <v>3</v>
          </cell>
          <cell r="AT1162">
            <v>1</v>
          </cell>
          <cell r="AU1162">
            <v>2</v>
          </cell>
          <cell r="AV1162">
            <v>10</v>
          </cell>
          <cell r="AW1162">
            <v>10</v>
          </cell>
          <cell r="AX1162">
            <v>3</v>
          </cell>
          <cell r="AY1162">
            <v>3</v>
          </cell>
          <cell r="AZ1162">
            <v>10</v>
          </cell>
          <cell r="BA1162">
            <v>10</v>
          </cell>
          <cell r="BB1162">
            <v>7</v>
          </cell>
          <cell r="BC1162">
            <v>3</v>
          </cell>
          <cell r="BD1162">
            <v>3</v>
          </cell>
          <cell r="BE1162">
            <v>9</v>
          </cell>
          <cell r="BF1162">
            <v>9</v>
          </cell>
          <cell r="BG1162">
            <v>18</v>
          </cell>
          <cell r="BH1162">
            <v>1</v>
          </cell>
          <cell r="BI1162">
            <v>0</v>
          </cell>
          <cell r="BJ1162">
            <v>0</v>
          </cell>
          <cell r="BK1162">
            <v>0</v>
          </cell>
          <cell r="BL1162">
            <v>1</v>
          </cell>
          <cell r="BM1162">
            <v>0</v>
          </cell>
          <cell r="BN1162">
            <v>0</v>
          </cell>
          <cell r="BO1162">
            <v>0</v>
          </cell>
          <cell r="BP1162">
            <v>0</v>
          </cell>
          <cell r="BQ1162">
            <v>9</v>
          </cell>
          <cell r="BR1162">
            <v>0</v>
          </cell>
          <cell r="BS1162">
            <v>0</v>
          </cell>
          <cell r="BT1162">
            <v>10</v>
          </cell>
          <cell r="BU1162">
            <v>0</v>
          </cell>
        </row>
        <row r="1163">
          <cell r="A1163">
            <v>38</v>
          </cell>
          <cell r="B1163">
            <v>38</v>
          </cell>
          <cell r="D1163">
            <v>0</v>
          </cell>
          <cell r="F1163">
            <v>0</v>
          </cell>
          <cell r="G1163">
            <v>1</v>
          </cell>
          <cell r="I1163">
            <v>1</v>
          </cell>
          <cell r="J1163">
            <v>0</v>
          </cell>
          <cell r="K1163">
            <v>2</v>
          </cell>
          <cell r="L1163">
            <v>2</v>
          </cell>
          <cell r="M1163">
            <v>2</v>
          </cell>
          <cell r="O1163">
            <v>0</v>
          </cell>
          <cell r="P1163">
            <v>0</v>
          </cell>
          <cell r="Q1163">
            <v>1</v>
          </cell>
          <cell r="R1163">
            <v>0</v>
          </cell>
          <cell r="S1163">
            <v>0</v>
          </cell>
          <cell r="T1163">
            <v>4</v>
          </cell>
          <cell r="V1163">
            <v>1</v>
          </cell>
          <cell r="W1163">
            <v>54</v>
          </cell>
          <cell r="X1163">
            <v>2</v>
          </cell>
          <cell r="Y1163">
            <v>3</v>
          </cell>
          <cell r="AA1163">
            <v>0</v>
          </cell>
          <cell r="AB1163">
            <v>0</v>
          </cell>
          <cell r="AC1163">
            <v>0</v>
          </cell>
          <cell r="AD1163">
            <v>0</v>
          </cell>
          <cell r="AE1163">
            <v>1</v>
          </cell>
          <cell r="AF1163">
            <v>1</v>
          </cell>
          <cell r="AG1163">
            <v>0</v>
          </cell>
          <cell r="AH1163">
            <v>0</v>
          </cell>
          <cell r="AI1163">
            <v>3</v>
          </cell>
          <cell r="AK1163">
            <v>0</v>
          </cell>
          <cell r="AL1163">
            <v>1</v>
          </cell>
          <cell r="AN1163">
            <v>7756</v>
          </cell>
          <cell r="AO1163">
            <v>3</v>
          </cell>
          <cell r="AQ1163">
            <v>1</v>
          </cell>
          <cell r="AR1163">
            <v>19</v>
          </cell>
          <cell r="AS1163">
            <v>3</v>
          </cell>
          <cell r="AT1163">
            <v>4</v>
          </cell>
          <cell r="AU1163">
            <v>1</v>
          </cell>
          <cell r="AV1163">
            <v>10</v>
          </cell>
          <cell r="AW1163">
            <v>10</v>
          </cell>
          <cell r="AX1163">
            <v>6</v>
          </cell>
          <cell r="AY1163">
            <v>4</v>
          </cell>
          <cell r="AZ1163">
            <v>5</v>
          </cell>
          <cell r="BA1163">
            <v>5</v>
          </cell>
          <cell r="BB1163">
            <v>4</v>
          </cell>
          <cell r="BC1163">
            <v>0</v>
          </cell>
          <cell r="BD1163">
            <v>0</v>
          </cell>
          <cell r="BE1163">
            <v>2</v>
          </cell>
          <cell r="BF1163">
            <v>2</v>
          </cell>
          <cell r="BG1163">
            <v>6</v>
          </cell>
          <cell r="BH1163">
            <v>0</v>
          </cell>
          <cell r="BI1163">
            <v>1</v>
          </cell>
          <cell r="BJ1163">
            <v>0</v>
          </cell>
          <cell r="BK1163">
            <v>0</v>
          </cell>
          <cell r="BL1163">
            <v>0</v>
          </cell>
          <cell r="BM1163">
            <v>0</v>
          </cell>
          <cell r="BN1163">
            <v>0</v>
          </cell>
          <cell r="BO1163">
            <v>1</v>
          </cell>
          <cell r="BP1163">
            <v>0</v>
          </cell>
          <cell r="BQ1163">
            <v>2</v>
          </cell>
          <cell r="BR1163">
            <v>0</v>
          </cell>
          <cell r="BS1163">
            <v>0</v>
          </cell>
          <cell r="BT1163">
            <v>10</v>
          </cell>
          <cell r="BU1163">
            <v>0</v>
          </cell>
        </row>
        <row r="1164">
          <cell r="A1164">
            <v>35</v>
          </cell>
          <cell r="B1164">
            <v>35</v>
          </cell>
          <cell r="D1164">
            <v>1</v>
          </cell>
          <cell r="F1164">
            <v>0</v>
          </cell>
          <cell r="G1164">
            <v>1</v>
          </cell>
          <cell r="I1164">
            <v>0</v>
          </cell>
          <cell r="J1164">
            <v>1</v>
          </cell>
          <cell r="K1164">
            <v>10</v>
          </cell>
          <cell r="L1164">
            <v>10</v>
          </cell>
          <cell r="M1164">
            <v>3</v>
          </cell>
          <cell r="O1164">
            <v>0</v>
          </cell>
          <cell r="P1164">
            <v>0</v>
          </cell>
          <cell r="Q1164">
            <v>1</v>
          </cell>
          <cell r="R1164">
            <v>0</v>
          </cell>
          <cell r="S1164">
            <v>0</v>
          </cell>
          <cell r="T1164">
            <v>4</v>
          </cell>
          <cell r="V1164">
            <v>0</v>
          </cell>
          <cell r="W1164">
            <v>55</v>
          </cell>
          <cell r="X1164">
            <v>2</v>
          </cell>
          <cell r="Y1164">
            <v>3</v>
          </cell>
          <cell r="AA1164">
            <v>0</v>
          </cell>
          <cell r="AB1164">
            <v>1</v>
          </cell>
          <cell r="AC1164">
            <v>0</v>
          </cell>
          <cell r="AD1164">
            <v>0</v>
          </cell>
          <cell r="AE1164">
            <v>0</v>
          </cell>
          <cell r="AF1164">
            <v>0</v>
          </cell>
          <cell r="AG1164">
            <v>0</v>
          </cell>
          <cell r="AH1164">
            <v>0</v>
          </cell>
          <cell r="AI1164">
            <v>1</v>
          </cell>
          <cell r="AK1164">
            <v>0</v>
          </cell>
          <cell r="AL1164">
            <v>1</v>
          </cell>
          <cell r="AN1164">
            <v>10306</v>
          </cell>
          <cell r="AO1164">
            <v>9</v>
          </cell>
          <cell r="AQ1164">
            <v>0</v>
          </cell>
          <cell r="AR1164">
            <v>17</v>
          </cell>
          <cell r="AS1164">
            <v>3</v>
          </cell>
          <cell r="AT1164">
            <v>3</v>
          </cell>
          <cell r="AU1164">
            <v>0</v>
          </cell>
          <cell r="AV1164">
            <v>15</v>
          </cell>
          <cell r="AW1164">
            <v>15</v>
          </cell>
          <cell r="AX1164">
            <v>3</v>
          </cell>
          <cell r="AY1164">
            <v>3</v>
          </cell>
          <cell r="AZ1164">
            <v>13</v>
          </cell>
          <cell r="BA1164">
            <v>13</v>
          </cell>
          <cell r="BB1164">
            <v>12</v>
          </cell>
          <cell r="BC1164">
            <v>6</v>
          </cell>
          <cell r="BD1164">
            <v>6</v>
          </cell>
          <cell r="BE1164">
            <v>0</v>
          </cell>
          <cell r="BF1164">
            <v>0</v>
          </cell>
          <cell r="BG1164">
            <v>0</v>
          </cell>
          <cell r="BH1164">
            <v>0</v>
          </cell>
          <cell r="BI1164">
            <v>1</v>
          </cell>
          <cell r="BJ1164">
            <v>0</v>
          </cell>
          <cell r="BK1164">
            <v>0</v>
          </cell>
          <cell r="BL1164">
            <v>0</v>
          </cell>
          <cell r="BM1164">
            <v>0</v>
          </cell>
          <cell r="BN1164">
            <v>1</v>
          </cell>
          <cell r="BO1164">
            <v>0</v>
          </cell>
          <cell r="BP1164">
            <v>0</v>
          </cell>
          <cell r="BQ1164">
            <v>0</v>
          </cell>
          <cell r="BR1164">
            <v>0</v>
          </cell>
          <cell r="BS1164">
            <v>0</v>
          </cell>
          <cell r="BT1164">
            <v>0</v>
          </cell>
          <cell r="BU1164">
            <v>15</v>
          </cell>
        </row>
        <row r="1165">
          <cell r="A1165">
            <v>37</v>
          </cell>
          <cell r="B1165">
            <v>37</v>
          </cell>
          <cell r="D1165">
            <v>0</v>
          </cell>
          <cell r="F1165">
            <v>0</v>
          </cell>
          <cell r="G1165">
            <v>1</v>
          </cell>
          <cell r="I1165">
            <v>1</v>
          </cell>
          <cell r="J1165">
            <v>0</v>
          </cell>
          <cell r="K1165">
            <v>10</v>
          </cell>
          <cell r="L1165">
            <v>10</v>
          </cell>
          <cell r="M1165">
            <v>3</v>
          </cell>
          <cell r="O1165">
            <v>0</v>
          </cell>
          <cell r="P1165">
            <v>0</v>
          </cell>
          <cell r="Q1165">
            <v>1</v>
          </cell>
          <cell r="R1165">
            <v>0</v>
          </cell>
          <cell r="S1165">
            <v>0</v>
          </cell>
          <cell r="T1165">
            <v>2</v>
          </cell>
          <cell r="V1165">
            <v>1</v>
          </cell>
          <cell r="W1165">
            <v>71</v>
          </cell>
          <cell r="X1165">
            <v>3</v>
          </cell>
          <cell r="Y1165">
            <v>1</v>
          </cell>
          <cell r="AA1165">
            <v>0</v>
          </cell>
          <cell r="AB1165">
            <v>0</v>
          </cell>
          <cell r="AC1165">
            <v>0</v>
          </cell>
          <cell r="AD1165">
            <v>0</v>
          </cell>
          <cell r="AE1165">
            <v>0</v>
          </cell>
          <cell r="AF1165">
            <v>0</v>
          </cell>
          <cell r="AG1165">
            <v>0</v>
          </cell>
          <cell r="AH1165">
            <v>1</v>
          </cell>
          <cell r="AI1165">
            <v>2</v>
          </cell>
          <cell r="AK1165">
            <v>0</v>
          </cell>
          <cell r="AL1165">
            <v>1</v>
          </cell>
          <cell r="AN1165">
            <v>3936</v>
          </cell>
          <cell r="AO1165">
            <v>1</v>
          </cell>
          <cell r="AQ1165">
            <v>0</v>
          </cell>
          <cell r="AR1165">
            <v>11</v>
          </cell>
          <cell r="AS1165">
            <v>3</v>
          </cell>
          <cell r="AT1165">
            <v>1</v>
          </cell>
          <cell r="AU1165">
            <v>1</v>
          </cell>
          <cell r="AV1165">
            <v>8</v>
          </cell>
          <cell r="AW1165">
            <v>8</v>
          </cell>
          <cell r="AX1165">
            <v>2</v>
          </cell>
          <cell r="AY1165">
            <v>1</v>
          </cell>
          <cell r="AZ1165">
            <v>8</v>
          </cell>
          <cell r="BA1165">
            <v>8</v>
          </cell>
          <cell r="BB1165">
            <v>4</v>
          </cell>
          <cell r="BC1165">
            <v>7</v>
          </cell>
          <cell r="BD1165">
            <v>7</v>
          </cell>
          <cell r="BE1165">
            <v>7</v>
          </cell>
          <cell r="BF1165">
            <v>7</v>
          </cell>
          <cell r="BG1165">
            <v>7</v>
          </cell>
          <cell r="BH1165">
            <v>0</v>
          </cell>
          <cell r="BI1165">
            <v>1</v>
          </cell>
          <cell r="BJ1165">
            <v>0</v>
          </cell>
          <cell r="BK1165">
            <v>0</v>
          </cell>
          <cell r="BL1165">
            <v>0</v>
          </cell>
          <cell r="BM1165">
            <v>0</v>
          </cell>
          <cell r="BN1165">
            <v>1</v>
          </cell>
          <cell r="BO1165">
            <v>0</v>
          </cell>
          <cell r="BP1165">
            <v>0</v>
          </cell>
          <cell r="BQ1165">
            <v>7</v>
          </cell>
          <cell r="BR1165">
            <v>0</v>
          </cell>
          <cell r="BS1165">
            <v>0</v>
          </cell>
          <cell r="BT1165">
            <v>8</v>
          </cell>
          <cell r="BU1165">
            <v>0</v>
          </cell>
        </row>
        <row r="1166">
          <cell r="A1166">
            <v>40</v>
          </cell>
          <cell r="B1166">
            <v>40</v>
          </cell>
          <cell r="D1166">
            <v>0</v>
          </cell>
          <cell r="F1166">
            <v>0</v>
          </cell>
          <cell r="G1166">
            <v>1</v>
          </cell>
          <cell r="I1166">
            <v>1</v>
          </cell>
          <cell r="J1166">
            <v>0</v>
          </cell>
          <cell r="K1166">
            <v>16</v>
          </cell>
          <cell r="L1166">
            <v>16</v>
          </cell>
          <cell r="M1166">
            <v>3</v>
          </cell>
          <cell r="O1166">
            <v>1</v>
          </cell>
          <cell r="P1166">
            <v>0</v>
          </cell>
          <cell r="Q1166">
            <v>0</v>
          </cell>
          <cell r="R1166">
            <v>0</v>
          </cell>
          <cell r="S1166">
            <v>0</v>
          </cell>
          <cell r="T1166">
            <v>3</v>
          </cell>
          <cell r="V1166">
            <v>1</v>
          </cell>
          <cell r="W1166">
            <v>84</v>
          </cell>
          <cell r="X1166">
            <v>3</v>
          </cell>
          <cell r="Y1166">
            <v>3</v>
          </cell>
          <cell r="AA1166">
            <v>0</v>
          </cell>
          <cell r="AB1166">
            <v>0</v>
          </cell>
          <cell r="AC1166">
            <v>0</v>
          </cell>
          <cell r="AD1166">
            <v>0</v>
          </cell>
          <cell r="AE1166">
            <v>1</v>
          </cell>
          <cell r="AF1166">
            <v>1</v>
          </cell>
          <cell r="AG1166">
            <v>0</v>
          </cell>
          <cell r="AH1166">
            <v>0</v>
          </cell>
          <cell r="AI1166">
            <v>4</v>
          </cell>
          <cell r="AK1166">
            <v>1</v>
          </cell>
          <cell r="AL1166">
            <v>0</v>
          </cell>
          <cell r="AN1166">
            <v>7945</v>
          </cell>
          <cell r="AO1166">
            <v>6</v>
          </cell>
          <cell r="AQ1166">
            <v>1</v>
          </cell>
          <cell r="AR1166">
            <v>15</v>
          </cell>
          <cell r="AS1166">
            <v>3</v>
          </cell>
          <cell r="AT1166">
            <v>4</v>
          </cell>
          <cell r="AU1166">
            <v>0</v>
          </cell>
          <cell r="AV1166">
            <v>18</v>
          </cell>
          <cell r="AW1166">
            <v>18</v>
          </cell>
          <cell r="AX1166">
            <v>2</v>
          </cell>
          <cell r="AY1166">
            <v>2</v>
          </cell>
          <cell r="AZ1166">
            <v>4</v>
          </cell>
          <cell r="BA1166">
            <v>4</v>
          </cell>
          <cell r="BB1166">
            <v>2</v>
          </cell>
          <cell r="BC1166">
            <v>3</v>
          </cell>
          <cell r="BD1166">
            <v>3</v>
          </cell>
          <cell r="BE1166">
            <v>3</v>
          </cell>
          <cell r="BF1166">
            <v>3</v>
          </cell>
          <cell r="BG1166">
            <v>9</v>
          </cell>
          <cell r="BH1166">
            <v>1</v>
          </cell>
          <cell r="BI1166">
            <v>0</v>
          </cell>
          <cell r="BJ1166">
            <v>0</v>
          </cell>
          <cell r="BK1166">
            <v>0</v>
          </cell>
          <cell r="BL1166">
            <v>0</v>
          </cell>
          <cell r="BM1166">
            <v>1</v>
          </cell>
          <cell r="BN1166">
            <v>0</v>
          </cell>
          <cell r="BO1166">
            <v>0</v>
          </cell>
          <cell r="BP1166">
            <v>0</v>
          </cell>
          <cell r="BQ1166">
            <v>3</v>
          </cell>
          <cell r="BR1166">
            <v>0</v>
          </cell>
          <cell r="BS1166">
            <v>0</v>
          </cell>
          <cell r="BT1166">
            <v>18</v>
          </cell>
          <cell r="BU1166">
            <v>0</v>
          </cell>
        </row>
        <row r="1167">
          <cell r="A1167">
            <v>44</v>
          </cell>
          <cell r="B1167">
            <v>44</v>
          </cell>
          <cell r="D1167">
            <v>0</v>
          </cell>
          <cell r="F1167">
            <v>1</v>
          </cell>
          <cell r="G1167">
            <v>0</v>
          </cell>
          <cell r="I1167">
            <v>0</v>
          </cell>
          <cell r="J1167">
            <v>0</v>
          </cell>
          <cell r="K1167">
            <v>1</v>
          </cell>
          <cell r="L1167">
            <v>1</v>
          </cell>
          <cell r="M1167">
            <v>5</v>
          </cell>
          <cell r="O1167">
            <v>0</v>
          </cell>
          <cell r="P1167">
            <v>0</v>
          </cell>
          <cell r="Q1167">
            <v>0</v>
          </cell>
          <cell r="R1167">
            <v>0</v>
          </cell>
          <cell r="S1167">
            <v>0</v>
          </cell>
          <cell r="T1167">
            <v>1</v>
          </cell>
          <cell r="V1167">
            <v>0</v>
          </cell>
          <cell r="W1167">
            <v>37</v>
          </cell>
          <cell r="X1167">
            <v>3</v>
          </cell>
          <cell r="Y1167">
            <v>2</v>
          </cell>
          <cell r="AA1167">
            <v>0</v>
          </cell>
          <cell r="AB1167">
            <v>0</v>
          </cell>
          <cell r="AC1167">
            <v>0</v>
          </cell>
          <cell r="AD1167">
            <v>0</v>
          </cell>
          <cell r="AE1167">
            <v>0</v>
          </cell>
          <cell r="AF1167">
            <v>0</v>
          </cell>
          <cell r="AG1167">
            <v>0</v>
          </cell>
          <cell r="AH1167">
            <v>0</v>
          </cell>
          <cell r="AI1167">
            <v>4</v>
          </cell>
          <cell r="AK1167">
            <v>0</v>
          </cell>
          <cell r="AL1167">
            <v>1</v>
          </cell>
          <cell r="AN1167">
            <v>5743</v>
          </cell>
          <cell r="AO1167">
            <v>4</v>
          </cell>
          <cell r="AQ1167">
            <v>1</v>
          </cell>
          <cell r="AR1167">
            <v>11</v>
          </cell>
          <cell r="AS1167">
            <v>3</v>
          </cell>
          <cell r="AT1167">
            <v>3</v>
          </cell>
          <cell r="AU1167">
            <v>0</v>
          </cell>
          <cell r="AV1167">
            <v>14</v>
          </cell>
          <cell r="AW1167">
            <v>14</v>
          </cell>
          <cell r="AX1167">
            <v>3</v>
          </cell>
          <cell r="AY1167">
            <v>3</v>
          </cell>
          <cell r="AZ1167">
            <v>10</v>
          </cell>
          <cell r="BA1167">
            <v>10</v>
          </cell>
          <cell r="BB1167">
            <v>7</v>
          </cell>
          <cell r="BC1167">
            <v>0</v>
          </cell>
          <cell r="BD1167">
            <v>0</v>
          </cell>
          <cell r="BE1167">
            <v>2</v>
          </cell>
          <cell r="BF1167">
            <v>2</v>
          </cell>
          <cell r="BG1167">
            <v>4</v>
          </cell>
          <cell r="BH1167">
            <v>0</v>
          </cell>
          <cell r="BI1167">
            <v>0</v>
          </cell>
          <cell r="BJ1167">
            <v>0</v>
          </cell>
          <cell r="BK1167">
            <v>1</v>
          </cell>
          <cell r="BL1167">
            <v>0</v>
          </cell>
          <cell r="BM1167">
            <v>0</v>
          </cell>
          <cell r="BN1167">
            <v>0</v>
          </cell>
          <cell r="BO1167">
            <v>1</v>
          </cell>
          <cell r="BP1167">
            <v>2</v>
          </cell>
          <cell r="BQ1167">
            <v>0</v>
          </cell>
          <cell r="BR1167">
            <v>0</v>
          </cell>
          <cell r="BS1167">
            <v>14</v>
          </cell>
          <cell r="BT1167">
            <v>0</v>
          </cell>
          <cell r="BU1167">
            <v>0</v>
          </cell>
        </row>
        <row r="1168">
          <cell r="A1168">
            <v>48</v>
          </cell>
          <cell r="B1168">
            <v>48</v>
          </cell>
          <cell r="D1168">
            <v>0</v>
          </cell>
          <cell r="F1168">
            <v>1</v>
          </cell>
          <cell r="G1168">
            <v>0</v>
          </cell>
          <cell r="I1168">
            <v>1</v>
          </cell>
          <cell r="J1168">
            <v>0</v>
          </cell>
          <cell r="K1168">
            <v>4</v>
          </cell>
          <cell r="L1168">
            <v>4</v>
          </cell>
          <cell r="M1168">
            <v>5</v>
          </cell>
          <cell r="O1168">
            <v>0</v>
          </cell>
          <cell r="P1168">
            <v>0</v>
          </cell>
          <cell r="Q1168">
            <v>1</v>
          </cell>
          <cell r="R1168">
            <v>0</v>
          </cell>
          <cell r="S1168">
            <v>0</v>
          </cell>
          <cell r="T1168">
            <v>3</v>
          </cell>
          <cell r="V1168">
            <v>0</v>
          </cell>
          <cell r="W1168">
            <v>89</v>
          </cell>
          <cell r="X1168">
            <v>2</v>
          </cell>
          <cell r="Y1168">
            <v>4</v>
          </cell>
          <cell r="AA1168">
            <v>0</v>
          </cell>
          <cell r="AB1168">
            <v>0</v>
          </cell>
          <cell r="AC1168">
            <v>0</v>
          </cell>
          <cell r="AD1168">
            <v>1</v>
          </cell>
          <cell r="AE1168">
            <v>0</v>
          </cell>
          <cell r="AF1168">
            <v>0</v>
          </cell>
          <cell r="AG1168">
            <v>0</v>
          </cell>
          <cell r="AH1168">
            <v>0</v>
          </cell>
          <cell r="AI1168">
            <v>4</v>
          </cell>
          <cell r="AK1168">
            <v>0</v>
          </cell>
          <cell r="AL1168">
            <v>1</v>
          </cell>
          <cell r="AN1168">
            <v>15202</v>
          </cell>
          <cell r="AO1168">
            <v>2</v>
          </cell>
          <cell r="AQ1168">
            <v>0</v>
          </cell>
          <cell r="AR1168">
            <v>25</v>
          </cell>
          <cell r="AS1168">
            <v>4</v>
          </cell>
          <cell r="AT1168">
            <v>2</v>
          </cell>
          <cell r="AU1168">
            <v>1</v>
          </cell>
          <cell r="AV1168">
            <v>23</v>
          </cell>
          <cell r="AW1168">
            <v>23</v>
          </cell>
          <cell r="AX1168">
            <v>3</v>
          </cell>
          <cell r="AY1168">
            <v>3</v>
          </cell>
          <cell r="AZ1168">
            <v>2</v>
          </cell>
          <cell r="BA1168">
            <v>2</v>
          </cell>
          <cell r="BB1168">
            <v>2</v>
          </cell>
          <cell r="BC1168">
            <v>2</v>
          </cell>
          <cell r="BD1168">
            <v>2</v>
          </cell>
          <cell r="BE1168">
            <v>2</v>
          </cell>
          <cell r="BF1168">
            <v>2</v>
          </cell>
          <cell r="BG1168">
            <v>8</v>
          </cell>
          <cell r="BH1168">
            <v>0</v>
          </cell>
          <cell r="BI1168">
            <v>0</v>
          </cell>
          <cell r="BJ1168">
            <v>0</v>
          </cell>
          <cell r="BK1168">
            <v>1</v>
          </cell>
          <cell r="BL1168">
            <v>0</v>
          </cell>
          <cell r="BM1168">
            <v>0</v>
          </cell>
          <cell r="BN1168">
            <v>1</v>
          </cell>
          <cell r="BO1168">
            <v>0</v>
          </cell>
          <cell r="BP1168">
            <v>0</v>
          </cell>
          <cell r="BQ1168">
            <v>2</v>
          </cell>
          <cell r="BR1168">
            <v>0</v>
          </cell>
          <cell r="BS1168">
            <v>0</v>
          </cell>
          <cell r="BT1168">
            <v>23</v>
          </cell>
          <cell r="BU1168">
            <v>0</v>
          </cell>
        </row>
        <row r="1169">
          <cell r="A1169">
            <v>35</v>
          </cell>
          <cell r="B1169">
            <v>35</v>
          </cell>
          <cell r="D1169">
            <v>1</v>
          </cell>
          <cell r="F1169">
            <v>0</v>
          </cell>
          <cell r="G1169">
            <v>1</v>
          </cell>
          <cell r="I1169">
            <v>0</v>
          </cell>
          <cell r="J1169">
            <v>1</v>
          </cell>
          <cell r="K1169">
            <v>15</v>
          </cell>
          <cell r="L1169">
            <v>15</v>
          </cell>
          <cell r="M1169">
            <v>2</v>
          </cell>
          <cell r="O1169">
            <v>0</v>
          </cell>
          <cell r="P1169">
            <v>0</v>
          </cell>
          <cell r="Q1169">
            <v>1</v>
          </cell>
          <cell r="R1169">
            <v>0</v>
          </cell>
          <cell r="S1169">
            <v>0</v>
          </cell>
          <cell r="T1169">
            <v>1</v>
          </cell>
          <cell r="V1169">
            <v>0</v>
          </cell>
          <cell r="W1169">
            <v>59</v>
          </cell>
          <cell r="X1169">
            <v>1</v>
          </cell>
          <cell r="Y1169">
            <v>2</v>
          </cell>
          <cell r="AA1169">
            <v>0</v>
          </cell>
          <cell r="AB1169">
            <v>1</v>
          </cell>
          <cell r="AC1169">
            <v>0</v>
          </cell>
          <cell r="AD1169">
            <v>0</v>
          </cell>
          <cell r="AE1169">
            <v>0</v>
          </cell>
          <cell r="AF1169">
            <v>0</v>
          </cell>
          <cell r="AG1169">
            <v>0</v>
          </cell>
          <cell r="AH1169">
            <v>0</v>
          </cell>
          <cell r="AI1169">
            <v>4</v>
          </cell>
          <cell r="AK1169">
            <v>0</v>
          </cell>
          <cell r="AL1169">
            <v>0</v>
          </cell>
          <cell r="AN1169">
            <v>5440</v>
          </cell>
          <cell r="AO1169">
            <v>6</v>
          </cell>
          <cell r="AQ1169">
            <v>1</v>
          </cell>
          <cell r="AR1169">
            <v>14</v>
          </cell>
          <cell r="AS1169">
            <v>3</v>
          </cell>
          <cell r="AT1169">
            <v>4</v>
          </cell>
          <cell r="AU1169">
            <v>2</v>
          </cell>
          <cell r="AV1169">
            <v>7</v>
          </cell>
          <cell r="AW1169">
            <v>7</v>
          </cell>
          <cell r="AX1169">
            <v>2</v>
          </cell>
          <cell r="AY1169">
            <v>2</v>
          </cell>
          <cell r="AZ1169">
            <v>2</v>
          </cell>
          <cell r="BA1169">
            <v>2</v>
          </cell>
          <cell r="BB1169">
            <v>2</v>
          </cell>
          <cell r="BC1169">
            <v>2</v>
          </cell>
          <cell r="BD1169">
            <v>2</v>
          </cell>
          <cell r="BE1169">
            <v>2</v>
          </cell>
          <cell r="BF1169">
            <v>2</v>
          </cell>
          <cell r="BG1169">
            <v>4</v>
          </cell>
          <cell r="BH1169">
            <v>1</v>
          </cell>
          <cell r="BI1169">
            <v>0</v>
          </cell>
          <cell r="BJ1169">
            <v>0</v>
          </cell>
          <cell r="BK1169">
            <v>0</v>
          </cell>
          <cell r="BL1169">
            <v>0</v>
          </cell>
          <cell r="BM1169">
            <v>1</v>
          </cell>
          <cell r="BN1169">
            <v>0</v>
          </cell>
          <cell r="BO1169">
            <v>0</v>
          </cell>
          <cell r="BP1169">
            <v>0</v>
          </cell>
          <cell r="BQ1169">
            <v>0</v>
          </cell>
          <cell r="BR1169">
            <v>2</v>
          </cell>
          <cell r="BS1169">
            <v>0</v>
          </cell>
          <cell r="BT1169">
            <v>0</v>
          </cell>
          <cell r="BU1169">
            <v>7</v>
          </cell>
        </row>
        <row r="1170">
          <cell r="A1170">
            <v>24</v>
          </cell>
          <cell r="B1170">
            <v>24</v>
          </cell>
          <cell r="D1170">
            <v>0</v>
          </cell>
          <cell r="F1170">
            <v>1</v>
          </cell>
          <cell r="G1170">
            <v>0</v>
          </cell>
          <cell r="I1170">
            <v>1</v>
          </cell>
          <cell r="J1170">
            <v>0</v>
          </cell>
          <cell r="K1170">
            <v>2</v>
          </cell>
          <cell r="L1170">
            <v>2</v>
          </cell>
          <cell r="M1170">
            <v>1</v>
          </cell>
          <cell r="O1170">
            <v>0</v>
          </cell>
          <cell r="P1170">
            <v>0</v>
          </cell>
          <cell r="Q1170">
            <v>0</v>
          </cell>
          <cell r="R1170">
            <v>0</v>
          </cell>
          <cell r="S1170">
            <v>1</v>
          </cell>
          <cell r="T1170">
            <v>1</v>
          </cell>
          <cell r="V1170">
            <v>1</v>
          </cell>
          <cell r="W1170">
            <v>32</v>
          </cell>
          <cell r="X1170">
            <v>3</v>
          </cell>
          <cell r="Y1170">
            <v>1</v>
          </cell>
          <cell r="AA1170">
            <v>0</v>
          </cell>
          <cell r="AB1170">
            <v>0</v>
          </cell>
          <cell r="AC1170">
            <v>0</v>
          </cell>
          <cell r="AD1170">
            <v>0</v>
          </cell>
          <cell r="AE1170">
            <v>0</v>
          </cell>
          <cell r="AF1170">
            <v>0</v>
          </cell>
          <cell r="AG1170">
            <v>0</v>
          </cell>
          <cell r="AH1170">
            <v>1</v>
          </cell>
          <cell r="AI1170">
            <v>4</v>
          </cell>
          <cell r="AK1170">
            <v>1</v>
          </cell>
          <cell r="AL1170">
            <v>0</v>
          </cell>
          <cell r="AN1170">
            <v>3760</v>
          </cell>
          <cell r="AO1170">
            <v>1</v>
          </cell>
          <cell r="AQ1170">
            <v>1</v>
          </cell>
          <cell r="AR1170">
            <v>13</v>
          </cell>
          <cell r="AS1170">
            <v>3</v>
          </cell>
          <cell r="AT1170">
            <v>3</v>
          </cell>
          <cell r="AU1170">
            <v>0</v>
          </cell>
          <cell r="AV1170">
            <v>6</v>
          </cell>
          <cell r="AW1170">
            <v>6</v>
          </cell>
          <cell r="AX1170">
            <v>2</v>
          </cell>
          <cell r="AY1170">
            <v>3</v>
          </cell>
          <cell r="AZ1170">
            <v>6</v>
          </cell>
          <cell r="BA1170">
            <v>6</v>
          </cell>
          <cell r="BB1170">
            <v>3</v>
          </cell>
          <cell r="BC1170">
            <v>1</v>
          </cell>
          <cell r="BD1170">
            <v>1</v>
          </cell>
          <cell r="BE1170">
            <v>3</v>
          </cell>
          <cell r="BF1170">
            <v>3</v>
          </cell>
          <cell r="BG1170">
            <v>3</v>
          </cell>
          <cell r="BH1170">
            <v>0</v>
          </cell>
          <cell r="BI1170">
            <v>0</v>
          </cell>
          <cell r="BJ1170">
            <v>1</v>
          </cell>
          <cell r="BK1170">
            <v>0</v>
          </cell>
          <cell r="BL1170">
            <v>0</v>
          </cell>
          <cell r="BM1170">
            <v>1</v>
          </cell>
          <cell r="BN1170">
            <v>0</v>
          </cell>
          <cell r="BO1170">
            <v>0</v>
          </cell>
          <cell r="BP1170">
            <v>0</v>
          </cell>
          <cell r="BQ1170">
            <v>3</v>
          </cell>
          <cell r="BR1170">
            <v>0</v>
          </cell>
          <cell r="BS1170">
            <v>0</v>
          </cell>
          <cell r="BT1170">
            <v>6</v>
          </cell>
          <cell r="BU1170">
            <v>0</v>
          </cell>
        </row>
        <row r="1171">
          <cell r="A1171">
            <v>27</v>
          </cell>
          <cell r="B1171">
            <v>27</v>
          </cell>
          <cell r="D1171">
            <v>0</v>
          </cell>
          <cell r="F1171">
            <v>0</v>
          </cell>
          <cell r="G1171">
            <v>1</v>
          </cell>
          <cell r="I1171">
            <v>1</v>
          </cell>
          <cell r="J1171">
            <v>0</v>
          </cell>
          <cell r="K1171">
            <v>8</v>
          </cell>
          <cell r="L1171">
            <v>8</v>
          </cell>
          <cell r="M1171">
            <v>3</v>
          </cell>
          <cell r="O1171">
            <v>0</v>
          </cell>
          <cell r="P1171">
            <v>0</v>
          </cell>
          <cell r="Q1171">
            <v>1</v>
          </cell>
          <cell r="R1171">
            <v>0</v>
          </cell>
          <cell r="S1171">
            <v>0</v>
          </cell>
          <cell r="T1171">
            <v>2</v>
          </cell>
          <cell r="V1171">
            <v>1</v>
          </cell>
          <cell r="W1171">
            <v>86</v>
          </cell>
          <cell r="X1171">
            <v>4</v>
          </cell>
          <cell r="Y1171">
            <v>1</v>
          </cell>
          <cell r="AA1171">
            <v>0</v>
          </cell>
          <cell r="AB1171">
            <v>0</v>
          </cell>
          <cell r="AC1171">
            <v>0</v>
          </cell>
          <cell r="AD1171">
            <v>0</v>
          </cell>
          <cell r="AE1171">
            <v>0</v>
          </cell>
          <cell r="AF1171">
            <v>0</v>
          </cell>
          <cell r="AG1171">
            <v>0</v>
          </cell>
          <cell r="AH1171">
            <v>1</v>
          </cell>
          <cell r="AI1171">
            <v>3</v>
          </cell>
          <cell r="AK1171">
            <v>0</v>
          </cell>
          <cell r="AL1171">
            <v>1</v>
          </cell>
          <cell r="AN1171">
            <v>3517</v>
          </cell>
          <cell r="AO1171">
            <v>7</v>
          </cell>
          <cell r="AQ1171">
            <v>0</v>
          </cell>
          <cell r="AR1171">
            <v>17</v>
          </cell>
          <cell r="AS1171">
            <v>3</v>
          </cell>
          <cell r="AT1171">
            <v>1</v>
          </cell>
          <cell r="AU1171">
            <v>0</v>
          </cell>
          <cell r="AV1171">
            <v>5</v>
          </cell>
          <cell r="AW1171">
            <v>5</v>
          </cell>
          <cell r="AX1171">
            <v>0</v>
          </cell>
          <cell r="AY1171">
            <v>3</v>
          </cell>
          <cell r="AZ1171">
            <v>3</v>
          </cell>
          <cell r="BA1171">
            <v>3</v>
          </cell>
          <cell r="BB1171">
            <v>2</v>
          </cell>
          <cell r="BC1171">
            <v>0</v>
          </cell>
          <cell r="BD1171">
            <v>0</v>
          </cell>
          <cell r="BE1171">
            <v>2</v>
          </cell>
          <cell r="BF1171">
            <v>2</v>
          </cell>
          <cell r="BG1171">
            <v>2</v>
          </cell>
          <cell r="BH1171">
            <v>0</v>
          </cell>
          <cell r="BI1171">
            <v>1</v>
          </cell>
          <cell r="BJ1171">
            <v>0</v>
          </cell>
          <cell r="BK1171">
            <v>0</v>
          </cell>
          <cell r="BL1171">
            <v>0</v>
          </cell>
          <cell r="BM1171">
            <v>0</v>
          </cell>
          <cell r="BN1171">
            <v>1</v>
          </cell>
          <cell r="BO1171">
            <v>0</v>
          </cell>
          <cell r="BP1171">
            <v>0</v>
          </cell>
          <cell r="BQ1171">
            <v>2</v>
          </cell>
          <cell r="BR1171">
            <v>0</v>
          </cell>
          <cell r="BS1171">
            <v>0</v>
          </cell>
          <cell r="BT1171">
            <v>5</v>
          </cell>
          <cell r="BU1171">
            <v>0</v>
          </cell>
        </row>
        <row r="1172">
          <cell r="A1172">
            <v>27</v>
          </cell>
          <cell r="B1172">
            <v>27</v>
          </cell>
          <cell r="D1172">
            <v>0</v>
          </cell>
          <cell r="F1172">
            <v>1</v>
          </cell>
          <cell r="G1172">
            <v>0</v>
          </cell>
          <cell r="I1172">
            <v>1</v>
          </cell>
          <cell r="J1172">
            <v>0</v>
          </cell>
          <cell r="K1172">
            <v>2</v>
          </cell>
          <cell r="L1172">
            <v>2</v>
          </cell>
          <cell r="M1172">
            <v>3</v>
          </cell>
          <cell r="O1172">
            <v>0</v>
          </cell>
          <cell r="P1172">
            <v>0</v>
          </cell>
          <cell r="Q1172">
            <v>1</v>
          </cell>
          <cell r="R1172">
            <v>0</v>
          </cell>
          <cell r="S1172">
            <v>0</v>
          </cell>
          <cell r="T1172">
            <v>4</v>
          </cell>
          <cell r="V1172">
            <v>0</v>
          </cell>
          <cell r="W1172">
            <v>87</v>
          </cell>
          <cell r="X1172">
            <v>3</v>
          </cell>
          <cell r="Y1172">
            <v>1</v>
          </cell>
          <cell r="AA1172">
            <v>0</v>
          </cell>
          <cell r="AB1172">
            <v>0</v>
          </cell>
          <cell r="AC1172">
            <v>0</v>
          </cell>
          <cell r="AD1172">
            <v>0</v>
          </cell>
          <cell r="AE1172">
            <v>0</v>
          </cell>
          <cell r="AF1172">
            <v>0</v>
          </cell>
          <cell r="AG1172">
            <v>0</v>
          </cell>
          <cell r="AH1172">
            <v>1</v>
          </cell>
          <cell r="AI1172">
            <v>4</v>
          </cell>
          <cell r="AK1172">
            <v>1</v>
          </cell>
          <cell r="AL1172">
            <v>0</v>
          </cell>
          <cell r="AN1172">
            <v>2580</v>
          </cell>
          <cell r="AO1172">
            <v>2</v>
          </cell>
          <cell r="AQ1172">
            <v>0</v>
          </cell>
          <cell r="AR1172">
            <v>13</v>
          </cell>
          <cell r="AS1172">
            <v>3</v>
          </cell>
          <cell r="AT1172">
            <v>3</v>
          </cell>
          <cell r="AU1172">
            <v>0</v>
          </cell>
          <cell r="AV1172">
            <v>6</v>
          </cell>
          <cell r="AW1172">
            <v>6</v>
          </cell>
          <cell r="AX1172">
            <v>0</v>
          </cell>
          <cell r="AY1172">
            <v>2</v>
          </cell>
          <cell r="AZ1172">
            <v>4</v>
          </cell>
          <cell r="BA1172">
            <v>4</v>
          </cell>
          <cell r="BB1172">
            <v>2</v>
          </cell>
          <cell r="BC1172">
            <v>1</v>
          </cell>
          <cell r="BD1172">
            <v>1</v>
          </cell>
          <cell r="BE1172">
            <v>2</v>
          </cell>
          <cell r="BF1172">
            <v>2</v>
          </cell>
          <cell r="BG1172">
            <v>2</v>
          </cell>
          <cell r="BH1172">
            <v>0</v>
          </cell>
          <cell r="BI1172">
            <v>0</v>
          </cell>
          <cell r="BJ1172">
            <v>1</v>
          </cell>
          <cell r="BK1172">
            <v>0</v>
          </cell>
          <cell r="BL1172">
            <v>1</v>
          </cell>
          <cell r="BM1172">
            <v>0</v>
          </cell>
          <cell r="BN1172">
            <v>0</v>
          </cell>
          <cell r="BO1172">
            <v>0</v>
          </cell>
          <cell r="BP1172">
            <v>0</v>
          </cell>
          <cell r="BQ1172">
            <v>2</v>
          </cell>
          <cell r="BR1172">
            <v>0</v>
          </cell>
          <cell r="BS1172">
            <v>0</v>
          </cell>
          <cell r="BT1172">
            <v>6</v>
          </cell>
          <cell r="BU1172">
            <v>0</v>
          </cell>
        </row>
        <row r="1173">
          <cell r="A1173">
            <v>40</v>
          </cell>
          <cell r="B1173">
            <v>40</v>
          </cell>
          <cell r="D1173">
            <v>1</v>
          </cell>
          <cell r="F1173">
            <v>0</v>
          </cell>
          <cell r="G1173">
            <v>1</v>
          </cell>
          <cell r="I1173">
            <v>1</v>
          </cell>
          <cell r="J1173">
            <v>0</v>
          </cell>
          <cell r="K1173">
            <v>7</v>
          </cell>
          <cell r="L1173">
            <v>7</v>
          </cell>
          <cell r="M1173">
            <v>3</v>
          </cell>
          <cell r="O1173">
            <v>1</v>
          </cell>
          <cell r="P1173">
            <v>0</v>
          </cell>
          <cell r="Q1173">
            <v>0</v>
          </cell>
          <cell r="R1173">
            <v>0</v>
          </cell>
          <cell r="S1173">
            <v>0</v>
          </cell>
          <cell r="T1173">
            <v>1</v>
          </cell>
          <cell r="V1173">
            <v>0</v>
          </cell>
          <cell r="W1173">
            <v>73</v>
          </cell>
          <cell r="X1173">
            <v>3</v>
          </cell>
          <cell r="Y1173">
            <v>1</v>
          </cell>
          <cell r="AA1173">
            <v>0</v>
          </cell>
          <cell r="AB1173">
            <v>0</v>
          </cell>
          <cell r="AC1173">
            <v>1</v>
          </cell>
          <cell r="AD1173">
            <v>0</v>
          </cell>
          <cell r="AE1173">
            <v>0</v>
          </cell>
          <cell r="AF1173">
            <v>0</v>
          </cell>
          <cell r="AG1173">
            <v>0</v>
          </cell>
          <cell r="AH1173">
            <v>0</v>
          </cell>
          <cell r="AI1173">
            <v>1</v>
          </cell>
          <cell r="AK1173">
            <v>1</v>
          </cell>
          <cell r="AL1173">
            <v>0</v>
          </cell>
          <cell r="AN1173">
            <v>2166</v>
          </cell>
          <cell r="AO1173">
            <v>3</v>
          </cell>
          <cell r="AQ1173">
            <v>1</v>
          </cell>
          <cell r="AR1173">
            <v>14</v>
          </cell>
          <cell r="AS1173">
            <v>3</v>
          </cell>
          <cell r="AT1173">
            <v>2</v>
          </cell>
          <cell r="AU1173">
            <v>0</v>
          </cell>
          <cell r="AV1173">
            <v>10</v>
          </cell>
          <cell r="AW1173">
            <v>10</v>
          </cell>
          <cell r="AX1173">
            <v>3</v>
          </cell>
          <cell r="AY1173">
            <v>1</v>
          </cell>
          <cell r="AZ1173">
            <v>4</v>
          </cell>
          <cell r="BA1173">
            <v>4</v>
          </cell>
          <cell r="BB1173">
            <v>2</v>
          </cell>
          <cell r="BC1173">
            <v>0</v>
          </cell>
          <cell r="BD1173">
            <v>0</v>
          </cell>
          <cell r="BE1173">
            <v>3</v>
          </cell>
          <cell r="BF1173">
            <v>3</v>
          </cell>
          <cell r="BG1173">
            <v>3</v>
          </cell>
          <cell r="BH1173">
            <v>1</v>
          </cell>
          <cell r="BI1173">
            <v>0</v>
          </cell>
          <cell r="BJ1173">
            <v>0</v>
          </cell>
          <cell r="BK1173">
            <v>0</v>
          </cell>
          <cell r="BL1173">
            <v>0</v>
          </cell>
          <cell r="BM1173">
            <v>1</v>
          </cell>
          <cell r="BN1173">
            <v>0</v>
          </cell>
          <cell r="BO1173">
            <v>0</v>
          </cell>
          <cell r="BP1173">
            <v>0</v>
          </cell>
          <cell r="BQ1173">
            <v>3</v>
          </cell>
          <cell r="BR1173">
            <v>0</v>
          </cell>
          <cell r="BS1173">
            <v>0</v>
          </cell>
          <cell r="BT1173">
            <v>10</v>
          </cell>
          <cell r="BU1173">
            <v>0</v>
          </cell>
        </row>
        <row r="1174">
          <cell r="A1174">
            <v>29</v>
          </cell>
          <cell r="B1174">
            <v>29</v>
          </cell>
          <cell r="D1174">
            <v>0</v>
          </cell>
          <cell r="F1174">
            <v>0</v>
          </cell>
          <cell r="G1174">
            <v>1</v>
          </cell>
          <cell r="I1174">
            <v>0</v>
          </cell>
          <cell r="J1174">
            <v>1</v>
          </cell>
          <cell r="K1174">
            <v>10</v>
          </cell>
          <cell r="L1174">
            <v>10</v>
          </cell>
          <cell r="M1174">
            <v>3</v>
          </cell>
          <cell r="O1174">
            <v>0</v>
          </cell>
          <cell r="P1174">
            <v>0</v>
          </cell>
          <cell r="Q1174">
            <v>1</v>
          </cell>
          <cell r="R1174">
            <v>0</v>
          </cell>
          <cell r="S1174">
            <v>0</v>
          </cell>
          <cell r="T1174">
            <v>3</v>
          </cell>
          <cell r="V1174">
            <v>0</v>
          </cell>
          <cell r="W1174">
            <v>42</v>
          </cell>
          <cell r="X1174">
            <v>2</v>
          </cell>
          <cell r="Y1174">
            <v>2</v>
          </cell>
          <cell r="AA1174">
            <v>0</v>
          </cell>
          <cell r="AB1174">
            <v>1</v>
          </cell>
          <cell r="AC1174">
            <v>0</v>
          </cell>
          <cell r="AD1174">
            <v>0</v>
          </cell>
          <cell r="AE1174">
            <v>0</v>
          </cell>
          <cell r="AF1174">
            <v>0</v>
          </cell>
          <cell r="AG1174">
            <v>0</v>
          </cell>
          <cell r="AH1174">
            <v>0</v>
          </cell>
          <cell r="AI1174">
            <v>3</v>
          </cell>
          <cell r="AK1174">
            <v>1</v>
          </cell>
          <cell r="AL1174">
            <v>0</v>
          </cell>
          <cell r="AN1174">
            <v>5869</v>
          </cell>
          <cell r="AO1174">
            <v>9</v>
          </cell>
          <cell r="AQ1174">
            <v>0</v>
          </cell>
          <cell r="AR1174">
            <v>11</v>
          </cell>
          <cell r="AS1174">
            <v>3</v>
          </cell>
          <cell r="AT1174">
            <v>3</v>
          </cell>
          <cell r="AU1174">
            <v>0</v>
          </cell>
          <cell r="AV1174">
            <v>8</v>
          </cell>
          <cell r="AW1174">
            <v>8</v>
          </cell>
          <cell r="AX1174">
            <v>2</v>
          </cell>
          <cell r="AY1174">
            <v>3</v>
          </cell>
          <cell r="AZ1174">
            <v>5</v>
          </cell>
          <cell r="BA1174">
            <v>5</v>
          </cell>
          <cell r="BB1174">
            <v>2</v>
          </cell>
          <cell r="BC1174">
            <v>1</v>
          </cell>
          <cell r="BD1174">
            <v>1</v>
          </cell>
          <cell r="BE1174">
            <v>4</v>
          </cell>
          <cell r="BF1174">
            <v>4</v>
          </cell>
          <cell r="BG1174">
            <v>8</v>
          </cell>
          <cell r="BH1174">
            <v>1</v>
          </cell>
          <cell r="BI1174">
            <v>0</v>
          </cell>
          <cell r="BJ1174">
            <v>0</v>
          </cell>
          <cell r="BK1174">
            <v>0</v>
          </cell>
          <cell r="BL1174">
            <v>1</v>
          </cell>
          <cell r="BM1174">
            <v>0</v>
          </cell>
          <cell r="BN1174">
            <v>0</v>
          </cell>
          <cell r="BO1174">
            <v>0</v>
          </cell>
          <cell r="BP1174">
            <v>0</v>
          </cell>
          <cell r="BQ1174">
            <v>0</v>
          </cell>
          <cell r="BR1174">
            <v>4</v>
          </cell>
          <cell r="BS1174">
            <v>0</v>
          </cell>
          <cell r="BT1174">
            <v>0</v>
          </cell>
          <cell r="BU1174">
            <v>8</v>
          </cell>
        </row>
        <row r="1175">
          <cell r="A1175">
            <v>36</v>
          </cell>
          <cell r="B1175">
            <v>36</v>
          </cell>
          <cell r="D1175">
            <v>0</v>
          </cell>
          <cell r="F1175">
            <v>0</v>
          </cell>
          <cell r="G1175">
            <v>1</v>
          </cell>
          <cell r="I1175">
            <v>1</v>
          </cell>
          <cell r="J1175">
            <v>0</v>
          </cell>
          <cell r="K1175">
            <v>5</v>
          </cell>
          <cell r="L1175">
            <v>5</v>
          </cell>
          <cell r="M1175">
            <v>4</v>
          </cell>
          <cell r="O1175">
            <v>1</v>
          </cell>
          <cell r="P1175">
            <v>0</v>
          </cell>
          <cell r="Q1175">
            <v>0</v>
          </cell>
          <cell r="R1175">
            <v>0</v>
          </cell>
          <cell r="S1175">
            <v>0</v>
          </cell>
          <cell r="T1175">
            <v>2</v>
          </cell>
          <cell r="V1175">
            <v>1</v>
          </cell>
          <cell r="W1175">
            <v>42</v>
          </cell>
          <cell r="X1175">
            <v>3</v>
          </cell>
          <cell r="Y1175">
            <v>3</v>
          </cell>
          <cell r="AA1175">
            <v>1</v>
          </cell>
          <cell r="AB1175">
            <v>0</v>
          </cell>
          <cell r="AC1175">
            <v>0</v>
          </cell>
          <cell r="AD1175">
            <v>0</v>
          </cell>
          <cell r="AE1175">
            <v>0</v>
          </cell>
          <cell r="AF1175">
            <v>0</v>
          </cell>
          <cell r="AG1175">
            <v>0</v>
          </cell>
          <cell r="AH1175">
            <v>0</v>
          </cell>
          <cell r="AI1175">
            <v>1</v>
          </cell>
          <cell r="AK1175">
            <v>0</v>
          </cell>
          <cell r="AL1175">
            <v>1</v>
          </cell>
          <cell r="AN1175">
            <v>8008</v>
          </cell>
          <cell r="AO1175">
            <v>4</v>
          </cell>
          <cell r="AQ1175">
            <v>0</v>
          </cell>
          <cell r="AR1175">
            <v>12</v>
          </cell>
          <cell r="AS1175">
            <v>3</v>
          </cell>
          <cell r="AT1175">
            <v>3</v>
          </cell>
          <cell r="AU1175">
            <v>2</v>
          </cell>
          <cell r="AV1175">
            <v>9</v>
          </cell>
          <cell r="AW1175">
            <v>9</v>
          </cell>
          <cell r="AX1175">
            <v>6</v>
          </cell>
          <cell r="AY1175">
            <v>3</v>
          </cell>
          <cell r="AZ1175">
            <v>3</v>
          </cell>
          <cell r="BA1175">
            <v>3</v>
          </cell>
          <cell r="BB1175">
            <v>2</v>
          </cell>
          <cell r="BC1175">
            <v>0</v>
          </cell>
          <cell r="BD1175">
            <v>0</v>
          </cell>
          <cell r="BE1175">
            <v>2</v>
          </cell>
          <cell r="BF1175">
            <v>2</v>
          </cell>
          <cell r="BG1175">
            <v>6</v>
          </cell>
          <cell r="BH1175">
            <v>0</v>
          </cell>
          <cell r="BI1175">
            <v>1</v>
          </cell>
          <cell r="BJ1175">
            <v>0</v>
          </cell>
          <cell r="BK1175">
            <v>0</v>
          </cell>
          <cell r="BL1175">
            <v>0</v>
          </cell>
          <cell r="BM1175">
            <v>0</v>
          </cell>
          <cell r="BN1175">
            <v>1</v>
          </cell>
          <cell r="BO1175">
            <v>0</v>
          </cell>
          <cell r="BP1175">
            <v>0</v>
          </cell>
          <cell r="BQ1175">
            <v>2</v>
          </cell>
          <cell r="BR1175">
            <v>0</v>
          </cell>
          <cell r="BS1175">
            <v>0</v>
          </cell>
          <cell r="BT1175">
            <v>9</v>
          </cell>
          <cell r="BU1175">
            <v>0</v>
          </cell>
        </row>
        <row r="1176">
          <cell r="A1176">
            <v>25</v>
          </cell>
          <cell r="B1176">
            <v>25</v>
          </cell>
          <cell r="D1176">
            <v>0</v>
          </cell>
          <cell r="F1176">
            <v>1</v>
          </cell>
          <cell r="G1176">
            <v>0</v>
          </cell>
          <cell r="I1176">
            <v>1</v>
          </cell>
          <cell r="J1176">
            <v>0</v>
          </cell>
          <cell r="K1176">
            <v>2</v>
          </cell>
          <cell r="L1176">
            <v>2</v>
          </cell>
          <cell r="M1176">
            <v>1</v>
          </cell>
          <cell r="O1176">
            <v>1</v>
          </cell>
          <cell r="P1176">
            <v>0</v>
          </cell>
          <cell r="Q1176">
            <v>0</v>
          </cell>
          <cell r="R1176">
            <v>0</v>
          </cell>
          <cell r="S1176">
            <v>0</v>
          </cell>
          <cell r="T1176">
            <v>4</v>
          </cell>
          <cell r="V1176">
            <v>0</v>
          </cell>
          <cell r="W1176">
            <v>77</v>
          </cell>
          <cell r="X1176">
            <v>4</v>
          </cell>
          <cell r="Y1176">
            <v>2</v>
          </cell>
          <cell r="AA1176">
            <v>0</v>
          </cell>
          <cell r="AB1176">
            <v>0</v>
          </cell>
          <cell r="AC1176">
            <v>0</v>
          </cell>
          <cell r="AD1176">
            <v>0</v>
          </cell>
          <cell r="AE1176">
            <v>1</v>
          </cell>
          <cell r="AF1176">
            <v>1</v>
          </cell>
          <cell r="AG1176">
            <v>0</v>
          </cell>
          <cell r="AH1176">
            <v>0</v>
          </cell>
          <cell r="AI1176">
            <v>3</v>
          </cell>
          <cell r="AK1176">
            <v>0</v>
          </cell>
          <cell r="AL1176">
            <v>0</v>
          </cell>
          <cell r="AN1176">
            <v>5206</v>
          </cell>
          <cell r="AO1176">
            <v>1</v>
          </cell>
          <cell r="AQ1176">
            <v>0</v>
          </cell>
          <cell r="AR1176">
            <v>17</v>
          </cell>
          <cell r="AS1176">
            <v>3</v>
          </cell>
          <cell r="AT1176">
            <v>3</v>
          </cell>
          <cell r="AU1176">
            <v>2</v>
          </cell>
          <cell r="AV1176">
            <v>7</v>
          </cell>
          <cell r="AW1176">
            <v>7</v>
          </cell>
          <cell r="AX1176">
            <v>6</v>
          </cell>
          <cell r="AY1176">
            <v>3</v>
          </cell>
          <cell r="AZ1176">
            <v>7</v>
          </cell>
          <cell r="BA1176">
            <v>7</v>
          </cell>
          <cell r="BB1176">
            <v>7</v>
          </cell>
          <cell r="BC1176">
            <v>0</v>
          </cell>
          <cell r="BD1176">
            <v>0</v>
          </cell>
          <cell r="BE1176">
            <v>7</v>
          </cell>
          <cell r="BF1176">
            <v>7</v>
          </cell>
          <cell r="BG1176">
            <v>14</v>
          </cell>
          <cell r="BH1176">
            <v>0</v>
          </cell>
          <cell r="BI1176">
            <v>0</v>
          </cell>
          <cell r="BJ1176">
            <v>1</v>
          </cell>
          <cell r="BK1176">
            <v>0</v>
          </cell>
          <cell r="BL1176">
            <v>1</v>
          </cell>
          <cell r="BM1176">
            <v>0</v>
          </cell>
          <cell r="BN1176">
            <v>0</v>
          </cell>
          <cell r="BO1176">
            <v>0</v>
          </cell>
          <cell r="BP1176">
            <v>0</v>
          </cell>
          <cell r="BQ1176">
            <v>7</v>
          </cell>
          <cell r="BR1176">
            <v>0</v>
          </cell>
          <cell r="BS1176">
            <v>0</v>
          </cell>
          <cell r="BT1176">
            <v>7</v>
          </cell>
          <cell r="BU1176">
            <v>0</v>
          </cell>
        </row>
        <row r="1177">
          <cell r="A1177">
            <v>39</v>
          </cell>
          <cell r="B1177">
            <v>39</v>
          </cell>
          <cell r="D1177">
            <v>0</v>
          </cell>
          <cell r="F1177">
            <v>0</v>
          </cell>
          <cell r="G1177">
            <v>1</v>
          </cell>
          <cell r="I1177">
            <v>1</v>
          </cell>
          <cell r="J1177">
            <v>0</v>
          </cell>
          <cell r="K1177">
            <v>12</v>
          </cell>
          <cell r="L1177">
            <v>12</v>
          </cell>
          <cell r="M1177">
            <v>3</v>
          </cell>
          <cell r="O1177">
            <v>0</v>
          </cell>
          <cell r="P1177">
            <v>0</v>
          </cell>
          <cell r="Q1177">
            <v>1</v>
          </cell>
          <cell r="R1177">
            <v>0</v>
          </cell>
          <cell r="S1177">
            <v>0</v>
          </cell>
          <cell r="T1177">
            <v>4</v>
          </cell>
          <cell r="V1177">
            <v>0</v>
          </cell>
          <cell r="W1177">
            <v>66</v>
          </cell>
          <cell r="X1177">
            <v>3</v>
          </cell>
          <cell r="Y1177">
            <v>2</v>
          </cell>
          <cell r="AA1177">
            <v>0</v>
          </cell>
          <cell r="AB1177">
            <v>0</v>
          </cell>
          <cell r="AC1177">
            <v>0</v>
          </cell>
          <cell r="AD1177">
            <v>0</v>
          </cell>
          <cell r="AE1177">
            <v>1</v>
          </cell>
          <cell r="AF1177">
            <v>1</v>
          </cell>
          <cell r="AG1177">
            <v>0</v>
          </cell>
          <cell r="AH1177">
            <v>0</v>
          </cell>
          <cell r="AI1177">
            <v>2</v>
          </cell>
          <cell r="AK1177">
            <v>0</v>
          </cell>
          <cell r="AL1177">
            <v>1</v>
          </cell>
          <cell r="AN1177">
            <v>5295</v>
          </cell>
          <cell r="AO1177">
            <v>4</v>
          </cell>
          <cell r="AQ1177">
            <v>0</v>
          </cell>
          <cell r="AR1177">
            <v>21</v>
          </cell>
          <cell r="AS1177">
            <v>4</v>
          </cell>
          <cell r="AT1177">
            <v>3</v>
          </cell>
          <cell r="AU1177">
            <v>0</v>
          </cell>
          <cell r="AV1177">
            <v>7</v>
          </cell>
          <cell r="AW1177">
            <v>7</v>
          </cell>
          <cell r="AX1177">
            <v>3</v>
          </cell>
          <cell r="AY1177">
            <v>3</v>
          </cell>
          <cell r="AZ1177">
            <v>5</v>
          </cell>
          <cell r="BA1177">
            <v>5</v>
          </cell>
          <cell r="BB1177">
            <v>4</v>
          </cell>
          <cell r="BC1177">
            <v>1</v>
          </cell>
          <cell r="BD1177">
            <v>1</v>
          </cell>
          <cell r="BE1177">
            <v>0</v>
          </cell>
          <cell r="BF1177">
            <v>0</v>
          </cell>
          <cell r="BG1177">
            <v>0</v>
          </cell>
          <cell r="BH1177">
            <v>0</v>
          </cell>
          <cell r="BI1177">
            <v>1</v>
          </cell>
          <cell r="BJ1177">
            <v>0</v>
          </cell>
          <cell r="BK1177">
            <v>0</v>
          </cell>
          <cell r="BL1177">
            <v>0</v>
          </cell>
          <cell r="BM1177">
            <v>0</v>
          </cell>
          <cell r="BN1177">
            <v>1</v>
          </cell>
          <cell r="BO1177">
            <v>0</v>
          </cell>
          <cell r="BP1177">
            <v>0</v>
          </cell>
          <cell r="BQ1177">
            <v>0</v>
          </cell>
          <cell r="BR1177">
            <v>0</v>
          </cell>
          <cell r="BS1177">
            <v>0</v>
          </cell>
          <cell r="BT1177">
            <v>7</v>
          </cell>
          <cell r="BU1177">
            <v>0</v>
          </cell>
        </row>
        <row r="1178">
          <cell r="A1178">
            <v>49</v>
          </cell>
          <cell r="B1178">
            <v>49</v>
          </cell>
          <cell r="D1178">
            <v>0</v>
          </cell>
          <cell r="F1178">
            <v>0</v>
          </cell>
          <cell r="G1178">
            <v>1</v>
          </cell>
          <cell r="I1178">
            <v>1</v>
          </cell>
          <cell r="J1178">
            <v>0</v>
          </cell>
          <cell r="K1178">
            <v>22</v>
          </cell>
          <cell r="L1178">
            <v>22</v>
          </cell>
          <cell r="M1178">
            <v>4</v>
          </cell>
          <cell r="O1178">
            <v>0</v>
          </cell>
          <cell r="P1178">
            <v>1</v>
          </cell>
          <cell r="Q1178">
            <v>0</v>
          </cell>
          <cell r="R1178">
            <v>0</v>
          </cell>
          <cell r="S1178">
            <v>0</v>
          </cell>
          <cell r="T1178">
            <v>1</v>
          </cell>
          <cell r="V1178">
            <v>1</v>
          </cell>
          <cell r="W1178">
            <v>72</v>
          </cell>
          <cell r="X1178">
            <v>3</v>
          </cell>
          <cell r="Y1178">
            <v>4</v>
          </cell>
          <cell r="AA1178">
            <v>0</v>
          </cell>
          <cell r="AB1178">
            <v>0</v>
          </cell>
          <cell r="AC1178">
            <v>0</v>
          </cell>
          <cell r="AD1178">
            <v>0</v>
          </cell>
          <cell r="AE1178">
            <v>0</v>
          </cell>
          <cell r="AF1178">
            <v>0</v>
          </cell>
          <cell r="AG1178">
            <v>0</v>
          </cell>
          <cell r="AH1178">
            <v>0</v>
          </cell>
          <cell r="AI1178">
            <v>2</v>
          </cell>
          <cell r="AK1178">
            <v>0</v>
          </cell>
          <cell r="AL1178">
            <v>1</v>
          </cell>
          <cell r="AN1178">
            <v>16413</v>
          </cell>
          <cell r="AO1178">
            <v>3</v>
          </cell>
          <cell r="AQ1178">
            <v>0</v>
          </cell>
          <cell r="AR1178">
            <v>16</v>
          </cell>
          <cell r="AS1178">
            <v>3</v>
          </cell>
          <cell r="AT1178">
            <v>2</v>
          </cell>
          <cell r="AU1178">
            <v>2</v>
          </cell>
          <cell r="AV1178">
            <v>27</v>
          </cell>
          <cell r="AW1178">
            <v>27</v>
          </cell>
          <cell r="AX1178">
            <v>2</v>
          </cell>
          <cell r="AY1178">
            <v>3</v>
          </cell>
          <cell r="AZ1178">
            <v>4</v>
          </cell>
          <cell r="BA1178">
            <v>4</v>
          </cell>
          <cell r="BB1178">
            <v>2</v>
          </cell>
          <cell r="BC1178">
            <v>1</v>
          </cell>
          <cell r="BD1178">
            <v>1</v>
          </cell>
          <cell r="BE1178">
            <v>2</v>
          </cell>
          <cell r="BF1178">
            <v>2</v>
          </cell>
          <cell r="BG1178">
            <v>8</v>
          </cell>
          <cell r="BH1178">
            <v>0</v>
          </cell>
          <cell r="BI1178">
            <v>1</v>
          </cell>
          <cell r="BJ1178">
            <v>0</v>
          </cell>
          <cell r="BK1178">
            <v>0</v>
          </cell>
          <cell r="BL1178">
            <v>0</v>
          </cell>
          <cell r="BM1178">
            <v>0</v>
          </cell>
          <cell r="BN1178">
            <v>1</v>
          </cell>
          <cell r="BO1178">
            <v>0</v>
          </cell>
          <cell r="BP1178">
            <v>0</v>
          </cell>
          <cell r="BQ1178">
            <v>2</v>
          </cell>
          <cell r="BR1178">
            <v>0</v>
          </cell>
          <cell r="BS1178">
            <v>0</v>
          </cell>
          <cell r="BT1178">
            <v>27</v>
          </cell>
          <cell r="BU1178">
            <v>0</v>
          </cell>
        </row>
        <row r="1179">
          <cell r="A1179">
            <v>50</v>
          </cell>
          <cell r="B1179">
            <v>50</v>
          </cell>
          <cell r="D1179">
            <v>0</v>
          </cell>
          <cell r="F1179">
            <v>0</v>
          </cell>
          <cell r="G1179">
            <v>1</v>
          </cell>
          <cell r="I1179">
            <v>1</v>
          </cell>
          <cell r="J1179">
            <v>0</v>
          </cell>
          <cell r="K1179">
            <v>17</v>
          </cell>
          <cell r="L1179">
            <v>17</v>
          </cell>
          <cell r="M1179">
            <v>5</v>
          </cell>
          <cell r="O1179">
            <v>1</v>
          </cell>
          <cell r="P1179">
            <v>0</v>
          </cell>
          <cell r="Q1179">
            <v>0</v>
          </cell>
          <cell r="R1179">
            <v>0</v>
          </cell>
          <cell r="S1179">
            <v>0</v>
          </cell>
          <cell r="T1179">
            <v>4</v>
          </cell>
          <cell r="V1179">
            <v>1</v>
          </cell>
          <cell r="W1179">
            <v>50</v>
          </cell>
          <cell r="X1179">
            <v>2</v>
          </cell>
          <cell r="Y1179">
            <v>3</v>
          </cell>
          <cell r="AA1179">
            <v>0</v>
          </cell>
          <cell r="AB1179">
            <v>0</v>
          </cell>
          <cell r="AC1179">
            <v>0</v>
          </cell>
          <cell r="AD1179">
            <v>0</v>
          </cell>
          <cell r="AE1179">
            <v>0</v>
          </cell>
          <cell r="AF1179">
            <v>0</v>
          </cell>
          <cell r="AG1179">
            <v>0</v>
          </cell>
          <cell r="AH1179">
            <v>0</v>
          </cell>
          <cell r="AI1179">
            <v>1</v>
          </cell>
          <cell r="AK1179">
            <v>0</v>
          </cell>
          <cell r="AL1179">
            <v>0</v>
          </cell>
          <cell r="AN1179">
            <v>13269</v>
          </cell>
          <cell r="AO1179">
            <v>5</v>
          </cell>
          <cell r="AQ1179">
            <v>0</v>
          </cell>
          <cell r="AR1179">
            <v>15</v>
          </cell>
          <cell r="AS1179">
            <v>3</v>
          </cell>
          <cell r="AT1179">
            <v>3</v>
          </cell>
          <cell r="AU1179">
            <v>3</v>
          </cell>
          <cell r="AV1179">
            <v>19</v>
          </cell>
          <cell r="AW1179">
            <v>19</v>
          </cell>
          <cell r="AX1179">
            <v>3</v>
          </cell>
          <cell r="AY1179">
            <v>3</v>
          </cell>
          <cell r="AZ1179">
            <v>14</v>
          </cell>
          <cell r="BA1179">
            <v>14</v>
          </cell>
          <cell r="BB1179">
            <v>11</v>
          </cell>
          <cell r="BC1179">
            <v>1</v>
          </cell>
          <cell r="BD1179">
            <v>1</v>
          </cell>
          <cell r="BE1179">
            <v>11</v>
          </cell>
          <cell r="BF1179">
            <v>11</v>
          </cell>
          <cell r="BG1179">
            <v>33</v>
          </cell>
          <cell r="BH1179">
            <v>1</v>
          </cell>
          <cell r="BI1179">
            <v>0</v>
          </cell>
          <cell r="BJ1179">
            <v>0</v>
          </cell>
          <cell r="BK1179">
            <v>0</v>
          </cell>
          <cell r="BL1179">
            <v>1</v>
          </cell>
          <cell r="BM1179">
            <v>0</v>
          </cell>
          <cell r="BN1179">
            <v>0</v>
          </cell>
          <cell r="BO1179">
            <v>0</v>
          </cell>
          <cell r="BP1179">
            <v>0</v>
          </cell>
          <cell r="BQ1179">
            <v>11</v>
          </cell>
          <cell r="BR1179">
            <v>0</v>
          </cell>
          <cell r="BS1179">
            <v>0</v>
          </cell>
          <cell r="BT1179">
            <v>19</v>
          </cell>
          <cell r="BU1179">
            <v>0</v>
          </cell>
        </row>
        <row r="1180">
          <cell r="A1180">
            <v>20</v>
          </cell>
          <cell r="B1180">
            <v>20</v>
          </cell>
          <cell r="D1180">
            <v>0</v>
          </cell>
          <cell r="F1180">
            <v>0</v>
          </cell>
          <cell r="G1180">
            <v>1</v>
          </cell>
          <cell r="I1180">
            <v>0</v>
          </cell>
          <cell r="J1180">
            <v>1</v>
          </cell>
          <cell r="K1180">
            <v>2</v>
          </cell>
          <cell r="L1180">
            <v>2</v>
          </cell>
          <cell r="M1180">
            <v>3</v>
          </cell>
          <cell r="O1180">
            <v>0</v>
          </cell>
          <cell r="P1180">
            <v>0</v>
          </cell>
          <cell r="Q1180">
            <v>1</v>
          </cell>
          <cell r="R1180">
            <v>0</v>
          </cell>
          <cell r="S1180">
            <v>0</v>
          </cell>
          <cell r="T1180">
            <v>3</v>
          </cell>
          <cell r="V1180">
            <v>1</v>
          </cell>
          <cell r="W1180">
            <v>31</v>
          </cell>
          <cell r="X1180">
            <v>3</v>
          </cell>
          <cell r="Y1180">
            <v>1</v>
          </cell>
          <cell r="AA1180">
            <v>0</v>
          </cell>
          <cell r="AB1180">
            <v>0</v>
          </cell>
          <cell r="AC1180">
            <v>0</v>
          </cell>
          <cell r="AD1180">
            <v>0</v>
          </cell>
          <cell r="AE1180">
            <v>0</v>
          </cell>
          <cell r="AF1180">
            <v>0</v>
          </cell>
          <cell r="AG1180">
            <v>1</v>
          </cell>
          <cell r="AH1180">
            <v>0</v>
          </cell>
          <cell r="AI1180">
            <v>3</v>
          </cell>
          <cell r="AK1180">
            <v>1</v>
          </cell>
          <cell r="AL1180">
            <v>0</v>
          </cell>
          <cell r="AN1180">
            <v>2783</v>
          </cell>
          <cell r="AO1180">
            <v>1</v>
          </cell>
          <cell r="AQ1180">
            <v>0</v>
          </cell>
          <cell r="AR1180">
            <v>19</v>
          </cell>
          <cell r="AS1180">
            <v>3</v>
          </cell>
          <cell r="AT1180">
            <v>1</v>
          </cell>
          <cell r="AU1180">
            <v>0</v>
          </cell>
          <cell r="AV1180">
            <v>2</v>
          </cell>
          <cell r="AW1180">
            <v>2</v>
          </cell>
          <cell r="AX1180">
            <v>3</v>
          </cell>
          <cell r="AY1180">
            <v>3</v>
          </cell>
          <cell r="AZ1180">
            <v>2</v>
          </cell>
          <cell r="BA1180">
            <v>2</v>
          </cell>
          <cell r="BB1180">
            <v>2</v>
          </cell>
          <cell r="BC1180">
            <v>2</v>
          </cell>
          <cell r="BD1180">
            <v>2</v>
          </cell>
          <cell r="BE1180">
            <v>2</v>
          </cell>
          <cell r="BF1180">
            <v>2</v>
          </cell>
          <cell r="BG1180">
            <v>2</v>
          </cell>
          <cell r="BH1180">
            <v>1</v>
          </cell>
          <cell r="BI1180">
            <v>0</v>
          </cell>
          <cell r="BJ1180">
            <v>0</v>
          </cell>
          <cell r="BK1180">
            <v>0</v>
          </cell>
          <cell r="BL1180">
            <v>1</v>
          </cell>
          <cell r="BM1180">
            <v>0</v>
          </cell>
          <cell r="BN1180">
            <v>0</v>
          </cell>
          <cell r="BO1180">
            <v>0</v>
          </cell>
          <cell r="BP1180">
            <v>0</v>
          </cell>
          <cell r="BQ1180">
            <v>0</v>
          </cell>
          <cell r="BR1180">
            <v>2</v>
          </cell>
          <cell r="BS1180">
            <v>0</v>
          </cell>
          <cell r="BT1180">
            <v>0</v>
          </cell>
          <cell r="BU1180">
            <v>2</v>
          </cell>
        </row>
        <row r="1181">
          <cell r="A1181">
            <v>34</v>
          </cell>
          <cell r="B1181">
            <v>34</v>
          </cell>
          <cell r="D1181">
            <v>0</v>
          </cell>
          <cell r="F1181">
            <v>0</v>
          </cell>
          <cell r="G1181">
            <v>1</v>
          </cell>
          <cell r="I1181">
            <v>1</v>
          </cell>
          <cell r="J1181">
            <v>0</v>
          </cell>
          <cell r="K1181">
            <v>3</v>
          </cell>
          <cell r="L1181">
            <v>3</v>
          </cell>
          <cell r="M1181">
            <v>3</v>
          </cell>
          <cell r="O1181">
            <v>1</v>
          </cell>
          <cell r="P1181">
            <v>0</v>
          </cell>
          <cell r="Q1181">
            <v>0</v>
          </cell>
          <cell r="R1181">
            <v>0</v>
          </cell>
          <cell r="S1181">
            <v>0</v>
          </cell>
          <cell r="T1181">
            <v>4</v>
          </cell>
          <cell r="V1181">
            <v>1</v>
          </cell>
          <cell r="W1181">
            <v>66</v>
          </cell>
          <cell r="X1181">
            <v>3</v>
          </cell>
          <cell r="Y1181">
            <v>2</v>
          </cell>
          <cell r="AA1181">
            <v>0</v>
          </cell>
          <cell r="AB1181">
            <v>0</v>
          </cell>
          <cell r="AC1181">
            <v>0</v>
          </cell>
          <cell r="AD1181">
            <v>0</v>
          </cell>
          <cell r="AE1181">
            <v>0</v>
          </cell>
          <cell r="AF1181">
            <v>0</v>
          </cell>
          <cell r="AG1181">
            <v>0</v>
          </cell>
          <cell r="AH1181">
            <v>1</v>
          </cell>
          <cell r="AI1181">
            <v>2</v>
          </cell>
          <cell r="AK1181">
            <v>0</v>
          </cell>
          <cell r="AL1181">
            <v>0</v>
          </cell>
          <cell r="AN1181">
            <v>5433</v>
          </cell>
          <cell r="AO1181">
            <v>1</v>
          </cell>
          <cell r="AQ1181">
            <v>0</v>
          </cell>
          <cell r="AR1181">
            <v>12</v>
          </cell>
          <cell r="AS1181">
            <v>3</v>
          </cell>
          <cell r="AT1181">
            <v>3</v>
          </cell>
          <cell r="AU1181">
            <v>1</v>
          </cell>
          <cell r="AV1181">
            <v>11</v>
          </cell>
          <cell r="AW1181">
            <v>11</v>
          </cell>
          <cell r="AX1181">
            <v>2</v>
          </cell>
          <cell r="AY1181">
            <v>3</v>
          </cell>
          <cell r="AZ1181">
            <v>11</v>
          </cell>
          <cell r="BA1181">
            <v>11</v>
          </cell>
          <cell r="BB1181">
            <v>8</v>
          </cell>
          <cell r="BC1181">
            <v>7</v>
          </cell>
          <cell r="BD1181">
            <v>7</v>
          </cell>
          <cell r="BE1181">
            <v>9</v>
          </cell>
          <cell r="BF1181">
            <v>9</v>
          </cell>
          <cell r="BG1181">
            <v>18</v>
          </cell>
          <cell r="BH1181">
            <v>1</v>
          </cell>
          <cell r="BI1181">
            <v>0</v>
          </cell>
          <cell r="BJ1181">
            <v>0</v>
          </cell>
          <cell r="BK1181">
            <v>0</v>
          </cell>
          <cell r="BL1181">
            <v>1</v>
          </cell>
          <cell r="BM1181">
            <v>0</v>
          </cell>
          <cell r="BN1181">
            <v>0</v>
          </cell>
          <cell r="BO1181">
            <v>0</v>
          </cell>
          <cell r="BP1181">
            <v>0</v>
          </cell>
          <cell r="BQ1181">
            <v>9</v>
          </cell>
          <cell r="BR1181">
            <v>0</v>
          </cell>
          <cell r="BS1181">
            <v>0</v>
          </cell>
          <cell r="BT1181">
            <v>11</v>
          </cell>
          <cell r="BU1181">
            <v>0</v>
          </cell>
        </row>
        <row r="1182">
          <cell r="A1182">
            <v>36</v>
          </cell>
          <cell r="B1182">
            <v>36</v>
          </cell>
          <cell r="D1182">
            <v>0</v>
          </cell>
          <cell r="F1182">
            <v>0</v>
          </cell>
          <cell r="G1182">
            <v>1</v>
          </cell>
          <cell r="I1182">
            <v>1</v>
          </cell>
          <cell r="J1182">
            <v>0</v>
          </cell>
          <cell r="K1182">
            <v>7</v>
          </cell>
          <cell r="L1182">
            <v>7</v>
          </cell>
          <cell r="M1182">
            <v>3</v>
          </cell>
          <cell r="O1182">
            <v>1</v>
          </cell>
          <cell r="P1182">
            <v>0</v>
          </cell>
          <cell r="Q1182">
            <v>0</v>
          </cell>
          <cell r="R1182">
            <v>0</v>
          </cell>
          <cell r="S1182">
            <v>0</v>
          </cell>
          <cell r="T1182">
            <v>1</v>
          </cell>
          <cell r="V1182">
            <v>0</v>
          </cell>
          <cell r="W1182">
            <v>77</v>
          </cell>
          <cell r="X1182">
            <v>3</v>
          </cell>
          <cell r="Y1182">
            <v>1</v>
          </cell>
          <cell r="AA1182">
            <v>0</v>
          </cell>
          <cell r="AB1182">
            <v>0</v>
          </cell>
          <cell r="AC1182">
            <v>1</v>
          </cell>
          <cell r="AD1182">
            <v>0</v>
          </cell>
          <cell r="AE1182">
            <v>0</v>
          </cell>
          <cell r="AF1182">
            <v>0</v>
          </cell>
          <cell r="AG1182">
            <v>0</v>
          </cell>
          <cell r="AH1182">
            <v>0</v>
          </cell>
          <cell r="AI1182">
            <v>2</v>
          </cell>
          <cell r="AK1182">
            <v>1</v>
          </cell>
          <cell r="AL1182">
            <v>0</v>
          </cell>
          <cell r="AN1182">
            <v>2013</v>
          </cell>
          <cell r="AO1182">
            <v>2</v>
          </cell>
          <cell r="AQ1182">
            <v>0</v>
          </cell>
          <cell r="AR1182">
            <v>11</v>
          </cell>
          <cell r="AS1182">
            <v>3</v>
          </cell>
          <cell r="AT1182">
            <v>3</v>
          </cell>
          <cell r="AU1182">
            <v>0</v>
          </cell>
          <cell r="AV1182">
            <v>15</v>
          </cell>
          <cell r="AW1182">
            <v>15</v>
          </cell>
          <cell r="AX1182">
            <v>4</v>
          </cell>
          <cell r="AY1182">
            <v>3</v>
          </cell>
          <cell r="AZ1182">
            <v>4</v>
          </cell>
          <cell r="BA1182">
            <v>4</v>
          </cell>
          <cell r="BB1182">
            <v>3</v>
          </cell>
          <cell r="BC1182">
            <v>1</v>
          </cell>
          <cell r="BD1182">
            <v>1</v>
          </cell>
          <cell r="BE1182">
            <v>3</v>
          </cell>
          <cell r="BF1182">
            <v>3</v>
          </cell>
          <cell r="BG1182">
            <v>3</v>
          </cell>
          <cell r="BH1182">
            <v>1</v>
          </cell>
          <cell r="BI1182">
            <v>0</v>
          </cell>
          <cell r="BJ1182">
            <v>0</v>
          </cell>
          <cell r="BK1182">
            <v>0</v>
          </cell>
          <cell r="BL1182">
            <v>1</v>
          </cell>
          <cell r="BM1182">
            <v>0</v>
          </cell>
          <cell r="BN1182">
            <v>0</v>
          </cell>
          <cell r="BO1182">
            <v>0</v>
          </cell>
          <cell r="BP1182">
            <v>0</v>
          </cell>
          <cell r="BQ1182">
            <v>3</v>
          </cell>
          <cell r="BR1182">
            <v>0</v>
          </cell>
          <cell r="BS1182">
            <v>0</v>
          </cell>
          <cell r="BT1182">
            <v>15</v>
          </cell>
          <cell r="BU1182">
            <v>0</v>
          </cell>
        </row>
        <row r="1183">
          <cell r="A1183">
            <v>49</v>
          </cell>
          <cell r="B1183">
            <v>49</v>
          </cell>
          <cell r="D1183">
            <v>0</v>
          </cell>
          <cell r="F1183">
            <v>0</v>
          </cell>
          <cell r="G1183">
            <v>1</v>
          </cell>
          <cell r="I1183">
            <v>1</v>
          </cell>
          <cell r="J1183">
            <v>0</v>
          </cell>
          <cell r="K1183">
            <v>6</v>
          </cell>
          <cell r="L1183">
            <v>6</v>
          </cell>
          <cell r="M1183">
            <v>1</v>
          </cell>
          <cell r="O1183">
            <v>1</v>
          </cell>
          <cell r="P1183">
            <v>0</v>
          </cell>
          <cell r="Q1183">
            <v>0</v>
          </cell>
          <cell r="R1183">
            <v>0</v>
          </cell>
          <cell r="S1183">
            <v>0</v>
          </cell>
          <cell r="T1183">
            <v>3</v>
          </cell>
          <cell r="V1183">
            <v>1</v>
          </cell>
          <cell r="W1183">
            <v>41</v>
          </cell>
          <cell r="X1183">
            <v>2</v>
          </cell>
          <cell r="Y1183">
            <v>4</v>
          </cell>
          <cell r="AA1183">
            <v>1</v>
          </cell>
          <cell r="AB1183">
            <v>0</v>
          </cell>
          <cell r="AC1183">
            <v>0</v>
          </cell>
          <cell r="AD1183">
            <v>0</v>
          </cell>
          <cell r="AE1183">
            <v>0</v>
          </cell>
          <cell r="AF1183">
            <v>0</v>
          </cell>
          <cell r="AG1183">
            <v>0</v>
          </cell>
          <cell r="AH1183">
            <v>0</v>
          </cell>
          <cell r="AI1183">
            <v>3</v>
          </cell>
          <cell r="AK1183">
            <v>0</v>
          </cell>
          <cell r="AL1183">
            <v>1</v>
          </cell>
          <cell r="AN1183">
            <v>13966</v>
          </cell>
          <cell r="AO1183">
            <v>2</v>
          </cell>
          <cell r="AQ1183">
            <v>1</v>
          </cell>
          <cell r="AR1183">
            <v>19</v>
          </cell>
          <cell r="AS1183">
            <v>3</v>
          </cell>
          <cell r="AT1183">
            <v>2</v>
          </cell>
          <cell r="AU1183">
            <v>1</v>
          </cell>
          <cell r="AV1183">
            <v>30</v>
          </cell>
          <cell r="AW1183">
            <v>30</v>
          </cell>
          <cell r="AX1183">
            <v>3</v>
          </cell>
          <cell r="AY1183">
            <v>3</v>
          </cell>
          <cell r="AZ1183">
            <v>15</v>
          </cell>
          <cell r="BA1183">
            <v>15</v>
          </cell>
          <cell r="BB1183">
            <v>11</v>
          </cell>
          <cell r="BC1183">
            <v>2</v>
          </cell>
          <cell r="BD1183">
            <v>2</v>
          </cell>
          <cell r="BE1183">
            <v>12</v>
          </cell>
          <cell r="BF1183">
            <v>12</v>
          </cell>
          <cell r="BG1183">
            <v>48</v>
          </cell>
          <cell r="BH1183">
            <v>0</v>
          </cell>
          <cell r="BI1183">
            <v>1</v>
          </cell>
          <cell r="BJ1183">
            <v>0</v>
          </cell>
          <cell r="BK1183">
            <v>0</v>
          </cell>
          <cell r="BL1183">
            <v>0</v>
          </cell>
          <cell r="BM1183">
            <v>0</v>
          </cell>
          <cell r="BN1183">
            <v>0</v>
          </cell>
          <cell r="BO1183">
            <v>1</v>
          </cell>
          <cell r="BP1183">
            <v>0</v>
          </cell>
          <cell r="BQ1183">
            <v>12</v>
          </cell>
          <cell r="BR1183">
            <v>0</v>
          </cell>
          <cell r="BS1183">
            <v>0</v>
          </cell>
          <cell r="BT1183">
            <v>30</v>
          </cell>
          <cell r="BU1183">
            <v>0</v>
          </cell>
        </row>
        <row r="1184">
          <cell r="A1184">
            <v>36</v>
          </cell>
          <cell r="B1184">
            <v>36</v>
          </cell>
          <cell r="D1184">
            <v>0</v>
          </cell>
          <cell r="F1184">
            <v>0</v>
          </cell>
          <cell r="G1184">
            <v>0</v>
          </cell>
          <cell r="I1184">
            <v>1</v>
          </cell>
          <cell r="J1184">
            <v>0</v>
          </cell>
          <cell r="K1184">
            <v>1</v>
          </cell>
          <cell r="L1184">
            <v>1</v>
          </cell>
          <cell r="M1184">
            <v>4</v>
          </cell>
          <cell r="O1184">
            <v>0</v>
          </cell>
          <cell r="P1184">
            <v>0</v>
          </cell>
          <cell r="Q1184">
            <v>1</v>
          </cell>
          <cell r="R1184">
            <v>0</v>
          </cell>
          <cell r="S1184">
            <v>0</v>
          </cell>
          <cell r="T1184">
            <v>4</v>
          </cell>
          <cell r="V1184">
            <v>1</v>
          </cell>
          <cell r="W1184">
            <v>33</v>
          </cell>
          <cell r="X1184">
            <v>2</v>
          </cell>
          <cell r="Y1184">
            <v>2</v>
          </cell>
          <cell r="AA1184">
            <v>0</v>
          </cell>
          <cell r="AB1184">
            <v>0</v>
          </cell>
          <cell r="AC1184">
            <v>0</v>
          </cell>
          <cell r="AD1184">
            <v>0</v>
          </cell>
          <cell r="AE1184">
            <v>1</v>
          </cell>
          <cell r="AF1184">
            <v>1</v>
          </cell>
          <cell r="AG1184">
            <v>0</v>
          </cell>
          <cell r="AH1184">
            <v>0</v>
          </cell>
          <cell r="AI1184">
            <v>3</v>
          </cell>
          <cell r="AK1184">
            <v>0</v>
          </cell>
          <cell r="AL1184">
            <v>1</v>
          </cell>
          <cell r="AN1184">
            <v>4374</v>
          </cell>
          <cell r="AO1184">
            <v>0</v>
          </cell>
          <cell r="AQ1184">
            <v>0</v>
          </cell>
          <cell r="AR1184">
            <v>15</v>
          </cell>
          <cell r="AS1184">
            <v>3</v>
          </cell>
          <cell r="AT1184">
            <v>3</v>
          </cell>
          <cell r="AU1184">
            <v>0</v>
          </cell>
          <cell r="AV1184">
            <v>4</v>
          </cell>
          <cell r="AW1184">
            <v>4</v>
          </cell>
          <cell r="AX1184">
            <v>6</v>
          </cell>
          <cell r="AY1184">
            <v>3</v>
          </cell>
          <cell r="AZ1184">
            <v>3</v>
          </cell>
          <cell r="BA1184">
            <v>3</v>
          </cell>
          <cell r="BB1184">
            <v>2</v>
          </cell>
          <cell r="BC1184">
            <v>1</v>
          </cell>
          <cell r="BD1184">
            <v>1</v>
          </cell>
          <cell r="BE1184">
            <v>2</v>
          </cell>
          <cell r="BF1184">
            <v>2</v>
          </cell>
          <cell r="BG1184">
            <v>4</v>
          </cell>
          <cell r="BH1184">
            <v>0</v>
          </cell>
          <cell r="BI1184">
            <v>1</v>
          </cell>
          <cell r="BJ1184">
            <v>0</v>
          </cell>
          <cell r="BK1184">
            <v>0</v>
          </cell>
          <cell r="BL1184">
            <v>0</v>
          </cell>
          <cell r="BM1184">
            <v>0</v>
          </cell>
          <cell r="BN1184">
            <v>1</v>
          </cell>
          <cell r="BO1184">
            <v>0</v>
          </cell>
          <cell r="BP1184">
            <v>0</v>
          </cell>
          <cell r="BQ1184">
            <v>2</v>
          </cell>
          <cell r="BR1184">
            <v>0</v>
          </cell>
          <cell r="BS1184">
            <v>0</v>
          </cell>
          <cell r="BT1184">
            <v>4</v>
          </cell>
          <cell r="BU1184">
            <v>0</v>
          </cell>
        </row>
        <row r="1185">
          <cell r="A1185">
            <v>36</v>
          </cell>
          <cell r="B1185">
            <v>36</v>
          </cell>
          <cell r="D1185">
            <v>0</v>
          </cell>
          <cell r="F1185">
            <v>0</v>
          </cell>
          <cell r="G1185">
            <v>1</v>
          </cell>
          <cell r="I1185">
            <v>1</v>
          </cell>
          <cell r="J1185">
            <v>0</v>
          </cell>
          <cell r="K1185">
            <v>3</v>
          </cell>
          <cell r="L1185">
            <v>3</v>
          </cell>
          <cell r="M1185">
            <v>2</v>
          </cell>
          <cell r="O1185">
            <v>1</v>
          </cell>
          <cell r="P1185">
            <v>0</v>
          </cell>
          <cell r="Q1185">
            <v>0</v>
          </cell>
          <cell r="R1185">
            <v>0</v>
          </cell>
          <cell r="S1185">
            <v>0</v>
          </cell>
          <cell r="T1185">
            <v>4</v>
          </cell>
          <cell r="V1185">
            <v>0</v>
          </cell>
          <cell r="W1185">
            <v>79</v>
          </cell>
          <cell r="X1185">
            <v>4</v>
          </cell>
          <cell r="Y1185">
            <v>2</v>
          </cell>
          <cell r="AA1185">
            <v>1</v>
          </cell>
          <cell r="AB1185">
            <v>0</v>
          </cell>
          <cell r="AC1185">
            <v>0</v>
          </cell>
          <cell r="AD1185">
            <v>0</v>
          </cell>
          <cell r="AE1185">
            <v>0</v>
          </cell>
          <cell r="AF1185">
            <v>0</v>
          </cell>
          <cell r="AG1185">
            <v>0</v>
          </cell>
          <cell r="AH1185">
            <v>0</v>
          </cell>
          <cell r="AI1185">
            <v>1</v>
          </cell>
          <cell r="AK1185">
            <v>0</v>
          </cell>
          <cell r="AL1185">
            <v>0</v>
          </cell>
          <cell r="AN1185">
            <v>6842</v>
          </cell>
          <cell r="AO1185">
            <v>6</v>
          </cell>
          <cell r="AQ1185">
            <v>0</v>
          </cell>
          <cell r="AR1185">
            <v>20</v>
          </cell>
          <cell r="AS1185">
            <v>4</v>
          </cell>
          <cell r="AT1185">
            <v>1</v>
          </cell>
          <cell r="AU1185">
            <v>1</v>
          </cell>
          <cell r="AV1185">
            <v>13</v>
          </cell>
          <cell r="AW1185">
            <v>13</v>
          </cell>
          <cell r="AX1185">
            <v>3</v>
          </cell>
          <cell r="AY1185">
            <v>3</v>
          </cell>
          <cell r="AZ1185">
            <v>5</v>
          </cell>
          <cell r="BA1185">
            <v>5</v>
          </cell>
          <cell r="BB1185">
            <v>4</v>
          </cell>
          <cell r="BC1185">
            <v>0</v>
          </cell>
          <cell r="BD1185">
            <v>0</v>
          </cell>
          <cell r="BE1185">
            <v>4</v>
          </cell>
          <cell r="BF1185">
            <v>4</v>
          </cell>
          <cell r="BG1185">
            <v>8</v>
          </cell>
          <cell r="BH1185">
            <v>1</v>
          </cell>
          <cell r="BI1185">
            <v>0</v>
          </cell>
          <cell r="BJ1185">
            <v>0</v>
          </cell>
          <cell r="BK1185">
            <v>0</v>
          </cell>
          <cell r="BL1185">
            <v>1</v>
          </cell>
          <cell r="BM1185">
            <v>0</v>
          </cell>
          <cell r="BN1185">
            <v>0</v>
          </cell>
          <cell r="BO1185">
            <v>0</v>
          </cell>
          <cell r="BP1185">
            <v>0</v>
          </cell>
          <cell r="BQ1185">
            <v>4</v>
          </cell>
          <cell r="BR1185">
            <v>0</v>
          </cell>
          <cell r="BS1185">
            <v>0</v>
          </cell>
          <cell r="BT1185">
            <v>13</v>
          </cell>
          <cell r="BU1185">
            <v>0</v>
          </cell>
        </row>
        <row r="1186">
          <cell r="A1186">
            <v>54</v>
          </cell>
          <cell r="B1186">
            <v>54</v>
          </cell>
          <cell r="D1186">
            <v>0</v>
          </cell>
          <cell r="F1186">
            <v>0</v>
          </cell>
          <cell r="G1186">
            <v>1</v>
          </cell>
          <cell r="I1186">
            <v>1</v>
          </cell>
          <cell r="J1186">
            <v>0</v>
          </cell>
          <cell r="K1186">
            <v>22</v>
          </cell>
          <cell r="L1186">
            <v>22</v>
          </cell>
          <cell r="M1186">
            <v>5</v>
          </cell>
          <cell r="O1186">
            <v>0</v>
          </cell>
          <cell r="P1186">
            <v>0</v>
          </cell>
          <cell r="Q1186">
            <v>1</v>
          </cell>
          <cell r="R1186">
            <v>0</v>
          </cell>
          <cell r="S1186">
            <v>0</v>
          </cell>
          <cell r="T1186">
            <v>2</v>
          </cell>
          <cell r="V1186">
            <v>1</v>
          </cell>
          <cell r="W1186">
            <v>91</v>
          </cell>
          <cell r="X1186">
            <v>3</v>
          </cell>
          <cell r="Y1186">
            <v>4</v>
          </cell>
          <cell r="AA1186">
            <v>0</v>
          </cell>
          <cell r="AB1186">
            <v>0</v>
          </cell>
          <cell r="AC1186">
            <v>0</v>
          </cell>
          <cell r="AD1186">
            <v>1</v>
          </cell>
          <cell r="AE1186">
            <v>0</v>
          </cell>
          <cell r="AF1186">
            <v>0</v>
          </cell>
          <cell r="AG1186">
            <v>0</v>
          </cell>
          <cell r="AH1186">
            <v>0</v>
          </cell>
          <cell r="AI1186">
            <v>3</v>
          </cell>
          <cell r="AK1186">
            <v>0</v>
          </cell>
          <cell r="AL1186">
            <v>1</v>
          </cell>
          <cell r="AN1186">
            <v>17426</v>
          </cell>
          <cell r="AO1186">
            <v>3</v>
          </cell>
          <cell r="AQ1186">
            <v>0</v>
          </cell>
          <cell r="AR1186">
            <v>25</v>
          </cell>
          <cell r="AS1186">
            <v>4</v>
          </cell>
          <cell r="AT1186">
            <v>3</v>
          </cell>
          <cell r="AU1186">
            <v>1</v>
          </cell>
          <cell r="AV1186">
            <v>36</v>
          </cell>
          <cell r="AW1186">
            <v>35</v>
          </cell>
          <cell r="AX1186">
            <v>6</v>
          </cell>
          <cell r="AY1186">
            <v>3</v>
          </cell>
          <cell r="AZ1186">
            <v>10</v>
          </cell>
          <cell r="BA1186">
            <v>10</v>
          </cell>
          <cell r="BB1186">
            <v>8</v>
          </cell>
          <cell r="BC1186">
            <v>4</v>
          </cell>
          <cell r="BD1186">
            <v>4</v>
          </cell>
          <cell r="BE1186">
            <v>7</v>
          </cell>
          <cell r="BF1186">
            <v>7</v>
          </cell>
          <cell r="BG1186">
            <v>28</v>
          </cell>
          <cell r="BH1186">
            <v>0</v>
          </cell>
          <cell r="BI1186">
            <v>1</v>
          </cell>
          <cell r="BJ1186">
            <v>0</v>
          </cell>
          <cell r="BK1186">
            <v>0</v>
          </cell>
          <cell r="BL1186">
            <v>0</v>
          </cell>
          <cell r="BM1186">
            <v>0</v>
          </cell>
          <cell r="BN1186">
            <v>1</v>
          </cell>
          <cell r="BO1186">
            <v>0</v>
          </cell>
          <cell r="BP1186">
            <v>0</v>
          </cell>
          <cell r="BQ1186">
            <v>7</v>
          </cell>
          <cell r="BR1186">
            <v>0</v>
          </cell>
          <cell r="BS1186">
            <v>0</v>
          </cell>
          <cell r="BT1186">
            <v>35</v>
          </cell>
          <cell r="BU1186">
            <v>0</v>
          </cell>
        </row>
        <row r="1187">
          <cell r="A1187">
            <v>43</v>
          </cell>
          <cell r="B1187">
            <v>43</v>
          </cell>
          <cell r="D1187">
            <v>0</v>
          </cell>
          <cell r="F1187">
            <v>0</v>
          </cell>
          <cell r="G1187">
            <v>1</v>
          </cell>
          <cell r="I1187">
            <v>1</v>
          </cell>
          <cell r="J1187">
            <v>0</v>
          </cell>
          <cell r="K1187">
            <v>15</v>
          </cell>
          <cell r="L1187">
            <v>15</v>
          </cell>
          <cell r="M1187">
            <v>2</v>
          </cell>
          <cell r="O1187">
            <v>1</v>
          </cell>
          <cell r="P1187">
            <v>0</v>
          </cell>
          <cell r="Q1187">
            <v>0</v>
          </cell>
          <cell r="R1187">
            <v>0</v>
          </cell>
          <cell r="S1187">
            <v>0</v>
          </cell>
          <cell r="T1187">
            <v>3</v>
          </cell>
          <cell r="V1187">
            <v>0</v>
          </cell>
          <cell r="W1187">
            <v>65</v>
          </cell>
          <cell r="X1187">
            <v>2</v>
          </cell>
          <cell r="Y1187">
            <v>4</v>
          </cell>
          <cell r="AA1187">
            <v>0</v>
          </cell>
          <cell r="AB1187">
            <v>0</v>
          </cell>
          <cell r="AC1187">
            <v>0</v>
          </cell>
          <cell r="AD1187">
            <v>0</v>
          </cell>
          <cell r="AE1187">
            <v>0</v>
          </cell>
          <cell r="AF1187">
            <v>0</v>
          </cell>
          <cell r="AG1187">
            <v>0</v>
          </cell>
          <cell r="AH1187">
            <v>0</v>
          </cell>
          <cell r="AI1187">
            <v>3</v>
          </cell>
          <cell r="AK1187">
            <v>0</v>
          </cell>
          <cell r="AL1187">
            <v>1</v>
          </cell>
          <cell r="AN1187">
            <v>17603</v>
          </cell>
          <cell r="AO1187">
            <v>1</v>
          </cell>
          <cell r="AQ1187">
            <v>0</v>
          </cell>
          <cell r="AR1187">
            <v>24</v>
          </cell>
          <cell r="AS1187">
            <v>4</v>
          </cell>
          <cell r="AT1187">
            <v>1</v>
          </cell>
          <cell r="AU1187">
            <v>1</v>
          </cell>
          <cell r="AV1187">
            <v>14</v>
          </cell>
          <cell r="AW1187">
            <v>14</v>
          </cell>
          <cell r="AX1187">
            <v>3</v>
          </cell>
          <cell r="AY1187">
            <v>3</v>
          </cell>
          <cell r="AZ1187">
            <v>14</v>
          </cell>
          <cell r="BA1187">
            <v>14</v>
          </cell>
          <cell r="BB1187">
            <v>10</v>
          </cell>
          <cell r="BC1187">
            <v>6</v>
          </cell>
          <cell r="BD1187">
            <v>6</v>
          </cell>
          <cell r="BE1187">
            <v>11</v>
          </cell>
          <cell r="BF1187">
            <v>11</v>
          </cell>
          <cell r="BG1187">
            <v>44</v>
          </cell>
          <cell r="BH1187">
            <v>0</v>
          </cell>
          <cell r="BI1187">
            <v>1</v>
          </cell>
          <cell r="BJ1187">
            <v>0</v>
          </cell>
          <cell r="BK1187">
            <v>0</v>
          </cell>
          <cell r="BL1187">
            <v>0</v>
          </cell>
          <cell r="BM1187">
            <v>0</v>
          </cell>
          <cell r="BN1187">
            <v>1</v>
          </cell>
          <cell r="BO1187">
            <v>0</v>
          </cell>
          <cell r="BP1187">
            <v>0</v>
          </cell>
          <cell r="BQ1187">
            <v>11</v>
          </cell>
          <cell r="BR1187">
            <v>0</v>
          </cell>
          <cell r="BS1187">
            <v>0</v>
          </cell>
          <cell r="BT1187">
            <v>14</v>
          </cell>
          <cell r="BU1187">
            <v>0</v>
          </cell>
        </row>
        <row r="1188">
          <cell r="A1188">
            <v>35</v>
          </cell>
          <cell r="B1188">
            <v>35</v>
          </cell>
          <cell r="D1188">
            <v>1</v>
          </cell>
          <cell r="F1188">
            <v>1</v>
          </cell>
          <cell r="G1188">
            <v>0</v>
          </cell>
          <cell r="I1188">
            <v>0</v>
          </cell>
          <cell r="J1188">
            <v>1</v>
          </cell>
          <cell r="K1188">
            <v>12</v>
          </cell>
          <cell r="L1188">
            <v>12</v>
          </cell>
          <cell r="M1188">
            <v>4</v>
          </cell>
          <cell r="O1188">
            <v>0</v>
          </cell>
          <cell r="P1188">
            <v>1</v>
          </cell>
          <cell r="Q1188">
            <v>0</v>
          </cell>
          <cell r="R1188">
            <v>0</v>
          </cell>
          <cell r="S1188">
            <v>0</v>
          </cell>
          <cell r="T1188">
            <v>4</v>
          </cell>
          <cell r="V1188">
            <v>0</v>
          </cell>
          <cell r="W1188">
            <v>36</v>
          </cell>
          <cell r="X1188">
            <v>3</v>
          </cell>
          <cell r="Y1188">
            <v>2</v>
          </cell>
          <cell r="AA1188">
            <v>0</v>
          </cell>
          <cell r="AB1188">
            <v>1</v>
          </cell>
          <cell r="AC1188">
            <v>0</v>
          </cell>
          <cell r="AD1188">
            <v>0</v>
          </cell>
          <cell r="AE1188">
            <v>0</v>
          </cell>
          <cell r="AF1188">
            <v>0</v>
          </cell>
          <cell r="AG1188">
            <v>0</v>
          </cell>
          <cell r="AH1188">
            <v>0</v>
          </cell>
          <cell r="AI1188">
            <v>4</v>
          </cell>
          <cell r="AK1188">
            <v>1</v>
          </cell>
          <cell r="AL1188">
            <v>0</v>
          </cell>
          <cell r="AN1188">
            <v>4581</v>
          </cell>
          <cell r="AO1188">
            <v>3</v>
          </cell>
          <cell r="AQ1188">
            <v>1</v>
          </cell>
          <cell r="AR1188">
            <v>24</v>
          </cell>
          <cell r="AS1188">
            <v>4</v>
          </cell>
          <cell r="AT1188">
            <v>1</v>
          </cell>
          <cell r="AU1188">
            <v>0</v>
          </cell>
          <cell r="AV1188">
            <v>13</v>
          </cell>
          <cell r="AW1188">
            <v>13</v>
          </cell>
          <cell r="AX1188">
            <v>2</v>
          </cell>
          <cell r="AY1188">
            <v>4</v>
          </cell>
          <cell r="AZ1188">
            <v>11</v>
          </cell>
          <cell r="BA1188">
            <v>11</v>
          </cell>
          <cell r="BB1188">
            <v>9</v>
          </cell>
          <cell r="BC1188">
            <v>6</v>
          </cell>
          <cell r="BD1188">
            <v>6</v>
          </cell>
          <cell r="BE1188">
            <v>7</v>
          </cell>
          <cell r="BF1188">
            <v>7</v>
          </cell>
          <cell r="BG1188">
            <v>14</v>
          </cell>
          <cell r="BH1188">
            <v>0</v>
          </cell>
          <cell r="BI1188">
            <v>0</v>
          </cell>
          <cell r="BJ1188">
            <v>1</v>
          </cell>
          <cell r="BK1188">
            <v>0</v>
          </cell>
          <cell r="BL1188">
            <v>0</v>
          </cell>
          <cell r="BM1188">
            <v>1</v>
          </cell>
          <cell r="BN1188">
            <v>0</v>
          </cell>
          <cell r="BO1188">
            <v>0</v>
          </cell>
          <cell r="BP1188">
            <v>0</v>
          </cell>
          <cell r="BQ1188">
            <v>0</v>
          </cell>
          <cell r="BR1188">
            <v>7</v>
          </cell>
          <cell r="BS1188">
            <v>0</v>
          </cell>
          <cell r="BT1188">
            <v>0</v>
          </cell>
          <cell r="BU1188">
            <v>13</v>
          </cell>
        </row>
        <row r="1189">
          <cell r="A1189">
            <v>38</v>
          </cell>
          <cell r="B1189">
            <v>38</v>
          </cell>
          <cell r="D1189">
            <v>0</v>
          </cell>
          <cell r="F1189">
            <v>1</v>
          </cell>
          <cell r="G1189">
            <v>0</v>
          </cell>
          <cell r="I1189">
            <v>1</v>
          </cell>
          <cell r="J1189">
            <v>0</v>
          </cell>
          <cell r="K1189">
            <v>1</v>
          </cell>
          <cell r="L1189">
            <v>1</v>
          </cell>
          <cell r="M1189">
            <v>3</v>
          </cell>
          <cell r="O1189">
            <v>1</v>
          </cell>
          <cell r="P1189">
            <v>0</v>
          </cell>
          <cell r="Q1189">
            <v>0</v>
          </cell>
          <cell r="R1189">
            <v>0</v>
          </cell>
          <cell r="S1189">
            <v>0</v>
          </cell>
          <cell r="T1189">
            <v>4</v>
          </cell>
          <cell r="V1189">
            <v>0</v>
          </cell>
          <cell r="W1189">
            <v>90</v>
          </cell>
          <cell r="X1189">
            <v>3</v>
          </cell>
          <cell r="Y1189">
            <v>2</v>
          </cell>
          <cell r="AA1189">
            <v>0</v>
          </cell>
          <cell r="AB1189">
            <v>0</v>
          </cell>
          <cell r="AC1189">
            <v>0</v>
          </cell>
          <cell r="AD1189">
            <v>0</v>
          </cell>
          <cell r="AE1189">
            <v>0</v>
          </cell>
          <cell r="AF1189">
            <v>0</v>
          </cell>
          <cell r="AG1189">
            <v>0</v>
          </cell>
          <cell r="AH1189">
            <v>1</v>
          </cell>
          <cell r="AI1189">
            <v>4</v>
          </cell>
          <cell r="AK1189">
            <v>0</v>
          </cell>
          <cell r="AL1189">
            <v>1</v>
          </cell>
          <cell r="AN1189">
            <v>4735</v>
          </cell>
          <cell r="AO1189">
            <v>7</v>
          </cell>
          <cell r="AQ1189">
            <v>0</v>
          </cell>
          <cell r="AR1189">
            <v>15</v>
          </cell>
          <cell r="AS1189">
            <v>3</v>
          </cell>
          <cell r="AT1189">
            <v>4</v>
          </cell>
          <cell r="AU1189">
            <v>2</v>
          </cell>
          <cell r="AV1189">
            <v>19</v>
          </cell>
          <cell r="AW1189">
            <v>19</v>
          </cell>
          <cell r="AX1189">
            <v>4</v>
          </cell>
          <cell r="AY1189">
            <v>4</v>
          </cell>
          <cell r="AZ1189">
            <v>13</v>
          </cell>
          <cell r="BA1189">
            <v>13</v>
          </cell>
          <cell r="BB1189">
            <v>11</v>
          </cell>
          <cell r="BC1189">
            <v>2</v>
          </cell>
          <cell r="BD1189">
            <v>2</v>
          </cell>
          <cell r="BE1189">
            <v>9</v>
          </cell>
          <cell r="BF1189">
            <v>9</v>
          </cell>
          <cell r="BG1189">
            <v>18</v>
          </cell>
          <cell r="BH1189">
            <v>0</v>
          </cell>
          <cell r="BI1189">
            <v>0</v>
          </cell>
          <cell r="BJ1189">
            <v>0</v>
          </cell>
          <cell r="BK1189">
            <v>1</v>
          </cell>
          <cell r="BL1189">
            <v>0</v>
          </cell>
          <cell r="BM1189">
            <v>0</v>
          </cell>
          <cell r="BN1189">
            <v>1</v>
          </cell>
          <cell r="BO1189">
            <v>0</v>
          </cell>
          <cell r="BP1189">
            <v>0</v>
          </cell>
          <cell r="BQ1189">
            <v>9</v>
          </cell>
          <cell r="BR1189">
            <v>0</v>
          </cell>
          <cell r="BS1189">
            <v>0</v>
          </cell>
          <cell r="BT1189">
            <v>19</v>
          </cell>
          <cell r="BU1189">
            <v>0</v>
          </cell>
        </row>
        <row r="1190">
          <cell r="A1190">
            <v>29</v>
          </cell>
          <cell r="B1190">
            <v>29</v>
          </cell>
          <cell r="D1190">
            <v>0</v>
          </cell>
          <cell r="F1190">
            <v>0</v>
          </cell>
          <cell r="G1190">
            <v>1</v>
          </cell>
          <cell r="I1190">
            <v>0</v>
          </cell>
          <cell r="J1190">
            <v>1</v>
          </cell>
          <cell r="K1190">
            <v>5</v>
          </cell>
          <cell r="L1190">
            <v>5</v>
          </cell>
          <cell r="M1190">
            <v>3</v>
          </cell>
          <cell r="O1190">
            <v>0</v>
          </cell>
          <cell r="P1190">
            <v>0</v>
          </cell>
          <cell r="Q1190">
            <v>1</v>
          </cell>
          <cell r="R1190">
            <v>0</v>
          </cell>
          <cell r="S1190">
            <v>0</v>
          </cell>
          <cell r="T1190">
            <v>1</v>
          </cell>
          <cell r="V1190">
            <v>0</v>
          </cell>
          <cell r="W1190">
            <v>43</v>
          </cell>
          <cell r="X1190">
            <v>2</v>
          </cell>
          <cell r="Y1190">
            <v>2</v>
          </cell>
          <cell r="AA1190">
            <v>0</v>
          </cell>
          <cell r="AB1190">
            <v>1</v>
          </cell>
          <cell r="AC1190">
            <v>0</v>
          </cell>
          <cell r="AD1190">
            <v>0</v>
          </cell>
          <cell r="AE1190">
            <v>0</v>
          </cell>
          <cell r="AF1190">
            <v>0</v>
          </cell>
          <cell r="AG1190">
            <v>0</v>
          </cell>
          <cell r="AH1190">
            <v>0</v>
          </cell>
          <cell r="AI1190">
            <v>2</v>
          </cell>
          <cell r="AK1190">
            <v>0</v>
          </cell>
          <cell r="AL1190">
            <v>0</v>
          </cell>
          <cell r="AN1190">
            <v>4187</v>
          </cell>
          <cell r="AO1190">
            <v>1</v>
          </cell>
          <cell r="AQ1190">
            <v>1</v>
          </cell>
          <cell r="AR1190">
            <v>13</v>
          </cell>
          <cell r="AS1190">
            <v>3</v>
          </cell>
          <cell r="AT1190">
            <v>2</v>
          </cell>
          <cell r="AU1190">
            <v>1</v>
          </cell>
          <cell r="AV1190">
            <v>10</v>
          </cell>
          <cell r="AW1190">
            <v>10</v>
          </cell>
          <cell r="AX1190">
            <v>3</v>
          </cell>
          <cell r="AY1190">
            <v>2</v>
          </cell>
          <cell r="AZ1190">
            <v>10</v>
          </cell>
          <cell r="BA1190">
            <v>10</v>
          </cell>
          <cell r="BB1190">
            <v>0</v>
          </cell>
          <cell r="BC1190">
            <v>0</v>
          </cell>
          <cell r="BD1190">
            <v>0</v>
          </cell>
          <cell r="BE1190">
            <v>9</v>
          </cell>
          <cell r="BF1190">
            <v>9</v>
          </cell>
          <cell r="BG1190">
            <v>18</v>
          </cell>
          <cell r="BH1190">
            <v>1</v>
          </cell>
          <cell r="BI1190">
            <v>0</v>
          </cell>
          <cell r="BJ1190">
            <v>0</v>
          </cell>
          <cell r="BK1190">
            <v>0</v>
          </cell>
          <cell r="BL1190">
            <v>0</v>
          </cell>
          <cell r="BM1190">
            <v>1</v>
          </cell>
          <cell r="BN1190">
            <v>0</v>
          </cell>
          <cell r="BO1190">
            <v>0</v>
          </cell>
          <cell r="BP1190">
            <v>0</v>
          </cell>
          <cell r="BQ1190">
            <v>0</v>
          </cell>
          <cell r="BR1190">
            <v>9</v>
          </cell>
          <cell r="BS1190">
            <v>0</v>
          </cell>
          <cell r="BT1190">
            <v>0</v>
          </cell>
          <cell r="BU1190">
            <v>10</v>
          </cell>
        </row>
        <row r="1191">
          <cell r="A1191">
            <v>33</v>
          </cell>
          <cell r="B1191">
            <v>33</v>
          </cell>
          <cell r="D1191">
            <v>0</v>
          </cell>
          <cell r="F1191">
            <v>0</v>
          </cell>
          <cell r="G1191">
            <v>1</v>
          </cell>
          <cell r="I1191">
            <v>0</v>
          </cell>
          <cell r="J1191">
            <v>1</v>
          </cell>
          <cell r="K1191">
            <v>2</v>
          </cell>
          <cell r="L1191">
            <v>2</v>
          </cell>
          <cell r="M1191">
            <v>4</v>
          </cell>
          <cell r="O1191">
            <v>0</v>
          </cell>
          <cell r="P1191">
            <v>0</v>
          </cell>
          <cell r="Q1191">
            <v>1</v>
          </cell>
          <cell r="R1191">
            <v>0</v>
          </cell>
          <cell r="S1191">
            <v>0</v>
          </cell>
          <cell r="T1191">
            <v>4</v>
          </cell>
          <cell r="V1191">
            <v>0</v>
          </cell>
          <cell r="W1191">
            <v>93</v>
          </cell>
          <cell r="X1191">
            <v>3</v>
          </cell>
          <cell r="Y1191">
            <v>2</v>
          </cell>
          <cell r="AA1191">
            <v>0</v>
          </cell>
          <cell r="AB1191">
            <v>1</v>
          </cell>
          <cell r="AC1191">
            <v>0</v>
          </cell>
          <cell r="AD1191">
            <v>0</v>
          </cell>
          <cell r="AE1191">
            <v>0</v>
          </cell>
          <cell r="AF1191">
            <v>0</v>
          </cell>
          <cell r="AG1191">
            <v>0</v>
          </cell>
          <cell r="AH1191">
            <v>0</v>
          </cell>
          <cell r="AI1191">
            <v>4</v>
          </cell>
          <cell r="AK1191">
            <v>0</v>
          </cell>
          <cell r="AL1191">
            <v>0</v>
          </cell>
          <cell r="AN1191">
            <v>5505</v>
          </cell>
          <cell r="AO1191">
            <v>1</v>
          </cell>
          <cell r="AQ1191">
            <v>0</v>
          </cell>
          <cell r="AR1191">
            <v>14</v>
          </cell>
          <cell r="AS1191">
            <v>3</v>
          </cell>
          <cell r="AT1191">
            <v>3</v>
          </cell>
          <cell r="AU1191">
            <v>2</v>
          </cell>
          <cell r="AV1191">
            <v>6</v>
          </cell>
          <cell r="AW1191">
            <v>6</v>
          </cell>
          <cell r="AX1191">
            <v>5</v>
          </cell>
          <cell r="AY1191">
            <v>3</v>
          </cell>
          <cell r="AZ1191">
            <v>6</v>
          </cell>
          <cell r="BA1191">
            <v>6</v>
          </cell>
          <cell r="BB1191">
            <v>2</v>
          </cell>
          <cell r="BC1191">
            <v>0</v>
          </cell>
          <cell r="BD1191">
            <v>0</v>
          </cell>
          <cell r="BE1191">
            <v>4</v>
          </cell>
          <cell r="BF1191">
            <v>4</v>
          </cell>
          <cell r="BG1191">
            <v>8</v>
          </cell>
          <cell r="BH1191">
            <v>1</v>
          </cell>
          <cell r="BI1191">
            <v>0</v>
          </cell>
          <cell r="BJ1191">
            <v>0</v>
          </cell>
          <cell r="BK1191">
            <v>0</v>
          </cell>
          <cell r="BL1191">
            <v>1</v>
          </cell>
          <cell r="BM1191">
            <v>0</v>
          </cell>
          <cell r="BN1191">
            <v>0</v>
          </cell>
          <cell r="BO1191">
            <v>0</v>
          </cell>
          <cell r="BP1191">
            <v>0</v>
          </cell>
          <cell r="BQ1191">
            <v>0</v>
          </cell>
          <cell r="BR1191">
            <v>4</v>
          </cell>
          <cell r="BS1191">
            <v>0</v>
          </cell>
          <cell r="BT1191">
            <v>0</v>
          </cell>
          <cell r="BU1191">
            <v>6</v>
          </cell>
        </row>
        <row r="1192">
          <cell r="A1192">
            <v>32</v>
          </cell>
          <cell r="B1192">
            <v>32</v>
          </cell>
          <cell r="D1192">
            <v>0</v>
          </cell>
          <cell r="F1192">
            <v>0</v>
          </cell>
          <cell r="G1192">
            <v>1</v>
          </cell>
          <cell r="I1192">
            <v>1</v>
          </cell>
          <cell r="J1192">
            <v>0</v>
          </cell>
          <cell r="K1192">
            <v>2</v>
          </cell>
          <cell r="L1192">
            <v>2</v>
          </cell>
          <cell r="M1192">
            <v>3</v>
          </cell>
          <cell r="O1192">
            <v>0</v>
          </cell>
          <cell r="P1192">
            <v>0</v>
          </cell>
          <cell r="Q1192">
            <v>1</v>
          </cell>
          <cell r="R1192">
            <v>0</v>
          </cell>
          <cell r="S1192">
            <v>0</v>
          </cell>
          <cell r="T1192">
            <v>4</v>
          </cell>
          <cell r="V1192">
            <v>0</v>
          </cell>
          <cell r="W1192">
            <v>45</v>
          </cell>
          <cell r="X1192">
            <v>3</v>
          </cell>
          <cell r="Y1192">
            <v>2</v>
          </cell>
          <cell r="AA1192">
            <v>0</v>
          </cell>
          <cell r="AB1192">
            <v>0</v>
          </cell>
          <cell r="AC1192">
            <v>0</v>
          </cell>
          <cell r="AD1192">
            <v>0</v>
          </cell>
          <cell r="AE1192">
            <v>0</v>
          </cell>
          <cell r="AF1192">
            <v>0</v>
          </cell>
          <cell r="AG1192">
            <v>0</v>
          </cell>
          <cell r="AH1192">
            <v>1</v>
          </cell>
          <cell r="AI1192">
            <v>2</v>
          </cell>
          <cell r="AK1192">
            <v>0</v>
          </cell>
          <cell r="AL1192">
            <v>0</v>
          </cell>
          <cell r="AN1192">
            <v>5470</v>
          </cell>
          <cell r="AO1192">
            <v>0</v>
          </cell>
          <cell r="AQ1192">
            <v>0</v>
          </cell>
          <cell r="AR1192">
            <v>13</v>
          </cell>
          <cell r="AS1192">
            <v>3</v>
          </cell>
          <cell r="AT1192">
            <v>3</v>
          </cell>
          <cell r="AU1192">
            <v>2</v>
          </cell>
          <cell r="AV1192">
            <v>10</v>
          </cell>
          <cell r="AW1192">
            <v>10</v>
          </cell>
          <cell r="AX1192">
            <v>4</v>
          </cell>
          <cell r="AY1192">
            <v>2</v>
          </cell>
          <cell r="AZ1192">
            <v>9</v>
          </cell>
          <cell r="BA1192">
            <v>9</v>
          </cell>
          <cell r="BB1192">
            <v>5</v>
          </cell>
          <cell r="BC1192">
            <v>1</v>
          </cell>
          <cell r="BD1192">
            <v>1</v>
          </cell>
          <cell r="BE1192">
            <v>6</v>
          </cell>
          <cell r="BF1192">
            <v>6</v>
          </cell>
          <cell r="BG1192">
            <v>12</v>
          </cell>
          <cell r="BH1192">
            <v>1</v>
          </cell>
          <cell r="BI1192">
            <v>0</v>
          </cell>
          <cell r="BJ1192">
            <v>0</v>
          </cell>
          <cell r="BK1192">
            <v>0</v>
          </cell>
          <cell r="BL1192">
            <v>1</v>
          </cell>
          <cell r="BM1192">
            <v>0</v>
          </cell>
          <cell r="BN1192">
            <v>0</v>
          </cell>
          <cell r="BO1192">
            <v>0</v>
          </cell>
          <cell r="BP1192">
            <v>0</v>
          </cell>
          <cell r="BQ1192">
            <v>6</v>
          </cell>
          <cell r="BR1192">
            <v>0</v>
          </cell>
          <cell r="BS1192">
            <v>0</v>
          </cell>
          <cell r="BT1192">
            <v>10</v>
          </cell>
          <cell r="BU1192">
            <v>0</v>
          </cell>
        </row>
        <row r="1193">
          <cell r="A1193">
            <v>31</v>
          </cell>
          <cell r="B1193">
            <v>31</v>
          </cell>
          <cell r="D1193">
            <v>0</v>
          </cell>
          <cell r="F1193">
            <v>0</v>
          </cell>
          <cell r="G1193">
            <v>1</v>
          </cell>
          <cell r="I1193">
            <v>0</v>
          </cell>
          <cell r="J1193">
            <v>1</v>
          </cell>
          <cell r="K1193">
            <v>5</v>
          </cell>
          <cell r="L1193">
            <v>5</v>
          </cell>
          <cell r="M1193">
            <v>4</v>
          </cell>
          <cell r="O1193">
            <v>1</v>
          </cell>
          <cell r="P1193">
            <v>0</v>
          </cell>
          <cell r="Q1193">
            <v>0</v>
          </cell>
          <cell r="R1193">
            <v>0</v>
          </cell>
          <cell r="S1193">
            <v>0</v>
          </cell>
          <cell r="T1193">
            <v>1</v>
          </cell>
          <cell r="V1193">
            <v>1</v>
          </cell>
          <cell r="W1193">
            <v>67</v>
          </cell>
          <cell r="X1193">
            <v>3</v>
          </cell>
          <cell r="Y1193">
            <v>2</v>
          </cell>
          <cell r="AA1193">
            <v>0</v>
          </cell>
          <cell r="AB1193">
            <v>1</v>
          </cell>
          <cell r="AC1193">
            <v>0</v>
          </cell>
          <cell r="AD1193">
            <v>0</v>
          </cell>
          <cell r="AE1193">
            <v>0</v>
          </cell>
          <cell r="AF1193">
            <v>0</v>
          </cell>
          <cell r="AG1193">
            <v>0</v>
          </cell>
          <cell r="AH1193">
            <v>0</v>
          </cell>
          <cell r="AI1193">
            <v>4</v>
          </cell>
          <cell r="AK1193">
            <v>0</v>
          </cell>
          <cell r="AL1193">
            <v>1</v>
          </cell>
          <cell r="AN1193">
            <v>5476</v>
          </cell>
          <cell r="AO1193">
            <v>1</v>
          </cell>
          <cell r="AQ1193">
            <v>0</v>
          </cell>
          <cell r="AR1193">
            <v>11</v>
          </cell>
          <cell r="AS1193">
            <v>3</v>
          </cell>
          <cell r="AT1193">
            <v>1</v>
          </cell>
          <cell r="AU1193">
            <v>2</v>
          </cell>
          <cell r="AV1193">
            <v>10</v>
          </cell>
          <cell r="AW1193">
            <v>10</v>
          </cell>
          <cell r="AX1193">
            <v>2</v>
          </cell>
          <cell r="AY1193">
            <v>3</v>
          </cell>
          <cell r="AZ1193">
            <v>10</v>
          </cell>
          <cell r="BA1193">
            <v>10</v>
          </cell>
          <cell r="BB1193">
            <v>0</v>
          </cell>
          <cell r="BC1193">
            <v>0</v>
          </cell>
          <cell r="BD1193">
            <v>0</v>
          </cell>
          <cell r="BE1193">
            <v>2</v>
          </cell>
          <cell r="BF1193">
            <v>2</v>
          </cell>
          <cell r="BG1193">
            <v>4</v>
          </cell>
          <cell r="BH1193">
            <v>0</v>
          </cell>
          <cell r="BI1193">
            <v>1</v>
          </cell>
          <cell r="BJ1193">
            <v>0</v>
          </cell>
          <cell r="BK1193">
            <v>0</v>
          </cell>
          <cell r="BL1193">
            <v>0</v>
          </cell>
          <cell r="BM1193">
            <v>0</v>
          </cell>
          <cell r="BN1193">
            <v>1</v>
          </cell>
          <cell r="BO1193">
            <v>0</v>
          </cell>
          <cell r="BP1193">
            <v>0</v>
          </cell>
          <cell r="BQ1193">
            <v>0</v>
          </cell>
          <cell r="BR1193">
            <v>2</v>
          </cell>
          <cell r="BS1193">
            <v>0</v>
          </cell>
          <cell r="BT1193">
            <v>0</v>
          </cell>
          <cell r="BU1193">
            <v>10</v>
          </cell>
        </row>
        <row r="1194">
          <cell r="A1194">
            <v>49</v>
          </cell>
          <cell r="B1194">
            <v>49</v>
          </cell>
          <cell r="D1194">
            <v>0</v>
          </cell>
          <cell r="F1194">
            <v>0</v>
          </cell>
          <cell r="G1194">
            <v>1</v>
          </cell>
          <cell r="I1194">
            <v>1</v>
          </cell>
          <cell r="J1194">
            <v>0</v>
          </cell>
          <cell r="K1194">
            <v>16</v>
          </cell>
          <cell r="L1194">
            <v>16</v>
          </cell>
          <cell r="M1194">
            <v>3</v>
          </cell>
          <cell r="O1194">
            <v>0</v>
          </cell>
          <cell r="P1194">
            <v>0</v>
          </cell>
          <cell r="Q1194">
            <v>1</v>
          </cell>
          <cell r="R1194">
            <v>0</v>
          </cell>
          <cell r="S1194">
            <v>0</v>
          </cell>
          <cell r="T1194">
            <v>4</v>
          </cell>
          <cell r="V1194">
            <v>1</v>
          </cell>
          <cell r="W1194">
            <v>74</v>
          </cell>
          <cell r="X1194">
            <v>3</v>
          </cell>
          <cell r="Y1194">
            <v>1</v>
          </cell>
          <cell r="AA1194">
            <v>0</v>
          </cell>
          <cell r="AB1194">
            <v>0</v>
          </cell>
          <cell r="AC1194">
            <v>1</v>
          </cell>
          <cell r="AD1194">
            <v>0</v>
          </cell>
          <cell r="AE1194">
            <v>0</v>
          </cell>
          <cell r="AF1194">
            <v>0</v>
          </cell>
          <cell r="AG1194">
            <v>0</v>
          </cell>
          <cell r="AH1194">
            <v>0</v>
          </cell>
          <cell r="AI1194">
            <v>1</v>
          </cell>
          <cell r="AK1194">
            <v>0</v>
          </cell>
          <cell r="AL1194">
            <v>0</v>
          </cell>
          <cell r="AN1194">
            <v>2587</v>
          </cell>
          <cell r="AO1194">
            <v>4</v>
          </cell>
          <cell r="AQ1194">
            <v>1</v>
          </cell>
          <cell r="AR1194">
            <v>16</v>
          </cell>
          <cell r="AS1194">
            <v>3</v>
          </cell>
          <cell r="AT1194">
            <v>2</v>
          </cell>
          <cell r="AU1194">
            <v>1</v>
          </cell>
          <cell r="AV1194">
            <v>17</v>
          </cell>
          <cell r="AW1194">
            <v>17</v>
          </cell>
          <cell r="AX1194">
            <v>2</v>
          </cell>
          <cell r="AY1194">
            <v>2</v>
          </cell>
          <cell r="AZ1194">
            <v>2</v>
          </cell>
          <cell r="BA1194">
            <v>2</v>
          </cell>
          <cell r="BB1194">
            <v>2</v>
          </cell>
          <cell r="BC1194">
            <v>2</v>
          </cell>
          <cell r="BD1194">
            <v>2</v>
          </cell>
          <cell r="BE1194">
            <v>2</v>
          </cell>
          <cell r="BF1194">
            <v>2</v>
          </cell>
          <cell r="BG1194">
            <v>2</v>
          </cell>
          <cell r="BH1194">
            <v>1</v>
          </cell>
          <cell r="BI1194">
            <v>0</v>
          </cell>
          <cell r="BJ1194">
            <v>0</v>
          </cell>
          <cell r="BK1194">
            <v>0</v>
          </cell>
          <cell r="BL1194">
            <v>0</v>
          </cell>
          <cell r="BM1194">
            <v>1</v>
          </cell>
          <cell r="BN1194">
            <v>0</v>
          </cell>
          <cell r="BO1194">
            <v>0</v>
          </cell>
          <cell r="BP1194">
            <v>0</v>
          </cell>
          <cell r="BQ1194">
            <v>2</v>
          </cell>
          <cell r="BR1194">
            <v>0</v>
          </cell>
          <cell r="BS1194">
            <v>0</v>
          </cell>
          <cell r="BT1194">
            <v>17</v>
          </cell>
          <cell r="BU1194">
            <v>0</v>
          </cell>
        </row>
        <row r="1195">
          <cell r="A1195">
            <v>38</v>
          </cell>
          <cell r="B1195">
            <v>38</v>
          </cell>
          <cell r="D1195">
            <v>0</v>
          </cell>
          <cell r="F1195">
            <v>1</v>
          </cell>
          <cell r="G1195">
            <v>0</v>
          </cell>
          <cell r="I1195">
            <v>1</v>
          </cell>
          <cell r="J1195">
            <v>0</v>
          </cell>
          <cell r="K1195">
            <v>2</v>
          </cell>
          <cell r="L1195">
            <v>2</v>
          </cell>
          <cell r="M1195">
            <v>3</v>
          </cell>
          <cell r="O1195">
            <v>0</v>
          </cell>
          <cell r="P1195">
            <v>0</v>
          </cell>
          <cell r="Q1195">
            <v>1</v>
          </cell>
          <cell r="R1195">
            <v>0</v>
          </cell>
          <cell r="S1195">
            <v>0</v>
          </cell>
          <cell r="T1195">
            <v>4</v>
          </cell>
          <cell r="V1195">
            <v>1</v>
          </cell>
          <cell r="W1195">
            <v>42</v>
          </cell>
          <cell r="X1195">
            <v>2</v>
          </cell>
          <cell r="Y1195">
            <v>1</v>
          </cell>
          <cell r="AA1195">
            <v>0</v>
          </cell>
          <cell r="AB1195">
            <v>0</v>
          </cell>
          <cell r="AC1195">
            <v>1</v>
          </cell>
          <cell r="AD1195">
            <v>0</v>
          </cell>
          <cell r="AE1195">
            <v>0</v>
          </cell>
          <cell r="AF1195">
            <v>0</v>
          </cell>
          <cell r="AG1195">
            <v>0</v>
          </cell>
          <cell r="AH1195">
            <v>0</v>
          </cell>
          <cell r="AI1195">
            <v>2</v>
          </cell>
          <cell r="AK1195">
            <v>1</v>
          </cell>
          <cell r="AL1195">
            <v>0</v>
          </cell>
          <cell r="AN1195">
            <v>2440</v>
          </cell>
          <cell r="AO1195">
            <v>1</v>
          </cell>
          <cell r="AQ1195">
            <v>0</v>
          </cell>
          <cell r="AR1195">
            <v>22</v>
          </cell>
          <cell r="AS1195">
            <v>4</v>
          </cell>
          <cell r="AT1195">
            <v>2</v>
          </cell>
          <cell r="AU1195">
            <v>0</v>
          </cell>
          <cell r="AV1195">
            <v>4</v>
          </cell>
          <cell r="AW1195">
            <v>4</v>
          </cell>
          <cell r="AX1195">
            <v>3</v>
          </cell>
          <cell r="AY1195">
            <v>3</v>
          </cell>
          <cell r="AZ1195">
            <v>4</v>
          </cell>
          <cell r="BA1195">
            <v>4</v>
          </cell>
          <cell r="BB1195">
            <v>3</v>
          </cell>
          <cell r="BC1195">
            <v>3</v>
          </cell>
          <cell r="BD1195">
            <v>3</v>
          </cell>
          <cell r="BE1195">
            <v>3</v>
          </cell>
          <cell r="BF1195">
            <v>3</v>
          </cell>
          <cell r="BG1195">
            <v>3</v>
          </cell>
          <cell r="BH1195">
            <v>0</v>
          </cell>
          <cell r="BI1195">
            <v>0</v>
          </cell>
          <cell r="BJ1195">
            <v>1</v>
          </cell>
          <cell r="BK1195">
            <v>0</v>
          </cell>
          <cell r="BL1195">
            <v>1</v>
          </cell>
          <cell r="BM1195">
            <v>0</v>
          </cell>
          <cell r="BN1195">
            <v>0</v>
          </cell>
          <cell r="BO1195">
            <v>0</v>
          </cell>
          <cell r="BP1195">
            <v>0</v>
          </cell>
          <cell r="BQ1195">
            <v>3</v>
          </cell>
          <cell r="BR1195">
            <v>0</v>
          </cell>
          <cell r="BS1195">
            <v>0</v>
          </cell>
          <cell r="BT1195">
            <v>4</v>
          </cell>
          <cell r="BU1195">
            <v>0</v>
          </cell>
        </row>
        <row r="1196">
          <cell r="A1196">
            <v>47</v>
          </cell>
          <cell r="B1196">
            <v>47</v>
          </cell>
          <cell r="D1196">
            <v>0</v>
          </cell>
          <cell r="F1196">
            <v>0</v>
          </cell>
          <cell r="G1196">
            <v>1</v>
          </cell>
          <cell r="I1196">
            <v>0</v>
          </cell>
          <cell r="J1196">
            <v>1</v>
          </cell>
          <cell r="K1196">
            <v>2</v>
          </cell>
          <cell r="L1196">
            <v>2</v>
          </cell>
          <cell r="M1196">
            <v>4</v>
          </cell>
          <cell r="O1196">
            <v>1</v>
          </cell>
          <cell r="P1196">
            <v>0</v>
          </cell>
          <cell r="Q1196">
            <v>0</v>
          </cell>
          <cell r="R1196">
            <v>0</v>
          </cell>
          <cell r="S1196">
            <v>0</v>
          </cell>
          <cell r="T1196">
            <v>2</v>
          </cell>
          <cell r="V1196">
            <v>1</v>
          </cell>
          <cell r="W1196">
            <v>47</v>
          </cell>
          <cell r="X1196">
            <v>4</v>
          </cell>
          <cell r="Y1196">
            <v>4</v>
          </cell>
          <cell r="AA1196">
            <v>0</v>
          </cell>
          <cell r="AB1196">
            <v>0</v>
          </cell>
          <cell r="AC1196">
            <v>0</v>
          </cell>
          <cell r="AD1196">
            <v>1</v>
          </cell>
          <cell r="AE1196">
            <v>0</v>
          </cell>
          <cell r="AF1196">
            <v>0</v>
          </cell>
          <cell r="AG1196">
            <v>0</v>
          </cell>
          <cell r="AH1196">
            <v>0</v>
          </cell>
          <cell r="AI1196">
            <v>2</v>
          </cell>
          <cell r="AK1196">
            <v>0</v>
          </cell>
          <cell r="AL1196">
            <v>0</v>
          </cell>
          <cell r="AN1196">
            <v>15972</v>
          </cell>
          <cell r="AO1196">
            <v>6</v>
          </cell>
          <cell r="AQ1196">
            <v>0</v>
          </cell>
          <cell r="AR1196">
            <v>14</v>
          </cell>
          <cell r="AS1196">
            <v>3</v>
          </cell>
          <cell r="AT1196">
            <v>3</v>
          </cell>
          <cell r="AU1196">
            <v>3</v>
          </cell>
          <cell r="AV1196">
            <v>29</v>
          </cell>
          <cell r="AW1196">
            <v>29</v>
          </cell>
          <cell r="AX1196">
            <v>2</v>
          </cell>
          <cell r="AY1196">
            <v>3</v>
          </cell>
          <cell r="AZ1196">
            <v>3</v>
          </cell>
          <cell r="BA1196">
            <v>3</v>
          </cell>
          <cell r="BB1196">
            <v>2</v>
          </cell>
          <cell r="BC1196">
            <v>1</v>
          </cell>
          <cell r="BD1196">
            <v>1</v>
          </cell>
          <cell r="BE1196">
            <v>2</v>
          </cell>
          <cell r="BF1196">
            <v>2</v>
          </cell>
          <cell r="BG1196">
            <v>8</v>
          </cell>
          <cell r="BH1196">
            <v>1</v>
          </cell>
          <cell r="BI1196">
            <v>0</v>
          </cell>
          <cell r="BJ1196">
            <v>0</v>
          </cell>
          <cell r="BK1196">
            <v>0</v>
          </cell>
          <cell r="BL1196">
            <v>1</v>
          </cell>
          <cell r="BM1196">
            <v>0</v>
          </cell>
          <cell r="BN1196">
            <v>0</v>
          </cell>
          <cell r="BO1196">
            <v>0</v>
          </cell>
          <cell r="BP1196">
            <v>0</v>
          </cell>
          <cell r="BQ1196">
            <v>0</v>
          </cell>
          <cell r="BR1196">
            <v>2</v>
          </cell>
          <cell r="BS1196">
            <v>0</v>
          </cell>
          <cell r="BT1196">
            <v>0</v>
          </cell>
          <cell r="BU1196">
            <v>29</v>
          </cell>
        </row>
        <row r="1197">
          <cell r="A1197">
            <v>49</v>
          </cell>
          <cell r="B1197">
            <v>49</v>
          </cell>
          <cell r="D1197">
            <v>0</v>
          </cell>
          <cell r="F1197">
            <v>0</v>
          </cell>
          <cell r="G1197">
            <v>1</v>
          </cell>
          <cell r="I1197">
            <v>1</v>
          </cell>
          <cell r="J1197">
            <v>0</v>
          </cell>
          <cell r="K1197">
            <v>1</v>
          </cell>
          <cell r="L1197">
            <v>1</v>
          </cell>
          <cell r="M1197">
            <v>3</v>
          </cell>
          <cell r="O1197">
            <v>1</v>
          </cell>
          <cell r="P1197">
            <v>0</v>
          </cell>
          <cell r="Q1197">
            <v>0</v>
          </cell>
          <cell r="R1197">
            <v>0</v>
          </cell>
          <cell r="S1197">
            <v>0</v>
          </cell>
          <cell r="T1197">
            <v>3</v>
          </cell>
          <cell r="V1197">
            <v>0</v>
          </cell>
          <cell r="W1197">
            <v>36</v>
          </cell>
          <cell r="X1197">
            <v>3</v>
          </cell>
          <cell r="Y1197">
            <v>4</v>
          </cell>
          <cell r="AA1197">
            <v>0</v>
          </cell>
          <cell r="AB1197">
            <v>0</v>
          </cell>
          <cell r="AC1197">
            <v>0</v>
          </cell>
          <cell r="AD1197">
            <v>1</v>
          </cell>
          <cell r="AE1197">
            <v>0</v>
          </cell>
          <cell r="AF1197">
            <v>0</v>
          </cell>
          <cell r="AG1197">
            <v>0</v>
          </cell>
          <cell r="AH1197">
            <v>0</v>
          </cell>
          <cell r="AI1197">
            <v>3</v>
          </cell>
          <cell r="AK1197">
            <v>1</v>
          </cell>
          <cell r="AL1197">
            <v>0</v>
          </cell>
          <cell r="AN1197">
            <v>15379</v>
          </cell>
          <cell r="AO1197">
            <v>4</v>
          </cell>
          <cell r="AQ1197">
            <v>0</v>
          </cell>
          <cell r="AR1197">
            <v>14</v>
          </cell>
          <cell r="AS1197">
            <v>3</v>
          </cell>
          <cell r="AT1197">
            <v>1</v>
          </cell>
          <cell r="AU1197">
            <v>0</v>
          </cell>
          <cell r="AV1197">
            <v>23</v>
          </cell>
          <cell r="AW1197">
            <v>23</v>
          </cell>
          <cell r="AX1197">
            <v>2</v>
          </cell>
          <cell r="AY1197">
            <v>3</v>
          </cell>
          <cell r="AZ1197">
            <v>8</v>
          </cell>
          <cell r="BA1197">
            <v>8</v>
          </cell>
          <cell r="BB1197">
            <v>7</v>
          </cell>
          <cell r="BC1197">
            <v>0</v>
          </cell>
          <cell r="BD1197">
            <v>0</v>
          </cell>
          <cell r="BE1197">
            <v>0</v>
          </cell>
          <cell r="BF1197">
            <v>0</v>
          </cell>
          <cell r="BG1197">
            <v>0</v>
          </cell>
          <cell r="BH1197">
            <v>1</v>
          </cell>
          <cell r="BI1197">
            <v>0</v>
          </cell>
          <cell r="BJ1197">
            <v>0</v>
          </cell>
          <cell r="BK1197">
            <v>0</v>
          </cell>
          <cell r="BL1197">
            <v>1</v>
          </cell>
          <cell r="BM1197">
            <v>0</v>
          </cell>
          <cell r="BN1197">
            <v>0</v>
          </cell>
          <cell r="BO1197">
            <v>0</v>
          </cell>
          <cell r="BP1197">
            <v>0</v>
          </cell>
          <cell r="BQ1197">
            <v>0</v>
          </cell>
          <cell r="BR1197">
            <v>0</v>
          </cell>
          <cell r="BS1197">
            <v>0</v>
          </cell>
          <cell r="BT1197">
            <v>23</v>
          </cell>
          <cell r="BU1197">
            <v>0</v>
          </cell>
        </row>
        <row r="1198">
          <cell r="A1198">
            <v>41</v>
          </cell>
          <cell r="B1198">
            <v>41</v>
          </cell>
          <cell r="D1198">
            <v>0</v>
          </cell>
          <cell r="F1198">
            <v>0</v>
          </cell>
          <cell r="G1198">
            <v>1</v>
          </cell>
          <cell r="I1198">
            <v>0</v>
          </cell>
          <cell r="J1198">
            <v>1</v>
          </cell>
          <cell r="K1198">
            <v>23</v>
          </cell>
          <cell r="L1198">
            <v>23</v>
          </cell>
          <cell r="M1198">
            <v>2</v>
          </cell>
          <cell r="O1198">
            <v>1</v>
          </cell>
          <cell r="P1198">
            <v>0</v>
          </cell>
          <cell r="Q1198">
            <v>0</v>
          </cell>
          <cell r="R1198">
            <v>0</v>
          </cell>
          <cell r="S1198">
            <v>0</v>
          </cell>
          <cell r="T1198">
            <v>4</v>
          </cell>
          <cell r="V1198">
            <v>0</v>
          </cell>
          <cell r="W1198">
            <v>80</v>
          </cell>
          <cell r="X1198">
            <v>3</v>
          </cell>
          <cell r="Y1198">
            <v>3</v>
          </cell>
          <cell r="AA1198">
            <v>0</v>
          </cell>
          <cell r="AB1198">
            <v>1</v>
          </cell>
          <cell r="AC1198">
            <v>0</v>
          </cell>
          <cell r="AD1198">
            <v>0</v>
          </cell>
          <cell r="AE1198">
            <v>0</v>
          </cell>
          <cell r="AF1198">
            <v>0</v>
          </cell>
          <cell r="AG1198">
            <v>0</v>
          </cell>
          <cell r="AH1198">
            <v>0</v>
          </cell>
          <cell r="AI1198">
            <v>3</v>
          </cell>
          <cell r="AK1198">
            <v>1</v>
          </cell>
          <cell r="AL1198">
            <v>0</v>
          </cell>
          <cell r="AN1198">
            <v>7082</v>
          </cell>
          <cell r="AO1198">
            <v>3</v>
          </cell>
          <cell r="AQ1198">
            <v>1</v>
          </cell>
          <cell r="AR1198">
            <v>16</v>
          </cell>
          <cell r="AS1198">
            <v>3</v>
          </cell>
          <cell r="AT1198">
            <v>4</v>
          </cell>
          <cell r="AU1198">
            <v>0</v>
          </cell>
          <cell r="AV1198">
            <v>21</v>
          </cell>
          <cell r="AW1198">
            <v>21</v>
          </cell>
          <cell r="AX1198">
            <v>2</v>
          </cell>
          <cell r="AY1198">
            <v>3</v>
          </cell>
          <cell r="AZ1198">
            <v>2</v>
          </cell>
          <cell r="BA1198">
            <v>2</v>
          </cell>
          <cell r="BB1198">
            <v>0</v>
          </cell>
          <cell r="BC1198">
            <v>0</v>
          </cell>
          <cell r="BD1198">
            <v>0</v>
          </cell>
          <cell r="BE1198">
            <v>2</v>
          </cell>
          <cell r="BF1198">
            <v>2</v>
          </cell>
          <cell r="BG1198">
            <v>6</v>
          </cell>
          <cell r="BH1198">
            <v>1</v>
          </cell>
          <cell r="BI1198">
            <v>0</v>
          </cell>
          <cell r="BJ1198">
            <v>0</v>
          </cell>
          <cell r="BK1198">
            <v>0</v>
          </cell>
          <cell r="BL1198">
            <v>0</v>
          </cell>
          <cell r="BM1198">
            <v>1</v>
          </cell>
          <cell r="BN1198">
            <v>0</v>
          </cell>
          <cell r="BO1198">
            <v>0</v>
          </cell>
          <cell r="BP1198">
            <v>0</v>
          </cell>
          <cell r="BQ1198">
            <v>0</v>
          </cell>
          <cell r="BR1198">
            <v>2</v>
          </cell>
          <cell r="BS1198">
            <v>0</v>
          </cell>
          <cell r="BT1198">
            <v>0</v>
          </cell>
          <cell r="BU1198">
            <v>21</v>
          </cell>
        </row>
        <row r="1199">
          <cell r="A1199">
            <v>20</v>
          </cell>
          <cell r="B1199">
            <v>20</v>
          </cell>
          <cell r="D1199">
            <v>0</v>
          </cell>
          <cell r="F1199">
            <v>0</v>
          </cell>
          <cell r="G1199">
            <v>1</v>
          </cell>
          <cell r="I1199">
            <v>0</v>
          </cell>
          <cell r="J1199">
            <v>1</v>
          </cell>
          <cell r="K1199">
            <v>9</v>
          </cell>
          <cell r="L1199">
            <v>9</v>
          </cell>
          <cell r="M1199">
            <v>1</v>
          </cell>
          <cell r="O1199">
            <v>1</v>
          </cell>
          <cell r="P1199">
            <v>0</v>
          </cell>
          <cell r="Q1199">
            <v>0</v>
          </cell>
          <cell r="R1199">
            <v>0</v>
          </cell>
          <cell r="S1199">
            <v>0</v>
          </cell>
          <cell r="T1199">
            <v>4</v>
          </cell>
          <cell r="V1199">
            <v>0</v>
          </cell>
          <cell r="W1199">
            <v>54</v>
          </cell>
          <cell r="X1199">
            <v>3</v>
          </cell>
          <cell r="Y1199">
            <v>1</v>
          </cell>
          <cell r="AA1199">
            <v>0</v>
          </cell>
          <cell r="AB1199">
            <v>0</v>
          </cell>
          <cell r="AC1199">
            <v>0</v>
          </cell>
          <cell r="AD1199">
            <v>0</v>
          </cell>
          <cell r="AE1199">
            <v>0</v>
          </cell>
          <cell r="AF1199">
            <v>0</v>
          </cell>
          <cell r="AG1199">
            <v>1</v>
          </cell>
          <cell r="AH1199">
            <v>0</v>
          </cell>
          <cell r="AI1199">
            <v>1</v>
          </cell>
          <cell r="AK1199">
            <v>1</v>
          </cell>
          <cell r="AL1199">
            <v>0</v>
          </cell>
          <cell r="AN1199">
            <v>2728</v>
          </cell>
          <cell r="AO1199">
            <v>1</v>
          </cell>
          <cell r="AQ1199">
            <v>0</v>
          </cell>
          <cell r="AR1199">
            <v>11</v>
          </cell>
          <cell r="AS1199">
            <v>3</v>
          </cell>
          <cell r="AT1199">
            <v>1</v>
          </cell>
          <cell r="AU1199">
            <v>0</v>
          </cell>
          <cell r="AV1199">
            <v>2</v>
          </cell>
          <cell r="AW1199">
            <v>2</v>
          </cell>
          <cell r="AX1199">
            <v>3</v>
          </cell>
          <cell r="AY1199">
            <v>3</v>
          </cell>
          <cell r="AZ1199">
            <v>2</v>
          </cell>
          <cell r="BA1199">
            <v>2</v>
          </cell>
          <cell r="BB1199">
            <v>2</v>
          </cell>
          <cell r="BC1199">
            <v>0</v>
          </cell>
          <cell r="BD1199">
            <v>0</v>
          </cell>
          <cell r="BE1199">
            <v>2</v>
          </cell>
          <cell r="BF1199">
            <v>2</v>
          </cell>
          <cell r="BG1199">
            <v>2</v>
          </cell>
          <cell r="BH1199">
            <v>1</v>
          </cell>
          <cell r="BI1199">
            <v>0</v>
          </cell>
          <cell r="BJ1199">
            <v>0</v>
          </cell>
          <cell r="BK1199">
            <v>0</v>
          </cell>
          <cell r="BL1199">
            <v>1</v>
          </cell>
          <cell r="BM1199">
            <v>0</v>
          </cell>
          <cell r="BN1199">
            <v>0</v>
          </cell>
          <cell r="BO1199">
            <v>0</v>
          </cell>
          <cell r="BP1199">
            <v>0</v>
          </cell>
          <cell r="BQ1199">
            <v>0</v>
          </cell>
          <cell r="BR1199">
            <v>2</v>
          </cell>
          <cell r="BS1199">
            <v>0</v>
          </cell>
          <cell r="BT1199">
            <v>0</v>
          </cell>
          <cell r="BU1199">
            <v>2</v>
          </cell>
        </row>
        <row r="1200">
          <cell r="A1200">
            <v>33</v>
          </cell>
          <cell r="B1200">
            <v>33</v>
          </cell>
          <cell r="D1200">
            <v>0</v>
          </cell>
          <cell r="F1200">
            <v>0</v>
          </cell>
          <cell r="G1200">
            <v>0</v>
          </cell>
          <cell r="I1200">
            <v>0</v>
          </cell>
          <cell r="J1200">
            <v>1</v>
          </cell>
          <cell r="K1200">
            <v>16</v>
          </cell>
          <cell r="L1200">
            <v>16</v>
          </cell>
          <cell r="M1200">
            <v>3</v>
          </cell>
          <cell r="O1200">
            <v>1</v>
          </cell>
          <cell r="P1200">
            <v>0</v>
          </cell>
          <cell r="Q1200">
            <v>0</v>
          </cell>
          <cell r="R1200">
            <v>0</v>
          </cell>
          <cell r="S1200">
            <v>0</v>
          </cell>
          <cell r="T1200">
            <v>3</v>
          </cell>
          <cell r="V1200">
            <v>1</v>
          </cell>
          <cell r="W1200">
            <v>36</v>
          </cell>
          <cell r="X1200">
            <v>3</v>
          </cell>
          <cell r="Y1200">
            <v>2</v>
          </cell>
          <cell r="AA1200">
            <v>0</v>
          </cell>
          <cell r="AB1200">
            <v>1</v>
          </cell>
          <cell r="AC1200">
            <v>0</v>
          </cell>
          <cell r="AD1200">
            <v>0</v>
          </cell>
          <cell r="AE1200">
            <v>0</v>
          </cell>
          <cell r="AF1200">
            <v>0</v>
          </cell>
          <cell r="AG1200">
            <v>0</v>
          </cell>
          <cell r="AH1200">
            <v>0</v>
          </cell>
          <cell r="AI1200">
            <v>4</v>
          </cell>
          <cell r="AK1200">
            <v>0</v>
          </cell>
          <cell r="AL1200">
            <v>0</v>
          </cell>
          <cell r="AN1200">
            <v>5368</v>
          </cell>
          <cell r="AO1200">
            <v>1</v>
          </cell>
          <cell r="AQ1200">
            <v>1</v>
          </cell>
          <cell r="AR1200">
            <v>25</v>
          </cell>
          <cell r="AS1200">
            <v>4</v>
          </cell>
          <cell r="AT1200">
            <v>3</v>
          </cell>
          <cell r="AU1200">
            <v>1</v>
          </cell>
          <cell r="AV1200">
            <v>7</v>
          </cell>
          <cell r="AW1200">
            <v>7</v>
          </cell>
          <cell r="AX1200">
            <v>2</v>
          </cell>
          <cell r="AY1200">
            <v>3</v>
          </cell>
          <cell r="AZ1200">
            <v>6</v>
          </cell>
          <cell r="BA1200">
            <v>6</v>
          </cell>
          <cell r="BB1200">
            <v>5</v>
          </cell>
          <cell r="BC1200">
            <v>1</v>
          </cell>
          <cell r="BD1200">
            <v>1</v>
          </cell>
          <cell r="BE1200">
            <v>2</v>
          </cell>
          <cell r="BF1200">
            <v>2</v>
          </cell>
          <cell r="BG1200">
            <v>4</v>
          </cell>
          <cell r="BH1200">
            <v>1</v>
          </cell>
          <cell r="BI1200">
            <v>0</v>
          </cell>
          <cell r="BJ1200">
            <v>0</v>
          </cell>
          <cell r="BK1200">
            <v>0</v>
          </cell>
          <cell r="BL1200">
            <v>0</v>
          </cell>
          <cell r="BM1200">
            <v>1</v>
          </cell>
          <cell r="BN1200">
            <v>0</v>
          </cell>
          <cell r="BO1200">
            <v>0</v>
          </cell>
          <cell r="BP1200">
            <v>0</v>
          </cell>
          <cell r="BQ1200">
            <v>0</v>
          </cell>
          <cell r="BR1200">
            <v>2</v>
          </cell>
          <cell r="BS1200">
            <v>0</v>
          </cell>
          <cell r="BT1200">
            <v>0</v>
          </cell>
          <cell r="BU1200">
            <v>7</v>
          </cell>
        </row>
        <row r="1201">
          <cell r="A1201">
            <v>36</v>
          </cell>
          <cell r="B1201">
            <v>36</v>
          </cell>
          <cell r="D1201">
            <v>0</v>
          </cell>
          <cell r="F1201">
            <v>0</v>
          </cell>
          <cell r="G1201">
            <v>1</v>
          </cell>
          <cell r="I1201">
            <v>1</v>
          </cell>
          <cell r="J1201">
            <v>0</v>
          </cell>
          <cell r="K1201">
            <v>26</v>
          </cell>
          <cell r="L1201">
            <v>26</v>
          </cell>
          <cell r="M1201">
            <v>4</v>
          </cell>
          <cell r="O1201">
            <v>1</v>
          </cell>
          <cell r="P1201">
            <v>0</v>
          </cell>
          <cell r="Q1201">
            <v>0</v>
          </cell>
          <cell r="R1201">
            <v>0</v>
          </cell>
          <cell r="S1201">
            <v>0</v>
          </cell>
          <cell r="T1201">
            <v>1</v>
          </cell>
          <cell r="V1201">
            <v>0</v>
          </cell>
          <cell r="W1201">
            <v>80</v>
          </cell>
          <cell r="X1201">
            <v>3</v>
          </cell>
          <cell r="Y1201">
            <v>2</v>
          </cell>
          <cell r="AA1201">
            <v>1</v>
          </cell>
          <cell r="AB1201">
            <v>0</v>
          </cell>
          <cell r="AC1201">
            <v>0</v>
          </cell>
          <cell r="AD1201">
            <v>0</v>
          </cell>
          <cell r="AE1201">
            <v>0</v>
          </cell>
          <cell r="AF1201">
            <v>0</v>
          </cell>
          <cell r="AG1201">
            <v>0</v>
          </cell>
          <cell r="AH1201">
            <v>0</v>
          </cell>
          <cell r="AI1201">
            <v>3</v>
          </cell>
          <cell r="AK1201">
            <v>0</v>
          </cell>
          <cell r="AL1201">
            <v>1</v>
          </cell>
          <cell r="AN1201">
            <v>5347</v>
          </cell>
          <cell r="AO1201">
            <v>6</v>
          </cell>
          <cell r="AQ1201">
            <v>0</v>
          </cell>
          <cell r="AR1201">
            <v>14</v>
          </cell>
          <cell r="AS1201">
            <v>3</v>
          </cell>
          <cell r="AT1201">
            <v>2</v>
          </cell>
          <cell r="AU1201">
            <v>2</v>
          </cell>
          <cell r="AV1201">
            <v>10</v>
          </cell>
          <cell r="AW1201">
            <v>10</v>
          </cell>
          <cell r="AX1201">
            <v>2</v>
          </cell>
          <cell r="AY1201">
            <v>2</v>
          </cell>
          <cell r="AZ1201">
            <v>3</v>
          </cell>
          <cell r="BA1201">
            <v>3</v>
          </cell>
          <cell r="BB1201">
            <v>2</v>
          </cell>
          <cell r="BC1201">
            <v>0</v>
          </cell>
          <cell r="BD1201">
            <v>0</v>
          </cell>
          <cell r="BE1201">
            <v>2</v>
          </cell>
          <cell r="BF1201">
            <v>2</v>
          </cell>
          <cell r="BG1201">
            <v>4</v>
          </cell>
          <cell r="BH1201">
            <v>0</v>
          </cell>
          <cell r="BI1201">
            <v>1</v>
          </cell>
          <cell r="BJ1201">
            <v>0</v>
          </cell>
          <cell r="BK1201">
            <v>0</v>
          </cell>
          <cell r="BL1201">
            <v>0</v>
          </cell>
          <cell r="BM1201">
            <v>0</v>
          </cell>
          <cell r="BN1201">
            <v>1</v>
          </cell>
          <cell r="BO1201">
            <v>0</v>
          </cell>
          <cell r="BP1201">
            <v>0</v>
          </cell>
          <cell r="BQ1201">
            <v>2</v>
          </cell>
          <cell r="BR1201">
            <v>0</v>
          </cell>
          <cell r="BS1201">
            <v>0</v>
          </cell>
          <cell r="BT1201">
            <v>10</v>
          </cell>
          <cell r="BU1201">
            <v>0</v>
          </cell>
        </row>
        <row r="1202">
          <cell r="A1202">
            <v>44</v>
          </cell>
          <cell r="B1202">
            <v>44</v>
          </cell>
          <cell r="D1202">
            <v>0</v>
          </cell>
          <cell r="F1202">
            <v>0</v>
          </cell>
          <cell r="G1202">
            <v>1</v>
          </cell>
          <cell r="I1202">
            <v>0</v>
          </cell>
          <cell r="J1202">
            <v>0</v>
          </cell>
          <cell r="K1202">
            <v>1</v>
          </cell>
          <cell r="L1202">
            <v>1</v>
          </cell>
          <cell r="M1202">
            <v>3</v>
          </cell>
          <cell r="O1202">
            <v>1</v>
          </cell>
          <cell r="P1202">
            <v>0</v>
          </cell>
          <cell r="Q1202">
            <v>0</v>
          </cell>
          <cell r="R1202">
            <v>0</v>
          </cell>
          <cell r="S1202">
            <v>0</v>
          </cell>
          <cell r="T1202">
            <v>3</v>
          </cell>
          <cell r="V1202">
            <v>1</v>
          </cell>
          <cell r="W1202">
            <v>44</v>
          </cell>
          <cell r="X1202">
            <v>3</v>
          </cell>
          <cell r="Y1202">
            <v>1</v>
          </cell>
          <cell r="AA1202">
            <v>0</v>
          </cell>
          <cell r="AB1202">
            <v>0</v>
          </cell>
          <cell r="AC1202">
            <v>0</v>
          </cell>
          <cell r="AD1202">
            <v>0</v>
          </cell>
          <cell r="AE1202">
            <v>0</v>
          </cell>
          <cell r="AF1202">
            <v>0</v>
          </cell>
          <cell r="AG1202">
            <v>0</v>
          </cell>
          <cell r="AH1202">
            <v>0</v>
          </cell>
          <cell r="AI1202">
            <v>4</v>
          </cell>
          <cell r="AK1202">
            <v>0</v>
          </cell>
          <cell r="AL1202">
            <v>0</v>
          </cell>
          <cell r="AN1202">
            <v>3195</v>
          </cell>
          <cell r="AO1202">
            <v>4</v>
          </cell>
          <cell r="AQ1202">
            <v>1</v>
          </cell>
          <cell r="AR1202">
            <v>18</v>
          </cell>
          <cell r="AS1202">
            <v>3</v>
          </cell>
          <cell r="AT1202">
            <v>1</v>
          </cell>
          <cell r="AU1202">
            <v>3</v>
          </cell>
          <cell r="AV1202">
            <v>8</v>
          </cell>
          <cell r="AW1202">
            <v>8</v>
          </cell>
          <cell r="AX1202">
            <v>2</v>
          </cell>
          <cell r="AY1202">
            <v>3</v>
          </cell>
          <cell r="AZ1202">
            <v>2</v>
          </cell>
          <cell r="BA1202">
            <v>2</v>
          </cell>
          <cell r="BB1202">
            <v>2</v>
          </cell>
          <cell r="BC1202">
            <v>2</v>
          </cell>
          <cell r="BD1202">
            <v>2</v>
          </cell>
          <cell r="BE1202">
            <v>2</v>
          </cell>
          <cell r="BF1202">
            <v>2</v>
          </cell>
          <cell r="BG1202">
            <v>2</v>
          </cell>
          <cell r="BH1202">
            <v>1</v>
          </cell>
          <cell r="BI1202">
            <v>0</v>
          </cell>
          <cell r="BJ1202">
            <v>0</v>
          </cell>
          <cell r="BK1202">
            <v>0</v>
          </cell>
          <cell r="BL1202">
            <v>0</v>
          </cell>
          <cell r="BM1202">
            <v>1</v>
          </cell>
          <cell r="BN1202">
            <v>0</v>
          </cell>
          <cell r="BO1202">
            <v>0</v>
          </cell>
          <cell r="BP1202">
            <v>2</v>
          </cell>
          <cell r="BQ1202">
            <v>0</v>
          </cell>
          <cell r="BR1202">
            <v>0</v>
          </cell>
          <cell r="BS1202">
            <v>8</v>
          </cell>
          <cell r="BT1202">
            <v>0</v>
          </cell>
          <cell r="BU1202">
            <v>0</v>
          </cell>
        </row>
        <row r="1203">
          <cell r="A1203">
            <v>23</v>
          </cell>
          <cell r="B1203">
            <v>23</v>
          </cell>
          <cell r="D1203">
            <v>1</v>
          </cell>
          <cell r="F1203">
            <v>0</v>
          </cell>
          <cell r="G1203">
            <v>1</v>
          </cell>
          <cell r="I1203">
            <v>1</v>
          </cell>
          <cell r="J1203">
            <v>0</v>
          </cell>
          <cell r="K1203">
            <v>8</v>
          </cell>
          <cell r="L1203">
            <v>8</v>
          </cell>
          <cell r="M1203">
            <v>1</v>
          </cell>
          <cell r="O1203">
            <v>0</v>
          </cell>
          <cell r="P1203">
            <v>0</v>
          </cell>
          <cell r="Q1203">
            <v>1</v>
          </cell>
          <cell r="R1203">
            <v>0</v>
          </cell>
          <cell r="S1203">
            <v>0</v>
          </cell>
          <cell r="T1203">
            <v>4</v>
          </cell>
          <cell r="V1203">
            <v>0</v>
          </cell>
          <cell r="W1203">
            <v>93</v>
          </cell>
          <cell r="X1203">
            <v>2</v>
          </cell>
          <cell r="Y1203">
            <v>1</v>
          </cell>
          <cell r="AA1203">
            <v>0</v>
          </cell>
          <cell r="AB1203">
            <v>0</v>
          </cell>
          <cell r="AC1203">
            <v>1</v>
          </cell>
          <cell r="AD1203">
            <v>0</v>
          </cell>
          <cell r="AE1203">
            <v>0</v>
          </cell>
          <cell r="AF1203">
            <v>0</v>
          </cell>
          <cell r="AG1203">
            <v>0</v>
          </cell>
          <cell r="AH1203">
            <v>0</v>
          </cell>
          <cell r="AI1203">
            <v>3</v>
          </cell>
          <cell r="AK1203">
            <v>1</v>
          </cell>
          <cell r="AL1203">
            <v>0</v>
          </cell>
          <cell r="AN1203">
            <v>3989</v>
          </cell>
          <cell r="AO1203">
            <v>1</v>
          </cell>
          <cell r="AQ1203">
            <v>1</v>
          </cell>
          <cell r="AR1203">
            <v>11</v>
          </cell>
          <cell r="AS1203">
            <v>3</v>
          </cell>
          <cell r="AT1203">
            <v>1</v>
          </cell>
          <cell r="AU1203">
            <v>0</v>
          </cell>
          <cell r="AV1203">
            <v>5</v>
          </cell>
          <cell r="AW1203">
            <v>5</v>
          </cell>
          <cell r="AX1203">
            <v>2</v>
          </cell>
          <cell r="AY1203">
            <v>3</v>
          </cell>
          <cell r="AZ1203">
            <v>5</v>
          </cell>
          <cell r="BA1203">
            <v>5</v>
          </cell>
          <cell r="BB1203">
            <v>4</v>
          </cell>
          <cell r="BC1203">
            <v>1</v>
          </cell>
          <cell r="BD1203">
            <v>1</v>
          </cell>
          <cell r="BE1203">
            <v>2</v>
          </cell>
          <cell r="BF1203">
            <v>2</v>
          </cell>
          <cell r="BG1203">
            <v>2</v>
          </cell>
          <cell r="BH1203">
            <v>1</v>
          </cell>
          <cell r="BI1203">
            <v>0</v>
          </cell>
          <cell r="BJ1203">
            <v>0</v>
          </cell>
          <cell r="BK1203">
            <v>0</v>
          </cell>
          <cell r="BL1203">
            <v>0</v>
          </cell>
          <cell r="BM1203">
            <v>1</v>
          </cell>
          <cell r="BN1203">
            <v>0</v>
          </cell>
          <cell r="BO1203">
            <v>0</v>
          </cell>
          <cell r="BP1203">
            <v>0</v>
          </cell>
          <cell r="BQ1203">
            <v>2</v>
          </cell>
          <cell r="BR1203">
            <v>0</v>
          </cell>
          <cell r="BS1203">
            <v>0</v>
          </cell>
          <cell r="BT1203">
            <v>5</v>
          </cell>
          <cell r="BU1203">
            <v>0</v>
          </cell>
        </row>
        <row r="1204">
          <cell r="A1204">
            <v>38</v>
          </cell>
          <cell r="B1204">
            <v>38</v>
          </cell>
          <cell r="D1204">
            <v>0</v>
          </cell>
          <cell r="F1204">
            <v>0</v>
          </cell>
          <cell r="G1204">
            <v>1</v>
          </cell>
          <cell r="I1204">
            <v>1</v>
          </cell>
          <cell r="J1204">
            <v>0</v>
          </cell>
          <cell r="K1204">
            <v>4</v>
          </cell>
          <cell r="L1204">
            <v>4</v>
          </cell>
          <cell r="M1204">
            <v>2</v>
          </cell>
          <cell r="O1204">
            <v>0</v>
          </cell>
          <cell r="P1204">
            <v>0</v>
          </cell>
          <cell r="Q1204">
            <v>1</v>
          </cell>
          <cell r="R1204">
            <v>0</v>
          </cell>
          <cell r="S1204">
            <v>0</v>
          </cell>
          <cell r="T1204">
            <v>4</v>
          </cell>
          <cell r="V1204">
            <v>1</v>
          </cell>
          <cell r="W1204">
            <v>87</v>
          </cell>
          <cell r="X1204">
            <v>3</v>
          </cell>
          <cell r="Y1204">
            <v>1</v>
          </cell>
          <cell r="AA1204">
            <v>0</v>
          </cell>
          <cell r="AB1204">
            <v>0</v>
          </cell>
          <cell r="AC1204">
            <v>1</v>
          </cell>
          <cell r="AD1204">
            <v>0</v>
          </cell>
          <cell r="AE1204">
            <v>0</v>
          </cell>
          <cell r="AF1204">
            <v>0</v>
          </cell>
          <cell r="AG1204">
            <v>0</v>
          </cell>
          <cell r="AH1204">
            <v>0</v>
          </cell>
          <cell r="AI1204">
            <v>3</v>
          </cell>
          <cell r="AK1204">
            <v>0</v>
          </cell>
          <cell r="AL1204">
            <v>1</v>
          </cell>
          <cell r="AN1204">
            <v>3306</v>
          </cell>
          <cell r="AO1204">
            <v>7</v>
          </cell>
          <cell r="AQ1204">
            <v>0</v>
          </cell>
          <cell r="AR1204">
            <v>19</v>
          </cell>
          <cell r="AS1204">
            <v>3</v>
          </cell>
          <cell r="AT1204">
            <v>4</v>
          </cell>
          <cell r="AU1204">
            <v>1</v>
          </cell>
          <cell r="AV1204">
            <v>7</v>
          </cell>
          <cell r="AW1204">
            <v>7</v>
          </cell>
          <cell r="AX1204">
            <v>5</v>
          </cell>
          <cell r="AY1204">
            <v>2</v>
          </cell>
          <cell r="AZ1204">
            <v>0</v>
          </cell>
          <cell r="BA1204">
            <v>0</v>
          </cell>
          <cell r="BB1204">
            <v>0</v>
          </cell>
          <cell r="BC1204">
            <v>0</v>
          </cell>
          <cell r="BD1204">
            <v>0</v>
          </cell>
          <cell r="BE1204">
            <v>0</v>
          </cell>
          <cell r="BF1204">
            <v>0</v>
          </cell>
          <cell r="BG1204">
            <v>0</v>
          </cell>
          <cell r="BH1204">
            <v>0</v>
          </cell>
          <cell r="BI1204">
            <v>1</v>
          </cell>
          <cell r="BJ1204">
            <v>0</v>
          </cell>
          <cell r="BK1204">
            <v>0</v>
          </cell>
          <cell r="BL1204">
            <v>0</v>
          </cell>
          <cell r="BM1204">
            <v>0</v>
          </cell>
          <cell r="BN1204">
            <v>1</v>
          </cell>
          <cell r="BO1204">
            <v>0</v>
          </cell>
          <cell r="BP1204">
            <v>0</v>
          </cell>
          <cell r="BQ1204">
            <v>0</v>
          </cell>
          <cell r="BR1204">
            <v>0</v>
          </cell>
          <cell r="BS1204">
            <v>0</v>
          </cell>
          <cell r="BT1204">
            <v>7</v>
          </cell>
          <cell r="BU1204">
            <v>0</v>
          </cell>
        </row>
        <row r="1205">
          <cell r="A1205">
            <v>53</v>
          </cell>
          <cell r="B1205">
            <v>53</v>
          </cell>
          <cell r="D1205">
            <v>0</v>
          </cell>
          <cell r="F1205">
            <v>0</v>
          </cell>
          <cell r="G1205">
            <v>1</v>
          </cell>
          <cell r="I1205">
            <v>1</v>
          </cell>
          <cell r="J1205">
            <v>0</v>
          </cell>
          <cell r="K1205">
            <v>24</v>
          </cell>
          <cell r="L1205">
            <v>24</v>
          </cell>
          <cell r="M1205">
            <v>4</v>
          </cell>
          <cell r="O1205">
            <v>0</v>
          </cell>
          <cell r="P1205">
            <v>0</v>
          </cell>
          <cell r="Q1205">
            <v>1</v>
          </cell>
          <cell r="R1205">
            <v>0</v>
          </cell>
          <cell r="S1205">
            <v>0</v>
          </cell>
          <cell r="T1205">
            <v>2</v>
          </cell>
          <cell r="V1205">
            <v>0</v>
          </cell>
          <cell r="W1205">
            <v>48</v>
          </cell>
          <cell r="X1205">
            <v>4</v>
          </cell>
          <cell r="Y1205">
            <v>3</v>
          </cell>
          <cell r="AA1205">
            <v>1</v>
          </cell>
          <cell r="AB1205">
            <v>0</v>
          </cell>
          <cell r="AC1205">
            <v>0</v>
          </cell>
          <cell r="AD1205">
            <v>0</v>
          </cell>
          <cell r="AE1205">
            <v>0</v>
          </cell>
          <cell r="AF1205">
            <v>0</v>
          </cell>
          <cell r="AG1205">
            <v>0</v>
          </cell>
          <cell r="AH1205">
            <v>0</v>
          </cell>
          <cell r="AI1205">
            <v>4</v>
          </cell>
          <cell r="AK1205">
            <v>0</v>
          </cell>
          <cell r="AL1205">
            <v>1</v>
          </cell>
          <cell r="AN1205">
            <v>7005</v>
          </cell>
          <cell r="AO1205">
            <v>3</v>
          </cell>
          <cell r="AQ1205">
            <v>0</v>
          </cell>
          <cell r="AR1205">
            <v>15</v>
          </cell>
          <cell r="AS1205">
            <v>3</v>
          </cell>
          <cell r="AT1205">
            <v>3</v>
          </cell>
          <cell r="AU1205">
            <v>0</v>
          </cell>
          <cell r="AV1205">
            <v>11</v>
          </cell>
          <cell r="AW1205">
            <v>11</v>
          </cell>
          <cell r="AX1205">
            <v>2</v>
          </cell>
          <cell r="AY1205">
            <v>3</v>
          </cell>
          <cell r="AZ1205">
            <v>4</v>
          </cell>
          <cell r="BA1205">
            <v>4</v>
          </cell>
          <cell r="BB1205">
            <v>3</v>
          </cell>
          <cell r="BC1205">
            <v>1</v>
          </cell>
          <cell r="BD1205">
            <v>1</v>
          </cell>
          <cell r="BE1205">
            <v>2</v>
          </cell>
          <cell r="BF1205">
            <v>2</v>
          </cell>
          <cell r="BG1205">
            <v>6</v>
          </cell>
          <cell r="BH1205">
            <v>0</v>
          </cell>
          <cell r="BI1205">
            <v>1</v>
          </cell>
          <cell r="BJ1205">
            <v>0</v>
          </cell>
          <cell r="BK1205">
            <v>0</v>
          </cell>
          <cell r="BL1205">
            <v>0</v>
          </cell>
          <cell r="BM1205">
            <v>0</v>
          </cell>
          <cell r="BN1205">
            <v>1</v>
          </cell>
          <cell r="BO1205">
            <v>0</v>
          </cell>
          <cell r="BP1205">
            <v>0</v>
          </cell>
          <cell r="BQ1205">
            <v>2</v>
          </cell>
          <cell r="BR1205">
            <v>0</v>
          </cell>
          <cell r="BS1205">
            <v>0</v>
          </cell>
          <cell r="BT1205">
            <v>11</v>
          </cell>
          <cell r="BU1205">
            <v>0</v>
          </cell>
        </row>
        <row r="1206">
          <cell r="A1206">
            <v>48</v>
          </cell>
          <cell r="B1206">
            <v>48</v>
          </cell>
          <cell r="D1206">
            <v>1</v>
          </cell>
          <cell r="F1206">
            <v>1</v>
          </cell>
          <cell r="G1206">
            <v>0</v>
          </cell>
          <cell r="I1206">
            <v>0</v>
          </cell>
          <cell r="J1206">
            <v>1</v>
          </cell>
          <cell r="K1206">
            <v>7</v>
          </cell>
          <cell r="L1206">
            <v>7</v>
          </cell>
          <cell r="M1206">
            <v>2</v>
          </cell>
          <cell r="O1206">
            <v>0</v>
          </cell>
          <cell r="P1206">
            <v>0</v>
          </cell>
          <cell r="Q1206">
            <v>1</v>
          </cell>
          <cell r="R1206">
            <v>0</v>
          </cell>
          <cell r="S1206">
            <v>0</v>
          </cell>
          <cell r="T1206">
            <v>4</v>
          </cell>
          <cell r="V1206">
            <v>1</v>
          </cell>
          <cell r="W1206">
            <v>95</v>
          </cell>
          <cell r="X1206">
            <v>3</v>
          </cell>
          <cell r="Y1206">
            <v>1</v>
          </cell>
          <cell r="AA1206">
            <v>0</v>
          </cell>
          <cell r="AB1206">
            <v>0</v>
          </cell>
          <cell r="AC1206">
            <v>0</v>
          </cell>
          <cell r="AD1206">
            <v>0</v>
          </cell>
          <cell r="AE1206">
            <v>0</v>
          </cell>
          <cell r="AF1206">
            <v>0</v>
          </cell>
          <cell r="AG1206">
            <v>1</v>
          </cell>
          <cell r="AH1206">
            <v>0</v>
          </cell>
          <cell r="AI1206">
            <v>3</v>
          </cell>
          <cell r="AK1206">
            <v>0</v>
          </cell>
          <cell r="AL1206">
            <v>1</v>
          </cell>
          <cell r="AN1206">
            <v>2655</v>
          </cell>
          <cell r="AO1206">
            <v>2</v>
          </cell>
          <cell r="AQ1206">
            <v>1</v>
          </cell>
          <cell r="AR1206">
            <v>11</v>
          </cell>
          <cell r="AS1206">
            <v>3</v>
          </cell>
          <cell r="AT1206">
            <v>3</v>
          </cell>
          <cell r="AU1206">
            <v>2</v>
          </cell>
          <cell r="AV1206">
            <v>19</v>
          </cell>
          <cell r="AW1206">
            <v>19</v>
          </cell>
          <cell r="AX1206">
            <v>3</v>
          </cell>
          <cell r="AY1206">
            <v>3</v>
          </cell>
          <cell r="AZ1206">
            <v>9</v>
          </cell>
          <cell r="BA1206">
            <v>9</v>
          </cell>
          <cell r="BB1206">
            <v>7</v>
          </cell>
          <cell r="BC1206">
            <v>7</v>
          </cell>
          <cell r="BD1206">
            <v>7</v>
          </cell>
          <cell r="BE1206">
            <v>7</v>
          </cell>
          <cell r="BF1206">
            <v>7</v>
          </cell>
          <cell r="BG1206">
            <v>7</v>
          </cell>
          <cell r="BH1206">
            <v>0</v>
          </cell>
          <cell r="BI1206">
            <v>0</v>
          </cell>
          <cell r="BJ1206">
            <v>0</v>
          </cell>
          <cell r="BK1206">
            <v>1</v>
          </cell>
          <cell r="BL1206">
            <v>0</v>
          </cell>
          <cell r="BM1206">
            <v>0</v>
          </cell>
          <cell r="BN1206">
            <v>0</v>
          </cell>
          <cell r="BO1206">
            <v>1</v>
          </cell>
          <cell r="BP1206">
            <v>0</v>
          </cell>
          <cell r="BQ1206">
            <v>0</v>
          </cell>
          <cell r="BR1206">
            <v>7</v>
          </cell>
          <cell r="BS1206">
            <v>0</v>
          </cell>
          <cell r="BT1206">
            <v>0</v>
          </cell>
          <cell r="BU1206">
            <v>19</v>
          </cell>
        </row>
        <row r="1207">
          <cell r="A1207">
            <v>32</v>
          </cell>
          <cell r="B1207">
            <v>32</v>
          </cell>
          <cell r="D1207">
            <v>1</v>
          </cell>
          <cell r="F1207">
            <v>0</v>
          </cell>
          <cell r="G1207">
            <v>1</v>
          </cell>
          <cell r="I1207">
            <v>1</v>
          </cell>
          <cell r="J1207">
            <v>0</v>
          </cell>
          <cell r="K1207">
            <v>2</v>
          </cell>
          <cell r="L1207">
            <v>2</v>
          </cell>
          <cell r="M1207">
            <v>4</v>
          </cell>
          <cell r="O1207">
            <v>1</v>
          </cell>
          <cell r="P1207">
            <v>0</v>
          </cell>
          <cell r="Q1207">
            <v>0</v>
          </cell>
          <cell r="R1207">
            <v>0</v>
          </cell>
          <cell r="S1207">
            <v>0</v>
          </cell>
          <cell r="T1207">
            <v>4</v>
          </cell>
          <cell r="V1207">
            <v>0</v>
          </cell>
          <cell r="W1207">
            <v>95</v>
          </cell>
          <cell r="X1207">
            <v>3</v>
          </cell>
          <cell r="Y1207">
            <v>1</v>
          </cell>
          <cell r="AA1207">
            <v>0</v>
          </cell>
          <cell r="AB1207">
            <v>0</v>
          </cell>
          <cell r="AC1207">
            <v>1</v>
          </cell>
          <cell r="AD1207">
            <v>0</v>
          </cell>
          <cell r="AE1207">
            <v>0</v>
          </cell>
          <cell r="AF1207">
            <v>0</v>
          </cell>
          <cell r="AG1207">
            <v>0</v>
          </cell>
          <cell r="AH1207">
            <v>0</v>
          </cell>
          <cell r="AI1207">
            <v>2</v>
          </cell>
          <cell r="AK1207">
            <v>1</v>
          </cell>
          <cell r="AL1207">
            <v>0</v>
          </cell>
          <cell r="AN1207">
            <v>1393</v>
          </cell>
          <cell r="AO1207">
            <v>1</v>
          </cell>
          <cell r="AQ1207">
            <v>0</v>
          </cell>
          <cell r="AR1207">
            <v>12</v>
          </cell>
          <cell r="AS1207">
            <v>3</v>
          </cell>
          <cell r="AT1207">
            <v>1</v>
          </cell>
          <cell r="AU1207">
            <v>0</v>
          </cell>
          <cell r="AV1207">
            <v>1</v>
          </cell>
          <cell r="AW1207">
            <v>1</v>
          </cell>
          <cell r="AX1207">
            <v>2</v>
          </cell>
          <cell r="AY1207">
            <v>3</v>
          </cell>
          <cell r="AZ1207">
            <v>1</v>
          </cell>
          <cell r="BA1207">
            <v>1</v>
          </cell>
          <cell r="BB1207">
            <v>0</v>
          </cell>
          <cell r="BC1207">
            <v>0</v>
          </cell>
          <cell r="BD1207">
            <v>0</v>
          </cell>
          <cell r="BE1207">
            <v>0</v>
          </cell>
          <cell r="BF1207">
            <v>0</v>
          </cell>
          <cell r="BG1207">
            <v>0</v>
          </cell>
          <cell r="BH1207">
            <v>1</v>
          </cell>
          <cell r="BI1207">
            <v>0</v>
          </cell>
          <cell r="BJ1207">
            <v>0</v>
          </cell>
          <cell r="BK1207">
            <v>0</v>
          </cell>
          <cell r="BL1207">
            <v>1</v>
          </cell>
          <cell r="BM1207">
            <v>0</v>
          </cell>
          <cell r="BN1207">
            <v>0</v>
          </cell>
          <cell r="BO1207">
            <v>0</v>
          </cell>
          <cell r="BP1207">
            <v>0</v>
          </cell>
          <cell r="BQ1207">
            <v>0</v>
          </cell>
          <cell r="BR1207">
            <v>0</v>
          </cell>
          <cell r="BS1207">
            <v>0</v>
          </cell>
          <cell r="BT1207">
            <v>1</v>
          </cell>
          <cell r="BU1207">
            <v>0</v>
          </cell>
        </row>
        <row r="1208">
          <cell r="A1208">
            <v>26</v>
          </cell>
          <cell r="B1208">
            <v>26</v>
          </cell>
          <cell r="D1208">
            <v>0</v>
          </cell>
          <cell r="F1208">
            <v>0</v>
          </cell>
          <cell r="G1208">
            <v>0</v>
          </cell>
          <cell r="I1208">
            <v>1</v>
          </cell>
          <cell r="J1208">
            <v>0</v>
          </cell>
          <cell r="K1208">
            <v>7</v>
          </cell>
          <cell r="L1208">
            <v>7</v>
          </cell>
          <cell r="M1208">
            <v>3</v>
          </cell>
          <cell r="O1208">
            <v>0</v>
          </cell>
          <cell r="P1208">
            <v>0</v>
          </cell>
          <cell r="Q1208">
            <v>1</v>
          </cell>
          <cell r="R1208">
            <v>0</v>
          </cell>
          <cell r="S1208">
            <v>0</v>
          </cell>
          <cell r="T1208">
            <v>4</v>
          </cell>
          <cell r="V1208">
            <v>0</v>
          </cell>
          <cell r="W1208">
            <v>76</v>
          </cell>
          <cell r="X1208">
            <v>3</v>
          </cell>
          <cell r="Y1208">
            <v>1</v>
          </cell>
          <cell r="AA1208">
            <v>0</v>
          </cell>
          <cell r="AB1208">
            <v>0</v>
          </cell>
          <cell r="AC1208">
            <v>1</v>
          </cell>
          <cell r="AD1208">
            <v>0</v>
          </cell>
          <cell r="AE1208">
            <v>0</v>
          </cell>
          <cell r="AF1208">
            <v>0</v>
          </cell>
          <cell r="AG1208">
            <v>0</v>
          </cell>
          <cell r="AH1208">
            <v>0</v>
          </cell>
          <cell r="AI1208">
            <v>4</v>
          </cell>
          <cell r="AK1208">
            <v>1</v>
          </cell>
          <cell r="AL1208">
            <v>0</v>
          </cell>
          <cell r="AN1208">
            <v>2570</v>
          </cell>
          <cell r="AO1208">
            <v>1</v>
          </cell>
          <cell r="AQ1208">
            <v>0</v>
          </cell>
          <cell r="AR1208">
            <v>20</v>
          </cell>
          <cell r="AS1208">
            <v>4</v>
          </cell>
          <cell r="AT1208">
            <v>3</v>
          </cell>
          <cell r="AU1208">
            <v>0</v>
          </cell>
          <cell r="AV1208">
            <v>7</v>
          </cell>
          <cell r="AW1208">
            <v>7</v>
          </cell>
          <cell r="AX1208">
            <v>5</v>
          </cell>
          <cell r="AY1208">
            <v>3</v>
          </cell>
          <cell r="AZ1208">
            <v>7</v>
          </cell>
          <cell r="BA1208">
            <v>7</v>
          </cell>
          <cell r="BB1208">
            <v>7</v>
          </cell>
          <cell r="BC1208">
            <v>5</v>
          </cell>
          <cell r="BD1208">
            <v>5</v>
          </cell>
          <cell r="BE1208">
            <v>7</v>
          </cell>
          <cell r="BF1208">
            <v>7</v>
          </cell>
          <cell r="BG1208">
            <v>7</v>
          </cell>
          <cell r="BH1208">
            <v>1</v>
          </cell>
          <cell r="BI1208">
            <v>0</v>
          </cell>
          <cell r="BJ1208">
            <v>0</v>
          </cell>
          <cell r="BK1208">
            <v>0</v>
          </cell>
          <cell r="BL1208">
            <v>1</v>
          </cell>
          <cell r="BM1208">
            <v>0</v>
          </cell>
          <cell r="BN1208">
            <v>0</v>
          </cell>
          <cell r="BO1208">
            <v>0</v>
          </cell>
          <cell r="BP1208">
            <v>0</v>
          </cell>
          <cell r="BQ1208">
            <v>7</v>
          </cell>
          <cell r="BR1208">
            <v>0</v>
          </cell>
          <cell r="BS1208">
            <v>0</v>
          </cell>
          <cell r="BT1208">
            <v>7</v>
          </cell>
          <cell r="BU1208">
            <v>0</v>
          </cell>
        </row>
        <row r="1209">
          <cell r="A1209">
            <v>55</v>
          </cell>
          <cell r="B1209">
            <v>55</v>
          </cell>
          <cell r="D1209">
            <v>0</v>
          </cell>
          <cell r="F1209">
            <v>0</v>
          </cell>
          <cell r="G1209">
            <v>1</v>
          </cell>
          <cell r="I1209">
            <v>1</v>
          </cell>
          <cell r="J1209">
            <v>0</v>
          </cell>
          <cell r="K1209">
            <v>22</v>
          </cell>
          <cell r="L1209">
            <v>22</v>
          </cell>
          <cell r="M1209">
            <v>3</v>
          </cell>
          <cell r="O1209">
            <v>0</v>
          </cell>
          <cell r="P1209">
            <v>0</v>
          </cell>
          <cell r="Q1209">
            <v>0</v>
          </cell>
          <cell r="R1209">
            <v>0</v>
          </cell>
          <cell r="S1209">
            <v>1</v>
          </cell>
          <cell r="T1209">
            <v>1</v>
          </cell>
          <cell r="V1209">
            <v>0</v>
          </cell>
          <cell r="W1209">
            <v>94</v>
          </cell>
          <cell r="X1209">
            <v>2</v>
          </cell>
          <cell r="Y1209">
            <v>1</v>
          </cell>
          <cell r="AA1209">
            <v>0</v>
          </cell>
          <cell r="AB1209">
            <v>0</v>
          </cell>
          <cell r="AC1209">
            <v>0</v>
          </cell>
          <cell r="AD1209">
            <v>0</v>
          </cell>
          <cell r="AE1209">
            <v>0</v>
          </cell>
          <cell r="AF1209">
            <v>0</v>
          </cell>
          <cell r="AG1209">
            <v>0</v>
          </cell>
          <cell r="AH1209">
            <v>1</v>
          </cell>
          <cell r="AI1209">
            <v>2</v>
          </cell>
          <cell r="AK1209">
            <v>0</v>
          </cell>
          <cell r="AL1209">
            <v>0</v>
          </cell>
          <cell r="AN1209">
            <v>3537</v>
          </cell>
          <cell r="AO1209">
            <v>5</v>
          </cell>
          <cell r="AQ1209">
            <v>0</v>
          </cell>
          <cell r="AR1209">
            <v>12</v>
          </cell>
          <cell r="AS1209">
            <v>3</v>
          </cell>
          <cell r="AT1209">
            <v>4</v>
          </cell>
          <cell r="AU1209">
            <v>1</v>
          </cell>
          <cell r="AV1209">
            <v>8</v>
          </cell>
          <cell r="AW1209">
            <v>8</v>
          </cell>
          <cell r="AX1209">
            <v>1</v>
          </cell>
          <cell r="AY1209">
            <v>3</v>
          </cell>
          <cell r="AZ1209">
            <v>4</v>
          </cell>
          <cell r="BA1209">
            <v>4</v>
          </cell>
          <cell r="BB1209">
            <v>2</v>
          </cell>
          <cell r="BC1209">
            <v>1</v>
          </cell>
          <cell r="BD1209">
            <v>1</v>
          </cell>
          <cell r="BE1209">
            <v>2</v>
          </cell>
          <cell r="BF1209">
            <v>2</v>
          </cell>
          <cell r="BG1209">
            <v>2</v>
          </cell>
          <cell r="BH1209">
            <v>1</v>
          </cell>
          <cell r="BI1209">
            <v>0</v>
          </cell>
          <cell r="BJ1209">
            <v>0</v>
          </cell>
          <cell r="BK1209">
            <v>0</v>
          </cell>
          <cell r="BL1209">
            <v>1</v>
          </cell>
          <cell r="BM1209">
            <v>0</v>
          </cell>
          <cell r="BN1209">
            <v>0</v>
          </cell>
          <cell r="BO1209">
            <v>0</v>
          </cell>
          <cell r="BP1209">
            <v>0</v>
          </cell>
          <cell r="BQ1209">
            <v>2</v>
          </cell>
          <cell r="BR1209">
            <v>0</v>
          </cell>
          <cell r="BS1209">
            <v>0</v>
          </cell>
          <cell r="BT1209">
            <v>8</v>
          </cell>
          <cell r="BU1209">
            <v>0</v>
          </cell>
        </row>
        <row r="1210">
          <cell r="A1210">
            <v>34</v>
          </cell>
          <cell r="B1210">
            <v>34</v>
          </cell>
          <cell r="D1210">
            <v>0</v>
          </cell>
          <cell r="F1210">
            <v>0</v>
          </cell>
          <cell r="G1210">
            <v>1</v>
          </cell>
          <cell r="I1210">
            <v>1</v>
          </cell>
          <cell r="J1210">
            <v>0</v>
          </cell>
          <cell r="K1210">
            <v>5</v>
          </cell>
          <cell r="L1210">
            <v>5</v>
          </cell>
          <cell r="M1210">
            <v>2</v>
          </cell>
          <cell r="O1210">
            <v>0</v>
          </cell>
          <cell r="P1210">
            <v>0</v>
          </cell>
          <cell r="Q1210">
            <v>1</v>
          </cell>
          <cell r="R1210">
            <v>0</v>
          </cell>
          <cell r="S1210">
            <v>0</v>
          </cell>
          <cell r="T1210">
            <v>2</v>
          </cell>
          <cell r="V1210">
            <v>0</v>
          </cell>
          <cell r="W1210">
            <v>57</v>
          </cell>
          <cell r="X1210">
            <v>2</v>
          </cell>
          <cell r="Y1210">
            <v>2</v>
          </cell>
          <cell r="AA1210">
            <v>0</v>
          </cell>
          <cell r="AB1210">
            <v>0</v>
          </cell>
          <cell r="AC1210">
            <v>1</v>
          </cell>
          <cell r="AD1210">
            <v>0</v>
          </cell>
          <cell r="AE1210">
            <v>0</v>
          </cell>
          <cell r="AF1210">
            <v>0</v>
          </cell>
          <cell r="AG1210">
            <v>0</v>
          </cell>
          <cell r="AH1210">
            <v>0</v>
          </cell>
          <cell r="AI1210">
            <v>4</v>
          </cell>
          <cell r="AK1210">
            <v>0</v>
          </cell>
          <cell r="AL1210">
            <v>1</v>
          </cell>
          <cell r="AN1210">
            <v>3986</v>
          </cell>
          <cell r="AO1210">
            <v>1</v>
          </cell>
          <cell r="AQ1210">
            <v>0</v>
          </cell>
          <cell r="AR1210">
            <v>14</v>
          </cell>
          <cell r="AS1210">
            <v>3</v>
          </cell>
          <cell r="AT1210">
            <v>3</v>
          </cell>
          <cell r="AU1210">
            <v>1</v>
          </cell>
          <cell r="AV1210">
            <v>15</v>
          </cell>
          <cell r="AW1210">
            <v>15</v>
          </cell>
          <cell r="AX1210">
            <v>3</v>
          </cell>
          <cell r="AY1210">
            <v>4</v>
          </cell>
          <cell r="AZ1210">
            <v>15</v>
          </cell>
          <cell r="BA1210">
            <v>15</v>
          </cell>
          <cell r="BB1210">
            <v>10</v>
          </cell>
          <cell r="BC1210">
            <v>4</v>
          </cell>
          <cell r="BD1210">
            <v>4</v>
          </cell>
          <cell r="BE1210">
            <v>13</v>
          </cell>
          <cell r="BF1210">
            <v>13</v>
          </cell>
          <cell r="BG1210">
            <v>26</v>
          </cell>
          <cell r="BH1210">
            <v>0</v>
          </cell>
          <cell r="BI1210">
            <v>1</v>
          </cell>
          <cell r="BJ1210">
            <v>0</v>
          </cell>
          <cell r="BK1210">
            <v>0</v>
          </cell>
          <cell r="BL1210">
            <v>0</v>
          </cell>
          <cell r="BM1210">
            <v>0</v>
          </cell>
          <cell r="BN1210">
            <v>1</v>
          </cell>
          <cell r="BO1210">
            <v>0</v>
          </cell>
          <cell r="BP1210">
            <v>0</v>
          </cell>
          <cell r="BQ1210">
            <v>13</v>
          </cell>
          <cell r="BR1210">
            <v>0</v>
          </cell>
          <cell r="BS1210">
            <v>0</v>
          </cell>
          <cell r="BT1210">
            <v>15</v>
          </cell>
          <cell r="BU1210">
            <v>0</v>
          </cell>
        </row>
        <row r="1211">
          <cell r="A1211">
            <v>60</v>
          </cell>
          <cell r="B1211">
            <v>58.309999999999945</v>
          </cell>
          <cell r="D1211">
            <v>0</v>
          </cell>
          <cell r="F1211">
            <v>0</v>
          </cell>
          <cell r="G1211">
            <v>1</v>
          </cell>
          <cell r="I1211">
            <v>1</v>
          </cell>
          <cell r="J1211">
            <v>0</v>
          </cell>
          <cell r="K1211">
            <v>1</v>
          </cell>
          <cell r="L1211">
            <v>1</v>
          </cell>
          <cell r="M1211">
            <v>4</v>
          </cell>
          <cell r="O1211">
            <v>0</v>
          </cell>
          <cell r="P1211">
            <v>0</v>
          </cell>
          <cell r="Q1211">
            <v>1</v>
          </cell>
          <cell r="R1211">
            <v>0</v>
          </cell>
          <cell r="S1211">
            <v>0</v>
          </cell>
          <cell r="T1211">
            <v>3</v>
          </cell>
          <cell r="V1211">
            <v>0</v>
          </cell>
          <cell r="W1211">
            <v>92</v>
          </cell>
          <cell r="X1211">
            <v>1</v>
          </cell>
          <cell r="Y1211">
            <v>3</v>
          </cell>
          <cell r="AA1211">
            <v>1</v>
          </cell>
          <cell r="AB1211">
            <v>0</v>
          </cell>
          <cell r="AC1211">
            <v>0</v>
          </cell>
          <cell r="AD1211">
            <v>0</v>
          </cell>
          <cell r="AE1211">
            <v>0</v>
          </cell>
          <cell r="AF1211">
            <v>0</v>
          </cell>
          <cell r="AG1211">
            <v>0</v>
          </cell>
          <cell r="AH1211">
            <v>0</v>
          </cell>
          <cell r="AI1211">
            <v>4</v>
          </cell>
          <cell r="AK1211">
            <v>0</v>
          </cell>
          <cell r="AL1211">
            <v>0</v>
          </cell>
          <cell r="AN1211">
            <v>10883</v>
          </cell>
          <cell r="AO1211">
            <v>3</v>
          </cell>
          <cell r="AQ1211">
            <v>0</v>
          </cell>
          <cell r="AR1211">
            <v>20</v>
          </cell>
          <cell r="AS1211">
            <v>4</v>
          </cell>
          <cell r="AT1211">
            <v>3</v>
          </cell>
          <cell r="AU1211">
            <v>1</v>
          </cell>
          <cell r="AV1211">
            <v>19</v>
          </cell>
          <cell r="AW1211">
            <v>19</v>
          </cell>
          <cell r="AX1211">
            <v>2</v>
          </cell>
          <cell r="AY1211">
            <v>4</v>
          </cell>
          <cell r="AZ1211">
            <v>1</v>
          </cell>
          <cell r="BA1211">
            <v>1</v>
          </cell>
          <cell r="BB1211">
            <v>0</v>
          </cell>
          <cell r="BC1211">
            <v>0</v>
          </cell>
          <cell r="BD1211">
            <v>0</v>
          </cell>
          <cell r="BE1211">
            <v>0</v>
          </cell>
          <cell r="BF1211">
            <v>0</v>
          </cell>
          <cell r="BG1211">
            <v>0</v>
          </cell>
          <cell r="BH1211">
            <v>1</v>
          </cell>
          <cell r="BI1211">
            <v>0</v>
          </cell>
          <cell r="BJ1211">
            <v>0</v>
          </cell>
          <cell r="BK1211">
            <v>0</v>
          </cell>
          <cell r="BL1211">
            <v>1</v>
          </cell>
          <cell r="BM1211">
            <v>0</v>
          </cell>
          <cell r="BN1211">
            <v>0</v>
          </cell>
          <cell r="BO1211">
            <v>0</v>
          </cell>
          <cell r="BP1211">
            <v>0</v>
          </cell>
          <cell r="BQ1211">
            <v>0</v>
          </cell>
          <cell r="BR1211">
            <v>0</v>
          </cell>
          <cell r="BS1211">
            <v>0</v>
          </cell>
          <cell r="BT1211">
            <v>19</v>
          </cell>
          <cell r="BU1211">
            <v>0</v>
          </cell>
        </row>
        <row r="1212">
          <cell r="A1212">
            <v>33</v>
          </cell>
          <cell r="B1212">
            <v>33</v>
          </cell>
          <cell r="D1212">
            <v>0</v>
          </cell>
          <cell r="F1212">
            <v>0</v>
          </cell>
          <cell r="G1212">
            <v>1</v>
          </cell>
          <cell r="I1212">
            <v>1</v>
          </cell>
          <cell r="J1212">
            <v>0</v>
          </cell>
          <cell r="K1212">
            <v>21</v>
          </cell>
          <cell r="L1212">
            <v>21</v>
          </cell>
          <cell r="M1212">
            <v>3</v>
          </cell>
          <cell r="O1212">
            <v>0</v>
          </cell>
          <cell r="P1212">
            <v>0</v>
          </cell>
          <cell r="Q1212">
            <v>1</v>
          </cell>
          <cell r="R1212">
            <v>0</v>
          </cell>
          <cell r="S1212">
            <v>0</v>
          </cell>
          <cell r="T1212">
            <v>2</v>
          </cell>
          <cell r="V1212">
            <v>0</v>
          </cell>
          <cell r="W1212">
            <v>79</v>
          </cell>
          <cell r="X1212">
            <v>4</v>
          </cell>
          <cell r="Y1212">
            <v>1</v>
          </cell>
          <cell r="AA1212">
            <v>0</v>
          </cell>
          <cell r="AB1212">
            <v>0</v>
          </cell>
          <cell r="AC1212">
            <v>1</v>
          </cell>
          <cell r="AD1212">
            <v>0</v>
          </cell>
          <cell r="AE1212">
            <v>0</v>
          </cell>
          <cell r="AF1212">
            <v>0</v>
          </cell>
          <cell r="AG1212">
            <v>0</v>
          </cell>
          <cell r="AH1212">
            <v>0</v>
          </cell>
          <cell r="AI1212">
            <v>2</v>
          </cell>
          <cell r="AK1212">
            <v>0</v>
          </cell>
          <cell r="AL1212">
            <v>1</v>
          </cell>
          <cell r="AN1212">
            <v>2028</v>
          </cell>
          <cell r="AO1212">
            <v>1</v>
          </cell>
          <cell r="AQ1212">
            <v>0</v>
          </cell>
          <cell r="AR1212">
            <v>18</v>
          </cell>
          <cell r="AS1212">
            <v>3</v>
          </cell>
          <cell r="AT1212">
            <v>4</v>
          </cell>
          <cell r="AU1212">
            <v>3</v>
          </cell>
          <cell r="AV1212">
            <v>14</v>
          </cell>
          <cell r="AW1212">
            <v>14</v>
          </cell>
          <cell r="AX1212">
            <v>6</v>
          </cell>
          <cell r="AY1212">
            <v>3</v>
          </cell>
          <cell r="AZ1212">
            <v>14</v>
          </cell>
          <cell r="BA1212">
            <v>14</v>
          </cell>
          <cell r="BB1212">
            <v>11</v>
          </cell>
          <cell r="BC1212">
            <v>2</v>
          </cell>
          <cell r="BD1212">
            <v>2</v>
          </cell>
          <cell r="BE1212">
            <v>13</v>
          </cell>
          <cell r="BF1212">
            <v>13</v>
          </cell>
          <cell r="BG1212">
            <v>13</v>
          </cell>
          <cell r="BH1212">
            <v>0</v>
          </cell>
          <cell r="BI1212">
            <v>1</v>
          </cell>
          <cell r="BJ1212">
            <v>0</v>
          </cell>
          <cell r="BK1212">
            <v>0</v>
          </cell>
          <cell r="BL1212">
            <v>0</v>
          </cell>
          <cell r="BM1212">
            <v>0</v>
          </cell>
          <cell r="BN1212">
            <v>1</v>
          </cell>
          <cell r="BO1212">
            <v>0</v>
          </cell>
          <cell r="BP1212">
            <v>0</v>
          </cell>
          <cell r="BQ1212">
            <v>13</v>
          </cell>
          <cell r="BR1212">
            <v>0</v>
          </cell>
          <cell r="BS1212">
            <v>0</v>
          </cell>
          <cell r="BT1212">
            <v>14</v>
          </cell>
          <cell r="BU1212">
            <v>0</v>
          </cell>
        </row>
        <row r="1213">
          <cell r="A1213">
            <v>37</v>
          </cell>
          <cell r="B1213">
            <v>37</v>
          </cell>
          <cell r="D1213">
            <v>0</v>
          </cell>
          <cell r="F1213">
            <v>1</v>
          </cell>
          <cell r="G1213">
            <v>0</v>
          </cell>
          <cell r="I1213">
            <v>0</v>
          </cell>
          <cell r="J1213">
            <v>1</v>
          </cell>
          <cell r="K1213">
            <v>1</v>
          </cell>
          <cell r="L1213">
            <v>1</v>
          </cell>
          <cell r="M1213">
            <v>4</v>
          </cell>
          <cell r="O1213">
            <v>0</v>
          </cell>
          <cell r="P1213">
            <v>0</v>
          </cell>
          <cell r="Q1213">
            <v>1</v>
          </cell>
          <cell r="R1213">
            <v>0</v>
          </cell>
          <cell r="S1213">
            <v>0</v>
          </cell>
          <cell r="T1213">
            <v>3</v>
          </cell>
          <cell r="V1213">
            <v>0</v>
          </cell>
          <cell r="W1213">
            <v>31</v>
          </cell>
          <cell r="X1213">
            <v>1</v>
          </cell>
          <cell r="Y1213">
            <v>2</v>
          </cell>
          <cell r="AA1213">
            <v>0</v>
          </cell>
          <cell r="AB1213">
            <v>1</v>
          </cell>
          <cell r="AC1213">
            <v>0</v>
          </cell>
          <cell r="AD1213">
            <v>0</v>
          </cell>
          <cell r="AE1213">
            <v>0</v>
          </cell>
          <cell r="AF1213">
            <v>0</v>
          </cell>
          <cell r="AG1213">
            <v>0</v>
          </cell>
          <cell r="AH1213">
            <v>0</v>
          </cell>
          <cell r="AI1213">
            <v>4</v>
          </cell>
          <cell r="AK1213">
            <v>0</v>
          </cell>
          <cell r="AL1213">
            <v>0</v>
          </cell>
          <cell r="AN1213">
            <v>9525</v>
          </cell>
          <cell r="AO1213">
            <v>1</v>
          </cell>
          <cell r="AQ1213">
            <v>0</v>
          </cell>
          <cell r="AR1213">
            <v>14</v>
          </cell>
          <cell r="AS1213">
            <v>3</v>
          </cell>
          <cell r="AT1213">
            <v>3</v>
          </cell>
          <cell r="AU1213">
            <v>2</v>
          </cell>
          <cell r="AV1213">
            <v>6</v>
          </cell>
          <cell r="AW1213">
            <v>6</v>
          </cell>
          <cell r="AX1213">
            <v>2</v>
          </cell>
          <cell r="AY1213">
            <v>2</v>
          </cell>
          <cell r="AZ1213">
            <v>6</v>
          </cell>
          <cell r="BA1213">
            <v>6</v>
          </cell>
          <cell r="BB1213">
            <v>3</v>
          </cell>
          <cell r="BC1213">
            <v>1</v>
          </cell>
          <cell r="BD1213">
            <v>1</v>
          </cell>
          <cell r="BE1213">
            <v>3</v>
          </cell>
          <cell r="BF1213">
            <v>3</v>
          </cell>
          <cell r="BG1213">
            <v>6</v>
          </cell>
          <cell r="BH1213">
            <v>0</v>
          </cell>
          <cell r="BI1213">
            <v>0</v>
          </cell>
          <cell r="BJ1213">
            <v>1</v>
          </cell>
          <cell r="BK1213">
            <v>0</v>
          </cell>
          <cell r="BL1213">
            <v>1</v>
          </cell>
          <cell r="BM1213">
            <v>0</v>
          </cell>
          <cell r="BN1213">
            <v>0</v>
          </cell>
          <cell r="BO1213">
            <v>0</v>
          </cell>
          <cell r="BP1213">
            <v>0</v>
          </cell>
          <cell r="BQ1213">
            <v>0</v>
          </cell>
          <cell r="BR1213">
            <v>3</v>
          </cell>
          <cell r="BS1213">
            <v>0</v>
          </cell>
          <cell r="BT1213">
            <v>0</v>
          </cell>
          <cell r="BU1213">
            <v>6</v>
          </cell>
        </row>
        <row r="1214">
          <cell r="A1214">
            <v>34</v>
          </cell>
          <cell r="B1214">
            <v>34</v>
          </cell>
          <cell r="D1214">
            <v>0</v>
          </cell>
          <cell r="F1214">
            <v>0</v>
          </cell>
          <cell r="G1214">
            <v>1</v>
          </cell>
          <cell r="I1214">
            <v>1</v>
          </cell>
          <cell r="J1214">
            <v>0</v>
          </cell>
          <cell r="K1214">
            <v>19</v>
          </cell>
          <cell r="L1214">
            <v>19</v>
          </cell>
          <cell r="M1214">
            <v>3</v>
          </cell>
          <cell r="O1214">
            <v>1</v>
          </cell>
          <cell r="P1214">
            <v>0</v>
          </cell>
          <cell r="Q1214">
            <v>0</v>
          </cell>
          <cell r="R1214">
            <v>0</v>
          </cell>
          <cell r="S1214">
            <v>0</v>
          </cell>
          <cell r="T1214">
            <v>2</v>
          </cell>
          <cell r="V1214">
            <v>1</v>
          </cell>
          <cell r="W1214">
            <v>35</v>
          </cell>
          <cell r="X1214">
            <v>2</v>
          </cell>
          <cell r="Y1214">
            <v>1</v>
          </cell>
          <cell r="AA1214">
            <v>0</v>
          </cell>
          <cell r="AB1214">
            <v>0</v>
          </cell>
          <cell r="AC1214">
            <v>0</v>
          </cell>
          <cell r="AD1214">
            <v>0</v>
          </cell>
          <cell r="AE1214">
            <v>0</v>
          </cell>
          <cell r="AF1214">
            <v>0</v>
          </cell>
          <cell r="AG1214">
            <v>0</v>
          </cell>
          <cell r="AH1214">
            <v>1</v>
          </cell>
          <cell r="AI1214">
            <v>4</v>
          </cell>
          <cell r="AK1214">
            <v>0</v>
          </cell>
          <cell r="AL1214">
            <v>1</v>
          </cell>
          <cell r="AN1214">
            <v>2929</v>
          </cell>
          <cell r="AO1214">
            <v>1</v>
          </cell>
          <cell r="AQ1214">
            <v>0</v>
          </cell>
          <cell r="AR1214">
            <v>12</v>
          </cell>
          <cell r="AS1214">
            <v>3</v>
          </cell>
          <cell r="AT1214">
            <v>2</v>
          </cell>
          <cell r="AU1214">
            <v>0</v>
          </cell>
          <cell r="AV1214">
            <v>10</v>
          </cell>
          <cell r="AW1214">
            <v>10</v>
          </cell>
          <cell r="AX1214">
            <v>3</v>
          </cell>
          <cell r="AY1214">
            <v>3</v>
          </cell>
          <cell r="AZ1214">
            <v>10</v>
          </cell>
          <cell r="BA1214">
            <v>10</v>
          </cell>
          <cell r="BB1214">
            <v>9</v>
          </cell>
          <cell r="BC1214">
            <v>8</v>
          </cell>
          <cell r="BD1214">
            <v>8</v>
          </cell>
          <cell r="BE1214">
            <v>7</v>
          </cell>
          <cell r="BF1214">
            <v>7</v>
          </cell>
          <cell r="BG1214">
            <v>7</v>
          </cell>
          <cell r="BH1214">
            <v>0</v>
          </cell>
          <cell r="BI1214">
            <v>1</v>
          </cell>
          <cell r="BJ1214">
            <v>0</v>
          </cell>
          <cell r="BK1214">
            <v>0</v>
          </cell>
          <cell r="BL1214">
            <v>0</v>
          </cell>
          <cell r="BM1214">
            <v>0</v>
          </cell>
          <cell r="BN1214">
            <v>1</v>
          </cell>
          <cell r="BO1214">
            <v>0</v>
          </cell>
          <cell r="BP1214">
            <v>0</v>
          </cell>
          <cell r="BQ1214">
            <v>7</v>
          </cell>
          <cell r="BR1214">
            <v>0</v>
          </cell>
          <cell r="BS1214">
            <v>0</v>
          </cell>
          <cell r="BT1214">
            <v>10</v>
          </cell>
          <cell r="BU1214">
            <v>0</v>
          </cell>
        </row>
        <row r="1215">
          <cell r="A1215">
            <v>23</v>
          </cell>
          <cell r="B1215">
            <v>23</v>
          </cell>
          <cell r="D1215">
            <v>1</v>
          </cell>
          <cell r="F1215">
            <v>0</v>
          </cell>
          <cell r="G1215">
            <v>1</v>
          </cell>
          <cell r="I1215">
            <v>0</v>
          </cell>
          <cell r="J1215">
            <v>1</v>
          </cell>
          <cell r="K1215">
            <v>7</v>
          </cell>
          <cell r="L1215">
            <v>7</v>
          </cell>
          <cell r="M1215">
            <v>3</v>
          </cell>
          <cell r="O1215">
            <v>1</v>
          </cell>
          <cell r="P1215">
            <v>0</v>
          </cell>
          <cell r="Q1215">
            <v>0</v>
          </cell>
          <cell r="R1215">
            <v>0</v>
          </cell>
          <cell r="S1215">
            <v>0</v>
          </cell>
          <cell r="T1215">
            <v>3</v>
          </cell>
          <cell r="V1215">
            <v>0</v>
          </cell>
          <cell r="W1215">
            <v>99</v>
          </cell>
          <cell r="X1215">
            <v>3</v>
          </cell>
          <cell r="Y1215">
            <v>1</v>
          </cell>
          <cell r="AA1215">
            <v>0</v>
          </cell>
          <cell r="AB1215">
            <v>0</v>
          </cell>
          <cell r="AC1215">
            <v>0</v>
          </cell>
          <cell r="AD1215">
            <v>0</v>
          </cell>
          <cell r="AE1215">
            <v>0</v>
          </cell>
          <cell r="AF1215">
            <v>0</v>
          </cell>
          <cell r="AG1215">
            <v>1</v>
          </cell>
          <cell r="AH1215">
            <v>0</v>
          </cell>
          <cell r="AI1215">
            <v>4</v>
          </cell>
          <cell r="AK1215">
            <v>0</v>
          </cell>
          <cell r="AL1215">
            <v>0</v>
          </cell>
          <cell r="AN1215">
            <v>2275</v>
          </cell>
          <cell r="AO1215">
            <v>1</v>
          </cell>
          <cell r="AQ1215">
            <v>1</v>
          </cell>
          <cell r="AR1215">
            <v>21</v>
          </cell>
          <cell r="AS1215">
            <v>4</v>
          </cell>
          <cell r="AT1215">
            <v>2</v>
          </cell>
          <cell r="AU1215">
            <v>1</v>
          </cell>
          <cell r="AV1215">
            <v>3</v>
          </cell>
          <cell r="AW1215">
            <v>3</v>
          </cell>
          <cell r="AX1215">
            <v>2</v>
          </cell>
          <cell r="AY1215">
            <v>3</v>
          </cell>
          <cell r="AZ1215">
            <v>3</v>
          </cell>
          <cell r="BA1215">
            <v>3</v>
          </cell>
          <cell r="BB1215">
            <v>2</v>
          </cell>
          <cell r="BC1215">
            <v>0</v>
          </cell>
          <cell r="BD1215">
            <v>0</v>
          </cell>
          <cell r="BE1215">
            <v>2</v>
          </cell>
          <cell r="BF1215">
            <v>2</v>
          </cell>
          <cell r="BG1215">
            <v>2</v>
          </cell>
          <cell r="BH1215">
            <v>1</v>
          </cell>
          <cell r="BI1215">
            <v>0</v>
          </cell>
          <cell r="BJ1215">
            <v>0</v>
          </cell>
          <cell r="BK1215">
            <v>0</v>
          </cell>
          <cell r="BL1215">
            <v>0</v>
          </cell>
          <cell r="BM1215">
            <v>1</v>
          </cell>
          <cell r="BN1215">
            <v>0</v>
          </cell>
          <cell r="BO1215">
            <v>0</v>
          </cell>
          <cell r="BP1215">
            <v>0</v>
          </cell>
          <cell r="BQ1215">
            <v>0</v>
          </cell>
          <cell r="BR1215">
            <v>2</v>
          </cell>
          <cell r="BS1215">
            <v>0</v>
          </cell>
          <cell r="BT1215">
            <v>0</v>
          </cell>
          <cell r="BU1215">
            <v>3</v>
          </cell>
        </row>
        <row r="1216">
          <cell r="A1216">
            <v>44</v>
          </cell>
          <cell r="B1216">
            <v>44</v>
          </cell>
          <cell r="D1216">
            <v>0</v>
          </cell>
          <cell r="F1216">
            <v>0</v>
          </cell>
          <cell r="G1216">
            <v>1</v>
          </cell>
          <cell r="I1216">
            <v>1</v>
          </cell>
          <cell r="J1216">
            <v>0</v>
          </cell>
          <cell r="K1216">
            <v>2</v>
          </cell>
          <cell r="L1216">
            <v>2</v>
          </cell>
          <cell r="M1216">
            <v>3</v>
          </cell>
          <cell r="O1216">
            <v>1</v>
          </cell>
          <cell r="P1216">
            <v>0</v>
          </cell>
          <cell r="Q1216">
            <v>0</v>
          </cell>
          <cell r="R1216">
            <v>0</v>
          </cell>
          <cell r="S1216">
            <v>0</v>
          </cell>
          <cell r="T1216">
            <v>3</v>
          </cell>
          <cell r="V1216">
            <v>1</v>
          </cell>
          <cell r="W1216">
            <v>96</v>
          </cell>
          <cell r="X1216">
            <v>4</v>
          </cell>
          <cell r="Y1216">
            <v>3</v>
          </cell>
          <cell r="AA1216">
            <v>1</v>
          </cell>
          <cell r="AB1216">
            <v>0</v>
          </cell>
          <cell r="AC1216">
            <v>0</v>
          </cell>
          <cell r="AD1216">
            <v>0</v>
          </cell>
          <cell r="AE1216">
            <v>0</v>
          </cell>
          <cell r="AF1216">
            <v>0</v>
          </cell>
          <cell r="AG1216">
            <v>0</v>
          </cell>
          <cell r="AH1216">
            <v>0</v>
          </cell>
          <cell r="AI1216">
            <v>4</v>
          </cell>
          <cell r="AK1216">
            <v>0</v>
          </cell>
          <cell r="AL1216">
            <v>1</v>
          </cell>
          <cell r="AN1216">
            <v>7879</v>
          </cell>
          <cell r="AO1216">
            <v>1</v>
          </cell>
          <cell r="AQ1216">
            <v>1</v>
          </cell>
          <cell r="AR1216">
            <v>19</v>
          </cell>
          <cell r="AS1216">
            <v>3</v>
          </cell>
          <cell r="AT1216">
            <v>2</v>
          </cell>
          <cell r="AU1216">
            <v>1</v>
          </cell>
          <cell r="AV1216">
            <v>9</v>
          </cell>
          <cell r="AW1216">
            <v>9</v>
          </cell>
          <cell r="AX1216">
            <v>2</v>
          </cell>
          <cell r="AY1216">
            <v>3</v>
          </cell>
          <cell r="AZ1216">
            <v>8</v>
          </cell>
          <cell r="BA1216">
            <v>8</v>
          </cell>
          <cell r="BB1216">
            <v>7</v>
          </cell>
          <cell r="BC1216">
            <v>6</v>
          </cell>
          <cell r="BD1216">
            <v>6</v>
          </cell>
          <cell r="BE1216">
            <v>7</v>
          </cell>
          <cell r="BF1216">
            <v>7</v>
          </cell>
          <cell r="BG1216">
            <v>21</v>
          </cell>
          <cell r="BH1216">
            <v>0</v>
          </cell>
          <cell r="BI1216">
            <v>1</v>
          </cell>
          <cell r="BJ1216">
            <v>0</v>
          </cell>
          <cell r="BK1216">
            <v>0</v>
          </cell>
          <cell r="BL1216">
            <v>0</v>
          </cell>
          <cell r="BM1216">
            <v>0</v>
          </cell>
          <cell r="BN1216">
            <v>0</v>
          </cell>
          <cell r="BO1216">
            <v>1</v>
          </cell>
          <cell r="BP1216">
            <v>0</v>
          </cell>
          <cell r="BQ1216">
            <v>7</v>
          </cell>
          <cell r="BR1216">
            <v>0</v>
          </cell>
          <cell r="BS1216">
            <v>0</v>
          </cell>
          <cell r="BT1216">
            <v>9</v>
          </cell>
          <cell r="BU1216">
            <v>0</v>
          </cell>
        </row>
        <row r="1217">
          <cell r="A1217">
            <v>35</v>
          </cell>
          <cell r="B1217">
            <v>35</v>
          </cell>
          <cell r="D1217">
            <v>0</v>
          </cell>
          <cell r="F1217">
            <v>1</v>
          </cell>
          <cell r="G1217">
            <v>0</v>
          </cell>
          <cell r="I1217">
            <v>1</v>
          </cell>
          <cell r="J1217">
            <v>0</v>
          </cell>
          <cell r="K1217">
            <v>2</v>
          </cell>
          <cell r="L1217">
            <v>2</v>
          </cell>
          <cell r="M1217">
            <v>4</v>
          </cell>
          <cell r="O1217">
            <v>0</v>
          </cell>
          <cell r="P1217">
            <v>0</v>
          </cell>
          <cell r="Q1217">
            <v>1</v>
          </cell>
          <cell r="R1217">
            <v>0</v>
          </cell>
          <cell r="S1217">
            <v>0</v>
          </cell>
          <cell r="T1217">
            <v>1</v>
          </cell>
          <cell r="V1217">
            <v>0</v>
          </cell>
          <cell r="W1217">
            <v>79</v>
          </cell>
          <cell r="X1217">
            <v>2</v>
          </cell>
          <cell r="Y1217">
            <v>1</v>
          </cell>
          <cell r="AA1217">
            <v>0</v>
          </cell>
          <cell r="AB1217">
            <v>0</v>
          </cell>
          <cell r="AC1217">
            <v>0</v>
          </cell>
          <cell r="AD1217">
            <v>0</v>
          </cell>
          <cell r="AE1217">
            <v>0</v>
          </cell>
          <cell r="AF1217">
            <v>0</v>
          </cell>
          <cell r="AG1217">
            <v>0</v>
          </cell>
          <cell r="AH1217">
            <v>1</v>
          </cell>
          <cell r="AI1217">
            <v>4</v>
          </cell>
          <cell r="AK1217">
            <v>1</v>
          </cell>
          <cell r="AL1217">
            <v>0</v>
          </cell>
          <cell r="AN1217">
            <v>4930</v>
          </cell>
          <cell r="AO1217">
            <v>0</v>
          </cell>
          <cell r="AQ1217">
            <v>1</v>
          </cell>
          <cell r="AR1217">
            <v>14</v>
          </cell>
          <cell r="AS1217">
            <v>3</v>
          </cell>
          <cell r="AT1217">
            <v>3</v>
          </cell>
          <cell r="AU1217">
            <v>0</v>
          </cell>
          <cell r="AV1217">
            <v>6</v>
          </cell>
          <cell r="AW1217">
            <v>6</v>
          </cell>
          <cell r="AX1217">
            <v>2</v>
          </cell>
          <cell r="AY1217">
            <v>4</v>
          </cell>
          <cell r="AZ1217">
            <v>5</v>
          </cell>
          <cell r="BA1217">
            <v>5</v>
          </cell>
          <cell r="BB1217">
            <v>4</v>
          </cell>
          <cell r="BC1217">
            <v>1</v>
          </cell>
          <cell r="BD1217">
            <v>1</v>
          </cell>
          <cell r="BE1217">
            <v>4</v>
          </cell>
          <cell r="BF1217">
            <v>4</v>
          </cell>
          <cell r="BG1217">
            <v>4</v>
          </cell>
          <cell r="BH1217">
            <v>0</v>
          </cell>
          <cell r="BI1217">
            <v>0</v>
          </cell>
          <cell r="BJ1217">
            <v>1</v>
          </cell>
          <cell r="BK1217">
            <v>0</v>
          </cell>
          <cell r="BL1217">
            <v>0</v>
          </cell>
          <cell r="BM1217">
            <v>1</v>
          </cell>
          <cell r="BN1217">
            <v>0</v>
          </cell>
          <cell r="BO1217">
            <v>0</v>
          </cell>
          <cell r="BP1217">
            <v>0</v>
          </cell>
          <cell r="BQ1217">
            <v>4</v>
          </cell>
          <cell r="BR1217">
            <v>0</v>
          </cell>
          <cell r="BS1217">
            <v>0</v>
          </cell>
          <cell r="BT1217">
            <v>6</v>
          </cell>
          <cell r="BU1217">
            <v>0</v>
          </cell>
        </row>
        <row r="1218">
          <cell r="A1218">
            <v>43</v>
          </cell>
          <cell r="B1218">
            <v>43</v>
          </cell>
          <cell r="D1218">
            <v>0</v>
          </cell>
          <cell r="F1218">
            <v>0</v>
          </cell>
          <cell r="G1218">
            <v>1</v>
          </cell>
          <cell r="I1218">
            <v>0</v>
          </cell>
          <cell r="J1218">
            <v>1</v>
          </cell>
          <cell r="K1218">
            <v>2</v>
          </cell>
          <cell r="L1218">
            <v>2</v>
          </cell>
          <cell r="M1218">
            <v>3</v>
          </cell>
          <cell r="O1218">
            <v>0</v>
          </cell>
          <cell r="P1218">
            <v>0</v>
          </cell>
          <cell r="Q1218">
            <v>1</v>
          </cell>
          <cell r="R1218">
            <v>0</v>
          </cell>
          <cell r="S1218">
            <v>0</v>
          </cell>
          <cell r="T1218">
            <v>4</v>
          </cell>
          <cell r="V1218">
            <v>0</v>
          </cell>
          <cell r="W1218">
            <v>73</v>
          </cell>
          <cell r="X1218">
            <v>3</v>
          </cell>
          <cell r="Y1218">
            <v>2</v>
          </cell>
          <cell r="AA1218">
            <v>0</v>
          </cell>
          <cell r="AB1218">
            <v>1</v>
          </cell>
          <cell r="AC1218">
            <v>0</v>
          </cell>
          <cell r="AD1218">
            <v>0</v>
          </cell>
          <cell r="AE1218">
            <v>0</v>
          </cell>
          <cell r="AF1218">
            <v>0</v>
          </cell>
          <cell r="AG1218">
            <v>0</v>
          </cell>
          <cell r="AH1218">
            <v>0</v>
          </cell>
          <cell r="AI1218">
            <v>4</v>
          </cell>
          <cell r="AK1218">
            <v>0</v>
          </cell>
          <cell r="AL1218">
            <v>1</v>
          </cell>
          <cell r="AN1218">
            <v>7847</v>
          </cell>
          <cell r="AO1218">
            <v>1</v>
          </cell>
          <cell r="AQ1218">
            <v>1</v>
          </cell>
          <cell r="AR1218">
            <v>17</v>
          </cell>
          <cell r="AS1218">
            <v>3</v>
          </cell>
          <cell r="AT1218">
            <v>1</v>
          </cell>
          <cell r="AU1218">
            <v>1</v>
          </cell>
          <cell r="AV1218">
            <v>10</v>
          </cell>
          <cell r="AW1218">
            <v>10</v>
          </cell>
          <cell r="AX1218">
            <v>3</v>
          </cell>
          <cell r="AY1218">
            <v>3</v>
          </cell>
          <cell r="AZ1218">
            <v>10</v>
          </cell>
          <cell r="BA1218">
            <v>10</v>
          </cell>
          <cell r="BB1218">
            <v>9</v>
          </cell>
          <cell r="BC1218">
            <v>8</v>
          </cell>
          <cell r="BD1218">
            <v>8</v>
          </cell>
          <cell r="BE1218">
            <v>8</v>
          </cell>
          <cell r="BF1218">
            <v>8</v>
          </cell>
          <cell r="BG1218">
            <v>16</v>
          </cell>
          <cell r="BH1218">
            <v>0</v>
          </cell>
          <cell r="BI1218">
            <v>1</v>
          </cell>
          <cell r="BJ1218">
            <v>0</v>
          </cell>
          <cell r="BK1218">
            <v>0</v>
          </cell>
          <cell r="BL1218">
            <v>0</v>
          </cell>
          <cell r="BM1218">
            <v>0</v>
          </cell>
          <cell r="BN1218">
            <v>0</v>
          </cell>
          <cell r="BO1218">
            <v>1</v>
          </cell>
          <cell r="BP1218">
            <v>0</v>
          </cell>
          <cell r="BQ1218">
            <v>0</v>
          </cell>
          <cell r="BR1218">
            <v>8</v>
          </cell>
          <cell r="BS1218">
            <v>0</v>
          </cell>
          <cell r="BT1218">
            <v>0</v>
          </cell>
          <cell r="BU1218">
            <v>10</v>
          </cell>
        </row>
        <row r="1219">
          <cell r="A1219">
            <v>24</v>
          </cell>
          <cell r="B1219">
            <v>24</v>
          </cell>
          <cell r="D1219">
            <v>0</v>
          </cell>
          <cell r="F1219">
            <v>0</v>
          </cell>
          <cell r="G1219">
            <v>1</v>
          </cell>
          <cell r="I1219">
            <v>1</v>
          </cell>
          <cell r="J1219">
            <v>0</v>
          </cell>
          <cell r="K1219">
            <v>9</v>
          </cell>
          <cell r="L1219">
            <v>9</v>
          </cell>
          <cell r="M1219">
            <v>3</v>
          </cell>
          <cell r="O1219">
            <v>0</v>
          </cell>
          <cell r="P1219">
            <v>0</v>
          </cell>
          <cell r="Q1219">
            <v>1</v>
          </cell>
          <cell r="R1219">
            <v>0</v>
          </cell>
          <cell r="S1219">
            <v>0</v>
          </cell>
          <cell r="T1219">
            <v>3</v>
          </cell>
          <cell r="V1219">
            <v>0</v>
          </cell>
          <cell r="W1219">
            <v>62</v>
          </cell>
          <cell r="X1219">
            <v>4</v>
          </cell>
          <cell r="Y1219">
            <v>1</v>
          </cell>
          <cell r="AA1219">
            <v>0</v>
          </cell>
          <cell r="AB1219">
            <v>0</v>
          </cell>
          <cell r="AC1219">
            <v>0</v>
          </cell>
          <cell r="AD1219">
            <v>0</v>
          </cell>
          <cell r="AE1219">
            <v>0</v>
          </cell>
          <cell r="AF1219">
            <v>0</v>
          </cell>
          <cell r="AG1219">
            <v>0</v>
          </cell>
          <cell r="AH1219">
            <v>1</v>
          </cell>
          <cell r="AI1219">
            <v>3</v>
          </cell>
          <cell r="AK1219">
            <v>0</v>
          </cell>
          <cell r="AL1219">
            <v>1</v>
          </cell>
          <cell r="AN1219">
            <v>4401</v>
          </cell>
          <cell r="AO1219">
            <v>1</v>
          </cell>
          <cell r="AQ1219">
            <v>0</v>
          </cell>
          <cell r="AR1219">
            <v>16</v>
          </cell>
          <cell r="AS1219">
            <v>3</v>
          </cell>
          <cell r="AT1219">
            <v>4</v>
          </cell>
          <cell r="AU1219">
            <v>1</v>
          </cell>
          <cell r="AV1219">
            <v>5</v>
          </cell>
          <cell r="AW1219">
            <v>5</v>
          </cell>
          <cell r="AX1219">
            <v>1</v>
          </cell>
          <cell r="AY1219">
            <v>3</v>
          </cell>
          <cell r="AZ1219">
            <v>5</v>
          </cell>
          <cell r="BA1219">
            <v>5</v>
          </cell>
          <cell r="BB1219">
            <v>3</v>
          </cell>
          <cell r="BC1219">
            <v>0</v>
          </cell>
          <cell r="BD1219">
            <v>0</v>
          </cell>
          <cell r="BE1219">
            <v>4</v>
          </cell>
          <cell r="BF1219">
            <v>4</v>
          </cell>
          <cell r="BG1219">
            <v>4</v>
          </cell>
          <cell r="BH1219">
            <v>0</v>
          </cell>
          <cell r="BI1219">
            <v>1</v>
          </cell>
          <cell r="BJ1219">
            <v>0</v>
          </cell>
          <cell r="BK1219">
            <v>0</v>
          </cell>
          <cell r="BL1219">
            <v>0</v>
          </cell>
          <cell r="BM1219">
            <v>0</v>
          </cell>
          <cell r="BN1219">
            <v>1</v>
          </cell>
          <cell r="BO1219">
            <v>0</v>
          </cell>
          <cell r="BP1219">
            <v>0</v>
          </cell>
          <cell r="BQ1219">
            <v>4</v>
          </cell>
          <cell r="BR1219">
            <v>0</v>
          </cell>
          <cell r="BS1219">
            <v>0</v>
          </cell>
          <cell r="BT1219">
            <v>5</v>
          </cell>
          <cell r="BU1219">
            <v>0</v>
          </cell>
        </row>
        <row r="1220">
          <cell r="A1220">
            <v>41</v>
          </cell>
          <cell r="B1220">
            <v>41</v>
          </cell>
          <cell r="D1220">
            <v>0</v>
          </cell>
          <cell r="F1220">
            <v>0</v>
          </cell>
          <cell r="G1220">
            <v>1</v>
          </cell>
          <cell r="I1220">
            <v>0</v>
          </cell>
          <cell r="J1220">
            <v>1</v>
          </cell>
          <cell r="K1220">
            <v>6</v>
          </cell>
          <cell r="L1220">
            <v>6</v>
          </cell>
          <cell r="M1220">
            <v>3</v>
          </cell>
          <cell r="O1220">
            <v>0</v>
          </cell>
          <cell r="P1220">
            <v>0</v>
          </cell>
          <cell r="Q1220">
            <v>0</v>
          </cell>
          <cell r="R1220">
            <v>1</v>
          </cell>
          <cell r="S1220">
            <v>0</v>
          </cell>
          <cell r="T1220">
            <v>4</v>
          </cell>
          <cell r="V1220">
            <v>0</v>
          </cell>
          <cell r="W1220">
            <v>35</v>
          </cell>
          <cell r="X1220">
            <v>3</v>
          </cell>
          <cell r="Y1220">
            <v>3</v>
          </cell>
          <cell r="AA1220">
            <v>0</v>
          </cell>
          <cell r="AB1220">
            <v>1</v>
          </cell>
          <cell r="AC1220">
            <v>0</v>
          </cell>
          <cell r="AD1220">
            <v>0</v>
          </cell>
          <cell r="AE1220">
            <v>0</v>
          </cell>
          <cell r="AF1220">
            <v>0</v>
          </cell>
          <cell r="AG1220">
            <v>0</v>
          </cell>
          <cell r="AH1220">
            <v>0</v>
          </cell>
          <cell r="AI1220">
            <v>3</v>
          </cell>
          <cell r="AK1220">
            <v>1</v>
          </cell>
          <cell r="AL1220">
            <v>0</v>
          </cell>
          <cell r="AN1220">
            <v>9241</v>
          </cell>
          <cell r="AO1220">
            <v>1</v>
          </cell>
          <cell r="AQ1220">
            <v>0</v>
          </cell>
          <cell r="AR1220">
            <v>12</v>
          </cell>
          <cell r="AS1220">
            <v>3</v>
          </cell>
          <cell r="AT1220">
            <v>2</v>
          </cell>
          <cell r="AU1220">
            <v>0</v>
          </cell>
          <cell r="AV1220">
            <v>10</v>
          </cell>
          <cell r="AW1220">
            <v>10</v>
          </cell>
          <cell r="AX1220">
            <v>3</v>
          </cell>
          <cell r="AY1220">
            <v>3</v>
          </cell>
          <cell r="AZ1220">
            <v>10</v>
          </cell>
          <cell r="BA1220">
            <v>10</v>
          </cell>
          <cell r="BB1220">
            <v>8</v>
          </cell>
          <cell r="BC1220">
            <v>8</v>
          </cell>
          <cell r="BD1220">
            <v>8</v>
          </cell>
          <cell r="BE1220">
            <v>7</v>
          </cell>
          <cell r="BF1220">
            <v>7</v>
          </cell>
          <cell r="BG1220">
            <v>21</v>
          </cell>
          <cell r="BH1220">
            <v>1</v>
          </cell>
          <cell r="BI1220">
            <v>0</v>
          </cell>
          <cell r="BJ1220">
            <v>0</v>
          </cell>
          <cell r="BK1220">
            <v>0</v>
          </cell>
          <cell r="BL1220">
            <v>1</v>
          </cell>
          <cell r="BM1220">
            <v>0</v>
          </cell>
          <cell r="BN1220">
            <v>0</v>
          </cell>
          <cell r="BO1220">
            <v>0</v>
          </cell>
          <cell r="BP1220">
            <v>0</v>
          </cell>
          <cell r="BQ1220">
            <v>0</v>
          </cell>
          <cell r="BR1220">
            <v>7</v>
          </cell>
          <cell r="BS1220">
            <v>0</v>
          </cell>
          <cell r="BT1220">
            <v>0</v>
          </cell>
          <cell r="BU1220">
            <v>10</v>
          </cell>
        </row>
        <row r="1221">
          <cell r="A1221">
            <v>29</v>
          </cell>
          <cell r="B1221">
            <v>29</v>
          </cell>
          <cell r="D1221">
            <v>0</v>
          </cell>
          <cell r="F1221">
            <v>0</v>
          </cell>
          <cell r="G1221">
            <v>1</v>
          </cell>
          <cell r="I1221">
            <v>1</v>
          </cell>
          <cell r="J1221">
            <v>0</v>
          </cell>
          <cell r="K1221">
            <v>9</v>
          </cell>
          <cell r="L1221">
            <v>9</v>
          </cell>
          <cell r="M1221">
            <v>4</v>
          </cell>
          <cell r="O1221">
            <v>0</v>
          </cell>
          <cell r="P1221">
            <v>0</v>
          </cell>
          <cell r="Q1221">
            <v>1</v>
          </cell>
          <cell r="R1221">
            <v>0</v>
          </cell>
          <cell r="S1221">
            <v>0</v>
          </cell>
          <cell r="T1221">
            <v>4</v>
          </cell>
          <cell r="V1221">
            <v>1</v>
          </cell>
          <cell r="W1221">
            <v>43</v>
          </cell>
          <cell r="X1221">
            <v>3</v>
          </cell>
          <cell r="Y1221">
            <v>1</v>
          </cell>
          <cell r="AA1221">
            <v>0</v>
          </cell>
          <cell r="AB1221">
            <v>0</v>
          </cell>
          <cell r="AC1221">
            <v>1</v>
          </cell>
          <cell r="AD1221">
            <v>0</v>
          </cell>
          <cell r="AE1221">
            <v>0</v>
          </cell>
          <cell r="AF1221">
            <v>0</v>
          </cell>
          <cell r="AG1221">
            <v>0</v>
          </cell>
          <cell r="AH1221">
            <v>0</v>
          </cell>
          <cell r="AI1221">
            <v>3</v>
          </cell>
          <cell r="AK1221">
            <v>0</v>
          </cell>
          <cell r="AL1221">
            <v>1</v>
          </cell>
          <cell r="AN1221">
            <v>2974</v>
          </cell>
          <cell r="AO1221">
            <v>9</v>
          </cell>
          <cell r="AQ1221">
            <v>0</v>
          </cell>
          <cell r="AR1221">
            <v>17</v>
          </cell>
          <cell r="AS1221">
            <v>3</v>
          </cell>
          <cell r="AT1221">
            <v>3</v>
          </cell>
          <cell r="AU1221">
            <v>1</v>
          </cell>
          <cell r="AV1221">
            <v>9</v>
          </cell>
          <cell r="AW1221">
            <v>9</v>
          </cell>
          <cell r="AX1221">
            <v>2</v>
          </cell>
          <cell r="AY1221">
            <v>3</v>
          </cell>
          <cell r="AZ1221">
            <v>5</v>
          </cell>
          <cell r="BA1221">
            <v>5</v>
          </cell>
          <cell r="BB1221">
            <v>3</v>
          </cell>
          <cell r="BC1221">
            <v>1</v>
          </cell>
          <cell r="BD1221">
            <v>1</v>
          </cell>
          <cell r="BE1221">
            <v>2</v>
          </cell>
          <cell r="BF1221">
            <v>2</v>
          </cell>
          <cell r="BG1221">
            <v>2</v>
          </cell>
          <cell r="BH1221">
            <v>0</v>
          </cell>
          <cell r="BI1221">
            <v>1</v>
          </cell>
          <cell r="BJ1221">
            <v>0</v>
          </cell>
          <cell r="BK1221">
            <v>0</v>
          </cell>
          <cell r="BL1221">
            <v>0</v>
          </cell>
          <cell r="BM1221">
            <v>0</v>
          </cell>
          <cell r="BN1221">
            <v>1</v>
          </cell>
          <cell r="BO1221">
            <v>0</v>
          </cell>
          <cell r="BP1221">
            <v>0</v>
          </cell>
          <cell r="BQ1221">
            <v>2</v>
          </cell>
          <cell r="BR1221">
            <v>0</v>
          </cell>
          <cell r="BS1221">
            <v>0</v>
          </cell>
          <cell r="BT1221">
            <v>9</v>
          </cell>
          <cell r="BU1221">
            <v>0</v>
          </cell>
        </row>
        <row r="1222">
          <cell r="A1222">
            <v>36</v>
          </cell>
          <cell r="B1222">
            <v>36</v>
          </cell>
          <cell r="D1222">
            <v>0</v>
          </cell>
          <cell r="F1222">
            <v>0</v>
          </cell>
          <cell r="G1222">
            <v>1</v>
          </cell>
          <cell r="I1222">
            <v>0</v>
          </cell>
          <cell r="J1222">
            <v>1</v>
          </cell>
          <cell r="K1222">
            <v>2</v>
          </cell>
          <cell r="L1222">
            <v>2</v>
          </cell>
          <cell r="M1222">
            <v>4</v>
          </cell>
          <cell r="O1222">
            <v>1</v>
          </cell>
          <cell r="P1222">
            <v>0</v>
          </cell>
          <cell r="Q1222">
            <v>0</v>
          </cell>
          <cell r="R1222">
            <v>0</v>
          </cell>
          <cell r="S1222">
            <v>0</v>
          </cell>
          <cell r="T1222">
            <v>3</v>
          </cell>
          <cell r="V1222">
            <v>1</v>
          </cell>
          <cell r="W1222">
            <v>51</v>
          </cell>
          <cell r="X1222">
            <v>3</v>
          </cell>
          <cell r="Y1222">
            <v>2</v>
          </cell>
          <cell r="AA1222">
            <v>0</v>
          </cell>
          <cell r="AB1222">
            <v>0</v>
          </cell>
          <cell r="AC1222">
            <v>0</v>
          </cell>
          <cell r="AD1222">
            <v>0</v>
          </cell>
          <cell r="AE1222">
            <v>0</v>
          </cell>
          <cell r="AF1222">
            <v>0</v>
          </cell>
          <cell r="AG1222">
            <v>1</v>
          </cell>
          <cell r="AH1222">
            <v>0</v>
          </cell>
          <cell r="AI1222">
            <v>4</v>
          </cell>
          <cell r="AK1222">
            <v>1</v>
          </cell>
          <cell r="AL1222">
            <v>0</v>
          </cell>
          <cell r="AN1222">
            <v>4502</v>
          </cell>
          <cell r="AO1222">
            <v>3</v>
          </cell>
          <cell r="AQ1222">
            <v>0</v>
          </cell>
          <cell r="AR1222">
            <v>15</v>
          </cell>
          <cell r="AS1222">
            <v>3</v>
          </cell>
          <cell r="AT1222">
            <v>3</v>
          </cell>
          <cell r="AU1222">
            <v>0</v>
          </cell>
          <cell r="AV1222">
            <v>17</v>
          </cell>
          <cell r="AW1222">
            <v>17</v>
          </cell>
          <cell r="AX1222">
            <v>2</v>
          </cell>
          <cell r="AY1222">
            <v>2</v>
          </cell>
          <cell r="AZ1222">
            <v>13</v>
          </cell>
          <cell r="BA1222">
            <v>13</v>
          </cell>
          <cell r="BB1222">
            <v>7</v>
          </cell>
          <cell r="BC1222">
            <v>6</v>
          </cell>
          <cell r="BD1222">
            <v>6</v>
          </cell>
          <cell r="BE1222">
            <v>7</v>
          </cell>
          <cell r="BF1222">
            <v>7</v>
          </cell>
          <cell r="BG1222">
            <v>14</v>
          </cell>
          <cell r="BH1222">
            <v>1</v>
          </cell>
          <cell r="BI1222">
            <v>0</v>
          </cell>
          <cell r="BJ1222">
            <v>0</v>
          </cell>
          <cell r="BK1222">
            <v>0</v>
          </cell>
          <cell r="BL1222">
            <v>1</v>
          </cell>
          <cell r="BM1222">
            <v>0</v>
          </cell>
          <cell r="BN1222">
            <v>0</v>
          </cell>
          <cell r="BO1222">
            <v>0</v>
          </cell>
          <cell r="BP1222">
            <v>0</v>
          </cell>
          <cell r="BQ1222">
            <v>0</v>
          </cell>
          <cell r="BR1222">
            <v>7</v>
          </cell>
          <cell r="BS1222">
            <v>0</v>
          </cell>
          <cell r="BT1222">
            <v>0</v>
          </cell>
          <cell r="BU1222">
            <v>17</v>
          </cell>
        </row>
        <row r="1223">
          <cell r="A1223">
            <v>45</v>
          </cell>
          <cell r="B1223">
            <v>45</v>
          </cell>
          <cell r="D1223">
            <v>0</v>
          </cell>
          <cell r="F1223">
            <v>0</v>
          </cell>
          <cell r="G1223">
            <v>0</v>
          </cell>
          <cell r="I1223">
            <v>1</v>
          </cell>
          <cell r="J1223">
            <v>0</v>
          </cell>
          <cell r="K1223">
            <v>1</v>
          </cell>
          <cell r="L1223">
            <v>1</v>
          </cell>
          <cell r="M1223">
            <v>1</v>
          </cell>
          <cell r="O1223">
            <v>1</v>
          </cell>
          <cell r="P1223">
            <v>0</v>
          </cell>
          <cell r="Q1223">
            <v>0</v>
          </cell>
          <cell r="R1223">
            <v>0</v>
          </cell>
          <cell r="S1223">
            <v>0</v>
          </cell>
          <cell r="T1223">
            <v>3</v>
          </cell>
          <cell r="V1223">
            <v>0</v>
          </cell>
          <cell r="W1223">
            <v>74</v>
          </cell>
          <cell r="X1223">
            <v>2</v>
          </cell>
          <cell r="Y1223">
            <v>3</v>
          </cell>
          <cell r="AA1223">
            <v>1</v>
          </cell>
          <cell r="AB1223">
            <v>0</v>
          </cell>
          <cell r="AC1223">
            <v>0</v>
          </cell>
          <cell r="AD1223">
            <v>0</v>
          </cell>
          <cell r="AE1223">
            <v>0</v>
          </cell>
          <cell r="AF1223">
            <v>0</v>
          </cell>
          <cell r="AG1223">
            <v>0</v>
          </cell>
          <cell r="AH1223">
            <v>0</v>
          </cell>
          <cell r="AI1223">
            <v>3</v>
          </cell>
          <cell r="AK1223">
            <v>0</v>
          </cell>
          <cell r="AL1223">
            <v>1</v>
          </cell>
          <cell r="AN1223">
            <v>10748</v>
          </cell>
          <cell r="AO1223">
            <v>3</v>
          </cell>
          <cell r="AQ1223">
            <v>0</v>
          </cell>
          <cell r="AR1223">
            <v>23</v>
          </cell>
          <cell r="AS1223">
            <v>4</v>
          </cell>
          <cell r="AT1223">
            <v>4</v>
          </cell>
          <cell r="AU1223">
            <v>1</v>
          </cell>
          <cell r="AV1223">
            <v>25</v>
          </cell>
          <cell r="AW1223">
            <v>25</v>
          </cell>
          <cell r="AX1223">
            <v>3</v>
          </cell>
          <cell r="AY1223">
            <v>2</v>
          </cell>
          <cell r="AZ1223">
            <v>23</v>
          </cell>
          <cell r="BA1223">
            <v>23</v>
          </cell>
          <cell r="BB1223">
            <v>15</v>
          </cell>
          <cell r="BC1223">
            <v>14</v>
          </cell>
          <cell r="BD1223">
            <v>14</v>
          </cell>
          <cell r="BE1223">
            <v>4</v>
          </cell>
          <cell r="BF1223">
            <v>4</v>
          </cell>
          <cell r="BG1223">
            <v>12</v>
          </cell>
          <cell r="BH1223">
            <v>0</v>
          </cell>
          <cell r="BI1223">
            <v>1</v>
          </cell>
          <cell r="BJ1223">
            <v>0</v>
          </cell>
          <cell r="BK1223">
            <v>0</v>
          </cell>
          <cell r="BL1223">
            <v>0</v>
          </cell>
          <cell r="BM1223">
            <v>0</v>
          </cell>
          <cell r="BN1223">
            <v>1</v>
          </cell>
          <cell r="BO1223">
            <v>0</v>
          </cell>
          <cell r="BP1223">
            <v>0</v>
          </cell>
          <cell r="BQ1223">
            <v>4</v>
          </cell>
          <cell r="BR1223">
            <v>0</v>
          </cell>
          <cell r="BS1223">
            <v>0</v>
          </cell>
          <cell r="BT1223">
            <v>25</v>
          </cell>
          <cell r="BU1223">
            <v>0</v>
          </cell>
        </row>
        <row r="1224">
          <cell r="A1224">
            <v>24</v>
          </cell>
          <cell r="B1224">
            <v>24</v>
          </cell>
          <cell r="D1224">
            <v>1</v>
          </cell>
          <cell r="F1224">
            <v>0</v>
          </cell>
          <cell r="G1224">
            <v>1</v>
          </cell>
          <cell r="I1224">
            <v>0</v>
          </cell>
          <cell r="J1224">
            <v>0</v>
          </cell>
          <cell r="K1224">
            <v>22</v>
          </cell>
          <cell r="L1224">
            <v>22</v>
          </cell>
          <cell r="M1224">
            <v>1</v>
          </cell>
          <cell r="O1224">
            <v>0</v>
          </cell>
          <cell r="P1224">
            <v>0</v>
          </cell>
          <cell r="Q1224">
            <v>0</v>
          </cell>
          <cell r="R1224">
            <v>0</v>
          </cell>
          <cell r="S1224">
            <v>0</v>
          </cell>
          <cell r="T1224">
            <v>4</v>
          </cell>
          <cell r="V1224">
            <v>0</v>
          </cell>
          <cell r="W1224">
            <v>58</v>
          </cell>
          <cell r="X1224">
            <v>1</v>
          </cell>
          <cell r="Y1224">
            <v>1</v>
          </cell>
          <cell r="AA1224">
            <v>0</v>
          </cell>
          <cell r="AB1224">
            <v>0</v>
          </cell>
          <cell r="AC1224">
            <v>0</v>
          </cell>
          <cell r="AD1224">
            <v>0</v>
          </cell>
          <cell r="AE1224">
            <v>0</v>
          </cell>
          <cell r="AF1224">
            <v>0</v>
          </cell>
          <cell r="AG1224">
            <v>0</v>
          </cell>
          <cell r="AH1224">
            <v>0</v>
          </cell>
          <cell r="AI1224">
            <v>3</v>
          </cell>
          <cell r="AK1224">
            <v>0</v>
          </cell>
          <cell r="AL1224">
            <v>1</v>
          </cell>
          <cell r="AN1224">
            <v>1555</v>
          </cell>
          <cell r="AO1224">
            <v>1</v>
          </cell>
          <cell r="AQ1224">
            <v>0</v>
          </cell>
          <cell r="AR1224">
            <v>11</v>
          </cell>
          <cell r="AS1224">
            <v>3</v>
          </cell>
          <cell r="AT1224">
            <v>3</v>
          </cell>
          <cell r="AU1224">
            <v>1</v>
          </cell>
          <cell r="AV1224">
            <v>1</v>
          </cell>
          <cell r="AW1224">
            <v>1</v>
          </cell>
          <cell r="AX1224">
            <v>2</v>
          </cell>
          <cell r="AY1224">
            <v>3</v>
          </cell>
          <cell r="AZ1224">
            <v>1</v>
          </cell>
          <cell r="BA1224">
            <v>1</v>
          </cell>
          <cell r="BB1224">
            <v>0</v>
          </cell>
          <cell r="BC1224">
            <v>0</v>
          </cell>
          <cell r="BD1224">
            <v>0</v>
          </cell>
          <cell r="BE1224">
            <v>0</v>
          </cell>
          <cell r="BF1224">
            <v>0</v>
          </cell>
          <cell r="BG1224">
            <v>0</v>
          </cell>
          <cell r="BH1224">
            <v>0</v>
          </cell>
          <cell r="BI1224">
            <v>1</v>
          </cell>
          <cell r="BJ1224">
            <v>0</v>
          </cell>
          <cell r="BK1224">
            <v>0</v>
          </cell>
          <cell r="BL1224">
            <v>0</v>
          </cell>
          <cell r="BM1224">
            <v>0</v>
          </cell>
          <cell r="BN1224">
            <v>1</v>
          </cell>
          <cell r="BO1224">
            <v>0</v>
          </cell>
          <cell r="BP1224">
            <v>0</v>
          </cell>
          <cell r="BQ1224">
            <v>0</v>
          </cell>
          <cell r="BR1224">
            <v>0</v>
          </cell>
          <cell r="BS1224">
            <v>1</v>
          </cell>
          <cell r="BT1224">
            <v>0</v>
          </cell>
          <cell r="BU1224">
            <v>0</v>
          </cell>
        </row>
        <row r="1225">
          <cell r="A1225">
            <v>47</v>
          </cell>
          <cell r="B1225">
            <v>47</v>
          </cell>
          <cell r="D1225">
            <v>1</v>
          </cell>
          <cell r="F1225">
            <v>1</v>
          </cell>
          <cell r="G1225">
            <v>0</v>
          </cell>
          <cell r="I1225">
            <v>0</v>
          </cell>
          <cell r="J1225">
            <v>1</v>
          </cell>
          <cell r="K1225">
            <v>9</v>
          </cell>
          <cell r="L1225">
            <v>9</v>
          </cell>
          <cell r="M1225">
            <v>3</v>
          </cell>
          <cell r="O1225">
            <v>1</v>
          </cell>
          <cell r="P1225">
            <v>0</v>
          </cell>
          <cell r="Q1225">
            <v>0</v>
          </cell>
          <cell r="R1225">
            <v>0</v>
          </cell>
          <cell r="S1225">
            <v>0</v>
          </cell>
          <cell r="T1225">
            <v>3</v>
          </cell>
          <cell r="V1225">
            <v>0</v>
          </cell>
          <cell r="W1225">
            <v>82</v>
          </cell>
          <cell r="X1225">
            <v>1</v>
          </cell>
          <cell r="Y1225">
            <v>4</v>
          </cell>
          <cell r="AA1225">
            <v>0</v>
          </cell>
          <cell r="AB1225">
            <v>1</v>
          </cell>
          <cell r="AC1225">
            <v>0</v>
          </cell>
          <cell r="AD1225">
            <v>0</v>
          </cell>
          <cell r="AE1225">
            <v>0</v>
          </cell>
          <cell r="AF1225">
            <v>0</v>
          </cell>
          <cell r="AG1225">
            <v>0</v>
          </cell>
          <cell r="AH1225">
            <v>0</v>
          </cell>
          <cell r="AI1225">
            <v>3</v>
          </cell>
          <cell r="AK1225">
            <v>0</v>
          </cell>
          <cell r="AL1225">
            <v>1</v>
          </cell>
          <cell r="AN1225">
            <v>12936</v>
          </cell>
          <cell r="AO1225">
            <v>7</v>
          </cell>
          <cell r="AQ1225">
            <v>0</v>
          </cell>
          <cell r="AR1225">
            <v>11</v>
          </cell>
          <cell r="AS1225">
            <v>3</v>
          </cell>
          <cell r="AT1225">
            <v>3</v>
          </cell>
          <cell r="AU1225">
            <v>0</v>
          </cell>
          <cell r="AV1225">
            <v>25</v>
          </cell>
          <cell r="AW1225">
            <v>25</v>
          </cell>
          <cell r="AX1225">
            <v>3</v>
          </cell>
          <cell r="AY1225">
            <v>1</v>
          </cell>
          <cell r="AZ1225">
            <v>23</v>
          </cell>
          <cell r="BA1225">
            <v>23</v>
          </cell>
          <cell r="BB1225">
            <v>5</v>
          </cell>
          <cell r="BC1225">
            <v>14</v>
          </cell>
          <cell r="BD1225">
            <v>14</v>
          </cell>
          <cell r="BE1225">
            <v>10</v>
          </cell>
          <cell r="BF1225">
            <v>10</v>
          </cell>
          <cell r="BG1225">
            <v>40</v>
          </cell>
          <cell r="BH1225">
            <v>0</v>
          </cell>
          <cell r="BI1225">
            <v>0</v>
          </cell>
          <cell r="BJ1225">
            <v>0</v>
          </cell>
          <cell r="BK1225">
            <v>1</v>
          </cell>
          <cell r="BL1225">
            <v>0</v>
          </cell>
          <cell r="BM1225">
            <v>0</v>
          </cell>
          <cell r="BN1225">
            <v>1</v>
          </cell>
          <cell r="BO1225">
            <v>0</v>
          </cell>
          <cell r="BP1225">
            <v>0</v>
          </cell>
          <cell r="BQ1225">
            <v>0</v>
          </cell>
          <cell r="BR1225">
            <v>10</v>
          </cell>
          <cell r="BS1225">
            <v>0</v>
          </cell>
          <cell r="BT1225">
            <v>0</v>
          </cell>
          <cell r="BU1225">
            <v>25</v>
          </cell>
        </row>
        <row r="1226">
          <cell r="A1226">
            <v>26</v>
          </cell>
          <cell r="B1226">
            <v>26</v>
          </cell>
          <cell r="D1226">
            <v>0</v>
          </cell>
          <cell r="F1226">
            <v>0</v>
          </cell>
          <cell r="G1226">
            <v>1</v>
          </cell>
          <cell r="I1226">
            <v>1</v>
          </cell>
          <cell r="J1226">
            <v>0</v>
          </cell>
          <cell r="K1226">
            <v>17</v>
          </cell>
          <cell r="L1226">
            <v>17</v>
          </cell>
          <cell r="M1226">
            <v>4</v>
          </cell>
          <cell r="O1226">
            <v>0</v>
          </cell>
          <cell r="P1226">
            <v>0</v>
          </cell>
          <cell r="Q1226">
            <v>1</v>
          </cell>
          <cell r="R1226">
            <v>0</v>
          </cell>
          <cell r="S1226">
            <v>0</v>
          </cell>
          <cell r="T1226">
            <v>4</v>
          </cell>
          <cell r="V1226">
            <v>0</v>
          </cell>
          <cell r="W1226">
            <v>62</v>
          </cell>
          <cell r="X1226">
            <v>1</v>
          </cell>
          <cell r="Y1226">
            <v>1</v>
          </cell>
          <cell r="AA1226">
            <v>0</v>
          </cell>
          <cell r="AB1226">
            <v>0</v>
          </cell>
          <cell r="AC1226">
            <v>1</v>
          </cell>
          <cell r="AD1226">
            <v>0</v>
          </cell>
          <cell r="AE1226">
            <v>0</v>
          </cell>
          <cell r="AF1226">
            <v>0</v>
          </cell>
          <cell r="AG1226">
            <v>0</v>
          </cell>
          <cell r="AH1226">
            <v>0</v>
          </cell>
          <cell r="AI1226">
            <v>3</v>
          </cell>
          <cell r="AK1226">
            <v>0</v>
          </cell>
          <cell r="AL1226">
            <v>1</v>
          </cell>
          <cell r="AN1226">
            <v>2305</v>
          </cell>
          <cell r="AO1226">
            <v>1</v>
          </cell>
          <cell r="AQ1226">
            <v>0</v>
          </cell>
          <cell r="AR1226">
            <v>15</v>
          </cell>
          <cell r="AS1226">
            <v>3</v>
          </cell>
          <cell r="AT1226">
            <v>3</v>
          </cell>
          <cell r="AU1226">
            <v>3</v>
          </cell>
          <cell r="AV1226">
            <v>3</v>
          </cell>
          <cell r="AW1226">
            <v>3</v>
          </cell>
          <cell r="AX1226">
            <v>3</v>
          </cell>
          <cell r="AY1226">
            <v>4</v>
          </cell>
          <cell r="AZ1226">
            <v>3</v>
          </cell>
          <cell r="BA1226">
            <v>3</v>
          </cell>
          <cell r="BB1226">
            <v>2</v>
          </cell>
          <cell r="BC1226">
            <v>0</v>
          </cell>
          <cell r="BD1226">
            <v>0</v>
          </cell>
          <cell r="BE1226">
            <v>2</v>
          </cell>
          <cell r="BF1226">
            <v>2</v>
          </cell>
          <cell r="BG1226">
            <v>2</v>
          </cell>
          <cell r="BH1226">
            <v>0</v>
          </cell>
          <cell r="BI1226">
            <v>1</v>
          </cell>
          <cell r="BJ1226">
            <v>0</v>
          </cell>
          <cell r="BK1226">
            <v>0</v>
          </cell>
          <cell r="BL1226">
            <v>0</v>
          </cell>
          <cell r="BM1226">
            <v>0</v>
          </cell>
          <cell r="BN1226">
            <v>1</v>
          </cell>
          <cell r="BO1226">
            <v>0</v>
          </cell>
          <cell r="BP1226">
            <v>0</v>
          </cell>
          <cell r="BQ1226">
            <v>2</v>
          </cell>
          <cell r="BR1226">
            <v>0</v>
          </cell>
          <cell r="BS1226">
            <v>0</v>
          </cell>
          <cell r="BT1226">
            <v>3</v>
          </cell>
          <cell r="BU1226">
            <v>0</v>
          </cell>
        </row>
        <row r="1227">
          <cell r="A1227">
            <v>45</v>
          </cell>
          <cell r="B1227">
            <v>45</v>
          </cell>
          <cell r="D1227">
            <v>0</v>
          </cell>
          <cell r="F1227">
            <v>0</v>
          </cell>
          <cell r="G1227">
            <v>1</v>
          </cell>
          <cell r="I1227">
            <v>1</v>
          </cell>
          <cell r="J1227">
            <v>0</v>
          </cell>
          <cell r="K1227">
            <v>28</v>
          </cell>
          <cell r="L1227">
            <v>28</v>
          </cell>
          <cell r="M1227">
            <v>2</v>
          </cell>
          <cell r="O1227">
            <v>0</v>
          </cell>
          <cell r="P1227">
            <v>0</v>
          </cell>
          <cell r="Q1227">
            <v>0</v>
          </cell>
          <cell r="R1227">
            <v>0</v>
          </cell>
          <cell r="S1227">
            <v>1</v>
          </cell>
          <cell r="T1227">
            <v>4</v>
          </cell>
          <cell r="V1227">
            <v>1</v>
          </cell>
          <cell r="W1227">
            <v>48</v>
          </cell>
          <cell r="X1227">
            <v>2</v>
          </cell>
          <cell r="Y1227">
            <v>4</v>
          </cell>
          <cell r="AA1227">
            <v>0</v>
          </cell>
          <cell r="AB1227">
            <v>0</v>
          </cell>
          <cell r="AC1227">
            <v>0</v>
          </cell>
          <cell r="AD1227">
            <v>0</v>
          </cell>
          <cell r="AE1227">
            <v>0</v>
          </cell>
          <cell r="AF1227">
            <v>0</v>
          </cell>
          <cell r="AG1227">
            <v>0</v>
          </cell>
          <cell r="AH1227">
            <v>0</v>
          </cell>
          <cell r="AI1227">
            <v>2</v>
          </cell>
          <cell r="AK1227">
            <v>1</v>
          </cell>
          <cell r="AL1227">
            <v>0</v>
          </cell>
          <cell r="AN1227">
            <v>16704</v>
          </cell>
          <cell r="AO1227">
            <v>1</v>
          </cell>
          <cell r="AQ1227">
            <v>0</v>
          </cell>
          <cell r="AR1227">
            <v>11</v>
          </cell>
          <cell r="AS1227">
            <v>3</v>
          </cell>
          <cell r="AT1227">
            <v>3</v>
          </cell>
          <cell r="AU1227">
            <v>0</v>
          </cell>
          <cell r="AV1227">
            <v>21</v>
          </cell>
          <cell r="AW1227">
            <v>21</v>
          </cell>
          <cell r="AX1227">
            <v>2</v>
          </cell>
          <cell r="AY1227">
            <v>3</v>
          </cell>
          <cell r="AZ1227">
            <v>21</v>
          </cell>
          <cell r="BA1227">
            <v>21</v>
          </cell>
          <cell r="BB1227">
            <v>6</v>
          </cell>
          <cell r="BC1227">
            <v>8</v>
          </cell>
          <cell r="BD1227">
            <v>8</v>
          </cell>
          <cell r="BE1227">
            <v>6</v>
          </cell>
          <cell r="BF1227">
            <v>6</v>
          </cell>
          <cell r="BG1227">
            <v>24</v>
          </cell>
          <cell r="BH1227">
            <v>1</v>
          </cell>
          <cell r="BI1227">
            <v>0</v>
          </cell>
          <cell r="BJ1227">
            <v>0</v>
          </cell>
          <cell r="BK1227">
            <v>0</v>
          </cell>
          <cell r="BL1227">
            <v>1</v>
          </cell>
          <cell r="BM1227">
            <v>0</v>
          </cell>
          <cell r="BN1227">
            <v>0</v>
          </cell>
          <cell r="BO1227">
            <v>0</v>
          </cell>
          <cell r="BP1227">
            <v>0</v>
          </cell>
          <cell r="BQ1227">
            <v>6</v>
          </cell>
          <cell r="BR1227">
            <v>0</v>
          </cell>
          <cell r="BS1227">
            <v>0</v>
          </cell>
          <cell r="BT1227">
            <v>21</v>
          </cell>
          <cell r="BU1227">
            <v>0</v>
          </cell>
        </row>
        <row r="1228">
          <cell r="A1228">
            <v>32</v>
          </cell>
          <cell r="B1228">
            <v>32</v>
          </cell>
          <cell r="D1228">
            <v>0</v>
          </cell>
          <cell r="F1228">
            <v>1</v>
          </cell>
          <cell r="G1228">
            <v>0</v>
          </cell>
          <cell r="I1228">
            <v>1</v>
          </cell>
          <cell r="J1228">
            <v>0</v>
          </cell>
          <cell r="K1228">
            <v>10</v>
          </cell>
          <cell r="L1228">
            <v>10</v>
          </cell>
          <cell r="M1228">
            <v>3</v>
          </cell>
          <cell r="O1228">
            <v>1</v>
          </cell>
          <cell r="P1228">
            <v>0</v>
          </cell>
          <cell r="Q1228">
            <v>0</v>
          </cell>
          <cell r="R1228">
            <v>0</v>
          </cell>
          <cell r="S1228">
            <v>0</v>
          </cell>
          <cell r="T1228">
            <v>1</v>
          </cell>
          <cell r="V1228">
            <v>0</v>
          </cell>
          <cell r="W1228">
            <v>56</v>
          </cell>
          <cell r="X1228">
            <v>3</v>
          </cell>
          <cell r="Y1228">
            <v>1</v>
          </cell>
          <cell r="AA1228">
            <v>0</v>
          </cell>
          <cell r="AB1228">
            <v>0</v>
          </cell>
          <cell r="AC1228">
            <v>0</v>
          </cell>
          <cell r="AD1228">
            <v>0</v>
          </cell>
          <cell r="AE1228">
            <v>0</v>
          </cell>
          <cell r="AF1228">
            <v>0</v>
          </cell>
          <cell r="AG1228">
            <v>0</v>
          </cell>
          <cell r="AH1228">
            <v>1</v>
          </cell>
          <cell r="AI1228">
            <v>3</v>
          </cell>
          <cell r="AK1228">
            <v>0</v>
          </cell>
          <cell r="AL1228">
            <v>1</v>
          </cell>
          <cell r="AN1228">
            <v>3433</v>
          </cell>
          <cell r="AO1228">
            <v>6</v>
          </cell>
          <cell r="AQ1228">
            <v>0</v>
          </cell>
          <cell r="AR1228">
            <v>13</v>
          </cell>
          <cell r="AS1228">
            <v>3</v>
          </cell>
          <cell r="AT1228">
            <v>1</v>
          </cell>
          <cell r="AU1228">
            <v>1</v>
          </cell>
          <cell r="AV1228">
            <v>10</v>
          </cell>
          <cell r="AW1228">
            <v>10</v>
          </cell>
          <cell r="AX1228">
            <v>3</v>
          </cell>
          <cell r="AY1228">
            <v>2</v>
          </cell>
          <cell r="AZ1228">
            <v>5</v>
          </cell>
          <cell r="BA1228">
            <v>5</v>
          </cell>
          <cell r="BB1228">
            <v>2</v>
          </cell>
          <cell r="BC1228">
            <v>1</v>
          </cell>
          <cell r="BD1228">
            <v>1</v>
          </cell>
          <cell r="BE1228">
            <v>3</v>
          </cell>
          <cell r="BF1228">
            <v>3</v>
          </cell>
          <cell r="BG1228">
            <v>3</v>
          </cell>
          <cell r="BH1228">
            <v>0</v>
          </cell>
          <cell r="BI1228">
            <v>0</v>
          </cell>
          <cell r="BJ1228">
            <v>0</v>
          </cell>
          <cell r="BK1228">
            <v>1</v>
          </cell>
          <cell r="BL1228">
            <v>0</v>
          </cell>
          <cell r="BM1228">
            <v>0</v>
          </cell>
          <cell r="BN1228">
            <v>1</v>
          </cell>
          <cell r="BO1228">
            <v>0</v>
          </cell>
          <cell r="BP1228">
            <v>0</v>
          </cell>
          <cell r="BQ1228">
            <v>3</v>
          </cell>
          <cell r="BR1228">
            <v>0</v>
          </cell>
          <cell r="BS1228">
            <v>0</v>
          </cell>
          <cell r="BT1228">
            <v>10</v>
          </cell>
          <cell r="BU1228">
            <v>0</v>
          </cell>
        </row>
        <row r="1229">
          <cell r="A1229">
            <v>31</v>
          </cell>
          <cell r="B1229">
            <v>31</v>
          </cell>
          <cell r="D1229">
            <v>0</v>
          </cell>
          <cell r="F1229">
            <v>0</v>
          </cell>
          <cell r="G1229">
            <v>1</v>
          </cell>
          <cell r="I1229">
            <v>1</v>
          </cell>
          <cell r="J1229">
            <v>0</v>
          </cell>
          <cell r="K1229">
            <v>2</v>
          </cell>
          <cell r="L1229">
            <v>2</v>
          </cell>
          <cell r="M1229">
            <v>4</v>
          </cell>
          <cell r="O1229">
            <v>1</v>
          </cell>
          <cell r="P1229">
            <v>0</v>
          </cell>
          <cell r="Q1229">
            <v>0</v>
          </cell>
          <cell r="R1229">
            <v>0</v>
          </cell>
          <cell r="S1229">
            <v>0</v>
          </cell>
          <cell r="T1229">
            <v>2</v>
          </cell>
          <cell r="V1229">
            <v>0</v>
          </cell>
          <cell r="W1229">
            <v>69</v>
          </cell>
          <cell r="X1229">
            <v>3</v>
          </cell>
          <cell r="Y1229">
            <v>1</v>
          </cell>
          <cell r="AA1229">
            <v>0</v>
          </cell>
          <cell r="AB1229">
            <v>0</v>
          </cell>
          <cell r="AC1229">
            <v>1</v>
          </cell>
          <cell r="AD1229">
            <v>0</v>
          </cell>
          <cell r="AE1229">
            <v>0</v>
          </cell>
          <cell r="AF1229">
            <v>0</v>
          </cell>
          <cell r="AG1229">
            <v>0</v>
          </cell>
          <cell r="AH1229">
            <v>0</v>
          </cell>
          <cell r="AI1229">
            <v>3</v>
          </cell>
          <cell r="AK1229">
            <v>0</v>
          </cell>
          <cell r="AL1229">
            <v>1</v>
          </cell>
          <cell r="AN1229">
            <v>3477</v>
          </cell>
          <cell r="AO1229">
            <v>1</v>
          </cell>
          <cell r="AQ1229">
            <v>0</v>
          </cell>
          <cell r="AR1229">
            <v>14</v>
          </cell>
          <cell r="AS1229">
            <v>3</v>
          </cell>
          <cell r="AT1229">
            <v>4</v>
          </cell>
          <cell r="AU1229">
            <v>1</v>
          </cell>
          <cell r="AV1229">
            <v>6</v>
          </cell>
          <cell r="AW1229">
            <v>6</v>
          </cell>
          <cell r="AX1229">
            <v>2</v>
          </cell>
          <cell r="AY1229">
            <v>4</v>
          </cell>
          <cell r="AZ1229">
            <v>5</v>
          </cell>
          <cell r="BA1229">
            <v>5</v>
          </cell>
          <cell r="BB1229">
            <v>2</v>
          </cell>
          <cell r="BC1229">
            <v>0</v>
          </cell>
          <cell r="BD1229">
            <v>0</v>
          </cell>
          <cell r="BE1229">
            <v>3</v>
          </cell>
          <cell r="BF1229">
            <v>3</v>
          </cell>
          <cell r="BG1229">
            <v>3</v>
          </cell>
          <cell r="BH1229">
            <v>0</v>
          </cell>
          <cell r="BI1229">
            <v>1</v>
          </cell>
          <cell r="BJ1229">
            <v>0</v>
          </cell>
          <cell r="BK1229">
            <v>0</v>
          </cell>
          <cell r="BL1229">
            <v>0</v>
          </cell>
          <cell r="BM1229">
            <v>0</v>
          </cell>
          <cell r="BN1229">
            <v>1</v>
          </cell>
          <cell r="BO1229">
            <v>0</v>
          </cell>
          <cell r="BP1229">
            <v>0</v>
          </cell>
          <cell r="BQ1229">
            <v>3</v>
          </cell>
          <cell r="BR1229">
            <v>0</v>
          </cell>
          <cell r="BS1229">
            <v>0</v>
          </cell>
          <cell r="BT1229">
            <v>6</v>
          </cell>
          <cell r="BU1229">
            <v>0</v>
          </cell>
        </row>
        <row r="1230">
          <cell r="A1230">
            <v>41</v>
          </cell>
          <cell r="B1230">
            <v>41</v>
          </cell>
          <cell r="D1230">
            <v>0</v>
          </cell>
          <cell r="F1230">
            <v>0</v>
          </cell>
          <cell r="G1230">
            <v>0</v>
          </cell>
          <cell r="I1230">
            <v>0</v>
          </cell>
          <cell r="J1230">
            <v>0</v>
          </cell>
          <cell r="K1230">
            <v>4</v>
          </cell>
          <cell r="L1230">
            <v>4</v>
          </cell>
          <cell r="M1230">
            <v>3</v>
          </cell>
          <cell r="O1230">
            <v>0</v>
          </cell>
          <cell r="P1230">
            <v>0</v>
          </cell>
          <cell r="Q1230">
            <v>0</v>
          </cell>
          <cell r="R1230">
            <v>0</v>
          </cell>
          <cell r="S1230">
            <v>0</v>
          </cell>
          <cell r="T1230">
            <v>3</v>
          </cell>
          <cell r="V1230">
            <v>0</v>
          </cell>
          <cell r="W1230">
            <v>60</v>
          </cell>
          <cell r="X1230">
            <v>1</v>
          </cell>
          <cell r="Y1230">
            <v>2</v>
          </cell>
          <cell r="AA1230">
            <v>0</v>
          </cell>
          <cell r="AB1230">
            <v>0</v>
          </cell>
          <cell r="AC1230">
            <v>0</v>
          </cell>
          <cell r="AD1230">
            <v>0</v>
          </cell>
          <cell r="AE1230">
            <v>0</v>
          </cell>
          <cell r="AF1230">
            <v>0</v>
          </cell>
          <cell r="AG1230">
            <v>0</v>
          </cell>
          <cell r="AH1230">
            <v>0</v>
          </cell>
          <cell r="AI1230">
            <v>2</v>
          </cell>
          <cell r="AK1230">
            <v>0</v>
          </cell>
          <cell r="AL1230">
            <v>1</v>
          </cell>
          <cell r="AN1230">
            <v>6430</v>
          </cell>
          <cell r="AO1230">
            <v>6</v>
          </cell>
          <cell r="AQ1230">
            <v>0</v>
          </cell>
          <cell r="AR1230">
            <v>19</v>
          </cell>
          <cell r="AS1230">
            <v>3</v>
          </cell>
          <cell r="AT1230">
            <v>2</v>
          </cell>
          <cell r="AU1230">
            <v>1</v>
          </cell>
          <cell r="AV1230">
            <v>10</v>
          </cell>
          <cell r="AW1230">
            <v>10</v>
          </cell>
          <cell r="AX1230">
            <v>4</v>
          </cell>
          <cell r="AY1230">
            <v>3</v>
          </cell>
          <cell r="AZ1230">
            <v>3</v>
          </cell>
          <cell r="BA1230">
            <v>3</v>
          </cell>
          <cell r="BB1230">
            <v>2</v>
          </cell>
          <cell r="BC1230">
            <v>1</v>
          </cell>
          <cell r="BD1230">
            <v>1</v>
          </cell>
          <cell r="BE1230">
            <v>2</v>
          </cell>
          <cell r="BF1230">
            <v>2</v>
          </cell>
          <cell r="BG1230">
            <v>4</v>
          </cell>
          <cell r="BH1230">
            <v>0</v>
          </cell>
          <cell r="BI1230">
            <v>1</v>
          </cell>
          <cell r="BJ1230">
            <v>0</v>
          </cell>
          <cell r="BK1230">
            <v>0</v>
          </cell>
          <cell r="BL1230">
            <v>0</v>
          </cell>
          <cell r="BM1230">
            <v>0</v>
          </cell>
          <cell r="BN1230">
            <v>1</v>
          </cell>
          <cell r="BO1230">
            <v>0</v>
          </cell>
          <cell r="BP1230">
            <v>2</v>
          </cell>
          <cell r="BQ1230">
            <v>0</v>
          </cell>
          <cell r="BR1230">
            <v>0</v>
          </cell>
          <cell r="BS1230">
            <v>10</v>
          </cell>
          <cell r="BT1230">
            <v>0</v>
          </cell>
          <cell r="BU1230">
            <v>0</v>
          </cell>
        </row>
        <row r="1231">
          <cell r="A1231">
            <v>40</v>
          </cell>
          <cell r="B1231">
            <v>40</v>
          </cell>
          <cell r="D1231">
            <v>0</v>
          </cell>
          <cell r="F1231">
            <v>0</v>
          </cell>
          <cell r="G1231">
            <v>1</v>
          </cell>
          <cell r="I1231">
            <v>1</v>
          </cell>
          <cell r="J1231">
            <v>0</v>
          </cell>
          <cell r="K1231">
            <v>8</v>
          </cell>
          <cell r="L1231">
            <v>8</v>
          </cell>
          <cell r="M1231">
            <v>2</v>
          </cell>
          <cell r="O1231">
            <v>1</v>
          </cell>
          <cell r="P1231">
            <v>0</v>
          </cell>
          <cell r="Q1231">
            <v>0</v>
          </cell>
          <cell r="R1231">
            <v>0</v>
          </cell>
          <cell r="S1231">
            <v>0</v>
          </cell>
          <cell r="T1231">
            <v>2</v>
          </cell>
          <cell r="V1231">
            <v>1</v>
          </cell>
          <cell r="W1231">
            <v>92</v>
          </cell>
          <cell r="X1231">
            <v>3</v>
          </cell>
          <cell r="Y1231">
            <v>2</v>
          </cell>
          <cell r="AA1231">
            <v>0</v>
          </cell>
          <cell r="AB1231">
            <v>0</v>
          </cell>
          <cell r="AC1231">
            <v>0</v>
          </cell>
          <cell r="AD1231">
            <v>0</v>
          </cell>
          <cell r="AE1231">
            <v>1</v>
          </cell>
          <cell r="AF1231">
            <v>1</v>
          </cell>
          <cell r="AG1231">
            <v>0</v>
          </cell>
          <cell r="AH1231">
            <v>0</v>
          </cell>
          <cell r="AI1231">
            <v>1</v>
          </cell>
          <cell r="AK1231">
            <v>0</v>
          </cell>
          <cell r="AL1231">
            <v>1</v>
          </cell>
          <cell r="AN1231">
            <v>6516</v>
          </cell>
          <cell r="AO1231">
            <v>2</v>
          </cell>
          <cell r="AQ1231">
            <v>1</v>
          </cell>
          <cell r="AR1231">
            <v>16</v>
          </cell>
          <cell r="AS1231">
            <v>3</v>
          </cell>
          <cell r="AT1231">
            <v>2</v>
          </cell>
          <cell r="AU1231">
            <v>1</v>
          </cell>
          <cell r="AV1231">
            <v>18</v>
          </cell>
          <cell r="AW1231">
            <v>18</v>
          </cell>
          <cell r="AX1231">
            <v>3</v>
          </cell>
          <cell r="AY1231">
            <v>3</v>
          </cell>
          <cell r="AZ1231">
            <v>1</v>
          </cell>
          <cell r="BA1231">
            <v>1</v>
          </cell>
          <cell r="BB1231">
            <v>0</v>
          </cell>
          <cell r="BC1231">
            <v>0</v>
          </cell>
          <cell r="BD1231">
            <v>0</v>
          </cell>
          <cell r="BE1231">
            <v>0</v>
          </cell>
          <cell r="BF1231">
            <v>0</v>
          </cell>
          <cell r="BG1231">
            <v>0</v>
          </cell>
          <cell r="BH1231">
            <v>0</v>
          </cell>
          <cell r="BI1231">
            <v>1</v>
          </cell>
          <cell r="BJ1231">
            <v>0</v>
          </cell>
          <cell r="BK1231">
            <v>0</v>
          </cell>
          <cell r="BL1231">
            <v>0</v>
          </cell>
          <cell r="BM1231">
            <v>0</v>
          </cell>
          <cell r="BN1231">
            <v>0</v>
          </cell>
          <cell r="BO1231">
            <v>1</v>
          </cell>
          <cell r="BP1231">
            <v>0</v>
          </cell>
          <cell r="BQ1231">
            <v>0</v>
          </cell>
          <cell r="BR1231">
            <v>0</v>
          </cell>
          <cell r="BS1231">
            <v>0</v>
          </cell>
          <cell r="BT1231">
            <v>18</v>
          </cell>
          <cell r="BU1231">
            <v>0</v>
          </cell>
        </row>
        <row r="1232">
          <cell r="A1232">
            <v>24</v>
          </cell>
          <cell r="B1232">
            <v>24</v>
          </cell>
          <cell r="D1232">
            <v>0</v>
          </cell>
          <cell r="F1232">
            <v>0</v>
          </cell>
          <cell r="G1232">
            <v>1</v>
          </cell>
          <cell r="I1232">
            <v>1</v>
          </cell>
          <cell r="J1232">
            <v>0</v>
          </cell>
          <cell r="K1232">
            <v>29</v>
          </cell>
          <cell r="L1232">
            <v>29</v>
          </cell>
          <cell r="M1232">
            <v>1</v>
          </cell>
          <cell r="O1232">
            <v>0</v>
          </cell>
          <cell r="P1232">
            <v>0</v>
          </cell>
          <cell r="Q1232">
            <v>1</v>
          </cell>
          <cell r="R1232">
            <v>0</v>
          </cell>
          <cell r="S1232">
            <v>0</v>
          </cell>
          <cell r="T1232">
            <v>2</v>
          </cell>
          <cell r="V1232">
            <v>0</v>
          </cell>
          <cell r="W1232">
            <v>91</v>
          </cell>
          <cell r="X1232">
            <v>3</v>
          </cell>
          <cell r="Y1232">
            <v>1</v>
          </cell>
          <cell r="AA1232">
            <v>0</v>
          </cell>
          <cell r="AB1232">
            <v>0</v>
          </cell>
          <cell r="AC1232">
            <v>1</v>
          </cell>
          <cell r="AD1232">
            <v>0</v>
          </cell>
          <cell r="AE1232">
            <v>0</v>
          </cell>
          <cell r="AF1232">
            <v>0</v>
          </cell>
          <cell r="AG1232">
            <v>0</v>
          </cell>
          <cell r="AH1232">
            <v>0</v>
          </cell>
          <cell r="AI1232">
            <v>1</v>
          </cell>
          <cell r="AK1232">
            <v>0</v>
          </cell>
          <cell r="AL1232">
            <v>0</v>
          </cell>
          <cell r="AN1232">
            <v>3907</v>
          </cell>
          <cell r="AO1232">
            <v>1</v>
          </cell>
          <cell r="AQ1232">
            <v>0</v>
          </cell>
          <cell r="AR1232">
            <v>13</v>
          </cell>
          <cell r="AS1232">
            <v>3</v>
          </cell>
          <cell r="AT1232">
            <v>2</v>
          </cell>
          <cell r="AU1232">
            <v>3</v>
          </cell>
          <cell r="AV1232">
            <v>6</v>
          </cell>
          <cell r="AW1232">
            <v>6</v>
          </cell>
          <cell r="AX1232">
            <v>2</v>
          </cell>
          <cell r="AY1232">
            <v>4</v>
          </cell>
          <cell r="AZ1232">
            <v>6</v>
          </cell>
          <cell r="BA1232">
            <v>6</v>
          </cell>
          <cell r="BB1232">
            <v>2</v>
          </cell>
          <cell r="BC1232">
            <v>1</v>
          </cell>
          <cell r="BD1232">
            <v>1</v>
          </cell>
          <cell r="BE1232">
            <v>2</v>
          </cell>
          <cell r="BF1232">
            <v>2</v>
          </cell>
          <cell r="BG1232">
            <v>2</v>
          </cell>
          <cell r="BH1232">
            <v>1</v>
          </cell>
          <cell r="BI1232">
            <v>0</v>
          </cell>
          <cell r="BJ1232">
            <v>0</v>
          </cell>
          <cell r="BK1232">
            <v>0</v>
          </cell>
          <cell r="BL1232">
            <v>1</v>
          </cell>
          <cell r="BM1232">
            <v>0</v>
          </cell>
          <cell r="BN1232">
            <v>0</v>
          </cell>
          <cell r="BO1232">
            <v>0</v>
          </cell>
          <cell r="BP1232">
            <v>0</v>
          </cell>
          <cell r="BQ1232">
            <v>2</v>
          </cell>
          <cell r="BR1232">
            <v>0</v>
          </cell>
          <cell r="BS1232">
            <v>0</v>
          </cell>
          <cell r="BT1232">
            <v>6</v>
          </cell>
          <cell r="BU1232">
            <v>0</v>
          </cell>
        </row>
        <row r="1233">
          <cell r="A1233">
            <v>46</v>
          </cell>
          <cell r="B1233">
            <v>46</v>
          </cell>
          <cell r="D1233">
            <v>0</v>
          </cell>
          <cell r="F1233">
            <v>0</v>
          </cell>
          <cell r="G1233">
            <v>1</v>
          </cell>
          <cell r="I1233">
            <v>1</v>
          </cell>
          <cell r="J1233">
            <v>0</v>
          </cell>
          <cell r="K1233">
            <v>13</v>
          </cell>
          <cell r="L1233">
            <v>13</v>
          </cell>
          <cell r="M1233">
            <v>4</v>
          </cell>
          <cell r="O1233">
            <v>1</v>
          </cell>
          <cell r="P1233">
            <v>0</v>
          </cell>
          <cell r="Q1233">
            <v>0</v>
          </cell>
          <cell r="R1233">
            <v>0</v>
          </cell>
          <cell r="S1233">
            <v>0</v>
          </cell>
          <cell r="T1233">
            <v>3</v>
          </cell>
          <cell r="V1233">
            <v>0</v>
          </cell>
          <cell r="W1233">
            <v>34</v>
          </cell>
          <cell r="X1233">
            <v>3</v>
          </cell>
          <cell r="Y1233">
            <v>2</v>
          </cell>
          <cell r="AA1233">
            <v>1</v>
          </cell>
          <cell r="AB1233">
            <v>0</v>
          </cell>
          <cell r="AC1233">
            <v>0</v>
          </cell>
          <cell r="AD1233">
            <v>0</v>
          </cell>
          <cell r="AE1233">
            <v>0</v>
          </cell>
          <cell r="AF1233">
            <v>0</v>
          </cell>
          <cell r="AG1233">
            <v>0</v>
          </cell>
          <cell r="AH1233">
            <v>0</v>
          </cell>
          <cell r="AI1233">
            <v>2</v>
          </cell>
          <cell r="AK1233">
            <v>1</v>
          </cell>
          <cell r="AL1233">
            <v>0</v>
          </cell>
          <cell r="AN1233">
            <v>5562</v>
          </cell>
          <cell r="AO1233">
            <v>6</v>
          </cell>
          <cell r="AQ1233">
            <v>0</v>
          </cell>
          <cell r="AR1233">
            <v>14</v>
          </cell>
          <cell r="AS1233">
            <v>3</v>
          </cell>
          <cell r="AT1233">
            <v>4</v>
          </cell>
          <cell r="AU1233">
            <v>0</v>
          </cell>
          <cell r="AV1233">
            <v>19</v>
          </cell>
          <cell r="AW1233">
            <v>19</v>
          </cell>
          <cell r="AX1233">
            <v>3</v>
          </cell>
          <cell r="AY1233">
            <v>3</v>
          </cell>
          <cell r="AZ1233">
            <v>10</v>
          </cell>
          <cell r="BA1233">
            <v>10</v>
          </cell>
          <cell r="BB1233">
            <v>7</v>
          </cell>
          <cell r="BC1233">
            <v>0</v>
          </cell>
          <cell r="BD1233">
            <v>0</v>
          </cell>
          <cell r="BE1233">
            <v>9</v>
          </cell>
          <cell r="BF1233">
            <v>9</v>
          </cell>
          <cell r="BG1233">
            <v>18</v>
          </cell>
          <cell r="BH1233">
            <v>1</v>
          </cell>
          <cell r="BI1233">
            <v>0</v>
          </cell>
          <cell r="BJ1233">
            <v>0</v>
          </cell>
          <cell r="BK1233">
            <v>0</v>
          </cell>
          <cell r="BL1233">
            <v>1</v>
          </cell>
          <cell r="BM1233">
            <v>0</v>
          </cell>
          <cell r="BN1233">
            <v>0</v>
          </cell>
          <cell r="BO1233">
            <v>0</v>
          </cell>
          <cell r="BP1233">
            <v>0</v>
          </cell>
          <cell r="BQ1233">
            <v>9</v>
          </cell>
          <cell r="BR1233">
            <v>0</v>
          </cell>
          <cell r="BS1233">
            <v>0</v>
          </cell>
          <cell r="BT1233">
            <v>19</v>
          </cell>
          <cell r="BU1233">
            <v>0</v>
          </cell>
        </row>
        <row r="1234">
          <cell r="A1234">
            <v>35</v>
          </cell>
          <cell r="B1234">
            <v>35</v>
          </cell>
          <cell r="D1234">
            <v>0</v>
          </cell>
          <cell r="F1234">
            <v>0</v>
          </cell>
          <cell r="G1234">
            <v>1</v>
          </cell>
          <cell r="I1234">
            <v>1</v>
          </cell>
          <cell r="J1234">
            <v>0</v>
          </cell>
          <cell r="K1234">
            <v>27</v>
          </cell>
          <cell r="L1234">
            <v>27</v>
          </cell>
          <cell r="M1234">
            <v>4</v>
          </cell>
          <cell r="O1234">
            <v>1</v>
          </cell>
          <cell r="P1234">
            <v>0</v>
          </cell>
          <cell r="Q1234">
            <v>0</v>
          </cell>
          <cell r="R1234">
            <v>0</v>
          </cell>
          <cell r="S1234">
            <v>0</v>
          </cell>
          <cell r="T1234">
            <v>4</v>
          </cell>
          <cell r="V1234">
            <v>0</v>
          </cell>
          <cell r="W1234">
            <v>49</v>
          </cell>
          <cell r="X1234">
            <v>3</v>
          </cell>
          <cell r="Y1234">
            <v>2</v>
          </cell>
          <cell r="AA1234">
            <v>0</v>
          </cell>
          <cell r="AB1234">
            <v>0</v>
          </cell>
          <cell r="AC1234">
            <v>0</v>
          </cell>
          <cell r="AD1234">
            <v>0</v>
          </cell>
          <cell r="AE1234">
            <v>1</v>
          </cell>
          <cell r="AF1234">
            <v>1</v>
          </cell>
          <cell r="AG1234">
            <v>0</v>
          </cell>
          <cell r="AH1234">
            <v>0</v>
          </cell>
          <cell r="AI1234">
            <v>3</v>
          </cell>
          <cell r="AK1234">
            <v>0</v>
          </cell>
          <cell r="AL1234">
            <v>1</v>
          </cell>
          <cell r="AN1234">
            <v>6883</v>
          </cell>
          <cell r="AO1234">
            <v>2</v>
          </cell>
          <cell r="AQ1234">
            <v>0</v>
          </cell>
          <cell r="AR1234">
            <v>16</v>
          </cell>
          <cell r="AS1234">
            <v>3</v>
          </cell>
          <cell r="AT1234">
            <v>2</v>
          </cell>
          <cell r="AU1234">
            <v>1</v>
          </cell>
          <cell r="AV1234">
            <v>17</v>
          </cell>
          <cell r="AW1234">
            <v>17</v>
          </cell>
          <cell r="AX1234">
            <v>3</v>
          </cell>
          <cell r="AY1234">
            <v>3</v>
          </cell>
          <cell r="AZ1234">
            <v>7</v>
          </cell>
          <cell r="BA1234">
            <v>7</v>
          </cell>
          <cell r="BB1234">
            <v>7</v>
          </cell>
          <cell r="BC1234">
            <v>0</v>
          </cell>
          <cell r="BD1234">
            <v>0</v>
          </cell>
          <cell r="BE1234">
            <v>7</v>
          </cell>
          <cell r="BF1234">
            <v>7</v>
          </cell>
          <cell r="BG1234">
            <v>14</v>
          </cell>
          <cell r="BH1234">
            <v>0</v>
          </cell>
          <cell r="BI1234">
            <v>1</v>
          </cell>
          <cell r="BJ1234">
            <v>0</v>
          </cell>
          <cell r="BK1234">
            <v>0</v>
          </cell>
          <cell r="BL1234">
            <v>0</v>
          </cell>
          <cell r="BM1234">
            <v>0</v>
          </cell>
          <cell r="BN1234">
            <v>1</v>
          </cell>
          <cell r="BO1234">
            <v>0</v>
          </cell>
          <cell r="BP1234">
            <v>0</v>
          </cell>
          <cell r="BQ1234">
            <v>7</v>
          </cell>
          <cell r="BR1234">
            <v>0</v>
          </cell>
          <cell r="BS1234">
            <v>0</v>
          </cell>
          <cell r="BT1234">
            <v>17</v>
          </cell>
          <cell r="BU1234">
            <v>0</v>
          </cell>
        </row>
        <row r="1235">
          <cell r="A1235">
            <v>30</v>
          </cell>
          <cell r="B1235">
            <v>30</v>
          </cell>
          <cell r="D1235">
            <v>0</v>
          </cell>
          <cell r="F1235">
            <v>0</v>
          </cell>
          <cell r="G1235">
            <v>1</v>
          </cell>
          <cell r="I1235">
            <v>1</v>
          </cell>
          <cell r="J1235">
            <v>0</v>
          </cell>
          <cell r="K1235">
            <v>16</v>
          </cell>
          <cell r="L1235">
            <v>16</v>
          </cell>
          <cell r="M1235">
            <v>1</v>
          </cell>
          <cell r="O1235">
            <v>1</v>
          </cell>
          <cell r="P1235">
            <v>0</v>
          </cell>
          <cell r="Q1235">
            <v>0</v>
          </cell>
          <cell r="R1235">
            <v>0</v>
          </cell>
          <cell r="S1235">
            <v>0</v>
          </cell>
          <cell r="T1235">
            <v>2</v>
          </cell>
          <cell r="V1235">
            <v>0</v>
          </cell>
          <cell r="W1235">
            <v>33</v>
          </cell>
          <cell r="X1235">
            <v>3</v>
          </cell>
          <cell r="Y1235">
            <v>1</v>
          </cell>
          <cell r="AA1235">
            <v>0</v>
          </cell>
          <cell r="AB1235">
            <v>0</v>
          </cell>
          <cell r="AC1235">
            <v>0</v>
          </cell>
          <cell r="AD1235">
            <v>0</v>
          </cell>
          <cell r="AE1235">
            <v>0</v>
          </cell>
          <cell r="AF1235">
            <v>0</v>
          </cell>
          <cell r="AG1235">
            <v>0</v>
          </cell>
          <cell r="AH1235">
            <v>1</v>
          </cell>
          <cell r="AI1235">
            <v>4</v>
          </cell>
          <cell r="AK1235">
            <v>0</v>
          </cell>
          <cell r="AL1235">
            <v>1</v>
          </cell>
          <cell r="AN1235">
            <v>2862</v>
          </cell>
          <cell r="AO1235">
            <v>1</v>
          </cell>
          <cell r="AQ1235">
            <v>0</v>
          </cell>
          <cell r="AR1235">
            <v>12</v>
          </cell>
          <cell r="AS1235">
            <v>3</v>
          </cell>
          <cell r="AT1235">
            <v>2</v>
          </cell>
          <cell r="AU1235">
            <v>1</v>
          </cell>
          <cell r="AV1235">
            <v>10</v>
          </cell>
          <cell r="AW1235">
            <v>10</v>
          </cell>
          <cell r="AX1235">
            <v>2</v>
          </cell>
          <cell r="AY1235">
            <v>2</v>
          </cell>
          <cell r="AZ1235">
            <v>10</v>
          </cell>
          <cell r="BA1235">
            <v>10</v>
          </cell>
          <cell r="BB1235">
            <v>0</v>
          </cell>
          <cell r="BC1235">
            <v>0</v>
          </cell>
          <cell r="BD1235">
            <v>0</v>
          </cell>
          <cell r="BE1235">
            <v>8</v>
          </cell>
          <cell r="BF1235">
            <v>8</v>
          </cell>
          <cell r="BG1235">
            <v>8</v>
          </cell>
          <cell r="BH1235">
            <v>0</v>
          </cell>
          <cell r="BI1235">
            <v>1</v>
          </cell>
          <cell r="BJ1235">
            <v>0</v>
          </cell>
          <cell r="BK1235">
            <v>0</v>
          </cell>
          <cell r="BL1235">
            <v>0</v>
          </cell>
          <cell r="BM1235">
            <v>0</v>
          </cell>
          <cell r="BN1235">
            <v>1</v>
          </cell>
          <cell r="BO1235">
            <v>0</v>
          </cell>
          <cell r="BP1235">
            <v>0</v>
          </cell>
          <cell r="BQ1235">
            <v>8</v>
          </cell>
          <cell r="BR1235">
            <v>0</v>
          </cell>
          <cell r="BS1235">
            <v>0</v>
          </cell>
          <cell r="BT1235">
            <v>10</v>
          </cell>
          <cell r="BU1235">
            <v>0</v>
          </cell>
        </row>
        <row r="1236">
          <cell r="A1236">
            <v>47</v>
          </cell>
          <cell r="B1236">
            <v>47</v>
          </cell>
          <cell r="D1236">
            <v>0</v>
          </cell>
          <cell r="F1236">
            <v>0</v>
          </cell>
          <cell r="G1236">
            <v>0</v>
          </cell>
          <cell r="I1236">
            <v>0</v>
          </cell>
          <cell r="J1236">
            <v>1</v>
          </cell>
          <cell r="K1236">
            <v>2</v>
          </cell>
          <cell r="L1236">
            <v>2</v>
          </cell>
          <cell r="M1236">
            <v>4</v>
          </cell>
          <cell r="O1236">
            <v>0</v>
          </cell>
          <cell r="P1236">
            <v>0</v>
          </cell>
          <cell r="Q1236">
            <v>0</v>
          </cell>
          <cell r="R1236">
            <v>1</v>
          </cell>
          <cell r="S1236">
            <v>0</v>
          </cell>
          <cell r="T1236">
            <v>3</v>
          </cell>
          <cell r="V1236">
            <v>0</v>
          </cell>
          <cell r="W1236">
            <v>87</v>
          </cell>
          <cell r="X1236">
            <v>3</v>
          </cell>
          <cell r="Y1236">
            <v>2</v>
          </cell>
          <cell r="AA1236">
            <v>0</v>
          </cell>
          <cell r="AB1236">
            <v>1</v>
          </cell>
          <cell r="AC1236">
            <v>0</v>
          </cell>
          <cell r="AD1236">
            <v>0</v>
          </cell>
          <cell r="AE1236">
            <v>0</v>
          </cell>
          <cell r="AF1236">
            <v>0</v>
          </cell>
          <cell r="AG1236">
            <v>0</v>
          </cell>
          <cell r="AH1236">
            <v>0</v>
          </cell>
          <cell r="AI1236">
            <v>2</v>
          </cell>
          <cell r="AK1236">
            <v>0</v>
          </cell>
          <cell r="AL1236">
            <v>1</v>
          </cell>
          <cell r="AN1236">
            <v>4978</v>
          </cell>
          <cell r="AO1236">
            <v>7</v>
          </cell>
          <cell r="AQ1236">
            <v>0</v>
          </cell>
          <cell r="AR1236">
            <v>11</v>
          </cell>
          <cell r="AS1236">
            <v>3</v>
          </cell>
          <cell r="AT1236">
            <v>4</v>
          </cell>
          <cell r="AU1236">
            <v>1</v>
          </cell>
          <cell r="AV1236">
            <v>4</v>
          </cell>
          <cell r="AW1236">
            <v>4</v>
          </cell>
          <cell r="AX1236">
            <v>3</v>
          </cell>
          <cell r="AY1236">
            <v>1</v>
          </cell>
          <cell r="AZ1236">
            <v>1</v>
          </cell>
          <cell r="BA1236">
            <v>1</v>
          </cell>
          <cell r="BB1236">
            <v>0</v>
          </cell>
          <cell r="BC1236">
            <v>0</v>
          </cell>
          <cell r="BD1236">
            <v>0</v>
          </cell>
          <cell r="BE1236">
            <v>0</v>
          </cell>
          <cell r="BF1236">
            <v>0</v>
          </cell>
          <cell r="BG1236">
            <v>0</v>
          </cell>
          <cell r="BH1236">
            <v>0</v>
          </cell>
          <cell r="BI1236">
            <v>1</v>
          </cell>
          <cell r="BJ1236">
            <v>0</v>
          </cell>
          <cell r="BK1236">
            <v>0</v>
          </cell>
          <cell r="BL1236">
            <v>0</v>
          </cell>
          <cell r="BM1236">
            <v>0</v>
          </cell>
          <cell r="BN1236">
            <v>1</v>
          </cell>
          <cell r="BO1236">
            <v>0</v>
          </cell>
          <cell r="BP1236">
            <v>0</v>
          </cell>
          <cell r="BQ1236">
            <v>0</v>
          </cell>
          <cell r="BR1236">
            <v>0</v>
          </cell>
          <cell r="BS1236">
            <v>0</v>
          </cell>
          <cell r="BT1236">
            <v>0</v>
          </cell>
          <cell r="BU1236">
            <v>4</v>
          </cell>
        </row>
        <row r="1237">
          <cell r="A1237">
            <v>46</v>
          </cell>
          <cell r="B1237">
            <v>46</v>
          </cell>
          <cell r="D1237">
            <v>0</v>
          </cell>
          <cell r="F1237">
            <v>0</v>
          </cell>
          <cell r="G1237">
            <v>1</v>
          </cell>
          <cell r="I1237">
            <v>0</v>
          </cell>
          <cell r="J1237">
            <v>1</v>
          </cell>
          <cell r="K1237">
            <v>2</v>
          </cell>
          <cell r="L1237">
            <v>2</v>
          </cell>
          <cell r="M1237">
            <v>3</v>
          </cell>
          <cell r="O1237">
            <v>1</v>
          </cell>
          <cell r="P1237">
            <v>0</v>
          </cell>
          <cell r="Q1237">
            <v>0</v>
          </cell>
          <cell r="R1237">
            <v>0</v>
          </cell>
          <cell r="S1237">
            <v>0</v>
          </cell>
          <cell r="T1237">
            <v>3</v>
          </cell>
          <cell r="V1237">
            <v>0</v>
          </cell>
          <cell r="W1237">
            <v>74</v>
          </cell>
          <cell r="X1237">
            <v>3</v>
          </cell>
          <cell r="Y1237">
            <v>3</v>
          </cell>
          <cell r="AA1237">
            <v>0</v>
          </cell>
          <cell r="AB1237">
            <v>1</v>
          </cell>
          <cell r="AC1237">
            <v>0</v>
          </cell>
          <cell r="AD1237">
            <v>0</v>
          </cell>
          <cell r="AE1237">
            <v>0</v>
          </cell>
          <cell r="AF1237">
            <v>0</v>
          </cell>
          <cell r="AG1237">
            <v>0</v>
          </cell>
          <cell r="AH1237">
            <v>0</v>
          </cell>
          <cell r="AI1237">
            <v>4</v>
          </cell>
          <cell r="AK1237">
            <v>0</v>
          </cell>
          <cell r="AL1237">
            <v>0</v>
          </cell>
          <cell r="AN1237">
            <v>10368</v>
          </cell>
          <cell r="AO1237">
            <v>4</v>
          </cell>
          <cell r="AQ1237">
            <v>1</v>
          </cell>
          <cell r="AR1237">
            <v>12</v>
          </cell>
          <cell r="AS1237">
            <v>3</v>
          </cell>
          <cell r="AT1237">
            <v>2</v>
          </cell>
          <cell r="AU1237">
            <v>1</v>
          </cell>
          <cell r="AV1237">
            <v>13</v>
          </cell>
          <cell r="AW1237">
            <v>13</v>
          </cell>
          <cell r="AX1237">
            <v>5</v>
          </cell>
          <cell r="AY1237">
            <v>2</v>
          </cell>
          <cell r="AZ1237">
            <v>10</v>
          </cell>
          <cell r="BA1237">
            <v>10</v>
          </cell>
          <cell r="BB1237">
            <v>6</v>
          </cell>
          <cell r="BC1237">
            <v>0</v>
          </cell>
          <cell r="BD1237">
            <v>0</v>
          </cell>
          <cell r="BE1237">
            <v>3</v>
          </cell>
          <cell r="BF1237">
            <v>3</v>
          </cell>
          <cell r="BG1237">
            <v>9</v>
          </cell>
          <cell r="BH1237">
            <v>1</v>
          </cell>
          <cell r="BI1237">
            <v>0</v>
          </cell>
          <cell r="BJ1237">
            <v>0</v>
          </cell>
          <cell r="BK1237">
            <v>0</v>
          </cell>
          <cell r="BL1237">
            <v>0</v>
          </cell>
          <cell r="BM1237">
            <v>1</v>
          </cell>
          <cell r="BN1237">
            <v>0</v>
          </cell>
          <cell r="BO1237">
            <v>0</v>
          </cell>
          <cell r="BP1237">
            <v>0</v>
          </cell>
          <cell r="BQ1237">
            <v>0</v>
          </cell>
          <cell r="BR1237">
            <v>3</v>
          </cell>
          <cell r="BS1237">
            <v>0</v>
          </cell>
          <cell r="BT1237">
            <v>0</v>
          </cell>
          <cell r="BU1237">
            <v>13</v>
          </cell>
        </row>
        <row r="1238">
          <cell r="A1238">
            <v>36</v>
          </cell>
          <cell r="B1238">
            <v>36</v>
          </cell>
          <cell r="D1238">
            <v>1</v>
          </cell>
          <cell r="F1238">
            <v>0</v>
          </cell>
          <cell r="G1238">
            <v>1</v>
          </cell>
          <cell r="I1238">
            <v>0</v>
          </cell>
          <cell r="J1238">
            <v>1</v>
          </cell>
          <cell r="K1238">
            <v>13</v>
          </cell>
          <cell r="L1238">
            <v>13</v>
          </cell>
          <cell r="M1238">
            <v>5</v>
          </cell>
          <cell r="O1238">
            <v>0</v>
          </cell>
          <cell r="P1238">
            <v>0</v>
          </cell>
          <cell r="Q1238">
            <v>0</v>
          </cell>
          <cell r="R1238">
            <v>1</v>
          </cell>
          <cell r="S1238">
            <v>0</v>
          </cell>
          <cell r="T1238">
            <v>2</v>
          </cell>
          <cell r="V1238">
            <v>0</v>
          </cell>
          <cell r="W1238">
            <v>96</v>
          </cell>
          <cell r="X1238">
            <v>2</v>
          </cell>
          <cell r="Y1238">
            <v>2</v>
          </cell>
          <cell r="AA1238">
            <v>0</v>
          </cell>
          <cell r="AB1238">
            <v>1</v>
          </cell>
          <cell r="AC1238">
            <v>0</v>
          </cell>
          <cell r="AD1238">
            <v>0</v>
          </cell>
          <cell r="AE1238">
            <v>0</v>
          </cell>
          <cell r="AF1238">
            <v>0</v>
          </cell>
          <cell r="AG1238">
            <v>0</v>
          </cell>
          <cell r="AH1238">
            <v>0</v>
          </cell>
          <cell r="AI1238">
            <v>1</v>
          </cell>
          <cell r="AK1238">
            <v>0</v>
          </cell>
          <cell r="AL1238">
            <v>0</v>
          </cell>
          <cell r="AN1238">
            <v>6134</v>
          </cell>
          <cell r="AO1238">
            <v>5</v>
          </cell>
          <cell r="AQ1238">
            <v>1</v>
          </cell>
          <cell r="AR1238">
            <v>13</v>
          </cell>
          <cell r="AS1238">
            <v>3</v>
          </cell>
          <cell r="AT1238">
            <v>2</v>
          </cell>
          <cell r="AU1238">
            <v>3</v>
          </cell>
          <cell r="AV1238">
            <v>16</v>
          </cell>
          <cell r="AW1238">
            <v>16</v>
          </cell>
          <cell r="AX1238">
            <v>3</v>
          </cell>
          <cell r="AY1238">
            <v>3</v>
          </cell>
          <cell r="AZ1238">
            <v>2</v>
          </cell>
          <cell r="BA1238">
            <v>2</v>
          </cell>
          <cell r="BB1238">
            <v>2</v>
          </cell>
          <cell r="BC1238">
            <v>2</v>
          </cell>
          <cell r="BD1238">
            <v>2</v>
          </cell>
          <cell r="BE1238">
            <v>2</v>
          </cell>
          <cell r="BF1238">
            <v>2</v>
          </cell>
          <cell r="BG1238">
            <v>4</v>
          </cell>
          <cell r="BH1238">
            <v>1</v>
          </cell>
          <cell r="BI1238">
            <v>0</v>
          </cell>
          <cell r="BJ1238">
            <v>0</v>
          </cell>
          <cell r="BK1238">
            <v>0</v>
          </cell>
          <cell r="BL1238">
            <v>0</v>
          </cell>
          <cell r="BM1238">
            <v>1</v>
          </cell>
          <cell r="BN1238">
            <v>0</v>
          </cell>
          <cell r="BO1238">
            <v>0</v>
          </cell>
          <cell r="BP1238">
            <v>0</v>
          </cell>
          <cell r="BQ1238">
            <v>0</v>
          </cell>
          <cell r="BR1238">
            <v>2</v>
          </cell>
          <cell r="BS1238">
            <v>0</v>
          </cell>
          <cell r="BT1238">
            <v>0</v>
          </cell>
          <cell r="BU1238">
            <v>16</v>
          </cell>
        </row>
        <row r="1239">
          <cell r="A1239">
            <v>32</v>
          </cell>
          <cell r="B1239">
            <v>32</v>
          </cell>
          <cell r="D1239">
            <v>1</v>
          </cell>
          <cell r="F1239">
            <v>0</v>
          </cell>
          <cell r="G1239">
            <v>1</v>
          </cell>
          <cell r="I1239">
            <v>0</v>
          </cell>
          <cell r="J1239">
            <v>1</v>
          </cell>
          <cell r="K1239">
            <v>1</v>
          </cell>
          <cell r="L1239">
            <v>1</v>
          </cell>
          <cell r="M1239">
            <v>2</v>
          </cell>
          <cell r="O1239">
            <v>1</v>
          </cell>
          <cell r="P1239">
            <v>0</v>
          </cell>
          <cell r="Q1239">
            <v>0</v>
          </cell>
          <cell r="R1239">
            <v>0</v>
          </cell>
          <cell r="S1239">
            <v>0</v>
          </cell>
          <cell r="T1239">
            <v>1</v>
          </cell>
          <cell r="V1239">
            <v>0</v>
          </cell>
          <cell r="W1239">
            <v>34</v>
          </cell>
          <cell r="X1239">
            <v>1</v>
          </cell>
          <cell r="Y1239">
            <v>2</v>
          </cell>
          <cell r="AA1239">
            <v>0</v>
          </cell>
          <cell r="AB1239">
            <v>1</v>
          </cell>
          <cell r="AC1239">
            <v>0</v>
          </cell>
          <cell r="AD1239">
            <v>0</v>
          </cell>
          <cell r="AE1239">
            <v>0</v>
          </cell>
          <cell r="AF1239">
            <v>0</v>
          </cell>
          <cell r="AG1239">
            <v>0</v>
          </cell>
          <cell r="AH1239">
            <v>0</v>
          </cell>
          <cell r="AI1239">
            <v>2</v>
          </cell>
          <cell r="AK1239">
            <v>1</v>
          </cell>
          <cell r="AL1239">
            <v>0</v>
          </cell>
          <cell r="AN1239">
            <v>6735</v>
          </cell>
          <cell r="AO1239">
            <v>6</v>
          </cell>
          <cell r="AQ1239">
            <v>0</v>
          </cell>
          <cell r="AR1239">
            <v>15</v>
          </cell>
          <cell r="AS1239">
            <v>3</v>
          </cell>
          <cell r="AT1239">
            <v>2</v>
          </cell>
          <cell r="AU1239">
            <v>0</v>
          </cell>
          <cell r="AV1239">
            <v>10</v>
          </cell>
          <cell r="AW1239">
            <v>10</v>
          </cell>
          <cell r="AX1239">
            <v>2</v>
          </cell>
          <cell r="AY1239">
            <v>3</v>
          </cell>
          <cell r="AZ1239">
            <v>0</v>
          </cell>
          <cell r="BA1239">
            <v>0</v>
          </cell>
          <cell r="BB1239">
            <v>0</v>
          </cell>
          <cell r="BC1239">
            <v>0</v>
          </cell>
          <cell r="BD1239">
            <v>0</v>
          </cell>
          <cell r="BE1239">
            <v>0</v>
          </cell>
          <cell r="BF1239">
            <v>0</v>
          </cell>
          <cell r="BG1239">
            <v>0</v>
          </cell>
          <cell r="BH1239">
            <v>1</v>
          </cell>
          <cell r="BI1239">
            <v>0</v>
          </cell>
          <cell r="BJ1239">
            <v>0</v>
          </cell>
          <cell r="BK1239">
            <v>0</v>
          </cell>
          <cell r="BL1239">
            <v>1</v>
          </cell>
          <cell r="BM1239">
            <v>0</v>
          </cell>
          <cell r="BN1239">
            <v>0</v>
          </cell>
          <cell r="BO1239">
            <v>0</v>
          </cell>
          <cell r="BP1239">
            <v>0</v>
          </cell>
          <cell r="BQ1239">
            <v>0</v>
          </cell>
          <cell r="BR1239">
            <v>0</v>
          </cell>
          <cell r="BS1239">
            <v>0</v>
          </cell>
          <cell r="BT1239">
            <v>0</v>
          </cell>
          <cell r="BU1239">
            <v>10</v>
          </cell>
        </row>
        <row r="1240">
          <cell r="A1240">
            <v>23</v>
          </cell>
          <cell r="B1240">
            <v>23</v>
          </cell>
          <cell r="D1240">
            <v>0</v>
          </cell>
          <cell r="F1240">
            <v>0</v>
          </cell>
          <cell r="G1240">
            <v>1</v>
          </cell>
          <cell r="I1240">
            <v>1</v>
          </cell>
          <cell r="J1240">
            <v>0</v>
          </cell>
          <cell r="K1240">
            <v>4</v>
          </cell>
          <cell r="L1240">
            <v>4</v>
          </cell>
          <cell r="M1240">
            <v>1</v>
          </cell>
          <cell r="O1240">
            <v>0</v>
          </cell>
          <cell r="P1240">
            <v>0</v>
          </cell>
          <cell r="Q1240">
            <v>1</v>
          </cell>
          <cell r="R1240">
            <v>0</v>
          </cell>
          <cell r="S1240">
            <v>0</v>
          </cell>
          <cell r="T1240">
            <v>3</v>
          </cell>
          <cell r="V1240">
            <v>1</v>
          </cell>
          <cell r="W1240">
            <v>51</v>
          </cell>
          <cell r="X1240">
            <v>3</v>
          </cell>
          <cell r="Y1240">
            <v>1</v>
          </cell>
          <cell r="AA1240">
            <v>0</v>
          </cell>
          <cell r="AB1240">
            <v>0</v>
          </cell>
          <cell r="AC1240">
            <v>1</v>
          </cell>
          <cell r="AD1240">
            <v>0</v>
          </cell>
          <cell r="AE1240">
            <v>0</v>
          </cell>
          <cell r="AF1240">
            <v>0</v>
          </cell>
          <cell r="AG1240">
            <v>0</v>
          </cell>
          <cell r="AH1240">
            <v>0</v>
          </cell>
          <cell r="AI1240">
            <v>2</v>
          </cell>
          <cell r="AK1240">
            <v>1</v>
          </cell>
          <cell r="AL1240">
            <v>0</v>
          </cell>
          <cell r="AN1240">
            <v>3295</v>
          </cell>
          <cell r="AO1240">
            <v>1</v>
          </cell>
          <cell r="AQ1240">
            <v>0</v>
          </cell>
          <cell r="AR1240">
            <v>13</v>
          </cell>
          <cell r="AS1240">
            <v>3</v>
          </cell>
          <cell r="AT1240">
            <v>3</v>
          </cell>
          <cell r="AU1240">
            <v>0</v>
          </cell>
          <cell r="AV1240">
            <v>3</v>
          </cell>
          <cell r="AW1240">
            <v>3</v>
          </cell>
          <cell r="AX1240">
            <v>3</v>
          </cell>
          <cell r="AY1240">
            <v>1</v>
          </cell>
          <cell r="AZ1240">
            <v>3</v>
          </cell>
          <cell r="BA1240">
            <v>3</v>
          </cell>
          <cell r="BB1240">
            <v>2</v>
          </cell>
          <cell r="BC1240">
            <v>1</v>
          </cell>
          <cell r="BD1240">
            <v>1</v>
          </cell>
          <cell r="BE1240">
            <v>2</v>
          </cell>
          <cell r="BF1240">
            <v>2</v>
          </cell>
          <cell r="BG1240">
            <v>2</v>
          </cell>
          <cell r="BH1240">
            <v>1</v>
          </cell>
          <cell r="BI1240">
            <v>0</v>
          </cell>
          <cell r="BJ1240">
            <v>0</v>
          </cell>
          <cell r="BK1240">
            <v>0</v>
          </cell>
          <cell r="BL1240">
            <v>1</v>
          </cell>
          <cell r="BM1240">
            <v>0</v>
          </cell>
          <cell r="BN1240">
            <v>0</v>
          </cell>
          <cell r="BO1240">
            <v>0</v>
          </cell>
          <cell r="BP1240">
            <v>0</v>
          </cell>
          <cell r="BQ1240">
            <v>2</v>
          </cell>
          <cell r="BR1240">
            <v>0</v>
          </cell>
          <cell r="BS1240">
            <v>0</v>
          </cell>
          <cell r="BT1240">
            <v>3</v>
          </cell>
          <cell r="BU1240">
            <v>0</v>
          </cell>
        </row>
        <row r="1241">
          <cell r="A1241">
            <v>31</v>
          </cell>
          <cell r="B1241">
            <v>31</v>
          </cell>
          <cell r="D1241">
            <v>0</v>
          </cell>
          <cell r="F1241">
            <v>1</v>
          </cell>
          <cell r="G1241">
            <v>0</v>
          </cell>
          <cell r="I1241">
            <v>1</v>
          </cell>
          <cell r="J1241">
            <v>0</v>
          </cell>
          <cell r="K1241">
            <v>24</v>
          </cell>
          <cell r="L1241">
            <v>24</v>
          </cell>
          <cell r="M1241">
            <v>1</v>
          </cell>
          <cell r="O1241">
            <v>0</v>
          </cell>
          <cell r="P1241">
            <v>0</v>
          </cell>
          <cell r="Q1241">
            <v>0</v>
          </cell>
          <cell r="R1241">
            <v>0</v>
          </cell>
          <cell r="S1241">
            <v>1</v>
          </cell>
          <cell r="T1241">
            <v>4</v>
          </cell>
          <cell r="V1241">
            <v>1</v>
          </cell>
          <cell r="W1241">
            <v>30</v>
          </cell>
          <cell r="X1241">
            <v>3</v>
          </cell>
          <cell r="Y1241">
            <v>2</v>
          </cell>
          <cell r="AA1241">
            <v>0</v>
          </cell>
          <cell r="AB1241">
            <v>0</v>
          </cell>
          <cell r="AC1241">
            <v>0</v>
          </cell>
          <cell r="AD1241">
            <v>0</v>
          </cell>
          <cell r="AE1241">
            <v>1</v>
          </cell>
          <cell r="AF1241">
            <v>1</v>
          </cell>
          <cell r="AG1241">
            <v>0</v>
          </cell>
          <cell r="AH1241">
            <v>0</v>
          </cell>
          <cell r="AI1241">
            <v>4</v>
          </cell>
          <cell r="AK1241">
            <v>1</v>
          </cell>
          <cell r="AL1241">
            <v>0</v>
          </cell>
          <cell r="AN1241">
            <v>5238</v>
          </cell>
          <cell r="AO1241">
            <v>2</v>
          </cell>
          <cell r="AQ1241">
            <v>0</v>
          </cell>
          <cell r="AR1241">
            <v>20</v>
          </cell>
          <cell r="AS1241">
            <v>4</v>
          </cell>
          <cell r="AT1241">
            <v>4</v>
          </cell>
          <cell r="AU1241">
            <v>0</v>
          </cell>
          <cell r="AV1241">
            <v>9</v>
          </cell>
          <cell r="AW1241">
            <v>9</v>
          </cell>
          <cell r="AX1241">
            <v>3</v>
          </cell>
          <cell r="AY1241">
            <v>2</v>
          </cell>
          <cell r="AZ1241">
            <v>5</v>
          </cell>
          <cell r="BA1241">
            <v>5</v>
          </cell>
          <cell r="BB1241">
            <v>4</v>
          </cell>
          <cell r="BC1241">
            <v>1</v>
          </cell>
          <cell r="BD1241">
            <v>1</v>
          </cell>
          <cell r="BE1241">
            <v>4</v>
          </cell>
          <cell r="BF1241">
            <v>4</v>
          </cell>
          <cell r="BG1241">
            <v>8</v>
          </cell>
          <cell r="BH1241">
            <v>0</v>
          </cell>
          <cell r="BI1241">
            <v>0</v>
          </cell>
          <cell r="BJ1241">
            <v>1</v>
          </cell>
          <cell r="BK1241">
            <v>0</v>
          </cell>
          <cell r="BL1241">
            <v>1</v>
          </cell>
          <cell r="BM1241">
            <v>0</v>
          </cell>
          <cell r="BN1241">
            <v>0</v>
          </cell>
          <cell r="BO1241">
            <v>0</v>
          </cell>
          <cell r="BP1241">
            <v>0</v>
          </cell>
          <cell r="BQ1241">
            <v>4</v>
          </cell>
          <cell r="BR1241">
            <v>0</v>
          </cell>
          <cell r="BS1241">
            <v>0</v>
          </cell>
          <cell r="BT1241">
            <v>9</v>
          </cell>
          <cell r="BU1241">
            <v>0</v>
          </cell>
        </row>
        <row r="1242">
          <cell r="A1242">
            <v>39</v>
          </cell>
          <cell r="B1242">
            <v>39</v>
          </cell>
          <cell r="D1242">
            <v>0</v>
          </cell>
          <cell r="F1242">
            <v>0</v>
          </cell>
          <cell r="G1242">
            <v>0</v>
          </cell>
          <cell r="I1242">
            <v>1</v>
          </cell>
          <cell r="J1242">
            <v>0</v>
          </cell>
          <cell r="K1242">
            <v>1</v>
          </cell>
          <cell r="L1242">
            <v>1</v>
          </cell>
          <cell r="M1242">
            <v>3</v>
          </cell>
          <cell r="O1242">
            <v>1</v>
          </cell>
          <cell r="P1242">
            <v>0</v>
          </cell>
          <cell r="Q1242">
            <v>0</v>
          </cell>
          <cell r="R1242">
            <v>0</v>
          </cell>
          <cell r="S1242">
            <v>0</v>
          </cell>
          <cell r="T1242">
            <v>4</v>
          </cell>
          <cell r="V1242">
            <v>0</v>
          </cell>
          <cell r="W1242">
            <v>77</v>
          </cell>
          <cell r="X1242">
            <v>3</v>
          </cell>
          <cell r="Y1242">
            <v>2</v>
          </cell>
          <cell r="AA1242">
            <v>0</v>
          </cell>
          <cell r="AB1242">
            <v>0</v>
          </cell>
          <cell r="AC1242">
            <v>1</v>
          </cell>
          <cell r="AD1242">
            <v>0</v>
          </cell>
          <cell r="AE1242">
            <v>0</v>
          </cell>
          <cell r="AF1242">
            <v>0</v>
          </cell>
          <cell r="AG1242">
            <v>0</v>
          </cell>
          <cell r="AH1242">
            <v>0</v>
          </cell>
          <cell r="AI1242">
            <v>4</v>
          </cell>
          <cell r="AK1242">
            <v>0</v>
          </cell>
          <cell r="AL1242">
            <v>1</v>
          </cell>
          <cell r="AN1242">
            <v>6472</v>
          </cell>
          <cell r="AO1242">
            <v>1</v>
          </cell>
          <cell r="AQ1242">
            <v>1</v>
          </cell>
          <cell r="AR1242">
            <v>15</v>
          </cell>
          <cell r="AS1242">
            <v>3</v>
          </cell>
          <cell r="AT1242">
            <v>4</v>
          </cell>
          <cell r="AU1242">
            <v>1</v>
          </cell>
          <cell r="AV1242">
            <v>9</v>
          </cell>
          <cell r="AW1242">
            <v>9</v>
          </cell>
          <cell r="AX1242">
            <v>2</v>
          </cell>
          <cell r="AY1242">
            <v>3</v>
          </cell>
          <cell r="AZ1242">
            <v>9</v>
          </cell>
          <cell r="BA1242">
            <v>9</v>
          </cell>
          <cell r="BB1242">
            <v>8</v>
          </cell>
          <cell r="BC1242">
            <v>5</v>
          </cell>
          <cell r="BD1242">
            <v>5</v>
          </cell>
          <cell r="BE1242">
            <v>8</v>
          </cell>
          <cell r="BF1242">
            <v>8</v>
          </cell>
          <cell r="BG1242">
            <v>16</v>
          </cell>
          <cell r="BH1242">
            <v>0</v>
          </cell>
          <cell r="BI1242">
            <v>1</v>
          </cell>
          <cell r="BJ1242">
            <v>0</v>
          </cell>
          <cell r="BK1242">
            <v>0</v>
          </cell>
          <cell r="BL1242">
            <v>0</v>
          </cell>
          <cell r="BM1242">
            <v>0</v>
          </cell>
          <cell r="BN1242">
            <v>0</v>
          </cell>
          <cell r="BO1242">
            <v>1</v>
          </cell>
          <cell r="BP1242">
            <v>0</v>
          </cell>
          <cell r="BQ1242">
            <v>8</v>
          </cell>
          <cell r="BR1242">
            <v>0</v>
          </cell>
          <cell r="BS1242">
            <v>0</v>
          </cell>
          <cell r="BT1242">
            <v>9</v>
          </cell>
          <cell r="BU1242">
            <v>0</v>
          </cell>
        </row>
        <row r="1243">
          <cell r="A1243">
            <v>32</v>
          </cell>
          <cell r="B1243">
            <v>32</v>
          </cell>
          <cell r="D1243">
            <v>0</v>
          </cell>
          <cell r="F1243">
            <v>0</v>
          </cell>
          <cell r="G1243">
            <v>1</v>
          </cell>
          <cell r="I1243">
            <v>0</v>
          </cell>
          <cell r="J1243">
            <v>1</v>
          </cell>
          <cell r="K1243">
            <v>19</v>
          </cell>
          <cell r="L1243">
            <v>19</v>
          </cell>
          <cell r="M1243">
            <v>3</v>
          </cell>
          <cell r="O1243">
            <v>1</v>
          </cell>
          <cell r="P1243">
            <v>0</v>
          </cell>
          <cell r="Q1243">
            <v>0</v>
          </cell>
          <cell r="R1243">
            <v>0</v>
          </cell>
          <cell r="S1243">
            <v>0</v>
          </cell>
          <cell r="T1243">
            <v>4</v>
          </cell>
          <cell r="V1243">
            <v>0</v>
          </cell>
          <cell r="W1243">
            <v>80</v>
          </cell>
          <cell r="X1243">
            <v>1</v>
          </cell>
          <cell r="Y1243">
            <v>3</v>
          </cell>
          <cell r="AA1243">
            <v>0</v>
          </cell>
          <cell r="AB1243">
            <v>1</v>
          </cell>
          <cell r="AC1243">
            <v>0</v>
          </cell>
          <cell r="AD1243">
            <v>0</v>
          </cell>
          <cell r="AE1243">
            <v>0</v>
          </cell>
          <cell r="AF1243">
            <v>0</v>
          </cell>
          <cell r="AG1243">
            <v>0</v>
          </cell>
          <cell r="AH1243">
            <v>0</v>
          </cell>
          <cell r="AI1243">
            <v>3</v>
          </cell>
          <cell r="AK1243">
            <v>0</v>
          </cell>
          <cell r="AL1243">
            <v>1</v>
          </cell>
          <cell r="AN1243">
            <v>9610</v>
          </cell>
          <cell r="AO1243">
            <v>3</v>
          </cell>
          <cell r="AQ1243">
            <v>0</v>
          </cell>
          <cell r="AR1243">
            <v>13</v>
          </cell>
          <cell r="AS1243">
            <v>3</v>
          </cell>
          <cell r="AT1243">
            <v>3</v>
          </cell>
          <cell r="AU1243">
            <v>1</v>
          </cell>
          <cell r="AV1243">
            <v>10</v>
          </cell>
          <cell r="AW1243">
            <v>10</v>
          </cell>
          <cell r="AX1243">
            <v>2</v>
          </cell>
          <cell r="AY1243">
            <v>1</v>
          </cell>
          <cell r="AZ1243">
            <v>4</v>
          </cell>
          <cell r="BA1243">
            <v>4</v>
          </cell>
          <cell r="BB1243">
            <v>3</v>
          </cell>
          <cell r="BC1243">
            <v>0</v>
          </cell>
          <cell r="BD1243">
            <v>0</v>
          </cell>
          <cell r="BE1243">
            <v>2</v>
          </cell>
          <cell r="BF1243">
            <v>2</v>
          </cell>
          <cell r="BG1243">
            <v>6</v>
          </cell>
          <cell r="BH1243">
            <v>0</v>
          </cell>
          <cell r="BI1243">
            <v>1</v>
          </cell>
          <cell r="BJ1243">
            <v>0</v>
          </cell>
          <cell r="BK1243">
            <v>0</v>
          </cell>
          <cell r="BL1243">
            <v>0</v>
          </cell>
          <cell r="BM1243">
            <v>0</v>
          </cell>
          <cell r="BN1243">
            <v>1</v>
          </cell>
          <cell r="BO1243">
            <v>0</v>
          </cell>
          <cell r="BP1243">
            <v>0</v>
          </cell>
          <cell r="BQ1243">
            <v>0</v>
          </cell>
          <cell r="BR1243">
            <v>2</v>
          </cell>
          <cell r="BS1243">
            <v>0</v>
          </cell>
          <cell r="BT1243">
            <v>0</v>
          </cell>
          <cell r="BU1243">
            <v>10</v>
          </cell>
        </row>
        <row r="1244">
          <cell r="A1244">
            <v>40</v>
          </cell>
          <cell r="B1244">
            <v>40</v>
          </cell>
          <cell r="D1244">
            <v>0</v>
          </cell>
          <cell r="F1244">
            <v>0</v>
          </cell>
          <cell r="G1244">
            <v>1</v>
          </cell>
          <cell r="I1244">
            <v>0</v>
          </cell>
          <cell r="J1244">
            <v>1</v>
          </cell>
          <cell r="K1244">
            <v>7</v>
          </cell>
          <cell r="L1244">
            <v>7</v>
          </cell>
          <cell r="M1244">
            <v>4</v>
          </cell>
          <cell r="O1244">
            <v>0</v>
          </cell>
          <cell r="P1244">
            <v>0</v>
          </cell>
          <cell r="Q1244">
            <v>1</v>
          </cell>
          <cell r="R1244">
            <v>0</v>
          </cell>
          <cell r="S1244">
            <v>0</v>
          </cell>
          <cell r="T1244">
            <v>2</v>
          </cell>
          <cell r="V1244">
            <v>0</v>
          </cell>
          <cell r="W1244">
            <v>88</v>
          </cell>
          <cell r="X1244">
            <v>3</v>
          </cell>
          <cell r="Y1244">
            <v>5</v>
          </cell>
          <cell r="AA1244">
            <v>0</v>
          </cell>
          <cell r="AB1244">
            <v>0</v>
          </cell>
          <cell r="AC1244">
            <v>0</v>
          </cell>
          <cell r="AD1244">
            <v>1</v>
          </cell>
          <cell r="AE1244">
            <v>0</v>
          </cell>
          <cell r="AF1244">
            <v>0</v>
          </cell>
          <cell r="AG1244">
            <v>0</v>
          </cell>
          <cell r="AH1244">
            <v>0</v>
          </cell>
          <cell r="AI1244">
            <v>2</v>
          </cell>
          <cell r="AK1244">
            <v>1</v>
          </cell>
          <cell r="AL1244">
            <v>0</v>
          </cell>
          <cell r="AN1244">
            <v>19626.310000000001</v>
          </cell>
          <cell r="AO1244">
            <v>1</v>
          </cell>
          <cell r="AQ1244">
            <v>0</v>
          </cell>
          <cell r="AR1244">
            <v>14</v>
          </cell>
          <cell r="AS1244">
            <v>3</v>
          </cell>
          <cell r="AT1244">
            <v>2</v>
          </cell>
          <cell r="AU1244">
            <v>0</v>
          </cell>
          <cell r="AV1244">
            <v>21</v>
          </cell>
          <cell r="AW1244">
            <v>21</v>
          </cell>
          <cell r="AX1244">
            <v>3</v>
          </cell>
          <cell r="AY1244">
            <v>2</v>
          </cell>
          <cell r="AZ1244">
            <v>21</v>
          </cell>
          <cell r="BA1244">
            <v>21</v>
          </cell>
          <cell r="BB1244">
            <v>8</v>
          </cell>
          <cell r="BC1244">
            <v>12</v>
          </cell>
          <cell r="BD1244">
            <v>12</v>
          </cell>
          <cell r="BE1244">
            <v>8</v>
          </cell>
          <cell r="BF1244">
            <v>8</v>
          </cell>
          <cell r="BG1244">
            <v>40</v>
          </cell>
          <cell r="BH1244">
            <v>1</v>
          </cell>
          <cell r="BI1244">
            <v>0</v>
          </cell>
          <cell r="BJ1244">
            <v>0</v>
          </cell>
          <cell r="BK1244">
            <v>0</v>
          </cell>
          <cell r="BL1244">
            <v>1</v>
          </cell>
          <cell r="BM1244">
            <v>0</v>
          </cell>
          <cell r="BN1244">
            <v>0</v>
          </cell>
          <cell r="BO1244">
            <v>0</v>
          </cell>
          <cell r="BP1244">
            <v>0</v>
          </cell>
          <cell r="BQ1244">
            <v>0</v>
          </cell>
          <cell r="BR1244">
            <v>8</v>
          </cell>
          <cell r="BS1244">
            <v>0</v>
          </cell>
          <cell r="BT1244">
            <v>0</v>
          </cell>
          <cell r="BU1244">
            <v>21</v>
          </cell>
        </row>
        <row r="1245">
          <cell r="A1245">
            <v>45</v>
          </cell>
          <cell r="B1245">
            <v>45</v>
          </cell>
          <cell r="D1245">
            <v>0</v>
          </cell>
          <cell r="F1245">
            <v>0</v>
          </cell>
          <cell r="G1245">
            <v>1</v>
          </cell>
          <cell r="I1245">
            <v>0</v>
          </cell>
          <cell r="J1245">
            <v>0</v>
          </cell>
          <cell r="K1245">
            <v>4</v>
          </cell>
          <cell r="L1245">
            <v>4</v>
          </cell>
          <cell r="M1245">
            <v>3</v>
          </cell>
          <cell r="O1245">
            <v>1</v>
          </cell>
          <cell r="P1245">
            <v>0</v>
          </cell>
          <cell r="Q1245">
            <v>0</v>
          </cell>
          <cell r="R1245">
            <v>0</v>
          </cell>
          <cell r="S1245">
            <v>0</v>
          </cell>
          <cell r="T1245">
            <v>3</v>
          </cell>
          <cell r="V1245">
            <v>1</v>
          </cell>
          <cell r="W1245">
            <v>56</v>
          </cell>
          <cell r="X1245">
            <v>1</v>
          </cell>
          <cell r="Y1245">
            <v>3</v>
          </cell>
          <cell r="AA1245">
            <v>0</v>
          </cell>
          <cell r="AB1245">
            <v>0</v>
          </cell>
          <cell r="AC1245">
            <v>0</v>
          </cell>
          <cell r="AD1245">
            <v>0</v>
          </cell>
          <cell r="AE1245">
            <v>0</v>
          </cell>
          <cell r="AF1245">
            <v>0</v>
          </cell>
          <cell r="AG1245">
            <v>0</v>
          </cell>
          <cell r="AH1245">
            <v>0</v>
          </cell>
          <cell r="AI1245">
            <v>3</v>
          </cell>
          <cell r="AK1245">
            <v>0</v>
          </cell>
          <cell r="AL1245">
            <v>1</v>
          </cell>
          <cell r="AN1245">
            <v>9756</v>
          </cell>
          <cell r="AO1245">
            <v>4</v>
          </cell>
          <cell r="AQ1245">
            <v>0</v>
          </cell>
          <cell r="AR1245">
            <v>21</v>
          </cell>
          <cell r="AS1245">
            <v>4</v>
          </cell>
          <cell r="AT1245">
            <v>3</v>
          </cell>
          <cell r="AU1245">
            <v>2</v>
          </cell>
          <cell r="AV1245">
            <v>9</v>
          </cell>
          <cell r="AW1245">
            <v>9</v>
          </cell>
          <cell r="AX1245">
            <v>2</v>
          </cell>
          <cell r="AY1245">
            <v>4</v>
          </cell>
          <cell r="AZ1245">
            <v>5</v>
          </cell>
          <cell r="BA1245">
            <v>5</v>
          </cell>
          <cell r="BB1245">
            <v>0</v>
          </cell>
          <cell r="BC1245">
            <v>0</v>
          </cell>
          <cell r="BD1245">
            <v>0</v>
          </cell>
          <cell r="BE1245">
            <v>3</v>
          </cell>
          <cell r="BF1245">
            <v>3</v>
          </cell>
          <cell r="BG1245">
            <v>9</v>
          </cell>
          <cell r="BH1245">
            <v>0</v>
          </cell>
          <cell r="BI1245">
            <v>1</v>
          </cell>
          <cell r="BJ1245">
            <v>0</v>
          </cell>
          <cell r="BK1245">
            <v>0</v>
          </cell>
          <cell r="BL1245">
            <v>0</v>
          </cell>
          <cell r="BM1245">
            <v>0</v>
          </cell>
          <cell r="BN1245">
            <v>1</v>
          </cell>
          <cell r="BO1245">
            <v>0</v>
          </cell>
          <cell r="BP1245">
            <v>3</v>
          </cell>
          <cell r="BQ1245">
            <v>0</v>
          </cell>
          <cell r="BR1245">
            <v>0</v>
          </cell>
          <cell r="BS1245">
            <v>9</v>
          </cell>
          <cell r="BT1245">
            <v>0</v>
          </cell>
          <cell r="BU1245">
            <v>0</v>
          </cell>
        </row>
        <row r="1246">
          <cell r="A1246">
            <v>30</v>
          </cell>
          <cell r="B1246">
            <v>30</v>
          </cell>
          <cell r="D1246">
            <v>0</v>
          </cell>
          <cell r="F1246">
            <v>1</v>
          </cell>
          <cell r="G1246">
            <v>0</v>
          </cell>
          <cell r="I1246">
            <v>1</v>
          </cell>
          <cell r="J1246">
            <v>0</v>
          </cell>
          <cell r="K1246">
            <v>2</v>
          </cell>
          <cell r="L1246">
            <v>2</v>
          </cell>
          <cell r="M1246">
            <v>4</v>
          </cell>
          <cell r="O1246">
            <v>0</v>
          </cell>
          <cell r="P1246">
            <v>0</v>
          </cell>
          <cell r="Q1246">
            <v>0</v>
          </cell>
          <cell r="R1246">
            <v>0</v>
          </cell>
          <cell r="S1246">
            <v>1</v>
          </cell>
          <cell r="T1246">
            <v>4</v>
          </cell>
          <cell r="V1246">
            <v>1</v>
          </cell>
          <cell r="W1246">
            <v>78</v>
          </cell>
          <cell r="X1246">
            <v>2</v>
          </cell>
          <cell r="Y1246">
            <v>1</v>
          </cell>
          <cell r="AA1246">
            <v>0</v>
          </cell>
          <cell r="AB1246">
            <v>0</v>
          </cell>
          <cell r="AC1246">
            <v>0</v>
          </cell>
          <cell r="AD1246">
            <v>0</v>
          </cell>
          <cell r="AE1246">
            <v>0</v>
          </cell>
          <cell r="AF1246">
            <v>0</v>
          </cell>
          <cell r="AG1246">
            <v>0</v>
          </cell>
          <cell r="AH1246">
            <v>1</v>
          </cell>
          <cell r="AI1246">
            <v>1</v>
          </cell>
          <cell r="AK1246">
            <v>1</v>
          </cell>
          <cell r="AL1246">
            <v>0</v>
          </cell>
          <cell r="AN1246">
            <v>4968</v>
          </cell>
          <cell r="AO1246">
            <v>0</v>
          </cell>
          <cell r="AQ1246">
            <v>0</v>
          </cell>
          <cell r="AR1246">
            <v>16</v>
          </cell>
          <cell r="AS1246">
            <v>3</v>
          </cell>
          <cell r="AT1246">
            <v>4</v>
          </cell>
          <cell r="AU1246">
            <v>0</v>
          </cell>
          <cell r="AV1246">
            <v>10</v>
          </cell>
          <cell r="AW1246">
            <v>10</v>
          </cell>
          <cell r="AX1246">
            <v>2</v>
          </cell>
          <cell r="AY1246">
            <v>3</v>
          </cell>
          <cell r="AZ1246">
            <v>9</v>
          </cell>
          <cell r="BA1246">
            <v>9</v>
          </cell>
          <cell r="BB1246">
            <v>7</v>
          </cell>
          <cell r="BC1246">
            <v>0</v>
          </cell>
          <cell r="BD1246">
            <v>0</v>
          </cell>
          <cell r="BE1246">
            <v>7</v>
          </cell>
          <cell r="BF1246">
            <v>7</v>
          </cell>
          <cell r="BG1246">
            <v>7</v>
          </cell>
          <cell r="BH1246">
            <v>0</v>
          </cell>
          <cell r="BI1246">
            <v>0</v>
          </cell>
          <cell r="BJ1246">
            <v>1</v>
          </cell>
          <cell r="BK1246">
            <v>0</v>
          </cell>
          <cell r="BL1246">
            <v>1</v>
          </cell>
          <cell r="BM1246">
            <v>0</v>
          </cell>
          <cell r="BN1246">
            <v>0</v>
          </cell>
          <cell r="BO1246">
            <v>0</v>
          </cell>
          <cell r="BP1246">
            <v>0</v>
          </cell>
          <cell r="BQ1246">
            <v>7</v>
          </cell>
          <cell r="BR1246">
            <v>0</v>
          </cell>
          <cell r="BS1246">
            <v>0</v>
          </cell>
          <cell r="BT1246">
            <v>10</v>
          </cell>
          <cell r="BU1246">
            <v>0</v>
          </cell>
        </row>
        <row r="1247">
          <cell r="A1247">
            <v>24</v>
          </cell>
          <cell r="B1247">
            <v>24</v>
          </cell>
          <cell r="D1247">
            <v>0</v>
          </cell>
          <cell r="F1247">
            <v>1</v>
          </cell>
          <cell r="G1247">
            <v>0</v>
          </cell>
          <cell r="I1247">
            <v>0</v>
          </cell>
          <cell r="J1247">
            <v>0</v>
          </cell>
          <cell r="K1247">
            <v>10</v>
          </cell>
          <cell r="L1247">
            <v>10</v>
          </cell>
          <cell r="M1247">
            <v>3</v>
          </cell>
          <cell r="O1247">
            <v>0</v>
          </cell>
          <cell r="P1247">
            <v>0</v>
          </cell>
          <cell r="Q1247">
            <v>1</v>
          </cell>
          <cell r="R1247">
            <v>0</v>
          </cell>
          <cell r="S1247">
            <v>0</v>
          </cell>
          <cell r="T1247">
            <v>1</v>
          </cell>
          <cell r="V1247">
            <v>0</v>
          </cell>
          <cell r="W1247">
            <v>59</v>
          </cell>
          <cell r="X1247">
            <v>3</v>
          </cell>
          <cell r="Y1247">
            <v>1</v>
          </cell>
          <cell r="AA1247">
            <v>0</v>
          </cell>
          <cell r="AB1247">
            <v>0</v>
          </cell>
          <cell r="AC1247">
            <v>0</v>
          </cell>
          <cell r="AD1247">
            <v>0</v>
          </cell>
          <cell r="AE1247">
            <v>0</v>
          </cell>
          <cell r="AF1247">
            <v>0</v>
          </cell>
          <cell r="AG1247">
            <v>0</v>
          </cell>
          <cell r="AH1247">
            <v>0</v>
          </cell>
          <cell r="AI1247">
            <v>4</v>
          </cell>
          <cell r="AK1247">
            <v>0</v>
          </cell>
          <cell r="AL1247">
            <v>1</v>
          </cell>
          <cell r="AN1247">
            <v>2145</v>
          </cell>
          <cell r="AO1247">
            <v>0</v>
          </cell>
          <cell r="AQ1247">
            <v>0</v>
          </cell>
          <cell r="AR1247">
            <v>14</v>
          </cell>
          <cell r="AS1247">
            <v>3</v>
          </cell>
          <cell r="AT1247">
            <v>4</v>
          </cell>
          <cell r="AU1247">
            <v>1</v>
          </cell>
          <cell r="AV1247">
            <v>3</v>
          </cell>
          <cell r="AW1247">
            <v>3</v>
          </cell>
          <cell r="AX1247">
            <v>2</v>
          </cell>
          <cell r="AY1247">
            <v>3</v>
          </cell>
          <cell r="AZ1247">
            <v>2</v>
          </cell>
          <cell r="BA1247">
            <v>2</v>
          </cell>
          <cell r="BB1247">
            <v>2</v>
          </cell>
          <cell r="BC1247">
            <v>2</v>
          </cell>
          <cell r="BD1247">
            <v>2</v>
          </cell>
          <cell r="BE1247">
            <v>1</v>
          </cell>
          <cell r="BF1247">
            <v>1</v>
          </cell>
          <cell r="BG1247">
            <v>1</v>
          </cell>
          <cell r="BH1247">
            <v>0</v>
          </cell>
          <cell r="BI1247">
            <v>0</v>
          </cell>
          <cell r="BJ1247">
            <v>0</v>
          </cell>
          <cell r="BK1247">
            <v>1</v>
          </cell>
          <cell r="BL1247">
            <v>0</v>
          </cell>
          <cell r="BM1247">
            <v>0</v>
          </cell>
          <cell r="BN1247">
            <v>1</v>
          </cell>
          <cell r="BO1247">
            <v>0</v>
          </cell>
          <cell r="BP1247">
            <v>1</v>
          </cell>
          <cell r="BQ1247">
            <v>0</v>
          </cell>
          <cell r="BR1247">
            <v>0</v>
          </cell>
          <cell r="BS1247">
            <v>3</v>
          </cell>
          <cell r="BT1247">
            <v>0</v>
          </cell>
          <cell r="BU1247">
            <v>0</v>
          </cell>
        </row>
        <row r="1248">
          <cell r="A1248">
            <v>30</v>
          </cell>
          <cell r="B1248">
            <v>30</v>
          </cell>
          <cell r="D1248">
            <v>1</v>
          </cell>
          <cell r="F1248">
            <v>1</v>
          </cell>
          <cell r="G1248">
            <v>0</v>
          </cell>
          <cell r="I1248">
            <v>0</v>
          </cell>
          <cell r="J1248">
            <v>0</v>
          </cell>
          <cell r="K1248">
            <v>8</v>
          </cell>
          <cell r="L1248">
            <v>8</v>
          </cell>
          <cell r="M1248">
            <v>3</v>
          </cell>
          <cell r="O1248">
            <v>0</v>
          </cell>
          <cell r="P1248">
            <v>0</v>
          </cell>
          <cell r="Q1248">
            <v>0</v>
          </cell>
          <cell r="R1248">
            <v>0</v>
          </cell>
          <cell r="S1248">
            <v>0</v>
          </cell>
          <cell r="T1248">
            <v>3</v>
          </cell>
          <cell r="V1248">
            <v>1</v>
          </cell>
          <cell r="W1248">
            <v>66</v>
          </cell>
          <cell r="X1248">
            <v>2</v>
          </cell>
          <cell r="Y1248">
            <v>1</v>
          </cell>
          <cell r="AA1248">
            <v>0</v>
          </cell>
          <cell r="AB1248">
            <v>0</v>
          </cell>
          <cell r="AC1248">
            <v>0</v>
          </cell>
          <cell r="AD1248">
            <v>0</v>
          </cell>
          <cell r="AE1248">
            <v>0</v>
          </cell>
          <cell r="AF1248">
            <v>0</v>
          </cell>
          <cell r="AG1248">
            <v>0</v>
          </cell>
          <cell r="AH1248">
            <v>0</v>
          </cell>
          <cell r="AI1248">
            <v>4</v>
          </cell>
          <cell r="AK1248">
            <v>0</v>
          </cell>
          <cell r="AL1248">
            <v>0</v>
          </cell>
          <cell r="AN1248">
            <v>2180</v>
          </cell>
          <cell r="AO1248">
            <v>6</v>
          </cell>
          <cell r="AQ1248">
            <v>0</v>
          </cell>
          <cell r="AR1248">
            <v>11</v>
          </cell>
          <cell r="AS1248">
            <v>3</v>
          </cell>
          <cell r="AT1248">
            <v>3</v>
          </cell>
          <cell r="AU1248">
            <v>1</v>
          </cell>
          <cell r="AV1248">
            <v>6</v>
          </cell>
          <cell r="AW1248">
            <v>6</v>
          </cell>
          <cell r="AX1248">
            <v>0</v>
          </cell>
          <cell r="AY1248">
            <v>2</v>
          </cell>
          <cell r="AZ1248">
            <v>4</v>
          </cell>
          <cell r="BA1248">
            <v>4</v>
          </cell>
          <cell r="BB1248">
            <v>2</v>
          </cell>
          <cell r="BC1248">
            <v>1</v>
          </cell>
          <cell r="BD1248">
            <v>1</v>
          </cell>
          <cell r="BE1248">
            <v>2</v>
          </cell>
          <cell r="BF1248">
            <v>2</v>
          </cell>
          <cell r="BG1248">
            <v>2</v>
          </cell>
          <cell r="BH1248">
            <v>0</v>
          </cell>
          <cell r="BI1248">
            <v>0</v>
          </cell>
          <cell r="BJ1248">
            <v>1</v>
          </cell>
          <cell r="BK1248">
            <v>0</v>
          </cell>
          <cell r="BL1248">
            <v>1</v>
          </cell>
          <cell r="BM1248">
            <v>0</v>
          </cell>
          <cell r="BN1248">
            <v>0</v>
          </cell>
          <cell r="BO1248">
            <v>0</v>
          </cell>
          <cell r="BP1248">
            <v>2</v>
          </cell>
          <cell r="BQ1248">
            <v>0</v>
          </cell>
          <cell r="BR1248">
            <v>0</v>
          </cell>
          <cell r="BS1248">
            <v>6</v>
          </cell>
          <cell r="BT1248">
            <v>0</v>
          </cell>
          <cell r="BU1248">
            <v>0</v>
          </cell>
        </row>
        <row r="1249">
          <cell r="A1249">
            <v>31</v>
          </cell>
          <cell r="B1249">
            <v>31</v>
          </cell>
          <cell r="D1249">
            <v>0</v>
          </cell>
          <cell r="F1249">
            <v>0</v>
          </cell>
          <cell r="G1249">
            <v>1</v>
          </cell>
          <cell r="I1249">
            <v>0</v>
          </cell>
          <cell r="J1249">
            <v>1</v>
          </cell>
          <cell r="K1249">
            <v>5</v>
          </cell>
          <cell r="L1249">
            <v>5</v>
          </cell>
          <cell r="M1249">
            <v>3</v>
          </cell>
          <cell r="O1249">
            <v>0</v>
          </cell>
          <cell r="P1249">
            <v>0</v>
          </cell>
          <cell r="Q1249">
            <v>0</v>
          </cell>
          <cell r="R1249">
            <v>0</v>
          </cell>
          <cell r="S1249">
            <v>1</v>
          </cell>
          <cell r="T1249">
            <v>1</v>
          </cell>
          <cell r="V1249">
            <v>0</v>
          </cell>
          <cell r="W1249">
            <v>51</v>
          </cell>
          <cell r="X1249">
            <v>3</v>
          </cell>
          <cell r="Y1249">
            <v>2</v>
          </cell>
          <cell r="AA1249">
            <v>0</v>
          </cell>
          <cell r="AB1249">
            <v>1</v>
          </cell>
          <cell r="AC1249">
            <v>0</v>
          </cell>
          <cell r="AD1249">
            <v>0</v>
          </cell>
          <cell r="AE1249">
            <v>0</v>
          </cell>
          <cell r="AF1249">
            <v>0</v>
          </cell>
          <cell r="AG1249">
            <v>0</v>
          </cell>
          <cell r="AH1249">
            <v>0</v>
          </cell>
          <cell r="AI1249">
            <v>3</v>
          </cell>
          <cell r="AK1249">
            <v>0</v>
          </cell>
          <cell r="AL1249">
            <v>1</v>
          </cell>
          <cell r="AN1249">
            <v>8346</v>
          </cell>
          <cell r="AO1249">
            <v>1</v>
          </cell>
          <cell r="AQ1249">
            <v>0</v>
          </cell>
          <cell r="AR1249">
            <v>19</v>
          </cell>
          <cell r="AS1249">
            <v>3</v>
          </cell>
          <cell r="AT1249">
            <v>3</v>
          </cell>
          <cell r="AU1249">
            <v>1</v>
          </cell>
          <cell r="AV1249">
            <v>6</v>
          </cell>
          <cell r="AW1249">
            <v>6</v>
          </cell>
          <cell r="AX1249">
            <v>3</v>
          </cell>
          <cell r="AY1249">
            <v>3</v>
          </cell>
          <cell r="AZ1249">
            <v>5</v>
          </cell>
          <cell r="BA1249">
            <v>5</v>
          </cell>
          <cell r="BB1249">
            <v>2</v>
          </cell>
          <cell r="BC1249">
            <v>0</v>
          </cell>
          <cell r="BD1249">
            <v>0</v>
          </cell>
          <cell r="BE1249">
            <v>2</v>
          </cell>
          <cell r="BF1249">
            <v>2</v>
          </cell>
          <cell r="BG1249">
            <v>4</v>
          </cell>
          <cell r="BH1249">
            <v>0</v>
          </cell>
          <cell r="BI1249">
            <v>1</v>
          </cell>
          <cell r="BJ1249">
            <v>0</v>
          </cell>
          <cell r="BK1249">
            <v>0</v>
          </cell>
          <cell r="BL1249">
            <v>0</v>
          </cell>
          <cell r="BM1249">
            <v>0</v>
          </cell>
          <cell r="BN1249">
            <v>1</v>
          </cell>
          <cell r="BO1249">
            <v>0</v>
          </cell>
          <cell r="BP1249">
            <v>0</v>
          </cell>
          <cell r="BQ1249">
            <v>0</v>
          </cell>
          <cell r="BR1249">
            <v>2</v>
          </cell>
          <cell r="BS1249">
            <v>0</v>
          </cell>
          <cell r="BT1249">
            <v>0</v>
          </cell>
          <cell r="BU1249">
            <v>6</v>
          </cell>
        </row>
        <row r="1250">
          <cell r="A1250">
            <v>27</v>
          </cell>
          <cell r="B1250">
            <v>27</v>
          </cell>
          <cell r="D1250">
            <v>0</v>
          </cell>
          <cell r="F1250">
            <v>0</v>
          </cell>
          <cell r="G1250">
            <v>1</v>
          </cell>
          <cell r="I1250">
            <v>1</v>
          </cell>
          <cell r="J1250">
            <v>0</v>
          </cell>
          <cell r="K1250">
            <v>8</v>
          </cell>
          <cell r="L1250">
            <v>8</v>
          </cell>
          <cell r="M1250">
            <v>3</v>
          </cell>
          <cell r="O1250">
            <v>0</v>
          </cell>
          <cell r="P1250">
            <v>0</v>
          </cell>
          <cell r="Q1250">
            <v>1</v>
          </cell>
          <cell r="R1250">
            <v>0</v>
          </cell>
          <cell r="S1250">
            <v>0</v>
          </cell>
          <cell r="T1250">
            <v>3</v>
          </cell>
          <cell r="V1250">
            <v>1</v>
          </cell>
          <cell r="W1250">
            <v>67</v>
          </cell>
          <cell r="X1250">
            <v>3</v>
          </cell>
          <cell r="Y1250">
            <v>1</v>
          </cell>
          <cell r="AA1250">
            <v>0</v>
          </cell>
          <cell r="AB1250">
            <v>0</v>
          </cell>
          <cell r="AC1250">
            <v>0</v>
          </cell>
          <cell r="AD1250">
            <v>0</v>
          </cell>
          <cell r="AE1250">
            <v>0</v>
          </cell>
          <cell r="AF1250">
            <v>0</v>
          </cell>
          <cell r="AG1250">
            <v>0</v>
          </cell>
          <cell r="AH1250">
            <v>1</v>
          </cell>
          <cell r="AI1250">
            <v>4</v>
          </cell>
          <cell r="AK1250">
            <v>1</v>
          </cell>
          <cell r="AL1250">
            <v>0</v>
          </cell>
          <cell r="AN1250">
            <v>3445</v>
          </cell>
          <cell r="AO1250">
            <v>1</v>
          </cell>
          <cell r="AQ1250">
            <v>0</v>
          </cell>
          <cell r="AR1250">
            <v>11</v>
          </cell>
          <cell r="AS1250">
            <v>3</v>
          </cell>
          <cell r="AT1250">
            <v>3</v>
          </cell>
          <cell r="AU1250">
            <v>0</v>
          </cell>
          <cell r="AV1250">
            <v>6</v>
          </cell>
          <cell r="AW1250">
            <v>6</v>
          </cell>
          <cell r="AX1250">
            <v>5</v>
          </cell>
          <cell r="AY1250">
            <v>2</v>
          </cell>
          <cell r="AZ1250">
            <v>6</v>
          </cell>
          <cell r="BA1250">
            <v>6</v>
          </cell>
          <cell r="BB1250">
            <v>2</v>
          </cell>
          <cell r="BC1250">
            <v>1</v>
          </cell>
          <cell r="BD1250">
            <v>1</v>
          </cell>
          <cell r="BE1250">
            <v>4</v>
          </cell>
          <cell r="BF1250">
            <v>4</v>
          </cell>
          <cell r="BG1250">
            <v>4</v>
          </cell>
          <cell r="BH1250">
            <v>1</v>
          </cell>
          <cell r="BI1250">
            <v>0</v>
          </cell>
          <cell r="BJ1250">
            <v>0</v>
          </cell>
          <cell r="BK1250">
            <v>0</v>
          </cell>
          <cell r="BL1250">
            <v>1</v>
          </cell>
          <cell r="BM1250">
            <v>0</v>
          </cell>
          <cell r="BN1250">
            <v>0</v>
          </cell>
          <cell r="BO1250">
            <v>0</v>
          </cell>
          <cell r="BP1250">
            <v>0</v>
          </cell>
          <cell r="BQ1250">
            <v>4</v>
          </cell>
          <cell r="BR1250">
            <v>0</v>
          </cell>
          <cell r="BS1250">
            <v>0</v>
          </cell>
          <cell r="BT1250">
            <v>6</v>
          </cell>
          <cell r="BU1250">
            <v>0</v>
          </cell>
        </row>
        <row r="1251">
          <cell r="A1251">
            <v>29</v>
          </cell>
          <cell r="B1251">
            <v>29</v>
          </cell>
          <cell r="D1251">
            <v>1</v>
          </cell>
          <cell r="F1251">
            <v>0</v>
          </cell>
          <cell r="G1251">
            <v>1</v>
          </cell>
          <cell r="I1251">
            <v>0</v>
          </cell>
          <cell r="J1251">
            <v>1</v>
          </cell>
          <cell r="K1251">
            <v>9</v>
          </cell>
          <cell r="L1251">
            <v>9</v>
          </cell>
          <cell r="M1251">
            <v>3</v>
          </cell>
          <cell r="O1251">
            <v>0</v>
          </cell>
          <cell r="P1251">
            <v>0</v>
          </cell>
          <cell r="Q1251">
            <v>0</v>
          </cell>
          <cell r="R1251">
            <v>1</v>
          </cell>
          <cell r="S1251">
            <v>0</v>
          </cell>
          <cell r="T1251">
            <v>2</v>
          </cell>
          <cell r="V1251">
            <v>1</v>
          </cell>
          <cell r="W1251">
            <v>52</v>
          </cell>
          <cell r="X1251">
            <v>1</v>
          </cell>
          <cell r="Y1251">
            <v>1</v>
          </cell>
          <cell r="AA1251">
            <v>0</v>
          </cell>
          <cell r="AB1251">
            <v>0</v>
          </cell>
          <cell r="AC1251">
            <v>0</v>
          </cell>
          <cell r="AD1251">
            <v>0</v>
          </cell>
          <cell r="AE1251">
            <v>0</v>
          </cell>
          <cell r="AF1251">
            <v>0</v>
          </cell>
          <cell r="AG1251">
            <v>1</v>
          </cell>
          <cell r="AH1251">
            <v>0</v>
          </cell>
          <cell r="AI1251">
            <v>2</v>
          </cell>
          <cell r="AK1251">
            <v>1</v>
          </cell>
          <cell r="AL1251">
            <v>0</v>
          </cell>
          <cell r="AN1251">
            <v>2760</v>
          </cell>
          <cell r="AO1251">
            <v>1</v>
          </cell>
          <cell r="AQ1251">
            <v>0</v>
          </cell>
          <cell r="AR1251">
            <v>13</v>
          </cell>
          <cell r="AS1251">
            <v>3</v>
          </cell>
          <cell r="AT1251">
            <v>3</v>
          </cell>
          <cell r="AU1251">
            <v>0</v>
          </cell>
          <cell r="AV1251">
            <v>2</v>
          </cell>
          <cell r="AW1251">
            <v>2</v>
          </cell>
          <cell r="AX1251">
            <v>3</v>
          </cell>
          <cell r="AY1251">
            <v>3</v>
          </cell>
          <cell r="AZ1251">
            <v>2</v>
          </cell>
          <cell r="BA1251">
            <v>2</v>
          </cell>
          <cell r="BB1251">
            <v>2</v>
          </cell>
          <cell r="BC1251">
            <v>2</v>
          </cell>
          <cell r="BD1251">
            <v>2</v>
          </cell>
          <cell r="BE1251">
            <v>2</v>
          </cell>
          <cell r="BF1251">
            <v>2</v>
          </cell>
          <cell r="BG1251">
            <v>2</v>
          </cell>
          <cell r="BH1251">
            <v>1</v>
          </cell>
          <cell r="BI1251">
            <v>0</v>
          </cell>
          <cell r="BJ1251">
            <v>0</v>
          </cell>
          <cell r="BK1251">
            <v>0</v>
          </cell>
          <cell r="BL1251">
            <v>1</v>
          </cell>
          <cell r="BM1251">
            <v>0</v>
          </cell>
          <cell r="BN1251">
            <v>0</v>
          </cell>
          <cell r="BO1251">
            <v>0</v>
          </cell>
          <cell r="BP1251">
            <v>0</v>
          </cell>
          <cell r="BQ1251">
            <v>0</v>
          </cell>
          <cell r="BR1251">
            <v>2</v>
          </cell>
          <cell r="BS1251">
            <v>0</v>
          </cell>
          <cell r="BT1251">
            <v>0</v>
          </cell>
          <cell r="BU1251">
            <v>2</v>
          </cell>
        </row>
        <row r="1252">
          <cell r="A1252">
            <v>29</v>
          </cell>
          <cell r="B1252">
            <v>29</v>
          </cell>
          <cell r="D1252">
            <v>0</v>
          </cell>
          <cell r="F1252">
            <v>1</v>
          </cell>
          <cell r="G1252">
            <v>0</v>
          </cell>
          <cell r="I1252">
            <v>1</v>
          </cell>
          <cell r="J1252">
            <v>0</v>
          </cell>
          <cell r="K1252">
            <v>1</v>
          </cell>
          <cell r="L1252">
            <v>1</v>
          </cell>
          <cell r="M1252">
            <v>3</v>
          </cell>
          <cell r="O1252">
            <v>1</v>
          </cell>
          <cell r="P1252">
            <v>0</v>
          </cell>
          <cell r="Q1252">
            <v>0</v>
          </cell>
          <cell r="R1252">
            <v>0</v>
          </cell>
          <cell r="S1252">
            <v>0</v>
          </cell>
          <cell r="T1252">
            <v>4</v>
          </cell>
          <cell r="V1252">
            <v>0</v>
          </cell>
          <cell r="W1252">
            <v>70</v>
          </cell>
          <cell r="X1252">
            <v>4</v>
          </cell>
          <cell r="Y1252">
            <v>2</v>
          </cell>
          <cell r="AA1252">
            <v>1</v>
          </cell>
          <cell r="AB1252">
            <v>0</v>
          </cell>
          <cell r="AC1252">
            <v>0</v>
          </cell>
          <cell r="AD1252">
            <v>0</v>
          </cell>
          <cell r="AE1252">
            <v>0</v>
          </cell>
          <cell r="AF1252">
            <v>0</v>
          </cell>
          <cell r="AG1252">
            <v>0</v>
          </cell>
          <cell r="AH1252">
            <v>0</v>
          </cell>
          <cell r="AI1252">
            <v>3</v>
          </cell>
          <cell r="AK1252">
            <v>1</v>
          </cell>
          <cell r="AL1252">
            <v>0</v>
          </cell>
          <cell r="AN1252">
            <v>6294</v>
          </cell>
          <cell r="AO1252">
            <v>8</v>
          </cell>
          <cell r="AQ1252">
            <v>1</v>
          </cell>
          <cell r="AR1252">
            <v>12</v>
          </cell>
          <cell r="AS1252">
            <v>3</v>
          </cell>
          <cell r="AT1252">
            <v>4</v>
          </cell>
          <cell r="AU1252">
            <v>0</v>
          </cell>
          <cell r="AV1252">
            <v>10</v>
          </cell>
          <cell r="AW1252">
            <v>10</v>
          </cell>
          <cell r="AX1252">
            <v>5</v>
          </cell>
          <cell r="AY1252">
            <v>4</v>
          </cell>
          <cell r="AZ1252">
            <v>3</v>
          </cell>
          <cell r="BA1252">
            <v>3</v>
          </cell>
          <cell r="BB1252">
            <v>2</v>
          </cell>
          <cell r="BC1252">
            <v>0</v>
          </cell>
          <cell r="BD1252">
            <v>0</v>
          </cell>
          <cell r="BE1252">
            <v>2</v>
          </cell>
          <cell r="BF1252">
            <v>2</v>
          </cell>
          <cell r="BG1252">
            <v>4</v>
          </cell>
          <cell r="BH1252">
            <v>0</v>
          </cell>
          <cell r="BI1252">
            <v>0</v>
          </cell>
          <cell r="BJ1252">
            <v>1</v>
          </cell>
          <cell r="BK1252">
            <v>0</v>
          </cell>
          <cell r="BL1252">
            <v>0</v>
          </cell>
          <cell r="BM1252">
            <v>1</v>
          </cell>
          <cell r="BN1252">
            <v>0</v>
          </cell>
          <cell r="BO1252">
            <v>0</v>
          </cell>
          <cell r="BP1252">
            <v>0</v>
          </cell>
          <cell r="BQ1252">
            <v>2</v>
          </cell>
          <cell r="BR1252">
            <v>0</v>
          </cell>
          <cell r="BS1252">
            <v>0</v>
          </cell>
          <cell r="BT1252">
            <v>10</v>
          </cell>
          <cell r="BU1252">
            <v>0</v>
          </cell>
        </row>
        <row r="1253">
          <cell r="A1253">
            <v>30</v>
          </cell>
          <cell r="B1253">
            <v>30</v>
          </cell>
          <cell r="D1253">
            <v>0</v>
          </cell>
          <cell r="F1253">
            <v>0</v>
          </cell>
          <cell r="G1253">
            <v>1</v>
          </cell>
          <cell r="I1253">
            <v>0</v>
          </cell>
          <cell r="J1253">
            <v>1</v>
          </cell>
          <cell r="K1253">
            <v>15</v>
          </cell>
          <cell r="L1253">
            <v>15</v>
          </cell>
          <cell r="M1253">
            <v>2</v>
          </cell>
          <cell r="O1253">
            <v>0</v>
          </cell>
          <cell r="P1253">
            <v>0</v>
          </cell>
          <cell r="Q1253">
            <v>0</v>
          </cell>
          <cell r="R1253">
            <v>1</v>
          </cell>
          <cell r="S1253">
            <v>0</v>
          </cell>
          <cell r="T1253">
            <v>3</v>
          </cell>
          <cell r="V1253">
            <v>0</v>
          </cell>
          <cell r="W1253">
            <v>94</v>
          </cell>
          <cell r="X1253">
            <v>2</v>
          </cell>
          <cell r="Y1253">
            <v>3</v>
          </cell>
          <cell r="AA1253">
            <v>0</v>
          </cell>
          <cell r="AB1253">
            <v>1</v>
          </cell>
          <cell r="AC1253">
            <v>0</v>
          </cell>
          <cell r="AD1253">
            <v>0</v>
          </cell>
          <cell r="AE1253">
            <v>0</v>
          </cell>
          <cell r="AF1253">
            <v>0</v>
          </cell>
          <cell r="AG1253">
            <v>0</v>
          </cell>
          <cell r="AH1253">
            <v>0</v>
          </cell>
          <cell r="AI1253">
            <v>1</v>
          </cell>
          <cell r="AK1253">
            <v>0</v>
          </cell>
          <cell r="AL1253">
            <v>0</v>
          </cell>
          <cell r="AN1253">
            <v>7140</v>
          </cell>
          <cell r="AO1253">
            <v>2</v>
          </cell>
          <cell r="AQ1253">
            <v>0</v>
          </cell>
          <cell r="AR1253">
            <v>11</v>
          </cell>
          <cell r="AS1253">
            <v>3</v>
          </cell>
          <cell r="AT1253">
            <v>1</v>
          </cell>
          <cell r="AU1253">
            <v>1</v>
          </cell>
          <cell r="AV1253">
            <v>12</v>
          </cell>
          <cell r="AW1253">
            <v>12</v>
          </cell>
          <cell r="AX1253">
            <v>2</v>
          </cell>
          <cell r="AY1253">
            <v>3</v>
          </cell>
          <cell r="AZ1253">
            <v>7</v>
          </cell>
          <cell r="BA1253">
            <v>7</v>
          </cell>
          <cell r="BB1253">
            <v>7</v>
          </cell>
          <cell r="BC1253">
            <v>1</v>
          </cell>
          <cell r="BD1253">
            <v>1</v>
          </cell>
          <cell r="BE1253">
            <v>7</v>
          </cell>
          <cell r="BF1253">
            <v>7</v>
          </cell>
          <cell r="BG1253">
            <v>21</v>
          </cell>
          <cell r="BH1253">
            <v>1</v>
          </cell>
          <cell r="BI1253">
            <v>0</v>
          </cell>
          <cell r="BJ1253">
            <v>0</v>
          </cell>
          <cell r="BK1253">
            <v>0</v>
          </cell>
          <cell r="BL1253">
            <v>1</v>
          </cell>
          <cell r="BM1253">
            <v>0</v>
          </cell>
          <cell r="BN1253">
            <v>0</v>
          </cell>
          <cell r="BO1253">
            <v>0</v>
          </cell>
          <cell r="BP1253">
            <v>0</v>
          </cell>
          <cell r="BQ1253">
            <v>0</v>
          </cell>
          <cell r="BR1253">
            <v>7</v>
          </cell>
          <cell r="BS1253">
            <v>0</v>
          </cell>
          <cell r="BT1253">
            <v>0</v>
          </cell>
          <cell r="BU1253">
            <v>12</v>
          </cell>
        </row>
        <row r="1254">
          <cell r="A1254">
            <v>34</v>
          </cell>
          <cell r="B1254">
            <v>34</v>
          </cell>
          <cell r="D1254">
            <v>0</v>
          </cell>
          <cell r="F1254">
            <v>0</v>
          </cell>
          <cell r="G1254">
            <v>1</v>
          </cell>
          <cell r="I1254">
            <v>1</v>
          </cell>
          <cell r="J1254">
            <v>0</v>
          </cell>
          <cell r="K1254">
            <v>2</v>
          </cell>
          <cell r="L1254">
            <v>2</v>
          </cell>
          <cell r="M1254">
            <v>4</v>
          </cell>
          <cell r="O1254">
            <v>0</v>
          </cell>
          <cell r="P1254">
            <v>0</v>
          </cell>
          <cell r="Q1254">
            <v>1</v>
          </cell>
          <cell r="R1254">
            <v>0</v>
          </cell>
          <cell r="S1254">
            <v>0</v>
          </cell>
          <cell r="T1254">
            <v>4</v>
          </cell>
          <cell r="V1254">
            <v>0</v>
          </cell>
          <cell r="W1254">
            <v>97</v>
          </cell>
          <cell r="X1254">
            <v>4</v>
          </cell>
          <cell r="Y1254">
            <v>1</v>
          </cell>
          <cell r="AA1254">
            <v>0</v>
          </cell>
          <cell r="AB1254">
            <v>0</v>
          </cell>
          <cell r="AC1254">
            <v>0</v>
          </cell>
          <cell r="AD1254">
            <v>0</v>
          </cell>
          <cell r="AE1254">
            <v>0</v>
          </cell>
          <cell r="AF1254">
            <v>0</v>
          </cell>
          <cell r="AG1254">
            <v>0</v>
          </cell>
          <cell r="AH1254">
            <v>1</v>
          </cell>
          <cell r="AI1254">
            <v>4</v>
          </cell>
          <cell r="AK1254">
            <v>0</v>
          </cell>
          <cell r="AL1254">
            <v>1</v>
          </cell>
          <cell r="AN1254">
            <v>2932</v>
          </cell>
          <cell r="AO1254">
            <v>0</v>
          </cell>
          <cell r="AQ1254">
            <v>1</v>
          </cell>
          <cell r="AR1254">
            <v>14</v>
          </cell>
          <cell r="AS1254">
            <v>3</v>
          </cell>
          <cell r="AT1254">
            <v>1</v>
          </cell>
          <cell r="AU1254">
            <v>3</v>
          </cell>
          <cell r="AV1254">
            <v>6</v>
          </cell>
          <cell r="AW1254">
            <v>6</v>
          </cell>
          <cell r="AX1254">
            <v>3</v>
          </cell>
          <cell r="AY1254">
            <v>3</v>
          </cell>
          <cell r="AZ1254">
            <v>5</v>
          </cell>
          <cell r="BA1254">
            <v>5</v>
          </cell>
          <cell r="BB1254">
            <v>0</v>
          </cell>
          <cell r="BC1254">
            <v>1</v>
          </cell>
          <cell r="BD1254">
            <v>1</v>
          </cell>
          <cell r="BE1254">
            <v>2</v>
          </cell>
          <cell r="BF1254">
            <v>2</v>
          </cell>
          <cell r="BG1254">
            <v>2</v>
          </cell>
          <cell r="BH1254">
            <v>0</v>
          </cell>
          <cell r="BI1254">
            <v>1</v>
          </cell>
          <cell r="BJ1254">
            <v>0</v>
          </cell>
          <cell r="BK1254">
            <v>0</v>
          </cell>
          <cell r="BL1254">
            <v>0</v>
          </cell>
          <cell r="BM1254">
            <v>0</v>
          </cell>
          <cell r="BN1254">
            <v>0</v>
          </cell>
          <cell r="BO1254">
            <v>1</v>
          </cell>
          <cell r="BP1254">
            <v>0</v>
          </cell>
          <cell r="BQ1254">
            <v>2</v>
          </cell>
          <cell r="BR1254">
            <v>0</v>
          </cell>
          <cell r="BS1254">
            <v>0</v>
          </cell>
          <cell r="BT1254">
            <v>6</v>
          </cell>
          <cell r="BU1254">
            <v>0</v>
          </cell>
        </row>
        <row r="1255">
          <cell r="A1255">
            <v>33</v>
          </cell>
          <cell r="B1255">
            <v>33</v>
          </cell>
          <cell r="D1255">
            <v>0</v>
          </cell>
          <cell r="F1255">
            <v>0</v>
          </cell>
          <cell r="G1255">
            <v>0</v>
          </cell>
          <cell r="I1255">
            <v>0</v>
          </cell>
          <cell r="J1255">
            <v>1</v>
          </cell>
          <cell r="K1255">
            <v>2</v>
          </cell>
          <cell r="L1255">
            <v>2</v>
          </cell>
          <cell r="M1255">
            <v>3</v>
          </cell>
          <cell r="O1255">
            <v>0</v>
          </cell>
          <cell r="P1255">
            <v>0</v>
          </cell>
          <cell r="Q1255">
            <v>0</v>
          </cell>
          <cell r="R1255">
            <v>1</v>
          </cell>
          <cell r="S1255">
            <v>0</v>
          </cell>
          <cell r="T1255">
            <v>4</v>
          </cell>
          <cell r="V1255">
            <v>1</v>
          </cell>
          <cell r="W1255">
            <v>62</v>
          </cell>
          <cell r="X1255">
            <v>3</v>
          </cell>
          <cell r="Y1255">
            <v>2</v>
          </cell>
          <cell r="AA1255">
            <v>0</v>
          </cell>
          <cell r="AB1255">
            <v>1</v>
          </cell>
          <cell r="AC1255">
            <v>0</v>
          </cell>
          <cell r="AD1255">
            <v>0</v>
          </cell>
          <cell r="AE1255">
            <v>0</v>
          </cell>
          <cell r="AF1255">
            <v>0</v>
          </cell>
          <cell r="AG1255">
            <v>0</v>
          </cell>
          <cell r="AH1255">
            <v>0</v>
          </cell>
          <cell r="AI1255">
            <v>2</v>
          </cell>
          <cell r="AK1255">
            <v>1</v>
          </cell>
          <cell r="AL1255">
            <v>0</v>
          </cell>
          <cell r="AN1255">
            <v>5147</v>
          </cell>
          <cell r="AO1255">
            <v>8</v>
          </cell>
          <cell r="AQ1255">
            <v>0</v>
          </cell>
          <cell r="AR1255">
            <v>15</v>
          </cell>
          <cell r="AS1255">
            <v>3</v>
          </cell>
          <cell r="AT1255">
            <v>4</v>
          </cell>
          <cell r="AU1255">
            <v>0</v>
          </cell>
          <cell r="AV1255">
            <v>13</v>
          </cell>
          <cell r="AW1255">
            <v>13</v>
          </cell>
          <cell r="AX1255">
            <v>2</v>
          </cell>
          <cell r="AY1255">
            <v>2</v>
          </cell>
          <cell r="AZ1255">
            <v>11</v>
          </cell>
          <cell r="BA1255">
            <v>11</v>
          </cell>
          <cell r="BB1255">
            <v>7</v>
          </cell>
          <cell r="BC1255">
            <v>1</v>
          </cell>
          <cell r="BD1255">
            <v>1</v>
          </cell>
          <cell r="BE1255">
            <v>7</v>
          </cell>
          <cell r="BF1255">
            <v>7</v>
          </cell>
          <cell r="BG1255">
            <v>14</v>
          </cell>
          <cell r="BH1255">
            <v>1</v>
          </cell>
          <cell r="BI1255">
            <v>0</v>
          </cell>
          <cell r="BJ1255">
            <v>0</v>
          </cell>
          <cell r="BK1255">
            <v>0</v>
          </cell>
          <cell r="BL1255">
            <v>1</v>
          </cell>
          <cell r="BM1255">
            <v>0</v>
          </cell>
          <cell r="BN1255">
            <v>0</v>
          </cell>
          <cell r="BO1255">
            <v>0</v>
          </cell>
          <cell r="BP1255">
            <v>0</v>
          </cell>
          <cell r="BQ1255">
            <v>0</v>
          </cell>
          <cell r="BR1255">
            <v>7</v>
          </cell>
          <cell r="BS1255">
            <v>0</v>
          </cell>
          <cell r="BT1255">
            <v>0</v>
          </cell>
          <cell r="BU1255">
            <v>13</v>
          </cell>
        </row>
        <row r="1256">
          <cell r="A1256">
            <v>49</v>
          </cell>
          <cell r="B1256">
            <v>49</v>
          </cell>
          <cell r="D1256">
            <v>0</v>
          </cell>
          <cell r="F1256">
            <v>0</v>
          </cell>
          <cell r="G1256">
            <v>1</v>
          </cell>
          <cell r="I1256">
            <v>0</v>
          </cell>
          <cell r="J1256">
            <v>1</v>
          </cell>
          <cell r="K1256">
            <v>11</v>
          </cell>
          <cell r="L1256">
            <v>11</v>
          </cell>
          <cell r="M1256">
            <v>4</v>
          </cell>
          <cell r="O1256">
            <v>0</v>
          </cell>
          <cell r="P1256">
            <v>0</v>
          </cell>
          <cell r="Q1256">
            <v>0</v>
          </cell>
          <cell r="R1256">
            <v>1</v>
          </cell>
          <cell r="S1256">
            <v>0</v>
          </cell>
          <cell r="T1256">
            <v>4</v>
          </cell>
          <cell r="V1256">
            <v>1</v>
          </cell>
          <cell r="W1256">
            <v>80</v>
          </cell>
          <cell r="X1256">
            <v>3</v>
          </cell>
          <cell r="Y1256">
            <v>2</v>
          </cell>
          <cell r="AA1256">
            <v>0</v>
          </cell>
          <cell r="AB1256">
            <v>1</v>
          </cell>
          <cell r="AC1256">
            <v>0</v>
          </cell>
          <cell r="AD1256">
            <v>0</v>
          </cell>
          <cell r="AE1256">
            <v>0</v>
          </cell>
          <cell r="AF1256">
            <v>0</v>
          </cell>
          <cell r="AG1256">
            <v>0</v>
          </cell>
          <cell r="AH1256">
            <v>0</v>
          </cell>
          <cell r="AI1256">
            <v>4</v>
          </cell>
          <cell r="AK1256">
            <v>1</v>
          </cell>
          <cell r="AL1256">
            <v>0</v>
          </cell>
          <cell r="AN1256">
            <v>4507</v>
          </cell>
          <cell r="AO1256">
            <v>3</v>
          </cell>
          <cell r="AQ1256">
            <v>0</v>
          </cell>
          <cell r="AR1256">
            <v>12</v>
          </cell>
          <cell r="AS1256">
            <v>3</v>
          </cell>
          <cell r="AT1256">
            <v>3</v>
          </cell>
          <cell r="AU1256">
            <v>0</v>
          </cell>
          <cell r="AV1256">
            <v>8</v>
          </cell>
          <cell r="AW1256">
            <v>8</v>
          </cell>
          <cell r="AX1256">
            <v>1</v>
          </cell>
          <cell r="AY1256">
            <v>4</v>
          </cell>
          <cell r="AZ1256">
            <v>5</v>
          </cell>
          <cell r="BA1256">
            <v>5</v>
          </cell>
          <cell r="BB1256">
            <v>1</v>
          </cell>
          <cell r="BC1256">
            <v>0</v>
          </cell>
          <cell r="BD1256">
            <v>0</v>
          </cell>
          <cell r="BE1256">
            <v>4</v>
          </cell>
          <cell r="BF1256">
            <v>4</v>
          </cell>
          <cell r="BG1256">
            <v>8</v>
          </cell>
          <cell r="BH1256">
            <v>1</v>
          </cell>
          <cell r="BI1256">
            <v>0</v>
          </cell>
          <cell r="BJ1256">
            <v>0</v>
          </cell>
          <cell r="BK1256">
            <v>0</v>
          </cell>
          <cell r="BL1256">
            <v>1</v>
          </cell>
          <cell r="BM1256">
            <v>0</v>
          </cell>
          <cell r="BN1256">
            <v>0</v>
          </cell>
          <cell r="BO1256">
            <v>0</v>
          </cell>
          <cell r="BP1256">
            <v>0</v>
          </cell>
          <cell r="BQ1256">
            <v>0</v>
          </cell>
          <cell r="BR1256">
            <v>4</v>
          </cell>
          <cell r="BS1256">
            <v>0</v>
          </cell>
          <cell r="BT1256">
            <v>0</v>
          </cell>
          <cell r="BU1256">
            <v>8</v>
          </cell>
        </row>
        <row r="1257">
          <cell r="A1257">
            <v>33</v>
          </cell>
          <cell r="B1257">
            <v>33</v>
          </cell>
          <cell r="D1257">
            <v>1</v>
          </cell>
          <cell r="F1257">
            <v>0</v>
          </cell>
          <cell r="G1257">
            <v>1</v>
          </cell>
          <cell r="I1257">
            <v>0</v>
          </cell>
          <cell r="J1257">
            <v>1</v>
          </cell>
          <cell r="K1257">
            <v>16</v>
          </cell>
          <cell r="L1257">
            <v>16</v>
          </cell>
          <cell r="M1257">
            <v>3</v>
          </cell>
          <cell r="O1257">
            <v>1</v>
          </cell>
          <cell r="P1257">
            <v>0</v>
          </cell>
          <cell r="Q1257">
            <v>0</v>
          </cell>
          <cell r="R1257">
            <v>0</v>
          </cell>
          <cell r="S1257">
            <v>0</v>
          </cell>
          <cell r="T1257">
            <v>1</v>
          </cell>
          <cell r="V1257">
            <v>1</v>
          </cell>
          <cell r="W1257">
            <v>74</v>
          </cell>
          <cell r="X1257">
            <v>3</v>
          </cell>
          <cell r="Y1257">
            <v>3</v>
          </cell>
          <cell r="AA1257">
            <v>0</v>
          </cell>
          <cell r="AB1257">
            <v>1</v>
          </cell>
          <cell r="AC1257">
            <v>0</v>
          </cell>
          <cell r="AD1257">
            <v>0</v>
          </cell>
          <cell r="AE1257">
            <v>0</v>
          </cell>
          <cell r="AF1257">
            <v>0</v>
          </cell>
          <cell r="AG1257">
            <v>0</v>
          </cell>
          <cell r="AH1257">
            <v>0</v>
          </cell>
          <cell r="AI1257">
            <v>1</v>
          </cell>
          <cell r="AK1257">
            <v>1</v>
          </cell>
          <cell r="AL1257">
            <v>0</v>
          </cell>
          <cell r="AN1257">
            <v>8564</v>
          </cell>
          <cell r="AO1257">
            <v>2</v>
          </cell>
          <cell r="AQ1257">
            <v>1</v>
          </cell>
          <cell r="AR1257">
            <v>20</v>
          </cell>
          <cell r="AS1257">
            <v>4</v>
          </cell>
          <cell r="AT1257">
            <v>3</v>
          </cell>
          <cell r="AU1257">
            <v>0</v>
          </cell>
          <cell r="AV1257">
            <v>11</v>
          </cell>
          <cell r="AW1257">
            <v>11</v>
          </cell>
          <cell r="AX1257">
            <v>2</v>
          </cell>
          <cell r="AY1257">
            <v>2</v>
          </cell>
          <cell r="AZ1257">
            <v>0</v>
          </cell>
          <cell r="BA1257">
            <v>0</v>
          </cell>
          <cell r="BB1257">
            <v>0</v>
          </cell>
          <cell r="BC1257">
            <v>0</v>
          </cell>
          <cell r="BD1257">
            <v>0</v>
          </cell>
          <cell r="BE1257">
            <v>0</v>
          </cell>
          <cell r="BF1257">
            <v>0</v>
          </cell>
          <cell r="BG1257">
            <v>0</v>
          </cell>
          <cell r="BH1257">
            <v>1</v>
          </cell>
          <cell r="BI1257">
            <v>0</v>
          </cell>
          <cell r="BJ1257">
            <v>0</v>
          </cell>
          <cell r="BK1257">
            <v>0</v>
          </cell>
          <cell r="BL1257">
            <v>0</v>
          </cell>
          <cell r="BM1257">
            <v>1</v>
          </cell>
          <cell r="BN1257">
            <v>0</v>
          </cell>
          <cell r="BO1257">
            <v>0</v>
          </cell>
          <cell r="BP1257">
            <v>0</v>
          </cell>
          <cell r="BQ1257">
            <v>0</v>
          </cell>
          <cell r="BR1257">
            <v>0</v>
          </cell>
          <cell r="BS1257">
            <v>0</v>
          </cell>
          <cell r="BT1257">
            <v>0</v>
          </cell>
          <cell r="BU1257">
            <v>11</v>
          </cell>
        </row>
        <row r="1258">
          <cell r="A1258">
            <v>38</v>
          </cell>
          <cell r="B1258">
            <v>38</v>
          </cell>
          <cell r="D1258">
            <v>0</v>
          </cell>
          <cell r="F1258">
            <v>1</v>
          </cell>
          <cell r="G1258">
            <v>0</v>
          </cell>
          <cell r="I1258">
            <v>1</v>
          </cell>
          <cell r="J1258">
            <v>0</v>
          </cell>
          <cell r="K1258">
            <v>2</v>
          </cell>
          <cell r="L1258">
            <v>2</v>
          </cell>
          <cell r="M1258">
            <v>2</v>
          </cell>
          <cell r="O1258">
            <v>0</v>
          </cell>
          <cell r="P1258">
            <v>0</v>
          </cell>
          <cell r="Q1258">
            <v>1</v>
          </cell>
          <cell r="R1258">
            <v>0</v>
          </cell>
          <cell r="S1258">
            <v>0</v>
          </cell>
          <cell r="T1258">
            <v>3</v>
          </cell>
          <cell r="V1258">
            <v>1</v>
          </cell>
          <cell r="W1258">
            <v>75</v>
          </cell>
          <cell r="X1258">
            <v>2</v>
          </cell>
          <cell r="Y1258">
            <v>1</v>
          </cell>
          <cell r="AA1258">
            <v>0</v>
          </cell>
          <cell r="AB1258">
            <v>0</v>
          </cell>
          <cell r="AC1258">
            <v>1</v>
          </cell>
          <cell r="AD1258">
            <v>0</v>
          </cell>
          <cell r="AE1258">
            <v>0</v>
          </cell>
          <cell r="AF1258">
            <v>0</v>
          </cell>
          <cell r="AG1258">
            <v>0</v>
          </cell>
          <cell r="AH1258">
            <v>0</v>
          </cell>
          <cell r="AI1258">
            <v>2</v>
          </cell>
          <cell r="AK1258">
            <v>0</v>
          </cell>
          <cell r="AL1258">
            <v>1</v>
          </cell>
          <cell r="AN1258">
            <v>2468</v>
          </cell>
          <cell r="AO1258">
            <v>4</v>
          </cell>
          <cell r="AQ1258">
            <v>0</v>
          </cell>
          <cell r="AR1258">
            <v>14</v>
          </cell>
          <cell r="AS1258">
            <v>3</v>
          </cell>
          <cell r="AT1258">
            <v>2</v>
          </cell>
          <cell r="AU1258">
            <v>1</v>
          </cell>
          <cell r="AV1258">
            <v>9</v>
          </cell>
          <cell r="AW1258">
            <v>9</v>
          </cell>
          <cell r="AX1258">
            <v>4</v>
          </cell>
          <cell r="AY1258">
            <v>2</v>
          </cell>
          <cell r="AZ1258">
            <v>6</v>
          </cell>
          <cell r="BA1258">
            <v>6</v>
          </cell>
          <cell r="BB1258">
            <v>1</v>
          </cell>
          <cell r="BC1258">
            <v>0</v>
          </cell>
          <cell r="BD1258">
            <v>0</v>
          </cell>
          <cell r="BE1258">
            <v>5</v>
          </cell>
          <cell r="BF1258">
            <v>5</v>
          </cell>
          <cell r="BG1258">
            <v>5</v>
          </cell>
          <cell r="BH1258">
            <v>0</v>
          </cell>
          <cell r="BI1258">
            <v>0</v>
          </cell>
          <cell r="BJ1258">
            <v>0</v>
          </cell>
          <cell r="BK1258">
            <v>1</v>
          </cell>
          <cell r="BL1258">
            <v>0</v>
          </cell>
          <cell r="BM1258">
            <v>0</v>
          </cell>
          <cell r="BN1258">
            <v>1</v>
          </cell>
          <cell r="BO1258">
            <v>0</v>
          </cell>
          <cell r="BP1258">
            <v>0</v>
          </cell>
          <cell r="BQ1258">
            <v>5</v>
          </cell>
          <cell r="BR1258">
            <v>0</v>
          </cell>
          <cell r="BS1258">
            <v>0</v>
          </cell>
          <cell r="BT1258">
            <v>9</v>
          </cell>
          <cell r="BU1258">
            <v>0</v>
          </cell>
        </row>
        <row r="1259">
          <cell r="A1259">
            <v>31</v>
          </cell>
          <cell r="B1259">
            <v>31</v>
          </cell>
          <cell r="D1259">
            <v>1</v>
          </cell>
          <cell r="F1259">
            <v>0</v>
          </cell>
          <cell r="G1259">
            <v>1</v>
          </cell>
          <cell r="I1259">
            <v>0</v>
          </cell>
          <cell r="J1259">
            <v>1</v>
          </cell>
          <cell r="K1259">
            <v>16</v>
          </cell>
          <cell r="L1259">
            <v>16</v>
          </cell>
          <cell r="M1259">
            <v>4</v>
          </cell>
          <cell r="O1259">
            <v>0</v>
          </cell>
          <cell r="P1259">
            <v>0</v>
          </cell>
          <cell r="Q1259">
            <v>0</v>
          </cell>
          <cell r="R1259">
            <v>1</v>
          </cell>
          <cell r="S1259">
            <v>0</v>
          </cell>
          <cell r="T1259">
            <v>1</v>
          </cell>
          <cell r="V1259">
            <v>0</v>
          </cell>
          <cell r="W1259">
            <v>70</v>
          </cell>
          <cell r="X1259">
            <v>3</v>
          </cell>
          <cell r="Y1259">
            <v>3</v>
          </cell>
          <cell r="AA1259">
            <v>0</v>
          </cell>
          <cell r="AB1259">
            <v>1</v>
          </cell>
          <cell r="AC1259">
            <v>0</v>
          </cell>
          <cell r="AD1259">
            <v>0</v>
          </cell>
          <cell r="AE1259">
            <v>0</v>
          </cell>
          <cell r="AF1259">
            <v>0</v>
          </cell>
          <cell r="AG1259">
            <v>0</v>
          </cell>
          <cell r="AH1259">
            <v>0</v>
          </cell>
          <cell r="AI1259">
            <v>3</v>
          </cell>
          <cell r="AK1259">
            <v>0</v>
          </cell>
          <cell r="AL1259">
            <v>1</v>
          </cell>
          <cell r="AN1259">
            <v>8161</v>
          </cell>
          <cell r="AO1259">
            <v>2</v>
          </cell>
          <cell r="AQ1259">
            <v>0</v>
          </cell>
          <cell r="AR1259">
            <v>13</v>
          </cell>
          <cell r="AS1259">
            <v>3</v>
          </cell>
          <cell r="AT1259">
            <v>1</v>
          </cell>
          <cell r="AU1259">
            <v>3</v>
          </cell>
          <cell r="AV1259">
            <v>10</v>
          </cell>
          <cell r="AW1259">
            <v>10</v>
          </cell>
          <cell r="AX1259">
            <v>2</v>
          </cell>
          <cell r="AY1259">
            <v>3</v>
          </cell>
          <cell r="AZ1259">
            <v>1</v>
          </cell>
          <cell r="BA1259">
            <v>1</v>
          </cell>
          <cell r="BB1259">
            <v>0</v>
          </cell>
          <cell r="BC1259">
            <v>0</v>
          </cell>
          <cell r="BD1259">
            <v>0</v>
          </cell>
          <cell r="BE1259">
            <v>0</v>
          </cell>
          <cell r="BF1259">
            <v>0</v>
          </cell>
          <cell r="BG1259">
            <v>0</v>
          </cell>
          <cell r="BH1259">
            <v>0</v>
          </cell>
          <cell r="BI1259">
            <v>1</v>
          </cell>
          <cell r="BJ1259">
            <v>0</v>
          </cell>
          <cell r="BK1259">
            <v>0</v>
          </cell>
          <cell r="BL1259">
            <v>0</v>
          </cell>
          <cell r="BM1259">
            <v>0</v>
          </cell>
          <cell r="BN1259">
            <v>1</v>
          </cell>
          <cell r="BO1259">
            <v>0</v>
          </cell>
          <cell r="BP1259">
            <v>0</v>
          </cell>
          <cell r="BQ1259">
            <v>0</v>
          </cell>
          <cell r="BR1259">
            <v>0</v>
          </cell>
          <cell r="BS1259">
            <v>0</v>
          </cell>
          <cell r="BT1259">
            <v>0</v>
          </cell>
          <cell r="BU1259">
            <v>10</v>
          </cell>
        </row>
        <row r="1260">
          <cell r="A1260">
            <v>29</v>
          </cell>
          <cell r="B1260">
            <v>29</v>
          </cell>
          <cell r="D1260">
            <v>0</v>
          </cell>
          <cell r="F1260">
            <v>0</v>
          </cell>
          <cell r="G1260">
            <v>1</v>
          </cell>
          <cell r="I1260">
            <v>1</v>
          </cell>
          <cell r="J1260">
            <v>0</v>
          </cell>
          <cell r="K1260">
            <v>4</v>
          </cell>
          <cell r="L1260">
            <v>4</v>
          </cell>
          <cell r="M1260">
            <v>3</v>
          </cell>
          <cell r="O1260">
            <v>0</v>
          </cell>
          <cell r="P1260">
            <v>0</v>
          </cell>
          <cell r="Q1260">
            <v>0</v>
          </cell>
          <cell r="R1260">
            <v>0</v>
          </cell>
          <cell r="S1260">
            <v>1</v>
          </cell>
          <cell r="T1260">
            <v>4</v>
          </cell>
          <cell r="V1260">
            <v>1</v>
          </cell>
          <cell r="W1260">
            <v>91</v>
          </cell>
          <cell r="X1260">
            <v>2</v>
          </cell>
          <cell r="Y1260">
            <v>1</v>
          </cell>
          <cell r="AA1260">
            <v>0</v>
          </cell>
          <cell r="AB1260">
            <v>0</v>
          </cell>
          <cell r="AC1260">
            <v>0</v>
          </cell>
          <cell r="AD1260">
            <v>0</v>
          </cell>
          <cell r="AE1260">
            <v>0</v>
          </cell>
          <cell r="AF1260">
            <v>0</v>
          </cell>
          <cell r="AG1260">
            <v>0</v>
          </cell>
          <cell r="AH1260">
            <v>1</v>
          </cell>
          <cell r="AI1260">
            <v>1</v>
          </cell>
          <cell r="AK1260">
            <v>0</v>
          </cell>
          <cell r="AL1260">
            <v>0</v>
          </cell>
          <cell r="AN1260">
            <v>2109</v>
          </cell>
          <cell r="AO1260">
            <v>1</v>
          </cell>
          <cell r="AQ1260">
            <v>0</v>
          </cell>
          <cell r="AR1260">
            <v>13</v>
          </cell>
          <cell r="AS1260">
            <v>3</v>
          </cell>
          <cell r="AT1260">
            <v>3</v>
          </cell>
          <cell r="AU1260">
            <v>1</v>
          </cell>
          <cell r="AV1260">
            <v>1</v>
          </cell>
          <cell r="AW1260">
            <v>1</v>
          </cell>
          <cell r="AX1260">
            <v>2</v>
          </cell>
          <cell r="AY1260">
            <v>3</v>
          </cell>
          <cell r="AZ1260">
            <v>1</v>
          </cell>
          <cell r="BA1260">
            <v>1</v>
          </cell>
          <cell r="BB1260">
            <v>0</v>
          </cell>
          <cell r="BC1260">
            <v>0</v>
          </cell>
          <cell r="BD1260">
            <v>0</v>
          </cell>
          <cell r="BE1260">
            <v>0</v>
          </cell>
          <cell r="BF1260">
            <v>0</v>
          </cell>
          <cell r="BG1260">
            <v>0</v>
          </cell>
          <cell r="BH1260">
            <v>1</v>
          </cell>
          <cell r="BI1260">
            <v>0</v>
          </cell>
          <cell r="BJ1260">
            <v>0</v>
          </cell>
          <cell r="BK1260">
            <v>0</v>
          </cell>
          <cell r="BL1260">
            <v>1</v>
          </cell>
          <cell r="BM1260">
            <v>0</v>
          </cell>
          <cell r="BN1260">
            <v>0</v>
          </cell>
          <cell r="BO1260">
            <v>0</v>
          </cell>
          <cell r="BP1260">
            <v>0</v>
          </cell>
          <cell r="BQ1260">
            <v>0</v>
          </cell>
          <cell r="BR1260">
            <v>0</v>
          </cell>
          <cell r="BS1260">
            <v>0</v>
          </cell>
          <cell r="BT1260">
            <v>1</v>
          </cell>
          <cell r="BU1260">
            <v>0</v>
          </cell>
        </row>
        <row r="1261">
          <cell r="A1261">
            <v>30</v>
          </cell>
          <cell r="B1261">
            <v>30</v>
          </cell>
          <cell r="D1261">
            <v>0</v>
          </cell>
          <cell r="F1261">
            <v>0</v>
          </cell>
          <cell r="G1261">
            <v>1</v>
          </cell>
          <cell r="I1261">
            <v>1</v>
          </cell>
          <cell r="J1261">
            <v>0</v>
          </cell>
          <cell r="K1261">
            <v>16</v>
          </cell>
          <cell r="L1261">
            <v>16</v>
          </cell>
          <cell r="M1261">
            <v>3</v>
          </cell>
          <cell r="O1261">
            <v>1</v>
          </cell>
          <cell r="P1261">
            <v>0</v>
          </cell>
          <cell r="Q1261">
            <v>0</v>
          </cell>
          <cell r="R1261">
            <v>0</v>
          </cell>
          <cell r="S1261">
            <v>0</v>
          </cell>
          <cell r="T1261">
            <v>3</v>
          </cell>
          <cell r="V1261">
            <v>0</v>
          </cell>
          <cell r="W1261">
            <v>58</v>
          </cell>
          <cell r="X1261">
            <v>4</v>
          </cell>
          <cell r="Y1261">
            <v>2</v>
          </cell>
          <cell r="AA1261">
            <v>1</v>
          </cell>
          <cell r="AB1261">
            <v>0</v>
          </cell>
          <cell r="AC1261">
            <v>0</v>
          </cell>
          <cell r="AD1261">
            <v>0</v>
          </cell>
          <cell r="AE1261">
            <v>0</v>
          </cell>
          <cell r="AF1261">
            <v>0</v>
          </cell>
          <cell r="AG1261">
            <v>0</v>
          </cell>
          <cell r="AH1261">
            <v>0</v>
          </cell>
          <cell r="AI1261">
            <v>3</v>
          </cell>
          <cell r="AK1261">
            <v>0</v>
          </cell>
          <cell r="AL1261">
            <v>1</v>
          </cell>
          <cell r="AN1261">
            <v>5294</v>
          </cell>
          <cell r="AO1261">
            <v>3</v>
          </cell>
          <cell r="AQ1261">
            <v>0</v>
          </cell>
          <cell r="AR1261">
            <v>16</v>
          </cell>
          <cell r="AS1261">
            <v>3</v>
          </cell>
          <cell r="AT1261">
            <v>3</v>
          </cell>
          <cell r="AU1261">
            <v>1</v>
          </cell>
          <cell r="AV1261">
            <v>10</v>
          </cell>
          <cell r="AW1261">
            <v>10</v>
          </cell>
          <cell r="AX1261">
            <v>3</v>
          </cell>
          <cell r="AY1261">
            <v>3</v>
          </cell>
          <cell r="AZ1261">
            <v>7</v>
          </cell>
          <cell r="BA1261">
            <v>7</v>
          </cell>
          <cell r="BB1261">
            <v>0</v>
          </cell>
          <cell r="BC1261">
            <v>1</v>
          </cell>
          <cell r="BD1261">
            <v>1</v>
          </cell>
          <cell r="BE1261">
            <v>7</v>
          </cell>
          <cell r="BF1261">
            <v>7</v>
          </cell>
          <cell r="BG1261">
            <v>14</v>
          </cell>
          <cell r="BH1261">
            <v>0</v>
          </cell>
          <cell r="BI1261">
            <v>1</v>
          </cell>
          <cell r="BJ1261">
            <v>0</v>
          </cell>
          <cell r="BK1261">
            <v>0</v>
          </cell>
          <cell r="BL1261">
            <v>0</v>
          </cell>
          <cell r="BM1261">
            <v>0</v>
          </cell>
          <cell r="BN1261">
            <v>1</v>
          </cell>
          <cell r="BO1261">
            <v>0</v>
          </cell>
          <cell r="BP1261">
            <v>0</v>
          </cell>
          <cell r="BQ1261">
            <v>7</v>
          </cell>
          <cell r="BR1261">
            <v>0</v>
          </cell>
          <cell r="BS1261">
            <v>0</v>
          </cell>
          <cell r="BT1261">
            <v>10</v>
          </cell>
          <cell r="BU1261">
            <v>0</v>
          </cell>
        </row>
        <row r="1262">
          <cell r="A1262">
            <v>32</v>
          </cell>
          <cell r="B1262">
            <v>32</v>
          </cell>
          <cell r="D1262">
            <v>0</v>
          </cell>
          <cell r="F1262">
            <v>0</v>
          </cell>
          <cell r="G1262">
            <v>0</v>
          </cell>
          <cell r="I1262">
            <v>1</v>
          </cell>
          <cell r="J1262">
            <v>0</v>
          </cell>
          <cell r="K1262">
            <v>5</v>
          </cell>
          <cell r="L1262">
            <v>5</v>
          </cell>
          <cell r="M1262">
            <v>4</v>
          </cell>
          <cell r="O1262">
            <v>0</v>
          </cell>
          <cell r="P1262">
            <v>0</v>
          </cell>
          <cell r="Q1262">
            <v>0</v>
          </cell>
          <cell r="R1262">
            <v>0</v>
          </cell>
          <cell r="S1262">
            <v>1</v>
          </cell>
          <cell r="T1262">
            <v>2</v>
          </cell>
          <cell r="V1262">
            <v>0</v>
          </cell>
          <cell r="W1262">
            <v>65</v>
          </cell>
          <cell r="X1262">
            <v>3</v>
          </cell>
          <cell r="Y1262">
            <v>1</v>
          </cell>
          <cell r="AA1262">
            <v>0</v>
          </cell>
          <cell r="AB1262">
            <v>0</v>
          </cell>
          <cell r="AC1262">
            <v>0</v>
          </cell>
          <cell r="AD1262">
            <v>0</v>
          </cell>
          <cell r="AE1262">
            <v>0</v>
          </cell>
          <cell r="AF1262">
            <v>0</v>
          </cell>
          <cell r="AG1262">
            <v>0</v>
          </cell>
          <cell r="AH1262">
            <v>1</v>
          </cell>
          <cell r="AI1262">
            <v>2</v>
          </cell>
          <cell r="AK1262">
            <v>1</v>
          </cell>
          <cell r="AL1262">
            <v>0</v>
          </cell>
          <cell r="AN1262">
            <v>2718</v>
          </cell>
          <cell r="AO1262">
            <v>2</v>
          </cell>
          <cell r="AQ1262">
            <v>0</v>
          </cell>
          <cell r="AR1262">
            <v>14</v>
          </cell>
          <cell r="AS1262">
            <v>3</v>
          </cell>
          <cell r="AT1262">
            <v>2</v>
          </cell>
          <cell r="AU1262">
            <v>0</v>
          </cell>
          <cell r="AV1262">
            <v>12</v>
          </cell>
          <cell r="AW1262">
            <v>12</v>
          </cell>
          <cell r="AX1262">
            <v>3</v>
          </cell>
          <cell r="AY1262">
            <v>3</v>
          </cell>
          <cell r="AZ1262">
            <v>7</v>
          </cell>
          <cell r="BA1262">
            <v>7</v>
          </cell>
          <cell r="BB1262">
            <v>7</v>
          </cell>
          <cell r="BC1262">
            <v>0</v>
          </cell>
          <cell r="BD1262">
            <v>0</v>
          </cell>
          <cell r="BE1262">
            <v>7</v>
          </cell>
          <cell r="BF1262">
            <v>7</v>
          </cell>
          <cell r="BG1262">
            <v>7</v>
          </cell>
          <cell r="BH1262">
            <v>1</v>
          </cell>
          <cell r="BI1262">
            <v>0</v>
          </cell>
          <cell r="BJ1262">
            <v>0</v>
          </cell>
          <cell r="BK1262">
            <v>0</v>
          </cell>
          <cell r="BL1262">
            <v>1</v>
          </cell>
          <cell r="BM1262">
            <v>0</v>
          </cell>
          <cell r="BN1262">
            <v>0</v>
          </cell>
          <cell r="BO1262">
            <v>0</v>
          </cell>
          <cell r="BP1262">
            <v>0</v>
          </cell>
          <cell r="BQ1262">
            <v>7</v>
          </cell>
          <cell r="BR1262">
            <v>0</v>
          </cell>
          <cell r="BS1262">
            <v>0</v>
          </cell>
          <cell r="BT1262">
            <v>12</v>
          </cell>
          <cell r="BU1262">
            <v>0</v>
          </cell>
        </row>
        <row r="1263">
          <cell r="A1263">
            <v>38</v>
          </cell>
          <cell r="B1263">
            <v>38</v>
          </cell>
          <cell r="D1263">
            <v>0</v>
          </cell>
          <cell r="F1263">
            <v>0</v>
          </cell>
          <cell r="G1263">
            <v>1</v>
          </cell>
          <cell r="I1263">
            <v>1</v>
          </cell>
          <cell r="J1263">
            <v>0</v>
          </cell>
          <cell r="K1263">
            <v>18</v>
          </cell>
          <cell r="L1263">
            <v>18</v>
          </cell>
          <cell r="M1263">
            <v>3</v>
          </cell>
          <cell r="O1263">
            <v>0</v>
          </cell>
          <cell r="P1263">
            <v>0</v>
          </cell>
          <cell r="Q1263">
            <v>1</v>
          </cell>
          <cell r="R1263">
            <v>0</v>
          </cell>
          <cell r="S1263">
            <v>0</v>
          </cell>
          <cell r="T1263">
            <v>2</v>
          </cell>
          <cell r="V1263">
            <v>0</v>
          </cell>
          <cell r="W1263">
            <v>60</v>
          </cell>
          <cell r="X1263">
            <v>1</v>
          </cell>
          <cell r="Y1263">
            <v>2</v>
          </cell>
          <cell r="AA1263">
            <v>1</v>
          </cell>
          <cell r="AB1263">
            <v>0</v>
          </cell>
          <cell r="AC1263">
            <v>0</v>
          </cell>
          <cell r="AD1263">
            <v>0</v>
          </cell>
          <cell r="AE1263">
            <v>0</v>
          </cell>
          <cell r="AF1263">
            <v>0</v>
          </cell>
          <cell r="AG1263">
            <v>0</v>
          </cell>
          <cell r="AH1263">
            <v>0</v>
          </cell>
          <cell r="AI1263">
            <v>4</v>
          </cell>
          <cell r="AK1263">
            <v>0</v>
          </cell>
          <cell r="AL1263">
            <v>1</v>
          </cell>
          <cell r="AN1263">
            <v>5811</v>
          </cell>
          <cell r="AO1263">
            <v>3</v>
          </cell>
          <cell r="AQ1263">
            <v>1</v>
          </cell>
          <cell r="AR1263">
            <v>16</v>
          </cell>
          <cell r="AS1263">
            <v>3</v>
          </cell>
          <cell r="AT1263">
            <v>3</v>
          </cell>
          <cell r="AU1263">
            <v>1</v>
          </cell>
          <cell r="AV1263">
            <v>15</v>
          </cell>
          <cell r="AW1263">
            <v>15</v>
          </cell>
          <cell r="AX1263">
            <v>2</v>
          </cell>
          <cell r="AY1263">
            <v>3</v>
          </cell>
          <cell r="AZ1263">
            <v>1</v>
          </cell>
          <cell r="BA1263">
            <v>1</v>
          </cell>
          <cell r="BB1263">
            <v>0</v>
          </cell>
          <cell r="BC1263">
            <v>1</v>
          </cell>
          <cell r="BD1263">
            <v>1</v>
          </cell>
          <cell r="BE1263">
            <v>0</v>
          </cell>
          <cell r="BF1263">
            <v>0</v>
          </cell>
          <cell r="BG1263">
            <v>0</v>
          </cell>
          <cell r="BH1263">
            <v>0</v>
          </cell>
          <cell r="BI1263">
            <v>1</v>
          </cell>
          <cell r="BJ1263">
            <v>0</v>
          </cell>
          <cell r="BK1263">
            <v>0</v>
          </cell>
          <cell r="BL1263">
            <v>0</v>
          </cell>
          <cell r="BM1263">
            <v>0</v>
          </cell>
          <cell r="BN1263">
            <v>0</v>
          </cell>
          <cell r="BO1263">
            <v>1</v>
          </cell>
          <cell r="BP1263">
            <v>0</v>
          </cell>
          <cell r="BQ1263">
            <v>0</v>
          </cell>
          <cell r="BR1263">
            <v>0</v>
          </cell>
          <cell r="BS1263">
            <v>0</v>
          </cell>
          <cell r="BT1263">
            <v>15</v>
          </cell>
          <cell r="BU1263">
            <v>0</v>
          </cell>
        </row>
        <row r="1264">
          <cell r="A1264">
            <v>43</v>
          </cell>
          <cell r="B1264">
            <v>43</v>
          </cell>
          <cell r="D1264">
            <v>1</v>
          </cell>
          <cell r="F1264">
            <v>1</v>
          </cell>
          <cell r="G1264">
            <v>0</v>
          </cell>
          <cell r="I1264">
            <v>1</v>
          </cell>
          <cell r="J1264">
            <v>0</v>
          </cell>
          <cell r="K1264">
            <v>17</v>
          </cell>
          <cell r="L1264">
            <v>17</v>
          </cell>
          <cell r="M1264">
            <v>3</v>
          </cell>
          <cell r="O1264">
            <v>0</v>
          </cell>
          <cell r="P1264">
            <v>0</v>
          </cell>
          <cell r="Q1264">
            <v>0</v>
          </cell>
          <cell r="R1264">
            <v>0</v>
          </cell>
          <cell r="S1264">
            <v>1</v>
          </cell>
          <cell r="T1264">
            <v>3</v>
          </cell>
          <cell r="V1264">
            <v>0</v>
          </cell>
          <cell r="W1264">
            <v>38</v>
          </cell>
          <cell r="X1264">
            <v>2</v>
          </cell>
          <cell r="Y1264">
            <v>1</v>
          </cell>
          <cell r="AA1264">
            <v>0</v>
          </cell>
          <cell r="AB1264">
            <v>0</v>
          </cell>
          <cell r="AC1264">
            <v>0</v>
          </cell>
          <cell r="AD1264">
            <v>0</v>
          </cell>
          <cell r="AE1264">
            <v>0</v>
          </cell>
          <cell r="AF1264">
            <v>0</v>
          </cell>
          <cell r="AG1264">
            <v>0</v>
          </cell>
          <cell r="AH1264">
            <v>1</v>
          </cell>
          <cell r="AI1264">
            <v>3</v>
          </cell>
          <cell r="AK1264">
            <v>0</v>
          </cell>
          <cell r="AL1264">
            <v>1</v>
          </cell>
          <cell r="AN1264">
            <v>2437</v>
          </cell>
          <cell r="AO1264">
            <v>9</v>
          </cell>
          <cell r="AQ1264">
            <v>1</v>
          </cell>
          <cell r="AR1264">
            <v>16</v>
          </cell>
          <cell r="AS1264">
            <v>3</v>
          </cell>
          <cell r="AT1264">
            <v>4</v>
          </cell>
          <cell r="AU1264">
            <v>1</v>
          </cell>
          <cell r="AV1264">
            <v>6</v>
          </cell>
          <cell r="AW1264">
            <v>6</v>
          </cell>
          <cell r="AX1264">
            <v>4</v>
          </cell>
          <cell r="AY1264">
            <v>3</v>
          </cell>
          <cell r="AZ1264">
            <v>1</v>
          </cell>
          <cell r="BA1264">
            <v>1</v>
          </cell>
          <cell r="BB1264">
            <v>0</v>
          </cell>
          <cell r="BC1264">
            <v>0</v>
          </cell>
          <cell r="BD1264">
            <v>0</v>
          </cell>
          <cell r="BE1264">
            <v>0</v>
          </cell>
          <cell r="BF1264">
            <v>0</v>
          </cell>
          <cell r="BG1264">
            <v>0</v>
          </cell>
          <cell r="BH1264">
            <v>0</v>
          </cell>
          <cell r="BI1264">
            <v>0</v>
          </cell>
          <cell r="BJ1264">
            <v>0</v>
          </cell>
          <cell r="BK1264">
            <v>1</v>
          </cell>
          <cell r="BL1264">
            <v>0</v>
          </cell>
          <cell r="BM1264">
            <v>0</v>
          </cell>
          <cell r="BN1264">
            <v>0</v>
          </cell>
          <cell r="BO1264">
            <v>1</v>
          </cell>
          <cell r="BP1264">
            <v>0</v>
          </cell>
          <cell r="BQ1264">
            <v>0</v>
          </cell>
          <cell r="BR1264">
            <v>0</v>
          </cell>
          <cell r="BS1264">
            <v>0</v>
          </cell>
          <cell r="BT1264">
            <v>6</v>
          </cell>
          <cell r="BU1264">
            <v>0</v>
          </cell>
        </row>
        <row r="1265">
          <cell r="A1265">
            <v>42</v>
          </cell>
          <cell r="B1265">
            <v>42</v>
          </cell>
          <cell r="D1265">
            <v>0</v>
          </cell>
          <cell r="F1265">
            <v>0</v>
          </cell>
          <cell r="G1265">
            <v>1</v>
          </cell>
          <cell r="I1265">
            <v>1</v>
          </cell>
          <cell r="J1265">
            <v>0</v>
          </cell>
          <cell r="K1265">
            <v>12</v>
          </cell>
          <cell r="L1265">
            <v>12</v>
          </cell>
          <cell r="M1265">
            <v>3</v>
          </cell>
          <cell r="O1265">
            <v>0</v>
          </cell>
          <cell r="P1265">
            <v>0</v>
          </cell>
          <cell r="Q1265">
            <v>1</v>
          </cell>
          <cell r="R1265">
            <v>0</v>
          </cell>
          <cell r="S1265">
            <v>0</v>
          </cell>
          <cell r="T1265">
            <v>2</v>
          </cell>
          <cell r="V1265">
            <v>0</v>
          </cell>
          <cell r="W1265">
            <v>57</v>
          </cell>
          <cell r="X1265">
            <v>3</v>
          </cell>
          <cell r="Y1265">
            <v>1</v>
          </cell>
          <cell r="AA1265">
            <v>0</v>
          </cell>
          <cell r="AB1265">
            <v>0</v>
          </cell>
          <cell r="AC1265">
            <v>1</v>
          </cell>
          <cell r="AD1265">
            <v>0</v>
          </cell>
          <cell r="AE1265">
            <v>0</v>
          </cell>
          <cell r="AF1265">
            <v>0</v>
          </cell>
          <cell r="AG1265">
            <v>0</v>
          </cell>
          <cell r="AH1265">
            <v>0</v>
          </cell>
          <cell r="AI1265">
            <v>2</v>
          </cell>
          <cell r="AK1265">
            <v>0</v>
          </cell>
          <cell r="AL1265">
            <v>0</v>
          </cell>
          <cell r="AN1265">
            <v>2766</v>
          </cell>
          <cell r="AO1265">
            <v>8</v>
          </cell>
          <cell r="AQ1265">
            <v>0</v>
          </cell>
          <cell r="AR1265">
            <v>22</v>
          </cell>
          <cell r="AS1265">
            <v>4</v>
          </cell>
          <cell r="AT1265">
            <v>2</v>
          </cell>
          <cell r="AU1265">
            <v>3</v>
          </cell>
          <cell r="AV1265">
            <v>7</v>
          </cell>
          <cell r="AW1265">
            <v>7</v>
          </cell>
          <cell r="AX1265">
            <v>6</v>
          </cell>
          <cell r="AY1265">
            <v>2</v>
          </cell>
          <cell r="AZ1265">
            <v>5</v>
          </cell>
          <cell r="BA1265">
            <v>5</v>
          </cell>
          <cell r="BB1265">
            <v>3</v>
          </cell>
          <cell r="BC1265">
            <v>0</v>
          </cell>
          <cell r="BD1265">
            <v>0</v>
          </cell>
          <cell r="BE1265">
            <v>4</v>
          </cell>
          <cell r="BF1265">
            <v>4</v>
          </cell>
          <cell r="BG1265">
            <v>4</v>
          </cell>
          <cell r="BH1265">
            <v>1</v>
          </cell>
          <cell r="BI1265">
            <v>0</v>
          </cell>
          <cell r="BJ1265">
            <v>0</v>
          </cell>
          <cell r="BK1265">
            <v>0</v>
          </cell>
          <cell r="BL1265">
            <v>1</v>
          </cell>
          <cell r="BM1265">
            <v>0</v>
          </cell>
          <cell r="BN1265">
            <v>0</v>
          </cell>
          <cell r="BO1265">
            <v>0</v>
          </cell>
          <cell r="BP1265">
            <v>0</v>
          </cell>
          <cell r="BQ1265">
            <v>4</v>
          </cell>
          <cell r="BR1265">
            <v>0</v>
          </cell>
          <cell r="BS1265">
            <v>0</v>
          </cell>
          <cell r="BT1265">
            <v>7</v>
          </cell>
          <cell r="BU1265">
            <v>0</v>
          </cell>
        </row>
        <row r="1266">
          <cell r="A1266">
            <v>55</v>
          </cell>
          <cell r="B1266">
            <v>55</v>
          </cell>
          <cell r="D1266">
            <v>0</v>
          </cell>
          <cell r="F1266">
            <v>0</v>
          </cell>
          <cell r="G1266">
            <v>1</v>
          </cell>
          <cell r="I1266">
            <v>1</v>
          </cell>
          <cell r="J1266">
            <v>0</v>
          </cell>
          <cell r="K1266">
            <v>2</v>
          </cell>
          <cell r="L1266">
            <v>2</v>
          </cell>
          <cell r="M1266">
            <v>3</v>
          </cell>
          <cell r="O1266">
            <v>0</v>
          </cell>
          <cell r="P1266">
            <v>0</v>
          </cell>
          <cell r="Q1266">
            <v>1</v>
          </cell>
          <cell r="R1266">
            <v>0</v>
          </cell>
          <cell r="S1266">
            <v>0</v>
          </cell>
          <cell r="T1266">
            <v>3</v>
          </cell>
          <cell r="V1266">
            <v>0</v>
          </cell>
          <cell r="W1266">
            <v>60</v>
          </cell>
          <cell r="X1266">
            <v>2</v>
          </cell>
          <cell r="Y1266">
            <v>5</v>
          </cell>
          <cell r="AA1266">
            <v>0</v>
          </cell>
          <cell r="AB1266">
            <v>0</v>
          </cell>
          <cell r="AC1266">
            <v>0</v>
          </cell>
          <cell r="AD1266">
            <v>0</v>
          </cell>
          <cell r="AE1266">
            <v>0</v>
          </cell>
          <cell r="AF1266">
            <v>0</v>
          </cell>
          <cell r="AG1266">
            <v>0</v>
          </cell>
          <cell r="AH1266">
            <v>0</v>
          </cell>
          <cell r="AI1266">
            <v>1</v>
          </cell>
          <cell r="AK1266">
            <v>0</v>
          </cell>
          <cell r="AL1266">
            <v>1</v>
          </cell>
          <cell r="AN1266">
            <v>19038</v>
          </cell>
          <cell r="AO1266">
            <v>8</v>
          </cell>
          <cell r="AQ1266">
            <v>0</v>
          </cell>
          <cell r="AR1266">
            <v>12</v>
          </cell>
          <cell r="AS1266">
            <v>3</v>
          </cell>
          <cell r="AT1266">
            <v>2</v>
          </cell>
          <cell r="AU1266">
            <v>3</v>
          </cell>
          <cell r="AV1266">
            <v>34</v>
          </cell>
          <cell r="AW1266">
            <v>34</v>
          </cell>
          <cell r="AX1266">
            <v>2</v>
          </cell>
          <cell r="AY1266">
            <v>3</v>
          </cell>
          <cell r="AZ1266">
            <v>1</v>
          </cell>
          <cell r="BA1266">
            <v>1</v>
          </cell>
          <cell r="BB1266">
            <v>0</v>
          </cell>
          <cell r="BC1266">
            <v>0</v>
          </cell>
          <cell r="BD1266">
            <v>0</v>
          </cell>
          <cell r="BE1266">
            <v>0</v>
          </cell>
          <cell r="BF1266">
            <v>0</v>
          </cell>
          <cell r="BG1266">
            <v>0</v>
          </cell>
          <cell r="BH1266">
            <v>0</v>
          </cell>
          <cell r="BI1266">
            <v>1</v>
          </cell>
          <cell r="BJ1266">
            <v>0</v>
          </cell>
          <cell r="BK1266">
            <v>0</v>
          </cell>
          <cell r="BL1266">
            <v>0</v>
          </cell>
          <cell r="BM1266">
            <v>0</v>
          </cell>
          <cell r="BN1266">
            <v>1</v>
          </cell>
          <cell r="BO1266">
            <v>0</v>
          </cell>
          <cell r="BP1266">
            <v>0</v>
          </cell>
          <cell r="BQ1266">
            <v>0</v>
          </cell>
          <cell r="BR1266">
            <v>0</v>
          </cell>
          <cell r="BS1266">
            <v>0</v>
          </cell>
          <cell r="BT1266">
            <v>34</v>
          </cell>
          <cell r="BU1266">
            <v>0</v>
          </cell>
        </row>
        <row r="1267">
          <cell r="A1267">
            <v>33</v>
          </cell>
          <cell r="B1267">
            <v>33</v>
          </cell>
          <cell r="D1267">
            <v>0</v>
          </cell>
          <cell r="F1267">
            <v>0</v>
          </cell>
          <cell r="G1267">
            <v>0</v>
          </cell>
          <cell r="I1267">
            <v>1</v>
          </cell>
          <cell r="J1267">
            <v>0</v>
          </cell>
          <cell r="K1267">
            <v>4</v>
          </cell>
          <cell r="L1267">
            <v>4</v>
          </cell>
          <cell r="M1267">
            <v>3</v>
          </cell>
          <cell r="O1267">
            <v>0</v>
          </cell>
          <cell r="P1267">
            <v>0</v>
          </cell>
          <cell r="Q1267">
            <v>0</v>
          </cell>
          <cell r="R1267">
            <v>0</v>
          </cell>
          <cell r="S1267">
            <v>1</v>
          </cell>
          <cell r="T1267">
            <v>4</v>
          </cell>
          <cell r="V1267">
            <v>0</v>
          </cell>
          <cell r="W1267">
            <v>90</v>
          </cell>
          <cell r="X1267">
            <v>3</v>
          </cell>
          <cell r="Y1267">
            <v>2</v>
          </cell>
          <cell r="AA1267">
            <v>0</v>
          </cell>
          <cell r="AB1267">
            <v>0</v>
          </cell>
          <cell r="AC1267">
            <v>0</v>
          </cell>
          <cell r="AD1267">
            <v>0</v>
          </cell>
          <cell r="AE1267">
            <v>0</v>
          </cell>
          <cell r="AF1267">
            <v>0</v>
          </cell>
          <cell r="AG1267">
            <v>0</v>
          </cell>
          <cell r="AH1267">
            <v>1</v>
          </cell>
          <cell r="AI1267">
            <v>2</v>
          </cell>
          <cell r="AK1267">
            <v>0</v>
          </cell>
          <cell r="AL1267">
            <v>0</v>
          </cell>
          <cell r="AN1267">
            <v>3055</v>
          </cell>
          <cell r="AO1267">
            <v>5</v>
          </cell>
          <cell r="AQ1267">
            <v>0</v>
          </cell>
          <cell r="AR1267">
            <v>15</v>
          </cell>
          <cell r="AS1267">
            <v>3</v>
          </cell>
          <cell r="AT1267">
            <v>4</v>
          </cell>
          <cell r="AU1267">
            <v>2</v>
          </cell>
          <cell r="AV1267">
            <v>11</v>
          </cell>
          <cell r="AW1267">
            <v>11</v>
          </cell>
          <cell r="AX1267">
            <v>2</v>
          </cell>
          <cell r="AY1267">
            <v>2</v>
          </cell>
          <cell r="AZ1267">
            <v>9</v>
          </cell>
          <cell r="BA1267">
            <v>9</v>
          </cell>
          <cell r="BB1267">
            <v>8</v>
          </cell>
          <cell r="BC1267">
            <v>1</v>
          </cell>
          <cell r="BD1267">
            <v>1</v>
          </cell>
          <cell r="BE1267">
            <v>7</v>
          </cell>
          <cell r="BF1267">
            <v>7</v>
          </cell>
          <cell r="BG1267">
            <v>14</v>
          </cell>
          <cell r="BH1267">
            <v>1</v>
          </cell>
          <cell r="BI1267">
            <v>0</v>
          </cell>
          <cell r="BJ1267">
            <v>0</v>
          </cell>
          <cell r="BK1267">
            <v>0</v>
          </cell>
          <cell r="BL1267">
            <v>1</v>
          </cell>
          <cell r="BM1267">
            <v>0</v>
          </cell>
          <cell r="BN1267">
            <v>0</v>
          </cell>
          <cell r="BO1267">
            <v>0</v>
          </cell>
          <cell r="BP1267">
            <v>0</v>
          </cell>
          <cell r="BQ1267">
            <v>7</v>
          </cell>
          <cell r="BR1267">
            <v>0</v>
          </cell>
          <cell r="BS1267">
            <v>0</v>
          </cell>
          <cell r="BT1267">
            <v>11</v>
          </cell>
          <cell r="BU1267">
            <v>0</v>
          </cell>
        </row>
        <row r="1268">
          <cell r="A1268">
            <v>41</v>
          </cell>
          <cell r="B1268">
            <v>41</v>
          </cell>
          <cell r="D1268">
            <v>0</v>
          </cell>
          <cell r="F1268">
            <v>0</v>
          </cell>
          <cell r="G1268">
            <v>1</v>
          </cell>
          <cell r="I1268">
            <v>1</v>
          </cell>
          <cell r="J1268">
            <v>0</v>
          </cell>
          <cell r="K1268">
            <v>9</v>
          </cell>
          <cell r="L1268">
            <v>9</v>
          </cell>
          <cell r="M1268">
            <v>4</v>
          </cell>
          <cell r="O1268">
            <v>1</v>
          </cell>
          <cell r="P1268">
            <v>0</v>
          </cell>
          <cell r="Q1268">
            <v>0</v>
          </cell>
          <cell r="R1268">
            <v>0</v>
          </cell>
          <cell r="S1268">
            <v>0</v>
          </cell>
          <cell r="T1268">
            <v>3</v>
          </cell>
          <cell r="V1268">
            <v>0</v>
          </cell>
          <cell r="W1268">
            <v>94</v>
          </cell>
          <cell r="X1268">
            <v>3</v>
          </cell>
          <cell r="Y1268">
            <v>1</v>
          </cell>
          <cell r="AA1268">
            <v>0</v>
          </cell>
          <cell r="AB1268">
            <v>0</v>
          </cell>
          <cell r="AC1268">
            <v>1</v>
          </cell>
          <cell r="AD1268">
            <v>0</v>
          </cell>
          <cell r="AE1268">
            <v>0</v>
          </cell>
          <cell r="AF1268">
            <v>0</v>
          </cell>
          <cell r="AG1268">
            <v>0</v>
          </cell>
          <cell r="AH1268">
            <v>0</v>
          </cell>
          <cell r="AI1268">
            <v>1</v>
          </cell>
          <cell r="AK1268">
            <v>0</v>
          </cell>
          <cell r="AL1268">
            <v>0</v>
          </cell>
          <cell r="AN1268">
            <v>2289</v>
          </cell>
          <cell r="AO1268">
            <v>1</v>
          </cell>
          <cell r="AQ1268">
            <v>0</v>
          </cell>
          <cell r="AR1268">
            <v>20</v>
          </cell>
          <cell r="AS1268">
            <v>4</v>
          </cell>
          <cell r="AT1268">
            <v>2</v>
          </cell>
          <cell r="AU1268">
            <v>2</v>
          </cell>
          <cell r="AV1268">
            <v>5</v>
          </cell>
          <cell r="AW1268">
            <v>5</v>
          </cell>
          <cell r="AX1268">
            <v>2</v>
          </cell>
          <cell r="AY1268">
            <v>3</v>
          </cell>
          <cell r="AZ1268">
            <v>5</v>
          </cell>
          <cell r="BA1268">
            <v>5</v>
          </cell>
          <cell r="BB1268">
            <v>3</v>
          </cell>
          <cell r="BC1268">
            <v>0</v>
          </cell>
          <cell r="BD1268">
            <v>0</v>
          </cell>
          <cell r="BE1268">
            <v>4</v>
          </cell>
          <cell r="BF1268">
            <v>4</v>
          </cell>
          <cell r="BG1268">
            <v>4</v>
          </cell>
          <cell r="BH1268">
            <v>1</v>
          </cell>
          <cell r="BI1268">
            <v>0</v>
          </cell>
          <cell r="BJ1268">
            <v>0</v>
          </cell>
          <cell r="BK1268">
            <v>0</v>
          </cell>
          <cell r="BL1268">
            <v>1</v>
          </cell>
          <cell r="BM1268">
            <v>0</v>
          </cell>
          <cell r="BN1268">
            <v>0</v>
          </cell>
          <cell r="BO1268">
            <v>0</v>
          </cell>
          <cell r="BP1268">
            <v>0</v>
          </cell>
          <cell r="BQ1268">
            <v>4</v>
          </cell>
          <cell r="BR1268">
            <v>0</v>
          </cell>
          <cell r="BS1268">
            <v>0</v>
          </cell>
          <cell r="BT1268">
            <v>5</v>
          </cell>
          <cell r="BU1268">
            <v>0</v>
          </cell>
        </row>
        <row r="1269">
          <cell r="A1269">
            <v>34</v>
          </cell>
          <cell r="B1269">
            <v>34</v>
          </cell>
          <cell r="D1269">
            <v>0</v>
          </cell>
          <cell r="F1269">
            <v>0</v>
          </cell>
          <cell r="G1269">
            <v>0</v>
          </cell>
          <cell r="I1269">
            <v>0</v>
          </cell>
          <cell r="J1269">
            <v>1</v>
          </cell>
          <cell r="K1269">
            <v>10</v>
          </cell>
          <cell r="L1269">
            <v>10</v>
          </cell>
          <cell r="M1269">
            <v>3</v>
          </cell>
          <cell r="O1269">
            <v>1</v>
          </cell>
          <cell r="P1269">
            <v>0</v>
          </cell>
          <cell r="Q1269">
            <v>0</v>
          </cell>
          <cell r="R1269">
            <v>0</v>
          </cell>
          <cell r="S1269">
            <v>0</v>
          </cell>
          <cell r="T1269">
            <v>4</v>
          </cell>
          <cell r="V1269">
            <v>0</v>
          </cell>
          <cell r="W1269">
            <v>87</v>
          </cell>
          <cell r="X1269">
            <v>3</v>
          </cell>
          <cell r="Y1269">
            <v>2</v>
          </cell>
          <cell r="AA1269">
            <v>0</v>
          </cell>
          <cell r="AB1269">
            <v>1</v>
          </cell>
          <cell r="AC1269">
            <v>0</v>
          </cell>
          <cell r="AD1269">
            <v>0</v>
          </cell>
          <cell r="AE1269">
            <v>0</v>
          </cell>
          <cell r="AF1269">
            <v>0</v>
          </cell>
          <cell r="AG1269">
            <v>0</v>
          </cell>
          <cell r="AH1269">
            <v>0</v>
          </cell>
          <cell r="AI1269">
            <v>3</v>
          </cell>
          <cell r="AK1269">
            <v>0</v>
          </cell>
          <cell r="AL1269">
            <v>0</v>
          </cell>
          <cell r="AN1269">
            <v>4001</v>
          </cell>
          <cell r="AO1269">
            <v>1</v>
          </cell>
          <cell r="AQ1269">
            <v>1</v>
          </cell>
          <cell r="AR1269">
            <v>14</v>
          </cell>
          <cell r="AS1269">
            <v>3</v>
          </cell>
          <cell r="AT1269">
            <v>3</v>
          </cell>
          <cell r="AU1269">
            <v>1</v>
          </cell>
          <cell r="AV1269">
            <v>15</v>
          </cell>
          <cell r="AW1269">
            <v>15</v>
          </cell>
          <cell r="AX1269">
            <v>3</v>
          </cell>
          <cell r="AY1269">
            <v>3</v>
          </cell>
          <cell r="AZ1269">
            <v>15</v>
          </cell>
          <cell r="BA1269">
            <v>15</v>
          </cell>
          <cell r="BB1269">
            <v>14</v>
          </cell>
          <cell r="BC1269">
            <v>0</v>
          </cell>
          <cell r="BD1269">
            <v>0</v>
          </cell>
          <cell r="BE1269">
            <v>7</v>
          </cell>
          <cell r="BF1269">
            <v>7</v>
          </cell>
          <cell r="BG1269">
            <v>14</v>
          </cell>
          <cell r="BH1269">
            <v>1</v>
          </cell>
          <cell r="BI1269">
            <v>0</v>
          </cell>
          <cell r="BJ1269">
            <v>0</v>
          </cell>
          <cell r="BK1269">
            <v>0</v>
          </cell>
          <cell r="BL1269">
            <v>0</v>
          </cell>
          <cell r="BM1269">
            <v>1</v>
          </cell>
          <cell r="BN1269">
            <v>0</v>
          </cell>
          <cell r="BO1269">
            <v>0</v>
          </cell>
          <cell r="BP1269">
            <v>0</v>
          </cell>
          <cell r="BQ1269">
            <v>0</v>
          </cell>
          <cell r="BR1269">
            <v>7</v>
          </cell>
          <cell r="BS1269">
            <v>0</v>
          </cell>
          <cell r="BT1269">
            <v>0</v>
          </cell>
          <cell r="BU1269">
            <v>15</v>
          </cell>
        </row>
        <row r="1270">
          <cell r="A1270">
            <v>53</v>
          </cell>
          <cell r="B1270">
            <v>53</v>
          </cell>
          <cell r="D1270">
            <v>0</v>
          </cell>
          <cell r="F1270">
            <v>0</v>
          </cell>
          <cell r="G1270">
            <v>0</v>
          </cell>
          <cell r="I1270">
            <v>1</v>
          </cell>
          <cell r="J1270">
            <v>0</v>
          </cell>
          <cell r="K1270">
            <v>1</v>
          </cell>
          <cell r="L1270">
            <v>1</v>
          </cell>
          <cell r="M1270">
            <v>4</v>
          </cell>
          <cell r="O1270">
            <v>0</v>
          </cell>
          <cell r="P1270">
            <v>0</v>
          </cell>
          <cell r="Q1270">
            <v>1</v>
          </cell>
          <cell r="R1270">
            <v>0</v>
          </cell>
          <cell r="S1270">
            <v>0</v>
          </cell>
          <cell r="T1270">
            <v>1</v>
          </cell>
          <cell r="V1270">
            <v>1</v>
          </cell>
          <cell r="W1270">
            <v>60</v>
          </cell>
          <cell r="X1270">
            <v>2</v>
          </cell>
          <cell r="Y1270">
            <v>4</v>
          </cell>
          <cell r="AA1270">
            <v>0</v>
          </cell>
          <cell r="AB1270">
            <v>0</v>
          </cell>
          <cell r="AC1270">
            <v>0</v>
          </cell>
          <cell r="AD1270">
            <v>0</v>
          </cell>
          <cell r="AE1270">
            <v>1</v>
          </cell>
          <cell r="AF1270">
            <v>1</v>
          </cell>
          <cell r="AG1270">
            <v>0</v>
          </cell>
          <cell r="AH1270">
            <v>0</v>
          </cell>
          <cell r="AI1270">
            <v>3</v>
          </cell>
          <cell r="AK1270">
            <v>0</v>
          </cell>
          <cell r="AL1270">
            <v>1</v>
          </cell>
          <cell r="AN1270">
            <v>12965</v>
          </cell>
          <cell r="AO1270">
            <v>4</v>
          </cell>
          <cell r="AQ1270">
            <v>1</v>
          </cell>
          <cell r="AR1270">
            <v>20</v>
          </cell>
          <cell r="AS1270">
            <v>4</v>
          </cell>
          <cell r="AT1270">
            <v>4</v>
          </cell>
          <cell r="AU1270">
            <v>3</v>
          </cell>
          <cell r="AV1270">
            <v>27</v>
          </cell>
          <cell r="AW1270">
            <v>27</v>
          </cell>
          <cell r="AX1270">
            <v>2</v>
          </cell>
          <cell r="AY1270">
            <v>2</v>
          </cell>
          <cell r="AZ1270">
            <v>3</v>
          </cell>
          <cell r="BA1270">
            <v>3</v>
          </cell>
          <cell r="BB1270">
            <v>2</v>
          </cell>
          <cell r="BC1270">
            <v>0</v>
          </cell>
          <cell r="BD1270">
            <v>0</v>
          </cell>
          <cell r="BE1270">
            <v>2</v>
          </cell>
          <cell r="BF1270">
            <v>2</v>
          </cell>
          <cell r="BG1270">
            <v>8</v>
          </cell>
          <cell r="BH1270">
            <v>0</v>
          </cell>
          <cell r="BI1270">
            <v>1</v>
          </cell>
          <cell r="BJ1270">
            <v>0</v>
          </cell>
          <cell r="BK1270">
            <v>0</v>
          </cell>
          <cell r="BL1270">
            <v>0</v>
          </cell>
          <cell r="BM1270">
            <v>0</v>
          </cell>
          <cell r="BN1270">
            <v>0</v>
          </cell>
          <cell r="BO1270">
            <v>1</v>
          </cell>
          <cell r="BP1270">
            <v>0</v>
          </cell>
          <cell r="BQ1270">
            <v>2</v>
          </cell>
          <cell r="BR1270">
            <v>0</v>
          </cell>
          <cell r="BS1270">
            <v>0</v>
          </cell>
          <cell r="BT1270">
            <v>27</v>
          </cell>
          <cell r="BU1270">
            <v>0</v>
          </cell>
        </row>
        <row r="1271">
          <cell r="A1271">
            <v>43</v>
          </cell>
          <cell r="B1271">
            <v>43</v>
          </cell>
          <cell r="D1271">
            <v>0</v>
          </cell>
          <cell r="F1271">
            <v>0</v>
          </cell>
          <cell r="G1271">
            <v>1</v>
          </cell>
          <cell r="I1271">
            <v>0</v>
          </cell>
          <cell r="J1271">
            <v>0</v>
          </cell>
          <cell r="K1271">
            <v>2</v>
          </cell>
          <cell r="L1271">
            <v>2</v>
          </cell>
          <cell r="M1271">
            <v>3</v>
          </cell>
          <cell r="O1271">
            <v>1</v>
          </cell>
          <cell r="P1271">
            <v>0</v>
          </cell>
          <cell r="Q1271">
            <v>0</v>
          </cell>
          <cell r="R1271">
            <v>0</v>
          </cell>
          <cell r="S1271">
            <v>0</v>
          </cell>
          <cell r="T1271">
            <v>2</v>
          </cell>
          <cell r="V1271">
            <v>0</v>
          </cell>
          <cell r="W1271">
            <v>97</v>
          </cell>
          <cell r="X1271">
            <v>3</v>
          </cell>
          <cell r="Y1271">
            <v>1</v>
          </cell>
          <cell r="AA1271">
            <v>0</v>
          </cell>
          <cell r="AB1271">
            <v>0</v>
          </cell>
          <cell r="AC1271">
            <v>0</v>
          </cell>
          <cell r="AD1271">
            <v>0</v>
          </cell>
          <cell r="AE1271">
            <v>0</v>
          </cell>
          <cell r="AF1271">
            <v>0</v>
          </cell>
          <cell r="AG1271">
            <v>0</v>
          </cell>
          <cell r="AH1271">
            <v>0</v>
          </cell>
          <cell r="AI1271">
            <v>4</v>
          </cell>
          <cell r="AK1271">
            <v>1</v>
          </cell>
          <cell r="AL1271">
            <v>0</v>
          </cell>
          <cell r="AN1271">
            <v>3539</v>
          </cell>
          <cell r="AO1271">
            <v>0</v>
          </cell>
          <cell r="AQ1271">
            <v>0</v>
          </cell>
          <cell r="AR1271">
            <v>13</v>
          </cell>
          <cell r="AS1271">
            <v>3</v>
          </cell>
          <cell r="AT1271">
            <v>2</v>
          </cell>
          <cell r="AU1271">
            <v>0</v>
          </cell>
          <cell r="AV1271">
            <v>10</v>
          </cell>
          <cell r="AW1271">
            <v>10</v>
          </cell>
          <cell r="AX1271">
            <v>5</v>
          </cell>
          <cell r="AY1271">
            <v>3</v>
          </cell>
          <cell r="AZ1271">
            <v>9</v>
          </cell>
          <cell r="BA1271">
            <v>9</v>
          </cell>
          <cell r="BB1271">
            <v>7</v>
          </cell>
          <cell r="BC1271">
            <v>1</v>
          </cell>
          <cell r="BD1271">
            <v>1</v>
          </cell>
          <cell r="BE1271">
            <v>8</v>
          </cell>
          <cell r="BF1271">
            <v>8</v>
          </cell>
          <cell r="BG1271">
            <v>8</v>
          </cell>
          <cell r="BH1271">
            <v>1</v>
          </cell>
          <cell r="BI1271">
            <v>0</v>
          </cell>
          <cell r="BJ1271">
            <v>0</v>
          </cell>
          <cell r="BK1271">
            <v>0</v>
          </cell>
          <cell r="BL1271">
            <v>1</v>
          </cell>
          <cell r="BM1271">
            <v>0</v>
          </cell>
          <cell r="BN1271">
            <v>0</v>
          </cell>
          <cell r="BO1271">
            <v>0</v>
          </cell>
          <cell r="BP1271">
            <v>8</v>
          </cell>
          <cell r="BQ1271">
            <v>0</v>
          </cell>
          <cell r="BR1271">
            <v>0</v>
          </cell>
          <cell r="BS1271">
            <v>10</v>
          </cell>
          <cell r="BT1271">
            <v>0</v>
          </cell>
          <cell r="BU1271">
            <v>0</v>
          </cell>
        </row>
        <row r="1272">
          <cell r="A1272">
            <v>34</v>
          </cell>
          <cell r="B1272">
            <v>34</v>
          </cell>
          <cell r="D1272">
            <v>0</v>
          </cell>
          <cell r="F1272">
            <v>0</v>
          </cell>
          <cell r="G1272">
            <v>1</v>
          </cell>
          <cell r="I1272">
            <v>0</v>
          </cell>
          <cell r="J1272">
            <v>1</v>
          </cell>
          <cell r="K1272">
            <v>3</v>
          </cell>
          <cell r="L1272">
            <v>3</v>
          </cell>
          <cell r="M1272">
            <v>2</v>
          </cell>
          <cell r="O1272">
            <v>1</v>
          </cell>
          <cell r="P1272">
            <v>0</v>
          </cell>
          <cell r="Q1272">
            <v>0</v>
          </cell>
          <cell r="R1272">
            <v>0</v>
          </cell>
          <cell r="S1272">
            <v>0</v>
          </cell>
          <cell r="T1272">
            <v>4</v>
          </cell>
          <cell r="V1272">
            <v>1</v>
          </cell>
          <cell r="W1272">
            <v>32</v>
          </cell>
          <cell r="X1272">
            <v>1</v>
          </cell>
          <cell r="Y1272">
            <v>2</v>
          </cell>
          <cell r="AA1272">
            <v>0</v>
          </cell>
          <cell r="AB1272">
            <v>1</v>
          </cell>
          <cell r="AC1272">
            <v>0</v>
          </cell>
          <cell r="AD1272">
            <v>0</v>
          </cell>
          <cell r="AE1272">
            <v>0</v>
          </cell>
          <cell r="AF1272">
            <v>0</v>
          </cell>
          <cell r="AG1272">
            <v>0</v>
          </cell>
          <cell r="AH1272">
            <v>0</v>
          </cell>
          <cell r="AI1272">
            <v>4</v>
          </cell>
          <cell r="AK1272">
            <v>1</v>
          </cell>
          <cell r="AL1272">
            <v>0</v>
          </cell>
          <cell r="AN1272">
            <v>6029</v>
          </cell>
          <cell r="AO1272">
            <v>5</v>
          </cell>
          <cell r="AQ1272">
            <v>0</v>
          </cell>
          <cell r="AR1272">
            <v>12</v>
          </cell>
          <cell r="AS1272">
            <v>3</v>
          </cell>
          <cell r="AT1272">
            <v>1</v>
          </cell>
          <cell r="AU1272">
            <v>0</v>
          </cell>
          <cell r="AV1272">
            <v>6</v>
          </cell>
          <cell r="AW1272">
            <v>6</v>
          </cell>
          <cell r="AX1272">
            <v>3</v>
          </cell>
          <cell r="AY1272">
            <v>3</v>
          </cell>
          <cell r="AZ1272">
            <v>2</v>
          </cell>
          <cell r="BA1272">
            <v>2</v>
          </cell>
          <cell r="BB1272">
            <v>2</v>
          </cell>
          <cell r="BC1272">
            <v>2</v>
          </cell>
          <cell r="BD1272">
            <v>2</v>
          </cell>
          <cell r="BE1272">
            <v>2</v>
          </cell>
          <cell r="BF1272">
            <v>2</v>
          </cell>
          <cell r="BG1272">
            <v>4</v>
          </cell>
          <cell r="BH1272">
            <v>1</v>
          </cell>
          <cell r="BI1272">
            <v>0</v>
          </cell>
          <cell r="BJ1272">
            <v>0</v>
          </cell>
          <cell r="BK1272">
            <v>0</v>
          </cell>
          <cell r="BL1272">
            <v>1</v>
          </cell>
          <cell r="BM1272">
            <v>0</v>
          </cell>
          <cell r="BN1272">
            <v>0</v>
          </cell>
          <cell r="BO1272">
            <v>0</v>
          </cell>
          <cell r="BP1272">
            <v>0</v>
          </cell>
          <cell r="BQ1272">
            <v>0</v>
          </cell>
          <cell r="BR1272">
            <v>2</v>
          </cell>
          <cell r="BS1272">
            <v>0</v>
          </cell>
          <cell r="BT1272">
            <v>0</v>
          </cell>
          <cell r="BU1272">
            <v>6</v>
          </cell>
        </row>
        <row r="1273">
          <cell r="A1273">
            <v>21</v>
          </cell>
          <cell r="B1273">
            <v>21</v>
          </cell>
          <cell r="D1273">
            <v>1</v>
          </cell>
          <cell r="F1273">
            <v>0</v>
          </cell>
          <cell r="G1273">
            <v>1</v>
          </cell>
          <cell r="I1273">
            <v>0</v>
          </cell>
          <cell r="J1273">
            <v>1</v>
          </cell>
          <cell r="K1273">
            <v>7</v>
          </cell>
          <cell r="L1273">
            <v>7</v>
          </cell>
          <cell r="M1273">
            <v>1</v>
          </cell>
          <cell r="O1273">
            <v>0</v>
          </cell>
          <cell r="P1273">
            <v>0</v>
          </cell>
          <cell r="Q1273">
            <v>0</v>
          </cell>
          <cell r="R1273">
            <v>1</v>
          </cell>
          <cell r="S1273">
            <v>0</v>
          </cell>
          <cell r="T1273">
            <v>2</v>
          </cell>
          <cell r="V1273">
            <v>0</v>
          </cell>
          <cell r="W1273">
            <v>31</v>
          </cell>
          <cell r="X1273">
            <v>3</v>
          </cell>
          <cell r="Y1273">
            <v>1</v>
          </cell>
          <cell r="AA1273">
            <v>0</v>
          </cell>
          <cell r="AB1273">
            <v>0</v>
          </cell>
          <cell r="AC1273">
            <v>0</v>
          </cell>
          <cell r="AD1273">
            <v>0</v>
          </cell>
          <cell r="AE1273">
            <v>0</v>
          </cell>
          <cell r="AF1273">
            <v>0</v>
          </cell>
          <cell r="AG1273">
            <v>1</v>
          </cell>
          <cell r="AH1273">
            <v>0</v>
          </cell>
          <cell r="AI1273">
            <v>2</v>
          </cell>
          <cell r="AK1273">
            <v>1</v>
          </cell>
          <cell r="AL1273">
            <v>0</v>
          </cell>
          <cell r="AN1273">
            <v>2679</v>
          </cell>
          <cell r="AO1273">
            <v>1</v>
          </cell>
          <cell r="AQ1273">
            <v>0</v>
          </cell>
          <cell r="AR1273">
            <v>13</v>
          </cell>
          <cell r="AS1273">
            <v>3</v>
          </cell>
          <cell r="AT1273">
            <v>2</v>
          </cell>
          <cell r="AU1273">
            <v>0</v>
          </cell>
          <cell r="AV1273">
            <v>1</v>
          </cell>
          <cell r="AW1273">
            <v>1</v>
          </cell>
          <cell r="AX1273">
            <v>3</v>
          </cell>
          <cell r="AY1273">
            <v>3</v>
          </cell>
          <cell r="AZ1273">
            <v>1</v>
          </cell>
          <cell r="BA1273">
            <v>1</v>
          </cell>
          <cell r="BB1273">
            <v>0</v>
          </cell>
          <cell r="BC1273">
            <v>1</v>
          </cell>
          <cell r="BD1273">
            <v>1</v>
          </cell>
          <cell r="BE1273">
            <v>0</v>
          </cell>
          <cell r="BF1273">
            <v>0</v>
          </cell>
          <cell r="BG1273">
            <v>0</v>
          </cell>
          <cell r="BH1273">
            <v>1</v>
          </cell>
          <cell r="BI1273">
            <v>0</v>
          </cell>
          <cell r="BJ1273">
            <v>0</v>
          </cell>
          <cell r="BK1273">
            <v>0</v>
          </cell>
          <cell r="BL1273">
            <v>1</v>
          </cell>
          <cell r="BM1273">
            <v>0</v>
          </cell>
          <cell r="BN1273">
            <v>0</v>
          </cell>
          <cell r="BO1273">
            <v>0</v>
          </cell>
          <cell r="BP1273">
            <v>0</v>
          </cell>
          <cell r="BQ1273">
            <v>0</v>
          </cell>
          <cell r="BR1273">
            <v>0</v>
          </cell>
          <cell r="BS1273">
            <v>0</v>
          </cell>
          <cell r="BT1273">
            <v>0</v>
          </cell>
          <cell r="BU1273">
            <v>1</v>
          </cell>
        </row>
        <row r="1274">
          <cell r="A1274">
            <v>38</v>
          </cell>
          <cell r="B1274">
            <v>38</v>
          </cell>
          <cell r="D1274">
            <v>0</v>
          </cell>
          <cell r="F1274">
            <v>0</v>
          </cell>
          <cell r="G1274">
            <v>1</v>
          </cell>
          <cell r="I1274">
            <v>1</v>
          </cell>
          <cell r="J1274">
            <v>0</v>
          </cell>
          <cell r="K1274">
            <v>6</v>
          </cell>
          <cell r="L1274">
            <v>6</v>
          </cell>
          <cell r="M1274">
            <v>2</v>
          </cell>
          <cell r="O1274">
            <v>0</v>
          </cell>
          <cell r="P1274">
            <v>1</v>
          </cell>
          <cell r="Q1274">
            <v>0</v>
          </cell>
          <cell r="R1274">
            <v>0</v>
          </cell>
          <cell r="S1274">
            <v>0</v>
          </cell>
          <cell r="T1274">
            <v>4</v>
          </cell>
          <cell r="V1274">
            <v>1</v>
          </cell>
          <cell r="W1274">
            <v>40</v>
          </cell>
          <cell r="X1274">
            <v>2</v>
          </cell>
          <cell r="Y1274">
            <v>1</v>
          </cell>
          <cell r="AA1274">
            <v>0</v>
          </cell>
          <cell r="AB1274">
            <v>0</v>
          </cell>
          <cell r="AC1274">
            <v>1</v>
          </cell>
          <cell r="AD1274">
            <v>0</v>
          </cell>
          <cell r="AE1274">
            <v>0</v>
          </cell>
          <cell r="AF1274">
            <v>0</v>
          </cell>
          <cell r="AG1274">
            <v>0</v>
          </cell>
          <cell r="AH1274">
            <v>0</v>
          </cell>
          <cell r="AI1274">
            <v>3</v>
          </cell>
          <cell r="AK1274">
            <v>0</v>
          </cell>
          <cell r="AL1274">
            <v>1</v>
          </cell>
          <cell r="AN1274">
            <v>3702</v>
          </cell>
          <cell r="AO1274">
            <v>1</v>
          </cell>
          <cell r="AQ1274">
            <v>0</v>
          </cell>
          <cell r="AR1274">
            <v>11</v>
          </cell>
          <cell r="AS1274">
            <v>3</v>
          </cell>
          <cell r="AT1274">
            <v>2</v>
          </cell>
          <cell r="AU1274">
            <v>1</v>
          </cell>
          <cell r="AV1274">
            <v>5</v>
          </cell>
          <cell r="AW1274">
            <v>5</v>
          </cell>
          <cell r="AX1274">
            <v>3</v>
          </cell>
          <cell r="AY1274">
            <v>3</v>
          </cell>
          <cell r="AZ1274">
            <v>5</v>
          </cell>
          <cell r="BA1274">
            <v>5</v>
          </cell>
          <cell r="BB1274">
            <v>4</v>
          </cell>
          <cell r="BC1274">
            <v>0</v>
          </cell>
          <cell r="BD1274">
            <v>0</v>
          </cell>
          <cell r="BE1274">
            <v>4</v>
          </cell>
          <cell r="BF1274">
            <v>4</v>
          </cell>
          <cell r="BG1274">
            <v>4</v>
          </cell>
          <cell r="BH1274">
            <v>0</v>
          </cell>
          <cell r="BI1274">
            <v>1</v>
          </cell>
          <cell r="BJ1274">
            <v>0</v>
          </cell>
          <cell r="BK1274">
            <v>0</v>
          </cell>
          <cell r="BL1274">
            <v>0</v>
          </cell>
          <cell r="BM1274">
            <v>0</v>
          </cell>
          <cell r="BN1274">
            <v>1</v>
          </cell>
          <cell r="BO1274">
            <v>0</v>
          </cell>
          <cell r="BP1274">
            <v>0</v>
          </cell>
          <cell r="BQ1274">
            <v>4</v>
          </cell>
          <cell r="BR1274">
            <v>0</v>
          </cell>
          <cell r="BS1274">
            <v>0</v>
          </cell>
          <cell r="BT1274">
            <v>5</v>
          </cell>
          <cell r="BU1274">
            <v>0</v>
          </cell>
        </row>
        <row r="1275">
          <cell r="A1275">
            <v>22</v>
          </cell>
          <cell r="B1275">
            <v>22</v>
          </cell>
          <cell r="D1275">
            <v>1</v>
          </cell>
          <cell r="F1275">
            <v>0</v>
          </cell>
          <cell r="G1275">
            <v>1</v>
          </cell>
          <cell r="I1275">
            <v>1</v>
          </cell>
          <cell r="J1275">
            <v>0</v>
          </cell>
          <cell r="K1275">
            <v>8</v>
          </cell>
          <cell r="L1275">
            <v>8</v>
          </cell>
          <cell r="M1275">
            <v>1</v>
          </cell>
          <cell r="O1275">
            <v>0</v>
          </cell>
          <cell r="P1275">
            <v>0</v>
          </cell>
          <cell r="Q1275">
            <v>1</v>
          </cell>
          <cell r="R1275">
            <v>0</v>
          </cell>
          <cell r="S1275">
            <v>0</v>
          </cell>
          <cell r="T1275">
            <v>3</v>
          </cell>
          <cell r="V1275">
            <v>1</v>
          </cell>
          <cell r="W1275">
            <v>79</v>
          </cell>
          <cell r="X1275">
            <v>3</v>
          </cell>
          <cell r="Y1275">
            <v>1</v>
          </cell>
          <cell r="AA1275">
            <v>0</v>
          </cell>
          <cell r="AB1275">
            <v>0</v>
          </cell>
          <cell r="AC1275">
            <v>1</v>
          </cell>
          <cell r="AD1275">
            <v>0</v>
          </cell>
          <cell r="AE1275">
            <v>0</v>
          </cell>
          <cell r="AF1275">
            <v>0</v>
          </cell>
          <cell r="AG1275">
            <v>0</v>
          </cell>
          <cell r="AH1275">
            <v>0</v>
          </cell>
          <cell r="AI1275">
            <v>1</v>
          </cell>
          <cell r="AK1275">
            <v>0</v>
          </cell>
          <cell r="AL1275">
            <v>1</v>
          </cell>
          <cell r="AN1275">
            <v>2398</v>
          </cell>
          <cell r="AO1275">
            <v>1</v>
          </cell>
          <cell r="AQ1275">
            <v>1</v>
          </cell>
          <cell r="AR1275">
            <v>17</v>
          </cell>
          <cell r="AS1275">
            <v>3</v>
          </cell>
          <cell r="AT1275">
            <v>3</v>
          </cell>
          <cell r="AU1275">
            <v>0</v>
          </cell>
          <cell r="AV1275">
            <v>1</v>
          </cell>
          <cell r="AW1275">
            <v>1</v>
          </cell>
          <cell r="AX1275">
            <v>6</v>
          </cell>
          <cell r="AY1275">
            <v>3</v>
          </cell>
          <cell r="AZ1275">
            <v>1</v>
          </cell>
          <cell r="BA1275">
            <v>1</v>
          </cell>
          <cell r="BB1275">
            <v>0</v>
          </cell>
          <cell r="BC1275">
            <v>0</v>
          </cell>
          <cell r="BD1275">
            <v>0</v>
          </cell>
          <cell r="BE1275">
            <v>0</v>
          </cell>
          <cell r="BF1275">
            <v>0</v>
          </cell>
          <cell r="BG1275">
            <v>0</v>
          </cell>
          <cell r="BH1275">
            <v>0</v>
          </cell>
          <cell r="BI1275">
            <v>1</v>
          </cell>
          <cell r="BJ1275">
            <v>0</v>
          </cell>
          <cell r="BK1275">
            <v>0</v>
          </cell>
          <cell r="BL1275">
            <v>0</v>
          </cell>
          <cell r="BM1275">
            <v>0</v>
          </cell>
          <cell r="BN1275">
            <v>0</v>
          </cell>
          <cell r="BO1275">
            <v>1</v>
          </cell>
          <cell r="BP1275">
            <v>0</v>
          </cell>
          <cell r="BQ1275">
            <v>0</v>
          </cell>
          <cell r="BR1275">
            <v>0</v>
          </cell>
          <cell r="BS1275">
            <v>0</v>
          </cell>
          <cell r="BT1275">
            <v>1</v>
          </cell>
          <cell r="BU1275">
            <v>0</v>
          </cell>
        </row>
        <row r="1276">
          <cell r="A1276">
            <v>31</v>
          </cell>
          <cell r="B1276">
            <v>31</v>
          </cell>
          <cell r="D1276">
            <v>0</v>
          </cell>
          <cell r="F1276">
            <v>0</v>
          </cell>
          <cell r="G1276">
            <v>1</v>
          </cell>
          <cell r="I1276">
            <v>0</v>
          </cell>
          <cell r="J1276">
            <v>1</v>
          </cell>
          <cell r="K1276">
            <v>29</v>
          </cell>
          <cell r="L1276">
            <v>29</v>
          </cell>
          <cell r="M1276">
            <v>4</v>
          </cell>
          <cell r="O1276">
            <v>0</v>
          </cell>
          <cell r="P1276">
            <v>0</v>
          </cell>
          <cell r="Q1276">
            <v>0</v>
          </cell>
          <cell r="R1276">
            <v>1</v>
          </cell>
          <cell r="S1276">
            <v>0</v>
          </cell>
          <cell r="T1276">
            <v>1</v>
          </cell>
          <cell r="V1276">
            <v>1</v>
          </cell>
          <cell r="W1276">
            <v>91</v>
          </cell>
          <cell r="X1276">
            <v>2</v>
          </cell>
          <cell r="Y1276">
            <v>2</v>
          </cell>
          <cell r="AA1276">
            <v>0</v>
          </cell>
          <cell r="AB1276">
            <v>1</v>
          </cell>
          <cell r="AC1276">
            <v>0</v>
          </cell>
          <cell r="AD1276">
            <v>0</v>
          </cell>
          <cell r="AE1276">
            <v>0</v>
          </cell>
          <cell r="AF1276">
            <v>0</v>
          </cell>
          <cell r="AG1276">
            <v>0</v>
          </cell>
          <cell r="AH1276">
            <v>0</v>
          </cell>
          <cell r="AI1276">
            <v>4</v>
          </cell>
          <cell r="AK1276">
            <v>0</v>
          </cell>
          <cell r="AL1276">
            <v>1</v>
          </cell>
          <cell r="AN1276">
            <v>5468</v>
          </cell>
          <cell r="AO1276">
            <v>1</v>
          </cell>
          <cell r="AQ1276">
            <v>0</v>
          </cell>
          <cell r="AR1276">
            <v>14</v>
          </cell>
          <cell r="AS1276">
            <v>3</v>
          </cell>
          <cell r="AT1276">
            <v>1</v>
          </cell>
          <cell r="AU1276">
            <v>2</v>
          </cell>
          <cell r="AV1276">
            <v>13</v>
          </cell>
          <cell r="AW1276">
            <v>13</v>
          </cell>
          <cell r="AX1276">
            <v>3</v>
          </cell>
          <cell r="AY1276">
            <v>3</v>
          </cell>
          <cell r="AZ1276">
            <v>12</v>
          </cell>
          <cell r="BA1276">
            <v>12</v>
          </cell>
          <cell r="BB1276">
            <v>7</v>
          </cell>
          <cell r="BC1276">
            <v>5</v>
          </cell>
          <cell r="BD1276">
            <v>5</v>
          </cell>
          <cell r="BE1276">
            <v>7</v>
          </cell>
          <cell r="BF1276">
            <v>7</v>
          </cell>
          <cell r="BG1276">
            <v>14</v>
          </cell>
          <cell r="BH1276">
            <v>0</v>
          </cell>
          <cell r="BI1276">
            <v>1</v>
          </cell>
          <cell r="BJ1276">
            <v>0</v>
          </cell>
          <cell r="BK1276">
            <v>0</v>
          </cell>
          <cell r="BL1276">
            <v>0</v>
          </cell>
          <cell r="BM1276">
            <v>0</v>
          </cell>
          <cell r="BN1276">
            <v>1</v>
          </cell>
          <cell r="BO1276">
            <v>0</v>
          </cell>
          <cell r="BP1276">
            <v>0</v>
          </cell>
          <cell r="BQ1276">
            <v>0</v>
          </cell>
          <cell r="BR1276">
            <v>7</v>
          </cell>
          <cell r="BS1276">
            <v>0</v>
          </cell>
          <cell r="BT1276">
            <v>0</v>
          </cell>
          <cell r="BU1276">
            <v>13</v>
          </cell>
        </row>
        <row r="1277">
          <cell r="A1277">
            <v>51</v>
          </cell>
          <cell r="B1277">
            <v>51</v>
          </cell>
          <cell r="D1277">
            <v>0</v>
          </cell>
          <cell r="F1277">
            <v>0</v>
          </cell>
          <cell r="G1277">
            <v>1</v>
          </cell>
          <cell r="I1277">
            <v>1</v>
          </cell>
          <cell r="J1277">
            <v>0</v>
          </cell>
          <cell r="K1277">
            <v>3</v>
          </cell>
          <cell r="L1277">
            <v>3</v>
          </cell>
          <cell r="M1277">
            <v>3</v>
          </cell>
          <cell r="O1277">
            <v>0</v>
          </cell>
          <cell r="P1277">
            <v>0</v>
          </cell>
          <cell r="Q1277">
            <v>0</v>
          </cell>
          <cell r="R1277">
            <v>0</v>
          </cell>
          <cell r="S1277">
            <v>1</v>
          </cell>
          <cell r="T1277">
            <v>1</v>
          </cell>
          <cell r="V1277">
            <v>1</v>
          </cell>
          <cell r="W1277">
            <v>53</v>
          </cell>
          <cell r="X1277">
            <v>3</v>
          </cell>
          <cell r="Y1277">
            <v>3</v>
          </cell>
          <cell r="AA1277">
            <v>0</v>
          </cell>
          <cell r="AB1277">
            <v>0</v>
          </cell>
          <cell r="AC1277">
            <v>0</v>
          </cell>
          <cell r="AD1277">
            <v>1</v>
          </cell>
          <cell r="AE1277">
            <v>0</v>
          </cell>
          <cell r="AF1277">
            <v>0</v>
          </cell>
          <cell r="AG1277">
            <v>0</v>
          </cell>
          <cell r="AH1277">
            <v>0</v>
          </cell>
          <cell r="AI1277">
            <v>3</v>
          </cell>
          <cell r="AK1277">
            <v>0</v>
          </cell>
          <cell r="AL1277">
            <v>1</v>
          </cell>
          <cell r="AN1277">
            <v>13116</v>
          </cell>
          <cell r="AO1277">
            <v>2</v>
          </cell>
          <cell r="AQ1277">
            <v>0</v>
          </cell>
          <cell r="AR1277">
            <v>11</v>
          </cell>
          <cell r="AS1277">
            <v>3</v>
          </cell>
          <cell r="AT1277">
            <v>4</v>
          </cell>
          <cell r="AU1277">
            <v>0</v>
          </cell>
          <cell r="AV1277">
            <v>15</v>
          </cell>
          <cell r="AW1277">
            <v>15</v>
          </cell>
          <cell r="AX1277">
            <v>2</v>
          </cell>
          <cell r="AY1277">
            <v>3</v>
          </cell>
          <cell r="AZ1277">
            <v>2</v>
          </cell>
          <cell r="BA1277">
            <v>2</v>
          </cell>
          <cell r="BB1277">
            <v>2</v>
          </cell>
          <cell r="BC1277">
            <v>2</v>
          </cell>
          <cell r="BD1277">
            <v>2</v>
          </cell>
          <cell r="BE1277">
            <v>2</v>
          </cell>
          <cell r="BF1277">
            <v>2</v>
          </cell>
          <cell r="BG1277">
            <v>6</v>
          </cell>
          <cell r="BH1277">
            <v>0</v>
          </cell>
          <cell r="BI1277">
            <v>1</v>
          </cell>
          <cell r="BJ1277">
            <v>0</v>
          </cell>
          <cell r="BK1277">
            <v>0</v>
          </cell>
          <cell r="BL1277">
            <v>0</v>
          </cell>
          <cell r="BM1277">
            <v>0</v>
          </cell>
          <cell r="BN1277">
            <v>1</v>
          </cell>
          <cell r="BO1277">
            <v>0</v>
          </cell>
          <cell r="BP1277">
            <v>0</v>
          </cell>
          <cell r="BQ1277">
            <v>2</v>
          </cell>
          <cell r="BR1277">
            <v>0</v>
          </cell>
          <cell r="BS1277">
            <v>0</v>
          </cell>
          <cell r="BT1277">
            <v>15</v>
          </cell>
          <cell r="BU1277">
            <v>0</v>
          </cell>
        </row>
        <row r="1278">
          <cell r="A1278">
            <v>37</v>
          </cell>
          <cell r="B1278">
            <v>37</v>
          </cell>
          <cell r="D1278">
            <v>0</v>
          </cell>
          <cell r="F1278">
            <v>0</v>
          </cell>
          <cell r="G1278">
            <v>1</v>
          </cell>
          <cell r="I1278">
            <v>0</v>
          </cell>
          <cell r="J1278">
            <v>1</v>
          </cell>
          <cell r="K1278">
            <v>9</v>
          </cell>
          <cell r="L1278">
            <v>9</v>
          </cell>
          <cell r="M1278">
            <v>2</v>
          </cell>
          <cell r="O1278">
            <v>0</v>
          </cell>
          <cell r="P1278">
            <v>0</v>
          </cell>
          <cell r="Q1278">
            <v>0</v>
          </cell>
          <cell r="R1278">
            <v>1</v>
          </cell>
          <cell r="S1278">
            <v>0</v>
          </cell>
          <cell r="T1278">
            <v>2</v>
          </cell>
          <cell r="V1278">
            <v>0</v>
          </cell>
          <cell r="W1278">
            <v>46</v>
          </cell>
          <cell r="X1278">
            <v>2</v>
          </cell>
          <cell r="Y1278">
            <v>2</v>
          </cell>
          <cell r="AA1278">
            <v>0</v>
          </cell>
          <cell r="AB1278">
            <v>1</v>
          </cell>
          <cell r="AC1278">
            <v>0</v>
          </cell>
          <cell r="AD1278">
            <v>0</v>
          </cell>
          <cell r="AE1278">
            <v>0</v>
          </cell>
          <cell r="AF1278">
            <v>0</v>
          </cell>
          <cell r="AG1278">
            <v>0</v>
          </cell>
          <cell r="AH1278">
            <v>0</v>
          </cell>
          <cell r="AI1278">
            <v>2</v>
          </cell>
          <cell r="AK1278">
            <v>0</v>
          </cell>
          <cell r="AL1278">
            <v>1</v>
          </cell>
          <cell r="AN1278">
            <v>4189</v>
          </cell>
          <cell r="AO1278">
            <v>1</v>
          </cell>
          <cell r="AQ1278">
            <v>0</v>
          </cell>
          <cell r="AR1278">
            <v>14</v>
          </cell>
          <cell r="AS1278">
            <v>3</v>
          </cell>
          <cell r="AT1278">
            <v>1</v>
          </cell>
          <cell r="AU1278">
            <v>2</v>
          </cell>
          <cell r="AV1278">
            <v>5</v>
          </cell>
          <cell r="AW1278">
            <v>5</v>
          </cell>
          <cell r="AX1278">
            <v>2</v>
          </cell>
          <cell r="AY1278">
            <v>3</v>
          </cell>
          <cell r="AZ1278">
            <v>5</v>
          </cell>
          <cell r="BA1278">
            <v>5</v>
          </cell>
          <cell r="BB1278">
            <v>2</v>
          </cell>
          <cell r="BC1278">
            <v>0</v>
          </cell>
          <cell r="BD1278">
            <v>0</v>
          </cell>
          <cell r="BE1278">
            <v>3</v>
          </cell>
          <cell r="BF1278">
            <v>3</v>
          </cell>
          <cell r="BG1278">
            <v>6</v>
          </cell>
          <cell r="BH1278">
            <v>0</v>
          </cell>
          <cell r="BI1278">
            <v>1</v>
          </cell>
          <cell r="BJ1278">
            <v>0</v>
          </cell>
          <cell r="BK1278">
            <v>0</v>
          </cell>
          <cell r="BL1278">
            <v>0</v>
          </cell>
          <cell r="BM1278">
            <v>0</v>
          </cell>
          <cell r="BN1278">
            <v>1</v>
          </cell>
          <cell r="BO1278">
            <v>0</v>
          </cell>
          <cell r="BP1278">
            <v>0</v>
          </cell>
          <cell r="BQ1278">
            <v>0</v>
          </cell>
          <cell r="BR1278">
            <v>3</v>
          </cell>
          <cell r="BS1278">
            <v>0</v>
          </cell>
          <cell r="BT1278">
            <v>0</v>
          </cell>
          <cell r="BU1278">
            <v>5</v>
          </cell>
        </row>
        <row r="1279">
          <cell r="A1279">
            <v>46</v>
          </cell>
          <cell r="B1279">
            <v>46</v>
          </cell>
          <cell r="D1279">
            <v>0</v>
          </cell>
          <cell r="F1279">
            <v>0</v>
          </cell>
          <cell r="G1279">
            <v>1</v>
          </cell>
          <cell r="I1279">
            <v>1</v>
          </cell>
          <cell r="J1279">
            <v>0</v>
          </cell>
          <cell r="K1279">
            <v>2</v>
          </cell>
          <cell r="L1279">
            <v>2</v>
          </cell>
          <cell r="M1279">
            <v>4</v>
          </cell>
          <cell r="O1279">
            <v>0</v>
          </cell>
          <cell r="P1279">
            <v>0</v>
          </cell>
          <cell r="Q1279">
            <v>1</v>
          </cell>
          <cell r="R1279">
            <v>0</v>
          </cell>
          <cell r="S1279">
            <v>0</v>
          </cell>
          <cell r="T1279">
            <v>3</v>
          </cell>
          <cell r="V1279">
            <v>0</v>
          </cell>
          <cell r="W1279">
            <v>46</v>
          </cell>
          <cell r="X1279">
            <v>3</v>
          </cell>
          <cell r="Y1279">
            <v>5</v>
          </cell>
          <cell r="AA1279">
            <v>0</v>
          </cell>
          <cell r="AB1279">
            <v>0</v>
          </cell>
          <cell r="AC1279">
            <v>0</v>
          </cell>
          <cell r="AD1279">
            <v>0</v>
          </cell>
          <cell r="AE1279">
            <v>0</v>
          </cell>
          <cell r="AF1279">
            <v>0</v>
          </cell>
          <cell r="AG1279">
            <v>0</v>
          </cell>
          <cell r="AH1279">
            <v>0</v>
          </cell>
          <cell r="AI1279">
            <v>4</v>
          </cell>
          <cell r="AK1279">
            <v>0</v>
          </cell>
          <cell r="AL1279">
            <v>0</v>
          </cell>
          <cell r="AN1279">
            <v>19328</v>
          </cell>
          <cell r="AO1279">
            <v>7</v>
          </cell>
          <cell r="AQ1279">
            <v>1</v>
          </cell>
          <cell r="AR1279">
            <v>17</v>
          </cell>
          <cell r="AS1279">
            <v>3</v>
          </cell>
          <cell r="AT1279">
            <v>3</v>
          </cell>
          <cell r="AU1279">
            <v>1</v>
          </cell>
          <cell r="AV1279">
            <v>24</v>
          </cell>
          <cell r="AW1279">
            <v>24</v>
          </cell>
          <cell r="AX1279">
            <v>3</v>
          </cell>
          <cell r="AY1279">
            <v>3</v>
          </cell>
          <cell r="AZ1279">
            <v>2</v>
          </cell>
          <cell r="BA1279">
            <v>2</v>
          </cell>
          <cell r="BB1279">
            <v>1</v>
          </cell>
          <cell r="BC1279">
            <v>2</v>
          </cell>
          <cell r="BD1279">
            <v>2</v>
          </cell>
          <cell r="BE1279">
            <v>2</v>
          </cell>
          <cell r="BF1279">
            <v>2</v>
          </cell>
          <cell r="BG1279">
            <v>10</v>
          </cell>
          <cell r="BH1279">
            <v>1</v>
          </cell>
          <cell r="BI1279">
            <v>0</v>
          </cell>
          <cell r="BJ1279">
            <v>0</v>
          </cell>
          <cell r="BK1279">
            <v>0</v>
          </cell>
          <cell r="BL1279">
            <v>0</v>
          </cell>
          <cell r="BM1279">
            <v>1</v>
          </cell>
          <cell r="BN1279">
            <v>0</v>
          </cell>
          <cell r="BO1279">
            <v>0</v>
          </cell>
          <cell r="BP1279">
            <v>0</v>
          </cell>
          <cell r="BQ1279">
            <v>2</v>
          </cell>
          <cell r="BR1279">
            <v>0</v>
          </cell>
          <cell r="BS1279">
            <v>0</v>
          </cell>
          <cell r="BT1279">
            <v>24</v>
          </cell>
          <cell r="BU1279">
            <v>0</v>
          </cell>
        </row>
        <row r="1280">
          <cell r="A1280">
            <v>36</v>
          </cell>
          <cell r="B1280">
            <v>36</v>
          </cell>
          <cell r="D1280">
            <v>0</v>
          </cell>
          <cell r="F1280">
            <v>0</v>
          </cell>
          <cell r="G1280">
            <v>1</v>
          </cell>
          <cell r="I1280">
            <v>1</v>
          </cell>
          <cell r="J1280">
            <v>0</v>
          </cell>
          <cell r="K1280">
            <v>10</v>
          </cell>
          <cell r="L1280">
            <v>10</v>
          </cell>
          <cell r="M1280">
            <v>3</v>
          </cell>
          <cell r="O1280">
            <v>1</v>
          </cell>
          <cell r="P1280">
            <v>0</v>
          </cell>
          <cell r="Q1280">
            <v>0</v>
          </cell>
          <cell r="R1280">
            <v>0</v>
          </cell>
          <cell r="S1280">
            <v>0</v>
          </cell>
          <cell r="T1280">
            <v>4</v>
          </cell>
          <cell r="V1280">
            <v>0</v>
          </cell>
          <cell r="W1280">
            <v>90</v>
          </cell>
          <cell r="X1280">
            <v>3</v>
          </cell>
          <cell r="Y1280">
            <v>3</v>
          </cell>
          <cell r="AA1280">
            <v>1</v>
          </cell>
          <cell r="AB1280">
            <v>0</v>
          </cell>
          <cell r="AC1280">
            <v>0</v>
          </cell>
          <cell r="AD1280">
            <v>0</v>
          </cell>
          <cell r="AE1280">
            <v>0</v>
          </cell>
          <cell r="AF1280">
            <v>0</v>
          </cell>
          <cell r="AG1280">
            <v>0</v>
          </cell>
          <cell r="AH1280">
            <v>0</v>
          </cell>
          <cell r="AI1280">
            <v>1</v>
          </cell>
          <cell r="AK1280">
            <v>0</v>
          </cell>
          <cell r="AL1280">
            <v>1</v>
          </cell>
          <cell r="AN1280">
            <v>8321</v>
          </cell>
          <cell r="AO1280">
            <v>7</v>
          </cell>
          <cell r="AQ1280">
            <v>1</v>
          </cell>
          <cell r="AR1280">
            <v>13</v>
          </cell>
          <cell r="AS1280">
            <v>3</v>
          </cell>
          <cell r="AT1280">
            <v>4</v>
          </cell>
          <cell r="AU1280">
            <v>1</v>
          </cell>
          <cell r="AV1280">
            <v>15</v>
          </cell>
          <cell r="AW1280">
            <v>15</v>
          </cell>
          <cell r="AX1280">
            <v>1</v>
          </cell>
          <cell r="AY1280">
            <v>3</v>
          </cell>
          <cell r="AZ1280">
            <v>12</v>
          </cell>
          <cell r="BA1280">
            <v>12</v>
          </cell>
          <cell r="BB1280">
            <v>8</v>
          </cell>
          <cell r="BC1280">
            <v>5</v>
          </cell>
          <cell r="BD1280">
            <v>5</v>
          </cell>
          <cell r="BE1280">
            <v>7</v>
          </cell>
          <cell r="BF1280">
            <v>7</v>
          </cell>
          <cell r="BG1280">
            <v>21</v>
          </cell>
          <cell r="BH1280">
            <v>0</v>
          </cell>
          <cell r="BI1280">
            <v>1</v>
          </cell>
          <cell r="BJ1280">
            <v>0</v>
          </cell>
          <cell r="BK1280">
            <v>0</v>
          </cell>
          <cell r="BL1280">
            <v>0</v>
          </cell>
          <cell r="BM1280">
            <v>0</v>
          </cell>
          <cell r="BN1280">
            <v>0</v>
          </cell>
          <cell r="BO1280">
            <v>1</v>
          </cell>
          <cell r="BP1280">
            <v>0</v>
          </cell>
          <cell r="BQ1280">
            <v>7</v>
          </cell>
          <cell r="BR1280">
            <v>0</v>
          </cell>
          <cell r="BS1280">
            <v>0</v>
          </cell>
          <cell r="BT1280">
            <v>15</v>
          </cell>
          <cell r="BU1280">
            <v>0</v>
          </cell>
        </row>
        <row r="1281">
          <cell r="A1281">
            <v>44</v>
          </cell>
          <cell r="B1281">
            <v>44</v>
          </cell>
          <cell r="D1281">
            <v>1</v>
          </cell>
          <cell r="F1281">
            <v>1</v>
          </cell>
          <cell r="G1281">
            <v>0</v>
          </cell>
          <cell r="I1281">
            <v>1</v>
          </cell>
          <cell r="J1281">
            <v>0</v>
          </cell>
          <cell r="K1281">
            <v>1</v>
          </cell>
          <cell r="L1281">
            <v>1</v>
          </cell>
          <cell r="M1281">
            <v>2</v>
          </cell>
          <cell r="O1281">
            <v>0</v>
          </cell>
          <cell r="P1281">
            <v>0</v>
          </cell>
          <cell r="Q1281">
            <v>1</v>
          </cell>
          <cell r="R1281">
            <v>0</v>
          </cell>
          <cell r="S1281">
            <v>0</v>
          </cell>
          <cell r="T1281">
            <v>3</v>
          </cell>
          <cell r="V1281">
            <v>0</v>
          </cell>
          <cell r="W1281">
            <v>99</v>
          </cell>
          <cell r="X1281">
            <v>3</v>
          </cell>
          <cell r="Y1281">
            <v>1</v>
          </cell>
          <cell r="AA1281">
            <v>0</v>
          </cell>
          <cell r="AB1281">
            <v>0</v>
          </cell>
          <cell r="AC1281">
            <v>0</v>
          </cell>
          <cell r="AD1281">
            <v>0</v>
          </cell>
          <cell r="AE1281">
            <v>0</v>
          </cell>
          <cell r="AF1281">
            <v>0</v>
          </cell>
          <cell r="AG1281">
            <v>0</v>
          </cell>
          <cell r="AH1281">
            <v>1</v>
          </cell>
          <cell r="AI1281">
            <v>2</v>
          </cell>
          <cell r="AK1281">
            <v>0</v>
          </cell>
          <cell r="AL1281">
            <v>0</v>
          </cell>
          <cell r="AN1281">
            <v>2342</v>
          </cell>
          <cell r="AO1281">
            <v>1</v>
          </cell>
          <cell r="AQ1281">
            <v>1</v>
          </cell>
          <cell r="AR1281">
            <v>12</v>
          </cell>
          <cell r="AS1281">
            <v>3</v>
          </cell>
          <cell r="AT1281">
            <v>3</v>
          </cell>
          <cell r="AU1281">
            <v>3</v>
          </cell>
          <cell r="AV1281">
            <v>6</v>
          </cell>
          <cell r="AW1281">
            <v>6</v>
          </cell>
          <cell r="AX1281">
            <v>2</v>
          </cell>
          <cell r="AY1281">
            <v>2</v>
          </cell>
          <cell r="AZ1281">
            <v>5</v>
          </cell>
          <cell r="BA1281">
            <v>5</v>
          </cell>
          <cell r="BB1281">
            <v>3</v>
          </cell>
          <cell r="BC1281">
            <v>2</v>
          </cell>
          <cell r="BD1281">
            <v>2</v>
          </cell>
          <cell r="BE1281">
            <v>3</v>
          </cell>
          <cell r="BF1281">
            <v>3</v>
          </cell>
          <cell r="BG1281">
            <v>3</v>
          </cell>
          <cell r="BH1281">
            <v>0</v>
          </cell>
          <cell r="BI1281">
            <v>0</v>
          </cell>
          <cell r="BJ1281">
            <v>1</v>
          </cell>
          <cell r="BK1281">
            <v>0</v>
          </cell>
          <cell r="BL1281">
            <v>0</v>
          </cell>
          <cell r="BM1281">
            <v>1</v>
          </cell>
          <cell r="BN1281">
            <v>0</v>
          </cell>
          <cell r="BO1281">
            <v>0</v>
          </cell>
          <cell r="BP1281">
            <v>0</v>
          </cell>
          <cell r="BQ1281">
            <v>3</v>
          </cell>
          <cell r="BR1281">
            <v>0</v>
          </cell>
          <cell r="BS1281">
            <v>0</v>
          </cell>
          <cell r="BT1281">
            <v>6</v>
          </cell>
          <cell r="BU1281">
            <v>0</v>
          </cell>
        </row>
        <row r="1282">
          <cell r="A1282">
            <v>37</v>
          </cell>
          <cell r="B1282">
            <v>37</v>
          </cell>
          <cell r="D1282">
            <v>0</v>
          </cell>
          <cell r="F1282">
            <v>0</v>
          </cell>
          <cell r="G1282">
            <v>1</v>
          </cell>
          <cell r="I1282">
            <v>0</v>
          </cell>
          <cell r="J1282">
            <v>0</v>
          </cell>
          <cell r="K1282">
            <v>8</v>
          </cell>
          <cell r="L1282">
            <v>8</v>
          </cell>
          <cell r="M1282">
            <v>2</v>
          </cell>
          <cell r="O1282">
            <v>0</v>
          </cell>
          <cell r="P1282">
            <v>1</v>
          </cell>
          <cell r="Q1282">
            <v>0</v>
          </cell>
          <cell r="R1282">
            <v>0</v>
          </cell>
          <cell r="S1282">
            <v>0</v>
          </cell>
          <cell r="T1282">
            <v>3</v>
          </cell>
          <cell r="V1282">
            <v>0</v>
          </cell>
          <cell r="W1282">
            <v>89</v>
          </cell>
          <cell r="X1282">
            <v>3</v>
          </cell>
          <cell r="Y1282">
            <v>2</v>
          </cell>
          <cell r="AA1282">
            <v>0</v>
          </cell>
          <cell r="AB1282">
            <v>0</v>
          </cell>
          <cell r="AC1282">
            <v>0</v>
          </cell>
          <cell r="AD1282">
            <v>0</v>
          </cell>
          <cell r="AE1282">
            <v>0</v>
          </cell>
          <cell r="AF1282">
            <v>0</v>
          </cell>
          <cell r="AG1282">
            <v>0</v>
          </cell>
          <cell r="AH1282">
            <v>0</v>
          </cell>
          <cell r="AI1282">
            <v>2</v>
          </cell>
          <cell r="AK1282">
            <v>0</v>
          </cell>
          <cell r="AL1282">
            <v>0</v>
          </cell>
          <cell r="AN1282">
            <v>4071</v>
          </cell>
          <cell r="AO1282">
            <v>2</v>
          </cell>
          <cell r="AQ1282">
            <v>0</v>
          </cell>
          <cell r="AR1282">
            <v>13</v>
          </cell>
          <cell r="AS1282">
            <v>3</v>
          </cell>
          <cell r="AT1282">
            <v>3</v>
          </cell>
          <cell r="AU1282">
            <v>0</v>
          </cell>
          <cell r="AV1282">
            <v>19</v>
          </cell>
          <cell r="AW1282">
            <v>19</v>
          </cell>
          <cell r="AX1282">
            <v>4</v>
          </cell>
          <cell r="AY1282">
            <v>2</v>
          </cell>
          <cell r="AZ1282">
            <v>10</v>
          </cell>
          <cell r="BA1282">
            <v>10</v>
          </cell>
          <cell r="BB1282">
            <v>0</v>
          </cell>
          <cell r="BC1282">
            <v>4</v>
          </cell>
          <cell r="BD1282">
            <v>4</v>
          </cell>
          <cell r="BE1282">
            <v>7</v>
          </cell>
          <cell r="BF1282">
            <v>7</v>
          </cell>
          <cell r="BG1282">
            <v>14</v>
          </cell>
          <cell r="BH1282">
            <v>1</v>
          </cell>
          <cell r="BI1282">
            <v>0</v>
          </cell>
          <cell r="BJ1282">
            <v>0</v>
          </cell>
          <cell r="BK1282">
            <v>0</v>
          </cell>
          <cell r="BL1282">
            <v>1</v>
          </cell>
          <cell r="BM1282">
            <v>0</v>
          </cell>
          <cell r="BN1282">
            <v>0</v>
          </cell>
          <cell r="BO1282">
            <v>0</v>
          </cell>
          <cell r="BP1282">
            <v>7</v>
          </cell>
          <cell r="BQ1282">
            <v>0</v>
          </cell>
          <cell r="BR1282">
            <v>0</v>
          </cell>
          <cell r="BS1282">
            <v>19</v>
          </cell>
          <cell r="BT1282">
            <v>0</v>
          </cell>
          <cell r="BU1282">
            <v>0</v>
          </cell>
        </row>
        <row r="1283">
          <cell r="A1283">
            <v>35</v>
          </cell>
          <cell r="B1283">
            <v>35</v>
          </cell>
          <cell r="D1283">
            <v>1</v>
          </cell>
          <cell r="F1283">
            <v>0</v>
          </cell>
          <cell r="G1283">
            <v>1</v>
          </cell>
          <cell r="I1283">
            <v>0</v>
          </cell>
          <cell r="J1283">
            <v>1</v>
          </cell>
          <cell r="K1283">
            <v>27</v>
          </cell>
          <cell r="L1283">
            <v>27</v>
          </cell>
          <cell r="M1283">
            <v>3</v>
          </cell>
          <cell r="O1283">
            <v>1</v>
          </cell>
          <cell r="P1283">
            <v>0</v>
          </cell>
          <cell r="Q1283">
            <v>0</v>
          </cell>
          <cell r="R1283">
            <v>0</v>
          </cell>
          <cell r="S1283">
            <v>0</v>
          </cell>
          <cell r="T1283">
            <v>3</v>
          </cell>
          <cell r="V1283">
            <v>0</v>
          </cell>
          <cell r="W1283">
            <v>84</v>
          </cell>
          <cell r="X1283">
            <v>3</v>
          </cell>
          <cell r="Y1283">
            <v>2</v>
          </cell>
          <cell r="AA1283">
            <v>0</v>
          </cell>
          <cell r="AB1283">
            <v>1</v>
          </cell>
          <cell r="AC1283">
            <v>0</v>
          </cell>
          <cell r="AD1283">
            <v>0</v>
          </cell>
          <cell r="AE1283">
            <v>0</v>
          </cell>
          <cell r="AF1283">
            <v>0</v>
          </cell>
          <cell r="AG1283">
            <v>0</v>
          </cell>
          <cell r="AH1283">
            <v>0</v>
          </cell>
          <cell r="AI1283">
            <v>4</v>
          </cell>
          <cell r="AK1283">
            <v>1</v>
          </cell>
          <cell r="AL1283">
            <v>0</v>
          </cell>
          <cell r="AN1283">
            <v>5813</v>
          </cell>
          <cell r="AO1283">
            <v>1</v>
          </cell>
          <cell r="AQ1283">
            <v>1</v>
          </cell>
          <cell r="AR1283">
            <v>18</v>
          </cell>
          <cell r="AS1283">
            <v>3</v>
          </cell>
          <cell r="AT1283">
            <v>4</v>
          </cell>
          <cell r="AU1283">
            <v>0</v>
          </cell>
          <cell r="AV1283">
            <v>10</v>
          </cell>
          <cell r="AW1283">
            <v>10</v>
          </cell>
          <cell r="AX1283">
            <v>2</v>
          </cell>
          <cell r="AY1283">
            <v>3</v>
          </cell>
          <cell r="AZ1283">
            <v>10</v>
          </cell>
          <cell r="BA1283">
            <v>10</v>
          </cell>
          <cell r="BB1283">
            <v>7</v>
          </cell>
          <cell r="BC1283">
            <v>7</v>
          </cell>
          <cell r="BD1283">
            <v>7</v>
          </cell>
          <cell r="BE1283">
            <v>7</v>
          </cell>
          <cell r="BF1283">
            <v>7</v>
          </cell>
          <cell r="BG1283">
            <v>14</v>
          </cell>
          <cell r="BH1283">
            <v>1</v>
          </cell>
          <cell r="BI1283">
            <v>0</v>
          </cell>
          <cell r="BJ1283">
            <v>0</v>
          </cell>
          <cell r="BK1283">
            <v>0</v>
          </cell>
          <cell r="BL1283">
            <v>0</v>
          </cell>
          <cell r="BM1283">
            <v>1</v>
          </cell>
          <cell r="BN1283">
            <v>0</v>
          </cell>
          <cell r="BO1283">
            <v>0</v>
          </cell>
          <cell r="BP1283">
            <v>0</v>
          </cell>
          <cell r="BQ1283">
            <v>0</v>
          </cell>
          <cell r="BR1283">
            <v>7</v>
          </cell>
          <cell r="BS1283">
            <v>0</v>
          </cell>
          <cell r="BT1283">
            <v>0</v>
          </cell>
          <cell r="BU1283">
            <v>10</v>
          </cell>
        </row>
        <row r="1284">
          <cell r="A1284">
            <v>33</v>
          </cell>
          <cell r="B1284">
            <v>33</v>
          </cell>
          <cell r="D1284">
            <v>0</v>
          </cell>
          <cell r="F1284">
            <v>0</v>
          </cell>
          <cell r="G1284">
            <v>1</v>
          </cell>
          <cell r="I1284">
            <v>1</v>
          </cell>
          <cell r="J1284">
            <v>0</v>
          </cell>
          <cell r="K1284">
            <v>8</v>
          </cell>
          <cell r="L1284">
            <v>8</v>
          </cell>
          <cell r="M1284">
            <v>4</v>
          </cell>
          <cell r="O1284">
            <v>1</v>
          </cell>
          <cell r="P1284">
            <v>0</v>
          </cell>
          <cell r="Q1284">
            <v>0</v>
          </cell>
          <cell r="R1284">
            <v>0</v>
          </cell>
          <cell r="S1284">
            <v>0</v>
          </cell>
          <cell r="T1284">
            <v>4</v>
          </cell>
          <cell r="V1284">
            <v>0</v>
          </cell>
          <cell r="W1284">
            <v>90</v>
          </cell>
          <cell r="X1284">
            <v>4</v>
          </cell>
          <cell r="Y1284">
            <v>1</v>
          </cell>
          <cell r="AA1284">
            <v>0</v>
          </cell>
          <cell r="AB1284">
            <v>0</v>
          </cell>
          <cell r="AC1284">
            <v>0</v>
          </cell>
          <cell r="AD1284">
            <v>0</v>
          </cell>
          <cell r="AE1284">
            <v>0</v>
          </cell>
          <cell r="AF1284">
            <v>0</v>
          </cell>
          <cell r="AG1284">
            <v>0</v>
          </cell>
          <cell r="AH1284">
            <v>1</v>
          </cell>
          <cell r="AI1284">
            <v>1</v>
          </cell>
          <cell r="AK1284">
            <v>0</v>
          </cell>
          <cell r="AL1284">
            <v>1</v>
          </cell>
          <cell r="AN1284">
            <v>3143</v>
          </cell>
          <cell r="AO1284">
            <v>6</v>
          </cell>
          <cell r="AQ1284">
            <v>0</v>
          </cell>
          <cell r="AR1284">
            <v>19</v>
          </cell>
          <cell r="AS1284">
            <v>3</v>
          </cell>
          <cell r="AT1284">
            <v>2</v>
          </cell>
          <cell r="AU1284">
            <v>1</v>
          </cell>
          <cell r="AV1284">
            <v>14</v>
          </cell>
          <cell r="AW1284">
            <v>14</v>
          </cell>
          <cell r="AX1284">
            <v>1</v>
          </cell>
          <cell r="AY1284">
            <v>3</v>
          </cell>
          <cell r="AZ1284">
            <v>10</v>
          </cell>
          <cell r="BA1284">
            <v>10</v>
          </cell>
          <cell r="BB1284">
            <v>8</v>
          </cell>
          <cell r="BC1284">
            <v>7</v>
          </cell>
          <cell r="BD1284">
            <v>7</v>
          </cell>
          <cell r="BE1284">
            <v>6</v>
          </cell>
          <cell r="BF1284">
            <v>6</v>
          </cell>
          <cell r="BG1284">
            <v>6</v>
          </cell>
          <cell r="BH1284">
            <v>0</v>
          </cell>
          <cell r="BI1284">
            <v>1</v>
          </cell>
          <cell r="BJ1284">
            <v>0</v>
          </cell>
          <cell r="BK1284">
            <v>0</v>
          </cell>
          <cell r="BL1284">
            <v>0</v>
          </cell>
          <cell r="BM1284">
            <v>0</v>
          </cell>
          <cell r="BN1284">
            <v>1</v>
          </cell>
          <cell r="BO1284">
            <v>0</v>
          </cell>
          <cell r="BP1284">
            <v>0</v>
          </cell>
          <cell r="BQ1284">
            <v>6</v>
          </cell>
          <cell r="BR1284">
            <v>0</v>
          </cell>
          <cell r="BS1284">
            <v>0</v>
          </cell>
          <cell r="BT1284">
            <v>14</v>
          </cell>
          <cell r="BU1284">
            <v>0</v>
          </cell>
        </row>
        <row r="1285">
          <cell r="A1285">
            <v>28</v>
          </cell>
          <cell r="B1285">
            <v>28</v>
          </cell>
          <cell r="D1285">
            <v>0</v>
          </cell>
          <cell r="F1285">
            <v>0</v>
          </cell>
          <cell r="G1285">
            <v>1</v>
          </cell>
          <cell r="I1285">
            <v>1</v>
          </cell>
          <cell r="J1285">
            <v>0</v>
          </cell>
          <cell r="K1285">
            <v>1</v>
          </cell>
          <cell r="L1285">
            <v>1</v>
          </cell>
          <cell r="M1285">
            <v>3</v>
          </cell>
          <cell r="O1285">
            <v>1</v>
          </cell>
          <cell r="P1285">
            <v>0</v>
          </cell>
          <cell r="Q1285">
            <v>0</v>
          </cell>
          <cell r="R1285">
            <v>0</v>
          </cell>
          <cell r="S1285">
            <v>0</v>
          </cell>
          <cell r="T1285">
            <v>3</v>
          </cell>
          <cell r="V1285">
            <v>0</v>
          </cell>
          <cell r="W1285">
            <v>82</v>
          </cell>
          <cell r="X1285">
            <v>3</v>
          </cell>
          <cell r="Y1285">
            <v>1</v>
          </cell>
          <cell r="AA1285">
            <v>0</v>
          </cell>
          <cell r="AB1285">
            <v>0</v>
          </cell>
          <cell r="AC1285">
            <v>0</v>
          </cell>
          <cell r="AD1285">
            <v>0</v>
          </cell>
          <cell r="AE1285">
            <v>0</v>
          </cell>
          <cell r="AF1285">
            <v>0</v>
          </cell>
          <cell r="AG1285">
            <v>0</v>
          </cell>
          <cell r="AH1285">
            <v>1</v>
          </cell>
          <cell r="AI1285">
            <v>4</v>
          </cell>
          <cell r="AK1285">
            <v>0</v>
          </cell>
          <cell r="AL1285">
            <v>1</v>
          </cell>
          <cell r="AN1285">
            <v>2044</v>
          </cell>
          <cell r="AO1285">
            <v>1</v>
          </cell>
          <cell r="AQ1285">
            <v>0</v>
          </cell>
          <cell r="AR1285">
            <v>11</v>
          </cell>
          <cell r="AS1285">
            <v>3</v>
          </cell>
          <cell r="AT1285">
            <v>3</v>
          </cell>
          <cell r="AU1285">
            <v>1</v>
          </cell>
          <cell r="AV1285">
            <v>5</v>
          </cell>
          <cell r="AW1285">
            <v>5</v>
          </cell>
          <cell r="AX1285">
            <v>6</v>
          </cell>
          <cell r="AY1285">
            <v>4</v>
          </cell>
          <cell r="AZ1285">
            <v>5</v>
          </cell>
          <cell r="BA1285">
            <v>5</v>
          </cell>
          <cell r="BB1285">
            <v>3</v>
          </cell>
          <cell r="BC1285">
            <v>0</v>
          </cell>
          <cell r="BD1285">
            <v>0</v>
          </cell>
          <cell r="BE1285">
            <v>3</v>
          </cell>
          <cell r="BF1285">
            <v>3</v>
          </cell>
          <cell r="BG1285">
            <v>3</v>
          </cell>
          <cell r="BH1285">
            <v>0</v>
          </cell>
          <cell r="BI1285">
            <v>1</v>
          </cell>
          <cell r="BJ1285">
            <v>0</v>
          </cell>
          <cell r="BK1285">
            <v>0</v>
          </cell>
          <cell r="BL1285">
            <v>0</v>
          </cell>
          <cell r="BM1285">
            <v>0</v>
          </cell>
          <cell r="BN1285">
            <v>1</v>
          </cell>
          <cell r="BO1285">
            <v>0</v>
          </cell>
          <cell r="BP1285">
            <v>0</v>
          </cell>
          <cell r="BQ1285">
            <v>3</v>
          </cell>
          <cell r="BR1285">
            <v>0</v>
          </cell>
          <cell r="BS1285">
            <v>0</v>
          </cell>
          <cell r="BT1285">
            <v>5</v>
          </cell>
          <cell r="BU1285">
            <v>0</v>
          </cell>
        </row>
        <row r="1286">
          <cell r="A1286">
            <v>39</v>
          </cell>
          <cell r="B1286">
            <v>39</v>
          </cell>
          <cell r="D1286">
            <v>0</v>
          </cell>
          <cell r="F1286">
            <v>0</v>
          </cell>
          <cell r="G1286">
            <v>1</v>
          </cell>
          <cell r="I1286">
            <v>1</v>
          </cell>
          <cell r="J1286">
            <v>0</v>
          </cell>
          <cell r="K1286">
            <v>10</v>
          </cell>
          <cell r="L1286">
            <v>10</v>
          </cell>
          <cell r="M1286">
            <v>1</v>
          </cell>
          <cell r="O1286">
            <v>0</v>
          </cell>
          <cell r="P1286">
            <v>0</v>
          </cell>
          <cell r="Q1286">
            <v>1</v>
          </cell>
          <cell r="R1286">
            <v>0</v>
          </cell>
          <cell r="S1286">
            <v>0</v>
          </cell>
          <cell r="T1286">
            <v>3</v>
          </cell>
          <cell r="V1286">
            <v>0</v>
          </cell>
          <cell r="W1286">
            <v>65</v>
          </cell>
          <cell r="X1286">
            <v>3</v>
          </cell>
          <cell r="Y1286">
            <v>3</v>
          </cell>
          <cell r="AA1286">
            <v>0</v>
          </cell>
          <cell r="AB1286">
            <v>0</v>
          </cell>
          <cell r="AC1286">
            <v>0</v>
          </cell>
          <cell r="AD1286">
            <v>0</v>
          </cell>
          <cell r="AE1286">
            <v>0</v>
          </cell>
          <cell r="AF1286">
            <v>0</v>
          </cell>
          <cell r="AG1286">
            <v>0</v>
          </cell>
          <cell r="AH1286">
            <v>0</v>
          </cell>
          <cell r="AI1286">
            <v>3</v>
          </cell>
          <cell r="AK1286">
            <v>1</v>
          </cell>
          <cell r="AL1286">
            <v>0</v>
          </cell>
          <cell r="AN1286">
            <v>13464</v>
          </cell>
          <cell r="AO1286">
            <v>7</v>
          </cell>
          <cell r="AQ1286">
            <v>0</v>
          </cell>
          <cell r="AR1286">
            <v>21</v>
          </cell>
          <cell r="AS1286">
            <v>4</v>
          </cell>
          <cell r="AT1286">
            <v>3</v>
          </cell>
          <cell r="AU1286">
            <v>0</v>
          </cell>
          <cell r="AV1286">
            <v>9</v>
          </cell>
          <cell r="AW1286">
            <v>9</v>
          </cell>
          <cell r="AX1286">
            <v>3</v>
          </cell>
          <cell r="AY1286">
            <v>3</v>
          </cell>
          <cell r="AZ1286">
            <v>4</v>
          </cell>
          <cell r="BA1286">
            <v>4</v>
          </cell>
          <cell r="BB1286">
            <v>3</v>
          </cell>
          <cell r="BC1286">
            <v>2</v>
          </cell>
          <cell r="BD1286">
            <v>2</v>
          </cell>
          <cell r="BE1286">
            <v>2</v>
          </cell>
          <cell r="BF1286">
            <v>2</v>
          </cell>
          <cell r="BG1286">
            <v>6</v>
          </cell>
          <cell r="BH1286">
            <v>1</v>
          </cell>
          <cell r="BI1286">
            <v>0</v>
          </cell>
          <cell r="BJ1286">
            <v>0</v>
          </cell>
          <cell r="BK1286">
            <v>0</v>
          </cell>
          <cell r="BL1286">
            <v>1</v>
          </cell>
          <cell r="BM1286">
            <v>0</v>
          </cell>
          <cell r="BN1286">
            <v>0</v>
          </cell>
          <cell r="BO1286">
            <v>0</v>
          </cell>
          <cell r="BP1286">
            <v>0</v>
          </cell>
          <cell r="BQ1286">
            <v>2</v>
          </cell>
          <cell r="BR1286">
            <v>0</v>
          </cell>
          <cell r="BS1286">
            <v>0</v>
          </cell>
          <cell r="BT1286">
            <v>9</v>
          </cell>
          <cell r="BU1286">
            <v>0</v>
          </cell>
        </row>
        <row r="1287">
          <cell r="A1287">
            <v>46</v>
          </cell>
          <cell r="B1287">
            <v>46</v>
          </cell>
          <cell r="D1287">
            <v>0</v>
          </cell>
          <cell r="F1287">
            <v>0</v>
          </cell>
          <cell r="G1287">
            <v>0</v>
          </cell>
          <cell r="I1287">
            <v>0</v>
          </cell>
          <cell r="J1287">
            <v>1</v>
          </cell>
          <cell r="K1287">
            <v>26</v>
          </cell>
          <cell r="L1287">
            <v>26</v>
          </cell>
          <cell r="M1287">
            <v>2</v>
          </cell>
          <cell r="O1287">
            <v>1</v>
          </cell>
          <cell r="P1287">
            <v>0</v>
          </cell>
          <cell r="Q1287">
            <v>0</v>
          </cell>
          <cell r="R1287">
            <v>0</v>
          </cell>
          <cell r="S1287">
            <v>0</v>
          </cell>
          <cell r="T1287">
            <v>2</v>
          </cell>
          <cell r="V1287">
            <v>0</v>
          </cell>
          <cell r="W1287">
            <v>98</v>
          </cell>
          <cell r="X1287">
            <v>2</v>
          </cell>
          <cell r="Y1287">
            <v>2</v>
          </cell>
          <cell r="AA1287">
            <v>0</v>
          </cell>
          <cell r="AB1287">
            <v>1</v>
          </cell>
          <cell r="AC1287">
            <v>0</v>
          </cell>
          <cell r="AD1287">
            <v>0</v>
          </cell>
          <cell r="AE1287">
            <v>0</v>
          </cell>
          <cell r="AF1287">
            <v>0</v>
          </cell>
          <cell r="AG1287">
            <v>0</v>
          </cell>
          <cell r="AH1287">
            <v>0</v>
          </cell>
          <cell r="AI1287">
            <v>2</v>
          </cell>
          <cell r="AK1287">
            <v>1</v>
          </cell>
          <cell r="AL1287">
            <v>0</v>
          </cell>
          <cell r="AN1287">
            <v>7991</v>
          </cell>
          <cell r="AO1287">
            <v>8</v>
          </cell>
          <cell r="AQ1287">
            <v>0</v>
          </cell>
          <cell r="AR1287">
            <v>15</v>
          </cell>
          <cell r="AS1287">
            <v>3</v>
          </cell>
          <cell r="AT1287">
            <v>3</v>
          </cell>
          <cell r="AU1287">
            <v>0</v>
          </cell>
          <cell r="AV1287">
            <v>6</v>
          </cell>
          <cell r="AW1287">
            <v>6</v>
          </cell>
          <cell r="AX1287">
            <v>3</v>
          </cell>
          <cell r="AY1287">
            <v>3</v>
          </cell>
          <cell r="AZ1287">
            <v>2</v>
          </cell>
          <cell r="BA1287">
            <v>2</v>
          </cell>
          <cell r="BB1287">
            <v>2</v>
          </cell>
          <cell r="BC1287">
            <v>2</v>
          </cell>
          <cell r="BD1287">
            <v>2</v>
          </cell>
          <cell r="BE1287">
            <v>2</v>
          </cell>
          <cell r="BF1287">
            <v>2</v>
          </cell>
          <cell r="BG1287">
            <v>4</v>
          </cell>
          <cell r="BH1287">
            <v>1</v>
          </cell>
          <cell r="BI1287">
            <v>0</v>
          </cell>
          <cell r="BJ1287">
            <v>0</v>
          </cell>
          <cell r="BK1287">
            <v>0</v>
          </cell>
          <cell r="BL1287">
            <v>1</v>
          </cell>
          <cell r="BM1287">
            <v>0</v>
          </cell>
          <cell r="BN1287">
            <v>0</v>
          </cell>
          <cell r="BO1287">
            <v>0</v>
          </cell>
          <cell r="BP1287">
            <v>0</v>
          </cell>
          <cell r="BQ1287">
            <v>0</v>
          </cell>
          <cell r="BR1287">
            <v>2</v>
          </cell>
          <cell r="BS1287">
            <v>0</v>
          </cell>
          <cell r="BT1287">
            <v>0</v>
          </cell>
          <cell r="BU1287">
            <v>6</v>
          </cell>
        </row>
        <row r="1288">
          <cell r="A1288">
            <v>40</v>
          </cell>
          <cell r="B1288">
            <v>40</v>
          </cell>
          <cell r="D1288">
            <v>0</v>
          </cell>
          <cell r="F1288">
            <v>0</v>
          </cell>
          <cell r="G1288">
            <v>1</v>
          </cell>
          <cell r="I1288">
            <v>1</v>
          </cell>
          <cell r="J1288">
            <v>0</v>
          </cell>
          <cell r="K1288">
            <v>2</v>
          </cell>
          <cell r="L1288">
            <v>2</v>
          </cell>
          <cell r="M1288">
            <v>2</v>
          </cell>
          <cell r="O1288">
            <v>1</v>
          </cell>
          <cell r="P1288">
            <v>0</v>
          </cell>
          <cell r="Q1288">
            <v>0</v>
          </cell>
          <cell r="R1288">
            <v>0</v>
          </cell>
          <cell r="S1288">
            <v>0</v>
          </cell>
          <cell r="T1288">
            <v>3</v>
          </cell>
          <cell r="V1288">
            <v>1</v>
          </cell>
          <cell r="W1288">
            <v>99</v>
          </cell>
          <cell r="X1288">
            <v>3</v>
          </cell>
          <cell r="Y1288">
            <v>1</v>
          </cell>
          <cell r="AA1288">
            <v>0</v>
          </cell>
          <cell r="AB1288">
            <v>0</v>
          </cell>
          <cell r="AC1288">
            <v>1</v>
          </cell>
          <cell r="AD1288">
            <v>0</v>
          </cell>
          <cell r="AE1288">
            <v>0</v>
          </cell>
          <cell r="AF1288">
            <v>0</v>
          </cell>
          <cell r="AG1288">
            <v>0</v>
          </cell>
          <cell r="AH1288">
            <v>0</v>
          </cell>
          <cell r="AI1288">
            <v>1</v>
          </cell>
          <cell r="AK1288">
            <v>0</v>
          </cell>
          <cell r="AL1288">
            <v>1</v>
          </cell>
          <cell r="AN1288">
            <v>3377</v>
          </cell>
          <cell r="AO1288">
            <v>4</v>
          </cell>
          <cell r="AQ1288">
            <v>0</v>
          </cell>
          <cell r="AR1288">
            <v>17</v>
          </cell>
          <cell r="AS1288">
            <v>3</v>
          </cell>
          <cell r="AT1288">
            <v>4</v>
          </cell>
          <cell r="AU1288">
            <v>1</v>
          </cell>
          <cell r="AV1288">
            <v>7</v>
          </cell>
          <cell r="AW1288">
            <v>7</v>
          </cell>
          <cell r="AX1288">
            <v>5</v>
          </cell>
          <cell r="AY1288">
            <v>2</v>
          </cell>
          <cell r="AZ1288">
            <v>4</v>
          </cell>
          <cell r="BA1288">
            <v>4</v>
          </cell>
          <cell r="BB1288">
            <v>3</v>
          </cell>
          <cell r="BC1288">
            <v>0</v>
          </cell>
          <cell r="BD1288">
            <v>0</v>
          </cell>
          <cell r="BE1288">
            <v>2</v>
          </cell>
          <cell r="BF1288">
            <v>2</v>
          </cell>
          <cell r="BG1288">
            <v>2</v>
          </cell>
          <cell r="BH1288">
            <v>0</v>
          </cell>
          <cell r="BI1288">
            <v>1</v>
          </cell>
          <cell r="BJ1288">
            <v>0</v>
          </cell>
          <cell r="BK1288">
            <v>0</v>
          </cell>
          <cell r="BL1288">
            <v>0</v>
          </cell>
          <cell r="BM1288">
            <v>0</v>
          </cell>
          <cell r="BN1288">
            <v>1</v>
          </cell>
          <cell r="BO1288">
            <v>0</v>
          </cell>
          <cell r="BP1288">
            <v>0</v>
          </cell>
          <cell r="BQ1288">
            <v>2</v>
          </cell>
          <cell r="BR1288">
            <v>0</v>
          </cell>
          <cell r="BS1288">
            <v>0</v>
          </cell>
          <cell r="BT1288">
            <v>7</v>
          </cell>
          <cell r="BU1288">
            <v>0</v>
          </cell>
        </row>
        <row r="1289">
          <cell r="A1289">
            <v>42</v>
          </cell>
          <cell r="B1289">
            <v>42</v>
          </cell>
          <cell r="D1289">
            <v>0</v>
          </cell>
          <cell r="F1289">
            <v>0</v>
          </cell>
          <cell r="G1289">
            <v>1</v>
          </cell>
          <cell r="I1289">
            <v>1</v>
          </cell>
          <cell r="J1289">
            <v>0</v>
          </cell>
          <cell r="K1289">
            <v>13</v>
          </cell>
          <cell r="L1289">
            <v>13</v>
          </cell>
          <cell r="M1289">
            <v>3</v>
          </cell>
          <cell r="O1289">
            <v>0</v>
          </cell>
          <cell r="P1289">
            <v>0</v>
          </cell>
          <cell r="Q1289">
            <v>1</v>
          </cell>
          <cell r="R1289">
            <v>0</v>
          </cell>
          <cell r="S1289">
            <v>0</v>
          </cell>
          <cell r="T1289">
            <v>2</v>
          </cell>
          <cell r="V1289">
            <v>0</v>
          </cell>
          <cell r="W1289">
            <v>95</v>
          </cell>
          <cell r="X1289">
            <v>4</v>
          </cell>
          <cell r="Y1289">
            <v>2</v>
          </cell>
          <cell r="AA1289">
            <v>1</v>
          </cell>
          <cell r="AB1289">
            <v>0</v>
          </cell>
          <cell r="AC1289">
            <v>0</v>
          </cell>
          <cell r="AD1289">
            <v>0</v>
          </cell>
          <cell r="AE1289">
            <v>0</v>
          </cell>
          <cell r="AF1289">
            <v>0</v>
          </cell>
          <cell r="AG1289">
            <v>0</v>
          </cell>
          <cell r="AH1289">
            <v>0</v>
          </cell>
          <cell r="AI1289">
            <v>1</v>
          </cell>
          <cell r="AK1289">
            <v>0</v>
          </cell>
          <cell r="AL1289">
            <v>1</v>
          </cell>
          <cell r="AN1289">
            <v>5538</v>
          </cell>
          <cell r="AO1289">
            <v>5</v>
          </cell>
          <cell r="AQ1289">
            <v>0</v>
          </cell>
          <cell r="AR1289">
            <v>18</v>
          </cell>
          <cell r="AS1289">
            <v>3</v>
          </cell>
          <cell r="AT1289">
            <v>3</v>
          </cell>
          <cell r="AU1289">
            <v>2</v>
          </cell>
          <cell r="AV1289">
            <v>10</v>
          </cell>
          <cell r="AW1289">
            <v>10</v>
          </cell>
          <cell r="AX1289">
            <v>2</v>
          </cell>
          <cell r="AY1289">
            <v>2</v>
          </cell>
          <cell r="AZ1289">
            <v>0</v>
          </cell>
          <cell r="BA1289">
            <v>0</v>
          </cell>
          <cell r="BB1289">
            <v>0</v>
          </cell>
          <cell r="BC1289">
            <v>0</v>
          </cell>
          <cell r="BD1289">
            <v>0</v>
          </cell>
          <cell r="BE1289">
            <v>0</v>
          </cell>
          <cell r="BF1289">
            <v>0</v>
          </cell>
          <cell r="BG1289">
            <v>0</v>
          </cell>
          <cell r="BH1289">
            <v>0</v>
          </cell>
          <cell r="BI1289">
            <v>1</v>
          </cell>
          <cell r="BJ1289">
            <v>0</v>
          </cell>
          <cell r="BK1289">
            <v>0</v>
          </cell>
          <cell r="BL1289">
            <v>0</v>
          </cell>
          <cell r="BM1289">
            <v>0</v>
          </cell>
          <cell r="BN1289">
            <v>1</v>
          </cell>
          <cell r="BO1289">
            <v>0</v>
          </cell>
          <cell r="BP1289">
            <v>0</v>
          </cell>
          <cell r="BQ1289">
            <v>0</v>
          </cell>
          <cell r="BR1289">
            <v>0</v>
          </cell>
          <cell r="BS1289">
            <v>0</v>
          </cell>
          <cell r="BT1289">
            <v>10</v>
          </cell>
          <cell r="BU1289">
            <v>0</v>
          </cell>
        </row>
        <row r="1290">
          <cell r="A1290">
            <v>35</v>
          </cell>
          <cell r="B1290">
            <v>35</v>
          </cell>
          <cell r="D1290">
            <v>0</v>
          </cell>
          <cell r="F1290">
            <v>0</v>
          </cell>
          <cell r="G1290">
            <v>0</v>
          </cell>
          <cell r="I1290">
            <v>1</v>
          </cell>
          <cell r="J1290">
            <v>0</v>
          </cell>
          <cell r="K1290">
            <v>2</v>
          </cell>
          <cell r="L1290">
            <v>2</v>
          </cell>
          <cell r="M1290">
            <v>2</v>
          </cell>
          <cell r="O1290">
            <v>0</v>
          </cell>
          <cell r="P1290">
            <v>0</v>
          </cell>
          <cell r="Q1290">
            <v>1</v>
          </cell>
          <cell r="R1290">
            <v>0</v>
          </cell>
          <cell r="S1290">
            <v>0</v>
          </cell>
          <cell r="T1290">
            <v>2</v>
          </cell>
          <cell r="V1290">
            <v>0</v>
          </cell>
          <cell r="W1290">
            <v>90</v>
          </cell>
          <cell r="X1290">
            <v>3</v>
          </cell>
          <cell r="Y1290">
            <v>2</v>
          </cell>
          <cell r="AA1290">
            <v>0</v>
          </cell>
          <cell r="AB1290">
            <v>0</v>
          </cell>
          <cell r="AC1290">
            <v>0</v>
          </cell>
          <cell r="AD1290">
            <v>0</v>
          </cell>
          <cell r="AE1290">
            <v>1</v>
          </cell>
          <cell r="AF1290">
            <v>1</v>
          </cell>
          <cell r="AG1290">
            <v>0</v>
          </cell>
          <cell r="AH1290">
            <v>0</v>
          </cell>
          <cell r="AI1290">
            <v>4</v>
          </cell>
          <cell r="AK1290">
            <v>0</v>
          </cell>
          <cell r="AL1290">
            <v>0</v>
          </cell>
          <cell r="AN1290">
            <v>5762</v>
          </cell>
          <cell r="AO1290">
            <v>2</v>
          </cell>
          <cell r="AQ1290">
            <v>0</v>
          </cell>
          <cell r="AR1290">
            <v>14</v>
          </cell>
          <cell r="AS1290">
            <v>3</v>
          </cell>
          <cell r="AT1290">
            <v>3</v>
          </cell>
          <cell r="AU1290">
            <v>1</v>
          </cell>
          <cell r="AV1290">
            <v>15</v>
          </cell>
          <cell r="AW1290">
            <v>15</v>
          </cell>
          <cell r="AX1290">
            <v>6</v>
          </cell>
          <cell r="AY1290">
            <v>3</v>
          </cell>
          <cell r="AZ1290">
            <v>7</v>
          </cell>
          <cell r="BA1290">
            <v>7</v>
          </cell>
          <cell r="BB1290">
            <v>7</v>
          </cell>
          <cell r="BC1290">
            <v>1</v>
          </cell>
          <cell r="BD1290">
            <v>1</v>
          </cell>
          <cell r="BE1290">
            <v>7</v>
          </cell>
          <cell r="BF1290">
            <v>7</v>
          </cell>
          <cell r="BG1290">
            <v>14</v>
          </cell>
          <cell r="BH1290">
            <v>1</v>
          </cell>
          <cell r="BI1290">
            <v>0</v>
          </cell>
          <cell r="BJ1290">
            <v>0</v>
          </cell>
          <cell r="BK1290">
            <v>0</v>
          </cell>
          <cell r="BL1290">
            <v>1</v>
          </cell>
          <cell r="BM1290">
            <v>0</v>
          </cell>
          <cell r="BN1290">
            <v>0</v>
          </cell>
          <cell r="BO1290">
            <v>0</v>
          </cell>
          <cell r="BP1290">
            <v>0</v>
          </cell>
          <cell r="BQ1290">
            <v>7</v>
          </cell>
          <cell r="BR1290">
            <v>0</v>
          </cell>
          <cell r="BS1290">
            <v>0</v>
          </cell>
          <cell r="BT1290">
            <v>15</v>
          </cell>
          <cell r="BU1290">
            <v>0</v>
          </cell>
        </row>
        <row r="1291">
          <cell r="A1291">
            <v>38</v>
          </cell>
          <cell r="B1291">
            <v>38</v>
          </cell>
          <cell r="D1291">
            <v>0</v>
          </cell>
          <cell r="F1291">
            <v>0</v>
          </cell>
          <cell r="G1291">
            <v>0</v>
          </cell>
          <cell r="I1291">
            <v>0</v>
          </cell>
          <cell r="J1291">
            <v>0</v>
          </cell>
          <cell r="K1291">
            <v>2</v>
          </cell>
          <cell r="L1291">
            <v>2</v>
          </cell>
          <cell r="M1291">
            <v>3</v>
          </cell>
          <cell r="O1291">
            <v>0</v>
          </cell>
          <cell r="P1291">
            <v>0</v>
          </cell>
          <cell r="Q1291">
            <v>0</v>
          </cell>
          <cell r="R1291">
            <v>0</v>
          </cell>
          <cell r="S1291">
            <v>0</v>
          </cell>
          <cell r="T1291">
            <v>1</v>
          </cell>
          <cell r="V1291">
            <v>0</v>
          </cell>
          <cell r="W1291">
            <v>100</v>
          </cell>
          <cell r="X1291">
            <v>3</v>
          </cell>
          <cell r="Y1291">
            <v>1</v>
          </cell>
          <cell r="AA1291">
            <v>0</v>
          </cell>
          <cell r="AB1291">
            <v>0</v>
          </cell>
          <cell r="AC1291">
            <v>0</v>
          </cell>
          <cell r="AD1291">
            <v>0</v>
          </cell>
          <cell r="AE1291">
            <v>0</v>
          </cell>
          <cell r="AF1291">
            <v>0</v>
          </cell>
          <cell r="AG1291">
            <v>0</v>
          </cell>
          <cell r="AH1291">
            <v>0</v>
          </cell>
          <cell r="AI1291">
            <v>2</v>
          </cell>
          <cell r="AK1291">
            <v>0</v>
          </cell>
          <cell r="AL1291">
            <v>0</v>
          </cell>
          <cell r="AN1291">
            <v>2592</v>
          </cell>
          <cell r="AO1291">
            <v>5</v>
          </cell>
          <cell r="AQ1291">
            <v>0</v>
          </cell>
          <cell r="AR1291">
            <v>13</v>
          </cell>
          <cell r="AS1291">
            <v>3</v>
          </cell>
          <cell r="AT1291">
            <v>4</v>
          </cell>
          <cell r="AU1291">
            <v>3</v>
          </cell>
          <cell r="AV1291">
            <v>13</v>
          </cell>
          <cell r="AW1291">
            <v>13</v>
          </cell>
          <cell r="AX1291">
            <v>3</v>
          </cell>
          <cell r="AY1291">
            <v>3</v>
          </cell>
          <cell r="AZ1291">
            <v>11</v>
          </cell>
          <cell r="BA1291">
            <v>11</v>
          </cell>
          <cell r="BB1291">
            <v>10</v>
          </cell>
          <cell r="BC1291">
            <v>3</v>
          </cell>
          <cell r="BD1291">
            <v>3</v>
          </cell>
          <cell r="BE1291">
            <v>8</v>
          </cell>
          <cell r="BF1291">
            <v>8</v>
          </cell>
          <cell r="BG1291">
            <v>8</v>
          </cell>
          <cell r="BH1291">
            <v>1</v>
          </cell>
          <cell r="BI1291">
            <v>0</v>
          </cell>
          <cell r="BJ1291">
            <v>0</v>
          </cell>
          <cell r="BK1291">
            <v>0</v>
          </cell>
          <cell r="BL1291">
            <v>1</v>
          </cell>
          <cell r="BM1291">
            <v>0</v>
          </cell>
          <cell r="BN1291">
            <v>0</v>
          </cell>
          <cell r="BO1291">
            <v>0</v>
          </cell>
          <cell r="BP1291">
            <v>8</v>
          </cell>
          <cell r="BQ1291">
            <v>0</v>
          </cell>
          <cell r="BR1291">
            <v>0</v>
          </cell>
          <cell r="BS1291">
            <v>13</v>
          </cell>
          <cell r="BT1291">
            <v>0</v>
          </cell>
          <cell r="BU1291">
            <v>0</v>
          </cell>
        </row>
        <row r="1292">
          <cell r="A1292">
            <v>34</v>
          </cell>
          <cell r="B1292">
            <v>34</v>
          </cell>
          <cell r="D1292">
            <v>1</v>
          </cell>
          <cell r="F1292">
            <v>1</v>
          </cell>
          <cell r="G1292">
            <v>0</v>
          </cell>
          <cell r="I1292">
            <v>1</v>
          </cell>
          <cell r="J1292">
            <v>0</v>
          </cell>
          <cell r="K1292">
            <v>9</v>
          </cell>
          <cell r="L1292">
            <v>9</v>
          </cell>
          <cell r="M1292">
            <v>4</v>
          </cell>
          <cell r="O1292">
            <v>1</v>
          </cell>
          <cell r="P1292">
            <v>0</v>
          </cell>
          <cell r="Q1292">
            <v>0</v>
          </cell>
          <cell r="R1292">
            <v>0</v>
          </cell>
          <cell r="S1292">
            <v>0</v>
          </cell>
          <cell r="T1292">
            <v>4</v>
          </cell>
          <cell r="V1292">
            <v>0</v>
          </cell>
          <cell r="W1292">
            <v>93</v>
          </cell>
          <cell r="X1292">
            <v>3</v>
          </cell>
          <cell r="Y1292">
            <v>2</v>
          </cell>
          <cell r="AA1292">
            <v>0</v>
          </cell>
          <cell r="AB1292">
            <v>0</v>
          </cell>
          <cell r="AC1292">
            <v>1</v>
          </cell>
          <cell r="AD1292">
            <v>0</v>
          </cell>
          <cell r="AE1292">
            <v>0</v>
          </cell>
          <cell r="AF1292">
            <v>0</v>
          </cell>
          <cell r="AG1292">
            <v>0</v>
          </cell>
          <cell r="AH1292">
            <v>0</v>
          </cell>
          <cell r="AI1292">
            <v>1</v>
          </cell>
          <cell r="AK1292">
            <v>0</v>
          </cell>
          <cell r="AL1292">
            <v>1</v>
          </cell>
          <cell r="AN1292">
            <v>5346</v>
          </cell>
          <cell r="AO1292">
            <v>4</v>
          </cell>
          <cell r="AQ1292">
            <v>0</v>
          </cell>
          <cell r="AR1292">
            <v>17</v>
          </cell>
          <cell r="AS1292">
            <v>3</v>
          </cell>
          <cell r="AT1292">
            <v>3</v>
          </cell>
          <cell r="AU1292">
            <v>1</v>
          </cell>
          <cell r="AV1292">
            <v>11</v>
          </cell>
          <cell r="AW1292">
            <v>11</v>
          </cell>
          <cell r="AX1292">
            <v>3</v>
          </cell>
          <cell r="AY1292">
            <v>2</v>
          </cell>
          <cell r="AZ1292">
            <v>7</v>
          </cell>
          <cell r="BA1292">
            <v>7</v>
          </cell>
          <cell r="BB1292">
            <v>1</v>
          </cell>
          <cell r="BC1292">
            <v>0</v>
          </cell>
          <cell r="BD1292">
            <v>0</v>
          </cell>
          <cell r="BE1292">
            <v>7</v>
          </cell>
          <cell r="BF1292">
            <v>7</v>
          </cell>
          <cell r="BG1292">
            <v>14</v>
          </cell>
          <cell r="BH1292">
            <v>0</v>
          </cell>
          <cell r="BI1292">
            <v>0</v>
          </cell>
          <cell r="BJ1292">
            <v>0</v>
          </cell>
          <cell r="BK1292">
            <v>1</v>
          </cell>
          <cell r="BL1292">
            <v>0</v>
          </cell>
          <cell r="BM1292">
            <v>0</v>
          </cell>
          <cell r="BN1292">
            <v>1</v>
          </cell>
          <cell r="BO1292">
            <v>0</v>
          </cell>
          <cell r="BP1292">
            <v>0</v>
          </cell>
          <cell r="BQ1292">
            <v>7</v>
          </cell>
          <cell r="BR1292">
            <v>0</v>
          </cell>
          <cell r="BS1292">
            <v>0</v>
          </cell>
          <cell r="BT1292">
            <v>11</v>
          </cell>
          <cell r="BU1292">
            <v>0</v>
          </cell>
        </row>
        <row r="1293">
          <cell r="A1293">
            <v>37</v>
          </cell>
          <cell r="B1293">
            <v>37</v>
          </cell>
          <cell r="D1293">
            <v>1</v>
          </cell>
          <cell r="F1293">
            <v>0</v>
          </cell>
          <cell r="G1293">
            <v>1</v>
          </cell>
          <cell r="I1293">
            <v>1</v>
          </cell>
          <cell r="J1293">
            <v>0</v>
          </cell>
          <cell r="K1293">
            <v>10</v>
          </cell>
          <cell r="L1293">
            <v>10</v>
          </cell>
          <cell r="M1293">
            <v>4</v>
          </cell>
          <cell r="O1293">
            <v>0</v>
          </cell>
          <cell r="P1293">
            <v>0</v>
          </cell>
          <cell r="Q1293">
            <v>1</v>
          </cell>
          <cell r="R1293">
            <v>0</v>
          </cell>
          <cell r="S1293">
            <v>0</v>
          </cell>
          <cell r="T1293">
            <v>4</v>
          </cell>
          <cell r="V1293">
            <v>0</v>
          </cell>
          <cell r="W1293">
            <v>58</v>
          </cell>
          <cell r="X1293">
            <v>3</v>
          </cell>
          <cell r="Y1293">
            <v>2</v>
          </cell>
          <cell r="AA1293">
            <v>0</v>
          </cell>
          <cell r="AB1293">
            <v>0</v>
          </cell>
          <cell r="AC1293">
            <v>0</v>
          </cell>
          <cell r="AD1293">
            <v>0</v>
          </cell>
          <cell r="AE1293">
            <v>1</v>
          </cell>
          <cell r="AF1293">
            <v>1</v>
          </cell>
          <cell r="AG1293">
            <v>0</v>
          </cell>
          <cell r="AH1293">
            <v>0</v>
          </cell>
          <cell r="AI1293">
            <v>1</v>
          </cell>
          <cell r="AK1293">
            <v>1</v>
          </cell>
          <cell r="AL1293">
            <v>0</v>
          </cell>
          <cell r="AN1293">
            <v>4213</v>
          </cell>
          <cell r="AO1293">
            <v>1</v>
          </cell>
          <cell r="AQ1293">
            <v>0</v>
          </cell>
          <cell r="AR1293">
            <v>15</v>
          </cell>
          <cell r="AS1293">
            <v>3</v>
          </cell>
          <cell r="AT1293">
            <v>2</v>
          </cell>
          <cell r="AU1293">
            <v>0</v>
          </cell>
          <cell r="AV1293">
            <v>10</v>
          </cell>
          <cell r="AW1293">
            <v>10</v>
          </cell>
          <cell r="AX1293">
            <v>4</v>
          </cell>
          <cell r="AY1293">
            <v>1</v>
          </cell>
          <cell r="AZ1293">
            <v>10</v>
          </cell>
          <cell r="BA1293">
            <v>10</v>
          </cell>
          <cell r="BB1293">
            <v>3</v>
          </cell>
          <cell r="BC1293">
            <v>0</v>
          </cell>
          <cell r="BD1293">
            <v>0</v>
          </cell>
          <cell r="BE1293">
            <v>8</v>
          </cell>
          <cell r="BF1293">
            <v>8</v>
          </cell>
          <cell r="BG1293">
            <v>16</v>
          </cell>
          <cell r="BH1293">
            <v>1</v>
          </cell>
          <cell r="BI1293">
            <v>0</v>
          </cell>
          <cell r="BJ1293">
            <v>0</v>
          </cell>
          <cell r="BK1293">
            <v>0</v>
          </cell>
          <cell r="BL1293">
            <v>1</v>
          </cell>
          <cell r="BM1293">
            <v>0</v>
          </cell>
          <cell r="BN1293">
            <v>0</v>
          </cell>
          <cell r="BO1293">
            <v>0</v>
          </cell>
          <cell r="BP1293">
            <v>0</v>
          </cell>
          <cell r="BQ1293">
            <v>8</v>
          </cell>
          <cell r="BR1293">
            <v>0</v>
          </cell>
          <cell r="BS1293">
            <v>0</v>
          </cell>
          <cell r="BT1293">
            <v>10</v>
          </cell>
          <cell r="BU1293">
            <v>0</v>
          </cell>
        </row>
        <row r="1294">
          <cell r="A1294">
            <v>39</v>
          </cell>
          <cell r="B1294">
            <v>39</v>
          </cell>
          <cell r="D1294">
            <v>0</v>
          </cell>
          <cell r="F1294">
            <v>1</v>
          </cell>
          <cell r="G1294">
            <v>0</v>
          </cell>
          <cell r="I1294">
            <v>0</v>
          </cell>
          <cell r="J1294">
            <v>1</v>
          </cell>
          <cell r="K1294">
            <v>20</v>
          </cell>
          <cell r="L1294">
            <v>20</v>
          </cell>
          <cell r="M1294">
            <v>3</v>
          </cell>
          <cell r="O1294">
            <v>1</v>
          </cell>
          <cell r="P1294">
            <v>0</v>
          </cell>
          <cell r="Q1294">
            <v>0</v>
          </cell>
          <cell r="R1294">
            <v>0</v>
          </cell>
          <cell r="S1294">
            <v>0</v>
          </cell>
          <cell r="T1294">
            <v>3</v>
          </cell>
          <cell r="V1294">
            <v>0</v>
          </cell>
          <cell r="W1294">
            <v>83</v>
          </cell>
          <cell r="X1294">
            <v>3</v>
          </cell>
          <cell r="Y1294">
            <v>2</v>
          </cell>
          <cell r="AA1294">
            <v>0</v>
          </cell>
          <cell r="AB1294">
            <v>1</v>
          </cell>
          <cell r="AC1294">
            <v>0</v>
          </cell>
          <cell r="AD1294">
            <v>0</v>
          </cell>
          <cell r="AE1294">
            <v>0</v>
          </cell>
          <cell r="AF1294">
            <v>0</v>
          </cell>
          <cell r="AG1294">
            <v>0</v>
          </cell>
          <cell r="AH1294">
            <v>0</v>
          </cell>
          <cell r="AI1294">
            <v>4</v>
          </cell>
          <cell r="AK1294">
            <v>0</v>
          </cell>
          <cell r="AL1294">
            <v>0</v>
          </cell>
          <cell r="AN1294">
            <v>4127</v>
          </cell>
          <cell r="AO1294">
            <v>2</v>
          </cell>
          <cell r="AQ1294">
            <v>0</v>
          </cell>
          <cell r="AR1294">
            <v>18</v>
          </cell>
          <cell r="AS1294">
            <v>3</v>
          </cell>
          <cell r="AT1294">
            <v>4</v>
          </cell>
          <cell r="AU1294">
            <v>1</v>
          </cell>
          <cell r="AV1294">
            <v>7</v>
          </cell>
          <cell r="AW1294">
            <v>7</v>
          </cell>
          <cell r="AX1294">
            <v>6</v>
          </cell>
          <cell r="AY1294">
            <v>3</v>
          </cell>
          <cell r="AZ1294">
            <v>2</v>
          </cell>
          <cell r="BA1294">
            <v>2</v>
          </cell>
          <cell r="BB1294">
            <v>1</v>
          </cell>
          <cell r="BC1294">
            <v>2</v>
          </cell>
          <cell r="BD1294">
            <v>2</v>
          </cell>
          <cell r="BE1294">
            <v>2</v>
          </cell>
          <cell r="BF1294">
            <v>2</v>
          </cell>
          <cell r="BG1294">
            <v>4</v>
          </cell>
          <cell r="BH1294">
            <v>0</v>
          </cell>
          <cell r="BI1294">
            <v>0</v>
          </cell>
          <cell r="BJ1294">
            <v>1</v>
          </cell>
          <cell r="BK1294">
            <v>0</v>
          </cell>
          <cell r="BL1294">
            <v>1</v>
          </cell>
          <cell r="BM1294">
            <v>0</v>
          </cell>
          <cell r="BN1294">
            <v>0</v>
          </cell>
          <cell r="BO1294">
            <v>0</v>
          </cell>
          <cell r="BP1294">
            <v>0</v>
          </cell>
          <cell r="BQ1294">
            <v>0</v>
          </cell>
          <cell r="BR1294">
            <v>2</v>
          </cell>
          <cell r="BS1294">
            <v>0</v>
          </cell>
          <cell r="BT1294">
            <v>0</v>
          </cell>
          <cell r="BU1294">
            <v>7</v>
          </cell>
        </row>
        <row r="1295">
          <cell r="A1295">
            <v>43</v>
          </cell>
          <cell r="B1295">
            <v>43</v>
          </cell>
          <cell r="D1295">
            <v>0</v>
          </cell>
          <cell r="F1295">
            <v>0</v>
          </cell>
          <cell r="G1295">
            <v>0</v>
          </cell>
          <cell r="I1295">
            <v>1</v>
          </cell>
          <cell r="J1295">
            <v>0</v>
          </cell>
          <cell r="K1295">
            <v>9</v>
          </cell>
          <cell r="L1295">
            <v>9</v>
          </cell>
          <cell r="M1295">
            <v>3</v>
          </cell>
          <cell r="O1295">
            <v>1</v>
          </cell>
          <cell r="P1295">
            <v>0</v>
          </cell>
          <cell r="Q1295">
            <v>0</v>
          </cell>
          <cell r="R1295">
            <v>0</v>
          </cell>
          <cell r="S1295">
            <v>0</v>
          </cell>
          <cell r="T1295">
            <v>1</v>
          </cell>
          <cell r="V1295">
            <v>0</v>
          </cell>
          <cell r="W1295">
            <v>52</v>
          </cell>
          <cell r="X1295">
            <v>3</v>
          </cell>
          <cell r="Y1295">
            <v>1</v>
          </cell>
          <cell r="AA1295">
            <v>0</v>
          </cell>
          <cell r="AB1295">
            <v>0</v>
          </cell>
          <cell r="AC1295">
            <v>0</v>
          </cell>
          <cell r="AD1295">
            <v>0</v>
          </cell>
          <cell r="AE1295">
            <v>0</v>
          </cell>
          <cell r="AF1295">
            <v>0</v>
          </cell>
          <cell r="AG1295">
            <v>0</v>
          </cell>
          <cell r="AH1295">
            <v>1</v>
          </cell>
          <cell r="AI1295">
            <v>3</v>
          </cell>
          <cell r="AK1295">
            <v>1</v>
          </cell>
          <cell r="AL1295">
            <v>0</v>
          </cell>
          <cell r="AN1295">
            <v>2438</v>
          </cell>
          <cell r="AO1295">
            <v>4</v>
          </cell>
          <cell r="AQ1295">
            <v>0</v>
          </cell>
          <cell r="AR1295">
            <v>13</v>
          </cell>
          <cell r="AS1295">
            <v>3</v>
          </cell>
          <cell r="AT1295">
            <v>3</v>
          </cell>
          <cell r="AU1295">
            <v>0</v>
          </cell>
          <cell r="AV1295">
            <v>7</v>
          </cell>
          <cell r="AW1295">
            <v>7</v>
          </cell>
          <cell r="AX1295">
            <v>2</v>
          </cell>
          <cell r="AY1295">
            <v>2</v>
          </cell>
          <cell r="AZ1295">
            <v>3</v>
          </cell>
          <cell r="BA1295">
            <v>3</v>
          </cell>
          <cell r="BB1295">
            <v>2</v>
          </cell>
          <cell r="BC1295">
            <v>1</v>
          </cell>
          <cell r="BD1295">
            <v>1</v>
          </cell>
          <cell r="BE1295">
            <v>2</v>
          </cell>
          <cell r="BF1295">
            <v>2</v>
          </cell>
          <cell r="BG1295">
            <v>2</v>
          </cell>
          <cell r="BH1295">
            <v>1</v>
          </cell>
          <cell r="BI1295">
            <v>0</v>
          </cell>
          <cell r="BJ1295">
            <v>0</v>
          </cell>
          <cell r="BK1295">
            <v>0</v>
          </cell>
          <cell r="BL1295">
            <v>1</v>
          </cell>
          <cell r="BM1295">
            <v>0</v>
          </cell>
          <cell r="BN1295">
            <v>0</v>
          </cell>
          <cell r="BO1295">
            <v>0</v>
          </cell>
          <cell r="BP1295">
            <v>0</v>
          </cell>
          <cell r="BQ1295">
            <v>2</v>
          </cell>
          <cell r="BR1295">
            <v>0</v>
          </cell>
          <cell r="BS1295">
            <v>0</v>
          </cell>
          <cell r="BT1295">
            <v>7</v>
          </cell>
          <cell r="BU1295">
            <v>0</v>
          </cell>
        </row>
        <row r="1296">
          <cell r="A1296">
            <v>41</v>
          </cell>
          <cell r="B1296">
            <v>41</v>
          </cell>
          <cell r="D1296">
            <v>0</v>
          </cell>
          <cell r="F1296">
            <v>0</v>
          </cell>
          <cell r="G1296">
            <v>1</v>
          </cell>
          <cell r="I1296">
            <v>1</v>
          </cell>
          <cell r="J1296">
            <v>0</v>
          </cell>
          <cell r="K1296">
            <v>5</v>
          </cell>
          <cell r="L1296">
            <v>5</v>
          </cell>
          <cell r="M1296">
            <v>3</v>
          </cell>
          <cell r="O1296">
            <v>1</v>
          </cell>
          <cell r="P1296">
            <v>0</v>
          </cell>
          <cell r="Q1296">
            <v>0</v>
          </cell>
          <cell r="R1296">
            <v>0</v>
          </cell>
          <cell r="S1296">
            <v>0</v>
          </cell>
          <cell r="T1296">
            <v>2</v>
          </cell>
          <cell r="V1296">
            <v>0</v>
          </cell>
          <cell r="W1296">
            <v>85</v>
          </cell>
          <cell r="X1296">
            <v>4</v>
          </cell>
          <cell r="Y1296">
            <v>2</v>
          </cell>
          <cell r="AA1296">
            <v>1</v>
          </cell>
          <cell r="AB1296">
            <v>0</v>
          </cell>
          <cell r="AC1296">
            <v>0</v>
          </cell>
          <cell r="AD1296">
            <v>0</v>
          </cell>
          <cell r="AE1296">
            <v>0</v>
          </cell>
          <cell r="AF1296">
            <v>0</v>
          </cell>
          <cell r="AG1296">
            <v>0</v>
          </cell>
          <cell r="AH1296">
            <v>0</v>
          </cell>
          <cell r="AI1296">
            <v>2</v>
          </cell>
          <cell r="AK1296">
            <v>1</v>
          </cell>
          <cell r="AL1296">
            <v>0</v>
          </cell>
          <cell r="AN1296">
            <v>6870</v>
          </cell>
          <cell r="AO1296">
            <v>3</v>
          </cell>
          <cell r="AQ1296">
            <v>0</v>
          </cell>
          <cell r="AR1296">
            <v>12</v>
          </cell>
          <cell r="AS1296">
            <v>3</v>
          </cell>
          <cell r="AT1296">
            <v>1</v>
          </cell>
          <cell r="AU1296">
            <v>0</v>
          </cell>
          <cell r="AV1296">
            <v>11</v>
          </cell>
          <cell r="AW1296">
            <v>11</v>
          </cell>
          <cell r="AX1296">
            <v>3</v>
          </cell>
          <cell r="AY1296">
            <v>1</v>
          </cell>
          <cell r="AZ1296">
            <v>3</v>
          </cell>
          <cell r="BA1296">
            <v>3</v>
          </cell>
          <cell r="BB1296">
            <v>2</v>
          </cell>
          <cell r="BC1296">
            <v>1</v>
          </cell>
          <cell r="BD1296">
            <v>1</v>
          </cell>
          <cell r="BE1296">
            <v>2</v>
          </cell>
          <cell r="BF1296">
            <v>2</v>
          </cell>
          <cell r="BG1296">
            <v>4</v>
          </cell>
          <cell r="BH1296">
            <v>1</v>
          </cell>
          <cell r="BI1296">
            <v>0</v>
          </cell>
          <cell r="BJ1296">
            <v>0</v>
          </cell>
          <cell r="BK1296">
            <v>0</v>
          </cell>
          <cell r="BL1296">
            <v>1</v>
          </cell>
          <cell r="BM1296">
            <v>0</v>
          </cell>
          <cell r="BN1296">
            <v>0</v>
          </cell>
          <cell r="BO1296">
            <v>0</v>
          </cell>
          <cell r="BP1296">
            <v>0</v>
          </cell>
          <cell r="BQ1296">
            <v>2</v>
          </cell>
          <cell r="BR1296">
            <v>0</v>
          </cell>
          <cell r="BS1296">
            <v>0</v>
          </cell>
          <cell r="BT1296">
            <v>11</v>
          </cell>
          <cell r="BU1296">
            <v>0</v>
          </cell>
        </row>
        <row r="1297">
          <cell r="A1297">
            <v>41</v>
          </cell>
          <cell r="B1297">
            <v>41</v>
          </cell>
          <cell r="D1297">
            <v>0</v>
          </cell>
          <cell r="F1297">
            <v>0</v>
          </cell>
          <cell r="G1297">
            <v>1</v>
          </cell>
          <cell r="I1297">
            <v>0</v>
          </cell>
          <cell r="J1297">
            <v>1</v>
          </cell>
          <cell r="K1297">
            <v>4</v>
          </cell>
          <cell r="L1297">
            <v>4</v>
          </cell>
          <cell r="M1297">
            <v>1</v>
          </cell>
          <cell r="O1297">
            <v>0</v>
          </cell>
          <cell r="P1297">
            <v>0</v>
          </cell>
          <cell r="Q1297">
            <v>0</v>
          </cell>
          <cell r="R1297">
            <v>1</v>
          </cell>
          <cell r="S1297">
            <v>0</v>
          </cell>
          <cell r="T1297">
            <v>3</v>
          </cell>
          <cell r="V1297">
            <v>1</v>
          </cell>
          <cell r="W1297">
            <v>81</v>
          </cell>
          <cell r="X1297">
            <v>3</v>
          </cell>
          <cell r="Y1297">
            <v>3</v>
          </cell>
          <cell r="AA1297">
            <v>0</v>
          </cell>
          <cell r="AB1297">
            <v>1</v>
          </cell>
          <cell r="AC1297">
            <v>0</v>
          </cell>
          <cell r="AD1297">
            <v>0</v>
          </cell>
          <cell r="AE1297">
            <v>0</v>
          </cell>
          <cell r="AF1297">
            <v>0</v>
          </cell>
          <cell r="AG1297">
            <v>0</v>
          </cell>
          <cell r="AH1297">
            <v>0</v>
          </cell>
          <cell r="AI1297">
            <v>3</v>
          </cell>
          <cell r="AK1297">
            <v>0</v>
          </cell>
          <cell r="AL1297">
            <v>0</v>
          </cell>
          <cell r="AN1297">
            <v>10447</v>
          </cell>
          <cell r="AO1297">
            <v>0</v>
          </cell>
          <cell r="AQ1297">
            <v>1</v>
          </cell>
          <cell r="AR1297">
            <v>13</v>
          </cell>
          <cell r="AS1297">
            <v>3</v>
          </cell>
          <cell r="AT1297">
            <v>4</v>
          </cell>
          <cell r="AU1297">
            <v>1</v>
          </cell>
          <cell r="AV1297">
            <v>23</v>
          </cell>
          <cell r="AW1297">
            <v>23</v>
          </cell>
          <cell r="AX1297">
            <v>3</v>
          </cell>
          <cell r="AY1297">
            <v>4</v>
          </cell>
          <cell r="AZ1297">
            <v>22</v>
          </cell>
          <cell r="BA1297">
            <v>22</v>
          </cell>
          <cell r="BB1297">
            <v>14</v>
          </cell>
          <cell r="BC1297">
            <v>13</v>
          </cell>
          <cell r="BD1297">
            <v>13</v>
          </cell>
          <cell r="BE1297">
            <v>5</v>
          </cell>
          <cell r="BF1297">
            <v>5</v>
          </cell>
          <cell r="BG1297">
            <v>15</v>
          </cell>
          <cell r="BH1297">
            <v>1</v>
          </cell>
          <cell r="BI1297">
            <v>0</v>
          </cell>
          <cell r="BJ1297">
            <v>0</v>
          </cell>
          <cell r="BK1297">
            <v>0</v>
          </cell>
          <cell r="BL1297">
            <v>0</v>
          </cell>
          <cell r="BM1297">
            <v>1</v>
          </cell>
          <cell r="BN1297">
            <v>0</v>
          </cell>
          <cell r="BO1297">
            <v>0</v>
          </cell>
          <cell r="BP1297">
            <v>0</v>
          </cell>
          <cell r="BQ1297">
            <v>0</v>
          </cell>
          <cell r="BR1297">
            <v>5</v>
          </cell>
          <cell r="BS1297">
            <v>0</v>
          </cell>
          <cell r="BT1297">
            <v>0</v>
          </cell>
          <cell r="BU1297">
            <v>23</v>
          </cell>
        </row>
        <row r="1298">
          <cell r="A1298">
            <v>30</v>
          </cell>
          <cell r="B1298">
            <v>30</v>
          </cell>
          <cell r="D1298">
            <v>0</v>
          </cell>
          <cell r="F1298">
            <v>0</v>
          </cell>
          <cell r="G1298">
            <v>1</v>
          </cell>
          <cell r="I1298">
            <v>1</v>
          </cell>
          <cell r="J1298">
            <v>0</v>
          </cell>
          <cell r="K1298">
            <v>10</v>
          </cell>
          <cell r="L1298">
            <v>10</v>
          </cell>
          <cell r="M1298">
            <v>3</v>
          </cell>
          <cell r="O1298">
            <v>0</v>
          </cell>
          <cell r="P1298">
            <v>0</v>
          </cell>
          <cell r="Q1298">
            <v>1</v>
          </cell>
          <cell r="R1298">
            <v>0</v>
          </cell>
          <cell r="S1298">
            <v>0</v>
          </cell>
          <cell r="T1298">
            <v>1</v>
          </cell>
          <cell r="V1298">
            <v>1</v>
          </cell>
          <cell r="W1298">
            <v>64</v>
          </cell>
          <cell r="X1298">
            <v>3</v>
          </cell>
          <cell r="Y1298">
            <v>3</v>
          </cell>
          <cell r="AA1298">
            <v>0</v>
          </cell>
          <cell r="AB1298">
            <v>0</v>
          </cell>
          <cell r="AC1298">
            <v>0</v>
          </cell>
          <cell r="AD1298">
            <v>0</v>
          </cell>
          <cell r="AE1298">
            <v>1</v>
          </cell>
          <cell r="AF1298">
            <v>1</v>
          </cell>
          <cell r="AG1298">
            <v>0</v>
          </cell>
          <cell r="AH1298">
            <v>0</v>
          </cell>
          <cell r="AI1298">
            <v>3</v>
          </cell>
          <cell r="AK1298">
            <v>1</v>
          </cell>
          <cell r="AL1298">
            <v>0</v>
          </cell>
          <cell r="AN1298">
            <v>9667</v>
          </cell>
          <cell r="AO1298">
            <v>9</v>
          </cell>
          <cell r="AQ1298">
            <v>0</v>
          </cell>
          <cell r="AR1298">
            <v>14</v>
          </cell>
          <cell r="AS1298">
            <v>3</v>
          </cell>
          <cell r="AT1298">
            <v>2</v>
          </cell>
          <cell r="AU1298">
            <v>0</v>
          </cell>
          <cell r="AV1298">
            <v>9</v>
          </cell>
          <cell r="AW1298">
            <v>9</v>
          </cell>
          <cell r="AX1298">
            <v>3</v>
          </cell>
          <cell r="AY1298">
            <v>3</v>
          </cell>
          <cell r="AZ1298">
            <v>7</v>
          </cell>
          <cell r="BA1298">
            <v>7</v>
          </cell>
          <cell r="BB1298">
            <v>7</v>
          </cell>
          <cell r="BC1298">
            <v>0</v>
          </cell>
          <cell r="BD1298">
            <v>0</v>
          </cell>
          <cell r="BE1298">
            <v>2</v>
          </cell>
          <cell r="BF1298">
            <v>2</v>
          </cell>
          <cell r="BG1298">
            <v>6</v>
          </cell>
          <cell r="BH1298">
            <v>1</v>
          </cell>
          <cell r="BI1298">
            <v>0</v>
          </cell>
          <cell r="BJ1298">
            <v>0</v>
          </cell>
          <cell r="BK1298">
            <v>0</v>
          </cell>
          <cell r="BL1298">
            <v>1</v>
          </cell>
          <cell r="BM1298">
            <v>0</v>
          </cell>
          <cell r="BN1298">
            <v>0</v>
          </cell>
          <cell r="BO1298">
            <v>0</v>
          </cell>
          <cell r="BP1298">
            <v>0</v>
          </cell>
          <cell r="BQ1298">
            <v>2</v>
          </cell>
          <cell r="BR1298">
            <v>0</v>
          </cell>
          <cell r="BS1298">
            <v>0</v>
          </cell>
          <cell r="BT1298">
            <v>9</v>
          </cell>
          <cell r="BU1298">
            <v>0</v>
          </cell>
        </row>
        <row r="1299">
          <cell r="A1299">
            <v>26</v>
          </cell>
          <cell r="B1299">
            <v>26</v>
          </cell>
          <cell r="D1299">
            <v>1</v>
          </cell>
          <cell r="F1299">
            <v>0</v>
          </cell>
          <cell r="G1299">
            <v>1</v>
          </cell>
          <cell r="I1299">
            <v>0</v>
          </cell>
          <cell r="J1299">
            <v>0</v>
          </cell>
          <cell r="K1299">
            <v>20</v>
          </cell>
          <cell r="L1299">
            <v>20</v>
          </cell>
          <cell r="M1299">
            <v>2</v>
          </cell>
          <cell r="O1299">
            <v>0</v>
          </cell>
          <cell r="P1299">
            <v>0</v>
          </cell>
          <cell r="Q1299">
            <v>1</v>
          </cell>
          <cell r="R1299">
            <v>0</v>
          </cell>
          <cell r="S1299">
            <v>0</v>
          </cell>
          <cell r="T1299">
            <v>4</v>
          </cell>
          <cell r="V1299">
            <v>1</v>
          </cell>
          <cell r="W1299">
            <v>69</v>
          </cell>
          <cell r="X1299">
            <v>3</v>
          </cell>
          <cell r="Y1299">
            <v>1</v>
          </cell>
          <cell r="AA1299">
            <v>0</v>
          </cell>
          <cell r="AB1299">
            <v>0</v>
          </cell>
          <cell r="AC1299">
            <v>0</v>
          </cell>
          <cell r="AD1299">
            <v>0</v>
          </cell>
          <cell r="AE1299">
            <v>0</v>
          </cell>
          <cell r="AF1299">
            <v>0</v>
          </cell>
          <cell r="AG1299">
            <v>0</v>
          </cell>
          <cell r="AH1299">
            <v>0</v>
          </cell>
          <cell r="AI1299">
            <v>2</v>
          </cell>
          <cell r="AK1299">
            <v>0</v>
          </cell>
          <cell r="AL1299">
            <v>1</v>
          </cell>
          <cell r="AN1299">
            <v>2148</v>
          </cell>
          <cell r="AO1299">
            <v>0</v>
          </cell>
          <cell r="AQ1299">
            <v>1</v>
          </cell>
          <cell r="AR1299">
            <v>11</v>
          </cell>
          <cell r="AS1299">
            <v>3</v>
          </cell>
          <cell r="AT1299">
            <v>3</v>
          </cell>
          <cell r="AU1299">
            <v>0</v>
          </cell>
          <cell r="AV1299">
            <v>6</v>
          </cell>
          <cell r="AW1299">
            <v>6</v>
          </cell>
          <cell r="AX1299">
            <v>3</v>
          </cell>
          <cell r="AY1299">
            <v>3</v>
          </cell>
          <cell r="AZ1299">
            <v>5</v>
          </cell>
          <cell r="BA1299">
            <v>5</v>
          </cell>
          <cell r="BB1299">
            <v>1</v>
          </cell>
          <cell r="BC1299">
            <v>1</v>
          </cell>
          <cell r="BD1299">
            <v>1</v>
          </cell>
          <cell r="BE1299">
            <v>4</v>
          </cell>
          <cell r="BF1299">
            <v>4</v>
          </cell>
          <cell r="BG1299">
            <v>4</v>
          </cell>
          <cell r="BH1299">
            <v>0</v>
          </cell>
          <cell r="BI1299">
            <v>1</v>
          </cell>
          <cell r="BJ1299">
            <v>0</v>
          </cell>
          <cell r="BK1299">
            <v>0</v>
          </cell>
          <cell r="BL1299">
            <v>0</v>
          </cell>
          <cell r="BM1299">
            <v>0</v>
          </cell>
          <cell r="BN1299">
            <v>0</v>
          </cell>
          <cell r="BO1299">
            <v>1</v>
          </cell>
          <cell r="BP1299">
            <v>4</v>
          </cell>
          <cell r="BQ1299">
            <v>0</v>
          </cell>
          <cell r="BR1299">
            <v>0</v>
          </cell>
          <cell r="BS1299">
            <v>6</v>
          </cell>
          <cell r="BT1299">
            <v>0</v>
          </cell>
          <cell r="BU1299">
            <v>0</v>
          </cell>
        </row>
        <row r="1300">
          <cell r="A1300">
            <v>46</v>
          </cell>
          <cell r="B1300">
            <v>46</v>
          </cell>
          <cell r="D1300">
            <v>1</v>
          </cell>
          <cell r="F1300">
            <v>0</v>
          </cell>
          <cell r="G1300">
            <v>1</v>
          </cell>
          <cell r="I1300">
            <v>1</v>
          </cell>
          <cell r="J1300">
            <v>0</v>
          </cell>
          <cell r="K1300">
            <v>21</v>
          </cell>
          <cell r="L1300">
            <v>21</v>
          </cell>
          <cell r="M1300">
            <v>2</v>
          </cell>
          <cell r="O1300">
            <v>0</v>
          </cell>
          <cell r="P1300">
            <v>0</v>
          </cell>
          <cell r="Q1300">
            <v>1</v>
          </cell>
          <cell r="R1300">
            <v>0</v>
          </cell>
          <cell r="S1300">
            <v>0</v>
          </cell>
          <cell r="T1300">
            <v>4</v>
          </cell>
          <cell r="V1300">
            <v>1</v>
          </cell>
          <cell r="W1300">
            <v>66</v>
          </cell>
          <cell r="X1300">
            <v>3</v>
          </cell>
          <cell r="Y1300">
            <v>2</v>
          </cell>
          <cell r="AA1300">
            <v>1</v>
          </cell>
          <cell r="AB1300">
            <v>0</v>
          </cell>
          <cell r="AC1300">
            <v>0</v>
          </cell>
          <cell r="AD1300">
            <v>0</v>
          </cell>
          <cell r="AE1300">
            <v>0</v>
          </cell>
          <cell r="AF1300">
            <v>0</v>
          </cell>
          <cell r="AG1300">
            <v>0</v>
          </cell>
          <cell r="AH1300">
            <v>0</v>
          </cell>
          <cell r="AI1300">
            <v>2</v>
          </cell>
          <cell r="AK1300">
            <v>0</v>
          </cell>
          <cell r="AL1300">
            <v>1</v>
          </cell>
          <cell r="AN1300">
            <v>8926</v>
          </cell>
          <cell r="AO1300">
            <v>4</v>
          </cell>
          <cell r="AQ1300">
            <v>0</v>
          </cell>
          <cell r="AR1300">
            <v>22</v>
          </cell>
          <cell r="AS1300">
            <v>4</v>
          </cell>
          <cell r="AT1300">
            <v>4</v>
          </cell>
          <cell r="AU1300">
            <v>1</v>
          </cell>
          <cell r="AV1300">
            <v>13</v>
          </cell>
          <cell r="AW1300">
            <v>13</v>
          </cell>
          <cell r="AX1300">
            <v>2</v>
          </cell>
          <cell r="AY1300">
            <v>4</v>
          </cell>
          <cell r="AZ1300">
            <v>9</v>
          </cell>
          <cell r="BA1300">
            <v>9</v>
          </cell>
          <cell r="BB1300">
            <v>7</v>
          </cell>
          <cell r="BC1300">
            <v>3</v>
          </cell>
          <cell r="BD1300">
            <v>3</v>
          </cell>
          <cell r="BE1300">
            <v>7</v>
          </cell>
          <cell r="BF1300">
            <v>7</v>
          </cell>
          <cell r="BG1300">
            <v>14</v>
          </cell>
          <cell r="BH1300">
            <v>0</v>
          </cell>
          <cell r="BI1300">
            <v>1</v>
          </cell>
          <cell r="BJ1300">
            <v>0</v>
          </cell>
          <cell r="BK1300">
            <v>0</v>
          </cell>
          <cell r="BL1300">
            <v>0</v>
          </cell>
          <cell r="BM1300">
            <v>0</v>
          </cell>
          <cell r="BN1300">
            <v>1</v>
          </cell>
          <cell r="BO1300">
            <v>0</v>
          </cell>
          <cell r="BP1300">
            <v>0</v>
          </cell>
          <cell r="BQ1300">
            <v>7</v>
          </cell>
          <cell r="BR1300">
            <v>0</v>
          </cell>
          <cell r="BS1300">
            <v>0</v>
          </cell>
          <cell r="BT1300">
            <v>13</v>
          </cell>
          <cell r="BU1300">
            <v>0</v>
          </cell>
        </row>
        <row r="1301">
          <cell r="A1301">
            <v>40</v>
          </cell>
          <cell r="B1301">
            <v>40</v>
          </cell>
          <cell r="D1301">
            <v>0</v>
          </cell>
          <cell r="F1301">
            <v>0</v>
          </cell>
          <cell r="G1301">
            <v>1</v>
          </cell>
          <cell r="I1301">
            <v>1</v>
          </cell>
          <cell r="J1301">
            <v>0</v>
          </cell>
          <cell r="K1301">
            <v>1</v>
          </cell>
          <cell r="L1301">
            <v>1</v>
          </cell>
          <cell r="M1301">
            <v>3</v>
          </cell>
          <cell r="O1301">
            <v>1</v>
          </cell>
          <cell r="P1301">
            <v>0</v>
          </cell>
          <cell r="Q1301">
            <v>0</v>
          </cell>
          <cell r="R1301">
            <v>0</v>
          </cell>
          <cell r="S1301">
            <v>0</v>
          </cell>
          <cell r="T1301">
            <v>3</v>
          </cell>
          <cell r="V1301">
            <v>1</v>
          </cell>
          <cell r="W1301">
            <v>52</v>
          </cell>
          <cell r="X1301">
            <v>3</v>
          </cell>
          <cell r="Y1301">
            <v>2</v>
          </cell>
          <cell r="AA1301">
            <v>1</v>
          </cell>
          <cell r="AB1301">
            <v>0</v>
          </cell>
          <cell r="AC1301">
            <v>0</v>
          </cell>
          <cell r="AD1301">
            <v>0</v>
          </cell>
          <cell r="AE1301">
            <v>0</v>
          </cell>
          <cell r="AF1301">
            <v>0</v>
          </cell>
          <cell r="AG1301">
            <v>0</v>
          </cell>
          <cell r="AH1301">
            <v>0</v>
          </cell>
          <cell r="AI1301">
            <v>4</v>
          </cell>
          <cell r="AK1301">
            <v>0</v>
          </cell>
          <cell r="AL1301">
            <v>0</v>
          </cell>
          <cell r="AN1301">
            <v>6513</v>
          </cell>
          <cell r="AO1301">
            <v>4</v>
          </cell>
          <cell r="AQ1301">
            <v>0</v>
          </cell>
          <cell r="AR1301">
            <v>17</v>
          </cell>
          <cell r="AS1301">
            <v>3</v>
          </cell>
          <cell r="AT1301">
            <v>4</v>
          </cell>
          <cell r="AU1301">
            <v>1</v>
          </cell>
          <cell r="AV1301">
            <v>12</v>
          </cell>
          <cell r="AW1301">
            <v>12</v>
          </cell>
          <cell r="AX1301">
            <v>3</v>
          </cell>
          <cell r="AY1301">
            <v>3</v>
          </cell>
          <cell r="AZ1301">
            <v>5</v>
          </cell>
          <cell r="BA1301">
            <v>5</v>
          </cell>
          <cell r="BB1301">
            <v>3</v>
          </cell>
          <cell r="BC1301">
            <v>0</v>
          </cell>
          <cell r="BD1301">
            <v>0</v>
          </cell>
          <cell r="BE1301">
            <v>3</v>
          </cell>
          <cell r="BF1301">
            <v>3</v>
          </cell>
          <cell r="BG1301">
            <v>6</v>
          </cell>
          <cell r="BH1301">
            <v>1</v>
          </cell>
          <cell r="BI1301">
            <v>0</v>
          </cell>
          <cell r="BJ1301">
            <v>0</v>
          </cell>
          <cell r="BK1301">
            <v>0</v>
          </cell>
          <cell r="BL1301">
            <v>1</v>
          </cell>
          <cell r="BM1301">
            <v>0</v>
          </cell>
          <cell r="BN1301">
            <v>0</v>
          </cell>
          <cell r="BO1301">
            <v>0</v>
          </cell>
          <cell r="BP1301">
            <v>0</v>
          </cell>
          <cell r="BQ1301">
            <v>3</v>
          </cell>
          <cell r="BR1301">
            <v>0</v>
          </cell>
          <cell r="BS1301">
            <v>0</v>
          </cell>
          <cell r="BT1301">
            <v>12</v>
          </cell>
          <cell r="BU1301">
            <v>0</v>
          </cell>
        </row>
        <row r="1302">
          <cell r="A1302">
            <v>34</v>
          </cell>
          <cell r="B1302">
            <v>34</v>
          </cell>
          <cell r="D1302">
            <v>0</v>
          </cell>
          <cell r="F1302">
            <v>0</v>
          </cell>
          <cell r="G1302">
            <v>1</v>
          </cell>
          <cell r="I1302">
            <v>0</v>
          </cell>
          <cell r="J1302">
            <v>1</v>
          </cell>
          <cell r="K1302">
            <v>8</v>
          </cell>
          <cell r="L1302">
            <v>8</v>
          </cell>
          <cell r="M1302">
            <v>2</v>
          </cell>
          <cell r="O1302">
            <v>0</v>
          </cell>
          <cell r="P1302">
            <v>0</v>
          </cell>
          <cell r="Q1302">
            <v>0</v>
          </cell>
          <cell r="R1302">
            <v>0</v>
          </cell>
          <cell r="S1302">
            <v>1</v>
          </cell>
          <cell r="T1302">
            <v>2</v>
          </cell>
          <cell r="V1302">
            <v>0</v>
          </cell>
          <cell r="W1302">
            <v>92</v>
          </cell>
          <cell r="X1302">
            <v>4</v>
          </cell>
          <cell r="Y1302">
            <v>2</v>
          </cell>
          <cell r="AA1302">
            <v>0</v>
          </cell>
          <cell r="AB1302">
            <v>1</v>
          </cell>
          <cell r="AC1302">
            <v>0</v>
          </cell>
          <cell r="AD1302">
            <v>0</v>
          </cell>
          <cell r="AE1302">
            <v>0</v>
          </cell>
          <cell r="AF1302">
            <v>0</v>
          </cell>
          <cell r="AG1302">
            <v>0</v>
          </cell>
          <cell r="AH1302">
            <v>0</v>
          </cell>
          <cell r="AI1302">
            <v>3</v>
          </cell>
          <cell r="AK1302">
            <v>0</v>
          </cell>
          <cell r="AL1302">
            <v>1</v>
          </cell>
          <cell r="AN1302">
            <v>6799</v>
          </cell>
          <cell r="AO1302">
            <v>1</v>
          </cell>
          <cell r="AQ1302">
            <v>0</v>
          </cell>
          <cell r="AR1302">
            <v>21</v>
          </cell>
          <cell r="AS1302">
            <v>4</v>
          </cell>
          <cell r="AT1302">
            <v>3</v>
          </cell>
          <cell r="AU1302">
            <v>2</v>
          </cell>
          <cell r="AV1302">
            <v>10</v>
          </cell>
          <cell r="AW1302">
            <v>10</v>
          </cell>
          <cell r="AX1302">
            <v>5</v>
          </cell>
          <cell r="AY1302">
            <v>3</v>
          </cell>
          <cell r="AZ1302">
            <v>10</v>
          </cell>
          <cell r="BA1302">
            <v>10</v>
          </cell>
          <cell r="BB1302">
            <v>8</v>
          </cell>
          <cell r="BC1302">
            <v>4</v>
          </cell>
          <cell r="BD1302">
            <v>4</v>
          </cell>
          <cell r="BE1302">
            <v>8</v>
          </cell>
          <cell r="BF1302">
            <v>8</v>
          </cell>
          <cell r="BG1302">
            <v>16</v>
          </cell>
          <cell r="BH1302">
            <v>0</v>
          </cell>
          <cell r="BI1302">
            <v>1</v>
          </cell>
          <cell r="BJ1302">
            <v>0</v>
          </cell>
          <cell r="BK1302">
            <v>0</v>
          </cell>
          <cell r="BL1302">
            <v>0</v>
          </cell>
          <cell r="BM1302">
            <v>0</v>
          </cell>
          <cell r="BN1302">
            <v>1</v>
          </cell>
          <cell r="BO1302">
            <v>0</v>
          </cell>
          <cell r="BP1302">
            <v>0</v>
          </cell>
          <cell r="BQ1302">
            <v>0</v>
          </cell>
          <cell r="BR1302">
            <v>8</v>
          </cell>
          <cell r="BS1302">
            <v>0</v>
          </cell>
          <cell r="BT1302">
            <v>0</v>
          </cell>
          <cell r="BU1302">
            <v>10</v>
          </cell>
        </row>
        <row r="1303">
          <cell r="A1303">
            <v>58</v>
          </cell>
          <cell r="B1303">
            <v>58</v>
          </cell>
          <cell r="D1303">
            <v>0</v>
          </cell>
          <cell r="F1303">
            <v>0</v>
          </cell>
          <cell r="G1303">
            <v>0</v>
          </cell>
          <cell r="I1303">
            <v>0</v>
          </cell>
          <cell r="J1303">
            <v>1</v>
          </cell>
          <cell r="K1303">
            <v>2</v>
          </cell>
          <cell r="L1303">
            <v>2</v>
          </cell>
          <cell r="M1303">
            <v>3</v>
          </cell>
          <cell r="O1303">
            <v>0</v>
          </cell>
          <cell r="P1303">
            <v>0</v>
          </cell>
          <cell r="Q1303">
            <v>1</v>
          </cell>
          <cell r="R1303">
            <v>0</v>
          </cell>
          <cell r="S1303">
            <v>0</v>
          </cell>
          <cell r="T1303">
            <v>2</v>
          </cell>
          <cell r="V1303">
            <v>0</v>
          </cell>
          <cell r="W1303">
            <v>52</v>
          </cell>
          <cell r="X1303">
            <v>3</v>
          </cell>
          <cell r="Y1303">
            <v>4</v>
          </cell>
          <cell r="AA1303">
            <v>0</v>
          </cell>
          <cell r="AB1303">
            <v>0</v>
          </cell>
          <cell r="AC1303">
            <v>0</v>
          </cell>
          <cell r="AD1303">
            <v>1</v>
          </cell>
          <cell r="AE1303">
            <v>0</v>
          </cell>
          <cell r="AF1303">
            <v>0</v>
          </cell>
          <cell r="AG1303">
            <v>0</v>
          </cell>
          <cell r="AH1303">
            <v>0</v>
          </cell>
          <cell r="AI1303">
            <v>2</v>
          </cell>
          <cell r="AK1303">
            <v>0</v>
          </cell>
          <cell r="AL1303">
            <v>0</v>
          </cell>
          <cell r="AN1303">
            <v>16291</v>
          </cell>
          <cell r="AO1303">
            <v>4</v>
          </cell>
          <cell r="AQ1303">
            <v>0</v>
          </cell>
          <cell r="AR1303">
            <v>22</v>
          </cell>
          <cell r="AS1303">
            <v>4</v>
          </cell>
          <cell r="AT1303">
            <v>4</v>
          </cell>
          <cell r="AU1303">
            <v>1</v>
          </cell>
          <cell r="AV1303">
            <v>37</v>
          </cell>
          <cell r="AW1303">
            <v>35</v>
          </cell>
          <cell r="AX1303">
            <v>0</v>
          </cell>
          <cell r="AY1303">
            <v>2</v>
          </cell>
          <cell r="AZ1303">
            <v>16</v>
          </cell>
          <cell r="BA1303">
            <v>16</v>
          </cell>
          <cell r="BB1303">
            <v>9</v>
          </cell>
          <cell r="BC1303">
            <v>14</v>
          </cell>
          <cell r="BD1303">
            <v>14</v>
          </cell>
          <cell r="BE1303">
            <v>14</v>
          </cell>
          <cell r="BF1303">
            <v>14</v>
          </cell>
          <cell r="BG1303">
            <v>56</v>
          </cell>
          <cell r="BH1303">
            <v>1</v>
          </cell>
          <cell r="BI1303">
            <v>0</v>
          </cell>
          <cell r="BJ1303">
            <v>0</v>
          </cell>
          <cell r="BK1303">
            <v>0</v>
          </cell>
          <cell r="BL1303">
            <v>1</v>
          </cell>
          <cell r="BM1303">
            <v>0</v>
          </cell>
          <cell r="BN1303">
            <v>0</v>
          </cell>
          <cell r="BO1303">
            <v>0</v>
          </cell>
          <cell r="BP1303">
            <v>0</v>
          </cell>
          <cell r="BQ1303">
            <v>0</v>
          </cell>
          <cell r="BR1303">
            <v>14</v>
          </cell>
          <cell r="BS1303">
            <v>0</v>
          </cell>
          <cell r="BT1303">
            <v>0</v>
          </cell>
          <cell r="BU1303">
            <v>35</v>
          </cell>
        </row>
        <row r="1304">
          <cell r="A1304">
            <v>35</v>
          </cell>
          <cell r="B1304">
            <v>35</v>
          </cell>
          <cell r="D1304">
            <v>0</v>
          </cell>
          <cell r="F1304">
            <v>0</v>
          </cell>
          <cell r="G1304">
            <v>1</v>
          </cell>
          <cell r="I1304">
            <v>1</v>
          </cell>
          <cell r="J1304">
            <v>0</v>
          </cell>
          <cell r="K1304">
            <v>23</v>
          </cell>
          <cell r="L1304">
            <v>23</v>
          </cell>
          <cell r="M1304">
            <v>4</v>
          </cell>
          <cell r="O1304">
            <v>0</v>
          </cell>
          <cell r="P1304">
            <v>0</v>
          </cell>
          <cell r="Q1304">
            <v>1</v>
          </cell>
          <cell r="R1304">
            <v>0</v>
          </cell>
          <cell r="S1304">
            <v>0</v>
          </cell>
          <cell r="T1304">
            <v>2</v>
          </cell>
          <cell r="V1304">
            <v>0</v>
          </cell>
          <cell r="W1304">
            <v>91</v>
          </cell>
          <cell r="X1304">
            <v>1</v>
          </cell>
          <cell r="Y1304">
            <v>1</v>
          </cell>
          <cell r="AA1304">
            <v>0</v>
          </cell>
          <cell r="AB1304">
            <v>0</v>
          </cell>
          <cell r="AC1304">
            <v>1</v>
          </cell>
          <cell r="AD1304">
            <v>0</v>
          </cell>
          <cell r="AE1304">
            <v>0</v>
          </cell>
          <cell r="AF1304">
            <v>0</v>
          </cell>
          <cell r="AG1304">
            <v>0</v>
          </cell>
          <cell r="AH1304">
            <v>0</v>
          </cell>
          <cell r="AI1304">
            <v>3</v>
          </cell>
          <cell r="AK1304">
            <v>0</v>
          </cell>
          <cell r="AL1304">
            <v>1</v>
          </cell>
          <cell r="AN1304">
            <v>2705</v>
          </cell>
          <cell r="AO1304">
            <v>0</v>
          </cell>
          <cell r="AQ1304">
            <v>0</v>
          </cell>
          <cell r="AR1304">
            <v>16</v>
          </cell>
          <cell r="AS1304">
            <v>3</v>
          </cell>
          <cell r="AT1304">
            <v>2</v>
          </cell>
          <cell r="AU1304">
            <v>1</v>
          </cell>
          <cell r="AV1304">
            <v>6</v>
          </cell>
          <cell r="AW1304">
            <v>6</v>
          </cell>
          <cell r="AX1304">
            <v>2</v>
          </cell>
          <cell r="AY1304">
            <v>4</v>
          </cell>
          <cell r="AZ1304">
            <v>5</v>
          </cell>
          <cell r="BA1304">
            <v>5</v>
          </cell>
          <cell r="BB1304">
            <v>4</v>
          </cell>
          <cell r="BC1304">
            <v>0</v>
          </cell>
          <cell r="BD1304">
            <v>0</v>
          </cell>
          <cell r="BE1304">
            <v>3</v>
          </cell>
          <cell r="BF1304">
            <v>3</v>
          </cell>
          <cell r="BG1304">
            <v>3</v>
          </cell>
          <cell r="BH1304">
            <v>0</v>
          </cell>
          <cell r="BI1304">
            <v>1</v>
          </cell>
          <cell r="BJ1304">
            <v>0</v>
          </cell>
          <cell r="BK1304">
            <v>0</v>
          </cell>
          <cell r="BL1304">
            <v>0</v>
          </cell>
          <cell r="BM1304">
            <v>0</v>
          </cell>
          <cell r="BN1304">
            <v>1</v>
          </cell>
          <cell r="BO1304">
            <v>0</v>
          </cell>
          <cell r="BP1304">
            <v>0</v>
          </cell>
          <cell r="BQ1304">
            <v>3</v>
          </cell>
          <cell r="BR1304">
            <v>0</v>
          </cell>
          <cell r="BS1304">
            <v>0</v>
          </cell>
          <cell r="BT1304">
            <v>6</v>
          </cell>
          <cell r="BU1304">
            <v>0</v>
          </cell>
        </row>
        <row r="1305">
          <cell r="A1305">
            <v>47</v>
          </cell>
          <cell r="B1305">
            <v>47</v>
          </cell>
          <cell r="D1305">
            <v>0</v>
          </cell>
          <cell r="F1305">
            <v>0</v>
          </cell>
          <cell r="G1305">
            <v>1</v>
          </cell>
          <cell r="I1305">
            <v>1</v>
          </cell>
          <cell r="J1305">
            <v>0</v>
          </cell>
          <cell r="K1305">
            <v>4</v>
          </cell>
          <cell r="L1305">
            <v>4</v>
          </cell>
          <cell r="M1305">
            <v>3</v>
          </cell>
          <cell r="O1305">
            <v>1</v>
          </cell>
          <cell r="P1305">
            <v>0</v>
          </cell>
          <cell r="Q1305">
            <v>0</v>
          </cell>
          <cell r="R1305">
            <v>0</v>
          </cell>
          <cell r="S1305">
            <v>0</v>
          </cell>
          <cell r="T1305">
            <v>3</v>
          </cell>
          <cell r="V1305">
            <v>1</v>
          </cell>
          <cell r="W1305">
            <v>92</v>
          </cell>
          <cell r="X1305">
            <v>2</v>
          </cell>
          <cell r="Y1305">
            <v>3</v>
          </cell>
          <cell r="AA1305">
            <v>0</v>
          </cell>
          <cell r="AB1305">
            <v>0</v>
          </cell>
          <cell r="AC1305">
            <v>0</v>
          </cell>
          <cell r="AD1305">
            <v>0</v>
          </cell>
          <cell r="AE1305">
            <v>1</v>
          </cell>
          <cell r="AF1305">
            <v>1</v>
          </cell>
          <cell r="AG1305">
            <v>0</v>
          </cell>
          <cell r="AH1305">
            <v>0</v>
          </cell>
          <cell r="AI1305">
            <v>2</v>
          </cell>
          <cell r="AK1305">
            <v>0</v>
          </cell>
          <cell r="AL1305">
            <v>0</v>
          </cell>
          <cell r="AN1305">
            <v>10333</v>
          </cell>
          <cell r="AO1305">
            <v>8</v>
          </cell>
          <cell r="AQ1305">
            <v>1</v>
          </cell>
          <cell r="AR1305">
            <v>12</v>
          </cell>
          <cell r="AS1305">
            <v>3</v>
          </cell>
          <cell r="AT1305">
            <v>3</v>
          </cell>
          <cell r="AU1305">
            <v>1</v>
          </cell>
          <cell r="AV1305">
            <v>28</v>
          </cell>
          <cell r="AW1305">
            <v>28</v>
          </cell>
          <cell r="AX1305">
            <v>4</v>
          </cell>
          <cell r="AY1305">
            <v>3</v>
          </cell>
          <cell r="AZ1305">
            <v>22</v>
          </cell>
          <cell r="BA1305">
            <v>22</v>
          </cell>
          <cell r="BB1305">
            <v>11</v>
          </cell>
          <cell r="BC1305">
            <v>14</v>
          </cell>
          <cell r="BD1305">
            <v>14</v>
          </cell>
          <cell r="BE1305">
            <v>10</v>
          </cell>
          <cell r="BF1305">
            <v>10</v>
          </cell>
          <cell r="BG1305">
            <v>30</v>
          </cell>
          <cell r="BH1305">
            <v>1</v>
          </cell>
          <cell r="BI1305">
            <v>0</v>
          </cell>
          <cell r="BJ1305">
            <v>0</v>
          </cell>
          <cell r="BK1305">
            <v>0</v>
          </cell>
          <cell r="BL1305">
            <v>0</v>
          </cell>
          <cell r="BM1305">
            <v>1</v>
          </cell>
          <cell r="BN1305">
            <v>0</v>
          </cell>
          <cell r="BO1305">
            <v>0</v>
          </cell>
          <cell r="BP1305">
            <v>0</v>
          </cell>
          <cell r="BQ1305">
            <v>10</v>
          </cell>
          <cell r="BR1305">
            <v>0</v>
          </cell>
          <cell r="BS1305">
            <v>0</v>
          </cell>
          <cell r="BT1305">
            <v>28</v>
          </cell>
          <cell r="BU1305">
            <v>0</v>
          </cell>
        </row>
        <row r="1306">
          <cell r="A1306">
            <v>40</v>
          </cell>
          <cell r="B1306">
            <v>40</v>
          </cell>
          <cell r="D1306">
            <v>0</v>
          </cell>
          <cell r="F1306">
            <v>0</v>
          </cell>
          <cell r="G1306">
            <v>1</v>
          </cell>
          <cell r="I1306">
            <v>1</v>
          </cell>
          <cell r="J1306">
            <v>0</v>
          </cell>
          <cell r="K1306">
            <v>12</v>
          </cell>
          <cell r="L1306">
            <v>12</v>
          </cell>
          <cell r="M1306">
            <v>3</v>
          </cell>
          <cell r="O1306">
            <v>1</v>
          </cell>
          <cell r="P1306">
            <v>0</v>
          </cell>
          <cell r="Q1306">
            <v>0</v>
          </cell>
          <cell r="R1306">
            <v>0</v>
          </cell>
          <cell r="S1306">
            <v>0</v>
          </cell>
          <cell r="T1306">
            <v>2</v>
          </cell>
          <cell r="V1306">
            <v>1</v>
          </cell>
          <cell r="W1306">
            <v>47</v>
          </cell>
          <cell r="X1306">
            <v>3</v>
          </cell>
          <cell r="Y1306">
            <v>2</v>
          </cell>
          <cell r="AA1306">
            <v>1</v>
          </cell>
          <cell r="AB1306">
            <v>0</v>
          </cell>
          <cell r="AC1306">
            <v>0</v>
          </cell>
          <cell r="AD1306">
            <v>0</v>
          </cell>
          <cell r="AE1306">
            <v>0</v>
          </cell>
          <cell r="AF1306">
            <v>0</v>
          </cell>
          <cell r="AG1306">
            <v>0</v>
          </cell>
          <cell r="AH1306">
            <v>0</v>
          </cell>
          <cell r="AI1306">
            <v>1</v>
          </cell>
          <cell r="AK1306">
            <v>0</v>
          </cell>
          <cell r="AL1306">
            <v>0</v>
          </cell>
          <cell r="AN1306">
            <v>4448</v>
          </cell>
          <cell r="AO1306">
            <v>2</v>
          </cell>
          <cell r="AQ1306">
            <v>0</v>
          </cell>
          <cell r="AR1306">
            <v>12</v>
          </cell>
          <cell r="AS1306">
            <v>3</v>
          </cell>
          <cell r="AT1306">
            <v>2</v>
          </cell>
          <cell r="AU1306">
            <v>1</v>
          </cell>
          <cell r="AV1306">
            <v>15</v>
          </cell>
          <cell r="AW1306">
            <v>15</v>
          </cell>
          <cell r="AX1306">
            <v>3</v>
          </cell>
          <cell r="AY1306">
            <v>3</v>
          </cell>
          <cell r="AZ1306">
            <v>7</v>
          </cell>
          <cell r="BA1306">
            <v>7</v>
          </cell>
          <cell r="BB1306">
            <v>4</v>
          </cell>
          <cell r="BC1306">
            <v>7</v>
          </cell>
          <cell r="BD1306">
            <v>7</v>
          </cell>
          <cell r="BE1306">
            <v>7</v>
          </cell>
          <cell r="BF1306">
            <v>7</v>
          </cell>
          <cell r="BG1306">
            <v>14</v>
          </cell>
          <cell r="BH1306">
            <v>1</v>
          </cell>
          <cell r="BI1306">
            <v>0</v>
          </cell>
          <cell r="BJ1306">
            <v>0</v>
          </cell>
          <cell r="BK1306">
            <v>0</v>
          </cell>
          <cell r="BL1306">
            <v>1</v>
          </cell>
          <cell r="BM1306">
            <v>0</v>
          </cell>
          <cell r="BN1306">
            <v>0</v>
          </cell>
          <cell r="BO1306">
            <v>0</v>
          </cell>
          <cell r="BP1306">
            <v>0</v>
          </cell>
          <cell r="BQ1306">
            <v>7</v>
          </cell>
          <cell r="BR1306">
            <v>0</v>
          </cell>
          <cell r="BS1306">
            <v>0</v>
          </cell>
          <cell r="BT1306">
            <v>15</v>
          </cell>
          <cell r="BU1306">
            <v>0</v>
          </cell>
        </row>
        <row r="1307">
          <cell r="A1307">
            <v>54</v>
          </cell>
          <cell r="B1307">
            <v>54</v>
          </cell>
          <cell r="D1307">
            <v>0</v>
          </cell>
          <cell r="F1307">
            <v>0</v>
          </cell>
          <cell r="G1307">
            <v>1</v>
          </cell>
          <cell r="I1307">
            <v>1</v>
          </cell>
          <cell r="J1307">
            <v>0</v>
          </cell>
          <cell r="K1307">
            <v>7</v>
          </cell>
          <cell r="L1307">
            <v>7</v>
          </cell>
          <cell r="M1307">
            <v>4</v>
          </cell>
          <cell r="O1307">
            <v>0</v>
          </cell>
          <cell r="P1307">
            <v>0</v>
          </cell>
          <cell r="Q1307">
            <v>1</v>
          </cell>
          <cell r="R1307">
            <v>0</v>
          </cell>
          <cell r="S1307">
            <v>0</v>
          </cell>
          <cell r="T1307">
            <v>4</v>
          </cell>
          <cell r="V1307">
            <v>1</v>
          </cell>
          <cell r="W1307">
            <v>68</v>
          </cell>
          <cell r="X1307">
            <v>3</v>
          </cell>
          <cell r="Y1307">
            <v>2</v>
          </cell>
          <cell r="AA1307">
            <v>0</v>
          </cell>
          <cell r="AB1307">
            <v>0</v>
          </cell>
          <cell r="AC1307">
            <v>0</v>
          </cell>
          <cell r="AD1307">
            <v>0</v>
          </cell>
          <cell r="AE1307">
            <v>0</v>
          </cell>
          <cell r="AF1307">
            <v>0</v>
          </cell>
          <cell r="AG1307">
            <v>0</v>
          </cell>
          <cell r="AH1307">
            <v>1</v>
          </cell>
          <cell r="AI1307">
            <v>4</v>
          </cell>
          <cell r="AK1307">
            <v>0</v>
          </cell>
          <cell r="AL1307">
            <v>1</v>
          </cell>
          <cell r="AN1307">
            <v>6854</v>
          </cell>
          <cell r="AO1307">
            <v>4</v>
          </cell>
          <cell r="AQ1307">
            <v>0</v>
          </cell>
          <cell r="AR1307">
            <v>15</v>
          </cell>
          <cell r="AS1307">
            <v>3</v>
          </cell>
          <cell r="AT1307">
            <v>2</v>
          </cell>
          <cell r="AU1307">
            <v>1</v>
          </cell>
          <cell r="AV1307">
            <v>14</v>
          </cell>
          <cell r="AW1307">
            <v>14</v>
          </cell>
          <cell r="AX1307">
            <v>2</v>
          </cell>
          <cell r="AY1307">
            <v>2</v>
          </cell>
          <cell r="AZ1307">
            <v>7</v>
          </cell>
          <cell r="BA1307">
            <v>7</v>
          </cell>
          <cell r="BB1307">
            <v>1</v>
          </cell>
          <cell r="BC1307">
            <v>1</v>
          </cell>
          <cell r="BD1307">
            <v>1</v>
          </cell>
          <cell r="BE1307">
            <v>7</v>
          </cell>
          <cell r="BF1307">
            <v>7</v>
          </cell>
          <cell r="BG1307">
            <v>14</v>
          </cell>
          <cell r="BH1307">
            <v>0</v>
          </cell>
          <cell r="BI1307">
            <v>1</v>
          </cell>
          <cell r="BJ1307">
            <v>0</v>
          </cell>
          <cell r="BK1307">
            <v>0</v>
          </cell>
          <cell r="BL1307">
            <v>0</v>
          </cell>
          <cell r="BM1307">
            <v>0</v>
          </cell>
          <cell r="BN1307">
            <v>1</v>
          </cell>
          <cell r="BO1307">
            <v>0</v>
          </cell>
          <cell r="BP1307">
            <v>0</v>
          </cell>
          <cell r="BQ1307">
            <v>7</v>
          </cell>
          <cell r="BR1307">
            <v>0</v>
          </cell>
          <cell r="BS1307">
            <v>0</v>
          </cell>
          <cell r="BT1307">
            <v>14</v>
          </cell>
          <cell r="BU1307">
            <v>0</v>
          </cell>
        </row>
        <row r="1308">
          <cell r="A1308">
            <v>31</v>
          </cell>
          <cell r="B1308">
            <v>31</v>
          </cell>
          <cell r="D1308">
            <v>0</v>
          </cell>
          <cell r="F1308">
            <v>1</v>
          </cell>
          <cell r="G1308">
            <v>0</v>
          </cell>
          <cell r="I1308">
            <v>0</v>
          </cell>
          <cell r="J1308">
            <v>1</v>
          </cell>
          <cell r="K1308">
            <v>7</v>
          </cell>
          <cell r="L1308">
            <v>7</v>
          </cell>
          <cell r="M1308">
            <v>4</v>
          </cell>
          <cell r="O1308">
            <v>0</v>
          </cell>
          <cell r="P1308">
            <v>0</v>
          </cell>
          <cell r="Q1308">
            <v>0</v>
          </cell>
          <cell r="R1308">
            <v>1</v>
          </cell>
          <cell r="S1308">
            <v>0</v>
          </cell>
          <cell r="T1308">
            <v>1</v>
          </cell>
          <cell r="V1308">
            <v>1</v>
          </cell>
          <cell r="W1308">
            <v>68</v>
          </cell>
          <cell r="X1308">
            <v>3</v>
          </cell>
          <cell r="Y1308">
            <v>3</v>
          </cell>
          <cell r="AA1308">
            <v>0</v>
          </cell>
          <cell r="AB1308">
            <v>1</v>
          </cell>
          <cell r="AC1308">
            <v>0</v>
          </cell>
          <cell r="AD1308">
            <v>0</v>
          </cell>
          <cell r="AE1308">
            <v>0</v>
          </cell>
          <cell r="AF1308">
            <v>0</v>
          </cell>
          <cell r="AG1308">
            <v>0</v>
          </cell>
          <cell r="AH1308">
            <v>0</v>
          </cell>
          <cell r="AI1308">
            <v>1</v>
          </cell>
          <cell r="AK1308">
            <v>0</v>
          </cell>
          <cell r="AL1308">
            <v>1</v>
          </cell>
          <cell r="AN1308">
            <v>9637</v>
          </cell>
          <cell r="AO1308">
            <v>2</v>
          </cell>
          <cell r="AQ1308">
            <v>0</v>
          </cell>
          <cell r="AR1308">
            <v>14</v>
          </cell>
          <cell r="AS1308">
            <v>3</v>
          </cell>
          <cell r="AT1308">
            <v>4</v>
          </cell>
          <cell r="AU1308">
            <v>2</v>
          </cell>
          <cell r="AV1308">
            <v>9</v>
          </cell>
          <cell r="AW1308">
            <v>9</v>
          </cell>
          <cell r="AX1308">
            <v>3</v>
          </cell>
          <cell r="AY1308">
            <v>3</v>
          </cell>
          <cell r="AZ1308">
            <v>3</v>
          </cell>
          <cell r="BA1308">
            <v>3</v>
          </cell>
          <cell r="BB1308">
            <v>2</v>
          </cell>
          <cell r="BC1308">
            <v>2</v>
          </cell>
          <cell r="BD1308">
            <v>2</v>
          </cell>
          <cell r="BE1308">
            <v>2</v>
          </cell>
          <cell r="BF1308">
            <v>2</v>
          </cell>
          <cell r="BG1308">
            <v>6</v>
          </cell>
          <cell r="BH1308">
            <v>0</v>
          </cell>
          <cell r="BI1308">
            <v>0</v>
          </cell>
          <cell r="BJ1308">
            <v>0</v>
          </cell>
          <cell r="BK1308">
            <v>1</v>
          </cell>
          <cell r="BL1308">
            <v>0</v>
          </cell>
          <cell r="BM1308">
            <v>0</v>
          </cell>
          <cell r="BN1308">
            <v>1</v>
          </cell>
          <cell r="BO1308">
            <v>0</v>
          </cell>
          <cell r="BP1308">
            <v>0</v>
          </cell>
          <cell r="BQ1308">
            <v>0</v>
          </cell>
          <cell r="BR1308">
            <v>2</v>
          </cell>
          <cell r="BS1308">
            <v>0</v>
          </cell>
          <cell r="BT1308">
            <v>0</v>
          </cell>
          <cell r="BU1308">
            <v>9</v>
          </cell>
        </row>
        <row r="1309">
          <cell r="A1309">
            <v>28</v>
          </cell>
          <cell r="B1309">
            <v>28</v>
          </cell>
          <cell r="D1309">
            <v>0</v>
          </cell>
          <cell r="F1309">
            <v>0</v>
          </cell>
          <cell r="G1309">
            <v>1</v>
          </cell>
          <cell r="I1309">
            <v>1</v>
          </cell>
          <cell r="J1309">
            <v>0</v>
          </cell>
          <cell r="K1309">
            <v>1</v>
          </cell>
          <cell r="L1309">
            <v>1</v>
          </cell>
          <cell r="M1309">
            <v>3</v>
          </cell>
          <cell r="O1309">
            <v>0</v>
          </cell>
          <cell r="P1309">
            <v>0</v>
          </cell>
          <cell r="Q1309">
            <v>1</v>
          </cell>
          <cell r="R1309">
            <v>0</v>
          </cell>
          <cell r="S1309">
            <v>0</v>
          </cell>
          <cell r="T1309">
            <v>3</v>
          </cell>
          <cell r="V1309">
            <v>1</v>
          </cell>
          <cell r="W1309">
            <v>67</v>
          </cell>
          <cell r="X1309">
            <v>3</v>
          </cell>
          <cell r="Y1309">
            <v>1</v>
          </cell>
          <cell r="AA1309">
            <v>0</v>
          </cell>
          <cell r="AB1309">
            <v>0</v>
          </cell>
          <cell r="AC1309">
            <v>0</v>
          </cell>
          <cell r="AD1309">
            <v>0</v>
          </cell>
          <cell r="AE1309">
            <v>0</v>
          </cell>
          <cell r="AF1309">
            <v>0</v>
          </cell>
          <cell r="AG1309">
            <v>0</v>
          </cell>
          <cell r="AH1309">
            <v>1</v>
          </cell>
          <cell r="AI1309">
            <v>1</v>
          </cell>
          <cell r="AK1309">
            <v>0</v>
          </cell>
          <cell r="AL1309">
            <v>1</v>
          </cell>
          <cell r="AN1309">
            <v>3591</v>
          </cell>
          <cell r="AO1309">
            <v>1</v>
          </cell>
          <cell r="AQ1309">
            <v>0</v>
          </cell>
          <cell r="AR1309">
            <v>25</v>
          </cell>
          <cell r="AS1309">
            <v>4</v>
          </cell>
          <cell r="AT1309">
            <v>3</v>
          </cell>
          <cell r="AU1309">
            <v>1</v>
          </cell>
          <cell r="AV1309">
            <v>3</v>
          </cell>
          <cell r="AW1309">
            <v>3</v>
          </cell>
          <cell r="AX1309">
            <v>3</v>
          </cell>
          <cell r="AY1309">
            <v>3</v>
          </cell>
          <cell r="AZ1309">
            <v>3</v>
          </cell>
          <cell r="BA1309">
            <v>3</v>
          </cell>
          <cell r="BB1309">
            <v>2</v>
          </cell>
          <cell r="BC1309">
            <v>1</v>
          </cell>
          <cell r="BD1309">
            <v>1</v>
          </cell>
          <cell r="BE1309">
            <v>2</v>
          </cell>
          <cell r="BF1309">
            <v>2</v>
          </cell>
          <cell r="BG1309">
            <v>2</v>
          </cell>
          <cell r="BH1309">
            <v>0</v>
          </cell>
          <cell r="BI1309">
            <v>1</v>
          </cell>
          <cell r="BJ1309">
            <v>0</v>
          </cell>
          <cell r="BK1309">
            <v>0</v>
          </cell>
          <cell r="BL1309">
            <v>0</v>
          </cell>
          <cell r="BM1309">
            <v>0</v>
          </cell>
          <cell r="BN1309">
            <v>1</v>
          </cell>
          <cell r="BO1309">
            <v>0</v>
          </cell>
          <cell r="BP1309">
            <v>0</v>
          </cell>
          <cell r="BQ1309">
            <v>2</v>
          </cell>
          <cell r="BR1309">
            <v>0</v>
          </cell>
          <cell r="BS1309">
            <v>0</v>
          </cell>
          <cell r="BT1309">
            <v>3</v>
          </cell>
          <cell r="BU1309">
            <v>0</v>
          </cell>
        </row>
        <row r="1310">
          <cell r="A1310">
            <v>38</v>
          </cell>
          <cell r="B1310">
            <v>38</v>
          </cell>
          <cell r="D1310">
            <v>0</v>
          </cell>
          <cell r="F1310">
            <v>0</v>
          </cell>
          <cell r="G1310">
            <v>1</v>
          </cell>
          <cell r="I1310">
            <v>0</v>
          </cell>
          <cell r="J1310">
            <v>1</v>
          </cell>
          <cell r="K1310">
            <v>2</v>
          </cell>
          <cell r="L1310">
            <v>2</v>
          </cell>
          <cell r="M1310">
            <v>4</v>
          </cell>
          <cell r="O1310">
            <v>0</v>
          </cell>
          <cell r="P1310">
            <v>0</v>
          </cell>
          <cell r="Q1310">
            <v>0</v>
          </cell>
          <cell r="R1310">
            <v>1</v>
          </cell>
          <cell r="S1310">
            <v>0</v>
          </cell>
          <cell r="T1310">
            <v>2</v>
          </cell>
          <cell r="V1310">
            <v>1</v>
          </cell>
          <cell r="W1310">
            <v>77</v>
          </cell>
          <cell r="X1310">
            <v>1</v>
          </cell>
          <cell r="Y1310">
            <v>2</v>
          </cell>
          <cell r="AA1310">
            <v>0</v>
          </cell>
          <cell r="AB1310">
            <v>0</v>
          </cell>
          <cell r="AC1310">
            <v>0</v>
          </cell>
          <cell r="AD1310">
            <v>0</v>
          </cell>
          <cell r="AE1310">
            <v>0</v>
          </cell>
          <cell r="AF1310">
            <v>0</v>
          </cell>
          <cell r="AG1310">
            <v>1</v>
          </cell>
          <cell r="AH1310">
            <v>0</v>
          </cell>
          <cell r="AI1310">
            <v>4</v>
          </cell>
          <cell r="AK1310">
            <v>0</v>
          </cell>
          <cell r="AL1310">
            <v>1</v>
          </cell>
          <cell r="AN1310">
            <v>5405</v>
          </cell>
          <cell r="AO1310">
            <v>2</v>
          </cell>
          <cell r="AQ1310">
            <v>1</v>
          </cell>
          <cell r="AR1310">
            <v>20</v>
          </cell>
          <cell r="AS1310">
            <v>4</v>
          </cell>
          <cell r="AT1310">
            <v>1</v>
          </cell>
          <cell r="AU1310">
            <v>2</v>
          </cell>
          <cell r="AV1310">
            <v>20</v>
          </cell>
          <cell r="AW1310">
            <v>20</v>
          </cell>
          <cell r="AX1310">
            <v>4</v>
          </cell>
          <cell r="AY1310">
            <v>2</v>
          </cell>
          <cell r="AZ1310">
            <v>4</v>
          </cell>
          <cell r="BA1310">
            <v>4</v>
          </cell>
          <cell r="BB1310">
            <v>2</v>
          </cell>
          <cell r="BC1310">
            <v>0</v>
          </cell>
          <cell r="BD1310">
            <v>0</v>
          </cell>
          <cell r="BE1310">
            <v>3</v>
          </cell>
          <cell r="BF1310">
            <v>3</v>
          </cell>
          <cell r="BG1310">
            <v>6</v>
          </cell>
          <cell r="BH1310">
            <v>0</v>
          </cell>
          <cell r="BI1310">
            <v>1</v>
          </cell>
          <cell r="BJ1310">
            <v>0</v>
          </cell>
          <cell r="BK1310">
            <v>0</v>
          </cell>
          <cell r="BL1310">
            <v>0</v>
          </cell>
          <cell r="BM1310">
            <v>0</v>
          </cell>
          <cell r="BN1310">
            <v>0</v>
          </cell>
          <cell r="BO1310">
            <v>1</v>
          </cell>
          <cell r="BP1310">
            <v>0</v>
          </cell>
          <cell r="BQ1310">
            <v>0</v>
          </cell>
          <cell r="BR1310">
            <v>3</v>
          </cell>
          <cell r="BS1310">
            <v>0</v>
          </cell>
          <cell r="BT1310">
            <v>0</v>
          </cell>
          <cell r="BU1310">
            <v>20</v>
          </cell>
        </row>
        <row r="1311">
          <cell r="A1311">
            <v>26</v>
          </cell>
          <cell r="B1311">
            <v>26</v>
          </cell>
          <cell r="D1311">
            <v>0</v>
          </cell>
          <cell r="F1311">
            <v>0</v>
          </cell>
          <cell r="G1311">
            <v>1</v>
          </cell>
          <cell r="I1311">
            <v>0</v>
          </cell>
          <cell r="J1311">
            <v>1</v>
          </cell>
          <cell r="K1311">
            <v>10</v>
          </cell>
          <cell r="L1311">
            <v>10</v>
          </cell>
          <cell r="M1311">
            <v>3</v>
          </cell>
          <cell r="O1311">
            <v>0</v>
          </cell>
          <cell r="P1311">
            <v>0</v>
          </cell>
          <cell r="Q1311">
            <v>1</v>
          </cell>
          <cell r="R1311">
            <v>0</v>
          </cell>
          <cell r="S1311">
            <v>0</v>
          </cell>
          <cell r="T1311">
            <v>3</v>
          </cell>
          <cell r="V1311">
            <v>0</v>
          </cell>
          <cell r="W1311">
            <v>46</v>
          </cell>
          <cell r="X1311">
            <v>3</v>
          </cell>
          <cell r="Y1311">
            <v>2</v>
          </cell>
          <cell r="AA1311">
            <v>0</v>
          </cell>
          <cell r="AB1311">
            <v>1</v>
          </cell>
          <cell r="AC1311">
            <v>0</v>
          </cell>
          <cell r="AD1311">
            <v>0</v>
          </cell>
          <cell r="AE1311">
            <v>0</v>
          </cell>
          <cell r="AF1311">
            <v>0</v>
          </cell>
          <cell r="AG1311">
            <v>0</v>
          </cell>
          <cell r="AH1311">
            <v>0</v>
          </cell>
          <cell r="AI1311">
            <v>4</v>
          </cell>
          <cell r="AK1311">
            <v>1</v>
          </cell>
          <cell r="AL1311">
            <v>0</v>
          </cell>
          <cell r="AN1311">
            <v>4684</v>
          </cell>
          <cell r="AO1311">
            <v>1</v>
          </cell>
          <cell r="AQ1311">
            <v>0</v>
          </cell>
          <cell r="AR1311">
            <v>13</v>
          </cell>
          <cell r="AS1311">
            <v>3</v>
          </cell>
          <cell r="AT1311">
            <v>1</v>
          </cell>
          <cell r="AU1311">
            <v>0</v>
          </cell>
          <cell r="AV1311">
            <v>5</v>
          </cell>
          <cell r="AW1311">
            <v>5</v>
          </cell>
          <cell r="AX1311">
            <v>4</v>
          </cell>
          <cell r="AY1311">
            <v>3</v>
          </cell>
          <cell r="AZ1311">
            <v>5</v>
          </cell>
          <cell r="BA1311">
            <v>5</v>
          </cell>
          <cell r="BB1311">
            <v>3</v>
          </cell>
          <cell r="BC1311">
            <v>1</v>
          </cell>
          <cell r="BD1311">
            <v>1</v>
          </cell>
          <cell r="BE1311">
            <v>2</v>
          </cell>
          <cell r="BF1311">
            <v>2</v>
          </cell>
          <cell r="BG1311">
            <v>4</v>
          </cell>
          <cell r="BH1311">
            <v>1</v>
          </cell>
          <cell r="BI1311">
            <v>0</v>
          </cell>
          <cell r="BJ1311">
            <v>0</v>
          </cell>
          <cell r="BK1311">
            <v>0</v>
          </cell>
          <cell r="BL1311">
            <v>1</v>
          </cell>
          <cell r="BM1311">
            <v>0</v>
          </cell>
          <cell r="BN1311">
            <v>0</v>
          </cell>
          <cell r="BO1311">
            <v>0</v>
          </cell>
          <cell r="BP1311">
            <v>0</v>
          </cell>
          <cell r="BQ1311">
            <v>0</v>
          </cell>
          <cell r="BR1311">
            <v>2</v>
          </cell>
          <cell r="BS1311">
            <v>0</v>
          </cell>
          <cell r="BT1311">
            <v>0</v>
          </cell>
          <cell r="BU1311">
            <v>5</v>
          </cell>
        </row>
        <row r="1312">
          <cell r="A1312">
            <v>58</v>
          </cell>
          <cell r="B1312">
            <v>58</v>
          </cell>
          <cell r="D1312">
            <v>0</v>
          </cell>
          <cell r="F1312">
            <v>1</v>
          </cell>
          <cell r="G1312">
            <v>0</v>
          </cell>
          <cell r="I1312">
            <v>1</v>
          </cell>
          <cell r="J1312">
            <v>0</v>
          </cell>
          <cell r="K1312">
            <v>15</v>
          </cell>
          <cell r="L1312">
            <v>15</v>
          </cell>
          <cell r="M1312">
            <v>4</v>
          </cell>
          <cell r="O1312">
            <v>1</v>
          </cell>
          <cell r="P1312">
            <v>0</v>
          </cell>
          <cell r="Q1312">
            <v>0</v>
          </cell>
          <cell r="R1312">
            <v>0</v>
          </cell>
          <cell r="S1312">
            <v>0</v>
          </cell>
          <cell r="T1312">
            <v>1</v>
          </cell>
          <cell r="V1312">
            <v>0</v>
          </cell>
          <cell r="W1312">
            <v>87</v>
          </cell>
          <cell r="X1312">
            <v>3</v>
          </cell>
          <cell r="Y1312">
            <v>4</v>
          </cell>
          <cell r="AA1312">
            <v>0</v>
          </cell>
          <cell r="AB1312">
            <v>0</v>
          </cell>
          <cell r="AC1312">
            <v>0</v>
          </cell>
          <cell r="AD1312">
            <v>0</v>
          </cell>
          <cell r="AE1312">
            <v>0</v>
          </cell>
          <cell r="AF1312">
            <v>0</v>
          </cell>
          <cell r="AG1312">
            <v>0</v>
          </cell>
          <cell r="AH1312">
            <v>0</v>
          </cell>
          <cell r="AI1312">
            <v>3</v>
          </cell>
          <cell r="AK1312">
            <v>0</v>
          </cell>
          <cell r="AL1312">
            <v>1</v>
          </cell>
          <cell r="AN1312">
            <v>15787</v>
          </cell>
          <cell r="AO1312">
            <v>2</v>
          </cell>
          <cell r="AQ1312">
            <v>1</v>
          </cell>
          <cell r="AR1312">
            <v>14</v>
          </cell>
          <cell r="AS1312">
            <v>3</v>
          </cell>
          <cell r="AT1312">
            <v>2</v>
          </cell>
          <cell r="AU1312">
            <v>0</v>
          </cell>
          <cell r="AV1312">
            <v>23</v>
          </cell>
          <cell r="AW1312">
            <v>23</v>
          </cell>
          <cell r="AX1312">
            <v>3</v>
          </cell>
          <cell r="AY1312">
            <v>3</v>
          </cell>
          <cell r="AZ1312">
            <v>2</v>
          </cell>
          <cell r="BA1312">
            <v>2</v>
          </cell>
          <cell r="BB1312">
            <v>2</v>
          </cell>
          <cell r="BC1312">
            <v>2</v>
          </cell>
          <cell r="BD1312">
            <v>2</v>
          </cell>
          <cell r="BE1312">
            <v>2</v>
          </cell>
          <cell r="BF1312">
            <v>2</v>
          </cell>
          <cell r="BG1312">
            <v>8</v>
          </cell>
          <cell r="BH1312">
            <v>0</v>
          </cell>
          <cell r="BI1312">
            <v>0</v>
          </cell>
          <cell r="BJ1312">
            <v>0</v>
          </cell>
          <cell r="BK1312">
            <v>1</v>
          </cell>
          <cell r="BL1312">
            <v>0</v>
          </cell>
          <cell r="BM1312">
            <v>0</v>
          </cell>
          <cell r="BN1312">
            <v>0</v>
          </cell>
          <cell r="BO1312">
            <v>1</v>
          </cell>
          <cell r="BP1312">
            <v>0</v>
          </cell>
          <cell r="BQ1312">
            <v>2</v>
          </cell>
          <cell r="BR1312">
            <v>0</v>
          </cell>
          <cell r="BS1312">
            <v>0</v>
          </cell>
          <cell r="BT1312">
            <v>23</v>
          </cell>
          <cell r="BU1312">
            <v>0</v>
          </cell>
        </row>
        <row r="1313">
          <cell r="A1313">
            <v>18</v>
          </cell>
          <cell r="B1313">
            <v>19</v>
          </cell>
          <cell r="D1313">
            <v>0</v>
          </cell>
          <cell r="F1313">
            <v>0</v>
          </cell>
          <cell r="G1313">
            <v>0</v>
          </cell>
          <cell r="I1313">
            <v>1</v>
          </cell>
          <cell r="J1313">
            <v>0</v>
          </cell>
          <cell r="K1313">
            <v>14</v>
          </cell>
          <cell r="L1313">
            <v>14</v>
          </cell>
          <cell r="M1313">
            <v>3</v>
          </cell>
          <cell r="O1313">
            <v>0</v>
          </cell>
          <cell r="P1313">
            <v>0</v>
          </cell>
          <cell r="Q1313">
            <v>1</v>
          </cell>
          <cell r="R1313">
            <v>0</v>
          </cell>
          <cell r="S1313">
            <v>0</v>
          </cell>
          <cell r="T1313">
            <v>2</v>
          </cell>
          <cell r="V1313">
            <v>1</v>
          </cell>
          <cell r="W1313">
            <v>33</v>
          </cell>
          <cell r="X1313">
            <v>3</v>
          </cell>
          <cell r="Y1313">
            <v>1</v>
          </cell>
          <cell r="AA1313">
            <v>0</v>
          </cell>
          <cell r="AB1313">
            <v>0</v>
          </cell>
          <cell r="AC1313">
            <v>0</v>
          </cell>
          <cell r="AD1313">
            <v>0</v>
          </cell>
          <cell r="AE1313">
            <v>0</v>
          </cell>
          <cell r="AF1313">
            <v>0</v>
          </cell>
          <cell r="AG1313">
            <v>0</v>
          </cell>
          <cell r="AH1313">
            <v>1</v>
          </cell>
          <cell r="AI1313">
            <v>3</v>
          </cell>
          <cell r="AK1313">
            <v>1</v>
          </cell>
          <cell r="AL1313">
            <v>0</v>
          </cell>
          <cell r="AN1313">
            <v>1514</v>
          </cell>
          <cell r="AO1313">
            <v>1</v>
          </cell>
          <cell r="AQ1313">
            <v>0</v>
          </cell>
          <cell r="AR1313">
            <v>16</v>
          </cell>
          <cell r="AS1313">
            <v>3</v>
          </cell>
          <cell r="AT1313">
            <v>3</v>
          </cell>
          <cell r="AU1313">
            <v>0</v>
          </cell>
          <cell r="AV1313">
            <v>0</v>
          </cell>
          <cell r="AW1313">
            <v>1</v>
          </cell>
          <cell r="AX1313">
            <v>4</v>
          </cell>
          <cell r="AY1313">
            <v>1</v>
          </cell>
          <cell r="AZ1313">
            <v>0</v>
          </cell>
          <cell r="BA1313">
            <v>0</v>
          </cell>
          <cell r="BB1313">
            <v>0</v>
          </cell>
          <cell r="BC1313">
            <v>0</v>
          </cell>
          <cell r="BD1313">
            <v>0</v>
          </cell>
          <cell r="BE1313">
            <v>0</v>
          </cell>
          <cell r="BF1313">
            <v>0</v>
          </cell>
          <cell r="BG1313">
            <v>0</v>
          </cell>
          <cell r="BH1313">
            <v>1</v>
          </cell>
          <cell r="BI1313">
            <v>0</v>
          </cell>
          <cell r="BJ1313">
            <v>0</v>
          </cell>
          <cell r="BK1313">
            <v>0</v>
          </cell>
          <cell r="BL1313">
            <v>1</v>
          </cell>
          <cell r="BM1313">
            <v>0</v>
          </cell>
          <cell r="BN1313">
            <v>0</v>
          </cell>
          <cell r="BO1313">
            <v>0</v>
          </cell>
          <cell r="BP1313">
            <v>0</v>
          </cell>
          <cell r="BQ1313">
            <v>0</v>
          </cell>
          <cell r="BR1313">
            <v>0</v>
          </cell>
          <cell r="BS1313">
            <v>0</v>
          </cell>
          <cell r="BT1313">
            <v>1</v>
          </cell>
          <cell r="BU1313">
            <v>0</v>
          </cell>
        </row>
        <row r="1314">
          <cell r="A1314">
            <v>31</v>
          </cell>
          <cell r="B1314">
            <v>31</v>
          </cell>
          <cell r="D1314">
            <v>1</v>
          </cell>
          <cell r="F1314">
            <v>0</v>
          </cell>
          <cell r="G1314">
            <v>1</v>
          </cell>
          <cell r="I1314">
            <v>0</v>
          </cell>
          <cell r="J1314">
            <v>0</v>
          </cell>
          <cell r="K1314">
            <v>18</v>
          </cell>
          <cell r="L1314">
            <v>18</v>
          </cell>
          <cell r="M1314">
            <v>5</v>
          </cell>
          <cell r="O1314">
            <v>0</v>
          </cell>
          <cell r="P1314">
            <v>0</v>
          </cell>
          <cell r="Q1314">
            <v>0</v>
          </cell>
          <cell r="R1314">
            <v>0</v>
          </cell>
          <cell r="S1314">
            <v>0</v>
          </cell>
          <cell r="T1314">
            <v>4</v>
          </cell>
          <cell r="V1314">
            <v>0</v>
          </cell>
          <cell r="W1314">
            <v>89</v>
          </cell>
          <cell r="X1314">
            <v>4</v>
          </cell>
          <cell r="Y1314">
            <v>1</v>
          </cell>
          <cell r="AA1314">
            <v>0</v>
          </cell>
          <cell r="AB1314">
            <v>0</v>
          </cell>
          <cell r="AC1314">
            <v>0</v>
          </cell>
          <cell r="AD1314">
            <v>0</v>
          </cell>
          <cell r="AE1314">
            <v>0</v>
          </cell>
          <cell r="AF1314">
            <v>0</v>
          </cell>
          <cell r="AG1314">
            <v>0</v>
          </cell>
          <cell r="AH1314">
            <v>0</v>
          </cell>
          <cell r="AI1314">
            <v>1</v>
          </cell>
          <cell r="AK1314">
            <v>0</v>
          </cell>
          <cell r="AL1314">
            <v>1</v>
          </cell>
          <cell r="AN1314">
            <v>2956</v>
          </cell>
          <cell r="AO1314">
            <v>0</v>
          </cell>
          <cell r="AQ1314">
            <v>0</v>
          </cell>
          <cell r="AR1314">
            <v>17</v>
          </cell>
          <cell r="AS1314">
            <v>3</v>
          </cell>
          <cell r="AT1314">
            <v>3</v>
          </cell>
          <cell r="AU1314">
            <v>0</v>
          </cell>
          <cell r="AV1314">
            <v>2</v>
          </cell>
          <cell r="AW1314">
            <v>2</v>
          </cell>
          <cell r="AX1314">
            <v>4</v>
          </cell>
          <cell r="AY1314">
            <v>3</v>
          </cell>
          <cell r="AZ1314">
            <v>1</v>
          </cell>
          <cell r="BA1314">
            <v>1</v>
          </cell>
          <cell r="BB1314">
            <v>0</v>
          </cell>
          <cell r="BC1314">
            <v>0</v>
          </cell>
          <cell r="BD1314">
            <v>0</v>
          </cell>
          <cell r="BE1314">
            <v>0</v>
          </cell>
          <cell r="BF1314">
            <v>0</v>
          </cell>
          <cell r="BG1314">
            <v>0</v>
          </cell>
          <cell r="BH1314">
            <v>0</v>
          </cell>
          <cell r="BI1314">
            <v>1</v>
          </cell>
          <cell r="BJ1314">
            <v>0</v>
          </cell>
          <cell r="BK1314">
            <v>0</v>
          </cell>
          <cell r="BL1314">
            <v>0</v>
          </cell>
          <cell r="BM1314">
            <v>0</v>
          </cell>
          <cell r="BN1314">
            <v>1</v>
          </cell>
          <cell r="BO1314">
            <v>0</v>
          </cell>
          <cell r="BP1314">
            <v>0</v>
          </cell>
          <cell r="BQ1314">
            <v>0</v>
          </cell>
          <cell r="BR1314">
            <v>0</v>
          </cell>
          <cell r="BS1314">
            <v>2</v>
          </cell>
          <cell r="BT1314">
            <v>0</v>
          </cell>
          <cell r="BU1314">
            <v>0</v>
          </cell>
        </row>
        <row r="1315">
          <cell r="A1315">
            <v>29</v>
          </cell>
          <cell r="B1315">
            <v>29</v>
          </cell>
          <cell r="D1315">
            <v>1</v>
          </cell>
          <cell r="F1315">
            <v>0</v>
          </cell>
          <cell r="G1315">
            <v>1</v>
          </cell>
          <cell r="I1315">
            <v>0</v>
          </cell>
          <cell r="J1315">
            <v>0</v>
          </cell>
          <cell r="K1315">
            <v>13</v>
          </cell>
          <cell r="L1315">
            <v>13</v>
          </cell>
          <cell r="M1315">
            <v>3</v>
          </cell>
          <cell r="O1315">
            <v>0</v>
          </cell>
          <cell r="P1315">
            <v>0</v>
          </cell>
          <cell r="Q1315">
            <v>0</v>
          </cell>
          <cell r="R1315">
            <v>0</v>
          </cell>
          <cell r="S1315">
            <v>0</v>
          </cell>
          <cell r="T1315">
            <v>1</v>
          </cell>
          <cell r="V1315">
            <v>0</v>
          </cell>
          <cell r="W1315">
            <v>56</v>
          </cell>
          <cell r="X1315">
            <v>2</v>
          </cell>
          <cell r="Y1315">
            <v>1</v>
          </cell>
          <cell r="AA1315">
            <v>0</v>
          </cell>
          <cell r="AB1315">
            <v>0</v>
          </cell>
          <cell r="AC1315">
            <v>0</v>
          </cell>
          <cell r="AD1315">
            <v>0</v>
          </cell>
          <cell r="AE1315">
            <v>0</v>
          </cell>
          <cell r="AF1315">
            <v>0</v>
          </cell>
          <cell r="AG1315">
            <v>0</v>
          </cell>
          <cell r="AH1315">
            <v>0</v>
          </cell>
          <cell r="AI1315">
            <v>1</v>
          </cell>
          <cell r="AK1315">
            <v>0</v>
          </cell>
          <cell r="AL1315">
            <v>0</v>
          </cell>
          <cell r="AN1315">
            <v>2335</v>
          </cell>
          <cell r="AO1315">
            <v>4</v>
          </cell>
          <cell r="AQ1315">
            <v>1</v>
          </cell>
          <cell r="AR1315">
            <v>15</v>
          </cell>
          <cell r="AS1315">
            <v>3</v>
          </cell>
          <cell r="AT1315">
            <v>4</v>
          </cell>
          <cell r="AU1315">
            <v>3</v>
          </cell>
          <cell r="AV1315">
            <v>4</v>
          </cell>
          <cell r="AW1315">
            <v>4</v>
          </cell>
          <cell r="AX1315">
            <v>3</v>
          </cell>
          <cell r="AY1315">
            <v>3</v>
          </cell>
          <cell r="AZ1315">
            <v>2</v>
          </cell>
          <cell r="BA1315">
            <v>2</v>
          </cell>
          <cell r="BB1315">
            <v>2</v>
          </cell>
          <cell r="BC1315">
            <v>2</v>
          </cell>
          <cell r="BD1315">
            <v>2</v>
          </cell>
          <cell r="BE1315">
            <v>0</v>
          </cell>
          <cell r="BF1315">
            <v>0</v>
          </cell>
          <cell r="BG1315">
            <v>0</v>
          </cell>
          <cell r="BH1315">
            <v>1</v>
          </cell>
          <cell r="BI1315">
            <v>0</v>
          </cell>
          <cell r="BJ1315">
            <v>0</v>
          </cell>
          <cell r="BK1315">
            <v>0</v>
          </cell>
          <cell r="BL1315">
            <v>0</v>
          </cell>
          <cell r="BM1315">
            <v>1</v>
          </cell>
          <cell r="BN1315">
            <v>0</v>
          </cell>
          <cell r="BO1315">
            <v>0</v>
          </cell>
          <cell r="BP1315">
            <v>0</v>
          </cell>
          <cell r="BQ1315">
            <v>0</v>
          </cell>
          <cell r="BR1315">
            <v>0</v>
          </cell>
          <cell r="BS1315">
            <v>4</v>
          </cell>
          <cell r="BT1315">
            <v>0</v>
          </cell>
          <cell r="BU1315">
            <v>0</v>
          </cell>
        </row>
        <row r="1316">
          <cell r="A1316">
            <v>45</v>
          </cell>
          <cell r="B1316">
            <v>45</v>
          </cell>
          <cell r="D1316">
            <v>0</v>
          </cell>
          <cell r="F1316">
            <v>0</v>
          </cell>
          <cell r="G1316">
            <v>0</v>
          </cell>
          <cell r="I1316">
            <v>0</v>
          </cell>
          <cell r="J1316">
            <v>1</v>
          </cell>
          <cell r="K1316">
            <v>2</v>
          </cell>
          <cell r="L1316">
            <v>2</v>
          </cell>
          <cell r="M1316">
            <v>4</v>
          </cell>
          <cell r="O1316">
            <v>1</v>
          </cell>
          <cell r="P1316">
            <v>0</v>
          </cell>
          <cell r="Q1316">
            <v>0</v>
          </cell>
          <cell r="R1316">
            <v>0</v>
          </cell>
          <cell r="S1316">
            <v>0</v>
          </cell>
          <cell r="T1316">
            <v>3</v>
          </cell>
          <cell r="V1316">
            <v>1</v>
          </cell>
          <cell r="W1316">
            <v>67</v>
          </cell>
          <cell r="X1316">
            <v>3</v>
          </cell>
          <cell r="Y1316">
            <v>2</v>
          </cell>
          <cell r="AA1316">
            <v>0</v>
          </cell>
          <cell r="AB1316">
            <v>1</v>
          </cell>
          <cell r="AC1316">
            <v>0</v>
          </cell>
          <cell r="AD1316">
            <v>0</v>
          </cell>
          <cell r="AE1316">
            <v>0</v>
          </cell>
          <cell r="AF1316">
            <v>0</v>
          </cell>
          <cell r="AG1316">
            <v>0</v>
          </cell>
          <cell r="AH1316">
            <v>0</v>
          </cell>
          <cell r="AI1316">
            <v>3</v>
          </cell>
          <cell r="AK1316">
            <v>0</v>
          </cell>
          <cell r="AL1316">
            <v>1</v>
          </cell>
          <cell r="AN1316">
            <v>5154</v>
          </cell>
          <cell r="AO1316">
            <v>4</v>
          </cell>
          <cell r="AQ1316">
            <v>0</v>
          </cell>
          <cell r="AR1316">
            <v>22</v>
          </cell>
          <cell r="AS1316">
            <v>4</v>
          </cell>
          <cell r="AT1316">
            <v>2</v>
          </cell>
          <cell r="AU1316">
            <v>2</v>
          </cell>
          <cell r="AV1316">
            <v>10</v>
          </cell>
          <cell r="AW1316">
            <v>10</v>
          </cell>
          <cell r="AX1316">
            <v>3</v>
          </cell>
          <cell r="AY1316">
            <v>4</v>
          </cell>
          <cell r="AZ1316">
            <v>8</v>
          </cell>
          <cell r="BA1316">
            <v>8</v>
          </cell>
          <cell r="BB1316">
            <v>7</v>
          </cell>
          <cell r="BC1316">
            <v>5</v>
          </cell>
          <cell r="BD1316">
            <v>5</v>
          </cell>
          <cell r="BE1316">
            <v>7</v>
          </cell>
          <cell r="BF1316">
            <v>7</v>
          </cell>
          <cell r="BG1316">
            <v>14</v>
          </cell>
          <cell r="BH1316">
            <v>0</v>
          </cell>
          <cell r="BI1316">
            <v>1</v>
          </cell>
          <cell r="BJ1316">
            <v>0</v>
          </cell>
          <cell r="BK1316">
            <v>0</v>
          </cell>
          <cell r="BL1316">
            <v>0</v>
          </cell>
          <cell r="BM1316">
            <v>0</v>
          </cell>
          <cell r="BN1316">
            <v>1</v>
          </cell>
          <cell r="BO1316">
            <v>0</v>
          </cell>
          <cell r="BP1316">
            <v>0</v>
          </cell>
          <cell r="BQ1316">
            <v>0</v>
          </cell>
          <cell r="BR1316">
            <v>7</v>
          </cell>
          <cell r="BS1316">
            <v>0</v>
          </cell>
          <cell r="BT1316">
            <v>0</v>
          </cell>
          <cell r="BU1316">
            <v>10</v>
          </cell>
        </row>
        <row r="1317">
          <cell r="A1317">
            <v>36</v>
          </cell>
          <cell r="B1317">
            <v>36</v>
          </cell>
          <cell r="D1317">
            <v>0</v>
          </cell>
          <cell r="F1317">
            <v>0</v>
          </cell>
          <cell r="G1317">
            <v>1</v>
          </cell>
          <cell r="I1317">
            <v>1</v>
          </cell>
          <cell r="J1317">
            <v>0</v>
          </cell>
          <cell r="K1317">
            <v>2</v>
          </cell>
          <cell r="L1317">
            <v>2</v>
          </cell>
          <cell r="M1317">
            <v>4</v>
          </cell>
          <cell r="O1317">
            <v>0</v>
          </cell>
          <cell r="P1317">
            <v>1</v>
          </cell>
          <cell r="Q1317">
            <v>0</v>
          </cell>
          <cell r="R1317">
            <v>0</v>
          </cell>
          <cell r="S1317">
            <v>0</v>
          </cell>
          <cell r="T1317">
            <v>4</v>
          </cell>
          <cell r="V1317">
            <v>1</v>
          </cell>
          <cell r="W1317">
            <v>73</v>
          </cell>
          <cell r="X1317">
            <v>3</v>
          </cell>
          <cell r="Y1317">
            <v>2</v>
          </cell>
          <cell r="AA1317">
            <v>0</v>
          </cell>
          <cell r="AB1317">
            <v>0</v>
          </cell>
          <cell r="AC1317">
            <v>0</v>
          </cell>
          <cell r="AD1317">
            <v>0</v>
          </cell>
          <cell r="AE1317">
            <v>0</v>
          </cell>
          <cell r="AF1317">
            <v>0</v>
          </cell>
          <cell r="AG1317">
            <v>0</v>
          </cell>
          <cell r="AH1317">
            <v>1</v>
          </cell>
          <cell r="AI1317">
            <v>2</v>
          </cell>
          <cell r="AK1317">
            <v>0</v>
          </cell>
          <cell r="AL1317">
            <v>1</v>
          </cell>
          <cell r="AN1317">
            <v>6962</v>
          </cell>
          <cell r="AO1317">
            <v>4</v>
          </cell>
          <cell r="AQ1317">
            <v>1</v>
          </cell>
          <cell r="AR1317">
            <v>22</v>
          </cell>
          <cell r="AS1317">
            <v>4</v>
          </cell>
          <cell r="AT1317">
            <v>4</v>
          </cell>
          <cell r="AU1317">
            <v>1</v>
          </cell>
          <cell r="AV1317">
            <v>15</v>
          </cell>
          <cell r="AW1317">
            <v>15</v>
          </cell>
          <cell r="AX1317">
            <v>2</v>
          </cell>
          <cell r="AY1317">
            <v>3</v>
          </cell>
          <cell r="AZ1317">
            <v>1</v>
          </cell>
          <cell r="BA1317">
            <v>1</v>
          </cell>
          <cell r="BB1317">
            <v>0</v>
          </cell>
          <cell r="BC1317">
            <v>0</v>
          </cell>
          <cell r="BD1317">
            <v>0</v>
          </cell>
          <cell r="BE1317">
            <v>0</v>
          </cell>
          <cell r="BF1317">
            <v>0</v>
          </cell>
          <cell r="BG1317">
            <v>0</v>
          </cell>
          <cell r="BH1317">
            <v>0</v>
          </cell>
          <cell r="BI1317">
            <v>1</v>
          </cell>
          <cell r="BJ1317">
            <v>0</v>
          </cell>
          <cell r="BK1317">
            <v>0</v>
          </cell>
          <cell r="BL1317">
            <v>0</v>
          </cell>
          <cell r="BM1317">
            <v>0</v>
          </cell>
          <cell r="BN1317">
            <v>0</v>
          </cell>
          <cell r="BO1317">
            <v>1</v>
          </cell>
          <cell r="BP1317">
            <v>0</v>
          </cell>
          <cell r="BQ1317">
            <v>0</v>
          </cell>
          <cell r="BR1317">
            <v>0</v>
          </cell>
          <cell r="BS1317">
            <v>0</v>
          </cell>
          <cell r="BT1317">
            <v>15</v>
          </cell>
          <cell r="BU1317">
            <v>0</v>
          </cell>
        </row>
        <row r="1318">
          <cell r="A1318">
            <v>43</v>
          </cell>
          <cell r="B1318">
            <v>43</v>
          </cell>
          <cell r="D1318">
            <v>0</v>
          </cell>
          <cell r="F1318">
            <v>1</v>
          </cell>
          <cell r="G1318">
            <v>0</v>
          </cell>
          <cell r="I1318">
            <v>0</v>
          </cell>
          <cell r="J1318">
            <v>1</v>
          </cell>
          <cell r="K1318">
            <v>2</v>
          </cell>
          <cell r="L1318">
            <v>2</v>
          </cell>
          <cell r="M1318">
            <v>4</v>
          </cell>
          <cell r="O1318">
            <v>1</v>
          </cell>
          <cell r="P1318">
            <v>0</v>
          </cell>
          <cell r="Q1318">
            <v>0</v>
          </cell>
          <cell r="R1318">
            <v>0</v>
          </cell>
          <cell r="S1318">
            <v>0</v>
          </cell>
          <cell r="T1318">
            <v>1</v>
          </cell>
          <cell r="V1318">
            <v>0</v>
          </cell>
          <cell r="W1318">
            <v>92</v>
          </cell>
          <cell r="X1318">
            <v>3</v>
          </cell>
          <cell r="Y1318">
            <v>2</v>
          </cell>
          <cell r="AA1318">
            <v>0</v>
          </cell>
          <cell r="AB1318">
            <v>1</v>
          </cell>
          <cell r="AC1318">
            <v>0</v>
          </cell>
          <cell r="AD1318">
            <v>0</v>
          </cell>
          <cell r="AE1318">
            <v>0</v>
          </cell>
          <cell r="AF1318">
            <v>0</v>
          </cell>
          <cell r="AG1318">
            <v>0</v>
          </cell>
          <cell r="AH1318">
            <v>0</v>
          </cell>
          <cell r="AI1318">
            <v>4</v>
          </cell>
          <cell r="AK1318">
            <v>0</v>
          </cell>
          <cell r="AL1318">
            <v>1</v>
          </cell>
          <cell r="AN1318">
            <v>5675</v>
          </cell>
          <cell r="AO1318">
            <v>1</v>
          </cell>
          <cell r="AQ1318">
            <v>0</v>
          </cell>
          <cell r="AR1318">
            <v>20</v>
          </cell>
          <cell r="AS1318">
            <v>4</v>
          </cell>
          <cell r="AT1318">
            <v>3</v>
          </cell>
          <cell r="AU1318">
            <v>1</v>
          </cell>
          <cell r="AV1318">
            <v>7</v>
          </cell>
          <cell r="AW1318">
            <v>7</v>
          </cell>
          <cell r="AX1318">
            <v>5</v>
          </cell>
          <cell r="AY1318">
            <v>3</v>
          </cell>
          <cell r="AZ1318">
            <v>7</v>
          </cell>
          <cell r="BA1318">
            <v>7</v>
          </cell>
          <cell r="BB1318">
            <v>7</v>
          </cell>
          <cell r="BC1318">
            <v>7</v>
          </cell>
          <cell r="BD1318">
            <v>7</v>
          </cell>
          <cell r="BE1318">
            <v>7</v>
          </cell>
          <cell r="BF1318">
            <v>7</v>
          </cell>
          <cell r="BG1318">
            <v>14</v>
          </cell>
          <cell r="BH1318">
            <v>0</v>
          </cell>
          <cell r="BI1318">
            <v>0</v>
          </cell>
          <cell r="BJ1318">
            <v>0</v>
          </cell>
          <cell r="BK1318">
            <v>1</v>
          </cell>
          <cell r="BL1318">
            <v>0</v>
          </cell>
          <cell r="BM1318">
            <v>0</v>
          </cell>
          <cell r="BN1318">
            <v>1</v>
          </cell>
          <cell r="BO1318">
            <v>0</v>
          </cell>
          <cell r="BP1318">
            <v>0</v>
          </cell>
          <cell r="BQ1318">
            <v>0</v>
          </cell>
          <cell r="BR1318">
            <v>7</v>
          </cell>
          <cell r="BS1318">
            <v>0</v>
          </cell>
          <cell r="BT1318">
            <v>0</v>
          </cell>
          <cell r="BU1318">
            <v>7</v>
          </cell>
        </row>
        <row r="1319">
          <cell r="A1319">
            <v>27</v>
          </cell>
          <cell r="B1319">
            <v>27</v>
          </cell>
          <cell r="D1319">
            <v>0</v>
          </cell>
          <cell r="F1319">
            <v>1</v>
          </cell>
          <cell r="G1319">
            <v>0</v>
          </cell>
          <cell r="I1319">
            <v>1</v>
          </cell>
          <cell r="J1319">
            <v>0</v>
          </cell>
          <cell r="K1319">
            <v>5</v>
          </cell>
          <cell r="L1319">
            <v>5</v>
          </cell>
          <cell r="M1319">
            <v>2</v>
          </cell>
          <cell r="O1319">
            <v>1</v>
          </cell>
          <cell r="P1319">
            <v>0</v>
          </cell>
          <cell r="Q1319">
            <v>0</v>
          </cell>
          <cell r="R1319">
            <v>0</v>
          </cell>
          <cell r="S1319">
            <v>0</v>
          </cell>
          <cell r="T1319">
            <v>4</v>
          </cell>
          <cell r="V1319">
            <v>1</v>
          </cell>
          <cell r="W1319">
            <v>53</v>
          </cell>
          <cell r="X1319">
            <v>3</v>
          </cell>
          <cell r="Y1319">
            <v>1</v>
          </cell>
          <cell r="AA1319">
            <v>0</v>
          </cell>
          <cell r="AB1319">
            <v>0</v>
          </cell>
          <cell r="AC1319">
            <v>1</v>
          </cell>
          <cell r="AD1319">
            <v>0</v>
          </cell>
          <cell r="AE1319">
            <v>0</v>
          </cell>
          <cell r="AF1319">
            <v>0</v>
          </cell>
          <cell r="AG1319">
            <v>0</v>
          </cell>
          <cell r="AH1319">
            <v>0</v>
          </cell>
          <cell r="AI1319">
            <v>4</v>
          </cell>
          <cell r="AK1319">
            <v>1</v>
          </cell>
          <cell r="AL1319">
            <v>0</v>
          </cell>
          <cell r="AN1319">
            <v>2379</v>
          </cell>
          <cell r="AO1319">
            <v>0</v>
          </cell>
          <cell r="AQ1319">
            <v>1</v>
          </cell>
          <cell r="AR1319">
            <v>14</v>
          </cell>
          <cell r="AS1319">
            <v>3</v>
          </cell>
          <cell r="AT1319">
            <v>3</v>
          </cell>
          <cell r="AU1319">
            <v>0</v>
          </cell>
          <cell r="AV1319">
            <v>6</v>
          </cell>
          <cell r="AW1319">
            <v>6</v>
          </cell>
          <cell r="AX1319">
            <v>3</v>
          </cell>
          <cell r="AY1319">
            <v>2</v>
          </cell>
          <cell r="AZ1319">
            <v>5</v>
          </cell>
          <cell r="BA1319">
            <v>5</v>
          </cell>
          <cell r="BB1319">
            <v>4</v>
          </cell>
          <cell r="BC1319">
            <v>0</v>
          </cell>
          <cell r="BD1319">
            <v>0</v>
          </cell>
          <cell r="BE1319">
            <v>2</v>
          </cell>
          <cell r="BF1319">
            <v>2</v>
          </cell>
          <cell r="BG1319">
            <v>2</v>
          </cell>
          <cell r="BH1319">
            <v>0</v>
          </cell>
          <cell r="BI1319">
            <v>0</v>
          </cell>
          <cell r="BJ1319">
            <v>1</v>
          </cell>
          <cell r="BK1319">
            <v>0</v>
          </cell>
          <cell r="BL1319">
            <v>0</v>
          </cell>
          <cell r="BM1319">
            <v>1</v>
          </cell>
          <cell r="BN1319">
            <v>0</v>
          </cell>
          <cell r="BO1319">
            <v>0</v>
          </cell>
          <cell r="BP1319">
            <v>0</v>
          </cell>
          <cell r="BQ1319">
            <v>2</v>
          </cell>
          <cell r="BR1319">
            <v>0</v>
          </cell>
          <cell r="BS1319">
            <v>0</v>
          </cell>
          <cell r="BT1319">
            <v>6</v>
          </cell>
          <cell r="BU1319">
            <v>0</v>
          </cell>
        </row>
        <row r="1320">
          <cell r="A1320">
            <v>29</v>
          </cell>
          <cell r="B1320">
            <v>29</v>
          </cell>
          <cell r="D1320">
            <v>0</v>
          </cell>
          <cell r="F1320">
            <v>1</v>
          </cell>
          <cell r="G1320">
            <v>0</v>
          </cell>
          <cell r="I1320">
            <v>1</v>
          </cell>
          <cell r="J1320">
            <v>0</v>
          </cell>
          <cell r="K1320">
            <v>20</v>
          </cell>
          <cell r="L1320">
            <v>20</v>
          </cell>
          <cell r="M1320">
            <v>1</v>
          </cell>
          <cell r="O1320">
            <v>0</v>
          </cell>
          <cell r="P1320">
            <v>0</v>
          </cell>
          <cell r="Q1320">
            <v>1</v>
          </cell>
          <cell r="R1320">
            <v>0</v>
          </cell>
          <cell r="S1320">
            <v>0</v>
          </cell>
          <cell r="T1320">
            <v>4</v>
          </cell>
          <cell r="V1320">
            <v>0</v>
          </cell>
          <cell r="W1320">
            <v>40</v>
          </cell>
          <cell r="X1320">
            <v>3</v>
          </cell>
          <cell r="Y1320">
            <v>1</v>
          </cell>
          <cell r="AA1320">
            <v>0</v>
          </cell>
          <cell r="AB1320">
            <v>0</v>
          </cell>
          <cell r="AC1320">
            <v>1</v>
          </cell>
          <cell r="AD1320">
            <v>0</v>
          </cell>
          <cell r="AE1320">
            <v>0</v>
          </cell>
          <cell r="AF1320">
            <v>0</v>
          </cell>
          <cell r="AG1320">
            <v>0</v>
          </cell>
          <cell r="AH1320">
            <v>0</v>
          </cell>
          <cell r="AI1320">
            <v>4</v>
          </cell>
          <cell r="AK1320">
            <v>0</v>
          </cell>
          <cell r="AL1320">
            <v>1</v>
          </cell>
          <cell r="AN1320">
            <v>3812</v>
          </cell>
          <cell r="AO1320">
            <v>1</v>
          </cell>
          <cell r="AQ1320">
            <v>0</v>
          </cell>
          <cell r="AR1320">
            <v>13</v>
          </cell>
          <cell r="AS1320">
            <v>3</v>
          </cell>
          <cell r="AT1320">
            <v>2</v>
          </cell>
          <cell r="AU1320">
            <v>0</v>
          </cell>
          <cell r="AV1320">
            <v>11</v>
          </cell>
          <cell r="AW1320">
            <v>11</v>
          </cell>
          <cell r="AX1320">
            <v>3</v>
          </cell>
          <cell r="AY1320">
            <v>4</v>
          </cell>
          <cell r="AZ1320">
            <v>11</v>
          </cell>
          <cell r="BA1320">
            <v>11</v>
          </cell>
          <cell r="BB1320">
            <v>8</v>
          </cell>
          <cell r="BC1320">
            <v>3</v>
          </cell>
          <cell r="BD1320">
            <v>3</v>
          </cell>
          <cell r="BE1320">
            <v>10</v>
          </cell>
          <cell r="BF1320">
            <v>10</v>
          </cell>
          <cell r="BG1320">
            <v>10</v>
          </cell>
          <cell r="BH1320">
            <v>0</v>
          </cell>
          <cell r="BI1320">
            <v>0</v>
          </cell>
          <cell r="BJ1320">
            <v>0</v>
          </cell>
          <cell r="BK1320">
            <v>1</v>
          </cell>
          <cell r="BL1320">
            <v>0</v>
          </cell>
          <cell r="BM1320">
            <v>0</v>
          </cell>
          <cell r="BN1320">
            <v>1</v>
          </cell>
          <cell r="BO1320">
            <v>0</v>
          </cell>
          <cell r="BP1320">
            <v>0</v>
          </cell>
          <cell r="BQ1320">
            <v>10</v>
          </cell>
          <cell r="BR1320">
            <v>0</v>
          </cell>
          <cell r="BS1320">
            <v>0</v>
          </cell>
          <cell r="BT1320">
            <v>11</v>
          </cell>
          <cell r="BU1320">
            <v>0</v>
          </cell>
        </row>
        <row r="1321">
          <cell r="A1321">
            <v>32</v>
          </cell>
          <cell r="B1321">
            <v>32</v>
          </cell>
          <cell r="D1321">
            <v>0</v>
          </cell>
          <cell r="F1321">
            <v>1</v>
          </cell>
          <cell r="G1321">
            <v>0</v>
          </cell>
          <cell r="I1321">
            <v>0</v>
          </cell>
          <cell r="J1321">
            <v>1</v>
          </cell>
          <cell r="K1321">
            <v>10</v>
          </cell>
          <cell r="L1321">
            <v>10</v>
          </cell>
          <cell r="M1321">
            <v>4</v>
          </cell>
          <cell r="O1321">
            <v>0</v>
          </cell>
          <cell r="P1321">
            <v>0</v>
          </cell>
          <cell r="Q1321">
            <v>0</v>
          </cell>
          <cell r="R1321">
            <v>1</v>
          </cell>
          <cell r="S1321">
            <v>0</v>
          </cell>
          <cell r="T1321">
            <v>4</v>
          </cell>
          <cell r="V1321">
            <v>0</v>
          </cell>
          <cell r="W1321">
            <v>79</v>
          </cell>
          <cell r="X1321">
            <v>3</v>
          </cell>
          <cell r="Y1321">
            <v>2</v>
          </cell>
          <cell r="AA1321">
            <v>0</v>
          </cell>
          <cell r="AB1321">
            <v>1</v>
          </cell>
          <cell r="AC1321">
            <v>0</v>
          </cell>
          <cell r="AD1321">
            <v>0</v>
          </cell>
          <cell r="AE1321">
            <v>0</v>
          </cell>
          <cell r="AF1321">
            <v>0</v>
          </cell>
          <cell r="AG1321">
            <v>0</v>
          </cell>
          <cell r="AH1321">
            <v>0</v>
          </cell>
          <cell r="AI1321">
            <v>4</v>
          </cell>
          <cell r="AK1321">
            <v>1</v>
          </cell>
          <cell r="AL1321">
            <v>0</v>
          </cell>
          <cell r="AN1321">
            <v>4648</v>
          </cell>
          <cell r="AO1321">
            <v>8</v>
          </cell>
          <cell r="AQ1321">
            <v>0</v>
          </cell>
          <cell r="AR1321">
            <v>13</v>
          </cell>
          <cell r="AS1321">
            <v>3</v>
          </cell>
          <cell r="AT1321">
            <v>3</v>
          </cell>
          <cell r="AU1321">
            <v>0</v>
          </cell>
          <cell r="AV1321">
            <v>4</v>
          </cell>
          <cell r="AW1321">
            <v>4</v>
          </cell>
          <cell r="AX1321">
            <v>2</v>
          </cell>
          <cell r="AY1321">
            <v>4</v>
          </cell>
          <cell r="AZ1321">
            <v>0</v>
          </cell>
          <cell r="BA1321">
            <v>0</v>
          </cell>
          <cell r="BB1321">
            <v>0</v>
          </cell>
          <cell r="BC1321">
            <v>0</v>
          </cell>
          <cell r="BD1321">
            <v>0</v>
          </cell>
          <cell r="BE1321">
            <v>0</v>
          </cell>
          <cell r="BF1321">
            <v>0</v>
          </cell>
          <cell r="BG1321">
            <v>0</v>
          </cell>
          <cell r="BH1321">
            <v>0</v>
          </cell>
          <cell r="BI1321">
            <v>0</v>
          </cell>
          <cell r="BJ1321">
            <v>1</v>
          </cell>
          <cell r="BK1321">
            <v>0</v>
          </cell>
          <cell r="BL1321">
            <v>1</v>
          </cell>
          <cell r="BM1321">
            <v>0</v>
          </cell>
          <cell r="BN1321">
            <v>0</v>
          </cell>
          <cell r="BO1321">
            <v>0</v>
          </cell>
          <cell r="BP1321">
            <v>0</v>
          </cell>
          <cell r="BQ1321">
            <v>0</v>
          </cell>
          <cell r="BR1321">
            <v>0</v>
          </cell>
          <cell r="BS1321">
            <v>0</v>
          </cell>
          <cell r="BT1321">
            <v>0</v>
          </cell>
          <cell r="BU1321">
            <v>4</v>
          </cell>
        </row>
        <row r="1322">
          <cell r="A1322">
            <v>42</v>
          </cell>
          <cell r="B1322">
            <v>42</v>
          </cell>
          <cell r="D1322">
            <v>0</v>
          </cell>
          <cell r="F1322">
            <v>0</v>
          </cell>
          <cell r="G1322">
            <v>0</v>
          </cell>
          <cell r="I1322">
            <v>1</v>
          </cell>
          <cell r="J1322">
            <v>0</v>
          </cell>
          <cell r="K1322">
            <v>10</v>
          </cell>
          <cell r="L1322">
            <v>10</v>
          </cell>
          <cell r="M1322">
            <v>4</v>
          </cell>
          <cell r="O1322">
            <v>0</v>
          </cell>
          <cell r="P1322">
            <v>0</v>
          </cell>
          <cell r="Q1322">
            <v>0</v>
          </cell>
          <cell r="R1322">
            <v>0</v>
          </cell>
          <cell r="S1322">
            <v>1</v>
          </cell>
          <cell r="T1322">
            <v>3</v>
          </cell>
          <cell r="V1322">
            <v>0</v>
          </cell>
          <cell r="W1322">
            <v>38</v>
          </cell>
          <cell r="X1322">
            <v>3</v>
          </cell>
          <cell r="Y1322">
            <v>1</v>
          </cell>
          <cell r="AA1322">
            <v>0</v>
          </cell>
          <cell r="AB1322">
            <v>0</v>
          </cell>
          <cell r="AC1322">
            <v>0</v>
          </cell>
          <cell r="AD1322">
            <v>0</v>
          </cell>
          <cell r="AE1322">
            <v>0</v>
          </cell>
          <cell r="AF1322">
            <v>0</v>
          </cell>
          <cell r="AG1322">
            <v>0</v>
          </cell>
          <cell r="AH1322">
            <v>1</v>
          </cell>
          <cell r="AI1322">
            <v>3</v>
          </cell>
          <cell r="AK1322">
            <v>0</v>
          </cell>
          <cell r="AL1322">
            <v>1</v>
          </cell>
          <cell r="AN1322">
            <v>2936</v>
          </cell>
          <cell r="AO1322">
            <v>3</v>
          </cell>
          <cell r="AQ1322">
            <v>0</v>
          </cell>
          <cell r="AR1322">
            <v>22</v>
          </cell>
          <cell r="AS1322">
            <v>4</v>
          </cell>
          <cell r="AT1322">
            <v>2</v>
          </cell>
          <cell r="AU1322">
            <v>2</v>
          </cell>
          <cell r="AV1322">
            <v>10</v>
          </cell>
          <cell r="AW1322">
            <v>10</v>
          </cell>
          <cell r="AX1322">
            <v>1</v>
          </cell>
          <cell r="AY1322">
            <v>2</v>
          </cell>
          <cell r="AZ1322">
            <v>6</v>
          </cell>
          <cell r="BA1322">
            <v>6</v>
          </cell>
          <cell r="BB1322">
            <v>3</v>
          </cell>
          <cell r="BC1322">
            <v>3</v>
          </cell>
          <cell r="BD1322">
            <v>3</v>
          </cell>
          <cell r="BE1322">
            <v>3</v>
          </cell>
          <cell r="BF1322">
            <v>3</v>
          </cell>
          <cell r="BG1322">
            <v>3</v>
          </cell>
          <cell r="BH1322">
            <v>0</v>
          </cell>
          <cell r="BI1322">
            <v>1</v>
          </cell>
          <cell r="BJ1322">
            <v>0</v>
          </cell>
          <cell r="BK1322">
            <v>0</v>
          </cell>
          <cell r="BL1322">
            <v>0</v>
          </cell>
          <cell r="BM1322">
            <v>0</v>
          </cell>
          <cell r="BN1322">
            <v>1</v>
          </cell>
          <cell r="BO1322">
            <v>0</v>
          </cell>
          <cell r="BP1322">
            <v>0</v>
          </cell>
          <cell r="BQ1322">
            <v>3</v>
          </cell>
          <cell r="BR1322">
            <v>0</v>
          </cell>
          <cell r="BS1322">
            <v>0</v>
          </cell>
          <cell r="BT1322">
            <v>10</v>
          </cell>
          <cell r="BU1322">
            <v>0</v>
          </cell>
        </row>
        <row r="1323">
          <cell r="A1323">
            <v>47</v>
          </cell>
          <cell r="B1323">
            <v>47</v>
          </cell>
          <cell r="D1323">
            <v>0</v>
          </cell>
          <cell r="F1323">
            <v>0</v>
          </cell>
          <cell r="G1323">
            <v>1</v>
          </cell>
          <cell r="I1323">
            <v>1</v>
          </cell>
          <cell r="J1323">
            <v>0</v>
          </cell>
          <cell r="K1323">
            <v>9</v>
          </cell>
          <cell r="L1323">
            <v>9</v>
          </cell>
          <cell r="M1323">
            <v>4</v>
          </cell>
          <cell r="O1323">
            <v>1</v>
          </cell>
          <cell r="P1323">
            <v>0</v>
          </cell>
          <cell r="Q1323">
            <v>0</v>
          </cell>
          <cell r="R1323">
            <v>0</v>
          </cell>
          <cell r="S1323">
            <v>0</v>
          </cell>
          <cell r="T1323">
            <v>2</v>
          </cell>
          <cell r="V1323">
            <v>1</v>
          </cell>
          <cell r="W1323">
            <v>64</v>
          </cell>
          <cell r="X1323">
            <v>3</v>
          </cell>
          <cell r="Y1323">
            <v>1</v>
          </cell>
          <cell r="AA1323">
            <v>0</v>
          </cell>
          <cell r="AB1323">
            <v>0</v>
          </cell>
          <cell r="AC1323">
            <v>1</v>
          </cell>
          <cell r="AD1323">
            <v>0</v>
          </cell>
          <cell r="AE1323">
            <v>0</v>
          </cell>
          <cell r="AF1323">
            <v>0</v>
          </cell>
          <cell r="AG1323">
            <v>0</v>
          </cell>
          <cell r="AH1323">
            <v>0</v>
          </cell>
          <cell r="AI1323">
            <v>3</v>
          </cell>
          <cell r="AK1323">
            <v>1</v>
          </cell>
          <cell r="AL1323">
            <v>0</v>
          </cell>
          <cell r="AN1323">
            <v>2105</v>
          </cell>
          <cell r="AO1323">
            <v>4</v>
          </cell>
          <cell r="AQ1323">
            <v>0</v>
          </cell>
          <cell r="AR1323">
            <v>12</v>
          </cell>
          <cell r="AS1323">
            <v>3</v>
          </cell>
          <cell r="AT1323">
            <v>3</v>
          </cell>
          <cell r="AU1323">
            <v>0</v>
          </cell>
          <cell r="AV1323">
            <v>7</v>
          </cell>
          <cell r="AW1323">
            <v>7</v>
          </cell>
          <cell r="AX1323">
            <v>2</v>
          </cell>
          <cell r="AY1323">
            <v>3</v>
          </cell>
          <cell r="AZ1323">
            <v>2</v>
          </cell>
          <cell r="BA1323">
            <v>2</v>
          </cell>
          <cell r="BB1323">
            <v>2</v>
          </cell>
          <cell r="BC1323">
            <v>2</v>
          </cell>
          <cell r="BD1323">
            <v>2</v>
          </cell>
          <cell r="BE1323">
            <v>0</v>
          </cell>
          <cell r="BF1323">
            <v>0</v>
          </cell>
          <cell r="BG1323">
            <v>0</v>
          </cell>
          <cell r="BH1323">
            <v>1</v>
          </cell>
          <cell r="BI1323">
            <v>0</v>
          </cell>
          <cell r="BJ1323">
            <v>0</v>
          </cell>
          <cell r="BK1323">
            <v>0</v>
          </cell>
          <cell r="BL1323">
            <v>1</v>
          </cell>
          <cell r="BM1323">
            <v>0</v>
          </cell>
          <cell r="BN1323">
            <v>0</v>
          </cell>
          <cell r="BO1323">
            <v>0</v>
          </cell>
          <cell r="BP1323">
            <v>0</v>
          </cell>
          <cell r="BQ1323">
            <v>0</v>
          </cell>
          <cell r="BR1323">
            <v>0</v>
          </cell>
          <cell r="BS1323">
            <v>0</v>
          </cell>
          <cell r="BT1323">
            <v>7</v>
          </cell>
          <cell r="BU1323">
            <v>0</v>
          </cell>
        </row>
        <row r="1324">
          <cell r="A1324">
            <v>46</v>
          </cell>
          <cell r="B1324">
            <v>46</v>
          </cell>
          <cell r="D1324">
            <v>0</v>
          </cell>
          <cell r="F1324">
            <v>0</v>
          </cell>
          <cell r="G1324">
            <v>1</v>
          </cell>
          <cell r="I1324">
            <v>1</v>
          </cell>
          <cell r="J1324">
            <v>0</v>
          </cell>
          <cell r="K1324">
            <v>2</v>
          </cell>
          <cell r="L1324">
            <v>2</v>
          </cell>
          <cell r="M1324">
            <v>2</v>
          </cell>
          <cell r="O1324">
            <v>1</v>
          </cell>
          <cell r="P1324">
            <v>0</v>
          </cell>
          <cell r="Q1324">
            <v>0</v>
          </cell>
          <cell r="R1324">
            <v>0</v>
          </cell>
          <cell r="S1324">
            <v>0</v>
          </cell>
          <cell r="T1324">
            <v>4</v>
          </cell>
          <cell r="V1324">
            <v>0</v>
          </cell>
          <cell r="W1324">
            <v>82</v>
          </cell>
          <cell r="X1324">
            <v>3</v>
          </cell>
          <cell r="Y1324">
            <v>3</v>
          </cell>
          <cell r="AA1324">
            <v>0</v>
          </cell>
          <cell r="AB1324">
            <v>0</v>
          </cell>
          <cell r="AC1324">
            <v>0</v>
          </cell>
          <cell r="AD1324">
            <v>0</v>
          </cell>
          <cell r="AE1324">
            <v>1</v>
          </cell>
          <cell r="AF1324">
            <v>1</v>
          </cell>
          <cell r="AG1324">
            <v>0</v>
          </cell>
          <cell r="AH1324">
            <v>0</v>
          </cell>
          <cell r="AI1324">
            <v>4</v>
          </cell>
          <cell r="AK1324">
            <v>0</v>
          </cell>
          <cell r="AL1324">
            <v>0</v>
          </cell>
          <cell r="AN1324">
            <v>8578</v>
          </cell>
          <cell r="AO1324">
            <v>3</v>
          </cell>
          <cell r="AQ1324">
            <v>0</v>
          </cell>
          <cell r="AR1324">
            <v>14</v>
          </cell>
          <cell r="AS1324">
            <v>3</v>
          </cell>
          <cell r="AT1324">
            <v>3</v>
          </cell>
          <cell r="AU1324">
            <v>1</v>
          </cell>
          <cell r="AV1324">
            <v>12</v>
          </cell>
          <cell r="AW1324">
            <v>12</v>
          </cell>
          <cell r="AX1324">
            <v>4</v>
          </cell>
          <cell r="AY1324">
            <v>2</v>
          </cell>
          <cell r="AZ1324">
            <v>9</v>
          </cell>
          <cell r="BA1324">
            <v>9</v>
          </cell>
          <cell r="BB1324">
            <v>8</v>
          </cell>
          <cell r="BC1324">
            <v>4</v>
          </cell>
          <cell r="BD1324">
            <v>4</v>
          </cell>
          <cell r="BE1324">
            <v>7</v>
          </cell>
          <cell r="BF1324">
            <v>7</v>
          </cell>
          <cell r="BG1324">
            <v>21</v>
          </cell>
          <cell r="BH1324">
            <v>1</v>
          </cell>
          <cell r="BI1324">
            <v>0</v>
          </cell>
          <cell r="BJ1324">
            <v>0</v>
          </cell>
          <cell r="BK1324">
            <v>0</v>
          </cell>
          <cell r="BL1324">
            <v>1</v>
          </cell>
          <cell r="BM1324">
            <v>0</v>
          </cell>
          <cell r="BN1324">
            <v>0</v>
          </cell>
          <cell r="BO1324">
            <v>0</v>
          </cell>
          <cell r="BP1324">
            <v>0</v>
          </cell>
          <cell r="BQ1324">
            <v>7</v>
          </cell>
          <cell r="BR1324">
            <v>0</v>
          </cell>
          <cell r="BS1324">
            <v>0</v>
          </cell>
          <cell r="BT1324">
            <v>12</v>
          </cell>
          <cell r="BU1324">
            <v>0</v>
          </cell>
        </row>
        <row r="1325">
          <cell r="A1325">
            <v>28</v>
          </cell>
          <cell r="B1325">
            <v>28</v>
          </cell>
          <cell r="D1325">
            <v>0</v>
          </cell>
          <cell r="F1325">
            <v>0</v>
          </cell>
          <cell r="G1325">
            <v>0</v>
          </cell>
          <cell r="I1325">
            <v>0</v>
          </cell>
          <cell r="J1325">
            <v>0</v>
          </cell>
          <cell r="K1325">
            <v>1</v>
          </cell>
          <cell r="L1325">
            <v>1</v>
          </cell>
          <cell r="M1325">
            <v>2</v>
          </cell>
          <cell r="O1325">
            <v>1</v>
          </cell>
          <cell r="P1325">
            <v>0</v>
          </cell>
          <cell r="Q1325">
            <v>0</v>
          </cell>
          <cell r="R1325">
            <v>0</v>
          </cell>
          <cell r="S1325">
            <v>0</v>
          </cell>
          <cell r="T1325">
            <v>3</v>
          </cell>
          <cell r="V1325">
            <v>0</v>
          </cell>
          <cell r="W1325">
            <v>43</v>
          </cell>
          <cell r="X1325">
            <v>3</v>
          </cell>
          <cell r="Y1325">
            <v>1</v>
          </cell>
          <cell r="AA1325">
            <v>0</v>
          </cell>
          <cell r="AB1325">
            <v>0</v>
          </cell>
          <cell r="AC1325">
            <v>0</v>
          </cell>
          <cell r="AD1325">
            <v>0</v>
          </cell>
          <cell r="AE1325">
            <v>0</v>
          </cell>
          <cell r="AF1325">
            <v>0</v>
          </cell>
          <cell r="AG1325">
            <v>0</v>
          </cell>
          <cell r="AH1325">
            <v>0</v>
          </cell>
          <cell r="AI1325">
            <v>4</v>
          </cell>
          <cell r="AK1325">
            <v>0</v>
          </cell>
          <cell r="AL1325">
            <v>0</v>
          </cell>
          <cell r="AN1325">
            <v>2706</v>
          </cell>
          <cell r="AO1325">
            <v>1</v>
          </cell>
          <cell r="AQ1325">
            <v>0</v>
          </cell>
          <cell r="AR1325">
            <v>15</v>
          </cell>
          <cell r="AS1325">
            <v>3</v>
          </cell>
          <cell r="AT1325">
            <v>2</v>
          </cell>
          <cell r="AU1325">
            <v>1</v>
          </cell>
          <cell r="AV1325">
            <v>3</v>
          </cell>
          <cell r="AW1325">
            <v>3</v>
          </cell>
          <cell r="AX1325">
            <v>2</v>
          </cell>
          <cell r="AY1325">
            <v>3</v>
          </cell>
          <cell r="AZ1325">
            <v>3</v>
          </cell>
          <cell r="BA1325">
            <v>3</v>
          </cell>
          <cell r="BB1325">
            <v>2</v>
          </cell>
          <cell r="BC1325">
            <v>2</v>
          </cell>
          <cell r="BD1325">
            <v>2</v>
          </cell>
          <cell r="BE1325">
            <v>2</v>
          </cell>
          <cell r="BF1325">
            <v>2</v>
          </cell>
          <cell r="BG1325">
            <v>2</v>
          </cell>
          <cell r="BH1325">
            <v>1</v>
          </cell>
          <cell r="BI1325">
            <v>0</v>
          </cell>
          <cell r="BJ1325">
            <v>0</v>
          </cell>
          <cell r="BK1325">
            <v>0</v>
          </cell>
          <cell r="BL1325">
            <v>1</v>
          </cell>
          <cell r="BM1325">
            <v>0</v>
          </cell>
          <cell r="BN1325">
            <v>0</v>
          </cell>
          <cell r="BO1325">
            <v>0</v>
          </cell>
          <cell r="BP1325">
            <v>2</v>
          </cell>
          <cell r="BQ1325">
            <v>0</v>
          </cell>
          <cell r="BR1325">
            <v>0</v>
          </cell>
          <cell r="BS1325">
            <v>3</v>
          </cell>
          <cell r="BT1325">
            <v>0</v>
          </cell>
          <cell r="BU1325">
            <v>0</v>
          </cell>
        </row>
        <row r="1326">
          <cell r="A1326">
            <v>29</v>
          </cell>
          <cell r="B1326">
            <v>29</v>
          </cell>
          <cell r="D1326">
            <v>0</v>
          </cell>
          <cell r="F1326">
            <v>0</v>
          </cell>
          <cell r="G1326">
            <v>1</v>
          </cell>
          <cell r="I1326">
            <v>1</v>
          </cell>
          <cell r="J1326">
            <v>0</v>
          </cell>
          <cell r="K1326">
            <v>29</v>
          </cell>
          <cell r="L1326">
            <v>29</v>
          </cell>
          <cell r="M1326">
            <v>1</v>
          </cell>
          <cell r="O1326">
            <v>1</v>
          </cell>
          <cell r="P1326">
            <v>0</v>
          </cell>
          <cell r="Q1326">
            <v>0</v>
          </cell>
          <cell r="R1326">
            <v>0</v>
          </cell>
          <cell r="S1326">
            <v>0</v>
          </cell>
          <cell r="T1326">
            <v>4</v>
          </cell>
          <cell r="V1326">
            <v>0</v>
          </cell>
          <cell r="W1326">
            <v>93</v>
          </cell>
          <cell r="X1326">
            <v>1</v>
          </cell>
          <cell r="Y1326">
            <v>2</v>
          </cell>
          <cell r="AA1326">
            <v>1</v>
          </cell>
          <cell r="AB1326">
            <v>0</v>
          </cell>
          <cell r="AC1326">
            <v>0</v>
          </cell>
          <cell r="AD1326">
            <v>0</v>
          </cell>
          <cell r="AE1326">
            <v>0</v>
          </cell>
          <cell r="AF1326">
            <v>0</v>
          </cell>
          <cell r="AG1326">
            <v>0</v>
          </cell>
          <cell r="AH1326">
            <v>0</v>
          </cell>
          <cell r="AI1326">
            <v>3</v>
          </cell>
          <cell r="AK1326">
            <v>0</v>
          </cell>
          <cell r="AL1326">
            <v>0</v>
          </cell>
          <cell r="AN1326">
            <v>6384</v>
          </cell>
          <cell r="AO1326">
            <v>8</v>
          </cell>
          <cell r="AQ1326">
            <v>0</v>
          </cell>
          <cell r="AR1326">
            <v>17</v>
          </cell>
          <cell r="AS1326">
            <v>3</v>
          </cell>
          <cell r="AT1326">
            <v>4</v>
          </cell>
          <cell r="AU1326">
            <v>2</v>
          </cell>
          <cell r="AV1326">
            <v>11</v>
          </cell>
          <cell r="AW1326">
            <v>11</v>
          </cell>
          <cell r="AX1326">
            <v>3</v>
          </cell>
          <cell r="AY1326">
            <v>3</v>
          </cell>
          <cell r="AZ1326">
            <v>7</v>
          </cell>
          <cell r="BA1326">
            <v>7</v>
          </cell>
          <cell r="BB1326">
            <v>0</v>
          </cell>
          <cell r="BC1326">
            <v>1</v>
          </cell>
          <cell r="BD1326">
            <v>1</v>
          </cell>
          <cell r="BE1326">
            <v>6</v>
          </cell>
          <cell r="BF1326">
            <v>6</v>
          </cell>
          <cell r="BG1326">
            <v>12</v>
          </cell>
          <cell r="BH1326">
            <v>1</v>
          </cell>
          <cell r="BI1326">
            <v>0</v>
          </cell>
          <cell r="BJ1326">
            <v>0</v>
          </cell>
          <cell r="BK1326">
            <v>0</v>
          </cell>
          <cell r="BL1326">
            <v>1</v>
          </cell>
          <cell r="BM1326">
            <v>0</v>
          </cell>
          <cell r="BN1326">
            <v>0</v>
          </cell>
          <cell r="BO1326">
            <v>0</v>
          </cell>
          <cell r="BP1326">
            <v>0</v>
          </cell>
          <cell r="BQ1326">
            <v>6</v>
          </cell>
          <cell r="BR1326">
            <v>0</v>
          </cell>
          <cell r="BS1326">
            <v>0</v>
          </cell>
          <cell r="BT1326">
            <v>11</v>
          </cell>
          <cell r="BU1326">
            <v>0</v>
          </cell>
        </row>
        <row r="1327">
          <cell r="A1327">
            <v>42</v>
          </cell>
          <cell r="B1327">
            <v>42</v>
          </cell>
          <cell r="D1327">
            <v>0</v>
          </cell>
          <cell r="F1327">
            <v>0</v>
          </cell>
          <cell r="G1327">
            <v>1</v>
          </cell>
          <cell r="I1327">
            <v>1</v>
          </cell>
          <cell r="J1327">
            <v>0</v>
          </cell>
          <cell r="K1327">
            <v>8</v>
          </cell>
          <cell r="L1327">
            <v>8</v>
          </cell>
          <cell r="M1327">
            <v>3</v>
          </cell>
          <cell r="O1327">
            <v>1</v>
          </cell>
          <cell r="P1327">
            <v>0</v>
          </cell>
          <cell r="Q1327">
            <v>0</v>
          </cell>
          <cell r="R1327">
            <v>0</v>
          </cell>
          <cell r="S1327">
            <v>0</v>
          </cell>
          <cell r="T1327">
            <v>4</v>
          </cell>
          <cell r="V1327">
            <v>0</v>
          </cell>
          <cell r="W1327">
            <v>81</v>
          </cell>
          <cell r="X1327">
            <v>3</v>
          </cell>
          <cell r="Y1327">
            <v>1</v>
          </cell>
          <cell r="AA1327">
            <v>0</v>
          </cell>
          <cell r="AB1327">
            <v>0</v>
          </cell>
          <cell r="AC1327">
            <v>1</v>
          </cell>
          <cell r="AD1327">
            <v>0</v>
          </cell>
          <cell r="AE1327">
            <v>0</v>
          </cell>
          <cell r="AF1327">
            <v>0</v>
          </cell>
          <cell r="AG1327">
            <v>0</v>
          </cell>
          <cell r="AH1327">
            <v>0</v>
          </cell>
          <cell r="AI1327">
            <v>3</v>
          </cell>
          <cell r="AK1327">
            <v>1</v>
          </cell>
          <cell r="AL1327">
            <v>0</v>
          </cell>
          <cell r="AN1327">
            <v>3968</v>
          </cell>
          <cell r="AO1327">
            <v>4</v>
          </cell>
          <cell r="AQ1327">
            <v>0</v>
          </cell>
          <cell r="AR1327">
            <v>13</v>
          </cell>
          <cell r="AS1327">
            <v>3</v>
          </cell>
          <cell r="AT1327">
            <v>4</v>
          </cell>
          <cell r="AU1327">
            <v>0</v>
          </cell>
          <cell r="AV1327">
            <v>8</v>
          </cell>
          <cell r="AW1327">
            <v>8</v>
          </cell>
          <cell r="AX1327">
            <v>3</v>
          </cell>
          <cell r="AY1327">
            <v>3</v>
          </cell>
          <cell r="AZ1327">
            <v>0</v>
          </cell>
          <cell r="BA1327">
            <v>0</v>
          </cell>
          <cell r="BB1327">
            <v>0</v>
          </cell>
          <cell r="BC1327">
            <v>0</v>
          </cell>
          <cell r="BD1327">
            <v>0</v>
          </cell>
          <cell r="BE1327">
            <v>0</v>
          </cell>
          <cell r="BF1327">
            <v>0</v>
          </cell>
          <cell r="BG1327">
            <v>0</v>
          </cell>
          <cell r="BH1327">
            <v>1</v>
          </cell>
          <cell r="BI1327">
            <v>0</v>
          </cell>
          <cell r="BJ1327">
            <v>0</v>
          </cell>
          <cell r="BK1327">
            <v>0</v>
          </cell>
          <cell r="BL1327">
            <v>1</v>
          </cell>
          <cell r="BM1327">
            <v>0</v>
          </cell>
          <cell r="BN1327">
            <v>0</v>
          </cell>
          <cell r="BO1327">
            <v>0</v>
          </cell>
          <cell r="BP1327">
            <v>0</v>
          </cell>
          <cell r="BQ1327">
            <v>0</v>
          </cell>
          <cell r="BR1327">
            <v>0</v>
          </cell>
          <cell r="BS1327">
            <v>0</v>
          </cell>
          <cell r="BT1327">
            <v>8</v>
          </cell>
          <cell r="BU1327">
            <v>0</v>
          </cell>
        </row>
        <row r="1328">
          <cell r="A1328">
            <v>32</v>
          </cell>
          <cell r="B1328">
            <v>32</v>
          </cell>
          <cell r="D1328">
            <v>1</v>
          </cell>
          <cell r="F1328">
            <v>0</v>
          </cell>
          <cell r="G1328">
            <v>1</v>
          </cell>
          <cell r="I1328">
            <v>0</v>
          </cell>
          <cell r="J1328">
            <v>1</v>
          </cell>
          <cell r="K1328">
            <v>2</v>
          </cell>
          <cell r="L1328">
            <v>2</v>
          </cell>
          <cell r="M1328">
            <v>4</v>
          </cell>
          <cell r="O1328">
            <v>0</v>
          </cell>
          <cell r="P1328">
            <v>0</v>
          </cell>
          <cell r="Q1328">
            <v>0</v>
          </cell>
          <cell r="R1328">
            <v>1</v>
          </cell>
          <cell r="S1328">
            <v>0</v>
          </cell>
          <cell r="T1328">
            <v>3</v>
          </cell>
          <cell r="V1328">
            <v>0</v>
          </cell>
          <cell r="W1328">
            <v>82</v>
          </cell>
          <cell r="X1328">
            <v>2</v>
          </cell>
          <cell r="Y1328">
            <v>2</v>
          </cell>
          <cell r="AA1328">
            <v>0</v>
          </cell>
          <cell r="AB1328">
            <v>1</v>
          </cell>
          <cell r="AC1328">
            <v>0</v>
          </cell>
          <cell r="AD1328">
            <v>0</v>
          </cell>
          <cell r="AE1328">
            <v>0</v>
          </cell>
          <cell r="AF1328">
            <v>0</v>
          </cell>
          <cell r="AG1328">
            <v>0</v>
          </cell>
          <cell r="AH1328">
            <v>0</v>
          </cell>
          <cell r="AI1328">
            <v>2</v>
          </cell>
          <cell r="AK1328">
            <v>1</v>
          </cell>
          <cell r="AL1328">
            <v>0</v>
          </cell>
          <cell r="AN1328">
            <v>9907</v>
          </cell>
          <cell r="AO1328">
            <v>7</v>
          </cell>
          <cell r="AQ1328">
            <v>1</v>
          </cell>
          <cell r="AR1328">
            <v>12</v>
          </cell>
          <cell r="AS1328">
            <v>3</v>
          </cell>
          <cell r="AT1328">
            <v>3</v>
          </cell>
          <cell r="AU1328">
            <v>0</v>
          </cell>
          <cell r="AV1328">
            <v>7</v>
          </cell>
          <cell r="AW1328">
            <v>7</v>
          </cell>
          <cell r="AX1328">
            <v>3</v>
          </cell>
          <cell r="AY1328">
            <v>2</v>
          </cell>
          <cell r="AZ1328">
            <v>2</v>
          </cell>
          <cell r="BA1328">
            <v>2</v>
          </cell>
          <cell r="BB1328">
            <v>2</v>
          </cell>
          <cell r="BC1328">
            <v>2</v>
          </cell>
          <cell r="BD1328">
            <v>2</v>
          </cell>
          <cell r="BE1328">
            <v>2</v>
          </cell>
          <cell r="BF1328">
            <v>2</v>
          </cell>
          <cell r="BG1328">
            <v>4</v>
          </cell>
          <cell r="BH1328">
            <v>1</v>
          </cell>
          <cell r="BI1328">
            <v>0</v>
          </cell>
          <cell r="BJ1328">
            <v>0</v>
          </cell>
          <cell r="BK1328">
            <v>0</v>
          </cell>
          <cell r="BL1328">
            <v>0</v>
          </cell>
          <cell r="BM1328">
            <v>1</v>
          </cell>
          <cell r="BN1328">
            <v>0</v>
          </cell>
          <cell r="BO1328">
            <v>0</v>
          </cell>
          <cell r="BP1328">
            <v>0</v>
          </cell>
          <cell r="BQ1328">
            <v>0</v>
          </cell>
          <cell r="BR1328">
            <v>2</v>
          </cell>
          <cell r="BS1328">
            <v>0</v>
          </cell>
          <cell r="BT1328">
            <v>0</v>
          </cell>
          <cell r="BU1328">
            <v>7</v>
          </cell>
        </row>
        <row r="1329">
          <cell r="A1329">
            <v>46</v>
          </cell>
          <cell r="B1329">
            <v>46</v>
          </cell>
          <cell r="D1329">
            <v>0</v>
          </cell>
          <cell r="F1329">
            <v>0</v>
          </cell>
          <cell r="G1329">
            <v>1</v>
          </cell>
          <cell r="I1329">
            <v>0</v>
          </cell>
          <cell r="J1329">
            <v>1</v>
          </cell>
          <cell r="K1329">
            <v>3</v>
          </cell>
          <cell r="L1329">
            <v>3</v>
          </cell>
          <cell r="M1329">
            <v>3</v>
          </cell>
          <cell r="O1329">
            <v>0</v>
          </cell>
          <cell r="P1329">
            <v>0</v>
          </cell>
          <cell r="Q1329">
            <v>0</v>
          </cell>
          <cell r="R1329">
            <v>0</v>
          </cell>
          <cell r="S1329">
            <v>1</v>
          </cell>
          <cell r="T1329">
            <v>1</v>
          </cell>
          <cell r="V1329">
            <v>1</v>
          </cell>
          <cell r="W1329">
            <v>45</v>
          </cell>
          <cell r="X1329">
            <v>4</v>
          </cell>
          <cell r="Y1329">
            <v>4</v>
          </cell>
          <cell r="AA1329">
            <v>0</v>
          </cell>
          <cell r="AB1329">
            <v>1</v>
          </cell>
          <cell r="AC1329">
            <v>0</v>
          </cell>
          <cell r="AD1329">
            <v>0</v>
          </cell>
          <cell r="AE1329">
            <v>0</v>
          </cell>
          <cell r="AF1329">
            <v>0</v>
          </cell>
          <cell r="AG1329">
            <v>0</v>
          </cell>
          <cell r="AH1329">
            <v>0</v>
          </cell>
          <cell r="AI1329">
            <v>1</v>
          </cell>
          <cell r="AK1329">
            <v>0</v>
          </cell>
          <cell r="AL1329">
            <v>0</v>
          </cell>
          <cell r="AN1329">
            <v>13225</v>
          </cell>
          <cell r="AO1329">
            <v>2</v>
          </cell>
          <cell r="AQ1329">
            <v>0</v>
          </cell>
          <cell r="AR1329">
            <v>12</v>
          </cell>
          <cell r="AS1329">
            <v>3</v>
          </cell>
          <cell r="AT1329">
            <v>4</v>
          </cell>
          <cell r="AU1329">
            <v>1</v>
          </cell>
          <cell r="AV1329">
            <v>25</v>
          </cell>
          <cell r="AW1329">
            <v>25</v>
          </cell>
          <cell r="AX1329">
            <v>5</v>
          </cell>
          <cell r="AY1329">
            <v>3</v>
          </cell>
          <cell r="AZ1329">
            <v>19</v>
          </cell>
          <cell r="BA1329">
            <v>19</v>
          </cell>
          <cell r="BB1329">
            <v>17</v>
          </cell>
          <cell r="BC1329">
            <v>2</v>
          </cell>
          <cell r="BD1329">
            <v>2</v>
          </cell>
          <cell r="BE1329">
            <v>8</v>
          </cell>
          <cell r="BF1329">
            <v>8</v>
          </cell>
          <cell r="BG1329">
            <v>32</v>
          </cell>
          <cell r="BH1329">
            <v>1</v>
          </cell>
          <cell r="BI1329">
            <v>0</v>
          </cell>
          <cell r="BJ1329">
            <v>0</v>
          </cell>
          <cell r="BK1329">
            <v>0</v>
          </cell>
          <cell r="BL1329">
            <v>1</v>
          </cell>
          <cell r="BM1329">
            <v>0</v>
          </cell>
          <cell r="BN1329">
            <v>0</v>
          </cell>
          <cell r="BO1329">
            <v>0</v>
          </cell>
          <cell r="BP1329">
            <v>0</v>
          </cell>
          <cell r="BQ1329">
            <v>0</v>
          </cell>
          <cell r="BR1329">
            <v>8</v>
          </cell>
          <cell r="BS1329">
            <v>0</v>
          </cell>
          <cell r="BT1329">
            <v>0</v>
          </cell>
          <cell r="BU1329">
            <v>25</v>
          </cell>
        </row>
        <row r="1330">
          <cell r="A1330">
            <v>27</v>
          </cell>
          <cell r="B1330">
            <v>27</v>
          </cell>
          <cell r="D1330">
            <v>0</v>
          </cell>
          <cell r="F1330">
            <v>0</v>
          </cell>
          <cell r="G1330">
            <v>1</v>
          </cell>
          <cell r="I1330">
            <v>0</v>
          </cell>
          <cell r="J1330">
            <v>1</v>
          </cell>
          <cell r="K1330">
            <v>23</v>
          </cell>
          <cell r="L1330">
            <v>23</v>
          </cell>
          <cell r="M1330">
            <v>1</v>
          </cell>
          <cell r="O1330">
            <v>0</v>
          </cell>
          <cell r="P1330">
            <v>0</v>
          </cell>
          <cell r="Q1330">
            <v>1</v>
          </cell>
          <cell r="R1330">
            <v>0</v>
          </cell>
          <cell r="S1330">
            <v>0</v>
          </cell>
          <cell r="T1330">
            <v>2</v>
          </cell>
          <cell r="V1330">
            <v>1</v>
          </cell>
          <cell r="W1330">
            <v>36</v>
          </cell>
          <cell r="X1330">
            <v>2</v>
          </cell>
          <cell r="Y1330">
            <v>2</v>
          </cell>
          <cell r="AA1330">
            <v>0</v>
          </cell>
          <cell r="AB1330">
            <v>0</v>
          </cell>
          <cell r="AC1330">
            <v>0</v>
          </cell>
          <cell r="AD1330">
            <v>0</v>
          </cell>
          <cell r="AE1330">
            <v>0</v>
          </cell>
          <cell r="AF1330">
            <v>0</v>
          </cell>
          <cell r="AG1330">
            <v>1</v>
          </cell>
          <cell r="AH1330">
            <v>0</v>
          </cell>
          <cell r="AI1330">
            <v>3</v>
          </cell>
          <cell r="AK1330">
            <v>0</v>
          </cell>
          <cell r="AL1330">
            <v>1</v>
          </cell>
          <cell r="AN1330">
            <v>3540</v>
          </cell>
          <cell r="AO1330">
            <v>1</v>
          </cell>
          <cell r="AQ1330">
            <v>0</v>
          </cell>
          <cell r="AR1330">
            <v>21</v>
          </cell>
          <cell r="AS1330">
            <v>4</v>
          </cell>
          <cell r="AT1330">
            <v>4</v>
          </cell>
          <cell r="AU1330">
            <v>1</v>
          </cell>
          <cell r="AV1330">
            <v>9</v>
          </cell>
          <cell r="AW1330">
            <v>9</v>
          </cell>
          <cell r="AX1330">
            <v>5</v>
          </cell>
          <cell r="AY1330">
            <v>3</v>
          </cell>
          <cell r="AZ1330">
            <v>9</v>
          </cell>
          <cell r="BA1330">
            <v>9</v>
          </cell>
          <cell r="BB1330">
            <v>8</v>
          </cell>
          <cell r="BC1330">
            <v>5</v>
          </cell>
          <cell r="BD1330">
            <v>5</v>
          </cell>
          <cell r="BE1330">
            <v>8</v>
          </cell>
          <cell r="BF1330">
            <v>8</v>
          </cell>
          <cell r="BG1330">
            <v>16</v>
          </cell>
          <cell r="BH1330">
            <v>0</v>
          </cell>
          <cell r="BI1330">
            <v>1</v>
          </cell>
          <cell r="BJ1330">
            <v>0</v>
          </cell>
          <cell r="BK1330">
            <v>0</v>
          </cell>
          <cell r="BL1330">
            <v>0</v>
          </cell>
          <cell r="BM1330">
            <v>0</v>
          </cell>
          <cell r="BN1330">
            <v>1</v>
          </cell>
          <cell r="BO1330">
            <v>0</v>
          </cell>
          <cell r="BP1330">
            <v>0</v>
          </cell>
          <cell r="BQ1330">
            <v>0</v>
          </cell>
          <cell r="BR1330">
            <v>8</v>
          </cell>
          <cell r="BS1330">
            <v>0</v>
          </cell>
          <cell r="BT1330">
            <v>0</v>
          </cell>
          <cell r="BU1330">
            <v>9</v>
          </cell>
        </row>
        <row r="1331">
          <cell r="A1331">
            <v>29</v>
          </cell>
          <cell r="B1331">
            <v>29</v>
          </cell>
          <cell r="D1331">
            <v>0</v>
          </cell>
          <cell r="F1331">
            <v>0</v>
          </cell>
          <cell r="G1331">
            <v>1</v>
          </cell>
          <cell r="I1331">
            <v>0</v>
          </cell>
          <cell r="J1331">
            <v>0</v>
          </cell>
          <cell r="K1331">
            <v>6</v>
          </cell>
          <cell r="L1331">
            <v>6</v>
          </cell>
          <cell r="M1331">
            <v>1</v>
          </cell>
          <cell r="O1331">
            <v>0</v>
          </cell>
          <cell r="P1331">
            <v>0</v>
          </cell>
          <cell r="Q1331">
            <v>1</v>
          </cell>
          <cell r="R1331">
            <v>0</v>
          </cell>
          <cell r="S1331">
            <v>0</v>
          </cell>
          <cell r="T1331">
            <v>4</v>
          </cell>
          <cell r="V1331">
            <v>0</v>
          </cell>
          <cell r="W1331">
            <v>87</v>
          </cell>
          <cell r="X1331">
            <v>2</v>
          </cell>
          <cell r="Y1331">
            <v>1</v>
          </cell>
          <cell r="AA1331">
            <v>0</v>
          </cell>
          <cell r="AB1331">
            <v>0</v>
          </cell>
          <cell r="AC1331">
            <v>0</v>
          </cell>
          <cell r="AD1331">
            <v>0</v>
          </cell>
          <cell r="AE1331">
            <v>0</v>
          </cell>
          <cell r="AF1331">
            <v>0</v>
          </cell>
          <cell r="AG1331">
            <v>0</v>
          </cell>
          <cell r="AH1331">
            <v>0</v>
          </cell>
          <cell r="AI1331">
            <v>2</v>
          </cell>
          <cell r="AK1331">
            <v>0</v>
          </cell>
          <cell r="AL1331">
            <v>1</v>
          </cell>
          <cell r="AN1331">
            <v>2804</v>
          </cell>
          <cell r="AO1331">
            <v>1</v>
          </cell>
          <cell r="AQ1331">
            <v>0</v>
          </cell>
          <cell r="AR1331">
            <v>11</v>
          </cell>
          <cell r="AS1331">
            <v>3</v>
          </cell>
          <cell r="AT1331">
            <v>4</v>
          </cell>
          <cell r="AU1331">
            <v>0</v>
          </cell>
          <cell r="AV1331">
            <v>1</v>
          </cell>
          <cell r="AW1331">
            <v>1</v>
          </cell>
          <cell r="AX1331">
            <v>3</v>
          </cell>
          <cell r="AY1331">
            <v>3</v>
          </cell>
          <cell r="AZ1331">
            <v>1</v>
          </cell>
          <cell r="BA1331">
            <v>1</v>
          </cell>
          <cell r="BB1331">
            <v>0</v>
          </cell>
          <cell r="BC1331">
            <v>0</v>
          </cell>
          <cell r="BD1331">
            <v>0</v>
          </cell>
          <cell r="BE1331">
            <v>0</v>
          </cell>
          <cell r="BF1331">
            <v>0</v>
          </cell>
          <cell r="BG1331">
            <v>0</v>
          </cell>
          <cell r="BH1331">
            <v>0</v>
          </cell>
          <cell r="BI1331">
            <v>1</v>
          </cell>
          <cell r="BJ1331">
            <v>0</v>
          </cell>
          <cell r="BK1331">
            <v>0</v>
          </cell>
          <cell r="BL1331">
            <v>0</v>
          </cell>
          <cell r="BM1331">
            <v>0</v>
          </cell>
          <cell r="BN1331">
            <v>1</v>
          </cell>
          <cell r="BO1331">
            <v>0</v>
          </cell>
          <cell r="BP1331">
            <v>0</v>
          </cell>
          <cell r="BQ1331">
            <v>0</v>
          </cell>
          <cell r="BR1331">
            <v>0</v>
          </cell>
          <cell r="BS1331">
            <v>1</v>
          </cell>
          <cell r="BT1331">
            <v>0</v>
          </cell>
          <cell r="BU1331">
            <v>0</v>
          </cell>
        </row>
        <row r="1332">
          <cell r="A1332">
            <v>43</v>
          </cell>
          <cell r="B1332">
            <v>43</v>
          </cell>
          <cell r="D1332">
            <v>0</v>
          </cell>
          <cell r="F1332">
            <v>0</v>
          </cell>
          <cell r="G1332">
            <v>1</v>
          </cell>
          <cell r="I1332">
            <v>1</v>
          </cell>
          <cell r="J1332">
            <v>0</v>
          </cell>
          <cell r="K1332">
            <v>6</v>
          </cell>
          <cell r="L1332">
            <v>6</v>
          </cell>
          <cell r="M1332">
            <v>3</v>
          </cell>
          <cell r="O1332">
            <v>0</v>
          </cell>
          <cell r="P1332">
            <v>0</v>
          </cell>
          <cell r="Q1332">
            <v>1</v>
          </cell>
          <cell r="R1332">
            <v>0</v>
          </cell>
          <cell r="S1332">
            <v>0</v>
          </cell>
          <cell r="T1332">
            <v>1</v>
          </cell>
          <cell r="V1332">
            <v>1</v>
          </cell>
          <cell r="W1332">
            <v>81</v>
          </cell>
          <cell r="X1332">
            <v>2</v>
          </cell>
          <cell r="Y1332">
            <v>5</v>
          </cell>
          <cell r="AA1332">
            <v>0</v>
          </cell>
          <cell r="AB1332">
            <v>0</v>
          </cell>
          <cell r="AC1332">
            <v>0</v>
          </cell>
          <cell r="AD1332">
            <v>1</v>
          </cell>
          <cell r="AE1332">
            <v>0</v>
          </cell>
          <cell r="AF1332">
            <v>0</v>
          </cell>
          <cell r="AG1332">
            <v>0</v>
          </cell>
          <cell r="AH1332">
            <v>0</v>
          </cell>
          <cell r="AI1332">
            <v>3</v>
          </cell>
          <cell r="AK1332">
            <v>0</v>
          </cell>
          <cell r="AL1332">
            <v>1</v>
          </cell>
          <cell r="AN1332">
            <v>19392</v>
          </cell>
          <cell r="AO1332">
            <v>7</v>
          </cell>
          <cell r="AQ1332">
            <v>0</v>
          </cell>
          <cell r="AR1332">
            <v>13</v>
          </cell>
          <cell r="AS1332">
            <v>3</v>
          </cell>
          <cell r="AT1332">
            <v>4</v>
          </cell>
          <cell r="AU1332">
            <v>0</v>
          </cell>
          <cell r="AV1332">
            <v>21</v>
          </cell>
          <cell r="AW1332">
            <v>21</v>
          </cell>
          <cell r="AX1332">
            <v>2</v>
          </cell>
          <cell r="AY1332">
            <v>3</v>
          </cell>
          <cell r="AZ1332">
            <v>16</v>
          </cell>
          <cell r="BA1332">
            <v>16</v>
          </cell>
          <cell r="BB1332">
            <v>12</v>
          </cell>
          <cell r="BC1332">
            <v>6</v>
          </cell>
          <cell r="BD1332">
            <v>6</v>
          </cell>
          <cell r="BE1332">
            <v>14</v>
          </cell>
          <cell r="BF1332">
            <v>14</v>
          </cell>
          <cell r="BG1332">
            <v>70</v>
          </cell>
          <cell r="BH1332">
            <v>0</v>
          </cell>
          <cell r="BI1332">
            <v>1</v>
          </cell>
          <cell r="BJ1332">
            <v>0</v>
          </cell>
          <cell r="BK1332">
            <v>0</v>
          </cell>
          <cell r="BL1332">
            <v>0</v>
          </cell>
          <cell r="BM1332">
            <v>0</v>
          </cell>
          <cell r="BN1332">
            <v>1</v>
          </cell>
          <cell r="BO1332">
            <v>0</v>
          </cell>
          <cell r="BP1332">
            <v>0</v>
          </cell>
          <cell r="BQ1332">
            <v>14</v>
          </cell>
          <cell r="BR1332">
            <v>0</v>
          </cell>
          <cell r="BS1332">
            <v>0</v>
          </cell>
          <cell r="BT1332">
            <v>21</v>
          </cell>
          <cell r="BU1332">
            <v>0</v>
          </cell>
        </row>
        <row r="1333">
          <cell r="A1333">
            <v>48</v>
          </cell>
          <cell r="B1333">
            <v>48</v>
          </cell>
          <cell r="D1333">
            <v>0</v>
          </cell>
          <cell r="F1333">
            <v>0</v>
          </cell>
          <cell r="G1333">
            <v>1</v>
          </cell>
          <cell r="I1333">
            <v>1</v>
          </cell>
          <cell r="J1333">
            <v>0</v>
          </cell>
          <cell r="K1333">
            <v>10</v>
          </cell>
          <cell r="L1333">
            <v>10</v>
          </cell>
          <cell r="M1333">
            <v>3</v>
          </cell>
          <cell r="O1333">
            <v>1</v>
          </cell>
          <cell r="P1333">
            <v>0</v>
          </cell>
          <cell r="Q1333">
            <v>0</v>
          </cell>
          <cell r="R1333">
            <v>0</v>
          </cell>
          <cell r="S1333">
            <v>0</v>
          </cell>
          <cell r="T1333">
            <v>4</v>
          </cell>
          <cell r="V1333">
            <v>0</v>
          </cell>
          <cell r="W1333">
            <v>91</v>
          </cell>
          <cell r="X1333">
            <v>2</v>
          </cell>
          <cell r="Y1333">
            <v>5</v>
          </cell>
          <cell r="AA1333">
            <v>0</v>
          </cell>
          <cell r="AB1333">
            <v>0</v>
          </cell>
          <cell r="AC1333">
            <v>0</v>
          </cell>
          <cell r="AD1333">
            <v>0</v>
          </cell>
          <cell r="AE1333">
            <v>0</v>
          </cell>
          <cell r="AF1333">
            <v>0</v>
          </cell>
          <cell r="AG1333">
            <v>0</v>
          </cell>
          <cell r="AH1333">
            <v>0</v>
          </cell>
          <cell r="AI1333">
            <v>2</v>
          </cell>
          <cell r="AK1333">
            <v>0</v>
          </cell>
          <cell r="AL1333">
            <v>1</v>
          </cell>
          <cell r="AN1333">
            <v>19626.310000000001</v>
          </cell>
          <cell r="AO1333">
            <v>4</v>
          </cell>
          <cell r="AQ1333">
            <v>0</v>
          </cell>
          <cell r="AR1333">
            <v>12</v>
          </cell>
          <cell r="AS1333">
            <v>3</v>
          </cell>
          <cell r="AT1333">
            <v>4</v>
          </cell>
          <cell r="AU1333">
            <v>0</v>
          </cell>
          <cell r="AV1333">
            <v>29</v>
          </cell>
          <cell r="AW1333">
            <v>29</v>
          </cell>
          <cell r="AX1333">
            <v>3</v>
          </cell>
          <cell r="AY1333">
            <v>3</v>
          </cell>
          <cell r="AZ1333">
            <v>22</v>
          </cell>
          <cell r="BA1333">
            <v>22</v>
          </cell>
          <cell r="BB1333">
            <v>10</v>
          </cell>
          <cell r="BC1333">
            <v>12</v>
          </cell>
          <cell r="BD1333">
            <v>12</v>
          </cell>
          <cell r="BE1333">
            <v>9</v>
          </cell>
          <cell r="BF1333">
            <v>9</v>
          </cell>
          <cell r="BG1333">
            <v>45</v>
          </cell>
          <cell r="BH1333">
            <v>0</v>
          </cell>
          <cell r="BI1333">
            <v>1</v>
          </cell>
          <cell r="BJ1333">
            <v>0</v>
          </cell>
          <cell r="BK1333">
            <v>0</v>
          </cell>
          <cell r="BL1333">
            <v>0</v>
          </cell>
          <cell r="BM1333">
            <v>0</v>
          </cell>
          <cell r="BN1333">
            <v>1</v>
          </cell>
          <cell r="BO1333">
            <v>0</v>
          </cell>
          <cell r="BP1333">
            <v>0</v>
          </cell>
          <cell r="BQ1333">
            <v>9</v>
          </cell>
          <cell r="BR1333">
            <v>0</v>
          </cell>
          <cell r="BS1333">
            <v>0</v>
          </cell>
          <cell r="BT1333">
            <v>29</v>
          </cell>
          <cell r="BU1333">
            <v>0</v>
          </cell>
        </row>
        <row r="1334">
          <cell r="A1334">
            <v>29</v>
          </cell>
          <cell r="B1334">
            <v>29</v>
          </cell>
          <cell r="D1334">
            <v>1</v>
          </cell>
          <cell r="F1334">
            <v>1</v>
          </cell>
          <cell r="G1334">
            <v>0</v>
          </cell>
          <cell r="I1334">
            <v>1</v>
          </cell>
          <cell r="J1334">
            <v>0</v>
          </cell>
          <cell r="K1334">
            <v>24</v>
          </cell>
          <cell r="L1334">
            <v>24</v>
          </cell>
          <cell r="M1334">
            <v>2</v>
          </cell>
          <cell r="O1334">
            <v>1</v>
          </cell>
          <cell r="P1334">
            <v>0</v>
          </cell>
          <cell r="Q1334">
            <v>0</v>
          </cell>
          <cell r="R1334">
            <v>0</v>
          </cell>
          <cell r="S1334">
            <v>0</v>
          </cell>
          <cell r="T1334">
            <v>4</v>
          </cell>
          <cell r="V1334">
            <v>0</v>
          </cell>
          <cell r="W1334">
            <v>73</v>
          </cell>
          <cell r="X1334">
            <v>2</v>
          </cell>
          <cell r="Y1334">
            <v>1</v>
          </cell>
          <cell r="AA1334">
            <v>0</v>
          </cell>
          <cell r="AB1334">
            <v>0</v>
          </cell>
          <cell r="AC1334">
            <v>0</v>
          </cell>
          <cell r="AD1334">
            <v>0</v>
          </cell>
          <cell r="AE1334">
            <v>0</v>
          </cell>
          <cell r="AF1334">
            <v>0</v>
          </cell>
          <cell r="AG1334">
            <v>0</v>
          </cell>
          <cell r="AH1334">
            <v>1</v>
          </cell>
          <cell r="AI1334">
            <v>4</v>
          </cell>
          <cell r="AK1334">
            <v>1</v>
          </cell>
          <cell r="AL1334">
            <v>0</v>
          </cell>
          <cell r="AN1334">
            <v>2439</v>
          </cell>
          <cell r="AO1334">
            <v>1</v>
          </cell>
          <cell r="AQ1334">
            <v>1</v>
          </cell>
          <cell r="AR1334">
            <v>24</v>
          </cell>
          <cell r="AS1334">
            <v>4</v>
          </cell>
          <cell r="AT1334">
            <v>2</v>
          </cell>
          <cell r="AU1334">
            <v>0</v>
          </cell>
          <cell r="AV1334">
            <v>1</v>
          </cell>
          <cell r="AW1334">
            <v>1</v>
          </cell>
          <cell r="AX1334">
            <v>3</v>
          </cell>
          <cell r="AY1334">
            <v>2</v>
          </cell>
          <cell r="AZ1334">
            <v>1</v>
          </cell>
          <cell r="BA1334">
            <v>1</v>
          </cell>
          <cell r="BB1334">
            <v>0</v>
          </cell>
          <cell r="BC1334">
            <v>1</v>
          </cell>
          <cell r="BD1334">
            <v>1</v>
          </cell>
          <cell r="BE1334">
            <v>0</v>
          </cell>
          <cell r="BF1334">
            <v>0</v>
          </cell>
          <cell r="BG1334">
            <v>0</v>
          </cell>
          <cell r="BH1334">
            <v>0</v>
          </cell>
          <cell r="BI1334">
            <v>0</v>
          </cell>
          <cell r="BJ1334">
            <v>1</v>
          </cell>
          <cell r="BK1334">
            <v>0</v>
          </cell>
          <cell r="BL1334">
            <v>0</v>
          </cell>
          <cell r="BM1334">
            <v>1</v>
          </cell>
          <cell r="BN1334">
            <v>0</v>
          </cell>
          <cell r="BO1334">
            <v>0</v>
          </cell>
          <cell r="BP1334">
            <v>0</v>
          </cell>
          <cell r="BQ1334">
            <v>0</v>
          </cell>
          <cell r="BR1334">
            <v>0</v>
          </cell>
          <cell r="BS1334">
            <v>0</v>
          </cell>
          <cell r="BT1334">
            <v>1</v>
          </cell>
          <cell r="BU1334">
            <v>0</v>
          </cell>
        </row>
        <row r="1335">
          <cell r="A1335">
            <v>46</v>
          </cell>
          <cell r="B1335">
            <v>46</v>
          </cell>
          <cell r="D1335">
            <v>1</v>
          </cell>
          <cell r="F1335">
            <v>0</v>
          </cell>
          <cell r="G1335">
            <v>1</v>
          </cell>
          <cell r="I1335">
            <v>0</v>
          </cell>
          <cell r="J1335">
            <v>1</v>
          </cell>
          <cell r="K1335">
            <v>10</v>
          </cell>
          <cell r="L1335">
            <v>10</v>
          </cell>
          <cell r="M1335">
            <v>3</v>
          </cell>
          <cell r="O1335">
            <v>1</v>
          </cell>
          <cell r="P1335">
            <v>0</v>
          </cell>
          <cell r="Q1335">
            <v>0</v>
          </cell>
          <cell r="R1335">
            <v>0</v>
          </cell>
          <cell r="S1335">
            <v>0</v>
          </cell>
          <cell r="T1335">
            <v>3</v>
          </cell>
          <cell r="V1335">
            <v>1</v>
          </cell>
          <cell r="W1335">
            <v>64</v>
          </cell>
          <cell r="X1335">
            <v>3</v>
          </cell>
          <cell r="Y1335">
            <v>3</v>
          </cell>
          <cell r="AA1335">
            <v>0</v>
          </cell>
          <cell r="AB1335">
            <v>1</v>
          </cell>
          <cell r="AC1335">
            <v>0</v>
          </cell>
          <cell r="AD1335">
            <v>0</v>
          </cell>
          <cell r="AE1335">
            <v>0</v>
          </cell>
          <cell r="AF1335">
            <v>0</v>
          </cell>
          <cell r="AG1335">
            <v>0</v>
          </cell>
          <cell r="AH1335">
            <v>0</v>
          </cell>
          <cell r="AI1335">
            <v>2</v>
          </cell>
          <cell r="AK1335">
            <v>0</v>
          </cell>
          <cell r="AL1335">
            <v>1</v>
          </cell>
          <cell r="AN1335">
            <v>7314</v>
          </cell>
          <cell r="AO1335">
            <v>5</v>
          </cell>
          <cell r="AQ1335">
            <v>0</v>
          </cell>
          <cell r="AR1335">
            <v>21</v>
          </cell>
          <cell r="AS1335">
            <v>4</v>
          </cell>
          <cell r="AT1335">
            <v>3</v>
          </cell>
          <cell r="AU1335">
            <v>3</v>
          </cell>
          <cell r="AV1335">
            <v>14</v>
          </cell>
          <cell r="AW1335">
            <v>14</v>
          </cell>
          <cell r="AX1335">
            <v>2</v>
          </cell>
          <cell r="AY1335">
            <v>3</v>
          </cell>
          <cell r="AZ1335">
            <v>8</v>
          </cell>
          <cell r="BA1335">
            <v>8</v>
          </cell>
          <cell r="BB1335">
            <v>7</v>
          </cell>
          <cell r="BC1335">
            <v>0</v>
          </cell>
          <cell r="BD1335">
            <v>0</v>
          </cell>
          <cell r="BE1335">
            <v>7</v>
          </cell>
          <cell r="BF1335">
            <v>7</v>
          </cell>
          <cell r="BG1335">
            <v>21</v>
          </cell>
          <cell r="BH1335">
            <v>0</v>
          </cell>
          <cell r="BI1335">
            <v>1</v>
          </cell>
          <cell r="BJ1335">
            <v>0</v>
          </cell>
          <cell r="BK1335">
            <v>0</v>
          </cell>
          <cell r="BL1335">
            <v>0</v>
          </cell>
          <cell r="BM1335">
            <v>0</v>
          </cell>
          <cell r="BN1335">
            <v>1</v>
          </cell>
          <cell r="BO1335">
            <v>0</v>
          </cell>
          <cell r="BP1335">
            <v>0</v>
          </cell>
          <cell r="BQ1335">
            <v>0</v>
          </cell>
          <cell r="BR1335">
            <v>7</v>
          </cell>
          <cell r="BS1335">
            <v>0</v>
          </cell>
          <cell r="BT1335">
            <v>0</v>
          </cell>
          <cell r="BU1335">
            <v>14</v>
          </cell>
        </row>
        <row r="1336">
          <cell r="A1336">
            <v>27</v>
          </cell>
          <cell r="B1336">
            <v>27</v>
          </cell>
          <cell r="D1336">
            <v>0</v>
          </cell>
          <cell r="F1336">
            <v>1</v>
          </cell>
          <cell r="G1336">
            <v>0</v>
          </cell>
          <cell r="I1336">
            <v>1</v>
          </cell>
          <cell r="J1336">
            <v>0</v>
          </cell>
          <cell r="K1336">
            <v>15</v>
          </cell>
          <cell r="L1336">
            <v>15</v>
          </cell>
          <cell r="M1336">
            <v>3</v>
          </cell>
          <cell r="O1336">
            <v>1</v>
          </cell>
          <cell r="P1336">
            <v>0</v>
          </cell>
          <cell r="Q1336">
            <v>0</v>
          </cell>
          <cell r="R1336">
            <v>0</v>
          </cell>
          <cell r="S1336">
            <v>0</v>
          </cell>
          <cell r="T1336">
            <v>4</v>
          </cell>
          <cell r="V1336">
            <v>1</v>
          </cell>
          <cell r="W1336">
            <v>77</v>
          </cell>
          <cell r="X1336">
            <v>2</v>
          </cell>
          <cell r="Y1336">
            <v>1</v>
          </cell>
          <cell r="AA1336">
            <v>0</v>
          </cell>
          <cell r="AB1336">
            <v>0</v>
          </cell>
          <cell r="AC1336">
            <v>0</v>
          </cell>
          <cell r="AD1336">
            <v>0</v>
          </cell>
          <cell r="AE1336">
            <v>0</v>
          </cell>
          <cell r="AF1336">
            <v>0</v>
          </cell>
          <cell r="AG1336">
            <v>0</v>
          </cell>
          <cell r="AH1336">
            <v>1</v>
          </cell>
          <cell r="AI1336">
            <v>1</v>
          </cell>
          <cell r="AK1336">
            <v>0</v>
          </cell>
          <cell r="AL1336">
            <v>1</v>
          </cell>
          <cell r="AN1336">
            <v>4774</v>
          </cell>
          <cell r="AO1336">
            <v>0</v>
          </cell>
          <cell r="AQ1336">
            <v>0</v>
          </cell>
          <cell r="AR1336">
            <v>19</v>
          </cell>
          <cell r="AS1336">
            <v>3</v>
          </cell>
          <cell r="AT1336">
            <v>4</v>
          </cell>
          <cell r="AU1336">
            <v>1</v>
          </cell>
          <cell r="AV1336">
            <v>8</v>
          </cell>
          <cell r="AW1336">
            <v>8</v>
          </cell>
          <cell r="AX1336">
            <v>2</v>
          </cell>
          <cell r="AY1336">
            <v>2</v>
          </cell>
          <cell r="AZ1336">
            <v>7</v>
          </cell>
          <cell r="BA1336">
            <v>7</v>
          </cell>
          <cell r="BB1336">
            <v>6</v>
          </cell>
          <cell r="BC1336">
            <v>7</v>
          </cell>
          <cell r="BD1336">
            <v>7</v>
          </cell>
          <cell r="BE1336">
            <v>3</v>
          </cell>
          <cell r="BF1336">
            <v>3</v>
          </cell>
          <cell r="BG1336">
            <v>3</v>
          </cell>
          <cell r="BH1336">
            <v>0</v>
          </cell>
          <cell r="BI1336">
            <v>0</v>
          </cell>
          <cell r="BJ1336">
            <v>0</v>
          </cell>
          <cell r="BK1336">
            <v>1</v>
          </cell>
          <cell r="BL1336">
            <v>0</v>
          </cell>
          <cell r="BM1336">
            <v>0</v>
          </cell>
          <cell r="BN1336">
            <v>1</v>
          </cell>
          <cell r="BO1336">
            <v>0</v>
          </cell>
          <cell r="BP1336">
            <v>0</v>
          </cell>
          <cell r="BQ1336">
            <v>3</v>
          </cell>
          <cell r="BR1336">
            <v>0</v>
          </cell>
          <cell r="BS1336">
            <v>0</v>
          </cell>
          <cell r="BT1336">
            <v>8</v>
          </cell>
          <cell r="BU1336">
            <v>0</v>
          </cell>
        </row>
        <row r="1337">
          <cell r="A1337">
            <v>39</v>
          </cell>
          <cell r="B1337">
            <v>39</v>
          </cell>
          <cell r="D1337">
            <v>0</v>
          </cell>
          <cell r="F1337">
            <v>0</v>
          </cell>
          <cell r="G1337">
            <v>1</v>
          </cell>
          <cell r="I1337">
            <v>1</v>
          </cell>
          <cell r="J1337">
            <v>0</v>
          </cell>
          <cell r="K1337">
            <v>19</v>
          </cell>
          <cell r="L1337">
            <v>19</v>
          </cell>
          <cell r="M1337">
            <v>4</v>
          </cell>
          <cell r="O1337">
            <v>0</v>
          </cell>
          <cell r="P1337">
            <v>1</v>
          </cell>
          <cell r="Q1337">
            <v>0</v>
          </cell>
          <cell r="R1337">
            <v>0</v>
          </cell>
          <cell r="S1337">
            <v>0</v>
          </cell>
          <cell r="T1337">
            <v>4</v>
          </cell>
          <cell r="V1337">
            <v>0</v>
          </cell>
          <cell r="W1337">
            <v>41</v>
          </cell>
          <cell r="X1337">
            <v>3</v>
          </cell>
          <cell r="Y1337">
            <v>2</v>
          </cell>
          <cell r="AA1337">
            <v>0</v>
          </cell>
          <cell r="AB1337">
            <v>0</v>
          </cell>
          <cell r="AC1337">
            <v>0</v>
          </cell>
          <cell r="AD1337">
            <v>0</v>
          </cell>
          <cell r="AE1337">
            <v>0</v>
          </cell>
          <cell r="AF1337">
            <v>0</v>
          </cell>
          <cell r="AG1337">
            <v>0</v>
          </cell>
          <cell r="AH1337">
            <v>1</v>
          </cell>
          <cell r="AI1337">
            <v>4</v>
          </cell>
          <cell r="AK1337">
            <v>0</v>
          </cell>
          <cell r="AL1337">
            <v>0</v>
          </cell>
          <cell r="AN1337">
            <v>3902</v>
          </cell>
          <cell r="AO1337">
            <v>8</v>
          </cell>
          <cell r="AQ1337">
            <v>0</v>
          </cell>
          <cell r="AR1337">
            <v>14</v>
          </cell>
          <cell r="AS1337">
            <v>3</v>
          </cell>
          <cell r="AT1337">
            <v>2</v>
          </cell>
          <cell r="AU1337">
            <v>3</v>
          </cell>
          <cell r="AV1337">
            <v>7</v>
          </cell>
          <cell r="AW1337">
            <v>7</v>
          </cell>
          <cell r="AX1337">
            <v>2</v>
          </cell>
          <cell r="AY1337">
            <v>3</v>
          </cell>
          <cell r="AZ1337">
            <v>2</v>
          </cell>
          <cell r="BA1337">
            <v>2</v>
          </cell>
          <cell r="BB1337">
            <v>2</v>
          </cell>
          <cell r="BC1337">
            <v>2</v>
          </cell>
          <cell r="BD1337">
            <v>2</v>
          </cell>
          <cell r="BE1337">
            <v>2</v>
          </cell>
          <cell r="BF1337">
            <v>2</v>
          </cell>
          <cell r="BG1337">
            <v>4</v>
          </cell>
          <cell r="BH1337">
            <v>1</v>
          </cell>
          <cell r="BI1337">
            <v>0</v>
          </cell>
          <cell r="BJ1337">
            <v>0</v>
          </cell>
          <cell r="BK1337">
            <v>0</v>
          </cell>
          <cell r="BL1337">
            <v>1</v>
          </cell>
          <cell r="BM1337">
            <v>0</v>
          </cell>
          <cell r="BN1337">
            <v>0</v>
          </cell>
          <cell r="BO1337">
            <v>0</v>
          </cell>
          <cell r="BP1337">
            <v>0</v>
          </cell>
          <cell r="BQ1337">
            <v>2</v>
          </cell>
          <cell r="BR1337">
            <v>0</v>
          </cell>
          <cell r="BS1337">
            <v>0</v>
          </cell>
          <cell r="BT1337">
            <v>7</v>
          </cell>
          <cell r="BU1337">
            <v>0</v>
          </cell>
        </row>
        <row r="1338">
          <cell r="A1338">
            <v>55</v>
          </cell>
          <cell r="B1338">
            <v>55</v>
          </cell>
          <cell r="D1338">
            <v>0</v>
          </cell>
          <cell r="F1338">
            <v>0</v>
          </cell>
          <cell r="G1338">
            <v>1</v>
          </cell>
          <cell r="I1338">
            <v>1</v>
          </cell>
          <cell r="J1338">
            <v>0</v>
          </cell>
          <cell r="K1338">
            <v>2</v>
          </cell>
          <cell r="L1338">
            <v>2</v>
          </cell>
          <cell r="M1338">
            <v>4</v>
          </cell>
          <cell r="O1338">
            <v>0</v>
          </cell>
          <cell r="P1338">
            <v>0</v>
          </cell>
          <cell r="Q1338">
            <v>0</v>
          </cell>
          <cell r="R1338">
            <v>0</v>
          </cell>
          <cell r="S1338">
            <v>1</v>
          </cell>
          <cell r="T1338">
            <v>2</v>
          </cell>
          <cell r="V1338">
            <v>0</v>
          </cell>
          <cell r="W1338">
            <v>98</v>
          </cell>
          <cell r="X1338">
            <v>2</v>
          </cell>
          <cell r="Y1338">
            <v>1</v>
          </cell>
          <cell r="AA1338">
            <v>0</v>
          </cell>
          <cell r="AB1338">
            <v>0</v>
          </cell>
          <cell r="AC1338">
            <v>0</v>
          </cell>
          <cell r="AD1338">
            <v>0</v>
          </cell>
          <cell r="AE1338">
            <v>0</v>
          </cell>
          <cell r="AF1338">
            <v>0</v>
          </cell>
          <cell r="AG1338">
            <v>0</v>
          </cell>
          <cell r="AH1338">
            <v>1</v>
          </cell>
          <cell r="AI1338">
            <v>4</v>
          </cell>
          <cell r="AK1338">
            <v>0</v>
          </cell>
          <cell r="AL1338">
            <v>1</v>
          </cell>
          <cell r="AN1338">
            <v>2662</v>
          </cell>
          <cell r="AO1338">
            <v>8</v>
          </cell>
          <cell r="AQ1338">
            <v>0</v>
          </cell>
          <cell r="AR1338">
            <v>20</v>
          </cell>
          <cell r="AS1338">
            <v>4</v>
          </cell>
          <cell r="AT1338">
            <v>2</v>
          </cell>
          <cell r="AU1338">
            <v>1</v>
          </cell>
          <cell r="AV1338">
            <v>19</v>
          </cell>
          <cell r="AW1338">
            <v>19</v>
          </cell>
          <cell r="AX1338">
            <v>2</v>
          </cell>
          <cell r="AY1338">
            <v>4</v>
          </cell>
          <cell r="AZ1338">
            <v>5</v>
          </cell>
          <cell r="BA1338">
            <v>5</v>
          </cell>
          <cell r="BB1338">
            <v>2</v>
          </cell>
          <cell r="BC1338">
            <v>0</v>
          </cell>
          <cell r="BD1338">
            <v>0</v>
          </cell>
          <cell r="BE1338">
            <v>4</v>
          </cell>
          <cell r="BF1338">
            <v>4</v>
          </cell>
          <cell r="BG1338">
            <v>4</v>
          </cell>
          <cell r="BH1338">
            <v>0</v>
          </cell>
          <cell r="BI1338">
            <v>1</v>
          </cell>
          <cell r="BJ1338">
            <v>0</v>
          </cell>
          <cell r="BK1338">
            <v>0</v>
          </cell>
          <cell r="BL1338">
            <v>0</v>
          </cell>
          <cell r="BM1338">
            <v>0</v>
          </cell>
          <cell r="BN1338">
            <v>1</v>
          </cell>
          <cell r="BO1338">
            <v>0</v>
          </cell>
          <cell r="BP1338">
            <v>0</v>
          </cell>
          <cell r="BQ1338">
            <v>4</v>
          </cell>
          <cell r="BR1338">
            <v>0</v>
          </cell>
          <cell r="BS1338">
            <v>0</v>
          </cell>
          <cell r="BT1338">
            <v>19</v>
          </cell>
          <cell r="BU1338">
            <v>0</v>
          </cell>
        </row>
        <row r="1339">
          <cell r="A1339">
            <v>28</v>
          </cell>
          <cell r="B1339">
            <v>28</v>
          </cell>
          <cell r="D1339">
            <v>0</v>
          </cell>
          <cell r="F1339">
            <v>0</v>
          </cell>
          <cell r="G1339">
            <v>1</v>
          </cell>
          <cell r="I1339">
            <v>0</v>
          </cell>
          <cell r="J1339">
            <v>1</v>
          </cell>
          <cell r="K1339">
            <v>3</v>
          </cell>
          <cell r="L1339">
            <v>3</v>
          </cell>
          <cell r="M1339">
            <v>3</v>
          </cell>
          <cell r="O1339">
            <v>0</v>
          </cell>
          <cell r="P1339">
            <v>0</v>
          </cell>
          <cell r="Q1339">
            <v>1</v>
          </cell>
          <cell r="R1339">
            <v>0</v>
          </cell>
          <cell r="S1339">
            <v>0</v>
          </cell>
          <cell r="T1339">
            <v>2</v>
          </cell>
          <cell r="V1339">
            <v>1</v>
          </cell>
          <cell r="W1339">
            <v>78</v>
          </cell>
          <cell r="X1339">
            <v>3</v>
          </cell>
          <cell r="Y1339">
            <v>1</v>
          </cell>
          <cell r="AA1339">
            <v>0</v>
          </cell>
          <cell r="AB1339">
            <v>0</v>
          </cell>
          <cell r="AC1339">
            <v>0</v>
          </cell>
          <cell r="AD1339">
            <v>0</v>
          </cell>
          <cell r="AE1339">
            <v>0</v>
          </cell>
          <cell r="AF1339">
            <v>0</v>
          </cell>
          <cell r="AG1339">
            <v>1</v>
          </cell>
          <cell r="AH1339">
            <v>0</v>
          </cell>
          <cell r="AI1339">
            <v>2</v>
          </cell>
          <cell r="AK1339">
            <v>0</v>
          </cell>
          <cell r="AL1339">
            <v>1</v>
          </cell>
          <cell r="AN1339">
            <v>2856</v>
          </cell>
          <cell r="AO1339">
            <v>1</v>
          </cell>
          <cell r="AQ1339">
            <v>0</v>
          </cell>
          <cell r="AR1339">
            <v>19</v>
          </cell>
          <cell r="AS1339">
            <v>3</v>
          </cell>
          <cell r="AT1339">
            <v>4</v>
          </cell>
          <cell r="AU1339">
            <v>1</v>
          </cell>
          <cell r="AV1339">
            <v>1</v>
          </cell>
          <cell r="AW1339">
            <v>1</v>
          </cell>
          <cell r="AX1339">
            <v>3</v>
          </cell>
          <cell r="AY1339">
            <v>3</v>
          </cell>
          <cell r="AZ1339">
            <v>1</v>
          </cell>
          <cell r="BA1339">
            <v>1</v>
          </cell>
          <cell r="BB1339">
            <v>0</v>
          </cell>
          <cell r="BC1339">
            <v>0</v>
          </cell>
          <cell r="BD1339">
            <v>0</v>
          </cell>
          <cell r="BE1339">
            <v>0</v>
          </cell>
          <cell r="BF1339">
            <v>0</v>
          </cell>
          <cell r="BG1339">
            <v>0</v>
          </cell>
          <cell r="BH1339">
            <v>0</v>
          </cell>
          <cell r="BI1339">
            <v>1</v>
          </cell>
          <cell r="BJ1339">
            <v>0</v>
          </cell>
          <cell r="BK1339">
            <v>0</v>
          </cell>
          <cell r="BL1339">
            <v>0</v>
          </cell>
          <cell r="BM1339">
            <v>0</v>
          </cell>
          <cell r="BN1339">
            <v>1</v>
          </cell>
          <cell r="BO1339">
            <v>0</v>
          </cell>
          <cell r="BP1339">
            <v>0</v>
          </cell>
          <cell r="BQ1339">
            <v>0</v>
          </cell>
          <cell r="BR1339">
            <v>0</v>
          </cell>
          <cell r="BS1339">
            <v>0</v>
          </cell>
          <cell r="BT1339">
            <v>0</v>
          </cell>
          <cell r="BU1339">
            <v>1</v>
          </cell>
        </row>
        <row r="1340">
          <cell r="A1340">
            <v>30</v>
          </cell>
          <cell r="B1340">
            <v>30</v>
          </cell>
          <cell r="D1340">
            <v>1</v>
          </cell>
          <cell r="F1340">
            <v>0</v>
          </cell>
          <cell r="G1340">
            <v>1</v>
          </cell>
          <cell r="I1340">
            <v>0</v>
          </cell>
          <cell r="J1340">
            <v>1</v>
          </cell>
          <cell r="K1340">
            <v>9</v>
          </cell>
          <cell r="L1340">
            <v>9</v>
          </cell>
          <cell r="M1340">
            <v>3</v>
          </cell>
          <cell r="O1340">
            <v>0</v>
          </cell>
          <cell r="P1340">
            <v>0</v>
          </cell>
          <cell r="Q1340">
            <v>1</v>
          </cell>
          <cell r="R1340">
            <v>0</v>
          </cell>
          <cell r="S1340">
            <v>0</v>
          </cell>
          <cell r="T1340">
            <v>2</v>
          </cell>
          <cell r="V1340">
            <v>0</v>
          </cell>
          <cell r="W1340">
            <v>89</v>
          </cell>
          <cell r="X1340">
            <v>3</v>
          </cell>
          <cell r="Y1340">
            <v>1</v>
          </cell>
          <cell r="AA1340">
            <v>0</v>
          </cell>
          <cell r="AB1340">
            <v>0</v>
          </cell>
          <cell r="AC1340">
            <v>0</v>
          </cell>
          <cell r="AD1340">
            <v>0</v>
          </cell>
          <cell r="AE1340">
            <v>0</v>
          </cell>
          <cell r="AF1340">
            <v>0</v>
          </cell>
          <cell r="AG1340">
            <v>1</v>
          </cell>
          <cell r="AH1340">
            <v>0</v>
          </cell>
          <cell r="AI1340">
            <v>4</v>
          </cell>
          <cell r="AK1340">
            <v>1</v>
          </cell>
          <cell r="AL1340">
            <v>0</v>
          </cell>
          <cell r="AN1340">
            <v>1382.46</v>
          </cell>
          <cell r="AO1340">
            <v>1</v>
          </cell>
          <cell r="AQ1340">
            <v>0</v>
          </cell>
          <cell r="AR1340">
            <v>13</v>
          </cell>
          <cell r="AS1340">
            <v>3</v>
          </cell>
          <cell r="AT1340">
            <v>3</v>
          </cell>
          <cell r="AU1340">
            <v>0</v>
          </cell>
          <cell r="AV1340">
            <v>1</v>
          </cell>
          <cell r="AW1340">
            <v>1</v>
          </cell>
          <cell r="AX1340">
            <v>3</v>
          </cell>
          <cell r="AY1340">
            <v>2</v>
          </cell>
          <cell r="AZ1340">
            <v>1</v>
          </cell>
          <cell r="BA1340">
            <v>1</v>
          </cell>
          <cell r="BB1340">
            <v>0</v>
          </cell>
          <cell r="BC1340">
            <v>0</v>
          </cell>
          <cell r="BD1340">
            <v>0</v>
          </cell>
          <cell r="BE1340">
            <v>0</v>
          </cell>
          <cell r="BF1340">
            <v>0</v>
          </cell>
          <cell r="BG1340">
            <v>0</v>
          </cell>
          <cell r="BH1340">
            <v>1</v>
          </cell>
          <cell r="BI1340">
            <v>0</v>
          </cell>
          <cell r="BJ1340">
            <v>0</v>
          </cell>
          <cell r="BK1340">
            <v>0</v>
          </cell>
          <cell r="BL1340">
            <v>1</v>
          </cell>
          <cell r="BM1340">
            <v>0</v>
          </cell>
          <cell r="BN1340">
            <v>0</v>
          </cell>
          <cell r="BO1340">
            <v>0</v>
          </cell>
          <cell r="BP1340">
            <v>0</v>
          </cell>
          <cell r="BQ1340">
            <v>0</v>
          </cell>
          <cell r="BR1340">
            <v>0</v>
          </cell>
          <cell r="BS1340">
            <v>0</v>
          </cell>
          <cell r="BT1340">
            <v>0</v>
          </cell>
          <cell r="BU1340">
            <v>1</v>
          </cell>
        </row>
        <row r="1341">
          <cell r="A1341">
            <v>22</v>
          </cell>
          <cell r="B1341">
            <v>22</v>
          </cell>
          <cell r="D1341">
            <v>1</v>
          </cell>
          <cell r="F1341">
            <v>0</v>
          </cell>
          <cell r="G1341">
            <v>1</v>
          </cell>
          <cell r="I1341">
            <v>1</v>
          </cell>
          <cell r="J1341">
            <v>0</v>
          </cell>
          <cell r="K1341">
            <v>7</v>
          </cell>
          <cell r="L1341">
            <v>7</v>
          </cell>
          <cell r="M1341">
            <v>1</v>
          </cell>
          <cell r="O1341">
            <v>1</v>
          </cell>
          <cell r="P1341">
            <v>0</v>
          </cell>
          <cell r="Q1341">
            <v>0</v>
          </cell>
          <cell r="R1341">
            <v>0</v>
          </cell>
          <cell r="S1341">
            <v>0</v>
          </cell>
          <cell r="T1341">
            <v>4</v>
          </cell>
          <cell r="V1341">
            <v>0</v>
          </cell>
          <cell r="W1341">
            <v>75</v>
          </cell>
          <cell r="X1341">
            <v>3</v>
          </cell>
          <cell r="Y1341">
            <v>1</v>
          </cell>
          <cell r="AA1341">
            <v>0</v>
          </cell>
          <cell r="AB1341">
            <v>0</v>
          </cell>
          <cell r="AC1341">
            <v>0</v>
          </cell>
          <cell r="AD1341">
            <v>0</v>
          </cell>
          <cell r="AE1341">
            <v>0</v>
          </cell>
          <cell r="AF1341">
            <v>0</v>
          </cell>
          <cell r="AG1341">
            <v>0</v>
          </cell>
          <cell r="AH1341">
            <v>1</v>
          </cell>
          <cell r="AI1341">
            <v>2</v>
          </cell>
          <cell r="AK1341">
            <v>1</v>
          </cell>
          <cell r="AL1341">
            <v>0</v>
          </cell>
          <cell r="AN1341">
            <v>2472</v>
          </cell>
          <cell r="AO1341">
            <v>1</v>
          </cell>
          <cell r="AQ1341">
            <v>1</v>
          </cell>
          <cell r="AR1341">
            <v>23</v>
          </cell>
          <cell r="AS1341">
            <v>4</v>
          </cell>
          <cell r="AT1341">
            <v>1</v>
          </cell>
          <cell r="AU1341">
            <v>0</v>
          </cell>
          <cell r="AV1341">
            <v>1</v>
          </cell>
          <cell r="AW1341">
            <v>1</v>
          </cell>
          <cell r="AX1341">
            <v>2</v>
          </cell>
          <cell r="AY1341">
            <v>3</v>
          </cell>
          <cell r="AZ1341">
            <v>1</v>
          </cell>
          <cell r="BA1341">
            <v>1</v>
          </cell>
          <cell r="BB1341">
            <v>0</v>
          </cell>
          <cell r="BC1341">
            <v>0</v>
          </cell>
          <cell r="BD1341">
            <v>0</v>
          </cell>
          <cell r="BE1341">
            <v>0</v>
          </cell>
          <cell r="BF1341">
            <v>0</v>
          </cell>
          <cell r="BG1341">
            <v>0</v>
          </cell>
          <cell r="BH1341">
            <v>1</v>
          </cell>
          <cell r="BI1341">
            <v>0</v>
          </cell>
          <cell r="BJ1341">
            <v>0</v>
          </cell>
          <cell r="BK1341">
            <v>0</v>
          </cell>
          <cell r="BL1341">
            <v>0</v>
          </cell>
          <cell r="BM1341">
            <v>1</v>
          </cell>
          <cell r="BN1341">
            <v>0</v>
          </cell>
          <cell r="BO1341">
            <v>0</v>
          </cell>
          <cell r="BP1341">
            <v>0</v>
          </cell>
          <cell r="BQ1341">
            <v>0</v>
          </cell>
          <cell r="BR1341">
            <v>0</v>
          </cell>
          <cell r="BS1341">
            <v>0</v>
          </cell>
          <cell r="BT1341">
            <v>1</v>
          </cell>
          <cell r="BU1341">
            <v>0</v>
          </cell>
        </row>
        <row r="1342">
          <cell r="A1342">
            <v>36</v>
          </cell>
          <cell r="B1342">
            <v>36</v>
          </cell>
          <cell r="D1342">
            <v>0</v>
          </cell>
          <cell r="F1342">
            <v>0</v>
          </cell>
          <cell r="G1342">
            <v>1</v>
          </cell>
          <cell r="I1342">
            <v>0</v>
          </cell>
          <cell r="J1342">
            <v>1</v>
          </cell>
          <cell r="K1342">
            <v>10</v>
          </cell>
          <cell r="L1342">
            <v>10</v>
          </cell>
          <cell r="M1342">
            <v>4</v>
          </cell>
          <cell r="O1342">
            <v>0</v>
          </cell>
          <cell r="P1342">
            <v>0</v>
          </cell>
          <cell r="Q1342">
            <v>0</v>
          </cell>
          <cell r="R1342">
            <v>0</v>
          </cell>
          <cell r="S1342">
            <v>1</v>
          </cell>
          <cell r="T1342">
            <v>2</v>
          </cell>
          <cell r="V1342">
            <v>1</v>
          </cell>
          <cell r="W1342">
            <v>63</v>
          </cell>
          <cell r="X1342">
            <v>2</v>
          </cell>
          <cell r="Y1342">
            <v>2</v>
          </cell>
          <cell r="AA1342">
            <v>0</v>
          </cell>
          <cell r="AB1342">
            <v>1</v>
          </cell>
          <cell r="AC1342">
            <v>0</v>
          </cell>
          <cell r="AD1342">
            <v>0</v>
          </cell>
          <cell r="AE1342">
            <v>0</v>
          </cell>
          <cell r="AF1342">
            <v>0</v>
          </cell>
          <cell r="AG1342">
            <v>0</v>
          </cell>
          <cell r="AH1342">
            <v>0</v>
          </cell>
          <cell r="AI1342">
            <v>3</v>
          </cell>
          <cell r="AK1342">
            <v>0</v>
          </cell>
          <cell r="AL1342">
            <v>1</v>
          </cell>
          <cell r="AN1342">
            <v>5673</v>
          </cell>
          <cell r="AO1342">
            <v>1</v>
          </cell>
          <cell r="AQ1342">
            <v>1</v>
          </cell>
          <cell r="AR1342">
            <v>13</v>
          </cell>
          <cell r="AS1342">
            <v>3</v>
          </cell>
          <cell r="AT1342">
            <v>1</v>
          </cell>
          <cell r="AU1342">
            <v>1</v>
          </cell>
          <cell r="AV1342">
            <v>10</v>
          </cell>
          <cell r="AW1342">
            <v>10</v>
          </cell>
          <cell r="AX1342">
            <v>4</v>
          </cell>
          <cell r="AY1342">
            <v>3</v>
          </cell>
          <cell r="AZ1342">
            <v>10</v>
          </cell>
          <cell r="BA1342">
            <v>10</v>
          </cell>
          <cell r="BB1342">
            <v>9</v>
          </cell>
          <cell r="BC1342">
            <v>1</v>
          </cell>
          <cell r="BD1342">
            <v>1</v>
          </cell>
          <cell r="BE1342">
            <v>7</v>
          </cell>
          <cell r="BF1342">
            <v>7</v>
          </cell>
          <cell r="BG1342">
            <v>14</v>
          </cell>
          <cell r="BH1342">
            <v>0</v>
          </cell>
          <cell r="BI1342">
            <v>1</v>
          </cell>
          <cell r="BJ1342">
            <v>0</v>
          </cell>
          <cell r="BK1342">
            <v>0</v>
          </cell>
          <cell r="BL1342">
            <v>0</v>
          </cell>
          <cell r="BM1342">
            <v>0</v>
          </cell>
          <cell r="BN1342">
            <v>0</v>
          </cell>
          <cell r="BO1342">
            <v>1</v>
          </cell>
          <cell r="BP1342">
            <v>0</v>
          </cell>
          <cell r="BQ1342">
            <v>0</v>
          </cell>
          <cell r="BR1342">
            <v>7</v>
          </cell>
          <cell r="BS1342">
            <v>0</v>
          </cell>
          <cell r="BT1342">
            <v>0</v>
          </cell>
          <cell r="BU1342">
            <v>10</v>
          </cell>
        </row>
        <row r="1343">
          <cell r="A1343">
            <v>31</v>
          </cell>
          <cell r="B1343">
            <v>31</v>
          </cell>
          <cell r="D1343">
            <v>0</v>
          </cell>
          <cell r="F1343">
            <v>0</v>
          </cell>
          <cell r="G1343">
            <v>1</v>
          </cell>
          <cell r="I1343">
            <v>1</v>
          </cell>
          <cell r="J1343">
            <v>0</v>
          </cell>
          <cell r="K1343">
            <v>20</v>
          </cell>
          <cell r="L1343">
            <v>20</v>
          </cell>
          <cell r="M1343">
            <v>3</v>
          </cell>
          <cell r="O1343">
            <v>1</v>
          </cell>
          <cell r="P1343">
            <v>0</v>
          </cell>
          <cell r="Q1343">
            <v>0</v>
          </cell>
          <cell r="R1343">
            <v>0</v>
          </cell>
          <cell r="S1343">
            <v>0</v>
          </cell>
          <cell r="T1343">
            <v>2</v>
          </cell>
          <cell r="V1343">
            <v>0</v>
          </cell>
          <cell r="W1343">
            <v>89</v>
          </cell>
          <cell r="X1343">
            <v>3</v>
          </cell>
          <cell r="Y1343">
            <v>2</v>
          </cell>
          <cell r="AA1343">
            <v>0</v>
          </cell>
          <cell r="AB1343">
            <v>0</v>
          </cell>
          <cell r="AC1343">
            <v>1</v>
          </cell>
          <cell r="AD1343">
            <v>0</v>
          </cell>
          <cell r="AE1343">
            <v>0</v>
          </cell>
          <cell r="AF1343">
            <v>0</v>
          </cell>
          <cell r="AG1343">
            <v>0</v>
          </cell>
          <cell r="AH1343">
            <v>0</v>
          </cell>
          <cell r="AI1343">
            <v>3</v>
          </cell>
          <cell r="AK1343">
            <v>0</v>
          </cell>
          <cell r="AL1343">
            <v>0</v>
          </cell>
          <cell r="AN1343">
            <v>4197</v>
          </cell>
          <cell r="AO1343">
            <v>1</v>
          </cell>
          <cell r="AQ1343">
            <v>0</v>
          </cell>
          <cell r="AR1343">
            <v>11</v>
          </cell>
          <cell r="AS1343">
            <v>3</v>
          </cell>
          <cell r="AT1343">
            <v>1</v>
          </cell>
          <cell r="AU1343">
            <v>1</v>
          </cell>
          <cell r="AV1343">
            <v>10</v>
          </cell>
          <cell r="AW1343">
            <v>10</v>
          </cell>
          <cell r="AX1343">
            <v>2</v>
          </cell>
          <cell r="AY1343">
            <v>3</v>
          </cell>
          <cell r="AZ1343">
            <v>10</v>
          </cell>
          <cell r="BA1343">
            <v>10</v>
          </cell>
          <cell r="BB1343">
            <v>8</v>
          </cell>
          <cell r="BC1343">
            <v>0</v>
          </cell>
          <cell r="BD1343">
            <v>0</v>
          </cell>
          <cell r="BE1343">
            <v>2</v>
          </cell>
          <cell r="BF1343">
            <v>2</v>
          </cell>
          <cell r="BG1343">
            <v>4</v>
          </cell>
          <cell r="BH1343">
            <v>1</v>
          </cell>
          <cell r="BI1343">
            <v>0</v>
          </cell>
          <cell r="BJ1343">
            <v>0</v>
          </cell>
          <cell r="BK1343">
            <v>0</v>
          </cell>
          <cell r="BL1343">
            <v>1</v>
          </cell>
          <cell r="BM1343">
            <v>0</v>
          </cell>
          <cell r="BN1343">
            <v>0</v>
          </cell>
          <cell r="BO1343">
            <v>0</v>
          </cell>
          <cell r="BP1343">
            <v>0</v>
          </cell>
          <cell r="BQ1343">
            <v>2</v>
          </cell>
          <cell r="BR1343">
            <v>0</v>
          </cell>
          <cell r="BS1343">
            <v>0</v>
          </cell>
          <cell r="BT1343">
            <v>10</v>
          </cell>
          <cell r="BU1343">
            <v>0</v>
          </cell>
        </row>
        <row r="1344">
          <cell r="A1344">
            <v>34</v>
          </cell>
          <cell r="B1344">
            <v>34</v>
          </cell>
          <cell r="D1344">
            <v>0</v>
          </cell>
          <cell r="F1344">
            <v>0</v>
          </cell>
          <cell r="G1344">
            <v>1</v>
          </cell>
          <cell r="I1344">
            <v>0</v>
          </cell>
          <cell r="J1344">
            <v>1</v>
          </cell>
          <cell r="K1344">
            <v>4</v>
          </cell>
          <cell r="L1344">
            <v>4</v>
          </cell>
          <cell r="M1344">
            <v>3</v>
          </cell>
          <cell r="O1344">
            <v>1</v>
          </cell>
          <cell r="P1344">
            <v>0</v>
          </cell>
          <cell r="Q1344">
            <v>0</v>
          </cell>
          <cell r="R1344">
            <v>0</v>
          </cell>
          <cell r="S1344">
            <v>0</v>
          </cell>
          <cell r="T1344">
            <v>3</v>
          </cell>
          <cell r="V1344">
            <v>0</v>
          </cell>
          <cell r="W1344">
            <v>64</v>
          </cell>
          <cell r="X1344">
            <v>3</v>
          </cell>
          <cell r="Y1344">
            <v>3</v>
          </cell>
          <cell r="AA1344">
            <v>0</v>
          </cell>
          <cell r="AB1344">
            <v>1</v>
          </cell>
          <cell r="AC1344">
            <v>0</v>
          </cell>
          <cell r="AD1344">
            <v>0</v>
          </cell>
          <cell r="AE1344">
            <v>0</v>
          </cell>
          <cell r="AF1344">
            <v>0</v>
          </cell>
          <cell r="AG1344">
            <v>0</v>
          </cell>
          <cell r="AH1344">
            <v>0</v>
          </cell>
          <cell r="AI1344">
            <v>4</v>
          </cell>
          <cell r="AK1344">
            <v>0</v>
          </cell>
          <cell r="AL1344">
            <v>1</v>
          </cell>
          <cell r="AN1344">
            <v>9713</v>
          </cell>
          <cell r="AO1344">
            <v>2</v>
          </cell>
          <cell r="AQ1344">
            <v>1</v>
          </cell>
          <cell r="AR1344">
            <v>13</v>
          </cell>
          <cell r="AS1344">
            <v>3</v>
          </cell>
          <cell r="AT1344">
            <v>4</v>
          </cell>
          <cell r="AU1344">
            <v>3</v>
          </cell>
          <cell r="AV1344">
            <v>9</v>
          </cell>
          <cell r="AW1344">
            <v>9</v>
          </cell>
          <cell r="AX1344">
            <v>3</v>
          </cell>
          <cell r="AY1344">
            <v>3</v>
          </cell>
          <cell r="AZ1344">
            <v>5</v>
          </cell>
          <cell r="BA1344">
            <v>5</v>
          </cell>
          <cell r="BB1344">
            <v>3</v>
          </cell>
          <cell r="BC1344">
            <v>1</v>
          </cell>
          <cell r="BD1344">
            <v>1</v>
          </cell>
          <cell r="BE1344">
            <v>0</v>
          </cell>
          <cell r="BF1344">
            <v>0</v>
          </cell>
          <cell r="BG1344">
            <v>0</v>
          </cell>
          <cell r="BH1344">
            <v>0</v>
          </cell>
          <cell r="BI1344">
            <v>1</v>
          </cell>
          <cell r="BJ1344">
            <v>0</v>
          </cell>
          <cell r="BK1344">
            <v>0</v>
          </cell>
          <cell r="BL1344">
            <v>0</v>
          </cell>
          <cell r="BM1344">
            <v>0</v>
          </cell>
          <cell r="BN1344">
            <v>0</v>
          </cell>
          <cell r="BO1344">
            <v>1</v>
          </cell>
          <cell r="BP1344">
            <v>0</v>
          </cell>
          <cell r="BQ1344">
            <v>0</v>
          </cell>
          <cell r="BR1344">
            <v>0</v>
          </cell>
          <cell r="BS1344">
            <v>0</v>
          </cell>
          <cell r="BT1344">
            <v>0</v>
          </cell>
          <cell r="BU1344">
            <v>9</v>
          </cell>
        </row>
        <row r="1345">
          <cell r="A1345">
            <v>29</v>
          </cell>
          <cell r="B1345">
            <v>29</v>
          </cell>
          <cell r="D1345">
            <v>0</v>
          </cell>
          <cell r="F1345">
            <v>0</v>
          </cell>
          <cell r="G1345">
            <v>1</v>
          </cell>
          <cell r="I1345">
            <v>1</v>
          </cell>
          <cell r="J1345">
            <v>0</v>
          </cell>
          <cell r="K1345">
            <v>7</v>
          </cell>
          <cell r="L1345">
            <v>7</v>
          </cell>
          <cell r="M1345">
            <v>3</v>
          </cell>
          <cell r="O1345">
            <v>1</v>
          </cell>
          <cell r="P1345">
            <v>0</v>
          </cell>
          <cell r="Q1345">
            <v>0</v>
          </cell>
          <cell r="R1345">
            <v>0</v>
          </cell>
          <cell r="S1345">
            <v>0</v>
          </cell>
          <cell r="T1345">
            <v>4</v>
          </cell>
          <cell r="V1345">
            <v>0</v>
          </cell>
          <cell r="W1345">
            <v>59</v>
          </cell>
          <cell r="X1345">
            <v>3</v>
          </cell>
          <cell r="Y1345">
            <v>1</v>
          </cell>
          <cell r="AA1345">
            <v>0</v>
          </cell>
          <cell r="AB1345">
            <v>0</v>
          </cell>
          <cell r="AC1345">
            <v>1</v>
          </cell>
          <cell r="AD1345">
            <v>0</v>
          </cell>
          <cell r="AE1345">
            <v>0</v>
          </cell>
          <cell r="AF1345">
            <v>0</v>
          </cell>
          <cell r="AG1345">
            <v>0</v>
          </cell>
          <cell r="AH1345">
            <v>0</v>
          </cell>
          <cell r="AI1345">
            <v>1</v>
          </cell>
          <cell r="AK1345">
            <v>1</v>
          </cell>
          <cell r="AL1345">
            <v>0</v>
          </cell>
          <cell r="AN1345">
            <v>2062</v>
          </cell>
          <cell r="AO1345">
            <v>3</v>
          </cell>
          <cell r="AQ1345">
            <v>0</v>
          </cell>
          <cell r="AR1345">
            <v>14</v>
          </cell>
          <cell r="AS1345">
            <v>3</v>
          </cell>
          <cell r="AT1345">
            <v>2</v>
          </cell>
          <cell r="AU1345">
            <v>0</v>
          </cell>
          <cell r="AV1345">
            <v>11</v>
          </cell>
          <cell r="AW1345">
            <v>11</v>
          </cell>
          <cell r="AX1345">
            <v>2</v>
          </cell>
          <cell r="AY1345">
            <v>3</v>
          </cell>
          <cell r="AZ1345">
            <v>3</v>
          </cell>
          <cell r="BA1345">
            <v>3</v>
          </cell>
          <cell r="BB1345">
            <v>2</v>
          </cell>
          <cell r="BC1345">
            <v>1</v>
          </cell>
          <cell r="BD1345">
            <v>1</v>
          </cell>
          <cell r="BE1345">
            <v>2</v>
          </cell>
          <cell r="BF1345">
            <v>2</v>
          </cell>
          <cell r="BG1345">
            <v>2</v>
          </cell>
          <cell r="BH1345">
            <v>1</v>
          </cell>
          <cell r="BI1345">
            <v>0</v>
          </cell>
          <cell r="BJ1345">
            <v>0</v>
          </cell>
          <cell r="BK1345">
            <v>0</v>
          </cell>
          <cell r="BL1345">
            <v>1</v>
          </cell>
          <cell r="BM1345">
            <v>0</v>
          </cell>
          <cell r="BN1345">
            <v>0</v>
          </cell>
          <cell r="BO1345">
            <v>0</v>
          </cell>
          <cell r="BP1345">
            <v>0</v>
          </cell>
          <cell r="BQ1345">
            <v>2</v>
          </cell>
          <cell r="BR1345">
            <v>0</v>
          </cell>
          <cell r="BS1345">
            <v>0</v>
          </cell>
          <cell r="BT1345">
            <v>11</v>
          </cell>
          <cell r="BU1345">
            <v>0</v>
          </cell>
        </row>
        <row r="1346">
          <cell r="A1346">
            <v>37</v>
          </cell>
          <cell r="B1346">
            <v>37</v>
          </cell>
          <cell r="D1346">
            <v>0</v>
          </cell>
          <cell r="F1346">
            <v>0</v>
          </cell>
          <cell r="G1346">
            <v>1</v>
          </cell>
          <cell r="I1346">
            <v>1</v>
          </cell>
          <cell r="J1346">
            <v>0</v>
          </cell>
          <cell r="K1346">
            <v>7</v>
          </cell>
          <cell r="L1346">
            <v>7</v>
          </cell>
          <cell r="M1346">
            <v>4</v>
          </cell>
          <cell r="O1346">
            <v>0</v>
          </cell>
          <cell r="P1346">
            <v>0</v>
          </cell>
          <cell r="Q1346">
            <v>1</v>
          </cell>
          <cell r="R1346">
            <v>0</v>
          </cell>
          <cell r="S1346">
            <v>0</v>
          </cell>
          <cell r="T1346">
            <v>4</v>
          </cell>
          <cell r="V1346">
            <v>0</v>
          </cell>
          <cell r="W1346">
            <v>78</v>
          </cell>
          <cell r="X1346">
            <v>3</v>
          </cell>
          <cell r="Y1346">
            <v>2</v>
          </cell>
          <cell r="AA1346">
            <v>0</v>
          </cell>
          <cell r="AB1346">
            <v>0</v>
          </cell>
          <cell r="AC1346">
            <v>0</v>
          </cell>
          <cell r="AD1346">
            <v>0</v>
          </cell>
          <cell r="AE1346">
            <v>0</v>
          </cell>
          <cell r="AF1346">
            <v>0</v>
          </cell>
          <cell r="AG1346">
            <v>0</v>
          </cell>
          <cell r="AH1346">
            <v>1</v>
          </cell>
          <cell r="AI1346">
            <v>1</v>
          </cell>
          <cell r="AK1346">
            <v>0</v>
          </cell>
          <cell r="AL1346">
            <v>1</v>
          </cell>
          <cell r="AN1346">
            <v>4284</v>
          </cell>
          <cell r="AO1346">
            <v>5</v>
          </cell>
          <cell r="AQ1346">
            <v>1</v>
          </cell>
          <cell r="AR1346">
            <v>22</v>
          </cell>
          <cell r="AS1346">
            <v>4</v>
          </cell>
          <cell r="AT1346">
            <v>3</v>
          </cell>
          <cell r="AU1346">
            <v>1</v>
          </cell>
          <cell r="AV1346">
            <v>16</v>
          </cell>
          <cell r="AW1346">
            <v>16</v>
          </cell>
          <cell r="AX1346">
            <v>2</v>
          </cell>
          <cell r="AY1346">
            <v>3</v>
          </cell>
          <cell r="AZ1346">
            <v>5</v>
          </cell>
          <cell r="BA1346">
            <v>5</v>
          </cell>
          <cell r="BB1346">
            <v>3</v>
          </cell>
          <cell r="BC1346">
            <v>0</v>
          </cell>
          <cell r="BD1346">
            <v>0</v>
          </cell>
          <cell r="BE1346">
            <v>4</v>
          </cell>
          <cell r="BF1346">
            <v>4</v>
          </cell>
          <cell r="BG1346">
            <v>8</v>
          </cell>
          <cell r="BH1346">
            <v>0</v>
          </cell>
          <cell r="BI1346">
            <v>1</v>
          </cell>
          <cell r="BJ1346">
            <v>0</v>
          </cell>
          <cell r="BK1346">
            <v>0</v>
          </cell>
          <cell r="BL1346">
            <v>0</v>
          </cell>
          <cell r="BM1346">
            <v>0</v>
          </cell>
          <cell r="BN1346">
            <v>0</v>
          </cell>
          <cell r="BO1346">
            <v>1</v>
          </cell>
          <cell r="BP1346">
            <v>0</v>
          </cell>
          <cell r="BQ1346">
            <v>4</v>
          </cell>
          <cell r="BR1346">
            <v>0</v>
          </cell>
          <cell r="BS1346">
            <v>0</v>
          </cell>
          <cell r="BT1346">
            <v>16</v>
          </cell>
          <cell r="BU1346">
            <v>0</v>
          </cell>
        </row>
        <row r="1347">
          <cell r="A1347">
            <v>35</v>
          </cell>
          <cell r="B1347">
            <v>35</v>
          </cell>
          <cell r="D1347">
            <v>0</v>
          </cell>
          <cell r="F1347">
            <v>0</v>
          </cell>
          <cell r="G1347">
            <v>1</v>
          </cell>
          <cell r="I1347">
            <v>1</v>
          </cell>
          <cell r="J1347">
            <v>0</v>
          </cell>
          <cell r="K1347">
            <v>16</v>
          </cell>
          <cell r="L1347">
            <v>16</v>
          </cell>
          <cell r="M1347">
            <v>2</v>
          </cell>
          <cell r="O1347">
            <v>0</v>
          </cell>
          <cell r="P1347">
            <v>1</v>
          </cell>
          <cell r="Q1347">
            <v>0</v>
          </cell>
          <cell r="R1347">
            <v>0</v>
          </cell>
          <cell r="S1347">
            <v>0</v>
          </cell>
          <cell r="T1347">
            <v>4</v>
          </cell>
          <cell r="V1347">
            <v>1</v>
          </cell>
          <cell r="W1347">
            <v>44</v>
          </cell>
          <cell r="X1347">
            <v>2</v>
          </cell>
          <cell r="Y1347">
            <v>2</v>
          </cell>
          <cell r="AA1347">
            <v>0</v>
          </cell>
          <cell r="AB1347">
            <v>0</v>
          </cell>
          <cell r="AC1347">
            <v>0</v>
          </cell>
          <cell r="AD1347">
            <v>0</v>
          </cell>
          <cell r="AE1347">
            <v>1</v>
          </cell>
          <cell r="AF1347">
            <v>1</v>
          </cell>
          <cell r="AG1347">
            <v>0</v>
          </cell>
          <cell r="AH1347">
            <v>0</v>
          </cell>
          <cell r="AI1347">
            <v>2</v>
          </cell>
          <cell r="AK1347">
            <v>0</v>
          </cell>
          <cell r="AL1347">
            <v>1</v>
          </cell>
          <cell r="AN1347">
            <v>4788</v>
          </cell>
          <cell r="AO1347">
            <v>0</v>
          </cell>
          <cell r="AQ1347">
            <v>1</v>
          </cell>
          <cell r="AR1347">
            <v>11</v>
          </cell>
          <cell r="AS1347">
            <v>3</v>
          </cell>
          <cell r="AT1347">
            <v>4</v>
          </cell>
          <cell r="AU1347">
            <v>0</v>
          </cell>
          <cell r="AV1347">
            <v>4</v>
          </cell>
          <cell r="AW1347">
            <v>4</v>
          </cell>
          <cell r="AX1347">
            <v>2</v>
          </cell>
          <cell r="AY1347">
            <v>3</v>
          </cell>
          <cell r="AZ1347">
            <v>3</v>
          </cell>
          <cell r="BA1347">
            <v>3</v>
          </cell>
          <cell r="BB1347">
            <v>2</v>
          </cell>
          <cell r="BC1347">
            <v>0</v>
          </cell>
          <cell r="BD1347">
            <v>0</v>
          </cell>
          <cell r="BE1347">
            <v>2</v>
          </cell>
          <cell r="BF1347">
            <v>2</v>
          </cell>
          <cell r="BG1347">
            <v>4</v>
          </cell>
          <cell r="BH1347">
            <v>0</v>
          </cell>
          <cell r="BI1347">
            <v>1</v>
          </cell>
          <cell r="BJ1347">
            <v>0</v>
          </cell>
          <cell r="BK1347">
            <v>0</v>
          </cell>
          <cell r="BL1347">
            <v>0</v>
          </cell>
          <cell r="BM1347">
            <v>0</v>
          </cell>
          <cell r="BN1347">
            <v>0</v>
          </cell>
          <cell r="BO1347">
            <v>1</v>
          </cell>
          <cell r="BP1347">
            <v>0</v>
          </cell>
          <cell r="BQ1347">
            <v>2</v>
          </cell>
          <cell r="BR1347">
            <v>0</v>
          </cell>
          <cell r="BS1347">
            <v>0</v>
          </cell>
          <cell r="BT1347">
            <v>4</v>
          </cell>
          <cell r="BU1347">
            <v>0</v>
          </cell>
        </row>
        <row r="1348">
          <cell r="A1348">
            <v>45</v>
          </cell>
          <cell r="B1348">
            <v>45</v>
          </cell>
          <cell r="D1348">
            <v>0</v>
          </cell>
          <cell r="F1348">
            <v>0</v>
          </cell>
          <cell r="G1348">
            <v>1</v>
          </cell>
          <cell r="I1348">
            <v>1</v>
          </cell>
          <cell r="J1348">
            <v>0</v>
          </cell>
          <cell r="K1348">
            <v>25</v>
          </cell>
          <cell r="L1348">
            <v>25</v>
          </cell>
          <cell r="M1348">
            <v>2</v>
          </cell>
          <cell r="O1348">
            <v>1</v>
          </cell>
          <cell r="P1348">
            <v>0</v>
          </cell>
          <cell r="Q1348">
            <v>0</v>
          </cell>
          <cell r="R1348">
            <v>0</v>
          </cell>
          <cell r="S1348">
            <v>0</v>
          </cell>
          <cell r="T1348">
            <v>2</v>
          </cell>
          <cell r="V1348">
            <v>1</v>
          </cell>
          <cell r="W1348">
            <v>93</v>
          </cell>
          <cell r="X1348">
            <v>2</v>
          </cell>
          <cell r="Y1348">
            <v>2</v>
          </cell>
          <cell r="AA1348">
            <v>0</v>
          </cell>
          <cell r="AB1348">
            <v>0</v>
          </cell>
          <cell r="AC1348">
            <v>0</v>
          </cell>
          <cell r="AD1348">
            <v>0</v>
          </cell>
          <cell r="AE1348">
            <v>1</v>
          </cell>
          <cell r="AF1348">
            <v>1</v>
          </cell>
          <cell r="AG1348">
            <v>0</v>
          </cell>
          <cell r="AH1348">
            <v>0</v>
          </cell>
          <cell r="AI1348">
            <v>4</v>
          </cell>
          <cell r="AK1348">
            <v>0</v>
          </cell>
          <cell r="AL1348">
            <v>1</v>
          </cell>
          <cell r="AN1348">
            <v>5906</v>
          </cell>
          <cell r="AO1348">
            <v>0</v>
          </cell>
          <cell r="AQ1348">
            <v>0</v>
          </cell>
          <cell r="AR1348">
            <v>13</v>
          </cell>
          <cell r="AS1348">
            <v>3</v>
          </cell>
          <cell r="AT1348">
            <v>4</v>
          </cell>
          <cell r="AU1348">
            <v>2</v>
          </cell>
          <cell r="AV1348">
            <v>10</v>
          </cell>
          <cell r="AW1348">
            <v>10</v>
          </cell>
          <cell r="AX1348">
            <v>2</v>
          </cell>
          <cell r="AY1348">
            <v>2</v>
          </cell>
          <cell r="AZ1348">
            <v>9</v>
          </cell>
          <cell r="BA1348">
            <v>9</v>
          </cell>
          <cell r="BB1348">
            <v>8</v>
          </cell>
          <cell r="BC1348">
            <v>3</v>
          </cell>
          <cell r="BD1348">
            <v>3</v>
          </cell>
          <cell r="BE1348">
            <v>8</v>
          </cell>
          <cell r="BF1348">
            <v>8</v>
          </cell>
          <cell r="BG1348">
            <v>16</v>
          </cell>
          <cell r="BH1348">
            <v>0</v>
          </cell>
          <cell r="BI1348">
            <v>1</v>
          </cell>
          <cell r="BJ1348">
            <v>0</v>
          </cell>
          <cell r="BK1348">
            <v>0</v>
          </cell>
          <cell r="BL1348">
            <v>0</v>
          </cell>
          <cell r="BM1348">
            <v>0</v>
          </cell>
          <cell r="BN1348">
            <v>1</v>
          </cell>
          <cell r="BO1348">
            <v>0</v>
          </cell>
          <cell r="BP1348">
            <v>0</v>
          </cell>
          <cell r="BQ1348">
            <v>8</v>
          </cell>
          <cell r="BR1348">
            <v>0</v>
          </cell>
          <cell r="BS1348">
            <v>0</v>
          </cell>
          <cell r="BT1348">
            <v>10</v>
          </cell>
          <cell r="BU1348">
            <v>0</v>
          </cell>
        </row>
        <row r="1349">
          <cell r="A1349">
            <v>36</v>
          </cell>
          <cell r="B1349">
            <v>36</v>
          </cell>
          <cell r="D1349">
            <v>0</v>
          </cell>
          <cell r="F1349">
            <v>1</v>
          </cell>
          <cell r="G1349">
            <v>0</v>
          </cell>
          <cell r="I1349">
            <v>0</v>
          </cell>
          <cell r="J1349">
            <v>0</v>
          </cell>
          <cell r="K1349">
            <v>2</v>
          </cell>
          <cell r="L1349">
            <v>2</v>
          </cell>
          <cell r="M1349">
            <v>1</v>
          </cell>
          <cell r="O1349">
            <v>0</v>
          </cell>
          <cell r="P1349">
            <v>0</v>
          </cell>
          <cell r="Q1349">
            <v>0</v>
          </cell>
          <cell r="R1349">
            <v>0</v>
          </cell>
          <cell r="S1349">
            <v>0</v>
          </cell>
          <cell r="T1349">
            <v>2</v>
          </cell>
          <cell r="V1349">
            <v>0</v>
          </cell>
          <cell r="W1349">
            <v>94</v>
          </cell>
          <cell r="X1349">
            <v>2</v>
          </cell>
          <cell r="Y1349">
            <v>2</v>
          </cell>
          <cell r="AA1349">
            <v>0</v>
          </cell>
          <cell r="AB1349">
            <v>0</v>
          </cell>
          <cell r="AC1349">
            <v>0</v>
          </cell>
          <cell r="AD1349">
            <v>0</v>
          </cell>
          <cell r="AE1349">
            <v>0</v>
          </cell>
          <cell r="AF1349">
            <v>0</v>
          </cell>
          <cell r="AG1349">
            <v>0</v>
          </cell>
          <cell r="AH1349">
            <v>0</v>
          </cell>
          <cell r="AI1349">
            <v>4</v>
          </cell>
          <cell r="AK1349">
            <v>1</v>
          </cell>
          <cell r="AL1349">
            <v>0</v>
          </cell>
          <cell r="AN1349">
            <v>3886</v>
          </cell>
          <cell r="AO1349">
            <v>1</v>
          </cell>
          <cell r="AQ1349">
            <v>0</v>
          </cell>
          <cell r="AR1349">
            <v>21</v>
          </cell>
          <cell r="AS1349">
            <v>4</v>
          </cell>
          <cell r="AT1349">
            <v>4</v>
          </cell>
          <cell r="AU1349">
            <v>0</v>
          </cell>
          <cell r="AV1349">
            <v>10</v>
          </cell>
          <cell r="AW1349">
            <v>10</v>
          </cell>
          <cell r="AX1349">
            <v>2</v>
          </cell>
          <cell r="AY1349">
            <v>2</v>
          </cell>
          <cell r="AZ1349">
            <v>10</v>
          </cell>
          <cell r="BA1349">
            <v>10</v>
          </cell>
          <cell r="BB1349">
            <v>1</v>
          </cell>
          <cell r="BC1349">
            <v>0</v>
          </cell>
          <cell r="BD1349">
            <v>0</v>
          </cell>
          <cell r="BE1349">
            <v>8</v>
          </cell>
          <cell r="BF1349">
            <v>8</v>
          </cell>
          <cell r="BG1349">
            <v>16</v>
          </cell>
          <cell r="BH1349">
            <v>0</v>
          </cell>
          <cell r="BI1349">
            <v>0</v>
          </cell>
          <cell r="BJ1349">
            <v>1</v>
          </cell>
          <cell r="BK1349">
            <v>0</v>
          </cell>
          <cell r="BL1349">
            <v>1</v>
          </cell>
          <cell r="BM1349">
            <v>0</v>
          </cell>
          <cell r="BN1349">
            <v>0</v>
          </cell>
          <cell r="BO1349">
            <v>0</v>
          </cell>
          <cell r="BP1349">
            <v>8</v>
          </cell>
          <cell r="BQ1349">
            <v>0</v>
          </cell>
          <cell r="BR1349">
            <v>0</v>
          </cell>
          <cell r="BS1349">
            <v>10</v>
          </cell>
          <cell r="BT1349">
            <v>0</v>
          </cell>
          <cell r="BU1349">
            <v>0</v>
          </cell>
        </row>
        <row r="1350">
          <cell r="A1350">
            <v>40</v>
          </cell>
          <cell r="B1350">
            <v>40</v>
          </cell>
          <cell r="D1350">
            <v>0</v>
          </cell>
          <cell r="F1350">
            <v>0</v>
          </cell>
          <cell r="G1350">
            <v>1</v>
          </cell>
          <cell r="I1350">
            <v>1</v>
          </cell>
          <cell r="J1350">
            <v>0</v>
          </cell>
          <cell r="K1350">
            <v>1</v>
          </cell>
          <cell r="L1350">
            <v>1</v>
          </cell>
          <cell r="M1350">
            <v>4</v>
          </cell>
          <cell r="O1350">
            <v>1</v>
          </cell>
          <cell r="P1350">
            <v>0</v>
          </cell>
          <cell r="Q1350">
            <v>0</v>
          </cell>
          <cell r="R1350">
            <v>0</v>
          </cell>
          <cell r="S1350">
            <v>0</v>
          </cell>
          <cell r="T1350">
            <v>1</v>
          </cell>
          <cell r="V1350">
            <v>0</v>
          </cell>
          <cell r="W1350">
            <v>98</v>
          </cell>
          <cell r="X1350">
            <v>3</v>
          </cell>
          <cell r="Y1350">
            <v>4</v>
          </cell>
          <cell r="AA1350">
            <v>0</v>
          </cell>
          <cell r="AB1350">
            <v>0</v>
          </cell>
          <cell r="AC1350">
            <v>0</v>
          </cell>
          <cell r="AD1350">
            <v>1</v>
          </cell>
          <cell r="AE1350">
            <v>0</v>
          </cell>
          <cell r="AF1350">
            <v>0</v>
          </cell>
          <cell r="AG1350">
            <v>0</v>
          </cell>
          <cell r="AH1350">
            <v>0</v>
          </cell>
          <cell r="AI1350">
            <v>1</v>
          </cell>
          <cell r="AK1350">
            <v>0</v>
          </cell>
          <cell r="AL1350">
            <v>0</v>
          </cell>
          <cell r="AN1350">
            <v>16823</v>
          </cell>
          <cell r="AO1350">
            <v>2</v>
          </cell>
          <cell r="AQ1350">
            <v>0</v>
          </cell>
          <cell r="AR1350">
            <v>11</v>
          </cell>
          <cell r="AS1350">
            <v>3</v>
          </cell>
          <cell r="AT1350">
            <v>1</v>
          </cell>
          <cell r="AU1350">
            <v>1</v>
          </cell>
          <cell r="AV1350">
            <v>22</v>
          </cell>
          <cell r="AW1350">
            <v>22</v>
          </cell>
          <cell r="AX1350">
            <v>3</v>
          </cell>
          <cell r="AY1350">
            <v>3</v>
          </cell>
          <cell r="AZ1350">
            <v>19</v>
          </cell>
          <cell r="BA1350">
            <v>19</v>
          </cell>
          <cell r="BB1350">
            <v>7</v>
          </cell>
          <cell r="BC1350">
            <v>11</v>
          </cell>
          <cell r="BD1350">
            <v>11</v>
          </cell>
          <cell r="BE1350">
            <v>16</v>
          </cell>
          <cell r="BF1350">
            <v>14</v>
          </cell>
          <cell r="BG1350">
            <v>56</v>
          </cell>
          <cell r="BH1350">
            <v>1</v>
          </cell>
          <cell r="BI1350">
            <v>0</v>
          </cell>
          <cell r="BJ1350">
            <v>0</v>
          </cell>
          <cell r="BK1350">
            <v>0</v>
          </cell>
          <cell r="BL1350">
            <v>1</v>
          </cell>
          <cell r="BM1350">
            <v>0</v>
          </cell>
          <cell r="BN1350">
            <v>0</v>
          </cell>
          <cell r="BO1350">
            <v>0</v>
          </cell>
          <cell r="BP1350">
            <v>0</v>
          </cell>
          <cell r="BQ1350">
            <v>14</v>
          </cell>
          <cell r="BR1350">
            <v>0</v>
          </cell>
          <cell r="BS1350">
            <v>0</v>
          </cell>
          <cell r="BT1350">
            <v>22</v>
          </cell>
          <cell r="BU1350">
            <v>0</v>
          </cell>
        </row>
        <row r="1351">
          <cell r="A1351">
            <v>26</v>
          </cell>
          <cell r="B1351">
            <v>26</v>
          </cell>
          <cell r="D1351">
            <v>0</v>
          </cell>
          <cell r="F1351">
            <v>0</v>
          </cell>
          <cell r="G1351">
            <v>1</v>
          </cell>
          <cell r="I1351">
            <v>1</v>
          </cell>
          <cell r="J1351">
            <v>0</v>
          </cell>
          <cell r="K1351">
            <v>1</v>
          </cell>
          <cell r="L1351">
            <v>1</v>
          </cell>
          <cell r="M1351">
            <v>2</v>
          </cell>
          <cell r="O1351">
            <v>1</v>
          </cell>
          <cell r="P1351">
            <v>0</v>
          </cell>
          <cell r="Q1351">
            <v>0</v>
          </cell>
          <cell r="R1351">
            <v>0</v>
          </cell>
          <cell r="S1351">
            <v>0</v>
          </cell>
          <cell r="T1351">
            <v>2</v>
          </cell>
          <cell r="V1351">
            <v>1</v>
          </cell>
          <cell r="W1351">
            <v>90</v>
          </cell>
          <cell r="X1351">
            <v>2</v>
          </cell>
          <cell r="Y1351">
            <v>1</v>
          </cell>
          <cell r="AA1351">
            <v>0</v>
          </cell>
          <cell r="AB1351">
            <v>0</v>
          </cell>
          <cell r="AC1351">
            <v>0</v>
          </cell>
          <cell r="AD1351">
            <v>0</v>
          </cell>
          <cell r="AE1351">
            <v>0</v>
          </cell>
          <cell r="AF1351">
            <v>0</v>
          </cell>
          <cell r="AG1351">
            <v>0</v>
          </cell>
          <cell r="AH1351">
            <v>1</v>
          </cell>
          <cell r="AI1351">
            <v>3</v>
          </cell>
          <cell r="AK1351">
            <v>0</v>
          </cell>
          <cell r="AL1351">
            <v>1</v>
          </cell>
          <cell r="AN1351">
            <v>2933</v>
          </cell>
          <cell r="AO1351">
            <v>1</v>
          </cell>
          <cell r="AQ1351">
            <v>1</v>
          </cell>
          <cell r="AR1351">
            <v>13</v>
          </cell>
          <cell r="AS1351">
            <v>3</v>
          </cell>
          <cell r="AT1351">
            <v>3</v>
          </cell>
          <cell r="AU1351">
            <v>1</v>
          </cell>
          <cell r="AV1351">
            <v>1</v>
          </cell>
          <cell r="AW1351">
            <v>1</v>
          </cell>
          <cell r="AX1351">
            <v>3</v>
          </cell>
          <cell r="AY1351">
            <v>2</v>
          </cell>
          <cell r="AZ1351">
            <v>1</v>
          </cell>
          <cell r="BA1351">
            <v>1</v>
          </cell>
          <cell r="BB1351">
            <v>0</v>
          </cell>
          <cell r="BC1351">
            <v>1</v>
          </cell>
          <cell r="BD1351">
            <v>1</v>
          </cell>
          <cell r="BE1351">
            <v>0</v>
          </cell>
          <cell r="BF1351">
            <v>0</v>
          </cell>
          <cell r="BG1351">
            <v>0</v>
          </cell>
          <cell r="BH1351">
            <v>0</v>
          </cell>
          <cell r="BI1351">
            <v>1</v>
          </cell>
          <cell r="BJ1351">
            <v>0</v>
          </cell>
          <cell r="BK1351">
            <v>0</v>
          </cell>
          <cell r="BL1351">
            <v>0</v>
          </cell>
          <cell r="BM1351">
            <v>0</v>
          </cell>
          <cell r="BN1351">
            <v>0</v>
          </cell>
          <cell r="BO1351">
            <v>1</v>
          </cell>
          <cell r="BP1351">
            <v>0</v>
          </cell>
          <cell r="BQ1351">
            <v>0</v>
          </cell>
          <cell r="BR1351">
            <v>0</v>
          </cell>
          <cell r="BS1351">
            <v>0</v>
          </cell>
          <cell r="BT1351">
            <v>1</v>
          </cell>
          <cell r="BU1351">
            <v>0</v>
          </cell>
        </row>
        <row r="1352">
          <cell r="A1352">
            <v>27</v>
          </cell>
          <cell r="B1352">
            <v>27</v>
          </cell>
          <cell r="D1352">
            <v>0</v>
          </cell>
          <cell r="F1352">
            <v>0</v>
          </cell>
          <cell r="G1352">
            <v>1</v>
          </cell>
          <cell r="I1352">
            <v>0</v>
          </cell>
          <cell r="J1352">
            <v>1</v>
          </cell>
          <cell r="K1352">
            <v>2</v>
          </cell>
          <cell r="L1352">
            <v>2</v>
          </cell>
          <cell r="M1352">
            <v>2</v>
          </cell>
          <cell r="O1352">
            <v>0</v>
          </cell>
          <cell r="P1352">
            <v>0</v>
          </cell>
          <cell r="Q1352">
            <v>1</v>
          </cell>
          <cell r="R1352">
            <v>0</v>
          </cell>
          <cell r="S1352">
            <v>0</v>
          </cell>
          <cell r="T1352">
            <v>1</v>
          </cell>
          <cell r="V1352">
            <v>1</v>
          </cell>
          <cell r="W1352">
            <v>89</v>
          </cell>
          <cell r="X1352">
            <v>4</v>
          </cell>
          <cell r="Y1352">
            <v>2</v>
          </cell>
          <cell r="AA1352">
            <v>0</v>
          </cell>
          <cell r="AB1352">
            <v>1</v>
          </cell>
          <cell r="AC1352">
            <v>0</v>
          </cell>
          <cell r="AD1352">
            <v>0</v>
          </cell>
          <cell r="AE1352">
            <v>0</v>
          </cell>
          <cell r="AF1352">
            <v>0</v>
          </cell>
          <cell r="AG1352">
            <v>0</v>
          </cell>
          <cell r="AH1352">
            <v>0</v>
          </cell>
          <cell r="AI1352">
            <v>3</v>
          </cell>
          <cell r="AK1352">
            <v>1</v>
          </cell>
          <cell r="AL1352">
            <v>0</v>
          </cell>
          <cell r="AN1352">
            <v>6500</v>
          </cell>
          <cell r="AO1352">
            <v>0</v>
          </cell>
          <cell r="AQ1352">
            <v>0</v>
          </cell>
          <cell r="AR1352">
            <v>14</v>
          </cell>
          <cell r="AS1352">
            <v>3</v>
          </cell>
          <cell r="AT1352">
            <v>2</v>
          </cell>
          <cell r="AU1352">
            <v>0</v>
          </cell>
          <cell r="AV1352">
            <v>9</v>
          </cell>
          <cell r="AW1352">
            <v>9</v>
          </cell>
          <cell r="AX1352">
            <v>5</v>
          </cell>
          <cell r="AY1352">
            <v>2</v>
          </cell>
          <cell r="AZ1352">
            <v>8</v>
          </cell>
          <cell r="BA1352">
            <v>8</v>
          </cell>
          <cell r="BB1352">
            <v>7</v>
          </cell>
          <cell r="BC1352">
            <v>0</v>
          </cell>
          <cell r="BD1352">
            <v>0</v>
          </cell>
          <cell r="BE1352">
            <v>7</v>
          </cell>
          <cell r="BF1352">
            <v>7</v>
          </cell>
          <cell r="BG1352">
            <v>14</v>
          </cell>
          <cell r="BH1352">
            <v>1</v>
          </cell>
          <cell r="BI1352">
            <v>0</v>
          </cell>
          <cell r="BJ1352">
            <v>0</v>
          </cell>
          <cell r="BK1352">
            <v>0</v>
          </cell>
          <cell r="BL1352">
            <v>1</v>
          </cell>
          <cell r="BM1352">
            <v>0</v>
          </cell>
          <cell r="BN1352">
            <v>0</v>
          </cell>
          <cell r="BO1352">
            <v>0</v>
          </cell>
          <cell r="BP1352">
            <v>0</v>
          </cell>
          <cell r="BQ1352">
            <v>0</v>
          </cell>
          <cell r="BR1352">
            <v>7</v>
          </cell>
          <cell r="BS1352">
            <v>0</v>
          </cell>
          <cell r="BT1352">
            <v>0</v>
          </cell>
          <cell r="BU1352">
            <v>9</v>
          </cell>
        </row>
        <row r="1353">
          <cell r="A1353">
            <v>48</v>
          </cell>
          <cell r="B1353">
            <v>48</v>
          </cell>
          <cell r="D1353">
            <v>0</v>
          </cell>
          <cell r="F1353">
            <v>1</v>
          </cell>
          <cell r="G1353">
            <v>0</v>
          </cell>
          <cell r="I1353">
            <v>1</v>
          </cell>
          <cell r="J1353">
            <v>0</v>
          </cell>
          <cell r="K1353">
            <v>22</v>
          </cell>
          <cell r="L1353">
            <v>22</v>
          </cell>
          <cell r="M1353">
            <v>3</v>
          </cell>
          <cell r="O1353">
            <v>0</v>
          </cell>
          <cell r="P1353">
            <v>0</v>
          </cell>
          <cell r="Q1353">
            <v>1</v>
          </cell>
          <cell r="R1353">
            <v>0</v>
          </cell>
          <cell r="S1353">
            <v>0</v>
          </cell>
          <cell r="T1353">
            <v>4</v>
          </cell>
          <cell r="V1353">
            <v>1</v>
          </cell>
          <cell r="W1353">
            <v>58</v>
          </cell>
          <cell r="X1353">
            <v>3</v>
          </cell>
          <cell r="Y1353">
            <v>4</v>
          </cell>
          <cell r="AA1353">
            <v>0</v>
          </cell>
          <cell r="AB1353">
            <v>0</v>
          </cell>
          <cell r="AC1353">
            <v>0</v>
          </cell>
          <cell r="AD1353">
            <v>1</v>
          </cell>
          <cell r="AE1353">
            <v>0</v>
          </cell>
          <cell r="AF1353">
            <v>0</v>
          </cell>
          <cell r="AG1353">
            <v>0</v>
          </cell>
          <cell r="AH1353">
            <v>0</v>
          </cell>
          <cell r="AI1353">
            <v>4</v>
          </cell>
          <cell r="AK1353">
            <v>0</v>
          </cell>
          <cell r="AL1353">
            <v>0</v>
          </cell>
          <cell r="AN1353">
            <v>17174</v>
          </cell>
          <cell r="AO1353">
            <v>3</v>
          </cell>
          <cell r="AQ1353">
            <v>0</v>
          </cell>
          <cell r="AR1353">
            <v>11</v>
          </cell>
          <cell r="AS1353">
            <v>3</v>
          </cell>
          <cell r="AT1353">
            <v>2</v>
          </cell>
          <cell r="AU1353">
            <v>1</v>
          </cell>
          <cell r="AV1353">
            <v>24</v>
          </cell>
          <cell r="AW1353">
            <v>24</v>
          </cell>
          <cell r="AX1353">
            <v>3</v>
          </cell>
          <cell r="AY1353">
            <v>3</v>
          </cell>
          <cell r="AZ1353">
            <v>22</v>
          </cell>
          <cell r="BA1353">
            <v>22</v>
          </cell>
          <cell r="BB1353">
            <v>17</v>
          </cell>
          <cell r="BC1353">
            <v>4</v>
          </cell>
          <cell r="BD1353">
            <v>4</v>
          </cell>
          <cell r="BE1353">
            <v>7</v>
          </cell>
          <cell r="BF1353">
            <v>7</v>
          </cell>
          <cell r="BG1353">
            <v>28</v>
          </cell>
          <cell r="BH1353">
            <v>0</v>
          </cell>
          <cell r="BI1353">
            <v>0</v>
          </cell>
          <cell r="BJ1353">
            <v>1</v>
          </cell>
          <cell r="BK1353">
            <v>0</v>
          </cell>
          <cell r="BL1353">
            <v>1</v>
          </cell>
          <cell r="BM1353">
            <v>0</v>
          </cell>
          <cell r="BN1353">
            <v>0</v>
          </cell>
          <cell r="BO1353">
            <v>0</v>
          </cell>
          <cell r="BP1353">
            <v>0</v>
          </cell>
          <cell r="BQ1353">
            <v>7</v>
          </cell>
          <cell r="BR1353">
            <v>0</v>
          </cell>
          <cell r="BS1353">
            <v>0</v>
          </cell>
          <cell r="BT1353">
            <v>24</v>
          </cell>
          <cell r="BU1353">
            <v>0</v>
          </cell>
        </row>
        <row r="1354">
          <cell r="A1354">
            <v>44</v>
          </cell>
          <cell r="B1354">
            <v>44</v>
          </cell>
          <cell r="D1354">
            <v>0</v>
          </cell>
          <cell r="F1354">
            <v>0</v>
          </cell>
          <cell r="G1354">
            <v>1</v>
          </cell>
          <cell r="I1354">
            <v>1</v>
          </cell>
          <cell r="J1354">
            <v>0</v>
          </cell>
          <cell r="K1354">
            <v>1</v>
          </cell>
          <cell r="L1354">
            <v>1</v>
          </cell>
          <cell r="M1354">
            <v>4</v>
          </cell>
          <cell r="O1354">
            <v>1</v>
          </cell>
          <cell r="P1354">
            <v>0</v>
          </cell>
          <cell r="Q1354">
            <v>0</v>
          </cell>
          <cell r="R1354">
            <v>0</v>
          </cell>
          <cell r="S1354">
            <v>0</v>
          </cell>
          <cell r="T1354">
            <v>2</v>
          </cell>
          <cell r="V1354">
            <v>0</v>
          </cell>
          <cell r="W1354">
            <v>78</v>
          </cell>
          <cell r="X1354">
            <v>4</v>
          </cell>
          <cell r="Y1354">
            <v>2</v>
          </cell>
          <cell r="AA1354">
            <v>1</v>
          </cell>
          <cell r="AB1354">
            <v>0</v>
          </cell>
          <cell r="AC1354">
            <v>0</v>
          </cell>
          <cell r="AD1354">
            <v>0</v>
          </cell>
          <cell r="AE1354">
            <v>0</v>
          </cell>
          <cell r="AF1354">
            <v>0</v>
          </cell>
          <cell r="AG1354">
            <v>0</v>
          </cell>
          <cell r="AH1354">
            <v>0</v>
          </cell>
          <cell r="AI1354">
            <v>1</v>
          </cell>
          <cell r="AK1354">
            <v>0</v>
          </cell>
          <cell r="AL1354">
            <v>1</v>
          </cell>
          <cell r="AN1354">
            <v>5033</v>
          </cell>
          <cell r="AO1354">
            <v>2</v>
          </cell>
          <cell r="AQ1354">
            <v>0</v>
          </cell>
          <cell r="AR1354">
            <v>15</v>
          </cell>
          <cell r="AS1354">
            <v>3</v>
          </cell>
          <cell r="AT1354">
            <v>4</v>
          </cell>
          <cell r="AU1354">
            <v>1</v>
          </cell>
          <cell r="AV1354">
            <v>10</v>
          </cell>
          <cell r="AW1354">
            <v>10</v>
          </cell>
          <cell r="AX1354">
            <v>5</v>
          </cell>
          <cell r="AY1354">
            <v>3</v>
          </cell>
          <cell r="AZ1354">
            <v>2</v>
          </cell>
          <cell r="BA1354">
            <v>2</v>
          </cell>
          <cell r="BB1354">
            <v>0</v>
          </cell>
          <cell r="BC1354">
            <v>2</v>
          </cell>
          <cell r="BD1354">
            <v>2</v>
          </cell>
          <cell r="BE1354">
            <v>2</v>
          </cell>
          <cell r="BF1354">
            <v>2</v>
          </cell>
          <cell r="BG1354">
            <v>4</v>
          </cell>
          <cell r="BH1354">
            <v>0</v>
          </cell>
          <cell r="BI1354">
            <v>1</v>
          </cell>
          <cell r="BJ1354">
            <v>0</v>
          </cell>
          <cell r="BK1354">
            <v>0</v>
          </cell>
          <cell r="BL1354">
            <v>0</v>
          </cell>
          <cell r="BM1354">
            <v>0</v>
          </cell>
          <cell r="BN1354">
            <v>1</v>
          </cell>
          <cell r="BO1354">
            <v>0</v>
          </cell>
          <cell r="BP1354">
            <v>0</v>
          </cell>
          <cell r="BQ1354">
            <v>2</v>
          </cell>
          <cell r="BR1354">
            <v>0</v>
          </cell>
          <cell r="BS1354">
            <v>0</v>
          </cell>
          <cell r="BT1354">
            <v>10</v>
          </cell>
          <cell r="BU1354">
            <v>0</v>
          </cell>
        </row>
        <row r="1355">
          <cell r="A1355">
            <v>34</v>
          </cell>
          <cell r="B1355">
            <v>34</v>
          </cell>
          <cell r="D1355">
            <v>1</v>
          </cell>
          <cell r="F1355">
            <v>0</v>
          </cell>
          <cell r="G1355">
            <v>0</v>
          </cell>
          <cell r="I1355">
            <v>1</v>
          </cell>
          <cell r="J1355">
            <v>0</v>
          </cell>
          <cell r="K1355">
            <v>16</v>
          </cell>
          <cell r="L1355">
            <v>16</v>
          </cell>
          <cell r="M1355">
            <v>4</v>
          </cell>
          <cell r="O1355">
            <v>0</v>
          </cell>
          <cell r="P1355">
            <v>0</v>
          </cell>
          <cell r="Q1355">
            <v>0</v>
          </cell>
          <cell r="R1355">
            <v>0</v>
          </cell>
          <cell r="S1355">
            <v>1</v>
          </cell>
          <cell r="T1355">
            <v>4</v>
          </cell>
          <cell r="V1355">
            <v>0</v>
          </cell>
          <cell r="W1355">
            <v>85</v>
          </cell>
          <cell r="X1355">
            <v>1</v>
          </cell>
          <cell r="Y1355">
            <v>1</v>
          </cell>
          <cell r="AA1355">
            <v>0</v>
          </cell>
          <cell r="AB1355">
            <v>0</v>
          </cell>
          <cell r="AC1355">
            <v>0</v>
          </cell>
          <cell r="AD1355">
            <v>0</v>
          </cell>
          <cell r="AE1355">
            <v>0</v>
          </cell>
          <cell r="AF1355">
            <v>0</v>
          </cell>
          <cell r="AG1355">
            <v>0</v>
          </cell>
          <cell r="AH1355">
            <v>1</v>
          </cell>
          <cell r="AI1355">
            <v>1</v>
          </cell>
          <cell r="AK1355">
            <v>0</v>
          </cell>
          <cell r="AL1355">
            <v>1</v>
          </cell>
          <cell r="AN1355">
            <v>2307</v>
          </cell>
          <cell r="AO1355">
            <v>1</v>
          </cell>
          <cell r="AQ1355">
            <v>1</v>
          </cell>
          <cell r="AR1355">
            <v>23</v>
          </cell>
          <cell r="AS1355">
            <v>4</v>
          </cell>
          <cell r="AT1355">
            <v>2</v>
          </cell>
          <cell r="AU1355">
            <v>1</v>
          </cell>
          <cell r="AV1355">
            <v>5</v>
          </cell>
          <cell r="AW1355">
            <v>5</v>
          </cell>
          <cell r="AX1355">
            <v>2</v>
          </cell>
          <cell r="AY1355">
            <v>3</v>
          </cell>
          <cell r="AZ1355">
            <v>5</v>
          </cell>
          <cell r="BA1355">
            <v>5</v>
          </cell>
          <cell r="BB1355">
            <v>2</v>
          </cell>
          <cell r="BC1355">
            <v>3</v>
          </cell>
          <cell r="BD1355">
            <v>3</v>
          </cell>
          <cell r="BE1355">
            <v>0</v>
          </cell>
          <cell r="BF1355">
            <v>0</v>
          </cell>
          <cell r="BG1355">
            <v>0</v>
          </cell>
          <cell r="BH1355">
            <v>0</v>
          </cell>
          <cell r="BI1355">
            <v>1</v>
          </cell>
          <cell r="BJ1355">
            <v>0</v>
          </cell>
          <cell r="BK1355">
            <v>0</v>
          </cell>
          <cell r="BL1355">
            <v>0</v>
          </cell>
          <cell r="BM1355">
            <v>0</v>
          </cell>
          <cell r="BN1355">
            <v>0</v>
          </cell>
          <cell r="BO1355">
            <v>1</v>
          </cell>
          <cell r="BP1355">
            <v>0</v>
          </cell>
          <cell r="BQ1355">
            <v>0</v>
          </cell>
          <cell r="BR1355">
            <v>0</v>
          </cell>
          <cell r="BS1355">
            <v>0</v>
          </cell>
          <cell r="BT1355">
            <v>5</v>
          </cell>
          <cell r="BU1355">
            <v>0</v>
          </cell>
        </row>
        <row r="1356">
          <cell r="A1356">
            <v>56</v>
          </cell>
          <cell r="B1356">
            <v>56</v>
          </cell>
          <cell r="D1356">
            <v>1</v>
          </cell>
          <cell r="F1356">
            <v>0</v>
          </cell>
          <cell r="G1356">
            <v>1</v>
          </cell>
          <cell r="I1356">
            <v>1</v>
          </cell>
          <cell r="J1356">
            <v>0</v>
          </cell>
          <cell r="K1356">
            <v>24</v>
          </cell>
          <cell r="L1356">
            <v>24</v>
          </cell>
          <cell r="M1356">
            <v>2</v>
          </cell>
          <cell r="O1356">
            <v>1</v>
          </cell>
          <cell r="P1356">
            <v>0</v>
          </cell>
          <cell r="Q1356">
            <v>0</v>
          </cell>
          <cell r="R1356">
            <v>0</v>
          </cell>
          <cell r="S1356">
            <v>0</v>
          </cell>
          <cell r="T1356">
            <v>1</v>
          </cell>
          <cell r="V1356">
            <v>0</v>
          </cell>
          <cell r="W1356">
            <v>97</v>
          </cell>
          <cell r="X1356">
            <v>3</v>
          </cell>
          <cell r="Y1356">
            <v>1</v>
          </cell>
          <cell r="AA1356">
            <v>0</v>
          </cell>
          <cell r="AB1356">
            <v>0</v>
          </cell>
          <cell r="AC1356">
            <v>1</v>
          </cell>
          <cell r="AD1356">
            <v>0</v>
          </cell>
          <cell r="AE1356">
            <v>0</v>
          </cell>
          <cell r="AF1356">
            <v>0</v>
          </cell>
          <cell r="AG1356">
            <v>0</v>
          </cell>
          <cell r="AH1356">
            <v>0</v>
          </cell>
          <cell r="AI1356">
            <v>4</v>
          </cell>
          <cell r="AK1356">
            <v>1</v>
          </cell>
          <cell r="AL1356">
            <v>0</v>
          </cell>
          <cell r="AN1356">
            <v>2587</v>
          </cell>
          <cell r="AO1356">
            <v>1</v>
          </cell>
          <cell r="AQ1356">
            <v>0</v>
          </cell>
          <cell r="AR1356">
            <v>16</v>
          </cell>
          <cell r="AS1356">
            <v>3</v>
          </cell>
          <cell r="AT1356">
            <v>4</v>
          </cell>
          <cell r="AU1356">
            <v>0</v>
          </cell>
          <cell r="AV1356">
            <v>5</v>
          </cell>
          <cell r="AW1356">
            <v>5</v>
          </cell>
          <cell r="AX1356">
            <v>3</v>
          </cell>
          <cell r="AY1356">
            <v>3</v>
          </cell>
          <cell r="AZ1356">
            <v>4</v>
          </cell>
          <cell r="BA1356">
            <v>4</v>
          </cell>
          <cell r="BB1356">
            <v>2</v>
          </cell>
          <cell r="BC1356">
            <v>1</v>
          </cell>
          <cell r="BD1356">
            <v>1</v>
          </cell>
          <cell r="BE1356">
            <v>0</v>
          </cell>
          <cell r="BF1356">
            <v>0</v>
          </cell>
          <cell r="BG1356">
            <v>0</v>
          </cell>
          <cell r="BH1356">
            <v>1</v>
          </cell>
          <cell r="BI1356">
            <v>0</v>
          </cell>
          <cell r="BJ1356">
            <v>0</v>
          </cell>
          <cell r="BK1356">
            <v>0</v>
          </cell>
          <cell r="BL1356">
            <v>1</v>
          </cell>
          <cell r="BM1356">
            <v>0</v>
          </cell>
          <cell r="BN1356">
            <v>0</v>
          </cell>
          <cell r="BO1356">
            <v>0</v>
          </cell>
          <cell r="BP1356">
            <v>0</v>
          </cell>
          <cell r="BQ1356">
            <v>0</v>
          </cell>
          <cell r="BR1356">
            <v>0</v>
          </cell>
          <cell r="BS1356">
            <v>0</v>
          </cell>
          <cell r="BT1356">
            <v>5</v>
          </cell>
          <cell r="BU1356">
            <v>0</v>
          </cell>
        </row>
        <row r="1357">
          <cell r="A1357">
            <v>36</v>
          </cell>
          <cell r="B1357">
            <v>36</v>
          </cell>
          <cell r="D1357">
            <v>0</v>
          </cell>
          <cell r="F1357">
            <v>0</v>
          </cell>
          <cell r="G1357">
            <v>1</v>
          </cell>
          <cell r="I1357">
            <v>0</v>
          </cell>
          <cell r="J1357">
            <v>1</v>
          </cell>
          <cell r="K1357">
            <v>17</v>
          </cell>
          <cell r="L1357">
            <v>17</v>
          </cell>
          <cell r="M1357">
            <v>2</v>
          </cell>
          <cell r="O1357">
            <v>0</v>
          </cell>
          <cell r="P1357">
            <v>0</v>
          </cell>
          <cell r="Q1357">
            <v>0</v>
          </cell>
          <cell r="R1357">
            <v>1</v>
          </cell>
          <cell r="S1357">
            <v>0</v>
          </cell>
          <cell r="T1357">
            <v>3</v>
          </cell>
          <cell r="V1357">
            <v>0</v>
          </cell>
          <cell r="W1357">
            <v>33</v>
          </cell>
          <cell r="X1357">
            <v>2</v>
          </cell>
          <cell r="Y1357">
            <v>2</v>
          </cell>
          <cell r="AA1357">
            <v>0</v>
          </cell>
          <cell r="AB1357">
            <v>1</v>
          </cell>
          <cell r="AC1357">
            <v>0</v>
          </cell>
          <cell r="AD1357">
            <v>0</v>
          </cell>
          <cell r="AE1357">
            <v>0</v>
          </cell>
          <cell r="AF1357">
            <v>0</v>
          </cell>
          <cell r="AG1357">
            <v>0</v>
          </cell>
          <cell r="AH1357">
            <v>0</v>
          </cell>
          <cell r="AI1357">
            <v>2</v>
          </cell>
          <cell r="AK1357">
            <v>0</v>
          </cell>
          <cell r="AL1357">
            <v>1</v>
          </cell>
          <cell r="AN1357">
            <v>5507</v>
          </cell>
          <cell r="AO1357">
            <v>2</v>
          </cell>
          <cell r="AQ1357">
            <v>0</v>
          </cell>
          <cell r="AR1357">
            <v>16</v>
          </cell>
          <cell r="AS1357">
            <v>3</v>
          </cell>
          <cell r="AT1357">
            <v>3</v>
          </cell>
          <cell r="AU1357">
            <v>2</v>
          </cell>
          <cell r="AV1357">
            <v>12</v>
          </cell>
          <cell r="AW1357">
            <v>12</v>
          </cell>
          <cell r="AX1357">
            <v>1</v>
          </cell>
          <cell r="AY1357">
            <v>1</v>
          </cell>
          <cell r="AZ1357">
            <v>4</v>
          </cell>
          <cell r="BA1357">
            <v>4</v>
          </cell>
          <cell r="BB1357">
            <v>2</v>
          </cell>
          <cell r="BC1357">
            <v>1</v>
          </cell>
          <cell r="BD1357">
            <v>1</v>
          </cell>
          <cell r="BE1357">
            <v>3</v>
          </cell>
          <cell r="BF1357">
            <v>3</v>
          </cell>
          <cell r="BG1357">
            <v>6</v>
          </cell>
          <cell r="BH1357">
            <v>0</v>
          </cell>
          <cell r="BI1357">
            <v>1</v>
          </cell>
          <cell r="BJ1357">
            <v>0</v>
          </cell>
          <cell r="BK1357">
            <v>0</v>
          </cell>
          <cell r="BL1357">
            <v>0</v>
          </cell>
          <cell r="BM1357">
            <v>0</v>
          </cell>
          <cell r="BN1357">
            <v>1</v>
          </cell>
          <cell r="BO1357">
            <v>0</v>
          </cell>
          <cell r="BP1357">
            <v>0</v>
          </cell>
          <cell r="BQ1357">
            <v>0</v>
          </cell>
          <cell r="BR1357">
            <v>3</v>
          </cell>
          <cell r="BS1357">
            <v>0</v>
          </cell>
          <cell r="BT1357">
            <v>0</v>
          </cell>
          <cell r="BU1357">
            <v>12</v>
          </cell>
        </row>
        <row r="1358">
          <cell r="A1358">
            <v>41</v>
          </cell>
          <cell r="B1358">
            <v>41</v>
          </cell>
          <cell r="D1358">
            <v>0</v>
          </cell>
          <cell r="F1358">
            <v>0</v>
          </cell>
          <cell r="G1358">
            <v>1</v>
          </cell>
          <cell r="I1358">
            <v>0</v>
          </cell>
          <cell r="J1358">
            <v>1</v>
          </cell>
          <cell r="K1358">
            <v>8</v>
          </cell>
          <cell r="L1358">
            <v>8</v>
          </cell>
          <cell r="M1358">
            <v>3</v>
          </cell>
          <cell r="O1358">
            <v>0</v>
          </cell>
          <cell r="P1358">
            <v>0</v>
          </cell>
          <cell r="Q1358">
            <v>0</v>
          </cell>
          <cell r="R1358">
            <v>1</v>
          </cell>
          <cell r="S1358">
            <v>0</v>
          </cell>
          <cell r="T1358">
            <v>3</v>
          </cell>
          <cell r="V1358">
            <v>1</v>
          </cell>
          <cell r="W1358">
            <v>54</v>
          </cell>
          <cell r="X1358">
            <v>3</v>
          </cell>
          <cell r="Y1358">
            <v>2</v>
          </cell>
          <cell r="AA1358">
            <v>0</v>
          </cell>
          <cell r="AB1358">
            <v>1</v>
          </cell>
          <cell r="AC1358">
            <v>0</v>
          </cell>
          <cell r="AD1358">
            <v>0</v>
          </cell>
          <cell r="AE1358">
            <v>0</v>
          </cell>
          <cell r="AF1358">
            <v>0</v>
          </cell>
          <cell r="AG1358">
            <v>0</v>
          </cell>
          <cell r="AH1358">
            <v>0</v>
          </cell>
          <cell r="AI1358">
            <v>2</v>
          </cell>
          <cell r="AK1358">
            <v>0</v>
          </cell>
          <cell r="AL1358">
            <v>1</v>
          </cell>
          <cell r="AN1358">
            <v>4393</v>
          </cell>
          <cell r="AO1358">
            <v>5</v>
          </cell>
          <cell r="AQ1358">
            <v>0</v>
          </cell>
          <cell r="AR1358">
            <v>21</v>
          </cell>
          <cell r="AS1358">
            <v>4</v>
          </cell>
          <cell r="AT1358">
            <v>3</v>
          </cell>
          <cell r="AU1358">
            <v>1</v>
          </cell>
          <cell r="AV1358">
            <v>14</v>
          </cell>
          <cell r="AW1358">
            <v>14</v>
          </cell>
          <cell r="AX1358">
            <v>3</v>
          </cell>
          <cell r="AY1358">
            <v>3</v>
          </cell>
          <cell r="AZ1358">
            <v>5</v>
          </cell>
          <cell r="BA1358">
            <v>5</v>
          </cell>
          <cell r="BB1358">
            <v>4</v>
          </cell>
          <cell r="BC1358">
            <v>1</v>
          </cell>
          <cell r="BD1358">
            <v>1</v>
          </cell>
          <cell r="BE1358">
            <v>4</v>
          </cell>
          <cell r="BF1358">
            <v>4</v>
          </cell>
          <cell r="BG1358">
            <v>8</v>
          </cell>
          <cell r="BH1358">
            <v>0</v>
          </cell>
          <cell r="BI1358">
            <v>1</v>
          </cell>
          <cell r="BJ1358">
            <v>0</v>
          </cell>
          <cell r="BK1358">
            <v>0</v>
          </cell>
          <cell r="BL1358">
            <v>0</v>
          </cell>
          <cell r="BM1358">
            <v>0</v>
          </cell>
          <cell r="BN1358">
            <v>1</v>
          </cell>
          <cell r="BO1358">
            <v>0</v>
          </cell>
          <cell r="BP1358">
            <v>0</v>
          </cell>
          <cell r="BQ1358">
            <v>0</v>
          </cell>
          <cell r="BR1358">
            <v>4</v>
          </cell>
          <cell r="BS1358">
            <v>0</v>
          </cell>
          <cell r="BT1358">
            <v>0</v>
          </cell>
          <cell r="BU1358">
            <v>14</v>
          </cell>
        </row>
        <row r="1359">
          <cell r="A1359">
            <v>42</v>
          </cell>
          <cell r="B1359">
            <v>42</v>
          </cell>
          <cell r="D1359">
            <v>0</v>
          </cell>
          <cell r="F1359">
            <v>0</v>
          </cell>
          <cell r="G1359">
            <v>1</v>
          </cell>
          <cell r="I1359">
            <v>1</v>
          </cell>
          <cell r="J1359">
            <v>0</v>
          </cell>
          <cell r="K1359">
            <v>6</v>
          </cell>
          <cell r="L1359">
            <v>6</v>
          </cell>
          <cell r="M1359">
            <v>3</v>
          </cell>
          <cell r="O1359">
            <v>0</v>
          </cell>
          <cell r="P1359">
            <v>0</v>
          </cell>
          <cell r="Q1359">
            <v>1</v>
          </cell>
          <cell r="R1359">
            <v>0</v>
          </cell>
          <cell r="S1359">
            <v>0</v>
          </cell>
          <cell r="T1359">
            <v>3</v>
          </cell>
          <cell r="V1359">
            <v>0</v>
          </cell>
          <cell r="W1359">
            <v>83</v>
          </cell>
          <cell r="X1359">
            <v>3</v>
          </cell>
          <cell r="Y1359">
            <v>3</v>
          </cell>
          <cell r="AA1359">
            <v>0</v>
          </cell>
          <cell r="AB1359">
            <v>0</v>
          </cell>
          <cell r="AC1359">
            <v>0</v>
          </cell>
          <cell r="AD1359">
            <v>0</v>
          </cell>
          <cell r="AE1359">
            <v>0</v>
          </cell>
          <cell r="AF1359">
            <v>0</v>
          </cell>
          <cell r="AG1359">
            <v>0</v>
          </cell>
          <cell r="AH1359">
            <v>0</v>
          </cell>
          <cell r="AI1359">
            <v>1</v>
          </cell>
          <cell r="AK1359">
            <v>0</v>
          </cell>
          <cell r="AL1359">
            <v>1</v>
          </cell>
          <cell r="AN1359">
            <v>13348</v>
          </cell>
          <cell r="AO1359">
            <v>9</v>
          </cell>
          <cell r="AQ1359">
            <v>0</v>
          </cell>
          <cell r="AR1359">
            <v>13</v>
          </cell>
          <cell r="AS1359">
            <v>3</v>
          </cell>
          <cell r="AT1359">
            <v>2</v>
          </cell>
          <cell r="AU1359">
            <v>1</v>
          </cell>
          <cell r="AV1359">
            <v>18</v>
          </cell>
          <cell r="AW1359">
            <v>18</v>
          </cell>
          <cell r="AX1359">
            <v>3</v>
          </cell>
          <cell r="AY1359">
            <v>4</v>
          </cell>
          <cell r="AZ1359">
            <v>13</v>
          </cell>
          <cell r="BA1359">
            <v>13</v>
          </cell>
          <cell r="BB1359">
            <v>7</v>
          </cell>
          <cell r="BC1359">
            <v>5</v>
          </cell>
          <cell r="BD1359">
            <v>5</v>
          </cell>
          <cell r="BE1359">
            <v>7</v>
          </cell>
          <cell r="BF1359">
            <v>7</v>
          </cell>
          <cell r="BG1359">
            <v>21</v>
          </cell>
          <cell r="BH1359">
            <v>0</v>
          </cell>
          <cell r="BI1359">
            <v>1</v>
          </cell>
          <cell r="BJ1359">
            <v>0</v>
          </cell>
          <cell r="BK1359">
            <v>0</v>
          </cell>
          <cell r="BL1359">
            <v>0</v>
          </cell>
          <cell r="BM1359">
            <v>0</v>
          </cell>
          <cell r="BN1359">
            <v>1</v>
          </cell>
          <cell r="BO1359">
            <v>0</v>
          </cell>
          <cell r="BP1359">
            <v>0</v>
          </cell>
          <cell r="BQ1359">
            <v>7</v>
          </cell>
          <cell r="BR1359">
            <v>0</v>
          </cell>
          <cell r="BS1359">
            <v>0</v>
          </cell>
          <cell r="BT1359">
            <v>18</v>
          </cell>
          <cell r="BU1359">
            <v>0</v>
          </cell>
        </row>
        <row r="1360">
          <cell r="A1360">
            <v>31</v>
          </cell>
          <cell r="B1360">
            <v>31</v>
          </cell>
          <cell r="D1360">
            <v>0</v>
          </cell>
          <cell r="F1360">
            <v>0</v>
          </cell>
          <cell r="G1360">
            <v>1</v>
          </cell>
          <cell r="I1360">
            <v>0</v>
          </cell>
          <cell r="J1360">
            <v>1</v>
          </cell>
          <cell r="K1360">
            <v>10</v>
          </cell>
          <cell r="L1360">
            <v>10</v>
          </cell>
          <cell r="M1360">
            <v>2</v>
          </cell>
          <cell r="O1360">
            <v>0</v>
          </cell>
          <cell r="P1360">
            <v>0</v>
          </cell>
          <cell r="Q1360">
            <v>1</v>
          </cell>
          <cell r="R1360">
            <v>0</v>
          </cell>
          <cell r="S1360">
            <v>0</v>
          </cell>
          <cell r="T1360">
            <v>3</v>
          </cell>
          <cell r="V1360">
            <v>1</v>
          </cell>
          <cell r="W1360">
            <v>86</v>
          </cell>
          <cell r="X1360">
            <v>3</v>
          </cell>
          <cell r="Y1360">
            <v>2</v>
          </cell>
          <cell r="AA1360">
            <v>0</v>
          </cell>
          <cell r="AB1360">
            <v>1</v>
          </cell>
          <cell r="AC1360">
            <v>0</v>
          </cell>
          <cell r="AD1360">
            <v>0</v>
          </cell>
          <cell r="AE1360">
            <v>0</v>
          </cell>
          <cell r="AF1360">
            <v>0</v>
          </cell>
          <cell r="AG1360">
            <v>0</v>
          </cell>
          <cell r="AH1360">
            <v>0</v>
          </cell>
          <cell r="AI1360">
            <v>4</v>
          </cell>
          <cell r="AK1360">
            <v>0</v>
          </cell>
          <cell r="AL1360">
            <v>0</v>
          </cell>
          <cell r="AN1360">
            <v>6583</v>
          </cell>
          <cell r="AO1360">
            <v>2</v>
          </cell>
          <cell r="AQ1360">
            <v>1</v>
          </cell>
          <cell r="AR1360">
            <v>11</v>
          </cell>
          <cell r="AS1360">
            <v>3</v>
          </cell>
          <cell r="AT1360">
            <v>4</v>
          </cell>
          <cell r="AU1360">
            <v>1</v>
          </cell>
          <cell r="AV1360">
            <v>8</v>
          </cell>
          <cell r="AW1360">
            <v>8</v>
          </cell>
          <cell r="AX1360">
            <v>2</v>
          </cell>
          <cell r="AY1360">
            <v>3</v>
          </cell>
          <cell r="AZ1360">
            <v>5</v>
          </cell>
          <cell r="BA1360">
            <v>5</v>
          </cell>
          <cell r="BB1360">
            <v>2</v>
          </cell>
          <cell r="BC1360">
            <v>1</v>
          </cell>
          <cell r="BD1360">
            <v>1</v>
          </cell>
          <cell r="BE1360">
            <v>4</v>
          </cell>
          <cell r="BF1360">
            <v>4</v>
          </cell>
          <cell r="BG1360">
            <v>8</v>
          </cell>
          <cell r="BH1360">
            <v>1</v>
          </cell>
          <cell r="BI1360">
            <v>0</v>
          </cell>
          <cell r="BJ1360">
            <v>0</v>
          </cell>
          <cell r="BK1360">
            <v>0</v>
          </cell>
          <cell r="BL1360">
            <v>0</v>
          </cell>
          <cell r="BM1360">
            <v>1</v>
          </cell>
          <cell r="BN1360">
            <v>0</v>
          </cell>
          <cell r="BO1360">
            <v>0</v>
          </cell>
          <cell r="BP1360">
            <v>0</v>
          </cell>
          <cell r="BQ1360">
            <v>0</v>
          </cell>
          <cell r="BR1360">
            <v>4</v>
          </cell>
          <cell r="BS1360">
            <v>0</v>
          </cell>
          <cell r="BT1360">
            <v>0</v>
          </cell>
          <cell r="BU1360">
            <v>8</v>
          </cell>
        </row>
        <row r="1361">
          <cell r="A1361">
            <v>34</v>
          </cell>
          <cell r="B1361">
            <v>34</v>
          </cell>
          <cell r="D1361">
            <v>0</v>
          </cell>
          <cell r="F1361">
            <v>0</v>
          </cell>
          <cell r="G1361">
            <v>1</v>
          </cell>
          <cell r="I1361">
            <v>0</v>
          </cell>
          <cell r="J1361">
            <v>1</v>
          </cell>
          <cell r="K1361">
            <v>3</v>
          </cell>
          <cell r="L1361">
            <v>3</v>
          </cell>
          <cell r="M1361">
            <v>1</v>
          </cell>
          <cell r="O1361">
            <v>0</v>
          </cell>
          <cell r="P1361">
            <v>0</v>
          </cell>
          <cell r="Q1361">
            <v>1</v>
          </cell>
          <cell r="R1361">
            <v>0</v>
          </cell>
          <cell r="S1361">
            <v>0</v>
          </cell>
          <cell r="T1361">
            <v>4</v>
          </cell>
          <cell r="V1361">
            <v>1</v>
          </cell>
          <cell r="W1361">
            <v>75</v>
          </cell>
          <cell r="X1361">
            <v>2</v>
          </cell>
          <cell r="Y1361">
            <v>2</v>
          </cell>
          <cell r="AA1361">
            <v>0</v>
          </cell>
          <cell r="AB1361">
            <v>1</v>
          </cell>
          <cell r="AC1361">
            <v>0</v>
          </cell>
          <cell r="AD1361">
            <v>0</v>
          </cell>
          <cell r="AE1361">
            <v>0</v>
          </cell>
          <cell r="AF1361">
            <v>0</v>
          </cell>
          <cell r="AG1361">
            <v>0</v>
          </cell>
          <cell r="AH1361">
            <v>0</v>
          </cell>
          <cell r="AI1361">
            <v>4</v>
          </cell>
          <cell r="AK1361">
            <v>0</v>
          </cell>
          <cell r="AL1361">
            <v>1</v>
          </cell>
          <cell r="AN1361">
            <v>8103</v>
          </cell>
          <cell r="AO1361">
            <v>3</v>
          </cell>
          <cell r="AQ1361">
            <v>1</v>
          </cell>
          <cell r="AR1361">
            <v>12</v>
          </cell>
          <cell r="AS1361">
            <v>3</v>
          </cell>
          <cell r="AT1361">
            <v>3</v>
          </cell>
          <cell r="AU1361">
            <v>0</v>
          </cell>
          <cell r="AV1361">
            <v>9</v>
          </cell>
          <cell r="AW1361">
            <v>9</v>
          </cell>
          <cell r="AX1361">
            <v>3</v>
          </cell>
          <cell r="AY1361">
            <v>2</v>
          </cell>
          <cell r="AZ1361">
            <v>4</v>
          </cell>
          <cell r="BA1361">
            <v>4</v>
          </cell>
          <cell r="BB1361">
            <v>2</v>
          </cell>
          <cell r="BC1361">
            <v>0</v>
          </cell>
          <cell r="BD1361">
            <v>0</v>
          </cell>
          <cell r="BE1361">
            <v>1</v>
          </cell>
          <cell r="BF1361">
            <v>1</v>
          </cell>
          <cell r="BG1361">
            <v>2</v>
          </cell>
          <cell r="BH1361">
            <v>0</v>
          </cell>
          <cell r="BI1361">
            <v>1</v>
          </cell>
          <cell r="BJ1361">
            <v>0</v>
          </cell>
          <cell r="BK1361">
            <v>0</v>
          </cell>
          <cell r="BL1361">
            <v>0</v>
          </cell>
          <cell r="BM1361">
            <v>0</v>
          </cell>
          <cell r="BN1361">
            <v>0</v>
          </cell>
          <cell r="BO1361">
            <v>1</v>
          </cell>
          <cell r="BP1361">
            <v>0</v>
          </cell>
          <cell r="BQ1361">
            <v>0</v>
          </cell>
          <cell r="BR1361">
            <v>1</v>
          </cell>
          <cell r="BS1361">
            <v>0</v>
          </cell>
          <cell r="BT1361">
            <v>0</v>
          </cell>
          <cell r="BU1361">
            <v>9</v>
          </cell>
        </row>
        <row r="1362">
          <cell r="A1362">
            <v>31</v>
          </cell>
          <cell r="B1362">
            <v>31</v>
          </cell>
          <cell r="D1362">
            <v>0</v>
          </cell>
          <cell r="F1362">
            <v>0</v>
          </cell>
          <cell r="G1362">
            <v>1</v>
          </cell>
          <cell r="I1362">
            <v>1</v>
          </cell>
          <cell r="J1362">
            <v>0</v>
          </cell>
          <cell r="K1362">
            <v>4</v>
          </cell>
          <cell r="L1362">
            <v>4</v>
          </cell>
          <cell r="M1362">
            <v>3</v>
          </cell>
          <cell r="O1362">
            <v>0</v>
          </cell>
          <cell r="P1362">
            <v>0</v>
          </cell>
          <cell r="Q1362">
            <v>1</v>
          </cell>
          <cell r="R1362">
            <v>0</v>
          </cell>
          <cell r="S1362">
            <v>0</v>
          </cell>
          <cell r="T1362">
            <v>1</v>
          </cell>
          <cell r="V1362">
            <v>1</v>
          </cell>
          <cell r="W1362">
            <v>62</v>
          </cell>
          <cell r="X1362">
            <v>4</v>
          </cell>
          <cell r="Y1362">
            <v>1</v>
          </cell>
          <cell r="AA1362">
            <v>0</v>
          </cell>
          <cell r="AB1362">
            <v>0</v>
          </cell>
          <cell r="AC1362">
            <v>1</v>
          </cell>
          <cell r="AD1362">
            <v>0</v>
          </cell>
          <cell r="AE1362">
            <v>0</v>
          </cell>
          <cell r="AF1362">
            <v>0</v>
          </cell>
          <cell r="AG1362">
            <v>0</v>
          </cell>
          <cell r="AH1362">
            <v>0</v>
          </cell>
          <cell r="AI1362">
            <v>3</v>
          </cell>
          <cell r="AK1362">
            <v>0</v>
          </cell>
          <cell r="AL1362">
            <v>0</v>
          </cell>
          <cell r="AN1362">
            <v>3978</v>
          </cell>
          <cell r="AO1362">
            <v>8</v>
          </cell>
          <cell r="AQ1362">
            <v>0</v>
          </cell>
          <cell r="AR1362">
            <v>12</v>
          </cell>
          <cell r="AS1362">
            <v>3</v>
          </cell>
          <cell r="AT1362">
            <v>2</v>
          </cell>
          <cell r="AU1362">
            <v>1</v>
          </cell>
          <cell r="AV1362">
            <v>4</v>
          </cell>
          <cell r="AW1362">
            <v>4</v>
          </cell>
          <cell r="AX1362">
            <v>0</v>
          </cell>
          <cell r="AY1362">
            <v>2</v>
          </cell>
          <cell r="AZ1362">
            <v>2</v>
          </cell>
          <cell r="BA1362">
            <v>2</v>
          </cell>
          <cell r="BB1362">
            <v>2</v>
          </cell>
          <cell r="BC1362">
            <v>2</v>
          </cell>
          <cell r="BD1362">
            <v>2</v>
          </cell>
          <cell r="BE1362">
            <v>2</v>
          </cell>
          <cell r="BF1362">
            <v>2</v>
          </cell>
          <cell r="BG1362">
            <v>2</v>
          </cell>
          <cell r="BH1362">
            <v>1</v>
          </cell>
          <cell r="BI1362">
            <v>0</v>
          </cell>
          <cell r="BJ1362">
            <v>0</v>
          </cell>
          <cell r="BK1362">
            <v>0</v>
          </cell>
          <cell r="BL1362">
            <v>1</v>
          </cell>
          <cell r="BM1362">
            <v>0</v>
          </cell>
          <cell r="BN1362">
            <v>0</v>
          </cell>
          <cell r="BO1362">
            <v>0</v>
          </cell>
          <cell r="BP1362">
            <v>0</v>
          </cell>
          <cell r="BQ1362">
            <v>2</v>
          </cell>
          <cell r="BR1362">
            <v>0</v>
          </cell>
          <cell r="BS1362">
            <v>0</v>
          </cell>
          <cell r="BT1362">
            <v>4</v>
          </cell>
          <cell r="BU1362">
            <v>0</v>
          </cell>
        </row>
        <row r="1363">
          <cell r="A1363">
            <v>26</v>
          </cell>
          <cell r="B1363">
            <v>26</v>
          </cell>
          <cell r="D1363">
            <v>0</v>
          </cell>
          <cell r="F1363">
            <v>1</v>
          </cell>
          <cell r="G1363">
            <v>0</v>
          </cell>
          <cell r="I1363">
            <v>1</v>
          </cell>
          <cell r="J1363">
            <v>0</v>
          </cell>
          <cell r="K1363">
            <v>6</v>
          </cell>
          <cell r="L1363">
            <v>6</v>
          </cell>
          <cell r="M1363">
            <v>3</v>
          </cell>
          <cell r="O1363">
            <v>0</v>
          </cell>
          <cell r="P1363">
            <v>1</v>
          </cell>
          <cell r="Q1363">
            <v>0</v>
          </cell>
          <cell r="R1363">
            <v>0</v>
          </cell>
          <cell r="S1363">
            <v>0</v>
          </cell>
          <cell r="T1363">
            <v>3</v>
          </cell>
          <cell r="V1363">
            <v>0</v>
          </cell>
          <cell r="W1363">
            <v>61</v>
          </cell>
          <cell r="X1363">
            <v>4</v>
          </cell>
          <cell r="Y1363">
            <v>1</v>
          </cell>
          <cell r="AA1363">
            <v>0</v>
          </cell>
          <cell r="AB1363">
            <v>0</v>
          </cell>
          <cell r="AC1363">
            <v>1</v>
          </cell>
          <cell r="AD1363">
            <v>0</v>
          </cell>
          <cell r="AE1363">
            <v>0</v>
          </cell>
          <cell r="AF1363">
            <v>0</v>
          </cell>
          <cell r="AG1363">
            <v>0</v>
          </cell>
          <cell r="AH1363">
            <v>0</v>
          </cell>
          <cell r="AI1363">
            <v>4</v>
          </cell>
          <cell r="AK1363">
            <v>0</v>
          </cell>
          <cell r="AL1363">
            <v>1</v>
          </cell>
          <cell r="AN1363">
            <v>2544</v>
          </cell>
          <cell r="AO1363">
            <v>0</v>
          </cell>
          <cell r="AQ1363">
            <v>0</v>
          </cell>
          <cell r="AR1363">
            <v>18</v>
          </cell>
          <cell r="AS1363">
            <v>3</v>
          </cell>
          <cell r="AT1363">
            <v>1</v>
          </cell>
          <cell r="AU1363">
            <v>1</v>
          </cell>
          <cell r="AV1363">
            <v>8</v>
          </cell>
          <cell r="AW1363">
            <v>8</v>
          </cell>
          <cell r="AX1363">
            <v>3</v>
          </cell>
          <cell r="AY1363">
            <v>3</v>
          </cell>
          <cell r="AZ1363">
            <v>7</v>
          </cell>
          <cell r="BA1363">
            <v>7</v>
          </cell>
          <cell r="BB1363">
            <v>7</v>
          </cell>
          <cell r="BC1363">
            <v>7</v>
          </cell>
          <cell r="BD1363">
            <v>7</v>
          </cell>
          <cell r="BE1363">
            <v>7</v>
          </cell>
          <cell r="BF1363">
            <v>7</v>
          </cell>
          <cell r="BG1363">
            <v>7</v>
          </cell>
          <cell r="BH1363">
            <v>0</v>
          </cell>
          <cell r="BI1363">
            <v>0</v>
          </cell>
          <cell r="BJ1363">
            <v>0</v>
          </cell>
          <cell r="BK1363">
            <v>1</v>
          </cell>
          <cell r="BL1363">
            <v>0</v>
          </cell>
          <cell r="BM1363">
            <v>0</v>
          </cell>
          <cell r="BN1363">
            <v>1</v>
          </cell>
          <cell r="BO1363">
            <v>0</v>
          </cell>
          <cell r="BP1363">
            <v>0</v>
          </cell>
          <cell r="BQ1363">
            <v>7</v>
          </cell>
          <cell r="BR1363">
            <v>0</v>
          </cell>
          <cell r="BS1363">
            <v>0</v>
          </cell>
          <cell r="BT1363">
            <v>8</v>
          </cell>
          <cell r="BU1363">
            <v>0</v>
          </cell>
        </row>
        <row r="1364">
          <cell r="A1364">
            <v>45</v>
          </cell>
          <cell r="B1364">
            <v>45</v>
          </cell>
          <cell r="D1364">
            <v>0</v>
          </cell>
          <cell r="F1364">
            <v>1</v>
          </cell>
          <cell r="G1364">
            <v>0</v>
          </cell>
          <cell r="I1364">
            <v>1</v>
          </cell>
          <cell r="J1364">
            <v>0</v>
          </cell>
          <cell r="K1364">
            <v>1</v>
          </cell>
          <cell r="L1364">
            <v>1</v>
          </cell>
          <cell r="M1364">
            <v>4</v>
          </cell>
          <cell r="O1364">
            <v>0</v>
          </cell>
          <cell r="P1364">
            <v>0</v>
          </cell>
          <cell r="Q1364">
            <v>1</v>
          </cell>
          <cell r="R1364">
            <v>0</v>
          </cell>
          <cell r="S1364">
            <v>0</v>
          </cell>
          <cell r="T1364">
            <v>2</v>
          </cell>
          <cell r="V1364">
            <v>0</v>
          </cell>
          <cell r="W1364">
            <v>44</v>
          </cell>
          <cell r="X1364">
            <v>3</v>
          </cell>
          <cell r="Y1364">
            <v>2</v>
          </cell>
          <cell r="AA1364">
            <v>1</v>
          </cell>
          <cell r="AB1364">
            <v>0</v>
          </cell>
          <cell r="AC1364">
            <v>0</v>
          </cell>
          <cell r="AD1364">
            <v>0</v>
          </cell>
          <cell r="AE1364">
            <v>0</v>
          </cell>
          <cell r="AF1364">
            <v>0</v>
          </cell>
          <cell r="AG1364">
            <v>0</v>
          </cell>
          <cell r="AH1364">
            <v>0</v>
          </cell>
          <cell r="AI1364">
            <v>3</v>
          </cell>
          <cell r="AK1364">
            <v>1</v>
          </cell>
          <cell r="AL1364">
            <v>0</v>
          </cell>
          <cell r="AN1364">
            <v>5399</v>
          </cell>
          <cell r="AO1364">
            <v>4</v>
          </cell>
          <cell r="AQ1364">
            <v>0</v>
          </cell>
          <cell r="AR1364">
            <v>12</v>
          </cell>
          <cell r="AS1364">
            <v>3</v>
          </cell>
          <cell r="AT1364">
            <v>3</v>
          </cell>
          <cell r="AU1364">
            <v>0</v>
          </cell>
          <cell r="AV1364">
            <v>12</v>
          </cell>
          <cell r="AW1364">
            <v>12</v>
          </cell>
          <cell r="AX1364">
            <v>3</v>
          </cell>
          <cell r="AY1364">
            <v>3</v>
          </cell>
          <cell r="AZ1364">
            <v>4</v>
          </cell>
          <cell r="BA1364">
            <v>4</v>
          </cell>
          <cell r="BB1364">
            <v>2</v>
          </cell>
          <cell r="BC1364">
            <v>0</v>
          </cell>
          <cell r="BD1364">
            <v>0</v>
          </cell>
          <cell r="BE1364">
            <v>3</v>
          </cell>
          <cell r="BF1364">
            <v>3</v>
          </cell>
          <cell r="BG1364">
            <v>6</v>
          </cell>
          <cell r="BH1364">
            <v>0</v>
          </cell>
          <cell r="BI1364">
            <v>0</v>
          </cell>
          <cell r="BJ1364">
            <v>1</v>
          </cell>
          <cell r="BK1364">
            <v>0</v>
          </cell>
          <cell r="BL1364">
            <v>1</v>
          </cell>
          <cell r="BM1364">
            <v>0</v>
          </cell>
          <cell r="BN1364">
            <v>0</v>
          </cell>
          <cell r="BO1364">
            <v>0</v>
          </cell>
          <cell r="BP1364">
            <v>0</v>
          </cell>
          <cell r="BQ1364">
            <v>3</v>
          </cell>
          <cell r="BR1364">
            <v>0</v>
          </cell>
          <cell r="BS1364">
            <v>0</v>
          </cell>
          <cell r="BT1364">
            <v>12</v>
          </cell>
          <cell r="BU1364">
            <v>0</v>
          </cell>
        </row>
        <row r="1365">
          <cell r="A1365">
            <v>33</v>
          </cell>
          <cell r="B1365">
            <v>33</v>
          </cell>
          <cell r="D1365">
            <v>0</v>
          </cell>
          <cell r="F1365">
            <v>0</v>
          </cell>
          <cell r="G1365">
            <v>1</v>
          </cell>
          <cell r="I1365">
            <v>0</v>
          </cell>
          <cell r="J1365">
            <v>1</v>
          </cell>
          <cell r="K1365">
            <v>10</v>
          </cell>
          <cell r="L1365">
            <v>10</v>
          </cell>
          <cell r="M1365">
            <v>4</v>
          </cell>
          <cell r="O1365">
            <v>0</v>
          </cell>
          <cell r="P1365">
            <v>0</v>
          </cell>
          <cell r="Q1365">
            <v>0</v>
          </cell>
          <cell r="R1365">
            <v>1</v>
          </cell>
          <cell r="S1365">
            <v>0</v>
          </cell>
          <cell r="T1365">
            <v>2</v>
          </cell>
          <cell r="V1365">
            <v>0</v>
          </cell>
          <cell r="W1365">
            <v>43</v>
          </cell>
          <cell r="X1365">
            <v>3</v>
          </cell>
          <cell r="Y1365">
            <v>2</v>
          </cell>
          <cell r="AA1365">
            <v>0</v>
          </cell>
          <cell r="AB1365">
            <v>1</v>
          </cell>
          <cell r="AC1365">
            <v>0</v>
          </cell>
          <cell r="AD1365">
            <v>0</v>
          </cell>
          <cell r="AE1365">
            <v>0</v>
          </cell>
          <cell r="AF1365">
            <v>0</v>
          </cell>
          <cell r="AG1365">
            <v>0</v>
          </cell>
          <cell r="AH1365">
            <v>0</v>
          </cell>
          <cell r="AI1365">
            <v>3</v>
          </cell>
          <cell r="AK1365">
            <v>1</v>
          </cell>
          <cell r="AL1365">
            <v>0</v>
          </cell>
          <cell r="AN1365">
            <v>5487</v>
          </cell>
          <cell r="AO1365">
            <v>1</v>
          </cell>
          <cell r="AQ1365">
            <v>0</v>
          </cell>
          <cell r="AR1365">
            <v>14</v>
          </cell>
          <cell r="AS1365">
            <v>3</v>
          </cell>
          <cell r="AT1365">
            <v>2</v>
          </cell>
          <cell r="AU1365">
            <v>0</v>
          </cell>
          <cell r="AV1365">
            <v>10</v>
          </cell>
          <cell r="AW1365">
            <v>10</v>
          </cell>
          <cell r="AX1365">
            <v>2</v>
          </cell>
          <cell r="AY1365">
            <v>2</v>
          </cell>
          <cell r="AZ1365">
            <v>10</v>
          </cell>
          <cell r="BA1365">
            <v>10</v>
          </cell>
          <cell r="BB1365">
            <v>4</v>
          </cell>
          <cell r="BC1365">
            <v>0</v>
          </cell>
          <cell r="BD1365">
            <v>0</v>
          </cell>
          <cell r="BE1365">
            <v>9</v>
          </cell>
          <cell r="BF1365">
            <v>9</v>
          </cell>
          <cell r="BG1365">
            <v>18</v>
          </cell>
          <cell r="BH1365">
            <v>1</v>
          </cell>
          <cell r="BI1365">
            <v>0</v>
          </cell>
          <cell r="BJ1365">
            <v>0</v>
          </cell>
          <cell r="BK1365">
            <v>0</v>
          </cell>
          <cell r="BL1365">
            <v>1</v>
          </cell>
          <cell r="BM1365">
            <v>0</v>
          </cell>
          <cell r="BN1365">
            <v>0</v>
          </cell>
          <cell r="BO1365">
            <v>0</v>
          </cell>
          <cell r="BP1365">
            <v>0</v>
          </cell>
          <cell r="BQ1365">
            <v>0</v>
          </cell>
          <cell r="BR1365">
            <v>9</v>
          </cell>
          <cell r="BS1365">
            <v>0</v>
          </cell>
          <cell r="BT1365">
            <v>0</v>
          </cell>
          <cell r="BU1365">
            <v>10</v>
          </cell>
        </row>
        <row r="1366">
          <cell r="A1366">
            <v>28</v>
          </cell>
          <cell r="B1366">
            <v>28</v>
          </cell>
          <cell r="D1366">
            <v>0</v>
          </cell>
          <cell r="F1366">
            <v>1</v>
          </cell>
          <cell r="G1366">
            <v>0</v>
          </cell>
          <cell r="I1366">
            <v>0</v>
          </cell>
          <cell r="J1366">
            <v>1</v>
          </cell>
          <cell r="K1366">
            <v>1</v>
          </cell>
          <cell r="L1366">
            <v>1</v>
          </cell>
          <cell r="M1366">
            <v>2</v>
          </cell>
          <cell r="O1366">
            <v>1</v>
          </cell>
          <cell r="P1366">
            <v>0</v>
          </cell>
          <cell r="Q1366">
            <v>0</v>
          </cell>
          <cell r="R1366">
            <v>0</v>
          </cell>
          <cell r="S1366">
            <v>0</v>
          </cell>
          <cell r="T1366">
            <v>3</v>
          </cell>
          <cell r="V1366">
            <v>0</v>
          </cell>
          <cell r="W1366">
            <v>42</v>
          </cell>
          <cell r="X1366">
            <v>2</v>
          </cell>
          <cell r="Y1366">
            <v>2</v>
          </cell>
          <cell r="AA1366">
            <v>0</v>
          </cell>
          <cell r="AB1366">
            <v>1</v>
          </cell>
          <cell r="AC1366">
            <v>0</v>
          </cell>
          <cell r="AD1366">
            <v>0</v>
          </cell>
          <cell r="AE1366">
            <v>0</v>
          </cell>
          <cell r="AF1366">
            <v>0</v>
          </cell>
          <cell r="AG1366">
            <v>0</v>
          </cell>
          <cell r="AH1366">
            <v>0</v>
          </cell>
          <cell r="AI1366">
            <v>4</v>
          </cell>
          <cell r="AK1366">
            <v>0</v>
          </cell>
          <cell r="AL1366">
            <v>1</v>
          </cell>
          <cell r="AN1366">
            <v>6834</v>
          </cell>
          <cell r="AO1366">
            <v>1</v>
          </cell>
          <cell r="AQ1366">
            <v>1</v>
          </cell>
          <cell r="AR1366">
            <v>12</v>
          </cell>
          <cell r="AS1366">
            <v>3</v>
          </cell>
          <cell r="AT1366">
            <v>3</v>
          </cell>
          <cell r="AU1366">
            <v>1</v>
          </cell>
          <cell r="AV1366">
            <v>7</v>
          </cell>
          <cell r="AW1366">
            <v>7</v>
          </cell>
          <cell r="AX1366">
            <v>2</v>
          </cell>
          <cell r="AY1366">
            <v>3</v>
          </cell>
          <cell r="AZ1366">
            <v>7</v>
          </cell>
          <cell r="BA1366">
            <v>7</v>
          </cell>
          <cell r="BB1366">
            <v>7</v>
          </cell>
          <cell r="BC1366">
            <v>0</v>
          </cell>
          <cell r="BD1366">
            <v>0</v>
          </cell>
          <cell r="BE1366">
            <v>7</v>
          </cell>
          <cell r="BF1366">
            <v>7</v>
          </cell>
          <cell r="BG1366">
            <v>14</v>
          </cell>
          <cell r="BH1366">
            <v>0</v>
          </cell>
          <cell r="BI1366">
            <v>0</v>
          </cell>
          <cell r="BJ1366">
            <v>0</v>
          </cell>
          <cell r="BK1366">
            <v>1</v>
          </cell>
          <cell r="BL1366">
            <v>0</v>
          </cell>
          <cell r="BM1366">
            <v>0</v>
          </cell>
          <cell r="BN1366">
            <v>0</v>
          </cell>
          <cell r="BO1366">
            <v>1</v>
          </cell>
          <cell r="BP1366">
            <v>0</v>
          </cell>
          <cell r="BQ1366">
            <v>0</v>
          </cell>
          <cell r="BR1366">
            <v>7</v>
          </cell>
          <cell r="BS1366">
            <v>0</v>
          </cell>
          <cell r="BT1366">
            <v>0</v>
          </cell>
          <cell r="BU1366">
            <v>7</v>
          </cell>
        </row>
        <row r="1367">
          <cell r="A1367">
            <v>29</v>
          </cell>
          <cell r="B1367">
            <v>29</v>
          </cell>
          <cell r="D1367">
            <v>1</v>
          </cell>
          <cell r="F1367">
            <v>1</v>
          </cell>
          <cell r="G1367">
            <v>0</v>
          </cell>
          <cell r="I1367">
            <v>0</v>
          </cell>
          <cell r="J1367">
            <v>1</v>
          </cell>
          <cell r="K1367">
            <v>24</v>
          </cell>
          <cell r="L1367">
            <v>24</v>
          </cell>
          <cell r="M1367">
            <v>3</v>
          </cell>
          <cell r="O1367">
            <v>0</v>
          </cell>
          <cell r="P1367">
            <v>0</v>
          </cell>
          <cell r="Q1367">
            <v>0</v>
          </cell>
          <cell r="R1367">
            <v>0</v>
          </cell>
          <cell r="S1367">
            <v>1</v>
          </cell>
          <cell r="T1367">
            <v>3</v>
          </cell>
          <cell r="V1367">
            <v>0</v>
          </cell>
          <cell r="W1367">
            <v>45</v>
          </cell>
          <cell r="X1367">
            <v>4</v>
          </cell>
          <cell r="Y1367">
            <v>1</v>
          </cell>
          <cell r="AA1367">
            <v>0</v>
          </cell>
          <cell r="AB1367">
            <v>0</v>
          </cell>
          <cell r="AC1367">
            <v>0</v>
          </cell>
          <cell r="AD1367">
            <v>0</v>
          </cell>
          <cell r="AE1367">
            <v>0</v>
          </cell>
          <cell r="AF1367">
            <v>0</v>
          </cell>
          <cell r="AG1367">
            <v>1</v>
          </cell>
          <cell r="AH1367">
            <v>0</v>
          </cell>
          <cell r="AI1367">
            <v>1</v>
          </cell>
          <cell r="AK1367">
            <v>1</v>
          </cell>
          <cell r="AL1367">
            <v>0</v>
          </cell>
          <cell r="AN1367">
            <v>1382.46</v>
          </cell>
          <cell r="AO1367">
            <v>1</v>
          </cell>
          <cell r="AQ1367">
            <v>0</v>
          </cell>
          <cell r="AR1367">
            <v>17</v>
          </cell>
          <cell r="AS1367">
            <v>3</v>
          </cell>
          <cell r="AT1367">
            <v>4</v>
          </cell>
          <cell r="AU1367">
            <v>0</v>
          </cell>
          <cell r="AV1367">
            <v>1</v>
          </cell>
          <cell r="AW1367">
            <v>1</v>
          </cell>
          <cell r="AX1367">
            <v>3</v>
          </cell>
          <cell r="AY1367">
            <v>3</v>
          </cell>
          <cell r="AZ1367">
            <v>1</v>
          </cell>
          <cell r="BA1367">
            <v>1</v>
          </cell>
          <cell r="BB1367">
            <v>0</v>
          </cell>
          <cell r="BC1367">
            <v>0</v>
          </cell>
          <cell r="BD1367">
            <v>0</v>
          </cell>
          <cell r="BE1367">
            <v>0</v>
          </cell>
          <cell r="BF1367">
            <v>0</v>
          </cell>
          <cell r="BG1367">
            <v>0</v>
          </cell>
          <cell r="BH1367">
            <v>0</v>
          </cell>
          <cell r="BI1367">
            <v>0</v>
          </cell>
          <cell r="BJ1367">
            <v>1</v>
          </cell>
          <cell r="BK1367">
            <v>0</v>
          </cell>
          <cell r="BL1367">
            <v>1</v>
          </cell>
          <cell r="BM1367">
            <v>0</v>
          </cell>
          <cell r="BN1367">
            <v>0</v>
          </cell>
          <cell r="BO1367">
            <v>0</v>
          </cell>
          <cell r="BP1367">
            <v>0</v>
          </cell>
          <cell r="BQ1367">
            <v>0</v>
          </cell>
          <cell r="BR1367">
            <v>0</v>
          </cell>
          <cell r="BS1367">
            <v>0</v>
          </cell>
          <cell r="BT1367">
            <v>0</v>
          </cell>
          <cell r="BU1367">
            <v>1</v>
          </cell>
        </row>
        <row r="1368">
          <cell r="A1368">
            <v>39</v>
          </cell>
          <cell r="B1368">
            <v>39</v>
          </cell>
          <cell r="D1368">
            <v>0</v>
          </cell>
          <cell r="F1368">
            <v>0</v>
          </cell>
          <cell r="G1368">
            <v>0</v>
          </cell>
          <cell r="I1368">
            <v>0</v>
          </cell>
          <cell r="J1368">
            <v>1</v>
          </cell>
          <cell r="K1368">
            <v>21</v>
          </cell>
          <cell r="L1368">
            <v>21</v>
          </cell>
          <cell r="M1368">
            <v>4</v>
          </cell>
          <cell r="O1368">
            <v>1</v>
          </cell>
          <cell r="P1368">
            <v>0</v>
          </cell>
          <cell r="Q1368">
            <v>0</v>
          </cell>
          <cell r="R1368">
            <v>0</v>
          </cell>
          <cell r="S1368">
            <v>0</v>
          </cell>
          <cell r="T1368">
            <v>1</v>
          </cell>
          <cell r="V1368">
            <v>1</v>
          </cell>
          <cell r="W1368">
            <v>32</v>
          </cell>
          <cell r="X1368">
            <v>1</v>
          </cell>
          <cell r="Y1368">
            <v>2</v>
          </cell>
          <cell r="AA1368">
            <v>0</v>
          </cell>
          <cell r="AB1368">
            <v>1</v>
          </cell>
          <cell r="AC1368">
            <v>0</v>
          </cell>
          <cell r="AD1368">
            <v>0</v>
          </cell>
          <cell r="AE1368">
            <v>0</v>
          </cell>
          <cell r="AF1368">
            <v>0</v>
          </cell>
          <cell r="AG1368">
            <v>0</v>
          </cell>
          <cell r="AH1368">
            <v>0</v>
          </cell>
          <cell r="AI1368">
            <v>3</v>
          </cell>
          <cell r="AK1368">
            <v>0</v>
          </cell>
          <cell r="AL1368">
            <v>1</v>
          </cell>
          <cell r="AN1368">
            <v>5736</v>
          </cell>
          <cell r="AO1368">
            <v>6</v>
          </cell>
          <cell r="AQ1368">
            <v>0</v>
          </cell>
          <cell r="AR1368">
            <v>19</v>
          </cell>
          <cell r="AS1368">
            <v>3</v>
          </cell>
          <cell r="AT1368">
            <v>3</v>
          </cell>
          <cell r="AU1368">
            <v>1</v>
          </cell>
          <cell r="AV1368">
            <v>10</v>
          </cell>
          <cell r="AW1368">
            <v>10</v>
          </cell>
          <cell r="AX1368">
            <v>1</v>
          </cell>
          <cell r="AY1368">
            <v>3</v>
          </cell>
          <cell r="AZ1368">
            <v>3</v>
          </cell>
          <cell r="BA1368">
            <v>3</v>
          </cell>
          <cell r="BB1368">
            <v>2</v>
          </cell>
          <cell r="BC1368">
            <v>1</v>
          </cell>
          <cell r="BD1368">
            <v>1</v>
          </cell>
          <cell r="BE1368">
            <v>2</v>
          </cell>
          <cell r="BF1368">
            <v>2</v>
          </cell>
          <cell r="BG1368">
            <v>4</v>
          </cell>
          <cell r="BH1368">
            <v>0</v>
          </cell>
          <cell r="BI1368">
            <v>1</v>
          </cell>
          <cell r="BJ1368">
            <v>0</v>
          </cell>
          <cell r="BK1368">
            <v>0</v>
          </cell>
          <cell r="BL1368">
            <v>0</v>
          </cell>
          <cell r="BM1368">
            <v>0</v>
          </cell>
          <cell r="BN1368">
            <v>1</v>
          </cell>
          <cell r="BO1368">
            <v>0</v>
          </cell>
          <cell r="BP1368">
            <v>0</v>
          </cell>
          <cell r="BQ1368">
            <v>0</v>
          </cell>
          <cell r="BR1368">
            <v>2</v>
          </cell>
          <cell r="BS1368">
            <v>0</v>
          </cell>
          <cell r="BT1368">
            <v>0</v>
          </cell>
          <cell r="BU1368">
            <v>10</v>
          </cell>
        </row>
        <row r="1369">
          <cell r="A1369">
            <v>27</v>
          </cell>
          <cell r="B1369">
            <v>27</v>
          </cell>
          <cell r="D1369">
            <v>0</v>
          </cell>
          <cell r="F1369">
            <v>0</v>
          </cell>
          <cell r="G1369">
            <v>1</v>
          </cell>
          <cell r="I1369">
            <v>1</v>
          </cell>
          <cell r="J1369">
            <v>0</v>
          </cell>
          <cell r="K1369">
            <v>2</v>
          </cell>
          <cell r="L1369">
            <v>2</v>
          </cell>
          <cell r="M1369">
            <v>4</v>
          </cell>
          <cell r="O1369">
            <v>0</v>
          </cell>
          <cell r="P1369">
            <v>0</v>
          </cell>
          <cell r="Q1369">
            <v>0</v>
          </cell>
          <cell r="R1369">
            <v>0</v>
          </cell>
          <cell r="S1369">
            <v>1</v>
          </cell>
          <cell r="T1369">
            <v>2</v>
          </cell>
          <cell r="V1369">
            <v>0</v>
          </cell>
          <cell r="W1369">
            <v>41</v>
          </cell>
          <cell r="X1369">
            <v>3</v>
          </cell>
          <cell r="Y1369">
            <v>1</v>
          </cell>
          <cell r="AA1369">
            <v>0</v>
          </cell>
          <cell r="AB1369">
            <v>0</v>
          </cell>
          <cell r="AC1369">
            <v>0</v>
          </cell>
          <cell r="AD1369">
            <v>0</v>
          </cell>
          <cell r="AE1369">
            <v>0</v>
          </cell>
          <cell r="AF1369">
            <v>0</v>
          </cell>
          <cell r="AG1369">
            <v>0</v>
          </cell>
          <cell r="AH1369">
            <v>1</v>
          </cell>
          <cell r="AI1369">
            <v>2</v>
          </cell>
          <cell r="AK1369">
            <v>0</v>
          </cell>
          <cell r="AL1369">
            <v>1</v>
          </cell>
          <cell r="AN1369">
            <v>2226</v>
          </cell>
          <cell r="AO1369">
            <v>1</v>
          </cell>
          <cell r="AQ1369">
            <v>0</v>
          </cell>
          <cell r="AR1369">
            <v>11</v>
          </cell>
          <cell r="AS1369">
            <v>3</v>
          </cell>
          <cell r="AT1369">
            <v>3</v>
          </cell>
          <cell r="AU1369">
            <v>1</v>
          </cell>
          <cell r="AV1369">
            <v>6</v>
          </cell>
          <cell r="AW1369">
            <v>6</v>
          </cell>
          <cell r="AX1369">
            <v>3</v>
          </cell>
          <cell r="AY1369">
            <v>2</v>
          </cell>
          <cell r="AZ1369">
            <v>5</v>
          </cell>
          <cell r="BA1369">
            <v>5</v>
          </cell>
          <cell r="BB1369">
            <v>3</v>
          </cell>
          <cell r="BC1369">
            <v>1</v>
          </cell>
          <cell r="BD1369">
            <v>1</v>
          </cell>
          <cell r="BE1369">
            <v>2</v>
          </cell>
          <cell r="BF1369">
            <v>2</v>
          </cell>
          <cell r="BG1369">
            <v>2</v>
          </cell>
          <cell r="BH1369">
            <v>0</v>
          </cell>
          <cell r="BI1369">
            <v>1</v>
          </cell>
          <cell r="BJ1369">
            <v>0</v>
          </cell>
          <cell r="BK1369">
            <v>0</v>
          </cell>
          <cell r="BL1369">
            <v>0</v>
          </cell>
          <cell r="BM1369">
            <v>0</v>
          </cell>
          <cell r="BN1369">
            <v>1</v>
          </cell>
          <cell r="BO1369">
            <v>0</v>
          </cell>
          <cell r="BP1369">
            <v>0</v>
          </cell>
          <cell r="BQ1369">
            <v>2</v>
          </cell>
          <cell r="BR1369">
            <v>0</v>
          </cell>
          <cell r="BS1369">
            <v>0</v>
          </cell>
          <cell r="BT1369">
            <v>6</v>
          </cell>
          <cell r="BU1369">
            <v>0</v>
          </cell>
        </row>
        <row r="1370">
          <cell r="A1370">
            <v>34</v>
          </cell>
          <cell r="B1370">
            <v>34</v>
          </cell>
          <cell r="D1370">
            <v>0</v>
          </cell>
          <cell r="F1370">
            <v>1</v>
          </cell>
          <cell r="G1370">
            <v>0</v>
          </cell>
          <cell r="I1370">
            <v>1</v>
          </cell>
          <cell r="J1370">
            <v>0</v>
          </cell>
          <cell r="K1370">
            <v>22</v>
          </cell>
          <cell r="L1370">
            <v>22</v>
          </cell>
          <cell r="M1370">
            <v>4</v>
          </cell>
          <cell r="O1370">
            <v>0</v>
          </cell>
          <cell r="P1370">
            <v>1</v>
          </cell>
          <cell r="Q1370">
            <v>0</v>
          </cell>
          <cell r="R1370">
            <v>0</v>
          </cell>
          <cell r="S1370">
            <v>0</v>
          </cell>
          <cell r="T1370">
            <v>3</v>
          </cell>
          <cell r="V1370">
            <v>0</v>
          </cell>
          <cell r="W1370">
            <v>86</v>
          </cell>
          <cell r="X1370">
            <v>2</v>
          </cell>
          <cell r="Y1370">
            <v>2</v>
          </cell>
          <cell r="AA1370">
            <v>0</v>
          </cell>
          <cell r="AB1370">
            <v>0</v>
          </cell>
          <cell r="AC1370">
            <v>0</v>
          </cell>
          <cell r="AD1370">
            <v>0</v>
          </cell>
          <cell r="AE1370">
            <v>0</v>
          </cell>
          <cell r="AF1370">
            <v>0</v>
          </cell>
          <cell r="AG1370">
            <v>0</v>
          </cell>
          <cell r="AH1370">
            <v>1</v>
          </cell>
          <cell r="AI1370">
            <v>4</v>
          </cell>
          <cell r="AK1370">
            <v>0</v>
          </cell>
          <cell r="AL1370">
            <v>1</v>
          </cell>
          <cell r="AN1370">
            <v>5747</v>
          </cell>
          <cell r="AO1370">
            <v>1</v>
          </cell>
          <cell r="AQ1370">
            <v>1</v>
          </cell>
          <cell r="AR1370">
            <v>15</v>
          </cell>
          <cell r="AS1370">
            <v>3</v>
          </cell>
          <cell r="AT1370">
            <v>2</v>
          </cell>
          <cell r="AU1370">
            <v>0</v>
          </cell>
          <cell r="AV1370">
            <v>16</v>
          </cell>
          <cell r="AW1370">
            <v>16</v>
          </cell>
          <cell r="AX1370">
            <v>3</v>
          </cell>
          <cell r="AY1370">
            <v>3</v>
          </cell>
          <cell r="AZ1370">
            <v>15</v>
          </cell>
          <cell r="BA1370">
            <v>15</v>
          </cell>
          <cell r="BB1370">
            <v>10</v>
          </cell>
          <cell r="BC1370">
            <v>6</v>
          </cell>
          <cell r="BD1370">
            <v>6</v>
          </cell>
          <cell r="BE1370">
            <v>11</v>
          </cell>
          <cell r="BF1370">
            <v>11</v>
          </cell>
          <cell r="BG1370">
            <v>22</v>
          </cell>
          <cell r="BH1370">
            <v>0</v>
          </cell>
          <cell r="BI1370">
            <v>0</v>
          </cell>
          <cell r="BJ1370">
            <v>0</v>
          </cell>
          <cell r="BK1370">
            <v>1</v>
          </cell>
          <cell r="BL1370">
            <v>0</v>
          </cell>
          <cell r="BM1370">
            <v>0</v>
          </cell>
          <cell r="BN1370">
            <v>0</v>
          </cell>
          <cell r="BO1370">
            <v>1</v>
          </cell>
          <cell r="BP1370">
            <v>0</v>
          </cell>
          <cell r="BQ1370">
            <v>11</v>
          </cell>
          <cell r="BR1370">
            <v>0</v>
          </cell>
          <cell r="BS1370">
            <v>0</v>
          </cell>
          <cell r="BT1370">
            <v>16</v>
          </cell>
          <cell r="BU1370">
            <v>0</v>
          </cell>
        </row>
        <row r="1371">
          <cell r="A1371">
            <v>28</v>
          </cell>
          <cell r="B1371">
            <v>28</v>
          </cell>
          <cell r="D1371">
            <v>1</v>
          </cell>
          <cell r="F1371">
            <v>0</v>
          </cell>
          <cell r="G1371">
            <v>1</v>
          </cell>
          <cell r="I1371">
            <v>0</v>
          </cell>
          <cell r="J1371">
            <v>1</v>
          </cell>
          <cell r="K1371">
            <v>13</v>
          </cell>
          <cell r="L1371">
            <v>13</v>
          </cell>
          <cell r="M1371">
            <v>2</v>
          </cell>
          <cell r="O1371">
            <v>0</v>
          </cell>
          <cell r="P1371">
            <v>0</v>
          </cell>
          <cell r="Q1371">
            <v>0</v>
          </cell>
          <cell r="R1371">
            <v>1</v>
          </cell>
          <cell r="S1371">
            <v>0</v>
          </cell>
          <cell r="T1371">
            <v>4</v>
          </cell>
          <cell r="V1371">
            <v>1</v>
          </cell>
          <cell r="W1371">
            <v>84</v>
          </cell>
          <cell r="X1371">
            <v>3</v>
          </cell>
          <cell r="Y1371">
            <v>2</v>
          </cell>
          <cell r="AA1371">
            <v>0</v>
          </cell>
          <cell r="AB1371">
            <v>1</v>
          </cell>
          <cell r="AC1371">
            <v>0</v>
          </cell>
          <cell r="AD1371">
            <v>0</v>
          </cell>
          <cell r="AE1371">
            <v>0</v>
          </cell>
          <cell r="AF1371">
            <v>0</v>
          </cell>
          <cell r="AG1371">
            <v>0</v>
          </cell>
          <cell r="AH1371">
            <v>0</v>
          </cell>
          <cell r="AI1371">
            <v>3</v>
          </cell>
          <cell r="AK1371">
            <v>1</v>
          </cell>
          <cell r="AL1371">
            <v>0</v>
          </cell>
          <cell r="AN1371">
            <v>9854</v>
          </cell>
          <cell r="AO1371">
            <v>3</v>
          </cell>
          <cell r="AQ1371">
            <v>1</v>
          </cell>
          <cell r="AR1371">
            <v>11</v>
          </cell>
          <cell r="AS1371">
            <v>3</v>
          </cell>
          <cell r="AT1371">
            <v>4</v>
          </cell>
          <cell r="AU1371">
            <v>0</v>
          </cell>
          <cell r="AV1371">
            <v>6</v>
          </cell>
          <cell r="AW1371">
            <v>6</v>
          </cell>
          <cell r="AX1371">
            <v>0</v>
          </cell>
          <cell r="AY1371">
            <v>3</v>
          </cell>
          <cell r="AZ1371">
            <v>2</v>
          </cell>
          <cell r="BA1371">
            <v>2</v>
          </cell>
          <cell r="BB1371">
            <v>0</v>
          </cell>
          <cell r="BC1371">
            <v>2</v>
          </cell>
          <cell r="BD1371">
            <v>2</v>
          </cell>
          <cell r="BE1371">
            <v>2</v>
          </cell>
          <cell r="BF1371">
            <v>2</v>
          </cell>
          <cell r="BG1371">
            <v>4</v>
          </cell>
          <cell r="BH1371">
            <v>1</v>
          </cell>
          <cell r="BI1371">
            <v>0</v>
          </cell>
          <cell r="BJ1371">
            <v>0</v>
          </cell>
          <cell r="BK1371">
            <v>0</v>
          </cell>
          <cell r="BL1371">
            <v>0</v>
          </cell>
          <cell r="BM1371">
            <v>1</v>
          </cell>
          <cell r="BN1371">
            <v>0</v>
          </cell>
          <cell r="BO1371">
            <v>0</v>
          </cell>
          <cell r="BP1371">
            <v>0</v>
          </cell>
          <cell r="BQ1371">
            <v>0</v>
          </cell>
          <cell r="BR1371">
            <v>2</v>
          </cell>
          <cell r="BS1371">
            <v>0</v>
          </cell>
          <cell r="BT1371">
            <v>0</v>
          </cell>
          <cell r="BU1371">
            <v>6</v>
          </cell>
        </row>
        <row r="1372">
          <cell r="A1372">
            <v>47</v>
          </cell>
          <cell r="B1372">
            <v>47</v>
          </cell>
          <cell r="D1372">
            <v>0</v>
          </cell>
          <cell r="F1372">
            <v>0</v>
          </cell>
          <cell r="G1372">
            <v>0</v>
          </cell>
          <cell r="I1372">
            <v>1</v>
          </cell>
          <cell r="J1372">
            <v>0</v>
          </cell>
          <cell r="K1372">
            <v>14</v>
          </cell>
          <cell r="L1372">
            <v>14</v>
          </cell>
          <cell r="M1372">
            <v>4</v>
          </cell>
          <cell r="O1372">
            <v>0</v>
          </cell>
          <cell r="P1372">
            <v>0</v>
          </cell>
          <cell r="Q1372">
            <v>0</v>
          </cell>
          <cell r="R1372">
            <v>0</v>
          </cell>
          <cell r="S1372">
            <v>1</v>
          </cell>
          <cell r="T1372">
            <v>3</v>
          </cell>
          <cell r="V1372">
            <v>0</v>
          </cell>
          <cell r="W1372">
            <v>64</v>
          </cell>
          <cell r="X1372">
            <v>3</v>
          </cell>
          <cell r="Y1372">
            <v>2</v>
          </cell>
          <cell r="AA1372">
            <v>0</v>
          </cell>
          <cell r="AB1372">
            <v>0</v>
          </cell>
          <cell r="AC1372">
            <v>0</v>
          </cell>
          <cell r="AD1372">
            <v>0</v>
          </cell>
          <cell r="AE1372">
            <v>0</v>
          </cell>
          <cell r="AF1372">
            <v>0</v>
          </cell>
          <cell r="AG1372">
            <v>0</v>
          </cell>
          <cell r="AH1372">
            <v>1</v>
          </cell>
          <cell r="AI1372">
            <v>2</v>
          </cell>
          <cell r="AK1372">
            <v>0</v>
          </cell>
          <cell r="AL1372">
            <v>1</v>
          </cell>
          <cell r="AN1372">
            <v>5467</v>
          </cell>
          <cell r="AO1372">
            <v>8</v>
          </cell>
          <cell r="AQ1372">
            <v>0</v>
          </cell>
          <cell r="AR1372">
            <v>18</v>
          </cell>
          <cell r="AS1372">
            <v>3</v>
          </cell>
          <cell r="AT1372">
            <v>3</v>
          </cell>
          <cell r="AU1372">
            <v>1</v>
          </cell>
          <cell r="AV1372">
            <v>16</v>
          </cell>
          <cell r="AW1372">
            <v>16</v>
          </cell>
          <cell r="AX1372">
            <v>4</v>
          </cell>
          <cell r="AY1372">
            <v>4</v>
          </cell>
          <cell r="AZ1372">
            <v>8</v>
          </cell>
          <cell r="BA1372">
            <v>8</v>
          </cell>
          <cell r="BB1372">
            <v>7</v>
          </cell>
          <cell r="BC1372">
            <v>1</v>
          </cell>
          <cell r="BD1372">
            <v>1</v>
          </cell>
          <cell r="BE1372">
            <v>7</v>
          </cell>
          <cell r="BF1372">
            <v>7</v>
          </cell>
          <cell r="BG1372">
            <v>14</v>
          </cell>
          <cell r="BH1372">
            <v>0</v>
          </cell>
          <cell r="BI1372">
            <v>1</v>
          </cell>
          <cell r="BJ1372">
            <v>0</v>
          </cell>
          <cell r="BK1372">
            <v>0</v>
          </cell>
          <cell r="BL1372">
            <v>0</v>
          </cell>
          <cell r="BM1372">
            <v>0</v>
          </cell>
          <cell r="BN1372">
            <v>1</v>
          </cell>
          <cell r="BO1372">
            <v>0</v>
          </cell>
          <cell r="BP1372">
            <v>0</v>
          </cell>
          <cell r="BQ1372">
            <v>7</v>
          </cell>
          <cell r="BR1372">
            <v>0</v>
          </cell>
          <cell r="BS1372">
            <v>0</v>
          </cell>
          <cell r="BT1372">
            <v>16</v>
          </cell>
          <cell r="BU1372">
            <v>0</v>
          </cell>
        </row>
        <row r="1373">
          <cell r="A1373">
            <v>56</v>
          </cell>
          <cell r="B1373">
            <v>56</v>
          </cell>
          <cell r="D1373">
            <v>0</v>
          </cell>
          <cell r="F1373">
            <v>0</v>
          </cell>
          <cell r="G1373">
            <v>1</v>
          </cell>
          <cell r="I1373">
            <v>0</v>
          </cell>
          <cell r="J1373">
            <v>1</v>
          </cell>
          <cell r="K1373">
            <v>11</v>
          </cell>
          <cell r="L1373">
            <v>11</v>
          </cell>
          <cell r="M1373">
            <v>5</v>
          </cell>
          <cell r="O1373">
            <v>0</v>
          </cell>
          <cell r="P1373">
            <v>0</v>
          </cell>
          <cell r="Q1373">
            <v>0</v>
          </cell>
          <cell r="R1373">
            <v>1</v>
          </cell>
          <cell r="S1373">
            <v>0</v>
          </cell>
          <cell r="T1373">
            <v>4</v>
          </cell>
          <cell r="V1373">
            <v>1</v>
          </cell>
          <cell r="W1373">
            <v>89</v>
          </cell>
          <cell r="X1373">
            <v>2</v>
          </cell>
          <cell r="Y1373">
            <v>2</v>
          </cell>
          <cell r="AA1373">
            <v>0</v>
          </cell>
          <cell r="AB1373">
            <v>1</v>
          </cell>
          <cell r="AC1373">
            <v>0</v>
          </cell>
          <cell r="AD1373">
            <v>0</v>
          </cell>
          <cell r="AE1373">
            <v>0</v>
          </cell>
          <cell r="AF1373">
            <v>0</v>
          </cell>
          <cell r="AG1373">
            <v>0</v>
          </cell>
          <cell r="AH1373">
            <v>0</v>
          </cell>
          <cell r="AI1373">
            <v>1</v>
          </cell>
          <cell r="AK1373">
            <v>0</v>
          </cell>
          <cell r="AL1373">
            <v>1</v>
          </cell>
          <cell r="AN1373">
            <v>5380</v>
          </cell>
          <cell r="AO1373">
            <v>4</v>
          </cell>
          <cell r="AQ1373">
            <v>0</v>
          </cell>
          <cell r="AR1373">
            <v>16</v>
          </cell>
          <cell r="AS1373">
            <v>3</v>
          </cell>
          <cell r="AT1373">
            <v>3</v>
          </cell>
          <cell r="AU1373">
            <v>1</v>
          </cell>
          <cell r="AV1373">
            <v>6</v>
          </cell>
          <cell r="AW1373">
            <v>6</v>
          </cell>
          <cell r="AX1373">
            <v>3</v>
          </cell>
          <cell r="AY1373">
            <v>3</v>
          </cell>
          <cell r="AZ1373">
            <v>0</v>
          </cell>
          <cell r="BA1373">
            <v>0</v>
          </cell>
          <cell r="BB1373">
            <v>0</v>
          </cell>
          <cell r="BC1373">
            <v>0</v>
          </cell>
          <cell r="BD1373">
            <v>0</v>
          </cell>
          <cell r="BE1373">
            <v>0</v>
          </cell>
          <cell r="BF1373">
            <v>0</v>
          </cell>
          <cell r="BG1373">
            <v>0</v>
          </cell>
          <cell r="BH1373">
            <v>0</v>
          </cell>
          <cell r="BI1373">
            <v>1</v>
          </cell>
          <cell r="BJ1373">
            <v>0</v>
          </cell>
          <cell r="BK1373">
            <v>0</v>
          </cell>
          <cell r="BL1373">
            <v>0</v>
          </cell>
          <cell r="BM1373">
            <v>0</v>
          </cell>
          <cell r="BN1373">
            <v>1</v>
          </cell>
          <cell r="BO1373">
            <v>0</v>
          </cell>
          <cell r="BP1373">
            <v>0</v>
          </cell>
          <cell r="BQ1373">
            <v>0</v>
          </cell>
          <cell r="BR1373">
            <v>0</v>
          </cell>
          <cell r="BS1373">
            <v>0</v>
          </cell>
          <cell r="BT1373">
            <v>0</v>
          </cell>
          <cell r="BU1373">
            <v>6</v>
          </cell>
        </row>
        <row r="1374">
          <cell r="A1374">
            <v>39</v>
          </cell>
          <cell r="B1374">
            <v>39</v>
          </cell>
          <cell r="D1374">
            <v>0</v>
          </cell>
          <cell r="F1374">
            <v>0</v>
          </cell>
          <cell r="G1374">
            <v>1</v>
          </cell>
          <cell r="I1374">
            <v>1</v>
          </cell>
          <cell r="J1374">
            <v>0</v>
          </cell>
          <cell r="K1374">
            <v>9</v>
          </cell>
          <cell r="L1374">
            <v>9</v>
          </cell>
          <cell r="M1374">
            <v>2</v>
          </cell>
          <cell r="O1374">
            <v>0</v>
          </cell>
          <cell r="P1374">
            <v>0</v>
          </cell>
          <cell r="Q1374">
            <v>1</v>
          </cell>
          <cell r="R1374">
            <v>0</v>
          </cell>
          <cell r="S1374">
            <v>0</v>
          </cell>
          <cell r="T1374">
            <v>1</v>
          </cell>
          <cell r="V1374">
            <v>0</v>
          </cell>
          <cell r="W1374">
            <v>87</v>
          </cell>
          <cell r="X1374">
            <v>3</v>
          </cell>
          <cell r="Y1374">
            <v>2</v>
          </cell>
          <cell r="AA1374">
            <v>0</v>
          </cell>
          <cell r="AB1374">
            <v>0</v>
          </cell>
          <cell r="AC1374">
            <v>0</v>
          </cell>
          <cell r="AD1374">
            <v>0</v>
          </cell>
          <cell r="AE1374">
            <v>1</v>
          </cell>
          <cell r="AF1374">
            <v>1</v>
          </cell>
          <cell r="AG1374">
            <v>0</v>
          </cell>
          <cell r="AH1374">
            <v>0</v>
          </cell>
          <cell r="AI1374">
            <v>1</v>
          </cell>
          <cell r="AK1374">
            <v>0</v>
          </cell>
          <cell r="AL1374">
            <v>1</v>
          </cell>
          <cell r="AN1374">
            <v>5151</v>
          </cell>
          <cell r="AO1374">
            <v>1</v>
          </cell>
          <cell r="AQ1374">
            <v>0</v>
          </cell>
          <cell r="AR1374">
            <v>25</v>
          </cell>
          <cell r="AS1374">
            <v>4</v>
          </cell>
          <cell r="AT1374">
            <v>4</v>
          </cell>
          <cell r="AU1374">
            <v>1</v>
          </cell>
          <cell r="AV1374">
            <v>10</v>
          </cell>
          <cell r="AW1374">
            <v>10</v>
          </cell>
          <cell r="AX1374">
            <v>3</v>
          </cell>
          <cell r="AY1374">
            <v>3</v>
          </cell>
          <cell r="AZ1374">
            <v>10</v>
          </cell>
          <cell r="BA1374">
            <v>10</v>
          </cell>
          <cell r="BB1374">
            <v>0</v>
          </cell>
          <cell r="BC1374">
            <v>7</v>
          </cell>
          <cell r="BD1374">
            <v>7</v>
          </cell>
          <cell r="BE1374">
            <v>9</v>
          </cell>
          <cell r="BF1374">
            <v>9</v>
          </cell>
          <cell r="BG1374">
            <v>18</v>
          </cell>
          <cell r="BH1374">
            <v>0</v>
          </cell>
          <cell r="BI1374">
            <v>1</v>
          </cell>
          <cell r="BJ1374">
            <v>0</v>
          </cell>
          <cell r="BK1374">
            <v>0</v>
          </cell>
          <cell r="BL1374">
            <v>0</v>
          </cell>
          <cell r="BM1374">
            <v>0</v>
          </cell>
          <cell r="BN1374">
            <v>1</v>
          </cell>
          <cell r="BO1374">
            <v>0</v>
          </cell>
          <cell r="BP1374">
            <v>0</v>
          </cell>
          <cell r="BQ1374">
            <v>9</v>
          </cell>
          <cell r="BR1374">
            <v>0</v>
          </cell>
          <cell r="BS1374">
            <v>0</v>
          </cell>
          <cell r="BT1374">
            <v>10</v>
          </cell>
          <cell r="BU1374">
            <v>0</v>
          </cell>
        </row>
        <row r="1375">
          <cell r="A1375">
            <v>38</v>
          </cell>
          <cell r="B1375">
            <v>38</v>
          </cell>
          <cell r="D1375">
            <v>0</v>
          </cell>
          <cell r="F1375">
            <v>1</v>
          </cell>
          <cell r="G1375">
            <v>0</v>
          </cell>
          <cell r="I1375">
            <v>1</v>
          </cell>
          <cell r="J1375">
            <v>0</v>
          </cell>
          <cell r="K1375">
            <v>8</v>
          </cell>
          <cell r="L1375">
            <v>8</v>
          </cell>
          <cell r="M1375">
            <v>3</v>
          </cell>
          <cell r="O1375">
            <v>0</v>
          </cell>
          <cell r="P1375">
            <v>0</v>
          </cell>
          <cell r="Q1375">
            <v>1</v>
          </cell>
          <cell r="R1375">
            <v>0</v>
          </cell>
          <cell r="S1375">
            <v>0</v>
          </cell>
          <cell r="T1375">
            <v>4</v>
          </cell>
          <cell r="V1375">
            <v>1</v>
          </cell>
          <cell r="W1375">
            <v>58</v>
          </cell>
          <cell r="X1375">
            <v>2</v>
          </cell>
          <cell r="Y1375">
            <v>2</v>
          </cell>
          <cell r="AA1375">
            <v>0</v>
          </cell>
          <cell r="AB1375">
            <v>0</v>
          </cell>
          <cell r="AC1375">
            <v>0</v>
          </cell>
          <cell r="AD1375">
            <v>0</v>
          </cell>
          <cell r="AE1375">
            <v>0</v>
          </cell>
          <cell r="AF1375">
            <v>0</v>
          </cell>
          <cell r="AG1375">
            <v>0</v>
          </cell>
          <cell r="AH1375">
            <v>1</v>
          </cell>
          <cell r="AI1375">
            <v>2</v>
          </cell>
          <cell r="AK1375">
            <v>0</v>
          </cell>
          <cell r="AL1375">
            <v>0</v>
          </cell>
          <cell r="AN1375">
            <v>2133</v>
          </cell>
          <cell r="AO1375">
            <v>1</v>
          </cell>
          <cell r="AQ1375">
            <v>1</v>
          </cell>
          <cell r="AR1375">
            <v>16</v>
          </cell>
          <cell r="AS1375">
            <v>3</v>
          </cell>
          <cell r="AT1375">
            <v>3</v>
          </cell>
          <cell r="AU1375">
            <v>1</v>
          </cell>
          <cell r="AV1375">
            <v>20</v>
          </cell>
          <cell r="AW1375">
            <v>20</v>
          </cell>
          <cell r="AX1375">
            <v>3</v>
          </cell>
          <cell r="AY1375">
            <v>3</v>
          </cell>
          <cell r="AZ1375">
            <v>20</v>
          </cell>
          <cell r="BA1375">
            <v>20</v>
          </cell>
          <cell r="BB1375">
            <v>11</v>
          </cell>
          <cell r="BC1375">
            <v>0</v>
          </cell>
          <cell r="BD1375">
            <v>0</v>
          </cell>
          <cell r="BE1375">
            <v>7</v>
          </cell>
          <cell r="BF1375">
            <v>7</v>
          </cell>
          <cell r="BG1375">
            <v>14</v>
          </cell>
          <cell r="BH1375">
            <v>0</v>
          </cell>
          <cell r="BI1375">
            <v>0</v>
          </cell>
          <cell r="BJ1375">
            <v>1</v>
          </cell>
          <cell r="BK1375">
            <v>0</v>
          </cell>
          <cell r="BL1375">
            <v>0</v>
          </cell>
          <cell r="BM1375">
            <v>1</v>
          </cell>
          <cell r="BN1375">
            <v>0</v>
          </cell>
          <cell r="BO1375">
            <v>0</v>
          </cell>
          <cell r="BP1375">
            <v>0</v>
          </cell>
          <cell r="BQ1375">
            <v>7</v>
          </cell>
          <cell r="BR1375">
            <v>0</v>
          </cell>
          <cell r="BS1375">
            <v>0</v>
          </cell>
          <cell r="BT1375">
            <v>20</v>
          </cell>
          <cell r="BU1375">
            <v>0</v>
          </cell>
        </row>
        <row r="1376">
          <cell r="A1376">
            <v>58</v>
          </cell>
          <cell r="B1376">
            <v>58</v>
          </cell>
          <cell r="D1376">
            <v>0</v>
          </cell>
          <cell r="F1376">
            <v>0</v>
          </cell>
          <cell r="G1376">
            <v>1</v>
          </cell>
          <cell r="I1376">
            <v>0</v>
          </cell>
          <cell r="J1376">
            <v>1</v>
          </cell>
          <cell r="K1376">
            <v>21</v>
          </cell>
          <cell r="L1376">
            <v>21</v>
          </cell>
          <cell r="M1376">
            <v>3</v>
          </cell>
          <cell r="O1376">
            <v>1</v>
          </cell>
          <cell r="P1376">
            <v>0</v>
          </cell>
          <cell r="Q1376">
            <v>0</v>
          </cell>
          <cell r="R1376">
            <v>0</v>
          </cell>
          <cell r="S1376">
            <v>0</v>
          </cell>
          <cell r="T1376">
            <v>4</v>
          </cell>
          <cell r="V1376">
            <v>1</v>
          </cell>
          <cell r="W1376">
            <v>72</v>
          </cell>
          <cell r="X1376">
            <v>3</v>
          </cell>
          <cell r="Y1376">
            <v>4</v>
          </cell>
          <cell r="AA1376">
            <v>0</v>
          </cell>
          <cell r="AB1376">
            <v>0</v>
          </cell>
          <cell r="AC1376">
            <v>0</v>
          </cell>
          <cell r="AD1376">
            <v>1</v>
          </cell>
          <cell r="AE1376">
            <v>0</v>
          </cell>
          <cell r="AF1376">
            <v>0</v>
          </cell>
          <cell r="AG1376">
            <v>0</v>
          </cell>
          <cell r="AH1376">
            <v>0</v>
          </cell>
          <cell r="AI1376">
            <v>4</v>
          </cell>
          <cell r="AK1376">
            <v>0</v>
          </cell>
          <cell r="AL1376">
            <v>1</v>
          </cell>
          <cell r="AN1376">
            <v>17875</v>
          </cell>
          <cell r="AO1376">
            <v>4</v>
          </cell>
          <cell r="AQ1376">
            <v>1</v>
          </cell>
          <cell r="AR1376">
            <v>13</v>
          </cell>
          <cell r="AS1376">
            <v>3</v>
          </cell>
          <cell r="AT1376">
            <v>3</v>
          </cell>
          <cell r="AU1376">
            <v>1</v>
          </cell>
          <cell r="AV1376">
            <v>29</v>
          </cell>
          <cell r="AW1376">
            <v>29</v>
          </cell>
          <cell r="AX1376">
            <v>2</v>
          </cell>
          <cell r="AY1376">
            <v>2</v>
          </cell>
          <cell r="AZ1376">
            <v>1</v>
          </cell>
          <cell r="BA1376">
            <v>1</v>
          </cell>
          <cell r="BB1376">
            <v>0</v>
          </cell>
          <cell r="BC1376">
            <v>0</v>
          </cell>
          <cell r="BD1376">
            <v>0</v>
          </cell>
          <cell r="BE1376">
            <v>0</v>
          </cell>
          <cell r="BF1376">
            <v>0</v>
          </cell>
          <cell r="BG1376">
            <v>0</v>
          </cell>
          <cell r="BH1376">
            <v>0</v>
          </cell>
          <cell r="BI1376">
            <v>1</v>
          </cell>
          <cell r="BJ1376">
            <v>0</v>
          </cell>
          <cell r="BK1376">
            <v>0</v>
          </cell>
          <cell r="BL1376">
            <v>0</v>
          </cell>
          <cell r="BM1376">
            <v>0</v>
          </cell>
          <cell r="BN1376">
            <v>0</v>
          </cell>
          <cell r="BO1376">
            <v>1</v>
          </cell>
          <cell r="BP1376">
            <v>0</v>
          </cell>
          <cell r="BQ1376">
            <v>0</v>
          </cell>
          <cell r="BR1376">
            <v>0</v>
          </cell>
          <cell r="BS1376">
            <v>0</v>
          </cell>
          <cell r="BT1376">
            <v>0</v>
          </cell>
          <cell r="BU1376">
            <v>29</v>
          </cell>
        </row>
        <row r="1377">
          <cell r="A1377">
            <v>32</v>
          </cell>
          <cell r="B1377">
            <v>32</v>
          </cell>
          <cell r="D1377">
            <v>1</v>
          </cell>
          <cell r="F1377">
            <v>1</v>
          </cell>
          <cell r="G1377">
            <v>0</v>
          </cell>
          <cell r="I1377">
            <v>1</v>
          </cell>
          <cell r="J1377">
            <v>0</v>
          </cell>
          <cell r="K1377">
            <v>5</v>
          </cell>
          <cell r="L1377">
            <v>5</v>
          </cell>
          <cell r="M1377">
            <v>2</v>
          </cell>
          <cell r="O1377">
            <v>1</v>
          </cell>
          <cell r="P1377">
            <v>0</v>
          </cell>
          <cell r="Q1377">
            <v>0</v>
          </cell>
          <cell r="R1377">
            <v>0</v>
          </cell>
          <cell r="S1377">
            <v>0</v>
          </cell>
          <cell r="T1377">
            <v>1</v>
          </cell>
          <cell r="V1377">
            <v>1</v>
          </cell>
          <cell r="W1377">
            <v>47</v>
          </cell>
          <cell r="X1377">
            <v>4</v>
          </cell>
          <cell r="Y1377">
            <v>1</v>
          </cell>
          <cell r="AA1377">
            <v>0</v>
          </cell>
          <cell r="AB1377">
            <v>0</v>
          </cell>
          <cell r="AC1377">
            <v>0</v>
          </cell>
          <cell r="AD1377">
            <v>0</v>
          </cell>
          <cell r="AE1377">
            <v>0</v>
          </cell>
          <cell r="AF1377">
            <v>0</v>
          </cell>
          <cell r="AG1377">
            <v>0</v>
          </cell>
          <cell r="AH1377">
            <v>1</v>
          </cell>
          <cell r="AI1377">
            <v>3</v>
          </cell>
          <cell r="AK1377">
            <v>1</v>
          </cell>
          <cell r="AL1377">
            <v>0</v>
          </cell>
          <cell r="AN1377">
            <v>2432</v>
          </cell>
          <cell r="AO1377">
            <v>3</v>
          </cell>
          <cell r="AQ1377">
            <v>1</v>
          </cell>
          <cell r="AR1377">
            <v>14</v>
          </cell>
          <cell r="AS1377">
            <v>3</v>
          </cell>
          <cell r="AT1377">
            <v>1</v>
          </cell>
          <cell r="AU1377">
            <v>0</v>
          </cell>
          <cell r="AV1377">
            <v>8</v>
          </cell>
          <cell r="AW1377">
            <v>8</v>
          </cell>
          <cell r="AX1377">
            <v>2</v>
          </cell>
          <cell r="AY1377">
            <v>3</v>
          </cell>
          <cell r="AZ1377">
            <v>4</v>
          </cell>
          <cell r="BA1377">
            <v>4</v>
          </cell>
          <cell r="BB1377">
            <v>1</v>
          </cell>
          <cell r="BC1377">
            <v>0</v>
          </cell>
          <cell r="BD1377">
            <v>0</v>
          </cell>
          <cell r="BE1377">
            <v>3</v>
          </cell>
          <cell r="BF1377">
            <v>3</v>
          </cell>
          <cell r="BG1377">
            <v>3</v>
          </cell>
          <cell r="BH1377">
            <v>0</v>
          </cell>
          <cell r="BI1377">
            <v>0</v>
          </cell>
          <cell r="BJ1377">
            <v>1</v>
          </cell>
          <cell r="BK1377">
            <v>0</v>
          </cell>
          <cell r="BL1377">
            <v>0</v>
          </cell>
          <cell r="BM1377">
            <v>1</v>
          </cell>
          <cell r="BN1377">
            <v>0</v>
          </cell>
          <cell r="BO1377">
            <v>0</v>
          </cell>
          <cell r="BP1377">
            <v>0</v>
          </cell>
          <cell r="BQ1377">
            <v>3</v>
          </cell>
          <cell r="BR1377">
            <v>0</v>
          </cell>
          <cell r="BS1377">
            <v>0</v>
          </cell>
          <cell r="BT1377">
            <v>8</v>
          </cell>
          <cell r="BU1377">
            <v>0</v>
          </cell>
        </row>
        <row r="1378">
          <cell r="A1378">
            <v>38</v>
          </cell>
          <cell r="B1378">
            <v>38</v>
          </cell>
          <cell r="D1378">
            <v>0</v>
          </cell>
          <cell r="F1378">
            <v>0</v>
          </cell>
          <cell r="G1378">
            <v>1</v>
          </cell>
          <cell r="I1378">
            <v>1</v>
          </cell>
          <cell r="J1378">
            <v>0</v>
          </cell>
          <cell r="K1378">
            <v>9</v>
          </cell>
          <cell r="L1378">
            <v>9</v>
          </cell>
          <cell r="M1378">
            <v>2</v>
          </cell>
          <cell r="O1378">
            <v>1</v>
          </cell>
          <cell r="P1378">
            <v>0</v>
          </cell>
          <cell r="Q1378">
            <v>0</v>
          </cell>
          <cell r="R1378">
            <v>0</v>
          </cell>
          <cell r="S1378">
            <v>0</v>
          </cell>
          <cell r="T1378">
            <v>2</v>
          </cell>
          <cell r="V1378">
            <v>0</v>
          </cell>
          <cell r="W1378">
            <v>71</v>
          </cell>
          <cell r="X1378">
            <v>3</v>
          </cell>
          <cell r="Y1378">
            <v>1</v>
          </cell>
          <cell r="AA1378">
            <v>0</v>
          </cell>
          <cell r="AB1378">
            <v>0</v>
          </cell>
          <cell r="AC1378">
            <v>0</v>
          </cell>
          <cell r="AD1378">
            <v>0</v>
          </cell>
          <cell r="AE1378">
            <v>0</v>
          </cell>
          <cell r="AF1378">
            <v>0</v>
          </cell>
          <cell r="AG1378">
            <v>0</v>
          </cell>
          <cell r="AH1378">
            <v>1</v>
          </cell>
          <cell r="AI1378">
            <v>4</v>
          </cell>
          <cell r="AK1378">
            <v>0</v>
          </cell>
          <cell r="AL1378">
            <v>0</v>
          </cell>
          <cell r="AN1378">
            <v>4771</v>
          </cell>
          <cell r="AO1378">
            <v>2</v>
          </cell>
          <cell r="AQ1378">
            <v>0</v>
          </cell>
          <cell r="AR1378">
            <v>19</v>
          </cell>
          <cell r="AS1378">
            <v>3</v>
          </cell>
          <cell r="AT1378">
            <v>4</v>
          </cell>
          <cell r="AU1378">
            <v>2</v>
          </cell>
          <cell r="AV1378">
            <v>10</v>
          </cell>
          <cell r="AW1378">
            <v>10</v>
          </cell>
          <cell r="AX1378">
            <v>0</v>
          </cell>
          <cell r="AY1378">
            <v>4</v>
          </cell>
          <cell r="AZ1378">
            <v>5</v>
          </cell>
          <cell r="BA1378">
            <v>5</v>
          </cell>
          <cell r="BB1378">
            <v>2</v>
          </cell>
          <cell r="BC1378">
            <v>0</v>
          </cell>
          <cell r="BD1378">
            <v>0</v>
          </cell>
          <cell r="BE1378">
            <v>3</v>
          </cell>
          <cell r="BF1378">
            <v>3</v>
          </cell>
          <cell r="BG1378">
            <v>3</v>
          </cell>
          <cell r="BH1378">
            <v>1</v>
          </cell>
          <cell r="BI1378">
            <v>0</v>
          </cell>
          <cell r="BJ1378">
            <v>0</v>
          </cell>
          <cell r="BK1378">
            <v>0</v>
          </cell>
          <cell r="BL1378">
            <v>1</v>
          </cell>
          <cell r="BM1378">
            <v>0</v>
          </cell>
          <cell r="BN1378">
            <v>0</v>
          </cell>
          <cell r="BO1378">
            <v>0</v>
          </cell>
          <cell r="BP1378">
            <v>0</v>
          </cell>
          <cell r="BQ1378">
            <v>3</v>
          </cell>
          <cell r="BR1378">
            <v>0</v>
          </cell>
          <cell r="BS1378">
            <v>0</v>
          </cell>
          <cell r="BT1378">
            <v>10</v>
          </cell>
          <cell r="BU1378">
            <v>0</v>
          </cell>
        </row>
        <row r="1379">
          <cell r="A1379">
            <v>49</v>
          </cell>
          <cell r="B1379">
            <v>49</v>
          </cell>
          <cell r="D1379">
            <v>0</v>
          </cell>
          <cell r="F1379">
            <v>1</v>
          </cell>
          <cell r="G1379">
            <v>0</v>
          </cell>
          <cell r="I1379">
            <v>1</v>
          </cell>
          <cell r="J1379">
            <v>0</v>
          </cell>
          <cell r="K1379">
            <v>2</v>
          </cell>
          <cell r="L1379">
            <v>2</v>
          </cell>
          <cell r="M1379">
            <v>1</v>
          </cell>
          <cell r="O1379">
            <v>1</v>
          </cell>
          <cell r="P1379">
            <v>0</v>
          </cell>
          <cell r="Q1379">
            <v>0</v>
          </cell>
          <cell r="R1379">
            <v>0</v>
          </cell>
          <cell r="S1379">
            <v>0</v>
          </cell>
          <cell r="T1379">
            <v>2</v>
          </cell>
          <cell r="V1379">
            <v>0</v>
          </cell>
          <cell r="W1379">
            <v>42</v>
          </cell>
          <cell r="X1379">
            <v>3</v>
          </cell>
          <cell r="Y1379">
            <v>5</v>
          </cell>
          <cell r="AA1379">
            <v>0</v>
          </cell>
          <cell r="AB1379">
            <v>0</v>
          </cell>
          <cell r="AC1379">
            <v>0</v>
          </cell>
          <cell r="AD1379">
            <v>0</v>
          </cell>
          <cell r="AE1379">
            <v>0</v>
          </cell>
          <cell r="AF1379">
            <v>0</v>
          </cell>
          <cell r="AG1379">
            <v>0</v>
          </cell>
          <cell r="AH1379">
            <v>0</v>
          </cell>
          <cell r="AI1379">
            <v>4</v>
          </cell>
          <cell r="AK1379">
            <v>0</v>
          </cell>
          <cell r="AL1379">
            <v>1</v>
          </cell>
          <cell r="AN1379">
            <v>19161</v>
          </cell>
          <cell r="AO1379">
            <v>3</v>
          </cell>
          <cell r="AQ1379">
            <v>0</v>
          </cell>
          <cell r="AR1379">
            <v>15</v>
          </cell>
          <cell r="AS1379">
            <v>3</v>
          </cell>
          <cell r="AT1379">
            <v>4</v>
          </cell>
          <cell r="AU1379">
            <v>0</v>
          </cell>
          <cell r="AV1379">
            <v>28</v>
          </cell>
          <cell r="AW1379">
            <v>28</v>
          </cell>
          <cell r="AX1379">
            <v>3</v>
          </cell>
          <cell r="AY1379">
            <v>3</v>
          </cell>
          <cell r="AZ1379">
            <v>5</v>
          </cell>
          <cell r="BA1379">
            <v>5</v>
          </cell>
          <cell r="BB1379">
            <v>4</v>
          </cell>
          <cell r="BC1379">
            <v>4</v>
          </cell>
          <cell r="BD1379">
            <v>4</v>
          </cell>
          <cell r="BE1379">
            <v>3</v>
          </cell>
          <cell r="BF1379">
            <v>3</v>
          </cell>
          <cell r="BG1379">
            <v>15</v>
          </cell>
          <cell r="BH1379">
            <v>0</v>
          </cell>
          <cell r="BI1379">
            <v>0</v>
          </cell>
          <cell r="BJ1379">
            <v>0</v>
          </cell>
          <cell r="BK1379">
            <v>1</v>
          </cell>
          <cell r="BL1379">
            <v>0</v>
          </cell>
          <cell r="BM1379">
            <v>0</v>
          </cell>
          <cell r="BN1379">
            <v>1</v>
          </cell>
          <cell r="BO1379">
            <v>0</v>
          </cell>
          <cell r="BP1379">
            <v>0</v>
          </cell>
          <cell r="BQ1379">
            <v>3</v>
          </cell>
          <cell r="BR1379">
            <v>0</v>
          </cell>
          <cell r="BS1379">
            <v>0</v>
          </cell>
          <cell r="BT1379">
            <v>28</v>
          </cell>
          <cell r="BU1379">
            <v>0</v>
          </cell>
        </row>
        <row r="1380">
          <cell r="A1380">
            <v>42</v>
          </cell>
          <cell r="B1380">
            <v>42</v>
          </cell>
          <cell r="D1380">
            <v>0</v>
          </cell>
          <cell r="F1380">
            <v>0</v>
          </cell>
          <cell r="G1380">
            <v>1</v>
          </cell>
          <cell r="I1380">
            <v>0</v>
          </cell>
          <cell r="J1380">
            <v>1</v>
          </cell>
          <cell r="K1380">
            <v>12</v>
          </cell>
          <cell r="L1380">
            <v>12</v>
          </cell>
          <cell r="M1380">
            <v>4</v>
          </cell>
          <cell r="O1380">
            <v>0</v>
          </cell>
          <cell r="P1380">
            <v>0</v>
          </cell>
          <cell r="Q1380">
            <v>0</v>
          </cell>
          <cell r="R1380">
            <v>1</v>
          </cell>
          <cell r="S1380">
            <v>0</v>
          </cell>
          <cell r="T1380">
            <v>2</v>
          </cell>
          <cell r="V1380">
            <v>0</v>
          </cell>
          <cell r="W1380">
            <v>77</v>
          </cell>
          <cell r="X1380">
            <v>3</v>
          </cell>
          <cell r="Y1380">
            <v>2</v>
          </cell>
          <cell r="AA1380">
            <v>0</v>
          </cell>
          <cell r="AB1380">
            <v>1</v>
          </cell>
          <cell r="AC1380">
            <v>0</v>
          </cell>
          <cell r="AD1380">
            <v>0</v>
          </cell>
          <cell r="AE1380">
            <v>0</v>
          </cell>
          <cell r="AF1380">
            <v>0</v>
          </cell>
          <cell r="AG1380">
            <v>0</v>
          </cell>
          <cell r="AH1380">
            <v>0</v>
          </cell>
          <cell r="AI1380">
            <v>4</v>
          </cell>
          <cell r="AK1380">
            <v>0</v>
          </cell>
          <cell r="AL1380">
            <v>0</v>
          </cell>
          <cell r="AN1380">
            <v>5087</v>
          </cell>
          <cell r="AO1380">
            <v>3</v>
          </cell>
          <cell r="AQ1380">
            <v>1</v>
          </cell>
          <cell r="AR1380">
            <v>12</v>
          </cell>
          <cell r="AS1380">
            <v>3</v>
          </cell>
          <cell r="AT1380">
            <v>3</v>
          </cell>
          <cell r="AU1380">
            <v>2</v>
          </cell>
          <cell r="AV1380">
            <v>14</v>
          </cell>
          <cell r="AW1380">
            <v>14</v>
          </cell>
          <cell r="AX1380">
            <v>4</v>
          </cell>
          <cell r="AY1380">
            <v>3</v>
          </cell>
          <cell r="AZ1380">
            <v>0</v>
          </cell>
          <cell r="BA1380">
            <v>0</v>
          </cell>
          <cell r="BB1380">
            <v>0</v>
          </cell>
          <cell r="BC1380">
            <v>0</v>
          </cell>
          <cell r="BD1380">
            <v>0</v>
          </cell>
          <cell r="BE1380">
            <v>0</v>
          </cell>
          <cell r="BF1380">
            <v>0</v>
          </cell>
          <cell r="BG1380">
            <v>0</v>
          </cell>
          <cell r="BH1380">
            <v>1</v>
          </cell>
          <cell r="BI1380">
            <v>0</v>
          </cell>
          <cell r="BJ1380">
            <v>0</v>
          </cell>
          <cell r="BK1380">
            <v>0</v>
          </cell>
          <cell r="BL1380">
            <v>0</v>
          </cell>
          <cell r="BM1380">
            <v>1</v>
          </cell>
          <cell r="BN1380">
            <v>0</v>
          </cell>
          <cell r="BO1380">
            <v>0</v>
          </cell>
          <cell r="BP1380">
            <v>0</v>
          </cell>
          <cell r="BQ1380">
            <v>0</v>
          </cell>
          <cell r="BR1380">
            <v>0</v>
          </cell>
          <cell r="BS1380">
            <v>0</v>
          </cell>
          <cell r="BT1380">
            <v>0</v>
          </cell>
          <cell r="BU1380">
            <v>14</v>
          </cell>
        </row>
        <row r="1381">
          <cell r="A1381">
            <v>27</v>
          </cell>
          <cell r="B1381">
            <v>27</v>
          </cell>
          <cell r="D1381">
            <v>1</v>
          </cell>
          <cell r="F1381">
            <v>1</v>
          </cell>
          <cell r="G1381">
            <v>0</v>
          </cell>
          <cell r="I1381">
            <v>0</v>
          </cell>
          <cell r="J1381">
            <v>0</v>
          </cell>
          <cell r="K1381">
            <v>22</v>
          </cell>
          <cell r="L1381">
            <v>22</v>
          </cell>
          <cell r="M1381">
            <v>3</v>
          </cell>
          <cell r="O1381">
            <v>0</v>
          </cell>
          <cell r="P1381">
            <v>0</v>
          </cell>
          <cell r="Q1381">
            <v>0</v>
          </cell>
          <cell r="R1381">
            <v>0</v>
          </cell>
          <cell r="S1381">
            <v>0</v>
          </cell>
          <cell r="T1381">
            <v>1</v>
          </cell>
          <cell r="V1381">
            <v>1</v>
          </cell>
          <cell r="W1381">
            <v>58</v>
          </cell>
          <cell r="X1381">
            <v>2</v>
          </cell>
          <cell r="Y1381">
            <v>1</v>
          </cell>
          <cell r="AA1381">
            <v>0</v>
          </cell>
          <cell r="AB1381">
            <v>0</v>
          </cell>
          <cell r="AC1381">
            <v>0</v>
          </cell>
          <cell r="AD1381">
            <v>0</v>
          </cell>
          <cell r="AE1381">
            <v>0</v>
          </cell>
          <cell r="AF1381">
            <v>0</v>
          </cell>
          <cell r="AG1381">
            <v>0</v>
          </cell>
          <cell r="AH1381">
            <v>0</v>
          </cell>
          <cell r="AI1381">
            <v>2</v>
          </cell>
          <cell r="AK1381">
            <v>0</v>
          </cell>
          <cell r="AL1381">
            <v>1</v>
          </cell>
          <cell r="AN1381">
            <v>2863</v>
          </cell>
          <cell r="AO1381">
            <v>1</v>
          </cell>
          <cell r="AQ1381">
            <v>0</v>
          </cell>
          <cell r="AR1381">
            <v>12</v>
          </cell>
          <cell r="AS1381">
            <v>3</v>
          </cell>
          <cell r="AT1381">
            <v>1</v>
          </cell>
          <cell r="AU1381">
            <v>0</v>
          </cell>
          <cell r="AV1381">
            <v>1</v>
          </cell>
          <cell r="AW1381">
            <v>1</v>
          </cell>
          <cell r="AX1381">
            <v>2</v>
          </cell>
          <cell r="AY1381">
            <v>3</v>
          </cell>
          <cell r="AZ1381">
            <v>1</v>
          </cell>
          <cell r="BA1381">
            <v>1</v>
          </cell>
          <cell r="BB1381">
            <v>0</v>
          </cell>
          <cell r="BC1381">
            <v>0</v>
          </cell>
          <cell r="BD1381">
            <v>0</v>
          </cell>
          <cell r="BE1381">
            <v>0</v>
          </cell>
          <cell r="BF1381">
            <v>0</v>
          </cell>
          <cell r="BG1381">
            <v>0</v>
          </cell>
          <cell r="BH1381">
            <v>0</v>
          </cell>
          <cell r="BI1381">
            <v>0</v>
          </cell>
          <cell r="BJ1381">
            <v>0</v>
          </cell>
          <cell r="BK1381">
            <v>1</v>
          </cell>
          <cell r="BL1381">
            <v>0</v>
          </cell>
          <cell r="BM1381">
            <v>0</v>
          </cell>
          <cell r="BN1381">
            <v>1</v>
          </cell>
          <cell r="BO1381">
            <v>0</v>
          </cell>
          <cell r="BP1381">
            <v>0</v>
          </cell>
          <cell r="BQ1381">
            <v>0</v>
          </cell>
          <cell r="BR1381">
            <v>0</v>
          </cell>
          <cell r="BS1381">
            <v>1</v>
          </cell>
          <cell r="BT1381">
            <v>0</v>
          </cell>
          <cell r="BU1381">
            <v>0</v>
          </cell>
        </row>
        <row r="1382">
          <cell r="A1382">
            <v>35</v>
          </cell>
          <cell r="B1382">
            <v>35</v>
          </cell>
          <cell r="D1382">
            <v>0</v>
          </cell>
          <cell r="F1382">
            <v>0</v>
          </cell>
          <cell r="G1382">
            <v>1</v>
          </cell>
          <cell r="I1382">
            <v>0</v>
          </cell>
          <cell r="J1382">
            <v>1</v>
          </cell>
          <cell r="K1382">
            <v>18</v>
          </cell>
          <cell r="L1382">
            <v>18</v>
          </cell>
          <cell r="M1382">
            <v>4</v>
          </cell>
          <cell r="O1382">
            <v>0</v>
          </cell>
          <cell r="P1382">
            <v>0</v>
          </cell>
          <cell r="Q1382">
            <v>1</v>
          </cell>
          <cell r="R1382">
            <v>0</v>
          </cell>
          <cell r="S1382">
            <v>0</v>
          </cell>
          <cell r="T1382">
            <v>2</v>
          </cell>
          <cell r="V1382">
            <v>0</v>
          </cell>
          <cell r="W1382">
            <v>71</v>
          </cell>
          <cell r="X1382">
            <v>3</v>
          </cell>
          <cell r="Y1382">
            <v>2</v>
          </cell>
          <cell r="AA1382">
            <v>0</v>
          </cell>
          <cell r="AB1382">
            <v>1</v>
          </cell>
          <cell r="AC1382">
            <v>0</v>
          </cell>
          <cell r="AD1382">
            <v>0</v>
          </cell>
          <cell r="AE1382">
            <v>0</v>
          </cell>
          <cell r="AF1382">
            <v>0</v>
          </cell>
          <cell r="AG1382">
            <v>0</v>
          </cell>
          <cell r="AH1382">
            <v>0</v>
          </cell>
          <cell r="AI1382">
            <v>1</v>
          </cell>
          <cell r="AK1382">
            <v>0</v>
          </cell>
          <cell r="AL1382">
            <v>1</v>
          </cell>
          <cell r="AN1382">
            <v>5561</v>
          </cell>
          <cell r="AO1382">
            <v>0</v>
          </cell>
          <cell r="AQ1382">
            <v>0</v>
          </cell>
          <cell r="AR1382">
            <v>16</v>
          </cell>
          <cell r="AS1382">
            <v>3</v>
          </cell>
          <cell r="AT1382">
            <v>4</v>
          </cell>
          <cell r="AU1382">
            <v>1</v>
          </cell>
          <cell r="AV1382">
            <v>6</v>
          </cell>
          <cell r="AW1382">
            <v>6</v>
          </cell>
          <cell r="AX1382">
            <v>2</v>
          </cell>
          <cell r="AY1382">
            <v>1</v>
          </cell>
          <cell r="AZ1382">
            <v>5</v>
          </cell>
          <cell r="BA1382">
            <v>5</v>
          </cell>
          <cell r="BB1382">
            <v>3</v>
          </cell>
          <cell r="BC1382">
            <v>0</v>
          </cell>
          <cell r="BD1382">
            <v>0</v>
          </cell>
          <cell r="BE1382">
            <v>4</v>
          </cell>
          <cell r="BF1382">
            <v>4</v>
          </cell>
          <cell r="BG1382">
            <v>8</v>
          </cell>
          <cell r="BH1382">
            <v>0</v>
          </cell>
          <cell r="BI1382">
            <v>1</v>
          </cell>
          <cell r="BJ1382">
            <v>0</v>
          </cell>
          <cell r="BK1382">
            <v>0</v>
          </cell>
          <cell r="BL1382">
            <v>0</v>
          </cell>
          <cell r="BM1382">
            <v>0</v>
          </cell>
          <cell r="BN1382">
            <v>1</v>
          </cell>
          <cell r="BO1382">
            <v>0</v>
          </cell>
          <cell r="BP1382">
            <v>0</v>
          </cell>
          <cell r="BQ1382">
            <v>0</v>
          </cell>
          <cell r="BR1382">
            <v>4</v>
          </cell>
          <cell r="BS1382">
            <v>0</v>
          </cell>
          <cell r="BT1382">
            <v>0</v>
          </cell>
          <cell r="BU1382">
            <v>6</v>
          </cell>
        </row>
        <row r="1383">
          <cell r="A1383">
            <v>28</v>
          </cell>
          <cell r="B1383">
            <v>28</v>
          </cell>
          <cell r="D1383">
            <v>0</v>
          </cell>
          <cell r="F1383">
            <v>0</v>
          </cell>
          <cell r="G1383">
            <v>0</v>
          </cell>
          <cell r="I1383">
            <v>1</v>
          </cell>
          <cell r="J1383">
            <v>0</v>
          </cell>
          <cell r="K1383">
            <v>16</v>
          </cell>
          <cell r="L1383">
            <v>16</v>
          </cell>
          <cell r="M1383">
            <v>3</v>
          </cell>
          <cell r="O1383">
            <v>0</v>
          </cell>
          <cell r="P1383">
            <v>0</v>
          </cell>
          <cell r="Q1383">
            <v>1</v>
          </cell>
          <cell r="R1383">
            <v>0</v>
          </cell>
          <cell r="S1383">
            <v>0</v>
          </cell>
          <cell r="T1383">
            <v>3</v>
          </cell>
          <cell r="V1383">
            <v>0</v>
          </cell>
          <cell r="W1383">
            <v>49</v>
          </cell>
          <cell r="X1383">
            <v>3</v>
          </cell>
          <cell r="Y1383">
            <v>1</v>
          </cell>
          <cell r="AA1383">
            <v>0</v>
          </cell>
          <cell r="AB1383">
            <v>0</v>
          </cell>
          <cell r="AC1383">
            <v>0</v>
          </cell>
          <cell r="AD1383">
            <v>0</v>
          </cell>
          <cell r="AE1383">
            <v>0</v>
          </cell>
          <cell r="AF1383">
            <v>0</v>
          </cell>
          <cell r="AG1383">
            <v>0</v>
          </cell>
          <cell r="AH1383">
            <v>1</v>
          </cell>
          <cell r="AI1383">
            <v>3</v>
          </cell>
          <cell r="AK1383">
            <v>1</v>
          </cell>
          <cell r="AL1383">
            <v>0</v>
          </cell>
          <cell r="AN1383">
            <v>2144</v>
          </cell>
          <cell r="AO1383">
            <v>1</v>
          </cell>
          <cell r="AQ1383">
            <v>0</v>
          </cell>
          <cell r="AR1383">
            <v>14</v>
          </cell>
          <cell r="AS1383">
            <v>3</v>
          </cell>
          <cell r="AT1383">
            <v>3</v>
          </cell>
          <cell r="AU1383">
            <v>0</v>
          </cell>
          <cell r="AV1383">
            <v>5</v>
          </cell>
          <cell r="AW1383">
            <v>5</v>
          </cell>
          <cell r="AX1383">
            <v>3</v>
          </cell>
          <cell r="AY1383">
            <v>2</v>
          </cell>
          <cell r="AZ1383">
            <v>5</v>
          </cell>
          <cell r="BA1383">
            <v>5</v>
          </cell>
          <cell r="BB1383">
            <v>3</v>
          </cell>
          <cell r="BC1383">
            <v>1</v>
          </cell>
          <cell r="BD1383">
            <v>1</v>
          </cell>
          <cell r="BE1383">
            <v>4</v>
          </cell>
          <cell r="BF1383">
            <v>4</v>
          </cell>
          <cell r="BG1383">
            <v>4</v>
          </cell>
          <cell r="BH1383">
            <v>1</v>
          </cell>
          <cell r="BI1383">
            <v>0</v>
          </cell>
          <cell r="BJ1383">
            <v>0</v>
          </cell>
          <cell r="BK1383">
            <v>0</v>
          </cell>
          <cell r="BL1383">
            <v>1</v>
          </cell>
          <cell r="BM1383">
            <v>0</v>
          </cell>
          <cell r="BN1383">
            <v>0</v>
          </cell>
          <cell r="BO1383">
            <v>0</v>
          </cell>
          <cell r="BP1383">
            <v>0</v>
          </cell>
          <cell r="BQ1383">
            <v>4</v>
          </cell>
          <cell r="BR1383">
            <v>0</v>
          </cell>
          <cell r="BS1383">
            <v>0</v>
          </cell>
          <cell r="BT1383">
            <v>5</v>
          </cell>
          <cell r="BU1383">
            <v>0</v>
          </cell>
        </row>
        <row r="1384">
          <cell r="A1384">
            <v>31</v>
          </cell>
          <cell r="B1384">
            <v>31</v>
          </cell>
          <cell r="D1384">
            <v>0</v>
          </cell>
          <cell r="F1384">
            <v>0</v>
          </cell>
          <cell r="G1384">
            <v>0</v>
          </cell>
          <cell r="I1384">
            <v>1</v>
          </cell>
          <cell r="J1384">
            <v>0</v>
          </cell>
          <cell r="K1384">
            <v>3</v>
          </cell>
          <cell r="L1384">
            <v>3</v>
          </cell>
          <cell r="M1384">
            <v>2</v>
          </cell>
          <cell r="O1384">
            <v>0</v>
          </cell>
          <cell r="P1384">
            <v>0</v>
          </cell>
          <cell r="Q1384">
            <v>1</v>
          </cell>
          <cell r="R1384">
            <v>0</v>
          </cell>
          <cell r="S1384">
            <v>0</v>
          </cell>
          <cell r="T1384">
            <v>3</v>
          </cell>
          <cell r="V1384">
            <v>0</v>
          </cell>
          <cell r="W1384">
            <v>48</v>
          </cell>
          <cell r="X1384">
            <v>3</v>
          </cell>
          <cell r="Y1384">
            <v>1</v>
          </cell>
          <cell r="AA1384">
            <v>0</v>
          </cell>
          <cell r="AB1384">
            <v>0</v>
          </cell>
          <cell r="AC1384">
            <v>0</v>
          </cell>
          <cell r="AD1384">
            <v>0</v>
          </cell>
          <cell r="AE1384">
            <v>0</v>
          </cell>
          <cell r="AF1384">
            <v>0</v>
          </cell>
          <cell r="AG1384">
            <v>0</v>
          </cell>
          <cell r="AH1384">
            <v>1</v>
          </cell>
          <cell r="AI1384">
            <v>1</v>
          </cell>
          <cell r="AK1384">
            <v>0</v>
          </cell>
          <cell r="AL1384">
            <v>0</v>
          </cell>
          <cell r="AN1384">
            <v>3065</v>
          </cell>
          <cell r="AO1384">
            <v>1</v>
          </cell>
          <cell r="AQ1384">
            <v>1</v>
          </cell>
          <cell r="AR1384">
            <v>13</v>
          </cell>
          <cell r="AS1384">
            <v>3</v>
          </cell>
          <cell r="AT1384">
            <v>4</v>
          </cell>
          <cell r="AU1384">
            <v>1</v>
          </cell>
          <cell r="AV1384">
            <v>4</v>
          </cell>
          <cell r="AW1384">
            <v>4</v>
          </cell>
          <cell r="AX1384">
            <v>3</v>
          </cell>
          <cell r="AY1384">
            <v>4</v>
          </cell>
          <cell r="AZ1384">
            <v>4</v>
          </cell>
          <cell r="BA1384">
            <v>4</v>
          </cell>
          <cell r="BB1384">
            <v>2</v>
          </cell>
          <cell r="BC1384">
            <v>2</v>
          </cell>
          <cell r="BD1384">
            <v>2</v>
          </cell>
          <cell r="BE1384">
            <v>3</v>
          </cell>
          <cell r="BF1384">
            <v>3</v>
          </cell>
          <cell r="BG1384">
            <v>3</v>
          </cell>
          <cell r="BH1384">
            <v>1</v>
          </cell>
          <cell r="BI1384">
            <v>0</v>
          </cell>
          <cell r="BJ1384">
            <v>0</v>
          </cell>
          <cell r="BK1384">
            <v>0</v>
          </cell>
          <cell r="BL1384">
            <v>0</v>
          </cell>
          <cell r="BM1384">
            <v>1</v>
          </cell>
          <cell r="BN1384">
            <v>0</v>
          </cell>
          <cell r="BO1384">
            <v>0</v>
          </cell>
          <cell r="BP1384">
            <v>0</v>
          </cell>
          <cell r="BQ1384">
            <v>3</v>
          </cell>
          <cell r="BR1384">
            <v>0</v>
          </cell>
          <cell r="BS1384">
            <v>0</v>
          </cell>
          <cell r="BT1384">
            <v>4</v>
          </cell>
          <cell r="BU1384">
            <v>0</v>
          </cell>
        </row>
        <row r="1385">
          <cell r="A1385">
            <v>36</v>
          </cell>
          <cell r="B1385">
            <v>36</v>
          </cell>
          <cell r="D1385">
            <v>0</v>
          </cell>
          <cell r="F1385">
            <v>0</v>
          </cell>
          <cell r="G1385">
            <v>0</v>
          </cell>
          <cell r="I1385">
            <v>1</v>
          </cell>
          <cell r="J1385">
            <v>0</v>
          </cell>
          <cell r="K1385">
            <v>9</v>
          </cell>
          <cell r="L1385">
            <v>9</v>
          </cell>
          <cell r="M1385">
            <v>4</v>
          </cell>
          <cell r="O1385">
            <v>1</v>
          </cell>
          <cell r="P1385">
            <v>0</v>
          </cell>
          <cell r="Q1385">
            <v>0</v>
          </cell>
          <cell r="R1385">
            <v>0</v>
          </cell>
          <cell r="S1385">
            <v>0</v>
          </cell>
          <cell r="T1385">
            <v>1</v>
          </cell>
          <cell r="V1385">
            <v>0</v>
          </cell>
          <cell r="W1385">
            <v>66</v>
          </cell>
          <cell r="X1385">
            <v>4</v>
          </cell>
          <cell r="Y1385">
            <v>1</v>
          </cell>
          <cell r="AA1385">
            <v>0</v>
          </cell>
          <cell r="AB1385">
            <v>0</v>
          </cell>
          <cell r="AC1385">
            <v>1</v>
          </cell>
          <cell r="AD1385">
            <v>0</v>
          </cell>
          <cell r="AE1385">
            <v>0</v>
          </cell>
          <cell r="AF1385">
            <v>0</v>
          </cell>
          <cell r="AG1385">
            <v>0</v>
          </cell>
          <cell r="AH1385">
            <v>0</v>
          </cell>
          <cell r="AI1385">
            <v>2</v>
          </cell>
          <cell r="AK1385">
            <v>0</v>
          </cell>
          <cell r="AL1385">
            <v>1</v>
          </cell>
          <cell r="AN1385">
            <v>2810</v>
          </cell>
          <cell r="AO1385">
            <v>1</v>
          </cell>
          <cell r="AQ1385">
            <v>0</v>
          </cell>
          <cell r="AR1385">
            <v>22</v>
          </cell>
          <cell r="AS1385">
            <v>4</v>
          </cell>
          <cell r="AT1385">
            <v>2</v>
          </cell>
          <cell r="AU1385">
            <v>0</v>
          </cell>
          <cell r="AV1385">
            <v>5</v>
          </cell>
          <cell r="AW1385">
            <v>5</v>
          </cell>
          <cell r="AX1385">
            <v>3</v>
          </cell>
          <cell r="AY1385">
            <v>3</v>
          </cell>
          <cell r="AZ1385">
            <v>5</v>
          </cell>
          <cell r="BA1385">
            <v>5</v>
          </cell>
          <cell r="BB1385">
            <v>4</v>
          </cell>
          <cell r="BC1385">
            <v>0</v>
          </cell>
          <cell r="BD1385">
            <v>0</v>
          </cell>
          <cell r="BE1385">
            <v>2</v>
          </cell>
          <cell r="BF1385">
            <v>2</v>
          </cell>
          <cell r="BG1385">
            <v>2</v>
          </cell>
          <cell r="BH1385">
            <v>0</v>
          </cell>
          <cell r="BI1385">
            <v>1</v>
          </cell>
          <cell r="BJ1385">
            <v>0</v>
          </cell>
          <cell r="BK1385">
            <v>0</v>
          </cell>
          <cell r="BL1385">
            <v>0</v>
          </cell>
          <cell r="BM1385">
            <v>0</v>
          </cell>
          <cell r="BN1385">
            <v>1</v>
          </cell>
          <cell r="BO1385">
            <v>0</v>
          </cell>
          <cell r="BP1385">
            <v>0</v>
          </cell>
          <cell r="BQ1385">
            <v>2</v>
          </cell>
          <cell r="BR1385">
            <v>0</v>
          </cell>
          <cell r="BS1385">
            <v>0</v>
          </cell>
          <cell r="BT1385">
            <v>5</v>
          </cell>
          <cell r="BU1385">
            <v>0</v>
          </cell>
        </row>
        <row r="1386">
          <cell r="A1386">
            <v>34</v>
          </cell>
          <cell r="B1386">
            <v>34</v>
          </cell>
          <cell r="D1386">
            <v>0</v>
          </cell>
          <cell r="F1386">
            <v>0</v>
          </cell>
          <cell r="G1386">
            <v>1</v>
          </cell>
          <cell r="I1386">
            <v>0</v>
          </cell>
          <cell r="J1386">
            <v>1</v>
          </cell>
          <cell r="K1386">
            <v>1</v>
          </cell>
          <cell r="L1386">
            <v>1</v>
          </cell>
          <cell r="M1386">
            <v>3</v>
          </cell>
          <cell r="O1386">
            <v>0</v>
          </cell>
          <cell r="P1386">
            <v>0</v>
          </cell>
          <cell r="Q1386">
            <v>0</v>
          </cell>
          <cell r="R1386">
            <v>1</v>
          </cell>
          <cell r="S1386">
            <v>0</v>
          </cell>
          <cell r="T1386">
            <v>1</v>
          </cell>
          <cell r="V1386">
            <v>0</v>
          </cell>
          <cell r="W1386">
            <v>32</v>
          </cell>
          <cell r="X1386">
            <v>3</v>
          </cell>
          <cell r="Y1386">
            <v>3</v>
          </cell>
          <cell r="AA1386">
            <v>0</v>
          </cell>
          <cell r="AB1386">
            <v>1</v>
          </cell>
          <cell r="AC1386">
            <v>0</v>
          </cell>
          <cell r="AD1386">
            <v>0</v>
          </cell>
          <cell r="AE1386">
            <v>0</v>
          </cell>
          <cell r="AF1386">
            <v>0</v>
          </cell>
          <cell r="AG1386">
            <v>0</v>
          </cell>
          <cell r="AH1386">
            <v>0</v>
          </cell>
          <cell r="AI1386">
            <v>4</v>
          </cell>
          <cell r="AK1386">
            <v>1</v>
          </cell>
          <cell r="AL1386">
            <v>0</v>
          </cell>
          <cell r="AN1386">
            <v>9888</v>
          </cell>
          <cell r="AO1386">
            <v>1</v>
          </cell>
          <cell r="AQ1386">
            <v>0</v>
          </cell>
          <cell r="AR1386">
            <v>21</v>
          </cell>
          <cell r="AS1386">
            <v>4</v>
          </cell>
          <cell r="AT1386">
            <v>1</v>
          </cell>
          <cell r="AU1386">
            <v>0</v>
          </cell>
          <cell r="AV1386">
            <v>14</v>
          </cell>
          <cell r="AW1386">
            <v>14</v>
          </cell>
          <cell r="AX1386">
            <v>3</v>
          </cell>
          <cell r="AY1386">
            <v>2</v>
          </cell>
          <cell r="AZ1386">
            <v>14</v>
          </cell>
          <cell r="BA1386">
            <v>14</v>
          </cell>
          <cell r="BB1386">
            <v>8</v>
          </cell>
          <cell r="BC1386">
            <v>2</v>
          </cell>
          <cell r="BD1386">
            <v>2</v>
          </cell>
          <cell r="BE1386">
            <v>1</v>
          </cell>
          <cell r="BF1386">
            <v>1</v>
          </cell>
          <cell r="BG1386">
            <v>3</v>
          </cell>
          <cell r="BH1386">
            <v>1</v>
          </cell>
          <cell r="BI1386">
            <v>0</v>
          </cell>
          <cell r="BJ1386">
            <v>0</v>
          </cell>
          <cell r="BK1386">
            <v>0</v>
          </cell>
          <cell r="BL1386">
            <v>1</v>
          </cell>
          <cell r="BM1386">
            <v>0</v>
          </cell>
          <cell r="BN1386">
            <v>0</v>
          </cell>
          <cell r="BO1386">
            <v>0</v>
          </cell>
          <cell r="BP1386">
            <v>0</v>
          </cell>
          <cell r="BQ1386">
            <v>0</v>
          </cell>
          <cell r="BR1386">
            <v>1</v>
          </cell>
          <cell r="BS1386">
            <v>0</v>
          </cell>
          <cell r="BT1386">
            <v>0</v>
          </cell>
          <cell r="BU1386">
            <v>14</v>
          </cell>
        </row>
        <row r="1387">
          <cell r="A1387">
            <v>34</v>
          </cell>
          <cell r="B1387">
            <v>34</v>
          </cell>
          <cell r="D1387">
            <v>0</v>
          </cell>
          <cell r="F1387">
            <v>0</v>
          </cell>
          <cell r="G1387">
            <v>1</v>
          </cell>
          <cell r="I1387">
            <v>0</v>
          </cell>
          <cell r="J1387">
            <v>1</v>
          </cell>
          <cell r="K1387">
            <v>13</v>
          </cell>
          <cell r="L1387">
            <v>13</v>
          </cell>
          <cell r="M1387">
            <v>4</v>
          </cell>
          <cell r="O1387">
            <v>0</v>
          </cell>
          <cell r="P1387">
            <v>0</v>
          </cell>
          <cell r="Q1387">
            <v>1</v>
          </cell>
          <cell r="R1387">
            <v>0</v>
          </cell>
          <cell r="S1387">
            <v>0</v>
          </cell>
          <cell r="T1387">
            <v>4</v>
          </cell>
          <cell r="V1387">
            <v>0</v>
          </cell>
          <cell r="W1387">
            <v>39</v>
          </cell>
          <cell r="X1387">
            <v>3</v>
          </cell>
          <cell r="Y1387">
            <v>3</v>
          </cell>
          <cell r="AA1387">
            <v>0</v>
          </cell>
          <cell r="AB1387">
            <v>1</v>
          </cell>
          <cell r="AC1387">
            <v>0</v>
          </cell>
          <cell r="AD1387">
            <v>0</v>
          </cell>
          <cell r="AE1387">
            <v>0</v>
          </cell>
          <cell r="AF1387">
            <v>0</v>
          </cell>
          <cell r="AG1387">
            <v>0</v>
          </cell>
          <cell r="AH1387">
            <v>0</v>
          </cell>
          <cell r="AI1387">
            <v>3</v>
          </cell>
          <cell r="AK1387">
            <v>0</v>
          </cell>
          <cell r="AL1387">
            <v>0</v>
          </cell>
          <cell r="AN1387">
            <v>8628</v>
          </cell>
          <cell r="AO1387">
            <v>1</v>
          </cell>
          <cell r="AQ1387">
            <v>0</v>
          </cell>
          <cell r="AR1387">
            <v>18</v>
          </cell>
          <cell r="AS1387">
            <v>3</v>
          </cell>
          <cell r="AT1387">
            <v>3</v>
          </cell>
          <cell r="AU1387">
            <v>1</v>
          </cell>
          <cell r="AV1387">
            <v>9</v>
          </cell>
          <cell r="AW1387">
            <v>9</v>
          </cell>
          <cell r="AX1387">
            <v>2</v>
          </cell>
          <cell r="AY1387">
            <v>2</v>
          </cell>
          <cell r="AZ1387">
            <v>8</v>
          </cell>
          <cell r="BA1387">
            <v>8</v>
          </cell>
          <cell r="BB1387">
            <v>7</v>
          </cell>
          <cell r="BC1387">
            <v>1</v>
          </cell>
          <cell r="BD1387">
            <v>1</v>
          </cell>
          <cell r="BE1387">
            <v>1</v>
          </cell>
          <cell r="BF1387">
            <v>1</v>
          </cell>
          <cell r="BG1387">
            <v>3</v>
          </cell>
          <cell r="BH1387">
            <v>1</v>
          </cell>
          <cell r="BI1387">
            <v>0</v>
          </cell>
          <cell r="BJ1387">
            <v>0</v>
          </cell>
          <cell r="BK1387">
            <v>0</v>
          </cell>
          <cell r="BL1387">
            <v>1</v>
          </cell>
          <cell r="BM1387">
            <v>0</v>
          </cell>
          <cell r="BN1387">
            <v>0</v>
          </cell>
          <cell r="BO1387">
            <v>0</v>
          </cell>
          <cell r="BP1387">
            <v>0</v>
          </cell>
          <cell r="BQ1387">
            <v>0</v>
          </cell>
          <cell r="BR1387">
            <v>1</v>
          </cell>
          <cell r="BS1387">
            <v>0</v>
          </cell>
          <cell r="BT1387">
            <v>0</v>
          </cell>
          <cell r="BU1387">
            <v>9</v>
          </cell>
        </row>
        <row r="1388">
          <cell r="A1388">
            <v>26</v>
          </cell>
          <cell r="B1388">
            <v>26</v>
          </cell>
          <cell r="D1388">
            <v>0</v>
          </cell>
          <cell r="F1388">
            <v>0</v>
          </cell>
          <cell r="G1388">
            <v>1</v>
          </cell>
          <cell r="I1388">
            <v>1</v>
          </cell>
          <cell r="J1388">
            <v>0</v>
          </cell>
          <cell r="K1388">
            <v>1</v>
          </cell>
          <cell r="L1388">
            <v>1</v>
          </cell>
          <cell r="M1388">
            <v>3</v>
          </cell>
          <cell r="O1388">
            <v>0</v>
          </cell>
          <cell r="P1388">
            <v>0</v>
          </cell>
          <cell r="Q1388">
            <v>1</v>
          </cell>
          <cell r="R1388">
            <v>0</v>
          </cell>
          <cell r="S1388">
            <v>0</v>
          </cell>
          <cell r="T1388">
            <v>3</v>
          </cell>
          <cell r="V1388">
            <v>0</v>
          </cell>
          <cell r="W1388">
            <v>95</v>
          </cell>
          <cell r="X1388">
            <v>3</v>
          </cell>
          <cell r="Y1388">
            <v>1</v>
          </cell>
          <cell r="AA1388">
            <v>0</v>
          </cell>
          <cell r="AB1388">
            <v>0</v>
          </cell>
          <cell r="AC1388">
            <v>1</v>
          </cell>
          <cell r="AD1388">
            <v>0</v>
          </cell>
          <cell r="AE1388">
            <v>0</v>
          </cell>
          <cell r="AF1388">
            <v>0</v>
          </cell>
          <cell r="AG1388">
            <v>0</v>
          </cell>
          <cell r="AH1388">
            <v>0</v>
          </cell>
          <cell r="AI1388">
            <v>1</v>
          </cell>
          <cell r="AK1388">
            <v>1</v>
          </cell>
          <cell r="AL1388">
            <v>0</v>
          </cell>
          <cell r="AN1388">
            <v>2867</v>
          </cell>
          <cell r="AO1388">
            <v>0</v>
          </cell>
          <cell r="AQ1388">
            <v>0</v>
          </cell>
          <cell r="AR1388">
            <v>13</v>
          </cell>
          <cell r="AS1388">
            <v>3</v>
          </cell>
          <cell r="AT1388">
            <v>4</v>
          </cell>
          <cell r="AU1388">
            <v>0</v>
          </cell>
          <cell r="AV1388">
            <v>8</v>
          </cell>
          <cell r="AW1388">
            <v>8</v>
          </cell>
          <cell r="AX1388">
            <v>6</v>
          </cell>
          <cell r="AY1388">
            <v>2</v>
          </cell>
          <cell r="AZ1388">
            <v>7</v>
          </cell>
          <cell r="BA1388">
            <v>7</v>
          </cell>
          <cell r="BB1388">
            <v>7</v>
          </cell>
          <cell r="BC1388">
            <v>7</v>
          </cell>
          <cell r="BD1388">
            <v>7</v>
          </cell>
          <cell r="BE1388">
            <v>6</v>
          </cell>
          <cell r="BF1388">
            <v>6</v>
          </cell>
          <cell r="BG1388">
            <v>6</v>
          </cell>
          <cell r="BH1388">
            <v>1</v>
          </cell>
          <cell r="BI1388">
            <v>0</v>
          </cell>
          <cell r="BJ1388">
            <v>0</v>
          </cell>
          <cell r="BK1388">
            <v>0</v>
          </cell>
          <cell r="BL1388">
            <v>1</v>
          </cell>
          <cell r="BM1388">
            <v>0</v>
          </cell>
          <cell r="BN1388">
            <v>0</v>
          </cell>
          <cell r="BO1388">
            <v>0</v>
          </cell>
          <cell r="BP1388">
            <v>0</v>
          </cell>
          <cell r="BQ1388">
            <v>6</v>
          </cell>
          <cell r="BR1388">
            <v>0</v>
          </cell>
          <cell r="BS1388">
            <v>0</v>
          </cell>
          <cell r="BT1388">
            <v>8</v>
          </cell>
          <cell r="BU1388">
            <v>0</v>
          </cell>
        </row>
        <row r="1389">
          <cell r="A1389">
            <v>29</v>
          </cell>
          <cell r="B1389">
            <v>29</v>
          </cell>
          <cell r="D1389">
            <v>0</v>
          </cell>
          <cell r="F1389">
            <v>0</v>
          </cell>
          <cell r="G1389">
            <v>1</v>
          </cell>
          <cell r="I1389">
            <v>1</v>
          </cell>
          <cell r="J1389">
            <v>0</v>
          </cell>
          <cell r="K1389">
            <v>1</v>
          </cell>
          <cell r="L1389">
            <v>1</v>
          </cell>
          <cell r="M1389">
            <v>3</v>
          </cell>
          <cell r="O1389">
            <v>1</v>
          </cell>
          <cell r="P1389">
            <v>0</v>
          </cell>
          <cell r="Q1389">
            <v>0</v>
          </cell>
          <cell r="R1389">
            <v>0</v>
          </cell>
          <cell r="S1389">
            <v>0</v>
          </cell>
          <cell r="T1389">
            <v>1</v>
          </cell>
          <cell r="V1389">
            <v>0</v>
          </cell>
          <cell r="W1389">
            <v>89</v>
          </cell>
          <cell r="X1389">
            <v>3</v>
          </cell>
          <cell r="Y1389">
            <v>2</v>
          </cell>
          <cell r="AA1389">
            <v>1</v>
          </cell>
          <cell r="AB1389">
            <v>0</v>
          </cell>
          <cell r="AC1389">
            <v>0</v>
          </cell>
          <cell r="AD1389">
            <v>0</v>
          </cell>
          <cell r="AE1389">
            <v>0</v>
          </cell>
          <cell r="AF1389">
            <v>0</v>
          </cell>
          <cell r="AG1389">
            <v>0</v>
          </cell>
          <cell r="AH1389">
            <v>0</v>
          </cell>
          <cell r="AI1389">
            <v>1</v>
          </cell>
          <cell r="AK1389">
            <v>0</v>
          </cell>
          <cell r="AL1389">
            <v>1</v>
          </cell>
          <cell r="AN1389">
            <v>5373</v>
          </cell>
          <cell r="AO1389">
            <v>0</v>
          </cell>
          <cell r="AQ1389">
            <v>0</v>
          </cell>
          <cell r="AR1389">
            <v>12</v>
          </cell>
          <cell r="AS1389">
            <v>3</v>
          </cell>
          <cell r="AT1389">
            <v>1</v>
          </cell>
          <cell r="AU1389">
            <v>1</v>
          </cell>
          <cell r="AV1389">
            <v>6</v>
          </cell>
          <cell r="AW1389">
            <v>6</v>
          </cell>
          <cell r="AX1389">
            <v>5</v>
          </cell>
          <cell r="AY1389">
            <v>2</v>
          </cell>
          <cell r="AZ1389">
            <v>5</v>
          </cell>
          <cell r="BA1389">
            <v>5</v>
          </cell>
          <cell r="BB1389">
            <v>3</v>
          </cell>
          <cell r="BC1389">
            <v>0</v>
          </cell>
          <cell r="BD1389">
            <v>0</v>
          </cell>
          <cell r="BE1389">
            <v>2</v>
          </cell>
          <cell r="BF1389">
            <v>2</v>
          </cell>
          <cell r="BG1389">
            <v>4</v>
          </cell>
          <cell r="BH1389">
            <v>0</v>
          </cell>
          <cell r="BI1389">
            <v>1</v>
          </cell>
          <cell r="BJ1389">
            <v>0</v>
          </cell>
          <cell r="BK1389">
            <v>0</v>
          </cell>
          <cell r="BL1389">
            <v>0</v>
          </cell>
          <cell r="BM1389">
            <v>0</v>
          </cell>
          <cell r="BN1389">
            <v>1</v>
          </cell>
          <cell r="BO1389">
            <v>0</v>
          </cell>
          <cell r="BP1389">
            <v>0</v>
          </cell>
          <cell r="BQ1389">
            <v>2</v>
          </cell>
          <cell r="BR1389">
            <v>0</v>
          </cell>
          <cell r="BS1389">
            <v>0</v>
          </cell>
          <cell r="BT1389">
            <v>6</v>
          </cell>
          <cell r="BU1389">
            <v>0</v>
          </cell>
        </row>
        <row r="1390">
          <cell r="A1390">
            <v>32</v>
          </cell>
          <cell r="B1390">
            <v>32</v>
          </cell>
          <cell r="D1390">
            <v>0</v>
          </cell>
          <cell r="F1390">
            <v>0</v>
          </cell>
          <cell r="G1390">
            <v>0</v>
          </cell>
          <cell r="I1390">
            <v>1</v>
          </cell>
          <cell r="J1390">
            <v>0</v>
          </cell>
          <cell r="K1390">
            <v>15</v>
          </cell>
          <cell r="L1390">
            <v>15</v>
          </cell>
          <cell r="M1390">
            <v>4</v>
          </cell>
          <cell r="O1390">
            <v>0</v>
          </cell>
          <cell r="P1390">
            <v>0</v>
          </cell>
          <cell r="Q1390">
            <v>1</v>
          </cell>
          <cell r="R1390">
            <v>0</v>
          </cell>
          <cell r="S1390">
            <v>0</v>
          </cell>
          <cell r="T1390">
            <v>3</v>
          </cell>
          <cell r="V1390">
            <v>1</v>
          </cell>
          <cell r="W1390">
            <v>34</v>
          </cell>
          <cell r="X1390">
            <v>3</v>
          </cell>
          <cell r="Y1390">
            <v>2</v>
          </cell>
          <cell r="AA1390">
            <v>1</v>
          </cell>
          <cell r="AB1390">
            <v>0</v>
          </cell>
          <cell r="AC1390">
            <v>0</v>
          </cell>
          <cell r="AD1390">
            <v>0</v>
          </cell>
          <cell r="AE1390">
            <v>0</v>
          </cell>
          <cell r="AF1390">
            <v>0</v>
          </cell>
          <cell r="AG1390">
            <v>0</v>
          </cell>
          <cell r="AH1390">
            <v>0</v>
          </cell>
          <cell r="AI1390">
            <v>4</v>
          </cell>
          <cell r="AK1390">
            <v>0</v>
          </cell>
          <cell r="AL1390">
            <v>0</v>
          </cell>
          <cell r="AN1390">
            <v>6667</v>
          </cell>
          <cell r="AO1390">
            <v>5</v>
          </cell>
          <cell r="AQ1390">
            <v>0</v>
          </cell>
          <cell r="AR1390">
            <v>18</v>
          </cell>
          <cell r="AS1390">
            <v>3</v>
          </cell>
          <cell r="AT1390">
            <v>2</v>
          </cell>
          <cell r="AU1390">
            <v>1</v>
          </cell>
          <cell r="AV1390">
            <v>9</v>
          </cell>
          <cell r="AW1390">
            <v>9</v>
          </cell>
          <cell r="AX1390">
            <v>6</v>
          </cell>
          <cell r="AY1390">
            <v>3</v>
          </cell>
          <cell r="AZ1390">
            <v>5</v>
          </cell>
          <cell r="BA1390">
            <v>5</v>
          </cell>
          <cell r="BB1390">
            <v>1</v>
          </cell>
          <cell r="BC1390">
            <v>1</v>
          </cell>
          <cell r="BD1390">
            <v>1</v>
          </cell>
          <cell r="BE1390">
            <v>2</v>
          </cell>
          <cell r="BF1390">
            <v>2</v>
          </cell>
          <cell r="BG1390">
            <v>4</v>
          </cell>
          <cell r="BH1390">
            <v>1</v>
          </cell>
          <cell r="BI1390">
            <v>0</v>
          </cell>
          <cell r="BJ1390">
            <v>0</v>
          </cell>
          <cell r="BK1390">
            <v>0</v>
          </cell>
          <cell r="BL1390">
            <v>1</v>
          </cell>
          <cell r="BM1390">
            <v>0</v>
          </cell>
          <cell r="BN1390">
            <v>0</v>
          </cell>
          <cell r="BO1390">
            <v>0</v>
          </cell>
          <cell r="BP1390">
            <v>0</v>
          </cell>
          <cell r="BQ1390">
            <v>2</v>
          </cell>
          <cell r="BR1390">
            <v>0</v>
          </cell>
          <cell r="BS1390">
            <v>0</v>
          </cell>
          <cell r="BT1390">
            <v>9</v>
          </cell>
          <cell r="BU1390">
            <v>0</v>
          </cell>
        </row>
        <row r="1391">
          <cell r="A1391">
            <v>31</v>
          </cell>
          <cell r="B1391">
            <v>31</v>
          </cell>
          <cell r="D1391">
            <v>0</v>
          </cell>
          <cell r="F1391">
            <v>1</v>
          </cell>
          <cell r="G1391">
            <v>0</v>
          </cell>
          <cell r="I1391">
            <v>1</v>
          </cell>
          <cell r="J1391">
            <v>0</v>
          </cell>
          <cell r="K1391">
            <v>1</v>
          </cell>
          <cell r="L1391">
            <v>1</v>
          </cell>
          <cell r="M1391">
            <v>3</v>
          </cell>
          <cell r="O1391">
            <v>1</v>
          </cell>
          <cell r="P1391">
            <v>0</v>
          </cell>
          <cell r="Q1391">
            <v>0</v>
          </cell>
          <cell r="R1391">
            <v>0</v>
          </cell>
          <cell r="S1391">
            <v>0</v>
          </cell>
          <cell r="T1391">
            <v>4</v>
          </cell>
          <cell r="V1391">
            <v>0</v>
          </cell>
          <cell r="W1391">
            <v>48</v>
          </cell>
          <cell r="X1391">
            <v>1</v>
          </cell>
          <cell r="Y1391">
            <v>2</v>
          </cell>
          <cell r="AA1391">
            <v>0</v>
          </cell>
          <cell r="AB1391">
            <v>0</v>
          </cell>
          <cell r="AC1391">
            <v>0</v>
          </cell>
          <cell r="AD1391">
            <v>0</v>
          </cell>
          <cell r="AE1391">
            <v>0</v>
          </cell>
          <cell r="AF1391">
            <v>0</v>
          </cell>
          <cell r="AG1391">
            <v>0</v>
          </cell>
          <cell r="AH1391">
            <v>1</v>
          </cell>
          <cell r="AI1391">
            <v>1</v>
          </cell>
          <cell r="AK1391">
            <v>0</v>
          </cell>
          <cell r="AL1391">
            <v>1</v>
          </cell>
          <cell r="AN1391">
            <v>5003</v>
          </cell>
          <cell r="AO1391">
            <v>1</v>
          </cell>
          <cell r="AQ1391">
            <v>0</v>
          </cell>
          <cell r="AR1391">
            <v>21</v>
          </cell>
          <cell r="AS1391">
            <v>4</v>
          </cell>
          <cell r="AT1391">
            <v>2</v>
          </cell>
          <cell r="AU1391">
            <v>0</v>
          </cell>
          <cell r="AV1391">
            <v>10</v>
          </cell>
          <cell r="AW1391">
            <v>10</v>
          </cell>
          <cell r="AX1391">
            <v>6</v>
          </cell>
          <cell r="AY1391">
            <v>3</v>
          </cell>
          <cell r="AZ1391">
            <v>10</v>
          </cell>
          <cell r="BA1391">
            <v>10</v>
          </cell>
          <cell r="BB1391">
            <v>8</v>
          </cell>
          <cell r="BC1391">
            <v>8</v>
          </cell>
          <cell r="BD1391">
            <v>8</v>
          </cell>
          <cell r="BE1391">
            <v>7</v>
          </cell>
          <cell r="BF1391">
            <v>7</v>
          </cell>
          <cell r="BG1391">
            <v>14</v>
          </cell>
          <cell r="BH1391">
            <v>0</v>
          </cell>
          <cell r="BI1391">
            <v>0</v>
          </cell>
          <cell r="BJ1391">
            <v>0</v>
          </cell>
          <cell r="BK1391">
            <v>1</v>
          </cell>
          <cell r="BL1391">
            <v>0</v>
          </cell>
          <cell r="BM1391">
            <v>0</v>
          </cell>
          <cell r="BN1391">
            <v>1</v>
          </cell>
          <cell r="BO1391">
            <v>0</v>
          </cell>
          <cell r="BP1391">
            <v>0</v>
          </cell>
          <cell r="BQ1391">
            <v>7</v>
          </cell>
          <cell r="BR1391">
            <v>0</v>
          </cell>
          <cell r="BS1391">
            <v>0</v>
          </cell>
          <cell r="BT1391">
            <v>10</v>
          </cell>
          <cell r="BU1391">
            <v>0</v>
          </cell>
        </row>
        <row r="1392">
          <cell r="A1392">
            <v>28</v>
          </cell>
          <cell r="B1392">
            <v>28</v>
          </cell>
          <cell r="D1392">
            <v>1</v>
          </cell>
          <cell r="F1392">
            <v>0</v>
          </cell>
          <cell r="G1392">
            <v>1</v>
          </cell>
          <cell r="I1392">
            <v>1</v>
          </cell>
          <cell r="J1392">
            <v>0</v>
          </cell>
          <cell r="K1392">
            <v>17</v>
          </cell>
          <cell r="L1392">
            <v>17</v>
          </cell>
          <cell r="M1392">
            <v>3</v>
          </cell>
          <cell r="O1392">
            <v>0</v>
          </cell>
          <cell r="P1392">
            <v>0</v>
          </cell>
          <cell r="Q1392">
            <v>0</v>
          </cell>
          <cell r="R1392">
            <v>0</v>
          </cell>
          <cell r="S1392">
            <v>1</v>
          </cell>
          <cell r="T1392">
            <v>3</v>
          </cell>
          <cell r="V1392">
            <v>0</v>
          </cell>
          <cell r="W1392">
            <v>32</v>
          </cell>
          <cell r="X1392">
            <v>2</v>
          </cell>
          <cell r="Y1392">
            <v>1</v>
          </cell>
          <cell r="AA1392">
            <v>0</v>
          </cell>
          <cell r="AB1392">
            <v>0</v>
          </cell>
          <cell r="AC1392">
            <v>1</v>
          </cell>
          <cell r="AD1392">
            <v>0</v>
          </cell>
          <cell r="AE1392">
            <v>0</v>
          </cell>
          <cell r="AF1392">
            <v>0</v>
          </cell>
          <cell r="AG1392">
            <v>0</v>
          </cell>
          <cell r="AH1392">
            <v>0</v>
          </cell>
          <cell r="AI1392">
            <v>4</v>
          </cell>
          <cell r="AK1392">
            <v>0</v>
          </cell>
          <cell r="AL1392">
            <v>0</v>
          </cell>
          <cell r="AN1392">
            <v>2367</v>
          </cell>
          <cell r="AO1392">
            <v>5</v>
          </cell>
          <cell r="AQ1392">
            <v>0</v>
          </cell>
          <cell r="AR1392">
            <v>12</v>
          </cell>
          <cell r="AS1392">
            <v>3</v>
          </cell>
          <cell r="AT1392">
            <v>1</v>
          </cell>
          <cell r="AU1392">
            <v>1</v>
          </cell>
          <cell r="AV1392">
            <v>6</v>
          </cell>
          <cell r="AW1392">
            <v>6</v>
          </cell>
          <cell r="AX1392">
            <v>2</v>
          </cell>
          <cell r="AY1392">
            <v>2</v>
          </cell>
          <cell r="AZ1392">
            <v>4</v>
          </cell>
          <cell r="BA1392">
            <v>4</v>
          </cell>
          <cell r="BB1392">
            <v>1</v>
          </cell>
          <cell r="BC1392">
            <v>0</v>
          </cell>
          <cell r="BD1392">
            <v>0</v>
          </cell>
          <cell r="BE1392">
            <v>3</v>
          </cell>
          <cell r="BF1392">
            <v>3</v>
          </cell>
          <cell r="BG1392">
            <v>3</v>
          </cell>
          <cell r="BH1392">
            <v>1</v>
          </cell>
          <cell r="BI1392">
            <v>0</v>
          </cell>
          <cell r="BJ1392">
            <v>0</v>
          </cell>
          <cell r="BK1392">
            <v>0</v>
          </cell>
          <cell r="BL1392">
            <v>1</v>
          </cell>
          <cell r="BM1392">
            <v>0</v>
          </cell>
          <cell r="BN1392">
            <v>0</v>
          </cell>
          <cell r="BO1392">
            <v>0</v>
          </cell>
          <cell r="BP1392">
            <v>0</v>
          </cell>
          <cell r="BQ1392">
            <v>3</v>
          </cell>
          <cell r="BR1392">
            <v>0</v>
          </cell>
          <cell r="BS1392">
            <v>0</v>
          </cell>
          <cell r="BT1392">
            <v>6</v>
          </cell>
          <cell r="BU1392">
            <v>0</v>
          </cell>
        </row>
        <row r="1393">
          <cell r="A1393">
            <v>38</v>
          </cell>
          <cell r="B1393">
            <v>38</v>
          </cell>
          <cell r="D1393">
            <v>0</v>
          </cell>
          <cell r="F1393">
            <v>0</v>
          </cell>
          <cell r="G1393">
            <v>1</v>
          </cell>
          <cell r="I1393">
            <v>0</v>
          </cell>
          <cell r="J1393">
            <v>1</v>
          </cell>
          <cell r="K1393">
            <v>1</v>
          </cell>
          <cell r="L1393">
            <v>1</v>
          </cell>
          <cell r="M1393">
            <v>3</v>
          </cell>
          <cell r="O1393">
            <v>1</v>
          </cell>
          <cell r="P1393">
            <v>0</v>
          </cell>
          <cell r="Q1393">
            <v>0</v>
          </cell>
          <cell r="R1393">
            <v>0</v>
          </cell>
          <cell r="S1393">
            <v>0</v>
          </cell>
          <cell r="T1393">
            <v>1</v>
          </cell>
          <cell r="V1393">
            <v>0</v>
          </cell>
          <cell r="W1393">
            <v>59</v>
          </cell>
          <cell r="X1393">
            <v>2</v>
          </cell>
          <cell r="Y1393">
            <v>1</v>
          </cell>
          <cell r="AA1393">
            <v>0</v>
          </cell>
          <cell r="AB1393">
            <v>0</v>
          </cell>
          <cell r="AC1393">
            <v>0</v>
          </cell>
          <cell r="AD1393">
            <v>0</v>
          </cell>
          <cell r="AE1393">
            <v>0</v>
          </cell>
          <cell r="AF1393">
            <v>0</v>
          </cell>
          <cell r="AG1393">
            <v>1</v>
          </cell>
          <cell r="AH1393">
            <v>0</v>
          </cell>
          <cell r="AI1393">
            <v>1</v>
          </cell>
          <cell r="AK1393">
            <v>1</v>
          </cell>
          <cell r="AL1393">
            <v>0</v>
          </cell>
          <cell r="AN1393">
            <v>2858</v>
          </cell>
          <cell r="AO1393">
            <v>4</v>
          </cell>
          <cell r="AQ1393">
            <v>0</v>
          </cell>
          <cell r="AR1393">
            <v>14</v>
          </cell>
          <cell r="AS1393">
            <v>3</v>
          </cell>
          <cell r="AT1393">
            <v>1</v>
          </cell>
          <cell r="AU1393">
            <v>0</v>
          </cell>
          <cell r="AV1393">
            <v>20</v>
          </cell>
          <cell r="AW1393">
            <v>20</v>
          </cell>
          <cell r="AX1393">
            <v>3</v>
          </cell>
          <cell r="AY1393">
            <v>2</v>
          </cell>
          <cell r="AZ1393">
            <v>1</v>
          </cell>
          <cell r="BA1393">
            <v>1</v>
          </cell>
          <cell r="BB1393">
            <v>0</v>
          </cell>
          <cell r="BC1393">
            <v>0</v>
          </cell>
          <cell r="BD1393">
            <v>0</v>
          </cell>
          <cell r="BE1393">
            <v>0</v>
          </cell>
          <cell r="BF1393">
            <v>0</v>
          </cell>
          <cell r="BG1393">
            <v>0</v>
          </cell>
          <cell r="BH1393">
            <v>1</v>
          </cell>
          <cell r="BI1393">
            <v>0</v>
          </cell>
          <cell r="BJ1393">
            <v>0</v>
          </cell>
          <cell r="BK1393">
            <v>0</v>
          </cell>
          <cell r="BL1393">
            <v>1</v>
          </cell>
          <cell r="BM1393">
            <v>0</v>
          </cell>
          <cell r="BN1393">
            <v>0</v>
          </cell>
          <cell r="BO1393">
            <v>0</v>
          </cell>
          <cell r="BP1393">
            <v>0</v>
          </cell>
          <cell r="BQ1393">
            <v>0</v>
          </cell>
          <cell r="BR1393">
            <v>0</v>
          </cell>
          <cell r="BS1393">
            <v>0</v>
          </cell>
          <cell r="BT1393">
            <v>0</v>
          </cell>
          <cell r="BU1393">
            <v>20</v>
          </cell>
        </row>
        <row r="1394">
          <cell r="A1394">
            <v>35</v>
          </cell>
          <cell r="B1394">
            <v>35</v>
          </cell>
          <cell r="D1394">
            <v>0</v>
          </cell>
          <cell r="F1394">
            <v>0</v>
          </cell>
          <cell r="G1394">
            <v>1</v>
          </cell>
          <cell r="I1394">
            <v>0</v>
          </cell>
          <cell r="J1394">
            <v>1</v>
          </cell>
          <cell r="K1394">
            <v>7</v>
          </cell>
          <cell r="L1394">
            <v>7</v>
          </cell>
          <cell r="M1394">
            <v>4</v>
          </cell>
          <cell r="O1394">
            <v>1</v>
          </cell>
          <cell r="P1394">
            <v>0</v>
          </cell>
          <cell r="Q1394">
            <v>0</v>
          </cell>
          <cell r="R1394">
            <v>0</v>
          </cell>
          <cell r="S1394">
            <v>0</v>
          </cell>
          <cell r="T1394">
            <v>3</v>
          </cell>
          <cell r="V1394">
            <v>1</v>
          </cell>
          <cell r="W1394">
            <v>55</v>
          </cell>
          <cell r="X1394">
            <v>3</v>
          </cell>
          <cell r="Y1394">
            <v>2</v>
          </cell>
          <cell r="AA1394">
            <v>0</v>
          </cell>
          <cell r="AB1394">
            <v>1</v>
          </cell>
          <cell r="AC1394">
            <v>0</v>
          </cell>
          <cell r="AD1394">
            <v>0</v>
          </cell>
          <cell r="AE1394">
            <v>0</v>
          </cell>
          <cell r="AF1394">
            <v>0</v>
          </cell>
          <cell r="AG1394">
            <v>0</v>
          </cell>
          <cell r="AH1394">
            <v>0</v>
          </cell>
          <cell r="AI1394">
            <v>4</v>
          </cell>
          <cell r="AK1394">
            <v>0</v>
          </cell>
          <cell r="AL1394">
            <v>1</v>
          </cell>
          <cell r="AN1394">
            <v>5204</v>
          </cell>
          <cell r="AO1394">
            <v>1</v>
          </cell>
          <cell r="AQ1394">
            <v>1</v>
          </cell>
          <cell r="AR1394">
            <v>11</v>
          </cell>
          <cell r="AS1394">
            <v>3</v>
          </cell>
          <cell r="AT1394">
            <v>4</v>
          </cell>
          <cell r="AU1394">
            <v>0</v>
          </cell>
          <cell r="AV1394">
            <v>10</v>
          </cell>
          <cell r="AW1394">
            <v>10</v>
          </cell>
          <cell r="AX1394">
            <v>2</v>
          </cell>
          <cell r="AY1394">
            <v>3</v>
          </cell>
          <cell r="AZ1394">
            <v>10</v>
          </cell>
          <cell r="BA1394">
            <v>10</v>
          </cell>
          <cell r="BB1394">
            <v>8</v>
          </cell>
          <cell r="BC1394">
            <v>0</v>
          </cell>
          <cell r="BD1394">
            <v>0</v>
          </cell>
          <cell r="BE1394">
            <v>9</v>
          </cell>
          <cell r="BF1394">
            <v>9</v>
          </cell>
          <cell r="BG1394">
            <v>18</v>
          </cell>
          <cell r="BH1394">
            <v>0</v>
          </cell>
          <cell r="BI1394">
            <v>1</v>
          </cell>
          <cell r="BJ1394">
            <v>0</v>
          </cell>
          <cell r="BK1394">
            <v>0</v>
          </cell>
          <cell r="BL1394">
            <v>0</v>
          </cell>
          <cell r="BM1394">
            <v>0</v>
          </cell>
          <cell r="BN1394">
            <v>0</v>
          </cell>
          <cell r="BO1394">
            <v>1</v>
          </cell>
          <cell r="BP1394">
            <v>0</v>
          </cell>
          <cell r="BQ1394">
            <v>0</v>
          </cell>
          <cell r="BR1394">
            <v>9</v>
          </cell>
          <cell r="BS1394">
            <v>0</v>
          </cell>
          <cell r="BT1394">
            <v>0</v>
          </cell>
          <cell r="BU1394">
            <v>10</v>
          </cell>
        </row>
        <row r="1395">
          <cell r="A1395">
            <v>27</v>
          </cell>
          <cell r="B1395">
            <v>27</v>
          </cell>
          <cell r="D1395">
            <v>0</v>
          </cell>
          <cell r="F1395">
            <v>0</v>
          </cell>
          <cell r="G1395">
            <v>1</v>
          </cell>
          <cell r="I1395">
            <v>0</v>
          </cell>
          <cell r="J1395">
            <v>1</v>
          </cell>
          <cell r="K1395">
            <v>9</v>
          </cell>
          <cell r="L1395">
            <v>9</v>
          </cell>
          <cell r="M1395">
            <v>3</v>
          </cell>
          <cell r="O1395">
            <v>0</v>
          </cell>
          <cell r="P1395">
            <v>0</v>
          </cell>
          <cell r="Q1395">
            <v>0</v>
          </cell>
          <cell r="R1395">
            <v>1</v>
          </cell>
          <cell r="S1395">
            <v>0</v>
          </cell>
          <cell r="T1395">
            <v>4</v>
          </cell>
          <cell r="V1395">
            <v>0</v>
          </cell>
          <cell r="W1395">
            <v>44</v>
          </cell>
          <cell r="X1395">
            <v>3</v>
          </cell>
          <cell r="Y1395">
            <v>2</v>
          </cell>
          <cell r="AA1395">
            <v>0</v>
          </cell>
          <cell r="AB1395">
            <v>1</v>
          </cell>
          <cell r="AC1395">
            <v>0</v>
          </cell>
          <cell r="AD1395">
            <v>0</v>
          </cell>
          <cell r="AE1395">
            <v>0</v>
          </cell>
          <cell r="AF1395">
            <v>0</v>
          </cell>
          <cell r="AG1395">
            <v>0</v>
          </cell>
          <cell r="AH1395">
            <v>0</v>
          </cell>
          <cell r="AI1395">
            <v>4</v>
          </cell>
          <cell r="AK1395">
            <v>1</v>
          </cell>
          <cell r="AL1395">
            <v>0</v>
          </cell>
          <cell r="AN1395">
            <v>4105</v>
          </cell>
          <cell r="AO1395">
            <v>1</v>
          </cell>
          <cell r="AQ1395">
            <v>0</v>
          </cell>
          <cell r="AR1395">
            <v>14</v>
          </cell>
          <cell r="AS1395">
            <v>3</v>
          </cell>
          <cell r="AT1395">
            <v>1</v>
          </cell>
          <cell r="AU1395">
            <v>0</v>
          </cell>
          <cell r="AV1395">
            <v>7</v>
          </cell>
          <cell r="AW1395">
            <v>7</v>
          </cell>
          <cell r="AX1395">
            <v>5</v>
          </cell>
          <cell r="AY1395">
            <v>3</v>
          </cell>
          <cell r="AZ1395">
            <v>7</v>
          </cell>
          <cell r="BA1395">
            <v>7</v>
          </cell>
          <cell r="BB1395">
            <v>7</v>
          </cell>
          <cell r="BC1395">
            <v>0</v>
          </cell>
          <cell r="BD1395">
            <v>0</v>
          </cell>
          <cell r="BE1395">
            <v>7</v>
          </cell>
          <cell r="BF1395">
            <v>7</v>
          </cell>
          <cell r="BG1395">
            <v>14</v>
          </cell>
          <cell r="BH1395">
            <v>1</v>
          </cell>
          <cell r="BI1395">
            <v>0</v>
          </cell>
          <cell r="BJ1395">
            <v>0</v>
          </cell>
          <cell r="BK1395">
            <v>0</v>
          </cell>
          <cell r="BL1395">
            <v>1</v>
          </cell>
          <cell r="BM1395">
            <v>0</v>
          </cell>
          <cell r="BN1395">
            <v>0</v>
          </cell>
          <cell r="BO1395">
            <v>0</v>
          </cell>
          <cell r="BP1395">
            <v>0</v>
          </cell>
          <cell r="BQ1395">
            <v>0</v>
          </cell>
          <cell r="BR1395">
            <v>7</v>
          </cell>
          <cell r="BS1395">
            <v>0</v>
          </cell>
          <cell r="BT1395">
            <v>0</v>
          </cell>
          <cell r="BU1395">
            <v>7</v>
          </cell>
        </row>
        <row r="1396">
          <cell r="A1396">
            <v>32</v>
          </cell>
          <cell r="B1396">
            <v>32</v>
          </cell>
          <cell r="D1396">
            <v>0</v>
          </cell>
          <cell r="F1396">
            <v>0</v>
          </cell>
          <cell r="G1396">
            <v>1</v>
          </cell>
          <cell r="I1396">
            <v>1</v>
          </cell>
          <cell r="J1396">
            <v>0</v>
          </cell>
          <cell r="K1396">
            <v>5</v>
          </cell>
          <cell r="L1396">
            <v>5</v>
          </cell>
          <cell r="M1396">
            <v>4</v>
          </cell>
          <cell r="O1396">
            <v>1</v>
          </cell>
          <cell r="P1396">
            <v>0</v>
          </cell>
          <cell r="Q1396">
            <v>0</v>
          </cell>
          <cell r="R1396">
            <v>0</v>
          </cell>
          <cell r="S1396">
            <v>0</v>
          </cell>
          <cell r="T1396">
            <v>4</v>
          </cell>
          <cell r="V1396">
            <v>0</v>
          </cell>
          <cell r="W1396">
            <v>56</v>
          </cell>
          <cell r="X1396">
            <v>2</v>
          </cell>
          <cell r="Y1396">
            <v>2</v>
          </cell>
          <cell r="AA1396">
            <v>0</v>
          </cell>
          <cell r="AB1396">
            <v>0</v>
          </cell>
          <cell r="AC1396">
            <v>0</v>
          </cell>
          <cell r="AD1396">
            <v>0</v>
          </cell>
          <cell r="AE1396">
            <v>1</v>
          </cell>
          <cell r="AF1396">
            <v>1</v>
          </cell>
          <cell r="AG1396">
            <v>0</v>
          </cell>
          <cell r="AH1396">
            <v>0</v>
          </cell>
          <cell r="AI1396">
            <v>4</v>
          </cell>
          <cell r="AK1396">
            <v>1</v>
          </cell>
          <cell r="AL1396">
            <v>0</v>
          </cell>
          <cell r="AN1396">
            <v>9679</v>
          </cell>
          <cell r="AO1396">
            <v>8</v>
          </cell>
          <cell r="AQ1396">
            <v>0</v>
          </cell>
          <cell r="AR1396">
            <v>24</v>
          </cell>
          <cell r="AS1396">
            <v>4</v>
          </cell>
          <cell r="AT1396">
            <v>2</v>
          </cell>
          <cell r="AU1396">
            <v>0</v>
          </cell>
          <cell r="AV1396">
            <v>8</v>
          </cell>
          <cell r="AW1396">
            <v>8</v>
          </cell>
          <cell r="AX1396">
            <v>1</v>
          </cell>
          <cell r="AY1396">
            <v>3</v>
          </cell>
          <cell r="AZ1396">
            <v>1</v>
          </cell>
          <cell r="BA1396">
            <v>1</v>
          </cell>
          <cell r="BB1396">
            <v>0</v>
          </cell>
          <cell r="BC1396">
            <v>0</v>
          </cell>
          <cell r="BD1396">
            <v>0</v>
          </cell>
          <cell r="BE1396">
            <v>0</v>
          </cell>
          <cell r="BF1396">
            <v>0</v>
          </cell>
          <cell r="BG1396">
            <v>0</v>
          </cell>
          <cell r="BH1396">
            <v>1</v>
          </cell>
          <cell r="BI1396">
            <v>0</v>
          </cell>
          <cell r="BJ1396">
            <v>0</v>
          </cell>
          <cell r="BK1396">
            <v>0</v>
          </cell>
          <cell r="BL1396">
            <v>1</v>
          </cell>
          <cell r="BM1396">
            <v>0</v>
          </cell>
          <cell r="BN1396">
            <v>0</v>
          </cell>
          <cell r="BO1396">
            <v>0</v>
          </cell>
          <cell r="BP1396">
            <v>0</v>
          </cell>
          <cell r="BQ1396">
            <v>0</v>
          </cell>
          <cell r="BR1396">
            <v>0</v>
          </cell>
          <cell r="BS1396">
            <v>0</v>
          </cell>
          <cell r="BT1396">
            <v>8</v>
          </cell>
          <cell r="BU1396">
            <v>0</v>
          </cell>
        </row>
        <row r="1397">
          <cell r="A1397">
            <v>31</v>
          </cell>
          <cell r="B1397">
            <v>31</v>
          </cell>
          <cell r="D1397">
            <v>1</v>
          </cell>
          <cell r="F1397">
            <v>1</v>
          </cell>
          <cell r="G1397">
            <v>0</v>
          </cell>
          <cell r="I1397">
            <v>0</v>
          </cell>
          <cell r="J1397">
            <v>1</v>
          </cell>
          <cell r="K1397">
            <v>26</v>
          </cell>
          <cell r="L1397">
            <v>26</v>
          </cell>
          <cell r="M1397">
            <v>4</v>
          </cell>
          <cell r="O1397">
            <v>0</v>
          </cell>
          <cell r="P1397">
            <v>0</v>
          </cell>
          <cell r="Q1397">
            <v>0</v>
          </cell>
          <cell r="R1397">
            <v>1</v>
          </cell>
          <cell r="S1397">
            <v>0</v>
          </cell>
          <cell r="T1397">
            <v>1</v>
          </cell>
          <cell r="V1397">
            <v>0</v>
          </cell>
          <cell r="W1397">
            <v>63</v>
          </cell>
          <cell r="X1397">
            <v>3</v>
          </cell>
          <cell r="Y1397">
            <v>2</v>
          </cell>
          <cell r="AA1397">
            <v>0</v>
          </cell>
          <cell r="AB1397">
            <v>1</v>
          </cell>
          <cell r="AC1397">
            <v>0</v>
          </cell>
          <cell r="AD1397">
            <v>0</v>
          </cell>
          <cell r="AE1397">
            <v>0</v>
          </cell>
          <cell r="AF1397">
            <v>0</v>
          </cell>
          <cell r="AG1397">
            <v>0</v>
          </cell>
          <cell r="AH1397">
            <v>0</v>
          </cell>
          <cell r="AI1397">
            <v>4</v>
          </cell>
          <cell r="AK1397">
            <v>0</v>
          </cell>
          <cell r="AL1397">
            <v>1</v>
          </cell>
          <cell r="AN1397">
            <v>5617</v>
          </cell>
          <cell r="AO1397">
            <v>1</v>
          </cell>
          <cell r="AQ1397">
            <v>1</v>
          </cell>
          <cell r="AR1397">
            <v>11</v>
          </cell>
          <cell r="AS1397">
            <v>3</v>
          </cell>
          <cell r="AT1397">
            <v>3</v>
          </cell>
          <cell r="AU1397">
            <v>0</v>
          </cell>
          <cell r="AV1397">
            <v>10</v>
          </cell>
          <cell r="AW1397">
            <v>10</v>
          </cell>
          <cell r="AX1397">
            <v>4</v>
          </cell>
          <cell r="AY1397">
            <v>3</v>
          </cell>
          <cell r="AZ1397">
            <v>10</v>
          </cell>
          <cell r="BA1397">
            <v>10</v>
          </cell>
          <cell r="BB1397">
            <v>7</v>
          </cell>
          <cell r="BC1397">
            <v>0</v>
          </cell>
          <cell r="BD1397">
            <v>0</v>
          </cell>
          <cell r="BE1397">
            <v>8</v>
          </cell>
          <cell r="BF1397">
            <v>8</v>
          </cell>
          <cell r="BG1397">
            <v>16</v>
          </cell>
          <cell r="BH1397">
            <v>0</v>
          </cell>
          <cell r="BI1397">
            <v>0</v>
          </cell>
          <cell r="BJ1397">
            <v>0</v>
          </cell>
          <cell r="BK1397">
            <v>1</v>
          </cell>
          <cell r="BL1397">
            <v>0</v>
          </cell>
          <cell r="BM1397">
            <v>0</v>
          </cell>
          <cell r="BN1397">
            <v>0</v>
          </cell>
          <cell r="BO1397">
            <v>1</v>
          </cell>
          <cell r="BP1397">
            <v>0</v>
          </cell>
          <cell r="BQ1397">
            <v>0</v>
          </cell>
          <cell r="BR1397">
            <v>8</v>
          </cell>
          <cell r="BS1397">
            <v>0</v>
          </cell>
          <cell r="BT1397">
            <v>0</v>
          </cell>
          <cell r="BU1397">
            <v>10</v>
          </cell>
        </row>
        <row r="1398">
          <cell r="A1398">
            <v>53</v>
          </cell>
          <cell r="B1398">
            <v>53</v>
          </cell>
          <cell r="D1398">
            <v>1</v>
          </cell>
          <cell r="F1398">
            <v>0</v>
          </cell>
          <cell r="G1398">
            <v>1</v>
          </cell>
          <cell r="I1398">
            <v>0</v>
          </cell>
          <cell r="J1398">
            <v>1</v>
          </cell>
          <cell r="K1398">
            <v>24</v>
          </cell>
          <cell r="L1398">
            <v>24</v>
          </cell>
          <cell r="M1398">
            <v>4</v>
          </cell>
          <cell r="O1398">
            <v>1</v>
          </cell>
          <cell r="P1398">
            <v>0</v>
          </cell>
          <cell r="Q1398">
            <v>0</v>
          </cell>
          <cell r="R1398">
            <v>0</v>
          </cell>
          <cell r="S1398">
            <v>0</v>
          </cell>
          <cell r="T1398">
            <v>1</v>
          </cell>
          <cell r="V1398">
            <v>0</v>
          </cell>
          <cell r="W1398">
            <v>66</v>
          </cell>
          <cell r="X1398">
            <v>3</v>
          </cell>
          <cell r="Y1398">
            <v>3</v>
          </cell>
          <cell r="AA1398">
            <v>0</v>
          </cell>
          <cell r="AB1398">
            <v>1</v>
          </cell>
          <cell r="AC1398">
            <v>0</v>
          </cell>
          <cell r="AD1398">
            <v>0</v>
          </cell>
          <cell r="AE1398">
            <v>0</v>
          </cell>
          <cell r="AF1398">
            <v>0</v>
          </cell>
          <cell r="AG1398">
            <v>0</v>
          </cell>
          <cell r="AH1398">
            <v>0</v>
          </cell>
          <cell r="AI1398">
            <v>1</v>
          </cell>
          <cell r="AK1398">
            <v>1</v>
          </cell>
          <cell r="AL1398">
            <v>0</v>
          </cell>
          <cell r="AN1398">
            <v>10448</v>
          </cell>
          <cell r="AO1398">
            <v>6</v>
          </cell>
          <cell r="AQ1398">
            <v>1</v>
          </cell>
          <cell r="AR1398">
            <v>13</v>
          </cell>
          <cell r="AS1398">
            <v>3</v>
          </cell>
          <cell r="AT1398">
            <v>2</v>
          </cell>
          <cell r="AU1398">
            <v>0</v>
          </cell>
          <cell r="AV1398">
            <v>15</v>
          </cell>
          <cell r="AW1398">
            <v>15</v>
          </cell>
          <cell r="AX1398">
            <v>2</v>
          </cell>
          <cell r="AY1398">
            <v>2</v>
          </cell>
          <cell r="AZ1398">
            <v>2</v>
          </cell>
          <cell r="BA1398">
            <v>2</v>
          </cell>
          <cell r="BB1398">
            <v>2</v>
          </cell>
          <cell r="BC1398">
            <v>2</v>
          </cell>
          <cell r="BD1398">
            <v>2</v>
          </cell>
          <cell r="BE1398">
            <v>2</v>
          </cell>
          <cell r="BF1398">
            <v>2</v>
          </cell>
          <cell r="BG1398">
            <v>6</v>
          </cell>
          <cell r="BH1398">
            <v>1</v>
          </cell>
          <cell r="BI1398">
            <v>0</v>
          </cell>
          <cell r="BJ1398">
            <v>0</v>
          </cell>
          <cell r="BK1398">
            <v>0</v>
          </cell>
          <cell r="BL1398">
            <v>0</v>
          </cell>
          <cell r="BM1398">
            <v>1</v>
          </cell>
          <cell r="BN1398">
            <v>0</v>
          </cell>
          <cell r="BO1398">
            <v>0</v>
          </cell>
          <cell r="BP1398">
            <v>0</v>
          </cell>
          <cell r="BQ1398">
            <v>0</v>
          </cell>
          <cell r="BR1398">
            <v>2</v>
          </cell>
          <cell r="BS1398">
            <v>0</v>
          </cell>
          <cell r="BT1398">
            <v>0</v>
          </cell>
          <cell r="BU1398">
            <v>15</v>
          </cell>
        </row>
        <row r="1399">
          <cell r="A1399">
            <v>54</v>
          </cell>
          <cell r="B1399">
            <v>54</v>
          </cell>
          <cell r="D1399">
            <v>0</v>
          </cell>
          <cell r="F1399">
            <v>0</v>
          </cell>
          <cell r="G1399">
            <v>1</v>
          </cell>
          <cell r="I1399">
            <v>1</v>
          </cell>
          <cell r="J1399">
            <v>0</v>
          </cell>
          <cell r="K1399">
            <v>9</v>
          </cell>
          <cell r="L1399">
            <v>9</v>
          </cell>
          <cell r="M1399">
            <v>2</v>
          </cell>
          <cell r="O1399">
            <v>1</v>
          </cell>
          <cell r="P1399">
            <v>0</v>
          </cell>
          <cell r="Q1399">
            <v>0</v>
          </cell>
          <cell r="R1399">
            <v>0</v>
          </cell>
          <cell r="S1399">
            <v>0</v>
          </cell>
          <cell r="T1399">
            <v>1</v>
          </cell>
          <cell r="V1399">
            <v>1</v>
          </cell>
          <cell r="W1399">
            <v>67</v>
          </cell>
          <cell r="X1399">
            <v>3</v>
          </cell>
          <cell r="Y1399">
            <v>2</v>
          </cell>
          <cell r="AA1399">
            <v>0</v>
          </cell>
          <cell r="AB1399">
            <v>0</v>
          </cell>
          <cell r="AC1399">
            <v>0</v>
          </cell>
          <cell r="AD1399">
            <v>0</v>
          </cell>
          <cell r="AE1399">
            <v>0</v>
          </cell>
          <cell r="AF1399">
            <v>0</v>
          </cell>
          <cell r="AG1399">
            <v>0</v>
          </cell>
          <cell r="AH1399">
            <v>1</v>
          </cell>
          <cell r="AI1399">
            <v>3</v>
          </cell>
          <cell r="AK1399">
            <v>0</v>
          </cell>
          <cell r="AL1399">
            <v>1</v>
          </cell>
          <cell r="AN1399">
            <v>2897</v>
          </cell>
          <cell r="AO1399">
            <v>3</v>
          </cell>
          <cell r="AQ1399">
            <v>0</v>
          </cell>
          <cell r="AR1399">
            <v>11</v>
          </cell>
          <cell r="AS1399">
            <v>3</v>
          </cell>
          <cell r="AT1399">
            <v>3</v>
          </cell>
          <cell r="AU1399">
            <v>2</v>
          </cell>
          <cell r="AV1399">
            <v>9</v>
          </cell>
          <cell r="AW1399">
            <v>9</v>
          </cell>
          <cell r="AX1399">
            <v>6</v>
          </cell>
          <cell r="AY1399">
            <v>2</v>
          </cell>
          <cell r="AZ1399">
            <v>4</v>
          </cell>
          <cell r="BA1399">
            <v>4</v>
          </cell>
          <cell r="BB1399">
            <v>3</v>
          </cell>
          <cell r="BC1399">
            <v>2</v>
          </cell>
          <cell r="BD1399">
            <v>2</v>
          </cell>
          <cell r="BE1399">
            <v>3</v>
          </cell>
          <cell r="BF1399">
            <v>3</v>
          </cell>
          <cell r="BG1399">
            <v>6</v>
          </cell>
          <cell r="BH1399">
            <v>0</v>
          </cell>
          <cell r="BI1399">
            <v>1</v>
          </cell>
          <cell r="BJ1399">
            <v>0</v>
          </cell>
          <cell r="BK1399">
            <v>0</v>
          </cell>
          <cell r="BL1399">
            <v>0</v>
          </cell>
          <cell r="BM1399">
            <v>0</v>
          </cell>
          <cell r="BN1399">
            <v>1</v>
          </cell>
          <cell r="BO1399">
            <v>0</v>
          </cell>
          <cell r="BP1399">
            <v>0</v>
          </cell>
          <cell r="BQ1399">
            <v>3</v>
          </cell>
          <cell r="BR1399">
            <v>0</v>
          </cell>
          <cell r="BS1399">
            <v>0</v>
          </cell>
          <cell r="BT1399">
            <v>9</v>
          </cell>
          <cell r="BU1399">
            <v>0</v>
          </cell>
        </row>
        <row r="1400">
          <cell r="A1400">
            <v>33</v>
          </cell>
          <cell r="B1400">
            <v>33</v>
          </cell>
          <cell r="D1400">
            <v>0</v>
          </cell>
          <cell r="F1400">
            <v>1</v>
          </cell>
          <cell r="G1400">
            <v>0</v>
          </cell>
          <cell r="I1400">
            <v>1</v>
          </cell>
          <cell r="J1400">
            <v>0</v>
          </cell>
          <cell r="K1400">
            <v>7</v>
          </cell>
          <cell r="L1400">
            <v>7</v>
          </cell>
          <cell r="M1400">
            <v>2</v>
          </cell>
          <cell r="O1400">
            <v>1</v>
          </cell>
          <cell r="P1400">
            <v>0</v>
          </cell>
          <cell r="Q1400">
            <v>0</v>
          </cell>
          <cell r="R1400">
            <v>0</v>
          </cell>
          <cell r="S1400">
            <v>0</v>
          </cell>
          <cell r="T1400">
            <v>4</v>
          </cell>
          <cell r="V1400">
            <v>0</v>
          </cell>
          <cell r="W1400">
            <v>36</v>
          </cell>
          <cell r="X1400">
            <v>3</v>
          </cell>
          <cell r="Y1400">
            <v>2</v>
          </cell>
          <cell r="AA1400">
            <v>1</v>
          </cell>
          <cell r="AB1400">
            <v>0</v>
          </cell>
          <cell r="AC1400">
            <v>0</v>
          </cell>
          <cell r="AD1400">
            <v>0</v>
          </cell>
          <cell r="AE1400">
            <v>0</v>
          </cell>
          <cell r="AF1400">
            <v>0</v>
          </cell>
          <cell r="AG1400">
            <v>0</v>
          </cell>
          <cell r="AH1400">
            <v>0</v>
          </cell>
          <cell r="AI1400">
            <v>3</v>
          </cell>
          <cell r="AK1400">
            <v>0</v>
          </cell>
          <cell r="AL1400">
            <v>0</v>
          </cell>
          <cell r="AN1400">
            <v>5968</v>
          </cell>
          <cell r="AO1400">
            <v>1</v>
          </cell>
          <cell r="AQ1400">
            <v>0</v>
          </cell>
          <cell r="AR1400">
            <v>20</v>
          </cell>
          <cell r="AS1400">
            <v>4</v>
          </cell>
          <cell r="AT1400">
            <v>3</v>
          </cell>
          <cell r="AU1400">
            <v>3</v>
          </cell>
          <cell r="AV1400">
            <v>9</v>
          </cell>
          <cell r="AW1400">
            <v>9</v>
          </cell>
          <cell r="AX1400">
            <v>2</v>
          </cell>
          <cell r="AY1400">
            <v>3</v>
          </cell>
          <cell r="AZ1400">
            <v>9</v>
          </cell>
          <cell r="BA1400">
            <v>9</v>
          </cell>
          <cell r="BB1400">
            <v>7</v>
          </cell>
          <cell r="BC1400">
            <v>2</v>
          </cell>
          <cell r="BD1400">
            <v>2</v>
          </cell>
          <cell r="BE1400">
            <v>8</v>
          </cell>
          <cell r="BF1400">
            <v>8</v>
          </cell>
          <cell r="BG1400">
            <v>16</v>
          </cell>
          <cell r="BH1400">
            <v>0</v>
          </cell>
          <cell r="BI1400">
            <v>0</v>
          </cell>
          <cell r="BJ1400">
            <v>1</v>
          </cell>
          <cell r="BK1400">
            <v>0</v>
          </cell>
          <cell r="BL1400">
            <v>1</v>
          </cell>
          <cell r="BM1400">
            <v>0</v>
          </cell>
          <cell r="BN1400">
            <v>0</v>
          </cell>
          <cell r="BO1400">
            <v>0</v>
          </cell>
          <cell r="BP1400">
            <v>0</v>
          </cell>
          <cell r="BQ1400">
            <v>8</v>
          </cell>
          <cell r="BR1400">
            <v>0</v>
          </cell>
          <cell r="BS1400">
            <v>0</v>
          </cell>
          <cell r="BT1400">
            <v>9</v>
          </cell>
          <cell r="BU1400">
            <v>0</v>
          </cell>
        </row>
        <row r="1401">
          <cell r="A1401">
            <v>43</v>
          </cell>
          <cell r="B1401">
            <v>43</v>
          </cell>
          <cell r="D1401">
            <v>0</v>
          </cell>
          <cell r="F1401">
            <v>0</v>
          </cell>
          <cell r="G1401">
            <v>1</v>
          </cell>
          <cell r="I1401">
            <v>1</v>
          </cell>
          <cell r="J1401">
            <v>0</v>
          </cell>
          <cell r="K1401">
            <v>11</v>
          </cell>
          <cell r="L1401">
            <v>11</v>
          </cell>
          <cell r="M1401">
            <v>3</v>
          </cell>
          <cell r="O1401">
            <v>1</v>
          </cell>
          <cell r="P1401">
            <v>0</v>
          </cell>
          <cell r="Q1401">
            <v>0</v>
          </cell>
          <cell r="R1401">
            <v>0</v>
          </cell>
          <cell r="S1401">
            <v>0</v>
          </cell>
          <cell r="T1401">
            <v>1</v>
          </cell>
          <cell r="V1401">
            <v>0</v>
          </cell>
          <cell r="W1401">
            <v>30</v>
          </cell>
          <cell r="X1401">
            <v>3</v>
          </cell>
          <cell r="Y1401">
            <v>3</v>
          </cell>
          <cell r="AA1401">
            <v>1</v>
          </cell>
          <cell r="AB1401">
            <v>0</v>
          </cell>
          <cell r="AC1401">
            <v>0</v>
          </cell>
          <cell r="AD1401">
            <v>0</v>
          </cell>
          <cell r="AE1401">
            <v>0</v>
          </cell>
          <cell r="AF1401">
            <v>0</v>
          </cell>
          <cell r="AG1401">
            <v>0</v>
          </cell>
          <cell r="AH1401">
            <v>0</v>
          </cell>
          <cell r="AI1401">
            <v>3</v>
          </cell>
          <cell r="AK1401">
            <v>0</v>
          </cell>
          <cell r="AL1401">
            <v>1</v>
          </cell>
          <cell r="AN1401">
            <v>7510</v>
          </cell>
          <cell r="AO1401">
            <v>1</v>
          </cell>
          <cell r="AQ1401">
            <v>0</v>
          </cell>
          <cell r="AR1401">
            <v>17</v>
          </cell>
          <cell r="AS1401">
            <v>3</v>
          </cell>
          <cell r="AT1401">
            <v>2</v>
          </cell>
          <cell r="AU1401">
            <v>1</v>
          </cell>
          <cell r="AV1401">
            <v>10</v>
          </cell>
          <cell r="AW1401">
            <v>10</v>
          </cell>
          <cell r="AX1401">
            <v>1</v>
          </cell>
          <cell r="AY1401">
            <v>3</v>
          </cell>
          <cell r="AZ1401">
            <v>10</v>
          </cell>
          <cell r="BA1401">
            <v>10</v>
          </cell>
          <cell r="BB1401">
            <v>9</v>
          </cell>
          <cell r="BC1401">
            <v>0</v>
          </cell>
          <cell r="BD1401">
            <v>0</v>
          </cell>
          <cell r="BE1401">
            <v>9</v>
          </cell>
          <cell r="BF1401">
            <v>9</v>
          </cell>
          <cell r="BG1401">
            <v>27</v>
          </cell>
          <cell r="BH1401">
            <v>0</v>
          </cell>
          <cell r="BI1401">
            <v>1</v>
          </cell>
          <cell r="BJ1401">
            <v>0</v>
          </cell>
          <cell r="BK1401">
            <v>0</v>
          </cell>
          <cell r="BL1401">
            <v>0</v>
          </cell>
          <cell r="BM1401">
            <v>0</v>
          </cell>
          <cell r="BN1401">
            <v>1</v>
          </cell>
          <cell r="BO1401">
            <v>0</v>
          </cell>
          <cell r="BP1401">
            <v>0</v>
          </cell>
          <cell r="BQ1401">
            <v>9</v>
          </cell>
          <cell r="BR1401">
            <v>0</v>
          </cell>
          <cell r="BS1401">
            <v>0</v>
          </cell>
          <cell r="BT1401">
            <v>10</v>
          </cell>
          <cell r="BU1401">
            <v>0</v>
          </cell>
        </row>
        <row r="1402">
          <cell r="A1402">
            <v>38</v>
          </cell>
          <cell r="B1402">
            <v>38</v>
          </cell>
          <cell r="D1402">
            <v>0</v>
          </cell>
          <cell r="F1402">
            <v>1</v>
          </cell>
          <cell r="G1402">
            <v>0</v>
          </cell>
          <cell r="I1402">
            <v>0</v>
          </cell>
          <cell r="J1402">
            <v>0</v>
          </cell>
          <cell r="K1402">
            <v>1</v>
          </cell>
          <cell r="L1402">
            <v>1</v>
          </cell>
          <cell r="M1402">
            <v>4</v>
          </cell>
          <cell r="O1402">
            <v>0</v>
          </cell>
          <cell r="P1402">
            <v>1</v>
          </cell>
          <cell r="Q1402">
            <v>0</v>
          </cell>
          <cell r="R1402">
            <v>0</v>
          </cell>
          <cell r="S1402">
            <v>0</v>
          </cell>
          <cell r="T1402">
            <v>4</v>
          </cell>
          <cell r="V1402">
            <v>0</v>
          </cell>
          <cell r="W1402">
            <v>88</v>
          </cell>
          <cell r="X1402">
            <v>3</v>
          </cell>
          <cell r="Y1402">
            <v>1</v>
          </cell>
          <cell r="AA1402">
            <v>0</v>
          </cell>
          <cell r="AB1402">
            <v>0</v>
          </cell>
          <cell r="AC1402">
            <v>0</v>
          </cell>
          <cell r="AD1402">
            <v>0</v>
          </cell>
          <cell r="AE1402">
            <v>0</v>
          </cell>
          <cell r="AF1402">
            <v>0</v>
          </cell>
          <cell r="AG1402">
            <v>0</v>
          </cell>
          <cell r="AH1402">
            <v>0</v>
          </cell>
          <cell r="AI1402">
            <v>2</v>
          </cell>
          <cell r="AK1402">
            <v>0</v>
          </cell>
          <cell r="AL1402">
            <v>1</v>
          </cell>
          <cell r="AN1402">
            <v>2991</v>
          </cell>
          <cell r="AO1402">
            <v>0</v>
          </cell>
          <cell r="AQ1402">
            <v>1</v>
          </cell>
          <cell r="AR1402">
            <v>11</v>
          </cell>
          <cell r="AS1402">
            <v>3</v>
          </cell>
          <cell r="AT1402">
            <v>2</v>
          </cell>
          <cell r="AU1402">
            <v>1</v>
          </cell>
          <cell r="AV1402">
            <v>7</v>
          </cell>
          <cell r="AW1402">
            <v>7</v>
          </cell>
          <cell r="AX1402">
            <v>2</v>
          </cell>
          <cell r="AY1402">
            <v>3</v>
          </cell>
          <cell r="AZ1402">
            <v>6</v>
          </cell>
          <cell r="BA1402">
            <v>6</v>
          </cell>
          <cell r="BB1402">
            <v>2</v>
          </cell>
          <cell r="BC1402">
            <v>1</v>
          </cell>
          <cell r="BD1402">
            <v>1</v>
          </cell>
          <cell r="BE1402">
            <v>2</v>
          </cell>
          <cell r="BF1402">
            <v>2</v>
          </cell>
          <cell r="BG1402">
            <v>2</v>
          </cell>
          <cell r="BH1402">
            <v>0</v>
          </cell>
          <cell r="BI1402">
            <v>0</v>
          </cell>
          <cell r="BJ1402">
            <v>0</v>
          </cell>
          <cell r="BK1402">
            <v>1</v>
          </cell>
          <cell r="BL1402">
            <v>0</v>
          </cell>
          <cell r="BM1402">
            <v>0</v>
          </cell>
          <cell r="BN1402">
            <v>0</v>
          </cell>
          <cell r="BO1402">
            <v>1</v>
          </cell>
          <cell r="BP1402">
            <v>2</v>
          </cell>
          <cell r="BQ1402">
            <v>0</v>
          </cell>
          <cell r="BR1402">
            <v>0</v>
          </cell>
          <cell r="BS1402">
            <v>7</v>
          </cell>
          <cell r="BT1402">
            <v>0</v>
          </cell>
          <cell r="BU1402">
            <v>0</v>
          </cell>
        </row>
        <row r="1403">
          <cell r="A1403">
            <v>55</v>
          </cell>
          <cell r="B1403">
            <v>55</v>
          </cell>
          <cell r="D1403">
            <v>0</v>
          </cell>
          <cell r="F1403">
            <v>0</v>
          </cell>
          <cell r="G1403">
            <v>1</v>
          </cell>
          <cell r="I1403">
            <v>0</v>
          </cell>
          <cell r="J1403">
            <v>0</v>
          </cell>
          <cell r="K1403">
            <v>26</v>
          </cell>
          <cell r="L1403">
            <v>26</v>
          </cell>
          <cell r="M1403">
            <v>4</v>
          </cell>
          <cell r="O1403">
            <v>0</v>
          </cell>
          <cell r="P1403">
            <v>0</v>
          </cell>
          <cell r="Q1403">
            <v>0</v>
          </cell>
          <cell r="R1403">
            <v>0</v>
          </cell>
          <cell r="S1403">
            <v>0</v>
          </cell>
          <cell r="T1403">
            <v>3</v>
          </cell>
          <cell r="V1403">
            <v>0</v>
          </cell>
          <cell r="W1403">
            <v>71</v>
          </cell>
          <cell r="X1403">
            <v>4</v>
          </cell>
          <cell r="Y1403">
            <v>5</v>
          </cell>
          <cell r="AA1403">
            <v>0</v>
          </cell>
          <cell r="AB1403">
            <v>0</v>
          </cell>
          <cell r="AC1403">
            <v>0</v>
          </cell>
          <cell r="AD1403">
            <v>1</v>
          </cell>
          <cell r="AE1403">
            <v>0</v>
          </cell>
          <cell r="AF1403">
            <v>0</v>
          </cell>
          <cell r="AG1403">
            <v>0</v>
          </cell>
          <cell r="AH1403">
            <v>0</v>
          </cell>
          <cell r="AI1403">
            <v>2</v>
          </cell>
          <cell r="AK1403">
            <v>0</v>
          </cell>
          <cell r="AL1403">
            <v>1</v>
          </cell>
          <cell r="AN1403">
            <v>19626.310000000001</v>
          </cell>
          <cell r="AO1403">
            <v>4</v>
          </cell>
          <cell r="AQ1403">
            <v>1</v>
          </cell>
          <cell r="AR1403">
            <v>18</v>
          </cell>
          <cell r="AS1403">
            <v>3</v>
          </cell>
          <cell r="AT1403">
            <v>1</v>
          </cell>
          <cell r="AU1403">
            <v>1</v>
          </cell>
          <cell r="AV1403">
            <v>35</v>
          </cell>
          <cell r="AW1403">
            <v>35</v>
          </cell>
          <cell r="AX1403">
            <v>0</v>
          </cell>
          <cell r="AY1403">
            <v>3</v>
          </cell>
          <cell r="AZ1403">
            <v>10</v>
          </cell>
          <cell r="BA1403">
            <v>10</v>
          </cell>
          <cell r="BB1403">
            <v>9</v>
          </cell>
          <cell r="BC1403">
            <v>1</v>
          </cell>
          <cell r="BD1403">
            <v>1</v>
          </cell>
          <cell r="BE1403">
            <v>4</v>
          </cell>
          <cell r="BF1403">
            <v>4</v>
          </cell>
          <cell r="BG1403">
            <v>20</v>
          </cell>
          <cell r="BH1403">
            <v>0</v>
          </cell>
          <cell r="BI1403">
            <v>1</v>
          </cell>
          <cell r="BJ1403">
            <v>0</v>
          </cell>
          <cell r="BK1403">
            <v>0</v>
          </cell>
          <cell r="BL1403">
            <v>0</v>
          </cell>
          <cell r="BM1403">
            <v>0</v>
          </cell>
          <cell r="BN1403">
            <v>0</v>
          </cell>
          <cell r="BO1403">
            <v>1</v>
          </cell>
          <cell r="BP1403">
            <v>4</v>
          </cell>
          <cell r="BQ1403">
            <v>0</v>
          </cell>
          <cell r="BR1403">
            <v>0</v>
          </cell>
          <cell r="BS1403">
            <v>35</v>
          </cell>
          <cell r="BT1403">
            <v>0</v>
          </cell>
          <cell r="BU1403">
            <v>0</v>
          </cell>
        </row>
        <row r="1404">
          <cell r="A1404">
            <v>31</v>
          </cell>
          <cell r="B1404">
            <v>31</v>
          </cell>
          <cell r="D1404">
            <v>0</v>
          </cell>
          <cell r="F1404">
            <v>0</v>
          </cell>
          <cell r="G1404">
            <v>1</v>
          </cell>
          <cell r="I1404">
            <v>1</v>
          </cell>
          <cell r="J1404">
            <v>0</v>
          </cell>
          <cell r="K1404">
            <v>2</v>
          </cell>
          <cell r="L1404">
            <v>2</v>
          </cell>
          <cell r="M1404">
            <v>1</v>
          </cell>
          <cell r="O1404">
            <v>0</v>
          </cell>
          <cell r="P1404">
            <v>0</v>
          </cell>
          <cell r="Q1404">
            <v>1</v>
          </cell>
          <cell r="R1404">
            <v>0</v>
          </cell>
          <cell r="S1404">
            <v>0</v>
          </cell>
          <cell r="T1404">
            <v>4</v>
          </cell>
          <cell r="V1404">
            <v>1</v>
          </cell>
          <cell r="W1404">
            <v>59</v>
          </cell>
          <cell r="X1404">
            <v>1</v>
          </cell>
          <cell r="Y1404">
            <v>1</v>
          </cell>
          <cell r="AA1404">
            <v>0</v>
          </cell>
          <cell r="AB1404">
            <v>0</v>
          </cell>
          <cell r="AC1404">
            <v>1</v>
          </cell>
          <cell r="AD1404">
            <v>0</v>
          </cell>
          <cell r="AE1404">
            <v>0</v>
          </cell>
          <cell r="AF1404">
            <v>0</v>
          </cell>
          <cell r="AG1404">
            <v>0</v>
          </cell>
          <cell r="AH1404">
            <v>0</v>
          </cell>
          <cell r="AI1404">
            <v>4</v>
          </cell>
          <cell r="AK1404">
            <v>0</v>
          </cell>
          <cell r="AL1404">
            <v>0</v>
          </cell>
          <cell r="AN1404">
            <v>1382.46</v>
          </cell>
          <cell r="AO1404">
            <v>1</v>
          </cell>
          <cell r="AQ1404">
            <v>1</v>
          </cell>
          <cell r="AR1404">
            <v>11</v>
          </cell>
          <cell r="AS1404">
            <v>3</v>
          </cell>
          <cell r="AT1404">
            <v>3</v>
          </cell>
          <cell r="AU1404">
            <v>3</v>
          </cell>
          <cell r="AV1404">
            <v>1</v>
          </cell>
          <cell r="AW1404">
            <v>1</v>
          </cell>
          <cell r="AX1404">
            <v>4</v>
          </cell>
          <cell r="AY1404">
            <v>3</v>
          </cell>
          <cell r="AZ1404">
            <v>1</v>
          </cell>
          <cell r="BA1404">
            <v>1</v>
          </cell>
          <cell r="BB1404">
            <v>0</v>
          </cell>
          <cell r="BC1404">
            <v>0</v>
          </cell>
          <cell r="BD1404">
            <v>0</v>
          </cell>
          <cell r="BE1404">
            <v>0</v>
          </cell>
          <cell r="BF1404">
            <v>0</v>
          </cell>
          <cell r="BG1404">
            <v>0</v>
          </cell>
          <cell r="BH1404">
            <v>1</v>
          </cell>
          <cell r="BI1404">
            <v>0</v>
          </cell>
          <cell r="BJ1404">
            <v>0</v>
          </cell>
          <cell r="BK1404">
            <v>0</v>
          </cell>
          <cell r="BL1404">
            <v>0</v>
          </cell>
          <cell r="BM1404">
            <v>1</v>
          </cell>
          <cell r="BN1404">
            <v>0</v>
          </cell>
          <cell r="BO1404">
            <v>0</v>
          </cell>
          <cell r="BP1404">
            <v>0</v>
          </cell>
          <cell r="BQ1404">
            <v>0</v>
          </cell>
          <cell r="BR1404">
            <v>0</v>
          </cell>
          <cell r="BS1404">
            <v>0</v>
          </cell>
          <cell r="BT1404">
            <v>1</v>
          </cell>
          <cell r="BU1404">
            <v>0</v>
          </cell>
        </row>
        <row r="1405">
          <cell r="A1405">
            <v>39</v>
          </cell>
          <cell r="B1405">
            <v>39</v>
          </cell>
          <cell r="D1405">
            <v>0</v>
          </cell>
          <cell r="F1405">
            <v>0</v>
          </cell>
          <cell r="G1405">
            <v>1</v>
          </cell>
          <cell r="I1405">
            <v>0</v>
          </cell>
          <cell r="J1405">
            <v>1</v>
          </cell>
          <cell r="K1405">
            <v>15</v>
          </cell>
          <cell r="L1405">
            <v>15</v>
          </cell>
          <cell r="M1405">
            <v>4</v>
          </cell>
          <cell r="O1405">
            <v>0</v>
          </cell>
          <cell r="P1405">
            <v>0</v>
          </cell>
          <cell r="Q1405">
            <v>0</v>
          </cell>
          <cell r="R1405">
            <v>1</v>
          </cell>
          <cell r="S1405">
            <v>0</v>
          </cell>
          <cell r="T1405">
            <v>2</v>
          </cell>
          <cell r="V1405">
            <v>0</v>
          </cell>
          <cell r="W1405">
            <v>77</v>
          </cell>
          <cell r="X1405">
            <v>3</v>
          </cell>
          <cell r="Y1405">
            <v>4</v>
          </cell>
          <cell r="AA1405">
            <v>0</v>
          </cell>
          <cell r="AB1405">
            <v>1</v>
          </cell>
          <cell r="AC1405">
            <v>0</v>
          </cell>
          <cell r="AD1405">
            <v>0</v>
          </cell>
          <cell r="AE1405">
            <v>0</v>
          </cell>
          <cell r="AF1405">
            <v>0</v>
          </cell>
          <cell r="AG1405">
            <v>0</v>
          </cell>
          <cell r="AH1405">
            <v>0</v>
          </cell>
          <cell r="AI1405">
            <v>1</v>
          </cell>
          <cell r="AK1405">
            <v>1</v>
          </cell>
          <cell r="AL1405">
            <v>0</v>
          </cell>
          <cell r="AN1405">
            <v>13341</v>
          </cell>
          <cell r="AO1405">
            <v>0</v>
          </cell>
          <cell r="AQ1405">
            <v>0</v>
          </cell>
          <cell r="AR1405">
            <v>12</v>
          </cell>
          <cell r="AS1405">
            <v>3</v>
          </cell>
          <cell r="AT1405">
            <v>1</v>
          </cell>
          <cell r="AU1405">
            <v>0</v>
          </cell>
          <cell r="AV1405">
            <v>21</v>
          </cell>
          <cell r="AW1405">
            <v>21</v>
          </cell>
          <cell r="AX1405">
            <v>3</v>
          </cell>
          <cell r="AY1405">
            <v>3</v>
          </cell>
          <cell r="AZ1405">
            <v>20</v>
          </cell>
          <cell r="BA1405">
            <v>20</v>
          </cell>
          <cell r="BB1405">
            <v>8</v>
          </cell>
          <cell r="BC1405">
            <v>11</v>
          </cell>
          <cell r="BD1405">
            <v>11</v>
          </cell>
          <cell r="BE1405">
            <v>10</v>
          </cell>
          <cell r="BF1405">
            <v>10</v>
          </cell>
          <cell r="BG1405">
            <v>40</v>
          </cell>
          <cell r="BH1405">
            <v>1</v>
          </cell>
          <cell r="BI1405">
            <v>0</v>
          </cell>
          <cell r="BJ1405">
            <v>0</v>
          </cell>
          <cell r="BK1405">
            <v>0</v>
          </cell>
          <cell r="BL1405">
            <v>1</v>
          </cell>
          <cell r="BM1405">
            <v>0</v>
          </cell>
          <cell r="BN1405">
            <v>0</v>
          </cell>
          <cell r="BO1405">
            <v>0</v>
          </cell>
          <cell r="BP1405">
            <v>0</v>
          </cell>
          <cell r="BQ1405">
            <v>0</v>
          </cell>
          <cell r="BR1405">
            <v>10</v>
          </cell>
          <cell r="BS1405">
            <v>0</v>
          </cell>
          <cell r="BT1405">
            <v>0</v>
          </cell>
          <cell r="BU1405">
            <v>21</v>
          </cell>
        </row>
        <row r="1406">
          <cell r="A1406">
            <v>42</v>
          </cell>
          <cell r="B1406">
            <v>42</v>
          </cell>
          <cell r="D1406">
            <v>0</v>
          </cell>
          <cell r="F1406">
            <v>0</v>
          </cell>
          <cell r="G1406">
            <v>0</v>
          </cell>
          <cell r="I1406">
            <v>1</v>
          </cell>
          <cell r="J1406">
            <v>0</v>
          </cell>
          <cell r="K1406">
            <v>23</v>
          </cell>
          <cell r="L1406">
            <v>23</v>
          </cell>
          <cell r="M1406">
            <v>2</v>
          </cell>
          <cell r="O1406">
            <v>1</v>
          </cell>
          <cell r="P1406">
            <v>0</v>
          </cell>
          <cell r="Q1406">
            <v>0</v>
          </cell>
          <cell r="R1406">
            <v>0</v>
          </cell>
          <cell r="S1406">
            <v>0</v>
          </cell>
          <cell r="T1406">
            <v>4</v>
          </cell>
          <cell r="V1406">
            <v>0</v>
          </cell>
          <cell r="W1406">
            <v>37</v>
          </cell>
          <cell r="X1406">
            <v>2</v>
          </cell>
          <cell r="Y1406">
            <v>2</v>
          </cell>
          <cell r="AA1406">
            <v>0</v>
          </cell>
          <cell r="AB1406">
            <v>0</v>
          </cell>
          <cell r="AC1406">
            <v>0</v>
          </cell>
          <cell r="AD1406">
            <v>0</v>
          </cell>
          <cell r="AE1406">
            <v>0</v>
          </cell>
          <cell r="AF1406">
            <v>0</v>
          </cell>
          <cell r="AG1406">
            <v>0</v>
          </cell>
          <cell r="AH1406">
            <v>1</v>
          </cell>
          <cell r="AI1406">
            <v>3</v>
          </cell>
          <cell r="AK1406">
            <v>1</v>
          </cell>
          <cell r="AL1406">
            <v>0</v>
          </cell>
          <cell r="AN1406">
            <v>4332</v>
          </cell>
          <cell r="AO1406">
            <v>1</v>
          </cell>
          <cell r="AQ1406">
            <v>0</v>
          </cell>
          <cell r="AR1406">
            <v>12</v>
          </cell>
          <cell r="AS1406">
            <v>3</v>
          </cell>
          <cell r="AT1406">
            <v>4</v>
          </cell>
          <cell r="AU1406">
            <v>0</v>
          </cell>
          <cell r="AV1406">
            <v>20</v>
          </cell>
          <cell r="AW1406">
            <v>20</v>
          </cell>
          <cell r="AX1406">
            <v>2</v>
          </cell>
          <cell r="AY1406">
            <v>3</v>
          </cell>
          <cell r="AZ1406">
            <v>20</v>
          </cell>
          <cell r="BA1406">
            <v>20</v>
          </cell>
          <cell r="BB1406">
            <v>9</v>
          </cell>
          <cell r="BC1406">
            <v>3</v>
          </cell>
          <cell r="BD1406">
            <v>3</v>
          </cell>
          <cell r="BE1406">
            <v>7</v>
          </cell>
          <cell r="BF1406">
            <v>7</v>
          </cell>
          <cell r="BG1406">
            <v>14</v>
          </cell>
          <cell r="BH1406">
            <v>1</v>
          </cell>
          <cell r="BI1406">
            <v>0</v>
          </cell>
          <cell r="BJ1406">
            <v>0</v>
          </cell>
          <cell r="BK1406">
            <v>0</v>
          </cell>
          <cell r="BL1406">
            <v>1</v>
          </cell>
          <cell r="BM1406">
            <v>0</v>
          </cell>
          <cell r="BN1406">
            <v>0</v>
          </cell>
          <cell r="BO1406">
            <v>0</v>
          </cell>
          <cell r="BP1406">
            <v>0</v>
          </cell>
          <cell r="BQ1406">
            <v>7</v>
          </cell>
          <cell r="BR1406">
            <v>0</v>
          </cell>
          <cell r="BS1406">
            <v>0</v>
          </cell>
          <cell r="BT1406">
            <v>20</v>
          </cell>
          <cell r="BU1406">
            <v>0</v>
          </cell>
        </row>
        <row r="1407">
          <cell r="A1407">
            <v>31</v>
          </cell>
          <cell r="B1407">
            <v>31</v>
          </cell>
          <cell r="D1407">
            <v>0</v>
          </cell>
          <cell r="F1407">
            <v>0</v>
          </cell>
          <cell r="G1407">
            <v>0</v>
          </cell>
          <cell r="I1407">
            <v>1</v>
          </cell>
          <cell r="J1407">
            <v>0</v>
          </cell>
          <cell r="K1407">
            <v>10</v>
          </cell>
          <cell r="L1407">
            <v>10</v>
          </cell>
          <cell r="M1407">
            <v>3</v>
          </cell>
          <cell r="O1407">
            <v>0</v>
          </cell>
          <cell r="P1407">
            <v>0</v>
          </cell>
          <cell r="Q1407">
            <v>1</v>
          </cell>
          <cell r="R1407">
            <v>0</v>
          </cell>
          <cell r="S1407">
            <v>0</v>
          </cell>
          <cell r="T1407">
            <v>3</v>
          </cell>
          <cell r="V1407">
            <v>1</v>
          </cell>
          <cell r="W1407">
            <v>40</v>
          </cell>
          <cell r="X1407">
            <v>3</v>
          </cell>
          <cell r="Y1407">
            <v>3</v>
          </cell>
          <cell r="AA1407">
            <v>0</v>
          </cell>
          <cell r="AB1407">
            <v>0</v>
          </cell>
          <cell r="AC1407">
            <v>0</v>
          </cell>
          <cell r="AD1407">
            <v>0</v>
          </cell>
          <cell r="AE1407">
            <v>0</v>
          </cell>
          <cell r="AF1407">
            <v>0</v>
          </cell>
          <cell r="AG1407">
            <v>0</v>
          </cell>
          <cell r="AH1407">
            <v>0</v>
          </cell>
          <cell r="AI1407">
            <v>3</v>
          </cell>
          <cell r="AK1407">
            <v>0</v>
          </cell>
          <cell r="AL1407">
            <v>1</v>
          </cell>
          <cell r="AN1407">
            <v>11031</v>
          </cell>
          <cell r="AO1407">
            <v>4</v>
          </cell>
          <cell r="AQ1407">
            <v>0</v>
          </cell>
          <cell r="AR1407">
            <v>20</v>
          </cell>
          <cell r="AS1407">
            <v>4</v>
          </cell>
          <cell r="AT1407">
            <v>3</v>
          </cell>
          <cell r="AU1407">
            <v>1</v>
          </cell>
          <cell r="AV1407">
            <v>13</v>
          </cell>
          <cell r="AW1407">
            <v>13</v>
          </cell>
          <cell r="AX1407">
            <v>2</v>
          </cell>
          <cell r="AY1407">
            <v>4</v>
          </cell>
          <cell r="AZ1407">
            <v>11</v>
          </cell>
          <cell r="BA1407">
            <v>11</v>
          </cell>
          <cell r="BB1407">
            <v>7</v>
          </cell>
          <cell r="BC1407">
            <v>4</v>
          </cell>
          <cell r="BD1407">
            <v>4</v>
          </cell>
          <cell r="BE1407">
            <v>8</v>
          </cell>
          <cell r="BF1407">
            <v>8</v>
          </cell>
          <cell r="BG1407">
            <v>24</v>
          </cell>
          <cell r="BH1407">
            <v>0</v>
          </cell>
          <cell r="BI1407">
            <v>1</v>
          </cell>
          <cell r="BJ1407">
            <v>0</v>
          </cell>
          <cell r="BK1407">
            <v>0</v>
          </cell>
          <cell r="BL1407">
            <v>0</v>
          </cell>
          <cell r="BM1407">
            <v>0</v>
          </cell>
          <cell r="BN1407">
            <v>1</v>
          </cell>
          <cell r="BO1407">
            <v>0</v>
          </cell>
          <cell r="BP1407">
            <v>0</v>
          </cell>
          <cell r="BQ1407">
            <v>8</v>
          </cell>
          <cell r="BR1407">
            <v>0</v>
          </cell>
          <cell r="BS1407">
            <v>0</v>
          </cell>
          <cell r="BT1407">
            <v>13</v>
          </cell>
          <cell r="BU1407">
            <v>0</v>
          </cell>
        </row>
        <row r="1408">
          <cell r="A1408">
            <v>54</v>
          </cell>
          <cell r="B1408">
            <v>54</v>
          </cell>
          <cell r="D1408">
            <v>0</v>
          </cell>
          <cell r="F1408">
            <v>0</v>
          </cell>
          <cell r="G1408">
            <v>1</v>
          </cell>
          <cell r="I1408">
            <v>1</v>
          </cell>
          <cell r="J1408">
            <v>0</v>
          </cell>
          <cell r="K1408">
            <v>10</v>
          </cell>
          <cell r="L1408">
            <v>10</v>
          </cell>
          <cell r="M1408">
            <v>3</v>
          </cell>
          <cell r="O1408">
            <v>0</v>
          </cell>
          <cell r="P1408">
            <v>0</v>
          </cell>
          <cell r="Q1408">
            <v>1</v>
          </cell>
          <cell r="R1408">
            <v>0</v>
          </cell>
          <cell r="S1408">
            <v>0</v>
          </cell>
          <cell r="T1408">
            <v>3</v>
          </cell>
          <cell r="V1408">
            <v>1</v>
          </cell>
          <cell r="W1408">
            <v>77</v>
          </cell>
          <cell r="X1408">
            <v>3</v>
          </cell>
          <cell r="Y1408">
            <v>2</v>
          </cell>
          <cell r="AA1408">
            <v>0</v>
          </cell>
          <cell r="AB1408">
            <v>0</v>
          </cell>
          <cell r="AC1408">
            <v>0</v>
          </cell>
          <cell r="AD1408">
            <v>0</v>
          </cell>
          <cell r="AE1408">
            <v>1</v>
          </cell>
          <cell r="AF1408">
            <v>1</v>
          </cell>
          <cell r="AG1408">
            <v>0</v>
          </cell>
          <cell r="AH1408">
            <v>0</v>
          </cell>
          <cell r="AI1408">
            <v>1</v>
          </cell>
          <cell r="AK1408">
            <v>1</v>
          </cell>
          <cell r="AL1408">
            <v>0</v>
          </cell>
          <cell r="AN1408">
            <v>4440</v>
          </cell>
          <cell r="AO1408">
            <v>6</v>
          </cell>
          <cell r="AQ1408">
            <v>1</v>
          </cell>
          <cell r="AR1408">
            <v>19</v>
          </cell>
          <cell r="AS1408">
            <v>3</v>
          </cell>
          <cell r="AT1408">
            <v>4</v>
          </cell>
          <cell r="AU1408">
            <v>0</v>
          </cell>
          <cell r="AV1408">
            <v>9</v>
          </cell>
          <cell r="AW1408">
            <v>9</v>
          </cell>
          <cell r="AX1408">
            <v>3</v>
          </cell>
          <cell r="AY1408">
            <v>3</v>
          </cell>
          <cell r="AZ1408">
            <v>5</v>
          </cell>
          <cell r="BA1408">
            <v>5</v>
          </cell>
          <cell r="BB1408">
            <v>2</v>
          </cell>
          <cell r="BC1408">
            <v>1</v>
          </cell>
          <cell r="BD1408">
            <v>1</v>
          </cell>
          <cell r="BE1408">
            <v>4</v>
          </cell>
          <cell r="BF1408">
            <v>4</v>
          </cell>
          <cell r="BG1408">
            <v>8</v>
          </cell>
          <cell r="BH1408">
            <v>1</v>
          </cell>
          <cell r="BI1408">
            <v>0</v>
          </cell>
          <cell r="BJ1408">
            <v>0</v>
          </cell>
          <cell r="BK1408">
            <v>0</v>
          </cell>
          <cell r="BL1408">
            <v>0</v>
          </cell>
          <cell r="BM1408">
            <v>1</v>
          </cell>
          <cell r="BN1408">
            <v>0</v>
          </cell>
          <cell r="BO1408">
            <v>0</v>
          </cell>
          <cell r="BP1408">
            <v>0</v>
          </cell>
          <cell r="BQ1408">
            <v>4</v>
          </cell>
          <cell r="BR1408">
            <v>0</v>
          </cell>
          <cell r="BS1408">
            <v>0</v>
          </cell>
          <cell r="BT1408">
            <v>9</v>
          </cell>
          <cell r="BU1408">
            <v>0</v>
          </cell>
        </row>
        <row r="1409">
          <cell r="A1409">
            <v>24</v>
          </cell>
          <cell r="B1409">
            <v>24</v>
          </cell>
          <cell r="D1409">
            <v>0</v>
          </cell>
          <cell r="F1409">
            <v>0</v>
          </cell>
          <cell r="G1409">
            <v>1</v>
          </cell>
          <cell r="I1409">
            <v>1</v>
          </cell>
          <cell r="J1409">
            <v>0</v>
          </cell>
          <cell r="K1409">
            <v>1</v>
          </cell>
          <cell r="L1409">
            <v>1</v>
          </cell>
          <cell r="M1409">
            <v>2</v>
          </cell>
          <cell r="O1409">
            <v>1</v>
          </cell>
          <cell r="P1409">
            <v>0</v>
          </cell>
          <cell r="Q1409">
            <v>0</v>
          </cell>
          <cell r="R1409">
            <v>0</v>
          </cell>
          <cell r="S1409">
            <v>0</v>
          </cell>
          <cell r="T1409">
            <v>2</v>
          </cell>
          <cell r="V1409">
            <v>0</v>
          </cell>
          <cell r="W1409">
            <v>45</v>
          </cell>
          <cell r="X1409">
            <v>2</v>
          </cell>
          <cell r="Y1409">
            <v>2</v>
          </cell>
          <cell r="AA1409">
            <v>1</v>
          </cell>
          <cell r="AB1409">
            <v>0</v>
          </cell>
          <cell r="AC1409">
            <v>0</v>
          </cell>
          <cell r="AD1409">
            <v>0</v>
          </cell>
          <cell r="AE1409">
            <v>0</v>
          </cell>
          <cell r="AF1409">
            <v>0</v>
          </cell>
          <cell r="AG1409">
            <v>0</v>
          </cell>
          <cell r="AH1409">
            <v>0</v>
          </cell>
          <cell r="AI1409">
            <v>3</v>
          </cell>
          <cell r="AK1409">
            <v>1</v>
          </cell>
          <cell r="AL1409">
            <v>0</v>
          </cell>
          <cell r="AN1409">
            <v>4617</v>
          </cell>
          <cell r="AO1409">
            <v>1</v>
          </cell>
          <cell r="AQ1409">
            <v>0</v>
          </cell>
          <cell r="AR1409">
            <v>12</v>
          </cell>
          <cell r="AS1409">
            <v>3</v>
          </cell>
          <cell r="AT1409">
            <v>2</v>
          </cell>
          <cell r="AU1409">
            <v>0</v>
          </cell>
          <cell r="AV1409">
            <v>4</v>
          </cell>
          <cell r="AW1409">
            <v>4</v>
          </cell>
          <cell r="AX1409">
            <v>2</v>
          </cell>
          <cell r="AY1409">
            <v>2</v>
          </cell>
          <cell r="AZ1409">
            <v>4</v>
          </cell>
          <cell r="BA1409">
            <v>4</v>
          </cell>
          <cell r="BB1409">
            <v>3</v>
          </cell>
          <cell r="BC1409">
            <v>1</v>
          </cell>
          <cell r="BD1409">
            <v>1</v>
          </cell>
          <cell r="BE1409">
            <v>2</v>
          </cell>
          <cell r="BF1409">
            <v>2</v>
          </cell>
          <cell r="BG1409">
            <v>4</v>
          </cell>
          <cell r="BH1409">
            <v>1</v>
          </cell>
          <cell r="BI1409">
            <v>0</v>
          </cell>
          <cell r="BJ1409">
            <v>0</v>
          </cell>
          <cell r="BK1409">
            <v>0</v>
          </cell>
          <cell r="BL1409">
            <v>1</v>
          </cell>
          <cell r="BM1409">
            <v>0</v>
          </cell>
          <cell r="BN1409">
            <v>0</v>
          </cell>
          <cell r="BO1409">
            <v>0</v>
          </cell>
          <cell r="BP1409">
            <v>0</v>
          </cell>
          <cell r="BQ1409">
            <v>2</v>
          </cell>
          <cell r="BR1409">
            <v>0</v>
          </cell>
          <cell r="BS1409">
            <v>0</v>
          </cell>
          <cell r="BT1409">
            <v>4</v>
          </cell>
          <cell r="BU1409">
            <v>0</v>
          </cell>
        </row>
        <row r="1410">
          <cell r="A1410">
            <v>23</v>
          </cell>
          <cell r="B1410">
            <v>23</v>
          </cell>
          <cell r="D1410">
            <v>0</v>
          </cell>
          <cell r="F1410">
            <v>0</v>
          </cell>
          <cell r="G1410">
            <v>1</v>
          </cell>
          <cell r="I1410">
            <v>1</v>
          </cell>
          <cell r="J1410">
            <v>0</v>
          </cell>
          <cell r="K1410">
            <v>12</v>
          </cell>
          <cell r="L1410">
            <v>12</v>
          </cell>
          <cell r="M1410">
            <v>2</v>
          </cell>
          <cell r="O1410">
            <v>0</v>
          </cell>
          <cell r="P1410">
            <v>1</v>
          </cell>
          <cell r="Q1410">
            <v>0</v>
          </cell>
          <cell r="R1410">
            <v>0</v>
          </cell>
          <cell r="S1410">
            <v>0</v>
          </cell>
          <cell r="T1410">
            <v>4</v>
          </cell>
          <cell r="V1410">
            <v>0</v>
          </cell>
          <cell r="W1410">
            <v>78</v>
          </cell>
          <cell r="X1410">
            <v>3</v>
          </cell>
          <cell r="Y1410">
            <v>1</v>
          </cell>
          <cell r="AA1410">
            <v>0</v>
          </cell>
          <cell r="AB1410">
            <v>0</v>
          </cell>
          <cell r="AC1410">
            <v>1</v>
          </cell>
          <cell r="AD1410">
            <v>0</v>
          </cell>
          <cell r="AE1410">
            <v>0</v>
          </cell>
          <cell r="AF1410">
            <v>0</v>
          </cell>
          <cell r="AG1410">
            <v>0</v>
          </cell>
          <cell r="AH1410">
            <v>0</v>
          </cell>
          <cell r="AI1410">
            <v>4</v>
          </cell>
          <cell r="AK1410">
            <v>1</v>
          </cell>
          <cell r="AL1410">
            <v>0</v>
          </cell>
          <cell r="AN1410">
            <v>2647</v>
          </cell>
          <cell r="AO1410">
            <v>1</v>
          </cell>
          <cell r="AQ1410">
            <v>0</v>
          </cell>
          <cell r="AR1410">
            <v>13</v>
          </cell>
          <cell r="AS1410">
            <v>3</v>
          </cell>
          <cell r="AT1410">
            <v>3</v>
          </cell>
          <cell r="AU1410">
            <v>0</v>
          </cell>
          <cell r="AV1410">
            <v>5</v>
          </cell>
          <cell r="AW1410">
            <v>5</v>
          </cell>
          <cell r="AX1410">
            <v>6</v>
          </cell>
          <cell r="AY1410">
            <v>4</v>
          </cell>
          <cell r="AZ1410">
            <v>5</v>
          </cell>
          <cell r="BA1410">
            <v>5</v>
          </cell>
          <cell r="BB1410">
            <v>2</v>
          </cell>
          <cell r="BC1410">
            <v>1</v>
          </cell>
          <cell r="BD1410">
            <v>1</v>
          </cell>
          <cell r="BE1410">
            <v>4</v>
          </cell>
          <cell r="BF1410">
            <v>4</v>
          </cell>
          <cell r="BG1410">
            <v>4</v>
          </cell>
          <cell r="BH1410">
            <v>1</v>
          </cell>
          <cell r="BI1410">
            <v>0</v>
          </cell>
          <cell r="BJ1410">
            <v>0</v>
          </cell>
          <cell r="BK1410">
            <v>0</v>
          </cell>
          <cell r="BL1410">
            <v>1</v>
          </cell>
          <cell r="BM1410">
            <v>0</v>
          </cell>
          <cell r="BN1410">
            <v>0</v>
          </cell>
          <cell r="BO1410">
            <v>0</v>
          </cell>
          <cell r="BP1410">
            <v>0</v>
          </cell>
          <cell r="BQ1410">
            <v>4</v>
          </cell>
          <cell r="BR1410">
            <v>0</v>
          </cell>
          <cell r="BS1410">
            <v>0</v>
          </cell>
          <cell r="BT1410">
            <v>5</v>
          </cell>
          <cell r="BU1410">
            <v>0</v>
          </cell>
        </row>
        <row r="1411">
          <cell r="A1411">
            <v>40</v>
          </cell>
          <cell r="B1411">
            <v>40</v>
          </cell>
          <cell r="D1411">
            <v>0</v>
          </cell>
          <cell r="F1411">
            <v>1</v>
          </cell>
          <cell r="G1411">
            <v>0</v>
          </cell>
          <cell r="I1411">
            <v>1</v>
          </cell>
          <cell r="J1411">
            <v>0</v>
          </cell>
          <cell r="K1411">
            <v>11</v>
          </cell>
          <cell r="L1411">
            <v>11</v>
          </cell>
          <cell r="M1411">
            <v>3</v>
          </cell>
          <cell r="O1411">
            <v>0</v>
          </cell>
          <cell r="P1411">
            <v>0</v>
          </cell>
          <cell r="Q1411">
            <v>0</v>
          </cell>
          <cell r="R1411">
            <v>0</v>
          </cell>
          <cell r="S1411">
            <v>1</v>
          </cell>
          <cell r="T1411">
            <v>4</v>
          </cell>
          <cell r="V1411">
            <v>1</v>
          </cell>
          <cell r="W1411">
            <v>73</v>
          </cell>
          <cell r="X1411">
            <v>3</v>
          </cell>
          <cell r="Y1411">
            <v>2</v>
          </cell>
          <cell r="AA1411">
            <v>0</v>
          </cell>
          <cell r="AB1411">
            <v>0</v>
          </cell>
          <cell r="AC1411">
            <v>1</v>
          </cell>
          <cell r="AD1411">
            <v>0</v>
          </cell>
          <cell r="AE1411">
            <v>0</v>
          </cell>
          <cell r="AF1411">
            <v>0</v>
          </cell>
          <cell r="AG1411">
            <v>0</v>
          </cell>
          <cell r="AH1411">
            <v>0</v>
          </cell>
          <cell r="AI1411">
            <v>3</v>
          </cell>
          <cell r="AK1411">
            <v>0</v>
          </cell>
          <cell r="AL1411">
            <v>1</v>
          </cell>
          <cell r="AN1411">
            <v>6323</v>
          </cell>
          <cell r="AO1411">
            <v>1</v>
          </cell>
          <cell r="AQ1411">
            <v>0</v>
          </cell>
          <cell r="AR1411">
            <v>11</v>
          </cell>
          <cell r="AS1411">
            <v>3</v>
          </cell>
          <cell r="AT1411">
            <v>1</v>
          </cell>
          <cell r="AU1411">
            <v>1</v>
          </cell>
          <cell r="AV1411">
            <v>10</v>
          </cell>
          <cell r="AW1411">
            <v>10</v>
          </cell>
          <cell r="AX1411">
            <v>2</v>
          </cell>
          <cell r="AY1411">
            <v>4</v>
          </cell>
          <cell r="AZ1411">
            <v>10</v>
          </cell>
          <cell r="BA1411">
            <v>10</v>
          </cell>
          <cell r="BB1411">
            <v>9</v>
          </cell>
          <cell r="BC1411">
            <v>9</v>
          </cell>
          <cell r="BD1411">
            <v>9</v>
          </cell>
          <cell r="BE1411">
            <v>4</v>
          </cell>
          <cell r="BF1411">
            <v>4</v>
          </cell>
          <cell r="BG1411">
            <v>8</v>
          </cell>
          <cell r="BH1411">
            <v>0</v>
          </cell>
          <cell r="BI1411">
            <v>0</v>
          </cell>
          <cell r="BJ1411">
            <v>0</v>
          </cell>
          <cell r="BK1411">
            <v>1</v>
          </cell>
          <cell r="BL1411">
            <v>0</v>
          </cell>
          <cell r="BM1411">
            <v>0</v>
          </cell>
          <cell r="BN1411">
            <v>1</v>
          </cell>
          <cell r="BO1411">
            <v>0</v>
          </cell>
          <cell r="BP1411">
            <v>0</v>
          </cell>
          <cell r="BQ1411">
            <v>4</v>
          </cell>
          <cell r="BR1411">
            <v>0</v>
          </cell>
          <cell r="BS1411">
            <v>0</v>
          </cell>
          <cell r="BT1411">
            <v>10</v>
          </cell>
          <cell r="BU1411">
            <v>0</v>
          </cell>
        </row>
        <row r="1412">
          <cell r="A1412">
            <v>40</v>
          </cell>
          <cell r="B1412">
            <v>40</v>
          </cell>
          <cell r="D1412">
            <v>0</v>
          </cell>
          <cell r="F1412">
            <v>0</v>
          </cell>
          <cell r="G1412">
            <v>1</v>
          </cell>
          <cell r="I1412">
            <v>0</v>
          </cell>
          <cell r="J1412">
            <v>1</v>
          </cell>
          <cell r="K1412">
            <v>2</v>
          </cell>
          <cell r="L1412">
            <v>2</v>
          </cell>
          <cell r="M1412">
            <v>2</v>
          </cell>
          <cell r="O1412">
            <v>0</v>
          </cell>
          <cell r="P1412">
            <v>0</v>
          </cell>
          <cell r="Q1412">
            <v>0</v>
          </cell>
          <cell r="R1412">
            <v>1</v>
          </cell>
          <cell r="S1412">
            <v>0</v>
          </cell>
          <cell r="T1412">
            <v>2</v>
          </cell>
          <cell r="V1412">
            <v>1</v>
          </cell>
          <cell r="W1412">
            <v>92</v>
          </cell>
          <cell r="X1412">
            <v>3</v>
          </cell>
          <cell r="Y1412">
            <v>2</v>
          </cell>
          <cell r="AA1412">
            <v>0</v>
          </cell>
          <cell r="AB1412">
            <v>1</v>
          </cell>
          <cell r="AC1412">
            <v>0</v>
          </cell>
          <cell r="AD1412">
            <v>0</v>
          </cell>
          <cell r="AE1412">
            <v>0</v>
          </cell>
          <cell r="AF1412">
            <v>0</v>
          </cell>
          <cell r="AG1412">
            <v>0</v>
          </cell>
          <cell r="AH1412">
            <v>0</v>
          </cell>
          <cell r="AI1412">
            <v>2</v>
          </cell>
          <cell r="AK1412">
            <v>0</v>
          </cell>
          <cell r="AL1412">
            <v>1</v>
          </cell>
          <cell r="AN1412">
            <v>5677</v>
          </cell>
          <cell r="AO1412">
            <v>3</v>
          </cell>
          <cell r="AQ1412">
            <v>0</v>
          </cell>
          <cell r="AR1412">
            <v>14</v>
          </cell>
          <cell r="AS1412">
            <v>3</v>
          </cell>
          <cell r="AT1412">
            <v>3</v>
          </cell>
          <cell r="AU1412">
            <v>1</v>
          </cell>
          <cell r="AV1412">
            <v>15</v>
          </cell>
          <cell r="AW1412">
            <v>15</v>
          </cell>
          <cell r="AX1412">
            <v>4</v>
          </cell>
          <cell r="AY1412">
            <v>3</v>
          </cell>
          <cell r="AZ1412">
            <v>11</v>
          </cell>
          <cell r="BA1412">
            <v>11</v>
          </cell>
          <cell r="BB1412">
            <v>8</v>
          </cell>
          <cell r="BC1412">
            <v>5</v>
          </cell>
          <cell r="BD1412">
            <v>5</v>
          </cell>
          <cell r="BE1412">
            <v>10</v>
          </cell>
          <cell r="BF1412">
            <v>10</v>
          </cell>
          <cell r="BG1412">
            <v>20</v>
          </cell>
          <cell r="BH1412">
            <v>0</v>
          </cell>
          <cell r="BI1412">
            <v>1</v>
          </cell>
          <cell r="BJ1412">
            <v>0</v>
          </cell>
          <cell r="BK1412">
            <v>0</v>
          </cell>
          <cell r="BL1412">
            <v>0</v>
          </cell>
          <cell r="BM1412">
            <v>0</v>
          </cell>
          <cell r="BN1412">
            <v>1</v>
          </cell>
          <cell r="BO1412">
            <v>0</v>
          </cell>
          <cell r="BP1412">
            <v>0</v>
          </cell>
          <cell r="BQ1412">
            <v>0</v>
          </cell>
          <cell r="BR1412">
            <v>10</v>
          </cell>
          <cell r="BS1412">
            <v>0</v>
          </cell>
          <cell r="BT1412">
            <v>0</v>
          </cell>
          <cell r="BU1412">
            <v>15</v>
          </cell>
        </row>
        <row r="1413">
          <cell r="A1413">
            <v>25</v>
          </cell>
          <cell r="B1413">
            <v>25</v>
          </cell>
          <cell r="D1413">
            <v>0</v>
          </cell>
          <cell r="F1413">
            <v>0</v>
          </cell>
          <cell r="G1413">
            <v>1</v>
          </cell>
          <cell r="I1413">
            <v>0</v>
          </cell>
          <cell r="J1413">
            <v>0</v>
          </cell>
          <cell r="K1413">
            <v>2</v>
          </cell>
          <cell r="L1413">
            <v>2</v>
          </cell>
          <cell r="M1413">
            <v>3</v>
          </cell>
          <cell r="O1413">
            <v>0</v>
          </cell>
          <cell r="P1413">
            <v>0</v>
          </cell>
          <cell r="Q1413">
            <v>0</v>
          </cell>
          <cell r="R1413">
            <v>0</v>
          </cell>
          <cell r="S1413">
            <v>0</v>
          </cell>
          <cell r="T1413">
            <v>3</v>
          </cell>
          <cell r="V1413">
            <v>1</v>
          </cell>
          <cell r="W1413">
            <v>82</v>
          </cell>
          <cell r="X1413">
            <v>3</v>
          </cell>
          <cell r="Y1413">
            <v>1</v>
          </cell>
          <cell r="AA1413">
            <v>0</v>
          </cell>
          <cell r="AB1413">
            <v>0</v>
          </cell>
          <cell r="AC1413">
            <v>0</v>
          </cell>
          <cell r="AD1413">
            <v>0</v>
          </cell>
          <cell r="AE1413">
            <v>0</v>
          </cell>
          <cell r="AF1413">
            <v>0</v>
          </cell>
          <cell r="AG1413">
            <v>0</v>
          </cell>
          <cell r="AH1413">
            <v>0</v>
          </cell>
          <cell r="AI1413">
            <v>2</v>
          </cell>
          <cell r="AK1413">
            <v>0</v>
          </cell>
          <cell r="AL1413">
            <v>1</v>
          </cell>
          <cell r="AN1413">
            <v>2187</v>
          </cell>
          <cell r="AO1413">
            <v>4</v>
          </cell>
          <cell r="AQ1413">
            <v>0</v>
          </cell>
          <cell r="AR1413">
            <v>14</v>
          </cell>
          <cell r="AS1413">
            <v>3</v>
          </cell>
          <cell r="AT1413">
            <v>3</v>
          </cell>
          <cell r="AU1413">
            <v>0</v>
          </cell>
          <cell r="AV1413">
            <v>6</v>
          </cell>
          <cell r="AW1413">
            <v>6</v>
          </cell>
          <cell r="AX1413">
            <v>3</v>
          </cell>
          <cell r="AY1413">
            <v>3</v>
          </cell>
          <cell r="AZ1413">
            <v>2</v>
          </cell>
          <cell r="BA1413">
            <v>2</v>
          </cell>
          <cell r="BB1413">
            <v>0</v>
          </cell>
          <cell r="BC1413">
            <v>1</v>
          </cell>
          <cell r="BD1413">
            <v>1</v>
          </cell>
          <cell r="BE1413">
            <v>2</v>
          </cell>
          <cell r="BF1413">
            <v>2</v>
          </cell>
          <cell r="BG1413">
            <v>2</v>
          </cell>
          <cell r="BH1413">
            <v>0</v>
          </cell>
          <cell r="BI1413">
            <v>1</v>
          </cell>
          <cell r="BJ1413">
            <v>0</v>
          </cell>
          <cell r="BK1413">
            <v>0</v>
          </cell>
          <cell r="BL1413">
            <v>0</v>
          </cell>
          <cell r="BM1413">
            <v>0</v>
          </cell>
          <cell r="BN1413">
            <v>1</v>
          </cell>
          <cell r="BO1413">
            <v>0</v>
          </cell>
          <cell r="BP1413">
            <v>2</v>
          </cell>
          <cell r="BQ1413">
            <v>0</v>
          </cell>
          <cell r="BR1413">
            <v>0</v>
          </cell>
          <cell r="BS1413">
            <v>6</v>
          </cell>
          <cell r="BT1413">
            <v>0</v>
          </cell>
          <cell r="BU1413">
            <v>0</v>
          </cell>
        </row>
        <row r="1414">
          <cell r="A1414">
            <v>30</v>
          </cell>
          <cell r="B1414">
            <v>30</v>
          </cell>
          <cell r="D1414">
            <v>0</v>
          </cell>
          <cell r="F1414">
            <v>0</v>
          </cell>
          <cell r="G1414">
            <v>1</v>
          </cell>
          <cell r="I1414">
            <v>1</v>
          </cell>
          <cell r="J1414">
            <v>0</v>
          </cell>
          <cell r="K1414">
            <v>1</v>
          </cell>
          <cell r="L1414">
            <v>1</v>
          </cell>
          <cell r="M1414">
            <v>2</v>
          </cell>
          <cell r="O1414">
            <v>0</v>
          </cell>
          <cell r="P1414">
            <v>0</v>
          </cell>
          <cell r="Q1414">
            <v>1</v>
          </cell>
          <cell r="R1414">
            <v>0</v>
          </cell>
          <cell r="S1414">
            <v>0</v>
          </cell>
          <cell r="T1414">
            <v>4</v>
          </cell>
          <cell r="V1414">
            <v>0</v>
          </cell>
          <cell r="W1414">
            <v>76</v>
          </cell>
          <cell r="X1414">
            <v>3</v>
          </cell>
          <cell r="Y1414">
            <v>1</v>
          </cell>
          <cell r="AA1414">
            <v>0</v>
          </cell>
          <cell r="AB1414">
            <v>0</v>
          </cell>
          <cell r="AC1414">
            <v>1</v>
          </cell>
          <cell r="AD1414">
            <v>0</v>
          </cell>
          <cell r="AE1414">
            <v>0</v>
          </cell>
          <cell r="AF1414">
            <v>0</v>
          </cell>
          <cell r="AG1414">
            <v>0</v>
          </cell>
          <cell r="AH1414">
            <v>0</v>
          </cell>
          <cell r="AI1414">
            <v>2</v>
          </cell>
          <cell r="AK1414">
            <v>0</v>
          </cell>
          <cell r="AL1414">
            <v>1</v>
          </cell>
          <cell r="AN1414">
            <v>3748</v>
          </cell>
          <cell r="AO1414">
            <v>1</v>
          </cell>
          <cell r="AQ1414">
            <v>0</v>
          </cell>
          <cell r="AR1414">
            <v>13</v>
          </cell>
          <cell r="AS1414">
            <v>3</v>
          </cell>
          <cell r="AT1414">
            <v>3</v>
          </cell>
          <cell r="AU1414">
            <v>0</v>
          </cell>
          <cell r="AV1414">
            <v>12</v>
          </cell>
          <cell r="AW1414">
            <v>12</v>
          </cell>
          <cell r="AX1414">
            <v>6</v>
          </cell>
          <cell r="AY1414">
            <v>2</v>
          </cell>
          <cell r="AZ1414">
            <v>12</v>
          </cell>
          <cell r="BA1414">
            <v>12</v>
          </cell>
          <cell r="BB1414">
            <v>8</v>
          </cell>
          <cell r="BC1414">
            <v>1</v>
          </cell>
          <cell r="BD1414">
            <v>1</v>
          </cell>
          <cell r="BE1414">
            <v>7</v>
          </cell>
          <cell r="BF1414">
            <v>7</v>
          </cell>
          <cell r="BG1414">
            <v>7</v>
          </cell>
          <cell r="BH1414">
            <v>0</v>
          </cell>
          <cell r="BI1414">
            <v>1</v>
          </cell>
          <cell r="BJ1414">
            <v>0</v>
          </cell>
          <cell r="BK1414">
            <v>0</v>
          </cell>
          <cell r="BL1414">
            <v>0</v>
          </cell>
          <cell r="BM1414">
            <v>0</v>
          </cell>
          <cell r="BN1414">
            <v>1</v>
          </cell>
          <cell r="BO1414">
            <v>0</v>
          </cell>
          <cell r="BP1414">
            <v>0</v>
          </cell>
          <cell r="BQ1414">
            <v>7</v>
          </cell>
          <cell r="BR1414">
            <v>0</v>
          </cell>
          <cell r="BS1414">
            <v>0</v>
          </cell>
          <cell r="BT1414">
            <v>12</v>
          </cell>
          <cell r="BU1414">
            <v>0</v>
          </cell>
        </row>
        <row r="1415">
          <cell r="A1415">
            <v>25</v>
          </cell>
          <cell r="B1415">
            <v>25</v>
          </cell>
          <cell r="D1415">
            <v>0</v>
          </cell>
          <cell r="F1415">
            <v>0</v>
          </cell>
          <cell r="G1415">
            <v>1</v>
          </cell>
          <cell r="I1415">
            <v>1</v>
          </cell>
          <cell r="J1415">
            <v>0</v>
          </cell>
          <cell r="K1415">
            <v>2</v>
          </cell>
          <cell r="L1415">
            <v>2</v>
          </cell>
          <cell r="M1415">
            <v>1</v>
          </cell>
          <cell r="O1415">
            <v>0</v>
          </cell>
          <cell r="P1415">
            <v>1</v>
          </cell>
          <cell r="Q1415">
            <v>0</v>
          </cell>
          <cell r="R1415">
            <v>0</v>
          </cell>
          <cell r="S1415">
            <v>0</v>
          </cell>
          <cell r="T1415">
            <v>4</v>
          </cell>
          <cell r="V1415">
            <v>0</v>
          </cell>
          <cell r="W1415">
            <v>57</v>
          </cell>
          <cell r="X1415">
            <v>3</v>
          </cell>
          <cell r="Y1415">
            <v>1</v>
          </cell>
          <cell r="AA1415">
            <v>0</v>
          </cell>
          <cell r="AB1415">
            <v>0</v>
          </cell>
          <cell r="AC1415">
            <v>1</v>
          </cell>
          <cell r="AD1415">
            <v>0</v>
          </cell>
          <cell r="AE1415">
            <v>0</v>
          </cell>
          <cell r="AF1415">
            <v>0</v>
          </cell>
          <cell r="AG1415">
            <v>0</v>
          </cell>
          <cell r="AH1415">
            <v>0</v>
          </cell>
          <cell r="AI1415">
            <v>3</v>
          </cell>
          <cell r="AK1415">
            <v>0</v>
          </cell>
          <cell r="AL1415">
            <v>0</v>
          </cell>
          <cell r="AN1415">
            <v>3977</v>
          </cell>
          <cell r="AO1415">
            <v>6</v>
          </cell>
          <cell r="AQ1415">
            <v>1</v>
          </cell>
          <cell r="AR1415">
            <v>19</v>
          </cell>
          <cell r="AS1415">
            <v>3</v>
          </cell>
          <cell r="AT1415">
            <v>3</v>
          </cell>
          <cell r="AU1415">
            <v>1</v>
          </cell>
          <cell r="AV1415">
            <v>7</v>
          </cell>
          <cell r="AW1415">
            <v>7</v>
          </cell>
          <cell r="AX1415">
            <v>2</v>
          </cell>
          <cell r="AY1415">
            <v>2</v>
          </cell>
          <cell r="AZ1415">
            <v>2</v>
          </cell>
          <cell r="BA1415">
            <v>2</v>
          </cell>
          <cell r="BB1415">
            <v>2</v>
          </cell>
          <cell r="BC1415">
            <v>0</v>
          </cell>
          <cell r="BD1415">
            <v>0</v>
          </cell>
          <cell r="BE1415">
            <v>2</v>
          </cell>
          <cell r="BF1415">
            <v>2</v>
          </cell>
          <cell r="BG1415">
            <v>2</v>
          </cell>
          <cell r="BH1415">
            <v>1</v>
          </cell>
          <cell r="BI1415">
            <v>0</v>
          </cell>
          <cell r="BJ1415">
            <v>0</v>
          </cell>
          <cell r="BK1415">
            <v>0</v>
          </cell>
          <cell r="BL1415">
            <v>0</v>
          </cell>
          <cell r="BM1415">
            <v>1</v>
          </cell>
          <cell r="BN1415">
            <v>0</v>
          </cell>
          <cell r="BO1415">
            <v>0</v>
          </cell>
          <cell r="BP1415">
            <v>0</v>
          </cell>
          <cell r="BQ1415">
            <v>2</v>
          </cell>
          <cell r="BR1415">
            <v>0</v>
          </cell>
          <cell r="BS1415">
            <v>0</v>
          </cell>
          <cell r="BT1415">
            <v>7</v>
          </cell>
          <cell r="BU1415">
            <v>0</v>
          </cell>
        </row>
        <row r="1416">
          <cell r="A1416">
            <v>47</v>
          </cell>
          <cell r="B1416">
            <v>47</v>
          </cell>
          <cell r="D1416">
            <v>0</v>
          </cell>
          <cell r="F1416">
            <v>0</v>
          </cell>
          <cell r="G1416">
            <v>1</v>
          </cell>
          <cell r="I1416">
            <v>1</v>
          </cell>
          <cell r="J1416">
            <v>0</v>
          </cell>
          <cell r="K1416">
            <v>25</v>
          </cell>
          <cell r="L1416">
            <v>25</v>
          </cell>
          <cell r="M1416">
            <v>3</v>
          </cell>
          <cell r="O1416">
            <v>0</v>
          </cell>
          <cell r="P1416">
            <v>0</v>
          </cell>
          <cell r="Q1416">
            <v>1</v>
          </cell>
          <cell r="R1416">
            <v>0</v>
          </cell>
          <cell r="S1416">
            <v>0</v>
          </cell>
          <cell r="T1416">
            <v>1</v>
          </cell>
          <cell r="V1416">
            <v>0</v>
          </cell>
          <cell r="W1416">
            <v>84</v>
          </cell>
          <cell r="X1416">
            <v>3</v>
          </cell>
          <cell r="Y1416">
            <v>3</v>
          </cell>
          <cell r="AA1416">
            <v>1</v>
          </cell>
          <cell r="AB1416">
            <v>0</v>
          </cell>
          <cell r="AC1416">
            <v>0</v>
          </cell>
          <cell r="AD1416">
            <v>0</v>
          </cell>
          <cell r="AE1416">
            <v>0</v>
          </cell>
          <cell r="AF1416">
            <v>0</v>
          </cell>
          <cell r="AG1416">
            <v>0</v>
          </cell>
          <cell r="AH1416">
            <v>0</v>
          </cell>
          <cell r="AI1416">
            <v>3</v>
          </cell>
          <cell r="AK1416">
            <v>1</v>
          </cell>
          <cell r="AL1416">
            <v>0</v>
          </cell>
          <cell r="AN1416">
            <v>8633</v>
          </cell>
          <cell r="AO1416">
            <v>2</v>
          </cell>
          <cell r="AQ1416">
            <v>0</v>
          </cell>
          <cell r="AR1416">
            <v>23</v>
          </cell>
          <cell r="AS1416">
            <v>4</v>
          </cell>
          <cell r="AT1416">
            <v>2</v>
          </cell>
          <cell r="AU1416">
            <v>0</v>
          </cell>
          <cell r="AV1416">
            <v>25</v>
          </cell>
          <cell r="AW1416">
            <v>25</v>
          </cell>
          <cell r="AX1416">
            <v>3</v>
          </cell>
          <cell r="AY1416">
            <v>3</v>
          </cell>
          <cell r="AZ1416">
            <v>17</v>
          </cell>
          <cell r="BA1416">
            <v>17</v>
          </cell>
          <cell r="BB1416">
            <v>14</v>
          </cell>
          <cell r="BC1416">
            <v>12</v>
          </cell>
          <cell r="BD1416">
            <v>12</v>
          </cell>
          <cell r="BE1416">
            <v>11</v>
          </cell>
          <cell r="BF1416">
            <v>11</v>
          </cell>
          <cell r="BG1416">
            <v>33</v>
          </cell>
          <cell r="BH1416">
            <v>1</v>
          </cell>
          <cell r="BI1416">
            <v>0</v>
          </cell>
          <cell r="BJ1416">
            <v>0</v>
          </cell>
          <cell r="BK1416">
            <v>0</v>
          </cell>
          <cell r="BL1416">
            <v>1</v>
          </cell>
          <cell r="BM1416">
            <v>0</v>
          </cell>
          <cell r="BN1416">
            <v>0</v>
          </cell>
          <cell r="BO1416">
            <v>0</v>
          </cell>
          <cell r="BP1416">
            <v>0</v>
          </cell>
          <cell r="BQ1416">
            <v>11</v>
          </cell>
          <cell r="BR1416">
            <v>0</v>
          </cell>
          <cell r="BS1416">
            <v>0</v>
          </cell>
          <cell r="BT1416">
            <v>25</v>
          </cell>
          <cell r="BU1416">
            <v>0</v>
          </cell>
        </row>
        <row r="1417">
          <cell r="A1417">
            <v>33</v>
          </cell>
          <cell r="B1417">
            <v>33</v>
          </cell>
          <cell r="D1417">
            <v>0</v>
          </cell>
          <cell r="F1417">
            <v>0</v>
          </cell>
          <cell r="G1417">
            <v>0</v>
          </cell>
          <cell r="I1417">
            <v>1</v>
          </cell>
          <cell r="J1417">
            <v>0</v>
          </cell>
          <cell r="K1417">
            <v>1</v>
          </cell>
          <cell r="L1417">
            <v>1</v>
          </cell>
          <cell r="M1417">
            <v>2</v>
          </cell>
          <cell r="O1417">
            <v>0</v>
          </cell>
          <cell r="P1417">
            <v>0</v>
          </cell>
          <cell r="Q1417">
            <v>1</v>
          </cell>
          <cell r="R1417">
            <v>0</v>
          </cell>
          <cell r="S1417">
            <v>0</v>
          </cell>
          <cell r="T1417">
            <v>2</v>
          </cell>
          <cell r="V1417">
            <v>0</v>
          </cell>
          <cell r="W1417">
            <v>59</v>
          </cell>
          <cell r="X1417">
            <v>2</v>
          </cell>
          <cell r="Y1417">
            <v>1</v>
          </cell>
          <cell r="AA1417">
            <v>0</v>
          </cell>
          <cell r="AB1417">
            <v>0</v>
          </cell>
          <cell r="AC1417">
            <v>1</v>
          </cell>
          <cell r="AD1417">
            <v>0</v>
          </cell>
          <cell r="AE1417">
            <v>0</v>
          </cell>
          <cell r="AF1417">
            <v>0</v>
          </cell>
          <cell r="AG1417">
            <v>0</v>
          </cell>
          <cell r="AH1417">
            <v>0</v>
          </cell>
          <cell r="AI1417">
            <v>3</v>
          </cell>
          <cell r="AK1417">
            <v>0</v>
          </cell>
          <cell r="AL1417">
            <v>0</v>
          </cell>
          <cell r="AN1417">
            <v>2008</v>
          </cell>
          <cell r="AO1417">
            <v>1</v>
          </cell>
          <cell r="AQ1417">
            <v>0</v>
          </cell>
          <cell r="AR1417">
            <v>12</v>
          </cell>
          <cell r="AS1417">
            <v>3</v>
          </cell>
          <cell r="AT1417">
            <v>3</v>
          </cell>
          <cell r="AU1417">
            <v>3</v>
          </cell>
          <cell r="AV1417">
            <v>1</v>
          </cell>
          <cell r="AW1417">
            <v>1</v>
          </cell>
          <cell r="AX1417">
            <v>2</v>
          </cell>
          <cell r="AY1417">
            <v>2</v>
          </cell>
          <cell r="AZ1417">
            <v>1</v>
          </cell>
          <cell r="BA1417">
            <v>1</v>
          </cell>
          <cell r="BB1417">
            <v>1</v>
          </cell>
          <cell r="BC1417">
            <v>0</v>
          </cell>
          <cell r="BD1417">
            <v>0</v>
          </cell>
          <cell r="BE1417">
            <v>0</v>
          </cell>
          <cell r="BF1417">
            <v>0</v>
          </cell>
          <cell r="BG1417">
            <v>0</v>
          </cell>
          <cell r="BH1417">
            <v>1</v>
          </cell>
          <cell r="BI1417">
            <v>0</v>
          </cell>
          <cell r="BJ1417">
            <v>0</v>
          </cell>
          <cell r="BK1417">
            <v>0</v>
          </cell>
          <cell r="BL1417">
            <v>1</v>
          </cell>
          <cell r="BM1417">
            <v>0</v>
          </cell>
          <cell r="BN1417">
            <v>0</v>
          </cell>
          <cell r="BO1417">
            <v>0</v>
          </cell>
          <cell r="BP1417">
            <v>0</v>
          </cell>
          <cell r="BQ1417">
            <v>0</v>
          </cell>
          <cell r="BR1417">
            <v>0</v>
          </cell>
          <cell r="BS1417">
            <v>0</v>
          </cell>
          <cell r="BT1417">
            <v>1</v>
          </cell>
          <cell r="BU1417">
            <v>0</v>
          </cell>
        </row>
        <row r="1418">
          <cell r="A1418">
            <v>38</v>
          </cell>
          <cell r="B1418">
            <v>38</v>
          </cell>
          <cell r="D1418">
            <v>0</v>
          </cell>
          <cell r="F1418">
            <v>0</v>
          </cell>
          <cell r="G1418">
            <v>1</v>
          </cell>
          <cell r="I1418">
            <v>0</v>
          </cell>
          <cell r="J1418">
            <v>1</v>
          </cell>
          <cell r="K1418">
            <v>1</v>
          </cell>
          <cell r="L1418">
            <v>1</v>
          </cell>
          <cell r="M1418">
            <v>4</v>
          </cell>
          <cell r="O1418">
            <v>1</v>
          </cell>
          <cell r="P1418">
            <v>0</v>
          </cell>
          <cell r="Q1418">
            <v>0</v>
          </cell>
          <cell r="R1418">
            <v>0</v>
          </cell>
          <cell r="S1418">
            <v>0</v>
          </cell>
          <cell r="T1418">
            <v>4</v>
          </cell>
          <cell r="V1418">
            <v>0</v>
          </cell>
          <cell r="W1418">
            <v>86</v>
          </cell>
          <cell r="X1418">
            <v>3</v>
          </cell>
          <cell r="Y1418">
            <v>2</v>
          </cell>
          <cell r="AA1418">
            <v>0</v>
          </cell>
          <cell r="AB1418">
            <v>1</v>
          </cell>
          <cell r="AC1418">
            <v>0</v>
          </cell>
          <cell r="AD1418">
            <v>0</v>
          </cell>
          <cell r="AE1418">
            <v>0</v>
          </cell>
          <cell r="AF1418">
            <v>0</v>
          </cell>
          <cell r="AG1418">
            <v>0</v>
          </cell>
          <cell r="AH1418">
            <v>0</v>
          </cell>
          <cell r="AI1418">
            <v>2</v>
          </cell>
          <cell r="AK1418">
            <v>0</v>
          </cell>
          <cell r="AL1418">
            <v>1</v>
          </cell>
          <cell r="AN1418">
            <v>4440</v>
          </cell>
          <cell r="AO1418">
            <v>0</v>
          </cell>
          <cell r="AQ1418">
            <v>0</v>
          </cell>
          <cell r="AR1418">
            <v>15</v>
          </cell>
          <cell r="AS1418">
            <v>3</v>
          </cell>
          <cell r="AT1418">
            <v>1</v>
          </cell>
          <cell r="AU1418">
            <v>2</v>
          </cell>
          <cell r="AV1418">
            <v>16</v>
          </cell>
          <cell r="AW1418">
            <v>16</v>
          </cell>
          <cell r="AX1418">
            <v>3</v>
          </cell>
          <cell r="AY1418">
            <v>3</v>
          </cell>
          <cell r="AZ1418">
            <v>15</v>
          </cell>
          <cell r="BA1418">
            <v>15</v>
          </cell>
          <cell r="BB1418">
            <v>13</v>
          </cell>
          <cell r="BC1418">
            <v>5</v>
          </cell>
          <cell r="BD1418">
            <v>5</v>
          </cell>
          <cell r="BE1418">
            <v>8</v>
          </cell>
          <cell r="BF1418">
            <v>8</v>
          </cell>
          <cell r="BG1418">
            <v>16</v>
          </cell>
          <cell r="BH1418">
            <v>0</v>
          </cell>
          <cell r="BI1418">
            <v>1</v>
          </cell>
          <cell r="BJ1418">
            <v>0</v>
          </cell>
          <cell r="BK1418">
            <v>0</v>
          </cell>
          <cell r="BL1418">
            <v>0</v>
          </cell>
          <cell r="BM1418">
            <v>0</v>
          </cell>
          <cell r="BN1418">
            <v>1</v>
          </cell>
          <cell r="BO1418">
            <v>0</v>
          </cell>
          <cell r="BP1418">
            <v>0</v>
          </cell>
          <cell r="BQ1418">
            <v>0</v>
          </cell>
          <cell r="BR1418">
            <v>8</v>
          </cell>
          <cell r="BS1418">
            <v>0</v>
          </cell>
          <cell r="BT1418">
            <v>0</v>
          </cell>
          <cell r="BU1418">
            <v>16</v>
          </cell>
        </row>
        <row r="1419">
          <cell r="A1419">
            <v>31</v>
          </cell>
          <cell r="B1419">
            <v>31</v>
          </cell>
          <cell r="D1419">
            <v>0</v>
          </cell>
          <cell r="F1419">
            <v>0</v>
          </cell>
          <cell r="G1419">
            <v>1</v>
          </cell>
          <cell r="I1419">
            <v>0</v>
          </cell>
          <cell r="J1419">
            <v>1</v>
          </cell>
          <cell r="K1419">
            <v>2</v>
          </cell>
          <cell r="L1419">
            <v>2</v>
          </cell>
          <cell r="M1419">
            <v>2</v>
          </cell>
          <cell r="O1419">
            <v>1</v>
          </cell>
          <cell r="P1419">
            <v>0</v>
          </cell>
          <cell r="Q1419">
            <v>0</v>
          </cell>
          <cell r="R1419">
            <v>0</v>
          </cell>
          <cell r="S1419">
            <v>0</v>
          </cell>
          <cell r="T1419">
            <v>1</v>
          </cell>
          <cell r="V1419">
            <v>0</v>
          </cell>
          <cell r="W1419">
            <v>54</v>
          </cell>
          <cell r="X1419">
            <v>3</v>
          </cell>
          <cell r="Y1419">
            <v>1</v>
          </cell>
          <cell r="AA1419">
            <v>0</v>
          </cell>
          <cell r="AB1419">
            <v>0</v>
          </cell>
          <cell r="AC1419">
            <v>0</v>
          </cell>
          <cell r="AD1419">
            <v>0</v>
          </cell>
          <cell r="AE1419">
            <v>0</v>
          </cell>
          <cell r="AF1419">
            <v>0</v>
          </cell>
          <cell r="AG1419">
            <v>1</v>
          </cell>
          <cell r="AH1419">
            <v>0</v>
          </cell>
          <cell r="AI1419">
            <v>3</v>
          </cell>
          <cell r="AK1419">
            <v>0</v>
          </cell>
          <cell r="AL1419">
            <v>1</v>
          </cell>
          <cell r="AN1419">
            <v>3067</v>
          </cell>
          <cell r="AO1419">
            <v>0</v>
          </cell>
          <cell r="AQ1419">
            <v>0</v>
          </cell>
          <cell r="AR1419">
            <v>19</v>
          </cell>
          <cell r="AS1419">
            <v>3</v>
          </cell>
          <cell r="AT1419">
            <v>3</v>
          </cell>
          <cell r="AU1419">
            <v>1</v>
          </cell>
          <cell r="AV1419">
            <v>3</v>
          </cell>
          <cell r="AW1419">
            <v>3</v>
          </cell>
          <cell r="AX1419">
            <v>1</v>
          </cell>
          <cell r="AY1419">
            <v>3</v>
          </cell>
          <cell r="AZ1419">
            <v>2</v>
          </cell>
          <cell r="BA1419">
            <v>2</v>
          </cell>
          <cell r="BB1419">
            <v>2</v>
          </cell>
          <cell r="BC1419">
            <v>1</v>
          </cell>
          <cell r="BD1419">
            <v>1</v>
          </cell>
          <cell r="BE1419">
            <v>2</v>
          </cell>
          <cell r="BF1419">
            <v>2</v>
          </cell>
          <cell r="BG1419">
            <v>2</v>
          </cell>
          <cell r="BH1419">
            <v>0</v>
          </cell>
          <cell r="BI1419">
            <v>1</v>
          </cell>
          <cell r="BJ1419">
            <v>0</v>
          </cell>
          <cell r="BK1419">
            <v>0</v>
          </cell>
          <cell r="BL1419">
            <v>0</v>
          </cell>
          <cell r="BM1419">
            <v>0</v>
          </cell>
          <cell r="BN1419">
            <v>1</v>
          </cell>
          <cell r="BO1419">
            <v>0</v>
          </cell>
          <cell r="BP1419">
            <v>0</v>
          </cell>
          <cell r="BQ1419">
            <v>0</v>
          </cell>
          <cell r="BR1419">
            <v>2</v>
          </cell>
          <cell r="BS1419">
            <v>0</v>
          </cell>
          <cell r="BT1419">
            <v>0</v>
          </cell>
          <cell r="BU1419">
            <v>3</v>
          </cell>
        </row>
        <row r="1420">
          <cell r="A1420">
            <v>38</v>
          </cell>
          <cell r="B1420">
            <v>38</v>
          </cell>
          <cell r="D1420">
            <v>0</v>
          </cell>
          <cell r="F1420">
            <v>1</v>
          </cell>
          <cell r="G1420">
            <v>0</v>
          </cell>
          <cell r="I1420">
            <v>1</v>
          </cell>
          <cell r="J1420">
            <v>0</v>
          </cell>
          <cell r="K1420">
            <v>6</v>
          </cell>
          <cell r="L1420">
            <v>6</v>
          </cell>
          <cell r="M1420">
            <v>4</v>
          </cell>
          <cell r="O1420">
            <v>1</v>
          </cell>
          <cell r="P1420">
            <v>0</v>
          </cell>
          <cell r="Q1420">
            <v>0</v>
          </cell>
          <cell r="R1420">
            <v>0</v>
          </cell>
          <cell r="S1420">
            <v>0</v>
          </cell>
          <cell r="T1420">
            <v>1</v>
          </cell>
          <cell r="V1420">
            <v>0</v>
          </cell>
          <cell r="W1420">
            <v>72</v>
          </cell>
          <cell r="X1420">
            <v>2</v>
          </cell>
          <cell r="Y1420">
            <v>2</v>
          </cell>
          <cell r="AA1420">
            <v>0</v>
          </cell>
          <cell r="AB1420">
            <v>0</v>
          </cell>
          <cell r="AC1420">
            <v>0</v>
          </cell>
          <cell r="AD1420">
            <v>0</v>
          </cell>
          <cell r="AE1420">
            <v>1</v>
          </cell>
          <cell r="AF1420">
            <v>1</v>
          </cell>
          <cell r="AG1420">
            <v>0</v>
          </cell>
          <cell r="AH1420">
            <v>0</v>
          </cell>
          <cell r="AI1420">
            <v>3</v>
          </cell>
          <cell r="AK1420">
            <v>0</v>
          </cell>
          <cell r="AL1420">
            <v>1</v>
          </cell>
          <cell r="AN1420">
            <v>5321</v>
          </cell>
          <cell r="AO1420">
            <v>2</v>
          </cell>
          <cell r="AQ1420">
            <v>0</v>
          </cell>
          <cell r="AR1420">
            <v>11</v>
          </cell>
          <cell r="AS1420">
            <v>3</v>
          </cell>
          <cell r="AT1420">
            <v>4</v>
          </cell>
          <cell r="AU1420">
            <v>1</v>
          </cell>
          <cell r="AV1420">
            <v>10</v>
          </cell>
          <cell r="AW1420">
            <v>10</v>
          </cell>
          <cell r="AX1420">
            <v>1</v>
          </cell>
          <cell r="AY1420">
            <v>3</v>
          </cell>
          <cell r="AZ1420">
            <v>8</v>
          </cell>
          <cell r="BA1420">
            <v>8</v>
          </cell>
          <cell r="BB1420">
            <v>3</v>
          </cell>
          <cell r="BC1420">
            <v>7</v>
          </cell>
          <cell r="BD1420">
            <v>7</v>
          </cell>
          <cell r="BE1420">
            <v>7</v>
          </cell>
          <cell r="BF1420">
            <v>7</v>
          </cell>
          <cell r="BG1420">
            <v>14</v>
          </cell>
          <cell r="BH1420">
            <v>0</v>
          </cell>
          <cell r="BI1420">
            <v>0</v>
          </cell>
          <cell r="BJ1420">
            <v>0</v>
          </cell>
          <cell r="BK1420">
            <v>1</v>
          </cell>
          <cell r="BL1420">
            <v>0</v>
          </cell>
          <cell r="BM1420">
            <v>0</v>
          </cell>
          <cell r="BN1420">
            <v>1</v>
          </cell>
          <cell r="BO1420">
            <v>0</v>
          </cell>
          <cell r="BP1420">
            <v>0</v>
          </cell>
          <cell r="BQ1420">
            <v>7</v>
          </cell>
          <cell r="BR1420">
            <v>0</v>
          </cell>
          <cell r="BS1420">
            <v>0</v>
          </cell>
          <cell r="BT1420">
            <v>10</v>
          </cell>
          <cell r="BU1420">
            <v>0</v>
          </cell>
        </row>
        <row r="1421">
          <cell r="A1421">
            <v>42</v>
          </cell>
          <cell r="B1421">
            <v>42</v>
          </cell>
          <cell r="D1421">
            <v>0</v>
          </cell>
          <cell r="F1421">
            <v>0</v>
          </cell>
          <cell r="G1421">
            <v>1</v>
          </cell>
          <cell r="I1421">
            <v>1</v>
          </cell>
          <cell r="J1421">
            <v>0</v>
          </cell>
          <cell r="K1421">
            <v>18</v>
          </cell>
          <cell r="L1421">
            <v>18</v>
          </cell>
          <cell r="M1421">
            <v>4</v>
          </cell>
          <cell r="O1421">
            <v>1</v>
          </cell>
          <cell r="P1421">
            <v>0</v>
          </cell>
          <cell r="Q1421">
            <v>0</v>
          </cell>
          <cell r="R1421">
            <v>0</v>
          </cell>
          <cell r="S1421">
            <v>0</v>
          </cell>
          <cell r="T1421">
            <v>4</v>
          </cell>
          <cell r="V1421">
            <v>0</v>
          </cell>
          <cell r="W1421">
            <v>35</v>
          </cell>
          <cell r="X1421">
            <v>3</v>
          </cell>
          <cell r="Y1421">
            <v>2</v>
          </cell>
          <cell r="AA1421">
            <v>0</v>
          </cell>
          <cell r="AB1421">
            <v>0</v>
          </cell>
          <cell r="AC1421">
            <v>0</v>
          </cell>
          <cell r="AD1421">
            <v>0</v>
          </cell>
          <cell r="AE1421">
            <v>0</v>
          </cell>
          <cell r="AF1421">
            <v>0</v>
          </cell>
          <cell r="AG1421">
            <v>0</v>
          </cell>
          <cell r="AH1421">
            <v>1</v>
          </cell>
          <cell r="AI1421">
            <v>1</v>
          </cell>
          <cell r="AK1421">
            <v>0</v>
          </cell>
          <cell r="AL1421">
            <v>0</v>
          </cell>
          <cell r="AN1421">
            <v>5410</v>
          </cell>
          <cell r="AO1421">
            <v>6</v>
          </cell>
          <cell r="AQ1421">
            <v>1</v>
          </cell>
          <cell r="AR1421">
            <v>17</v>
          </cell>
          <cell r="AS1421">
            <v>3</v>
          </cell>
          <cell r="AT1421">
            <v>3</v>
          </cell>
          <cell r="AU1421">
            <v>1</v>
          </cell>
          <cell r="AV1421">
            <v>9</v>
          </cell>
          <cell r="AW1421">
            <v>9</v>
          </cell>
          <cell r="AX1421">
            <v>3</v>
          </cell>
          <cell r="AY1421">
            <v>2</v>
          </cell>
          <cell r="AZ1421">
            <v>4</v>
          </cell>
          <cell r="BA1421">
            <v>4</v>
          </cell>
          <cell r="BB1421">
            <v>3</v>
          </cell>
          <cell r="BC1421">
            <v>1</v>
          </cell>
          <cell r="BD1421">
            <v>1</v>
          </cell>
          <cell r="BE1421">
            <v>2</v>
          </cell>
          <cell r="BF1421">
            <v>2</v>
          </cell>
          <cell r="BG1421">
            <v>4</v>
          </cell>
          <cell r="BH1421">
            <v>1</v>
          </cell>
          <cell r="BI1421">
            <v>0</v>
          </cell>
          <cell r="BJ1421">
            <v>0</v>
          </cell>
          <cell r="BK1421">
            <v>0</v>
          </cell>
          <cell r="BL1421">
            <v>0</v>
          </cell>
          <cell r="BM1421">
            <v>1</v>
          </cell>
          <cell r="BN1421">
            <v>0</v>
          </cell>
          <cell r="BO1421">
            <v>0</v>
          </cell>
          <cell r="BP1421">
            <v>0</v>
          </cell>
          <cell r="BQ1421">
            <v>2</v>
          </cell>
          <cell r="BR1421">
            <v>0</v>
          </cell>
          <cell r="BS1421">
            <v>0</v>
          </cell>
          <cell r="BT1421">
            <v>9</v>
          </cell>
          <cell r="BU1421">
            <v>0</v>
          </cell>
        </row>
        <row r="1422">
          <cell r="A1422">
            <v>41</v>
          </cell>
          <cell r="B1422">
            <v>41</v>
          </cell>
          <cell r="D1422">
            <v>0</v>
          </cell>
          <cell r="F1422">
            <v>0</v>
          </cell>
          <cell r="G1422">
            <v>1</v>
          </cell>
          <cell r="I1422">
            <v>1</v>
          </cell>
          <cell r="J1422">
            <v>0</v>
          </cell>
          <cell r="K1422">
            <v>1</v>
          </cell>
          <cell r="L1422">
            <v>1</v>
          </cell>
          <cell r="M1422">
            <v>3</v>
          </cell>
          <cell r="O1422">
            <v>1</v>
          </cell>
          <cell r="P1422">
            <v>0</v>
          </cell>
          <cell r="Q1422">
            <v>0</v>
          </cell>
          <cell r="R1422">
            <v>0</v>
          </cell>
          <cell r="S1422">
            <v>0</v>
          </cell>
          <cell r="T1422">
            <v>4</v>
          </cell>
          <cell r="V1422">
            <v>0</v>
          </cell>
          <cell r="W1422">
            <v>76</v>
          </cell>
          <cell r="X1422">
            <v>3</v>
          </cell>
          <cell r="Y1422">
            <v>1</v>
          </cell>
          <cell r="AA1422">
            <v>0</v>
          </cell>
          <cell r="AB1422">
            <v>0</v>
          </cell>
          <cell r="AC1422">
            <v>0</v>
          </cell>
          <cell r="AD1422">
            <v>0</v>
          </cell>
          <cell r="AE1422">
            <v>0</v>
          </cell>
          <cell r="AF1422">
            <v>0</v>
          </cell>
          <cell r="AG1422">
            <v>0</v>
          </cell>
          <cell r="AH1422">
            <v>1</v>
          </cell>
          <cell r="AI1422">
            <v>4</v>
          </cell>
          <cell r="AK1422">
            <v>0</v>
          </cell>
          <cell r="AL1422">
            <v>1</v>
          </cell>
          <cell r="AN1422">
            <v>2782</v>
          </cell>
          <cell r="AO1422">
            <v>3</v>
          </cell>
          <cell r="AQ1422">
            <v>0</v>
          </cell>
          <cell r="AR1422">
            <v>22</v>
          </cell>
          <cell r="AS1422">
            <v>4</v>
          </cell>
          <cell r="AT1422">
            <v>1</v>
          </cell>
          <cell r="AU1422">
            <v>1</v>
          </cell>
          <cell r="AV1422">
            <v>12</v>
          </cell>
          <cell r="AW1422">
            <v>12</v>
          </cell>
          <cell r="AX1422">
            <v>3</v>
          </cell>
          <cell r="AY1422">
            <v>3</v>
          </cell>
          <cell r="AZ1422">
            <v>5</v>
          </cell>
          <cell r="BA1422">
            <v>5</v>
          </cell>
          <cell r="BB1422">
            <v>3</v>
          </cell>
          <cell r="BC1422">
            <v>1</v>
          </cell>
          <cell r="BD1422">
            <v>1</v>
          </cell>
          <cell r="BE1422">
            <v>0</v>
          </cell>
          <cell r="BF1422">
            <v>0</v>
          </cell>
          <cell r="BG1422">
            <v>0</v>
          </cell>
          <cell r="BH1422">
            <v>0</v>
          </cell>
          <cell r="BI1422">
            <v>1</v>
          </cell>
          <cell r="BJ1422">
            <v>0</v>
          </cell>
          <cell r="BK1422">
            <v>0</v>
          </cell>
          <cell r="BL1422">
            <v>0</v>
          </cell>
          <cell r="BM1422">
            <v>0</v>
          </cell>
          <cell r="BN1422">
            <v>1</v>
          </cell>
          <cell r="BO1422">
            <v>0</v>
          </cell>
          <cell r="BP1422">
            <v>0</v>
          </cell>
          <cell r="BQ1422">
            <v>0</v>
          </cell>
          <cell r="BR1422">
            <v>0</v>
          </cell>
          <cell r="BS1422">
            <v>0</v>
          </cell>
          <cell r="BT1422">
            <v>12</v>
          </cell>
          <cell r="BU1422">
            <v>0</v>
          </cell>
        </row>
        <row r="1423">
          <cell r="A1423">
            <v>47</v>
          </cell>
          <cell r="B1423">
            <v>47</v>
          </cell>
          <cell r="D1423">
            <v>0</v>
          </cell>
          <cell r="F1423">
            <v>0</v>
          </cell>
          <cell r="G1423">
            <v>0</v>
          </cell>
          <cell r="I1423">
            <v>1</v>
          </cell>
          <cell r="J1423">
            <v>0</v>
          </cell>
          <cell r="K1423">
            <v>1</v>
          </cell>
          <cell r="L1423">
            <v>1</v>
          </cell>
          <cell r="M1423">
            <v>1</v>
          </cell>
          <cell r="O1423">
            <v>0</v>
          </cell>
          <cell r="P1423">
            <v>0</v>
          </cell>
          <cell r="Q1423">
            <v>1</v>
          </cell>
          <cell r="R1423">
            <v>0</v>
          </cell>
          <cell r="S1423">
            <v>0</v>
          </cell>
          <cell r="T1423">
            <v>3</v>
          </cell>
          <cell r="V1423">
            <v>1</v>
          </cell>
          <cell r="W1423">
            <v>98</v>
          </cell>
          <cell r="X1423">
            <v>3</v>
          </cell>
          <cell r="Y1423">
            <v>3</v>
          </cell>
          <cell r="AA1423">
            <v>0</v>
          </cell>
          <cell r="AB1423">
            <v>0</v>
          </cell>
          <cell r="AC1423">
            <v>0</v>
          </cell>
          <cell r="AD1423">
            <v>0</v>
          </cell>
          <cell r="AE1423">
            <v>0</v>
          </cell>
          <cell r="AF1423">
            <v>0</v>
          </cell>
          <cell r="AG1423">
            <v>0</v>
          </cell>
          <cell r="AH1423">
            <v>0</v>
          </cell>
          <cell r="AI1423">
            <v>2</v>
          </cell>
          <cell r="AK1423">
            <v>0</v>
          </cell>
          <cell r="AL1423">
            <v>1</v>
          </cell>
          <cell r="AN1423">
            <v>11957</v>
          </cell>
          <cell r="AO1423">
            <v>0</v>
          </cell>
          <cell r="AQ1423">
            <v>0</v>
          </cell>
          <cell r="AR1423">
            <v>18</v>
          </cell>
          <cell r="AS1423">
            <v>3</v>
          </cell>
          <cell r="AT1423">
            <v>1</v>
          </cell>
          <cell r="AU1423">
            <v>2</v>
          </cell>
          <cell r="AV1423">
            <v>14</v>
          </cell>
          <cell r="AW1423">
            <v>14</v>
          </cell>
          <cell r="AX1423">
            <v>3</v>
          </cell>
          <cell r="AY1423">
            <v>1</v>
          </cell>
          <cell r="AZ1423">
            <v>13</v>
          </cell>
          <cell r="BA1423">
            <v>13</v>
          </cell>
          <cell r="BB1423">
            <v>8</v>
          </cell>
          <cell r="BC1423">
            <v>5</v>
          </cell>
          <cell r="BD1423">
            <v>5</v>
          </cell>
          <cell r="BE1423">
            <v>12</v>
          </cell>
          <cell r="BF1423">
            <v>12</v>
          </cell>
          <cell r="BG1423">
            <v>36</v>
          </cell>
          <cell r="BH1423">
            <v>0</v>
          </cell>
          <cell r="BI1423">
            <v>1</v>
          </cell>
          <cell r="BJ1423">
            <v>0</v>
          </cell>
          <cell r="BK1423">
            <v>0</v>
          </cell>
          <cell r="BL1423">
            <v>0</v>
          </cell>
          <cell r="BM1423">
            <v>0</v>
          </cell>
          <cell r="BN1423">
            <v>1</v>
          </cell>
          <cell r="BO1423">
            <v>0</v>
          </cell>
          <cell r="BP1423">
            <v>0</v>
          </cell>
          <cell r="BQ1423">
            <v>12</v>
          </cell>
          <cell r="BR1423">
            <v>0</v>
          </cell>
          <cell r="BS1423">
            <v>0</v>
          </cell>
          <cell r="BT1423">
            <v>14</v>
          </cell>
          <cell r="BU1423">
            <v>0</v>
          </cell>
        </row>
        <row r="1424">
          <cell r="A1424">
            <v>35</v>
          </cell>
          <cell r="B1424">
            <v>35</v>
          </cell>
          <cell r="D1424">
            <v>0</v>
          </cell>
          <cell r="F1424">
            <v>0</v>
          </cell>
          <cell r="G1424">
            <v>1</v>
          </cell>
          <cell r="I1424">
            <v>1</v>
          </cell>
          <cell r="J1424">
            <v>0</v>
          </cell>
          <cell r="K1424">
            <v>11</v>
          </cell>
          <cell r="L1424">
            <v>11</v>
          </cell>
          <cell r="M1424">
            <v>4</v>
          </cell>
          <cell r="O1424">
            <v>0</v>
          </cell>
          <cell r="P1424">
            <v>0</v>
          </cell>
          <cell r="Q1424">
            <v>1</v>
          </cell>
          <cell r="R1424">
            <v>0</v>
          </cell>
          <cell r="S1424">
            <v>0</v>
          </cell>
          <cell r="T1424">
            <v>4</v>
          </cell>
          <cell r="V1424">
            <v>0</v>
          </cell>
          <cell r="W1424">
            <v>43</v>
          </cell>
          <cell r="X1424">
            <v>3</v>
          </cell>
          <cell r="Y1424">
            <v>1</v>
          </cell>
          <cell r="AA1424">
            <v>0</v>
          </cell>
          <cell r="AB1424">
            <v>0</v>
          </cell>
          <cell r="AC1424">
            <v>1</v>
          </cell>
          <cell r="AD1424">
            <v>0</v>
          </cell>
          <cell r="AE1424">
            <v>0</v>
          </cell>
          <cell r="AF1424">
            <v>0</v>
          </cell>
          <cell r="AG1424">
            <v>0</v>
          </cell>
          <cell r="AH1424">
            <v>0</v>
          </cell>
          <cell r="AI1424">
            <v>3</v>
          </cell>
          <cell r="AK1424">
            <v>0</v>
          </cell>
          <cell r="AL1424">
            <v>1</v>
          </cell>
          <cell r="AN1424">
            <v>2660</v>
          </cell>
          <cell r="AO1424">
            <v>7</v>
          </cell>
          <cell r="AQ1424">
            <v>1</v>
          </cell>
          <cell r="AR1424">
            <v>11</v>
          </cell>
          <cell r="AS1424">
            <v>3</v>
          </cell>
          <cell r="AT1424">
            <v>3</v>
          </cell>
          <cell r="AU1424">
            <v>1</v>
          </cell>
          <cell r="AV1424">
            <v>5</v>
          </cell>
          <cell r="AW1424">
            <v>5</v>
          </cell>
          <cell r="AX1424">
            <v>3</v>
          </cell>
          <cell r="AY1424">
            <v>3</v>
          </cell>
          <cell r="AZ1424">
            <v>2</v>
          </cell>
          <cell r="BA1424">
            <v>2</v>
          </cell>
          <cell r="BB1424">
            <v>2</v>
          </cell>
          <cell r="BC1424">
            <v>2</v>
          </cell>
          <cell r="BD1424">
            <v>2</v>
          </cell>
          <cell r="BE1424">
            <v>2</v>
          </cell>
          <cell r="BF1424">
            <v>2</v>
          </cell>
          <cell r="BG1424">
            <v>2</v>
          </cell>
          <cell r="BH1424">
            <v>0</v>
          </cell>
          <cell r="BI1424">
            <v>1</v>
          </cell>
          <cell r="BJ1424">
            <v>0</v>
          </cell>
          <cell r="BK1424">
            <v>0</v>
          </cell>
          <cell r="BL1424">
            <v>0</v>
          </cell>
          <cell r="BM1424">
            <v>0</v>
          </cell>
          <cell r="BN1424">
            <v>0</v>
          </cell>
          <cell r="BO1424">
            <v>1</v>
          </cell>
          <cell r="BP1424">
            <v>0</v>
          </cell>
          <cell r="BQ1424">
            <v>2</v>
          </cell>
          <cell r="BR1424">
            <v>0</v>
          </cell>
          <cell r="BS1424">
            <v>0</v>
          </cell>
          <cell r="BT1424">
            <v>5</v>
          </cell>
          <cell r="BU1424">
            <v>0</v>
          </cell>
        </row>
        <row r="1425">
          <cell r="A1425">
            <v>22</v>
          </cell>
          <cell r="B1425">
            <v>22</v>
          </cell>
          <cell r="D1425">
            <v>0</v>
          </cell>
          <cell r="F1425">
            <v>0</v>
          </cell>
          <cell r="G1425">
            <v>1</v>
          </cell>
          <cell r="I1425">
            <v>1</v>
          </cell>
          <cell r="J1425">
            <v>0</v>
          </cell>
          <cell r="K1425">
            <v>1</v>
          </cell>
          <cell r="L1425">
            <v>1</v>
          </cell>
          <cell r="M1425">
            <v>2</v>
          </cell>
          <cell r="O1425">
            <v>1</v>
          </cell>
          <cell r="P1425">
            <v>0</v>
          </cell>
          <cell r="Q1425">
            <v>0</v>
          </cell>
          <cell r="R1425">
            <v>0</v>
          </cell>
          <cell r="S1425">
            <v>0</v>
          </cell>
          <cell r="T1425">
            <v>4</v>
          </cell>
          <cell r="V1425">
            <v>0</v>
          </cell>
          <cell r="W1425">
            <v>63</v>
          </cell>
          <cell r="X1425">
            <v>3</v>
          </cell>
          <cell r="Y1425">
            <v>1</v>
          </cell>
          <cell r="AA1425">
            <v>0</v>
          </cell>
          <cell r="AB1425">
            <v>0</v>
          </cell>
          <cell r="AC1425">
            <v>0</v>
          </cell>
          <cell r="AD1425">
            <v>0</v>
          </cell>
          <cell r="AE1425">
            <v>0</v>
          </cell>
          <cell r="AF1425">
            <v>0</v>
          </cell>
          <cell r="AG1425">
            <v>0</v>
          </cell>
          <cell r="AH1425">
            <v>1</v>
          </cell>
          <cell r="AI1425">
            <v>3</v>
          </cell>
          <cell r="AK1425">
            <v>1</v>
          </cell>
          <cell r="AL1425">
            <v>0</v>
          </cell>
          <cell r="AN1425">
            <v>3375</v>
          </cell>
          <cell r="AO1425">
            <v>0</v>
          </cell>
          <cell r="AQ1425">
            <v>0</v>
          </cell>
          <cell r="AR1425">
            <v>12</v>
          </cell>
          <cell r="AS1425">
            <v>3</v>
          </cell>
          <cell r="AT1425">
            <v>4</v>
          </cell>
          <cell r="AU1425">
            <v>0</v>
          </cell>
          <cell r="AV1425">
            <v>4</v>
          </cell>
          <cell r="AW1425">
            <v>4</v>
          </cell>
          <cell r="AX1425">
            <v>2</v>
          </cell>
          <cell r="AY1425">
            <v>4</v>
          </cell>
          <cell r="AZ1425">
            <v>3</v>
          </cell>
          <cell r="BA1425">
            <v>3</v>
          </cell>
          <cell r="BB1425">
            <v>2</v>
          </cell>
          <cell r="BC1425">
            <v>1</v>
          </cell>
          <cell r="BD1425">
            <v>1</v>
          </cell>
          <cell r="BE1425">
            <v>2</v>
          </cell>
          <cell r="BF1425">
            <v>2</v>
          </cell>
          <cell r="BG1425">
            <v>2</v>
          </cell>
          <cell r="BH1425">
            <v>1</v>
          </cell>
          <cell r="BI1425">
            <v>0</v>
          </cell>
          <cell r="BJ1425">
            <v>0</v>
          </cell>
          <cell r="BK1425">
            <v>0</v>
          </cell>
          <cell r="BL1425">
            <v>1</v>
          </cell>
          <cell r="BM1425">
            <v>0</v>
          </cell>
          <cell r="BN1425">
            <v>0</v>
          </cell>
          <cell r="BO1425">
            <v>0</v>
          </cell>
          <cell r="BP1425">
            <v>0</v>
          </cell>
          <cell r="BQ1425">
            <v>2</v>
          </cell>
          <cell r="BR1425">
            <v>0</v>
          </cell>
          <cell r="BS1425">
            <v>0</v>
          </cell>
          <cell r="BT1425">
            <v>4</v>
          </cell>
          <cell r="BU1425">
            <v>0</v>
          </cell>
        </row>
        <row r="1426">
          <cell r="A1426">
            <v>35</v>
          </cell>
          <cell r="B1426">
            <v>35</v>
          </cell>
          <cell r="D1426">
            <v>0</v>
          </cell>
          <cell r="F1426">
            <v>0</v>
          </cell>
          <cell r="G1426">
            <v>1</v>
          </cell>
          <cell r="I1426">
            <v>1</v>
          </cell>
          <cell r="J1426">
            <v>0</v>
          </cell>
          <cell r="K1426">
            <v>9</v>
          </cell>
          <cell r="L1426">
            <v>9</v>
          </cell>
          <cell r="M1426">
            <v>4</v>
          </cell>
          <cell r="O1426">
            <v>0</v>
          </cell>
          <cell r="P1426">
            <v>0</v>
          </cell>
          <cell r="Q1426">
            <v>1</v>
          </cell>
          <cell r="R1426">
            <v>0</v>
          </cell>
          <cell r="S1426">
            <v>0</v>
          </cell>
          <cell r="T1426">
            <v>2</v>
          </cell>
          <cell r="V1426">
            <v>0</v>
          </cell>
          <cell r="W1426">
            <v>48</v>
          </cell>
          <cell r="X1426">
            <v>3</v>
          </cell>
          <cell r="Y1426">
            <v>2</v>
          </cell>
          <cell r="AA1426">
            <v>0</v>
          </cell>
          <cell r="AB1426">
            <v>0</v>
          </cell>
          <cell r="AC1426">
            <v>0</v>
          </cell>
          <cell r="AD1426">
            <v>0</v>
          </cell>
          <cell r="AE1426">
            <v>0</v>
          </cell>
          <cell r="AF1426">
            <v>0</v>
          </cell>
          <cell r="AG1426">
            <v>0</v>
          </cell>
          <cell r="AH1426">
            <v>1</v>
          </cell>
          <cell r="AI1426">
            <v>3</v>
          </cell>
          <cell r="AK1426">
            <v>1</v>
          </cell>
          <cell r="AL1426">
            <v>0</v>
          </cell>
          <cell r="AN1426">
            <v>5098</v>
          </cell>
          <cell r="AO1426">
            <v>1</v>
          </cell>
          <cell r="AQ1426">
            <v>0</v>
          </cell>
          <cell r="AR1426">
            <v>19</v>
          </cell>
          <cell r="AS1426">
            <v>3</v>
          </cell>
          <cell r="AT1426">
            <v>2</v>
          </cell>
          <cell r="AU1426">
            <v>0</v>
          </cell>
          <cell r="AV1426">
            <v>10</v>
          </cell>
          <cell r="AW1426">
            <v>10</v>
          </cell>
          <cell r="AX1426">
            <v>5</v>
          </cell>
          <cell r="AY1426">
            <v>3</v>
          </cell>
          <cell r="AZ1426">
            <v>10</v>
          </cell>
          <cell r="BA1426">
            <v>10</v>
          </cell>
          <cell r="BB1426">
            <v>7</v>
          </cell>
          <cell r="BC1426">
            <v>0</v>
          </cell>
          <cell r="BD1426">
            <v>0</v>
          </cell>
          <cell r="BE1426">
            <v>8</v>
          </cell>
          <cell r="BF1426">
            <v>8</v>
          </cell>
          <cell r="BG1426">
            <v>16</v>
          </cell>
          <cell r="BH1426">
            <v>1</v>
          </cell>
          <cell r="BI1426">
            <v>0</v>
          </cell>
          <cell r="BJ1426">
            <v>0</v>
          </cell>
          <cell r="BK1426">
            <v>0</v>
          </cell>
          <cell r="BL1426">
            <v>1</v>
          </cell>
          <cell r="BM1426">
            <v>0</v>
          </cell>
          <cell r="BN1426">
            <v>0</v>
          </cell>
          <cell r="BO1426">
            <v>0</v>
          </cell>
          <cell r="BP1426">
            <v>0</v>
          </cell>
          <cell r="BQ1426">
            <v>8</v>
          </cell>
          <cell r="BR1426">
            <v>0</v>
          </cell>
          <cell r="BS1426">
            <v>0</v>
          </cell>
          <cell r="BT1426">
            <v>10</v>
          </cell>
          <cell r="BU1426">
            <v>0</v>
          </cell>
        </row>
        <row r="1427">
          <cell r="A1427">
            <v>33</v>
          </cell>
          <cell r="B1427">
            <v>33</v>
          </cell>
          <cell r="D1427">
            <v>0</v>
          </cell>
          <cell r="F1427">
            <v>0</v>
          </cell>
          <cell r="G1427">
            <v>1</v>
          </cell>
          <cell r="I1427">
            <v>1</v>
          </cell>
          <cell r="J1427">
            <v>0</v>
          </cell>
          <cell r="K1427">
            <v>15</v>
          </cell>
          <cell r="L1427">
            <v>15</v>
          </cell>
          <cell r="M1427">
            <v>2</v>
          </cell>
          <cell r="O1427">
            <v>0</v>
          </cell>
          <cell r="P1427">
            <v>0</v>
          </cell>
          <cell r="Q1427">
            <v>1</v>
          </cell>
          <cell r="R1427">
            <v>0</v>
          </cell>
          <cell r="S1427">
            <v>0</v>
          </cell>
          <cell r="T1427">
            <v>2</v>
          </cell>
          <cell r="V1427">
            <v>1</v>
          </cell>
          <cell r="W1427">
            <v>95</v>
          </cell>
          <cell r="X1427">
            <v>3</v>
          </cell>
          <cell r="Y1427">
            <v>2</v>
          </cell>
          <cell r="AA1427">
            <v>1</v>
          </cell>
          <cell r="AB1427">
            <v>0</v>
          </cell>
          <cell r="AC1427">
            <v>0</v>
          </cell>
          <cell r="AD1427">
            <v>0</v>
          </cell>
          <cell r="AE1427">
            <v>0</v>
          </cell>
          <cell r="AF1427">
            <v>0</v>
          </cell>
          <cell r="AG1427">
            <v>0</v>
          </cell>
          <cell r="AH1427">
            <v>0</v>
          </cell>
          <cell r="AI1427">
            <v>4</v>
          </cell>
          <cell r="AK1427">
            <v>0</v>
          </cell>
          <cell r="AL1427">
            <v>1</v>
          </cell>
          <cell r="AN1427">
            <v>4878</v>
          </cell>
          <cell r="AO1427">
            <v>0</v>
          </cell>
          <cell r="AQ1427">
            <v>1</v>
          </cell>
          <cell r="AR1427">
            <v>13</v>
          </cell>
          <cell r="AS1427">
            <v>3</v>
          </cell>
          <cell r="AT1427">
            <v>1</v>
          </cell>
          <cell r="AU1427">
            <v>1</v>
          </cell>
          <cell r="AV1427">
            <v>10</v>
          </cell>
          <cell r="AW1427">
            <v>10</v>
          </cell>
          <cell r="AX1427">
            <v>6</v>
          </cell>
          <cell r="AY1427">
            <v>3</v>
          </cell>
          <cell r="AZ1427">
            <v>9</v>
          </cell>
          <cell r="BA1427">
            <v>9</v>
          </cell>
          <cell r="BB1427">
            <v>7</v>
          </cell>
          <cell r="BC1427">
            <v>8</v>
          </cell>
          <cell r="BD1427">
            <v>8</v>
          </cell>
          <cell r="BE1427">
            <v>1</v>
          </cell>
          <cell r="BF1427">
            <v>1</v>
          </cell>
          <cell r="BG1427">
            <v>2</v>
          </cell>
          <cell r="BH1427">
            <v>0</v>
          </cell>
          <cell r="BI1427">
            <v>1</v>
          </cell>
          <cell r="BJ1427">
            <v>0</v>
          </cell>
          <cell r="BK1427">
            <v>0</v>
          </cell>
          <cell r="BL1427">
            <v>0</v>
          </cell>
          <cell r="BM1427">
            <v>0</v>
          </cell>
          <cell r="BN1427">
            <v>0</v>
          </cell>
          <cell r="BO1427">
            <v>1</v>
          </cell>
          <cell r="BP1427">
            <v>0</v>
          </cell>
          <cell r="BQ1427">
            <v>1</v>
          </cell>
          <cell r="BR1427">
            <v>0</v>
          </cell>
          <cell r="BS1427">
            <v>0</v>
          </cell>
          <cell r="BT1427">
            <v>10</v>
          </cell>
          <cell r="BU1427">
            <v>0</v>
          </cell>
        </row>
        <row r="1428">
          <cell r="A1428">
            <v>32</v>
          </cell>
          <cell r="B1428">
            <v>32</v>
          </cell>
          <cell r="D1428">
            <v>0</v>
          </cell>
          <cell r="F1428">
            <v>0</v>
          </cell>
          <cell r="G1428">
            <v>1</v>
          </cell>
          <cell r="I1428">
            <v>1</v>
          </cell>
          <cell r="J1428">
            <v>0</v>
          </cell>
          <cell r="K1428">
            <v>29</v>
          </cell>
          <cell r="L1428">
            <v>29</v>
          </cell>
          <cell r="M1428">
            <v>4</v>
          </cell>
          <cell r="O1428">
            <v>1</v>
          </cell>
          <cell r="P1428">
            <v>0</v>
          </cell>
          <cell r="Q1428">
            <v>0</v>
          </cell>
          <cell r="R1428">
            <v>0</v>
          </cell>
          <cell r="S1428">
            <v>0</v>
          </cell>
          <cell r="T1428">
            <v>3</v>
          </cell>
          <cell r="V1428">
            <v>1</v>
          </cell>
          <cell r="W1428">
            <v>49</v>
          </cell>
          <cell r="X1428">
            <v>2</v>
          </cell>
          <cell r="Y1428">
            <v>1</v>
          </cell>
          <cell r="AA1428">
            <v>0</v>
          </cell>
          <cell r="AB1428">
            <v>0</v>
          </cell>
          <cell r="AC1428">
            <v>1</v>
          </cell>
          <cell r="AD1428">
            <v>0</v>
          </cell>
          <cell r="AE1428">
            <v>0</v>
          </cell>
          <cell r="AF1428">
            <v>0</v>
          </cell>
          <cell r="AG1428">
            <v>0</v>
          </cell>
          <cell r="AH1428">
            <v>0</v>
          </cell>
          <cell r="AI1428">
            <v>2</v>
          </cell>
          <cell r="AK1428">
            <v>1</v>
          </cell>
          <cell r="AL1428">
            <v>0</v>
          </cell>
          <cell r="AN1428">
            <v>2837</v>
          </cell>
          <cell r="AO1428">
            <v>1</v>
          </cell>
          <cell r="AQ1428">
            <v>0</v>
          </cell>
          <cell r="AR1428">
            <v>13</v>
          </cell>
          <cell r="AS1428">
            <v>3</v>
          </cell>
          <cell r="AT1428">
            <v>3</v>
          </cell>
          <cell r="AU1428">
            <v>0</v>
          </cell>
          <cell r="AV1428">
            <v>6</v>
          </cell>
          <cell r="AW1428">
            <v>6</v>
          </cell>
          <cell r="AX1428">
            <v>3</v>
          </cell>
          <cell r="AY1428">
            <v>3</v>
          </cell>
          <cell r="AZ1428">
            <v>6</v>
          </cell>
          <cell r="BA1428">
            <v>6</v>
          </cell>
          <cell r="BB1428">
            <v>2</v>
          </cell>
          <cell r="BC1428">
            <v>4</v>
          </cell>
          <cell r="BD1428">
            <v>4</v>
          </cell>
          <cell r="BE1428">
            <v>1</v>
          </cell>
          <cell r="BF1428">
            <v>1</v>
          </cell>
          <cell r="BG1428">
            <v>1</v>
          </cell>
          <cell r="BH1428">
            <v>1</v>
          </cell>
          <cell r="BI1428">
            <v>0</v>
          </cell>
          <cell r="BJ1428">
            <v>0</v>
          </cell>
          <cell r="BK1428">
            <v>0</v>
          </cell>
          <cell r="BL1428">
            <v>1</v>
          </cell>
          <cell r="BM1428">
            <v>0</v>
          </cell>
          <cell r="BN1428">
            <v>0</v>
          </cell>
          <cell r="BO1428">
            <v>0</v>
          </cell>
          <cell r="BP1428">
            <v>0</v>
          </cell>
          <cell r="BQ1428">
            <v>1</v>
          </cell>
          <cell r="BR1428">
            <v>0</v>
          </cell>
          <cell r="BS1428">
            <v>0</v>
          </cell>
          <cell r="BT1428">
            <v>6</v>
          </cell>
          <cell r="BU1428">
            <v>0</v>
          </cell>
        </row>
        <row r="1429">
          <cell r="A1429">
            <v>40</v>
          </cell>
          <cell r="B1429">
            <v>40</v>
          </cell>
          <cell r="D1429">
            <v>0</v>
          </cell>
          <cell r="F1429">
            <v>0</v>
          </cell>
          <cell r="G1429">
            <v>1</v>
          </cell>
          <cell r="I1429">
            <v>1</v>
          </cell>
          <cell r="J1429">
            <v>0</v>
          </cell>
          <cell r="K1429">
            <v>1</v>
          </cell>
          <cell r="L1429">
            <v>1</v>
          </cell>
          <cell r="M1429">
            <v>4</v>
          </cell>
          <cell r="O1429">
            <v>1</v>
          </cell>
          <cell r="P1429">
            <v>0</v>
          </cell>
          <cell r="Q1429">
            <v>0</v>
          </cell>
          <cell r="R1429">
            <v>0</v>
          </cell>
          <cell r="S1429">
            <v>0</v>
          </cell>
          <cell r="T1429">
            <v>1</v>
          </cell>
          <cell r="V1429">
            <v>0</v>
          </cell>
          <cell r="W1429">
            <v>83</v>
          </cell>
          <cell r="X1429">
            <v>3</v>
          </cell>
          <cell r="Y1429">
            <v>1</v>
          </cell>
          <cell r="AA1429">
            <v>0</v>
          </cell>
          <cell r="AB1429">
            <v>0</v>
          </cell>
          <cell r="AC1429">
            <v>1</v>
          </cell>
          <cell r="AD1429">
            <v>0</v>
          </cell>
          <cell r="AE1429">
            <v>0</v>
          </cell>
          <cell r="AF1429">
            <v>0</v>
          </cell>
          <cell r="AG1429">
            <v>0</v>
          </cell>
          <cell r="AH1429">
            <v>0</v>
          </cell>
          <cell r="AI1429">
            <v>4</v>
          </cell>
          <cell r="AK1429">
            <v>0</v>
          </cell>
          <cell r="AL1429">
            <v>1</v>
          </cell>
          <cell r="AN1429">
            <v>2406</v>
          </cell>
          <cell r="AO1429">
            <v>8</v>
          </cell>
          <cell r="AQ1429">
            <v>0</v>
          </cell>
          <cell r="AR1429">
            <v>19</v>
          </cell>
          <cell r="AS1429">
            <v>3</v>
          </cell>
          <cell r="AT1429">
            <v>3</v>
          </cell>
          <cell r="AU1429">
            <v>2</v>
          </cell>
          <cell r="AV1429">
            <v>8</v>
          </cell>
          <cell r="AW1429">
            <v>8</v>
          </cell>
          <cell r="AX1429">
            <v>3</v>
          </cell>
          <cell r="AY1429">
            <v>2</v>
          </cell>
          <cell r="AZ1429">
            <v>1</v>
          </cell>
          <cell r="BA1429">
            <v>1</v>
          </cell>
          <cell r="BB1429">
            <v>0</v>
          </cell>
          <cell r="BC1429">
            <v>0</v>
          </cell>
          <cell r="BD1429">
            <v>0</v>
          </cell>
          <cell r="BE1429">
            <v>0</v>
          </cell>
          <cell r="BF1429">
            <v>0</v>
          </cell>
          <cell r="BG1429">
            <v>0</v>
          </cell>
          <cell r="BH1429">
            <v>0</v>
          </cell>
          <cell r="BI1429">
            <v>1</v>
          </cell>
          <cell r="BJ1429">
            <v>0</v>
          </cell>
          <cell r="BK1429">
            <v>0</v>
          </cell>
          <cell r="BL1429">
            <v>0</v>
          </cell>
          <cell r="BM1429">
            <v>0</v>
          </cell>
          <cell r="BN1429">
            <v>1</v>
          </cell>
          <cell r="BO1429">
            <v>0</v>
          </cell>
          <cell r="BP1429">
            <v>0</v>
          </cell>
          <cell r="BQ1429">
            <v>0</v>
          </cell>
          <cell r="BR1429">
            <v>0</v>
          </cell>
          <cell r="BS1429">
            <v>0</v>
          </cell>
          <cell r="BT1429">
            <v>8</v>
          </cell>
          <cell r="BU1429">
            <v>0</v>
          </cell>
        </row>
        <row r="1430">
          <cell r="A1430">
            <v>32</v>
          </cell>
          <cell r="B1430">
            <v>32</v>
          </cell>
          <cell r="D1430">
            <v>0</v>
          </cell>
          <cell r="F1430">
            <v>0</v>
          </cell>
          <cell r="G1430">
            <v>1</v>
          </cell>
          <cell r="I1430">
            <v>0</v>
          </cell>
          <cell r="J1430">
            <v>1</v>
          </cell>
          <cell r="K1430">
            <v>1</v>
          </cell>
          <cell r="L1430">
            <v>1</v>
          </cell>
          <cell r="M1430">
            <v>4</v>
          </cell>
          <cell r="O1430">
            <v>0</v>
          </cell>
          <cell r="P1430">
            <v>0</v>
          </cell>
          <cell r="Q1430">
            <v>1</v>
          </cell>
          <cell r="R1430">
            <v>0</v>
          </cell>
          <cell r="S1430">
            <v>0</v>
          </cell>
          <cell r="T1430">
            <v>2</v>
          </cell>
          <cell r="V1430">
            <v>0</v>
          </cell>
          <cell r="W1430">
            <v>68</v>
          </cell>
          <cell r="X1430">
            <v>2</v>
          </cell>
          <cell r="Y1430">
            <v>1</v>
          </cell>
          <cell r="AA1430">
            <v>0</v>
          </cell>
          <cell r="AB1430">
            <v>0</v>
          </cell>
          <cell r="AC1430">
            <v>0</v>
          </cell>
          <cell r="AD1430">
            <v>0</v>
          </cell>
          <cell r="AE1430">
            <v>0</v>
          </cell>
          <cell r="AF1430">
            <v>0</v>
          </cell>
          <cell r="AG1430">
            <v>1</v>
          </cell>
          <cell r="AH1430">
            <v>0</v>
          </cell>
          <cell r="AI1430">
            <v>2</v>
          </cell>
          <cell r="AK1430">
            <v>0</v>
          </cell>
          <cell r="AL1430">
            <v>1</v>
          </cell>
          <cell r="AN1430">
            <v>2269</v>
          </cell>
          <cell r="AO1430">
            <v>0</v>
          </cell>
          <cell r="AQ1430">
            <v>0</v>
          </cell>
          <cell r="AR1430">
            <v>14</v>
          </cell>
          <cell r="AS1430">
            <v>3</v>
          </cell>
          <cell r="AT1430">
            <v>2</v>
          </cell>
          <cell r="AU1430">
            <v>1</v>
          </cell>
          <cell r="AV1430">
            <v>3</v>
          </cell>
          <cell r="AW1430">
            <v>3</v>
          </cell>
          <cell r="AX1430">
            <v>2</v>
          </cell>
          <cell r="AY1430">
            <v>3</v>
          </cell>
          <cell r="AZ1430">
            <v>2</v>
          </cell>
          <cell r="BA1430">
            <v>2</v>
          </cell>
          <cell r="BB1430">
            <v>2</v>
          </cell>
          <cell r="BC1430">
            <v>2</v>
          </cell>
          <cell r="BD1430">
            <v>2</v>
          </cell>
          <cell r="BE1430">
            <v>2</v>
          </cell>
          <cell r="BF1430">
            <v>2</v>
          </cell>
          <cell r="BG1430">
            <v>2</v>
          </cell>
          <cell r="BH1430">
            <v>0</v>
          </cell>
          <cell r="BI1430">
            <v>1</v>
          </cell>
          <cell r="BJ1430">
            <v>0</v>
          </cell>
          <cell r="BK1430">
            <v>0</v>
          </cell>
          <cell r="BL1430">
            <v>0</v>
          </cell>
          <cell r="BM1430">
            <v>0</v>
          </cell>
          <cell r="BN1430">
            <v>1</v>
          </cell>
          <cell r="BO1430">
            <v>0</v>
          </cell>
          <cell r="BP1430">
            <v>0</v>
          </cell>
          <cell r="BQ1430">
            <v>0</v>
          </cell>
          <cell r="BR1430">
            <v>2</v>
          </cell>
          <cell r="BS1430">
            <v>0</v>
          </cell>
          <cell r="BT1430">
            <v>0</v>
          </cell>
          <cell r="BU1430">
            <v>3</v>
          </cell>
        </row>
        <row r="1431">
          <cell r="A1431">
            <v>39</v>
          </cell>
          <cell r="B1431">
            <v>39</v>
          </cell>
          <cell r="D1431">
            <v>0</v>
          </cell>
          <cell r="F1431">
            <v>0</v>
          </cell>
          <cell r="G1431">
            <v>1</v>
          </cell>
          <cell r="I1431">
            <v>1</v>
          </cell>
          <cell r="J1431">
            <v>0</v>
          </cell>
          <cell r="K1431">
            <v>24</v>
          </cell>
          <cell r="L1431">
            <v>24</v>
          </cell>
          <cell r="M1431">
            <v>1</v>
          </cell>
          <cell r="O1431">
            <v>1</v>
          </cell>
          <cell r="P1431">
            <v>0</v>
          </cell>
          <cell r="Q1431">
            <v>0</v>
          </cell>
          <cell r="R1431">
            <v>0</v>
          </cell>
          <cell r="S1431">
            <v>0</v>
          </cell>
          <cell r="T1431">
            <v>1</v>
          </cell>
          <cell r="V1431">
            <v>0</v>
          </cell>
          <cell r="W1431">
            <v>52</v>
          </cell>
          <cell r="X1431">
            <v>3</v>
          </cell>
          <cell r="Y1431">
            <v>2</v>
          </cell>
          <cell r="AA1431">
            <v>0</v>
          </cell>
          <cell r="AB1431">
            <v>0</v>
          </cell>
          <cell r="AC1431">
            <v>0</v>
          </cell>
          <cell r="AD1431">
            <v>0</v>
          </cell>
          <cell r="AE1431">
            <v>0</v>
          </cell>
          <cell r="AF1431">
            <v>0</v>
          </cell>
          <cell r="AG1431">
            <v>0</v>
          </cell>
          <cell r="AH1431">
            <v>1</v>
          </cell>
          <cell r="AI1431">
            <v>4</v>
          </cell>
          <cell r="AK1431">
            <v>1</v>
          </cell>
          <cell r="AL1431">
            <v>0</v>
          </cell>
          <cell r="AN1431">
            <v>4108</v>
          </cell>
          <cell r="AO1431">
            <v>7</v>
          </cell>
          <cell r="AQ1431">
            <v>0</v>
          </cell>
          <cell r="AR1431">
            <v>13</v>
          </cell>
          <cell r="AS1431">
            <v>3</v>
          </cell>
          <cell r="AT1431">
            <v>1</v>
          </cell>
          <cell r="AU1431">
            <v>0</v>
          </cell>
          <cell r="AV1431">
            <v>18</v>
          </cell>
          <cell r="AW1431">
            <v>18</v>
          </cell>
          <cell r="AX1431">
            <v>2</v>
          </cell>
          <cell r="AY1431">
            <v>3</v>
          </cell>
          <cell r="AZ1431">
            <v>7</v>
          </cell>
          <cell r="BA1431">
            <v>7</v>
          </cell>
          <cell r="BB1431">
            <v>7</v>
          </cell>
          <cell r="BC1431">
            <v>1</v>
          </cell>
          <cell r="BD1431">
            <v>1</v>
          </cell>
          <cell r="BE1431">
            <v>7</v>
          </cell>
          <cell r="BF1431">
            <v>7</v>
          </cell>
          <cell r="BG1431">
            <v>14</v>
          </cell>
          <cell r="BH1431">
            <v>1</v>
          </cell>
          <cell r="BI1431">
            <v>0</v>
          </cell>
          <cell r="BJ1431">
            <v>0</v>
          </cell>
          <cell r="BK1431">
            <v>0</v>
          </cell>
          <cell r="BL1431">
            <v>1</v>
          </cell>
          <cell r="BM1431">
            <v>0</v>
          </cell>
          <cell r="BN1431">
            <v>0</v>
          </cell>
          <cell r="BO1431">
            <v>0</v>
          </cell>
          <cell r="BP1431">
            <v>0</v>
          </cell>
          <cell r="BQ1431">
            <v>7</v>
          </cell>
          <cell r="BR1431">
            <v>0</v>
          </cell>
          <cell r="BS1431">
            <v>0</v>
          </cell>
          <cell r="BT1431">
            <v>18</v>
          </cell>
          <cell r="BU1431">
            <v>0</v>
          </cell>
        </row>
        <row r="1432">
          <cell r="A1432">
            <v>38</v>
          </cell>
          <cell r="B1432">
            <v>38</v>
          </cell>
          <cell r="D1432">
            <v>0</v>
          </cell>
          <cell r="F1432">
            <v>0</v>
          </cell>
          <cell r="G1432">
            <v>1</v>
          </cell>
          <cell r="I1432">
            <v>1</v>
          </cell>
          <cell r="J1432">
            <v>0</v>
          </cell>
          <cell r="K1432">
            <v>10</v>
          </cell>
          <cell r="L1432">
            <v>10</v>
          </cell>
          <cell r="M1432">
            <v>3</v>
          </cell>
          <cell r="O1432">
            <v>0</v>
          </cell>
          <cell r="P1432">
            <v>0</v>
          </cell>
          <cell r="Q1432">
            <v>1</v>
          </cell>
          <cell r="R1432">
            <v>0</v>
          </cell>
          <cell r="S1432">
            <v>0</v>
          </cell>
          <cell r="T1432">
            <v>2</v>
          </cell>
          <cell r="V1432">
            <v>1</v>
          </cell>
          <cell r="W1432">
            <v>99</v>
          </cell>
          <cell r="X1432">
            <v>1</v>
          </cell>
          <cell r="Y1432">
            <v>3</v>
          </cell>
          <cell r="AA1432">
            <v>0</v>
          </cell>
          <cell r="AB1432">
            <v>0</v>
          </cell>
          <cell r="AC1432">
            <v>0</v>
          </cell>
          <cell r="AD1432">
            <v>0</v>
          </cell>
          <cell r="AE1432">
            <v>0</v>
          </cell>
          <cell r="AF1432">
            <v>0</v>
          </cell>
          <cell r="AG1432">
            <v>0</v>
          </cell>
          <cell r="AH1432">
            <v>0</v>
          </cell>
          <cell r="AI1432">
            <v>3</v>
          </cell>
          <cell r="AK1432">
            <v>0</v>
          </cell>
          <cell r="AL1432">
            <v>1</v>
          </cell>
          <cell r="AN1432">
            <v>13206</v>
          </cell>
          <cell r="AO1432">
            <v>3</v>
          </cell>
          <cell r="AQ1432">
            <v>0</v>
          </cell>
          <cell r="AR1432">
            <v>12</v>
          </cell>
          <cell r="AS1432">
            <v>3</v>
          </cell>
          <cell r="AT1432">
            <v>1</v>
          </cell>
          <cell r="AU1432">
            <v>1</v>
          </cell>
          <cell r="AV1432">
            <v>20</v>
          </cell>
          <cell r="AW1432">
            <v>20</v>
          </cell>
          <cell r="AX1432">
            <v>3</v>
          </cell>
          <cell r="AY1432">
            <v>3</v>
          </cell>
          <cell r="AZ1432">
            <v>18</v>
          </cell>
          <cell r="BA1432">
            <v>18</v>
          </cell>
          <cell r="BB1432">
            <v>16</v>
          </cell>
          <cell r="BC1432">
            <v>1</v>
          </cell>
          <cell r="BD1432">
            <v>1</v>
          </cell>
          <cell r="BE1432">
            <v>11</v>
          </cell>
          <cell r="BF1432">
            <v>11</v>
          </cell>
          <cell r="BG1432">
            <v>33</v>
          </cell>
          <cell r="BH1432">
            <v>0</v>
          </cell>
          <cell r="BI1432">
            <v>1</v>
          </cell>
          <cell r="BJ1432">
            <v>0</v>
          </cell>
          <cell r="BK1432">
            <v>0</v>
          </cell>
          <cell r="BL1432">
            <v>0</v>
          </cell>
          <cell r="BM1432">
            <v>0</v>
          </cell>
          <cell r="BN1432">
            <v>1</v>
          </cell>
          <cell r="BO1432">
            <v>0</v>
          </cell>
          <cell r="BP1432">
            <v>0</v>
          </cell>
          <cell r="BQ1432">
            <v>11</v>
          </cell>
          <cell r="BR1432">
            <v>0</v>
          </cell>
          <cell r="BS1432">
            <v>0</v>
          </cell>
          <cell r="BT1432">
            <v>20</v>
          </cell>
          <cell r="BU1432">
            <v>0</v>
          </cell>
        </row>
        <row r="1433">
          <cell r="A1433">
            <v>32</v>
          </cell>
          <cell r="B1433">
            <v>32</v>
          </cell>
          <cell r="D1433">
            <v>0</v>
          </cell>
          <cell r="F1433">
            <v>0</v>
          </cell>
          <cell r="G1433">
            <v>1</v>
          </cell>
          <cell r="I1433">
            <v>0</v>
          </cell>
          <cell r="J1433">
            <v>1</v>
          </cell>
          <cell r="K1433">
            <v>1</v>
          </cell>
          <cell r="L1433">
            <v>1</v>
          </cell>
          <cell r="M1433">
            <v>4</v>
          </cell>
          <cell r="O1433">
            <v>0</v>
          </cell>
          <cell r="P1433">
            <v>0</v>
          </cell>
          <cell r="Q1433">
            <v>0</v>
          </cell>
          <cell r="R1433">
            <v>1</v>
          </cell>
          <cell r="S1433">
            <v>0</v>
          </cell>
          <cell r="T1433">
            <v>3</v>
          </cell>
          <cell r="V1433">
            <v>1</v>
          </cell>
          <cell r="W1433">
            <v>48</v>
          </cell>
          <cell r="X1433">
            <v>3</v>
          </cell>
          <cell r="Y1433">
            <v>3</v>
          </cell>
          <cell r="AA1433">
            <v>0</v>
          </cell>
          <cell r="AB1433">
            <v>1</v>
          </cell>
          <cell r="AC1433">
            <v>0</v>
          </cell>
          <cell r="AD1433">
            <v>0</v>
          </cell>
          <cell r="AE1433">
            <v>0</v>
          </cell>
          <cell r="AF1433">
            <v>0</v>
          </cell>
          <cell r="AG1433">
            <v>0</v>
          </cell>
          <cell r="AH1433">
            <v>0</v>
          </cell>
          <cell r="AI1433">
            <v>4</v>
          </cell>
          <cell r="AK1433">
            <v>0</v>
          </cell>
          <cell r="AL1433">
            <v>1</v>
          </cell>
          <cell r="AN1433">
            <v>10422</v>
          </cell>
          <cell r="AO1433">
            <v>1</v>
          </cell>
          <cell r="AQ1433">
            <v>0</v>
          </cell>
          <cell r="AR1433">
            <v>19</v>
          </cell>
          <cell r="AS1433">
            <v>3</v>
          </cell>
          <cell r="AT1433">
            <v>3</v>
          </cell>
          <cell r="AU1433">
            <v>2</v>
          </cell>
          <cell r="AV1433">
            <v>14</v>
          </cell>
          <cell r="AW1433">
            <v>14</v>
          </cell>
          <cell r="AX1433">
            <v>3</v>
          </cell>
          <cell r="AY1433">
            <v>3</v>
          </cell>
          <cell r="AZ1433">
            <v>14</v>
          </cell>
          <cell r="BA1433">
            <v>14</v>
          </cell>
          <cell r="BB1433">
            <v>10</v>
          </cell>
          <cell r="BC1433">
            <v>5</v>
          </cell>
          <cell r="BD1433">
            <v>5</v>
          </cell>
          <cell r="BE1433">
            <v>7</v>
          </cell>
          <cell r="BF1433">
            <v>7</v>
          </cell>
          <cell r="BG1433">
            <v>21</v>
          </cell>
          <cell r="BH1433">
            <v>0</v>
          </cell>
          <cell r="BI1433">
            <v>1</v>
          </cell>
          <cell r="BJ1433">
            <v>0</v>
          </cell>
          <cell r="BK1433">
            <v>0</v>
          </cell>
          <cell r="BL1433">
            <v>0</v>
          </cell>
          <cell r="BM1433">
            <v>0</v>
          </cell>
          <cell r="BN1433">
            <v>1</v>
          </cell>
          <cell r="BO1433">
            <v>0</v>
          </cell>
          <cell r="BP1433">
            <v>0</v>
          </cell>
          <cell r="BQ1433">
            <v>0</v>
          </cell>
          <cell r="BR1433">
            <v>7</v>
          </cell>
          <cell r="BS1433">
            <v>0</v>
          </cell>
          <cell r="BT1433">
            <v>0</v>
          </cell>
          <cell r="BU1433">
            <v>14</v>
          </cell>
        </row>
        <row r="1434">
          <cell r="A1434">
            <v>37</v>
          </cell>
          <cell r="B1434">
            <v>37</v>
          </cell>
          <cell r="D1434">
            <v>0</v>
          </cell>
          <cell r="F1434">
            <v>0</v>
          </cell>
          <cell r="G1434">
            <v>1</v>
          </cell>
          <cell r="I1434">
            <v>1</v>
          </cell>
          <cell r="J1434">
            <v>0</v>
          </cell>
          <cell r="K1434">
            <v>10</v>
          </cell>
          <cell r="L1434">
            <v>10</v>
          </cell>
          <cell r="M1434">
            <v>3</v>
          </cell>
          <cell r="O1434">
            <v>1</v>
          </cell>
          <cell r="P1434">
            <v>0</v>
          </cell>
          <cell r="Q1434">
            <v>0</v>
          </cell>
          <cell r="R1434">
            <v>0</v>
          </cell>
          <cell r="S1434">
            <v>0</v>
          </cell>
          <cell r="T1434">
            <v>3</v>
          </cell>
          <cell r="V1434">
            <v>1</v>
          </cell>
          <cell r="W1434">
            <v>42</v>
          </cell>
          <cell r="X1434">
            <v>4</v>
          </cell>
          <cell r="Y1434">
            <v>3</v>
          </cell>
          <cell r="AA1434">
            <v>0</v>
          </cell>
          <cell r="AB1434">
            <v>0</v>
          </cell>
          <cell r="AC1434">
            <v>0</v>
          </cell>
          <cell r="AD1434">
            <v>0</v>
          </cell>
          <cell r="AE1434">
            <v>0</v>
          </cell>
          <cell r="AF1434">
            <v>0</v>
          </cell>
          <cell r="AG1434">
            <v>0</v>
          </cell>
          <cell r="AH1434">
            <v>0</v>
          </cell>
          <cell r="AI1434">
            <v>4</v>
          </cell>
          <cell r="AK1434">
            <v>0</v>
          </cell>
          <cell r="AL1434">
            <v>1</v>
          </cell>
          <cell r="AN1434">
            <v>13744</v>
          </cell>
          <cell r="AO1434">
            <v>1</v>
          </cell>
          <cell r="AQ1434">
            <v>1</v>
          </cell>
          <cell r="AR1434">
            <v>25</v>
          </cell>
          <cell r="AS1434">
            <v>4</v>
          </cell>
          <cell r="AT1434">
            <v>1</v>
          </cell>
          <cell r="AU1434">
            <v>1</v>
          </cell>
          <cell r="AV1434">
            <v>16</v>
          </cell>
          <cell r="AW1434">
            <v>16</v>
          </cell>
          <cell r="AX1434">
            <v>2</v>
          </cell>
          <cell r="AY1434">
            <v>3</v>
          </cell>
          <cell r="AZ1434">
            <v>16</v>
          </cell>
          <cell r="BA1434">
            <v>16</v>
          </cell>
          <cell r="BB1434">
            <v>11</v>
          </cell>
          <cell r="BC1434">
            <v>6</v>
          </cell>
          <cell r="BD1434">
            <v>6</v>
          </cell>
          <cell r="BE1434">
            <v>8</v>
          </cell>
          <cell r="BF1434">
            <v>8</v>
          </cell>
          <cell r="BG1434">
            <v>24</v>
          </cell>
          <cell r="BH1434">
            <v>0</v>
          </cell>
          <cell r="BI1434">
            <v>1</v>
          </cell>
          <cell r="BJ1434">
            <v>0</v>
          </cell>
          <cell r="BK1434">
            <v>0</v>
          </cell>
          <cell r="BL1434">
            <v>0</v>
          </cell>
          <cell r="BM1434">
            <v>0</v>
          </cell>
          <cell r="BN1434">
            <v>0</v>
          </cell>
          <cell r="BO1434">
            <v>1</v>
          </cell>
          <cell r="BP1434">
            <v>0</v>
          </cell>
          <cell r="BQ1434">
            <v>8</v>
          </cell>
          <cell r="BR1434">
            <v>0</v>
          </cell>
          <cell r="BS1434">
            <v>0</v>
          </cell>
          <cell r="BT1434">
            <v>16</v>
          </cell>
          <cell r="BU1434">
            <v>0</v>
          </cell>
        </row>
        <row r="1435">
          <cell r="A1435">
            <v>25</v>
          </cell>
          <cell r="B1435">
            <v>25</v>
          </cell>
          <cell r="D1435">
            <v>0</v>
          </cell>
          <cell r="F1435">
            <v>0</v>
          </cell>
          <cell r="G1435">
            <v>1</v>
          </cell>
          <cell r="I1435">
            <v>0</v>
          </cell>
          <cell r="J1435">
            <v>1</v>
          </cell>
          <cell r="K1435">
            <v>8</v>
          </cell>
          <cell r="L1435">
            <v>8</v>
          </cell>
          <cell r="M1435">
            <v>2</v>
          </cell>
          <cell r="O1435">
            <v>0</v>
          </cell>
          <cell r="P1435">
            <v>1</v>
          </cell>
          <cell r="Q1435">
            <v>0</v>
          </cell>
          <cell r="R1435">
            <v>0</v>
          </cell>
          <cell r="S1435">
            <v>0</v>
          </cell>
          <cell r="T1435">
            <v>1</v>
          </cell>
          <cell r="V1435">
            <v>1</v>
          </cell>
          <cell r="W1435">
            <v>85</v>
          </cell>
          <cell r="X1435">
            <v>3</v>
          </cell>
          <cell r="Y1435">
            <v>2</v>
          </cell>
          <cell r="AA1435">
            <v>0</v>
          </cell>
          <cell r="AB1435">
            <v>1</v>
          </cell>
          <cell r="AC1435">
            <v>0</v>
          </cell>
          <cell r="AD1435">
            <v>0</v>
          </cell>
          <cell r="AE1435">
            <v>0</v>
          </cell>
          <cell r="AF1435">
            <v>0</v>
          </cell>
          <cell r="AG1435">
            <v>0</v>
          </cell>
          <cell r="AH1435">
            <v>0</v>
          </cell>
          <cell r="AI1435">
            <v>3</v>
          </cell>
          <cell r="AK1435">
            <v>0</v>
          </cell>
          <cell r="AL1435">
            <v>0</v>
          </cell>
          <cell r="AN1435">
            <v>4907</v>
          </cell>
          <cell r="AO1435">
            <v>0</v>
          </cell>
          <cell r="AQ1435">
            <v>1</v>
          </cell>
          <cell r="AR1435">
            <v>22</v>
          </cell>
          <cell r="AS1435">
            <v>4</v>
          </cell>
          <cell r="AT1435">
            <v>2</v>
          </cell>
          <cell r="AU1435">
            <v>1</v>
          </cell>
          <cell r="AV1435">
            <v>6</v>
          </cell>
          <cell r="AW1435">
            <v>6</v>
          </cell>
          <cell r="AX1435">
            <v>3</v>
          </cell>
          <cell r="AY1435">
            <v>2</v>
          </cell>
          <cell r="AZ1435">
            <v>5</v>
          </cell>
          <cell r="BA1435">
            <v>5</v>
          </cell>
          <cell r="BB1435">
            <v>3</v>
          </cell>
          <cell r="BC1435">
            <v>0</v>
          </cell>
          <cell r="BD1435">
            <v>0</v>
          </cell>
          <cell r="BE1435">
            <v>4</v>
          </cell>
          <cell r="BF1435">
            <v>4</v>
          </cell>
          <cell r="BG1435">
            <v>8</v>
          </cell>
          <cell r="BH1435">
            <v>1</v>
          </cell>
          <cell r="BI1435">
            <v>0</v>
          </cell>
          <cell r="BJ1435">
            <v>0</v>
          </cell>
          <cell r="BK1435">
            <v>0</v>
          </cell>
          <cell r="BL1435">
            <v>0</v>
          </cell>
          <cell r="BM1435">
            <v>1</v>
          </cell>
          <cell r="BN1435">
            <v>0</v>
          </cell>
          <cell r="BO1435">
            <v>0</v>
          </cell>
          <cell r="BP1435">
            <v>0</v>
          </cell>
          <cell r="BQ1435">
            <v>0</v>
          </cell>
          <cell r="BR1435">
            <v>4</v>
          </cell>
          <cell r="BS1435">
            <v>0</v>
          </cell>
          <cell r="BT1435">
            <v>0</v>
          </cell>
          <cell r="BU1435">
            <v>6</v>
          </cell>
        </row>
        <row r="1436">
          <cell r="A1436">
            <v>52</v>
          </cell>
          <cell r="B1436">
            <v>52</v>
          </cell>
          <cell r="D1436">
            <v>0</v>
          </cell>
          <cell r="F1436">
            <v>0</v>
          </cell>
          <cell r="G1436">
            <v>0</v>
          </cell>
          <cell r="I1436">
            <v>0</v>
          </cell>
          <cell r="J1436">
            <v>1</v>
          </cell>
          <cell r="K1436">
            <v>29</v>
          </cell>
          <cell r="L1436">
            <v>29</v>
          </cell>
          <cell r="M1436">
            <v>4</v>
          </cell>
          <cell r="O1436">
            <v>1</v>
          </cell>
          <cell r="P1436">
            <v>0</v>
          </cell>
          <cell r="Q1436">
            <v>0</v>
          </cell>
          <cell r="R1436">
            <v>0</v>
          </cell>
          <cell r="S1436">
            <v>0</v>
          </cell>
          <cell r="T1436">
            <v>1</v>
          </cell>
          <cell r="V1436">
            <v>0</v>
          </cell>
          <cell r="W1436">
            <v>40</v>
          </cell>
          <cell r="X1436">
            <v>3</v>
          </cell>
          <cell r="Y1436">
            <v>1</v>
          </cell>
          <cell r="AA1436">
            <v>0</v>
          </cell>
          <cell r="AB1436">
            <v>0</v>
          </cell>
          <cell r="AC1436">
            <v>0</v>
          </cell>
          <cell r="AD1436">
            <v>0</v>
          </cell>
          <cell r="AE1436">
            <v>0</v>
          </cell>
          <cell r="AF1436">
            <v>0</v>
          </cell>
          <cell r="AG1436">
            <v>1</v>
          </cell>
          <cell r="AH1436">
            <v>0</v>
          </cell>
          <cell r="AI1436">
            <v>4</v>
          </cell>
          <cell r="AK1436">
            <v>0</v>
          </cell>
          <cell r="AL1436">
            <v>0</v>
          </cell>
          <cell r="AN1436">
            <v>3482</v>
          </cell>
          <cell r="AO1436">
            <v>2</v>
          </cell>
          <cell r="AQ1436">
            <v>0</v>
          </cell>
          <cell r="AR1436">
            <v>15</v>
          </cell>
          <cell r="AS1436">
            <v>3</v>
          </cell>
          <cell r="AT1436">
            <v>2</v>
          </cell>
          <cell r="AU1436">
            <v>2</v>
          </cell>
          <cell r="AV1436">
            <v>16</v>
          </cell>
          <cell r="AW1436">
            <v>16</v>
          </cell>
          <cell r="AX1436">
            <v>3</v>
          </cell>
          <cell r="AY1436">
            <v>2</v>
          </cell>
          <cell r="AZ1436">
            <v>9</v>
          </cell>
          <cell r="BA1436">
            <v>9</v>
          </cell>
          <cell r="BB1436">
            <v>8</v>
          </cell>
          <cell r="BC1436">
            <v>0</v>
          </cell>
          <cell r="BD1436">
            <v>0</v>
          </cell>
          <cell r="BE1436">
            <v>0</v>
          </cell>
          <cell r="BF1436">
            <v>0</v>
          </cell>
          <cell r="BG1436">
            <v>0</v>
          </cell>
          <cell r="BH1436">
            <v>1</v>
          </cell>
          <cell r="BI1436">
            <v>0</v>
          </cell>
          <cell r="BJ1436">
            <v>0</v>
          </cell>
          <cell r="BK1436">
            <v>0</v>
          </cell>
          <cell r="BL1436">
            <v>1</v>
          </cell>
          <cell r="BM1436">
            <v>0</v>
          </cell>
          <cell r="BN1436">
            <v>0</v>
          </cell>
          <cell r="BO1436">
            <v>0</v>
          </cell>
          <cell r="BP1436">
            <v>0</v>
          </cell>
          <cell r="BQ1436">
            <v>0</v>
          </cell>
          <cell r="BR1436">
            <v>0</v>
          </cell>
          <cell r="BS1436">
            <v>0</v>
          </cell>
          <cell r="BT1436">
            <v>0</v>
          </cell>
          <cell r="BU1436">
            <v>16</v>
          </cell>
        </row>
        <row r="1437">
          <cell r="A1437">
            <v>44</v>
          </cell>
          <cell r="B1437">
            <v>44</v>
          </cell>
          <cell r="D1437">
            <v>0</v>
          </cell>
          <cell r="F1437">
            <v>0</v>
          </cell>
          <cell r="G1437">
            <v>1</v>
          </cell>
          <cell r="I1437">
            <v>1</v>
          </cell>
          <cell r="J1437">
            <v>0</v>
          </cell>
          <cell r="K1437">
            <v>1</v>
          </cell>
          <cell r="L1437">
            <v>1</v>
          </cell>
          <cell r="M1437">
            <v>3</v>
          </cell>
          <cell r="O1437">
            <v>0</v>
          </cell>
          <cell r="P1437">
            <v>0</v>
          </cell>
          <cell r="Q1437">
            <v>1</v>
          </cell>
          <cell r="R1437">
            <v>0</v>
          </cell>
          <cell r="S1437">
            <v>0</v>
          </cell>
          <cell r="T1437">
            <v>2</v>
          </cell>
          <cell r="V1437">
            <v>0</v>
          </cell>
          <cell r="W1437">
            <v>42</v>
          </cell>
          <cell r="X1437">
            <v>3</v>
          </cell>
          <cell r="Y1437">
            <v>1</v>
          </cell>
          <cell r="AA1437">
            <v>0</v>
          </cell>
          <cell r="AB1437">
            <v>0</v>
          </cell>
          <cell r="AC1437">
            <v>0</v>
          </cell>
          <cell r="AD1437">
            <v>0</v>
          </cell>
          <cell r="AE1437">
            <v>0</v>
          </cell>
          <cell r="AF1437">
            <v>0</v>
          </cell>
          <cell r="AG1437">
            <v>0</v>
          </cell>
          <cell r="AH1437">
            <v>1</v>
          </cell>
          <cell r="AI1437">
            <v>4</v>
          </cell>
          <cell r="AK1437">
            <v>1</v>
          </cell>
          <cell r="AL1437">
            <v>0</v>
          </cell>
          <cell r="AN1437">
            <v>2436</v>
          </cell>
          <cell r="AO1437">
            <v>6</v>
          </cell>
          <cell r="AQ1437">
            <v>1</v>
          </cell>
          <cell r="AR1437">
            <v>12</v>
          </cell>
          <cell r="AS1437">
            <v>3</v>
          </cell>
          <cell r="AT1437">
            <v>3</v>
          </cell>
          <cell r="AU1437">
            <v>0</v>
          </cell>
          <cell r="AV1437">
            <v>6</v>
          </cell>
          <cell r="AW1437">
            <v>6</v>
          </cell>
          <cell r="AX1437">
            <v>2</v>
          </cell>
          <cell r="AY1437">
            <v>3</v>
          </cell>
          <cell r="AZ1437">
            <v>4</v>
          </cell>
          <cell r="BA1437">
            <v>4</v>
          </cell>
          <cell r="BB1437">
            <v>3</v>
          </cell>
          <cell r="BC1437">
            <v>1</v>
          </cell>
          <cell r="BD1437">
            <v>1</v>
          </cell>
          <cell r="BE1437">
            <v>2</v>
          </cell>
          <cell r="BF1437">
            <v>2</v>
          </cell>
          <cell r="BG1437">
            <v>2</v>
          </cell>
          <cell r="BH1437">
            <v>1</v>
          </cell>
          <cell r="BI1437">
            <v>0</v>
          </cell>
          <cell r="BJ1437">
            <v>0</v>
          </cell>
          <cell r="BK1437">
            <v>0</v>
          </cell>
          <cell r="BL1437">
            <v>0</v>
          </cell>
          <cell r="BM1437">
            <v>1</v>
          </cell>
          <cell r="BN1437">
            <v>0</v>
          </cell>
          <cell r="BO1437">
            <v>0</v>
          </cell>
          <cell r="BP1437">
            <v>0</v>
          </cell>
          <cell r="BQ1437">
            <v>2</v>
          </cell>
          <cell r="BR1437">
            <v>0</v>
          </cell>
          <cell r="BS1437">
            <v>0</v>
          </cell>
          <cell r="BT1437">
            <v>6</v>
          </cell>
          <cell r="BU1437">
            <v>0</v>
          </cell>
        </row>
        <row r="1438">
          <cell r="A1438">
            <v>21</v>
          </cell>
          <cell r="B1438">
            <v>21</v>
          </cell>
          <cell r="D1438">
            <v>0</v>
          </cell>
          <cell r="F1438">
            <v>0</v>
          </cell>
          <cell r="G1438">
            <v>1</v>
          </cell>
          <cell r="I1438">
            <v>0</v>
          </cell>
          <cell r="J1438">
            <v>1</v>
          </cell>
          <cell r="K1438">
            <v>5</v>
          </cell>
          <cell r="L1438">
            <v>5</v>
          </cell>
          <cell r="M1438">
            <v>1</v>
          </cell>
          <cell r="O1438">
            <v>0</v>
          </cell>
          <cell r="P1438">
            <v>0</v>
          </cell>
          <cell r="Q1438">
            <v>1</v>
          </cell>
          <cell r="R1438">
            <v>0</v>
          </cell>
          <cell r="S1438">
            <v>0</v>
          </cell>
          <cell r="T1438">
            <v>3</v>
          </cell>
          <cell r="V1438">
            <v>0</v>
          </cell>
          <cell r="W1438">
            <v>58</v>
          </cell>
          <cell r="X1438">
            <v>3</v>
          </cell>
          <cell r="Y1438">
            <v>1</v>
          </cell>
          <cell r="AA1438">
            <v>0</v>
          </cell>
          <cell r="AB1438">
            <v>0</v>
          </cell>
          <cell r="AC1438">
            <v>0</v>
          </cell>
          <cell r="AD1438">
            <v>0</v>
          </cell>
          <cell r="AE1438">
            <v>0</v>
          </cell>
          <cell r="AF1438">
            <v>0</v>
          </cell>
          <cell r="AG1438">
            <v>1</v>
          </cell>
          <cell r="AH1438">
            <v>0</v>
          </cell>
          <cell r="AI1438">
            <v>1</v>
          </cell>
          <cell r="AK1438">
            <v>1</v>
          </cell>
          <cell r="AL1438">
            <v>0</v>
          </cell>
          <cell r="AN1438">
            <v>2380</v>
          </cell>
          <cell r="AO1438">
            <v>1</v>
          </cell>
          <cell r="AQ1438">
            <v>1</v>
          </cell>
          <cell r="AR1438">
            <v>11</v>
          </cell>
          <cell r="AS1438">
            <v>3</v>
          </cell>
          <cell r="AT1438">
            <v>4</v>
          </cell>
          <cell r="AU1438">
            <v>0</v>
          </cell>
          <cell r="AV1438">
            <v>2</v>
          </cell>
          <cell r="AW1438">
            <v>2</v>
          </cell>
          <cell r="AX1438">
            <v>6</v>
          </cell>
          <cell r="AY1438">
            <v>3</v>
          </cell>
          <cell r="AZ1438">
            <v>2</v>
          </cell>
          <cell r="BA1438">
            <v>2</v>
          </cell>
          <cell r="BB1438">
            <v>2</v>
          </cell>
          <cell r="BC1438">
            <v>1</v>
          </cell>
          <cell r="BD1438">
            <v>1</v>
          </cell>
          <cell r="BE1438">
            <v>2</v>
          </cell>
          <cell r="BF1438">
            <v>2</v>
          </cell>
          <cell r="BG1438">
            <v>2</v>
          </cell>
          <cell r="BH1438">
            <v>1</v>
          </cell>
          <cell r="BI1438">
            <v>0</v>
          </cell>
          <cell r="BJ1438">
            <v>0</v>
          </cell>
          <cell r="BK1438">
            <v>0</v>
          </cell>
          <cell r="BL1438">
            <v>0</v>
          </cell>
          <cell r="BM1438">
            <v>1</v>
          </cell>
          <cell r="BN1438">
            <v>0</v>
          </cell>
          <cell r="BO1438">
            <v>0</v>
          </cell>
          <cell r="BP1438">
            <v>0</v>
          </cell>
          <cell r="BQ1438">
            <v>0</v>
          </cell>
          <cell r="BR1438">
            <v>2</v>
          </cell>
          <cell r="BS1438">
            <v>0</v>
          </cell>
          <cell r="BT1438">
            <v>0</v>
          </cell>
          <cell r="BU1438">
            <v>2</v>
          </cell>
        </row>
        <row r="1439">
          <cell r="A1439">
            <v>39</v>
          </cell>
          <cell r="B1439">
            <v>39</v>
          </cell>
          <cell r="D1439">
            <v>0</v>
          </cell>
          <cell r="F1439">
            <v>0</v>
          </cell>
          <cell r="G1439">
            <v>0</v>
          </cell>
          <cell r="I1439">
            <v>1</v>
          </cell>
          <cell r="J1439">
            <v>0</v>
          </cell>
          <cell r="K1439">
            <v>9</v>
          </cell>
          <cell r="L1439">
            <v>9</v>
          </cell>
          <cell r="M1439">
            <v>3</v>
          </cell>
          <cell r="O1439">
            <v>1</v>
          </cell>
          <cell r="P1439">
            <v>0</v>
          </cell>
          <cell r="Q1439">
            <v>0</v>
          </cell>
          <cell r="R1439">
            <v>0</v>
          </cell>
          <cell r="S1439">
            <v>0</v>
          </cell>
          <cell r="T1439">
            <v>4</v>
          </cell>
          <cell r="V1439">
            <v>0</v>
          </cell>
          <cell r="W1439">
            <v>87</v>
          </cell>
          <cell r="X1439">
            <v>3</v>
          </cell>
          <cell r="Y1439">
            <v>5</v>
          </cell>
          <cell r="AA1439">
            <v>0</v>
          </cell>
          <cell r="AB1439">
            <v>0</v>
          </cell>
          <cell r="AC1439">
            <v>0</v>
          </cell>
          <cell r="AD1439">
            <v>1</v>
          </cell>
          <cell r="AE1439">
            <v>0</v>
          </cell>
          <cell r="AF1439">
            <v>0</v>
          </cell>
          <cell r="AG1439">
            <v>0</v>
          </cell>
          <cell r="AH1439">
            <v>0</v>
          </cell>
          <cell r="AI1439">
            <v>4</v>
          </cell>
          <cell r="AK1439">
            <v>1</v>
          </cell>
          <cell r="AL1439">
            <v>0</v>
          </cell>
          <cell r="AN1439">
            <v>19431</v>
          </cell>
          <cell r="AO1439">
            <v>2</v>
          </cell>
          <cell r="AQ1439">
            <v>0</v>
          </cell>
          <cell r="AR1439">
            <v>13</v>
          </cell>
          <cell r="AS1439">
            <v>3</v>
          </cell>
          <cell r="AT1439">
            <v>3</v>
          </cell>
          <cell r="AU1439">
            <v>0</v>
          </cell>
          <cell r="AV1439">
            <v>21</v>
          </cell>
          <cell r="AW1439">
            <v>21</v>
          </cell>
          <cell r="AX1439">
            <v>3</v>
          </cell>
          <cell r="AY1439">
            <v>2</v>
          </cell>
          <cell r="AZ1439">
            <v>6</v>
          </cell>
          <cell r="BA1439">
            <v>6</v>
          </cell>
          <cell r="BB1439">
            <v>0</v>
          </cell>
          <cell r="BC1439">
            <v>1</v>
          </cell>
          <cell r="BD1439">
            <v>1</v>
          </cell>
          <cell r="BE1439">
            <v>3</v>
          </cell>
          <cell r="BF1439">
            <v>3</v>
          </cell>
          <cell r="BG1439">
            <v>15</v>
          </cell>
          <cell r="BH1439">
            <v>1</v>
          </cell>
          <cell r="BI1439">
            <v>0</v>
          </cell>
          <cell r="BJ1439">
            <v>0</v>
          </cell>
          <cell r="BK1439">
            <v>0</v>
          </cell>
          <cell r="BL1439">
            <v>1</v>
          </cell>
          <cell r="BM1439">
            <v>0</v>
          </cell>
          <cell r="BN1439">
            <v>0</v>
          </cell>
          <cell r="BO1439">
            <v>0</v>
          </cell>
          <cell r="BP1439">
            <v>0</v>
          </cell>
          <cell r="BQ1439">
            <v>3</v>
          </cell>
          <cell r="BR1439">
            <v>0</v>
          </cell>
          <cell r="BS1439">
            <v>0</v>
          </cell>
          <cell r="BT1439">
            <v>21</v>
          </cell>
          <cell r="BU1439">
            <v>0</v>
          </cell>
        </row>
        <row r="1440">
          <cell r="A1440">
            <v>23</v>
          </cell>
          <cell r="B1440">
            <v>23</v>
          </cell>
          <cell r="D1440">
            <v>1</v>
          </cell>
          <cell r="F1440">
            <v>1</v>
          </cell>
          <cell r="G1440">
            <v>0</v>
          </cell>
          <cell r="I1440">
            <v>0</v>
          </cell>
          <cell r="J1440">
            <v>1</v>
          </cell>
          <cell r="K1440">
            <v>9</v>
          </cell>
          <cell r="L1440">
            <v>9</v>
          </cell>
          <cell r="M1440">
            <v>3</v>
          </cell>
          <cell r="O1440">
            <v>0</v>
          </cell>
          <cell r="P1440">
            <v>0</v>
          </cell>
          <cell r="Q1440">
            <v>0</v>
          </cell>
          <cell r="R1440">
            <v>1</v>
          </cell>
          <cell r="S1440">
            <v>0</v>
          </cell>
          <cell r="T1440">
            <v>4</v>
          </cell>
          <cell r="V1440">
            <v>0</v>
          </cell>
          <cell r="W1440">
            <v>33</v>
          </cell>
          <cell r="X1440">
            <v>3</v>
          </cell>
          <cell r="Y1440">
            <v>1</v>
          </cell>
          <cell r="AA1440">
            <v>0</v>
          </cell>
          <cell r="AB1440">
            <v>0</v>
          </cell>
          <cell r="AC1440">
            <v>0</v>
          </cell>
          <cell r="AD1440">
            <v>0</v>
          </cell>
          <cell r="AE1440">
            <v>0</v>
          </cell>
          <cell r="AF1440">
            <v>0</v>
          </cell>
          <cell r="AG1440">
            <v>1</v>
          </cell>
          <cell r="AH1440">
            <v>0</v>
          </cell>
          <cell r="AI1440">
            <v>1</v>
          </cell>
          <cell r="AK1440">
            <v>0</v>
          </cell>
          <cell r="AL1440">
            <v>1</v>
          </cell>
          <cell r="AN1440">
            <v>1790</v>
          </cell>
          <cell r="AO1440">
            <v>1</v>
          </cell>
          <cell r="AQ1440">
            <v>0</v>
          </cell>
          <cell r="AR1440">
            <v>19</v>
          </cell>
          <cell r="AS1440">
            <v>3</v>
          </cell>
          <cell r="AT1440">
            <v>1</v>
          </cell>
          <cell r="AU1440">
            <v>1</v>
          </cell>
          <cell r="AV1440">
            <v>1</v>
          </cell>
          <cell r="AW1440">
            <v>1</v>
          </cell>
          <cell r="AX1440">
            <v>3</v>
          </cell>
          <cell r="AY1440">
            <v>2</v>
          </cell>
          <cell r="AZ1440">
            <v>1</v>
          </cell>
          <cell r="BA1440">
            <v>1</v>
          </cell>
          <cell r="BB1440">
            <v>0</v>
          </cell>
          <cell r="BC1440">
            <v>1</v>
          </cell>
          <cell r="BD1440">
            <v>1</v>
          </cell>
          <cell r="BE1440">
            <v>0</v>
          </cell>
          <cell r="BF1440">
            <v>0</v>
          </cell>
          <cell r="BG1440">
            <v>0</v>
          </cell>
          <cell r="BH1440">
            <v>0</v>
          </cell>
          <cell r="BI1440">
            <v>0</v>
          </cell>
          <cell r="BJ1440">
            <v>0</v>
          </cell>
          <cell r="BK1440">
            <v>1</v>
          </cell>
          <cell r="BL1440">
            <v>0</v>
          </cell>
          <cell r="BM1440">
            <v>0</v>
          </cell>
          <cell r="BN1440">
            <v>1</v>
          </cell>
          <cell r="BO1440">
            <v>0</v>
          </cell>
          <cell r="BP1440">
            <v>0</v>
          </cell>
          <cell r="BQ1440">
            <v>0</v>
          </cell>
          <cell r="BR1440">
            <v>0</v>
          </cell>
          <cell r="BS1440">
            <v>0</v>
          </cell>
          <cell r="BT1440">
            <v>0</v>
          </cell>
          <cell r="BU1440">
            <v>1</v>
          </cell>
        </row>
        <row r="1441">
          <cell r="A1441">
            <v>36</v>
          </cell>
          <cell r="B1441">
            <v>36</v>
          </cell>
          <cell r="D1441">
            <v>0</v>
          </cell>
          <cell r="F1441">
            <v>0</v>
          </cell>
          <cell r="G1441">
            <v>1</v>
          </cell>
          <cell r="I1441">
            <v>0</v>
          </cell>
          <cell r="J1441">
            <v>1</v>
          </cell>
          <cell r="K1441">
            <v>3</v>
          </cell>
          <cell r="L1441">
            <v>3</v>
          </cell>
          <cell r="M1441">
            <v>3</v>
          </cell>
          <cell r="O1441">
            <v>0</v>
          </cell>
          <cell r="P1441">
            <v>0</v>
          </cell>
          <cell r="Q1441">
            <v>1</v>
          </cell>
          <cell r="R1441">
            <v>0</v>
          </cell>
          <cell r="S1441">
            <v>0</v>
          </cell>
          <cell r="T1441">
            <v>1</v>
          </cell>
          <cell r="V1441">
            <v>1</v>
          </cell>
          <cell r="W1441">
            <v>94</v>
          </cell>
          <cell r="X1441">
            <v>2</v>
          </cell>
          <cell r="Y1441">
            <v>3</v>
          </cell>
          <cell r="AA1441">
            <v>0</v>
          </cell>
          <cell r="AB1441">
            <v>1</v>
          </cell>
          <cell r="AC1441">
            <v>0</v>
          </cell>
          <cell r="AD1441">
            <v>0</v>
          </cell>
          <cell r="AE1441">
            <v>0</v>
          </cell>
          <cell r="AF1441">
            <v>0</v>
          </cell>
          <cell r="AG1441">
            <v>0</v>
          </cell>
          <cell r="AH1441">
            <v>0</v>
          </cell>
          <cell r="AI1441">
            <v>4</v>
          </cell>
          <cell r="AK1441">
            <v>0</v>
          </cell>
          <cell r="AL1441">
            <v>1</v>
          </cell>
          <cell r="AN1441">
            <v>7644</v>
          </cell>
          <cell r="AO1441">
            <v>0</v>
          </cell>
          <cell r="AQ1441">
            <v>0</v>
          </cell>
          <cell r="AR1441">
            <v>19</v>
          </cell>
          <cell r="AS1441">
            <v>3</v>
          </cell>
          <cell r="AT1441">
            <v>3</v>
          </cell>
          <cell r="AU1441">
            <v>2</v>
          </cell>
          <cell r="AV1441">
            <v>10</v>
          </cell>
          <cell r="AW1441">
            <v>10</v>
          </cell>
          <cell r="AX1441">
            <v>2</v>
          </cell>
          <cell r="AY1441">
            <v>3</v>
          </cell>
          <cell r="AZ1441">
            <v>9</v>
          </cell>
          <cell r="BA1441">
            <v>9</v>
          </cell>
          <cell r="BB1441">
            <v>7</v>
          </cell>
          <cell r="BC1441">
            <v>3</v>
          </cell>
          <cell r="BD1441">
            <v>3</v>
          </cell>
          <cell r="BE1441">
            <v>4</v>
          </cell>
          <cell r="BF1441">
            <v>4</v>
          </cell>
          <cell r="BG1441">
            <v>12</v>
          </cell>
          <cell r="BH1441">
            <v>0</v>
          </cell>
          <cell r="BI1441">
            <v>1</v>
          </cell>
          <cell r="BJ1441">
            <v>0</v>
          </cell>
          <cell r="BK1441">
            <v>0</v>
          </cell>
          <cell r="BL1441">
            <v>0</v>
          </cell>
          <cell r="BM1441">
            <v>0</v>
          </cell>
          <cell r="BN1441">
            <v>1</v>
          </cell>
          <cell r="BO1441">
            <v>0</v>
          </cell>
          <cell r="BP1441">
            <v>0</v>
          </cell>
          <cell r="BQ1441">
            <v>0</v>
          </cell>
          <cell r="BR1441">
            <v>4</v>
          </cell>
          <cell r="BS1441">
            <v>0</v>
          </cell>
          <cell r="BT1441">
            <v>0</v>
          </cell>
          <cell r="BU1441">
            <v>10</v>
          </cell>
        </row>
        <row r="1442">
          <cell r="A1442">
            <v>36</v>
          </cell>
          <cell r="B1442">
            <v>36</v>
          </cell>
          <cell r="D1442">
            <v>0</v>
          </cell>
          <cell r="F1442">
            <v>1</v>
          </cell>
          <cell r="G1442">
            <v>0</v>
          </cell>
          <cell r="I1442">
            <v>1</v>
          </cell>
          <cell r="J1442">
            <v>0</v>
          </cell>
          <cell r="K1442">
            <v>4</v>
          </cell>
          <cell r="L1442">
            <v>4</v>
          </cell>
          <cell r="M1442">
            <v>2</v>
          </cell>
          <cell r="O1442">
            <v>1</v>
          </cell>
          <cell r="P1442">
            <v>0</v>
          </cell>
          <cell r="Q1442">
            <v>0</v>
          </cell>
          <cell r="R1442">
            <v>0</v>
          </cell>
          <cell r="S1442">
            <v>0</v>
          </cell>
          <cell r="T1442">
            <v>4</v>
          </cell>
          <cell r="V1442">
            <v>1</v>
          </cell>
          <cell r="W1442">
            <v>97</v>
          </cell>
          <cell r="X1442">
            <v>3</v>
          </cell>
          <cell r="Y1442">
            <v>2</v>
          </cell>
          <cell r="AA1442">
            <v>0</v>
          </cell>
          <cell r="AB1442">
            <v>0</v>
          </cell>
          <cell r="AC1442">
            <v>0</v>
          </cell>
          <cell r="AD1442">
            <v>0</v>
          </cell>
          <cell r="AE1442">
            <v>1</v>
          </cell>
          <cell r="AF1442">
            <v>1</v>
          </cell>
          <cell r="AG1442">
            <v>0</v>
          </cell>
          <cell r="AH1442">
            <v>0</v>
          </cell>
          <cell r="AI1442">
            <v>2</v>
          </cell>
          <cell r="AK1442">
            <v>0</v>
          </cell>
          <cell r="AL1442">
            <v>0</v>
          </cell>
          <cell r="AN1442">
            <v>5131</v>
          </cell>
          <cell r="AO1442">
            <v>7</v>
          </cell>
          <cell r="AQ1442">
            <v>0</v>
          </cell>
          <cell r="AR1442">
            <v>13</v>
          </cell>
          <cell r="AS1442">
            <v>3</v>
          </cell>
          <cell r="AT1442">
            <v>2</v>
          </cell>
          <cell r="AU1442">
            <v>3</v>
          </cell>
          <cell r="AV1442">
            <v>18</v>
          </cell>
          <cell r="AW1442">
            <v>18</v>
          </cell>
          <cell r="AX1442">
            <v>3</v>
          </cell>
          <cell r="AY1442">
            <v>3</v>
          </cell>
          <cell r="AZ1442">
            <v>4</v>
          </cell>
          <cell r="BA1442">
            <v>4</v>
          </cell>
          <cell r="BB1442">
            <v>2</v>
          </cell>
          <cell r="BC1442">
            <v>0</v>
          </cell>
          <cell r="BD1442">
            <v>0</v>
          </cell>
          <cell r="BE1442">
            <v>2</v>
          </cell>
          <cell r="BF1442">
            <v>2</v>
          </cell>
          <cell r="BG1442">
            <v>4</v>
          </cell>
          <cell r="BH1442">
            <v>0</v>
          </cell>
          <cell r="BI1442">
            <v>0</v>
          </cell>
          <cell r="BJ1442">
            <v>1</v>
          </cell>
          <cell r="BK1442">
            <v>0</v>
          </cell>
          <cell r="BL1442">
            <v>1</v>
          </cell>
          <cell r="BM1442">
            <v>0</v>
          </cell>
          <cell r="BN1442">
            <v>0</v>
          </cell>
          <cell r="BO1442">
            <v>0</v>
          </cell>
          <cell r="BP1442">
            <v>0</v>
          </cell>
          <cell r="BQ1442">
            <v>2</v>
          </cell>
          <cell r="BR1442">
            <v>0</v>
          </cell>
          <cell r="BS1442">
            <v>0</v>
          </cell>
          <cell r="BT1442">
            <v>18</v>
          </cell>
          <cell r="BU1442">
            <v>0</v>
          </cell>
        </row>
        <row r="1443">
          <cell r="A1443">
            <v>56</v>
          </cell>
          <cell r="B1443">
            <v>56</v>
          </cell>
          <cell r="D1443">
            <v>0</v>
          </cell>
          <cell r="F1443">
            <v>0</v>
          </cell>
          <cell r="G1443">
            <v>0</v>
          </cell>
          <cell r="I1443">
            <v>1</v>
          </cell>
          <cell r="J1443">
            <v>0</v>
          </cell>
          <cell r="K1443">
            <v>1</v>
          </cell>
          <cell r="L1443">
            <v>1</v>
          </cell>
          <cell r="M1443">
            <v>4</v>
          </cell>
          <cell r="O1443">
            <v>1</v>
          </cell>
          <cell r="P1443">
            <v>0</v>
          </cell>
          <cell r="Q1443">
            <v>0</v>
          </cell>
          <cell r="R1443">
            <v>0</v>
          </cell>
          <cell r="S1443">
            <v>0</v>
          </cell>
          <cell r="T1443">
            <v>3</v>
          </cell>
          <cell r="V1443">
            <v>0</v>
          </cell>
          <cell r="W1443">
            <v>57</v>
          </cell>
          <cell r="X1443">
            <v>3</v>
          </cell>
          <cell r="Y1443">
            <v>2</v>
          </cell>
          <cell r="AA1443">
            <v>1</v>
          </cell>
          <cell r="AB1443">
            <v>0</v>
          </cell>
          <cell r="AC1443">
            <v>0</v>
          </cell>
          <cell r="AD1443">
            <v>0</v>
          </cell>
          <cell r="AE1443">
            <v>0</v>
          </cell>
          <cell r="AF1443">
            <v>0</v>
          </cell>
          <cell r="AG1443">
            <v>0</v>
          </cell>
          <cell r="AH1443">
            <v>0</v>
          </cell>
          <cell r="AI1443">
            <v>3</v>
          </cell>
          <cell r="AK1443">
            <v>0</v>
          </cell>
          <cell r="AL1443">
            <v>0</v>
          </cell>
          <cell r="AN1443">
            <v>6306</v>
          </cell>
          <cell r="AO1443">
            <v>1</v>
          </cell>
          <cell r="AQ1443">
            <v>0</v>
          </cell>
          <cell r="AR1443">
            <v>21</v>
          </cell>
          <cell r="AS1443">
            <v>4</v>
          </cell>
          <cell r="AT1443">
            <v>1</v>
          </cell>
          <cell r="AU1443">
            <v>1</v>
          </cell>
          <cell r="AV1443">
            <v>13</v>
          </cell>
          <cell r="AW1443">
            <v>13</v>
          </cell>
          <cell r="AX1443">
            <v>2</v>
          </cell>
          <cell r="AY1443">
            <v>2</v>
          </cell>
          <cell r="AZ1443">
            <v>13</v>
          </cell>
          <cell r="BA1443">
            <v>13</v>
          </cell>
          <cell r="BB1443">
            <v>12</v>
          </cell>
          <cell r="BC1443">
            <v>1</v>
          </cell>
          <cell r="BD1443">
            <v>1</v>
          </cell>
          <cell r="BE1443">
            <v>9</v>
          </cell>
          <cell r="BF1443">
            <v>9</v>
          </cell>
          <cell r="BG1443">
            <v>18</v>
          </cell>
          <cell r="BH1443">
            <v>1</v>
          </cell>
          <cell r="BI1443">
            <v>0</v>
          </cell>
          <cell r="BJ1443">
            <v>0</v>
          </cell>
          <cell r="BK1443">
            <v>0</v>
          </cell>
          <cell r="BL1443">
            <v>1</v>
          </cell>
          <cell r="BM1443">
            <v>0</v>
          </cell>
          <cell r="BN1443">
            <v>0</v>
          </cell>
          <cell r="BO1443">
            <v>0</v>
          </cell>
          <cell r="BP1443">
            <v>0</v>
          </cell>
          <cell r="BQ1443">
            <v>9</v>
          </cell>
          <cell r="BR1443">
            <v>0</v>
          </cell>
          <cell r="BS1443">
            <v>0</v>
          </cell>
          <cell r="BT1443">
            <v>13</v>
          </cell>
          <cell r="BU1443">
            <v>0</v>
          </cell>
        </row>
        <row r="1444">
          <cell r="A1444">
            <v>29</v>
          </cell>
          <cell r="B1444">
            <v>29</v>
          </cell>
          <cell r="D1444">
            <v>1</v>
          </cell>
          <cell r="F1444">
            <v>0</v>
          </cell>
          <cell r="G1444">
            <v>1</v>
          </cell>
          <cell r="I1444">
            <v>1</v>
          </cell>
          <cell r="J1444">
            <v>0</v>
          </cell>
          <cell r="K1444">
            <v>1</v>
          </cell>
          <cell r="L1444">
            <v>1</v>
          </cell>
          <cell r="M1444">
            <v>4</v>
          </cell>
          <cell r="O1444">
            <v>0</v>
          </cell>
          <cell r="P1444">
            <v>0</v>
          </cell>
          <cell r="Q1444">
            <v>1</v>
          </cell>
          <cell r="R1444">
            <v>0</v>
          </cell>
          <cell r="S1444">
            <v>0</v>
          </cell>
          <cell r="T1444">
            <v>1</v>
          </cell>
          <cell r="V1444">
            <v>0</v>
          </cell>
          <cell r="W1444">
            <v>36</v>
          </cell>
          <cell r="X1444">
            <v>3</v>
          </cell>
          <cell r="Y1444">
            <v>1</v>
          </cell>
          <cell r="AA1444">
            <v>0</v>
          </cell>
          <cell r="AB1444">
            <v>0</v>
          </cell>
          <cell r="AC1444">
            <v>0</v>
          </cell>
          <cell r="AD1444">
            <v>0</v>
          </cell>
          <cell r="AE1444">
            <v>0</v>
          </cell>
          <cell r="AF1444">
            <v>0</v>
          </cell>
          <cell r="AG1444">
            <v>0</v>
          </cell>
          <cell r="AH1444">
            <v>1</v>
          </cell>
          <cell r="AI1444">
            <v>4</v>
          </cell>
          <cell r="AK1444">
            <v>0</v>
          </cell>
          <cell r="AL1444">
            <v>1</v>
          </cell>
          <cell r="AN1444">
            <v>4787</v>
          </cell>
          <cell r="AO1444">
            <v>9</v>
          </cell>
          <cell r="AQ1444">
            <v>1</v>
          </cell>
          <cell r="AR1444">
            <v>14</v>
          </cell>
          <cell r="AS1444">
            <v>3</v>
          </cell>
          <cell r="AT1444">
            <v>2</v>
          </cell>
          <cell r="AU1444">
            <v>3</v>
          </cell>
          <cell r="AV1444">
            <v>4</v>
          </cell>
          <cell r="AW1444">
            <v>4</v>
          </cell>
          <cell r="AX1444">
            <v>3</v>
          </cell>
          <cell r="AY1444">
            <v>4</v>
          </cell>
          <cell r="AZ1444">
            <v>2</v>
          </cell>
          <cell r="BA1444">
            <v>2</v>
          </cell>
          <cell r="BB1444">
            <v>2</v>
          </cell>
          <cell r="BC1444">
            <v>2</v>
          </cell>
          <cell r="BD1444">
            <v>2</v>
          </cell>
          <cell r="BE1444">
            <v>2</v>
          </cell>
          <cell r="BF1444">
            <v>2</v>
          </cell>
          <cell r="BG1444">
            <v>2</v>
          </cell>
          <cell r="BH1444">
            <v>0</v>
          </cell>
          <cell r="BI1444">
            <v>1</v>
          </cell>
          <cell r="BJ1444">
            <v>0</v>
          </cell>
          <cell r="BK1444">
            <v>0</v>
          </cell>
          <cell r="BL1444">
            <v>0</v>
          </cell>
          <cell r="BM1444">
            <v>0</v>
          </cell>
          <cell r="BN1444">
            <v>0</v>
          </cell>
          <cell r="BO1444">
            <v>1</v>
          </cell>
          <cell r="BP1444">
            <v>0</v>
          </cell>
          <cell r="BQ1444">
            <v>2</v>
          </cell>
          <cell r="BR1444">
            <v>0</v>
          </cell>
          <cell r="BS1444">
            <v>0</v>
          </cell>
          <cell r="BT1444">
            <v>4</v>
          </cell>
          <cell r="BU1444">
            <v>0</v>
          </cell>
        </row>
        <row r="1445">
          <cell r="A1445">
            <v>42</v>
          </cell>
          <cell r="B1445">
            <v>42</v>
          </cell>
          <cell r="D1445">
            <v>0</v>
          </cell>
          <cell r="F1445">
            <v>0</v>
          </cell>
          <cell r="G1445">
            <v>1</v>
          </cell>
          <cell r="I1445">
            <v>1</v>
          </cell>
          <cell r="J1445">
            <v>0</v>
          </cell>
          <cell r="K1445">
            <v>2</v>
          </cell>
          <cell r="L1445">
            <v>2</v>
          </cell>
          <cell r="M1445">
            <v>3</v>
          </cell>
          <cell r="O1445">
            <v>1</v>
          </cell>
          <cell r="P1445">
            <v>0</v>
          </cell>
          <cell r="Q1445">
            <v>0</v>
          </cell>
          <cell r="R1445">
            <v>0</v>
          </cell>
          <cell r="S1445">
            <v>0</v>
          </cell>
          <cell r="T1445">
            <v>1</v>
          </cell>
          <cell r="V1445">
            <v>0</v>
          </cell>
          <cell r="W1445">
            <v>56</v>
          </cell>
          <cell r="X1445">
            <v>3</v>
          </cell>
          <cell r="Y1445">
            <v>5</v>
          </cell>
          <cell r="AA1445">
            <v>0</v>
          </cell>
          <cell r="AB1445">
            <v>0</v>
          </cell>
          <cell r="AC1445">
            <v>0</v>
          </cell>
          <cell r="AD1445">
            <v>1</v>
          </cell>
          <cell r="AE1445">
            <v>0</v>
          </cell>
          <cell r="AF1445">
            <v>0</v>
          </cell>
          <cell r="AG1445">
            <v>0</v>
          </cell>
          <cell r="AH1445">
            <v>0</v>
          </cell>
          <cell r="AI1445">
            <v>3</v>
          </cell>
          <cell r="AK1445">
            <v>0</v>
          </cell>
          <cell r="AL1445">
            <v>1</v>
          </cell>
          <cell r="AN1445">
            <v>18880</v>
          </cell>
          <cell r="AO1445">
            <v>5</v>
          </cell>
          <cell r="AQ1445">
            <v>0</v>
          </cell>
          <cell r="AR1445">
            <v>11</v>
          </cell>
          <cell r="AS1445">
            <v>3</v>
          </cell>
          <cell r="AT1445">
            <v>1</v>
          </cell>
          <cell r="AU1445">
            <v>0</v>
          </cell>
          <cell r="AV1445">
            <v>24</v>
          </cell>
          <cell r="AW1445">
            <v>24</v>
          </cell>
          <cell r="AX1445">
            <v>2</v>
          </cell>
          <cell r="AY1445">
            <v>2</v>
          </cell>
          <cell r="AZ1445">
            <v>22</v>
          </cell>
          <cell r="BA1445">
            <v>22</v>
          </cell>
          <cell r="BB1445">
            <v>6</v>
          </cell>
          <cell r="BC1445">
            <v>4</v>
          </cell>
          <cell r="BD1445">
            <v>4</v>
          </cell>
          <cell r="BE1445">
            <v>14</v>
          </cell>
          <cell r="BF1445">
            <v>14</v>
          </cell>
          <cell r="BG1445">
            <v>70</v>
          </cell>
          <cell r="BH1445">
            <v>0</v>
          </cell>
          <cell r="BI1445">
            <v>1</v>
          </cell>
          <cell r="BJ1445">
            <v>0</v>
          </cell>
          <cell r="BK1445">
            <v>0</v>
          </cell>
          <cell r="BL1445">
            <v>0</v>
          </cell>
          <cell r="BM1445">
            <v>0</v>
          </cell>
          <cell r="BN1445">
            <v>1</v>
          </cell>
          <cell r="BO1445">
            <v>0</v>
          </cell>
          <cell r="BP1445">
            <v>0</v>
          </cell>
          <cell r="BQ1445">
            <v>14</v>
          </cell>
          <cell r="BR1445">
            <v>0</v>
          </cell>
          <cell r="BS1445">
            <v>0</v>
          </cell>
          <cell r="BT1445">
            <v>24</v>
          </cell>
          <cell r="BU1445">
            <v>0</v>
          </cell>
        </row>
        <row r="1446">
          <cell r="A1446">
            <v>56</v>
          </cell>
          <cell r="B1446">
            <v>56</v>
          </cell>
          <cell r="D1446">
            <v>1</v>
          </cell>
          <cell r="F1446">
            <v>0</v>
          </cell>
          <cell r="G1446">
            <v>1</v>
          </cell>
          <cell r="I1446">
            <v>1</v>
          </cell>
          <cell r="J1446">
            <v>0</v>
          </cell>
          <cell r="K1446">
            <v>7</v>
          </cell>
          <cell r="L1446">
            <v>7</v>
          </cell>
          <cell r="M1446">
            <v>2</v>
          </cell>
          <cell r="O1446">
            <v>0</v>
          </cell>
          <cell r="P1446">
            <v>0</v>
          </cell>
          <cell r="Q1446">
            <v>0</v>
          </cell>
          <cell r="R1446">
            <v>0</v>
          </cell>
          <cell r="S1446">
            <v>1</v>
          </cell>
          <cell r="T1446">
            <v>4</v>
          </cell>
          <cell r="V1446">
            <v>0</v>
          </cell>
          <cell r="W1446">
            <v>72</v>
          </cell>
          <cell r="X1446">
            <v>3</v>
          </cell>
          <cell r="Y1446">
            <v>1</v>
          </cell>
          <cell r="AA1446">
            <v>0</v>
          </cell>
          <cell r="AB1446">
            <v>0</v>
          </cell>
          <cell r="AC1446">
            <v>1</v>
          </cell>
          <cell r="AD1446">
            <v>0</v>
          </cell>
          <cell r="AE1446">
            <v>0</v>
          </cell>
          <cell r="AF1446">
            <v>0</v>
          </cell>
          <cell r="AG1446">
            <v>0</v>
          </cell>
          <cell r="AH1446">
            <v>0</v>
          </cell>
          <cell r="AI1446">
            <v>3</v>
          </cell>
          <cell r="AK1446">
            <v>0</v>
          </cell>
          <cell r="AL1446">
            <v>1</v>
          </cell>
          <cell r="AN1446">
            <v>2339</v>
          </cell>
          <cell r="AO1446">
            <v>8</v>
          </cell>
          <cell r="AQ1446">
            <v>0</v>
          </cell>
          <cell r="AR1446">
            <v>11</v>
          </cell>
          <cell r="AS1446">
            <v>3</v>
          </cell>
          <cell r="AT1446">
            <v>4</v>
          </cell>
          <cell r="AU1446">
            <v>1</v>
          </cell>
          <cell r="AV1446">
            <v>14</v>
          </cell>
          <cell r="AW1446">
            <v>14</v>
          </cell>
          <cell r="AX1446">
            <v>4</v>
          </cell>
          <cell r="AY1446">
            <v>1</v>
          </cell>
          <cell r="AZ1446">
            <v>10</v>
          </cell>
          <cell r="BA1446">
            <v>10</v>
          </cell>
          <cell r="BB1446">
            <v>9</v>
          </cell>
          <cell r="BC1446">
            <v>9</v>
          </cell>
          <cell r="BD1446">
            <v>9</v>
          </cell>
          <cell r="BE1446">
            <v>8</v>
          </cell>
          <cell r="BF1446">
            <v>8</v>
          </cell>
          <cell r="BG1446">
            <v>8</v>
          </cell>
          <cell r="BH1446">
            <v>0</v>
          </cell>
          <cell r="BI1446">
            <v>1</v>
          </cell>
          <cell r="BJ1446">
            <v>0</v>
          </cell>
          <cell r="BK1446">
            <v>0</v>
          </cell>
          <cell r="BL1446">
            <v>0</v>
          </cell>
          <cell r="BM1446">
            <v>0</v>
          </cell>
          <cell r="BN1446">
            <v>1</v>
          </cell>
          <cell r="BO1446">
            <v>0</v>
          </cell>
          <cell r="BP1446">
            <v>0</v>
          </cell>
          <cell r="BQ1446">
            <v>8</v>
          </cell>
          <cell r="BR1446">
            <v>0</v>
          </cell>
          <cell r="BS1446">
            <v>0</v>
          </cell>
          <cell r="BT1446">
            <v>14</v>
          </cell>
          <cell r="BU1446">
            <v>0</v>
          </cell>
        </row>
        <row r="1447">
          <cell r="A1447">
            <v>41</v>
          </cell>
          <cell r="B1447">
            <v>41</v>
          </cell>
          <cell r="D1447">
            <v>0</v>
          </cell>
          <cell r="F1447">
            <v>0</v>
          </cell>
          <cell r="G1447">
            <v>1</v>
          </cell>
          <cell r="I1447">
            <v>1</v>
          </cell>
          <cell r="J1447">
            <v>0</v>
          </cell>
          <cell r="K1447">
            <v>28</v>
          </cell>
          <cell r="L1447">
            <v>28</v>
          </cell>
          <cell r="M1447">
            <v>4</v>
          </cell>
          <cell r="O1447">
            <v>1</v>
          </cell>
          <cell r="P1447">
            <v>0</v>
          </cell>
          <cell r="Q1447">
            <v>0</v>
          </cell>
          <cell r="R1447">
            <v>0</v>
          </cell>
          <cell r="S1447">
            <v>0</v>
          </cell>
          <cell r="T1447">
            <v>1</v>
          </cell>
          <cell r="V1447">
            <v>1</v>
          </cell>
          <cell r="W1447">
            <v>60</v>
          </cell>
          <cell r="X1447">
            <v>2</v>
          </cell>
          <cell r="Y1447">
            <v>4</v>
          </cell>
          <cell r="AA1447">
            <v>0</v>
          </cell>
          <cell r="AB1447">
            <v>0</v>
          </cell>
          <cell r="AC1447">
            <v>0</v>
          </cell>
          <cell r="AD1447">
            <v>0</v>
          </cell>
          <cell r="AE1447">
            <v>1</v>
          </cell>
          <cell r="AF1447">
            <v>1</v>
          </cell>
          <cell r="AG1447">
            <v>0</v>
          </cell>
          <cell r="AH1447">
            <v>0</v>
          </cell>
          <cell r="AI1447">
            <v>2</v>
          </cell>
          <cell r="AK1447">
            <v>0</v>
          </cell>
          <cell r="AL1447">
            <v>1</v>
          </cell>
          <cell r="AN1447">
            <v>13570</v>
          </cell>
          <cell r="AO1447">
            <v>0</v>
          </cell>
          <cell r="AQ1447">
            <v>0</v>
          </cell>
          <cell r="AR1447">
            <v>23</v>
          </cell>
          <cell r="AS1447">
            <v>4</v>
          </cell>
          <cell r="AT1447">
            <v>3</v>
          </cell>
          <cell r="AU1447">
            <v>1</v>
          </cell>
          <cell r="AV1447">
            <v>21</v>
          </cell>
          <cell r="AW1447">
            <v>21</v>
          </cell>
          <cell r="AX1447">
            <v>3</v>
          </cell>
          <cell r="AY1447">
            <v>3</v>
          </cell>
          <cell r="AZ1447">
            <v>20</v>
          </cell>
          <cell r="BA1447">
            <v>20</v>
          </cell>
          <cell r="BB1447">
            <v>7</v>
          </cell>
          <cell r="BC1447">
            <v>0</v>
          </cell>
          <cell r="BD1447">
            <v>0</v>
          </cell>
          <cell r="BE1447">
            <v>10</v>
          </cell>
          <cell r="BF1447">
            <v>10</v>
          </cell>
          <cell r="BG1447">
            <v>40</v>
          </cell>
          <cell r="BH1447">
            <v>0</v>
          </cell>
          <cell r="BI1447">
            <v>1</v>
          </cell>
          <cell r="BJ1447">
            <v>0</v>
          </cell>
          <cell r="BK1447">
            <v>0</v>
          </cell>
          <cell r="BL1447">
            <v>0</v>
          </cell>
          <cell r="BM1447">
            <v>0</v>
          </cell>
          <cell r="BN1447">
            <v>1</v>
          </cell>
          <cell r="BO1447">
            <v>0</v>
          </cell>
          <cell r="BP1447">
            <v>0</v>
          </cell>
          <cell r="BQ1447">
            <v>10</v>
          </cell>
          <cell r="BR1447">
            <v>0</v>
          </cell>
          <cell r="BS1447">
            <v>0</v>
          </cell>
          <cell r="BT1447">
            <v>21</v>
          </cell>
          <cell r="BU1447">
            <v>0</v>
          </cell>
        </row>
        <row r="1448">
          <cell r="A1448">
            <v>34</v>
          </cell>
          <cell r="B1448">
            <v>34</v>
          </cell>
          <cell r="D1448">
            <v>0</v>
          </cell>
          <cell r="F1448">
            <v>0</v>
          </cell>
          <cell r="G1448">
            <v>1</v>
          </cell>
          <cell r="I1448">
            <v>0</v>
          </cell>
          <cell r="J1448">
            <v>1</v>
          </cell>
          <cell r="K1448">
            <v>28</v>
          </cell>
          <cell r="L1448">
            <v>28</v>
          </cell>
          <cell r="M1448">
            <v>3</v>
          </cell>
          <cell r="O1448">
            <v>0</v>
          </cell>
          <cell r="P1448">
            <v>0</v>
          </cell>
          <cell r="Q1448">
            <v>0</v>
          </cell>
          <cell r="R1448">
            <v>1</v>
          </cell>
          <cell r="S1448">
            <v>0</v>
          </cell>
          <cell r="T1448">
            <v>4</v>
          </cell>
          <cell r="V1448">
            <v>1</v>
          </cell>
          <cell r="W1448">
            <v>95</v>
          </cell>
          <cell r="X1448">
            <v>2</v>
          </cell>
          <cell r="Y1448">
            <v>2</v>
          </cell>
          <cell r="AA1448">
            <v>0</v>
          </cell>
          <cell r="AB1448">
            <v>1</v>
          </cell>
          <cell r="AC1448">
            <v>0</v>
          </cell>
          <cell r="AD1448">
            <v>0</v>
          </cell>
          <cell r="AE1448">
            <v>0</v>
          </cell>
          <cell r="AF1448">
            <v>0</v>
          </cell>
          <cell r="AG1448">
            <v>0</v>
          </cell>
          <cell r="AH1448">
            <v>0</v>
          </cell>
          <cell r="AI1448">
            <v>3</v>
          </cell>
          <cell r="AK1448">
            <v>0</v>
          </cell>
          <cell r="AL1448">
            <v>1</v>
          </cell>
          <cell r="AN1448">
            <v>6712</v>
          </cell>
          <cell r="AO1448">
            <v>1</v>
          </cell>
          <cell r="AQ1448">
            <v>0</v>
          </cell>
          <cell r="AR1448">
            <v>21</v>
          </cell>
          <cell r="AS1448">
            <v>4</v>
          </cell>
          <cell r="AT1448">
            <v>4</v>
          </cell>
          <cell r="AU1448">
            <v>2</v>
          </cell>
          <cell r="AV1448">
            <v>8</v>
          </cell>
          <cell r="AW1448">
            <v>8</v>
          </cell>
          <cell r="AX1448">
            <v>2</v>
          </cell>
          <cell r="AY1448">
            <v>3</v>
          </cell>
          <cell r="AZ1448">
            <v>8</v>
          </cell>
          <cell r="BA1448">
            <v>8</v>
          </cell>
          <cell r="BB1448">
            <v>7</v>
          </cell>
          <cell r="BC1448">
            <v>1</v>
          </cell>
          <cell r="BD1448">
            <v>1</v>
          </cell>
          <cell r="BE1448">
            <v>7</v>
          </cell>
          <cell r="BF1448">
            <v>7</v>
          </cell>
          <cell r="BG1448">
            <v>14</v>
          </cell>
          <cell r="BH1448">
            <v>0</v>
          </cell>
          <cell r="BI1448">
            <v>1</v>
          </cell>
          <cell r="BJ1448">
            <v>0</v>
          </cell>
          <cell r="BK1448">
            <v>0</v>
          </cell>
          <cell r="BL1448">
            <v>0</v>
          </cell>
          <cell r="BM1448">
            <v>0</v>
          </cell>
          <cell r="BN1448">
            <v>1</v>
          </cell>
          <cell r="BO1448">
            <v>0</v>
          </cell>
          <cell r="BP1448">
            <v>0</v>
          </cell>
          <cell r="BQ1448">
            <v>0</v>
          </cell>
          <cell r="BR1448">
            <v>7</v>
          </cell>
          <cell r="BS1448">
            <v>0</v>
          </cell>
          <cell r="BT1448">
            <v>0</v>
          </cell>
          <cell r="BU1448">
            <v>8</v>
          </cell>
        </row>
        <row r="1449">
          <cell r="A1449">
            <v>36</v>
          </cell>
          <cell r="B1449">
            <v>36</v>
          </cell>
          <cell r="D1449">
            <v>0</v>
          </cell>
          <cell r="F1449">
            <v>0</v>
          </cell>
          <cell r="G1449">
            <v>0</v>
          </cell>
          <cell r="I1449">
            <v>0</v>
          </cell>
          <cell r="J1449">
            <v>1</v>
          </cell>
          <cell r="K1449">
            <v>15</v>
          </cell>
          <cell r="L1449">
            <v>15</v>
          </cell>
          <cell r="M1449">
            <v>4</v>
          </cell>
          <cell r="O1449">
            <v>0</v>
          </cell>
          <cell r="P1449">
            <v>0</v>
          </cell>
          <cell r="Q1449">
            <v>0</v>
          </cell>
          <cell r="R1449">
            <v>1</v>
          </cell>
          <cell r="S1449">
            <v>0</v>
          </cell>
          <cell r="T1449">
            <v>4</v>
          </cell>
          <cell r="V1449">
            <v>0</v>
          </cell>
          <cell r="W1449">
            <v>88</v>
          </cell>
          <cell r="X1449">
            <v>1</v>
          </cell>
          <cell r="Y1449">
            <v>2</v>
          </cell>
          <cell r="AA1449">
            <v>0</v>
          </cell>
          <cell r="AB1449">
            <v>1</v>
          </cell>
          <cell r="AC1449">
            <v>0</v>
          </cell>
          <cell r="AD1449">
            <v>0</v>
          </cell>
          <cell r="AE1449">
            <v>0</v>
          </cell>
          <cell r="AF1449">
            <v>0</v>
          </cell>
          <cell r="AG1449">
            <v>0</v>
          </cell>
          <cell r="AH1449">
            <v>0</v>
          </cell>
          <cell r="AI1449">
            <v>4</v>
          </cell>
          <cell r="AK1449">
            <v>0</v>
          </cell>
          <cell r="AL1449">
            <v>0</v>
          </cell>
          <cell r="AN1449">
            <v>5406</v>
          </cell>
          <cell r="AO1449">
            <v>1</v>
          </cell>
          <cell r="AQ1449">
            <v>0</v>
          </cell>
          <cell r="AR1449">
            <v>24</v>
          </cell>
          <cell r="AS1449">
            <v>4</v>
          </cell>
          <cell r="AT1449">
            <v>1</v>
          </cell>
          <cell r="AU1449">
            <v>1</v>
          </cell>
          <cell r="AV1449">
            <v>15</v>
          </cell>
          <cell r="AW1449">
            <v>15</v>
          </cell>
          <cell r="AX1449">
            <v>4</v>
          </cell>
          <cell r="AY1449">
            <v>2</v>
          </cell>
          <cell r="AZ1449">
            <v>15</v>
          </cell>
          <cell r="BA1449">
            <v>15</v>
          </cell>
          <cell r="BB1449">
            <v>12</v>
          </cell>
          <cell r="BC1449">
            <v>11</v>
          </cell>
          <cell r="BD1449">
            <v>11</v>
          </cell>
          <cell r="BE1449">
            <v>11</v>
          </cell>
          <cell r="BF1449">
            <v>11</v>
          </cell>
          <cell r="BG1449">
            <v>22</v>
          </cell>
          <cell r="BH1449">
            <v>1</v>
          </cell>
          <cell r="BI1449">
            <v>0</v>
          </cell>
          <cell r="BJ1449">
            <v>0</v>
          </cell>
          <cell r="BK1449">
            <v>0</v>
          </cell>
          <cell r="BL1449">
            <v>1</v>
          </cell>
          <cell r="BM1449">
            <v>0</v>
          </cell>
          <cell r="BN1449">
            <v>0</v>
          </cell>
          <cell r="BO1449">
            <v>0</v>
          </cell>
          <cell r="BP1449">
            <v>0</v>
          </cell>
          <cell r="BQ1449">
            <v>0</v>
          </cell>
          <cell r="BR1449">
            <v>11</v>
          </cell>
          <cell r="BS1449">
            <v>0</v>
          </cell>
          <cell r="BT1449">
            <v>0</v>
          </cell>
          <cell r="BU1449">
            <v>15</v>
          </cell>
        </row>
        <row r="1450">
          <cell r="A1450">
            <v>41</v>
          </cell>
          <cell r="B1450">
            <v>41</v>
          </cell>
          <cell r="D1450">
            <v>0</v>
          </cell>
          <cell r="F1450">
            <v>0</v>
          </cell>
          <cell r="G1450">
            <v>1</v>
          </cell>
          <cell r="I1450">
            <v>0</v>
          </cell>
          <cell r="J1450">
            <v>1</v>
          </cell>
          <cell r="K1450">
            <v>3</v>
          </cell>
          <cell r="L1450">
            <v>3</v>
          </cell>
          <cell r="M1450">
            <v>3</v>
          </cell>
          <cell r="O1450">
            <v>1</v>
          </cell>
          <cell r="P1450">
            <v>0</v>
          </cell>
          <cell r="Q1450">
            <v>0</v>
          </cell>
          <cell r="R1450">
            <v>0</v>
          </cell>
          <cell r="S1450">
            <v>0</v>
          </cell>
          <cell r="T1450">
            <v>3</v>
          </cell>
          <cell r="V1450">
            <v>0</v>
          </cell>
          <cell r="W1450">
            <v>57</v>
          </cell>
          <cell r="X1450">
            <v>2</v>
          </cell>
          <cell r="Y1450">
            <v>2</v>
          </cell>
          <cell r="AA1450">
            <v>0</v>
          </cell>
          <cell r="AB1450">
            <v>1</v>
          </cell>
          <cell r="AC1450">
            <v>0</v>
          </cell>
          <cell r="AD1450">
            <v>0</v>
          </cell>
          <cell r="AE1450">
            <v>0</v>
          </cell>
          <cell r="AF1450">
            <v>0</v>
          </cell>
          <cell r="AG1450">
            <v>0</v>
          </cell>
          <cell r="AH1450">
            <v>0</v>
          </cell>
          <cell r="AI1450">
            <v>2</v>
          </cell>
          <cell r="AK1450">
            <v>0</v>
          </cell>
          <cell r="AL1450">
            <v>0</v>
          </cell>
          <cell r="AN1450">
            <v>8938</v>
          </cell>
          <cell r="AO1450">
            <v>2</v>
          </cell>
          <cell r="AQ1450">
            <v>0</v>
          </cell>
          <cell r="AR1450">
            <v>11</v>
          </cell>
          <cell r="AS1450">
            <v>3</v>
          </cell>
          <cell r="AT1450">
            <v>3</v>
          </cell>
          <cell r="AU1450">
            <v>1</v>
          </cell>
          <cell r="AV1450">
            <v>14</v>
          </cell>
          <cell r="AW1450">
            <v>14</v>
          </cell>
          <cell r="AX1450">
            <v>5</v>
          </cell>
          <cell r="AY1450">
            <v>3</v>
          </cell>
          <cell r="AZ1450">
            <v>5</v>
          </cell>
          <cell r="BA1450">
            <v>5</v>
          </cell>
          <cell r="BB1450">
            <v>4</v>
          </cell>
          <cell r="BC1450">
            <v>0</v>
          </cell>
          <cell r="BD1450">
            <v>0</v>
          </cell>
          <cell r="BE1450">
            <v>4</v>
          </cell>
          <cell r="BF1450">
            <v>4</v>
          </cell>
          <cell r="BG1450">
            <v>8</v>
          </cell>
          <cell r="BH1450">
            <v>1</v>
          </cell>
          <cell r="BI1450">
            <v>0</v>
          </cell>
          <cell r="BJ1450">
            <v>0</v>
          </cell>
          <cell r="BK1450">
            <v>0</v>
          </cell>
          <cell r="BL1450">
            <v>1</v>
          </cell>
          <cell r="BM1450">
            <v>0</v>
          </cell>
          <cell r="BN1450">
            <v>0</v>
          </cell>
          <cell r="BO1450">
            <v>0</v>
          </cell>
          <cell r="BP1450">
            <v>0</v>
          </cell>
          <cell r="BQ1450">
            <v>0</v>
          </cell>
          <cell r="BR1450">
            <v>4</v>
          </cell>
          <cell r="BS1450">
            <v>0</v>
          </cell>
          <cell r="BT1450">
            <v>0</v>
          </cell>
          <cell r="BU1450">
            <v>14</v>
          </cell>
        </row>
        <row r="1451">
          <cell r="A1451">
            <v>32</v>
          </cell>
          <cell r="B1451">
            <v>32</v>
          </cell>
          <cell r="D1451">
            <v>0</v>
          </cell>
          <cell r="F1451">
            <v>0</v>
          </cell>
          <cell r="G1451">
            <v>1</v>
          </cell>
          <cell r="I1451">
            <v>1</v>
          </cell>
          <cell r="J1451">
            <v>0</v>
          </cell>
          <cell r="K1451">
            <v>2</v>
          </cell>
          <cell r="L1451">
            <v>2</v>
          </cell>
          <cell r="M1451">
            <v>3</v>
          </cell>
          <cell r="O1451">
            <v>0</v>
          </cell>
          <cell r="P1451">
            <v>0</v>
          </cell>
          <cell r="Q1451">
            <v>0</v>
          </cell>
          <cell r="R1451">
            <v>0</v>
          </cell>
          <cell r="S1451">
            <v>1</v>
          </cell>
          <cell r="T1451">
            <v>4</v>
          </cell>
          <cell r="V1451">
            <v>0</v>
          </cell>
          <cell r="W1451">
            <v>78</v>
          </cell>
          <cell r="X1451">
            <v>3</v>
          </cell>
          <cell r="Y1451">
            <v>1</v>
          </cell>
          <cell r="AA1451">
            <v>0</v>
          </cell>
          <cell r="AB1451">
            <v>0</v>
          </cell>
          <cell r="AC1451">
            <v>0</v>
          </cell>
          <cell r="AD1451">
            <v>0</v>
          </cell>
          <cell r="AE1451">
            <v>0</v>
          </cell>
          <cell r="AF1451">
            <v>0</v>
          </cell>
          <cell r="AG1451">
            <v>0</v>
          </cell>
          <cell r="AH1451">
            <v>1</v>
          </cell>
          <cell r="AI1451">
            <v>1</v>
          </cell>
          <cell r="AK1451">
            <v>1</v>
          </cell>
          <cell r="AL1451">
            <v>0</v>
          </cell>
          <cell r="AN1451">
            <v>2439</v>
          </cell>
          <cell r="AO1451">
            <v>1</v>
          </cell>
          <cell r="AQ1451">
            <v>0</v>
          </cell>
          <cell r="AR1451">
            <v>14</v>
          </cell>
          <cell r="AS1451">
            <v>3</v>
          </cell>
          <cell r="AT1451">
            <v>4</v>
          </cell>
          <cell r="AU1451">
            <v>0</v>
          </cell>
          <cell r="AV1451">
            <v>4</v>
          </cell>
          <cell r="AW1451">
            <v>4</v>
          </cell>
          <cell r="AX1451">
            <v>4</v>
          </cell>
          <cell r="AY1451">
            <v>3</v>
          </cell>
          <cell r="AZ1451">
            <v>4</v>
          </cell>
          <cell r="BA1451">
            <v>4</v>
          </cell>
          <cell r="BB1451">
            <v>2</v>
          </cell>
          <cell r="BC1451">
            <v>1</v>
          </cell>
          <cell r="BD1451">
            <v>1</v>
          </cell>
          <cell r="BE1451">
            <v>2</v>
          </cell>
          <cell r="BF1451">
            <v>2</v>
          </cell>
          <cell r="BG1451">
            <v>2</v>
          </cell>
          <cell r="BH1451">
            <v>1</v>
          </cell>
          <cell r="BI1451">
            <v>0</v>
          </cell>
          <cell r="BJ1451">
            <v>0</v>
          </cell>
          <cell r="BK1451">
            <v>0</v>
          </cell>
          <cell r="BL1451">
            <v>1</v>
          </cell>
          <cell r="BM1451">
            <v>0</v>
          </cell>
          <cell r="BN1451">
            <v>0</v>
          </cell>
          <cell r="BO1451">
            <v>0</v>
          </cell>
          <cell r="BP1451">
            <v>0</v>
          </cell>
          <cell r="BQ1451">
            <v>2</v>
          </cell>
          <cell r="BR1451">
            <v>0</v>
          </cell>
          <cell r="BS1451">
            <v>0</v>
          </cell>
          <cell r="BT1451">
            <v>4</v>
          </cell>
          <cell r="BU1451">
            <v>0</v>
          </cell>
        </row>
        <row r="1452">
          <cell r="A1452">
            <v>35</v>
          </cell>
          <cell r="B1452">
            <v>35</v>
          </cell>
          <cell r="D1452">
            <v>0</v>
          </cell>
          <cell r="F1452">
            <v>0</v>
          </cell>
          <cell r="G1452">
            <v>1</v>
          </cell>
          <cell r="I1452">
            <v>0</v>
          </cell>
          <cell r="J1452">
            <v>0</v>
          </cell>
          <cell r="K1452">
            <v>26</v>
          </cell>
          <cell r="L1452">
            <v>26</v>
          </cell>
          <cell r="M1452">
            <v>4</v>
          </cell>
          <cell r="O1452">
            <v>1</v>
          </cell>
          <cell r="P1452">
            <v>0</v>
          </cell>
          <cell r="Q1452">
            <v>0</v>
          </cell>
          <cell r="R1452">
            <v>0</v>
          </cell>
          <cell r="S1452">
            <v>0</v>
          </cell>
          <cell r="T1452">
            <v>3</v>
          </cell>
          <cell r="V1452">
            <v>1</v>
          </cell>
          <cell r="W1452">
            <v>31</v>
          </cell>
          <cell r="X1452">
            <v>3</v>
          </cell>
          <cell r="Y1452">
            <v>3</v>
          </cell>
          <cell r="AA1452">
            <v>0</v>
          </cell>
          <cell r="AB1452">
            <v>0</v>
          </cell>
          <cell r="AC1452">
            <v>0</v>
          </cell>
          <cell r="AD1452">
            <v>0</v>
          </cell>
          <cell r="AE1452">
            <v>0</v>
          </cell>
          <cell r="AF1452">
            <v>0</v>
          </cell>
          <cell r="AG1452">
            <v>0</v>
          </cell>
          <cell r="AH1452">
            <v>0</v>
          </cell>
          <cell r="AI1452">
            <v>4</v>
          </cell>
          <cell r="AK1452">
            <v>1</v>
          </cell>
          <cell r="AL1452">
            <v>0</v>
          </cell>
          <cell r="AN1452">
            <v>8837</v>
          </cell>
          <cell r="AO1452">
            <v>1</v>
          </cell>
          <cell r="AQ1452">
            <v>1</v>
          </cell>
          <cell r="AR1452">
            <v>16</v>
          </cell>
          <cell r="AS1452">
            <v>3</v>
          </cell>
          <cell r="AT1452">
            <v>3</v>
          </cell>
          <cell r="AU1452">
            <v>0</v>
          </cell>
          <cell r="AV1452">
            <v>9</v>
          </cell>
          <cell r="AW1452">
            <v>9</v>
          </cell>
          <cell r="AX1452">
            <v>2</v>
          </cell>
          <cell r="AY1452">
            <v>3</v>
          </cell>
          <cell r="AZ1452">
            <v>9</v>
          </cell>
          <cell r="BA1452">
            <v>9</v>
          </cell>
          <cell r="BB1452">
            <v>0</v>
          </cell>
          <cell r="BC1452">
            <v>1</v>
          </cell>
          <cell r="BD1452">
            <v>1</v>
          </cell>
          <cell r="BE1452">
            <v>7</v>
          </cell>
          <cell r="BF1452">
            <v>7</v>
          </cell>
          <cell r="BG1452">
            <v>21</v>
          </cell>
          <cell r="BH1452">
            <v>1</v>
          </cell>
          <cell r="BI1452">
            <v>0</v>
          </cell>
          <cell r="BJ1452">
            <v>0</v>
          </cell>
          <cell r="BK1452">
            <v>0</v>
          </cell>
          <cell r="BL1452">
            <v>0</v>
          </cell>
          <cell r="BM1452">
            <v>1</v>
          </cell>
          <cell r="BN1452">
            <v>0</v>
          </cell>
          <cell r="BO1452">
            <v>0</v>
          </cell>
          <cell r="BP1452">
            <v>7</v>
          </cell>
          <cell r="BQ1452">
            <v>0</v>
          </cell>
          <cell r="BR1452">
            <v>0</v>
          </cell>
          <cell r="BS1452">
            <v>9</v>
          </cell>
          <cell r="BT1452">
            <v>0</v>
          </cell>
          <cell r="BU1452">
            <v>0</v>
          </cell>
        </row>
        <row r="1453">
          <cell r="A1453">
            <v>38</v>
          </cell>
          <cell r="B1453">
            <v>38</v>
          </cell>
          <cell r="D1453">
            <v>0</v>
          </cell>
          <cell r="F1453">
            <v>0</v>
          </cell>
          <cell r="G1453">
            <v>1</v>
          </cell>
          <cell r="I1453">
            <v>0</v>
          </cell>
          <cell r="J1453">
            <v>1</v>
          </cell>
          <cell r="K1453">
            <v>10</v>
          </cell>
          <cell r="L1453">
            <v>10</v>
          </cell>
          <cell r="M1453">
            <v>2</v>
          </cell>
          <cell r="O1453">
            <v>1</v>
          </cell>
          <cell r="P1453">
            <v>0</v>
          </cell>
          <cell r="Q1453">
            <v>0</v>
          </cell>
          <cell r="R1453">
            <v>0</v>
          </cell>
          <cell r="S1453">
            <v>0</v>
          </cell>
          <cell r="T1453">
            <v>1</v>
          </cell>
          <cell r="V1453">
            <v>1</v>
          </cell>
          <cell r="W1453">
            <v>100</v>
          </cell>
          <cell r="X1453">
            <v>3</v>
          </cell>
          <cell r="Y1453">
            <v>2</v>
          </cell>
          <cell r="AA1453">
            <v>0</v>
          </cell>
          <cell r="AB1453">
            <v>1</v>
          </cell>
          <cell r="AC1453">
            <v>0</v>
          </cell>
          <cell r="AD1453">
            <v>0</v>
          </cell>
          <cell r="AE1453">
            <v>0</v>
          </cell>
          <cell r="AF1453">
            <v>0</v>
          </cell>
          <cell r="AG1453">
            <v>0</v>
          </cell>
          <cell r="AH1453">
            <v>0</v>
          </cell>
          <cell r="AI1453">
            <v>4</v>
          </cell>
          <cell r="AK1453">
            <v>0</v>
          </cell>
          <cell r="AL1453">
            <v>1</v>
          </cell>
          <cell r="AN1453">
            <v>5343</v>
          </cell>
          <cell r="AO1453">
            <v>1</v>
          </cell>
          <cell r="AQ1453">
            <v>0</v>
          </cell>
          <cell r="AR1453">
            <v>11</v>
          </cell>
          <cell r="AS1453">
            <v>3</v>
          </cell>
          <cell r="AT1453">
            <v>3</v>
          </cell>
          <cell r="AU1453">
            <v>1</v>
          </cell>
          <cell r="AV1453">
            <v>10</v>
          </cell>
          <cell r="AW1453">
            <v>10</v>
          </cell>
          <cell r="AX1453">
            <v>1</v>
          </cell>
          <cell r="AY1453">
            <v>3</v>
          </cell>
          <cell r="AZ1453">
            <v>10</v>
          </cell>
          <cell r="BA1453">
            <v>10</v>
          </cell>
          <cell r="BB1453">
            <v>7</v>
          </cell>
          <cell r="BC1453">
            <v>1</v>
          </cell>
          <cell r="BD1453">
            <v>1</v>
          </cell>
          <cell r="BE1453">
            <v>9</v>
          </cell>
          <cell r="BF1453">
            <v>9</v>
          </cell>
          <cell r="BG1453">
            <v>18</v>
          </cell>
          <cell r="BH1453">
            <v>0</v>
          </cell>
          <cell r="BI1453">
            <v>1</v>
          </cell>
          <cell r="BJ1453">
            <v>0</v>
          </cell>
          <cell r="BK1453">
            <v>0</v>
          </cell>
          <cell r="BL1453">
            <v>0</v>
          </cell>
          <cell r="BM1453">
            <v>0</v>
          </cell>
          <cell r="BN1453">
            <v>1</v>
          </cell>
          <cell r="BO1453">
            <v>0</v>
          </cell>
          <cell r="BP1453">
            <v>0</v>
          </cell>
          <cell r="BQ1453">
            <v>0</v>
          </cell>
          <cell r="BR1453">
            <v>9</v>
          </cell>
          <cell r="BS1453">
            <v>0</v>
          </cell>
          <cell r="BT1453">
            <v>0</v>
          </cell>
          <cell r="BU1453">
            <v>10</v>
          </cell>
        </row>
        <row r="1454">
          <cell r="A1454">
            <v>50</v>
          </cell>
          <cell r="B1454">
            <v>50</v>
          </cell>
          <cell r="D1454">
            <v>1</v>
          </cell>
          <cell r="F1454">
            <v>1</v>
          </cell>
          <cell r="G1454">
            <v>0</v>
          </cell>
          <cell r="I1454">
            <v>0</v>
          </cell>
          <cell r="J1454">
            <v>1</v>
          </cell>
          <cell r="K1454">
            <v>1</v>
          </cell>
          <cell r="L1454">
            <v>1</v>
          </cell>
          <cell r="M1454">
            <v>4</v>
          </cell>
          <cell r="O1454">
            <v>1</v>
          </cell>
          <cell r="P1454">
            <v>0</v>
          </cell>
          <cell r="Q1454">
            <v>0</v>
          </cell>
          <cell r="R1454">
            <v>0</v>
          </cell>
          <cell r="S1454">
            <v>0</v>
          </cell>
          <cell r="T1454">
            <v>2</v>
          </cell>
          <cell r="V1454">
            <v>0</v>
          </cell>
          <cell r="W1454">
            <v>94</v>
          </cell>
          <cell r="X1454">
            <v>3</v>
          </cell>
          <cell r="Y1454">
            <v>2</v>
          </cell>
          <cell r="AA1454">
            <v>0</v>
          </cell>
          <cell r="AB1454">
            <v>1</v>
          </cell>
          <cell r="AC1454">
            <v>0</v>
          </cell>
          <cell r="AD1454">
            <v>0</v>
          </cell>
          <cell r="AE1454">
            <v>0</v>
          </cell>
          <cell r="AF1454">
            <v>0</v>
          </cell>
          <cell r="AG1454">
            <v>0</v>
          </cell>
          <cell r="AH1454">
            <v>0</v>
          </cell>
          <cell r="AI1454">
            <v>3</v>
          </cell>
          <cell r="AK1454">
            <v>0</v>
          </cell>
          <cell r="AL1454">
            <v>0</v>
          </cell>
          <cell r="AN1454">
            <v>6728</v>
          </cell>
          <cell r="AO1454">
            <v>7</v>
          </cell>
          <cell r="AQ1454">
            <v>0</v>
          </cell>
          <cell r="AR1454">
            <v>12</v>
          </cell>
          <cell r="AS1454">
            <v>3</v>
          </cell>
          <cell r="AT1454">
            <v>4</v>
          </cell>
          <cell r="AU1454">
            <v>2</v>
          </cell>
          <cell r="AV1454">
            <v>12</v>
          </cell>
          <cell r="AW1454">
            <v>12</v>
          </cell>
          <cell r="AX1454">
            <v>3</v>
          </cell>
          <cell r="AY1454">
            <v>3</v>
          </cell>
          <cell r="AZ1454">
            <v>6</v>
          </cell>
          <cell r="BA1454">
            <v>6</v>
          </cell>
          <cell r="BB1454">
            <v>3</v>
          </cell>
          <cell r="BC1454">
            <v>0</v>
          </cell>
          <cell r="BD1454">
            <v>0</v>
          </cell>
          <cell r="BE1454">
            <v>1</v>
          </cell>
          <cell r="BF1454">
            <v>1</v>
          </cell>
          <cell r="BG1454">
            <v>2</v>
          </cell>
          <cell r="BH1454">
            <v>0</v>
          </cell>
          <cell r="BI1454">
            <v>0</v>
          </cell>
          <cell r="BJ1454">
            <v>1</v>
          </cell>
          <cell r="BK1454">
            <v>0</v>
          </cell>
          <cell r="BL1454">
            <v>1</v>
          </cell>
          <cell r="BM1454">
            <v>0</v>
          </cell>
          <cell r="BN1454">
            <v>0</v>
          </cell>
          <cell r="BO1454">
            <v>0</v>
          </cell>
          <cell r="BP1454">
            <v>0</v>
          </cell>
          <cell r="BQ1454">
            <v>0</v>
          </cell>
          <cell r="BR1454">
            <v>1</v>
          </cell>
          <cell r="BS1454">
            <v>0</v>
          </cell>
          <cell r="BT1454">
            <v>0</v>
          </cell>
          <cell r="BU1454">
            <v>12</v>
          </cell>
        </row>
        <row r="1455">
          <cell r="A1455">
            <v>36</v>
          </cell>
          <cell r="B1455">
            <v>36</v>
          </cell>
          <cell r="D1455">
            <v>0</v>
          </cell>
          <cell r="F1455">
            <v>0</v>
          </cell>
          <cell r="G1455">
            <v>1</v>
          </cell>
          <cell r="I1455">
            <v>0</v>
          </cell>
          <cell r="J1455">
            <v>1</v>
          </cell>
          <cell r="K1455">
            <v>11</v>
          </cell>
          <cell r="L1455">
            <v>11</v>
          </cell>
          <cell r="M1455">
            <v>4</v>
          </cell>
          <cell r="O1455">
            <v>0</v>
          </cell>
          <cell r="P1455">
            <v>0</v>
          </cell>
          <cell r="Q1455">
            <v>0</v>
          </cell>
          <cell r="R1455">
            <v>1</v>
          </cell>
          <cell r="S1455">
            <v>0</v>
          </cell>
          <cell r="T1455">
            <v>2</v>
          </cell>
          <cell r="V1455">
            <v>1</v>
          </cell>
          <cell r="W1455">
            <v>100</v>
          </cell>
          <cell r="X1455">
            <v>2</v>
          </cell>
          <cell r="Y1455">
            <v>2</v>
          </cell>
          <cell r="AA1455">
            <v>0</v>
          </cell>
          <cell r="AB1455">
            <v>1</v>
          </cell>
          <cell r="AC1455">
            <v>0</v>
          </cell>
          <cell r="AD1455">
            <v>0</v>
          </cell>
          <cell r="AE1455">
            <v>0</v>
          </cell>
          <cell r="AF1455">
            <v>0</v>
          </cell>
          <cell r="AG1455">
            <v>0</v>
          </cell>
          <cell r="AH1455">
            <v>0</v>
          </cell>
          <cell r="AI1455">
            <v>4</v>
          </cell>
          <cell r="AK1455">
            <v>0</v>
          </cell>
          <cell r="AL1455">
            <v>1</v>
          </cell>
          <cell r="AN1455">
            <v>6652</v>
          </cell>
          <cell r="AO1455">
            <v>4</v>
          </cell>
          <cell r="AQ1455">
            <v>0</v>
          </cell>
          <cell r="AR1455">
            <v>13</v>
          </cell>
          <cell r="AS1455">
            <v>3</v>
          </cell>
          <cell r="AT1455">
            <v>1</v>
          </cell>
          <cell r="AU1455">
            <v>1</v>
          </cell>
          <cell r="AV1455">
            <v>8</v>
          </cell>
          <cell r="AW1455">
            <v>8</v>
          </cell>
          <cell r="AX1455">
            <v>2</v>
          </cell>
          <cell r="AY1455">
            <v>2</v>
          </cell>
          <cell r="AZ1455">
            <v>6</v>
          </cell>
          <cell r="BA1455">
            <v>6</v>
          </cell>
          <cell r="BB1455">
            <v>3</v>
          </cell>
          <cell r="BC1455">
            <v>0</v>
          </cell>
          <cell r="BD1455">
            <v>0</v>
          </cell>
          <cell r="BE1455">
            <v>0</v>
          </cell>
          <cell r="BF1455">
            <v>0</v>
          </cell>
          <cell r="BG1455">
            <v>0</v>
          </cell>
          <cell r="BH1455">
            <v>0</v>
          </cell>
          <cell r="BI1455">
            <v>1</v>
          </cell>
          <cell r="BJ1455">
            <v>0</v>
          </cell>
          <cell r="BK1455">
            <v>0</v>
          </cell>
          <cell r="BL1455">
            <v>0</v>
          </cell>
          <cell r="BM1455">
            <v>0</v>
          </cell>
          <cell r="BN1455">
            <v>1</v>
          </cell>
          <cell r="BO1455">
            <v>0</v>
          </cell>
          <cell r="BP1455">
            <v>0</v>
          </cell>
          <cell r="BQ1455">
            <v>0</v>
          </cell>
          <cell r="BR1455">
            <v>0</v>
          </cell>
          <cell r="BS1455">
            <v>0</v>
          </cell>
          <cell r="BT1455">
            <v>0</v>
          </cell>
          <cell r="BU1455">
            <v>8</v>
          </cell>
        </row>
        <row r="1456">
          <cell r="A1456">
            <v>45</v>
          </cell>
          <cell r="B1456">
            <v>45</v>
          </cell>
          <cell r="D1456">
            <v>0</v>
          </cell>
          <cell r="F1456">
            <v>0</v>
          </cell>
          <cell r="G1456">
            <v>1</v>
          </cell>
          <cell r="I1456">
            <v>0</v>
          </cell>
          <cell r="J1456">
            <v>1</v>
          </cell>
          <cell r="K1456">
            <v>20</v>
          </cell>
          <cell r="L1456">
            <v>20</v>
          </cell>
          <cell r="M1456">
            <v>3</v>
          </cell>
          <cell r="O1456">
            <v>1</v>
          </cell>
          <cell r="P1456">
            <v>0</v>
          </cell>
          <cell r="Q1456">
            <v>0</v>
          </cell>
          <cell r="R1456">
            <v>0</v>
          </cell>
          <cell r="S1456">
            <v>0</v>
          </cell>
          <cell r="T1456">
            <v>4</v>
          </cell>
          <cell r="V1456">
            <v>1</v>
          </cell>
          <cell r="W1456">
            <v>50</v>
          </cell>
          <cell r="X1456">
            <v>3</v>
          </cell>
          <cell r="Y1456">
            <v>2</v>
          </cell>
          <cell r="AA1456">
            <v>0</v>
          </cell>
          <cell r="AB1456">
            <v>1</v>
          </cell>
          <cell r="AC1456">
            <v>0</v>
          </cell>
          <cell r="AD1456">
            <v>0</v>
          </cell>
          <cell r="AE1456">
            <v>0</v>
          </cell>
          <cell r="AF1456">
            <v>0</v>
          </cell>
          <cell r="AG1456">
            <v>0</v>
          </cell>
          <cell r="AH1456">
            <v>0</v>
          </cell>
          <cell r="AI1456">
            <v>3</v>
          </cell>
          <cell r="AK1456">
            <v>1</v>
          </cell>
          <cell r="AL1456">
            <v>0</v>
          </cell>
          <cell r="AN1456">
            <v>4850</v>
          </cell>
          <cell r="AO1456">
            <v>8</v>
          </cell>
          <cell r="AQ1456">
            <v>0</v>
          </cell>
          <cell r="AR1456">
            <v>15</v>
          </cell>
          <cell r="AS1456">
            <v>3</v>
          </cell>
          <cell r="AT1456">
            <v>3</v>
          </cell>
          <cell r="AU1456">
            <v>0</v>
          </cell>
          <cell r="AV1456">
            <v>8</v>
          </cell>
          <cell r="AW1456">
            <v>8</v>
          </cell>
          <cell r="AX1456">
            <v>3</v>
          </cell>
          <cell r="AY1456">
            <v>3</v>
          </cell>
          <cell r="AZ1456">
            <v>5</v>
          </cell>
          <cell r="BA1456">
            <v>5</v>
          </cell>
          <cell r="BB1456">
            <v>3</v>
          </cell>
          <cell r="BC1456">
            <v>0</v>
          </cell>
          <cell r="BD1456">
            <v>0</v>
          </cell>
          <cell r="BE1456">
            <v>1</v>
          </cell>
          <cell r="BF1456">
            <v>1</v>
          </cell>
          <cell r="BG1456">
            <v>2</v>
          </cell>
          <cell r="BH1456">
            <v>1</v>
          </cell>
          <cell r="BI1456">
            <v>0</v>
          </cell>
          <cell r="BJ1456">
            <v>0</v>
          </cell>
          <cell r="BK1456">
            <v>0</v>
          </cell>
          <cell r="BL1456">
            <v>1</v>
          </cell>
          <cell r="BM1456">
            <v>0</v>
          </cell>
          <cell r="BN1456">
            <v>0</v>
          </cell>
          <cell r="BO1456">
            <v>0</v>
          </cell>
          <cell r="BP1456">
            <v>0</v>
          </cell>
          <cell r="BQ1456">
            <v>0</v>
          </cell>
          <cell r="BR1456">
            <v>1</v>
          </cell>
          <cell r="BS1456">
            <v>0</v>
          </cell>
          <cell r="BT1456">
            <v>0</v>
          </cell>
          <cell r="BU1456">
            <v>8</v>
          </cell>
        </row>
        <row r="1457">
          <cell r="A1457">
            <v>40</v>
          </cell>
          <cell r="B1457">
            <v>40</v>
          </cell>
          <cell r="D1457">
            <v>0</v>
          </cell>
          <cell r="F1457">
            <v>0</v>
          </cell>
          <cell r="G1457">
            <v>1</v>
          </cell>
          <cell r="I1457">
            <v>1</v>
          </cell>
          <cell r="J1457">
            <v>0</v>
          </cell>
          <cell r="K1457">
            <v>2</v>
          </cell>
          <cell r="L1457">
            <v>2</v>
          </cell>
          <cell r="M1457">
            <v>4</v>
          </cell>
          <cell r="O1457">
            <v>1</v>
          </cell>
          <cell r="P1457">
            <v>0</v>
          </cell>
          <cell r="Q1457">
            <v>0</v>
          </cell>
          <cell r="R1457">
            <v>0</v>
          </cell>
          <cell r="S1457">
            <v>0</v>
          </cell>
          <cell r="T1457">
            <v>3</v>
          </cell>
          <cell r="V1457">
            <v>0</v>
          </cell>
          <cell r="W1457">
            <v>52</v>
          </cell>
          <cell r="X1457">
            <v>2</v>
          </cell>
          <cell r="Y1457">
            <v>1</v>
          </cell>
          <cell r="AA1457">
            <v>0</v>
          </cell>
          <cell r="AB1457">
            <v>0</v>
          </cell>
          <cell r="AC1457">
            <v>0</v>
          </cell>
          <cell r="AD1457">
            <v>0</v>
          </cell>
          <cell r="AE1457">
            <v>0</v>
          </cell>
          <cell r="AF1457">
            <v>0</v>
          </cell>
          <cell r="AG1457">
            <v>0</v>
          </cell>
          <cell r="AH1457">
            <v>1</v>
          </cell>
          <cell r="AI1457">
            <v>3</v>
          </cell>
          <cell r="AK1457">
            <v>1</v>
          </cell>
          <cell r="AL1457">
            <v>0</v>
          </cell>
          <cell r="AN1457">
            <v>2809</v>
          </cell>
          <cell r="AO1457">
            <v>2</v>
          </cell>
          <cell r="AQ1457">
            <v>0</v>
          </cell>
          <cell r="AR1457">
            <v>14</v>
          </cell>
          <cell r="AS1457">
            <v>3</v>
          </cell>
          <cell r="AT1457">
            <v>4</v>
          </cell>
          <cell r="AU1457">
            <v>0</v>
          </cell>
          <cell r="AV1457">
            <v>8</v>
          </cell>
          <cell r="AW1457">
            <v>8</v>
          </cell>
          <cell r="AX1457">
            <v>2</v>
          </cell>
          <cell r="AY1457">
            <v>3</v>
          </cell>
          <cell r="AZ1457">
            <v>2</v>
          </cell>
          <cell r="BA1457">
            <v>2</v>
          </cell>
          <cell r="BB1457">
            <v>2</v>
          </cell>
          <cell r="BC1457">
            <v>2</v>
          </cell>
          <cell r="BD1457">
            <v>2</v>
          </cell>
          <cell r="BE1457">
            <v>2</v>
          </cell>
          <cell r="BF1457">
            <v>2</v>
          </cell>
          <cell r="BG1457">
            <v>2</v>
          </cell>
          <cell r="BH1457">
            <v>1</v>
          </cell>
          <cell r="BI1457">
            <v>0</v>
          </cell>
          <cell r="BJ1457">
            <v>0</v>
          </cell>
          <cell r="BK1457">
            <v>0</v>
          </cell>
          <cell r="BL1457">
            <v>1</v>
          </cell>
          <cell r="BM1457">
            <v>0</v>
          </cell>
          <cell r="BN1457">
            <v>0</v>
          </cell>
          <cell r="BO1457">
            <v>0</v>
          </cell>
          <cell r="BP1457">
            <v>0</v>
          </cell>
          <cell r="BQ1457">
            <v>2</v>
          </cell>
          <cell r="BR1457">
            <v>0</v>
          </cell>
          <cell r="BS1457">
            <v>0</v>
          </cell>
          <cell r="BT1457">
            <v>8</v>
          </cell>
          <cell r="BU1457">
            <v>0</v>
          </cell>
        </row>
        <row r="1458">
          <cell r="A1458">
            <v>35</v>
          </cell>
          <cell r="B1458">
            <v>35</v>
          </cell>
          <cell r="D1458">
            <v>0</v>
          </cell>
          <cell r="F1458">
            <v>1</v>
          </cell>
          <cell r="G1458">
            <v>0</v>
          </cell>
          <cell r="I1458">
            <v>1</v>
          </cell>
          <cell r="J1458">
            <v>0</v>
          </cell>
          <cell r="K1458">
            <v>18</v>
          </cell>
          <cell r="L1458">
            <v>18</v>
          </cell>
          <cell r="M1458">
            <v>4</v>
          </cell>
          <cell r="O1458">
            <v>1</v>
          </cell>
          <cell r="P1458">
            <v>0</v>
          </cell>
          <cell r="Q1458">
            <v>0</v>
          </cell>
          <cell r="R1458">
            <v>0</v>
          </cell>
          <cell r="S1458">
            <v>0</v>
          </cell>
          <cell r="T1458">
            <v>3</v>
          </cell>
          <cell r="V1458">
            <v>0</v>
          </cell>
          <cell r="W1458">
            <v>80</v>
          </cell>
          <cell r="X1458">
            <v>3</v>
          </cell>
          <cell r="Y1458">
            <v>2</v>
          </cell>
          <cell r="AA1458">
            <v>1</v>
          </cell>
          <cell r="AB1458">
            <v>0</v>
          </cell>
          <cell r="AC1458">
            <v>0</v>
          </cell>
          <cell r="AD1458">
            <v>0</v>
          </cell>
          <cell r="AE1458">
            <v>0</v>
          </cell>
          <cell r="AF1458">
            <v>0</v>
          </cell>
          <cell r="AG1458">
            <v>0</v>
          </cell>
          <cell r="AH1458">
            <v>0</v>
          </cell>
          <cell r="AI1458">
            <v>3</v>
          </cell>
          <cell r="AK1458">
            <v>0</v>
          </cell>
          <cell r="AL1458">
            <v>1</v>
          </cell>
          <cell r="AN1458">
            <v>5689</v>
          </cell>
          <cell r="AO1458">
            <v>1</v>
          </cell>
          <cell r="AQ1458">
            <v>1</v>
          </cell>
          <cell r="AR1458">
            <v>14</v>
          </cell>
          <cell r="AS1458">
            <v>3</v>
          </cell>
          <cell r="AT1458">
            <v>4</v>
          </cell>
          <cell r="AU1458">
            <v>2</v>
          </cell>
          <cell r="AV1458">
            <v>10</v>
          </cell>
          <cell r="AW1458">
            <v>10</v>
          </cell>
          <cell r="AX1458">
            <v>2</v>
          </cell>
          <cell r="AY1458">
            <v>4</v>
          </cell>
          <cell r="AZ1458">
            <v>10</v>
          </cell>
          <cell r="BA1458">
            <v>10</v>
          </cell>
          <cell r="BB1458">
            <v>2</v>
          </cell>
          <cell r="BC1458">
            <v>0</v>
          </cell>
          <cell r="BD1458">
            <v>0</v>
          </cell>
          <cell r="BE1458">
            <v>2</v>
          </cell>
          <cell r="BF1458">
            <v>2</v>
          </cell>
          <cell r="BG1458">
            <v>4</v>
          </cell>
          <cell r="BH1458">
            <v>0</v>
          </cell>
          <cell r="BI1458">
            <v>0</v>
          </cell>
          <cell r="BJ1458">
            <v>0</v>
          </cell>
          <cell r="BK1458">
            <v>1</v>
          </cell>
          <cell r="BL1458">
            <v>0</v>
          </cell>
          <cell r="BM1458">
            <v>0</v>
          </cell>
          <cell r="BN1458">
            <v>0</v>
          </cell>
          <cell r="BO1458">
            <v>1</v>
          </cell>
          <cell r="BP1458">
            <v>0</v>
          </cell>
          <cell r="BQ1458">
            <v>2</v>
          </cell>
          <cell r="BR1458">
            <v>0</v>
          </cell>
          <cell r="BS1458">
            <v>0</v>
          </cell>
          <cell r="BT1458">
            <v>10</v>
          </cell>
          <cell r="BU1458">
            <v>0</v>
          </cell>
        </row>
        <row r="1459">
          <cell r="A1459">
            <v>40</v>
          </cell>
          <cell r="B1459">
            <v>40</v>
          </cell>
          <cell r="D1459">
            <v>0</v>
          </cell>
          <cell r="F1459">
            <v>0</v>
          </cell>
          <cell r="G1459">
            <v>1</v>
          </cell>
          <cell r="I1459">
            <v>1</v>
          </cell>
          <cell r="J1459">
            <v>0</v>
          </cell>
          <cell r="K1459">
            <v>2</v>
          </cell>
          <cell r="L1459">
            <v>2</v>
          </cell>
          <cell r="M1459">
            <v>4</v>
          </cell>
          <cell r="O1459">
            <v>0</v>
          </cell>
          <cell r="P1459">
            <v>0</v>
          </cell>
          <cell r="Q1459">
            <v>1</v>
          </cell>
          <cell r="R1459">
            <v>0</v>
          </cell>
          <cell r="S1459">
            <v>0</v>
          </cell>
          <cell r="T1459">
            <v>3</v>
          </cell>
          <cell r="V1459">
            <v>1</v>
          </cell>
          <cell r="W1459">
            <v>98</v>
          </cell>
          <cell r="X1459">
            <v>3</v>
          </cell>
          <cell r="Y1459">
            <v>1</v>
          </cell>
          <cell r="AA1459">
            <v>0</v>
          </cell>
          <cell r="AB1459">
            <v>0</v>
          </cell>
          <cell r="AC1459">
            <v>0</v>
          </cell>
          <cell r="AD1459">
            <v>0</v>
          </cell>
          <cell r="AE1459">
            <v>0</v>
          </cell>
          <cell r="AF1459">
            <v>0</v>
          </cell>
          <cell r="AG1459">
            <v>0</v>
          </cell>
          <cell r="AH1459">
            <v>1</v>
          </cell>
          <cell r="AI1459">
            <v>3</v>
          </cell>
          <cell r="AK1459">
            <v>0</v>
          </cell>
          <cell r="AL1459">
            <v>1</v>
          </cell>
          <cell r="AN1459">
            <v>2001</v>
          </cell>
          <cell r="AO1459">
            <v>2</v>
          </cell>
          <cell r="AQ1459">
            <v>0</v>
          </cell>
          <cell r="AR1459">
            <v>14</v>
          </cell>
          <cell r="AS1459">
            <v>3</v>
          </cell>
          <cell r="AT1459">
            <v>2</v>
          </cell>
          <cell r="AU1459">
            <v>3</v>
          </cell>
          <cell r="AV1459">
            <v>20</v>
          </cell>
          <cell r="AW1459">
            <v>20</v>
          </cell>
          <cell r="AX1459">
            <v>2</v>
          </cell>
          <cell r="AY1459">
            <v>3</v>
          </cell>
          <cell r="AZ1459">
            <v>5</v>
          </cell>
          <cell r="BA1459">
            <v>5</v>
          </cell>
          <cell r="BB1459">
            <v>3</v>
          </cell>
          <cell r="BC1459">
            <v>0</v>
          </cell>
          <cell r="BD1459">
            <v>0</v>
          </cell>
          <cell r="BE1459">
            <v>2</v>
          </cell>
          <cell r="BF1459">
            <v>2</v>
          </cell>
          <cell r="BG1459">
            <v>2</v>
          </cell>
          <cell r="BH1459">
            <v>0</v>
          </cell>
          <cell r="BI1459">
            <v>1</v>
          </cell>
          <cell r="BJ1459">
            <v>0</v>
          </cell>
          <cell r="BK1459">
            <v>0</v>
          </cell>
          <cell r="BL1459">
            <v>0</v>
          </cell>
          <cell r="BM1459">
            <v>0</v>
          </cell>
          <cell r="BN1459">
            <v>1</v>
          </cell>
          <cell r="BO1459">
            <v>0</v>
          </cell>
          <cell r="BP1459">
            <v>0</v>
          </cell>
          <cell r="BQ1459">
            <v>2</v>
          </cell>
          <cell r="BR1459">
            <v>0</v>
          </cell>
          <cell r="BS1459">
            <v>0</v>
          </cell>
          <cell r="BT1459">
            <v>20</v>
          </cell>
          <cell r="BU1459">
            <v>0</v>
          </cell>
        </row>
        <row r="1460">
          <cell r="A1460">
            <v>35</v>
          </cell>
          <cell r="B1460">
            <v>35</v>
          </cell>
          <cell r="D1460">
            <v>0</v>
          </cell>
          <cell r="F1460">
            <v>0</v>
          </cell>
          <cell r="G1460">
            <v>1</v>
          </cell>
          <cell r="I1460">
            <v>1</v>
          </cell>
          <cell r="J1460">
            <v>0</v>
          </cell>
          <cell r="K1460">
            <v>1</v>
          </cell>
          <cell r="L1460">
            <v>1</v>
          </cell>
          <cell r="M1460">
            <v>4</v>
          </cell>
          <cell r="O1460">
            <v>1</v>
          </cell>
          <cell r="P1460">
            <v>0</v>
          </cell>
          <cell r="Q1460">
            <v>0</v>
          </cell>
          <cell r="R1460">
            <v>0</v>
          </cell>
          <cell r="S1460">
            <v>0</v>
          </cell>
          <cell r="T1460">
            <v>3</v>
          </cell>
          <cell r="V1460">
            <v>1</v>
          </cell>
          <cell r="W1460">
            <v>62</v>
          </cell>
          <cell r="X1460">
            <v>1</v>
          </cell>
          <cell r="Y1460">
            <v>1</v>
          </cell>
          <cell r="AA1460">
            <v>0</v>
          </cell>
          <cell r="AB1460">
            <v>0</v>
          </cell>
          <cell r="AC1460">
            <v>0</v>
          </cell>
          <cell r="AD1460">
            <v>0</v>
          </cell>
          <cell r="AE1460">
            <v>0</v>
          </cell>
          <cell r="AF1460">
            <v>0</v>
          </cell>
          <cell r="AG1460">
            <v>0</v>
          </cell>
          <cell r="AH1460">
            <v>1</v>
          </cell>
          <cell r="AI1460">
            <v>4</v>
          </cell>
          <cell r="AK1460">
            <v>0</v>
          </cell>
          <cell r="AL1460">
            <v>1</v>
          </cell>
          <cell r="AN1460">
            <v>2977</v>
          </cell>
          <cell r="AO1460">
            <v>1</v>
          </cell>
          <cell r="AQ1460">
            <v>0</v>
          </cell>
          <cell r="AR1460">
            <v>12</v>
          </cell>
          <cell r="AS1460">
            <v>3</v>
          </cell>
          <cell r="AT1460">
            <v>4</v>
          </cell>
          <cell r="AU1460">
            <v>1</v>
          </cell>
          <cell r="AV1460">
            <v>4</v>
          </cell>
          <cell r="AW1460">
            <v>4</v>
          </cell>
          <cell r="AX1460">
            <v>5</v>
          </cell>
          <cell r="AY1460">
            <v>3</v>
          </cell>
          <cell r="AZ1460">
            <v>4</v>
          </cell>
          <cell r="BA1460">
            <v>4</v>
          </cell>
          <cell r="BB1460">
            <v>3</v>
          </cell>
          <cell r="BC1460">
            <v>1</v>
          </cell>
          <cell r="BD1460">
            <v>1</v>
          </cell>
          <cell r="BE1460">
            <v>1</v>
          </cell>
          <cell r="BF1460">
            <v>1</v>
          </cell>
          <cell r="BG1460">
            <v>1</v>
          </cell>
          <cell r="BH1460">
            <v>0</v>
          </cell>
          <cell r="BI1460">
            <v>1</v>
          </cell>
          <cell r="BJ1460">
            <v>0</v>
          </cell>
          <cell r="BK1460">
            <v>0</v>
          </cell>
          <cell r="BL1460">
            <v>0</v>
          </cell>
          <cell r="BM1460">
            <v>0</v>
          </cell>
          <cell r="BN1460">
            <v>1</v>
          </cell>
          <cell r="BO1460">
            <v>0</v>
          </cell>
          <cell r="BP1460">
            <v>0</v>
          </cell>
          <cell r="BQ1460">
            <v>1</v>
          </cell>
          <cell r="BR1460">
            <v>0</v>
          </cell>
          <cell r="BS1460">
            <v>0</v>
          </cell>
          <cell r="BT1460">
            <v>4</v>
          </cell>
          <cell r="BU1460">
            <v>0</v>
          </cell>
        </row>
        <row r="1461">
          <cell r="A1461">
            <v>29</v>
          </cell>
          <cell r="B1461">
            <v>29</v>
          </cell>
          <cell r="D1461">
            <v>0</v>
          </cell>
          <cell r="F1461">
            <v>0</v>
          </cell>
          <cell r="G1461">
            <v>1</v>
          </cell>
          <cell r="I1461">
            <v>1</v>
          </cell>
          <cell r="J1461">
            <v>0</v>
          </cell>
          <cell r="K1461">
            <v>13</v>
          </cell>
          <cell r="L1461">
            <v>13</v>
          </cell>
          <cell r="M1461">
            <v>2</v>
          </cell>
          <cell r="O1461">
            <v>0</v>
          </cell>
          <cell r="P1461">
            <v>1</v>
          </cell>
          <cell r="Q1461">
            <v>0</v>
          </cell>
          <cell r="R1461">
            <v>0</v>
          </cell>
          <cell r="S1461">
            <v>0</v>
          </cell>
          <cell r="T1461">
            <v>4</v>
          </cell>
          <cell r="V1461">
            <v>0</v>
          </cell>
          <cell r="W1461">
            <v>46</v>
          </cell>
          <cell r="X1461">
            <v>2</v>
          </cell>
          <cell r="Y1461">
            <v>2</v>
          </cell>
          <cell r="AA1461">
            <v>0</v>
          </cell>
          <cell r="AB1461">
            <v>0</v>
          </cell>
          <cell r="AC1461">
            <v>1</v>
          </cell>
          <cell r="AD1461">
            <v>0</v>
          </cell>
          <cell r="AE1461">
            <v>0</v>
          </cell>
          <cell r="AF1461">
            <v>0</v>
          </cell>
          <cell r="AG1461">
            <v>0</v>
          </cell>
          <cell r="AH1461">
            <v>0</v>
          </cell>
          <cell r="AI1461">
            <v>2</v>
          </cell>
          <cell r="AK1461">
            <v>0</v>
          </cell>
          <cell r="AL1461">
            <v>1</v>
          </cell>
          <cell r="AN1461">
            <v>4025</v>
          </cell>
          <cell r="AO1461">
            <v>4</v>
          </cell>
          <cell r="AQ1461">
            <v>1</v>
          </cell>
          <cell r="AR1461">
            <v>13</v>
          </cell>
          <cell r="AS1461">
            <v>3</v>
          </cell>
          <cell r="AT1461">
            <v>1</v>
          </cell>
          <cell r="AU1461">
            <v>1</v>
          </cell>
          <cell r="AV1461">
            <v>10</v>
          </cell>
          <cell r="AW1461">
            <v>10</v>
          </cell>
          <cell r="AX1461">
            <v>2</v>
          </cell>
          <cell r="AY1461">
            <v>3</v>
          </cell>
          <cell r="AZ1461">
            <v>4</v>
          </cell>
          <cell r="BA1461">
            <v>4</v>
          </cell>
          <cell r="BB1461">
            <v>3</v>
          </cell>
          <cell r="BC1461">
            <v>0</v>
          </cell>
          <cell r="BD1461">
            <v>0</v>
          </cell>
          <cell r="BE1461">
            <v>3</v>
          </cell>
          <cell r="BF1461">
            <v>3</v>
          </cell>
          <cell r="BG1461">
            <v>6</v>
          </cell>
          <cell r="BH1461">
            <v>0</v>
          </cell>
          <cell r="BI1461">
            <v>1</v>
          </cell>
          <cell r="BJ1461">
            <v>0</v>
          </cell>
          <cell r="BK1461">
            <v>0</v>
          </cell>
          <cell r="BL1461">
            <v>0</v>
          </cell>
          <cell r="BM1461">
            <v>0</v>
          </cell>
          <cell r="BN1461">
            <v>0</v>
          </cell>
          <cell r="BO1461">
            <v>1</v>
          </cell>
          <cell r="BP1461">
            <v>0</v>
          </cell>
          <cell r="BQ1461">
            <v>3</v>
          </cell>
          <cell r="BR1461">
            <v>0</v>
          </cell>
          <cell r="BS1461">
            <v>0</v>
          </cell>
          <cell r="BT1461">
            <v>10</v>
          </cell>
          <cell r="BU1461">
            <v>0</v>
          </cell>
        </row>
        <row r="1462">
          <cell r="A1462">
            <v>29</v>
          </cell>
          <cell r="B1462">
            <v>29</v>
          </cell>
          <cell r="D1462">
            <v>0</v>
          </cell>
          <cell r="F1462">
            <v>0</v>
          </cell>
          <cell r="G1462">
            <v>1</v>
          </cell>
          <cell r="I1462">
            <v>1</v>
          </cell>
          <cell r="J1462">
            <v>0</v>
          </cell>
          <cell r="K1462">
            <v>28</v>
          </cell>
          <cell r="L1462">
            <v>28</v>
          </cell>
          <cell r="M1462">
            <v>4</v>
          </cell>
          <cell r="O1462">
            <v>0</v>
          </cell>
          <cell r="P1462">
            <v>0</v>
          </cell>
          <cell r="Q1462">
            <v>1</v>
          </cell>
          <cell r="R1462">
            <v>0</v>
          </cell>
          <cell r="S1462">
            <v>0</v>
          </cell>
          <cell r="T1462">
            <v>4</v>
          </cell>
          <cell r="V1462">
            <v>1</v>
          </cell>
          <cell r="W1462">
            <v>73</v>
          </cell>
          <cell r="X1462">
            <v>2</v>
          </cell>
          <cell r="Y1462">
            <v>1</v>
          </cell>
          <cell r="AA1462">
            <v>0</v>
          </cell>
          <cell r="AB1462">
            <v>0</v>
          </cell>
          <cell r="AC1462">
            <v>0</v>
          </cell>
          <cell r="AD1462">
            <v>0</v>
          </cell>
          <cell r="AE1462">
            <v>0</v>
          </cell>
          <cell r="AF1462">
            <v>0</v>
          </cell>
          <cell r="AG1462">
            <v>0</v>
          </cell>
          <cell r="AH1462">
            <v>1</v>
          </cell>
          <cell r="AI1462">
            <v>1</v>
          </cell>
          <cell r="AK1462">
            <v>1</v>
          </cell>
          <cell r="AL1462">
            <v>0</v>
          </cell>
          <cell r="AN1462">
            <v>3785</v>
          </cell>
          <cell r="AO1462">
            <v>1</v>
          </cell>
          <cell r="AQ1462">
            <v>0</v>
          </cell>
          <cell r="AR1462">
            <v>14</v>
          </cell>
          <cell r="AS1462">
            <v>3</v>
          </cell>
          <cell r="AT1462">
            <v>2</v>
          </cell>
          <cell r="AU1462">
            <v>0</v>
          </cell>
          <cell r="AV1462">
            <v>5</v>
          </cell>
          <cell r="AW1462">
            <v>5</v>
          </cell>
          <cell r="AX1462">
            <v>3</v>
          </cell>
          <cell r="AY1462">
            <v>1</v>
          </cell>
          <cell r="AZ1462">
            <v>5</v>
          </cell>
          <cell r="BA1462">
            <v>5</v>
          </cell>
          <cell r="BB1462">
            <v>4</v>
          </cell>
          <cell r="BC1462">
            <v>0</v>
          </cell>
          <cell r="BD1462">
            <v>0</v>
          </cell>
          <cell r="BE1462">
            <v>4</v>
          </cell>
          <cell r="BF1462">
            <v>4</v>
          </cell>
          <cell r="BG1462">
            <v>4</v>
          </cell>
          <cell r="BH1462">
            <v>1</v>
          </cell>
          <cell r="BI1462">
            <v>0</v>
          </cell>
          <cell r="BJ1462">
            <v>0</v>
          </cell>
          <cell r="BK1462">
            <v>0</v>
          </cell>
          <cell r="BL1462">
            <v>1</v>
          </cell>
          <cell r="BM1462">
            <v>0</v>
          </cell>
          <cell r="BN1462">
            <v>0</v>
          </cell>
          <cell r="BO1462">
            <v>0</v>
          </cell>
          <cell r="BP1462">
            <v>0</v>
          </cell>
          <cell r="BQ1462">
            <v>4</v>
          </cell>
          <cell r="BR1462">
            <v>0</v>
          </cell>
          <cell r="BS1462">
            <v>0</v>
          </cell>
          <cell r="BT1462">
            <v>5</v>
          </cell>
          <cell r="BU1462">
            <v>0</v>
          </cell>
        </row>
        <row r="1463">
          <cell r="A1463">
            <v>50</v>
          </cell>
          <cell r="B1463">
            <v>50</v>
          </cell>
          <cell r="D1463">
            <v>1</v>
          </cell>
          <cell r="F1463">
            <v>0</v>
          </cell>
          <cell r="G1463">
            <v>1</v>
          </cell>
          <cell r="I1463">
            <v>0</v>
          </cell>
          <cell r="J1463">
            <v>1</v>
          </cell>
          <cell r="K1463">
            <v>28</v>
          </cell>
          <cell r="L1463">
            <v>28</v>
          </cell>
          <cell r="M1463">
            <v>3</v>
          </cell>
          <cell r="O1463">
            <v>0</v>
          </cell>
          <cell r="P1463">
            <v>0</v>
          </cell>
          <cell r="Q1463">
            <v>0</v>
          </cell>
          <cell r="R1463">
            <v>1</v>
          </cell>
          <cell r="S1463">
            <v>0</v>
          </cell>
          <cell r="T1463">
            <v>4</v>
          </cell>
          <cell r="V1463">
            <v>0</v>
          </cell>
          <cell r="W1463">
            <v>39</v>
          </cell>
          <cell r="X1463">
            <v>2</v>
          </cell>
          <cell r="Y1463">
            <v>3</v>
          </cell>
          <cell r="AA1463">
            <v>0</v>
          </cell>
          <cell r="AB1463">
            <v>1</v>
          </cell>
          <cell r="AC1463">
            <v>0</v>
          </cell>
          <cell r="AD1463">
            <v>0</v>
          </cell>
          <cell r="AE1463">
            <v>0</v>
          </cell>
          <cell r="AF1463">
            <v>0</v>
          </cell>
          <cell r="AG1463">
            <v>0</v>
          </cell>
          <cell r="AH1463">
            <v>0</v>
          </cell>
          <cell r="AI1463">
            <v>1</v>
          </cell>
          <cell r="AK1463">
            <v>0</v>
          </cell>
          <cell r="AL1463">
            <v>0</v>
          </cell>
          <cell r="AN1463">
            <v>10854</v>
          </cell>
          <cell r="AO1463">
            <v>4</v>
          </cell>
          <cell r="AQ1463">
            <v>1</v>
          </cell>
          <cell r="AR1463">
            <v>13</v>
          </cell>
          <cell r="AS1463">
            <v>3</v>
          </cell>
          <cell r="AT1463">
            <v>2</v>
          </cell>
          <cell r="AU1463">
            <v>1</v>
          </cell>
          <cell r="AV1463">
            <v>20</v>
          </cell>
          <cell r="AW1463">
            <v>20</v>
          </cell>
          <cell r="AX1463">
            <v>3</v>
          </cell>
          <cell r="AY1463">
            <v>3</v>
          </cell>
          <cell r="AZ1463">
            <v>3</v>
          </cell>
          <cell r="BA1463">
            <v>3</v>
          </cell>
          <cell r="BB1463">
            <v>2</v>
          </cell>
          <cell r="BC1463">
            <v>2</v>
          </cell>
          <cell r="BD1463">
            <v>2</v>
          </cell>
          <cell r="BE1463">
            <v>0</v>
          </cell>
          <cell r="BF1463">
            <v>0</v>
          </cell>
          <cell r="BG1463">
            <v>0</v>
          </cell>
          <cell r="BH1463">
            <v>1</v>
          </cell>
          <cell r="BI1463">
            <v>0</v>
          </cell>
          <cell r="BJ1463">
            <v>0</v>
          </cell>
          <cell r="BK1463">
            <v>0</v>
          </cell>
          <cell r="BL1463">
            <v>0</v>
          </cell>
          <cell r="BM1463">
            <v>1</v>
          </cell>
          <cell r="BN1463">
            <v>0</v>
          </cell>
          <cell r="BO1463">
            <v>0</v>
          </cell>
          <cell r="BP1463">
            <v>0</v>
          </cell>
          <cell r="BQ1463">
            <v>0</v>
          </cell>
          <cell r="BR1463">
            <v>0</v>
          </cell>
          <cell r="BS1463">
            <v>0</v>
          </cell>
          <cell r="BT1463">
            <v>0</v>
          </cell>
          <cell r="BU1463">
            <v>20</v>
          </cell>
        </row>
        <row r="1464">
          <cell r="A1464">
            <v>39</v>
          </cell>
          <cell r="B1464">
            <v>39</v>
          </cell>
          <cell r="D1464">
            <v>0</v>
          </cell>
          <cell r="F1464">
            <v>0</v>
          </cell>
          <cell r="G1464">
            <v>1</v>
          </cell>
          <cell r="I1464">
            <v>0</v>
          </cell>
          <cell r="J1464">
            <v>1</v>
          </cell>
          <cell r="K1464">
            <v>24</v>
          </cell>
          <cell r="L1464">
            <v>24</v>
          </cell>
          <cell r="M1464">
            <v>1</v>
          </cell>
          <cell r="O1464">
            <v>0</v>
          </cell>
          <cell r="P1464">
            <v>0</v>
          </cell>
          <cell r="Q1464">
            <v>0</v>
          </cell>
          <cell r="R1464">
            <v>1</v>
          </cell>
          <cell r="S1464">
            <v>0</v>
          </cell>
          <cell r="T1464">
            <v>2</v>
          </cell>
          <cell r="V1464">
            <v>1</v>
          </cell>
          <cell r="W1464">
            <v>60</v>
          </cell>
          <cell r="X1464">
            <v>2</v>
          </cell>
          <cell r="Y1464">
            <v>4</v>
          </cell>
          <cell r="AA1464">
            <v>0</v>
          </cell>
          <cell r="AB1464">
            <v>1</v>
          </cell>
          <cell r="AC1464">
            <v>0</v>
          </cell>
          <cell r="AD1464">
            <v>0</v>
          </cell>
          <cell r="AE1464">
            <v>0</v>
          </cell>
          <cell r="AF1464">
            <v>0</v>
          </cell>
          <cell r="AG1464">
            <v>0</v>
          </cell>
          <cell r="AH1464">
            <v>0</v>
          </cell>
          <cell r="AI1464">
            <v>4</v>
          </cell>
          <cell r="AK1464">
            <v>0</v>
          </cell>
          <cell r="AL1464">
            <v>1</v>
          </cell>
          <cell r="AN1464">
            <v>12031</v>
          </cell>
          <cell r="AO1464">
            <v>0</v>
          </cell>
          <cell r="AQ1464">
            <v>0</v>
          </cell>
          <cell r="AR1464">
            <v>11</v>
          </cell>
          <cell r="AS1464">
            <v>3</v>
          </cell>
          <cell r="AT1464">
            <v>1</v>
          </cell>
          <cell r="AU1464">
            <v>1</v>
          </cell>
          <cell r="AV1464">
            <v>21</v>
          </cell>
          <cell r="AW1464">
            <v>21</v>
          </cell>
          <cell r="AX1464">
            <v>2</v>
          </cell>
          <cell r="AY1464">
            <v>2</v>
          </cell>
          <cell r="AZ1464">
            <v>20</v>
          </cell>
          <cell r="BA1464">
            <v>20</v>
          </cell>
          <cell r="BB1464">
            <v>9</v>
          </cell>
          <cell r="BC1464">
            <v>9</v>
          </cell>
          <cell r="BD1464">
            <v>9</v>
          </cell>
          <cell r="BE1464">
            <v>6</v>
          </cell>
          <cell r="BF1464">
            <v>6</v>
          </cell>
          <cell r="BG1464">
            <v>24</v>
          </cell>
          <cell r="BH1464">
            <v>0</v>
          </cell>
          <cell r="BI1464">
            <v>1</v>
          </cell>
          <cell r="BJ1464">
            <v>0</v>
          </cell>
          <cell r="BK1464">
            <v>0</v>
          </cell>
          <cell r="BL1464">
            <v>0</v>
          </cell>
          <cell r="BM1464">
            <v>0</v>
          </cell>
          <cell r="BN1464">
            <v>1</v>
          </cell>
          <cell r="BO1464">
            <v>0</v>
          </cell>
          <cell r="BP1464">
            <v>0</v>
          </cell>
          <cell r="BQ1464">
            <v>0</v>
          </cell>
          <cell r="BR1464">
            <v>6</v>
          </cell>
          <cell r="BS1464">
            <v>0</v>
          </cell>
          <cell r="BT1464">
            <v>0</v>
          </cell>
          <cell r="BU1464">
            <v>21</v>
          </cell>
        </row>
        <row r="1465">
          <cell r="A1465">
            <v>31</v>
          </cell>
          <cell r="B1465">
            <v>31</v>
          </cell>
          <cell r="D1465">
            <v>0</v>
          </cell>
          <cell r="F1465">
            <v>0</v>
          </cell>
          <cell r="G1465">
            <v>0</v>
          </cell>
          <cell r="I1465">
            <v>1</v>
          </cell>
          <cell r="J1465">
            <v>0</v>
          </cell>
          <cell r="K1465">
            <v>5</v>
          </cell>
          <cell r="L1465">
            <v>5</v>
          </cell>
          <cell r="M1465">
            <v>3</v>
          </cell>
          <cell r="O1465">
            <v>0</v>
          </cell>
          <cell r="P1465">
            <v>0</v>
          </cell>
          <cell r="Q1465">
            <v>1</v>
          </cell>
          <cell r="R1465">
            <v>0</v>
          </cell>
          <cell r="S1465">
            <v>0</v>
          </cell>
          <cell r="T1465">
            <v>2</v>
          </cell>
          <cell r="V1465">
            <v>0</v>
          </cell>
          <cell r="W1465">
            <v>74</v>
          </cell>
          <cell r="X1465">
            <v>3</v>
          </cell>
          <cell r="Y1465">
            <v>2</v>
          </cell>
          <cell r="AA1465">
            <v>0</v>
          </cell>
          <cell r="AB1465">
            <v>0</v>
          </cell>
          <cell r="AC1465">
            <v>0</v>
          </cell>
          <cell r="AD1465">
            <v>0</v>
          </cell>
          <cell r="AE1465">
            <v>1</v>
          </cell>
          <cell r="AF1465">
            <v>1</v>
          </cell>
          <cell r="AG1465">
            <v>0</v>
          </cell>
          <cell r="AH1465">
            <v>0</v>
          </cell>
          <cell r="AI1465">
            <v>1</v>
          </cell>
          <cell r="AK1465">
            <v>1</v>
          </cell>
          <cell r="AL1465">
            <v>0</v>
          </cell>
          <cell r="AN1465">
            <v>9936</v>
          </cell>
          <cell r="AO1465">
            <v>0</v>
          </cell>
          <cell r="AQ1465">
            <v>0</v>
          </cell>
          <cell r="AR1465">
            <v>19</v>
          </cell>
          <cell r="AS1465">
            <v>3</v>
          </cell>
          <cell r="AT1465">
            <v>2</v>
          </cell>
          <cell r="AU1465">
            <v>0</v>
          </cell>
          <cell r="AV1465">
            <v>10</v>
          </cell>
          <cell r="AW1465">
            <v>10</v>
          </cell>
          <cell r="AX1465">
            <v>2</v>
          </cell>
          <cell r="AY1465">
            <v>3</v>
          </cell>
          <cell r="AZ1465">
            <v>9</v>
          </cell>
          <cell r="BA1465">
            <v>9</v>
          </cell>
          <cell r="BB1465">
            <v>4</v>
          </cell>
          <cell r="BC1465">
            <v>1</v>
          </cell>
          <cell r="BD1465">
            <v>1</v>
          </cell>
          <cell r="BE1465">
            <v>7</v>
          </cell>
          <cell r="BF1465">
            <v>7</v>
          </cell>
          <cell r="BG1465">
            <v>14</v>
          </cell>
          <cell r="BH1465">
            <v>1</v>
          </cell>
          <cell r="BI1465">
            <v>0</v>
          </cell>
          <cell r="BJ1465">
            <v>0</v>
          </cell>
          <cell r="BK1465">
            <v>0</v>
          </cell>
          <cell r="BL1465">
            <v>1</v>
          </cell>
          <cell r="BM1465">
            <v>0</v>
          </cell>
          <cell r="BN1465">
            <v>0</v>
          </cell>
          <cell r="BO1465">
            <v>0</v>
          </cell>
          <cell r="BP1465">
            <v>0</v>
          </cell>
          <cell r="BQ1465">
            <v>7</v>
          </cell>
          <cell r="BR1465">
            <v>0</v>
          </cell>
          <cell r="BS1465">
            <v>0</v>
          </cell>
          <cell r="BT1465">
            <v>10</v>
          </cell>
          <cell r="BU1465">
            <v>0</v>
          </cell>
        </row>
        <row r="1466">
          <cell r="A1466">
            <v>26</v>
          </cell>
          <cell r="B1466">
            <v>26</v>
          </cell>
          <cell r="D1466">
            <v>0</v>
          </cell>
          <cell r="F1466">
            <v>0</v>
          </cell>
          <cell r="G1466">
            <v>1</v>
          </cell>
          <cell r="I1466">
            <v>0</v>
          </cell>
          <cell r="J1466">
            <v>1</v>
          </cell>
          <cell r="K1466">
            <v>5</v>
          </cell>
          <cell r="L1466">
            <v>5</v>
          </cell>
          <cell r="M1466">
            <v>3</v>
          </cell>
          <cell r="O1466">
            <v>0</v>
          </cell>
          <cell r="P1466">
            <v>1</v>
          </cell>
          <cell r="Q1466">
            <v>0</v>
          </cell>
          <cell r="R1466">
            <v>0</v>
          </cell>
          <cell r="S1466">
            <v>0</v>
          </cell>
          <cell r="T1466">
            <v>4</v>
          </cell>
          <cell r="V1466">
            <v>1</v>
          </cell>
          <cell r="W1466">
            <v>30</v>
          </cell>
          <cell r="X1466">
            <v>2</v>
          </cell>
          <cell r="Y1466">
            <v>1</v>
          </cell>
          <cell r="AA1466">
            <v>0</v>
          </cell>
          <cell r="AB1466">
            <v>0</v>
          </cell>
          <cell r="AC1466">
            <v>0</v>
          </cell>
          <cell r="AD1466">
            <v>0</v>
          </cell>
          <cell r="AE1466">
            <v>0</v>
          </cell>
          <cell r="AF1466">
            <v>0</v>
          </cell>
          <cell r="AG1466">
            <v>1</v>
          </cell>
          <cell r="AH1466">
            <v>0</v>
          </cell>
          <cell r="AI1466">
            <v>3</v>
          </cell>
          <cell r="AK1466">
            <v>1</v>
          </cell>
          <cell r="AL1466">
            <v>0</v>
          </cell>
          <cell r="AN1466">
            <v>2966</v>
          </cell>
          <cell r="AO1466">
            <v>0</v>
          </cell>
          <cell r="AQ1466">
            <v>0</v>
          </cell>
          <cell r="AR1466">
            <v>18</v>
          </cell>
          <cell r="AS1466">
            <v>3</v>
          </cell>
          <cell r="AT1466">
            <v>4</v>
          </cell>
          <cell r="AU1466">
            <v>0</v>
          </cell>
          <cell r="AV1466">
            <v>5</v>
          </cell>
          <cell r="AW1466">
            <v>5</v>
          </cell>
          <cell r="AX1466">
            <v>2</v>
          </cell>
          <cell r="AY1466">
            <v>3</v>
          </cell>
          <cell r="AZ1466">
            <v>4</v>
          </cell>
          <cell r="BA1466">
            <v>4</v>
          </cell>
          <cell r="BB1466">
            <v>2</v>
          </cell>
          <cell r="BC1466">
            <v>0</v>
          </cell>
          <cell r="BD1466">
            <v>0</v>
          </cell>
          <cell r="BE1466">
            <v>0</v>
          </cell>
          <cell r="BF1466">
            <v>0</v>
          </cell>
          <cell r="BG1466">
            <v>0</v>
          </cell>
          <cell r="BH1466">
            <v>1</v>
          </cell>
          <cell r="BI1466">
            <v>0</v>
          </cell>
          <cell r="BJ1466">
            <v>0</v>
          </cell>
          <cell r="BK1466">
            <v>0</v>
          </cell>
          <cell r="BL1466">
            <v>1</v>
          </cell>
          <cell r="BM1466">
            <v>0</v>
          </cell>
          <cell r="BN1466">
            <v>0</v>
          </cell>
          <cell r="BO1466">
            <v>0</v>
          </cell>
          <cell r="BP1466">
            <v>0</v>
          </cell>
          <cell r="BQ1466">
            <v>0</v>
          </cell>
          <cell r="BR1466">
            <v>0</v>
          </cell>
          <cell r="BS1466">
            <v>0</v>
          </cell>
          <cell r="BT1466">
            <v>0</v>
          </cell>
          <cell r="BU1466">
            <v>5</v>
          </cell>
        </row>
        <row r="1467">
          <cell r="A1467">
            <v>36</v>
          </cell>
          <cell r="B1467">
            <v>36</v>
          </cell>
          <cell r="D1467">
            <v>0</v>
          </cell>
          <cell r="F1467">
            <v>1</v>
          </cell>
          <cell r="G1467">
            <v>0</v>
          </cell>
          <cell r="I1467">
            <v>1</v>
          </cell>
          <cell r="J1467">
            <v>0</v>
          </cell>
          <cell r="K1467">
            <v>23</v>
          </cell>
          <cell r="L1467">
            <v>23</v>
          </cell>
          <cell r="M1467">
            <v>2</v>
          </cell>
          <cell r="O1467">
            <v>0</v>
          </cell>
          <cell r="P1467">
            <v>0</v>
          </cell>
          <cell r="Q1467">
            <v>1</v>
          </cell>
          <cell r="R1467">
            <v>0</v>
          </cell>
          <cell r="S1467">
            <v>0</v>
          </cell>
          <cell r="T1467">
            <v>3</v>
          </cell>
          <cell r="V1467">
            <v>0</v>
          </cell>
          <cell r="W1467">
            <v>41</v>
          </cell>
          <cell r="X1467">
            <v>4</v>
          </cell>
          <cell r="Y1467">
            <v>2</v>
          </cell>
          <cell r="AA1467">
            <v>0</v>
          </cell>
          <cell r="AB1467">
            <v>0</v>
          </cell>
          <cell r="AC1467">
            <v>1</v>
          </cell>
          <cell r="AD1467">
            <v>0</v>
          </cell>
          <cell r="AE1467">
            <v>0</v>
          </cell>
          <cell r="AF1467">
            <v>0</v>
          </cell>
          <cell r="AG1467">
            <v>0</v>
          </cell>
          <cell r="AH1467">
            <v>0</v>
          </cell>
          <cell r="AI1467">
            <v>4</v>
          </cell>
          <cell r="AK1467">
            <v>0</v>
          </cell>
          <cell r="AL1467">
            <v>1</v>
          </cell>
          <cell r="AN1467">
            <v>2571</v>
          </cell>
          <cell r="AO1467">
            <v>4</v>
          </cell>
          <cell r="AQ1467">
            <v>0</v>
          </cell>
          <cell r="AR1467">
            <v>17</v>
          </cell>
          <cell r="AS1467">
            <v>3</v>
          </cell>
          <cell r="AT1467">
            <v>3</v>
          </cell>
          <cell r="AU1467">
            <v>1</v>
          </cell>
          <cell r="AV1467">
            <v>17</v>
          </cell>
          <cell r="AW1467">
            <v>17</v>
          </cell>
          <cell r="AX1467">
            <v>3</v>
          </cell>
          <cell r="AY1467">
            <v>3</v>
          </cell>
          <cell r="AZ1467">
            <v>5</v>
          </cell>
          <cell r="BA1467">
            <v>5</v>
          </cell>
          <cell r="BB1467">
            <v>2</v>
          </cell>
          <cell r="BC1467">
            <v>0</v>
          </cell>
          <cell r="BD1467">
            <v>0</v>
          </cell>
          <cell r="BE1467">
            <v>3</v>
          </cell>
          <cell r="BF1467">
            <v>3</v>
          </cell>
          <cell r="BG1467">
            <v>6</v>
          </cell>
          <cell r="BH1467">
            <v>0</v>
          </cell>
          <cell r="BI1467">
            <v>0</v>
          </cell>
          <cell r="BJ1467">
            <v>0</v>
          </cell>
          <cell r="BK1467">
            <v>1</v>
          </cell>
          <cell r="BL1467">
            <v>0</v>
          </cell>
          <cell r="BM1467">
            <v>0</v>
          </cell>
          <cell r="BN1467">
            <v>1</v>
          </cell>
          <cell r="BO1467">
            <v>0</v>
          </cell>
          <cell r="BP1467">
            <v>0</v>
          </cell>
          <cell r="BQ1467">
            <v>3</v>
          </cell>
          <cell r="BR1467">
            <v>0</v>
          </cell>
          <cell r="BS1467">
            <v>0</v>
          </cell>
          <cell r="BT1467">
            <v>17</v>
          </cell>
          <cell r="BU1467">
            <v>0</v>
          </cell>
        </row>
        <row r="1468">
          <cell r="A1468">
            <v>39</v>
          </cell>
          <cell r="B1468">
            <v>39</v>
          </cell>
          <cell r="D1468">
            <v>0</v>
          </cell>
          <cell r="F1468">
            <v>0</v>
          </cell>
          <cell r="G1468">
            <v>1</v>
          </cell>
          <cell r="I1468">
            <v>1</v>
          </cell>
          <cell r="J1468">
            <v>0</v>
          </cell>
          <cell r="K1468">
            <v>6</v>
          </cell>
          <cell r="L1468">
            <v>6</v>
          </cell>
          <cell r="M1468">
            <v>1</v>
          </cell>
          <cell r="O1468">
            <v>0</v>
          </cell>
          <cell r="P1468">
            <v>0</v>
          </cell>
          <cell r="Q1468">
            <v>1</v>
          </cell>
          <cell r="R1468">
            <v>0</v>
          </cell>
          <cell r="S1468">
            <v>0</v>
          </cell>
          <cell r="T1468">
            <v>4</v>
          </cell>
          <cell r="V1468">
            <v>0</v>
          </cell>
          <cell r="W1468">
            <v>42</v>
          </cell>
          <cell r="X1468">
            <v>2</v>
          </cell>
          <cell r="Y1468">
            <v>3</v>
          </cell>
          <cell r="AA1468">
            <v>1</v>
          </cell>
          <cell r="AB1468">
            <v>0</v>
          </cell>
          <cell r="AC1468">
            <v>0</v>
          </cell>
          <cell r="AD1468">
            <v>0</v>
          </cell>
          <cell r="AE1468">
            <v>0</v>
          </cell>
          <cell r="AF1468">
            <v>0</v>
          </cell>
          <cell r="AG1468">
            <v>0</v>
          </cell>
          <cell r="AH1468">
            <v>0</v>
          </cell>
          <cell r="AI1468">
            <v>1</v>
          </cell>
          <cell r="AK1468">
            <v>0</v>
          </cell>
          <cell r="AL1468">
            <v>1</v>
          </cell>
          <cell r="AN1468">
            <v>9991</v>
          </cell>
          <cell r="AO1468">
            <v>4</v>
          </cell>
          <cell r="AQ1468">
            <v>0</v>
          </cell>
          <cell r="AR1468">
            <v>15</v>
          </cell>
          <cell r="AS1468">
            <v>3</v>
          </cell>
          <cell r="AT1468">
            <v>1</v>
          </cell>
          <cell r="AU1468">
            <v>1</v>
          </cell>
          <cell r="AV1468">
            <v>9</v>
          </cell>
          <cell r="AW1468">
            <v>9</v>
          </cell>
          <cell r="AX1468">
            <v>5</v>
          </cell>
          <cell r="AY1468">
            <v>3</v>
          </cell>
          <cell r="AZ1468">
            <v>7</v>
          </cell>
          <cell r="BA1468">
            <v>7</v>
          </cell>
          <cell r="BB1468">
            <v>7</v>
          </cell>
          <cell r="BC1468">
            <v>1</v>
          </cell>
          <cell r="BD1468">
            <v>1</v>
          </cell>
          <cell r="BE1468">
            <v>7</v>
          </cell>
          <cell r="BF1468">
            <v>7</v>
          </cell>
          <cell r="BG1468">
            <v>21</v>
          </cell>
          <cell r="BH1468">
            <v>0</v>
          </cell>
          <cell r="BI1468">
            <v>1</v>
          </cell>
          <cell r="BJ1468">
            <v>0</v>
          </cell>
          <cell r="BK1468">
            <v>0</v>
          </cell>
          <cell r="BL1468">
            <v>0</v>
          </cell>
          <cell r="BM1468">
            <v>0</v>
          </cell>
          <cell r="BN1468">
            <v>1</v>
          </cell>
          <cell r="BO1468">
            <v>0</v>
          </cell>
          <cell r="BP1468">
            <v>0</v>
          </cell>
          <cell r="BQ1468">
            <v>7</v>
          </cell>
          <cell r="BR1468">
            <v>0</v>
          </cell>
          <cell r="BS1468">
            <v>0</v>
          </cell>
          <cell r="BT1468">
            <v>9</v>
          </cell>
          <cell r="BU1468">
            <v>0</v>
          </cell>
        </row>
        <row r="1469">
          <cell r="A1469">
            <v>27</v>
          </cell>
          <cell r="B1469">
            <v>27</v>
          </cell>
          <cell r="D1469">
            <v>0</v>
          </cell>
          <cell r="F1469">
            <v>0</v>
          </cell>
          <cell r="G1469">
            <v>1</v>
          </cell>
          <cell r="I1469">
            <v>1</v>
          </cell>
          <cell r="J1469">
            <v>0</v>
          </cell>
          <cell r="K1469">
            <v>4</v>
          </cell>
          <cell r="L1469">
            <v>4</v>
          </cell>
          <cell r="M1469">
            <v>3</v>
          </cell>
          <cell r="O1469">
            <v>1</v>
          </cell>
          <cell r="P1469">
            <v>0</v>
          </cell>
          <cell r="Q1469">
            <v>0</v>
          </cell>
          <cell r="R1469">
            <v>0</v>
          </cell>
          <cell r="S1469">
            <v>0</v>
          </cell>
          <cell r="T1469">
            <v>2</v>
          </cell>
          <cell r="V1469">
            <v>0</v>
          </cell>
          <cell r="W1469">
            <v>87</v>
          </cell>
          <cell r="X1469">
            <v>4</v>
          </cell>
          <cell r="Y1469">
            <v>2</v>
          </cell>
          <cell r="AA1469">
            <v>0</v>
          </cell>
          <cell r="AB1469">
            <v>0</v>
          </cell>
          <cell r="AC1469">
            <v>0</v>
          </cell>
          <cell r="AD1469">
            <v>0</v>
          </cell>
          <cell r="AE1469">
            <v>1</v>
          </cell>
          <cell r="AF1469">
            <v>1</v>
          </cell>
          <cell r="AG1469">
            <v>0</v>
          </cell>
          <cell r="AH1469">
            <v>0</v>
          </cell>
          <cell r="AI1469">
            <v>2</v>
          </cell>
          <cell r="AK1469">
            <v>0</v>
          </cell>
          <cell r="AL1469">
            <v>1</v>
          </cell>
          <cell r="AN1469">
            <v>6142</v>
          </cell>
          <cell r="AO1469">
            <v>1</v>
          </cell>
          <cell r="AQ1469">
            <v>1</v>
          </cell>
          <cell r="AR1469">
            <v>20</v>
          </cell>
          <cell r="AS1469">
            <v>4</v>
          </cell>
          <cell r="AT1469">
            <v>2</v>
          </cell>
          <cell r="AU1469">
            <v>1</v>
          </cell>
          <cell r="AV1469">
            <v>6</v>
          </cell>
          <cell r="AW1469">
            <v>6</v>
          </cell>
          <cell r="AX1469">
            <v>0</v>
          </cell>
          <cell r="AY1469">
            <v>3</v>
          </cell>
          <cell r="AZ1469">
            <v>6</v>
          </cell>
          <cell r="BA1469">
            <v>6</v>
          </cell>
          <cell r="BB1469">
            <v>2</v>
          </cell>
          <cell r="BC1469">
            <v>0</v>
          </cell>
          <cell r="BD1469">
            <v>0</v>
          </cell>
          <cell r="BE1469">
            <v>3</v>
          </cell>
          <cell r="BF1469">
            <v>3</v>
          </cell>
          <cell r="BG1469">
            <v>6</v>
          </cell>
          <cell r="BH1469">
            <v>0</v>
          </cell>
          <cell r="BI1469">
            <v>1</v>
          </cell>
          <cell r="BJ1469">
            <v>0</v>
          </cell>
          <cell r="BK1469">
            <v>0</v>
          </cell>
          <cell r="BL1469">
            <v>0</v>
          </cell>
          <cell r="BM1469">
            <v>0</v>
          </cell>
          <cell r="BN1469">
            <v>0</v>
          </cell>
          <cell r="BO1469">
            <v>1</v>
          </cell>
          <cell r="BP1469">
            <v>0</v>
          </cell>
          <cell r="BQ1469">
            <v>3</v>
          </cell>
          <cell r="BR1469">
            <v>0</v>
          </cell>
          <cell r="BS1469">
            <v>0</v>
          </cell>
          <cell r="BT1469">
            <v>6</v>
          </cell>
          <cell r="BU1469">
            <v>0</v>
          </cell>
        </row>
        <row r="1470">
          <cell r="A1470">
            <v>49</v>
          </cell>
          <cell r="B1470">
            <v>49</v>
          </cell>
          <cell r="D1470">
            <v>0</v>
          </cell>
          <cell r="F1470">
            <v>1</v>
          </cell>
          <cell r="G1470">
            <v>0</v>
          </cell>
          <cell r="I1470">
            <v>0</v>
          </cell>
          <cell r="J1470">
            <v>1</v>
          </cell>
          <cell r="K1470">
            <v>2</v>
          </cell>
          <cell r="L1470">
            <v>2</v>
          </cell>
          <cell r="M1470">
            <v>3</v>
          </cell>
          <cell r="O1470">
            <v>0</v>
          </cell>
          <cell r="P1470">
            <v>0</v>
          </cell>
          <cell r="Q1470">
            <v>1</v>
          </cell>
          <cell r="R1470">
            <v>0</v>
          </cell>
          <cell r="S1470">
            <v>0</v>
          </cell>
          <cell r="T1470">
            <v>4</v>
          </cell>
          <cell r="V1470">
            <v>0</v>
          </cell>
          <cell r="W1470">
            <v>63</v>
          </cell>
          <cell r="X1470">
            <v>2</v>
          </cell>
          <cell r="Y1470">
            <v>2</v>
          </cell>
          <cell r="AA1470">
            <v>0</v>
          </cell>
          <cell r="AB1470">
            <v>1</v>
          </cell>
          <cell r="AC1470">
            <v>0</v>
          </cell>
          <cell r="AD1470">
            <v>0</v>
          </cell>
          <cell r="AE1470">
            <v>0</v>
          </cell>
          <cell r="AF1470">
            <v>0</v>
          </cell>
          <cell r="AG1470">
            <v>0</v>
          </cell>
          <cell r="AH1470">
            <v>0</v>
          </cell>
          <cell r="AI1470">
            <v>2</v>
          </cell>
          <cell r="AK1470">
            <v>0</v>
          </cell>
          <cell r="AL1470">
            <v>1</v>
          </cell>
          <cell r="AN1470">
            <v>5390</v>
          </cell>
          <cell r="AO1470">
            <v>2</v>
          </cell>
          <cell r="AQ1470">
            <v>0</v>
          </cell>
          <cell r="AR1470">
            <v>14</v>
          </cell>
          <cell r="AS1470">
            <v>3</v>
          </cell>
          <cell r="AT1470">
            <v>4</v>
          </cell>
          <cell r="AU1470">
            <v>0</v>
          </cell>
          <cell r="AV1470">
            <v>17</v>
          </cell>
          <cell r="AW1470">
            <v>17</v>
          </cell>
          <cell r="AX1470">
            <v>3</v>
          </cell>
          <cell r="AY1470">
            <v>2</v>
          </cell>
          <cell r="AZ1470">
            <v>9</v>
          </cell>
          <cell r="BA1470">
            <v>9</v>
          </cell>
          <cell r="BB1470">
            <v>6</v>
          </cell>
          <cell r="BC1470">
            <v>0</v>
          </cell>
          <cell r="BD1470">
            <v>0</v>
          </cell>
          <cell r="BE1470">
            <v>8</v>
          </cell>
          <cell r="BF1470">
            <v>8</v>
          </cell>
          <cell r="BG1470">
            <v>16</v>
          </cell>
          <cell r="BH1470">
            <v>0</v>
          </cell>
          <cell r="BI1470">
            <v>0</v>
          </cell>
          <cell r="BJ1470">
            <v>0</v>
          </cell>
          <cell r="BK1470">
            <v>1</v>
          </cell>
          <cell r="BL1470">
            <v>0</v>
          </cell>
          <cell r="BM1470">
            <v>0</v>
          </cell>
          <cell r="BN1470">
            <v>1</v>
          </cell>
          <cell r="BO1470">
            <v>0</v>
          </cell>
          <cell r="BP1470">
            <v>0</v>
          </cell>
          <cell r="BQ1470">
            <v>0</v>
          </cell>
          <cell r="BR1470">
            <v>8</v>
          </cell>
          <cell r="BS1470">
            <v>0</v>
          </cell>
          <cell r="BT1470">
            <v>0</v>
          </cell>
          <cell r="BU1470">
            <v>17</v>
          </cell>
        </row>
        <row r="1471">
          <cell r="A1471">
            <v>34</v>
          </cell>
          <cell r="B1471">
            <v>34</v>
          </cell>
          <cell r="D1471">
            <v>0</v>
          </cell>
          <cell r="F1471">
            <v>0</v>
          </cell>
          <cell r="G1471">
            <v>1</v>
          </cell>
          <cell r="I1471">
            <v>1</v>
          </cell>
          <cell r="J1471">
            <v>0</v>
          </cell>
          <cell r="K1471">
            <v>8</v>
          </cell>
          <cell r="L1471">
            <v>8</v>
          </cell>
          <cell r="M1471">
            <v>3</v>
          </cell>
          <cell r="O1471">
            <v>0</v>
          </cell>
          <cell r="P1471">
            <v>0</v>
          </cell>
          <cell r="Q1471">
            <v>1</v>
          </cell>
          <cell r="R1471">
            <v>0</v>
          </cell>
          <cell r="S1471">
            <v>0</v>
          </cell>
          <cell r="T1471">
            <v>2</v>
          </cell>
          <cell r="V1471">
            <v>0</v>
          </cell>
          <cell r="W1471">
            <v>82</v>
          </cell>
          <cell r="X1471">
            <v>4</v>
          </cell>
          <cell r="Y1471">
            <v>2</v>
          </cell>
          <cell r="AA1471">
            <v>0</v>
          </cell>
          <cell r="AB1471">
            <v>0</v>
          </cell>
          <cell r="AC1471">
            <v>1</v>
          </cell>
          <cell r="AD1471">
            <v>0</v>
          </cell>
          <cell r="AE1471">
            <v>0</v>
          </cell>
          <cell r="AF1471">
            <v>0</v>
          </cell>
          <cell r="AG1471">
            <v>0</v>
          </cell>
          <cell r="AH1471">
            <v>0</v>
          </cell>
          <cell r="AI1471">
            <v>3</v>
          </cell>
          <cell r="AK1471">
            <v>0</v>
          </cell>
          <cell r="AL1471">
            <v>1</v>
          </cell>
          <cell r="AN1471">
            <v>4404</v>
          </cell>
          <cell r="AO1471">
            <v>2</v>
          </cell>
          <cell r="AQ1471">
            <v>0</v>
          </cell>
          <cell r="AR1471">
            <v>12</v>
          </cell>
          <cell r="AS1471">
            <v>3</v>
          </cell>
          <cell r="AT1471">
            <v>1</v>
          </cell>
          <cell r="AU1471">
            <v>0</v>
          </cell>
          <cell r="AV1471">
            <v>6</v>
          </cell>
          <cell r="AW1471">
            <v>6</v>
          </cell>
          <cell r="AX1471">
            <v>3</v>
          </cell>
          <cell r="AY1471">
            <v>4</v>
          </cell>
          <cell r="AZ1471">
            <v>4</v>
          </cell>
          <cell r="BA1471">
            <v>4</v>
          </cell>
          <cell r="BB1471">
            <v>3</v>
          </cell>
          <cell r="BC1471">
            <v>1</v>
          </cell>
          <cell r="BD1471">
            <v>1</v>
          </cell>
          <cell r="BE1471">
            <v>2</v>
          </cell>
          <cell r="BF1471">
            <v>2</v>
          </cell>
          <cell r="BG1471">
            <v>4</v>
          </cell>
          <cell r="BH1471">
            <v>0</v>
          </cell>
          <cell r="BI1471">
            <v>1</v>
          </cell>
          <cell r="BJ1471">
            <v>0</v>
          </cell>
          <cell r="BK1471">
            <v>0</v>
          </cell>
          <cell r="BL1471">
            <v>0</v>
          </cell>
          <cell r="BM1471">
            <v>0</v>
          </cell>
          <cell r="BN1471">
            <v>1</v>
          </cell>
          <cell r="BO1471">
            <v>0</v>
          </cell>
          <cell r="BP1471">
            <v>0</v>
          </cell>
          <cell r="BQ1471">
            <v>2</v>
          </cell>
          <cell r="BR1471">
            <v>0</v>
          </cell>
          <cell r="BS1471">
            <v>0</v>
          </cell>
          <cell r="BT1471">
            <v>6</v>
          </cell>
          <cell r="BU147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Tools"/>
    </sheetNames>
    <definedNames>
      <definedName name="WatermarkMsg_Student"/>
    </defined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nqi Wu" refreshedDate="43424.625857870371" createdVersion="6" refreshedVersion="6" minRefreshableVersion="3" recordCount="1470" xr:uid="{00000000-000A-0000-FFFF-FFFF00000000}">
  <cacheSource type="worksheet">
    <worksheetSource ref="A1:BE1471" sheet="Data"/>
  </cacheSource>
  <cacheFields count="53">
    <cacheField name="Age" numFmtId="0">
      <sharedItems containsSemiMixedTypes="0" containsString="0" containsNumber="1" containsInteger="1" minValue="18" maxValue="60"/>
    </cacheField>
    <cacheField name="Attrition" numFmtId="0">
      <sharedItems count="2">
        <s v="Yes"/>
        <s v="No"/>
      </sharedItems>
    </cacheField>
    <cacheField name="Attrition_yes" numFmtId="0">
      <sharedItems containsSemiMixedTypes="0" containsString="0" containsNumber="1" containsInteger="1" minValue="0" maxValue="1"/>
    </cacheField>
    <cacheField name="BusinessTravel" numFmtId="0">
      <sharedItems/>
    </cacheField>
    <cacheField name="BusinessTravel_Frequently" numFmtId="0">
      <sharedItems containsSemiMixedTypes="0" containsString="0" containsNumber="1" containsInteger="1" minValue="0" maxValue="1"/>
    </cacheField>
    <cacheField name="BusinessTravel_rarely" numFmtId="0">
      <sharedItems containsSemiMixedTypes="0" containsString="0" containsNumber="1" containsInteger="1" minValue="0" maxValue="1"/>
    </cacheField>
    <cacheField name="DailyRate" numFmtId="0">
      <sharedItems containsSemiMixedTypes="0" containsString="0" containsNumber="1" containsInteger="1" minValue="102" maxValue="1499"/>
    </cacheField>
    <cacheField name="Department" numFmtId="0">
      <sharedItems/>
    </cacheField>
    <cacheField name="Dept_R&amp;D" numFmtId="0">
      <sharedItems containsSemiMixedTypes="0" containsString="0" containsNumber="1" containsInteger="1" minValue="0" maxValue="1"/>
    </cacheField>
    <cacheField name="Dept_Sales" numFmtId="0">
      <sharedItems containsSemiMixedTypes="0" containsString="0" containsNumber="1" containsInteger="1" minValue="0" maxValue="1"/>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ducationField_Life Sci" numFmtId="0">
      <sharedItems containsSemiMixedTypes="0" containsString="0" containsNumber="1" containsInteger="1" minValue="0" maxValue="1"/>
    </cacheField>
    <cacheField name="EducationField_Other" numFmtId="0">
      <sharedItems containsSemiMixedTypes="0" containsString="0" containsNumber="1" containsInteger="1" minValue="0" maxValue="1"/>
    </cacheField>
    <cacheField name="EducationField_Medical" numFmtId="0">
      <sharedItems containsSemiMixedTypes="0" containsString="0" containsNumber="1" containsInteger="1" minValue="0" maxValue="1"/>
    </cacheField>
    <cacheField name="EducationField_Mkt" numFmtId="0">
      <sharedItems containsSemiMixedTypes="0" containsString="0" containsNumber="1" containsInteger="1" minValue="0" maxValue="1"/>
    </cacheField>
    <cacheField name="EducationField_Tech " numFmtId="0">
      <sharedItems containsSemiMixedTypes="0" containsString="0" containsNumber="1" containsInteger="1" minValue="0" maxValue="1"/>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Female" numFmtId="0">
      <sharedItems containsSemiMixedTypes="0" containsString="0" containsNumber="1" containsInteger="1" minValue="0" maxValue="1"/>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Role_Health Rep" numFmtId="0">
      <sharedItems containsSemiMixedTypes="0" containsString="0" containsNumber="1" containsInteger="1" minValue="0" maxValue="1"/>
    </cacheField>
    <cacheField name="JobRole_Sales Exe" numFmtId="0">
      <sharedItems containsSemiMixedTypes="0" containsString="0" containsNumber="1" containsInteger="1" minValue="0" maxValue="1"/>
    </cacheField>
    <cacheField name="JobRole_Lab" numFmtId="0">
      <sharedItems containsSemiMixedTypes="0" containsString="0" containsNumber="1" containsInteger="1" minValue="0" maxValue="1"/>
    </cacheField>
    <cacheField name="JobRole_Mgr" numFmtId="0">
      <sharedItems containsSemiMixedTypes="0" containsString="0" containsNumber="1" containsInteger="1" minValue="0" maxValue="1"/>
    </cacheField>
    <cacheField name="JobRole_Manuf Dir" numFmtId="0">
      <sharedItems containsSemiMixedTypes="0" containsString="0" containsNumber="1" containsInteger="1" minValue="0" maxValue="1"/>
    </cacheField>
    <cacheField name="JobRole_Research Dir" numFmtId="0">
      <sharedItems containsSemiMixedTypes="0" containsString="0" containsNumber="1" containsInteger="1" minValue="0" maxValue="1"/>
    </cacheField>
    <cacheField name="JobRole_Sales Rep" numFmtId="0">
      <sharedItems containsSemiMixedTypes="0" containsString="0" containsNumber="1" containsInteger="1" minValue="0" maxValue="1"/>
    </cacheField>
    <cacheField name="JobRole_Research Sci" numFmtId="0">
      <sharedItems containsSemiMixedTypes="0" containsString="0" containsNumber="1" containsInteger="1" minValue="0" maxValue="1"/>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arital_Single"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Overtime_Yes" numFmtId="0">
      <sharedItems containsSemiMixedTypes="0" containsString="0" containsNumber="1" containsInteger="1" minValue="0" maxValue="1"/>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aming Guo" refreshedDate="43434.918548379632" createdVersion="6" refreshedVersion="6" minRefreshableVersion="3" recordCount="1472" xr:uid="{00000000-000A-0000-FFFF-FFFF0A000000}">
  <cacheSource type="worksheet">
    <worksheetSource ref="A1:BG1048576" sheet="Data"/>
  </cacheSource>
  <cacheFields count="59">
    <cacheField name="Age" numFmtId="0">
      <sharedItems containsString="0" containsBlank="1" containsNumber="1" containsInteger="1" minValue="18" maxValue="60"/>
    </cacheField>
    <cacheField name="Wins_Age" numFmtId="0">
      <sharedItems containsString="0" containsBlank="1" containsNumber="1" minValue="19" maxValue="58.309999999999945"/>
    </cacheField>
    <cacheField name="Attrition" numFmtId="0">
      <sharedItems containsBlank="1" count="3">
        <s v="Yes"/>
        <s v="No"/>
        <m/>
      </sharedItems>
    </cacheField>
    <cacheField name="Attrition_yes" numFmtId="0">
      <sharedItems containsString="0" containsBlank="1" containsNumber="1" containsInteger="1" minValue="0" maxValue="1"/>
    </cacheField>
    <cacheField name="BusinessTravel" numFmtId="0">
      <sharedItems containsBlank="1"/>
    </cacheField>
    <cacheField name="BusinessTravel_Frequently" numFmtId="0">
      <sharedItems containsString="0" containsBlank="1" containsNumber="1" containsInteger="1" minValue="0" maxValue="1"/>
    </cacheField>
    <cacheField name="BusinessTravel_rarely" numFmtId="0">
      <sharedItems containsString="0" containsBlank="1" containsNumber="1" containsInteger="1" minValue="0" maxValue="1"/>
    </cacheField>
    <cacheField name="Department" numFmtId="0">
      <sharedItems containsBlank="1" count="4">
        <s v="Sales"/>
        <s v="Research &amp; Development"/>
        <s v="Human Resources"/>
        <m/>
      </sharedItems>
    </cacheField>
    <cacheField name="Dept_R&amp;D" numFmtId="0">
      <sharedItems containsString="0" containsBlank="1" containsNumber="1" containsInteger="1" minValue="0" maxValue="1"/>
    </cacheField>
    <cacheField name="Dept_Sales" numFmtId="0">
      <sharedItems containsString="0" containsBlank="1" containsNumber="1" containsInteger="1" minValue="0" maxValue="1"/>
    </cacheField>
    <cacheField name="DistanceFromHome" numFmtId="0">
      <sharedItems containsString="0" containsBlank="1" containsNumber="1" containsInteger="1" minValue="1" maxValue="29"/>
    </cacheField>
    <cacheField name="Wins_DistanceFromHome" numFmtId="0">
      <sharedItems containsString="0" containsBlank="1" containsNumber="1" containsInteger="1" minValue="1" maxValue="29"/>
    </cacheField>
    <cacheField name="Education" numFmtId="0">
      <sharedItems containsString="0" containsBlank="1" containsNumber="1" containsInteger="1" minValue="1" maxValue="5"/>
    </cacheField>
    <cacheField name="EducationField" numFmtId="0">
      <sharedItems containsBlank="1"/>
    </cacheField>
    <cacheField name="EducationField_Life Sci" numFmtId="0">
      <sharedItems containsString="0" containsBlank="1" containsNumber="1" containsInteger="1" minValue="0" maxValue="1"/>
    </cacheField>
    <cacheField name="EducationField_Other" numFmtId="0">
      <sharedItems containsString="0" containsBlank="1" containsNumber="1" containsInteger="1" minValue="0" maxValue="1"/>
    </cacheField>
    <cacheField name="EducationField_Medical" numFmtId="0">
      <sharedItems containsString="0" containsBlank="1" containsNumber="1" containsInteger="1" minValue="0" maxValue="1"/>
    </cacheField>
    <cacheField name="EducationField_Mkt" numFmtId="0">
      <sharedItems containsString="0" containsBlank="1" containsNumber="1" containsInteger="1" minValue="0" maxValue="1"/>
    </cacheField>
    <cacheField name="EducationField_Tech " numFmtId="0">
      <sharedItems containsString="0" containsBlank="1" containsNumber="1" containsInteger="1" minValue="0" maxValue="1"/>
    </cacheField>
    <cacheField name="EnvironmentSatisfaction" numFmtId="0">
      <sharedItems containsString="0" containsBlank="1" containsNumber="1" containsInteger="1" minValue="1" maxValue="4" count="5">
        <n v="2"/>
        <n v="3"/>
        <n v="4"/>
        <n v="1"/>
        <m/>
      </sharedItems>
    </cacheField>
    <cacheField name="Gender" numFmtId="0">
      <sharedItems containsBlank="1"/>
    </cacheField>
    <cacheField name="Female" numFmtId="0">
      <sharedItems containsString="0" containsBlank="1" containsNumber="1" containsInteger="1" minValue="0" maxValue="1"/>
    </cacheField>
    <cacheField name="HourlyRate" numFmtId="0">
      <sharedItems containsString="0" containsBlank="1" containsNumber="1" containsInteger="1" minValue="30" maxValue="100"/>
    </cacheField>
    <cacheField name="JobInvolvement" numFmtId="0">
      <sharedItems containsString="0" containsBlank="1" containsNumber="1" containsInteger="1" minValue="1" maxValue="4"/>
    </cacheField>
    <cacheField name="JobLevel" numFmtId="0">
      <sharedItems containsString="0" containsBlank="1" containsNumber="1" containsInteger="1" minValue="1" maxValue="5"/>
    </cacheField>
    <cacheField name="JobRole" numFmtId="0">
      <sharedItems containsBlank="1"/>
    </cacheField>
    <cacheField name="JobRole_Health Rep" numFmtId="0">
      <sharedItems containsString="0" containsBlank="1" containsNumber="1" containsInteger="1" minValue="0" maxValue="1"/>
    </cacheField>
    <cacheField name="JobRole_Sales Exe" numFmtId="0">
      <sharedItems containsString="0" containsBlank="1" containsNumber="1" containsInteger="1" minValue="0" maxValue="1"/>
    </cacheField>
    <cacheField name="JobRole_Lab" numFmtId="0">
      <sharedItems containsString="0" containsBlank="1" containsNumber="1" containsInteger="1" minValue="0" maxValue="1"/>
    </cacheField>
    <cacheField name="JobRole_Mgr" numFmtId="0">
      <sharedItems containsString="0" containsBlank="1" containsNumber="1" containsInteger="1" minValue="0" maxValue="1"/>
    </cacheField>
    <cacheField name="JobRole_Manuf Dir" numFmtId="0">
      <sharedItems containsString="0" containsBlank="1" containsNumber="1" containsInteger="1" minValue="0" maxValue="1"/>
    </cacheField>
    <cacheField name="JobRole_Research Dir" numFmtId="0">
      <sharedItems containsString="0" containsBlank="1" containsNumber="1" containsInteger="1" minValue="0" maxValue="1"/>
    </cacheField>
    <cacheField name="JobRole_Sales Rep" numFmtId="0">
      <sharedItems containsString="0" containsBlank="1" containsNumber="1" containsInteger="1" minValue="0" maxValue="1"/>
    </cacheField>
    <cacheField name="JobRole_Research Sci" numFmtId="0">
      <sharedItems containsString="0" containsBlank="1" containsNumber="1" containsInteger="1" minValue="0" maxValue="1"/>
    </cacheField>
    <cacheField name="JobSatisfaction" numFmtId="0">
      <sharedItems containsString="0" containsBlank="1" containsNumber="1" containsInteger="1" minValue="1" maxValue="4"/>
    </cacheField>
    <cacheField name="MaritalStatus" numFmtId="0">
      <sharedItems containsBlank="1" count="4">
        <s v="Single"/>
        <s v="Married"/>
        <s v="Divorced"/>
        <m/>
      </sharedItems>
    </cacheField>
    <cacheField name="Marital_Single" numFmtId="0">
      <sharedItems containsString="0" containsBlank="1" containsNumber="1" containsInteger="1" minValue="0" maxValue="1"/>
    </cacheField>
    <cacheField name="Marital_Married" numFmtId="0">
      <sharedItems containsString="0" containsBlank="1" containsNumber="1" containsInteger="1" minValue="0" maxValue="1"/>
    </cacheField>
    <cacheField name="MonthlyIncome" numFmtId="0">
      <sharedItems containsString="0" containsBlank="1" containsNumber="1" containsInteger="1" minValue="1009" maxValue="19999"/>
    </cacheField>
    <cacheField name="Wins_MonthlyIncome" numFmtId="0">
      <sharedItems containsString="0" containsBlank="1" containsNumber="1" minValue="1382.46" maxValue="19626.310000000001"/>
    </cacheField>
    <cacheField name="NumCompaniesWorked" numFmtId="0">
      <sharedItems containsString="0" containsBlank="1" containsNumber="1" containsInteger="1" minValue="0" maxValue="9"/>
    </cacheField>
    <cacheField name="OverTime" numFmtId="0">
      <sharedItems containsBlank="1" count="3">
        <s v="Yes"/>
        <s v="No"/>
        <m/>
      </sharedItems>
    </cacheField>
    <cacheField name="Overtime_Yes" numFmtId="0">
      <sharedItems containsString="0" containsBlank="1" containsNumber="1" containsInteger="1" minValue="0" maxValue="1"/>
    </cacheField>
    <cacheField name="PercentSalaryHike" numFmtId="0">
      <sharedItems containsString="0" containsBlank="1" containsNumber="1" containsInteger="1" minValue="11" maxValue="25"/>
    </cacheField>
    <cacheField name="PerformanceRating" numFmtId="0">
      <sharedItems containsString="0" containsBlank="1" containsNumber="1" containsInteger="1" minValue="3" maxValue="4"/>
    </cacheField>
    <cacheField name="RelationshipSatisfaction" numFmtId="0">
      <sharedItems containsString="0" containsBlank="1" containsNumber="1" containsInteger="1" minValue="1" maxValue="4"/>
    </cacheField>
    <cacheField name="StockOptionLevel" numFmtId="0">
      <sharedItems containsString="0" containsBlank="1" containsNumber="1" containsInteger="1" minValue="0" maxValue="3"/>
    </cacheField>
    <cacheField name="TotalWorkingYears" numFmtId="0">
      <sharedItems containsString="0" containsBlank="1" containsNumber="1" containsInteger="1" minValue="0" maxValue="40"/>
    </cacheField>
    <cacheField name="Wins_TotalWorkingYears" numFmtId="0">
      <sharedItems containsString="0" containsBlank="1" containsNumber="1" containsInteger="1" minValue="1" maxValue="35"/>
    </cacheField>
    <cacheField name="TrainingTimesLastYear" numFmtId="0">
      <sharedItems containsString="0" containsBlank="1" containsNumber="1" containsInteger="1" minValue="0" maxValue="6"/>
    </cacheField>
    <cacheField name="WorkLifeBalance" numFmtId="0">
      <sharedItems containsString="0" containsBlank="1" containsNumber="1" containsInteger="1" minValue="1" maxValue="4"/>
    </cacheField>
    <cacheField name="YearsAtCompany" numFmtId="0">
      <sharedItems containsString="0" containsBlank="1" containsNumber="1" containsInteger="1" minValue="0" maxValue="40"/>
    </cacheField>
    <cacheField name="Wins_YearsAtCompany" numFmtId="0">
      <sharedItems containsString="0" containsBlank="1" containsNumber="1" containsInteger="1" minValue="0" maxValue="31"/>
    </cacheField>
    <cacheField name="YearsInCurrentRole" numFmtId="0">
      <sharedItems containsString="0" containsBlank="1" containsNumber="1" containsInteger="1" minValue="0" maxValue="18"/>
    </cacheField>
    <cacheField name="YearsSinceLastPromotion" numFmtId="0">
      <sharedItems containsString="0" containsBlank="1" containsNumber="1" containsInteger="1" minValue="0" maxValue="15"/>
    </cacheField>
    <cacheField name="Win_YearsSinceLastPromotion" numFmtId="0">
      <sharedItems containsString="0" containsBlank="1" containsNumber="1" containsInteger="1" minValue="0" maxValue="14"/>
    </cacheField>
    <cacheField name="YearsWithCurrManager" numFmtId="0">
      <sharedItems containsString="0" containsBlank="1" containsNumber="1" containsInteger="1" minValue="0" maxValue="17"/>
    </cacheField>
    <cacheField name="Wins_YearsWithCurrentMgr" numFmtId="0">
      <sharedItems containsString="0" containsBlank="1" containsNumber="1" containsInteger="1" minValue="0" maxValue="14"/>
    </cacheField>
    <cacheField name="JobLevel_YearsWithCurrentMgr" numFmtId="0">
      <sharedItems containsString="0" containsBlank="1" containsNumber="1" containsInteger="1" minValue="0" maxValue="7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urva Sharma" refreshedDate="43441.575830439811" createdVersion="6" refreshedVersion="6" minRefreshableVersion="3" recordCount="1470" xr:uid="{B5E90DAD-6C91-409D-BCFE-1CC76521DED3}">
  <cacheSource type="worksheet">
    <worksheetSource ref="A1:CB1471" sheet="Data"/>
  </cacheSource>
  <cacheFields count="80">
    <cacheField name="Age" numFmtId="0">
      <sharedItems containsSemiMixedTypes="0" containsString="0" containsNumber="1" containsInteger="1" minValue="18" maxValue="60"/>
    </cacheField>
    <cacheField name="Wins_Age" numFmtId="0">
      <sharedItems containsSemiMixedTypes="0" containsString="0" containsNumber="1" minValue="19" maxValue="58.309999999999945"/>
    </cacheField>
    <cacheField name="Attrition" numFmtId="0">
      <sharedItems/>
    </cacheField>
    <cacheField name="Attrition_yes" numFmtId="0">
      <sharedItems containsSemiMixedTypes="0" containsString="0" containsNumber="1" containsInteger="1" minValue="0" maxValue="1"/>
    </cacheField>
    <cacheField name="BusinessTravel" numFmtId="0">
      <sharedItems/>
    </cacheField>
    <cacheField name="BusinessTravel_Frequently" numFmtId="0">
      <sharedItems containsSemiMixedTypes="0" containsString="0" containsNumber="1" containsInteger="1" minValue="0" maxValue="1"/>
    </cacheField>
    <cacheField name="BusinessTravel_rarely" numFmtId="0">
      <sharedItems containsSemiMixedTypes="0" containsString="0" containsNumber="1" containsInteger="1" minValue="0" maxValue="1"/>
    </cacheField>
    <cacheField name="Department" numFmtId="0">
      <sharedItems count="3">
        <s v="Sales"/>
        <s v="Research &amp; Development"/>
        <s v="Human Resources"/>
      </sharedItems>
    </cacheField>
    <cacheField name="Dept_R&amp;D" numFmtId="0">
      <sharedItems containsSemiMixedTypes="0" containsString="0" containsNumber="1" containsInteger="1" minValue="0" maxValue="1"/>
    </cacheField>
    <cacheField name="Dept_Sales" numFmtId="0">
      <sharedItems containsSemiMixedTypes="0" containsString="0" containsNumber="1" containsInteger="1" minValue="0" maxValue="1"/>
    </cacheField>
    <cacheField name="DistanceFromHome" numFmtId="0">
      <sharedItems containsSemiMixedTypes="0" containsString="0" containsNumber="1" containsInteger="1" minValue="1" maxValue="29"/>
    </cacheField>
    <cacheField name="Wins_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ducationField_Life Sci" numFmtId="0">
      <sharedItems containsSemiMixedTypes="0" containsString="0" containsNumber="1" containsInteger="1" minValue="0" maxValue="1"/>
    </cacheField>
    <cacheField name="EducationField_Other" numFmtId="0">
      <sharedItems containsSemiMixedTypes="0" containsString="0" containsNumber="1" containsInteger="1" minValue="0" maxValue="1"/>
    </cacheField>
    <cacheField name="EducationField_Medical" numFmtId="0">
      <sharedItems containsSemiMixedTypes="0" containsString="0" containsNumber="1" containsInteger="1" minValue="0" maxValue="1"/>
    </cacheField>
    <cacheField name="EducationField_Mkt" numFmtId="0">
      <sharedItems containsSemiMixedTypes="0" containsString="0" containsNumber="1" containsInteger="1" minValue="0" maxValue="1"/>
    </cacheField>
    <cacheField name="EducationField_Tech " numFmtId="0">
      <sharedItems containsSemiMixedTypes="0" containsString="0" containsNumber="1" containsInteger="1" minValue="0" maxValue="1"/>
    </cacheField>
    <cacheField name="EnvironmentSatisfaction" numFmtId="0">
      <sharedItems containsSemiMixedTypes="0" containsString="0" containsNumber="1" containsInteger="1" minValue="1" maxValue="4"/>
    </cacheField>
    <cacheField name="Gender" numFmtId="0">
      <sharedItems/>
    </cacheField>
    <cacheField name="Female" numFmtId="0">
      <sharedItems containsSemiMixedTypes="0" containsString="0" containsNumber="1" containsInteger="1" minValue="0" maxValue="1"/>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Role_Health Rep" numFmtId="0">
      <sharedItems containsSemiMixedTypes="0" containsString="0" containsNumber="1" containsInteger="1" minValue="0" maxValue="1"/>
    </cacheField>
    <cacheField name="JobRole_Sales Exe" numFmtId="0">
      <sharedItems containsSemiMixedTypes="0" containsString="0" containsNumber="1" containsInteger="1" minValue="0" maxValue="1"/>
    </cacheField>
    <cacheField name="JobRole_Lab" numFmtId="0">
      <sharedItems containsSemiMixedTypes="0" containsString="0" containsNumber="1" containsInteger="1" minValue="0" maxValue="1"/>
    </cacheField>
    <cacheField name="JobRole_Mgr" numFmtId="0">
      <sharedItems containsSemiMixedTypes="0" containsString="0" containsNumber="1" containsInteger="1" minValue="0" maxValue="1"/>
    </cacheField>
    <cacheField name="JobRole_Manuf Dir" numFmtId="0">
      <sharedItems containsSemiMixedTypes="0" containsString="0" containsNumber="1" containsInteger="1" minValue="0" maxValue="1"/>
    </cacheField>
    <cacheField name="JobRole_Research Dir" numFmtId="0">
      <sharedItems containsSemiMixedTypes="0" containsString="0" containsNumber="1" containsInteger="1" minValue="0" maxValue="1"/>
    </cacheField>
    <cacheField name="JobRole_Sales Rep" numFmtId="0">
      <sharedItems containsSemiMixedTypes="0" containsString="0" containsNumber="1" containsInteger="1" minValue="0" maxValue="1"/>
    </cacheField>
    <cacheField name="JobRole_Research Sci" numFmtId="0">
      <sharedItems containsSemiMixedTypes="0" containsString="0" containsNumber="1" containsInteger="1" minValue="0" maxValue="1"/>
    </cacheField>
    <cacheField name="JobSatisfaction" numFmtId="0">
      <sharedItems containsSemiMixedTypes="0" containsString="0" containsNumber="1" containsInteger="1" minValue="1" maxValue="4"/>
    </cacheField>
    <cacheField name="MaritalStatus" numFmtId="0">
      <sharedItems/>
    </cacheField>
    <cacheField name="Marital_Single"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onthlyIncome" numFmtId="0">
      <sharedItems containsSemiMixedTypes="0" containsString="0" containsNumber="1" containsInteger="1" minValue="1009" maxValue="19999"/>
    </cacheField>
    <cacheField name="Wins_MonthlyIncome" numFmtId="0">
      <sharedItems containsSemiMixedTypes="0" containsString="0" containsNumber="1" minValue="1382.46" maxValue="19626.310000000001"/>
    </cacheField>
    <cacheField name="NumCompaniesWorked" numFmtId="0">
      <sharedItems containsSemiMixedTypes="0" containsString="0" containsNumber="1" containsInteger="1" minValue="0" maxValue="9"/>
    </cacheField>
    <cacheField name="OverTime" numFmtId="0">
      <sharedItems/>
    </cacheField>
    <cacheField name="Overtime_Yes" numFmtId="0">
      <sharedItems containsSemiMixedTypes="0" containsString="0" containsNumber="1" containsInteger="1" minValue="0" maxValue="1"/>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Wins_TotalWorkingYears" numFmtId="0">
      <sharedItems containsSemiMixedTypes="0" containsString="0" containsNumber="1" containsInteger="1" minValue="1" maxValue="35" count="35">
        <n v="8"/>
        <n v="10"/>
        <n v="7"/>
        <n v="6"/>
        <n v="12"/>
        <n v="1"/>
        <n v="17"/>
        <n v="5"/>
        <n v="3"/>
        <n v="31"/>
        <n v="13"/>
        <n v="26"/>
        <n v="24"/>
        <n v="22"/>
        <n v="9"/>
        <n v="19"/>
        <n v="2"/>
        <n v="23"/>
        <n v="14"/>
        <n v="15"/>
        <n v="4"/>
        <n v="29"/>
        <n v="28"/>
        <n v="21"/>
        <n v="25"/>
        <n v="20"/>
        <n v="11"/>
        <n v="16"/>
        <n v="35"/>
        <n v="30"/>
        <n v="18"/>
        <n v="34"/>
        <n v="32"/>
        <n v="33"/>
        <n v="27"/>
      </sharedItems>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Wins_YearsAtCompany" numFmtId="0">
      <sharedItems containsSemiMixedTypes="0" containsString="0" containsNumber="1" containsInteger="1" minValue="0" maxValue="31"/>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Win_YearsSinceLastPromotion" numFmtId="0">
      <sharedItems containsSemiMixedTypes="0" containsString="0" containsNumber="1" containsInteger="1" minValue="0" maxValue="14"/>
    </cacheField>
    <cacheField name="YearsWithCurrManager" numFmtId="0">
      <sharedItems containsSemiMixedTypes="0" containsString="0" containsNumber="1" containsInteger="1" minValue="0" maxValue="17"/>
    </cacheField>
    <cacheField name="Wins_YearsWithCurrentMgr" numFmtId="0">
      <sharedItems containsSemiMixedTypes="0" containsString="0" containsNumber="1" containsInteger="1" minValue="0" maxValue="14"/>
    </cacheField>
    <cacheField name="JobLevel_YearsWithCurrentMgr" numFmtId="0">
      <sharedItems containsSemiMixedTypes="0" containsString="0" containsNumber="1" containsInteger="1" minValue="0" maxValue="70"/>
    </cacheField>
    <cacheField name="Interaction(BusinessTravel_Frequently=0 and Marital_Married=0)" numFmtId="0">
      <sharedItems containsSemiMixedTypes="0" containsString="0" containsNumber="1" containsInteger="1" minValue="0" maxValue="1"/>
    </cacheField>
    <cacheField name="Interaction(BusinessTravel_Frequently=0 and Marital_Married=1)" numFmtId="0">
      <sharedItems containsSemiMixedTypes="0" containsString="0" containsNumber="1" containsInteger="1" minValue="0" maxValue="1"/>
    </cacheField>
    <cacheField name="Interaction(BusinessTravel_Frequently=1 and Marital_Married=0)" numFmtId="0">
      <sharedItems containsSemiMixedTypes="0" containsString="0" containsNumber="1" containsInteger="1" minValue="0" maxValue="1"/>
    </cacheField>
    <cacheField name="Interaction(BusinessTravel_Frequently=1 and Marital_Married=1)" numFmtId="0">
      <sharedItems containsSemiMixedTypes="0" containsString="0" containsNumber="1" containsInteger="1" minValue="0" maxValue="1"/>
    </cacheField>
    <cacheField name="Interaction(Marital_Married=0 and Overtime_Yes=0)" numFmtId="0">
      <sharedItems containsSemiMixedTypes="0" containsString="0" containsNumber="1" containsInteger="1" minValue="0" maxValue="1"/>
    </cacheField>
    <cacheField name="Interaction(Marital_Married=0 and Overtime_Yes=1)" numFmtId="0">
      <sharedItems containsSemiMixedTypes="0" containsString="0" containsNumber="1" containsInteger="1" minValue="0" maxValue="1"/>
    </cacheField>
    <cacheField name="Interaction(Marital_Married=1 and Overtime_Yes=0)" numFmtId="0">
      <sharedItems containsSemiMixedTypes="0" containsString="0" containsNumber="1" containsInteger="1" minValue="0" maxValue="1"/>
    </cacheField>
    <cacheField name="Interaction(Marital_Married=1 and Overtime_Yes=1)" numFmtId="0">
      <sharedItems containsSemiMixedTypes="0" containsString="0" containsNumber="1" containsInteger="1" minValue="0" maxValue="1"/>
    </cacheField>
    <cacheField name="Interaction(Wins_YearsWithCurrentMgr,Department = Human Resources)" numFmtId="0">
      <sharedItems containsSemiMixedTypes="0" containsString="0" containsNumber="1" containsInteger="1" minValue="0" maxValue="10"/>
    </cacheField>
    <cacheField name="Interaction(Wins_YearsWithCurrentMgr,Department = Research &amp; Development)" numFmtId="0">
      <sharedItems containsSemiMixedTypes="0" containsString="0" containsNumber="1" containsInteger="1" minValue="0" maxValue="14"/>
    </cacheField>
    <cacheField name="Interaction(Wins_YearsWithCurrentMgr,Department = Sales)" numFmtId="0">
      <sharedItems containsSemiMixedTypes="0" containsString="0" containsNumber="1" containsInteger="1" minValue="0" maxValue="14"/>
    </cacheField>
    <cacheField name="Interaction(Wins_TotalWorkingYears,Department = Human Resources)" numFmtId="0">
      <sharedItems containsSemiMixedTypes="0" containsString="0" containsNumber="1" containsInteger="1" minValue="0" maxValue="35"/>
    </cacheField>
    <cacheField name="Interaction(Wins_TotalWorkingYears,Department = Research &amp; Development)" numFmtId="0">
      <sharedItems containsSemiMixedTypes="0" containsString="0" containsNumber="1" containsInteger="1" minValue="0" maxValue="35"/>
    </cacheField>
    <cacheField name="Interaction(Wins_TotalWorkingYears,Department = Sales)" numFmtId="0">
      <sharedItems containsSemiMixedTypes="0" containsString="0" containsNumber="1" containsInteger="1" minValue="0" maxValue="35"/>
    </cacheField>
    <cacheField name="Monthly Income_Zscore" numFmtId="0">
      <sharedItems containsSemiMixedTypes="0" containsString="0" containsNumber="1" minValue="1.9781246088546319E-4" maxValue="2.8666509335716812"/>
    </cacheField>
    <cacheField name="YearsWithCurrManager2" numFmtId="0">
      <sharedItems containsSemiMixedTypes="0" containsString="0" containsNumber="1" minValue="3.4508002929560584E-2" maxValue="3.6088507594124417"/>
    </cacheField>
    <cacheField name="TotalWorkingYears2" numFmtId="0">
      <sharedItems containsSemiMixedTypes="0" containsString="0" containsNumber="1" minValue="3.593364373846001E-2" maxValue="3.6911983089879388"/>
    </cacheField>
    <cacheField name="YearsAtCompany2" numFmtId="0">
      <sharedItems containsSemiMixedTypes="0" containsString="0" containsNumber="1" minValue="1.3324462240916321E-3" maxValue="5.3850814146662671"/>
    </cacheField>
    <cacheField name="DistanceFromHome2" numFmtId="0">
      <sharedItems containsSemiMixedTypes="0" containsString="0" containsNumber="1" minValue="2.3747406698420157E-2" maxValue="2.4432976708053049"/>
    </cacheField>
    <cacheField name="Age2" numFmtId="0">
      <sharedItems containsSemiMixedTypes="0" containsString="0" containsNumber="1" minValue="8.3401599596422994E-3" maxValue="2.5260259477766707"/>
    </cacheField>
    <cacheField name="YearsSinceLastPromotion2" numFmtId="0">
      <sharedItems containsSemiMixedTypes="0" containsString="0" containsNumber="1" minValue="5.8265062631872602E-2" maxValue="3.97595720872713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0">
  <r>
    <n v="41"/>
    <x v="0"/>
    <n v="1"/>
    <s v="Travel_Rarely"/>
    <n v="0"/>
    <n v="1"/>
    <n v="1102"/>
    <s v="Sales"/>
    <n v="0"/>
    <n v="1"/>
    <n v="1"/>
    <n v="2"/>
    <s v="Life Sciences"/>
    <n v="1"/>
    <n v="0"/>
    <n v="0"/>
    <n v="0"/>
    <n v="0"/>
    <n v="2"/>
    <x v="0"/>
    <n v="1"/>
    <n v="94"/>
    <n v="3"/>
    <n v="2"/>
    <s v="Sales Executive"/>
    <n v="0"/>
    <n v="1"/>
    <n v="0"/>
    <n v="0"/>
    <n v="0"/>
    <n v="0"/>
    <n v="0"/>
    <n v="0"/>
    <x v="0"/>
    <s v="Single"/>
    <n v="1"/>
    <n v="0"/>
    <n v="5993"/>
    <n v="19479"/>
    <n v="8"/>
    <s v="Yes"/>
    <n v="1"/>
    <n v="11"/>
    <n v="3"/>
    <n v="1"/>
    <n v="0"/>
    <n v="8"/>
    <n v="0"/>
    <n v="1"/>
    <n v="6"/>
    <n v="4"/>
    <n v="0"/>
    <n v="5"/>
  </r>
  <r>
    <n v="49"/>
    <x v="1"/>
    <n v="0"/>
    <s v="Travel_Frequently"/>
    <n v="1"/>
    <n v="0"/>
    <n v="279"/>
    <s v="Research &amp; Development"/>
    <n v="1"/>
    <n v="0"/>
    <n v="8"/>
    <n v="1"/>
    <s v="Life Sciences"/>
    <n v="1"/>
    <n v="0"/>
    <n v="0"/>
    <n v="0"/>
    <n v="0"/>
    <n v="3"/>
    <x v="1"/>
    <n v="0"/>
    <n v="61"/>
    <n v="2"/>
    <n v="2"/>
    <s v="Research Scientist"/>
    <n v="0"/>
    <n v="0"/>
    <n v="0"/>
    <n v="0"/>
    <n v="0"/>
    <n v="0"/>
    <n v="0"/>
    <n v="1"/>
    <x v="1"/>
    <s v="Married"/>
    <n v="0"/>
    <n v="1"/>
    <n v="5130"/>
    <n v="24907"/>
    <n v="1"/>
    <s v="No"/>
    <n v="0"/>
    <n v="23"/>
    <n v="4"/>
    <n v="4"/>
    <n v="1"/>
    <n v="10"/>
    <n v="3"/>
    <n v="3"/>
    <n v="10"/>
    <n v="7"/>
    <n v="1"/>
    <n v="7"/>
  </r>
  <r>
    <n v="37"/>
    <x v="0"/>
    <n v="1"/>
    <s v="Travel_Rarely"/>
    <n v="0"/>
    <n v="1"/>
    <n v="1373"/>
    <s v="Research &amp; Development"/>
    <n v="1"/>
    <n v="0"/>
    <n v="2"/>
    <n v="2"/>
    <s v="Other"/>
    <n v="0"/>
    <n v="1"/>
    <n v="0"/>
    <n v="0"/>
    <n v="0"/>
    <n v="4"/>
    <x v="1"/>
    <n v="0"/>
    <n v="92"/>
    <n v="2"/>
    <n v="1"/>
    <s v="Laboratory Technician"/>
    <n v="0"/>
    <n v="0"/>
    <n v="1"/>
    <n v="0"/>
    <n v="0"/>
    <n v="0"/>
    <n v="0"/>
    <n v="0"/>
    <x v="2"/>
    <s v="Single"/>
    <n v="1"/>
    <n v="0"/>
    <n v="2090"/>
    <n v="2396"/>
    <n v="6"/>
    <s v="Yes"/>
    <n v="1"/>
    <n v="15"/>
    <n v="3"/>
    <n v="2"/>
    <n v="0"/>
    <n v="7"/>
    <n v="3"/>
    <n v="3"/>
    <n v="0"/>
    <n v="0"/>
    <n v="0"/>
    <n v="0"/>
  </r>
  <r>
    <n v="33"/>
    <x v="1"/>
    <n v="0"/>
    <s v="Travel_Frequently"/>
    <n v="1"/>
    <n v="0"/>
    <n v="1392"/>
    <s v="Research &amp; Development"/>
    <n v="1"/>
    <n v="0"/>
    <n v="3"/>
    <n v="4"/>
    <s v="Life Sciences"/>
    <n v="1"/>
    <n v="0"/>
    <n v="0"/>
    <n v="0"/>
    <n v="0"/>
    <n v="4"/>
    <x v="0"/>
    <n v="1"/>
    <n v="56"/>
    <n v="3"/>
    <n v="1"/>
    <s v="Research Scientist"/>
    <n v="0"/>
    <n v="0"/>
    <n v="0"/>
    <n v="0"/>
    <n v="0"/>
    <n v="0"/>
    <n v="0"/>
    <n v="1"/>
    <x v="2"/>
    <s v="Married"/>
    <n v="0"/>
    <n v="1"/>
    <n v="2909"/>
    <n v="23159"/>
    <n v="1"/>
    <s v="Yes"/>
    <n v="1"/>
    <n v="11"/>
    <n v="3"/>
    <n v="3"/>
    <n v="0"/>
    <n v="8"/>
    <n v="3"/>
    <n v="3"/>
    <n v="8"/>
    <n v="7"/>
    <n v="3"/>
    <n v="0"/>
  </r>
  <r>
    <n v="27"/>
    <x v="1"/>
    <n v="0"/>
    <s v="Travel_Rarely"/>
    <n v="0"/>
    <n v="1"/>
    <n v="591"/>
    <s v="Research &amp; Development"/>
    <n v="1"/>
    <n v="0"/>
    <n v="2"/>
    <n v="1"/>
    <s v="Medical"/>
    <n v="0"/>
    <n v="0"/>
    <n v="1"/>
    <n v="0"/>
    <n v="0"/>
    <n v="1"/>
    <x v="1"/>
    <n v="0"/>
    <n v="40"/>
    <n v="3"/>
    <n v="1"/>
    <s v="Laboratory Technician"/>
    <n v="0"/>
    <n v="0"/>
    <n v="1"/>
    <n v="0"/>
    <n v="0"/>
    <n v="0"/>
    <n v="0"/>
    <n v="0"/>
    <x v="1"/>
    <s v="Married"/>
    <n v="0"/>
    <n v="1"/>
    <n v="3468"/>
    <n v="16632"/>
    <n v="9"/>
    <s v="No"/>
    <n v="0"/>
    <n v="12"/>
    <n v="3"/>
    <n v="4"/>
    <n v="1"/>
    <n v="6"/>
    <n v="3"/>
    <n v="3"/>
    <n v="2"/>
    <n v="2"/>
    <n v="2"/>
    <n v="2"/>
  </r>
  <r>
    <n v="32"/>
    <x v="1"/>
    <n v="0"/>
    <s v="Travel_Frequently"/>
    <n v="1"/>
    <n v="0"/>
    <n v="1005"/>
    <s v="Research &amp; Development"/>
    <n v="1"/>
    <n v="0"/>
    <n v="2"/>
    <n v="2"/>
    <s v="Life Sciences"/>
    <n v="1"/>
    <n v="0"/>
    <n v="0"/>
    <n v="0"/>
    <n v="0"/>
    <n v="4"/>
    <x v="1"/>
    <n v="0"/>
    <n v="79"/>
    <n v="3"/>
    <n v="1"/>
    <s v="Laboratory Technician"/>
    <n v="0"/>
    <n v="0"/>
    <n v="1"/>
    <n v="0"/>
    <n v="0"/>
    <n v="0"/>
    <n v="0"/>
    <n v="0"/>
    <x v="0"/>
    <s v="Single"/>
    <n v="1"/>
    <n v="0"/>
    <n v="3068"/>
    <n v="11864"/>
    <n v="0"/>
    <s v="No"/>
    <n v="0"/>
    <n v="13"/>
    <n v="3"/>
    <n v="3"/>
    <n v="0"/>
    <n v="8"/>
    <n v="2"/>
    <n v="2"/>
    <n v="7"/>
    <n v="7"/>
    <n v="3"/>
    <n v="6"/>
  </r>
  <r>
    <n v="59"/>
    <x v="1"/>
    <n v="0"/>
    <s v="Travel_Rarely"/>
    <n v="0"/>
    <n v="1"/>
    <n v="1324"/>
    <s v="Research &amp; Development"/>
    <n v="1"/>
    <n v="0"/>
    <n v="3"/>
    <n v="3"/>
    <s v="Medical"/>
    <n v="0"/>
    <n v="0"/>
    <n v="1"/>
    <n v="0"/>
    <n v="0"/>
    <n v="3"/>
    <x v="0"/>
    <n v="1"/>
    <n v="81"/>
    <n v="4"/>
    <n v="1"/>
    <s v="Laboratory Technician"/>
    <n v="0"/>
    <n v="0"/>
    <n v="1"/>
    <n v="0"/>
    <n v="0"/>
    <n v="0"/>
    <n v="0"/>
    <n v="0"/>
    <x v="3"/>
    <s v="Married"/>
    <n v="0"/>
    <n v="1"/>
    <n v="2670"/>
    <n v="9964"/>
    <n v="4"/>
    <s v="Yes"/>
    <n v="1"/>
    <n v="20"/>
    <n v="4"/>
    <n v="1"/>
    <n v="3"/>
    <n v="12"/>
    <n v="3"/>
    <n v="2"/>
    <n v="1"/>
    <n v="0"/>
    <n v="0"/>
    <n v="0"/>
  </r>
  <r>
    <n v="30"/>
    <x v="1"/>
    <n v="0"/>
    <s v="Travel_Rarely"/>
    <n v="0"/>
    <n v="1"/>
    <n v="1358"/>
    <s v="Research &amp; Development"/>
    <n v="1"/>
    <n v="0"/>
    <n v="24"/>
    <n v="1"/>
    <s v="Life Sciences"/>
    <n v="1"/>
    <n v="0"/>
    <n v="0"/>
    <n v="0"/>
    <n v="0"/>
    <n v="4"/>
    <x v="1"/>
    <n v="0"/>
    <n v="67"/>
    <n v="3"/>
    <n v="1"/>
    <s v="Laboratory Technician"/>
    <n v="0"/>
    <n v="0"/>
    <n v="1"/>
    <n v="0"/>
    <n v="0"/>
    <n v="0"/>
    <n v="0"/>
    <n v="0"/>
    <x v="2"/>
    <s v="Divorced"/>
    <n v="0"/>
    <n v="0"/>
    <n v="2693"/>
    <n v="13335"/>
    <n v="1"/>
    <s v="No"/>
    <n v="0"/>
    <n v="22"/>
    <n v="4"/>
    <n v="2"/>
    <n v="1"/>
    <n v="1"/>
    <n v="2"/>
    <n v="3"/>
    <n v="1"/>
    <n v="0"/>
    <n v="0"/>
    <n v="0"/>
  </r>
  <r>
    <n v="38"/>
    <x v="1"/>
    <n v="0"/>
    <s v="Travel_Frequently"/>
    <n v="1"/>
    <n v="0"/>
    <n v="216"/>
    <s v="Research &amp; Development"/>
    <n v="1"/>
    <n v="0"/>
    <n v="23"/>
    <n v="3"/>
    <s v="Life Sciences"/>
    <n v="1"/>
    <n v="0"/>
    <n v="0"/>
    <n v="0"/>
    <n v="0"/>
    <n v="4"/>
    <x v="1"/>
    <n v="0"/>
    <n v="44"/>
    <n v="2"/>
    <n v="3"/>
    <s v="Manufacturing Director"/>
    <n v="0"/>
    <n v="0"/>
    <n v="0"/>
    <n v="0"/>
    <n v="1"/>
    <n v="1"/>
    <n v="0"/>
    <n v="0"/>
    <x v="2"/>
    <s v="Single"/>
    <n v="1"/>
    <n v="0"/>
    <n v="9526"/>
    <n v="8787"/>
    <n v="0"/>
    <s v="No"/>
    <n v="0"/>
    <n v="21"/>
    <n v="4"/>
    <n v="2"/>
    <n v="0"/>
    <n v="10"/>
    <n v="2"/>
    <n v="3"/>
    <n v="9"/>
    <n v="7"/>
    <n v="1"/>
    <n v="8"/>
  </r>
  <r>
    <n v="36"/>
    <x v="1"/>
    <n v="0"/>
    <s v="Travel_Rarely"/>
    <n v="0"/>
    <n v="1"/>
    <n v="1299"/>
    <s v="Research &amp; Development"/>
    <n v="1"/>
    <n v="0"/>
    <n v="27"/>
    <n v="3"/>
    <s v="Medical"/>
    <n v="0"/>
    <n v="0"/>
    <n v="1"/>
    <n v="0"/>
    <n v="0"/>
    <n v="3"/>
    <x v="1"/>
    <n v="0"/>
    <n v="94"/>
    <n v="3"/>
    <n v="2"/>
    <s v="Healthcare Representative"/>
    <n v="1"/>
    <n v="0"/>
    <n v="0"/>
    <n v="0"/>
    <n v="0"/>
    <n v="0"/>
    <n v="0"/>
    <n v="0"/>
    <x v="2"/>
    <s v="Married"/>
    <n v="0"/>
    <n v="1"/>
    <n v="5237"/>
    <n v="16577"/>
    <n v="6"/>
    <s v="No"/>
    <n v="0"/>
    <n v="13"/>
    <n v="3"/>
    <n v="2"/>
    <n v="2"/>
    <n v="17"/>
    <n v="3"/>
    <n v="2"/>
    <n v="7"/>
    <n v="7"/>
    <n v="7"/>
    <n v="7"/>
  </r>
  <r>
    <n v="35"/>
    <x v="1"/>
    <n v="0"/>
    <s v="Travel_Rarely"/>
    <n v="0"/>
    <n v="1"/>
    <n v="809"/>
    <s v="Research &amp; Development"/>
    <n v="1"/>
    <n v="0"/>
    <n v="16"/>
    <n v="3"/>
    <s v="Medical"/>
    <n v="0"/>
    <n v="0"/>
    <n v="1"/>
    <n v="0"/>
    <n v="0"/>
    <n v="1"/>
    <x v="1"/>
    <n v="0"/>
    <n v="84"/>
    <n v="4"/>
    <n v="1"/>
    <s v="Laboratory Technician"/>
    <n v="0"/>
    <n v="0"/>
    <n v="1"/>
    <n v="0"/>
    <n v="0"/>
    <n v="0"/>
    <n v="0"/>
    <n v="0"/>
    <x v="1"/>
    <s v="Married"/>
    <n v="0"/>
    <n v="1"/>
    <n v="2426"/>
    <n v="16479"/>
    <n v="0"/>
    <s v="No"/>
    <n v="0"/>
    <n v="13"/>
    <n v="3"/>
    <n v="3"/>
    <n v="1"/>
    <n v="6"/>
    <n v="5"/>
    <n v="3"/>
    <n v="5"/>
    <n v="4"/>
    <n v="0"/>
    <n v="3"/>
  </r>
  <r>
    <n v="29"/>
    <x v="1"/>
    <n v="0"/>
    <s v="Travel_Rarely"/>
    <n v="0"/>
    <n v="1"/>
    <n v="153"/>
    <s v="Research &amp; Development"/>
    <n v="1"/>
    <n v="0"/>
    <n v="15"/>
    <n v="2"/>
    <s v="Life Sciences"/>
    <n v="1"/>
    <n v="0"/>
    <n v="0"/>
    <n v="0"/>
    <n v="0"/>
    <n v="4"/>
    <x v="0"/>
    <n v="1"/>
    <n v="49"/>
    <n v="2"/>
    <n v="2"/>
    <s v="Laboratory Technician"/>
    <n v="0"/>
    <n v="0"/>
    <n v="1"/>
    <n v="0"/>
    <n v="0"/>
    <n v="0"/>
    <n v="0"/>
    <n v="0"/>
    <x v="2"/>
    <s v="Single"/>
    <n v="1"/>
    <n v="0"/>
    <n v="4193"/>
    <n v="12682"/>
    <n v="0"/>
    <s v="Yes"/>
    <n v="1"/>
    <n v="12"/>
    <n v="3"/>
    <n v="4"/>
    <n v="0"/>
    <n v="10"/>
    <n v="3"/>
    <n v="3"/>
    <n v="9"/>
    <n v="5"/>
    <n v="0"/>
    <n v="8"/>
  </r>
  <r>
    <n v="31"/>
    <x v="1"/>
    <n v="0"/>
    <s v="Travel_Rarely"/>
    <n v="0"/>
    <n v="1"/>
    <n v="670"/>
    <s v="Research &amp; Development"/>
    <n v="1"/>
    <n v="0"/>
    <n v="26"/>
    <n v="1"/>
    <s v="Life Sciences"/>
    <n v="1"/>
    <n v="0"/>
    <n v="0"/>
    <n v="0"/>
    <n v="0"/>
    <n v="1"/>
    <x v="1"/>
    <n v="0"/>
    <n v="31"/>
    <n v="3"/>
    <n v="1"/>
    <s v="Research Scientist"/>
    <n v="0"/>
    <n v="0"/>
    <n v="0"/>
    <n v="0"/>
    <n v="0"/>
    <n v="0"/>
    <n v="0"/>
    <n v="1"/>
    <x v="2"/>
    <s v="Divorced"/>
    <n v="0"/>
    <n v="0"/>
    <n v="2911"/>
    <n v="15170"/>
    <n v="1"/>
    <s v="No"/>
    <n v="0"/>
    <n v="17"/>
    <n v="3"/>
    <n v="4"/>
    <n v="1"/>
    <n v="5"/>
    <n v="1"/>
    <n v="2"/>
    <n v="5"/>
    <n v="2"/>
    <n v="4"/>
    <n v="3"/>
  </r>
  <r>
    <n v="34"/>
    <x v="1"/>
    <n v="0"/>
    <s v="Travel_Rarely"/>
    <n v="0"/>
    <n v="1"/>
    <n v="1346"/>
    <s v="Research &amp; Development"/>
    <n v="1"/>
    <n v="0"/>
    <n v="19"/>
    <n v="2"/>
    <s v="Medical"/>
    <n v="0"/>
    <n v="0"/>
    <n v="1"/>
    <n v="0"/>
    <n v="0"/>
    <n v="2"/>
    <x v="1"/>
    <n v="0"/>
    <n v="93"/>
    <n v="3"/>
    <n v="1"/>
    <s v="Laboratory Technician"/>
    <n v="0"/>
    <n v="0"/>
    <n v="1"/>
    <n v="0"/>
    <n v="0"/>
    <n v="0"/>
    <n v="0"/>
    <n v="0"/>
    <x v="0"/>
    <s v="Divorced"/>
    <n v="0"/>
    <n v="0"/>
    <n v="2661"/>
    <n v="8758"/>
    <n v="0"/>
    <s v="No"/>
    <n v="0"/>
    <n v="11"/>
    <n v="3"/>
    <n v="3"/>
    <n v="1"/>
    <n v="3"/>
    <n v="2"/>
    <n v="3"/>
    <n v="2"/>
    <n v="2"/>
    <n v="1"/>
    <n v="2"/>
  </r>
  <r>
    <n v="28"/>
    <x v="0"/>
    <n v="1"/>
    <s v="Travel_Rarely"/>
    <n v="0"/>
    <n v="1"/>
    <n v="103"/>
    <s v="Research &amp; Development"/>
    <n v="1"/>
    <n v="0"/>
    <n v="24"/>
    <n v="3"/>
    <s v="Life Sciences"/>
    <n v="1"/>
    <n v="0"/>
    <n v="0"/>
    <n v="0"/>
    <n v="0"/>
    <n v="3"/>
    <x v="1"/>
    <n v="0"/>
    <n v="50"/>
    <n v="2"/>
    <n v="1"/>
    <s v="Laboratory Technician"/>
    <n v="0"/>
    <n v="0"/>
    <n v="1"/>
    <n v="0"/>
    <n v="0"/>
    <n v="0"/>
    <n v="0"/>
    <n v="0"/>
    <x v="2"/>
    <s v="Single"/>
    <n v="1"/>
    <n v="0"/>
    <n v="2028"/>
    <n v="12947"/>
    <n v="5"/>
    <s v="Yes"/>
    <n v="1"/>
    <n v="14"/>
    <n v="3"/>
    <n v="2"/>
    <n v="0"/>
    <n v="6"/>
    <n v="4"/>
    <n v="3"/>
    <n v="4"/>
    <n v="2"/>
    <n v="0"/>
    <n v="3"/>
  </r>
  <r>
    <n v="29"/>
    <x v="1"/>
    <n v="0"/>
    <s v="Travel_Rarely"/>
    <n v="0"/>
    <n v="1"/>
    <n v="1389"/>
    <s v="Research &amp; Development"/>
    <n v="1"/>
    <n v="0"/>
    <n v="21"/>
    <n v="4"/>
    <s v="Life Sciences"/>
    <n v="1"/>
    <n v="0"/>
    <n v="0"/>
    <n v="0"/>
    <n v="0"/>
    <n v="2"/>
    <x v="0"/>
    <n v="1"/>
    <n v="51"/>
    <n v="4"/>
    <n v="3"/>
    <s v="Manufacturing Director"/>
    <n v="0"/>
    <n v="0"/>
    <n v="0"/>
    <n v="0"/>
    <n v="1"/>
    <n v="1"/>
    <n v="0"/>
    <n v="0"/>
    <x v="3"/>
    <s v="Divorced"/>
    <n v="0"/>
    <n v="0"/>
    <n v="9980"/>
    <n v="10195"/>
    <n v="1"/>
    <s v="No"/>
    <n v="0"/>
    <n v="11"/>
    <n v="3"/>
    <n v="3"/>
    <n v="1"/>
    <n v="10"/>
    <n v="1"/>
    <n v="3"/>
    <n v="10"/>
    <n v="9"/>
    <n v="8"/>
    <n v="8"/>
  </r>
  <r>
    <n v="32"/>
    <x v="1"/>
    <n v="0"/>
    <s v="Travel_Rarely"/>
    <n v="0"/>
    <n v="1"/>
    <n v="334"/>
    <s v="Research &amp; Development"/>
    <n v="1"/>
    <n v="0"/>
    <n v="5"/>
    <n v="2"/>
    <s v="Life Sciences"/>
    <n v="1"/>
    <n v="0"/>
    <n v="0"/>
    <n v="0"/>
    <n v="0"/>
    <n v="1"/>
    <x v="1"/>
    <n v="0"/>
    <n v="80"/>
    <n v="4"/>
    <n v="1"/>
    <s v="Research Scientist"/>
    <n v="0"/>
    <n v="0"/>
    <n v="0"/>
    <n v="0"/>
    <n v="0"/>
    <n v="0"/>
    <n v="0"/>
    <n v="1"/>
    <x v="1"/>
    <s v="Divorced"/>
    <n v="0"/>
    <n v="0"/>
    <n v="3298"/>
    <n v="15053"/>
    <n v="0"/>
    <s v="Yes"/>
    <n v="1"/>
    <n v="12"/>
    <n v="3"/>
    <n v="4"/>
    <n v="2"/>
    <n v="7"/>
    <n v="5"/>
    <n v="2"/>
    <n v="6"/>
    <n v="2"/>
    <n v="0"/>
    <n v="5"/>
  </r>
  <r>
    <n v="22"/>
    <x v="1"/>
    <n v="0"/>
    <s v="Non-Travel"/>
    <n v="0"/>
    <n v="0"/>
    <n v="1123"/>
    <s v="Research &amp; Development"/>
    <n v="1"/>
    <n v="0"/>
    <n v="16"/>
    <n v="2"/>
    <s v="Medical"/>
    <n v="0"/>
    <n v="0"/>
    <n v="1"/>
    <n v="0"/>
    <n v="0"/>
    <n v="4"/>
    <x v="1"/>
    <n v="0"/>
    <n v="96"/>
    <n v="4"/>
    <n v="1"/>
    <s v="Laboratory Technician"/>
    <n v="0"/>
    <n v="0"/>
    <n v="1"/>
    <n v="0"/>
    <n v="0"/>
    <n v="0"/>
    <n v="0"/>
    <n v="0"/>
    <x v="0"/>
    <s v="Divorced"/>
    <n v="0"/>
    <n v="0"/>
    <n v="2935"/>
    <n v="7324"/>
    <n v="1"/>
    <s v="Yes"/>
    <n v="1"/>
    <n v="13"/>
    <n v="3"/>
    <n v="2"/>
    <n v="2"/>
    <n v="1"/>
    <n v="2"/>
    <n v="2"/>
    <n v="1"/>
    <n v="0"/>
    <n v="0"/>
    <n v="0"/>
  </r>
  <r>
    <n v="53"/>
    <x v="1"/>
    <n v="0"/>
    <s v="Travel_Rarely"/>
    <n v="0"/>
    <n v="1"/>
    <n v="1219"/>
    <s v="Sales"/>
    <n v="0"/>
    <n v="1"/>
    <n v="2"/>
    <n v="4"/>
    <s v="Life Sciences"/>
    <n v="1"/>
    <n v="0"/>
    <n v="0"/>
    <n v="0"/>
    <n v="0"/>
    <n v="1"/>
    <x v="0"/>
    <n v="1"/>
    <n v="78"/>
    <n v="2"/>
    <n v="4"/>
    <s v="Manager"/>
    <n v="0"/>
    <n v="0"/>
    <n v="0"/>
    <n v="1"/>
    <n v="0"/>
    <n v="0"/>
    <n v="0"/>
    <n v="0"/>
    <x v="0"/>
    <s v="Married"/>
    <n v="0"/>
    <n v="1"/>
    <n v="15427"/>
    <n v="22021"/>
    <n v="2"/>
    <s v="No"/>
    <n v="0"/>
    <n v="16"/>
    <n v="3"/>
    <n v="3"/>
    <n v="0"/>
    <n v="31"/>
    <n v="3"/>
    <n v="3"/>
    <n v="25"/>
    <n v="8"/>
    <n v="3"/>
    <n v="7"/>
  </r>
  <r>
    <n v="38"/>
    <x v="1"/>
    <n v="0"/>
    <s v="Travel_Rarely"/>
    <n v="0"/>
    <n v="1"/>
    <n v="371"/>
    <s v="Research &amp; Development"/>
    <n v="1"/>
    <n v="0"/>
    <n v="2"/>
    <n v="3"/>
    <s v="Life Sciences"/>
    <n v="1"/>
    <n v="0"/>
    <n v="0"/>
    <n v="0"/>
    <n v="0"/>
    <n v="4"/>
    <x v="1"/>
    <n v="0"/>
    <n v="45"/>
    <n v="3"/>
    <n v="1"/>
    <s v="Research Scientist"/>
    <n v="0"/>
    <n v="0"/>
    <n v="0"/>
    <n v="0"/>
    <n v="0"/>
    <n v="0"/>
    <n v="0"/>
    <n v="1"/>
    <x v="0"/>
    <s v="Single"/>
    <n v="1"/>
    <n v="0"/>
    <n v="3944"/>
    <n v="4306"/>
    <n v="5"/>
    <s v="Yes"/>
    <n v="1"/>
    <n v="11"/>
    <n v="3"/>
    <n v="3"/>
    <n v="0"/>
    <n v="6"/>
    <n v="3"/>
    <n v="3"/>
    <n v="3"/>
    <n v="2"/>
    <n v="1"/>
    <n v="2"/>
  </r>
  <r>
    <n v="24"/>
    <x v="1"/>
    <n v="0"/>
    <s v="Non-Travel"/>
    <n v="0"/>
    <n v="0"/>
    <n v="673"/>
    <s v="Research &amp; Development"/>
    <n v="1"/>
    <n v="0"/>
    <n v="11"/>
    <n v="2"/>
    <s v="Other"/>
    <n v="0"/>
    <n v="1"/>
    <n v="0"/>
    <n v="0"/>
    <n v="0"/>
    <n v="1"/>
    <x v="0"/>
    <n v="1"/>
    <n v="96"/>
    <n v="4"/>
    <n v="2"/>
    <s v="Manufacturing Director"/>
    <n v="0"/>
    <n v="0"/>
    <n v="0"/>
    <n v="0"/>
    <n v="1"/>
    <n v="1"/>
    <n v="0"/>
    <n v="0"/>
    <x v="2"/>
    <s v="Divorced"/>
    <n v="0"/>
    <n v="0"/>
    <n v="4011"/>
    <n v="8232"/>
    <n v="0"/>
    <s v="No"/>
    <n v="0"/>
    <n v="18"/>
    <n v="3"/>
    <n v="4"/>
    <n v="1"/>
    <n v="5"/>
    <n v="5"/>
    <n v="2"/>
    <n v="4"/>
    <n v="2"/>
    <n v="1"/>
    <n v="3"/>
  </r>
  <r>
    <n v="36"/>
    <x v="0"/>
    <n v="1"/>
    <s v="Travel_Rarely"/>
    <n v="0"/>
    <n v="1"/>
    <n v="1218"/>
    <s v="Sales"/>
    <n v="0"/>
    <n v="1"/>
    <n v="9"/>
    <n v="4"/>
    <s v="Life Sciences"/>
    <n v="1"/>
    <n v="0"/>
    <n v="0"/>
    <n v="0"/>
    <n v="0"/>
    <n v="3"/>
    <x v="1"/>
    <n v="0"/>
    <n v="82"/>
    <n v="2"/>
    <n v="1"/>
    <s v="Sales Representative"/>
    <n v="0"/>
    <n v="0"/>
    <n v="0"/>
    <n v="0"/>
    <n v="0"/>
    <n v="0"/>
    <n v="1"/>
    <n v="0"/>
    <x v="3"/>
    <s v="Single"/>
    <n v="1"/>
    <n v="0"/>
    <n v="3407"/>
    <n v="6986"/>
    <n v="7"/>
    <s v="No"/>
    <n v="0"/>
    <n v="23"/>
    <n v="4"/>
    <n v="2"/>
    <n v="0"/>
    <n v="10"/>
    <n v="4"/>
    <n v="3"/>
    <n v="5"/>
    <n v="3"/>
    <n v="0"/>
    <n v="3"/>
  </r>
  <r>
    <n v="34"/>
    <x v="1"/>
    <n v="0"/>
    <s v="Travel_Rarely"/>
    <n v="0"/>
    <n v="1"/>
    <n v="419"/>
    <s v="Research &amp; Development"/>
    <n v="1"/>
    <n v="0"/>
    <n v="7"/>
    <n v="4"/>
    <s v="Life Sciences"/>
    <n v="1"/>
    <n v="0"/>
    <n v="0"/>
    <n v="0"/>
    <n v="0"/>
    <n v="1"/>
    <x v="0"/>
    <n v="1"/>
    <n v="53"/>
    <n v="3"/>
    <n v="3"/>
    <s v="Research Director"/>
    <n v="0"/>
    <n v="0"/>
    <n v="0"/>
    <n v="0"/>
    <n v="0"/>
    <n v="0"/>
    <n v="0"/>
    <n v="0"/>
    <x v="1"/>
    <s v="Single"/>
    <n v="1"/>
    <n v="0"/>
    <n v="11994"/>
    <n v="21293"/>
    <n v="0"/>
    <s v="No"/>
    <n v="0"/>
    <n v="11"/>
    <n v="3"/>
    <n v="3"/>
    <n v="0"/>
    <n v="13"/>
    <n v="4"/>
    <n v="3"/>
    <n v="12"/>
    <n v="6"/>
    <n v="2"/>
    <n v="11"/>
  </r>
  <r>
    <n v="21"/>
    <x v="1"/>
    <n v="0"/>
    <s v="Travel_Rarely"/>
    <n v="0"/>
    <n v="1"/>
    <n v="391"/>
    <s v="Research &amp; Development"/>
    <n v="1"/>
    <n v="0"/>
    <n v="15"/>
    <n v="2"/>
    <s v="Life Sciences"/>
    <n v="1"/>
    <n v="0"/>
    <n v="0"/>
    <n v="0"/>
    <n v="0"/>
    <n v="3"/>
    <x v="1"/>
    <n v="0"/>
    <n v="96"/>
    <n v="3"/>
    <n v="1"/>
    <s v="Research Scientist"/>
    <n v="0"/>
    <n v="0"/>
    <n v="0"/>
    <n v="0"/>
    <n v="0"/>
    <n v="0"/>
    <n v="0"/>
    <n v="1"/>
    <x v="0"/>
    <s v="Single"/>
    <n v="1"/>
    <n v="0"/>
    <n v="1232"/>
    <n v="19281"/>
    <n v="1"/>
    <s v="No"/>
    <n v="0"/>
    <n v="14"/>
    <n v="3"/>
    <n v="4"/>
    <n v="0"/>
    <n v="0"/>
    <n v="6"/>
    <n v="3"/>
    <n v="0"/>
    <n v="0"/>
    <n v="0"/>
    <n v="0"/>
  </r>
  <r>
    <n v="34"/>
    <x v="0"/>
    <n v="1"/>
    <s v="Travel_Rarely"/>
    <n v="0"/>
    <n v="1"/>
    <n v="699"/>
    <s v="Research &amp; Development"/>
    <n v="1"/>
    <n v="0"/>
    <n v="6"/>
    <n v="1"/>
    <s v="Medical"/>
    <n v="0"/>
    <n v="0"/>
    <n v="1"/>
    <n v="0"/>
    <n v="0"/>
    <n v="2"/>
    <x v="1"/>
    <n v="0"/>
    <n v="83"/>
    <n v="3"/>
    <n v="1"/>
    <s v="Research Scientist"/>
    <n v="0"/>
    <n v="0"/>
    <n v="0"/>
    <n v="0"/>
    <n v="0"/>
    <n v="0"/>
    <n v="0"/>
    <n v="1"/>
    <x v="3"/>
    <s v="Single"/>
    <n v="1"/>
    <n v="0"/>
    <n v="2960"/>
    <n v="17102"/>
    <n v="2"/>
    <s v="No"/>
    <n v="0"/>
    <n v="11"/>
    <n v="3"/>
    <n v="3"/>
    <n v="0"/>
    <n v="8"/>
    <n v="2"/>
    <n v="3"/>
    <n v="4"/>
    <n v="2"/>
    <n v="1"/>
    <n v="3"/>
  </r>
  <r>
    <n v="53"/>
    <x v="1"/>
    <n v="0"/>
    <s v="Travel_Rarely"/>
    <n v="0"/>
    <n v="1"/>
    <n v="1282"/>
    <s v="Research &amp; Development"/>
    <n v="1"/>
    <n v="0"/>
    <n v="5"/>
    <n v="3"/>
    <s v="Other"/>
    <n v="0"/>
    <n v="1"/>
    <n v="0"/>
    <n v="0"/>
    <n v="0"/>
    <n v="3"/>
    <x v="0"/>
    <n v="1"/>
    <n v="58"/>
    <n v="3"/>
    <n v="5"/>
    <s v="Manager"/>
    <n v="0"/>
    <n v="0"/>
    <n v="0"/>
    <n v="1"/>
    <n v="0"/>
    <n v="0"/>
    <n v="0"/>
    <n v="0"/>
    <x v="2"/>
    <s v="Divorced"/>
    <n v="0"/>
    <n v="0"/>
    <n v="19094"/>
    <n v="10735"/>
    <n v="4"/>
    <s v="No"/>
    <n v="0"/>
    <n v="11"/>
    <n v="3"/>
    <n v="4"/>
    <n v="1"/>
    <n v="26"/>
    <n v="3"/>
    <n v="2"/>
    <n v="14"/>
    <n v="13"/>
    <n v="4"/>
    <n v="8"/>
  </r>
  <r>
    <n v="32"/>
    <x v="0"/>
    <n v="1"/>
    <s v="Travel_Frequently"/>
    <n v="1"/>
    <n v="0"/>
    <n v="1125"/>
    <s v="Research &amp; Development"/>
    <n v="1"/>
    <n v="0"/>
    <n v="16"/>
    <n v="1"/>
    <s v="Life Sciences"/>
    <n v="1"/>
    <n v="0"/>
    <n v="0"/>
    <n v="0"/>
    <n v="0"/>
    <n v="2"/>
    <x v="0"/>
    <n v="1"/>
    <n v="72"/>
    <n v="1"/>
    <n v="1"/>
    <s v="Research Scientist"/>
    <n v="0"/>
    <n v="0"/>
    <n v="0"/>
    <n v="0"/>
    <n v="0"/>
    <n v="0"/>
    <n v="0"/>
    <n v="1"/>
    <x v="3"/>
    <s v="Single"/>
    <n v="1"/>
    <n v="0"/>
    <n v="3919"/>
    <n v="4681"/>
    <n v="1"/>
    <s v="Yes"/>
    <n v="1"/>
    <n v="22"/>
    <n v="4"/>
    <n v="2"/>
    <n v="0"/>
    <n v="10"/>
    <n v="5"/>
    <n v="3"/>
    <n v="10"/>
    <n v="2"/>
    <n v="6"/>
    <n v="7"/>
  </r>
  <r>
    <n v="42"/>
    <x v="1"/>
    <n v="0"/>
    <s v="Travel_Rarely"/>
    <n v="0"/>
    <n v="1"/>
    <n v="691"/>
    <s v="Sales"/>
    <n v="0"/>
    <n v="1"/>
    <n v="8"/>
    <n v="4"/>
    <s v="Marketing"/>
    <n v="0"/>
    <n v="0"/>
    <n v="0"/>
    <n v="1"/>
    <n v="0"/>
    <n v="3"/>
    <x v="1"/>
    <n v="0"/>
    <n v="48"/>
    <n v="3"/>
    <n v="2"/>
    <s v="Sales Executive"/>
    <n v="0"/>
    <n v="1"/>
    <n v="0"/>
    <n v="0"/>
    <n v="0"/>
    <n v="0"/>
    <n v="0"/>
    <n v="0"/>
    <x v="1"/>
    <s v="Married"/>
    <n v="0"/>
    <n v="1"/>
    <n v="6825"/>
    <n v="21173"/>
    <n v="0"/>
    <s v="No"/>
    <n v="0"/>
    <n v="11"/>
    <n v="3"/>
    <n v="4"/>
    <n v="1"/>
    <n v="10"/>
    <n v="2"/>
    <n v="3"/>
    <n v="9"/>
    <n v="7"/>
    <n v="4"/>
    <n v="2"/>
  </r>
  <r>
    <n v="44"/>
    <x v="1"/>
    <n v="0"/>
    <s v="Travel_Rarely"/>
    <n v="0"/>
    <n v="1"/>
    <n v="477"/>
    <s v="Research &amp; Development"/>
    <n v="1"/>
    <n v="0"/>
    <n v="7"/>
    <n v="4"/>
    <s v="Medical"/>
    <n v="0"/>
    <n v="0"/>
    <n v="1"/>
    <n v="0"/>
    <n v="0"/>
    <n v="1"/>
    <x v="0"/>
    <n v="1"/>
    <n v="42"/>
    <n v="2"/>
    <n v="3"/>
    <s v="Healthcare Representative"/>
    <n v="1"/>
    <n v="0"/>
    <n v="0"/>
    <n v="0"/>
    <n v="0"/>
    <n v="0"/>
    <n v="0"/>
    <n v="0"/>
    <x v="0"/>
    <s v="Married"/>
    <n v="0"/>
    <n v="1"/>
    <n v="10248"/>
    <n v="2094"/>
    <n v="3"/>
    <s v="No"/>
    <n v="0"/>
    <n v="14"/>
    <n v="3"/>
    <n v="4"/>
    <n v="1"/>
    <n v="24"/>
    <n v="4"/>
    <n v="3"/>
    <n v="22"/>
    <n v="6"/>
    <n v="5"/>
    <n v="17"/>
  </r>
  <r>
    <n v="46"/>
    <x v="1"/>
    <n v="0"/>
    <s v="Travel_Rarely"/>
    <n v="0"/>
    <n v="1"/>
    <n v="705"/>
    <s v="Sales"/>
    <n v="0"/>
    <n v="1"/>
    <n v="2"/>
    <n v="4"/>
    <s v="Marketing"/>
    <n v="0"/>
    <n v="0"/>
    <n v="0"/>
    <n v="1"/>
    <n v="0"/>
    <n v="2"/>
    <x v="0"/>
    <n v="1"/>
    <n v="83"/>
    <n v="3"/>
    <n v="5"/>
    <s v="Manager"/>
    <n v="0"/>
    <n v="0"/>
    <n v="0"/>
    <n v="1"/>
    <n v="0"/>
    <n v="0"/>
    <n v="0"/>
    <n v="0"/>
    <x v="3"/>
    <s v="Single"/>
    <n v="1"/>
    <n v="0"/>
    <n v="18947"/>
    <n v="22822"/>
    <n v="3"/>
    <s v="No"/>
    <n v="0"/>
    <n v="12"/>
    <n v="3"/>
    <n v="4"/>
    <n v="0"/>
    <n v="22"/>
    <n v="2"/>
    <n v="2"/>
    <n v="2"/>
    <n v="2"/>
    <n v="2"/>
    <n v="1"/>
  </r>
  <r>
    <n v="33"/>
    <x v="1"/>
    <n v="0"/>
    <s v="Travel_Rarely"/>
    <n v="0"/>
    <n v="1"/>
    <n v="924"/>
    <s v="Research &amp; Development"/>
    <n v="1"/>
    <n v="0"/>
    <n v="2"/>
    <n v="3"/>
    <s v="Medical"/>
    <n v="0"/>
    <n v="0"/>
    <n v="1"/>
    <n v="0"/>
    <n v="0"/>
    <n v="3"/>
    <x v="1"/>
    <n v="0"/>
    <n v="78"/>
    <n v="3"/>
    <n v="1"/>
    <s v="Laboratory Technician"/>
    <n v="0"/>
    <n v="0"/>
    <n v="1"/>
    <n v="0"/>
    <n v="0"/>
    <n v="0"/>
    <n v="0"/>
    <n v="0"/>
    <x v="0"/>
    <s v="Single"/>
    <n v="1"/>
    <n v="0"/>
    <n v="2496"/>
    <n v="6670"/>
    <n v="4"/>
    <s v="No"/>
    <n v="0"/>
    <n v="11"/>
    <n v="3"/>
    <n v="4"/>
    <n v="0"/>
    <n v="7"/>
    <n v="3"/>
    <n v="3"/>
    <n v="1"/>
    <n v="1"/>
    <n v="0"/>
    <n v="0"/>
  </r>
  <r>
    <n v="44"/>
    <x v="1"/>
    <n v="0"/>
    <s v="Travel_Rarely"/>
    <n v="0"/>
    <n v="1"/>
    <n v="1459"/>
    <s v="Research &amp; Development"/>
    <n v="1"/>
    <n v="0"/>
    <n v="10"/>
    <n v="4"/>
    <s v="Other"/>
    <n v="0"/>
    <n v="1"/>
    <n v="0"/>
    <n v="0"/>
    <n v="0"/>
    <n v="4"/>
    <x v="1"/>
    <n v="0"/>
    <n v="41"/>
    <n v="3"/>
    <n v="2"/>
    <s v="Healthcare Representative"/>
    <n v="1"/>
    <n v="0"/>
    <n v="0"/>
    <n v="0"/>
    <n v="0"/>
    <n v="0"/>
    <n v="0"/>
    <n v="0"/>
    <x v="0"/>
    <s v="Married"/>
    <n v="0"/>
    <n v="1"/>
    <n v="6465"/>
    <n v="19121"/>
    <n v="2"/>
    <s v="Yes"/>
    <n v="1"/>
    <n v="13"/>
    <n v="3"/>
    <n v="4"/>
    <n v="0"/>
    <n v="9"/>
    <n v="5"/>
    <n v="4"/>
    <n v="4"/>
    <n v="2"/>
    <n v="1"/>
    <n v="3"/>
  </r>
  <r>
    <n v="30"/>
    <x v="1"/>
    <n v="0"/>
    <s v="Travel_Rarely"/>
    <n v="0"/>
    <n v="1"/>
    <n v="125"/>
    <s v="Research &amp; Development"/>
    <n v="1"/>
    <n v="0"/>
    <n v="9"/>
    <n v="2"/>
    <s v="Medical"/>
    <n v="0"/>
    <n v="0"/>
    <n v="1"/>
    <n v="0"/>
    <n v="0"/>
    <n v="4"/>
    <x v="1"/>
    <n v="0"/>
    <n v="83"/>
    <n v="2"/>
    <n v="1"/>
    <s v="Laboratory Technician"/>
    <n v="0"/>
    <n v="0"/>
    <n v="1"/>
    <n v="0"/>
    <n v="0"/>
    <n v="0"/>
    <n v="0"/>
    <n v="0"/>
    <x v="2"/>
    <s v="Single"/>
    <n v="1"/>
    <n v="0"/>
    <n v="2206"/>
    <n v="16117"/>
    <n v="1"/>
    <s v="No"/>
    <n v="0"/>
    <n v="13"/>
    <n v="3"/>
    <n v="1"/>
    <n v="0"/>
    <n v="10"/>
    <n v="5"/>
    <n v="3"/>
    <n v="10"/>
    <n v="0"/>
    <n v="1"/>
    <n v="8"/>
  </r>
  <r>
    <n v="39"/>
    <x v="0"/>
    <n v="1"/>
    <s v="Travel_Rarely"/>
    <n v="0"/>
    <n v="1"/>
    <n v="895"/>
    <s v="Sales"/>
    <n v="0"/>
    <n v="1"/>
    <n v="5"/>
    <n v="3"/>
    <s v="Technical Degree"/>
    <n v="0"/>
    <n v="0"/>
    <n v="0"/>
    <n v="0"/>
    <n v="1"/>
    <n v="4"/>
    <x v="1"/>
    <n v="0"/>
    <n v="56"/>
    <n v="3"/>
    <n v="2"/>
    <s v="Sales Representative"/>
    <n v="0"/>
    <n v="0"/>
    <n v="0"/>
    <n v="0"/>
    <n v="0"/>
    <n v="0"/>
    <n v="1"/>
    <n v="0"/>
    <x v="0"/>
    <s v="Married"/>
    <n v="0"/>
    <n v="1"/>
    <n v="2086"/>
    <n v="3335"/>
    <n v="3"/>
    <s v="No"/>
    <n v="0"/>
    <n v="14"/>
    <n v="3"/>
    <n v="3"/>
    <n v="1"/>
    <n v="19"/>
    <n v="6"/>
    <n v="4"/>
    <n v="1"/>
    <n v="0"/>
    <n v="0"/>
    <n v="0"/>
  </r>
  <r>
    <n v="24"/>
    <x v="0"/>
    <n v="1"/>
    <s v="Travel_Rarely"/>
    <n v="0"/>
    <n v="1"/>
    <n v="813"/>
    <s v="Research &amp; Development"/>
    <n v="1"/>
    <n v="0"/>
    <n v="1"/>
    <n v="3"/>
    <s v="Medical"/>
    <n v="0"/>
    <n v="0"/>
    <n v="1"/>
    <n v="0"/>
    <n v="0"/>
    <n v="2"/>
    <x v="1"/>
    <n v="0"/>
    <n v="61"/>
    <n v="3"/>
    <n v="1"/>
    <s v="Research Scientist"/>
    <n v="0"/>
    <n v="0"/>
    <n v="0"/>
    <n v="0"/>
    <n v="0"/>
    <n v="0"/>
    <n v="0"/>
    <n v="1"/>
    <x v="0"/>
    <s v="Married"/>
    <n v="0"/>
    <n v="1"/>
    <n v="2293"/>
    <n v="3020"/>
    <n v="2"/>
    <s v="Yes"/>
    <n v="1"/>
    <n v="16"/>
    <n v="3"/>
    <n v="1"/>
    <n v="1"/>
    <n v="6"/>
    <n v="2"/>
    <n v="2"/>
    <n v="2"/>
    <n v="0"/>
    <n v="2"/>
    <n v="0"/>
  </r>
  <r>
    <n v="43"/>
    <x v="1"/>
    <n v="0"/>
    <s v="Travel_Rarely"/>
    <n v="0"/>
    <n v="1"/>
    <n v="1273"/>
    <s v="Research &amp; Development"/>
    <n v="1"/>
    <n v="0"/>
    <n v="2"/>
    <n v="2"/>
    <s v="Medical"/>
    <n v="0"/>
    <n v="0"/>
    <n v="1"/>
    <n v="0"/>
    <n v="0"/>
    <n v="4"/>
    <x v="0"/>
    <n v="1"/>
    <n v="72"/>
    <n v="4"/>
    <n v="1"/>
    <s v="Research Scientist"/>
    <n v="0"/>
    <n v="0"/>
    <n v="0"/>
    <n v="0"/>
    <n v="0"/>
    <n v="0"/>
    <n v="0"/>
    <n v="1"/>
    <x v="2"/>
    <s v="Divorced"/>
    <n v="0"/>
    <n v="0"/>
    <n v="2645"/>
    <n v="21923"/>
    <n v="1"/>
    <s v="No"/>
    <n v="0"/>
    <n v="12"/>
    <n v="3"/>
    <n v="4"/>
    <n v="2"/>
    <n v="6"/>
    <n v="3"/>
    <n v="2"/>
    <n v="5"/>
    <n v="3"/>
    <n v="1"/>
    <n v="4"/>
  </r>
  <r>
    <n v="50"/>
    <x v="0"/>
    <n v="1"/>
    <s v="Travel_Rarely"/>
    <n v="0"/>
    <n v="1"/>
    <n v="869"/>
    <s v="Sales"/>
    <n v="0"/>
    <n v="1"/>
    <n v="3"/>
    <n v="2"/>
    <s v="Marketing"/>
    <n v="0"/>
    <n v="0"/>
    <n v="0"/>
    <n v="1"/>
    <n v="0"/>
    <n v="1"/>
    <x v="1"/>
    <n v="0"/>
    <n v="86"/>
    <n v="2"/>
    <n v="1"/>
    <s v="Sales Representative"/>
    <n v="0"/>
    <n v="0"/>
    <n v="0"/>
    <n v="0"/>
    <n v="0"/>
    <n v="0"/>
    <n v="1"/>
    <n v="0"/>
    <x v="2"/>
    <s v="Married"/>
    <n v="0"/>
    <n v="1"/>
    <n v="2683"/>
    <n v="3810"/>
    <n v="1"/>
    <s v="Yes"/>
    <n v="1"/>
    <n v="14"/>
    <n v="3"/>
    <n v="3"/>
    <n v="0"/>
    <n v="3"/>
    <n v="2"/>
    <n v="3"/>
    <n v="3"/>
    <n v="2"/>
    <n v="0"/>
    <n v="2"/>
  </r>
  <r>
    <n v="35"/>
    <x v="1"/>
    <n v="0"/>
    <s v="Travel_Rarely"/>
    <n v="0"/>
    <n v="1"/>
    <n v="890"/>
    <s v="Sales"/>
    <n v="0"/>
    <n v="1"/>
    <n v="2"/>
    <n v="3"/>
    <s v="Marketing"/>
    <n v="0"/>
    <n v="0"/>
    <n v="0"/>
    <n v="1"/>
    <n v="0"/>
    <n v="4"/>
    <x v="0"/>
    <n v="1"/>
    <n v="97"/>
    <n v="3"/>
    <n v="1"/>
    <s v="Sales Representative"/>
    <n v="0"/>
    <n v="0"/>
    <n v="0"/>
    <n v="0"/>
    <n v="0"/>
    <n v="0"/>
    <n v="1"/>
    <n v="0"/>
    <x v="0"/>
    <s v="Married"/>
    <n v="0"/>
    <n v="1"/>
    <n v="2014"/>
    <n v="9687"/>
    <n v="1"/>
    <s v="No"/>
    <n v="0"/>
    <n v="13"/>
    <n v="3"/>
    <n v="1"/>
    <n v="0"/>
    <n v="2"/>
    <n v="3"/>
    <n v="3"/>
    <n v="2"/>
    <n v="2"/>
    <n v="2"/>
    <n v="2"/>
  </r>
  <r>
    <n v="36"/>
    <x v="1"/>
    <n v="0"/>
    <s v="Travel_Rarely"/>
    <n v="0"/>
    <n v="1"/>
    <n v="852"/>
    <s v="Research &amp; Development"/>
    <n v="1"/>
    <n v="0"/>
    <n v="5"/>
    <n v="4"/>
    <s v="Life Sciences"/>
    <n v="1"/>
    <n v="0"/>
    <n v="0"/>
    <n v="0"/>
    <n v="0"/>
    <n v="2"/>
    <x v="0"/>
    <n v="1"/>
    <n v="82"/>
    <n v="2"/>
    <n v="1"/>
    <s v="Research Scientist"/>
    <n v="0"/>
    <n v="0"/>
    <n v="0"/>
    <n v="0"/>
    <n v="0"/>
    <n v="0"/>
    <n v="0"/>
    <n v="1"/>
    <x v="3"/>
    <s v="Married"/>
    <n v="0"/>
    <n v="1"/>
    <n v="3419"/>
    <n v="13072"/>
    <n v="9"/>
    <s v="Yes"/>
    <n v="1"/>
    <n v="14"/>
    <n v="3"/>
    <n v="4"/>
    <n v="1"/>
    <n v="6"/>
    <n v="3"/>
    <n v="4"/>
    <n v="1"/>
    <n v="1"/>
    <n v="0"/>
    <n v="0"/>
  </r>
  <r>
    <n v="33"/>
    <x v="1"/>
    <n v="0"/>
    <s v="Travel_Frequently"/>
    <n v="1"/>
    <n v="0"/>
    <n v="1141"/>
    <s v="Sales"/>
    <n v="0"/>
    <n v="1"/>
    <n v="1"/>
    <n v="3"/>
    <s v="Life Sciences"/>
    <n v="1"/>
    <n v="0"/>
    <n v="0"/>
    <n v="0"/>
    <n v="0"/>
    <n v="3"/>
    <x v="0"/>
    <n v="1"/>
    <n v="42"/>
    <n v="4"/>
    <n v="2"/>
    <s v="Sales Executive"/>
    <n v="0"/>
    <n v="1"/>
    <n v="0"/>
    <n v="0"/>
    <n v="0"/>
    <n v="0"/>
    <n v="0"/>
    <n v="0"/>
    <x v="3"/>
    <s v="Married"/>
    <n v="0"/>
    <n v="1"/>
    <n v="5376"/>
    <n v="3193"/>
    <n v="2"/>
    <s v="No"/>
    <n v="0"/>
    <n v="19"/>
    <n v="3"/>
    <n v="1"/>
    <n v="2"/>
    <n v="10"/>
    <n v="3"/>
    <n v="3"/>
    <n v="5"/>
    <n v="3"/>
    <n v="1"/>
    <n v="3"/>
  </r>
  <r>
    <n v="35"/>
    <x v="1"/>
    <n v="0"/>
    <s v="Travel_Rarely"/>
    <n v="0"/>
    <n v="1"/>
    <n v="464"/>
    <s v="Research &amp; Development"/>
    <n v="1"/>
    <n v="0"/>
    <n v="4"/>
    <n v="2"/>
    <s v="Other"/>
    <n v="0"/>
    <n v="1"/>
    <n v="0"/>
    <n v="0"/>
    <n v="0"/>
    <n v="3"/>
    <x v="1"/>
    <n v="0"/>
    <n v="75"/>
    <n v="3"/>
    <n v="1"/>
    <s v="Laboratory Technician"/>
    <n v="0"/>
    <n v="0"/>
    <n v="1"/>
    <n v="0"/>
    <n v="0"/>
    <n v="0"/>
    <n v="0"/>
    <n v="0"/>
    <x v="0"/>
    <s v="Divorced"/>
    <n v="0"/>
    <n v="0"/>
    <n v="1951"/>
    <n v="10910"/>
    <n v="1"/>
    <s v="No"/>
    <n v="0"/>
    <n v="12"/>
    <n v="3"/>
    <n v="3"/>
    <n v="1"/>
    <n v="1"/>
    <n v="3"/>
    <n v="3"/>
    <n v="1"/>
    <n v="0"/>
    <n v="0"/>
    <n v="0"/>
  </r>
  <r>
    <n v="27"/>
    <x v="1"/>
    <n v="0"/>
    <s v="Travel_Rarely"/>
    <n v="0"/>
    <n v="1"/>
    <n v="1240"/>
    <s v="Research &amp; Development"/>
    <n v="1"/>
    <n v="0"/>
    <n v="2"/>
    <n v="4"/>
    <s v="Life Sciences"/>
    <n v="1"/>
    <n v="0"/>
    <n v="0"/>
    <n v="0"/>
    <n v="0"/>
    <n v="4"/>
    <x v="0"/>
    <n v="1"/>
    <n v="33"/>
    <n v="3"/>
    <n v="1"/>
    <s v="Laboratory Technician"/>
    <n v="0"/>
    <n v="0"/>
    <n v="1"/>
    <n v="0"/>
    <n v="0"/>
    <n v="0"/>
    <n v="0"/>
    <n v="0"/>
    <x v="3"/>
    <s v="Divorced"/>
    <n v="0"/>
    <n v="0"/>
    <n v="2341"/>
    <n v="19715"/>
    <n v="1"/>
    <s v="No"/>
    <n v="0"/>
    <n v="13"/>
    <n v="3"/>
    <n v="4"/>
    <n v="1"/>
    <n v="1"/>
    <n v="6"/>
    <n v="3"/>
    <n v="1"/>
    <n v="0"/>
    <n v="0"/>
    <n v="0"/>
  </r>
  <r>
    <n v="26"/>
    <x v="0"/>
    <n v="1"/>
    <s v="Travel_Rarely"/>
    <n v="0"/>
    <n v="1"/>
    <n v="1357"/>
    <s v="Research &amp; Development"/>
    <n v="1"/>
    <n v="0"/>
    <n v="25"/>
    <n v="3"/>
    <s v="Life Sciences"/>
    <n v="1"/>
    <n v="0"/>
    <n v="0"/>
    <n v="0"/>
    <n v="0"/>
    <n v="1"/>
    <x v="1"/>
    <n v="0"/>
    <n v="48"/>
    <n v="1"/>
    <n v="1"/>
    <s v="Laboratory Technician"/>
    <n v="0"/>
    <n v="0"/>
    <n v="1"/>
    <n v="0"/>
    <n v="0"/>
    <n v="0"/>
    <n v="0"/>
    <n v="0"/>
    <x v="2"/>
    <s v="Single"/>
    <n v="1"/>
    <n v="0"/>
    <n v="2293"/>
    <n v="10558"/>
    <n v="1"/>
    <s v="No"/>
    <n v="0"/>
    <n v="12"/>
    <n v="3"/>
    <n v="3"/>
    <n v="0"/>
    <n v="1"/>
    <n v="2"/>
    <n v="2"/>
    <n v="1"/>
    <n v="0"/>
    <n v="0"/>
    <n v="1"/>
  </r>
  <r>
    <n v="27"/>
    <x v="1"/>
    <n v="0"/>
    <s v="Travel_Frequently"/>
    <n v="1"/>
    <n v="0"/>
    <n v="994"/>
    <s v="Sales"/>
    <n v="0"/>
    <n v="1"/>
    <n v="8"/>
    <n v="3"/>
    <s v="Life Sciences"/>
    <n v="1"/>
    <n v="0"/>
    <n v="0"/>
    <n v="0"/>
    <n v="0"/>
    <n v="4"/>
    <x v="1"/>
    <n v="0"/>
    <n v="37"/>
    <n v="3"/>
    <n v="3"/>
    <s v="Sales Executive"/>
    <n v="0"/>
    <n v="1"/>
    <n v="0"/>
    <n v="0"/>
    <n v="0"/>
    <n v="0"/>
    <n v="0"/>
    <n v="0"/>
    <x v="2"/>
    <s v="Single"/>
    <n v="1"/>
    <n v="0"/>
    <n v="8726"/>
    <n v="2975"/>
    <n v="1"/>
    <s v="No"/>
    <n v="0"/>
    <n v="15"/>
    <n v="3"/>
    <n v="4"/>
    <n v="0"/>
    <n v="9"/>
    <n v="0"/>
    <n v="3"/>
    <n v="9"/>
    <n v="8"/>
    <n v="1"/>
    <n v="7"/>
  </r>
  <r>
    <n v="30"/>
    <x v="1"/>
    <n v="0"/>
    <s v="Travel_Frequently"/>
    <n v="1"/>
    <n v="0"/>
    <n v="721"/>
    <s v="Research &amp; Development"/>
    <n v="1"/>
    <n v="0"/>
    <n v="1"/>
    <n v="2"/>
    <s v="Medical"/>
    <n v="0"/>
    <n v="0"/>
    <n v="1"/>
    <n v="0"/>
    <n v="0"/>
    <n v="3"/>
    <x v="0"/>
    <n v="1"/>
    <n v="58"/>
    <n v="3"/>
    <n v="2"/>
    <s v="Laboratory Technician"/>
    <n v="0"/>
    <n v="0"/>
    <n v="1"/>
    <n v="0"/>
    <n v="0"/>
    <n v="0"/>
    <n v="0"/>
    <n v="0"/>
    <x v="0"/>
    <s v="Single"/>
    <n v="1"/>
    <n v="0"/>
    <n v="4011"/>
    <n v="10781"/>
    <n v="1"/>
    <s v="No"/>
    <n v="0"/>
    <n v="23"/>
    <n v="4"/>
    <n v="4"/>
    <n v="0"/>
    <n v="12"/>
    <n v="2"/>
    <n v="3"/>
    <n v="12"/>
    <n v="8"/>
    <n v="3"/>
    <n v="7"/>
  </r>
  <r>
    <n v="41"/>
    <x v="0"/>
    <n v="1"/>
    <s v="Travel_Rarely"/>
    <n v="0"/>
    <n v="1"/>
    <n v="1360"/>
    <s v="Research &amp; Development"/>
    <n v="1"/>
    <n v="0"/>
    <n v="12"/>
    <n v="3"/>
    <s v="Technical Degree"/>
    <n v="0"/>
    <n v="0"/>
    <n v="0"/>
    <n v="0"/>
    <n v="1"/>
    <n v="2"/>
    <x v="0"/>
    <n v="1"/>
    <n v="49"/>
    <n v="3"/>
    <n v="5"/>
    <s v="Research Director"/>
    <n v="0"/>
    <n v="0"/>
    <n v="0"/>
    <n v="0"/>
    <n v="0"/>
    <n v="0"/>
    <n v="0"/>
    <n v="0"/>
    <x v="2"/>
    <s v="Married"/>
    <n v="0"/>
    <n v="1"/>
    <n v="19545"/>
    <n v="16280"/>
    <n v="1"/>
    <s v="No"/>
    <n v="0"/>
    <n v="12"/>
    <n v="3"/>
    <n v="4"/>
    <n v="0"/>
    <n v="23"/>
    <n v="0"/>
    <n v="3"/>
    <n v="22"/>
    <n v="15"/>
    <n v="15"/>
    <n v="8"/>
  </r>
  <r>
    <n v="34"/>
    <x v="1"/>
    <n v="0"/>
    <s v="Non-Travel"/>
    <n v="0"/>
    <n v="0"/>
    <n v="1065"/>
    <s v="Sales"/>
    <n v="0"/>
    <n v="1"/>
    <n v="23"/>
    <n v="4"/>
    <s v="Marketing"/>
    <n v="0"/>
    <n v="0"/>
    <n v="0"/>
    <n v="1"/>
    <n v="0"/>
    <n v="2"/>
    <x v="1"/>
    <n v="0"/>
    <n v="72"/>
    <n v="3"/>
    <n v="2"/>
    <s v="Sales Executive"/>
    <n v="0"/>
    <n v="1"/>
    <n v="0"/>
    <n v="0"/>
    <n v="0"/>
    <n v="0"/>
    <n v="0"/>
    <n v="0"/>
    <x v="2"/>
    <s v="Single"/>
    <n v="1"/>
    <n v="0"/>
    <n v="4568"/>
    <n v="10034"/>
    <n v="0"/>
    <s v="No"/>
    <n v="0"/>
    <n v="20"/>
    <n v="4"/>
    <n v="3"/>
    <n v="0"/>
    <n v="10"/>
    <n v="2"/>
    <n v="3"/>
    <n v="9"/>
    <n v="5"/>
    <n v="8"/>
    <n v="7"/>
  </r>
  <r>
    <n v="37"/>
    <x v="1"/>
    <n v="0"/>
    <s v="Travel_Rarely"/>
    <n v="0"/>
    <n v="1"/>
    <n v="408"/>
    <s v="Research &amp; Development"/>
    <n v="1"/>
    <n v="0"/>
    <n v="19"/>
    <n v="2"/>
    <s v="Life Sciences"/>
    <n v="1"/>
    <n v="0"/>
    <n v="0"/>
    <n v="0"/>
    <n v="0"/>
    <n v="2"/>
    <x v="1"/>
    <n v="0"/>
    <n v="73"/>
    <n v="3"/>
    <n v="1"/>
    <s v="Research Scientist"/>
    <n v="0"/>
    <n v="0"/>
    <n v="0"/>
    <n v="0"/>
    <n v="0"/>
    <n v="0"/>
    <n v="0"/>
    <n v="1"/>
    <x v="1"/>
    <s v="Married"/>
    <n v="0"/>
    <n v="1"/>
    <n v="3022"/>
    <n v="10227"/>
    <n v="4"/>
    <s v="No"/>
    <n v="0"/>
    <n v="21"/>
    <n v="4"/>
    <n v="1"/>
    <n v="0"/>
    <n v="8"/>
    <n v="1"/>
    <n v="3"/>
    <n v="1"/>
    <n v="0"/>
    <n v="0"/>
    <n v="0"/>
  </r>
  <r>
    <n v="46"/>
    <x v="1"/>
    <n v="0"/>
    <s v="Travel_Frequently"/>
    <n v="1"/>
    <n v="0"/>
    <n v="1211"/>
    <s v="Sales"/>
    <n v="0"/>
    <n v="1"/>
    <n v="5"/>
    <n v="4"/>
    <s v="Marketing"/>
    <n v="0"/>
    <n v="0"/>
    <n v="0"/>
    <n v="1"/>
    <n v="0"/>
    <n v="1"/>
    <x v="1"/>
    <n v="0"/>
    <n v="98"/>
    <n v="3"/>
    <n v="2"/>
    <s v="Sales Executive"/>
    <n v="0"/>
    <n v="1"/>
    <n v="0"/>
    <n v="0"/>
    <n v="0"/>
    <n v="0"/>
    <n v="0"/>
    <n v="0"/>
    <x v="0"/>
    <s v="Single"/>
    <n v="1"/>
    <n v="0"/>
    <n v="5772"/>
    <n v="20445"/>
    <n v="4"/>
    <s v="Yes"/>
    <n v="1"/>
    <n v="21"/>
    <n v="4"/>
    <n v="3"/>
    <n v="0"/>
    <n v="14"/>
    <n v="4"/>
    <n v="3"/>
    <n v="9"/>
    <n v="6"/>
    <n v="0"/>
    <n v="8"/>
  </r>
  <r>
    <n v="35"/>
    <x v="1"/>
    <n v="0"/>
    <s v="Travel_Rarely"/>
    <n v="0"/>
    <n v="1"/>
    <n v="1229"/>
    <s v="Research &amp; Development"/>
    <n v="1"/>
    <n v="0"/>
    <n v="8"/>
    <n v="1"/>
    <s v="Life Sciences"/>
    <n v="1"/>
    <n v="0"/>
    <n v="0"/>
    <n v="0"/>
    <n v="0"/>
    <n v="4"/>
    <x v="1"/>
    <n v="0"/>
    <n v="36"/>
    <n v="4"/>
    <n v="1"/>
    <s v="Laboratory Technician"/>
    <n v="0"/>
    <n v="0"/>
    <n v="1"/>
    <n v="0"/>
    <n v="0"/>
    <n v="0"/>
    <n v="0"/>
    <n v="0"/>
    <x v="0"/>
    <s v="Married"/>
    <n v="0"/>
    <n v="1"/>
    <n v="2269"/>
    <n v="4892"/>
    <n v="1"/>
    <s v="No"/>
    <n v="0"/>
    <n v="19"/>
    <n v="3"/>
    <n v="4"/>
    <n v="0"/>
    <n v="1"/>
    <n v="2"/>
    <n v="3"/>
    <n v="1"/>
    <n v="0"/>
    <n v="0"/>
    <n v="1"/>
  </r>
  <r>
    <n v="48"/>
    <x v="0"/>
    <n v="1"/>
    <s v="Travel_Rarely"/>
    <n v="0"/>
    <n v="1"/>
    <n v="626"/>
    <s v="Research &amp; Development"/>
    <n v="1"/>
    <n v="0"/>
    <n v="1"/>
    <n v="2"/>
    <s v="Life Sciences"/>
    <n v="1"/>
    <n v="0"/>
    <n v="0"/>
    <n v="0"/>
    <n v="0"/>
    <n v="1"/>
    <x v="1"/>
    <n v="0"/>
    <n v="98"/>
    <n v="2"/>
    <n v="3"/>
    <s v="Laboratory Technician"/>
    <n v="0"/>
    <n v="0"/>
    <n v="1"/>
    <n v="0"/>
    <n v="0"/>
    <n v="0"/>
    <n v="0"/>
    <n v="0"/>
    <x v="2"/>
    <s v="Single"/>
    <n v="1"/>
    <n v="0"/>
    <n v="5381"/>
    <n v="19294"/>
    <n v="9"/>
    <s v="Yes"/>
    <n v="1"/>
    <n v="13"/>
    <n v="3"/>
    <n v="4"/>
    <n v="0"/>
    <n v="23"/>
    <n v="2"/>
    <n v="3"/>
    <n v="1"/>
    <n v="0"/>
    <n v="0"/>
    <n v="0"/>
  </r>
  <r>
    <n v="28"/>
    <x v="0"/>
    <n v="1"/>
    <s v="Travel_Rarely"/>
    <n v="0"/>
    <n v="1"/>
    <n v="1434"/>
    <s v="Research &amp; Development"/>
    <n v="1"/>
    <n v="0"/>
    <n v="5"/>
    <n v="4"/>
    <s v="Technical Degree"/>
    <n v="0"/>
    <n v="0"/>
    <n v="0"/>
    <n v="0"/>
    <n v="1"/>
    <n v="3"/>
    <x v="1"/>
    <n v="0"/>
    <n v="50"/>
    <n v="3"/>
    <n v="1"/>
    <s v="Laboratory Technician"/>
    <n v="0"/>
    <n v="0"/>
    <n v="1"/>
    <n v="0"/>
    <n v="0"/>
    <n v="0"/>
    <n v="0"/>
    <n v="0"/>
    <x v="2"/>
    <s v="Single"/>
    <n v="1"/>
    <n v="0"/>
    <n v="3441"/>
    <n v="11179"/>
    <n v="1"/>
    <s v="Yes"/>
    <n v="1"/>
    <n v="13"/>
    <n v="3"/>
    <n v="3"/>
    <n v="0"/>
    <n v="2"/>
    <n v="3"/>
    <n v="2"/>
    <n v="2"/>
    <n v="2"/>
    <n v="2"/>
    <n v="2"/>
  </r>
  <r>
    <n v="44"/>
    <x v="1"/>
    <n v="0"/>
    <s v="Travel_Rarely"/>
    <n v="0"/>
    <n v="1"/>
    <n v="1488"/>
    <s v="Sales"/>
    <n v="0"/>
    <n v="1"/>
    <n v="1"/>
    <n v="5"/>
    <s v="Marketing"/>
    <n v="0"/>
    <n v="0"/>
    <n v="0"/>
    <n v="1"/>
    <n v="0"/>
    <n v="2"/>
    <x v="0"/>
    <n v="1"/>
    <n v="75"/>
    <n v="3"/>
    <n v="2"/>
    <s v="Sales Executive"/>
    <n v="0"/>
    <n v="1"/>
    <n v="0"/>
    <n v="0"/>
    <n v="0"/>
    <n v="0"/>
    <n v="0"/>
    <n v="0"/>
    <x v="3"/>
    <s v="Divorced"/>
    <n v="0"/>
    <n v="0"/>
    <n v="5454"/>
    <n v="4009"/>
    <n v="5"/>
    <s v="Yes"/>
    <n v="1"/>
    <n v="21"/>
    <n v="4"/>
    <n v="3"/>
    <n v="1"/>
    <n v="9"/>
    <n v="2"/>
    <n v="2"/>
    <n v="4"/>
    <n v="3"/>
    <n v="1"/>
    <n v="3"/>
  </r>
  <r>
    <n v="35"/>
    <x v="1"/>
    <n v="0"/>
    <s v="Non-Travel"/>
    <n v="0"/>
    <n v="0"/>
    <n v="1097"/>
    <s v="Research &amp; Development"/>
    <n v="1"/>
    <n v="0"/>
    <n v="11"/>
    <n v="2"/>
    <s v="Medical"/>
    <n v="0"/>
    <n v="0"/>
    <n v="1"/>
    <n v="0"/>
    <n v="0"/>
    <n v="3"/>
    <x v="1"/>
    <n v="0"/>
    <n v="79"/>
    <n v="2"/>
    <n v="3"/>
    <s v="Healthcare Representative"/>
    <n v="1"/>
    <n v="0"/>
    <n v="0"/>
    <n v="0"/>
    <n v="0"/>
    <n v="0"/>
    <n v="0"/>
    <n v="0"/>
    <x v="3"/>
    <s v="Married"/>
    <n v="0"/>
    <n v="1"/>
    <n v="9884"/>
    <n v="8302"/>
    <n v="2"/>
    <s v="Yes"/>
    <n v="1"/>
    <n v="13"/>
    <n v="3"/>
    <n v="3"/>
    <n v="1"/>
    <n v="10"/>
    <n v="3"/>
    <n v="3"/>
    <n v="4"/>
    <n v="0"/>
    <n v="2"/>
    <n v="3"/>
  </r>
  <r>
    <n v="26"/>
    <x v="1"/>
    <n v="0"/>
    <s v="Travel_Rarely"/>
    <n v="0"/>
    <n v="1"/>
    <n v="1443"/>
    <s v="Sales"/>
    <n v="0"/>
    <n v="1"/>
    <n v="23"/>
    <n v="3"/>
    <s v="Marketing"/>
    <n v="0"/>
    <n v="0"/>
    <n v="0"/>
    <n v="1"/>
    <n v="0"/>
    <n v="3"/>
    <x v="0"/>
    <n v="1"/>
    <n v="47"/>
    <n v="2"/>
    <n v="2"/>
    <s v="Sales Executive"/>
    <n v="0"/>
    <n v="1"/>
    <n v="0"/>
    <n v="0"/>
    <n v="0"/>
    <n v="0"/>
    <n v="0"/>
    <n v="0"/>
    <x v="0"/>
    <s v="Married"/>
    <n v="0"/>
    <n v="1"/>
    <n v="4157"/>
    <n v="21436"/>
    <n v="7"/>
    <s v="Yes"/>
    <n v="1"/>
    <n v="19"/>
    <n v="3"/>
    <n v="3"/>
    <n v="1"/>
    <n v="5"/>
    <n v="2"/>
    <n v="2"/>
    <n v="2"/>
    <n v="2"/>
    <n v="0"/>
    <n v="0"/>
  </r>
  <r>
    <n v="33"/>
    <x v="1"/>
    <n v="0"/>
    <s v="Travel_Frequently"/>
    <n v="1"/>
    <n v="0"/>
    <n v="515"/>
    <s v="Research &amp; Development"/>
    <n v="1"/>
    <n v="0"/>
    <n v="1"/>
    <n v="2"/>
    <s v="Life Sciences"/>
    <n v="1"/>
    <n v="0"/>
    <n v="0"/>
    <n v="0"/>
    <n v="0"/>
    <n v="1"/>
    <x v="0"/>
    <n v="1"/>
    <n v="98"/>
    <n v="3"/>
    <n v="3"/>
    <s v="Research Director"/>
    <n v="0"/>
    <n v="0"/>
    <n v="0"/>
    <n v="0"/>
    <n v="0"/>
    <n v="0"/>
    <n v="0"/>
    <n v="0"/>
    <x v="0"/>
    <s v="Single"/>
    <n v="1"/>
    <n v="0"/>
    <n v="13458"/>
    <n v="15146"/>
    <n v="1"/>
    <s v="Yes"/>
    <n v="1"/>
    <n v="12"/>
    <n v="3"/>
    <n v="3"/>
    <n v="0"/>
    <n v="15"/>
    <n v="1"/>
    <n v="3"/>
    <n v="15"/>
    <n v="14"/>
    <n v="8"/>
    <n v="12"/>
  </r>
  <r>
    <n v="35"/>
    <x v="1"/>
    <n v="0"/>
    <s v="Travel_Frequently"/>
    <n v="1"/>
    <n v="0"/>
    <n v="853"/>
    <s v="Sales"/>
    <n v="0"/>
    <n v="1"/>
    <n v="18"/>
    <n v="5"/>
    <s v="Life Sciences"/>
    <n v="1"/>
    <n v="0"/>
    <n v="0"/>
    <n v="0"/>
    <n v="0"/>
    <n v="2"/>
    <x v="1"/>
    <n v="0"/>
    <n v="71"/>
    <n v="3"/>
    <n v="3"/>
    <s v="Sales Executive"/>
    <n v="0"/>
    <n v="1"/>
    <n v="0"/>
    <n v="0"/>
    <n v="0"/>
    <n v="0"/>
    <n v="0"/>
    <n v="0"/>
    <x v="3"/>
    <s v="Married"/>
    <n v="0"/>
    <n v="1"/>
    <n v="9069"/>
    <n v="11031"/>
    <n v="1"/>
    <s v="No"/>
    <n v="0"/>
    <n v="22"/>
    <n v="4"/>
    <n v="4"/>
    <n v="1"/>
    <n v="9"/>
    <n v="3"/>
    <n v="2"/>
    <n v="9"/>
    <n v="8"/>
    <n v="1"/>
    <n v="8"/>
  </r>
  <r>
    <n v="35"/>
    <x v="1"/>
    <n v="0"/>
    <s v="Travel_Rarely"/>
    <n v="0"/>
    <n v="1"/>
    <n v="1142"/>
    <s v="Research &amp; Development"/>
    <n v="1"/>
    <n v="0"/>
    <n v="23"/>
    <n v="4"/>
    <s v="Medical"/>
    <n v="0"/>
    <n v="0"/>
    <n v="1"/>
    <n v="0"/>
    <n v="0"/>
    <n v="3"/>
    <x v="0"/>
    <n v="1"/>
    <n v="30"/>
    <n v="3"/>
    <n v="1"/>
    <s v="Laboratory Technician"/>
    <n v="0"/>
    <n v="0"/>
    <n v="1"/>
    <n v="0"/>
    <n v="0"/>
    <n v="0"/>
    <n v="0"/>
    <n v="0"/>
    <x v="3"/>
    <s v="Married"/>
    <n v="0"/>
    <n v="1"/>
    <n v="4014"/>
    <n v="16002"/>
    <n v="3"/>
    <s v="Yes"/>
    <n v="1"/>
    <n v="15"/>
    <n v="3"/>
    <n v="3"/>
    <n v="1"/>
    <n v="4"/>
    <n v="3"/>
    <n v="3"/>
    <n v="2"/>
    <n v="2"/>
    <n v="2"/>
    <n v="2"/>
  </r>
  <r>
    <n v="31"/>
    <x v="1"/>
    <n v="0"/>
    <s v="Travel_Rarely"/>
    <n v="0"/>
    <n v="1"/>
    <n v="655"/>
    <s v="Research &amp; Development"/>
    <n v="1"/>
    <n v="0"/>
    <n v="7"/>
    <n v="4"/>
    <s v="Life Sciences"/>
    <n v="1"/>
    <n v="0"/>
    <n v="0"/>
    <n v="0"/>
    <n v="0"/>
    <n v="4"/>
    <x v="1"/>
    <n v="0"/>
    <n v="48"/>
    <n v="3"/>
    <n v="2"/>
    <s v="Laboratory Technician"/>
    <n v="0"/>
    <n v="0"/>
    <n v="1"/>
    <n v="0"/>
    <n v="0"/>
    <n v="0"/>
    <n v="0"/>
    <n v="0"/>
    <x v="0"/>
    <s v="Divorced"/>
    <n v="0"/>
    <n v="0"/>
    <n v="5915"/>
    <n v="9528"/>
    <n v="3"/>
    <s v="No"/>
    <n v="0"/>
    <n v="22"/>
    <n v="4"/>
    <n v="4"/>
    <n v="1"/>
    <n v="10"/>
    <n v="3"/>
    <n v="2"/>
    <n v="7"/>
    <n v="7"/>
    <n v="1"/>
    <n v="7"/>
  </r>
  <r>
    <n v="37"/>
    <x v="1"/>
    <n v="0"/>
    <s v="Travel_Rarely"/>
    <n v="0"/>
    <n v="1"/>
    <n v="1115"/>
    <s v="Research &amp; Development"/>
    <n v="1"/>
    <n v="0"/>
    <n v="1"/>
    <n v="4"/>
    <s v="Life Sciences"/>
    <n v="1"/>
    <n v="0"/>
    <n v="0"/>
    <n v="0"/>
    <n v="0"/>
    <n v="1"/>
    <x v="1"/>
    <n v="0"/>
    <n v="51"/>
    <n v="2"/>
    <n v="2"/>
    <s v="Manufacturing Director"/>
    <n v="0"/>
    <n v="0"/>
    <n v="0"/>
    <n v="0"/>
    <n v="1"/>
    <n v="1"/>
    <n v="0"/>
    <n v="0"/>
    <x v="2"/>
    <s v="Divorced"/>
    <n v="0"/>
    <n v="0"/>
    <n v="5993"/>
    <n v="2689"/>
    <n v="1"/>
    <s v="No"/>
    <n v="0"/>
    <n v="18"/>
    <n v="3"/>
    <n v="3"/>
    <n v="1"/>
    <n v="7"/>
    <n v="2"/>
    <n v="4"/>
    <n v="7"/>
    <n v="5"/>
    <n v="0"/>
    <n v="7"/>
  </r>
  <r>
    <n v="32"/>
    <x v="1"/>
    <n v="0"/>
    <s v="Travel_Rarely"/>
    <n v="0"/>
    <n v="1"/>
    <n v="427"/>
    <s v="Research &amp; Development"/>
    <n v="1"/>
    <n v="0"/>
    <n v="1"/>
    <n v="3"/>
    <s v="Medical"/>
    <n v="0"/>
    <n v="0"/>
    <n v="1"/>
    <n v="0"/>
    <n v="0"/>
    <n v="1"/>
    <x v="1"/>
    <n v="0"/>
    <n v="33"/>
    <n v="3"/>
    <n v="2"/>
    <s v="Manufacturing Director"/>
    <n v="0"/>
    <n v="0"/>
    <n v="0"/>
    <n v="0"/>
    <n v="1"/>
    <n v="1"/>
    <n v="0"/>
    <n v="0"/>
    <x v="0"/>
    <s v="Married"/>
    <n v="0"/>
    <n v="1"/>
    <n v="6162"/>
    <n v="10877"/>
    <n v="1"/>
    <s v="Yes"/>
    <n v="1"/>
    <n v="22"/>
    <n v="4"/>
    <n v="2"/>
    <n v="1"/>
    <n v="9"/>
    <n v="3"/>
    <n v="3"/>
    <n v="9"/>
    <n v="8"/>
    <n v="7"/>
    <n v="8"/>
  </r>
  <r>
    <n v="38"/>
    <x v="1"/>
    <n v="0"/>
    <s v="Travel_Frequently"/>
    <n v="1"/>
    <n v="0"/>
    <n v="653"/>
    <s v="Research &amp; Development"/>
    <n v="1"/>
    <n v="0"/>
    <n v="29"/>
    <n v="5"/>
    <s v="Life Sciences"/>
    <n v="1"/>
    <n v="0"/>
    <n v="0"/>
    <n v="0"/>
    <n v="0"/>
    <n v="4"/>
    <x v="0"/>
    <n v="1"/>
    <n v="50"/>
    <n v="3"/>
    <n v="2"/>
    <s v="Laboratory Technician"/>
    <n v="0"/>
    <n v="0"/>
    <n v="1"/>
    <n v="0"/>
    <n v="0"/>
    <n v="0"/>
    <n v="0"/>
    <n v="0"/>
    <x v="0"/>
    <s v="Single"/>
    <n v="1"/>
    <n v="0"/>
    <n v="2406"/>
    <n v="5456"/>
    <n v="1"/>
    <s v="No"/>
    <n v="0"/>
    <n v="11"/>
    <n v="3"/>
    <n v="4"/>
    <n v="0"/>
    <n v="10"/>
    <n v="2"/>
    <n v="3"/>
    <n v="10"/>
    <n v="3"/>
    <n v="9"/>
    <n v="9"/>
  </r>
  <r>
    <n v="50"/>
    <x v="1"/>
    <n v="0"/>
    <s v="Travel_Rarely"/>
    <n v="0"/>
    <n v="1"/>
    <n v="989"/>
    <s v="Research &amp; Development"/>
    <n v="1"/>
    <n v="0"/>
    <n v="7"/>
    <n v="2"/>
    <s v="Medical"/>
    <n v="0"/>
    <n v="0"/>
    <n v="1"/>
    <n v="0"/>
    <n v="0"/>
    <n v="2"/>
    <x v="0"/>
    <n v="1"/>
    <n v="43"/>
    <n v="2"/>
    <n v="5"/>
    <s v="Research Director"/>
    <n v="0"/>
    <n v="0"/>
    <n v="0"/>
    <n v="0"/>
    <n v="0"/>
    <n v="0"/>
    <n v="0"/>
    <n v="0"/>
    <x v="2"/>
    <s v="Divorced"/>
    <n v="0"/>
    <n v="0"/>
    <n v="18740"/>
    <n v="16701"/>
    <n v="5"/>
    <s v="Yes"/>
    <n v="1"/>
    <n v="12"/>
    <n v="3"/>
    <n v="4"/>
    <n v="1"/>
    <n v="29"/>
    <n v="2"/>
    <n v="2"/>
    <n v="27"/>
    <n v="3"/>
    <n v="13"/>
    <n v="8"/>
  </r>
  <r>
    <n v="59"/>
    <x v="1"/>
    <n v="0"/>
    <s v="Travel_Rarely"/>
    <n v="0"/>
    <n v="1"/>
    <n v="1435"/>
    <s v="Sales"/>
    <n v="0"/>
    <n v="1"/>
    <n v="25"/>
    <n v="3"/>
    <s v="Life Sciences"/>
    <n v="1"/>
    <n v="0"/>
    <n v="0"/>
    <n v="0"/>
    <n v="0"/>
    <n v="1"/>
    <x v="0"/>
    <n v="1"/>
    <n v="99"/>
    <n v="3"/>
    <n v="3"/>
    <s v="Sales Executive"/>
    <n v="0"/>
    <n v="1"/>
    <n v="0"/>
    <n v="0"/>
    <n v="0"/>
    <n v="0"/>
    <n v="0"/>
    <n v="0"/>
    <x v="3"/>
    <s v="Single"/>
    <n v="1"/>
    <n v="0"/>
    <n v="7637"/>
    <n v="2354"/>
    <n v="7"/>
    <s v="No"/>
    <n v="0"/>
    <n v="11"/>
    <n v="3"/>
    <n v="4"/>
    <n v="0"/>
    <n v="28"/>
    <n v="3"/>
    <n v="2"/>
    <n v="21"/>
    <n v="16"/>
    <n v="7"/>
    <n v="9"/>
  </r>
  <r>
    <n v="36"/>
    <x v="1"/>
    <n v="0"/>
    <s v="Travel_Rarely"/>
    <n v="0"/>
    <n v="1"/>
    <n v="1223"/>
    <s v="Research &amp; Development"/>
    <n v="1"/>
    <n v="0"/>
    <n v="8"/>
    <n v="3"/>
    <s v="Technical Degree"/>
    <n v="0"/>
    <n v="0"/>
    <n v="0"/>
    <n v="0"/>
    <n v="1"/>
    <n v="3"/>
    <x v="0"/>
    <n v="1"/>
    <n v="59"/>
    <n v="3"/>
    <n v="3"/>
    <s v="Healthcare Representative"/>
    <n v="1"/>
    <n v="0"/>
    <n v="0"/>
    <n v="0"/>
    <n v="0"/>
    <n v="0"/>
    <n v="0"/>
    <n v="0"/>
    <x v="2"/>
    <s v="Divorced"/>
    <n v="0"/>
    <n v="0"/>
    <n v="10096"/>
    <n v="8202"/>
    <n v="1"/>
    <s v="No"/>
    <n v="0"/>
    <n v="13"/>
    <n v="3"/>
    <n v="2"/>
    <n v="3"/>
    <n v="17"/>
    <n v="2"/>
    <n v="3"/>
    <n v="17"/>
    <n v="14"/>
    <n v="12"/>
    <n v="8"/>
  </r>
  <r>
    <n v="55"/>
    <x v="1"/>
    <n v="0"/>
    <s v="Travel_Rarely"/>
    <n v="0"/>
    <n v="1"/>
    <n v="836"/>
    <s v="Research &amp; Development"/>
    <n v="1"/>
    <n v="0"/>
    <n v="8"/>
    <n v="3"/>
    <s v="Medical"/>
    <n v="0"/>
    <n v="0"/>
    <n v="1"/>
    <n v="0"/>
    <n v="0"/>
    <n v="4"/>
    <x v="0"/>
    <n v="1"/>
    <n v="33"/>
    <n v="3"/>
    <n v="4"/>
    <s v="Manager"/>
    <n v="0"/>
    <n v="0"/>
    <n v="0"/>
    <n v="1"/>
    <n v="0"/>
    <n v="0"/>
    <n v="0"/>
    <n v="0"/>
    <x v="2"/>
    <s v="Divorced"/>
    <n v="0"/>
    <n v="0"/>
    <n v="14756"/>
    <n v="19730"/>
    <n v="2"/>
    <s v="Yes"/>
    <n v="1"/>
    <n v="14"/>
    <n v="3"/>
    <n v="3"/>
    <n v="3"/>
    <n v="21"/>
    <n v="2"/>
    <n v="3"/>
    <n v="5"/>
    <n v="0"/>
    <n v="0"/>
    <n v="2"/>
  </r>
  <r>
    <n v="36"/>
    <x v="1"/>
    <n v="0"/>
    <s v="Travel_Frequently"/>
    <n v="1"/>
    <n v="0"/>
    <n v="1195"/>
    <s v="Research &amp; Development"/>
    <n v="1"/>
    <n v="0"/>
    <n v="11"/>
    <n v="3"/>
    <s v="Life Sciences"/>
    <n v="1"/>
    <n v="0"/>
    <n v="0"/>
    <n v="0"/>
    <n v="0"/>
    <n v="2"/>
    <x v="1"/>
    <n v="0"/>
    <n v="95"/>
    <n v="2"/>
    <n v="2"/>
    <s v="Manufacturing Director"/>
    <n v="0"/>
    <n v="0"/>
    <n v="0"/>
    <n v="0"/>
    <n v="1"/>
    <n v="1"/>
    <n v="0"/>
    <n v="0"/>
    <x v="1"/>
    <s v="Single"/>
    <n v="1"/>
    <n v="0"/>
    <n v="6499"/>
    <n v="22656"/>
    <n v="1"/>
    <s v="No"/>
    <n v="0"/>
    <n v="13"/>
    <n v="3"/>
    <n v="3"/>
    <n v="0"/>
    <n v="6"/>
    <n v="3"/>
    <n v="3"/>
    <n v="6"/>
    <n v="5"/>
    <n v="0"/>
    <n v="3"/>
  </r>
  <r>
    <n v="45"/>
    <x v="1"/>
    <n v="0"/>
    <s v="Travel_Rarely"/>
    <n v="0"/>
    <n v="1"/>
    <n v="1339"/>
    <s v="Research &amp; Development"/>
    <n v="1"/>
    <n v="0"/>
    <n v="7"/>
    <n v="3"/>
    <s v="Life Sciences"/>
    <n v="1"/>
    <n v="0"/>
    <n v="0"/>
    <n v="0"/>
    <n v="0"/>
    <n v="2"/>
    <x v="1"/>
    <n v="0"/>
    <n v="59"/>
    <n v="3"/>
    <n v="3"/>
    <s v="Research Scientist"/>
    <n v="0"/>
    <n v="0"/>
    <n v="0"/>
    <n v="0"/>
    <n v="0"/>
    <n v="0"/>
    <n v="0"/>
    <n v="1"/>
    <x v="3"/>
    <s v="Divorced"/>
    <n v="0"/>
    <n v="0"/>
    <n v="9724"/>
    <n v="18787"/>
    <n v="2"/>
    <s v="No"/>
    <n v="0"/>
    <n v="17"/>
    <n v="3"/>
    <n v="3"/>
    <n v="1"/>
    <n v="25"/>
    <n v="2"/>
    <n v="3"/>
    <n v="1"/>
    <n v="0"/>
    <n v="0"/>
    <n v="0"/>
  </r>
  <r>
    <n v="35"/>
    <x v="1"/>
    <n v="0"/>
    <s v="Travel_Frequently"/>
    <n v="1"/>
    <n v="0"/>
    <n v="664"/>
    <s v="Research &amp; Development"/>
    <n v="1"/>
    <n v="0"/>
    <n v="1"/>
    <n v="3"/>
    <s v="Medical"/>
    <n v="0"/>
    <n v="0"/>
    <n v="1"/>
    <n v="0"/>
    <n v="0"/>
    <n v="2"/>
    <x v="1"/>
    <n v="0"/>
    <n v="79"/>
    <n v="3"/>
    <n v="1"/>
    <s v="Research Scientist"/>
    <n v="0"/>
    <n v="0"/>
    <n v="0"/>
    <n v="0"/>
    <n v="0"/>
    <n v="0"/>
    <n v="0"/>
    <n v="1"/>
    <x v="3"/>
    <s v="Married"/>
    <n v="0"/>
    <n v="1"/>
    <n v="2194"/>
    <n v="5868"/>
    <n v="4"/>
    <s v="No"/>
    <n v="0"/>
    <n v="13"/>
    <n v="3"/>
    <n v="4"/>
    <n v="1"/>
    <n v="5"/>
    <n v="2"/>
    <n v="2"/>
    <n v="3"/>
    <n v="2"/>
    <n v="1"/>
    <n v="2"/>
  </r>
  <r>
    <n v="36"/>
    <x v="0"/>
    <n v="1"/>
    <s v="Travel_Rarely"/>
    <n v="0"/>
    <n v="1"/>
    <n v="318"/>
    <s v="Research &amp; Development"/>
    <n v="1"/>
    <n v="0"/>
    <n v="9"/>
    <n v="3"/>
    <s v="Medical"/>
    <n v="0"/>
    <n v="0"/>
    <n v="1"/>
    <n v="0"/>
    <n v="0"/>
    <n v="4"/>
    <x v="1"/>
    <n v="0"/>
    <n v="79"/>
    <n v="2"/>
    <n v="1"/>
    <s v="Research Scientist"/>
    <n v="0"/>
    <n v="0"/>
    <n v="0"/>
    <n v="0"/>
    <n v="0"/>
    <n v="0"/>
    <n v="0"/>
    <n v="1"/>
    <x v="2"/>
    <s v="Married"/>
    <n v="0"/>
    <n v="1"/>
    <n v="3388"/>
    <n v="21777"/>
    <n v="0"/>
    <s v="Yes"/>
    <n v="1"/>
    <n v="17"/>
    <n v="3"/>
    <n v="1"/>
    <n v="1"/>
    <n v="2"/>
    <n v="0"/>
    <n v="2"/>
    <n v="1"/>
    <n v="0"/>
    <n v="0"/>
    <n v="0"/>
  </r>
  <r>
    <n v="59"/>
    <x v="1"/>
    <n v="0"/>
    <s v="Travel_Frequently"/>
    <n v="1"/>
    <n v="0"/>
    <n v="1225"/>
    <s v="Sales"/>
    <n v="0"/>
    <n v="1"/>
    <n v="1"/>
    <n v="1"/>
    <s v="Life Sciences"/>
    <n v="1"/>
    <n v="0"/>
    <n v="0"/>
    <n v="0"/>
    <n v="0"/>
    <n v="1"/>
    <x v="0"/>
    <n v="1"/>
    <n v="57"/>
    <n v="2"/>
    <n v="2"/>
    <s v="Sales Executive"/>
    <n v="0"/>
    <n v="1"/>
    <n v="0"/>
    <n v="0"/>
    <n v="0"/>
    <n v="0"/>
    <n v="0"/>
    <n v="0"/>
    <x v="2"/>
    <s v="Single"/>
    <n v="1"/>
    <n v="0"/>
    <n v="5473"/>
    <n v="24668"/>
    <n v="7"/>
    <s v="No"/>
    <n v="0"/>
    <n v="11"/>
    <n v="3"/>
    <n v="4"/>
    <n v="0"/>
    <n v="20"/>
    <n v="2"/>
    <n v="2"/>
    <n v="4"/>
    <n v="3"/>
    <n v="1"/>
    <n v="3"/>
  </r>
  <r>
    <n v="29"/>
    <x v="1"/>
    <n v="0"/>
    <s v="Travel_Rarely"/>
    <n v="0"/>
    <n v="1"/>
    <n v="1328"/>
    <s v="Research &amp; Development"/>
    <n v="1"/>
    <n v="0"/>
    <n v="2"/>
    <n v="3"/>
    <s v="Life Sciences"/>
    <n v="1"/>
    <n v="0"/>
    <n v="0"/>
    <n v="0"/>
    <n v="0"/>
    <n v="3"/>
    <x v="1"/>
    <n v="0"/>
    <n v="76"/>
    <n v="3"/>
    <n v="1"/>
    <s v="Research Scientist"/>
    <n v="0"/>
    <n v="0"/>
    <n v="0"/>
    <n v="0"/>
    <n v="0"/>
    <n v="0"/>
    <n v="0"/>
    <n v="1"/>
    <x v="1"/>
    <s v="Married"/>
    <n v="0"/>
    <n v="1"/>
    <n v="2703"/>
    <n v="4956"/>
    <n v="0"/>
    <s v="No"/>
    <n v="0"/>
    <n v="23"/>
    <n v="4"/>
    <n v="4"/>
    <n v="1"/>
    <n v="6"/>
    <n v="3"/>
    <n v="3"/>
    <n v="5"/>
    <n v="4"/>
    <n v="0"/>
    <n v="4"/>
  </r>
  <r>
    <n v="31"/>
    <x v="1"/>
    <n v="0"/>
    <s v="Travel_Rarely"/>
    <n v="0"/>
    <n v="1"/>
    <n v="1082"/>
    <s v="Research &amp; Development"/>
    <n v="1"/>
    <n v="0"/>
    <n v="1"/>
    <n v="4"/>
    <s v="Medical"/>
    <n v="0"/>
    <n v="0"/>
    <n v="1"/>
    <n v="0"/>
    <n v="0"/>
    <n v="3"/>
    <x v="1"/>
    <n v="0"/>
    <n v="87"/>
    <n v="3"/>
    <n v="1"/>
    <s v="Research Scientist"/>
    <n v="0"/>
    <n v="0"/>
    <n v="0"/>
    <n v="0"/>
    <n v="0"/>
    <n v="0"/>
    <n v="0"/>
    <n v="1"/>
    <x v="1"/>
    <s v="Single"/>
    <n v="1"/>
    <n v="0"/>
    <n v="2501"/>
    <n v="18775"/>
    <n v="1"/>
    <s v="No"/>
    <n v="0"/>
    <n v="17"/>
    <n v="3"/>
    <n v="2"/>
    <n v="0"/>
    <n v="1"/>
    <n v="4"/>
    <n v="3"/>
    <n v="1"/>
    <n v="1"/>
    <n v="1"/>
    <n v="0"/>
  </r>
  <r>
    <n v="32"/>
    <x v="1"/>
    <n v="0"/>
    <s v="Travel_Rarely"/>
    <n v="0"/>
    <n v="1"/>
    <n v="548"/>
    <s v="Research &amp; Development"/>
    <n v="1"/>
    <n v="0"/>
    <n v="1"/>
    <n v="3"/>
    <s v="Life Sciences"/>
    <n v="1"/>
    <n v="0"/>
    <n v="0"/>
    <n v="0"/>
    <n v="0"/>
    <n v="2"/>
    <x v="1"/>
    <n v="0"/>
    <n v="66"/>
    <n v="3"/>
    <n v="2"/>
    <s v="Research Scientist"/>
    <n v="0"/>
    <n v="0"/>
    <n v="0"/>
    <n v="0"/>
    <n v="0"/>
    <n v="0"/>
    <n v="0"/>
    <n v="1"/>
    <x v="1"/>
    <s v="Married"/>
    <n v="0"/>
    <n v="1"/>
    <n v="6220"/>
    <n v="7346"/>
    <n v="1"/>
    <s v="No"/>
    <n v="0"/>
    <n v="17"/>
    <n v="3"/>
    <n v="2"/>
    <n v="2"/>
    <n v="10"/>
    <n v="3"/>
    <n v="3"/>
    <n v="10"/>
    <n v="4"/>
    <n v="0"/>
    <n v="9"/>
  </r>
  <r>
    <n v="36"/>
    <x v="1"/>
    <n v="0"/>
    <s v="Travel_Rarely"/>
    <n v="0"/>
    <n v="1"/>
    <n v="132"/>
    <s v="Research &amp; Development"/>
    <n v="1"/>
    <n v="0"/>
    <n v="6"/>
    <n v="3"/>
    <s v="Life Sciences"/>
    <n v="1"/>
    <n v="0"/>
    <n v="0"/>
    <n v="0"/>
    <n v="0"/>
    <n v="2"/>
    <x v="0"/>
    <n v="1"/>
    <n v="55"/>
    <n v="4"/>
    <n v="1"/>
    <s v="Laboratory Technician"/>
    <n v="0"/>
    <n v="0"/>
    <n v="1"/>
    <n v="0"/>
    <n v="0"/>
    <n v="0"/>
    <n v="0"/>
    <n v="0"/>
    <x v="0"/>
    <s v="Married"/>
    <n v="0"/>
    <n v="1"/>
    <n v="3038"/>
    <n v="22002"/>
    <n v="3"/>
    <s v="No"/>
    <n v="0"/>
    <n v="12"/>
    <n v="3"/>
    <n v="2"/>
    <n v="0"/>
    <n v="5"/>
    <n v="3"/>
    <n v="3"/>
    <n v="1"/>
    <n v="0"/>
    <n v="0"/>
    <n v="0"/>
  </r>
  <r>
    <n v="31"/>
    <x v="1"/>
    <n v="0"/>
    <s v="Travel_Rarely"/>
    <n v="0"/>
    <n v="1"/>
    <n v="746"/>
    <s v="Research &amp; Development"/>
    <n v="1"/>
    <n v="0"/>
    <n v="8"/>
    <n v="4"/>
    <s v="Life Sciences"/>
    <n v="1"/>
    <n v="0"/>
    <n v="0"/>
    <n v="0"/>
    <n v="0"/>
    <n v="3"/>
    <x v="0"/>
    <n v="1"/>
    <n v="61"/>
    <n v="3"/>
    <n v="2"/>
    <s v="Manufacturing Director"/>
    <n v="0"/>
    <n v="0"/>
    <n v="0"/>
    <n v="0"/>
    <n v="1"/>
    <n v="1"/>
    <n v="0"/>
    <n v="0"/>
    <x v="0"/>
    <s v="Single"/>
    <n v="1"/>
    <n v="0"/>
    <n v="4424"/>
    <n v="20682"/>
    <n v="1"/>
    <s v="No"/>
    <n v="0"/>
    <n v="23"/>
    <n v="4"/>
    <n v="4"/>
    <n v="0"/>
    <n v="11"/>
    <n v="2"/>
    <n v="3"/>
    <n v="11"/>
    <n v="7"/>
    <n v="1"/>
    <n v="8"/>
  </r>
  <r>
    <n v="35"/>
    <x v="1"/>
    <n v="0"/>
    <s v="Travel_Rarely"/>
    <n v="0"/>
    <n v="1"/>
    <n v="776"/>
    <s v="Sales"/>
    <n v="0"/>
    <n v="1"/>
    <n v="1"/>
    <n v="4"/>
    <s v="Marketing"/>
    <n v="0"/>
    <n v="0"/>
    <n v="0"/>
    <n v="1"/>
    <n v="0"/>
    <n v="3"/>
    <x v="1"/>
    <n v="0"/>
    <n v="32"/>
    <n v="2"/>
    <n v="2"/>
    <s v="Sales Executive"/>
    <n v="0"/>
    <n v="1"/>
    <n v="0"/>
    <n v="0"/>
    <n v="0"/>
    <n v="0"/>
    <n v="0"/>
    <n v="0"/>
    <x v="3"/>
    <s v="Single"/>
    <n v="1"/>
    <n v="0"/>
    <n v="4312"/>
    <n v="23016"/>
    <n v="0"/>
    <s v="No"/>
    <n v="0"/>
    <n v="14"/>
    <n v="3"/>
    <n v="2"/>
    <n v="0"/>
    <n v="16"/>
    <n v="2"/>
    <n v="3"/>
    <n v="15"/>
    <n v="13"/>
    <n v="2"/>
    <n v="8"/>
  </r>
  <r>
    <n v="45"/>
    <x v="1"/>
    <n v="0"/>
    <s v="Travel_Rarely"/>
    <n v="0"/>
    <n v="1"/>
    <n v="193"/>
    <s v="Research &amp; Development"/>
    <n v="1"/>
    <n v="0"/>
    <n v="6"/>
    <n v="4"/>
    <s v="Other"/>
    <n v="0"/>
    <n v="1"/>
    <n v="0"/>
    <n v="0"/>
    <n v="0"/>
    <n v="4"/>
    <x v="1"/>
    <n v="0"/>
    <n v="52"/>
    <n v="3"/>
    <n v="3"/>
    <s v="Research Director"/>
    <n v="0"/>
    <n v="0"/>
    <n v="0"/>
    <n v="0"/>
    <n v="0"/>
    <n v="0"/>
    <n v="0"/>
    <n v="0"/>
    <x v="3"/>
    <s v="Married"/>
    <n v="0"/>
    <n v="1"/>
    <n v="13245"/>
    <n v="15067"/>
    <n v="4"/>
    <s v="Yes"/>
    <n v="1"/>
    <n v="14"/>
    <n v="3"/>
    <n v="2"/>
    <n v="0"/>
    <n v="17"/>
    <n v="3"/>
    <n v="4"/>
    <n v="0"/>
    <n v="0"/>
    <n v="0"/>
    <n v="0"/>
  </r>
  <r>
    <n v="37"/>
    <x v="1"/>
    <n v="0"/>
    <s v="Travel_Rarely"/>
    <n v="0"/>
    <n v="1"/>
    <n v="397"/>
    <s v="Research &amp; Development"/>
    <n v="1"/>
    <n v="0"/>
    <n v="7"/>
    <n v="4"/>
    <s v="Medical"/>
    <n v="0"/>
    <n v="0"/>
    <n v="1"/>
    <n v="0"/>
    <n v="0"/>
    <n v="1"/>
    <x v="1"/>
    <n v="0"/>
    <n v="30"/>
    <n v="3"/>
    <n v="3"/>
    <s v="Research Director"/>
    <n v="0"/>
    <n v="0"/>
    <n v="0"/>
    <n v="0"/>
    <n v="0"/>
    <n v="0"/>
    <n v="0"/>
    <n v="0"/>
    <x v="2"/>
    <s v="Single"/>
    <n v="1"/>
    <n v="0"/>
    <n v="13664"/>
    <n v="25258"/>
    <n v="4"/>
    <s v="No"/>
    <n v="0"/>
    <n v="13"/>
    <n v="3"/>
    <n v="1"/>
    <n v="0"/>
    <n v="16"/>
    <n v="3"/>
    <n v="4"/>
    <n v="5"/>
    <n v="2"/>
    <n v="0"/>
    <n v="2"/>
  </r>
  <r>
    <n v="46"/>
    <x v="1"/>
    <n v="0"/>
    <s v="Travel_Rarely"/>
    <n v="0"/>
    <n v="1"/>
    <n v="945"/>
    <s v="Human Resources"/>
    <n v="0"/>
    <n v="0"/>
    <n v="5"/>
    <n v="2"/>
    <s v="Medical"/>
    <n v="0"/>
    <n v="0"/>
    <n v="1"/>
    <n v="0"/>
    <n v="0"/>
    <n v="2"/>
    <x v="1"/>
    <n v="0"/>
    <n v="80"/>
    <n v="3"/>
    <n v="2"/>
    <s v="Human Resources"/>
    <n v="0"/>
    <n v="0"/>
    <n v="0"/>
    <n v="0"/>
    <n v="0"/>
    <n v="0"/>
    <n v="0"/>
    <n v="0"/>
    <x v="1"/>
    <s v="Divorced"/>
    <n v="0"/>
    <n v="0"/>
    <n v="5021"/>
    <n v="10425"/>
    <n v="8"/>
    <s v="Yes"/>
    <n v="1"/>
    <n v="22"/>
    <n v="4"/>
    <n v="4"/>
    <n v="1"/>
    <n v="16"/>
    <n v="2"/>
    <n v="3"/>
    <n v="4"/>
    <n v="2"/>
    <n v="0"/>
    <n v="2"/>
  </r>
  <r>
    <n v="30"/>
    <x v="1"/>
    <n v="0"/>
    <s v="Travel_Rarely"/>
    <n v="0"/>
    <n v="1"/>
    <n v="852"/>
    <s v="Research &amp; Development"/>
    <n v="1"/>
    <n v="0"/>
    <n v="1"/>
    <n v="1"/>
    <s v="Life Sciences"/>
    <n v="1"/>
    <n v="0"/>
    <n v="0"/>
    <n v="0"/>
    <n v="0"/>
    <n v="4"/>
    <x v="1"/>
    <n v="0"/>
    <n v="55"/>
    <n v="2"/>
    <n v="2"/>
    <s v="Laboratory Technician"/>
    <n v="0"/>
    <n v="0"/>
    <n v="1"/>
    <n v="0"/>
    <n v="0"/>
    <n v="0"/>
    <n v="0"/>
    <n v="0"/>
    <x v="0"/>
    <s v="Married"/>
    <n v="0"/>
    <n v="1"/>
    <n v="5126"/>
    <n v="15998"/>
    <n v="1"/>
    <s v="Yes"/>
    <n v="1"/>
    <n v="12"/>
    <n v="3"/>
    <n v="3"/>
    <n v="2"/>
    <n v="10"/>
    <n v="1"/>
    <n v="2"/>
    <n v="10"/>
    <n v="8"/>
    <n v="3"/>
    <n v="0"/>
  </r>
  <r>
    <n v="35"/>
    <x v="1"/>
    <n v="0"/>
    <s v="Travel_Rarely"/>
    <n v="0"/>
    <n v="1"/>
    <n v="1214"/>
    <s v="Research &amp; Development"/>
    <n v="1"/>
    <n v="0"/>
    <n v="1"/>
    <n v="3"/>
    <s v="Medical"/>
    <n v="0"/>
    <n v="0"/>
    <n v="1"/>
    <n v="0"/>
    <n v="0"/>
    <n v="2"/>
    <x v="1"/>
    <n v="0"/>
    <n v="30"/>
    <n v="2"/>
    <n v="1"/>
    <s v="Research Scientist"/>
    <n v="0"/>
    <n v="0"/>
    <n v="0"/>
    <n v="0"/>
    <n v="0"/>
    <n v="0"/>
    <n v="0"/>
    <n v="1"/>
    <x v="2"/>
    <s v="Single"/>
    <n v="1"/>
    <n v="0"/>
    <n v="2859"/>
    <n v="26278"/>
    <n v="1"/>
    <s v="No"/>
    <n v="0"/>
    <n v="18"/>
    <n v="3"/>
    <n v="1"/>
    <n v="0"/>
    <n v="6"/>
    <n v="3"/>
    <n v="3"/>
    <n v="6"/>
    <n v="4"/>
    <n v="0"/>
    <n v="4"/>
  </r>
  <r>
    <n v="55"/>
    <x v="1"/>
    <n v="0"/>
    <s v="Travel_Rarely"/>
    <n v="0"/>
    <n v="1"/>
    <n v="111"/>
    <s v="Sales"/>
    <n v="0"/>
    <n v="1"/>
    <n v="1"/>
    <n v="2"/>
    <s v="Life Sciences"/>
    <n v="1"/>
    <n v="0"/>
    <n v="0"/>
    <n v="0"/>
    <n v="0"/>
    <n v="1"/>
    <x v="1"/>
    <n v="0"/>
    <n v="70"/>
    <n v="3"/>
    <n v="3"/>
    <s v="Sales Executive"/>
    <n v="0"/>
    <n v="1"/>
    <n v="0"/>
    <n v="0"/>
    <n v="0"/>
    <n v="0"/>
    <n v="0"/>
    <n v="0"/>
    <x v="0"/>
    <s v="Married"/>
    <n v="0"/>
    <n v="1"/>
    <n v="10239"/>
    <n v="18092"/>
    <n v="3"/>
    <s v="No"/>
    <n v="0"/>
    <n v="14"/>
    <n v="3"/>
    <n v="4"/>
    <n v="1"/>
    <n v="24"/>
    <n v="4"/>
    <n v="3"/>
    <n v="1"/>
    <n v="0"/>
    <n v="1"/>
    <n v="0"/>
  </r>
  <r>
    <n v="38"/>
    <x v="1"/>
    <n v="0"/>
    <s v="Non-Travel"/>
    <n v="0"/>
    <n v="0"/>
    <n v="573"/>
    <s v="Research &amp; Development"/>
    <n v="1"/>
    <n v="0"/>
    <n v="6"/>
    <n v="3"/>
    <s v="Medical"/>
    <n v="0"/>
    <n v="0"/>
    <n v="1"/>
    <n v="0"/>
    <n v="0"/>
    <n v="2"/>
    <x v="0"/>
    <n v="1"/>
    <n v="79"/>
    <n v="1"/>
    <n v="2"/>
    <s v="Research Scientist"/>
    <n v="0"/>
    <n v="0"/>
    <n v="0"/>
    <n v="0"/>
    <n v="0"/>
    <n v="0"/>
    <n v="0"/>
    <n v="1"/>
    <x v="0"/>
    <s v="Divorced"/>
    <n v="0"/>
    <n v="0"/>
    <n v="5329"/>
    <n v="15717"/>
    <n v="7"/>
    <s v="Yes"/>
    <n v="1"/>
    <n v="12"/>
    <n v="3"/>
    <n v="4"/>
    <n v="3"/>
    <n v="17"/>
    <n v="3"/>
    <n v="3"/>
    <n v="13"/>
    <n v="11"/>
    <n v="1"/>
    <n v="9"/>
  </r>
  <r>
    <n v="34"/>
    <x v="1"/>
    <n v="0"/>
    <s v="Travel_Rarely"/>
    <n v="0"/>
    <n v="1"/>
    <n v="1153"/>
    <s v="Research &amp; Development"/>
    <n v="1"/>
    <n v="0"/>
    <n v="1"/>
    <n v="2"/>
    <s v="Medical"/>
    <n v="0"/>
    <n v="0"/>
    <n v="1"/>
    <n v="0"/>
    <n v="0"/>
    <n v="1"/>
    <x v="1"/>
    <n v="0"/>
    <n v="94"/>
    <n v="3"/>
    <n v="2"/>
    <s v="Manufacturing Director"/>
    <n v="0"/>
    <n v="0"/>
    <n v="0"/>
    <n v="0"/>
    <n v="1"/>
    <n v="1"/>
    <n v="0"/>
    <n v="0"/>
    <x v="1"/>
    <s v="Married"/>
    <n v="0"/>
    <n v="1"/>
    <n v="4325"/>
    <n v="17736"/>
    <n v="1"/>
    <s v="No"/>
    <n v="0"/>
    <n v="15"/>
    <n v="3"/>
    <n v="3"/>
    <n v="0"/>
    <n v="5"/>
    <n v="2"/>
    <n v="3"/>
    <n v="5"/>
    <n v="2"/>
    <n v="1"/>
    <n v="3"/>
  </r>
  <r>
    <n v="56"/>
    <x v="1"/>
    <n v="0"/>
    <s v="Travel_Rarely"/>
    <n v="0"/>
    <n v="1"/>
    <n v="1400"/>
    <s v="Research &amp; Development"/>
    <n v="1"/>
    <n v="0"/>
    <n v="7"/>
    <n v="3"/>
    <s v="Life Sciences"/>
    <n v="1"/>
    <n v="0"/>
    <n v="0"/>
    <n v="0"/>
    <n v="0"/>
    <n v="4"/>
    <x v="1"/>
    <n v="0"/>
    <n v="49"/>
    <n v="1"/>
    <n v="3"/>
    <s v="Manufacturing Director"/>
    <n v="0"/>
    <n v="0"/>
    <n v="0"/>
    <n v="0"/>
    <n v="1"/>
    <n v="1"/>
    <n v="0"/>
    <n v="0"/>
    <x v="0"/>
    <s v="Single"/>
    <n v="1"/>
    <n v="0"/>
    <n v="7260"/>
    <n v="21698"/>
    <n v="4"/>
    <s v="No"/>
    <n v="0"/>
    <n v="11"/>
    <n v="3"/>
    <n v="1"/>
    <n v="0"/>
    <n v="37"/>
    <n v="3"/>
    <n v="2"/>
    <n v="6"/>
    <n v="4"/>
    <n v="0"/>
    <n v="2"/>
  </r>
  <r>
    <n v="23"/>
    <x v="1"/>
    <n v="0"/>
    <s v="Travel_Rarely"/>
    <n v="0"/>
    <n v="1"/>
    <n v="541"/>
    <s v="Sales"/>
    <n v="0"/>
    <n v="1"/>
    <n v="2"/>
    <n v="1"/>
    <s v="Technical Degree"/>
    <n v="0"/>
    <n v="0"/>
    <n v="0"/>
    <n v="0"/>
    <n v="1"/>
    <n v="3"/>
    <x v="1"/>
    <n v="0"/>
    <n v="62"/>
    <n v="3"/>
    <n v="1"/>
    <s v="Sales Representative"/>
    <n v="0"/>
    <n v="0"/>
    <n v="0"/>
    <n v="0"/>
    <n v="0"/>
    <n v="0"/>
    <n v="1"/>
    <n v="0"/>
    <x v="3"/>
    <s v="Divorced"/>
    <n v="0"/>
    <n v="0"/>
    <n v="2322"/>
    <n v="9518"/>
    <n v="3"/>
    <s v="No"/>
    <n v="0"/>
    <n v="13"/>
    <n v="3"/>
    <n v="3"/>
    <n v="1"/>
    <n v="3"/>
    <n v="3"/>
    <n v="3"/>
    <n v="0"/>
    <n v="0"/>
    <n v="0"/>
    <n v="0"/>
  </r>
  <r>
    <n v="51"/>
    <x v="1"/>
    <n v="0"/>
    <s v="Travel_Rarely"/>
    <n v="0"/>
    <n v="1"/>
    <n v="432"/>
    <s v="Research &amp; Development"/>
    <n v="1"/>
    <n v="0"/>
    <n v="9"/>
    <n v="4"/>
    <s v="Life Sciences"/>
    <n v="1"/>
    <n v="0"/>
    <n v="0"/>
    <n v="0"/>
    <n v="0"/>
    <n v="4"/>
    <x v="1"/>
    <n v="0"/>
    <n v="96"/>
    <n v="3"/>
    <n v="1"/>
    <s v="Laboratory Technician"/>
    <n v="0"/>
    <n v="0"/>
    <n v="1"/>
    <n v="0"/>
    <n v="0"/>
    <n v="0"/>
    <n v="0"/>
    <n v="0"/>
    <x v="0"/>
    <s v="Married"/>
    <n v="0"/>
    <n v="1"/>
    <n v="2075"/>
    <n v="18725"/>
    <n v="3"/>
    <s v="No"/>
    <n v="0"/>
    <n v="23"/>
    <n v="4"/>
    <n v="2"/>
    <n v="2"/>
    <n v="10"/>
    <n v="4"/>
    <n v="3"/>
    <n v="4"/>
    <n v="2"/>
    <n v="0"/>
    <n v="3"/>
  </r>
  <r>
    <n v="30"/>
    <x v="1"/>
    <n v="0"/>
    <s v="Travel_Rarely"/>
    <n v="0"/>
    <n v="1"/>
    <n v="288"/>
    <s v="Research &amp; Development"/>
    <n v="1"/>
    <n v="0"/>
    <n v="2"/>
    <n v="3"/>
    <s v="Life Sciences"/>
    <n v="1"/>
    <n v="0"/>
    <n v="0"/>
    <n v="0"/>
    <n v="0"/>
    <n v="3"/>
    <x v="1"/>
    <n v="0"/>
    <n v="99"/>
    <n v="2"/>
    <n v="2"/>
    <s v="Healthcare Representative"/>
    <n v="1"/>
    <n v="0"/>
    <n v="0"/>
    <n v="0"/>
    <n v="0"/>
    <n v="0"/>
    <n v="0"/>
    <n v="0"/>
    <x v="0"/>
    <s v="Married"/>
    <n v="0"/>
    <n v="1"/>
    <n v="4152"/>
    <n v="15830"/>
    <n v="1"/>
    <s v="No"/>
    <n v="0"/>
    <n v="19"/>
    <n v="3"/>
    <n v="1"/>
    <n v="3"/>
    <n v="11"/>
    <n v="3"/>
    <n v="3"/>
    <n v="11"/>
    <n v="10"/>
    <n v="10"/>
    <n v="8"/>
  </r>
  <r>
    <n v="46"/>
    <x v="0"/>
    <n v="1"/>
    <s v="Travel_Rarely"/>
    <n v="0"/>
    <n v="1"/>
    <n v="669"/>
    <s v="Sales"/>
    <n v="0"/>
    <n v="1"/>
    <n v="9"/>
    <n v="2"/>
    <s v="Medical"/>
    <n v="0"/>
    <n v="0"/>
    <n v="1"/>
    <n v="0"/>
    <n v="0"/>
    <n v="3"/>
    <x v="1"/>
    <n v="0"/>
    <n v="64"/>
    <n v="2"/>
    <n v="3"/>
    <s v="Sales Executive"/>
    <n v="0"/>
    <n v="1"/>
    <n v="0"/>
    <n v="0"/>
    <n v="0"/>
    <n v="0"/>
    <n v="0"/>
    <n v="0"/>
    <x v="0"/>
    <s v="Single"/>
    <n v="1"/>
    <n v="0"/>
    <n v="9619"/>
    <n v="13596"/>
    <n v="1"/>
    <s v="No"/>
    <n v="0"/>
    <n v="16"/>
    <n v="3"/>
    <n v="4"/>
    <n v="0"/>
    <n v="9"/>
    <n v="3"/>
    <n v="3"/>
    <n v="9"/>
    <n v="8"/>
    <n v="4"/>
    <n v="7"/>
  </r>
  <r>
    <n v="40"/>
    <x v="1"/>
    <n v="0"/>
    <s v="Travel_Frequently"/>
    <n v="1"/>
    <n v="0"/>
    <n v="530"/>
    <s v="Research &amp; Development"/>
    <n v="1"/>
    <n v="0"/>
    <n v="1"/>
    <n v="4"/>
    <s v="Life Sciences"/>
    <n v="1"/>
    <n v="0"/>
    <n v="0"/>
    <n v="0"/>
    <n v="0"/>
    <n v="3"/>
    <x v="1"/>
    <n v="0"/>
    <n v="78"/>
    <n v="2"/>
    <n v="4"/>
    <s v="Healthcare Representative"/>
    <n v="1"/>
    <n v="0"/>
    <n v="0"/>
    <n v="0"/>
    <n v="0"/>
    <n v="0"/>
    <n v="0"/>
    <n v="0"/>
    <x v="1"/>
    <s v="Married"/>
    <n v="0"/>
    <n v="1"/>
    <n v="13503"/>
    <n v="14115"/>
    <n v="1"/>
    <s v="No"/>
    <n v="0"/>
    <n v="22"/>
    <n v="4"/>
    <n v="4"/>
    <n v="1"/>
    <n v="22"/>
    <n v="3"/>
    <n v="2"/>
    <n v="22"/>
    <n v="3"/>
    <n v="11"/>
    <n v="11"/>
  </r>
  <r>
    <n v="51"/>
    <x v="1"/>
    <n v="0"/>
    <s v="Travel_Rarely"/>
    <n v="0"/>
    <n v="1"/>
    <n v="632"/>
    <s v="Sales"/>
    <n v="0"/>
    <n v="1"/>
    <n v="21"/>
    <n v="4"/>
    <s v="Marketing"/>
    <n v="0"/>
    <n v="0"/>
    <n v="0"/>
    <n v="1"/>
    <n v="0"/>
    <n v="3"/>
    <x v="1"/>
    <n v="0"/>
    <n v="71"/>
    <n v="3"/>
    <n v="2"/>
    <s v="Sales Executive"/>
    <n v="0"/>
    <n v="1"/>
    <n v="0"/>
    <n v="0"/>
    <n v="0"/>
    <n v="0"/>
    <n v="0"/>
    <n v="0"/>
    <x v="0"/>
    <s v="Single"/>
    <n v="1"/>
    <n v="0"/>
    <n v="5441"/>
    <n v="8423"/>
    <n v="0"/>
    <s v="Yes"/>
    <n v="1"/>
    <n v="22"/>
    <n v="4"/>
    <n v="4"/>
    <n v="0"/>
    <n v="11"/>
    <n v="2"/>
    <n v="1"/>
    <n v="10"/>
    <n v="7"/>
    <n v="1"/>
    <n v="0"/>
  </r>
  <r>
    <n v="30"/>
    <x v="1"/>
    <n v="0"/>
    <s v="Travel_Rarely"/>
    <n v="0"/>
    <n v="1"/>
    <n v="1334"/>
    <s v="Sales"/>
    <n v="0"/>
    <n v="1"/>
    <n v="4"/>
    <n v="2"/>
    <s v="Medical"/>
    <n v="0"/>
    <n v="0"/>
    <n v="1"/>
    <n v="0"/>
    <n v="0"/>
    <n v="3"/>
    <x v="0"/>
    <n v="1"/>
    <n v="63"/>
    <n v="2"/>
    <n v="2"/>
    <s v="Sales Executive"/>
    <n v="0"/>
    <n v="1"/>
    <n v="0"/>
    <n v="0"/>
    <n v="0"/>
    <n v="0"/>
    <n v="0"/>
    <n v="0"/>
    <x v="1"/>
    <s v="Divorced"/>
    <n v="0"/>
    <n v="0"/>
    <n v="5209"/>
    <n v="19760"/>
    <n v="1"/>
    <s v="Yes"/>
    <n v="1"/>
    <n v="12"/>
    <n v="3"/>
    <n v="2"/>
    <n v="3"/>
    <n v="11"/>
    <n v="4"/>
    <n v="2"/>
    <n v="11"/>
    <n v="8"/>
    <n v="2"/>
    <n v="7"/>
  </r>
  <r>
    <n v="46"/>
    <x v="1"/>
    <n v="0"/>
    <s v="Travel_Frequently"/>
    <n v="1"/>
    <n v="0"/>
    <n v="638"/>
    <s v="Research &amp; Development"/>
    <n v="1"/>
    <n v="0"/>
    <n v="1"/>
    <n v="3"/>
    <s v="Medical"/>
    <n v="0"/>
    <n v="0"/>
    <n v="1"/>
    <n v="0"/>
    <n v="0"/>
    <n v="3"/>
    <x v="1"/>
    <n v="0"/>
    <n v="40"/>
    <n v="2"/>
    <n v="3"/>
    <s v="Healthcare Representative"/>
    <n v="1"/>
    <n v="0"/>
    <n v="0"/>
    <n v="0"/>
    <n v="0"/>
    <n v="0"/>
    <n v="0"/>
    <n v="0"/>
    <x v="3"/>
    <s v="Married"/>
    <n v="0"/>
    <n v="1"/>
    <n v="10673"/>
    <n v="3142"/>
    <n v="2"/>
    <s v="Yes"/>
    <n v="1"/>
    <n v="13"/>
    <n v="3"/>
    <n v="3"/>
    <n v="1"/>
    <n v="21"/>
    <n v="5"/>
    <n v="2"/>
    <n v="10"/>
    <n v="9"/>
    <n v="9"/>
    <n v="5"/>
  </r>
  <r>
    <n v="32"/>
    <x v="1"/>
    <n v="0"/>
    <s v="Travel_Rarely"/>
    <n v="0"/>
    <n v="1"/>
    <n v="1093"/>
    <s v="Sales"/>
    <n v="0"/>
    <n v="1"/>
    <n v="6"/>
    <n v="4"/>
    <s v="Medical"/>
    <n v="0"/>
    <n v="0"/>
    <n v="1"/>
    <n v="0"/>
    <n v="0"/>
    <n v="2"/>
    <x v="1"/>
    <n v="0"/>
    <n v="87"/>
    <n v="3"/>
    <n v="2"/>
    <s v="Sales Executive"/>
    <n v="0"/>
    <n v="1"/>
    <n v="0"/>
    <n v="0"/>
    <n v="0"/>
    <n v="0"/>
    <n v="0"/>
    <n v="0"/>
    <x v="2"/>
    <s v="Single"/>
    <n v="1"/>
    <n v="0"/>
    <n v="5010"/>
    <n v="24301"/>
    <n v="1"/>
    <s v="No"/>
    <n v="0"/>
    <n v="16"/>
    <n v="3"/>
    <n v="1"/>
    <n v="0"/>
    <n v="12"/>
    <n v="0"/>
    <n v="3"/>
    <n v="11"/>
    <n v="8"/>
    <n v="5"/>
    <n v="7"/>
  </r>
  <r>
    <n v="54"/>
    <x v="1"/>
    <n v="0"/>
    <s v="Travel_Rarely"/>
    <n v="0"/>
    <n v="1"/>
    <n v="1217"/>
    <s v="Research &amp; Development"/>
    <n v="1"/>
    <n v="0"/>
    <n v="2"/>
    <n v="4"/>
    <s v="Technical Degree"/>
    <n v="0"/>
    <n v="0"/>
    <n v="0"/>
    <n v="0"/>
    <n v="1"/>
    <n v="1"/>
    <x v="0"/>
    <n v="1"/>
    <n v="60"/>
    <n v="3"/>
    <n v="3"/>
    <s v="Research Director"/>
    <n v="0"/>
    <n v="0"/>
    <n v="0"/>
    <n v="0"/>
    <n v="0"/>
    <n v="0"/>
    <n v="0"/>
    <n v="0"/>
    <x v="2"/>
    <s v="Married"/>
    <n v="0"/>
    <n v="1"/>
    <n v="13549"/>
    <n v="24001"/>
    <n v="9"/>
    <s v="No"/>
    <n v="0"/>
    <n v="12"/>
    <n v="3"/>
    <n v="1"/>
    <n v="1"/>
    <n v="16"/>
    <n v="5"/>
    <n v="1"/>
    <n v="4"/>
    <n v="3"/>
    <n v="0"/>
    <n v="3"/>
  </r>
  <r>
    <n v="24"/>
    <x v="1"/>
    <n v="0"/>
    <s v="Travel_Rarely"/>
    <n v="0"/>
    <n v="1"/>
    <n v="1353"/>
    <s v="Sales"/>
    <n v="0"/>
    <n v="1"/>
    <n v="3"/>
    <n v="2"/>
    <s v="Other"/>
    <n v="0"/>
    <n v="1"/>
    <n v="0"/>
    <n v="0"/>
    <n v="0"/>
    <n v="1"/>
    <x v="0"/>
    <n v="1"/>
    <n v="33"/>
    <n v="3"/>
    <n v="2"/>
    <s v="Sales Executive"/>
    <n v="0"/>
    <n v="1"/>
    <n v="0"/>
    <n v="0"/>
    <n v="0"/>
    <n v="0"/>
    <n v="0"/>
    <n v="0"/>
    <x v="2"/>
    <s v="Married"/>
    <n v="0"/>
    <n v="1"/>
    <n v="4999"/>
    <n v="17519"/>
    <n v="0"/>
    <s v="No"/>
    <n v="0"/>
    <n v="21"/>
    <n v="4"/>
    <n v="1"/>
    <n v="1"/>
    <n v="4"/>
    <n v="2"/>
    <n v="2"/>
    <n v="3"/>
    <n v="2"/>
    <n v="0"/>
    <n v="2"/>
  </r>
  <r>
    <n v="28"/>
    <x v="1"/>
    <n v="0"/>
    <s v="Non-Travel"/>
    <n v="0"/>
    <n v="0"/>
    <n v="120"/>
    <s v="Sales"/>
    <n v="0"/>
    <n v="1"/>
    <n v="4"/>
    <n v="3"/>
    <s v="Medical"/>
    <n v="0"/>
    <n v="0"/>
    <n v="1"/>
    <n v="0"/>
    <n v="0"/>
    <n v="2"/>
    <x v="1"/>
    <n v="0"/>
    <n v="43"/>
    <n v="3"/>
    <n v="2"/>
    <s v="Sales Executive"/>
    <n v="0"/>
    <n v="1"/>
    <n v="0"/>
    <n v="0"/>
    <n v="0"/>
    <n v="0"/>
    <n v="0"/>
    <n v="0"/>
    <x v="2"/>
    <s v="Married"/>
    <n v="0"/>
    <n v="1"/>
    <n v="4221"/>
    <n v="8863"/>
    <n v="1"/>
    <s v="No"/>
    <n v="0"/>
    <n v="15"/>
    <n v="3"/>
    <n v="2"/>
    <n v="0"/>
    <n v="5"/>
    <n v="3"/>
    <n v="4"/>
    <n v="5"/>
    <n v="4"/>
    <n v="0"/>
    <n v="4"/>
  </r>
  <r>
    <n v="58"/>
    <x v="1"/>
    <n v="0"/>
    <s v="Travel_Rarely"/>
    <n v="0"/>
    <n v="1"/>
    <n v="682"/>
    <s v="Sales"/>
    <n v="0"/>
    <n v="1"/>
    <n v="10"/>
    <n v="4"/>
    <s v="Medical"/>
    <n v="0"/>
    <n v="0"/>
    <n v="1"/>
    <n v="0"/>
    <n v="0"/>
    <n v="4"/>
    <x v="1"/>
    <n v="0"/>
    <n v="37"/>
    <n v="3"/>
    <n v="4"/>
    <s v="Sales Executive"/>
    <n v="0"/>
    <n v="1"/>
    <n v="0"/>
    <n v="0"/>
    <n v="0"/>
    <n v="0"/>
    <n v="0"/>
    <n v="0"/>
    <x v="2"/>
    <s v="Single"/>
    <n v="1"/>
    <n v="0"/>
    <n v="13872"/>
    <n v="24409"/>
    <n v="0"/>
    <s v="No"/>
    <n v="0"/>
    <n v="13"/>
    <n v="3"/>
    <n v="3"/>
    <n v="0"/>
    <n v="38"/>
    <n v="1"/>
    <n v="2"/>
    <n v="37"/>
    <n v="10"/>
    <n v="1"/>
    <n v="8"/>
  </r>
  <r>
    <n v="44"/>
    <x v="1"/>
    <n v="0"/>
    <s v="Non-Travel"/>
    <n v="0"/>
    <n v="0"/>
    <n v="489"/>
    <s v="Research &amp; Development"/>
    <n v="1"/>
    <n v="0"/>
    <n v="23"/>
    <n v="3"/>
    <s v="Medical"/>
    <n v="0"/>
    <n v="0"/>
    <n v="1"/>
    <n v="0"/>
    <n v="0"/>
    <n v="2"/>
    <x v="1"/>
    <n v="0"/>
    <n v="67"/>
    <n v="3"/>
    <n v="2"/>
    <s v="Laboratory Technician"/>
    <n v="0"/>
    <n v="0"/>
    <n v="1"/>
    <n v="0"/>
    <n v="0"/>
    <n v="0"/>
    <n v="0"/>
    <n v="0"/>
    <x v="1"/>
    <s v="Married"/>
    <n v="0"/>
    <n v="1"/>
    <n v="2042"/>
    <n v="25043"/>
    <n v="4"/>
    <s v="No"/>
    <n v="0"/>
    <n v="12"/>
    <n v="3"/>
    <n v="3"/>
    <n v="1"/>
    <n v="17"/>
    <n v="3"/>
    <n v="4"/>
    <n v="3"/>
    <n v="2"/>
    <n v="1"/>
    <n v="2"/>
  </r>
  <r>
    <n v="37"/>
    <x v="0"/>
    <n v="1"/>
    <s v="Travel_Rarely"/>
    <n v="0"/>
    <n v="1"/>
    <n v="807"/>
    <s v="Human Resources"/>
    <n v="0"/>
    <n v="0"/>
    <n v="6"/>
    <n v="4"/>
    <s v="Human Resources"/>
    <n v="0"/>
    <n v="0"/>
    <n v="0"/>
    <n v="0"/>
    <n v="0"/>
    <n v="3"/>
    <x v="1"/>
    <n v="0"/>
    <n v="63"/>
    <n v="3"/>
    <n v="1"/>
    <s v="Human Resources"/>
    <n v="0"/>
    <n v="0"/>
    <n v="0"/>
    <n v="0"/>
    <n v="0"/>
    <n v="0"/>
    <n v="0"/>
    <n v="0"/>
    <x v="3"/>
    <s v="Divorced"/>
    <n v="0"/>
    <n v="0"/>
    <n v="2073"/>
    <n v="23648"/>
    <n v="4"/>
    <s v="Yes"/>
    <n v="1"/>
    <n v="22"/>
    <n v="4"/>
    <n v="4"/>
    <n v="0"/>
    <n v="7"/>
    <n v="3"/>
    <n v="3"/>
    <n v="3"/>
    <n v="2"/>
    <n v="0"/>
    <n v="2"/>
  </r>
  <r>
    <n v="32"/>
    <x v="1"/>
    <n v="0"/>
    <s v="Travel_Rarely"/>
    <n v="0"/>
    <n v="1"/>
    <n v="827"/>
    <s v="Research &amp; Development"/>
    <n v="1"/>
    <n v="0"/>
    <n v="1"/>
    <n v="1"/>
    <s v="Life Sciences"/>
    <n v="1"/>
    <n v="0"/>
    <n v="0"/>
    <n v="0"/>
    <n v="0"/>
    <n v="4"/>
    <x v="1"/>
    <n v="0"/>
    <n v="71"/>
    <n v="3"/>
    <n v="1"/>
    <s v="Research Scientist"/>
    <n v="0"/>
    <n v="0"/>
    <n v="0"/>
    <n v="0"/>
    <n v="0"/>
    <n v="0"/>
    <n v="0"/>
    <n v="1"/>
    <x v="3"/>
    <s v="Single"/>
    <n v="1"/>
    <n v="0"/>
    <n v="2956"/>
    <n v="15178"/>
    <n v="1"/>
    <s v="No"/>
    <n v="0"/>
    <n v="13"/>
    <n v="3"/>
    <n v="4"/>
    <n v="0"/>
    <n v="1"/>
    <n v="2"/>
    <n v="3"/>
    <n v="1"/>
    <n v="0"/>
    <n v="0"/>
    <n v="0"/>
  </r>
  <r>
    <n v="20"/>
    <x v="0"/>
    <n v="1"/>
    <s v="Travel_Frequently"/>
    <n v="1"/>
    <n v="0"/>
    <n v="871"/>
    <s v="Research &amp; Development"/>
    <n v="1"/>
    <n v="0"/>
    <n v="6"/>
    <n v="3"/>
    <s v="Life Sciences"/>
    <n v="1"/>
    <n v="0"/>
    <n v="0"/>
    <n v="0"/>
    <n v="0"/>
    <n v="4"/>
    <x v="0"/>
    <n v="1"/>
    <n v="66"/>
    <n v="2"/>
    <n v="1"/>
    <s v="Laboratory Technician"/>
    <n v="0"/>
    <n v="0"/>
    <n v="1"/>
    <n v="0"/>
    <n v="0"/>
    <n v="0"/>
    <n v="0"/>
    <n v="0"/>
    <x v="0"/>
    <s v="Single"/>
    <n v="1"/>
    <n v="0"/>
    <n v="2926"/>
    <n v="19783"/>
    <n v="1"/>
    <s v="Yes"/>
    <n v="1"/>
    <n v="18"/>
    <n v="3"/>
    <n v="2"/>
    <n v="0"/>
    <n v="1"/>
    <n v="5"/>
    <n v="3"/>
    <n v="1"/>
    <n v="0"/>
    <n v="1"/>
    <n v="0"/>
  </r>
  <r>
    <n v="34"/>
    <x v="1"/>
    <n v="0"/>
    <s v="Travel_Rarely"/>
    <n v="0"/>
    <n v="1"/>
    <n v="665"/>
    <s v="Research &amp; Development"/>
    <n v="1"/>
    <n v="0"/>
    <n v="6"/>
    <n v="4"/>
    <s v="Other"/>
    <n v="0"/>
    <n v="1"/>
    <n v="0"/>
    <n v="0"/>
    <n v="0"/>
    <n v="1"/>
    <x v="0"/>
    <n v="1"/>
    <n v="41"/>
    <n v="3"/>
    <n v="2"/>
    <s v="Research Scientist"/>
    <n v="0"/>
    <n v="0"/>
    <n v="0"/>
    <n v="0"/>
    <n v="0"/>
    <n v="0"/>
    <n v="0"/>
    <n v="1"/>
    <x v="2"/>
    <s v="Single"/>
    <n v="1"/>
    <n v="0"/>
    <n v="4809"/>
    <n v="12482"/>
    <n v="1"/>
    <s v="No"/>
    <n v="0"/>
    <n v="14"/>
    <n v="3"/>
    <n v="3"/>
    <n v="0"/>
    <n v="16"/>
    <n v="3"/>
    <n v="3"/>
    <n v="16"/>
    <n v="13"/>
    <n v="2"/>
    <n v="10"/>
  </r>
  <r>
    <n v="37"/>
    <x v="1"/>
    <n v="0"/>
    <s v="Non-Travel"/>
    <n v="0"/>
    <n v="0"/>
    <n v="1040"/>
    <s v="Research &amp; Development"/>
    <n v="1"/>
    <n v="0"/>
    <n v="2"/>
    <n v="2"/>
    <s v="Life Sciences"/>
    <n v="1"/>
    <n v="0"/>
    <n v="0"/>
    <n v="0"/>
    <n v="0"/>
    <n v="3"/>
    <x v="1"/>
    <n v="0"/>
    <n v="100"/>
    <n v="2"/>
    <n v="2"/>
    <s v="Healthcare Representative"/>
    <n v="1"/>
    <n v="0"/>
    <n v="0"/>
    <n v="0"/>
    <n v="0"/>
    <n v="0"/>
    <n v="0"/>
    <n v="0"/>
    <x v="0"/>
    <s v="Divorced"/>
    <n v="0"/>
    <n v="0"/>
    <n v="5163"/>
    <n v="15850"/>
    <n v="5"/>
    <s v="No"/>
    <n v="0"/>
    <n v="14"/>
    <n v="3"/>
    <n v="4"/>
    <n v="1"/>
    <n v="17"/>
    <n v="2"/>
    <n v="4"/>
    <n v="1"/>
    <n v="0"/>
    <n v="0"/>
    <n v="0"/>
  </r>
  <r>
    <n v="59"/>
    <x v="1"/>
    <n v="0"/>
    <s v="Non-Travel"/>
    <n v="0"/>
    <n v="0"/>
    <n v="1420"/>
    <s v="Human Resources"/>
    <n v="0"/>
    <n v="0"/>
    <n v="2"/>
    <n v="4"/>
    <s v="Human Resources"/>
    <n v="0"/>
    <n v="0"/>
    <n v="0"/>
    <n v="0"/>
    <n v="0"/>
    <n v="3"/>
    <x v="0"/>
    <n v="1"/>
    <n v="32"/>
    <n v="2"/>
    <n v="5"/>
    <s v="Manager"/>
    <n v="0"/>
    <n v="0"/>
    <n v="0"/>
    <n v="1"/>
    <n v="0"/>
    <n v="0"/>
    <n v="0"/>
    <n v="0"/>
    <x v="0"/>
    <s v="Married"/>
    <n v="0"/>
    <n v="1"/>
    <n v="18844"/>
    <n v="21922"/>
    <n v="9"/>
    <s v="No"/>
    <n v="0"/>
    <n v="21"/>
    <n v="4"/>
    <n v="4"/>
    <n v="1"/>
    <n v="30"/>
    <n v="3"/>
    <n v="3"/>
    <n v="3"/>
    <n v="2"/>
    <n v="2"/>
    <n v="2"/>
  </r>
  <r>
    <n v="50"/>
    <x v="1"/>
    <n v="0"/>
    <s v="Travel_Frequently"/>
    <n v="1"/>
    <n v="0"/>
    <n v="1115"/>
    <s v="Research &amp; Development"/>
    <n v="1"/>
    <n v="0"/>
    <n v="1"/>
    <n v="3"/>
    <s v="Life Sciences"/>
    <n v="1"/>
    <n v="0"/>
    <n v="0"/>
    <n v="0"/>
    <n v="0"/>
    <n v="1"/>
    <x v="0"/>
    <n v="1"/>
    <n v="73"/>
    <n v="3"/>
    <n v="5"/>
    <s v="Research Director"/>
    <n v="0"/>
    <n v="0"/>
    <n v="0"/>
    <n v="0"/>
    <n v="0"/>
    <n v="0"/>
    <n v="0"/>
    <n v="0"/>
    <x v="1"/>
    <s v="Married"/>
    <n v="0"/>
    <n v="1"/>
    <n v="18172"/>
    <n v="9755"/>
    <n v="3"/>
    <s v="Yes"/>
    <n v="1"/>
    <n v="19"/>
    <n v="3"/>
    <n v="1"/>
    <n v="0"/>
    <n v="28"/>
    <n v="1"/>
    <n v="2"/>
    <n v="8"/>
    <n v="3"/>
    <n v="0"/>
    <n v="7"/>
  </r>
  <r>
    <n v="25"/>
    <x v="0"/>
    <n v="1"/>
    <s v="Travel_Rarely"/>
    <n v="0"/>
    <n v="1"/>
    <n v="240"/>
    <s v="Sales"/>
    <n v="0"/>
    <n v="1"/>
    <n v="5"/>
    <n v="3"/>
    <s v="Marketing"/>
    <n v="0"/>
    <n v="0"/>
    <n v="0"/>
    <n v="1"/>
    <n v="0"/>
    <n v="3"/>
    <x v="1"/>
    <n v="0"/>
    <n v="46"/>
    <n v="2"/>
    <n v="2"/>
    <s v="Sales Executive"/>
    <n v="0"/>
    <n v="1"/>
    <n v="0"/>
    <n v="0"/>
    <n v="0"/>
    <n v="0"/>
    <n v="0"/>
    <n v="0"/>
    <x v="2"/>
    <s v="Single"/>
    <n v="1"/>
    <n v="0"/>
    <n v="5744"/>
    <n v="26959"/>
    <n v="1"/>
    <s v="Yes"/>
    <n v="1"/>
    <n v="11"/>
    <n v="3"/>
    <n v="4"/>
    <n v="0"/>
    <n v="6"/>
    <n v="1"/>
    <n v="3"/>
    <n v="6"/>
    <n v="4"/>
    <n v="0"/>
    <n v="3"/>
  </r>
  <r>
    <n v="25"/>
    <x v="1"/>
    <n v="0"/>
    <s v="Travel_Rarely"/>
    <n v="0"/>
    <n v="1"/>
    <n v="1280"/>
    <s v="Research &amp; Development"/>
    <n v="1"/>
    <n v="0"/>
    <n v="7"/>
    <n v="1"/>
    <s v="Medical"/>
    <n v="0"/>
    <n v="0"/>
    <n v="1"/>
    <n v="0"/>
    <n v="0"/>
    <n v="4"/>
    <x v="1"/>
    <n v="0"/>
    <n v="64"/>
    <n v="2"/>
    <n v="1"/>
    <s v="Research Scientist"/>
    <n v="0"/>
    <n v="0"/>
    <n v="0"/>
    <n v="0"/>
    <n v="0"/>
    <n v="0"/>
    <n v="0"/>
    <n v="1"/>
    <x v="0"/>
    <s v="Married"/>
    <n v="0"/>
    <n v="1"/>
    <n v="2889"/>
    <n v="26897"/>
    <n v="1"/>
    <s v="No"/>
    <n v="0"/>
    <n v="11"/>
    <n v="3"/>
    <n v="3"/>
    <n v="2"/>
    <n v="2"/>
    <n v="2"/>
    <n v="3"/>
    <n v="2"/>
    <n v="2"/>
    <n v="2"/>
    <n v="1"/>
  </r>
  <r>
    <n v="22"/>
    <x v="1"/>
    <n v="0"/>
    <s v="Travel_Rarely"/>
    <n v="0"/>
    <n v="1"/>
    <n v="534"/>
    <s v="Research &amp; Development"/>
    <n v="1"/>
    <n v="0"/>
    <n v="15"/>
    <n v="3"/>
    <s v="Medical"/>
    <n v="0"/>
    <n v="0"/>
    <n v="1"/>
    <n v="0"/>
    <n v="0"/>
    <n v="2"/>
    <x v="0"/>
    <n v="1"/>
    <n v="59"/>
    <n v="3"/>
    <n v="1"/>
    <s v="Laboratory Technician"/>
    <n v="0"/>
    <n v="0"/>
    <n v="1"/>
    <n v="0"/>
    <n v="0"/>
    <n v="0"/>
    <n v="0"/>
    <n v="0"/>
    <x v="0"/>
    <s v="Single"/>
    <n v="1"/>
    <n v="0"/>
    <n v="2871"/>
    <n v="23785"/>
    <n v="1"/>
    <s v="No"/>
    <n v="0"/>
    <n v="15"/>
    <n v="3"/>
    <n v="3"/>
    <n v="0"/>
    <n v="1"/>
    <n v="5"/>
    <n v="3"/>
    <n v="0"/>
    <n v="0"/>
    <n v="0"/>
    <n v="0"/>
  </r>
  <r>
    <n v="51"/>
    <x v="1"/>
    <n v="0"/>
    <s v="Travel_Frequently"/>
    <n v="1"/>
    <n v="0"/>
    <n v="1456"/>
    <s v="Research &amp; Development"/>
    <n v="1"/>
    <n v="0"/>
    <n v="1"/>
    <n v="4"/>
    <s v="Medical"/>
    <n v="0"/>
    <n v="0"/>
    <n v="1"/>
    <n v="0"/>
    <n v="0"/>
    <n v="1"/>
    <x v="0"/>
    <n v="1"/>
    <n v="30"/>
    <n v="2"/>
    <n v="3"/>
    <s v="Healthcare Representative"/>
    <n v="1"/>
    <n v="0"/>
    <n v="0"/>
    <n v="0"/>
    <n v="0"/>
    <n v="0"/>
    <n v="0"/>
    <n v="0"/>
    <x v="3"/>
    <s v="Single"/>
    <n v="1"/>
    <n v="0"/>
    <n v="7484"/>
    <n v="25796"/>
    <n v="3"/>
    <s v="No"/>
    <n v="0"/>
    <n v="20"/>
    <n v="4"/>
    <n v="3"/>
    <n v="0"/>
    <n v="23"/>
    <n v="1"/>
    <n v="2"/>
    <n v="13"/>
    <n v="12"/>
    <n v="12"/>
    <n v="8"/>
  </r>
  <r>
    <n v="34"/>
    <x v="0"/>
    <n v="1"/>
    <s v="Travel_Frequently"/>
    <n v="1"/>
    <n v="0"/>
    <n v="658"/>
    <s v="Research &amp; Development"/>
    <n v="1"/>
    <n v="0"/>
    <n v="7"/>
    <n v="3"/>
    <s v="Life Sciences"/>
    <n v="1"/>
    <n v="0"/>
    <n v="0"/>
    <n v="0"/>
    <n v="0"/>
    <n v="1"/>
    <x v="1"/>
    <n v="0"/>
    <n v="66"/>
    <n v="1"/>
    <n v="2"/>
    <s v="Laboratory Technician"/>
    <n v="0"/>
    <n v="0"/>
    <n v="1"/>
    <n v="0"/>
    <n v="0"/>
    <n v="0"/>
    <n v="0"/>
    <n v="0"/>
    <x v="2"/>
    <s v="Single"/>
    <n v="1"/>
    <n v="0"/>
    <n v="6074"/>
    <n v="22887"/>
    <n v="1"/>
    <s v="Yes"/>
    <n v="1"/>
    <n v="24"/>
    <n v="4"/>
    <n v="4"/>
    <n v="0"/>
    <n v="9"/>
    <n v="3"/>
    <n v="3"/>
    <n v="9"/>
    <n v="7"/>
    <n v="0"/>
    <n v="6"/>
  </r>
  <r>
    <n v="54"/>
    <x v="1"/>
    <n v="0"/>
    <s v="Non-Travel"/>
    <n v="0"/>
    <n v="0"/>
    <n v="142"/>
    <s v="Human Resources"/>
    <n v="0"/>
    <n v="0"/>
    <n v="26"/>
    <n v="3"/>
    <s v="Human Resources"/>
    <n v="0"/>
    <n v="0"/>
    <n v="0"/>
    <n v="0"/>
    <n v="0"/>
    <n v="4"/>
    <x v="0"/>
    <n v="1"/>
    <n v="30"/>
    <n v="4"/>
    <n v="4"/>
    <s v="Manager"/>
    <n v="0"/>
    <n v="0"/>
    <n v="0"/>
    <n v="1"/>
    <n v="0"/>
    <n v="0"/>
    <n v="0"/>
    <n v="0"/>
    <x v="0"/>
    <s v="Single"/>
    <n v="1"/>
    <n v="0"/>
    <n v="17328"/>
    <n v="13871"/>
    <n v="2"/>
    <s v="Yes"/>
    <n v="1"/>
    <n v="12"/>
    <n v="3"/>
    <n v="3"/>
    <n v="0"/>
    <n v="23"/>
    <n v="3"/>
    <n v="3"/>
    <n v="5"/>
    <n v="3"/>
    <n v="4"/>
    <n v="4"/>
  </r>
  <r>
    <n v="24"/>
    <x v="1"/>
    <n v="0"/>
    <s v="Travel_Rarely"/>
    <n v="0"/>
    <n v="1"/>
    <n v="1127"/>
    <s v="Research &amp; Development"/>
    <n v="1"/>
    <n v="0"/>
    <n v="18"/>
    <n v="1"/>
    <s v="Life Sciences"/>
    <n v="1"/>
    <n v="0"/>
    <n v="0"/>
    <n v="0"/>
    <n v="0"/>
    <n v="2"/>
    <x v="1"/>
    <n v="0"/>
    <n v="52"/>
    <n v="3"/>
    <n v="1"/>
    <s v="Laboratory Technician"/>
    <n v="0"/>
    <n v="0"/>
    <n v="1"/>
    <n v="0"/>
    <n v="0"/>
    <n v="0"/>
    <n v="0"/>
    <n v="0"/>
    <x v="2"/>
    <s v="Married"/>
    <n v="0"/>
    <n v="1"/>
    <n v="2774"/>
    <n v="13257"/>
    <n v="0"/>
    <s v="No"/>
    <n v="0"/>
    <n v="12"/>
    <n v="3"/>
    <n v="3"/>
    <n v="1"/>
    <n v="6"/>
    <n v="2"/>
    <n v="3"/>
    <n v="5"/>
    <n v="3"/>
    <n v="1"/>
    <n v="2"/>
  </r>
  <r>
    <n v="34"/>
    <x v="1"/>
    <n v="0"/>
    <s v="Travel_Rarely"/>
    <n v="0"/>
    <n v="1"/>
    <n v="1031"/>
    <s v="Research &amp; Development"/>
    <n v="1"/>
    <n v="0"/>
    <n v="6"/>
    <n v="4"/>
    <s v="Life Sciences"/>
    <n v="1"/>
    <n v="0"/>
    <n v="0"/>
    <n v="0"/>
    <n v="0"/>
    <n v="3"/>
    <x v="0"/>
    <n v="1"/>
    <n v="45"/>
    <n v="2"/>
    <n v="2"/>
    <s v="Research Scientist"/>
    <n v="0"/>
    <n v="0"/>
    <n v="0"/>
    <n v="0"/>
    <n v="0"/>
    <n v="0"/>
    <n v="0"/>
    <n v="1"/>
    <x v="1"/>
    <s v="Divorced"/>
    <n v="0"/>
    <n v="0"/>
    <n v="4505"/>
    <n v="15000"/>
    <n v="6"/>
    <s v="No"/>
    <n v="0"/>
    <n v="15"/>
    <n v="3"/>
    <n v="3"/>
    <n v="1"/>
    <n v="12"/>
    <n v="3"/>
    <n v="3"/>
    <n v="1"/>
    <n v="0"/>
    <n v="0"/>
    <n v="0"/>
  </r>
  <r>
    <n v="37"/>
    <x v="1"/>
    <n v="0"/>
    <s v="Travel_Rarely"/>
    <n v="0"/>
    <n v="1"/>
    <n v="1189"/>
    <s v="Sales"/>
    <n v="0"/>
    <n v="1"/>
    <n v="3"/>
    <n v="3"/>
    <s v="Life Sciences"/>
    <n v="1"/>
    <n v="0"/>
    <n v="0"/>
    <n v="0"/>
    <n v="0"/>
    <n v="3"/>
    <x v="1"/>
    <n v="0"/>
    <n v="87"/>
    <n v="3"/>
    <n v="3"/>
    <s v="Sales Executive"/>
    <n v="0"/>
    <n v="1"/>
    <n v="0"/>
    <n v="0"/>
    <n v="0"/>
    <n v="0"/>
    <n v="0"/>
    <n v="0"/>
    <x v="0"/>
    <s v="Single"/>
    <n v="1"/>
    <n v="0"/>
    <n v="7428"/>
    <n v="14506"/>
    <n v="2"/>
    <s v="No"/>
    <n v="0"/>
    <n v="12"/>
    <n v="3"/>
    <n v="1"/>
    <n v="0"/>
    <n v="12"/>
    <n v="3"/>
    <n v="3"/>
    <n v="5"/>
    <n v="3"/>
    <n v="1"/>
    <n v="3"/>
  </r>
  <r>
    <n v="34"/>
    <x v="1"/>
    <n v="0"/>
    <s v="Travel_Rarely"/>
    <n v="0"/>
    <n v="1"/>
    <n v="1354"/>
    <s v="Research &amp; Development"/>
    <n v="1"/>
    <n v="0"/>
    <n v="5"/>
    <n v="3"/>
    <s v="Medical"/>
    <n v="0"/>
    <n v="0"/>
    <n v="1"/>
    <n v="0"/>
    <n v="0"/>
    <n v="3"/>
    <x v="0"/>
    <n v="1"/>
    <n v="45"/>
    <n v="2"/>
    <n v="3"/>
    <s v="Manager"/>
    <n v="0"/>
    <n v="0"/>
    <n v="0"/>
    <n v="1"/>
    <n v="0"/>
    <n v="0"/>
    <n v="0"/>
    <n v="0"/>
    <x v="3"/>
    <s v="Single"/>
    <n v="1"/>
    <n v="0"/>
    <n v="11631"/>
    <n v="5615"/>
    <n v="2"/>
    <s v="No"/>
    <n v="0"/>
    <n v="12"/>
    <n v="3"/>
    <n v="4"/>
    <n v="0"/>
    <n v="14"/>
    <n v="6"/>
    <n v="3"/>
    <n v="11"/>
    <n v="10"/>
    <n v="5"/>
    <n v="8"/>
  </r>
  <r>
    <n v="36"/>
    <x v="1"/>
    <n v="0"/>
    <s v="Travel_Frequently"/>
    <n v="1"/>
    <n v="0"/>
    <n v="1467"/>
    <s v="Sales"/>
    <n v="0"/>
    <n v="1"/>
    <n v="11"/>
    <n v="2"/>
    <s v="Technical Degree"/>
    <n v="0"/>
    <n v="0"/>
    <n v="0"/>
    <n v="0"/>
    <n v="1"/>
    <n v="2"/>
    <x v="0"/>
    <n v="1"/>
    <n v="92"/>
    <n v="3"/>
    <n v="3"/>
    <s v="Sales Executive"/>
    <n v="0"/>
    <n v="1"/>
    <n v="0"/>
    <n v="0"/>
    <n v="0"/>
    <n v="0"/>
    <n v="0"/>
    <n v="0"/>
    <x v="0"/>
    <s v="Married"/>
    <n v="0"/>
    <n v="1"/>
    <n v="9738"/>
    <n v="22952"/>
    <n v="0"/>
    <s v="No"/>
    <n v="0"/>
    <n v="14"/>
    <n v="3"/>
    <n v="3"/>
    <n v="1"/>
    <n v="10"/>
    <n v="6"/>
    <n v="3"/>
    <n v="9"/>
    <n v="7"/>
    <n v="2"/>
    <n v="8"/>
  </r>
  <r>
    <n v="36"/>
    <x v="1"/>
    <n v="0"/>
    <s v="Travel_Rarely"/>
    <n v="0"/>
    <n v="1"/>
    <n v="922"/>
    <s v="Research &amp; Development"/>
    <n v="1"/>
    <n v="0"/>
    <n v="3"/>
    <n v="2"/>
    <s v="Life Sciences"/>
    <n v="1"/>
    <n v="0"/>
    <n v="0"/>
    <n v="0"/>
    <n v="0"/>
    <n v="1"/>
    <x v="0"/>
    <n v="1"/>
    <n v="39"/>
    <n v="3"/>
    <n v="1"/>
    <s v="Laboratory Technician"/>
    <n v="0"/>
    <n v="0"/>
    <n v="1"/>
    <n v="0"/>
    <n v="0"/>
    <n v="0"/>
    <n v="0"/>
    <n v="0"/>
    <x v="0"/>
    <s v="Divorced"/>
    <n v="0"/>
    <n v="0"/>
    <n v="2835"/>
    <n v="2561"/>
    <n v="5"/>
    <s v="No"/>
    <n v="0"/>
    <n v="22"/>
    <n v="4"/>
    <n v="1"/>
    <n v="1"/>
    <n v="7"/>
    <n v="2"/>
    <n v="3"/>
    <n v="1"/>
    <n v="0"/>
    <n v="0"/>
    <n v="0"/>
  </r>
  <r>
    <n v="43"/>
    <x v="1"/>
    <n v="0"/>
    <s v="Travel_Frequently"/>
    <n v="1"/>
    <n v="0"/>
    <n v="394"/>
    <s v="Sales"/>
    <n v="0"/>
    <n v="1"/>
    <n v="26"/>
    <n v="2"/>
    <s v="Life Sciences"/>
    <n v="1"/>
    <n v="0"/>
    <n v="0"/>
    <n v="0"/>
    <n v="0"/>
    <n v="3"/>
    <x v="1"/>
    <n v="0"/>
    <n v="92"/>
    <n v="3"/>
    <n v="4"/>
    <s v="Manager"/>
    <n v="0"/>
    <n v="0"/>
    <n v="0"/>
    <n v="1"/>
    <n v="0"/>
    <n v="0"/>
    <n v="0"/>
    <n v="0"/>
    <x v="0"/>
    <s v="Married"/>
    <n v="0"/>
    <n v="1"/>
    <n v="16959"/>
    <n v="19494"/>
    <n v="1"/>
    <s v="Yes"/>
    <n v="1"/>
    <n v="12"/>
    <n v="3"/>
    <n v="4"/>
    <n v="2"/>
    <n v="25"/>
    <n v="3"/>
    <n v="4"/>
    <n v="25"/>
    <n v="12"/>
    <n v="4"/>
    <n v="12"/>
  </r>
  <r>
    <n v="30"/>
    <x v="1"/>
    <n v="0"/>
    <s v="Travel_Frequently"/>
    <n v="1"/>
    <n v="0"/>
    <n v="1312"/>
    <s v="Research &amp; Development"/>
    <n v="1"/>
    <n v="0"/>
    <n v="23"/>
    <n v="3"/>
    <s v="Life Sciences"/>
    <n v="1"/>
    <n v="0"/>
    <n v="0"/>
    <n v="0"/>
    <n v="0"/>
    <n v="1"/>
    <x v="1"/>
    <n v="0"/>
    <n v="96"/>
    <n v="1"/>
    <n v="1"/>
    <s v="Research Scientist"/>
    <n v="0"/>
    <n v="0"/>
    <n v="0"/>
    <n v="0"/>
    <n v="0"/>
    <n v="0"/>
    <n v="0"/>
    <n v="1"/>
    <x v="2"/>
    <s v="Divorced"/>
    <n v="0"/>
    <n v="0"/>
    <n v="2613"/>
    <n v="22310"/>
    <n v="1"/>
    <s v="No"/>
    <n v="0"/>
    <n v="25"/>
    <n v="4"/>
    <n v="3"/>
    <n v="3"/>
    <n v="10"/>
    <n v="2"/>
    <n v="2"/>
    <n v="10"/>
    <n v="7"/>
    <n v="0"/>
    <n v="9"/>
  </r>
  <r>
    <n v="33"/>
    <x v="1"/>
    <n v="0"/>
    <s v="Non-Travel"/>
    <n v="0"/>
    <n v="0"/>
    <n v="750"/>
    <s v="Sales"/>
    <n v="0"/>
    <n v="1"/>
    <n v="22"/>
    <n v="2"/>
    <s v="Marketing"/>
    <n v="0"/>
    <n v="0"/>
    <n v="0"/>
    <n v="1"/>
    <n v="0"/>
    <n v="3"/>
    <x v="1"/>
    <n v="0"/>
    <n v="95"/>
    <n v="3"/>
    <n v="2"/>
    <s v="Sales Executive"/>
    <n v="0"/>
    <n v="1"/>
    <n v="0"/>
    <n v="0"/>
    <n v="0"/>
    <n v="0"/>
    <n v="0"/>
    <n v="0"/>
    <x v="1"/>
    <s v="Married"/>
    <n v="0"/>
    <n v="1"/>
    <n v="6146"/>
    <n v="15480"/>
    <n v="0"/>
    <s v="No"/>
    <n v="0"/>
    <n v="13"/>
    <n v="3"/>
    <n v="1"/>
    <n v="1"/>
    <n v="8"/>
    <n v="2"/>
    <n v="4"/>
    <n v="7"/>
    <n v="7"/>
    <n v="0"/>
    <n v="7"/>
  </r>
  <r>
    <n v="56"/>
    <x v="0"/>
    <n v="1"/>
    <s v="Travel_Rarely"/>
    <n v="0"/>
    <n v="1"/>
    <n v="441"/>
    <s v="Research &amp; Development"/>
    <n v="1"/>
    <n v="0"/>
    <n v="14"/>
    <n v="4"/>
    <s v="Life Sciences"/>
    <n v="1"/>
    <n v="0"/>
    <n v="0"/>
    <n v="0"/>
    <n v="0"/>
    <n v="2"/>
    <x v="0"/>
    <n v="1"/>
    <n v="72"/>
    <n v="3"/>
    <n v="1"/>
    <s v="Research Scientist"/>
    <n v="0"/>
    <n v="0"/>
    <n v="0"/>
    <n v="0"/>
    <n v="0"/>
    <n v="0"/>
    <n v="0"/>
    <n v="1"/>
    <x v="1"/>
    <s v="Married"/>
    <n v="0"/>
    <n v="1"/>
    <n v="4963"/>
    <n v="4510"/>
    <n v="9"/>
    <s v="Yes"/>
    <n v="1"/>
    <n v="18"/>
    <n v="3"/>
    <n v="1"/>
    <n v="3"/>
    <n v="7"/>
    <n v="2"/>
    <n v="3"/>
    <n v="5"/>
    <n v="4"/>
    <n v="4"/>
    <n v="3"/>
  </r>
  <r>
    <n v="51"/>
    <x v="1"/>
    <n v="0"/>
    <s v="Travel_Rarely"/>
    <n v="0"/>
    <n v="1"/>
    <n v="684"/>
    <s v="Research &amp; Development"/>
    <n v="1"/>
    <n v="0"/>
    <n v="6"/>
    <n v="3"/>
    <s v="Life Sciences"/>
    <n v="1"/>
    <n v="0"/>
    <n v="0"/>
    <n v="0"/>
    <n v="0"/>
    <n v="1"/>
    <x v="1"/>
    <n v="0"/>
    <n v="51"/>
    <n v="3"/>
    <n v="5"/>
    <s v="Research Director"/>
    <n v="0"/>
    <n v="0"/>
    <n v="0"/>
    <n v="0"/>
    <n v="0"/>
    <n v="0"/>
    <n v="0"/>
    <n v="0"/>
    <x v="2"/>
    <s v="Single"/>
    <n v="1"/>
    <n v="0"/>
    <n v="19537"/>
    <n v="6462"/>
    <n v="7"/>
    <s v="No"/>
    <n v="0"/>
    <n v="13"/>
    <n v="3"/>
    <n v="3"/>
    <n v="0"/>
    <n v="23"/>
    <n v="5"/>
    <n v="3"/>
    <n v="20"/>
    <n v="18"/>
    <n v="15"/>
    <n v="15"/>
  </r>
  <r>
    <n v="31"/>
    <x v="0"/>
    <n v="1"/>
    <s v="Travel_Rarely"/>
    <n v="0"/>
    <n v="1"/>
    <n v="249"/>
    <s v="Sales"/>
    <n v="0"/>
    <n v="1"/>
    <n v="6"/>
    <n v="4"/>
    <s v="Life Sciences"/>
    <n v="1"/>
    <n v="0"/>
    <n v="0"/>
    <n v="0"/>
    <n v="0"/>
    <n v="2"/>
    <x v="1"/>
    <n v="0"/>
    <n v="76"/>
    <n v="1"/>
    <n v="2"/>
    <s v="Sales Executive"/>
    <n v="0"/>
    <n v="1"/>
    <n v="0"/>
    <n v="0"/>
    <n v="0"/>
    <n v="0"/>
    <n v="0"/>
    <n v="0"/>
    <x v="2"/>
    <s v="Married"/>
    <n v="0"/>
    <n v="1"/>
    <n v="6172"/>
    <n v="20739"/>
    <n v="4"/>
    <s v="Yes"/>
    <n v="1"/>
    <n v="18"/>
    <n v="3"/>
    <n v="2"/>
    <n v="0"/>
    <n v="12"/>
    <n v="3"/>
    <n v="2"/>
    <n v="7"/>
    <n v="7"/>
    <n v="7"/>
    <n v="7"/>
  </r>
  <r>
    <n v="26"/>
    <x v="1"/>
    <n v="0"/>
    <s v="Travel_Rarely"/>
    <n v="0"/>
    <n v="1"/>
    <n v="841"/>
    <s v="Research &amp; Development"/>
    <n v="1"/>
    <n v="0"/>
    <n v="6"/>
    <n v="3"/>
    <s v="Other"/>
    <n v="0"/>
    <n v="1"/>
    <n v="0"/>
    <n v="0"/>
    <n v="0"/>
    <n v="3"/>
    <x v="0"/>
    <n v="1"/>
    <n v="46"/>
    <n v="2"/>
    <n v="1"/>
    <s v="Research Scientist"/>
    <n v="0"/>
    <n v="0"/>
    <n v="0"/>
    <n v="0"/>
    <n v="0"/>
    <n v="0"/>
    <n v="0"/>
    <n v="1"/>
    <x v="1"/>
    <s v="Married"/>
    <n v="0"/>
    <n v="1"/>
    <n v="2368"/>
    <n v="23300"/>
    <n v="1"/>
    <s v="No"/>
    <n v="0"/>
    <n v="19"/>
    <n v="3"/>
    <n v="3"/>
    <n v="0"/>
    <n v="5"/>
    <n v="3"/>
    <n v="2"/>
    <n v="5"/>
    <n v="4"/>
    <n v="4"/>
    <n v="3"/>
  </r>
  <r>
    <n v="58"/>
    <x v="0"/>
    <n v="1"/>
    <s v="Travel_Rarely"/>
    <n v="0"/>
    <n v="1"/>
    <n v="147"/>
    <s v="Research &amp; Development"/>
    <n v="1"/>
    <n v="0"/>
    <n v="23"/>
    <n v="4"/>
    <s v="Medical"/>
    <n v="0"/>
    <n v="0"/>
    <n v="1"/>
    <n v="0"/>
    <n v="0"/>
    <n v="4"/>
    <x v="0"/>
    <n v="1"/>
    <n v="94"/>
    <n v="3"/>
    <n v="3"/>
    <s v="Healthcare Representative"/>
    <n v="1"/>
    <n v="0"/>
    <n v="0"/>
    <n v="0"/>
    <n v="0"/>
    <n v="0"/>
    <n v="0"/>
    <n v="0"/>
    <x v="0"/>
    <s v="Married"/>
    <n v="0"/>
    <n v="1"/>
    <n v="10312"/>
    <n v="3465"/>
    <n v="1"/>
    <s v="No"/>
    <n v="0"/>
    <n v="12"/>
    <n v="3"/>
    <n v="4"/>
    <n v="1"/>
    <n v="40"/>
    <n v="3"/>
    <n v="2"/>
    <n v="40"/>
    <n v="10"/>
    <n v="15"/>
    <n v="6"/>
  </r>
  <r>
    <n v="19"/>
    <x v="0"/>
    <n v="1"/>
    <s v="Travel_Rarely"/>
    <n v="0"/>
    <n v="1"/>
    <n v="528"/>
    <s v="Sales"/>
    <n v="0"/>
    <n v="1"/>
    <n v="22"/>
    <n v="1"/>
    <s v="Marketing"/>
    <n v="0"/>
    <n v="0"/>
    <n v="0"/>
    <n v="1"/>
    <n v="0"/>
    <n v="4"/>
    <x v="1"/>
    <n v="0"/>
    <n v="50"/>
    <n v="3"/>
    <n v="1"/>
    <s v="Sales Representative"/>
    <n v="0"/>
    <n v="0"/>
    <n v="0"/>
    <n v="0"/>
    <n v="0"/>
    <n v="0"/>
    <n v="1"/>
    <n v="0"/>
    <x v="2"/>
    <s v="Single"/>
    <n v="1"/>
    <n v="0"/>
    <n v="1675"/>
    <n v="26820"/>
    <n v="1"/>
    <s v="Yes"/>
    <n v="1"/>
    <n v="19"/>
    <n v="3"/>
    <n v="4"/>
    <n v="0"/>
    <n v="0"/>
    <n v="2"/>
    <n v="2"/>
    <n v="0"/>
    <n v="0"/>
    <n v="0"/>
    <n v="0"/>
  </r>
  <r>
    <n v="22"/>
    <x v="1"/>
    <n v="0"/>
    <s v="Travel_Rarely"/>
    <n v="0"/>
    <n v="1"/>
    <n v="594"/>
    <s v="Research &amp; Development"/>
    <n v="1"/>
    <n v="0"/>
    <n v="2"/>
    <n v="1"/>
    <s v="Technical Degree"/>
    <n v="0"/>
    <n v="0"/>
    <n v="0"/>
    <n v="0"/>
    <n v="1"/>
    <n v="3"/>
    <x v="1"/>
    <n v="0"/>
    <n v="100"/>
    <n v="3"/>
    <n v="1"/>
    <s v="Laboratory Technician"/>
    <n v="0"/>
    <n v="0"/>
    <n v="1"/>
    <n v="0"/>
    <n v="0"/>
    <n v="0"/>
    <n v="0"/>
    <n v="0"/>
    <x v="0"/>
    <s v="Married"/>
    <n v="0"/>
    <n v="1"/>
    <n v="2523"/>
    <n v="19299"/>
    <n v="0"/>
    <s v="No"/>
    <n v="0"/>
    <n v="14"/>
    <n v="3"/>
    <n v="3"/>
    <n v="1"/>
    <n v="3"/>
    <n v="2"/>
    <n v="3"/>
    <n v="2"/>
    <n v="1"/>
    <n v="2"/>
    <n v="1"/>
  </r>
  <r>
    <n v="49"/>
    <x v="1"/>
    <n v="0"/>
    <s v="Travel_Rarely"/>
    <n v="0"/>
    <n v="1"/>
    <n v="470"/>
    <s v="Research &amp; Development"/>
    <n v="1"/>
    <n v="0"/>
    <n v="20"/>
    <n v="4"/>
    <s v="Medical"/>
    <n v="0"/>
    <n v="0"/>
    <n v="1"/>
    <n v="0"/>
    <n v="0"/>
    <n v="3"/>
    <x v="0"/>
    <n v="1"/>
    <n v="96"/>
    <n v="3"/>
    <n v="2"/>
    <s v="Manufacturing Director"/>
    <n v="0"/>
    <n v="0"/>
    <n v="0"/>
    <n v="0"/>
    <n v="1"/>
    <n v="1"/>
    <n v="0"/>
    <n v="0"/>
    <x v="3"/>
    <s v="Married"/>
    <n v="0"/>
    <n v="1"/>
    <n v="6567"/>
    <n v="5549"/>
    <n v="1"/>
    <s v="No"/>
    <n v="0"/>
    <n v="14"/>
    <n v="3"/>
    <n v="3"/>
    <n v="0"/>
    <n v="16"/>
    <n v="2"/>
    <n v="2"/>
    <n v="15"/>
    <n v="11"/>
    <n v="5"/>
    <n v="11"/>
  </r>
  <r>
    <n v="43"/>
    <x v="1"/>
    <n v="0"/>
    <s v="Travel_Frequently"/>
    <n v="1"/>
    <n v="0"/>
    <n v="957"/>
    <s v="Research &amp; Development"/>
    <n v="1"/>
    <n v="0"/>
    <n v="28"/>
    <n v="3"/>
    <s v="Medical"/>
    <n v="0"/>
    <n v="0"/>
    <n v="1"/>
    <n v="0"/>
    <n v="0"/>
    <n v="2"/>
    <x v="0"/>
    <n v="1"/>
    <n v="72"/>
    <n v="4"/>
    <n v="1"/>
    <s v="Research Scientist"/>
    <n v="0"/>
    <n v="0"/>
    <n v="0"/>
    <n v="0"/>
    <n v="0"/>
    <n v="0"/>
    <n v="0"/>
    <n v="1"/>
    <x v="2"/>
    <s v="Single"/>
    <n v="1"/>
    <n v="0"/>
    <n v="4739"/>
    <n v="16090"/>
    <n v="4"/>
    <s v="No"/>
    <n v="0"/>
    <n v="12"/>
    <n v="3"/>
    <n v="4"/>
    <n v="0"/>
    <n v="18"/>
    <n v="2"/>
    <n v="3"/>
    <n v="3"/>
    <n v="2"/>
    <n v="1"/>
    <n v="2"/>
  </r>
  <r>
    <n v="50"/>
    <x v="1"/>
    <n v="0"/>
    <s v="Travel_Frequently"/>
    <n v="1"/>
    <n v="0"/>
    <n v="809"/>
    <s v="Sales"/>
    <n v="0"/>
    <n v="1"/>
    <n v="12"/>
    <n v="3"/>
    <s v="Marketing"/>
    <n v="0"/>
    <n v="0"/>
    <n v="0"/>
    <n v="1"/>
    <n v="0"/>
    <n v="3"/>
    <x v="0"/>
    <n v="1"/>
    <n v="77"/>
    <n v="3"/>
    <n v="3"/>
    <s v="Sales Executive"/>
    <n v="0"/>
    <n v="1"/>
    <n v="0"/>
    <n v="0"/>
    <n v="0"/>
    <n v="0"/>
    <n v="0"/>
    <n v="0"/>
    <x v="0"/>
    <s v="Single"/>
    <n v="1"/>
    <n v="0"/>
    <n v="9208"/>
    <n v="6645"/>
    <n v="4"/>
    <s v="No"/>
    <n v="0"/>
    <n v="11"/>
    <n v="3"/>
    <n v="4"/>
    <n v="0"/>
    <n v="16"/>
    <n v="3"/>
    <n v="3"/>
    <n v="2"/>
    <n v="2"/>
    <n v="2"/>
    <n v="1"/>
  </r>
  <r>
    <n v="31"/>
    <x v="0"/>
    <n v="1"/>
    <s v="Travel_Rarely"/>
    <n v="0"/>
    <n v="1"/>
    <n v="542"/>
    <s v="Sales"/>
    <n v="0"/>
    <n v="1"/>
    <n v="20"/>
    <n v="3"/>
    <s v="Life Sciences"/>
    <n v="1"/>
    <n v="0"/>
    <n v="0"/>
    <n v="0"/>
    <n v="0"/>
    <n v="2"/>
    <x v="0"/>
    <n v="1"/>
    <n v="71"/>
    <n v="1"/>
    <n v="2"/>
    <s v="Sales Executive"/>
    <n v="0"/>
    <n v="1"/>
    <n v="0"/>
    <n v="0"/>
    <n v="0"/>
    <n v="0"/>
    <n v="0"/>
    <n v="0"/>
    <x v="2"/>
    <s v="Married"/>
    <n v="0"/>
    <n v="1"/>
    <n v="4559"/>
    <n v="24788"/>
    <n v="3"/>
    <s v="Yes"/>
    <n v="1"/>
    <n v="11"/>
    <n v="3"/>
    <n v="3"/>
    <n v="1"/>
    <n v="4"/>
    <n v="2"/>
    <n v="3"/>
    <n v="2"/>
    <n v="2"/>
    <n v="2"/>
    <n v="2"/>
  </r>
  <r>
    <n v="41"/>
    <x v="1"/>
    <n v="0"/>
    <s v="Travel_Rarely"/>
    <n v="0"/>
    <n v="1"/>
    <n v="802"/>
    <s v="Sales"/>
    <n v="0"/>
    <n v="1"/>
    <n v="9"/>
    <n v="1"/>
    <s v="Life Sciences"/>
    <n v="1"/>
    <n v="0"/>
    <n v="0"/>
    <n v="0"/>
    <n v="0"/>
    <n v="3"/>
    <x v="1"/>
    <n v="0"/>
    <n v="96"/>
    <n v="3"/>
    <n v="3"/>
    <s v="Sales Executive"/>
    <n v="0"/>
    <n v="1"/>
    <n v="0"/>
    <n v="0"/>
    <n v="0"/>
    <n v="0"/>
    <n v="0"/>
    <n v="0"/>
    <x v="2"/>
    <s v="Divorced"/>
    <n v="0"/>
    <n v="0"/>
    <n v="8189"/>
    <n v="21196"/>
    <n v="3"/>
    <s v="Yes"/>
    <n v="1"/>
    <n v="13"/>
    <n v="3"/>
    <n v="3"/>
    <n v="1"/>
    <n v="12"/>
    <n v="2"/>
    <n v="3"/>
    <n v="9"/>
    <n v="7"/>
    <n v="0"/>
    <n v="7"/>
  </r>
  <r>
    <n v="26"/>
    <x v="1"/>
    <n v="0"/>
    <s v="Travel_Rarely"/>
    <n v="0"/>
    <n v="1"/>
    <n v="1355"/>
    <s v="Human Resources"/>
    <n v="0"/>
    <n v="0"/>
    <n v="25"/>
    <n v="1"/>
    <s v="Life Sciences"/>
    <n v="1"/>
    <n v="0"/>
    <n v="0"/>
    <n v="0"/>
    <n v="0"/>
    <n v="3"/>
    <x v="0"/>
    <n v="1"/>
    <n v="61"/>
    <n v="3"/>
    <n v="1"/>
    <s v="Human Resources"/>
    <n v="0"/>
    <n v="0"/>
    <n v="0"/>
    <n v="0"/>
    <n v="0"/>
    <n v="0"/>
    <n v="0"/>
    <n v="0"/>
    <x v="2"/>
    <s v="Married"/>
    <n v="0"/>
    <n v="1"/>
    <n v="2942"/>
    <n v="8916"/>
    <n v="1"/>
    <s v="No"/>
    <n v="0"/>
    <n v="23"/>
    <n v="4"/>
    <n v="4"/>
    <n v="1"/>
    <n v="8"/>
    <n v="3"/>
    <n v="3"/>
    <n v="8"/>
    <n v="7"/>
    <n v="5"/>
    <n v="7"/>
  </r>
  <r>
    <n v="36"/>
    <x v="1"/>
    <n v="0"/>
    <s v="Travel_Rarely"/>
    <n v="0"/>
    <n v="1"/>
    <n v="216"/>
    <s v="Research &amp; Development"/>
    <n v="1"/>
    <n v="0"/>
    <n v="6"/>
    <n v="2"/>
    <s v="Medical"/>
    <n v="0"/>
    <n v="0"/>
    <n v="1"/>
    <n v="0"/>
    <n v="0"/>
    <n v="2"/>
    <x v="1"/>
    <n v="0"/>
    <n v="84"/>
    <n v="3"/>
    <n v="2"/>
    <s v="Manufacturing Director"/>
    <n v="0"/>
    <n v="0"/>
    <n v="0"/>
    <n v="0"/>
    <n v="1"/>
    <n v="1"/>
    <n v="0"/>
    <n v="0"/>
    <x v="1"/>
    <s v="Divorced"/>
    <n v="0"/>
    <n v="0"/>
    <n v="4941"/>
    <n v="2819"/>
    <n v="6"/>
    <s v="No"/>
    <n v="0"/>
    <n v="20"/>
    <n v="4"/>
    <n v="4"/>
    <n v="2"/>
    <n v="7"/>
    <n v="0"/>
    <n v="3"/>
    <n v="3"/>
    <n v="2"/>
    <n v="0"/>
    <n v="1"/>
  </r>
  <r>
    <n v="51"/>
    <x v="0"/>
    <n v="1"/>
    <s v="Travel_Frequently"/>
    <n v="1"/>
    <n v="0"/>
    <n v="1150"/>
    <s v="Research &amp; Development"/>
    <n v="1"/>
    <n v="0"/>
    <n v="8"/>
    <n v="4"/>
    <s v="Life Sciences"/>
    <n v="1"/>
    <n v="0"/>
    <n v="0"/>
    <n v="0"/>
    <n v="0"/>
    <n v="1"/>
    <x v="1"/>
    <n v="0"/>
    <n v="53"/>
    <n v="1"/>
    <n v="3"/>
    <s v="Manufacturing Director"/>
    <n v="0"/>
    <n v="0"/>
    <n v="0"/>
    <n v="0"/>
    <n v="1"/>
    <n v="1"/>
    <n v="0"/>
    <n v="0"/>
    <x v="0"/>
    <s v="Single"/>
    <n v="1"/>
    <n v="0"/>
    <n v="10650"/>
    <n v="25150"/>
    <n v="2"/>
    <s v="No"/>
    <n v="0"/>
    <n v="15"/>
    <n v="3"/>
    <n v="4"/>
    <n v="0"/>
    <n v="18"/>
    <n v="2"/>
    <n v="3"/>
    <n v="4"/>
    <n v="2"/>
    <n v="0"/>
    <n v="3"/>
  </r>
  <r>
    <n v="39"/>
    <x v="1"/>
    <n v="0"/>
    <s v="Travel_Rarely"/>
    <n v="0"/>
    <n v="1"/>
    <n v="1329"/>
    <s v="Sales"/>
    <n v="0"/>
    <n v="1"/>
    <n v="4"/>
    <n v="4"/>
    <s v="Life Sciences"/>
    <n v="1"/>
    <n v="0"/>
    <n v="0"/>
    <n v="0"/>
    <n v="0"/>
    <n v="4"/>
    <x v="0"/>
    <n v="1"/>
    <n v="47"/>
    <n v="2"/>
    <n v="2"/>
    <s v="Sales Executive"/>
    <n v="0"/>
    <n v="1"/>
    <n v="0"/>
    <n v="0"/>
    <n v="0"/>
    <n v="0"/>
    <n v="0"/>
    <n v="0"/>
    <x v="2"/>
    <s v="Married"/>
    <n v="0"/>
    <n v="1"/>
    <n v="5902"/>
    <n v="14590"/>
    <n v="4"/>
    <s v="No"/>
    <n v="0"/>
    <n v="14"/>
    <n v="3"/>
    <n v="3"/>
    <n v="1"/>
    <n v="17"/>
    <n v="1"/>
    <n v="4"/>
    <n v="15"/>
    <n v="11"/>
    <n v="5"/>
    <n v="9"/>
  </r>
  <r>
    <n v="25"/>
    <x v="1"/>
    <n v="0"/>
    <s v="Travel_Rarely"/>
    <n v="0"/>
    <n v="1"/>
    <n v="959"/>
    <s v="Sales"/>
    <n v="0"/>
    <n v="1"/>
    <n v="28"/>
    <n v="3"/>
    <s v="Life Sciences"/>
    <n v="1"/>
    <n v="0"/>
    <n v="0"/>
    <n v="0"/>
    <n v="0"/>
    <n v="1"/>
    <x v="1"/>
    <n v="0"/>
    <n v="41"/>
    <n v="2"/>
    <n v="2"/>
    <s v="Sales Executive"/>
    <n v="0"/>
    <n v="1"/>
    <n v="0"/>
    <n v="0"/>
    <n v="0"/>
    <n v="0"/>
    <n v="0"/>
    <n v="0"/>
    <x v="2"/>
    <s v="Married"/>
    <n v="0"/>
    <n v="1"/>
    <n v="8639"/>
    <n v="24835"/>
    <n v="2"/>
    <s v="No"/>
    <n v="0"/>
    <n v="18"/>
    <n v="3"/>
    <n v="4"/>
    <n v="0"/>
    <n v="6"/>
    <n v="3"/>
    <n v="3"/>
    <n v="2"/>
    <n v="2"/>
    <n v="2"/>
    <n v="2"/>
  </r>
  <r>
    <n v="30"/>
    <x v="1"/>
    <n v="0"/>
    <s v="Travel_Rarely"/>
    <n v="0"/>
    <n v="1"/>
    <n v="1240"/>
    <s v="Human Resources"/>
    <n v="0"/>
    <n v="0"/>
    <n v="9"/>
    <n v="3"/>
    <s v="Human Resources"/>
    <n v="0"/>
    <n v="0"/>
    <n v="0"/>
    <n v="0"/>
    <n v="0"/>
    <n v="3"/>
    <x v="1"/>
    <n v="0"/>
    <n v="48"/>
    <n v="3"/>
    <n v="2"/>
    <s v="Human Resources"/>
    <n v="0"/>
    <n v="0"/>
    <n v="0"/>
    <n v="0"/>
    <n v="0"/>
    <n v="0"/>
    <n v="0"/>
    <n v="0"/>
    <x v="0"/>
    <s v="Married"/>
    <n v="0"/>
    <n v="1"/>
    <n v="6347"/>
    <n v="13982"/>
    <n v="0"/>
    <s v="Yes"/>
    <n v="1"/>
    <n v="19"/>
    <n v="3"/>
    <n v="4"/>
    <n v="0"/>
    <n v="12"/>
    <n v="2"/>
    <n v="1"/>
    <n v="11"/>
    <n v="9"/>
    <n v="4"/>
    <n v="7"/>
  </r>
  <r>
    <n v="32"/>
    <x v="0"/>
    <n v="1"/>
    <s v="Travel_Rarely"/>
    <n v="0"/>
    <n v="1"/>
    <n v="1033"/>
    <s v="Research &amp; Development"/>
    <n v="1"/>
    <n v="0"/>
    <n v="9"/>
    <n v="3"/>
    <s v="Medical"/>
    <n v="0"/>
    <n v="0"/>
    <n v="1"/>
    <n v="0"/>
    <n v="0"/>
    <n v="1"/>
    <x v="0"/>
    <n v="1"/>
    <n v="41"/>
    <n v="3"/>
    <n v="1"/>
    <s v="Laboratory Technician"/>
    <n v="0"/>
    <n v="0"/>
    <n v="1"/>
    <n v="0"/>
    <n v="0"/>
    <n v="0"/>
    <n v="0"/>
    <n v="0"/>
    <x v="3"/>
    <s v="Single"/>
    <n v="1"/>
    <n v="0"/>
    <n v="4200"/>
    <n v="10224"/>
    <n v="7"/>
    <s v="No"/>
    <n v="0"/>
    <n v="22"/>
    <n v="4"/>
    <n v="1"/>
    <n v="0"/>
    <n v="10"/>
    <n v="2"/>
    <n v="4"/>
    <n v="5"/>
    <n v="4"/>
    <n v="0"/>
    <n v="4"/>
  </r>
  <r>
    <n v="45"/>
    <x v="1"/>
    <n v="0"/>
    <s v="Travel_Rarely"/>
    <n v="0"/>
    <n v="1"/>
    <n v="1316"/>
    <s v="Research &amp; Development"/>
    <n v="1"/>
    <n v="0"/>
    <n v="29"/>
    <n v="3"/>
    <s v="Medical"/>
    <n v="0"/>
    <n v="0"/>
    <n v="1"/>
    <n v="0"/>
    <n v="0"/>
    <n v="3"/>
    <x v="1"/>
    <n v="0"/>
    <n v="83"/>
    <n v="3"/>
    <n v="1"/>
    <s v="Research Scientist"/>
    <n v="0"/>
    <n v="0"/>
    <n v="0"/>
    <n v="0"/>
    <n v="0"/>
    <n v="0"/>
    <n v="0"/>
    <n v="1"/>
    <x v="0"/>
    <s v="Single"/>
    <n v="1"/>
    <n v="0"/>
    <n v="3452"/>
    <n v="9752"/>
    <n v="5"/>
    <s v="No"/>
    <n v="0"/>
    <n v="13"/>
    <n v="3"/>
    <n v="2"/>
    <n v="0"/>
    <n v="9"/>
    <n v="2"/>
    <n v="2"/>
    <n v="6"/>
    <n v="5"/>
    <n v="0"/>
    <n v="3"/>
  </r>
  <r>
    <n v="38"/>
    <x v="1"/>
    <n v="0"/>
    <s v="Travel_Rarely"/>
    <n v="0"/>
    <n v="1"/>
    <n v="364"/>
    <s v="Research &amp; Development"/>
    <n v="1"/>
    <n v="0"/>
    <n v="3"/>
    <n v="5"/>
    <s v="Technical Degree"/>
    <n v="0"/>
    <n v="0"/>
    <n v="0"/>
    <n v="0"/>
    <n v="1"/>
    <n v="4"/>
    <x v="0"/>
    <n v="1"/>
    <n v="32"/>
    <n v="3"/>
    <n v="2"/>
    <s v="Research Scientist"/>
    <n v="0"/>
    <n v="0"/>
    <n v="0"/>
    <n v="0"/>
    <n v="0"/>
    <n v="0"/>
    <n v="0"/>
    <n v="1"/>
    <x v="2"/>
    <s v="Single"/>
    <n v="1"/>
    <n v="0"/>
    <n v="4317"/>
    <n v="2302"/>
    <n v="3"/>
    <s v="Yes"/>
    <n v="1"/>
    <n v="20"/>
    <n v="4"/>
    <n v="2"/>
    <n v="0"/>
    <n v="19"/>
    <n v="2"/>
    <n v="3"/>
    <n v="3"/>
    <n v="2"/>
    <n v="2"/>
    <n v="2"/>
  </r>
  <r>
    <n v="30"/>
    <x v="1"/>
    <n v="0"/>
    <s v="Travel_Rarely"/>
    <n v="0"/>
    <n v="1"/>
    <n v="438"/>
    <s v="Research &amp; Development"/>
    <n v="1"/>
    <n v="0"/>
    <n v="18"/>
    <n v="3"/>
    <s v="Life Sciences"/>
    <n v="1"/>
    <n v="0"/>
    <n v="0"/>
    <n v="0"/>
    <n v="0"/>
    <n v="1"/>
    <x v="0"/>
    <n v="1"/>
    <n v="75"/>
    <n v="3"/>
    <n v="1"/>
    <s v="Research Scientist"/>
    <n v="0"/>
    <n v="0"/>
    <n v="0"/>
    <n v="0"/>
    <n v="0"/>
    <n v="0"/>
    <n v="0"/>
    <n v="1"/>
    <x v="2"/>
    <s v="Single"/>
    <n v="1"/>
    <n v="0"/>
    <n v="2632"/>
    <n v="23910"/>
    <n v="1"/>
    <s v="No"/>
    <n v="0"/>
    <n v="14"/>
    <n v="3"/>
    <n v="3"/>
    <n v="0"/>
    <n v="5"/>
    <n v="4"/>
    <n v="2"/>
    <n v="5"/>
    <n v="4"/>
    <n v="0"/>
    <n v="4"/>
  </r>
  <r>
    <n v="32"/>
    <x v="1"/>
    <n v="0"/>
    <s v="Travel_Frequently"/>
    <n v="1"/>
    <n v="0"/>
    <n v="689"/>
    <s v="Sales"/>
    <n v="0"/>
    <n v="1"/>
    <n v="9"/>
    <n v="2"/>
    <s v="Medical"/>
    <n v="0"/>
    <n v="0"/>
    <n v="1"/>
    <n v="0"/>
    <n v="0"/>
    <n v="4"/>
    <x v="1"/>
    <n v="0"/>
    <n v="35"/>
    <n v="1"/>
    <n v="2"/>
    <s v="Sales Executive"/>
    <n v="0"/>
    <n v="1"/>
    <n v="0"/>
    <n v="0"/>
    <n v="0"/>
    <n v="0"/>
    <n v="0"/>
    <n v="0"/>
    <x v="0"/>
    <s v="Divorced"/>
    <n v="0"/>
    <n v="0"/>
    <n v="4668"/>
    <n v="22812"/>
    <n v="0"/>
    <s v="No"/>
    <n v="0"/>
    <n v="17"/>
    <n v="3"/>
    <n v="4"/>
    <n v="3"/>
    <n v="9"/>
    <n v="2"/>
    <n v="4"/>
    <n v="8"/>
    <n v="7"/>
    <n v="0"/>
    <n v="7"/>
  </r>
  <r>
    <n v="30"/>
    <x v="1"/>
    <n v="0"/>
    <s v="Travel_Rarely"/>
    <n v="0"/>
    <n v="1"/>
    <n v="201"/>
    <s v="Research &amp; Development"/>
    <n v="1"/>
    <n v="0"/>
    <n v="5"/>
    <n v="3"/>
    <s v="Technical Degree"/>
    <n v="0"/>
    <n v="0"/>
    <n v="0"/>
    <n v="0"/>
    <n v="1"/>
    <n v="4"/>
    <x v="0"/>
    <n v="1"/>
    <n v="84"/>
    <n v="3"/>
    <n v="1"/>
    <s v="Research Scientist"/>
    <n v="0"/>
    <n v="0"/>
    <n v="0"/>
    <n v="0"/>
    <n v="0"/>
    <n v="0"/>
    <n v="0"/>
    <n v="1"/>
    <x v="3"/>
    <s v="Divorced"/>
    <n v="0"/>
    <n v="0"/>
    <n v="3204"/>
    <n v="10415"/>
    <n v="5"/>
    <s v="No"/>
    <n v="0"/>
    <n v="14"/>
    <n v="3"/>
    <n v="4"/>
    <n v="1"/>
    <n v="8"/>
    <n v="3"/>
    <n v="3"/>
    <n v="3"/>
    <n v="2"/>
    <n v="2"/>
    <n v="2"/>
  </r>
  <r>
    <n v="30"/>
    <x v="1"/>
    <n v="0"/>
    <s v="Travel_Rarely"/>
    <n v="0"/>
    <n v="1"/>
    <n v="1427"/>
    <s v="Research &amp; Development"/>
    <n v="1"/>
    <n v="0"/>
    <n v="2"/>
    <n v="1"/>
    <s v="Medical"/>
    <n v="0"/>
    <n v="0"/>
    <n v="1"/>
    <n v="0"/>
    <n v="0"/>
    <n v="2"/>
    <x v="1"/>
    <n v="0"/>
    <n v="35"/>
    <n v="2"/>
    <n v="1"/>
    <s v="Laboratory Technician"/>
    <n v="0"/>
    <n v="0"/>
    <n v="1"/>
    <n v="0"/>
    <n v="0"/>
    <n v="0"/>
    <n v="0"/>
    <n v="0"/>
    <x v="0"/>
    <s v="Single"/>
    <n v="1"/>
    <n v="0"/>
    <n v="2720"/>
    <n v="11162"/>
    <n v="0"/>
    <s v="No"/>
    <n v="0"/>
    <n v="13"/>
    <n v="3"/>
    <n v="4"/>
    <n v="0"/>
    <n v="6"/>
    <n v="3"/>
    <n v="3"/>
    <n v="5"/>
    <n v="3"/>
    <n v="1"/>
    <n v="2"/>
  </r>
  <r>
    <n v="41"/>
    <x v="1"/>
    <n v="0"/>
    <s v="Travel_Frequently"/>
    <n v="1"/>
    <n v="0"/>
    <n v="857"/>
    <s v="Research &amp; Development"/>
    <n v="1"/>
    <n v="0"/>
    <n v="10"/>
    <n v="3"/>
    <s v="Life Sciences"/>
    <n v="1"/>
    <n v="0"/>
    <n v="0"/>
    <n v="0"/>
    <n v="0"/>
    <n v="4"/>
    <x v="1"/>
    <n v="0"/>
    <n v="91"/>
    <n v="2"/>
    <n v="4"/>
    <s v="Manager"/>
    <n v="0"/>
    <n v="0"/>
    <n v="0"/>
    <n v="1"/>
    <n v="0"/>
    <n v="0"/>
    <n v="0"/>
    <n v="0"/>
    <x v="3"/>
    <s v="Divorced"/>
    <n v="0"/>
    <n v="0"/>
    <n v="17181"/>
    <n v="12888"/>
    <n v="4"/>
    <s v="No"/>
    <n v="0"/>
    <n v="13"/>
    <n v="3"/>
    <n v="2"/>
    <n v="1"/>
    <n v="21"/>
    <n v="2"/>
    <n v="2"/>
    <n v="7"/>
    <n v="6"/>
    <n v="7"/>
    <n v="7"/>
  </r>
  <r>
    <n v="41"/>
    <x v="1"/>
    <n v="0"/>
    <s v="Travel_Rarely"/>
    <n v="0"/>
    <n v="1"/>
    <n v="933"/>
    <s v="Research &amp; Development"/>
    <n v="1"/>
    <n v="0"/>
    <n v="9"/>
    <n v="4"/>
    <s v="Life Sciences"/>
    <n v="1"/>
    <n v="0"/>
    <n v="0"/>
    <n v="0"/>
    <n v="0"/>
    <n v="3"/>
    <x v="1"/>
    <n v="0"/>
    <n v="94"/>
    <n v="3"/>
    <n v="1"/>
    <s v="Laboratory Technician"/>
    <n v="0"/>
    <n v="0"/>
    <n v="1"/>
    <n v="0"/>
    <n v="0"/>
    <n v="0"/>
    <n v="0"/>
    <n v="0"/>
    <x v="3"/>
    <s v="Married"/>
    <n v="0"/>
    <n v="1"/>
    <n v="2238"/>
    <n v="6961"/>
    <n v="2"/>
    <s v="No"/>
    <n v="0"/>
    <n v="21"/>
    <n v="4"/>
    <n v="4"/>
    <n v="1"/>
    <n v="7"/>
    <n v="2"/>
    <n v="3"/>
    <n v="5"/>
    <n v="0"/>
    <n v="1"/>
    <n v="4"/>
  </r>
  <r>
    <n v="19"/>
    <x v="1"/>
    <n v="0"/>
    <s v="Travel_Rarely"/>
    <n v="0"/>
    <n v="1"/>
    <n v="1181"/>
    <s v="Research &amp; Development"/>
    <n v="1"/>
    <n v="0"/>
    <n v="3"/>
    <n v="1"/>
    <s v="Medical"/>
    <n v="0"/>
    <n v="0"/>
    <n v="1"/>
    <n v="0"/>
    <n v="0"/>
    <n v="2"/>
    <x v="0"/>
    <n v="1"/>
    <n v="79"/>
    <n v="3"/>
    <n v="1"/>
    <s v="Laboratory Technician"/>
    <n v="0"/>
    <n v="0"/>
    <n v="1"/>
    <n v="0"/>
    <n v="0"/>
    <n v="0"/>
    <n v="0"/>
    <n v="0"/>
    <x v="1"/>
    <s v="Single"/>
    <n v="1"/>
    <n v="0"/>
    <n v="1483"/>
    <n v="16102"/>
    <n v="1"/>
    <s v="No"/>
    <n v="0"/>
    <n v="14"/>
    <n v="3"/>
    <n v="4"/>
    <n v="0"/>
    <n v="1"/>
    <n v="3"/>
    <n v="3"/>
    <n v="1"/>
    <n v="0"/>
    <n v="0"/>
    <n v="0"/>
  </r>
  <r>
    <n v="40"/>
    <x v="1"/>
    <n v="0"/>
    <s v="Travel_Frequently"/>
    <n v="1"/>
    <n v="0"/>
    <n v="1395"/>
    <s v="Research &amp; Development"/>
    <n v="1"/>
    <n v="0"/>
    <n v="26"/>
    <n v="3"/>
    <s v="Medical"/>
    <n v="0"/>
    <n v="0"/>
    <n v="1"/>
    <n v="0"/>
    <n v="0"/>
    <n v="2"/>
    <x v="0"/>
    <n v="1"/>
    <n v="54"/>
    <n v="3"/>
    <n v="2"/>
    <s v="Research Scientist"/>
    <n v="0"/>
    <n v="0"/>
    <n v="0"/>
    <n v="0"/>
    <n v="0"/>
    <n v="0"/>
    <n v="0"/>
    <n v="1"/>
    <x v="1"/>
    <s v="Divorced"/>
    <n v="0"/>
    <n v="0"/>
    <n v="5605"/>
    <n v="8504"/>
    <n v="1"/>
    <s v="No"/>
    <n v="0"/>
    <n v="11"/>
    <n v="3"/>
    <n v="1"/>
    <n v="1"/>
    <n v="20"/>
    <n v="2"/>
    <n v="3"/>
    <n v="20"/>
    <n v="7"/>
    <n v="2"/>
    <n v="13"/>
  </r>
  <r>
    <n v="35"/>
    <x v="1"/>
    <n v="0"/>
    <s v="Travel_Rarely"/>
    <n v="0"/>
    <n v="1"/>
    <n v="662"/>
    <s v="Sales"/>
    <n v="0"/>
    <n v="1"/>
    <n v="1"/>
    <n v="5"/>
    <s v="Marketing"/>
    <n v="0"/>
    <n v="0"/>
    <n v="0"/>
    <n v="1"/>
    <n v="0"/>
    <n v="3"/>
    <x v="1"/>
    <n v="0"/>
    <n v="94"/>
    <n v="3"/>
    <n v="3"/>
    <s v="Sales Executive"/>
    <n v="0"/>
    <n v="1"/>
    <n v="0"/>
    <n v="0"/>
    <n v="0"/>
    <n v="0"/>
    <n v="0"/>
    <n v="0"/>
    <x v="1"/>
    <s v="Married"/>
    <n v="0"/>
    <n v="1"/>
    <n v="7295"/>
    <n v="11439"/>
    <n v="1"/>
    <s v="No"/>
    <n v="0"/>
    <n v="13"/>
    <n v="3"/>
    <n v="1"/>
    <n v="2"/>
    <n v="10"/>
    <n v="3"/>
    <n v="3"/>
    <n v="10"/>
    <n v="8"/>
    <n v="0"/>
    <n v="6"/>
  </r>
  <r>
    <n v="53"/>
    <x v="1"/>
    <n v="0"/>
    <s v="Travel_Rarely"/>
    <n v="0"/>
    <n v="1"/>
    <n v="1436"/>
    <s v="Sales"/>
    <n v="0"/>
    <n v="1"/>
    <n v="6"/>
    <n v="2"/>
    <s v="Marketing"/>
    <n v="0"/>
    <n v="0"/>
    <n v="0"/>
    <n v="1"/>
    <n v="0"/>
    <n v="2"/>
    <x v="1"/>
    <n v="0"/>
    <n v="34"/>
    <n v="3"/>
    <n v="2"/>
    <s v="Sales Representative"/>
    <n v="0"/>
    <n v="0"/>
    <n v="0"/>
    <n v="0"/>
    <n v="0"/>
    <n v="0"/>
    <n v="1"/>
    <n v="0"/>
    <x v="2"/>
    <s v="Married"/>
    <n v="0"/>
    <n v="1"/>
    <n v="2306"/>
    <n v="16047"/>
    <n v="2"/>
    <s v="Yes"/>
    <n v="1"/>
    <n v="20"/>
    <n v="4"/>
    <n v="4"/>
    <n v="1"/>
    <n v="13"/>
    <n v="3"/>
    <n v="1"/>
    <n v="7"/>
    <n v="7"/>
    <n v="4"/>
    <n v="5"/>
  </r>
  <r>
    <n v="45"/>
    <x v="1"/>
    <n v="0"/>
    <s v="Travel_Rarely"/>
    <n v="0"/>
    <n v="1"/>
    <n v="194"/>
    <s v="Research &amp; Development"/>
    <n v="1"/>
    <n v="0"/>
    <n v="9"/>
    <n v="3"/>
    <s v="Life Sciences"/>
    <n v="1"/>
    <n v="0"/>
    <n v="0"/>
    <n v="0"/>
    <n v="0"/>
    <n v="2"/>
    <x v="1"/>
    <n v="0"/>
    <n v="60"/>
    <n v="3"/>
    <n v="2"/>
    <s v="Laboratory Technician"/>
    <n v="0"/>
    <n v="0"/>
    <n v="1"/>
    <n v="0"/>
    <n v="0"/>
    <n v="0"/>
    <n v="0"/>
    <n v="0"/>
    <x v="1"/>
    <s v="Divorced"/>
    <n v="0"/>
    <n v="0"/>
    <n v="2348"/>
    <n v="10901"/>
    <n v="8"/>
    <s v="No"/>
    <n v="0"/>
    <n v="18"/>
    <n v="3"/>
    <n v="3"/>
    <n v="1"/>
    <n v="20"/>
    <n v="2"/>
    <n v="1"/>
    <n v="17"/>
    <n v="9"/>
    <n v="0"/>
    <n v="15"/>
  </r>
  <r>
    <n v="32"/>
    <x v="1"/>
    <n v="0"/>
    <s v="Travel_Frequently"/>
    <n v="1"/>
    <n v="0"/>
    <n v="967"/>
    <s v="Sales"/>
    <n v="0"/>
    <n v="1"/>
    <n v="8"/>
    <n v="3"/>
    <s v="Marketing"/>
    <n v="0"/>
    <n v="0"/>
    <n v="0"/>
    <n v="1"/>
    <n v="0"/>
    <n v="2"/>
    <x v="0"/>
    <n v="1"/>
    <n v="43"/>
    <n v="3"/>
    <n v="3"/>
    <s v="Sales Executive"/>
    <n v="0"/>
    <n v="1"/>
    <n v="0"/>
    <n v="0"/>
    <n v="0"/>
    <n v="0"/>
    <n v="0"/>
    <n v="0"/>
    <x v="0"/>
    <s v="Single"/>
    <n v="1"/>
    <n v="0"/>
    <n v="8998"/>
    <n v="15589"/>
    <n v="1"/>
    <s v="No"/>
    <n v="0"/>
    <n v="14"/>
    <n v="3"/>
    <n v="4"/>
    <n v="0"/>
    <n v="9"/>
    <n v="2"/>
    <n v="3"/>
    <n v="9"/>
    <n v="8"/>
    <n v="3"/>
    <n v="7"/>
  </r>
  <r>
    <n v="29"/>
    <x v="1"/>
    <n v="0"/>
    <s v="Non-Travel"/>
    <n v="0"/>
    <n v="0"/>
    <n v="1496"/>
    <s v="Research &amp; Development"/>
    <n v="1"/>
    <n v="0"/>
    <n v="1"/>
    <n v="1"/>
    <s v="Technical Degree"/>
    <n v="0"/>
    <n v="0"/>
    <n v="0"/>
    <n v="0"/>
    <n v="1"/>
    <n v="4"/>
    <x v="1"/>
    <n v="0"/>
    <n v="41"/>
    <n v="3"/>
    <n v="2"/>
    <s v="Manufacturing Director"/>
    <n v="0"/>
    <n v="0"/>
    <n v="0"/>
    <n v="0"/>
    <n v="1"/>
    <n v="1"/>
    <n v="0"/>
    <n v="0"/>
    <x v="2"/>
    <s v="Married"/>
    <n v="0"/>
    <n v="1"/>
    <n v="4319"/>
    <n v="26283"/>
    <n v="1"/>
    <s v="No"/>
    <n v="0"/>
    <n v="13"/>
    <n v="3"/>
    <n v="1"/>
    <n v="1"/>
    <n v="10"/>
    <n v="1"/>
    <n v="3"/>
    <n v="10"/>
    <n v="7"/>
    <n v="0"/>
    <n v="9"/>
  </r>
  <r>
    <n v="51"/>
    <x v="1"/>
    <n v="0"/>
    <s v="Travel_Rarely"/>
    <n v="0"/>
    <n v="1"/>
    <n v="1169"/>
    <s v="Research &amp; Development"/>
    <n v="1"/>
    <n v="0"/>
    <n v="7"/>
    <n v="4"/>
    <s v="Medical"/>
    <n v="0"/>
    <n v="0"/>
    <n v="1"/>
    <n v="0"/>
    <n v="0"/>
    <n v="2"/>
    <x v="1"/>
    <n v="0"/>
    <n v="34"/>
    <n v="2"/>
    <n v="2"/>
    <s v="Manufacturing Director"/>
    <n v="0"/>
    <n v="0"/>
    <n v="0"/>
    <n v="0"/>
    <n v="1"/>
    <n v="1"/>
    <n v="0"/>
    <n v="0"/>
    <x v="2"/>
    <s v="Married"/>
    <n v="0"/>
    <n v="1"/>
    <n v="6132"/>
    <n v="13983"/>
    <n v="2"/>
    <s v="No"/>
    <n v="0"/>
    <n v="17"/>
    <n v="3"/>
    <n v="3"/>
    <n v="0"/>
    <n v="10"/>
    <n v="2"/>
    <n v="3"/>
    <n v="1"/>
    <n v="0"/>
    <n v="0"/>
    <n v="0"/>
  </r>
  <r>
    <n v="58"/>
    <x v="1"/>
    <n v="0"/>
    <s v="Travel_Rarely"/>
    <n v="0"/>
    <n v="1"/>
    <n v="1145"/>
    <s v="Research &amp; Development"/>
    <n v="1"/>
    <n v="0"/>
    <n v="9"/>
    <n v="3"/>
    <s v="Medical"/>
    <n v="0"/>
    <n v="0"/>
    <n v="1"/>
    <n v="0"/>
    <n v="0"/>
    <n v="2"/>
    <x v="0"/>
    <n v="1"/>
    <n v="75"/>
    <n v="2"/>
    <n v="1"/>
    <s v="Research Scientist"/>
    <n v="0"/>
    <n v="0"/>
    <n v="0"/>
    <n v="0"/>
    <n v="0"/>
    <n v="0"/>
    <n v="0"/>
    <n v="1"/>
    <x v="1"/>
    <s v="Married"/>
    <n v="0"/>
    <n v="1"/>
    <n v="3346"/>
    <n v="11873"/>
    <n v="4"/>
    <s v="Yes"/>
    <n v="1"/>
    <n v="20"/>
    <n v="4"/>
    <n v="2"/>
    <n v="1"/>
    <n v="9"/>
    <n v="3"/>
    <n v="2"/>
    <n v="1"/>
    <n v="0"/>
    <n v="0"/>
    <n v="0"/>
  </r>
  <r>
    <n v="40"/>
    <x v="1"/>
    <n v="0"/>
    <s v="Travel_Rarely"/>
    <n v="0"/>
    <n v="1"/>
    <n v="630"/>
    <s v="Sales"/>
    <n v="0"/>
    <n v="1"/>
    <n v="4"/>
    <n v="4"/>
    <s v="Marketing"/>
    <n v="0"/>
    <n v="0"/>
    <n v="0"/>
    <n v="1"/>
    <n v="0"/>
    <n v="3"/>
    <x v="1"/>
    <n v="0"/>
    <n v="67"/>
    <n v="2"/>
    <n v="3"/>
    <s v="Sales Executive"/>
    <n v="0"/>
    <n v="1"/>
    <n v="0"/>
    <n v="0"/>
    <n v="0"/>
    <n v="0"/>
    <n v="0"/>
    <n v="0"/>
    <x v="0"/>
    <s v="Married"/>
    <n v="0"/>
    <n v="1"/>
    <n v="10855"/>
    <n v="8552"/>
    <n v="7"/>
    <s v="No"/>
    <n v="0"/>
    <n v="11"/>
    <n v="3"/>
    <n v="1"/>
    <n v="1"/>
    <n v="15"/>
    <n v="2"/>
    <n v="2"/>
    <n v="12"/>
    <n v="11"/>
    <n v="2"/>
    <n v="11"/>
  </r>
  <r>
    <n v="34"/>
    <x v="1"/>
    <n v="0"/>
    <s v="Travel_Frequently"/>
    <n v="1"/>
    <n v="0"/>
    <n v="303"/>
    <s v="Sales"/>
    <n v="0"/>
    <n v="1"/>
    <n v="2"/>
    <n v="4"/>
    <s v="Marketing"/>
    <n v="0"/>
    <n v="0"/>
    <n v="0"/>
    <n v="1"/>
    <n v="0"/>
    <n v="3"/>
    <x v="0"/>
    <n v="1"/>
    <n v="75"/>
    <n v="3"/>
    <n v="1"/>
    <s v="Sales Representative"/>
    <n v="0"/>
    <n v="0"/>
    <n v="0"/>
    <n v="0"/>
    <n v="0"/>
    <n v="0"/>
    <n v="1"/>
    <n v="0"/>
    <x v="2"/>
    <s v="Married"/>
    <n v="0"/>
    <n v="1"/>
    <n v="2231"/>
    <n v="11314"/>
    <n v="6"/>
    <s v="No"/>
    <n v="0"/>
    <n v="18"/>
    <n v="3"/>
    <n v="4"/>
    <n v="1"/>
    <n v="6"/>
    <n v="3"/>
    <n v="3"/>
    <n v="4"/>
    <n v="3"/>
    <n v="1"/>
    <n v="2"/>
  </r>
  <r>
    <n v="22"/>
    <x v="1"/>
    <n v="0"/>
    <s v="Travel_Rarely"/>
    <n v="0"/>
    <n v="1"/>
    <n v="1256"/>
    <s v="Research &amp; Development"/>
    <n v="1"/>
    <n v="0"/>
    <n v="19"/>
    <n v="1"/>
    <s v="Medical"/>
    <n v="0"/>
    <n v="0"/>
    <n v="1"/>
    <n v="0"/>
    <n v="0"/>
    <n v="3"/>
    <x v="1"/>
    <n v="0"/>
    <n v="80"/>
    <n v="3"/>
    <n v="1"/>
    <s v="Research Scientist"/>
    <n v="0"/>
    <n v="0"/>
    <n v="0"/>
    <n v="0"/>
    <n v="0"/>
    <n v="0"/>
    <n v="0"/>
    <n v="1"/>
    <x v="0"/>
    <s v="Married"/>
    <n v="0"/>
    <n v="1"/>
    <n v="2323"/>
    <n v="11992"/>
    <n v="1"/>
    <s v="No"/>
    <n v="0"/>
    <n v="24"/>
    <n v="4"/>
    <n v="1"/>
    <n v="2"/>
    <n v="2"/>
    <n v="6"/>
    <n v="3"/>
    <n v="2"/>
    <n v="2"/>
    <n v="2"/>
    <n v="2"/>
  </r>
  <r>
    <n v="27"/>
    <x v="1"/>
    <n v="0"/>
    <s v="Non-Travel"/>
    <n v="0"/>
    <n v="0"/>
    <n v="691"/>
    <s v="Research &amp; Development"/>
    <n v="1"/>
    <n v="0"/>
    <n v="9"/>
    <n v="3"/>
    <s v="Medical"/>
    <n v="0"/>
    <n v="0"/>
    <n v="1"/>
    <n v="0"/>
    <n v="0"/>
    <n v="4"/>
    <x v="1"/>
    <n v="0"/>
    <n v="57"/>
    <n v="3"/>
    <n v="1"/>
    <s v="Research Scientist"/>
    <n v="0"/>
    <n v="0"/>
    <n v="0"/>
    <n v="0"/>
    <n v="0"/>
    <n v="0"/>
    <n v="0"/>
    <n v="1"/>
    <x v="1"/>
    <s v="Divorced"/>
    <n v="0"/>
    <n v="0"/>
    <n v="2024"/>
    <n v="5970"/>
    <n v="6"/>
    <s v="No"/>
    <n v="0"/>
    <n v="18"/>
    <n v="3"/>
    <n v="4"/>
    <n v="1"/>
    <n v="6"/>
    <n v="1"/>
    <n v="1"/>
    <n v="2"/>
    <n v="2"/>
    <n v="2"/>
    <n v="2"/>
  </r>
  <r>
    <n v="28"/>
    <x v="1"/>
    <n v="0"/>
    <s v="Travel_Rarely"/>
    <n v="0"/>
    <n v="1"/>
    <n v="440"/>
    <s v="Research &amp; Development"/>
    <n v="1"/>
    <n v="0"/>
    <n v="21"/>
    <n v="3"/>
    <s v="Medical"/>
    <n v="0"/>
    <n v="0"/>
    <n v="1"/>
    <n v="0"/>
    <n v="0"/>
    <n v="3"/>
    <x v="1"/>
    <n v="0"/>
    <n v="42"/>
    <n v="3"/>
    <n v="1"/>
    <s v="Research Scientist"/>
    <n v="0"/>
    <n v="0"/>
    <n v="0"/>
    <n v="0"/>
    <n v="0"/>
    <n v="0"/>
    <n v="0"/>
    <n v="1"/>
    <x v="0"/>
    <s v="Married"/>
    <n v="0"/>
    <n v="1"/>
    <n v="2713"/>
    <n v="6672"/>
    <n v="1"/>
    <s v="No"/>
    <n v="0"/>
    <n v="11"/>
    <n v="3"/>
    <n v="3"/>
    <n v="1"/>
    <n v="5"/>
    <n v="2"/>
    <n v="1"/>
    <n v="5"/>
    <n v="2"/>
    <n v="0"/>
    <n v="2"/>
  </r>
  <r>
    <n v="57"/>
    <x v="1"/>
    <n v="0"/>
    <s v="Travel_Rarely"/>
    <n v="0"/>
    <n v="1"/>
    <n v="334"/>
    <s v="Research &amp; Development"/>
    <n v="1"/>
    <n v="0"/>
    <n v="24"/>
    <n v="2"/>
    <s v="Life Sciences"/>
    <n v="1"/>
    <n v="0"/>
    <n v="0"/>
    <n v="0"/>
    <n v="0"/>
    <n v="3"/>
    <x v="1"/>
    <n v="0"/>
    <n v="83"/>
    <n v="4"/>
    <n v="3"/>
    <s v="Healthcare Representative"/>
    <n v="1"/>
    <n v="0"/>
    <n v="0"/>
    <n v="0"/>
    <n v="0"/>
    <n v="0"/>
    <n v="0"/>
    <n v="0"/>
    <x v="0"/>
    <s v="Divorced"/>
    <n v="0"/>
    <n v="0"/>
    <n v="9439"/>
    <n v="23402"/>
    <n v="3"/>
    <s v="Yes"/>
    <n v="1"/>
    <n v="16"/>
    <n v="3"/>
    <n v="2"/>
    <n v="1"/>
    <n v="12"/>
    <n v="2"/>
    <n v="1"/>
    <n v="5"/>
    <n v="3"/>
    <n v="1"/>
    <n v="4"/>
  </r>
  <r>
    <n v="27"/>
    <x v="1"/>
    <n v="0"/>
    <s v="Non-Travel"/>
    <n v="0"/>
    <n v="0"/>
    <n v="1450"/>
    <s v="Research &amp; Development"/>
    <n v="1"/>
    <n v="0"/>
    <n v="3"/>
    <n v="3"/>
    <s v="Medical"/>
    <n v="0"/>
    <n v="0"/>
    <n v="1"/>
    <n v="0"/>
    <n v="0"/>
    <n v="3"/>
    <x v="1"/>
    <n v="0"/>
    <n v="79"/>
    <n v="2"/>
    <n v="1"/>
    <s v="Research Scientist"/>
    <n v="0"/>
    <n v="0"/>
    <n v="0"/>
    <n v="0"/>
    <n v="0"/>
    <n v="0"/>
    <n v="0"/>
    <n v="1"/>
    <x v="2"/>
    <s v="Divorced"/>
    <n v="0"/>
    <n v="0"/>
    <n v="2566"/>
    <n v="25326"/>
    <n v="1"/>
    <s v="Yes"/>
    <n v="1"/>
    <n v="15"/>
    <n v="3"/>
    <n v="4"/>
    <n v="1"/>
    <n v="1"/>
    <n v="2"/>
    <n v="2"/>
    <n v="1"/>
    <n v="1"/>
    <n v="0"/>
    <n v="1"/>
  </r>
  <r>
    <n v="50"/>
    <x v="1"/>
    <n v="0"/>
    <s v="Travel_Rarely"/>
    <n v="0"/>
    <n v="1"/>
    <n v="1452"/>
    <s v="Research &amp; Development"/>
    <n v="1"/>
    <n v="0"/>
    <n v="11"/>
    <n v="3"/>
    <s v="Life Sciences"/>
    <n v="1"/>
    <n v="0"/>
    <n v="0"/>
    <n v="0"/>
    <n v="0"/>
    <n v="3"/>
    <x v="0"/>
    <n v="1"/>
    <n v="53"/>
    <n v="3"/>
    <n v="5"/>
    <s v="Manager"/>
    <n v="0"/>
    <n v="0"/>
    <n v="0"/>
    <n v="1"/>
    <n v="0"/>
    <n v="0"/>
    <n v="0"/>
    <n v="0"/>
    <x v="1"/>
    <s v="Single"/>
    <n v="1"/>
    <n v="0"/>
    <n v="19926"/>
    <n v="17053"/>
    <n v="3"/>
    <s v="No"/>
    <n v="0"/>
    <n v="15"/>
    <n v="3"/>
    <n v="2"/>
    <n v="0"/>
    <n v="21"/>
    <n v="5"/>
    <n v="3"/>
    <n v="5"/>
    <n v="4"/>
    <n v="4"/>
    <n v="4"/>
  </r>
  <r>
    <n v="41"/>
    <x v="1"/>
    <n v="0"/>
    <s v="Travel_Rarely"/>
    <n v="0"/>
    <n v="1"/>
    <n v="465"/>
    <s v="Research &amp; Development"/>
    <n v="1"/>
    <n v="0"/>
    <n v="14"/>
    <n v="3"/>
    <s v="Life Sciences"/>
    <n v="1"/>
    <n v="0"/>
    <n v="0"/>
    <n v="0"/>
    <n v="0"/>
    <n v="1"/>
    <x v="1"/>
    <n v="0"/>
    <n v="56"/>
    <n v="3"/>
    <n v="1"/>
    <s v="Research Scientist"/>
    <n v="0"/>
    <n v="0"/>
    <n v="0"/>
    <n v="0"/>
    <n v="0"/>
    <n v="0"/>
    <n v="0"/>
    <n v="1"/>
    <x v="2"/>
    <s v="Divorced"/>
    <n v="0"/>
    <n v="0"/>
    <n v="2451"/>
    <n v="4609"/>
    <n v="4"/>
    <s v="No"/>
    <n v="0"/>
    <n v="12"/>
    <n v="3"/>
    <n v="1"/>
    <n v="1"/>
    <n v="13"/>
    <n v="2"/>
    <n v="3"/>
    <n v="9"/>
    <n v="8"/>
    <n v="1"/>
    <n v="8"/>
  </r>
  <r>
    <n v="30"/>
    <x v="1"/>
    <n v="0"/>
    <s v="Travel_Rarely"/>
    <n v="0"/>
    <n v="1"/>
    <n v="1339"/>
    <s v="Sales"/>
    <n v="0"/>
    <n v="1"/>
    <n v="5"/>
    <n v="3"/>
    <s v="Life Sciences"/>
    <n v="1"/>
    <n v="0"/>
    <n v="0"/>
    <n v="0"/>
    <n v="0"/>
    <n v="2"/>
    <x v="0"/>
    <n v="1"/>
    <n v="41"/>
    <n v="3"/>
    <n v="3"/>
    <s v="Sales Executive"/>
    <n v="0"/>
    <n v="1"/>
    <n v="0"/>
    <n v="0"/>
    <n v="0"/>
    <n v="0"/>
    <n v="0"/>
    <n v="0"/>
    <x v="0"/>
    <s v="Married"/>
    <n v="0"/>
    <n v="1"/>
    <n v="9419"/>
    <n v="8053"/>
    <n v="2"/>
    <s v="No"/>
    <n v="0"/>
    <n v="12"/>
    <n v="3"/>
    <n v="3"/>
    <n v="1"/>
    <n v="12"/>
    <n v="2"/>
    <n v="3"/>
    <n v="10"/>
    <n v="9"/>
    <n v="7"/>
    <n v="4"/>
  </r>
  <r>
    <n v="38"/>
    <x v="1"/>
    <n v="0"/>
    <s v="Travel_Rarely"/>
    <n v="0"/>
    <n v="1"/>
    <n v="702"/>
    <s v="Sales"/>
    <n v="0"/>
    <n v="1"/>
    <n v="1"/>
    <n v="4"/>
    <s v="Life Sciences"/>
    <n v="1"/>
    <n v="0"/>
    <n v="0"/>
    <n v="0"/>
    <n v="0"/>
    <n v="1"/>
    <x v="0"/>
    <n v="1"/>
    <n v="59"/>
    <n v="2"/>
    <n v="2"/>
    <s v="Sales Executive"/>
    <n v="0"/>
    <n v="1"/>
    <n v="0"/>
    <n v="0"/>
    <n v="0"/>
    <n v="0"/>
    <n v="0"/>
    <n v="0"/>
    <x v="0"/>
    <s v="Single"/>
    <n v="1"/>
    <n v="0"/>
    <n v="8686"/>
    <n v="12930"/>
    <n v="4"/>
    <s v="No"/>
    <n v="0"/>
    <n v="22"/>
    <n v="4"/>
    <n v="3"/>
    <n v="0"/>
    <n v="12"/>
    <n v="2"/>
    <n v="4"/>
    <n v="8"/>
    <n v="3"/>
    <n v="0"/>
    <n v="7"/>
  </r>
  <r>
    <n v="32"/>
    <x v="1"/>
    <n v="0"/>
    <s v="Travel_Rarely"/>
    <n v="0"/>
    <n v="1"/>
    <n v="120"/>
    <s v="Research &amp; Development"/>
    <n v="1"/>
    <n v="0"/>
    <n v="6"/>
    <n v="5"/>
    <s v="Life Sciences"/>
    <n v="1"/>
    <n v="0"/>
    <n v="0"/>
    <n v="0"/>
    <n v="0"/>
    <n v="3"/>
    <x v="1"/>
    <n v="0"/>
    <n v="43"/>
    <n v="3"/>
    <n v="1"/>
    <s v="Research Scientist"/>
    <n v="0"/>
    <n v="0"/>
    <n v="0"/>
    <n v="0"/>
    <n v="0"/>
    <n v="0"/>
    <n v="0"/>
    <n v="1"/>
    <x v="2"/>
    <s v="Single"/>
    <n v="1"/>
    <n v="0"/>
    <n v="3038"/>
    <n v="12430"/>
    <n v="3"/>
    <s v="No"/>
    <n v="0"/>
    <n v="20"/>
    <n v="4"/>
    <n v="1"/>
    <n v="0"/>
    <n v="8"/>
    <n v="2"/>
    <n v="3"/>
    <n v="5"/>
    <n v="4"/>
    <n v="1"/>
    <n v="4"/>
  </r>
  <r>
    <n v="27"/>
    <x v="1"/>
    <n v="0"/>
    <s v="Travel_Rarely"/>
    <n v="0"/>
    <n v="1"/>
    <n v="1157"/>
    <s v="Research &amp; Development"/>
    <n v="1"/>
    <n v="0"/>
    <n v="17"/>
    <n v="3"/>
    <s v="Technical Degree"/>
    <n v="0"/>
    <n v="0"/>
    <n v="0"/>
    <n v="0"/>
    <n v="1"/>
    <n v="3"/>
    <x v="1"/>
    <n v="0"/>
    <n v="51"/>
    <n v="3"/>
    <n v="1"/>
    <s v="Research Scientist"/>
    <n v="0"/>
    <n v="0"/>
    <n v="0"/>
    <n v="0"/>
    <n v="0"/>
    <n v="0"/>
    <n v="0"/>
    <n v="1"/>
    <x v="1"/>
    <s v="Married"/>
    <n v="0"/>
    <n v="1"/>
    <n v="3058"/>
    <n v="13364"/>
    <n v="0"/>
    <s v="Yes"/>
    <n v="1"/>
    <n v="16"/>
    <n v="3"/>
    <n v="4"/>
    <n v="1"/>
    <n v="6"/>
    <n v="3"/>
    <n v="2"/>
    <n v="5"/>
    <n v="2"/>
    <n v="1"/>
    <n v="1"/>
  </r>
  <r>
    <n v="19"/>
    <x v="0"/>
    <n v="1"/>
    <s v="Travel_Frequently"/>
    <n v="1"/>
    <n v="0"/>
    <n v="602"/>
    <s v="Sales"/>
    <n v="0"/>
    <n v="1"/>
    <n v="1"/>
    <n v="1"/>
    <s v="Technical Degree"/>
    <n v="0"/>
    <n v="0"/>
    <n v="0"/>
    <n v="0"/>
    <n v="1"/>
    <n v="3"/>
    <x v="0"/>
    <n v="1"/>
    <n v="100"/>
    <n v="1"/>
    <n v="1"/>
    <s v="Sales Representative"/>
    <n v="0"/>
    <n v="0"/>
    <n v="0"/>
    <n v="0"/>
    <n v="0"/>
    <n v="0"/>
    <n v="1"/>
    <n v="0"/>
    <x v="3"/>
    <s v="Single"/>
    <n v="1"/>
    <n v="0"/>
    <n v="2325"/>
    <n v="20989"/>
    <n v="0"/>
    <s v="No"/>
    <n v="0"/>
    <n v="21"/>
    <n v="4"/>
    <n v="1"/>
    <n v="0"/>
    <n v="1"/>
    <n v="5"/>
    <n v="4"/>
    <n v="0"/>
    <n v="0"/>
    <n v="0"/>
    <n v="0"/>
  </r>
  <r>
    <n v="36"/>
    <x v="1"/>
    <n v="0"/>
    <s v="Travel_Frequently"/>
    <n v="1"/>
    <n v="0"/>
    <n v="1480"/>
    <s v="Research &amp; Development"/>
    <n v="1"/>
    <n v="0"/>
    <n v="3"/>
    <n v="2"/>
    <s v="Medical"/>
    <n v="0"/>
    <n v="0"/>
    <n v="1"/>
    <n v="0"/>
    <n v="0"/>
    <n v="4"/>
    <x v="1"/>
    <n v="0"/>
    <n v="30"/>
    <n v="3"/>
    <n v="1"/>
    <s v="Laboratory Technician"/>
    <n v="0"/>
    <n v="0"/>
    <n v="1"/>
    <n v="0"/>
    <n v="0"/>
    <n v="0"/>
    <n v="0"/>
    <n v="0"/>
    <x v="1"/>
    <s v="Single"/>
    <n v="1"/>
    <n v="0"/>
    <n v="2088"/>
    <n v="15062"/>
    <n v="4"/>
    <s v="No"/>
    <n v="0"/>
    <n v="12"/>
    <n v="3"/>
    <n v="3"/>
    <n v="0"/>
    <n v="13"/>
    <n v="3"/>
    <n v="2"/>
    <n v="8"/>
    <n v="7"/>
    <n v="7"/>
    <n v="2"/>
  </r>
  <r>
    <n v="30"/>
    <x v="1"/>
    <n v="0"/>
    <s v="Non-Travel"/>
    <n v="0"/>
    <n v="0"/>
    <n v="111"/>
    <s v="Research &amp; Development"/>
    <n v="1"/>
    <n v="0"/>
    <n v="9"/>
    <n v="3"/>
    <s v="Medical"/>
    <n v="0"/>
    <n v="0"/>
    <n v="1"/>
    <n v="0"/>
    <n v="0"/>
    <n v="3"/>
    <x v="1"/>
    <n v="0"/>
    <n v="66"/>
    <n v="3"/>
    <n v="2"/>
    <s v="Laboratory Technician"/>
    <n v="0"/>
    <n v="0"/>
    <n v="1"/>
    <n v="0"/>
    <n v="0"/>
    <n v="0"/>
    <n v="0"/>
    <n v="0"/>
    <x v="3"/>
    <s v="Divorced"/>
    <n v="0"/>
    <n v="0"/>
    <n v="3072"/>
    <n v="11012"/>
    <n v="1"/>
    <s v="No"/>
    <n v="0"/>
    <n v="11"/>
    <n v="3"/>
    <n v="3"/>
    <n v="2"/>
    <n v="12"/>
    <n v="4"/>
    <n v="3"/>
    <n v="12"/>
    <n v="9"/>
    <n v="6"/>
    <n v="10"/>
  </r>
  <r>
    <n v="45"/>
    <x v="1"/>
    <n v="0"/>
    <s v="Travel_Rarely"/>
    <n v="0"/>
    <n v="1"/>
    <n v="1268"/>
    <s v="Sales"/>
    <n v="0"/>
    <n v="1"/>
    <n v="4"/>
    <n v="2"/>
    <s v="Life Sciences"/>
    <n v="1"/>
    <n v="0"/>
    <n v="0"/>
    <n v="0"/>
    <n v="0"/>
    <n v="3"/>
    <x v="0"/>
    <n v="1"/>
    <n v="30"/>
    <n v="3"/>
    <n v="2"/>
    <s v="Sales Executive"/>
    <n v="0"/>
    <n v="1"/>
    <n v="0"/>
    <n v="0"/>
    <n v="0"/>
    <n v="0"/>
    <n v="0"/>
    <n v="0"/>
    <x v="3"/>
    <s v="Divorced"/>
    <n v="0"/>
    <n v="0"/>
    <n v="5006"/>
    <n v="6319"/>
    <n v="4"/>
    <s v="Yes"/>
    <n v="1"/>
    <n v="11"/>
    <n v="3"/>
    <n v="1"/>
    <n v="1"/>
    <n v="9"/>
    <n v="3"/>
    <n v="4"/>
    <n v="5"/>
    <n v="4"/>
    <n v="0"/>
    <n v="3"/>
  </r>
  <r>
    <n v="56"/>
    <x v="1"/>
    <n v="0"/>
    <s v="Travel_Rarely"/>
    <n v="0"/>
    <n v="1"/>
    <n v="713"/>
    <s v="Research &amp; Development"/>
    <n v="1"/>
    <n v="0"/>
    <n v="8"/>
    <n v="3"/>
    <s v="Life Sciences"/>
    <n v="1"/>
    <n v="0"/>
    <n v="0"/>
    <n v="0"/>
    <n v="0"/>
    <n v="3"/>
    <x v="0"/>
    <n v="1"/>
    <n v="67"/>
    <n v="3"/>
    <n v="1"/>
    <s v="Research Scientist"/>
    <n v="0"/>
    <n v="0"/>
    <n v="0"/>
    <n v="0"/>
    <n v="0"/>
    <n v="0"/>
    <n v="0"/>
    <n v="1"/>
    <x v="3"/>
    <s v="Divorced"/>
    <n v="0"/>
    <n v="0"/>
    <n v="4257"/>
    <n v="13939"/>
    <n v="4"/>
    <s v="Yes"/>
    <n v="1"/>
    <n v="18"/>
    <n v="3"/>
    <n v="3"/>
    <n v="1"/>
    <n v="19"/>
    <n v="3"/>
    <n v="3"/>
    <n v="2"/>
    <n v="2"/>
    <n v="2"/>
    <n v="2"/>
  </r>
  <r>
    <n v="33"/>
    <x v="1"/>
    <n v="0"/>
    <s v="Travel_Rarely"/>
    <n v="0"/>
    <n v="1"/>
    <n v="134"/>
    <s v="Research &amp; Development"/>
    <n v="1"/>
    <n v="0"/>
    <n v="2"/>
    <n v="3"/>
    <s v="Life Sciences"/>
    <n v="1"/>
    <n v="0"/>
    <n v="0"/>
    <n v="0"/>
    <n v="0"/>
    <n v="3"/>
    <x v="1"/>
    <n v="0"/>
    <n v="90"/>
    <n v="3"/>
    <n v="1"/>
    <s v="Research Scientist"/>
    <n v="0"/>
    <n v="0"/>
    <n v="0"/>
    <n v="0"/>
    <n v="0"/>
    <n v="0"/>
    <n v="0"/>
    <n v="1"/>
    <x v="0"/>
    <s v="Single"/>
    <n v="1"/>
    <n v="0"/>
    <n v="2500"/>
    <n v="10515"/>
    <n v="0"/>
    <s v="No"/>
    <n v="0"/>
    <n v="14"/>
    <n v="3"/>
    <n v="1"/>
    <n v="0"/>
    <n v="4"/>
    <n v="2"/>
    <n v="4"/>
    <n v="3"/>
    <n v="1"/>
    <n v="0"/>
    <n v="2"/>
  </r>
  <r>
    <n v="19"/>
    <x v="0"/>
    <n v="1"/>
    <s v="Travel_Rarely"/>
    <n v="0"/>
    <n v="1"/>
    <n v="303"/>
    <s v="Research &amp; Development"/>
    <n v="1"/>
    <n v="0"/>
    <n v="2"/>
    <n v="3"/>
    <s v="Life Sciences"/>
    <n v="1"/>
    <n v="0"/>
    <n v="0"/>
    <n v="0"/>
    <n v="0"/>
    <n v="2"/>
    <x v="1"/>
    <n v="0"/>
    <n v="47"/>
    <n v="2"/>
    <n v="1"/>
    <s v="Laboratory Technician"/>
    <n v="0"/>
    <n v="0"/>
    <n v="1"/>
    <n v="0"/>
    <n v="0"/>
    <n v="0"/>
    <n v="0"/>
    <n v="0"/>
    <x v="0"/>
    <s v="Single"/>
    <n v="1"/>
    <n v="0"/>
    <n v="1102"/>
    <n v="9241"/>
    <n v="1"/>
    <s v="No"/>
    <n v="0"/>
    <n v="22"/>
    <n v="4"/>
    <n v="3"/>
    <n v="0"/>
    <n v="1"/>
    <n v="3"/>
    <n v="2"/>
    <n v="1"/>
    <n v="0"/>
    <n v="1"/>
    <n v="0"/>
  </r>
  <r>
    <n v="46"/>
    <x v="1"/>
    <n v="0"/>
    <s v="Travel_Rarely"/>
    <n v="0"/>
    <n v="1"/>
    <n v="526"/>
    <s v="Sales"/>
    <n v="0"/>
    <n v="1"/>
    <n v="1"/>
    <n v="2"/>
    <s v="Marketing"/>
    <n v="0"/>
    <n v="0"/>
    <n v="0"/>
    <n v="1"/>
    <n v="0"/>
    <n v="2"/>
    <x v="0"/>
    <n v="1"/>
    <n v="92"/>
    <n v="3"/>
    <n v="3"/>
    <s v="Sales Executive"/>
    <n v="0"/>
    <n v="1"/>
    <n v="0"/>
    <n v="0"/>
    <n v="0"/>
    <n v="0"/>
    <n v="0"/>
    <n v="0"/>
    <x v="3"/>
    <s v="Divorced"/>
    <n v="0"/>
    <n v="0"/>
    <n v="10453"/>
    <n v="2137"/>
    <n v="1"/>
    <s v="No"/>
    <n v="0"/>
    <n v="25"/>
    <n v="4"/>
    <n v="3"/>
    <n v="3"/>
    <n v="24"/>
    <n v="2"/>
    <n v="3"/>
    <n v="24"/>
    <n v="13"/>
    <n v="15"/>
    <n v="7"/>
  </r>
  <r>
    <n v="38"/>
    <x v="1"/>
    <n v="0"/>
    <s v="Travel_Rarely"/>
    <n v="0"/>
    <n v="1"/>
    <n v="1380"/>
    <s v="Research &amp; Development"/>
    <n v="1"/>
    <n v="0"/>
    <n v="9"/>
    <n v="2"/>
    <s v="Life Sciences"/>
    <n v="1"/>
    <n v="0"/>
    <n v="0"/>
    <n v="0"/>
    <n v="0"/>
    <n v="3"/>
    <x v="0"/>
    <n v="1"/>
    <n v="75"/>
    <n v="3"/>
    <n v="1"/>
    <s v="Laboratory Technician"/>
    <n v="0"/>
    <n v="0"/>
    <n v="1"/>
    <n v="0"/>
    <n v="0"/>
    <n v="0"/>
    <n v="0"/>
    <n v="0"/>
    <x v="0"/>
    <s v="Single"/>
    <n v="1"/>
    <n v="0"/>
    <n v="2288"/>
    <n v="6319"/>
    <n v="1"/>
    <s v="No"/>
    <n v="0"/>
    <n v="12"/>
    <n v="3"/>
    <n v="3"/>
    <n v="0"/>
    <n v="2"/>
    <n v="3"/>
    <n v="3"/>
    <n v="2"/>
    <n v="2"/>
    <n v="2"/>
    <n v="1"/>
  </r>
  <r>
    <n v="31"/>
    <x v="1"/>
    <n v="0"/>
    <s v="Travel_Rarely"/>
    <n v="0"/>
    <n v="1"/>
    <n v="140"/>
    <s v="Research &amp; Development"/>
    <n v="1"/>
    <n v="0"/>
    <n v="12"/>
    <n v="1"/>
    <s v="Medical"/>
    <n v="0"/>
    <n v="0"/>
    <n v="1"/>
    <n v="0"/>
    <n v="0"/>
    <n v="3"/>
    <x v="0"/>
    <n v="1"/>
    <n v="95"/>
    <n v="3"/>
    <n v="1"/>
    <s v="Research Scientist"/>
    <n v="0"/>
    <n v="0"/>
    <n v="0"/>
    <n v="0"/>
    <n v="0"/>
    <n v="0"/>
    <n v="0"/>
    <n v="1"/>
    <x v="0"/>
    <s v="Married"/>
    <n v="0"/>
    <n v="1"/>
    <n v="3929"/>
    <n v="6984"/>
    <n v="8"/>
    <s v="Yes"/>
    <n v="1"/>
    <n v="23"/>
    <n v="4"/>
    <n v="3"/>
    <n v="1"/>
    <n v="7"/>
    <n v="0"/>
    <n v="3"/>
    <n v="4"/>
    <n v="2"/>
    <n v="0"/>
    <n v="2"/>
  </r>
  <r>
    <n v="34"/>
    <x v="1"/>
    <n v="0"/>
    <s v="Travel_Rarely"/>
    <n v="0"/>
    <n v="1"/>
    <n v="629"/>
    <s v="Research &amp; Development"/>
    <n v="1"/>
    <n v="0"/>
    <n v="27"/>
    <n v="2"/>
    <s v="Medical"/>
    <n v="0"/>
    <n v="0"/>
    <n v="1"/>
    <n v="0"/>
    <n v="0"/>
    <n v="4"/>
    <x v="0"/>
    <n v="1"/>
    <n v="95"/>
    <n v="3"/>
    <n v="1"/>
    <s v="Research Scientist"/>
    <n v="0"/>
    <n v="0"/>
    <n v="0"/>
    <n v="0"/>
    <n v="0"/>
    <n v="0"/>
    <n v="0"/>
    <n v="1"/>
    <x v="1"/>
    <s v="Single"/>
    <n v="1"/>
    <n v="0"/>
    <n v="2311"/>
    <n v="5711"/>
    <n v="2"/>
    <s v="No"/>
    <n v="0"/>
    <n v="15"/>
    <n v="3"/>
    <n v="4"/>
    <n v="0"/>
    <n v="9"/>
    <n v="3"/>
    <n v="3"/>
    <n v="3"/>
    <n v="2"/>
    <n v="1"/>
    <n v="2"/>
  </r>
  <r>
    <n v="41"/>
    <x v="0"/>
    <n v="1"/>
    <s v="Travel_Rarely"/>
    <n v="0"/>
    <n v="1"/>
    <n v="1356"/>
    <s v="Sales"/>
    <n v="0"/>
    <n v="1"/>
    <n v="20"/>
    <n v="2"/>
    <s v="Marketing"/>
    <n v="0"/>
    <n v="0"/>
    <n v="0"/>
    <n v="1"/>
    <n v="0"/>
    <n v="2"/>
    <x v="0"/>
    <n v="1"/>
    <n v="70"/>
    <n v="3"/>
    <n v="1"/>
    <s v="Sales Representative"/>
    <n v="0"/>
    <n v="0"/>
    <n v="0"/>
    <n v="0"/>
    <n v="0"/>
    <n v="0"/>
    <n v="1"/>
    <n v="0"/>
    <x v="1"/>
    <s v="Single"/>
    <n v="1"/>
    <n v="0"/>
    <n v="3140"/>
    <n v="21728"/>
    <n v="1"/>
    <s v="Yes"/>
    <n v="1"/>
    <n v="22"/>
    <n v="4"/>
    <n v="4"/>
    <n v="0"/>
    <n v="4"/>
    <n v="5"/>
    <n v="2"/>
    <n v="4"/>
    <n v="3"/>
    <n v="0"/>
    <n v="2"/>
  </r>
  <r>
    <n v="50"/>
    <x v="1"/>
    <n v="0"/>
    <s v="Travel_Rarely"/>
    <n v="0"/>
    <n v="1"/>
    <n v="328"/>
    <s v="Research &amp; Development"/>
    <n v="1"/>
    <n v="0"/>
    <n v="1"/>
    <n v="3"/>
    <s v="Medical"/>
    <n v="0"/>
    <n v="0"/>
    <n v="1"/>
    <n v="0"/>
    <n v="0"/>
    <n v="3"/>
    <x v="1"/>
    <n v="0"/>
    <n v="86"/>
    <n v="2"/>
    <n v="1"/>
    <s v="Laboratory Technician"/>
    <n v="0"/>
    <n v="0"/>
    <n v="1"/>
    <n v="0"/>
    <n v="0"/>
    <n v="0"/>
    <n v="0"/>
    <n v="0"/>
    <x v="2"/>
    <s v="Married"/>
    <n v="0"/>
    <n v="1"/>
    <n v="3690"/>
    <n v="3425"/>
    <n v="2"/>
    <s v="No"/>
    <n v="0"/>
    <n v="15"/>
    <n v="3"/>
    <n v="4"/>
    <n v="1"/>
    <n v="5"/>
    <n v="2"/>
    <n v="2"/>
    <n v="3"/>
    <n v="2"/>
    <n v="0"/>
    <n v="2"/>
  </r>
  <r>
    <n v="53"/>
    <x v="1"/>
    <n v="0"/>
    <s v="Travel_Rarely"/>
    <n v="0"/>
    <n v="1"/>
    <n v="1084"/>
    <s v="Research &amp; Development"/>
    <n v="1"/>
    <n v="0"/>
    <n v="13"/>
    <n v="2"/>
    <s v="Medical"/>
    <n v="0"/>
    <n v="0"/>
    <n v="1"/>
    <n v="0"/>
    <n v="0"/>
    <n v="4"/>
    <x v="0"/>
    <n v="1"/>
    <n v="57"/>
    <n v="4"/>
    <n v="2"/>
    <s v="Manufacturing Director"/>
    <n v="0"/>
    <n v="0"/>
    <n v="0"/>
    <n v="0"/>
    <n v="1"/>
    <n v="1"/>
    <n v="0"/>
    <n v="0"/>
    <x v="3"/>
    <s v="Divorced"/>
    <n v="0"/>
    <n v="0"/>
    <n v="4450"/>
    <n v="26250"/>
    <n v="1"/>
    <s v="No"/>
    <n v="0"/>
    <n v="11"/>
    <n v="3"/>
    <n v="3"/>
    <n v="2"/>
    <n v="5"/>
    <n v="3"/>
    <n v="3"/>
    <n v="4"/>
    <n v="2"/>
    <n v="1"/>
    <n v="3"/>
  </r>
  <r>
    <n v="33"/>
    <x v="1"/>
    <n v="0"/>
    <s v="Travel_Rarely"/>
    <n v="0"/>
    <n v="1"/>
    <n v="931"/>
    <s v="Research &amp; Development"/>
    <n v="1"/>
    <n v="0"/>
    <n v="14"/>
    <n v="3"/>
    <s v="Medical"/>
    <n v="0"/>
    <n v="0"/>
    <n v="1"/>
    <n v="0"/>
    <n v="0"/>
    <n v="4"/>
    <x v="0"/>
    <n v="1"/>
    <n v="72"/>
    <n v="3"/>
    <n v="1"/>
    <s v="Research Scientist"/>
    <n v="0"/>
    <n v="0"/>
    <n v="0"/>
    <n v="0"/>
    <n v="0"/>
    <n v="0"/>
    <n v="0"/>
    <n v="1"/>
    <x v="1"/>
    <s v="Married"/>
    <n v="0"/>
    <n v="1"/>
    <n v="2756"/>
    <n v="4673"/>
    <n v="1"/>
    <s v="No"/>
    <n v="0"/>
    <n v="13"/>
    <n v="3"/>
    <n v="4"/>
    <n v="1"/>
    <n v="8"/>
    <n v="5"/>
    <n v="3"/>
    <n v="8"/>
    <n v="7"/>
    <n v="1"/>
    <n v="6"/>
  </r>
  <r>
    <n v="40"/>
    <x v="1"/>
    <n v="0"/>
    <s v="Travel_Rarely"/>
    <n v="0"/>
    <n v="1"/>
    <n v="989"/>
    <s v="Research &amp; Development"/>
    <n v="1"/>
    <n v="0"/>
    <n v="4"/>
    <n v="1"/>
    <s v="Medical"/>
    <n v="0"/>
    <n v="0"/>
    <n v="1"/>
    <n v="0"/>
    <n v="0"/>
    <n v="4"/>
    <x v="0"/>
    <n v="1"/>
    <n v="46"/>
    <n v="3"/>
    <n v="5"/>
    <s v="Manager"/>
    <n v="0"/>
    <n v="0"/>
    <n v="0"/>
    <n v="1"/>
    <n v="0"/>
    <n v="0"/>
    <n v="0"/>
    <n v="0"/>
    <x v="2"/>
    <s v="Married"/>
    <n v="0"/>
    <n v="1"/>
    <n v="19033"/>
    <n v="6499"/>
    <n v="1"/>
    <s v="No"/>
    <n v="0"/>
    <n v="14"/>
    <n v="3"/>
    <n v="2"/>
    <n v="1"/>
    <n v="21"/>
    <n v="2"/>
    <n v="3"/>
    <n v="20"/>
    <n v="8"/>
    <n v="9"/>
    <n v="9"/>
  </r>
  <r>
    <n v="55"/>
    <x v="1"/>
    <n v="0"/>
    <s v="Travel_Rarely"/>
    <n v="0"/>
    <n v="1"/>
    <n v="692"/>
    <s v="Research &amp; Development"/>
    <n v="1"/>
    <n v="0"/>
    <n v="14"/>
    <n v="4"/>
    <s v="Medical"/>
    <n v="0"/>
    <n v="0"/>
    <n v="1"/>
    <n v="0"/>
    <n v="0"/>
    <n v="3"/>
    <x v="1"/>
    <n v="0"/>
    <n v="61"/>
    <n v="4"/>
    <n v="5"/>
    <s v="Research Director"/>
    <n v="0"/>
    <n v="0"/>
    <n v="0"/>
    <n v="0"/>
    <n v="0"/>
    <n v="0"/>
    <n v="0"/>
    <n v="0"/>
    <x v="1"/>
    <s v="Single"/>
    <n v="1"/>
    <n v="0"/>
    <n v="18722"/>
    <n v="13339"/>
    <n v="8"/>
    <s v="No"/>
    <n v="0"/>
    <n v="11"/>
    <n v="3"/>
    <n v="4"/>
    <n v="0"/>
    <n v="36"/>
    <n v="3"/>
    <n v="3"/>
    <n v="24"/>
    <n v="15"/>
    <n v="2"/>
    <n v="15"/>
  </r>
  <r>
    <n v="34"/>
    <x v="1"/>
    <n v="0"/>
    <s v="Travel_Frequently"/>
    <n v="1"/>
    <n v="0"/>
    <n v="1069"/>
    <s v="Research &amp; Development"/>
    <n v="1"/>
    <n v="0"/>
    <n v="2"/>
    <n v="1"/>
    <s v="Life Sciences"/>
    <n v="1"/>
    <n v="0"/>
    <n v="0"/>
    <n v="0"/>
    <n v="0"/>
    <n v="4"/>
    <x v="1"/>
    <n v="0"/>
    <n v="45"/>
    <n v="2"/>
    <n v="2"/>
    <s v="Manufacturing Director"/>
    <n v="0"/>
    <n v="0"/>
    <n v="0"/>
    <n v="0"/>
    <n v="1"/>
    <n v="1"/>
    <n v="0"/>
    <n v="0"/>
    <x v="2"/>
    <s v="Married"/>
    <n v="0"/>
    <n v="1"/>
    <n v="9547"/>
    <n v="14074"/>
    <n v="1"/>
    <s v="No"/>
    <n v="0"/>
    <n v="17"/>
    <n v="3"/>
    <n v="3"/>
    <n v="0"/>
    <n v="10"/>
    <n v="2"/>
    <n v="2"/>
    <n v="10"/>
    <n v="9"/>
    <n v="1"/>
    <n v="9"/>
  </r>
  <r>
    <n v="51"/>
    <x v="1"/>
    <n v="0"/>
    <s v="Travel_Rarely"/>
    <n v="0"/>
    <n v="1"/>
    <n v="313"/>
    <s v="Research &amp; Development"/>
    <n v="1"/>
    <n v="0"/>
    <n v="3"/>
    <n v="3"/>
    <s v="Medical"/>
    <n v="0"/>
    <n v="0"/>
    <n v="1"/>
    <n v="0"/>
    <n v="0"/>
    <n v="4"/>
    <x v="0"/>
    <n v="1"/>
    <n v="98"/>
    <n v="3"/>
    <n v="4"/>
    <s v="Healthcare Representative"/>
    <n v="1"/>
    <n v="0"/>
    <n v="0"/>
    <n v="0"/>
    <n v="0"/>
    <n v="0"/>
    <n v="0"/>
    <n v="0"/>
    <x v="1"/>
    <s v="Single"/>
    <n v="1"/>
    <n v="0"/>
    <n v="13734"/>
    <n v="7192"/>
    <n v="3"/>
    <s v="No"/>
    <n v="0"/>
    <n v="18"/>
    <n v="3"/>
    <n v="3"/>
    <n v="0"/>
    <n v="21"/>
    <n v="6"/>
    <n v="3"/>
    <n v="7"/>
    <n v="7"/>
    <n v="1"/>
    <n v="0"/>
  </r>
  <r>
    <n v="52"/>
    <x v="1"/>
    <n v="0"/>
    <s v="Travel_Rarely"/>
    <n v="0"/>
    <n v="1"/>
    <n v="699"/>
    <s v="Research &amp; Development"/>
    <n v="1"/>
    <n v="0"/>
    <n v="1"/>
    <n v="4"/>
    <s v="Life Sciences"/>
    <n v="1"/>
    <n v="0"/>
    <n v="0"/>
    <n v="0"/>
    <n v="0"/>
    <n v="3"/>
    <x v="1"/>
    <n v="0"/>
    <n v="65"/>
    <n v="2"/>
    <n v="5"/>
    <s v="Manager"/>
    <n v="0"/>
    <n v="0"/>
    <n v="0"/>
    <n v="1"/>
    <n v="0"/>
    <n v="0"/>
    <n v="0"/>
    <n v="0"/>
    <x v="2"/>
    <s v="Married"/>
    <n v="0"/>
    <n v="1"/>
    <n v="19999"/>
    <n v="5678"/>
    <n v="0"/>
    <s v="No"/>
    <n v="0"/>
    <n v="14"/>
    <n v="3"/>
    <n v="1"/>
    <n v="1"/>
    <n v="34"/>
    <n v="5"/>
    <n v="3"/>
    <n v="33"/>
    <n v="18"/>
    <n v="11"/>
    <n v="9"/>
  </r>
  <r>
    <n v="27"/>
    <x v="1"/>
    <n v="0"/>
    <s v="Travel_Rarely"/>
    <n v="0"/>
    <n v="1"/>
    <n v="894"/>
    <s v="Research &amp; Development"/>
    <n v="1"/>
    <n v="0"/>
    <n v="9"/>
    <n v="3"/>
    <s v="Medical"/>
    <n v="0"/>
    <n v="0"/>
    <n v="1"/>
    <n v="0"/>
    <n v="0"/>
    <n v="4"/>
    <x v="0"/>
    <n v="1"/>
    <n v="99"/>
    <n v="3"/>
    <n v="1"/>
    <s v="Research Scientist"/>
    <n v="0"/>
    <n v="0"/>
    <n v="0"/>
    <n v="0"/>
    <n v="0"/>
    <n v="0"/>
    <n v="0"/>
    <n v="1"/>
    <x v="1"/>
    <s v="Single"/>
    <n v="1"/>
    <n v="0"/>
    <n v="2279"/>
    <n v="11781"/>
    <n v="1"/>
    <s v="No"/>
    <n v="0"/>
    <n v="16"/>
    <n v="3"/>
    <n v="4"/>
    <n v="0"/>
    <n v="7"/>
    <n v="2"/>
    <n v="2"/>
    <n v="7"/>
    <n v="7"/>
    <n v="0"/>
    <n v="3"/>
  </r>
  <r>
    <n v="35"/>
    <x v="0"/>
    <n v="1"/>
    <s v="Travel_Rarely"/>
    <n v="0"/>
    <n v="1"/>
    <n v="556"/>
    <s v="Research &amp; Development"/>
    <n v="1"/>
    <n v="0"/>
    <n v="23"/>
    <n v="2"/>
    <s v="Life Sciences"/>
    <n v="1"/>
    <n v="0"/>
    <n v="0"/>
    <n v="0"/>
    <n v="0"/>
    <n v="2"/>
    <x v="1"/>
    <n v="0"/>
    <n v="50"/>
    <n v="2"/>
    <n v="2"/>
    <s v="Manufacturing Director"/>
    <n v="0"/>
    <n v="0"/>
    <n v="0"/>
    <n v="0"/>
    <n v="1"/>
    <n v="1"/>
    <n v="0"/>
    <n v="0"/>
    <x v="2"/>
    <s v="Married"/>
    <n v="0"/>
    <n v="1"/>
    <n v="5916"/>
    <n v="15497"/>
    <n v="3"/>
    <s v="Yes"/>
    <n v="1"/>
    <n v="13"/>
    <n v="3"/>
    <n v="1"/>
    <n v="0"/>
    <n v="8"/>
    <n v="1"/>
    <n v="3"/>
    <n v="1"/>
    <n v="0"/>
    <n v="0"/>
    <n v="1"/>
  </r>
  <r>
    <n v="43"/>
    <x v="1"/>
    <n v="0"/>
    <s v="Non-Travel"/>
    <n v="0"/>
    <n v="0"/>
    <n v="1344"/>
    <s v="Research &amp; Development"/>
    <n v="1"/>
    <n v="0"/>
    <n v="7"/>
    <n v="3"/>
    <s v="Medical"/>
    <n v="0"/>
    <n v="0"/>
    <n v="1"/>
    <n v="0"/>
    <n v="0"/>
    <n v="4"/>
    <x v="1"/>
    <n v="0"/>
    <n v="37"/>
    <n v="4"/>
    <n v="1"/>
    <s v="Research Scientist"/>
    <n v="0"/>
    <n v="0"/>
    <n v="0"/>
    <n v="0"/>
    <n v="0"/>
    <n v="0"/>
    <n v="0"/>
    <n v="1"/>
    <x v="0"/>
    <s v="Divorced"/>
    <n v="0"/>
    <n v="0"/>
    <n v="2089"/>
    <n v="5228"/>
    <n v="4"/>
    <s v="No"/>
    <n v="0"/>
    <n v="14"/>
    <n v="3"/>
    <n v="4"/>
    <n v="3"/>
    <n v="7"/>
    <n v="3"/>
    <n v="4"/>
    <n v="5"/>
    <n v="4"/>
    <n v="2"/>
    <n v="2"/>
  </r>
  <r>
    <n v="45"/>
    <x v="1"/>
    <n v="0"/>
    <s v="Non-Travel"/>
    <n v="0"/>
    <n v="0"/>
    <n v="1195"/>
    <s v="Research &amp; Development"/>
    <n v="1"/>
    <n v="0"/>
    <n v="2"/>
    <n v="2"/>
    <s v="Medical"/>
    <n v="0"/>
    <n v="0"/>
    <n v="1"/>
    <n v="0"/>
    <n v="0"/>
    <n v="1"/>
    <x v="1"/>
    <n v="0"/>
    <n v="65"/>
    <n v="2"/>
    <n v="4"/>
    <s v="Manager"/>
    <n v="0"/>
    <n v="0"/>
    <n v="0"/>
    <n v="1"/>
    <n v="0"/>
    <n v="0"/>
    <n v="0"/>
    <n v="0"/>
    <x v="0"/>
    <s v="Married"/>
    <n v="0"/>
    <n v="1"/>
    <n v="16792"/>
    <n v="20462"/>
    <n v="9"/>
    <s v="No"/>
    <n v="0"/>
    <n v="23"/>
    <n v="4"/>
    <n v="4"/>
    <n v="1"/>
    <n v="22"/>
    <n v="1"/>
    <n v="3"/>
    <n v="20"/>
    <n v="8"/>
    <n v="11"/>
    <n v="8"/>
  </r>
  <r>
    <n v="37"/>
    <x v="1"/>
    <n v="0"/>
    <s v="Travel_Rarely"/>
    <n v="0"/>
    <n v="1"/>
    <n v="290"/>
    <s v="Research &amp; Development"/>
    <n v="1"/>
    <n v="0"/>
    <n v="21"/>
    <n v="3"/>
    <s v="Life Sciences"/>
    <n v="1"/>
    <n v="0"/>
    <n v="0"/>
    <n v="0"/>
    <n v="0"/>
    <n v="2"/>
    <x v="1"/>
    <n v="0"/>
    <n v="65"/>
    <n v="4"/>
    <n v="1"/>
    <s v="Research Scientist"/>
    <n v="0"/>
    <n v="0"/>
    <n v="0"/>
    <n v="0"/>
    <n v="0"/>
    <n v="0"/>
    <n v="0"/>
    <n v="1"/>
    <x v="3"/>
    <s v="Married"/>
    <n v="0"/>
    <n v="1"/>
    <n v="3564"/>
    <n v="22977"/>
    <n v="1"/>
    <s v="Yes"/>
    <n v="1"/>
    <n v="12"/>
    <n v="3"/>
    <n v="1"/>
    <n v="1"/>
    <n v="8"/>
    <n v="3"/>
    <n v="2"/>
    <n v="8"/>
    <n v="7"/>
    <n v="1"/>
    <n v="7"/>
  </r>
  <r>
    <n v="35"/>
    <x v="1"/>
    <n v="0"/>
    <s v="Travel_Frequently"/>
    <n v="1"/>
    <n v="0"/>
    <n v="138"/>
    <s v="Research &amp; Development"/>
    <n v="1"/>
    <n v="0"/>
    <n v="2"/>
    <n v="3"/>
    <s v="Medical"/>
    <n v="0"/>
    <n v="0"/>
    <n v="1"/>
    <n v="0"/>
    <n v="0"/>
    <n v="2"/>
    <x v="0"/>
    <n v="1"/>
    <n v="37"/>
    <n v="3"/>
    <n v="2"/>
    <s v="Laboratory Technician"/>
    <n v="0"/>
    <n v="0"/>
    <n v="1"/>
    <n v="0"/>
    <n v="0"/>
    <n v="0"/>
    <n v="0"/>
    <n v="0"/>
    <x v="1"/>
    <s v="Single"/>
    <n v="1"/>
    <n v="0"/>
    <n v="4425"/>
    <n v="15986"/>
    <n v="5"/>
    <s v="No"/>
    <n v="0"/>
    <n v="11"/>
    <n v="3"/>
    <n v="4"/>
    <n v="0"/>
    <n v="10"/>
    <n v="5"/>
    <n v="3"/>
    <n v="6"/>
    <n v="2"/>
    <n v="1"/>
    <n v="2"/>
  </r>
  <r>
    <n v="42"/>
    <x v="1"/>
    <n v="0"/>
    <s v="Non-Travel"/>
    <n v="0"/>
    <n v="0"/>
    <n v="926"/>
    <s v="Research &amp; Development"/>
    <n v="1"/>
    <n v="0"/>
    <n v="21"/>
    <n v="2"/>
    <s v="Medical"/>
    <n v="0"/>
    <n v="0"/>
    <n v="1"/>
    <n v="0"/>
    <n v="0"/>
    <n v="3"/>
    <x v="0"/>
    <n v="1"/>
    <n v="36"/>
    <n v="3"/>
    <n v="2"/>
    <s v="Manufacturing Director"/>
    <n v="0"/>
    <n v="0"/>
    <n v="0"/>
    <n v="0"/>
    <n v="1"/>
    <n v="1"/>
    <n v="0"/>
    <n v="0"/>
    <x v="2"/>
    <s v="Divorced"/>
    <n v="0"/>
    <n v="0"/>
    <n v="5265"/>
    <n v="16439"/>
    <n v="2"/>
    <s v="No"/>
    <n v="0"/>
    <n v="16"/>
    <n v="3"/>
    <n v="2"/>
    <n v="1"/>
    <n v="11"/>
    <n v="5"/>
    <n v="3"/>
    <n v="5"/>
    <n v="3"/>
    <n v="0"/>
    <n v="2"/>
  </r>
  <r>
    <n v="38"/>
    <x v="1"/>
    <n v="0"/>
    <s v="Travel_Rarely"/>
    <n v="0"/>
    <n v="1"/>
    <n v="1261"/>
    <s v="Research &amp; Development"/>
    <n v="1"/>
    <n v="0"/>
    <n v="2"/>
    <n v="4"/>
    <s v="Life Sciences"/>
    <n v="1"/>
    <n v="0"/>
    <n v="0"/>
    <n v="0"/>
    <n v="0"/>
    <n v="4"/>
    <x v="1"/>
    <n v="0"/>
    <n v="88"/>
    <n v="3"/>
    <n v="2"/>
    <s v="Manufacturing Director"/>
    <n v="0"/>
    <n v="0"/>
    <n v="0"/>
    <n v="0"/>
    <n v="1"/>
    <n v="1"/>
    <n v="0"/>
    <n v="0"/>
    <x v="2"/>
    <s v="Married"/>
    <n v="0"/>
    <n v="1"/>
    <n v="6553"/>
    <n v="7259"/>
    <n v="9"/>
    <s v="No"/>
    <n v="0"/>
    <n v="14"/>
    <n v="3"/>
    <n v="2"/>
    <n v="0"/>
    <n v="14"/>
    <n v="3"/>
    <n v="3"/>
    <n v="1"/>
    <n v="0"/>
    <n v="0"/>
    <n v="0"/>
  </r>
  <r>
    <n v="38"/>
    <x v="1"/>
    <n v="0"/>
    <s v="Travel_Rarely"/>
    <n v="0"/>
    <n v="1"/>
    <n v="1084"/>
    <s v="Research &amp; Development"/>
    <n v="1"/>
    <n v="0"/>
    <n v="29"/>
    <n v="3"/>
    <s v="Technical Degree"/>
    <n v="0"/>
    <n v="0"/>
    <n v="0"/>
    <n v="0"/>
    <n v="1"/>
    <n v="4"/>
    <x v="1"/>
    <n v="0"/>
    <n v="54"/>
    <n v="3"/>
    <n v="2"/>
    <s v="Manufacturing Director"/>
    <n v="0"/>
    <n v="0"/>
    <n v="0"/>
    <n v="0"/>
    <n v="1"/>
    <n v="1"/>
    <n v="0"/>
    <n v="0"/>
    <x v="0"/>
    <s v="Married"/>
    <n v="0"/>
    <n v="1"/>
    <n v="6261"/>
    <n v="4185"/>
    <n v="3"/>
    <s v="No"/>
    <n v="0"/>
    <n v="18"/>
    <n v="3"/>
    <n v="1"/>
    <n v="1"/>
    <n v="9"/>
    <n v="3"/>
    <n v="1"/>
    <n v="7"/>
    <n v="7"/>
    <n v="1"/>
    <n v="7"/>
  </r>
  <r>
    <n v="27"/>
    <x v="1"/>
    <n v="0"/>
    <s v="Travel_Frequently"/>
    <n v="1"/>
    <n v="0"/>
    <n v="472"/>
    <s v="Research &amp; Development"/>
    <n v="1"/>
    <n v="0"/>
    <n v="1"/>
    <n v="1"/>
    <s v="Technical Degree"/>
    <n v="0"/>
    <n v="0"/>
    <n v="0"/>
    <n v="0"/>
    <n v="1"/>
    <n v="3"/>
    <x v="1"/>
    <n v="0"/>
    <n v="60"/>
    <n v="2"/>
    <n v="2"/>
    <s v="Manufacturing Director"/>
    <n v="0"/>
    <n v="0"/>
    <n v="0"/>
    <n v="0"/>
    <n v="1"/>
    <n v="1"/>
    <n v="0"/>
    <n v="0"/>
    <x v="3"/>
    <s v="Married"/>
    <n v="0"/>
    <n v="1"/>
    <n v="4298"/>
    <n v="9679"/>
    <n v="5"/>
    <s v="No"/>
    <n v="0"/>
    <n v="19"/>
    <n v="3"/>
    <n v="3"/>
    <n v="1"/>
    <n v="6"/>
    <n v="1"/>
    <n v="3"/>
    <n v="2"/>
    <n v="2"/>
    <n v="2"/>
    <n v="0"/>
  </r>
  <r>
    <n v="49"/>
    <x v="1"/>
    <n v="0"/>
    <s v="Non-Travel"/>
    <n v="0"/>
    <n v="0"/>
    <n v="1002"/>
    <s v="Research &amp; Development"/>
    <n v="1"/>
    <n v="0"/>
    <n v="18"/>
    <n v="4"/>
    <s v="Life Sciences"/>
    <n v="1"/>
    <n v="0"/>
    <n v="0"/>
    <n v="0"/>
    <n v="0"/>
    <n v="4"/>
    <x v="1"/>
    <n v="0"/>
    <n v="92"/>
    <n v="3"/>
    <n v="2"/>
    <s v="Manufacturing Director"/>
    <n v="0"/>
    <n v="0"/>
    <n v="0"/>
    <n v="0"/>
    <n v="1"/>
    <n v="1"/>
    <n v="0"/>
    <n v="0"/>
    <x v="0"/>
    <s v="Divorced"/>
    <n v="0"/>
    <n v="0"/>
    <n v="6804"/>
    <n v="23793"/>
    <n v="1"/>
    <s v="Yes"/>
    <n v="1"/>
    <n v="15"/>
    <n v="3"/>
    <n v="1"/>
    <n v="2"/>
    <n v="7"/>
    <n v="0"/>
    <n v="3"/>
    <n v="7"/>
    <n v="7"/>
    <n v="1"/>
    <n v="7"/>
  </r>
  <r>
    <n v="34"/>
    <x v="1"/>
    <n v="0"/>
    <s v="Travel_Frequently"/>
    <n v="1"/>
    <n v="0"/>
    <n v="878"/>
    <s v="Research &amp; Development"/>
    <n v="1"/>
    <n v="0"/>
    <n v="10"/>
    <n v="4"/>
    <s v="Medical"/>
    <n v="0"/>
    <n v="0"/>
    <n v="1"/>
    <n v="0"/>
    <n v="0"/>
    <n v="4"/>
    <x v="1"/>
    <n v="0"/>
    <n v="43"/>
    <n v="3"/>
    <n v="1"/>
    <s v="Research Scientist"/>
    <n v="0"/>
    <n v="0"/>
    <n v="0"/>
    <n v="0"/>
    <n v="0"/>
    <n v="0"/>
    <n v="0"/>
    <n v="1"/>
    <x v="2"/>
    <s v="Divorced"/>
    <n v="0"/>
    <n v="0"/>
    <n v="3815"/>
    <n v="5972"/>
    <n v="1"/>
    <s v="Yes"/>
    <n v="1"/>
    <n v="17"/>
    <n v="3"/>
    <n v="4"/>
    <n v="1"/>
    <n v="5"/>
    <n v="4"/>
    <n v="4"/>
    <n v="5"/>
    <n v="3"/>
    <n v="2"/>
    <n v="0"/>
  </r>
  <r>
    <n v="40"/>
    <x v="1"/>
    <n v="0"/>
    <s v="Travel_Rarely"/>
    <n v="0"/>
    <n v="1"/>
    <n v="905"/>
    <s v="Research &amp; Development"/>
    <n v="1"/>
    <n v="0"/>
    <n v="19"/>
    <n v="2"/>
    <s v="Medical"/>
    <n v="0"/>
    <n v="0"/>
    <n v="1"/>
    <n v="0"/>
    <n v="0"/>
    <n v="3"/>
    <x v="1"/>
    <n v="0"/>
    <n v="99"/>
    <n v="3"/>
    <n v="2"/>
    <s v="Laboratory Technician"/>
    <n v="0"/>
    <n v="0"/>
    <n v="1"/>
    <n v="0"/>
    <n v="0"/>
    <n v="0"/>
    <n v="0"/>
    <n v="0"/>
    <x v="0"/>
    <s v="Married"/>
    <n v="0"/>
    <n v="1"/>
    <n v="2741"/>
    <n v="16523"/>
    <n v="8"/>
    <s v="Yes"/>
    <n v="1"/>
    <n v="15"/>
    <n v="3"/>
    <n v="3"/>
    <n v="1"/>
    <n v="15"/>
    <n v="2"/>
    <n v="4"/>
    <n v="7"/>
    <n v="2"/>
    <n v="3"/>
    <n v="7"/>
  </r>
  <r>
    <n v="38"/>
    <x v="0"/>
    <n v="1"/>
    <s v="Travel_Rarely"/>
    <n v="0"/>
    <n v="1"/>
    <n v="1180"/>
    <s v="Research &amp; Development"/>
    <n v="1"/>
    <n v="0"/>
    <n v="29"/>
    <n v="1"/>
    <s v="Medical"/>
    <n v="0"/>
    <n v="0"/>
    <n v="1"/>
    <n v="0"/>
    <n v="0"/>
    <n v="2"/>
    <x v="1"/>
    <n v="0"/>
    <n v="70"/>
    <n v="3"/>
    <n v="2"/>
    <s v="Healthcare Representative"/>
    <n v="1"/>
    <n v="0"/>
    <n v="0"/>
    <n v="0"/>
    <n v="0"/>
    <n v="0"/>
    <n v="0"/>
    <n v="0"/>
    <x v="3"/>
    <s v="Married"/>
    <n v="0"/>
    <n v="1"/>
    <n v="6673"/>
    <n v="11354"/>
    <n v="7"/>
    <s v="Yes"/>
    <n v="1"/>
    <n v="19"/>
    <n v="3"/>
    <n v="2"/>
    <n v="0"/>
    <n v="17"/>
    <n v="2"/>
    <n v="3"/>
    <n v="1"/>
    <n v="0"/>
    <n v="0"/>
    <n v="0"/>
  </r>
  <r>
    <n v="29"/>
    <x v="0"/>
    <n v="1"/>
    <s v="Travel_Rarely"/>
    <n v="0"/>
    <n v="1"/>
    <n v="121"/>
    <s v="Sales"/>
    <n v="0"/>
    <n v="1"/>
    <n v="27"/>
    <n v="3"/>
    <s v="Marketing"/>
    <n v="0"/>
    <n v="0"/>
    <n v="0"/>
    <n v="1"/>
    <n v="0"/>
    <n v="2"/>
    <x v="0"/>
    <n v="1"/>
    <n v="35"/>
    <n v="3"/>
    <n v="3"/>
    <s v="Sales Executive"/>
    <n v="0"/>
    <n v="1"/>
    <n v="0"/>
    <n v="0"/>
    <n v="0"/>
    <n v="0"/>
    <n v="0"/>
    <n v="0"/>
    <x v="0"/>
    <s v="Married"/>
    <n v="0"/>
    <n v="1"/>
    <n v="7639"/>
    <n v="24525"/>
    <n v="1"/>
    <s v="No"/>
    <n v="0"/>
    <n v="22"/>
    <n v="4"/>
    <n v="4"/>
    <n v="3"/>
    <n v="10"/>
    <n v="3"/>
    <n v="2"/>
    <n v="10"/>
    <n v="4"/>
    <n v="1"/>
    <n v="9"/>
  </r>
  <r>
    <n v="22"/>
    <x v="1"/>
    <n v="0"/>
    <s v="Travel_Rarely"/>
    <n v="0"/>
    <n v="1"/>
    <n v="1136"/>
    <s v="Research &amp; Development"/>
    <n v="1"/>
    <n v="0"/>
    <n v="5"/>
    <n v="3"/>
    <s v="Life Sciences"/>
    <n v="1"/>
    <n v="0"/>
    <n v="0"/>
    <n v="0"/>
    <n v="0"/>
    <n v="4"/>
    <x v="1"/>
    <n v="0"/>
    <n v="60"/>
    <n v="4"/>
    <n v="1"/>
    <s v="Research Scientist"/>
    <n v="0"/>
    <n v="0"/>
    <n v="0"/>
    <n v="0"/>
    <n v="0"/>
    <n v="0"/>
    <n v="0"/>
    <n v="1"/>
    <x v="1"/>
    <s v="Divorced"/>
    <n v="0"/>
    <n v="0"/>
    <n v="2328"/>
    <n v="12392"/>
    <n v="1"/>
    <s v="Yes"/>
    <n v="1"/>
    <n v="16"/>
    <n v="3"/>
    <n v="1"/>
    <n v="1"/>
    <n v="4"/>
    <n v="2"/>
    <n v="2"/>
    <n v="4"/>
    <n v="2"/>
    <n v="2"/>
    <n v="2"/>
  </r>
  <r>
    <n v="36"/>
    <x v="1"/>
    <n v="0"/>
    <s v="Travel_Frequently"/>
    <n v="1"/>
    <n v="0"/>
    <n v="635"/>
    <s v="Research &amp; Development"/>
    <n v="1"/>
    <n v="0"/>
    <n v="18"/>
    <n v="1"/>
    <s v="Medical"/>
    <n v="0"/>
    <n v="0"/>
    <n v="1"/>
    <n v="0"/>
    <n v="0"/>
    <n v="2"/>
    <x v="0"/>
    <n v="1"/>
    <n v="73"/>
    <n v="3"/>
    <n v="1"/>
    <s v="Laboratory Technician"/>
    <n v="0"/>
    <n v="0"/>
    <n v="1"/>
    <n v="0"/>
    <n v="0"/>
    <n v="0"/>
    <n v="0"/>
    <n v="0"/>
    <x v="0"/>
    <s v="Single"/>
    <n v="1"/>
    <n v="0"/>
    <n v="2153"/>
    <n v="7703"/>
    <n v="1"/>
    <s v="No"/>
    <n v="0"/>
    <n v="13"/>
    <n v="3"/>
    <n v="1"/>
    <n v="0"/>
    <n v="8"/>
    <n v="2"/>
    <n v="3"/>
    <n v="8"/>
    <n v="1"/>
    <n v="1"/>
    <n v="7"/>
  </r>
  <r>
    <n v="40"/>
    <x v="1"/>
    <n v="0"/>
    <s v="Non-Travel"/>
    <n v="0"/>
    <n v="0"/>
    <n v="1151"/>
    <s v="Research &amp; Development"/>
    <n v="1"/>
    <n v="0"/>
    <n v="9"/>
    <n v="5"/>
    <s v="Life Sciences"/>
    <n v="1"/>
    <n v="0"/>
    <n v="0"/>
    <n v="0"/>
    <n v="0"/>
    <n v="4"/>
    <x v="1"/>
    <n v="0"/>
    <n v="63"/>
    <n v="2"/>
    <n v="2"/>
    <s v="Healthcare Representative"/>
    <n v="1"/>
    <n v="0"/>
    <n v="0"/>
    <n v="0"/>
    <n v="0"/>
    <n v="0"/>
    <n v="0"/>
    <n v="0"/>
    <x v="0"/>
    <s v="Married"/>
    <n v="0"/>
    <n v="1"/>
    <n v="4876"/>
    <n v="14242"/>
    <n v="9"/>
    <s v="No"/>
    <n v="0"/>
    <n v="14"/>
    <n v="3"/>
    <n v="4"/>
    <n v="1"/>
    <n v="5"/>
    <n v="5"/>
    <n v="1"/>
    <n v="3"/>
    <n v="2"/>
    <n v="0"/>
    <n v="2"/>
  </r>
  <r>
    <n v="46"/>
    <x v="1"/>
    <n v="0"/>
    <s v="Travel_Rarely"/>
    <n v="0"/>
    <n v="1"/>
    <n v="644"/>
    <s v="Research &amp; Development"/>
    <n v="1"/>
    <n v="0"/>
    <n v="1"/>
    <n v="4"/>
    <s v="Medical"/>
    <n v="0"/>
    <n v="0"/>
    <n v="1"/>
    <n v="0"/>
    <n v="0"/>
    <n v="4"/>
    <x v="1"/>
    <n v="0"/>
    <n v="97"/>
    <n v="3"/>
    <n v="3"/>
    <s v="Healthcare Representative"/>
    <n v="1"/>
    <n v="0"/>
    <n v="0"/>
    <n v="0"/>
    <n v="0"/>
    <n v="0"/>
    <n v="0"/>
    <n v="0"/>
    <x v="3"/>
    <s v="Divorced"/>
    <n v="0"/>
    <n v="0"/>
    <n v="9396"/>
    <n v="12368"/>
    <n v="7"/>
    <s v="No"/>
    <n v="0"/>
    <n v="16"/>
    <n v="3"/>
    <n v="3"/>
    <n v="1"/>
    <n v="17"/>
    <n v="3"/>
    <n v="3"/>
    <n v="4"/>
    <n v="2"/>
    <n v="0"/>
    <n v="3"/>
  </r>
  <r>
    <n v="32"/>
    <x v="0"/>
    <n v="1"/>
    <s v="Travel_Rarely"/>
    <n v="0"/>
    <n v="1"/>
    <n v="1045"/>
    <s v="Sales"/>
    <n v="0"/>
    <n v="1"/>
    <n v="4"/>
    <n v="4"/>
    <s v="Medical"/>
    <n v="0"/>
    <n v="0"/>
    <n v="1"/>
    <n v="0"/>
    <n v="0"/>
    <n v="4"/>
    <x v="1"/>
    <n v="0"/>
    <n v="32"/>
    <n v="1"/>
    <n v="3"/>
    <s v="Sales Executive"/>
    <n v="0"/>
    <n v="1"/>
    <n v="0"/>
    <n v="0"/>
    <n v="0"/>
    <n v="0"/>
    <n v="0"/>
    <n v="0"/>
    <x v="0"/>
    <s v="Married"/>
    <n v="0"/>
    <n v="1"/>
    <n v="10400"/>
    <n v="25812"/>
    <n v="1"/>
    <s v="No"/>
    <n v="0"/>
    <n v="11"/>
    <n v="3"/>
    <n v="3"/>
    <n v="0"/>
    <n v="14"/>
    <n v="2"/>
    <n v="2"/>
    <n v="14"/>
    <n v="8"/>
    <n v="9"/>
    <n v="8"/>
  </r>
  <r>
    <n v="30"/>
    <x v="1"/>
    <n v="0"/>
    <s v="Non-Travel"/>
    <n v="0"/>
    <n v="0"/>
    <n v="829"/>
    <s v="Research &amp; Development"/>
    <n v="1"/>
    <n v="0"/>
    <n v="1"/>
    <n v="1"/>
    <s v="Life Sciences"/>
    <n v="1"/>
    <n v="0"/>
    <n v="0"/>
    <n v="0"/>
    <n v="0"/>
    <n v="3"/>
    <x v="1"/>
    <n v="0"/>
    <n v="88"/>
    <n v="2"/>
    <n v="3"/>
    <s v="Manufacturing Director"/>
    <n v="0"/>
    <n v="0"/>
    <n v="0"/>
    <n v="0"/>
    <n v="1"/>
    <n v="1"/>
    <n v="0"/>
    <n v="0"/>
    <x v="2"/>
    <s v="Single"/>
    <n v="1"/>
    <n v="0"/>
    <n v="8474"/>
    <n v="20925"/>
    <n v="1"/>
    <s v="No"/>
    <n v="0"/>
    <n v="22"/>
    <n v="4"/>
    <n v="3"/>
    <n v="0"/>
    <n v="12"/>
    <n v="2"/>
    <n v="3"/>
    <n v="11"/>
    <n v="8"/>
    <n v="5"/>
    <n v="8"/>
  </r>
  <r>
    <n v="27"/>
    <x v="1"/>
    <n v="0"/>
    <s v="Travel_Frequently"/>
    <n v="1"/>
    <n v="0"/>
    <n v="1242"/>
    <s v="Sales"/>
    <n v="0"/>
    <n v="1"/>
    <n v="20"/>
    <n v="3"/>
    <s v="Life Sciences"/>
    <n v="1"/>
    <n v="0"/>
    <n v="0"/>
    <n v="0"/>
    <n v="0"/>
    <n v="4"/>
    <x v="0"/>
    <n v="1"/>
    <n v="90"/>
    <n v="3"/>
    <n v="2"/>
    <s v="Sales Executive"/>
    <n v="0"/>
    <n v="1"/>
    <n v="0"/>
    <n v="0"/>
    <n v="0"/>
    <n v="0"/>
    <n v="0"/>
    <n v="0"/>
    <x v="2"/>
    <s v="Single"/>
    <n v="1"/>
    <n v="0"/>
    <n v="9981"/>
    <n v="12916"/>
    <n v="1"/>
    <s v="No"/>
    <n v="0"/>
    <n v="14"/>
    <n v="3"/>
    <n v="4"/>
    <n v="0"/>
    <n v="7"/>
    <n v="2"/>
    <n v="3"/>
    <n v="7"/>
    <n v="7"/>
    <n v="0"/>
    <n v="7"/>
  </r>
  <r>
    <n v="51"/>
    <x v="1"/>
    <n v="0"/>
    <s v="Travel_Rarely"/>
    <n v="0"/>
    <n v="1"/>
    <n v="1469"/>
    <s v="Research &amp; Development"/>
    <n v="1"/>
    <n v="0"/>
    <n v="8"/>
    <n v="4"/>
    <s v="Life Sciences"/>
    <n v="1"/>
    <n v="0"/>
    <n v="0"/>
    <n v="0"/>
    <n v="0"/>
    <n v="2"/>
    <x v="1"/>
    <n v="0"/>
    <n v="81"/>
    <n v="2"/>
    <n v="3"/>
    <s v="Research Director"/>
    <n v="0"/>
    <n v="0"/>
    <n v="0"/>
    <n v="0"/>
    <n v="0"/>
    <n v="0"/>
    <n v="0"/>
    <n v="0"/>
    <x v="1"/>
    <s v="Married"/>
    <n v="0"/>
    <n v="1"/>
    <n v="12490"/>
    <n v="15736"/>
    <n v="5"/>
    <s v="No"/>
    <n v="0"/>
    <n v="16"/>
    <n v="3"/>
    <n v="4"/>
    <n v="2"/>
    <n v="16"/>
    <n v="5"/>
    <n v="1"/>
    <n v="10"/>
    <n v="9"/>
    <n v="4"/>
    <n v="7"/>
  </r>
  <r>
    <n v="30"/>
    <x v="0"/>
    <n v="1"/>
    <s v="Travel_Rarely"/>
    <n v="0"/>
    <n v="1"/>
    <n v="1005"/>
    <s v="Research &amp; Development"/>
    <n v="1"/>
    <n v="0"/>
    <n v="3"/>
    <n v="3"/>
    <s v="Technical Degree"/>
    <n v="0"/>
    <n v="0"/>
    <n v="0"/>
    <n v="0"/>
    <n v="1"/>
    <n v="4"/>
    <x v="0"/>
    <n v="1"/>
    <n v="88"/>
    <n v="3"/>
    <n v="1"/>
    <s v="Research Scientist"/>
    <n v="0"/>
    <n v="0"/>
    <n v="0"/>
    <n v="0"/>
    <n v="0"/>
    <n v="0"/>
    <n v="0"/>
    <n v="1"/>
    <x v="3"/>
    <s v="Single"/>
    <n v="1"/>
    <n v="0"/>
    <n v="2657"/>
    <n v="8556"/>
    <n v="5"/>
    <s v="Yes"/>
    <n v="1"/>
    <n v="11"/>
    <n v="3"/>
    <n v="3"/>
    <n v="0"/>
    <n v="8"/>
    <n v="5"/>
    <n v="3"/>
    <n v="5"/>
    <n v="2"/>
    <n v="0"/>
    <n v="4"/>
  </r>
  <r>
    <n v="41"/>
    <x v="1"/>
    <n v="0"/>
    <s v="Travel_Rarely"/>
    <n v="0"/>
    <n v="1"/>
    <n v="896"/>
    <s v="Sales"/>
    <n v="0"/>
    <n v="1"/>
    <n v="6"/>
    <n v="3"/>
    <s v="Life Sciences"/>
    <n v="1"/>
    <n v="0"/>
    <n v="0"/>
    <n v="0"/>
    <n v="0"/>
    <n v="4"/>
    <x v="0"/>
    <n v="1"/>
    <n v="75"/>
    <n v="3"/>
    <n v="3"/>
    <s v="Manager"/>
    <n v="0"/>
    <n v="0"/>
    <n v="0"/>
    <n v="1"/>
    <n v="0"/>
    <n v="0"/>
    <n v="0"/>
    <n v="0"/>
    <x v="0"/>
    <s v="Single"/>
    <n v="1"/>
    <n v="0"/>
    <n v="13591"/>
    <n v="14674"/>
    <n v="3"/>
    <s v="Yes"/>
    <n v="1"/>
    <n v="18"/>
    <n v="3"/>
    <n v="3"/>
    <n v="0"/>
    <n v="16"/>
    <n v="3"/>
    <n v="3"/>
    <n v="1"/>
    <n v="0"/>
    <n v="0"/>
    <n v="0"/>
  </r>
  <r>
    <n v="30"/>
    <x v="0"/>
    <n v="1"/>
    <s v="Travel_Frequently"/>
    <n v="1"/>
    <n v="0"/>
    <n v="334"/>
    <s v="Sales"/>
    <n v="0"/>
    <n v="1"/>
    <n v="26"/>
    <n v="4"/>
    <s v="Marketing"/>
    <n v="0"/>
    <n v="0"/>
    <n v="0"/>
    <n v="1"/>
    <n v="0"/>
    <n v="3"/>
    <x v="0"/>
    <n v="1"/>
    <n v="52"/>
    <n v="2"/>
    <n v="2"/>
    <s v="Sales Executive"/>
    <n v="0"/>
    <n v="1"/>
    <n v="0"/>
    <n v="0"/>
    <n v="0"/>
    <n v="0"/>
    <n v="0"/>
    <n v="0"/>
    <x v="3"/>
    <s v="Single"/>
    <n v="1"/>
    <n v="0"/>
    <n v="6696"/>
    <n v="22967"/>
    <n v="5"/>
    <s v="No"/>
    <n v="0"/>
    <n v="15"/>
    <n v="3"/>
    <n v="3"/>
    <n v="0"/>
    <n v="9"/>
    <n v="5"/>
    <n v="2"/>
    <n v="6"/>
    <n v="3"/>
    <n v="0"/>
    <n v="1"/>
  </r>
  <r>
    <n v="29"/>
    <x v="0"/>
    <n v="1"/>
    <s v="Travel_Rarely"/>
    <n v="0"/>
    <n v="1"/>
    <n v="992"/>
    <s v="Research &amp; Development"/>
    <n v="1"/>
    <n v="0"/>
    <n v="1"/>
    <n v="3"/>
    <s v="Technical Degree"/>
    <n v="0"/>
    <n v="0"/>
    <n v="0"/>
    <n v="0"/>
    <n v="1"/>
    <n v="3"/>
    <x v="1"/>
    <n v="0"/>
    <n v="85"/>
    <n v="3"/>
    <n v="1"/>
    <s v="Research Scientist"/>
    <n v="0"/>
    <n v="0"/>
    <n v="0"/>
    <n v="0"/>
    <n v="0"/>
    <n v="0"/>
    <n v="0"/>
    <n v="1"/>
    <x v="2"/>
    <s v="Single"/>
    <n v="1"/>
    <n v="0"/>
    <n v="2058"/>
    <n v="19757"/>
    <n v="0"/>
    <s v="No"/>
    <n v="0"/>
    <n v="14"/>
    <n v="3"/>
    <n v="4"/>
    <n v="0"/>
    <n v="7"/>
    <n v="1"/>
    <n v="2"/>
    <n v="6"/>
    <n v="2"/>
    <n v="1"/>
    <n v="5"/>
  </r>
  <r>
    <n v="45"/>
    <x v="1"/>
    <n v="0"/>
    <s v="Non-Travel"/>
    <n v="0"/>
    <n v="0"/>
    <n v="1052"/>
    <s v="Sales"/>
    <n v="0"/>
    <n v="1"/>
    <n v="6"/>
    <n v="3"/>
    <s v="Medical"/>
    <n v="0"/>
    <n v="0"/>
    <n v="1"/>
    <n v="0"/>
    <n v="0"/>
    <n v="4"/>
    <x v="0"/>
    <n v="1"/>
    <n v="57"/>
    <n v="2"/>
    <n v="3"/>
    <s v="Sales Executive"/>
    <n v="0"/>
    <n v="1"/>
    <n v="0"/>
    <n v="0"/>
    <n v="0"/>
    <n v="0"/>
    <n v="0"/>
    <n v="0"/>
    <x v="0"/>
    <s v="Single"/>
    <n v="1"/>
    <n v="0"/>
    <n v="8865"/>
    <n v="16840"/>
    <n v="6"/>
    <s v="No"/>
    <n v="0"/>
    <n v="12"/>
    <n v="3"/>
    <n v="4"/>
    <n v="0"/>
    <n v="23"/>
    <n v="2"/>
    <n v="3"/>
    <n v="19"/>
    <n v="7"/>
    <n v="12"/>
    <n v="8"/>
  </r>
  <r>
    <n v="54"/>
    <x v="1"/>
    <n v="0"/>
    <s v="Travel_Rarely"/>
    <n v="0"/>
    <n v="1"/>
    <n v="1147"/>
    <s v="Sales"/>
    <n v="0"/>
    <n v="1"/>
    <n v="3"/>
    <n v="3"/>
    <s v="Marketing"/>
    <n v="0"/>
    <n v="0"/>
    <n v="0"/>
    <n v="1"/>
    <n v="0"/>
    <n v="4"/>
    <x v="0"/>
    <n v="1"/>
    <n v="52"/>
    <n v="3"/>
    <n v="2"/>
    <s v="Sales Executive"/>
    <n v="0"/>
    <n v="1"/>
    <n v="0"/>
    <n v="0"/>
    <n v="0"/>
    <n v="0"/>
    <n v="0"/>
    <n v="0"/>
    <x v="3"/>
    <s v="Married"/>
    <n v="0"/>
    <n v="1"/>
    <n v="5940"/>
    <n v="17011"/>
    <n v="2"/>
    <s v="No"/>
    <n v="0"/>
    <n v="14"/>
    <n v="3"/>
    <n v="4"/>
    <n v="1"/>
    <n v="16"/>
    <n v="4"/>
    <n v="3"/>
    <n v="6"/>
    <n v="2"/>
    <n v="0"/>
    <n v="5"/>
  </r>
  <r>
    <n v="36"/>
    <x v="1"/>
    <n v="0"/>
    <s v="Travel_Rarely"/>
    <n v="0"/>
    <n v="1"/>
    <n v="1396"/>
    <s v="Research &amp; Development"/>
    <n v="1"/>
    <n v="0"/>
    <n v="5"/>
    <n v="2"/>
    <s v="Life Sciences"/>
    <n v="1"/>
    <n v="0"/>
    <n v="0"/>
    <n v="0"/>
    <n v="0"/>
    <n v="4"/>
    <x v="1"/>
    <n v="0"/>
    <n v="62"/>
    <n v="3"/>
    <n v="2"/>
    <s v="Laboratory Technician"/>
    <n v="0"/>
    <n v="0"/>
    <n v="1"/>
    <n v="0"/>
    <n v="0"/>
    <n v="0"/>
    <n v="0"/>
    <n v="0"/>
    <x v="1"/>
    <s v="Single"/>
    <n v="1"/>
    <n v="0"/>
    <n v="5914"/>
    <n v="9945"/>
    <n v="8"/>
    <s v="No"/>
    <n v="0"/>
    <n v="16"/>
    <n v="3"/>
    <n v="4"/>
    <n v="0"/>
    <n v="16"/>
    <n v="3"/>
    <n v="4"/>
    <n v="13"/>
    <n v="11"/>
    <n v="3"/>
    <n v="7"/>
  </r>
  <r>
    <n v="33"/>
    <x v="1"/>
    <n v="0"/>
    <s v="Travel_Rarely"/>
    <n v="0"/>
    <n v="1"/>
    <n v="147"/>
    <s v="Research &amp; Development"/>
    <n v="1"/>
    <n v="0"/>
    <n v="4"/>
    <n v="4"/>
    <s v="Medical"/>
    <n v="0"/>
    <n v="0"/>
    <n v="1"/>
    <n v="0"/>
    <n v="0"/>
    <n v="3"/>
    <x v="0"/>
    <n v="1"/>
    <n v="47"/>
    <n v="2"/>
    <n v="1"/>
    <s v="Research Scientist"/>
    <n v="0"/>
    <n v="0"/>
    <n v="0"/>
    <n v="0"/>
    <n v="0"/>
    <n v="0"/>
    <n v="0"/>
    <n v="1"/>
    <x v="1"/>
    <s v="Married"/>
    <n v="0"/>
    <n v="1"/>
    <n v="2622"/>
    <n v="13248"/>
    <n v="6"/>
    <s v="No"/>
    <n v="0"/>
    <n v="21"/>
    <n v="4"/>
    <n v="4"/>
    <n v="0"/>
    <n v="7"/>
    <n v="3"/>
    <n v="3"/>
    <n v="3"/>
    <n v="2"/>
    <n v="1"/>
    <n v="1"/>
  </r>
  <r>
    <n v="37"/>
    <x v="1"/>
    <n v="0"/>
    <s v="Travel_Frequently"/>
    <n v="1"/>
    <n v="0"/>
    <n v="663"/>
    <s v="Research &amp; Development"/>
    <n v="1"/>
    <n v="0"/>
    <n v="11"/>
    <n v="3"/>
    <s v="Other"/>
    <n v="0"/>
    <n v="1"/>
    <n v="0"/>
    <n v="0"/>
    <n v="0"/>
    <n v="2"/>
    <x v="1"/>
    <n v="0"/>
    <n v="47"/>
    <n v="3"/>
    <n v="3"/>
    <s v="Research Director"/>
    <n v="0"/>
    <n v="0"/>
    <n v="0"/>
    <n v="0"/>
    <n v="0"/>
    <n v="0"/>
    <n v="0"/>
    <n v="0"/>
    <x v="0"/>
    <s v="Divorced"/>
    <n v="0"/>
    <n v="0"/>
    <n v="12185"/>
    <n v="10056"/>
    <n v="1"/>
    <s v="Yes"/>
    <n v="1"/>
    <n v="14"/>
    <n v="3"/>
    <n v="3"/>
    <n v="3"/>
    <n v="10"/>
    <n v="1"/>
    <n v="3"/>
    <n v="10"/>
    <n v="8"/>
    <n v="0"/>
    <n v="7"/>
  </r>
  <r>
    <n v="38"/>
    <x v="1"/>
    <n v="0"/>
    <s v="Travel_Rarely"/>
    <n v="0"/>
    <n v="1"/>
    <n v="119"/>
    <s v="Sales"/>
    <n v="0"/>
    <n v="1"/>
    <n v="3"/>
    <n v="3"/>
    <s v="Life Sciences"/>
    <n v="1"/>
    <n v="0"/>
    <n v="0"/>
    <n v="0"/>
    <n v="0"/>
    <n v="1"/>
    <x v="1"/>
    <n v="0"/>
    <n v="76"/>
    <n v="3"/>
    <n v="3"/>
    <s v="Sales Executive"/>
    <n v="0"/>
    <n v="1"/>
    <n v="0"/>
    <n v="0"/>
    <n v="0"/>
    <n v="0"/>
    <n v="0"/>
    <n v="0"/>
    <x v="2"/>
    <s v="Divorced"/>
    <n v="0"/>
    <n v="0"/>
    <n v="10609"/>
    <n v="9647"/>
    <n v="0"/>
    <s v="No"/>
    <n v="0"/>
    <n v="12"/>
    <n v="3"/>
    <n v="3"/>
    <n v="2"/>
    <n v="17"/>
    <n v="6"/>
    <n v="2"/>
    <n v="16"/>
    <n v="10"/>
    <n v="5"/>
    <n v="13"/>
  </r>
  <r>
    <n v="31"/>
    <x v="1"/>
    <n v="0"/>
    <s v="Non-Travel"/>
    <n v="0"/>
    <n v="0"/>
    <n v="979"/>
    <s v="Research &amp; Development"/>
    <n v="1"/>
    <n v="0"/>
    <n v="1"/>
    <n v="4"/>
    <s v="Medical"/>
    <n v="0"/>
    <n v="0"/>
    <n v="1"/>
    <n v="0"/>
    <n v="0"/>
    <n v="3"/>
    <x v="1"/>
    <n v="0"/>
    <n v="90"/>
    <n v="1"/>
    <n v="2"/>
    <s v="Manufacturing Director"/>
    <n v="0"/>
    <n v="0"/>
    <n v="0"/>
    <n v="0"/>
    <n v="1"/>
    <n v="1"/>
    <n v="0"/>
    <n v="0"/>
    <x v="2"/>
    <s v="Married"/>
    <n v="0"/>
    <n v="1"/>
    <n v="4345"/>
    <n v="4381"/>
    <n v="0"/>
    <s v="No"/>
    <n v="0"/>
    <n v="12"/>
    <n v="3"/>
    <n v="4"/>
    <n v="1"/>
    <n v="6"/>
    <n v="2"/>
    <n v="3"/>
    <n v="5"/>
    <n v="4"/>
    <n v="1"/>
    <n v="4"/>
  </r>
  <r>
    <n v="59"/>
    <x v="1"/>
    <n v="0"/>
    <s v="Travel_Rarely"/>
    <n v="0"/>
    <n v="1"/>
    <n v="142"/>
    <s v="Research &amp; Development"/>
    <n v="1"/>
    <n v="0"/>
    <n v="3"/>
    <n v="3"/>
    <s v="Life Sciences"/>
    <n v="1"/>
    <n v="0"/>
    <n v="0"/>
    <n v="0"/>
    <n v="0"/>
    <n v="3"/>
    <x v="1"/>
    <n v="0"/>
    <n v="70"/>
    <n v="2"/>
    <n v="1"/>
    <s v="Research Scientist"/>
    <n v="0"/>
    <n v="0"/>
    <n v="0"/>
    <n v="0"/>
    <n v="0"/>
    <n v="0"/>
    <n v="0"/>
    <n v="1"/>
    <x v="0"/>
    <s v="Married"/>
    <n v="0"/>
    <n v="1"/>
    <n v="2177"/>
    <n v="8456"/>
    <n v="3"/>
    <s v="No"/>
    <n v="0"/>
    <n v="17"/>
    <n v="3"/>
    <n v="1"/>
    <n v="1"/>
    <n v="7"/>
    <n v="6"/>
    <n v="3"/>
    <n v="1"/>
    <n v="0"/>
    <n v="0"/>
    <n v="0"/>
  </r>
  <r>
    <n v="37"/>
    <x v="1"/>
    <n v="0"/>
    <s v="Travel_Frequently"/>
    <n v="1"/>
    <n v="0"/>
    <n v="319"/>
    <s v="Sales"/>
    <n v="0"/>
    <n v="1"/>
    <n v="4"/>
    <n v="4"/>
    <s v="Marketing"/>
    <n v="0"/>
    <n v="0"/>
    <n v="0"/>
    <n v="1"/>
    <n v="0"/>
    <n v="1"/>
    <x v="1"/>
    <n v="0"/>
    <n v="41"/>
    <n v="3"/>
    <n v="1"/>
    <s v="Sales Representative"/>
    <n v="0"/>
    <n v="0"/>
    <n v="0"/>
    <n v="0"/>
    <n v="0"/>
    <n v="0"/>
    <n v="1"/>
    <n v="0"/>
    <x v="0"/>
    <s v="Divorced"/>
    <n v="0"/>
    <n v="0"/>
    <n v="2793"/>
    <n v="2539"/>
    <n v="4"/>
    <s v="No"/>
    <n v="0"/>
    <n v="17"/>
    <n v="3"/>
    <n v="3"/>
    <n v="1"/>
    <n v="13"/>
    <n v="2"/>
    <n v="3"/>
    <n v="9"/>
    <n v="8"/>
    <n v="5"/>
    <n v="8"/>
  </r>
  <r>
    <n v="29"/>
    <x v="1"/>
    <n v="0"/>
    <s v="Travel_Frequently"/>
    <n v="1"/>
    <n v="0"/>
    <n v="1413"/>
    <s v="Sales"/>
    <n v="0"/>
    <n v="1"/>
    <n v="1"/>
    <n v="1"/>
    <s v="Medical"/>
    <n v="0"/>
    <n v="0"/>
    <n v="1"/>
    <n v="0"/>
    <n v="0"/>
    <n v="2"/>
    <x v="0"/>
    <n v="1"/>
    <n v="42"/>
    <n v="3"/>
    <n v="3"/>
    <s v="Sales Executive"/>
    <n v="0"/>
    <n v="1"/>
    <n v="0"/>
    <n v="0"/>
    <n v="0"/>
    <n v="0"/>
    <n v="0"/>
    <n v="0"/>
    <x v="0"/>
    <s v="Married"/>
    <n v="0"/>
    <n v="1"/>
    <n v="7918"/>
    <n v="6599"/>
    <n v="1"/>
    <s v="No"/>
    <n v="0"/>
    <n v="14"/>
    <n v="3"/>
    <n v="4"/>
    <n v="1"/>
    <n v="11"/>
    <n v="5"/>
    <n v="3"/>
    <n v="11"/>
    <n v="10"/>
    <n v="4"/>
    <n v="1"/>
  </r>
  <r>
    <n v="35"/>
    <x v="1"/>
    <n v="0"/>
    <s v="Travel_Frequently"/>
    <n v="1"/>
    <n v="0"/>
    <n v="944"/>
    <s v="Sales"/>
    <n v="0"/>
    <n v="1"/>
    <n v="1"/>
    <n v="3"/>
    <s v="Marketing"/>
    <n v="0"/>
    <n v="0"/>
    <n v="0"/>
    <n v="1"/>
    <n v="0"/>
    <n v="3"/>
    <x v="0"/>
    <n v="1"/>
    <n v="92"/>
    <n v="3"/>
    <n v="3"/>
    <s v="Sales Executive"/>
    <n v="0"/>
    <n v="1"/>
    <n v="0"/>
    <n v="0"/>
    <n v="0"/>
    <n v="0"/>
    <n v="0"/>
    <n v="0"/>
    <x v="2"/>
    <s v="Single"/>
    <n v="1"/>
    <n v="0"/>
    <n v="8789"/>
    <n v="9096"/>
    <n v="1"/>
    <s v="No"/>
    <n v="0"/>
    <n v="14"/>
    <n v="3"/>
    <n v="1"/>
    <n v="0"/>
    <n v="10"/>
    <n v="3"/>
    <n v="4"/>
    <n v="10"/>
    <n v="7"/>
    <n v="0"/>
    <n v="8"/>
  </r>
  <r>
    <n v="29"/>
    <x v="0"/>
    <n v="1"/>
    <s v="Travel_Rarely"/>
    <n v="0"/>
    <n v="1"/>
    <n v="896"/>
    <s v="Research &amp; Development"/>
    <n v="1"/>
    <n v="0"/>
    <n v="18"/>
    <n v="1"/>
    <s v="Medical"/>
    <n v="0"/>
    <n v="0"/>
    <n v="1"/>
    <n v="0"/>
    <n v="0"/>
    <n v="3"/>
    <x v="1"/>
    <n v="0"/>
    <n v="86"/>
    <n v="2"/>
    <n v="1"/>
    <s v="Research Scientist"/>
    <n v="0"/>
    <n v="0"/>
    <n v="0"/>
    <n v="0"/>
    <n v="0"/>
    <n v="0"/>
    <n v="0"/>
    <n v="1"/>
    <x v="0"/>
    <s v="Single"/>
    <n v="1"/>
    <n v="0"/>
    <n v="2389"/>
    <n v="14961"/>
    <n v="1"/>
    <s v="Yes"/>
    <n v="1"/>
    <n v="13"/>
    <n v="3"/>
    <n v="3"/>
    <n v="0"/>
    <n v="4"/>
    <n v="3"/>
    <n v="2"/>
    <n v="4"/>
    <n v="3"/>
    <n v="0"/>
    <n v="1"/>
  </r>
  <r>
    <n v="52"/>
    <x v="1"/>
    <n v="0"/>
    <s v="Travel_Rarely"/>
    <n v="0"/>
    <n v="1"/>
    <n v="1323"/>
    <s v="Research &amp; Development"/>
    <n v="1"/>
    <n v="0"/>
    <n v="2"/>
    <n v="3"/>
    <s v="Life Sciences"/>
    <n v="1"/>
    <n v="0"/>
    <n v="0"/>
    <n v="0"/>
    <n v="0"/>
    <n v="3"/>
    <x v="0"/>
    <n v="1"/>
    <n v="89"/>
    <n v="2"/>
    <n v="1"/>
    <s v="Laboratory Technician"/>
    <n v="0"/>
    <n v="0"/>
    <n v="1"/>
    <n v="0"/>
    <n v="0"/>
    <n v="0"/>
    <n v="0"/>
    <n v="0"/>
    <x v="0"/>
    <s v="Single"/>
    <n v="1"/>
    <n v="0"/>
    <n v="3212"/>
    <n v="3300"/>
    <n v="7"/>
    <s v="No"/>
    <n v="0"/>
    <n v="15"/>
    <n v="3"/>
    <n v="2"/>
    <n v="0"/>
    <n v="6"/>
    <n v="3"/>
    <n v="2"/>
    <n v="2"/>
    <n v="2"/>
    <n v="2"/>
    <n v="2"/>
  </r>
  <r>
    <n v="42"/>
    <x v="1"/>
    <n v="0"/>
    <s v="Travel_Rarely"/>
    <n v="0"/>
    <n v="1"/>
    <n v="532"/>
    <s v="Research &amp; Development"/>
    <n v="1"/>
    <n v="0"/>
    <n v="4"/>
    <n v="2"/>
    <s v="Technical Degree"/>
    <n v="0"/>
    <n v="0"/>
    <n v="0"/>
    <n v="0"/>
    <n v="1"/>
    <n v="3"/>
    <x v="1"/>
    <n v="0"/>
    <n v="58"/>
    <n v="3"/>
    <n v="5"/>
    <s v="Manager"/>
    <n v="0"/>
    <n v="0"/>
    <n v="0"/>
    <n v="1"/>
    <n v="0"/>
    <n v="0"/>
    <n v="0"/>
    <n v="0"/>
    <x v="0"/>
    <s v="Married"/>
    <n v="0"/>
    <n v="1"/>
    <n v="19232"/>
    <n v="4933"/>
    <n v="1"/>
    <s v="No"/>
    <n v="0"/>
    <n v="11"/>
    <n v="3"/>
    <n v="4"/>
    <n v="0"/>
    <n v="22"/>
    <n v="3"/>
    <n v="3"/>
    <n v="22"/>
    <n v="17"/>
    <n v="11"/>
    <n v="15"/>
  </r>
  <r>
    <n v="59"/>
    <x v="1"/>
    <n v="0"/>
    <s v="Travel_Rarely"/>
    <n v="0"/>
    <n v="1"/>
    <n v="818"/>
    <s v="Human Resources"/>
    <n v="0"/>
    <n v="0"/>
    <n v="6"/>
    <n v="2"/>
    <s v="Medical"/>
    <n v="0"/>
    <n v="0"/>
    <n v="1"/>
    <n v="0"/>
    <n v="0"/>
    <n v="2"/>
    <x v="1"/>
    <n v="0"/>
    <n v="52"/>
    <n v="3"/>
    <n v="1"/>
    <s v="Human Resources"/>
    <n v="0"/>
    <n v="0"/>
    <n v="0"/>
    <n v="0"/>
    <n v="0"/>
    <n v="0"/>
    <n v="0"/>
    <n v="0"/>
    <x v="2"/>
    <s v="Married"/>
    <n v="0"/>
    <n v="1"/>
    <n v="2267"/>
    <n v="25657"/>
    <n v="8"/>
    <s v="No"/>
    <n v="0"/>
    <n v="17"/>
    <n v="3"/>
    <n v="4"/>
    <n v="0"/>
    <n v="7"/>
    <n v="2"/>
    <n v="2"/>
    <n v="2"/>
    <n v="2"/>
    <n v="2"/>
    <n v="2"/>
  </r>
  <r>
    <n v="50"/>
    <x v="1"/>
    <n v="0"/>
    <s v="Travel_Rarely"/>
    <n v="0"/>
    <n v="1"/>
    <n v="854"/>
    <s v="Sales"/>
    <n v="0"/>
    <n v="1"/>
    <n v="1"/>
    <n v="4"/>
    <s v="Medical"/>
    <n v="0"/>
    <n v="0"/>
    <n v="1"/>
    <n v="0"/>
    <n v="0"/>
    <n v="4"/>
    <x v="0"/>
    <n v="1"/>
    <n v="68"/>
    <n v="3"/>
    <n v="5"/>
    <s v="Manager"/>
    <n v="0"/>
    <n v="0"/>
    <n v="0"/>
    <n v="1"/>
    <n v="0"/>
    <n v="0"/>
    <n v="0"/>
    <n v="0"/>
    <x v="0"/>
    <s v="Divorced"/>
    <n v="0"/>
    <n v="0"/>
    <n v="19517"/>
    <n v="24118"/>
    <n v="3"/>
    <s v="No"/>
    <n v="0"/>
    <n v="11"/>
    <n v="3"/>
    <n v="3"/>
    <n v="1"/>
    <n v="32"/>
    <n v="3"/>
    <n v="2"/>
    <n v="7"/>
    <n v="0"/>
    <n v="0"/>
    <n v="6"/>
  </r>
  <r>
    <n v="33"/>
    <x v="0"/>
    <n v="1"/>
    <s v="Travel_Rarely"/>
    <n v="0"/>
    <n v="1"/>
    <n v="813"/>
    <s v="Research &amp; Development"/>
    <n v="1"/>
    <n v="0"/>
    <n v="14"/>
    <n v="3"/>
    <s v="Medical"/>
    <n v="0"/>
    <n v="0"/>
    <n v="1"/>
    <n v="0"/>
    <n v="0"/>
    <n v="3"/>
    <x v="1"/>
    <n v="0"/>
    <n v="58"/>
    <n v="3"/>
    <n v="1"/>
    <s v="Laboratory Technician"/>
    <n v="0"/>
    <n v="0"/>
    <n v="1"/>
    <n v="0"/>
    <n v="0"/>
    <n v="0"/>
    <n v="0"/>
    <n v="0"/>
    <x v="0"/>
    <s v="Married"/>
    <n v="0"/>
    <n v="1"/>
    <n v="2436"/>
    <n v="22149"/>
    <n v="5"/>
    <s v="Yes"/>
    <n v="1"/>
    <n v="13"/>
    <n v="3"/>
    <n v="3"/>
    <n v="1"/>
    <n v="8"/>
    <n v="2"/>
    <n v="1"/>
    <n v="5"/>
    <n v="4"/>
    <n v="0"/>
    <n v="4"/>
  </r>
  <r>
    <n v="43"/>
    <x v="1"/>
    <n v="0"/>
    <s v="Travel_Rarely"/>
    <n v="0"/>
    <n v="1"/>
    <n v="1034"/>
    <s v="Sales"/>
    <n v="0"/>
    <n v="1"/>
    <n v="16"/>
    <n v="3"/>
    <s v="Marketing"/>
    <n v="0"/>
    <n v="0"/>
    <n v="0"/>
    <n v="1"/>
    <n v="0"/>
    <n v="4"/>
    <x v="0"/>
    <n v="1"/>
    <n v="80"/>
    <n v="3"/>
    <n v="4"/>
    <s v="Manager"/>
    <n v="0"/>
    <n v="0"/>
    <n v="0"/>
    <n v="1"/>
    <n v="0"/>
    <n v="0"/>
    <n v="0"/>
    <n v="0"/>
    <x v="0"/>
    <s v="Married"/>
    <n v="0"/>
    <n v="1"/>
    <n v="16064"/>
    <n v="7744"/>
    <n v="5"/>
    <s v="Yes"/>
    <n v="1"/>
    <n v="22"/>
    <n v="4"/>
    <n v="3"/>
    <n v="1"/>
    <n v="22"/>
    <n v="3"/>
    <n v="3"/>
    <n v="17"/>
    <n v="13"/>
    <n v="1"/>
    <n v="9"/>
  </r>
  <r>
    <n v="33"/>
    <x v="0"/>
    <n v="1"/>
    <s v="Travel_Rarely"/>
    <n v="0"/>
    <n v="1"/>
    <n v="465"/>
    <s v="Research &amp; Development"/>
    <n v="1"/>
    <n v="0"/>
    <n v="2"/>
    <n v="2"/>
    <s v="Life Sciences"/>
    <n v="1"/>
    <n v="0"/>
    <n v="0"/>
    <n v="0"/>
    <n v="0"/>
    <n v="1"/>
    <x v="0"/>
    <n v="1"/>
    <n v="39"/>
    <n v="3"/>
    <n v="1"/>
    <s v="Laboratory Technician"/>
    <n v="0"/>
    <n v="0"/>
    <n v="1"/>
    <n v="0"/>
    <n v="0"/>
    <n v="0"/>
    <n v="0"/>
    <n v="0"/>
    <x v="3"/>
    <s v="Married"/>
    <n v="0"/>
    <n v="1"/>
    <n v="2707"/>
    <n v="21509"/>
    <n v="7"/>
    <s v="No"/>
    <n v="0"/>
    <n v="20"/>
    <n v="4"/>
    <n v="1"/>
    <n v="0"/>
    <n v="13"/>
    <n v="3"/>
    <n v="4"/>
    <n v="9"/>
    <n v="7"/>
    <n v="1"/>
    <n v="7"/>
  </r>
  <r>
    <n v="52"/>
    <x v="1"/>
    <n v="0"/>
    <s v="Non-Travel"/>
    <n v="0"/>
    <n v="0"/>
    <n v="771"/>
    <s v="Sales"/>
    <n v="0"/>
    <n v="1"/>
    <n v="2"/>
    <n v="4"/>
    <s v="Life Sciences"/>
    <n v="1"/>
    <n v="0"/>
    <n v="0"/>
    <n v="0"/>
    <n v="0"/>
    <n v="1"/>
    <x v="1"/>
    <n v="0"/>
    <n v="79"/>
    <n v="2"/>
    <n v="5"/>
    <s v="Manager"/>
    <n v="0"/>
    <n v="0"/>
    <n v="0"/>
    <n v="1"/>
    <n v="0"/>
    <n v="0"/>
    <n v="0"/>
    <n v="0"/>
    <x v="2"/>
    <s v="Single"/>
    <n v="1"/>
    <n v="0"/>
    <n v="19068"/>
    <n v="21030"/>
    <n v="1"/>
    <s v="Yes"/>
    <n v="1"/>
    <n v="18"/>
    <n v="3"/>
    <n v="4"/>
    <n v="0"/>
    <n v="33"/>
    <n v="2"/>
    <n v="4"/>
    <n v="33"/>
    <n v="7"/>
    <n v="15"/>
    <n v="12"/>
  </r>
  <r>
    <n v="32"/>
    <x v="1"/>
    <n v="0"/>
    <s v="Travel_Rarely"/>
    <n v="0"/>
    <n v="1"/>
    <n v="1401"/>
    <s v="Sales"/>
    <n v="0"/>
    <n v="1"/>
    <n v="4"/>
    <n v="2"/>
    <s v="Life Sciences"/>
    <n v="1"/>
    <n v="0"/>
    <n v="0"/>
    <n v="0"/>
    <n v="0"/>
    <n v="3"/>
    <x v="0"/>
    <n v="1"/>
    <n v="56"/>
    <n v="3"/>
    <n v="1"/>
    <s v="Sales Representative"/>
    <n v="0"/>
    <n v="0"/>
    <n v="0"/>
    <n v="0"/>
    <n v="0"/>
    <n v="0"/>
    <n v="1"/>
    <n v="0"/>
    <x v="1"/>
    <s v="Married"/>
    <n v="0"/>
    <n v="1"/>
    <n v="3931"/>
    <n v="20990"/>
    <n v="2"/>
    <s v="No"/>
    <n v="0"/>
    <n v="11"/>
    <n v="3"/>
    <n v="1"/>
    <n v="1"/>
    <n v="6"/>
    <n v="5"/>
    <n v="3"/>
    <n v="4"/>
    <n v="3"/>
    <n v="1"/>
    <n v="2"/>
  </r>
  <r>
    <n v="32"/>
    <x v="0"/>
    <n v="1"/>
    <s v="Travel_Rarely"/>
    <n v="0"/>
    <n v="1"/>
    <n v="515"/>
    <s v="Research &amp; Development"/>
    <n v="1"/>
    <n v="0"/>
    <n v="1"/>
    <n v="3"/>
    <s v="Life Sciences"/>
    <n v="1"/>
    <n v="0"/>
    <n v="0"/>
    <n v="0"/>
    <n v="0"/>
    <n v="4"/>
    <x v="1"/>
    <n v="0"/>
    <n v="62"/>
    <n v="2"/>
    <n v="1"/>
    <s v="Laboratory Technician"/>
    <n v="0"/>
    <n v="0"/>
    <n v="1"/>
    <n v="0"/>
    <n v="0"/>
    <n v="0"/>
    <n v="0"/>
    <n v="0"/>
    <x v="2"/>
    <s v="Single"/>
    <n v="1"/>
    <n v="0"/>
    <n v="3730"/>
    <n v="9571"/>
    <n v="0"/>
    <s v="Yes"/>
    <n v="1"/>
    <n v="14"/>
    <n v="3"/>
    <n v="4"/>
    <n v="0"/>
    <n v="4"/>
    <n v="2"/>
    <n v="1"/>
    <n v="3"/>
    <n v="2"/>
    <n v="1"/>
    <n v="2"/>
  </r>
  <r>
    <n v="39"/>
    <x v="1"/>
    <n v="0"/>
    <s v="Travel_Rarely"/>
    <n v="0"/>
    <n v="1"/>
    <n v="1431"/>
    <s v="Research &amp; Development"/>
    <n v="1"/>
    <n v="0"/>
    <n v="1"/>
    <n v="4"/>
    <s v="Medical"/>
    <n v="0"/>
    <n v="0"/>
    <n v="1"/>
    <n v="0"/>
    <n v="0"/>
    <n v="3"/>
    <x v="0"/>
    <n v="1"/>
    <n v="96"/>
    <n v="3"/>
    <n v="1"/>
    <s v="Laboratory Technician"/>
    <n v="0"/>
    <n v="0"/>
    <n v="1"/>
    <n v="0"/>
    <n v="0"/>
    <n v="0"/>
    <n v="0"/>
    <n v="0"/>
    <x v="2"/>
    <s v="Divorced"/>
    <n v="0"/>
    <n v="0"/>
    <n v="2232"/>
    <n v="15417"/>
    <n v="7"/>
    <s v="No"/>
    <n v="0"/>
    <n v="14"/>
    <n v="3"/>
    <n v="3"/>
    <n v="3"/>
    <n v="7"/>
    <n v="1"/>
    <n v="3"/>
    <n v="3"/>
    <n v="2"/>
    <n v="1"/>
    <n v="2"/>
  </r>
  <r>
    <n v="32"/>
    <x v="1"/>
    <n v="0"/>
    <s v="Non-Travel"/>
    <n v="0"/>
    <n v="0"/>
    <n v="976"/>
    <s v="Sales"/>
    <n v="0"/>
    <n v="1"/>
    <n v="26"/>
    <n v="4"/>
    <s v="Marketing"/>
    <n v="0"/>
    <n v="0"/>
    <n v="0"/>
    <n v="1"/>
    <n v="0"/>
    <n v="3"/>
    <x v="1"/>
    <n v="0"/>
    <n v="100"/>
    <n v="3"/>
    <n v="2"/>
    <s v="Sales Executive"/>
    <n v="0"/>
    <n v="1"/>
    <n v="0"/>
    <n v="0"/>
    <n v="0"/>
    <n v="0"/>
    <n v="0"/>
    <n v="0"/>
    <x v="0"/>
    <s v="Married"/>
    <n v="0"/>
    <n v="1"/>
    <n v="4465"/>
    <n v="12069"/>
    <n v="0"/>
    <s v="No"/>
    <n v="0"/>
    <n v="18"/>
    <n v="3"/>
    <n v="1"/>
    <n v="0"/>
    <n v="4"/>
    <n v="2"/>
    <n v="3"/>
    <n v="3"/>
    <n v="2"/>
    <n v="2"/>
    <n v="2"/>
  </r>
  <r>
    <n v="41"/>
    <x v="1"/>
    <n v="0"/>
    <s v="Travel_Rarely"/>
    <n v="0"/>
    <n v="1"/>
    <n v="1411"/>
    <s v="Research &amp; Development"/>
    <n v="1"/>
    <n v="0"/>
    <n v="19"/>
    <n v="2"/>
    <s v="Life Sciences"/>
    <n v="1"/>
    <n v="0"/>
    <n v="0"/>
    <n v="0"/>
    <n v="0"/>
    <n v="3"/>
    <x v="1"/>
    <n v="0"/>
    <n v="36"/>
    <n v="3"/>
    <n v="2"/>
    <s v="Research Scientist"/>
    <n v="0"/>
    <n v="0"/>
    <n v="0"/>
    <n v="0"/>
    <n v="0"/>
    <n v="0"/>
    <n v="0"/>
    <n v="1"/>
    <x v="3"/>
    <s v="Divorced"/>
    <n v="0"/>
    <n v="0"/>
    <n v="3072"/>
    <n v="19877"/>
    <n v="2"/>
    <s v="No"/>
    <n v="0"/>
    <n v="16"/>
    <n v="3"/>
    <n v="1"/>
    <n v="2"/>
    <n v="17"/>
    <n v="2"/>
    <n v="2"/>
    <n v="1"/>
    <n v="0"/>
    <n v="0"/>
    <n v="0"/>
  </r>
  <r>
    <n v="40"/>
    <x v="1"/>
    <n v="0"/>
    <s v="Travel_Rarely"/>
    <n v="0"/>
    <n v="1"/>
    <n v="1300"/>
    <s v="Research &amp; Development"/>
    <n v="1"/>
    <n v="0"/>
    <n v="24"/>
    <n v="2"/>
    <s v="Technical Degree"/>
    <n v="0"/>
    <n v="0"/>
    <n v="0"/>
    <n v="0"/>
    <n v="1"/>
    <n v="1"/>
    <x v="1"/>
    <n v="0"/>
    <n v="62"/>
    <n v="3"/>
    <n v="2"/>
    <s v="Research Scientist"/>
    <n v="0"/>
    <n v="0"/>
    <n v="0"/>
    <n v="0"/>
    <n v="0"/>
    <n v="0"/>
    <n v="0"/>
    <n v="1"/>
    <x v="0"/>
    <s v="Divorced"/>
    <n v="0"/>
    <n v="0"/>
    <n v="3319"/>
    <n v="24447"/>
    <n v="1"/>
    <s v="No"/>
    <n v="0"/>
    <n v="17"/>
    <n v="3"/>
    <n v="1"/>
    <n v="2"/>
    <n v="9"/>
    <n v="3"/>
    <n v="3"/>
    <n v="9"/>
    <n v="8"/>
    <n v="4"/>
    <n v="7"/>
  </r>
  <r>
    <n v="45"/>
    <x v="1"/>
    <n v="0"/>
    <s v="Travel_Rarely"/>
    <n v="0"/>
    <n v="1"/>
    <n v="252"/>
    <s v="Research &amp; Development"/>
    <n v="1"/>
    <n v="0"/>
    <n v="1"/>
    <n v="3"/>
    <s v="Other"/>
    <n v="0"/>
    <n v="1"/>
    <n v="0"/>
    <n v="0"/>
    <n v="0"/>
    <n v="3"/>
    <x v="1"/>
    <n v="0"/>
    <n v="70"/>
    <n v="4"/>
    <n v="5"/>
    <s v="Manager"/>
    <n v="0"/>
    <n v="0"/>
    <n v="0"/>
    <n v="1"/>
    <n v="0"/>
    <n v="0"/>
    <n v="0"/>
    <n v="0"/>
    <x v="0"/>
    <s v="Married"/>
    <n v="0"/>
    <n v="1"/>
    <n v="19202"/>
    <n v="15970"/>
    <n v="0"/>
    <s v="No"/>
    <n v="0"/>
    <n v="11"/>
    <n v="3"/>
    <n v="3"/>
    <n v="1"/>
    <n v="25"/>
    <n v="2"/>
    <n v="3"/>
    <n v="24"/>
    <n v="0"/>
    <n v="1"/>
    <n v="7"/>
  </r>
  <r>
    <n v="31"/>
    <x v="1"/>
    <n v="0"/>
    <s v="Travel_Frequently"/>
    <n v="1"/>
    <n v="0"/>
    <n v="1327"/>
    <s v="Research &amp; Development"/>
    <n v="1"/>
    <n v="0"/>
    <n v="3"/>
    <n v="4"/>
    <s v="Medical"/>
    <n v="0"/>
    <n v="0"/>
    <n v="1"/>
    <n v="0"/>
    <n v="0"/>
    <n v="2"/>
    <x v="1"/>
    <n v="0"/>
    <n v="73"/>
    <n v="3"/>
    <n v="3"/>
    <s v="Research Director"/>
    <n v="0"/>
    <n v="0"/>
    <n v="0"/>
    <n v="0"/>
    <n v="0"/>
    <n v="0"/>
    <n v="0"/>
    <n v="0"/>
    <x v="2"/>
    <s v="Divorced"/>
    <n v="0"/>
    <n v="0"/>
    <n v="13675"/>
    <n v="13523"/>
    <n v="9"/>
    <s v="No"/>
    <n v="0"/>
    <n v="12"/>
    <n v="3"/>
    <n v="1"/>
    <n v="1"/>
    <n v="9"/>
    <n v="3"/>
    <n v="3"/>
    <n v="2"/>
    <n v="2"/>
    <n v="2"/>
    <n v="2"/>
  </r>
  <r>
    <n v="33"/>
    <x v="1"/>
    <n v="0"/>
    <s v="Travel_Rarely"/>
    <n v="0"/>
    <n v="1"/>
    <n v="832"/>
    <s v="Research &amp; Development"/>
    <n v="1"/>
    <n v="0"/>
    <n v="5"/>
    <n v="4"/>
    <s v="Life Sciences"/>
    <n v="1"/>
    <n v="0"/>
    <n v="0"/>
    <n v="0"/>
    <n v="0"/>
    <n v="3"/>
    <x v="0"/>
    <n v="1"/>
    <n v="63"/>
    <n v="2"/>
    <n v="1"/>
    <s v="Research Scientist"/>
    <n v="0"/>
    <n v="0"/>
    <n v="0"/>
    <n v="0"/>
    <n v="0"/>
    <n v="0"/>
    <n v="0"/>
    <n v="1"/>
    <x v="0"/>
    <s v="Married"/>
    <n v="0"/>
    <n v="1"/>
    <n v="2911"/>
    <n v="14776"/>
    <n v="1"/>
    <s v="No"/>
    <n v="0"/>
    <n v="13"/>
    <n v="3"/>
    <n v="3"/>
    <n v="1"/>
    <n v="2"/>
    <n v="2"/>
    <n v="2"/>
    <n v="2"/>
    <n v="2"/>
    <n v="0"/>
    <n v="2"/>
  </r>
  <r>
    <n v="34"/>
    <x v="1"/>
    <n v="0"/>
    <s v="Travel_Rarely"/>
    <n v="0"/>
    <n v="1"/>
    <n v="470"/>
    <s v="Research &amp; Development"/>
    <n v="1"/>
    <n v="0"/>
    <n v="2"/>
    <n v="4"/>
    <s v="Life Sciences"/>
    <n v="1"/>
    <n v="0"/>
    <n v="0"/>
    <n v="0"/>
    <n v="0"/>
    <n v="4"/>
    <x v="1"/>
    <n v="0"/>
    <n v="84"/>
    <n v="2"/>
    <n v="2"/>
    <s v="Manufacturing Director"/>
    <n v="0"/>
    <n v="0"/>
    <n v="0"/>
    <n v="0"/>
    <n v="1"/>
    <n v="1"/>
    <n v="0"/>
    <n v="0"/>
    <x v="3"/>
    <s v="Married"/>
    <n v="0"/>
    <n v="1"/>
    <n v="5957"/>
    <n v="23687"/>
    <n v="6"/>
    <s v="No"/>
    <n v="0"/>
    <n v="13"/>
    <n v="3"/>
    <n v="2"/>
    <n v="1"/>
    <n v="13"/>
    <n v="3"/>
    <n v="3"/>
    <n v="11"/>
    <n v="9"/>
    <n v="5"/>
    <n v="9"/>
  </r>
  <r>
    <n v="37"/>
    <x v="1"/>
    <n v="0"/>
    <s v="Travel_Rarely"/>
    <n v="0"/>
    <n v="1"/>
    <n v="1017"/>
    <s v="Research &amp; Development"/>
    <n v="1"/>
    <n v="0"/>
    <n v="1"/>
    <n v="2"/>
    <s v="Medical"/>
    <n v="0"/>
    <n v="0"/>
    <n v="1"/>
    <n v="0"/>
    <n v="0"/>
    <n v="3"/>
    <x v="0"/>
    <n v="1"/>
    <n v="83"/>
    <n v="2"/>
    <n v="1"/>
    <s v="Research Scientist"/>
    <n v="0"/>
    <n v="0"/>
    <n v="0"/>
    <n v="0"/>
    <n v="0"/>
    <n v="0"/>
    <n v="0"/>
    <n v="1"/>
    <x v="3"/>
    <s v="Married"/>
    <n v="0"/>
    <n v="1"/>
    <n v="3920"/>
    <n v="18697"/>
    <n v="2"/>
    <s v="No"/>
    <n v="0"/>
    <n v="14"/>
    <n v="3"/>
    <n v="1"/>
    <n v="1"/>
    <n v="17"/>
    <n v="2"/>
    <n v="2"/>
    <n v="3"/>
    <n v="1"/>
    <n v="0"/>
    <n v="2"/>
  </r>
  <r>
    <n v="45"/>
    <x v="1"/>
    <n v="0"/>
    <s v="Travel_Frequently"/>
    <n v="1"/>
    <n v="0"/>
    <n v="1199"/>
    <s v="Research &amp; Development"/>
    <n v="1"/>
    <n v="0"/>
    <n v="7"/>
    <n v="4"/>
    <s v="Life Sciences"/>
    <n v="1"/>
    <n v="0"/>
    <n v="0"/>
    <n v="0"/>
    <n v="0"/>
    <n v="1"/>
    <x v="1"/>
    <n v="0"/>
    <n v="77"/>
    <n v="4"/>
    <n v="2"/>
    <s v="Manufacturing Director"/>
    <n v="0"/>
    <n v="0"/>
    <n v="0"/>
    <n v="0"/>
    <n v="1"/>
    <n v="1"/>
    <n v="0"/>
    <n v="0"/>
    <x v="2"/>
    <s v="Married"/>
    <n v="0"/>
    <n v="1"/>
    <n v="6434"/>
    <n v="5118"/>
    <n v="4"/>
    <s v="No"/>
    <n v="0"/>
    <n v="17"/>
    <n v="3"/>
    <n v="4"/>
    <n v="1"/>
    <n v="9"/>
    <n v="1"/>
    <n v="3"/>
    <n v="3"/>
    <n v="2"/>
    <n v="0"/>
    <n v="2"/>
  </r>
  <r>
    <n v="37"/>
    <x v="0"/>
    <n v="1"/>
    <s v="Travel_Frequently"/>
    <n v="1"/>
    <n v="0"/>
    <n v="504"/>
    <s v="Research &amp; Development"/>
    <n v="1"/>
    <n v="0"/>
    <n v="10"/>
    <n v="3"/>
    <s v="Medical"/>
    <n v="0"/>
    <n v="0"/>
    <n v="1"/>
    <n v="0"/>
    <n v="0"/>
    <n v="1"/>
    <x v="1"/>
    <n v="0"/>
    <n v="61"/>
    <n v="3"/>
    <n v="3"/>
    <s v="Manufacturing Director"/>
    <n v="0"/>
    <n v="0"/>
    <n v="0"/>
    <n v="0"/>
    <n v="1"/>
    <n v="1"/>
    <n v="0"/>
    <n v="0"/>
    <x v="2"/>
    <s v="Divorced"/>
    <n v="0"/>
    <n v="0"/>
    <n v="10048"/>
    <n v="22573"/>
    <n v="6"/>
    <s v="No"/>
    <n v="0"/>
    <n v="11"/>
    <n v="3"/>
    <n v="2"/>
    <n v="2"/>
    <n v="17"/>
    <n v="5"/>
    <n v="3"/>
    <n v="1"/>
    <n v="0"/>
    <n v="0"/>
    <n v="0"/>
  </r>
  <r>
    <n v="39"/>
    <x v="1"/>
    <n v="0"/>
    <s v="Travel_Frequently"/>
    <n v="1"/>
    <n v="0"/>
    <n v="505"/>
    <s v="Research &amp; Development"/>
    <n v="1"/>
    <n v="0"/>
    <n v="2"/>
    <n v="4"/>
    <s v="Technical Degree"/>
    <n v="0"/>
    <n v="0"/>
    <n v="0"/>
    <n v="0"/>
    <n v="1"/>
    <n v="3"/>
    <x v="0"/>
    <n v="1"/>
    <n v="64"/>
    <n v="3"/>
    <n v="3"/>
    <s v="Healthcare Representative"/>
    <n v="1"/>
    <n v="0"/>
    <n v="0"/>
    <n v="0"/>
    <n v="0"/>
    <n v="0"/>
    <n v="0"/>
    <n v="0"/>
    <x v="2"/>
    <s v="Single"/>
    <n v="1"/>
    <n v="0"/>
    <n v="10938"/>
    <n v="6420"/>
    <n v="0"/>
    <s v="No"/>
    <n v="0"/>
    <n v="25"/>
    <n v="4"/>
    <n v="4"/>
    <n v="0"/>
    <n v="20"/>
    <n v="1"/>
    <n v="3"/>
    <n v="19"/>
    <n v="6"/>
    <n v="11"/>
    <n v="8"/>
  </r>
  <r>
    <n v="29"/>
    <x v="1"/>
    <n v="0"/>
    <s v="Travel_Rarely"/>
    <n v="0"/>
    <n v="1"/>
    <n v="665"/>
    <s v="Research &amp; Development"/>
    <n v="1"/>
    <n v="0"/>
    <n v="15"/>
    <n v="3"/>
    <s v="Life Sciences"/>
    <n v="1"/>
    <n v="0"/>
    <n v="0"/>
    <n v="0"/>
    <n v="0"/>
    <n v="3"/>
    <x v="1"/>
    <n v="0"/>
    <n v="60"/>
    <n v="3"/>
    <n v="1"/>
    <s v="Research Scientist"/>
    <n v="0"/>
    <n v="0"/>
    <n v="0"/>
    <n v="0"/>
    <n v="0"/>
    <n v="0"/>
    <n v="0"/>
    <n v="1"/>
    <x v="0"/>
    <s v="Single"/>
    <n v="1"/>
    <n v="0"/>
    <n v="2340"/>
    <n v="22673"/>
    <n v="1"/>
    <s v="No"/>
    <n v="0"/>
    <n v="19"/>
    <n v="3"/>
    <n v="1"/>
    <n v="0"/>
    <n v="6"/>
    <n v="1"/>
    <n v="3"/>
    <n v="6"/>
    <n v="5"/>
    <n v="1"/>
    <n v="5"/>
  </r>
  <r>
    <n v="42"/>
    <x v="1"/>
    <n v="0"/>
    <s v="Travel_Rarely"/>
    <n v="0"/>
    <n v="1"/>
    <n v="916"/>
    <s v="Research &amp; Development"/>
    <n v="1"/>
    <n v="0"/>
    <n v="17"/>
    <n v="2"/>
    <s v="Life Sciences"/>
    <n v="1"/>
    <n v="0"/>
    <n v="0"/>
    <n v="0"/>
    <n v="0"/>
    <n v="4"/>
    <x v="0"/>
    <n v="1"/>
    <n v="82"/>
    <n v="4"/>
    <n v="2"/>
    <s v="Research Scientist"/>
    <n v="0"/>
    <n v="0"/>
    <n v="0"/>
    <n v="0"/>
    <n v="0"/>
    <n v="0"/>
    <n v="0"/>
    <n v="1"/>
    <x v="3"/>
    <s v="Single"/>
    <n v="1"/>
    <n v="0"/>
    <n v="6545"/>
    <n v="23016"/>
    <n v="3"/>
    <s v="Yes"/>
    <n v="1"/>
    <n v="13"/>
    <n v="3"/>
    <n v="3"/>
    <n v="0"/>
    <n v="10"/>
    <n v="1"/>
    <n v="3"/>
    <n v="3"/>
    <n v="2"/>
    <n v="0"/>
    <n v="2"/>
  </r>
  <r>
    <n v="29"/>
    <x v="1"/>
    <n v="0"/>
    <s v="Travel_Rarely"/>
    <n v="0"/>
    <n v="1"/>
    <n v="1247"/>
    <s v="Sales"/>
    <n v="0"/>
    <n v="1"/>
    <n v="20"/>
    <n v="2"/>
    <s v="Marketing"/>
    <n v="0"/>
    <n v="0"/>
    <n v="0"/>
    <n v="1"/>
    <n v="0"/>
    <n v="4"/>
    <x v="1"/>
    <n v="0"/>
    <n v="45"/>
    <n v="3"/>
    <n v="2"/>
    <s v="Sales Executive"/>
    <n v="0"/>
    <n v="1"/>
    <n v="0"/>
    <n v="0"/>
    <n v="0"/>
    <n v="0"/>
    <n v="0"/>
    <n v="0"/>
    <x v="0"/>
    <s v="Divorced"/>
    <n v="0"/>
    <n v="0"/>
    <n v="6931"/>
    <n v="10732"/>
    <n v="2"/>
    <s v="No"/>
    <n v="0"/>
    <n v="14"/>
    <n v="3"/>
    <n v="4"/>
    <n v="1"/>
    <n v="10"/>
    <n v="2"/>
    <n v="3"/>
    <n v="3"/>
    <n v="2"/>
    <n v="0"/>
    <n v="2"/>
  </r>
  <r>
    <n v="25"/>
    <x v="1"/>
    <n v="0"/>
    <s v="Travel_Rarely"/>
    <n v="0"/>
    <n v="1"/>
    <n v="685"/>
    <s v="Research &amp; Development"/>
    <n v="1"/>
    <n v="0"/>
    <n v="1"/>
    <n v="3"/>
    <s v="Life Sciences"/>
    <n v="1"/>
    <n v="0"/>
    <n v="0"/>
    <n v="0"/>
    <n v="0"/>
    <n v="1"/>
    <x v="0"/>
    <n v="1"/>
    <n v="62"/>
    <n v="3"/>
    <n v="2"/>
    <s v="Manufacturing Director"/>
    <n v="0"/>
    <n v="0"/>
    <n v="0"/>
    <n v="0"/>
    <n v="1"/>
    <n v="1"/>
    <n v="0"/>
    <n v="0"/>
    <x v="2"/>
    <s v="Married"/>
    <n v="0"/>
    <n v="1"/>
    <n v="4898"/>
    <n v="7505"/>
    <n v="0"/>
    <s v="No"/>
    <n v="0"/>
    <n v="12"/>
    <n v="3"/>
    <n v="4"/>
    <n v="2"/>
    <n v="5"/>
    <n v="3"/>
    <n v="3"/>
    <n v="4"/>
    <n v="2"/>
    <n v="1"/>
    <n v="2"/>
  </r>
  <r>
    <n v="42"/>
    <x v="1"/>
    <n v="0"/>
    <s v="Travel_Rarely"/>
    <n v="0"/>
    <n v="1"/>
    <n v="269"/>
    <s v="Research &amp; Development"/>
    <n v="1"/>
    <n v="0"/>
    <n v="2"/>
    <n v="3"/>
    <s v="Medical"/>
    <n v="0"/>
    <n v="0"/>
    <n v="1"/>
    <n v="0"/>
    <n v="0"/>
    <n v="4"/>
    <x v="0"/>
    <n v="1"/>
    <n v="56"/>
    <n v="2"/>
    <n v="1"/>
    <s v="Laboratory Technician"/>
    <n v="0"/>
    <n v="0"/>
    <n v="1"/>
    <n v="0"/>
    <n v="0"/>
    <n v="0"/>
    <n v="0"/>
    <n v="0"/>
    <x v="3"/>
    <s v="Divorced"/>
    <n v="0"/>
    <n v="0"/>
    <n v="2593"/>
    <n v="8007"/>
    <n v="0"/>
    <s v="Yes"/>
    <n v="1"/>
    <n v="11"/>
    <n v="3"/>
    <n v="3"/>
    <n v="1"/>
    <n v="10"/>
    <n v="4"/>
    <n v="3"/>
    <n v="9"/>
    <n v="6"/>
    <n v="7"/>
    <n v="8"/>
  </r>
  <r>
    <n v="40"/>
    <x v="1"/>
    <n v="0"/>
    <s v="Travel_Rarely"/>
    <n v="0"/>
    <n v="1"/>
    <n v="1416"/>
    <s v="Research &amp; Development"/>
    <n v="1"/>
    <n v="0"/>
    <n v="2"/>
    <n v="2"/>
    <s v="Medical"/>
    <n v="0"/>
    <n v="0"/>
    <n v="1"/>
    <n v="0"/>
    <n v="0"/>
    <n v="1"/>
    <x v="1"/>
    <n v="0"/>
    <n v="49"/>
    <n v="3"/>
    <n v="5"/>
    <s v="Research Director"/>
    <n v="0"/>
    <n v="0"/>
    <n v="0"/>
    <n v="0"/>
    <n v="0"/>
    <n v="0"/>
    <n v="0"/>
    <n v="0"/>
    <x v="2"/>
    <s v="Divorced"/>
    <n v="0"/>
    <n v="0"/>
    <n v="19436"/>
    <n v="5949"/>
    <n v="0"/>
    <s v="No"/>
    <n v="0"/>
    <n v="19"/>
    <n v="3"/>
    <n v="4"/>
    <n v="1"/>
    <n v="22"/>
    <n v="5"/>
    <n v="3"/>
    <n v="21"/>
    <n v="7"/>
    <n v="3"/>
    <n v="9"/>
  </r>
  <r>
    <n v="51"/>
    <x v="1"/>
    <n v="0"/>
    <s v="Travel_Rarely"/>
    <n v="0"/>
    <n v="1"/>
    <n v="833"/>
    <s v="Research &amp; Development"/>
    <n v="1"/>
    <n v="0"/>
    <n v="1"/>
    <n v="3"/>
    <s v="Life Sciences"/>
    <n v="1"/>
    <n v="0"/>
    <n v="0"/>
    <n v="0"/>
    <n v="0"/>
    <n v="3"/>
    <x v="1"/>
    <n v="0"/>
    <n v="96"/>
    <n v="3"/>
    <n v="1"/>
    <s v="Research Scientist"/>
    <n v="0"/>
    <n v="0"/>
    <n v="0"/>
    <n v="0"/>
    <n v="0"/>
    <n v="0"/>
    <n v="0"/>
    <n v="1"/>
    <x v="0"/>
    <s v="Married"/>
    <n v="0"/>
    <n v="1"/>
    <n v="2723"/>
    <n v="23231"/>
    <n v="1"/>
    <s v="No"/>
    <n v="0"/>
    <n v="11"/>
    <n v="3"/>
    <n v="2"/>
    <n v="0"/>
    <n v="1"/>
    <n v="0"/>
    <n v="2"/>
    <n v="1"/>
    <n v="0"/>
    <n v="0"/>
    <n v="0"/>
  </r>
  <r>
    <n v="31"/>
    <x v="0"/>
    <n v="1"/>
    <s v="Travel_Frequently"/>
    <n v="1"/>
    <n v="0"/>
    <n v="307"/>
    <s v="Research &amp; Development"/>
    <n v="1"/>
    <n v="0"/>
    <n v="29"/>
    <n v="2"/>
    <s v="Medical"/>
    <n v="0"/>
    <n v="0"/>
    <n v="1"/>
    <n v="0"/>
    <n v="0"/>
    <n v="3"/>
    <x v="1"/>
    <n v="0"/>
    <n v="71"/>
    <n v="2"/>
    <n v="1"/>
    <s v="Laboratory Technician"/>
    <n v="0"/>
    <n v="0"/>
    <n v="1"/>
    <n v="0"/>
    <n v="0"/>
    <n v="0"/>
    <n v="0"/>
    <n v="0"/>
    <x v="1"/>
    <s v="Single"/>
    <n v="1"/>
    <n v="0"/>
    <n v="3479"/>
    <n v="11652"/>
    <n v="0"/>
    <s v="No"/>
    <n v="0"/>
    <n v="11"/>
    <n v="3"/>
    <n v="2"/>
    <n v="0"/>
    <n v="6"/>
    <n v="2"/>
    <n v="4"/>
    <n v="5"/>
    <n v="4"/>
    <n v="1"/>
    <n v="4"/>
  </r>
  <r>
    <n v="32"/>
    <x v="1"/>
    <n v="0"/>
    <s v="Travel_Frequently"/>
    <n v="1"/>
    <n v="0"/>
    <n v="1311"/>
    <s v="Research &amp; Development"/>
    <n v="1"/>
    <n v="0"/>
    <n v="7"/>
    <n v="3"/>
    <s v="Life Sciences"/>
    <n v="1"/>
    <n v="0"/>
    <n v="0"/>
    <n v="0"/>
    <n v="0"/>
    <n v="2"/>
    <x v="1"/>
    <n v="0"/>
    <n v="100"/>
    <n v="4"/>
    <n v="1"/>
    <s v="Laboratory Technician"/>
    <n v="0"/>
    <n v="0"/>
    <n v="1"/>
    <n v="0"/>
    <n v="0"/>
    <n v="0"/>
    <n v="0"/>
    <n v="0"/>
    <x v="1"/>
    <s v="Married"/>
    <n v="0"/>
    <n v="1"/>
    <n v="2794"/>
    <n v="26062"/>
    <n v="1"/>
    <s v="No"/>
    <n v="0"/>
    <n v="20"/>
    <n v="4"/>
    <n v="3"/>
    <n v="0"/>
    <n v="5"/>
    <n v="3"/>
    <n v="1"/>
    <n v="5"/>
    <n v="1"/>
    <n v="0"/>
    <n v="3"/>
  </r>
  <r>
    <n v="38"/>
    <x v="1"/>
    <n v="0"/>
    <s v="Non-Travel"/>
    <n v="0"/>
    <n v="0"/>
    <n v="1327"/>
    <s v="Sales"/>
    <n v="0"/>
    <n v="1"/>
    <n v="2"/>
    <n v="2"/>
    <s v="Life Sciences"/>
    <n v="1"/>
    <n v="0"/>
    <n v="0"/>
    <n v="0"/>
    <n v="0"/>
    <n v="4"/>
    <x v="1"/>
    <n v="0"/>
    <n v="39"/>
    <n v="2"/>
    <n v="2"/>
    <s v="Sales Executive"/>
    <n v="0"/>
    <n v="1"/>
    <n v="0"/>
    <n v="0"/>
    <n v="0"/>
    <n v="0"/>
    <n v="0"/>
    <n v="0"/>
    <x v="0"/>
    <s v="Married"/>
    <n v="0"/>
    <n v="1"/>
    <n v="5249"/>
    <n v="19682"/>
    <n v="3"/>
    <s v="No"/>
    <n v="0"/>
    <n v="18"/>
    <n v="3"/>
    <n v="4"/>
    <n v="1"/>
    <n v="13"/>
    <n v="0"/>
    <n v="3"/>
    <n v="8"/>
    <n v="7"/>
    <n v="7"/>
    <n v="5"/>
  </r>
  <r>
    <n v="32"/>
    <x v="1"/>
    <n v="0"/>
    <s v="Travel_Rarely"/>
    <n v="0"/>
    <n v="1"/>
    <n v="128"/>
    <s v="Research &amp; Development"/>
    <n v="1"/>
    <n v="0"/>
    <n v="2"/>
    <n v="1"/>
    <s v="Technical Degree"/>
    <n v="0"/>
    <n v="0"/>
    <n v="0"/>
    <n v="0"/>
    <n v="1"/>
    <n v="4"/>
    <x v="1"/>
    <n v="0"/>
    <n v="84"/>
    <n v="2"/>
    <n v="2"/>
    <s v="Laboratory Technician"/>
    <n v="0"/>
    <n v="0"/>
    <n v="1"/>
    <n v="0"/>
    <n v="0"/>
    <n v="0"/>
    <n v="0"/>
    <n v="0"/>
    <x v="3"/>
    <s v="Single"/>
    <n v="1"/>
    <n v="0"/>
    <n v="2176"/>
    <n v="19737"/>
    <n v="4"/>
    <s v="No"/>
    <n v="0"/>
    <n v="13"/>
    <n v="3"/>
    <n v="4"/>
    <n v="0"/>
    <n v="9"/>
    <n v="5"/>
    <n v="3"/>
    <n v="6"/>
    <n v="2"/>
    <n v="0"/>
    <n v="4"/>
  </r>
  <r>
    <n v="46"/>
    <x v="1"/>
    <n v="0"/>
    <s v="Travel_Rarely"/>
    <n v="0"/>
    <n v="1"/>
    <n v="488"/>
    <s v="Sales"/>
    <n v="0"/>
    <n v="1"/>
    <n v="2"/>
    <n v="3"/>
    <s v="Technical Degree"/>
    <n v="0"/>
    <n v="0"/>
    <n v="0"/>
    <n v="0"/>
    <n v="1"/>
    <n v="3"/>
    <x v="0"/>
    <n v="1"/>
    <n v="75"/>
    <n v="1"/>
    <n v="4"/>
    <s v="Manager"/>
    <n v="0"/>
    <n v="0"/>
    <n v="0"/>
    <n v="1"/>
    <n v="0"/>
    <n v="0"/>
    <n v="0"/>
    <n v="0"/>
    <x v="1"/>
    <s v="Married"/>
    <n v="0"/>
    <n v="1"/>
    <n v="16872"/>
    <n v="14977"/>
    <n v="3"/>
    <s v="Yes"/>
    <n v="1"/>
    <n v="12"/>
    <n v="3"/>
    <n v="2"/>
    <n v="1"/>
    <n v="28"/>
    <n v="2"/>
    <n v="2"/>
    <n v="7"/>
    <n v="7"/>
    <n v="7"/>
    <n v="7"/>
  </r>
  <r>
    <n v="28"/>
    <x v="0"/>
    <n v="1"/>
    <s v="Travel_Rarely"/>
    <n v="0"/>
    <n v="1"/>
    <n v="529"/>
    <s v="Research &amp; Development"/>
    <n v="1"/>
    <n v="0"/>
    <n v="2"/>
    <n v="4"/>
    <s v="Life Sciences"/>
    <n v="1"/>
    <n v="0"/>
    <n v="0"/>
    <n v="0"/>
    <n v="0"/>
    <n v="1"/>
    <x v="1"/>
    <n v="0"/>
    <n v="79"/>
    <n v="3"/>
    <n v="1"/>
    <s v="Laboratory Technician"/>
    <n v="0"/>
    <n v="0"/>
    <n v="1"/>
    <n v="0"/>
    <n v="0"/>
    <n v="0"/>
    <n v="0"/>
    <n v="0"/>
    <x v="2"/>
    <s v="Single"/>
    <n v="1"/>
    <n v="0"/>
    <n v="3485"/>
    <n v="14935"/>
    <n v="2"/>
    <s v="No"/>
    <n v="0"/>
    <n v="11"/>
    <n v="3"/>
    <n v="3"/>
    <n v="0"/>
    <n v="5"/>
    <n v="5"/>
    <n v="1"/>
    <n v="0"/>
    <n v="0"/>
    <n v="0"/>
    <n v="0"/>
  </r>
  <r>
    <n v="29"/>
    <x v="1"/>
    <n v="0"/>
    <s v="Travel_Rarely"/>
    <n v="0"/>
    <n v="1"/>
    <n v="1210"/>
    <s v="Sales"/>
    <n v="0"/>
    <n v="1"/>
    <n v="2"/>
    <n v="3"/>
    <s v="Medical"/>
    <n v="0"/>
    <n v="0"/>
    <n v="1"/>
    <n v="0"/>
    <n v="0"/>
    <n v="1"/>
    <x v="1"/>
    <n v="0"/>
    <n v="78"/>
    <n v="2"/>
    <n v="2"/>
    <s v="Sales Executive"/>
    <n v="0"/>
    <n v="1"/>
    <n v="0"/>
    <n v="0"/>
    <n v="0"/>
    <n v="0"/>
    <n v="0"/>
    <n v="0"/>
    <x v="1"/>
    <s v="Married"/>
    <n v="0"/>
    <n v="1"/>
    <n v="6644"/>
    <n v="3687"/>
    <n v="2"/>
    <s v="No"/>
    <n v="0"/>
    <n v="19"/>
    <n v="3"/>
    <n v="2"/>
    <n v="2"/>
    <n v="10"/>
    <n v="2"/>
    <n v="3"/>
    <n v="0"/>
    <n v="0"/>
    <n v="0"/>
    <n v="0"/>
  </r>
  <r>
    <n v="31"/>
    <x v="1"/>
    <n v="0"/>
    <s v="Travel_Rarely"/>
    <n v="0"/>
    <n v="1"/>
    <n v="1463"/>
    <s v="Research &amp; Development"/>
    <n v="1"/>
    <n v="0"/>
    <n v="23"/>
    <n v="3"/>
    <s v="Medical"/>
    <n v="0"/>
    <n v="0"/>
    <n v="1"/>
    <n v="0"/>
    <n v="0"/>
    <n v="2"/>
    <x v="1"/>
    <n v="0"/>
    <n v="64"/>
    <n v="2"/>
    <n v="2"/>
    <s v="Healthcare Representative"/>
    <n v="1"/>
    <n v="0"/>
    <n v="0"/>
    <n v="0"/>
    <n v="0"/>
    <n v="0"/>
    <n v="0"/>
    <n v="0"/>
    <x v="0"/>
    <s v="Married"/>
    <n v="0"/>
    <n v="1"/>
    <n v="5582"/>
    <n v="14408"/>
    <n v="0"/>
    <s v="No"/>
    <n v="0"/>
    <n v="21"/>
    <n v="4"/>
    <n v="2"/>
    <n v="1"/>
    <n v="10"/>
    <n v="2"/>
    <n v="3"/>
    <n v="9"/>
    <n v="0"/>
    <n v="7"/>
    <n v="8"/>
  </r>
  <r>
    <n v="25"/>
    <x v="1"/>
    <n v="0"/>
    <s v="Non-Travel"/>
    <n v="0"/>
    <n v="0"/>
    <n v="675"/>
    <s v="Research &amp; Development"/>
    <n v="1"/>
    <n v="0"/>
    <n v="5"/>
    <n v="2"/>
    <s v="Life Sciences"/>
    <n v="1"/>
    <n v="0"/>
    <n v="0"/>
    <n v="0"/>
    <n v="0"/>
    <n v="2"/>
    <x v="1"/>
    <n v="0"/>
    <n v="85"/>
    <n v="4"/>
    <n v="2"/>
    <s v="Healthcare Representative"/>
    <n v="1"/>
    <n v="0"/>
    <n v="0"/>
    <n v="0"/>
    <n v="0"/>
    <n v="0"/>
    <n v="0"/>
    <n v="0"/>
    <x v="3"/>
    <s v="Divorced"/>
    <n v="0"/>
    <n v="0"/>
    <n v="4000"/>
    <n v="18384"/>
    <n v="1"/>
    <s v="No"/>
    <n v="0"/>
    <n v="12"/>
    <n v="3"/>
    <n v="4"/>
    <n v="2"/>
    <n v="6"/>
    <n v="2"/>
    <n v="3"/>
    <n v="6"/>
    <n v="3"/>
    <n v="1"/>
    <n v="5"/>
  </r>
  <r>
    <n v="45"/>
    <x v="1"/>
    <n v="0"/>
    <s v="Travel_Rarely"/>
    <n v="0"/>
    <n v="1"/>
    <n v="1385"/>
    <s v="Research &amp; Development"/>
    <n v="1"/>
    <n v="0"/>
    <n v="20"/>
    <n v="2"/>
    <s v="Medical"/>
    <n v="0"/>
    <n v="0"/>
    <n v="1"/>
    <n v="0"/>
    <n v="0"/>
    <n v="3"/>
    <x v="1"/>
    <n v="0"/>
    <n v="79"/>
    <n v="3"/>
    <n v="4"/>
    <s v="Healthcare Representative"/>
    <n v="1"/>
    <n v="0"/>
    <n v="0"/>
    <n v="0"/>
    <n v="0"/>
    <n v="0"/>
    <n v="0"/>
    <n v="0"/>
    <x v="0"/>
    <s v="Married"/>
    <n v="0"/>
    <n v="1"/>
    <n v="13496"/>
    <n v="7501"/>
    <n v="0"/>
    <s v="Yes"/>
    <n v="1"/>
    <n v="14"/>
    <n v="3"/>
    <n v="2"/>
    <n v="0"/>
    <n v="21"/>
    <n v="2"/>
    <n v="3"/>
    <n v="20"/>
    <n v="7"/>
    <n v="4"/>
    <n v="10"/>
  </r>
  <r>
    <n v="36"/>
    <x v="1"/>
    <n v="0"/>
    <s v="Travel_Rarely"/>
    <n v="0"/>
    <n v="1"/>
    <n v="1403"/>
    <s v="Research &amp; Development"/>
    <n v="1"/>
    <n v="0"/>
    <n v="6"/>
    <n v="3"/>
    <s v="Life Sciences"/>
    <n v="1"/>
    <n v="0"/>
    <n v="0"/>
    <n v="0"/>
    <n v="0"/>
    <n v="4"/>
    <x v="1"/>
    <n v="0"/>
    <n v="47"/>
    <n v="3"/>
    <n v="1"/>
    <s v="Laboratory Technician"/>
    <n v="0"/>
    <n v="0"/>
    <n v="1"/>
    <n v="0"/>
    <n v="0"/>
    <n v="0"/>
    <n v="0"/>
    <n v="0"/>
    <x v="0"/>
    <s v="Married"/>
    <n v="0"/>
    <n v="1"/>
    <n v="3210"/>
    <n v="20251"/>
    <n v="0"/>
    <s v="No"/>
    <n v="0"/>
    <n v="11"/>
    <n v="3"/>
    <n v="3"/>
    <n v="1"/>
    <n v="16"/>
    <n v="4"/>
    <n v="3"/>
    <n v="15"/>
    <n v="13"/>
    <n v="10"/>
    <n v="11"/>
  </r>
  <r>
    <n v="55"/>
    <x v="1"/>
    <n v="0"/>
    <s v="Travel_Rarely"/>
    <n v="0"/>
    <n v="1"/>
    <n v="452"/>
    <s v="Research &amp; Development"/>
    <n v="1"/>
    <n v="0"/>
    <n v="1"/>
    <n v="3"/>
    <s v="Medical"/>
    <n v="0"/>
    <n v="0"/>
    <n v="1"/>
    <n v="0"/>
    <n v="0"/>
    <n v="4"/>
    <x v="1"/>
    <n v="0"/>
    <n v="81"/>
    <n v="3"/>
    <n v="5"/>
    <s v="Manager"/>
    <n v="0"/>
    <n v="0"/>
    <n v="0"/>
    <n v="1"/>
    <n v="0"/>
    <n v="0"/>
    <n v="0"/>
    <n v="0"/>
    <x v="3"/>
    <s v="Single"/>
    <n v="1"/>
    <n v="0"/>
    <n v="19045"/>
    <n v="18938"/>
    <n v="0"/>
    <s v="Yes"/>
    <n v="1"/>
    <n v="14"/>
    <n v="3"/>
    <n v="3"/>
    <n v="0"/>
    <n v="37"/>
    <n v="2"/>
    <n v="3"/>
    <n v="36"/>
    <n v="10"/>
    <n v="4"/>
    <n v="13"/>
  </r>
  <r>
    <n v="47"/>
    <x v="0"/>
    <n v="1"/>
    <s v="Non-Travel"/>
    <n v="0"/>
    <n v="0"/>
    <n v="666"/>
    <s v="Research &amp; Development"/>
    <n v="1"/>
    <n v="0"/>
    <n v="29"/>
    <n v="4"/>
    <s v="Life Sciences"/>
    <n v="1"/>
    <n v="0"/>
    <n v="0"/>
    <n v="0"/>
    <n v="0"/>
    <n v="1"/>
    <x v="1"/>
    <n v="0"/>
    <n v="88"/>
    <n v="3"/>
    <n v="3"/>
    <s v="Manager"/>
    <n v="0"/>
    <n v="0"/>
    <n v="0"/>
    <n v="1"/>
    <n v="0"/>
    <n v="0"/>
    <n v="0"/>
    <n v="0"/>
    <x v="1"/>
    <s v="Married"/>
    <n v="0"/>
    <n v="1"/>
    <n v="11849"/>
    <n v="10268"/>
    <n v="1"/>
    <s v="Yes"/>
    <n v="1"/>
    <n v="12"/>
    <n v="3"/>
    <n v="4"/>
    <n v="1"/>
    <n v="10"/>
    <n v="2"/>
    <n v="2"/>
    <n v="10"/>
    <n v="7"/>
    <n v="9"/>
    <n v="9"/>
  </r>
  <r>
    <n v="28"/>
    <x v="1"/>
    <n v="0"/>
    <s v="Travel_Rarely"/>
    <n v="0"/>
    <n v="1"/>
    <n v="1158"/>
    <s v="Research &amp; Development"/>
    <n v="1"/>
    <n v="0"/>
    <n v="9"/>
    <n v="3"/>
    <s v="Medical"/>
    <n v="0"/>
    <n v="0"/>
    <n v="1"/>
    <n v="0"/>
    <n v="0"/>
    <n v="4"/>
    <x v="1"/>
    <n v="0"/>
    <n v="94"/>
    <n v="3"/>
    <n v="1"/>
    <s v="Research Scientist"/>
    <n v="0"/>
    <n v="0"/>
    <n v="0"/>
    <n v="0"/>
    <n v="0"/>
    <n v="0"/>
    <n v="0"/>
    <n v="1"/>
    <x v="0"/>
    <s v="Married"/>
    <n v="0"/>
    <n v="1"/>
    <n v="2070"/>
    <n v="2613"/>
    <n v="1"/>
    <s v="No"/>
    <n v="0"/>
    <n v="23"/>
    <n v="4"/>
    <n v="4"/>
    <n v="1"/>
    <n v="5"/>
    <n v="3"/>
    <n v="2"/>
    <n v="5"/>
    <n v="2"/>
    <n v="0"/>
    <n v="4"/>
  </r>
  <r>
    <n v="37"/>
    <x v="1"/>
    <n v="0"/>
    <s v="Travel_Rarely"/>
    <n v="0"/>
    <n v="1"/>
    <n v="228"/>
    <s v="Sales"/>
    <n v="0"/>
    <n v="1"/>
    <n v="6"/>
    <n v="4"/>
    <s v="Medical"/>
    <n v="0"/>
    <n v="0"/>
    <n v="1"/>
    <n v="0"/>
    <n v="0"/>
    <n v="3"/>
    <x v="1"/>
    <n v="0"/>
    <n v="98"/>
    <n v="3"/>
    <n v="2"/>
    <s v="Sales Executive"/>
    <n v="0"/>
    <n v="1"/>
    <n v="0"/>
    <n v="0"/>
    <n v="0"/>
    <n v="0"/>
    <n v="0"/>
    <n v="0"/>
    <x v="0"/>
    <s v="Married"/>
    <n v="0"/>
    <n v="1"/>
    <n v="6502"/>
    <n v="22825"/>
    <n v="4"/>
    <s v="No"/>
    <n v="0"/>
    <n v="14"/>
    <n v="3"/>
    <n v="2"/>
    <n v="1"/>
    <n v="7"/>
    <n v="5"/>
    <n v="4"/>
    <n v="5"/>
    <n v="4"/>
    <n v="0"/>
    <n v="1"/>
  </r>
  <r>
    <n v="21"/>
    <x v="1"/>
    <n v="0"/>
    <s v="Travel_Rarely"/>
    <n v="0"/>
    <n v="1"/>
    <n v="996"/>
    <s v="Research &amp; Development"/>
    <n v="1"/>
    <n v="0"/>
    <n v="3"/>
    <n v="2"/>
    <s v="Medical"/>
    <n v="0"/>
    <n v="0"/>
    <n v="1"/>
    <n v="0"/>
    <n v="0"/>
    <n v="4"/>
    <x v="1"/>
    <n v="0"/>
    <n v="100"/>
    <n v="2"/>
    <n v="1"/>
    <s v="Research Scientist"/>
    <n v="0"/>
    <n v="0"/>
    <n v="0"/>
    <n v="0"/>
    <n v="0"/>
    <n v="0"/>
    <n v="0"/>
    <n v="1"/>
    <x v="2"/>
    <s v="Single"/>
    <n v="1"/>
    <n v="0"/>
    <n v="3230"/>
    <n v="10531"/>
    <n v="1"/>
    <s v="No"/>
    <n v="0"/>
    <n v="17"/>
    <n v="3"/>
    <n v="1"/>
    <n v="0"/>
    <n v="3"/>
    <n v="4"/>
    <n v="4"/>
    <n v="3"/>
    <n v="2"/>
    <n v="1"/>
    <n v="0"/>
  </r>
  <r>
    <n v="37"/>
    <x v="1"/>
    <n v="0"/>
    <s v="Non-Travel"/>
    <n v="0"/>
    <n v="0"/>
    <n v="728"/>
    <s v="Research &amp; Development"/>
    <n v="1"/>
    <n v="0"/>
    <n v="1"/>
    <n v="4"/>
    <s v="Medical"/>
    <n v="0"/>
    <n v="0"/>
    <n v="1"/>
    <n v="0"/>
    <n v="0"/>
    <n v="1"/>
    <x v="0"/>
    <n v="1"/>
    <n v="80"/>
    <n v="3"/>
    <n v="3"/>
    <s v="Research Director"/>
    <n v="0"/>
    <n v="0"/>
    <n v="0"/>
    <n v="0"/>
    <n v="0"/>
    <n v="0"/>
    <n v="0"/>
    <n v="0"/>
    <x v="0"/>
    <s v="Divorced"/>
    <n v="0"/>
    <n v="0"/>
    <n v="13603"/>
    <n v="11677"/>
    <n v="2"/>
    <s v="Yes"/>
    <n v="1"/>
    <n v="18"/>
    <n v="3"/>
    <n v="1"/>
    <n v="2"/>
    <n v="15"/>
    <n v="2"/>
    <n v="3"/>
    <n v="5"/>
    <n v="2"/>
    <n v="0"/>
    <n v="2"/>
  </r>
  <r>
    <n v="35"/>
    <x v="1"/>
    <n v="0"/>
    <s v="Travel_Rarely"/>
    <n v="0"/>
    <n v="1"/>
    <n v="1315"/>
    <s v="Research &amp; Development"/>
    <n v="1"/>
    <n v="0"/>
    <n v="22"/>
    <n v="3"/>
    <s v="Life Sciences"/>
    <n v="1"/>
    <n v="0"/>
    <n v="0"/>
    <n v="0"/>
    <n v="0"/>
    <n v="2"/>
    <x v="0"/>
    <n v="1"/>
    <n v="71"/>
    <n v="4"/>
    <n v="3"/>
    <s v="Manager"/>
    <n v="0"/>
    <n v="0"/>
    <n v="0"/>
    <n v="1"/>
    <n v="0"/>
    <n v="0"/>
    <n v="0"/>
    <n v="0"/>
    <x v="1"/>
    <s v="Divorced"/>
    <n v="0"/>
    <n v="0"/>
    <n v="11996"/>
    <n v="19100"/>
    <n v="7"/>
    <s v="No"/>
    <n v="0"/>
    <n v="18"/>
    <n v="3"/>
    <n v="2"/>
    <n v="1"/>
    <n v="10"/>
    <n v="6"/>
    <n v="2"/>
    <n v="7"/>
    <n v="7"/>
    <n v="6"/>
    <n v="2"/>
  </r>
  <r>
    <n v="38"/>
    <x v="1"/>
    <n v="0"/>
    <s v="Travel_Rarely"/>
    <n v="0"/>
    <n v="1"/>
    <n v="322"/>
    <s v="Sales"/>
    <n v="0"/>
    <n v="1"/>
    <n v="7"/>
    <n v="2"/>
    <s v="Medical"/>
    <n v="0"/>
    <n v="0"/>
    <n v="1"/>
    <n v="0"/>
    <n v="0"/>
    <n v="1"/>
    <x v="0"/>
    <n v="1"/>
    <n v="44"/>
    <n v="4"/>
    <n v="2"/>
    <s v="Sales Executive"/>
    <n v="0"/>
    <n v="1"/>
    <n v="0"/>
    <n v="0"/>
    <n v="0"/>
    <n v="0"/>
    <n v="0"/>
    <n v="0"/>
    <x v="3"/>
    <s v="Divorced"/>
    <n v="0"/>
    <n v="0"/>
    <n v="5605"/>
    <n v="19191"/>
    <n v="1"/>
    <s v="Yes"/>
    <n v="1"/>
    <n v="24"/>
    <n v="4"/>
    <n v="3"/>
    <n v="1"/>
    <n v="8"/>
    <n v="3"/>
    <n v="3"/>
    <n v="8"/>
    <n v="0"/>
    <n v="7"/>
    <n v="7"/>
  </r>
  <r>
    <n v="26"/>
    <x v="1"/>
    <n v="0"/>
    <s v="Travel_Frequently"/>
    <n v="1"/>
    <n v="0"/>
    <n v="1479"/>
    <s v="Research &amp; Development"/>
    <n v="1"/>
    <n v="0"/>
    <n v="1"/>
    <n v="3"/>
    <s v="Life Sciences"/>
    <n v="1"/>
    <n v="0"/>
    <n v="0"/>
    <n v="0"/>
    <n v="0"/>
    <n v="3"/>
    <x v="0"/>
    <n v="1"/>
    <n v="84"/>
    <n v="3"/>
    <n v="2"/>
    <s v="Manufacturing Director"/>
    <n v="0"/>
    <n v="0"/>
    <n v="0"/>
    <n v="0"/>
    <n v="1"/>
    <n v="1"/>
    <n v="0"/>
    <n v="0"/>
    <x v="1"/>
    <s v="Divorced"/>
    <n v="0"/>
    <n v="0"/>
    <n v="6397"/>
    <n v="26767"/>
    <n v="1"/>
    <s v="No"/>
    <n v="0"/>
    <n v="20"/>
    <n v="4"/>
    <n v="1"/>
    <n v="1"/>
    <n v="6"/>
    <n v="6"/>
    <n v="1"/>
    <n v="6"/>
    <n v="5"/>
    <n v="1"/>
    <n v="4"/>
  </r>
  <r>
    <n v="50"/>
    <x v="1"/>
    <n v="0"/>
    <s v="Travel_Rarely"/>
    <n v="0"/>
    <n v="1"/>
    <n v="797"/>
    <s v="Research &amp; Development"/>
    <n v="1"/>
    <n v="0"/>
    <n v="4"/>
    <n v="1"/>
    <s v="Life Sciences"/>
    <n v="1"/>
    <n v="0"/>
    <n v="0"/>
    <n v="0"/>
    <n v="0"/>
    <n v="1"/>
    <x v="1"/>
    <n v="0"/>
    <n v="96"/>
    <n v="3"/>
    <n v="5"/>
    <s v="Research Director"/>
    <n v="0"/>
    <n v="0"/>
    <n v="0"/>
    <n v="0"/>
    <n v="0"/>
    <n v="0"/>
    <n v="0"/>
    <n v="0"/>
    <x v="1"/>
    <s v="Divorced"/>
    <n v="0"/>
    <n v="0"/>
    <n v="19144"/>
    <n v="15815"/>
    <n v="3"/>
    <s v="No"/>
    <n v="0"/>
    <n v="14"/>
    <n v="3"/>
    <n v="1"/>
    <n v="2"/>
    <n v="28"/>
    <n v="4"/>
    <n v="2"/>
    <n v="10"/>
    <n v="4"/>
    <n v="1"/>
    <n v="6"/>
  </r>
  <r>
    <n v="53"/>
    <x v="1"/>
    <n v="0"/>
    <s v="Travel_Rarely"/>
    <n v="0"/>
    <n v="1"/>
    <n v="1070"/>
    <s v="Research &amp; Development"/>
    <n v="1"/>
    <n v="0"/>
    <n v="3"/>
    <n v="4"/>
    <s v="Medical"/>
    <n v="0"/>
    <n v="0"/>
    <n v="1"/>
    <n v="0"/>
    <n v="0"/>
    <n v="3"/>
    <x v="1"/>
    <n v="0"/>
    <n v="45"/>
    <n v="3"/>
    <n v="4"/>
    <s v="Research Director"/>
    <n v="0"/>
    <n v="0"/>
    <n v="0"/>
    <n v="0"/>
    <n v="0"/>
    <n v="0"/>
    <n v="0"/>
    <n v="0"/>
    <x v="2"/>
    <s v="Married"/>
    <n v="0"/>
    <n v="1"/>
    <n v="17584"/>
    <n v="21016"/>
    <n v="3"/>
    <s v="Yes"/>
    <n v="1"/>
    <n v="16"/>
    <n v="3"/>
    <n v="4"/>
    <n v="3"/>
    <n v="21"/>
    <n v="5"/>
    <n v="2"/>
    <n v="5"/>
    <n v="3"/>
    <n v="1"/>
    <n v="3"/>
  </r>
  <r>
    <n v="42"/>
    <x v="1"/>
    <n v="0"/>
    <s v="Travel_Rarely"/>
    <n v="0"/>
    <n v="1"/>
    <n v="635"/>
    <s v="Sales"/>
    <n v="0"/>
    <n v="1"/>
    <n v="1"/>
    <n v="1"/>
    <s v="Life Sciences"/>
    <n v="1"/>
    <n v="0"/>
    <n v="0"/>
    <n v="0"/>
    <n v="0"/>
    <n v="2"/>
    <x v="1"/>
    <n v="0"/>
    <n v="99"/>
    <n v="3"/>
    <n v="2"/>
    <s v="Sales Executive"/>
    <n v="0"/>
    <n v="1"/>
    <n v="0"/>
    <n v="0"/>
    <n v="0"/>
    <n v="0"/>
    <n v="0"/>
    <n v="0"/>
    <x v="2"/>
    <s v="Married"/>
    <n v="0"/>
    <n v="1"/>
    <n v="4907"/>
    <n v="24532"/>
    <n v="1"/>
    <s v="No"/>
    <n v="0"/>
    <n v="25"/>
    <n v="4"/>
    <n v="3"/>
    <n v="0"/>
    <n v="20"/>
    <n v="3"/>
    <n v="3"/>
    <n v="20"/>
    <n v="16"/>
    <n v="11"/>
    <n v="6"/>
  </r>
  <r>
    <n v="29"/>
    <x v="1"/>
    <n v="0"/>
    <s v="Travel_Frequently"/>
    <n v="1"/>
    <n v="0"/>
    <n v="442"/>
    <s v="Sales"/>
    <n v="0"/>
    <n v="1"/>
    <n v="2"/>
    <n v="2"/>
    <s v="Life Sciences"/>
    <n v="1"/>
    <n v="0"/>
    <n v="0"/>
    <n v="0"/>
    <n v="0"/>
    <n v="2"/>
    <x v="1"/>
    <n v="0"/>
    <n v="44"/>
    <n v="3"/>
    <n v="2"/>
    <s v="Sales Executive"/>
    <n v="0"/>
    <n v="1"/>
    <n v="0"/>
    <n v="0"/>
    <n v="0"/>
    <n v="0"/>
    <n v="0"/>
    <n v="0"/>
    <x v="0"/>
    <s v="Single"/>
    <n v="1"/>
    <n v="0"/>
    <n v="4554"/>
    <n v="20260"/>
    <n v="1"/>
    <s v="No"/>
    <n v="0"/>
    <n v="18"/>
    <n v="3"/>
    <n v="1"/>
    <n v="0"/>
    <n v="10"/>
    <n v="3"/>
    <n v="2"/>
    <n v="10"/>
    <n v="7"/>
    <n v="0"/>
    <n v="9"/>
  </r>
  <r>
    <n v="55"/>
    <x v="1"/>
    <n v="0"/>
    <s v="Travel_Rarely"/>
    <n v="0"/>
    <n v="1"/>
    <n v="147"/>
    <s v="Research &amp; Development"/>
    <n v="1"/>
    <n v="0"/>
    <n v="20"/>
    <n v="2"/>
    <s v="Technical Degree"/>
    <n v="0"/>
    <n v="0"/>
    <n v="0"/>
    <n v="0"/>
    <n v="1"/>
    <n v="2"/>
    <x v="1"/>
    <n v="0"/>
    <n v="37"/>
    <n v="3"/>
    <n v="2"/>
    <s v="Laboratory Technician"/>
    <n v="0"/>
    <n v="0"/>
    <n v="1"/>
    <n v="0"/>
    <n v="0"/>
    <n v="0"/>
    <n v="0"/>
    <n v="0"/>
    <x v="0"/>
    <s v="Married"/>
    <n v="0"/>
    <n v="1"/>
    <n v="5415"/>
    <n v="15972"/>
    <n v="3"/>
    <s v="Yes"/>
    <n v="1"/>
    <n v="19"/>
    <n v="3"/>
    <n v="4"/>
    <n v="1"/>
    <n v="12"/>
    <n v="4"/>
    <n v="3"/>
    <n v="10"/>
    <n v="7"/>
    <n v="0"/>
    <n v="8"/>
  </r>
  <r>
    <n v="26"/>
    <x v="1"/>
    <n v="0"/>
    <s v="Travel_Frequently"/>
    <n v="1"/>
    <n v="0"/>
    <n v="496"/>
    <s v="Research &amp; Development"/>
    <n v="1"/>
    <n v="0"/>
    <n v="11"/>
    <n v="2"/>
    <s v="Medical"/>
    <n v="0"/>
    <n v="0"/>
    <n v="1"/>
    <n v="0"/>
    <n v="0"/>
    <n v="1"/>
    <x v="1"/>
    <n v="0"/>
    <n v="60"/>
    <n v="3"/>
    <n v="2"/>
    <s v="Healthcare Representative"/>
    <n v="1"/>
    <n v="0"/>
    <n v="0"/>
    <n v="0"/>
    <n v="0"/>
    <n v="0"/>
    <n v="0"/>
    <n v="0"/>
    <x v="3"/>
    <s v="Married"/>
    <n v="0"/>
    <n v="1"/>
    <n v="4741"/>
    <n v="22722"/>
    <n v="1"/>
    <s v="Yes"/>
    <n v="1"/>
    <n v="13"/>
    <n v="3"/>
    <n v="3"/>
    <n v="1"/>
    <n v="5"/>
    <n v="3"/>
    <n v="3"/>
    <n v="5"/>
    <n v="3"/>
    <n v="3"/>
    <n v="3"/>
  </r>
  <r>
    <n v="37"/>
    <x v="1"/>
    <n v="0"/>
    <s v="Travel_Rarely"/>
    <n v="0"/>
    <n v="1"/>
    <n v="1372"/>
    <s v="Research &amp; Development"/>
    <n v="1"/>
    <n v="0"/>
    <n v="1"/>
    <n v="3"/>
    <s v="Life Sciences"/>
    <n v="1"/>
    <n v="0"/>
    <n v="0"/>
    <n v="0"/>
    <n v="0"/>
    <n v="4"/>
    <x v="0"/>
    <n v="1"/>
    <n v="42"/>
    <n v="3"/>
    <n v="1"/>
    <s v="Research Scientist"/>
    <n v="0"/>
    <n v="0"/>
    <n v="0"/>
    <n v="0"/>
    <n v="0"/>
    <n v="0"/>
    <n v="0"/>
    <n v="1"/>
    <x v="0"/>
    <s v="Single"/>
    <n v="1"/>
    <n v="0"/>
    <n v="2115"/>
    <n v="15881"/>
    <n v="1"/>
    <s v="No"/>
    <n v="0"/>
    <n v="12"/>
    <n v="3"/>
    <n v="2"/>
    <n v="0"/>
    <n v="17"/>
    <n v="3"/>
    <n v="3"/>
    <n v="17"/>
    <n v="12"/>
    <n v="5"/>
    <n v="7"/>
  </r>
  <r>
    <n v="44"/>
    <x v="0"/>
    <n v="1"/>
    <s v="Travel_Frequently"/>
    <n v="1"/>
    <n v="0"/>
    <n v="920"/>
    <s v="Research &amp; Development"/>
    <n v="1"/>
    <n v="0"/>
    <n v="24"/>
    <n v="3"/>
    <s v="Life Sciences"/>
    <n v="1"/>
    <n v="0"/>
    <n v="0"/>
    <n v="0"/>
    <n v="0"/>
    <n v="4"/>
    <x v="1"/>
    <n v="0"/>
    <n v="43"/>
    <n v="3"/>
    <n v="1"/>
    <s v="Laboratory Technician"/>
    <n v="0"/>
    <n v="0"/>
    <n v="1"/>
    <n v="0"/>
    <n v="0"/>
    <n v="0"/>
    <n v="0"/>
    <n v="0"/>
    <x v="2"/>
    <s v="Divorced"/>
    <n v="0"/>
    <n v="0"/>
    <n v="3161"/>
    <n v="19920"/>
    <n v="3"/>
    <s v="Yes"/>
    <n v="1"/>
    <n v="22"/>
    <n v="4"/>
    <n v="4"/>
    <n v="1"/>
    <n v="19"/>
    <n v="0"/>
    <n v="1"/>
    <n v="1"/>
    <n v="0"/>
    <n v="0"/>
    <n v="0"/>
  </r>
  <r>
    <n v="38"/>
    <x v="1"/>
    <n v="0"/>
    <s v="Travel_Rarely"/>
    <n v="0"/>
    <n v="1"/>
    <n v="688"/>
    <s v="Research &amp; Development"/>
    <n v="1"/>
    <n v="0"/>
    <n v="23"/>
    <n v="4"/>
    <s v="Life Sciences"/>
    <n v="1"/>
    <n v="0"/>
    <n v="0"/>
    <n v="0"/>
    <n v="0"/>
    <n v="4"/>
    <x v="1"/>
    <n v="0"/>
    <n v="82"/>
    <n v="3"/>
    <n v="2"/>
    <s v="Healthcare Representative"/>
    <n v="1"/>
    <n v="0"/>
    <n v="0"/>
    <n v="0"/>
    <n v="0"/>
    <n v="0"/>
    <n v="0"/>
    <n v="0"/>
    <x v="0"/>
    <s v="Divorced"/>
    <n v="0"/>
    <n v="0"/>
    <n v="5745"/>
    <n v="18899"/>
    <n v="9"/>
    <s v="No"/>
    <n v="0"/>
    <n v="14"/>
    <n v="3"/>
    <n v="2"/>
    <n v="1"/>
    <n v="10"/>
    <n v="2"/>
    <n v="3"/>
    <n v="2"/>
    <n v="2"/>
    <n v="1"/>
    <n v="2"/>
  </r>
  <r>
    <n v="26"/>
    <x v="0"/>
    <n v="1"/>
    <s v="Travel_Rarely"/>
    <n v="0"/>
    <n v="1"/>
    <n v="1449"/>
    <s v="Research &amp; Development"/>
    <n v="1"/>
    <n v="0"/>
    <n v="16"/>
    <n v="4"/>
    <s v="Medical"/>
    <n v="0"/>
    <n v="0"/>
    <n v="1"/>
    <n v="0"/>
    <n v="0"/>
    <n v="1"/>
    <x v="1"/>
    <n v="0"/>
    <n v="45"/>
    <n v="3"/>
    <n v="1"/>
    <s v="Laboratory Technician"/>
    <n v="0"/>
    <n v="0"/>
    <n v="1"/>
    <n v="0"/>
    <n v="0"/>
    <n v="0"/>
    <n v="0"/>
    <n v="0"/>
    <x v="1"/>
    <s v="Divorced"/>
    <n v="0"/>
    <n v="0"/>
    <n v="2373"/>
    <n v="14180"/>
    <n v="2"/>
    <s v="Yes"/>
    <n v="1"/>
    <n v="13"/>
    <n v="3"/>
    <n v="4"/>
    <n v="1"/>
    <n v="5"/>
    <n v="2"/>
    <n v="3"/>
    <n v="3"/>
    <n v="2"/>
    <n v="0"/>
    <n v="2"/>
  </r>
  <r>
    <n v="28"/>
    <x v="1"/>
    <n v="0"/>
    <s v="Travel_Rarely"/>
    <n v="0"/>
    <n v="1"/>
    <n v="1117"/>
    <s v="Research &amp; Development"/>
    <n v="1"/>
    <n v="0"/>
    <n v="8"/>
    <n v="2"/>
    <s v="Life Sciences"/>
    <n v="1"/>
    <n v="0"/>
    <n v="0"/>
    <n v="0"/>
    <n v="0"/>
    <n v="4"/>
    <x v="0"/>
    <n v="1"/>
    <n v="66"/>
    <n v="3"/>
    <n v="1"/>
    <s v="Research Scientist"/>
    <n v="0"/>
    <n v="0"/>
    <n v="0"/>
    <n v="0"/>
    <n v="0"/>
    <n v="0"/>
    <n v="0"/>
    <n v="1"/>
    <x v="0"/>
    <s v="Single"/>
    <n v="1"/>
    <n v="0"/>
    <n v="3310"/>
    <n v="4488"/>
    <n v="1"/>
    <s v="No"/>
    <n v="0"/>
    <n v="21"/>
    <n v="4"/>
    <n v="4"/>
    <n v="0"/>
    <n v="5"/>
    <n v="3"/>
    <n v="3"/>
    <n v="5"/>
    <n v="3"/>
    <n v="0"/>
    <n v="2"/>
  </r>
  <r>
    <n v="49"/>
    <x v="1"/>
    <n v="0"/>
    <s v="Travel_Frequently"/>
    <n v="1"/>
    <n v="0"/>
    <n v="636"/>
    <s v="Research &amp; Development"/>
    <n v="1"/>
    <n v="0"/>
    <n v="10"/>
    <n v="4"/>
    <s v="Life Sciences"/>
    <n v="1"/>
    <n v="0"/>
    <n v="0"/>
    <n v="0"/>
    <n v="0"/>
    <n v="3"/>
    <x v="0"/>
    <n v="1"/>
    <n v="35"/>
    <n v="3"/>
    <n v="5"/>
    <s v="Research Director"/>
    <n v="0"/>
    <n v="0"/>
    <n v="0"/>
    <n v="0"/>
    <n v="0"/>
    <n v="0"/>
    <n v="0"/>
    <n v="0"/>
    <x v="3"/>
    <s v="Single"/>
    <n v="1"/>
    <n v="0"/>
    <n v="18665"/>
    <n v="25594"/>
    <n v="9"/>
    <s v="Yes"/>
    <n v="1"/>
    <n v="11"/>
    <n v="3"/>
    <n v="4"/>
    <n v="0"/>
    <n v="22"/>
    <n v="4"/>
    <n v="3"/>
    <n v="3"/>
    <n v="2"/>
    <n v="1"/>
    <n v="2"/>
  </r>
  <r>
    <n v="36"/>
    <x v="1"/>
    <n v="0"/>
    <s v="Travel_Rarely"/>
    <n v="0"/>
    <n v="1"/>
    <n v="506"/>
    <s v="Research &amp; Development"/>
    <n v="1"/>
    <n v="0"/>
    <n v="3"/>
    <n v="3"/>
    <s v="Technical Degree"/>
    <n v="0"/>
    <n v="0"/>
    <n v="0"/>
    <n v="0"/>
    <n v="1"/>
    <n v="3"/>
    <x v="1"/>
    <n v="0"/>
    <n v="30"/>
    <n v="3"/>
    <n v="2"/>
    <s v="Research Scientist"/>
    <n v="0"/>
    <n v="0"/>
    <n v="0"/>
    <n v="0"/>
    <n v="0"/>
    <n v="0"/>
    <n v="0"/>
    <n v="1"/>
    <x v="1"/>
    <s v="Single"/>
    <n v="1"/>
    <n v="0"/>
    <n v="4485"/>
    <n v="26285"/>
    <n v="4"/>
    <s v="No"/>
    <n v="0"/>
    <n v="12"/>
    <n v="3"/>
    <n v="4"/>
    <n v="0"/>
    <n v="10"/>
    <n v="2"/>
    <n v="3"/>
    <n v="8"/>
    <n v="0"/>
    <n v="7"/>
    <n v="7"/>
  </r>
  <r>
    <n v="31"/>
    <x v="1"/>
    <n v="0"/>
    <s v="Travel_Frequently"/>
    <n v="1"/>
    <n v="0"/>
    <n v="444"/>
    <s v="Sales"/>
    <n v="0"/>
    <n v="1"/>
    <n v="5"/>
    <n v="3"/>
    <s v="Marketing"/>
    <n v="0"/>
    <n v="0"/>
    <n v="0"/>
    <n v="1"/>
    <n v="0"/>
    <n v="4"/>
    <x v="0"/>
    <n v="1"/>
    <n v="84"/>
    <n v="3"/>
    <n v="1"/>
    <s v="Sales Representative"/>
    <n v="0"/>
    <n v="0"/>
    <n v="0"/>
    <n v="0"/>
    <n v="0"/>
    <n v="0"/>
    <n v="1"/>
    <n v="0"/>
    <x v="1"/>
    <s v="Divorced"/>
    <n v="0"/>
    <n v="0"/>
    <n v="2789"/>
    <n v="3909"/>
    <n v="1"/>
    <s v="No"/>
    <n v="0"/>
    <n v="11"/>
    <n v="3"/>
    <n v="3"/>
    <n v="1"/>
    <n v="2"/>
    <n v="5"/>
    <n v="2"/>
    <n v="2"/>
    <n v="2"/>
    <n v="2"/>
    <n v="2"/>
  </r>
  <r>
    <n v="26"/>
    <x v="0"/>
    <n v="1"/>
    <s v="Travel_Rarely"/>
    <n v="0"/>
    <n v="1"/>
    <n v="950"/>
    <s v="Sales"/>
    <n v="0"/>
    <n v="1"/>
    <n v="4"/>
    <n v="4"/>
    <s v="Marketing"/>
    <n v="0"/>
    <n v="0"/>
    <n v="0"/>
    <n v="1"/>
    <n v="0"/>
    <n v="4"/>
    <x v="1"/>
    <n v="0"/>
    <n v="48"/>
    <n v="2"/>
    <n v="2"/>
    <s v="Sales Executive"/>
    <n v="0"/>
    <n v="1"/>
    <n v="0"/>
    <n v="0"/>
    <n v="0"/>
    <n v="0"/>
    <n v="0"/>
    <n v="0"/>
    <x v="0"/>
    <s v="Single"/>
    <n v="1"/>
    <n v="0"/>
    <n v="5828"/>
    <n v="8450"/>
    <n v="1"/>
    <s v="Yes"/>
    <n v="1"/>
    <n v="12"/>
    <n v="3"/>
    <n v="2"/>
    <n v="0"/>
    <n v="8"/>
    <n v="0"/>
    <n v="3"/>
    <n v="8"/>
    <n v="7"/>
    <n v="7"/>
    <n v="4"/>
  </r>
  <r>
    <n v="37"/>
    <x v="1"/>
    <n v="0"/>
    <s v="Travel_Frequently"/>
    <n v="1"/>
    <n v="0"/>
    <n v="889"/>
    <s v="Research &amp; Development"/>
    <n v="1"/>
    <n v="0"/>
    <n v="9"/>
    <n v="3"/>
    <s v="Medical"/>
    <n v="0"/>
    <n v="0"/>
    <n v="1"/>
    <n v="0"/>
    <n v="0"/>
    <n v="2"/>
    <x v="1"/>
    <n v="0"/>
    <n v="53"/>
    <n v="3"/>
    <n v="1"/>
    <s v="Research Scientist"/>
    <n v="0"/>
    <n v="0"/>
    <n v="0"/>
    <n v="0"/>
    <n v="0"/>
    <n v="0"/>
    <n v="0"/>
    <n v="1"/>
    <x v="0"/>
    <s v="Married"/>
    <n v="0"/>
    <n v="1"/>
    <n v="2326"/>
    <n v="11411"/>
    <n v="1"/>
    <s v="Yes"/>
    <n v="1"/>
    <n v="12"/>
    <n v="3"/>
    <n v="3"/>
    <n v="3"/>
    <n v="4"/>
    <n v="3"/>
    <n v="2"/>
    <n v="4"/>
    <n v="2"/>
    <n v="1"/>
    <n v="2"/>
  </r>
  <r>
    <n v="42"/>
    <x v="1"/>
    <n v="0"/>
    <s v="Travel_Frequently"/>
    <n v="1"/>
    <n v="0"/>
    <n v="555"/>
    <s v="Sales"/>
    <n v="0"/>
    <n v="1"/>
    <n v="26"/>
    <n v="3"/>
    <s v="Marketing"/>
    <n v="0"/>
    <n v="0"/>
    <n v="0"/>
    <n v="1"/>
    <n v="0"/>
    <n v="3"/>
    <x v="0"/>
    <n v="1"/>
    <n v="77"/>
    <n v="3"/>
    <n v="4"/>
    <s v="Sales Executive"/>
    <n v="0"/>
    <n v="1"/>
    <n v="0"/>
    <n v="0"/>
    <n v="0"/>
    <n v="0"/>
    <n v="0"/>
    <n v="0"/>
    <x v="1"/>
    <s v="Married"/>
    <n v="0"/>
    <n v="1"/>
    <n v="13525"/>
    <n v="14864"/>
    <n v="5"/>
    <s v="No"/>
    <n v="0"/>
    <n v="14"/>
    <n v="3"/>
    <n v="4"/>
    <n v="1"/>
    <n v="23"/>
    <n v="2"/>
    <n v="4"/>
    <n v="20"/>
    <n v="4"/>
    <n v="4"/>
    <n v="8"/>
  </r>
  <r>
    <n v="18"/>
    <x v="0"/>
    <n v="1"/>
    <s v="Travel_Rarely"/>
    <n v="0"/>
    <n v="1"/>
    <n v="230"/>
    <s v="Research &amp; Development"/>
    <n v="1"/>
    <n v="0"/>
    <n v="3"/>
    <n v="3"/>
    <s v="Life Sciences"/>
    <n v="1"/>
    <n v="0"/>
    <n v="0"/>
    <n v="0"/>
    <n v="0"/>
    <n v="3"/>
    <x v="1"/>
    <n v="0"/>
    <n v="54"/>
    <n v="3"/>
    <n v="1"/>
    <s v="Laboratory Technician"/>
    <n v="0"/>
    <n v="0"/>
    <n v="1"/>
    <n v="0"/>
    <n v="0"/>
    <n v="0"/>
    <n v="0"/>
    <n v="0"/>
    <x v="2"/>
    <s v="Single"/>
    <n v="1"/>
    <n v="0"/>
    <n v="1420"/>
    <n v="25233"/>
    <n v="1"/>
    <s v="No"/>
    <n v="0"/>
    <n v="13"/>
    <n v="3"/>
    <n v="3"/>
    <n v="0"/>
    <n v="0"/>
    <n v="2"/>
    <n v="3"/>
    <n v="0"/>
    <n v="0"/>
    <n v="0"/>
    <n v="0"/>
  </r>
  <r>
    <n v="35"/>
    <x v="1"/>
    <n v="0"/>
    <s v="Travel_Rarely"/>
    <n v="0"/>
    <n v="1"/>
    <n v="1232"/>
    <s v="Sales"/>
    <n v="0"/>
    <n v="1"/>
    <n v="16"/>
    <n v="3"/>
    <s v="Marketing"/>
    <n v="0"/>
    <n v="0"/>
    <n v="0"/>
    <n v="1"/>
    <n v="0"/>
    <n v="3"/>
    <x v="1"/>
    <n v="0"/>
    <n v="96"/>
    <n v="3"/>
    <n v="3"/>
    <s v="Sales Executive"/>
    <n v="0"/>
    <n v="1"/>
    <n v="0"/>
    <n v="0"/>
    <n v="0"/>
    <n v="0"/>
    <n v="0"/>
    <n v="0"/>
    <x v="1"/>
    <s v="Married"/>
    <n v="0"/>
    <n v="1"/>
    <n v="8020"/>
    <n v="5100"/>
    <n v="0"/>
    <s v="No"/>
    <n v="0"/>
    <n v="15"/>
    <n v="3"/>
    <n v="3"/>
    <n v="2"/>
    <n v="12"/>
    <n v="3"/>
    <n v="2"/>
    <n v="11"/>
    <n v="9"/>
    <n v="6"/>
    <n v="9"/>
  </r>
  <r>
    <n v="36"/>
    <x v="1"/>
    <n v="0"/>
    <s v="Travel_Frequently"/>
    <n v="1"/>
    <n v="0"/>
    <n v="566"/>
    <s v="Research &amp; Development"/>
    <n v="1"/>
    <n v="0"/>
    <n v="18"/>
    <n v="4"/>
    <s v="Life Sciences"/>
    <n v="1"/>
    <n v="0"/>
    <n v="0"/>
    <n v="0"/>
    <n v="0"/>
    <n v="3"/>
    <x v="1"/>
    <n v="0"/>
    <n v="81"/>
    <n v="4"/>
    <n v="1"/>
    <s v="Laboratory Technician"/>
    <n v="0"/>
    <n v="0"/>
    <n v="1"/>
    <n v="0"/>
    <n v="0"/>
    <n v="0"/>
    <n v="0"/>
    <n v="0"/>
    <x v="0"/>
    <s v="Married"/>
    <n v="0"/>
    <n v="1"/>
    <n v="3688"/>
    <n v="7122"/>
    <n v="4"/>
    <s v="No"/>
    <n v="0"/>
    <n v="18"/>
    <n v="3"/>
    <n v="4"/>
    <n v="2"/>
    <n v="4"/>
    <n v="2"/>
    <n v="3"/>
    <n v="1"/>
    <n v="0"/>
    <n v="0"/>
    <n v="0"/>
  </r>
  <r>
    <n v="51"/>
    <x v="1"/>
    <n v="0"/>
    <s v="Travel_Rarely"/>
    <n v="0"/>
    <n v="1"/>
    <n v="1302"/>
    <s v="Research &amp; Development"/>
    <n v="1"/>
    <n v="0"/>
    <n v="2"/>
    <n v="3"/>
    <s v="Medical"/>
    <n v="0"/>
    <n v="0"/>
    <n v="1"/>
    <n v="0"/>
    <n v="0"/>
    <n v="4"/>
    <x v="1"/>
    <n v="0"/>
    <n v="84"/>
    <n v="1"/>
    <n v="2"/>
    <s v="Manufacturing Director"/>
    <n v="0"/>
    <n v="0"/>
    <n v="0"/>
    <n v="0"/>
    <n v="1"/>
    <n v="1"/>
    <n v="0"/>
    <n v="0"/>
    <x v="1"/>
    <s v="Divorced"/>
    <n v="0"/>
    <n v="0"/>
    <n v="5482"/>
    <n v="16321"/>
    <n v="5"/>
    <s v="No"/>
    <n v="0"/>
    <n v="18"/>
    <n v="3"/>
    <n v="4"/>
    <n v="1"/>
    <n v="13"/>
    <n v="3"/>
    <n v="3"/>
    <n v="4"/>
    <n v="1"/>
    <n v="1"/>
    <n v="2"/>
  </r>
  <r>
    <n v="41"/>
    <x v="1"/>
    <n v="0"/>
    <s v="Travel_Rarely"/>
    <n v="0"/>
    <n v="1"/>
    <n v="334"/>
    <s v="Sales"/>
    <n v="0"/>
    <n v="1"/>
    <n v="2"/>
    <n v="4"/>
    <s v="Life Sciences"/>
    <n v="1"/>
    <n v="0"/>
    <n v="0"/>
    <n v="0"/>
    <n v="0"/>
    <n v="4"/>
    <x v="1"/>
    <n v="0"/>
    <n v="88"/>
    <n v="3"/>
    <n v="4"/>
    <s v="Manager"/>
    <n v="0"/>
    <n v="0"/>
    <n v="0"/>
    <n v="1"/>
    <n v="0"/>
    <n v="0"/>
    <n v="0"/>
    <n v="0"/>
    <x v="1"/>
    <s v="Single"/>
    <n v="1"/>
    <n v="0"/>
    <n v="16015"/>
    <n v="15896"/>
    <n v="1"/>
    <s v="No"/>
    <n v="0"/>
    <n v="19"/>
    <n v="3"/>
    <n v="2"/>
    <n v="0"/>
    <n v="22"/>
    <n v="2"/>
    <n v="3"/>
    <n v="22"/>
    <n v="10"/>
    <n v="0"/>
    <n v="4"/>
  </r>
  <r>
    <n v="18"/>
    <x v="1"/>
    <n v="0"/>
    <s v="Travel_Rarely"/>
    <n v="0"/>
    <n v="1"/>
    <n v="812"/>
    <s v="Sales"/>
    <n v="0"/>
    <n v="1"/>
    <n v="10"/>
    <n v="3"/>
    <s v="Medical"/>
    <n v="0"/>
    <n v="0"/>
    <n v="1"/>
    <n v="0"/>
    <n v="0"/>
    <n v="4"/>
    <x v="0"/>
    <n v="1"/>
    <n v="69"/>
    <n v="2"/>
    <n v="1"/>
    <s v="Sales Representative"/>
    <n v="0"/>
    <n v="0"/>
    <n v="0"/>
    <n v="0"/>
    <n v="0"/>
    <n v="0"/>
    <n v="1"/>
    <n v="0"/>
    <x v="2"/>
    <s v="Single"/>
    <n v="1"/>
    <n v="0"/>
    <n v="1200"/>
    <n v="9724"/>
    <n v="1"/>
    <s v="No"/>
    <n v="0"/>
    <n v="12"/>
    <n v="3"/>
    <n v="1"/>
    <n v="0"/>
    <n v="0"/>
    <n v="2"/>
    <n v="3"/>
    <n v="0"/>
    <n v="0"/>
    <n v="0"/>
    <n v="0"/>
  </r>
  <r>
    <n v="28"/>
    <x v="1"/>
    <n v="0"/>
    <s v="Travel_Rarely"/>
    <n v="0"/>
    <n v="1"/>
    <n v="1476"/>
    <s v="Research &amp; Development"/>
    <n v="1"/>
    <n v="0"/>
    <n v="16"/>
    <n v="2"/>
    <s v="Medical"/>
    <n v="0"/>
    <n v="0"/>
    <n v="1"/>
    <n v="0"/>
    <n v="0"/>
    <n v="2"/>
    <x v="1"/>
    <n v="0"/>
    <n v="68"/>
    <n v="4"/>
    <n v="2"/>
    <s v="Healthcare Representative"/>
    <n v="1"/>
    <n v="0"/>
    <n v="0"/>
    <n v="0"/>
    <n v="0"/>
    <n v="0"/>
    <n v="0"/>
    <n v="0"/>
    <x v="3"/>
    <s v="Single"/>
    <n v="1"/>
    <n v="0"/>
    <n v="5661"/>
    <n v="4824"/>
    <n v="0"/>
    <s v="No"/>
    <n v="0"/>
    <n v="19"/>
    <n v="3"/>
    <n v="3"/>
    <n v="0"/>
    <n v="9"/>
    <n v="2"/>
    <n v="3"/>
    <n v="8"/>
    <n v="3"/>
    <n v="0"/>
    <n v="7"/>
  </r>
  <r>
    <n v="31"/>
    <x v="1"/>
    <n v="0"/>
    <s v="Travel_Rarely"/>
    <n v="0"/>
    <n v="1"/>
    <n v="218"/>
    <s v="Sales"/>
    <n v="0"/>
    <n v="1"/>
    <n v="7"/>
    <n v="3"/>
    <s v="Technical Degree"/>
    <n v="0"/>
    <n v="0"/>
    <n v="0"/>
    <n v="0"/>
    <n v="1"/>
    <n v="2"/>
    <x v="1"/>
    <n v="0"/>
    <n v="100"/>
    <n v="4"/>
    <n v="2"/>
    <s v="Sales Executive"/>
    <n v="0"/>
    <n v="1"/>
    <n v="0"/>
    <n v="0"/>
    <n v="0"/>
    <n v="0"/>
    <n v="0"/>
    <n v="0"/>
    <x v="0"/>
    <s v="Married"/>
    <n v="0"/>
    <n v="1"/>
    <n v="6929"/>
    <n v="12241"/>
    <n v="4"/>
    <s v="No"/>
    <n v="0"/>
    <n v="11"/>
    <n v="3"/>
    <n v="2"/>
    <n v="1"/>
    <n v="10"/>
    <n v="3"/>
    <n v="2"/>
    <n v="8"/>
    <n v="7"/>
    <n v="7"/>
    <n v="7"/>
  </r>
  <r>
    <n v="39"/>
    <x v="1"/>
    <n v="0"/>
    <s v="Travel_Rarely"/>
    <n v="0"/>
    <n v="1"/>
    <n v="1132"/>
    <s v="Research &amp; Development"/>
    <n v="1"/>
    <n v="0"/>
    <n v="1"/>
    <n v="3"/>
    <s v="Medical"/>
    <n v="0"/>
    <n v="0"/>
    <n v="1"/>
    <n v="0"/>
    <n v="0"/>
    <n v="3"/>
    <x v="1"/>
    <n v="0"/>
    <n v="48"/>
    <n v="4"/>
    <n v="3"/>
    <s v="Healthcare Representative"/>
    <n v="1"/>
    <n v="0"/>
    <n v="0"/>
    <n v="0"/>
    <n v="0"/>
    <n v="0"/>
    <n v="0"/>
    <n v="0"/>
    <x v="0"/>
    <s v="Divorced"/>
    <n v="0"/>
    <n v="0"/>
    <n v="9613"/>
    <n v="10942"/>
    <n v="0"/>
    <s v="No"/>
    <n v="0"/>
    <n v="17"/>
    <n v="3"/>
    <n v="1"/>
    <n v="3"/>
    <n v="19"/>
    <n v="5"/>
    <n v="2"/>
    <n v="18"/>
    <n v="10"/>
    <n v="3"/>
    <n v="7"/>
  </r>
  <r>
    <n v="36"/>
    <x v="1"/>
    <n v="0"/>
    <s v="Non-Travel"/>
    <n v="0"/>
    <n v="0"/>
    <n v="1105"/>
    <s v="Research &amp; Development"/>
    <n v="1"/>
    <n v="0"/>
    <n v="24"/>
    <n v="4"/>
    <s v="Life Sciences"/>
    <n v="1"/>
    <n v="0"/>
    <n v="0"/>
    <n v="0"/>
    <n v="0"/>
    <n v="2"/>
    <x v="0"/>
    <n v="1"/>
    <n v="47"/>
    <n v="3"/>
    <n v="2"/>
    <s v="Laboratory Technician"/>
    <n v="0"/>
    <n v="0"/>
    <n v="1"/>
    <n v="0"/>
    <n v="0"/>
    <n v="0"/>
    <n v="0"/>
    <n v="0"/>
    <x v="1"/>
    <s v="Married"/>
    <n v="0"/>
    <n v="1"/>
    <n v="5674"/>
    <n v="6927"/>
    <n v="7"/>
    <s v="No"/>
    <n v="0"/>
    <n v="15"/>
    <n v="3"/>
    <n v="3"/>
    <n v="1"/>
    <n v="11"/>
    <n v="3"/>
    <n v="3"/>
    <n v="9"/>
    <n v="8"/>
    <n v="0"/>
    <n v="8"/>
  </r>
  <r>
    <n v="32"/>
    <x v="1"/>
    <n v="0"/>
    <s v="Travel_Rarely"/>
    <n v="0"/>
    <n v="1"/>
    <n v="906"/>
    <s v="Sales"/>
    <n v="0"/>
    <n v="1"/>
    <n v="7"/>
    <n v="3"/>
    <s v="Life Sciences"/>
    <n v="1"/>
    <n v="0"/>
    <n v="0"/>
    <n v="0"/>
    <n v="0"/>
    <n v="4"/>
    <x v="1"/>
    <n v="0"/>
    <n v="91"/>
    <n v="2"/>
    <n v="2"/>
    <s v="Sales Executive"/>
    <n v="0"/>
    <n v="1"/>
    <n v="0"/>
    <n v="0"/>
    <n v="0"/>
    <n v="0"/>
    <n v="0"/>
    <n v="0"/>
    <x v="2"/>
    <s v="Married"/>
    <n v="0"/>
    <n v="1"/>
    <n v="5484"/>
    <n v="16985"/>
    <n v="1"/>
    <s v="No"/>
    <n v="0"/>
    <n v="14"/>
    <n v="3"/>
    <n v="3"/>
    <n v="1"/>
    <n v="13"/>
    <n v="3"/>
    <n v="2"/>
    <n v="13"/>
    <n v="8"/>
    <n v="4"/>
    <n v="8"/>
  </r>
  <r>
    <n v="38"/>
    <x v="1"/>
    <n v="0"/>
    <s v="Travel_Rarely"/>
    <n v="0"/>
    <n v="1"/>
    <n v="849"/>
    <s v="Research &amp; Development"/>
    <n v="1"/>
    <n v="0"/>
    <n v="25"/>
    <n v="2"/>
    <s v="Life Sciences"/>
    <n v="1"/>
    <n v="0"/>
    <n v="0"/>
    <n v="0"/>
    <n v="0"/>
    <n v="1"/>
    <x v="0"/>
    <n v="1"/>
    <n v="81"/>
    <n v="2"/>
    <n v="3"/>
    <s v="Research Director"/>
    <n v="0"/>
    <n v="0"/>
    <n v="0"/>
    <n v="0"/>
    <n v="0"/>
    <n v="0"/>
    <n v="0"/>
    <n v="0"/>
    <x v="1"/>
    <s v="Married"/>
    <n v="0"/>
    <n v="1"/>
    <n v="12061"/>
    <n v="26707"/>
    <n v="3"/>
    <s v="No"/>
    <n v="0"/>
    <n v="17"/>
    <n v="3"/>
    <n v="3"/>
    <n v="1"/>
    <n v="19"/>
    <n v="2"/>
    <n v="3"/>
    <n v="10"/>
    <n v="8"/>
    <n v="0"/>
    <n v="1"/>
  </r>
  <r>
    <n v="58"/>
    <x v="1"/>
    <n v="0"/>
    <s v="Non-Travel"/>
    <n v="0"/>
    <n v="0"/>
    <n v="390"/>
    <s v="Research &amp; Development"/>
    <n v="1"/>
    <n v="0"/>
    <n v="1"/>
    <n v="4"/>
    <s v="Life Sciences"/>
    <n v="1"/>
    <n v="0"/>
    <n v="0"/>
    <n v="0"/>
    <n v="0"/>
    <n v="4"/>
    <x v="1"/>
    <n v="0"/>
    <n v="32"/>
    <n v="1"/>
    <n v="2"/>
    <s v="Healthcare Representative"/>
    <n v="1"/>
    <n v="0"/>
    <n v="0"/>
    <n v="0"/>
    <n v="0"/>
    <n v="0"/>
    <n v="0"/>
    <n v="0"/>
    <x v="2"/>
    <s v="Divorced"/>
    <n v="0"/>
    <n v="0"/>
    <n v="5660"/>
    <n v="17056"/>
    <n v="2"/>
    <s v="Yes"/>
    <n v="1"/>
    <n v="13"/>
    <n v="3"/>
    <n v="4"/>
    <n v="1"/>
    <n v="12"/>
    <n v="2"/>
    <n v="3"/>
    <n v="5"/>
    <n v="3"/>
    <n v="1"/>
    <n v="2"/>
  </r>
  <r>
    <n v="31"/>
    <x v="1"/>
    <n v="0"/>
    <s v="Travel_Rarely"/>
    <n v="0"/>
    <n v="1"/>
    <n v="691"/>
    <s v="Research &amp; Development"/>
    <n v="1"/>
    <n v="0"/>
    <n v="5"/>
    <n v="4"/>
    <s v="Technical Degree"/>
    <n v="0"/>
    <n v="0"/>
    <n v="0"/>
    <n v="0"/>
    <n v="1"/>
    <n v="3"/>
    <x v="1"/>
    <n v="0"/>
    <n v="86"/>
    <n v="3"/>
    <n v="1"/>
    <s v="Research Scientist"/>
    <n v="0"/>
    <n v="0"/>
    <n v="0"/>
    <n v="0"/>
    <n v="0"/>
    <n v="0"/>
    <n v="0"/>
    <n v="1"/>
    <x v="0"/>
    <s v="Married"/>
    <n v="0"/>
    <n v="1"/>
    <n v="4821"/>
    <n v="10077"/>
    <n v="0"/>
    <s v="Yes"/>
    <n v="1"/>
    <n v="12"/>
    <n v="3"/>
    <n v="3"/>
    <n v="1"/>
    <n v="6"/>
    <n v="4"/>
    <n v="3"/>
    <n v="5"/>
    <n v="2"/>
    <n v="0"/>
    <n v="3"/>
  </r>
  <r>
    <n v="31"/>
    <x v="1"/>
    <n v="0"/>
    <s v="Travel_Rarely"/>
    <n v="0"/>
    <n v="1"/>
    <n v="106"/>
    <s v="Human Resources"/>
    <n v="0"/>
    <n v="0"/>
    <n v="2"/>
    <n v="3"/>
    <s v="Human Resources"/>
    <n v="0"/>
    <n v="0"/>
    <n v="0"/>
    <n v="0"/>
    <n v="0"/>
    <n v="1"/>
    <x v="1"/>
    <n v="0"/>
    <n v="62"/>
    <n v="2"/>
    <n v="2"/>
    <s v="Human Resources"/>
    <n v="0"/>
    <n v="0"/>
    <n v="0"/>
    <n v="0"/>
    <n v="0"/>
    <n v="0"/>
    <n v="0"/>
    <n v="0"/>
    <x v="3"/>
    <s v="Married"/>
    <n v="0"/>
    <n v="1"/>
    <n v="6410"/>
    <n v="17822"/>
    <n v="3"/>
    <s v="No"/>
    <n v="0"/>
    <n v="12"/>
    <n v="3"/>
    <n v="4"/>
    <n v="0"/>
    <n v="9"/>
    <n v="1"/>
    <n v="3"/>
    <n v="2"/>
    <n v="2"/>
    <n v="1"/>
    <n v="0"/>
  </r>
  <r>
    <n v="45"/>
    <x v="1"/>
    <n v="0"/>
    <s v="Travel_Frequently"/>
    <n v="1"/>
    <n v="0"/>
    <n v="1249"/>
    <s v="Research &amp; Development"/>
    <n v="1"/>
    <n v="0"/>
    <n v="7"/>
    <n v="3"/>
    <s v="Life Sciences"/>
    <n v="1"/>
    <n v="0"/>
    <n v="0"/>
    <n v="0"/>
    <n v="0"/>
    <n v="1"/>
    <x v="1"/>
    <n v="0"/>
    <n v="97"/>
    <n v="3"/>
    <n v="3"/>
    <s v="Laboratory Technician"/>
    <n v="0"/>
    <n v="0"/>
    <n v="1"/>
    <n v="0"/>
    <n v="0"/>
    <n v="0"/>
    <n v="0"/>
    <n v="0"/>
    <x v="3"/>
    <s v="Divorced"/>
    <n v="0"/>
    <n v="0"/>
    <n v="5210"/>
    <n v="20308"/>
    <n v="1"/>
    <s v="No"/>
    <n v="0"/>
    <n v="18"/>
    <n v="3"/>
    <n v="1"/>
    <n v="1"/>
    <n v="24"/>
    <n v="2"/>
    <n v="3"/>
    <n v="24"/>
    <n v="9"/>
    <n v="9"/>
    <n v="11"/>
  </r>
  <r>
    <n v="31"/>
    <x v="1"/>
    <n v="0"/>
    <s v="Travel_Rarely"/>
    <n v="0"/>
    <n v="1"/>
    <n v="192"/>
    <s v="Research &amp; Development"/>
    <n v="1"/>
    <n v="0"/>
    <n v="2"/>
    <n v="4"/>
    <s v="Life Sciences"/>
    <n v="1"/>
    <n v="0"/>
    <n v="0"/>
    <n v="0"/>
    <n v="0"/>
    <n v="3"/>
    <x v="1"/>
    <n v="0"/>
    <n v="32"/>
    <n v="3"/>
    <n v="1"/>
    <s v="Research Scientist"/>
    <n v="0"/>
    <n v="0"/>
    <n v="0"/>
    <n v="0"/>
    <n v="0"/>
    <n v="0"/>
    <n v="0"/>
    <n v="1"/>
    <x v="0"/>
    <s v="Divorced"/>
    <n v="0"/>
    <n v="0"/>
    <n v="2695"/>
    <n v="7747"/>
    <n v="0"/>
    <s v="Yes"/>
    <n v="1"/>
    <n v="18"/>
    <n v="3"/>
    <n v="2"/>
    <n v="1"/>
    <n v="3"/>
    <n v="2"/>
    <n v="1"/>
    <n v="2"/>
    <n v="2"/>
    <n v="2"/>
    <n v="2"/>
  </r>
  <r>
    <n v="33"/>
    <x v="1"/>
    <n v="0"/>
    <s v="Travel_Frequently"/>
    <n v="1"/>
    <n v="0"/>
    <n v="553"/>
    <s v="Research &amp; Development"/>
    <n v="1"/>
    <n v="0"/>
    <n v="5"/>
    <n v="4"/>
    <s v="Life Sciences"/>
    <n v="1"/>
    <n v="0"/>
    <n v="0"/>
    <n v="0"/>
    <n v="0"/>
    <n v="4"/>
    <x v="0"/>
    <n v="1"/>
    <n v="74"/>
    <n v="3"/>
    <n v="3"/>
    <s v="Manager"/>
    <n v="0"/>
    <n v="0"/>
    <n v="0"/>
    <n v="1"/>
    <n v="0"/>
    <n v="0"/>
    <n v="0"/>
    <n v="0"/>
    <x v="1"/>
    <s v="Married"/>
    <n v="0"/>
    <n v="1"/>
    <n v="11878"/>
    <n v="23364"/>
    <n v="6"/>
    <s v="No"/>
    <n v="0"/>
    <n v="11"/>
    <n v="3"/>
    <n v="2"/>
    <n v="2"/>
    <n v="12"/>
    <n v="2"/>
    <n v="3"/>
    <n v="10"/>
    <n v="6"/>
    <n v="8"/>
    <n v="8"/>
  </r>
  <r>
    <n v="39"/>
    <x v="1"/>
    <n v="0"/>
    <s v="Travel_Rarely"/>
    <n v="0"/>
    <n v="1"/>
    <n v="117"/>
    <s v="Research &amp; Development"/>
    <n v="1"/>
    <n v="0"/>
    <n v="10"/>
    <n v="1"/>
    <s v="Medical"/>
    <n v="0"/>
    <n v="0"/>
    <n v="1"/>
    <n v="0"/>
    <n v="0"/>
    <n v="3"/>
    <x v="1"/>
    <n v="0"/>
    <n v="99"/>
    <n v="3"/>
    <n v="4"/>
    <s v="Manager"/>
    <n v="0"/>
    <n v="0"/>
    <n v="0"/>
    <n v="1"/>
    <n v="0"/>
    <n v="0"/>
    <n v="0"/>
    <n v="0"/>
    <x v="3"/>
    <s v="Married"/>
    <n v="0"/>
    <n v="1"/>
    <n v="17068"/>
    <n v="5355"/>
    <n v="1"/>
    <s v="Yes"/>
    <n v="1"/>
    <n v="14"/>
    <n v="3"/>
    <n v="4"/>
    <n v="0"/>
    <n v="21"/>
    <n v="3"/>
    <n v="3"/>
    <n v="21"/>
    <n v="9"/>
    <n v="11"/>
    <n v="10"/>
  </r>
  <r>
    <n v="43"/>
    <x v="1"/>
    <n v="0"/>
    <s v="Travel_Frequently"/>
    <n v="1"/>
    <n v="0"/>
    <n v="185"/>
    <s v="Research &amp; Development"/>
    <n v="1"/>
    <n v="0"/>
    <n v="10"/>
    <n v="4"/>
    <s v="Life Sciences"/>
    <n v="1"/>
    <n v="0"/>
    <n v="0"/>
    <n v="0"/>
    <n v="0"/>
    <n v="3"/>
    <x v="0"/>
    <n v="1"/>
    <n v="33"/>
    <n v="3"/>
    <n v="1"/>
    <s v="Laboratory Technician"/>
    <n v="0"/>
    <n v="0"/>
    <n v="1"/>
    <n v="0"/>
    <n v="0"/>
    <n v="0"/>
    <n v="0"/>
    <n v="0"/>
    <x v="0"/>
    <s v="Single"/>
    <n v="1"/>
    <n v="0"/>
    <n v="2455"/>
    <n v="10675"/>
    <n v="0"/>
    <s v="No"/>
    <n v="0"/>
    <n v="19"/>
    <n v="3"/>
    <n v="1"/>
    <n v="0"/>
    <n v="9"/>
    <n v="5"/>
    <n v="3"/>
    <n v="8"/>
    <n v="7"/>
    <n v="1"/>
    <n v="7"/>
  </r>
  <r>
    <n v="49"/>
    <x v="1"/>
    <n v="0"/>
    <s v="Travel_Rarely"/>
    <n v="0"/>
    <n v="1"/>
    <n v="1091"/>
    <s v="Research &amp; Development"/>
    <n v="1"/>
    <n v="0"/>
    <n v="1"/>
    <n v="2"/>
    <s v="Technical Degree"/>
    <n v="0"/>
    <n v="0"/>
    <n v="0"/>
    <n v="0"/>
    <n v="1"/>
    <n v="3"/>
    <x v="0"/>
    <n v="1"/>
    <n v="90"/>
    <n v="2"/>
    <n v="4"/>
    <s v="Healthcare Representative"/>
    <n v="1"/>
    <n v="0"/>
    <n v="0"/>
    <n v="0"/>
    <n v="0"/>
    <n v="0"/>
    <n v="0"/>
    <n v="0"/>
    <x v="2"/>
    <s v="Single"/>
    <n v="1"/>
    <n v="0"/>
    <n v="13964"/>
    <n v="17810"/>
    <n v="7"/>
    <s v="Yes"/>
    <n v="1"/>
    <n v="12"/>
    <n v="3"/>
    <n v="4"/>
    <n v="0"/>
    <n v="25"/>
    <n v="2"/>
    <n v="3"/>
    <n v="7"/>
    <n v="1"/>
    <n v="0"/>
    <n v="7"/>
  </r>
  <r>
    <n v="52"/>
    <x v="0"/>
    <n v="1"/>
    <s v="Travel_Rarely"/>
    <n v="0"/>
    <n v="1"/>
    <n v="723"/>
    <s v="Research &amp; Development"/>
    <n v="1"/>
    <n v="0"/>
    <n v="8"/>
    <n v="4"/>
    <s v="Medical"/>
    <n v="0"/>
    <n v="0"/>
    <n v="1"/>
    <n v="0"/>
    <n v="0"/>
    <n v="3"/>
    <x v="1"/>
    <n v="0"/>
    <n v="85"/>
    <n v="2"/>
    <n v="2"/>
    <s v="Research Scientist"/>
    <n v="0"/>
    <n v="0"/>
    <n v="0"/>
    <n v="0"/>
    <n v="0"/>
    <n v="0"/>
    <n v="0"/>
    <n v="1"/>
    <x v="1"/>
    <s v="Married"/>
    <n v="0"/>
    <n v="1"/>
    <n v="4941"/>
    <n v="17747"/>
    <n v="2"/>
    <s v="No"/>
    <n v="0"/>
    <n v="15"/>
    <n v="3"/>
    <n v="1"/>
    <n v="0"/>
    <n v="11"/>
    <n v="3"/>
    <n v="2"/>
    <n v="8"/>
    <n v="2"/>
    <n v="7"/>
    <n v="7"/>
  </r>
  <r>
    <n v="27"/>
    <x v="1"/>
    <n v="0"/>
    <s v="Travel_Rarely"/>
    <n v="0"/>
    <n v="1"/>
    <n v="1220"/>
    <s v="Research &amp; Development"/>
    <n v="1"/>
    <n v="0"/>
    <n v="5"/>
    <n v="3"/>
    <s v="Life Sciences"/>
    <n v="1"/>
    <n v="0"/>
    <n v="0"/>
    <n v="0"/>
    <n v="0"/>
    <n v="3"/>
    <x v="0"/>
    <n v="1"/>
    <n v="85"/>
    <n v="3"/>
    <n v="1"/>
    <s v="Research Scientist"/>
    <n v="0"/>
    <n v="0"/>
    <n v="0"/>
    <n v="0"/>
    <n v="0"/>
    <n v="0"/>
    <n v="0"/>
    <n v="1"/>
    <x v="1"/>
    <s v="Single"/>
    <n v="1"/>
    <n v="0"/>
    <n v="2478"/>
    <n v="20938"/>
    <n v="1"/>
    <s v="Yes"/>
    <n v="1"/>
    <n v="12"/>
    <n v="3"/>
    <n v="2"/>
    <n v="0"/>
    <n v="4"/>
    <n v="2"/>
    <n v="2"/>
    <n v="4"/>
    <n v="3"/>
    <n v="1"/>
    <n v="2"/>
  </r>
  <r>
    <n v="32"/>
    <x v="1"/>
    <n v="0"/>
    <s v="Travel_Rarely"/>
    <n v="0"/>
    <n v="1"/>
    <n v="588"/>
    <s v="Sales"/>
    <n v="0"/>
    <n v="1"/>
    <n v="8"/>
    <n v="2"/>
    <s v="Technical Degree"/>
    <n v="0"/>
    <n v="0"/>
    <n v="0"/>
    <n v="0"/>
    <n v="1"/>
    <n v="3"/>
    <x v="0"/>
    <n v="1"/>
    <n v="65"/>
    <n v="2"/>
    <n v="2"/>
    <s v="Sales Executive"/>
    <n v="0"/>
    <n v="1"/>
    <n v="0"/>
    <n v="0"/>
    <n v="0"/>
    <n v="0"/>
    <n v="0"/>
    <n v="0"/>
    <x v="1"/>
    <s v="Married"/>
    <n v="0"/>
    <n v="1"/>
    <n v="5228"/>
    <n v="24624"/>
    <n v="1"/>
    <s v="Yes"/>
    <n v="1"/>
    <n v="11"/>
    <n v="3"/>
    <n v="4"/>
    <n v="0"/>
    <n v="13"/>
    <n v="2"/>
    <n v="3"/>
    <n v="13"/>
    <n v="12"/>
    <n v="11"/>
    <n v="9"/>
  </r>
  <r>
    <n v="27"/>
    <x v="1"/>
    <n v="0"/>
    <s v="Travel_Rarely"/>
    <n v="0"/>
    <n v="1"/>
    <n v="1377"/>
    <s v="Sales"/>
    <n v="0"/>
    <n v="1"/>
    <n v="2"/>
    <n v="3"/>
    <s v="Life Sciences"/>
    <n v="1"/>
    <n v="0"/>
    <n v="0"/>
    <n v="0"/>
    <n v="0"/>
    <n v="4"/>
    <x v="1"/>
    <n v="0"/>
    <n v="74"/>
    <n v="3"/>
    <n v="2"/>
    <s v="Sales Executive"/>
    <n v="0"/>
    <n v="1"/>
    <n v="0"/>
    <n v="0"/>
    <n v="0"/>
    <n v="0"/>
    <n v="0"/>
    <n v="0"/>
    <x v="2"/>
    <s v="Single"/>
    <n v="1"/>
    <n v="0"/>
    <n v="4478"/>
    <n v="5242"/>
    <n v="1"/>
    <s v="Yes"/>
    <n v="1"/>
    <n v="11"/>
    <n v="3"/>
    <n v="1"/>
    <n v="0"/>
    <n v="5"/>
    <n v="3"/>
    <n v="3"/>
    <n v="5"/>
    <n v="4"/>
    <n v="0"/>
    <n v="4"/>
  </r>
  <r>
    <n v="31"/>
    <x v="1"/>
    <n v="0"/>
    <s v="Travel_Rarely"/>
    <n v="0"/>
    <n v="1"/>
    <n v="691"/>
    <s v="Sales"/>
    <n v="0"/>
    <n v="1"/>
    <n v="7"/>
    <n v="3"/>
    <s v="Marketing"/>
    <n v="0"/>
    <n v="0"/>
    <n v="0"/>
    <n v="1"/>
    <n v="0"/>
    <n v="4"/>
    <x v="1"/>
    <n v="0"/>
    <n v="73"/>
    <n v="3"/>
    <n v="2"/>
    <s v="Sales Executive"/>
    <n v="0"/>
    <n v="1"/>
    <n v="0"/>
    <n v="0"/>
    <n v="0"/>
    <n v="0"/>
    <n v="0"/>
    <n v="0"/>
    <x v="0"/>
    <s v="Divorced"/>
    <n v="0"/>
    <n v="0"/>
    <n v="7547"/>
    <n v="7143"/>
    <n v="4"/>
    <s v="No"/>
    <n v="0"/>
    <n v="12"/>
    <n v="3"/>
    <n v="4"/>
    <n v="3"/>
    <n v="13"/>
    <n v="3"/>
    <n v="3"/>
    <n v="7"/>
    <n v="7"/>
    <n v="1"/>
    <n v="7"/>
  </r>
  <r>
    <n v="32"/>
    <x v="1"/>
    <n v="0"/>
    <s v="Travel_Rarely"/>
    <n v="0"/>
    <n v="1"/>
    <n v="1018"/>
    <s v="Research &amp; Development"/>
    <n v="1"/>
    <n v="0"/>
    <n v="2"/>
    <n v="4"/>
    <s v="Medical"/>
    <n v="0"/>
    <n v="0"/>
    <n v="1"/>
    <n v="0"/>
    <n v="0"/>
    <n v="1"/>
    <x v="0"/>
    <n v="1"/>
    <n v="74"/>
    <n v="4"/>
    <n v="2"/>
    <s v="Research Scientist"/>
    <n v="0"/>
    <n v="0"/>
    <n v="0"/>
    <n v="0"/>
    <n v="0"/>
    <n v="0"/>
    <n v="0"/>
    <n v="1"/>
    <x v="0"/>
    <s v="Single"/>
    <n v="1"/>
    <n v="0"/>
    <n v="5055"/>
    <n v="10557"/>
    <n v="7"/>
    <s v="No"/>
    <n v="0"/>
    <n v="16"/>
    <n v="3"/>
    <n v="3"/>
    <n v="0"/>
    <n v="10"/>
    <n v="0"/>
    <n v="2"/>
    <n v="7"/>
    <n v="7"/>
    <n v="0"/>
    <n v="7"/>
  </r>
  <r>
    <n v="28"/>
    <x v="0"/>
    <n v="1"/>
    <s v="Travel_Rarely"/>
    <n v="0"/>
    <n v="1"/>
    <n v="1157"/>
    <s v="Research &amp; Development"/>
    <n v="1"/>
    <n v="0"/>
    <n v="2"/>
    <n v="4"/>
    <s v="Medical"/>
    <n v="0"/>
    <n v="0"/>
    <n v="1"/>
    <n v="0"/>
    <n v="0"/>
    <n v="1"/>
    <x v="1"/>
    <n v="0"/>
    <n v="84"/>
    <n v="1"/>
    <n v="1"/>
    <s v="Research Scientist"/>
    <n v="0"/>
    <n v="0"/>
    <n v="0"/>
    <n v="0"/>
    <n v="0"/>
    <n v="0"/>
    <n v="0"/>
    <n v="1"/>
    <x v="0"/>
    <s v="Married"/>
    <n v="0"/>
    <n v="1"/>
    <n v="3464"/>
    <n v="24737"/>
    <n v="5"/>
    <s v="Yes"/>
    <n v="1"/>
    <n v="13"/>
    <n v="3"/>
    <n v="4"/>
    <n v="0"/>
    <n v="5"/>
    <n v="4"/>
    <n v="2"/>
    <n v="3"/>
    <n v="2"/>
    <n v="2"/>
    <n v="2"/>
  </r>
  <r>
    <n v="30"/>
    <x v="1"/>
    <n v="0"/>
    <s v="Travel_Rarely"/>
    <n v="0"/>
    <n v="1"/>
    <n v="1275"/>
    <s v="Research &amp; Development"/>
    <n v="1"/>
    <n v="0"/>
    <n v="28"/>
    <n v="2"/>
    <s v="Medical"/>
    <n v="0"/>
    <n v="0"/>
    <n v="1"/>
    <n v="0"/>
    <n v="0"/>
    <n v="4"/>
    <x v="0"/>
    <n v="1"/>
    <n v="64"/>
    <n v="3"/>
    <n v="2"/>
    <s v="Research Scientist"/>
    <n v="0"/>
    <n v="0"/>
    <n v="0"/>
    <n v="0"/>
    <n v="0"/>
    <n v="0"/>
    <n v="0"/>
    <n v="1"/>
    <x v="0"/>
    <s v="Married"/>
    <n v="0"/>
    <n v="1"/>
    <n v="5775"/>
    <n v="11934"/>
    <n v="1"/>
    <s v="No"/>
    <n v="0"/>
    <n v="13"/>
    <n v="3"/>
    <n v="4"/>
    <n v="2"/>
    <n v="11"/>
    <n v="2"/>
    <n v="3"/>
    <n v="10"/>
    <n v="8"/>
    <n v="1"/>
    <n v="9"/>
  </r>
  <r>
    <n v="31"/>
    <x v="1"/>
    <n v="0"/>
    <s v="Travel_Frequently"/>
    <n v="1"/>
    <n v="0"/>
    <n v="798"/>
    <s v="Research &amp; Development"/>
    <n v="1"/>
    <n v="0"/>
    <n v="7"/>
    <n v="2"/>
    <s v="Life Sciences"/>
    <n v="1"/>
    <n v="0"/>
    <n v="0"/>
    <n v="0"/>
    <n v="0"/>
    <n v="3"/>
    <x v="0"/>
    <n v="1"/>
    <n v="48"/>
    <n v="2"/>
    <n v="3"/>
    <s v="Manufacturing Director"/>
    <n v="0"/>
    <n v="0"/>
    <n v="0"/>
    <n v="0"/>
    <n v="1"/>
    <n v="1"/>
    <n v="0"/>
    <n v="0"/>
    <x v="2"/>
    <s v="Married"/>
    <n v="0"/>
    <n v="1"/>
    <n v="8943"/>
    <n v="14034"/>
    <n v="1"/>
    <s v="No"/>
    <n v="0"/>
    <n v="24"/>
    <n v="4"/>
    <n v="1"/>
    <n v="1"/>
    <n v="10"/>
    <n v="2"/>
    <n v="3"/>
    <n v="10"/>
    <n v="9"/>
    <n v="8"/>
    <n v="9"/>
  </r>
  <r>
    <n v="39"/>
    <x v="1"/>
    <n v="0"/>
    <s v="Travel_Frequently"/>
    <n v="1"/>
    <n v="0"/>
    <n v="672"/>
    <s v="Research &amp; Development"/>
    <n v="1"/>
    <n v="0"/>
    <n v="7"/>
    <n v="2"/>
    <s v="Medical"/>
    <n v="0"/>
    <n v="0"/>
    <n v="1"/>
    <n v="0"/>
    <n v="0"/>
    <n v="3"/>
    <x v="1"/>
    <n v="0"/>
    <n v="54"/>
    <n v="2"/>
    <n v="5"/>
    <s v="Manager"/>
    <n v="0"/>
    <n v="0"/>
    <n v="0"/>
    <n v="1"/>
    <n v="0"/>
    <n v="0"/>
    <n v="0"/>
    <n v="0"/>
    <x v="0"/>
    <s v="Married"/>
    <n v="0"/>
    <n v="1"/>
    <n v="19272"/>
    <n v="21141"/>
    <n v="1"/>
    <s v="No"/>
    <n v="0"/>
    <n v="15"/>
    <n v="3"/>
    <n v="1"/>
    <n v="1"/>
    <n v="21"/>
    <n v="2"/>
    <n v="3"/>
    <n v="21"/>
    <n v="9"/>
    <n v="13"/>
    <n v="3"/>
  </r>
  <r>
    <n v="39"/>
    <x v="0"/>
    <n v="1"/>
    <s v="Travel_Rarely"/>
    <n v="0"/>
    <n v="1"/>
    <n v="1162"/>
    <s v="Sales"/>
    <n v="0"/>
    <n v="1"/>
    <n v="3"/>
    <n v="2"/>
    <s v="Medical"/>
    <n v="0"/>
    <n v="0"/>
    <n v="1"/>
    <n v="0"/>
    <n v="0"/>
    <n v="4"/>
    <x v="0"/>
    <n v="1"/>
    <n v="41"/>
    <n v="3"/>
    <n v="2"/>
    <s v="Sales Executive"/>
    <n v="0"/>
    <n v="1"/>
    <n v="0"/>
    <n v="0"/>
    <n v="0"/>
    <n v="0"/>
    <n v="0"/>
    <n v="0"/>
    <x v="2"/>
    <s v="Married"/>
    <n v="0"/>
    <n v="1"/>
    <n v="5238"/>
    <n v="17778"/>
    <n v="4"/>
    <s v="Yes"/>
    <n v="1"/>
    <n v="18"/>
    <n v="3"/>
    <n v="1"/>
    <n v="0"/>
    <n v="12"/>
    <n v="3"/>
    <n v="2"/>
    <n v="1"/>
    <n v="0"/>
    <n v="0"/>
    <n v="0"/>
  </r>
  <r>
    <n v="33"/>
    <x v="1"/>
    <n v="0"/>
    <s v="Travel_Frequently"/>
    <n v="1"/>
    <n v="0"/>
    <n v="508"/>
    <s v="Sales"/>
    <n v="0"/>
    <n v="1"/>
    <n v="10"/>
    <n v="3"/>
    <s v="Marketing"/>
    <n v="0"/>
    <n v="0"/>
    <n v="0"/>
    <n v="1"/>
    <n v="0"/>
    <n v="2"/>
    <x v="1"/>
    <n v="0"/>
    <n v="46"/>
    <n v="2"/>
    <n v="2"/>
    <s v="Sales Executive"/>
    <n v="0"/>
    <n v="1"/>
    <n v="0"/>
    <n v="0"/>
    <n v="0"/>
    <n v="0"/>
    <n v="0"/>
    <n v="0"/>
    <x v="0"/>
    <s v="Single"/>
    <n v="1"/>
    <n v="0"/>
    <n v="4682"/>
    <n v="4317"/>
    <n v="3"/>
    <s v="No"/>
    <n v="0"/>
    <n v="14"/>
    <n v="3"/>
    <n v="3"/>
    <n v="0"/>
    <n v="9"/>
    <n v="6"/>
    <n v="2"/>
    <n v="7"/>
    <n v="7"/>
    <n v="0"/>
    <n v="1"/>
  </r>
  <r>
    <n v="47"/>
    <x v="1"/>
    <n v="0"/>
    <s v="Travel_Rarely"/>
    <n v="0"/>
    <n v="1"/>
    <n v="1482"/>
    <s v="Research &amp; Development"/>
    <n v="1"/>
    <n v="0"/>
    <n v="5"/>
    <n v="5"/>
    <s v="Life Sciences"/>
    <n v="1"/>
    <n v="0"/>
    <n v="0"/>
    <n v="0"/>
    <n v="0"/>
    <n v="4"/>
    <x v="1"/>
    <n v="0"/>
    <n v="42"/>
    <n v="3"/>
    <n v="5"/>
    <s v="Research Director"/>
    <n v="0"/>
    <n v="0"/>
    <n v="0"/>
    <n v="0"/>
    <n v="0"/>
    <n v="0"/>
    <n v="0"/>
    <n v="0"/>
    <x v="2"/>
    <s v="Married"/>
    <n v="0"/>
    <n v="1"/>
    <n v="18300"/>
    <n v="16375"/>
    <n v="4"/>
    <s v="No"/>
    <n v="0"/>
    <n v="11"/>
    <n v="3"/>
    <n v="2"/>
    <n v="1"/>
    <n v="21"/>
    <n v="2"/>
    <n v="3"/>
    <n v="3"/>
    <n v="2"/>
    <n v="1"/>
    <n v="1"/>
  </r>
  <r>
    <n v="43"/>
    <x v="1"/>
    <n v="0"/>
    <s v="Travel_Frequently"/>
    <n v="1"/>
    <n v="0"/>
    <n v="559"/>
    <s v="Research &amp; Development"/>
    <n v="1"/>
    <n v="0"/>
    <n v="10"/>
    <n v="4"/>
    <s v="Life Sciences"/>
    <n v="1"/>
    <n v="0"/>
    <n v="0"/>
    <n v="0"/>
    <n v="0"/>
    <n v="3"/>
    <x v="0"/>
    <n v="1"/>
    <n v="82"/>
    <n v="2"/>
    <n v="2"/>
    <s v="Laboratory Technician"/>
    <n v="0"/>
    <n v="0"/>
    <n v="1"/>
    <n v="0"/>
    <n v="0"/>
    <n v="0"/>
    <n v="0"/>
    <n v="0"/>
    <x v="2"/>
    <s v="Divorced"/>
    <n v="0"/>
    <n v="0"/>
    <n v="5257"/>
    <n v="6227"/>
    <n v="1"/>
    <s v="No"/>
    <n v="0"/>
    <n v="11"/>
    <n v="3"/>
    <n v="2"/>
    <n v="1"/>
    <n v="9"/>
    <n v="3"/>
    <n v="4"/>
    <n v="9"/>
    <n v="7"/>
    <n v="0"/>
    <n v="0"/>
  </r>
  <r>
    <n v="27"/>
    <x v="1"/>
    <n v="0"/>
    <s v="Non-Travel"/>
    <n v="0"/>
    <n v="0"/>
    <n v="210"/>
    <s v="Sales"/>
    <n v="0"/>
    <n v="1"/>
    <n v="1"/>
    <n v="1"/>
    <s v="Marketing"/>
    <n v="0"/>
    <n v="0"/>
    <n v="0"/>
    <n v="1"/>
    <n v="0"/>
    <n v="3"/>
    <x v="1"/>
    <n v="0"/>
    <n v="73"/>
    <n v="3"/>
    <n v="2"/>
    <s v="Sales Executive"/>
    <n v="0"/>
    <n v="1"/>
    <n v="0"/>
    <n v="0"/>
    <n v="0"/>
    <n v="0"/>
    <n v="0"/>
    <n v="0"/>
    <x v="1"/>
    <s v="Married"/>
    <n v="0"/>
    <n v="1"/>
    <n v="6349"/>
    <n v="22107"/>
    <n v="0"/>
    <s v="Yes"/>
    <n v="1"/>
    <n v="13"/>
    <n v="3"/>
    <n v="4"/>
    <n v="1"/>
    <n v="6"/>
    <n v="0"/>
    <n v="3"/>
    <n v="5"/>
    <n v="4"/>
    <n v="1"/>
    <n v="4"/>
  </r>
  <r>
    <n v="54"/>
    <x v="1"/>
    <n v="0"/>
    <s v="Travel_Frequently"/>
    <n v="1"/>
    <n v="0"/>
    <n v="928"/>
    <s v="Research &amp; Development"/>
    <n v="1"/>
    <n v="0"/>
    <n v="20"/>
    <n v="4"/>
    <s v="Life Sciences"/>
    <n v="1"/>
    <n v="0"/>
    <n v="0"/>
    <n v="0"/>
    <n v="0"/>
    <n v="4"/>
    <x v="0"/>
    <n v="1"/>
    <n v="31"/>
    <n v="3"/>
    <n v="2"/>
    <s v="Research Scientist"/>
    <n v="0"/>
    <n v="0"/>
    <n v="0"/>
    <n v="0"/>
    <n v="0"/>
    <n v="0"/>
    <n v="0"/>
    <n v="1"/>
    <x v="2"/>
    <s v="Single"/>
    <n v="1"/>
    <n v="0"/>
    <n v="4869"/>
    <n v="16885"/>
    <n v="3"/>
    <s v="No"/>
    <n v="0"/>
    <n v="12"/>
    <n v="3"/>
    <n v="4"/>
    <n v="0"/>
    <n v="20"/>
    <n v="4"/>
    <n v="2"/>
    <n v="4"/>
    <n v="3"/>
    <n v="0"/>
    <n v="3"/>
  </r>
  <r>
    <n v="43"/>
    <x v="1"/>
    <n v="0"/>
    <s v="Travel_Rarely"/>
    <n v="0"/>
    <n v="1"/>
    <n v="1001"/>
    <s v="Research &amp; Development"/>
    <n v="1"/>
    <n v="0"/>
    <n v="7"/>
    <n v="3"/>
    <s v="Life Sciences"/>
    <n v="1"/>
    <n v="0"/>
    <n v="0"/>
    <n v="0"/>
    <n v="0"/>
    <n v="3"/>
    <x v="0"/>
    <n v="1"/>
    <n v="43"/>
    <n v="3"/>
    <n v="3"/>
    <s v="Healthcare Representative"/>
    <n v="1"/>
    <n v="0"/>
    <n v="0"/>
    <n v="0"/>
    <n v="0"/>
    <n v="0"/>
    <n v="0"/>
    <n v="0"/>
    <x v="3"/>
    <s v="Married"/>
    <n v="0"/>
    <n v="1"/>
    <n v="9985"/>
    <n v="9262"/>
    <n v="8"/>
    <s v="No"/>
    <n v="0"/>
    <n v="16"/>
    <n v="3"/>
    <n v="1"/>
    <n v="1"/>
    <n v="10"/>
    <n v="1"/>
    <n v="2"/>
    <n v="1"/>
    <n v="0"/>
    <n v="0"/>
    <n v="0"/>
  </r>
  <r>
    <n v="45"/>
    <x v="1"/>
    <n v="0"/>
    <s v="Travel_Rarely"/>
    <n v="0"/>
    <n v="1"/>
    <n v="549"/>
    <s v="Research &amp; Development"/>
    <n v="1"/>
    <n v="0"/>
    <n v="8"/>
    <n v="4"/>
    <s v="Other"/>
    <n v="0"/>
    <n v="1"/>
    <n v="0"/>
    <n v="0"/>
    <n v="0"/>
    <n v="4"/>
    <x v="1"/>
    <n v="0"/>
    <n v="75"/>
    <n v="3"/>
    <n v="2"/>
    <s v="Research Scientist"/>
    <n v="0"/>
    <n v="0"/>
    <n v="0"/>
    <n v="0"/>
    <n v="0"/>
    <n v="0"/>
    <n v="0"/>
    <n v="1"/>
    <x v="0"/>
    <s v="Married"/>
    <n v="0"/>
    <n v="1"/>
    <n v="3697"/>
    <n v="9278"/>
    <n v="9"/>
    <s v="No"/>
    <n v="0"/>
    <n v="14"/>
    <n v="3"/>
    <n v="1"/>
    <n v="2"/>
    <n v="12"/>
    <n v="3"/>
    <n v="3"/>
    <n v="10"/>
    <n v="9"/>
    <n v="9"/>
    <n v="8"/>
  </r>
  <r>
    <n v="40"/>
    <x v="1"/>
    <n v="0"/>
    <s v="Travel_Rarely"/>
    <n v="0"/>
    <n v="1"/>
    <n v="1124"/>
    <s v="Sales"/>
    <n v="0"/>
    <n v="1"/>
    <n v="1"/>
    <n v="2"/>
    <s v="Medical"/>
    <n v="0"/>
    <n v="0"/>
    <n v="1"/>
    <n v="0"/>
    <n v="0"/>
    <n v="2"/>
    <x v="1"/>
    <n v="0"/>
    <n v="57"/>
    <n v="1"/>
    <n v="2"/>
    <s v="Sales Executive"/>
    <n v="0"/>
    <n v="1"/>
    <n v="0"/>
    <n v="0"/>
    <n v="0"/>
    <n v="0"/>
    <n v="0"/>
    <n v="0"/>
    <x v="0"/>
    <s v="Married"/>
    <n v="0"/>
    <n v="1"/>
    <n v="7457"/>
    <n v="13273"/>
    <n v="2"/>
    <s v="Yes"/>
    <n v="1"/>
    <n v="22"/>
    <n v="4"/>
    <n v="3"/>
    <n v="3"/>
    <n v="6"/>
    <n v="2"/>
    <n v="2"/>
    <n v="4"/>
    <n v="3"/>
    <n v="0"/>
    <n v="2"/>
  </r>
  <r>
    <n v="29"/>
    <x v="0"/>
    <n v="1"/>
    <s v="Travel_Rarely"/>
    <n v="0"/>
    <n v="1"/>
    <n v="318"/>
    <s v="Research &amp; Development"/>
    <n v="1"/>
    <n v="0"/>
    <n v="8"/>
    <n v="4"/>
    <s v="Other"/>
    <n v="0"/>
    <n v="1"/>
    <n v="0"/>
    <n v="0"/>
    <n v="0"/>
    <n v="2"/>
    <x v="1"/>
    <n v="0"/>
    <n v="77"/>
    <n v="1"/>
    <n v="1"/>
    <s v="Laboratory Technician"/>
    <n v="0"/>
    <n v="0"/>
    <n v="1"/>
    <n v="0"/>
    <n v="0"/>
    <n v="0"/>
    <n v="0"/>
    <n v="0"/>
    <x v="3"/>
    <s v="Married"/>
    <n v="0"/>
    <n v="1"/>
    <n v="2119"/>
    <n v="4759"/>
    <n v="1"/>
    <s v="Yes"/>
    <n v="1"/>
    <n v="11"/>
    <n v="3"/>
    <n v="4"/>
    <n v="0"/>
    <n v="7"/>
    <n v="4"/>
    <n v="2"/>
    <n v="7"/>
    <n v="7"/>
    <n v="0"/>
    <n v="7"/>
  </r>
  <r>
    <n v="29"/>
    <x v="1"/>
    <n v="0"/>
    <s v="Travel_Rarely"/>
    <n v="0"/>
    <n v="1"/>
    <n v="738"/>
    <s v="Research &amp; Development"/>
    <n v="1"/>
    <n v="0"/>
    <n v="9"/>
    <n v="5"/>
    <s v="Other"/>
    <n v="0"/>
    <n v="1"/>
    <n v="0"/>
    <n v="0"/>
    <n v="0"/>
    <n v="2"/>
    <x v="1"/>
    <n v="0"/>
    <n v="30"/>
    <n v="2"/>
    <n v="1"/>
    <s v="Laboratory Technician"/>
    <n v="0"/>
    <n v="0"/>
    <n v="1"/>
    <n v="0"/>
    <n v="0"/>
    <n v="0"/>
    <n v="0"/>
    <n v="0"/>
    <x v="0"/>
    <s v="Single"/>
    <n v="1"/>
    <n v="0"/>
    <n v="3983"/>
    <n v="7621"/>
    <n v="0"/>
    <s v="No"/>
    <n v="0"/>
    <n v="17"/>
    <n v="3"/>
    <n v="3"/>
    <n v="0"/>
    <n v="4"/>
    <n v="2"/>
    <n v="3"/>
    <n v="3"/>
    <n v="2"/>
    <n v="2"/>
    <n v="2"/>
  </r>
  <r>
    <n v="30"/>
    <x v="1"/>
    <n v="0"/>
    <s v="Travel_Rarely"/>
    <n v="0"/>
    <n v="1"/>
    <n v="570"/>
    <s v="Sales"/>
    <n v="0"/>
    <n v="1"/>
    <n v="5"/>
    <n v="3"/>
    <s v="Marketing"/>
    <n v="0"/>
    <n v="0"/>
    <n v="0"/>
    <n v="1"/>
    <n v="0"/>
    <n v="4"/>
    <x v="0"/>
    <n v="1"/>
    <n v="30"/>
    <n v="2"/>
    <n v="2"/>
    <s v="Sales Executive"/>
    <n v="0"/>
    <n v="1"/>
    <n v="0"/>
    <n v="0"/>
    <n v="0"/>
    <n v="0"/>
    <n v="0"/>
    <n v="0"/>
    <x v="2"/>
    <s v="Divorced"/>
    <n v="0"/>
    <n v="0"/>
    <n v="6118"/>
    <n v="5431"/>
    <n v="1"/>
    <s v="No"/>
    <n v="0"/>
    <n v="13"/>
    <n v="3"/>
    <n v="3"/>
    <n v="3"/>
    <n v="10"/>
    <n v="2"/>
    <n v="3"/>
    <n v="10"/>
    <n v="9"/>
    <n v="1"/>
    <n v="2"/>
  </r>
  <r>
    <n v="27"/>
    <x v="1"/>
    <n v="0"/>
    <s v="Travel_Rarely"/>
    <n v="0"/>
    <n v="1"/>
    <n v="1130"/>
    <s v="Sales"/>
    <n v="0"/>
    <n v="1"/>
    <n v="8"/>
    <n v="4"/>
    <s v="Marketing"/>
    <n v="0"/>
    <n v="0"/>
    <n v="0"/>
    <n v="1"/>
    <n v="0"/>
    <n v="2"/>
    <x v="0"/>
    <n v="1"/>
    <n v="56"/>
    <n v="3"/>
    <n v="2"/>
    <s v="Sales Executive"/>
    <n v="0"/>
    <n v="1"/>
    <n v="0"/>
    <n v="0"/>
    <n v="0"/>
    <n v="0"/>
    <n v="0"/>
    <n v="0"/>
    <x v="1"/>
    <s v="Married"/>
    <n v="0"/>
    <n v="1"/>
    <n v="6214"/>
    <n v="3415"/>
    <n v="1"/>
    <s v="No"/>
    <n v="0"/>
    <n v="18"/>
    <n v="3"/>
    <n v="1"/>
    <n v="1"/>
    <n v="8"/>
    <n v="3"/>
    <n v="3"/>
    <n v="8"/>
    <n v="7"/>
    <n v="0"/>
    <n v="7"/>
  </r>
  <r>
    <n v="37"/>
    <x v="1"/>
    <n v="0"/>
    <s v="Travel_Rarely"/>
    <n v="0"/>
    <n v="1"/>
    <n v="1192"/>
    <s v="Research &amp; Development"/>
    <n v="1"/>
    <n v="0"/>
    <n v="5"/>
    <n v="2"/>
    <s v="Medical"/>
    <n v="0"/>
    <n v="0"/>
    <n v="1"/>
    <n v="0"/>
    <n v="0"/>
    <n v="4"/>
    <x v="1"/>
    <n v="0"/>
    <n v="61"/>
    <n v="3"/>
    <n v="2"/>
    <s v="Manufacturing Director"/>
    <n v="0"/>
    <n v="0"/>
    <n v="0"/>
    <n v="0"/>
    <n v="1"/>
    <n v="1"/>
    <n v="0"/>
    <n v="0"/>
    <x v="0"/>
    <s v="Divorced"/>
    <n v="0"/>
    <n v="0"/>
    <n v="6347"/>
    <n v="23177"/>
    <n v="7"/>
    <s v="No"/>
    <n v="0"/>
    <n v="16"/>
    <n v="3"/>
    <n v="3"/>
    <n v="2"/>
    <n v="8"/>
    <n v="2"/>
    <n v="2"/>
    <n v="6"/>
    <n v="2"/>
    <n v="0"/>
    <n v="4"/>
  </r>
  <r>
    <n v="38"/>
    <x v="1"/>
    <n v="0"/>
    <s v="Travel_Rarely"/>
    <n v="0"/>
    <n v="1"/>
    <n v="343"/>
    <s v="Research &amp; Development"/>
    <n v="1"/>
    <n v="0"/>
    <n v="15"/>
    <n v="2"/>
    <s v="Life Sciences"/>
    <n v="1"/>
    <n v="0"/>
    <n v="0"/>
    <n v="0"/>
    <n v="0"/>
    <n v="3"/>
    <x v="1"/>
    <n v="0"/>
    <n v="92"/>
    <n v="2"/>
    <n v="3"/>
    <s v="Research Director"/>
    <n v="0"/>
    <n v="0"/>
    <n v="0"/>
    <n v="0"/>
    <n v="0"/>
    <n v="0"/>
    <n v="0"/>
    <n v="0"/>
    <x v="0"/>
    <s v="Divorced"/>
    <n v="0"/>
    <n v="0"/>
    <n v="11510"/>
    <n v="15682"/>
    <n v="0"/>
    <s v="Yes"/>
    <n v="1"/>
    <n v="14"/>
    <n v="3"/>
    <n v="2"/>
    <n v="1"/>
    <n v="12"/>
    <n v="3"/>
    <n v="3"/>
    <n v="11"/>
    <n v="10"/>
    <n v="2"/>
    <n v="9"/>
  </r>
  <r>
    <n v="31"/>
    <x v="1"/>
    <n v="0"/>
    <s v="Travel_Rarely"/>
    <n v="0"/>
    <n v="1"/>
    <n v="1232"/>
    <s v="Research &amp; Development"/>
    <n v="1"/>
    <n v="0"/>
    <n v="7"/>
    <n v="4"/>
    <s v="Medical"/>
    <n v="0"/>
    <n v="0"/>
    <n v="1"/>
    <n v="0"/>
    <n v="0"/>
    <n v="3"/>
    <x v="0"/>
    <n v="1"/>
    <n v="39"/>
    <n v="3"/>
    <n v="3"/>
    <s v="Manufacturing Director"/>
    <n v="0"/>
    <n v="0"/>
    <n v="0"/>
    <n v="0"/>
    <n v="1"/>
    <n v="1"/>
    <n v="0"/>
    <n v="0"/>
    <x v="0"/>
    <s v="Single"/>
    <n v="1"/>
    <n v="0"/>
    <n v="7143"/>
    <n v="25713"/>
    <n v="1"/>
    <s v="Yes"/>
    <n v="1"/>
    <n v="14"/>
    <n v="3"/>
    <n v="3"/>
    <n v="0"/>
    <n v="11"/>
    <n v="2"/>
    <n v="2"/>
    <n v="11"/>
    <n v="9"/>
    <n v="4"/>
    <n v="10"/>
  </r>
  <r>
    <n v="29"/>
    <x v="1"/>
    <n v="0"/>
    <s v="Travel_Rarely"/>
    <n v="0"/>
    <n v="1"/>
    <n v="144"/>
    <s v="Sales"/>
    <n v="0"/>
    <n v="1"/>
    <n v="10"/>
    <n v="1"/>
    <s v="Marketing"/>
    <n v="0"/>
    <n v="0"/>
    <n v="0"/>
    <n v="1"/>
    <n v="0"/>
    <n v="4"/>
    <x v="0"/>
    <n v="1"/>
    <n v="39"/>
    <n v="2"/>
    <n v="2"/>
    <s v="Sales Executive"/>
    <n v="0"/>
    <n v="1"/>
    <n v="0"/>
    <n v="0"/>
    <n v="0"/>
    <n v="0"/>
    <n v="0"/>
    <n v="0"/>
    <x v="1"/>
    <s v="Divorced"/>
    <n v="0"/>
    <n v="0"/>
    <n v="8268"/>
    <n v="11866"/>
    <n v="1"/>
    <s v="Yes"/>
    <n v="1"/>
    <n v="14"/>
    <n v="3"/>
    <n v="1"/>
    <n v="2"/>
    <n v="7"/>
    <n v="2"/>
    <n v="3"/>
    <n v="7"/>
    <n v="7"/>
    <n v="1"/>
    <n v="7"/>
  </r>
  <r>
    <n v="35"/>
    <x v="1"/>
    <n v="0"/>
    <s v="Travel_Rarely"/>
    <n v="0"/>
    <n v="1"/>
    <n v="1296"/>
    <s v="Research &amp; Development"/>
    <n v="1"/>
    <n v="0"/>
    <n v="5"/>
    <n v="4"/>
    <s v="Technical Degree"/>
    <n v="0"/>
    <n v="0"/>
    <n v="0"/>
    <n v="0"/>
    <n v="1"/>
    <n v="3"/>
    <x v="1"/>
    <n v="0"/>
    <n v="62"/>
    <n v="3"/>
    <n v="3"/>
    <s v="Manufacturing Director"/>
    <n v="0"/>
    <n v="0"/>
    <n v="0"/>
    <n v="0"/>
    <n v="1"/>
    <n v="1"/>
    <n v="0"/>
    <n v="0"/>
    <x v="1"/>
    <s v="Single"/>
    <n v="1"/>
    <n v="0"/>
    <n v="8095"/>
    <n v="18264"/>
    <n v="0"/>
    <s v="No"/>
    <n v="0"/>
    <n v="13"/>
    <n v="3"/>
    <n v="4"/>
    <n v="0"/>
    <n v="17"/>
    <n v="5"/>
    <n v="3"/>
    <n v="16"/>
    <n v="6"/>
    <n v="0"/>
    <n v="13"/>
  </r>
  <r>
    <n v="23"/>
    <x v="1"/>
    <n v="0"/>
    <s v="Travel_Rarely"/>
    <n v="0"/>
    <n v="1"/>
    <n v="1309"/>
    <s v="Research &amp; Development"/>
    <n v="1"/>
    <n v="0"/>
    <n v="26"/>
    <n v="1"/>
    <s v="Life Sciences"/>
    <n v="1"/>
    <n v="0"/>
    <n v="0"/>
    <n v="0"/>
    <n v="0"/>
    <n v="3"/>
    <x v="1"/>
    <n v="0"/>
    <n v="83"/>
    <n v="3"/>
    <n v="1"/>
    <s v="Research Scientist"/>
    <n v="0"/>
    <n v="0"/>
    <n v="0"/>
    <n v="0"/>
    <n v="0"/>
    <n v="0"/>
    <n v="0"/>
    <n v="1"/>
    <x v="0"/>
    <s v="Divorced"/>
    <n v="0"/>
    <n v="0"/>
    <n v="2904"/>
    <n v="16092"/>
    <n v="1"/>
    <s v="No"/>
    <n v="0"/>
    <n v="12"/>
    <n v="3"/>
    <n v="3"/>
    <n v="2"/>
    <n v="4"/>
    <n v="2"/>
    <n v="2"/>
    <n v="4"/>
    <n v="2"/>
    <n v="0"/>
    <n v="2"/>
  </r>
  <r>
    <n v="41"/>
    <x v="1"/>
    <n v="0"/>
    <s v="Travel_Rarely"/>
    <n v="0"/>
    <n v="1"/>
    <n v="483"/>
    <s v="Research &amp; Development"/>
    <n v="1"/>
    <n v="0"/>
    <n v="6"/>
    <n v="3"/>
    <s v="Medical"/>
    <n v="0"/>
    <n v="0"/>
    <n v="1"/>
    <n v="0"/>
    <n v="0"/>
    <n v="4"/>
    <x v="1"/>
    <n v="0"/>
    <n v="95"/>
    <n v="2"/>
    <n v="2"/>
    <s v="Manufacturing Director"/>
    <n v="0"/>
    <n v="0"/>
    <n v="0"/>
    <n v="0"/>
    <n v="1"/>
    <n v="1"/>
    <n v="0"/>
    <n v="0"/>
    <x v="1"/>
    <s v="Single"/>
    <n v="1"/>
    <n v="0"/>
    <n v="6032"/>
    <n v="10110"/>
    <n v="6"/>
    <s v="Yes"/>
    <n v="1"/>
    <n v="15"/>
    <n v="3"/>
    <n v="4"/>
    <n v="0"/>
    <n v="8"/>
    <n v="3"/>
    <n v="3"/>
    <n v="5"/>
    <n v="4"/>
    <n v="1"/>
    <n v="2"/>
  </r>
  <r>
    <n v="47"/>
    <x v="1"/>
    <n v="0"/>
    <s v="Travel_Frequently"/>
    <n v="1"/>
    <n v="0"/>
    <n v="1309"/>
    <s v="Sales"/>
    <n v="0"/>
    <n v="1"/>
    <n v="4"/>
    <n v="1"/>
    <s v="Medical"/>
    <n v="0"/>
    <n v="0"/>
    <n v="1"/>
    <n v="0"/>
    <n v="0"/>
    <n v="2"/>
    <x v="1"/>
    <n v="0"/>
    <n v="99"/>
    <n v="3"/>
    <n v="2"/>
    <s v="Sales Representative"/>
    <n v="0"/>
    <n v="0"/>
    <n v="0"/>
    <n v="0"/>
    <n v="0"/>
    <n v="0"/>
    <n v="1"/>
    <n v="0"/>
    <x v="2"/>
    <s v="Single"/>
    <n v="1"/>
    <n v="0"/>
    <n v="2976"/>
    <n v="25751"/>
    <n v="3"/>
    <s v="No"/>
    <n v="0"/>
    <n v="19"/>
    <n v="3"/>
    <n v="1"/>
    <n v="0"/>
    <n v="5"/>
    <n v="3"/>
    <n v="3"/>
    <n v="0"/>
    <n v="0"/>
    <n v="0"/>
    <n v="0"/>
  </r>
  <r>
    <n v="42"/>
    <x v="1"/>
    <n v="0"/>
    <s v="Travel_Rarely"/>
    <n v="0"/>
    <n v="1"/>
    <n v="810"/>
    <s v="Research &amp; Development"/>
    <n v="1"/>
    <n v="0"/>
    <n v="23"/>
    <n v="5"/>
    <s v="Life Sciences"/>
    <n v="1"/>
    <n v="0"/>
    <n v="0"/>
    <n v="0"/>
    <n v="0"/>
    <n v="1"/>
    <x v="0"/>
    <n v="1"/>
    <n v="44"/>
    <n v="3"/>
    <n v="4"/>
    <s v="Research Director"/>
    <n v="0"/>
    <n v="0"/>
    <n v="0"/>
    <n v="0"/>
    <n v="0"/>
    <n v="0"/>
    <n v="0"/>
    <n v="0"/>
    <x v="0"/>
    <s v="Single"/>
    <n v="1"/>
    <n v="0"/>
    <n v="15992"/>
    <n v="15901"/>
    <n v="2"/>
    <s v="No"/>
    <n v="0"/>
    <n v="14"/>
    <n v="3"/>
    <n v="2"/>
    <n v="0"/>
    <n v="16"/>
    <n v="2"/>
    <n v="3"/>
    <n v="1"/>
    <n v="0"/>
    <n v="0"/>
    <n v="0"/>
  </r>
  <r>
    <n v="29"/>
    <x v="1"/>
    <n v="0"/>
    <s v="Non-Travel"/>
    <n v="0"/>
    <n v="0"/>
    <n v="746"/>
    <s v="Sales"/>
    <n v="0"/>
    <n v="1"/>
    <n v="2"/>
    <n v="3"/>
    <s v="Life Sciences"/>
    <n v="1"/>
    <n v="0"/>
    <n v="0"/>
    <n v="0"/>
    <n v="0"/>
    <n v="4"/>
    <x v="1"/>
    <n v="0"/>
    <n v="61"/>
    <n v="3"/>
    <n v="2"/>
    <s v="Sales Executive"/>
    <n v="0"/>
    <n v="1"/>
    <n v="0"/>
    <n v="0"/>
    <n v="0"/>
    <n v="0"/>
    <n v="0"/>
    <n v="0"/>
    <x v="2"/>
    <s v="Married"/>
    <n v="0"/>
    <n v="1"/>
    <n v="4649"/>
    <n v="16928"/>
    <n v="1"/>
    <s v="No"/>
    <n v="0"/>
    <n v="14"/>
    <n v="3"/>
    <n v="1"/>
    <n v="1"/>
    <n v="4"/>
    <n v="3"/>
    <n v="2"/>
    <n v="4"/>
    <n v="3"/>
    <n v="0"/>
    <n v="2"/>
  </r>
  <r>
    <n v="42"/>
    <x v="1"/>
    <n v="0"/>
    <s v="Travel_Rarely"/>
    <n v="0"/>
    <n v="1"/>
    <n v="544"/>
    <s v="Human Resources"/>
    <n v="0"/>
    <n v="0"/>
    <n v="2"/>
    <n v="1"/>
    <s v="Technical Degree"/>
    <n v="0"/>
    <n v="0"/>
    <n v="0"/>
    <n v="0"/>
    <n v="1"/>
    <n v="3"/>
    <x v="1"/>
    <n v="0"/>
    <n v="52"/>
    <n v="3"/>
    <n v="1"/>
    <s v="Human Resources"/>
    <n v="0"/>
    <n v="0"/>
    <n v="0"/>
    <n v="0"/>
    <n v="0"/>
    <n v="0"/>
    <n v="0"/>
    <n v="0"/>
    <x v="2"/>
    <s v="Divorced"/>
    <n v="0"/>
    <n v="0"/>
    <n v="2696"/>
    <n v="24017"/>
    <n v="0"/>
    <s v="Yes"/>
    <n v="1"/>
    <n v="11"/>
    <n v="3"/>
    <n v="3"/>
    <n v="1"/>
    <n v="4"/>
    <n v="5"/>
    <n v="3"/>
    <n v="3"/>
    <n v="2"/>
    <n v="1"/>
    <n v="0"/>
  </r>
  <r>
    <n v="32"/>
    <x v="1"/>
    <n v="0"/>
    <s v="Travel_Rarely"/>
    <n v="0"/>
    <n v="1"/>
    <n v="1062"/>
    <s v="Research &amp; Development"/>
    <n v="1"/>
    <n v="0"/>
    <n v="2"/>
    <n v="3"/>
    <s v="Medical"/>
    <n v="0"/>
    <n v="0"/>
    <n v="1"/>
    <n v="0"/>
    <n v="0"/>
    <n v="3"/>
    <x v="0"/>
    <n v="1"/>
    <n v="75"/>
    <n v="3"/>
    <n v="1"/>
    <s v="Laboratory Technician"/>
    <n v="0"/>
    <n v="0"/>
    <n v="1"/>
    <n v="0"/>
    <n v="0"/>
    <n v="0"/>
    <n v="0"/>
    <n v="0"/>
    <x v="1"/>
    <s v="Married"/>
    <n v="0"/>
    <n v="1"/>
    <n v="2370"/>
    <n v="3956"/>
    <n v="1"/>
    <s v="No"/>
    <n v="0"/>
    <n v="13"/>
    <n v="3"/>
    <n v="3"/>
    <n v="1"/>
    <n v="8"/>
    <n v="4"/>
    <n v="3"/>
    <n v="8"/>
    <n v="0"/>
    <n v="0"/>
    <n v="7"/>
  </r>
  <r>
    <n v="48"/>
    <x v="1"/>
    <n v="0"/>
    <s v="Travel_Rarely"/>
    <n v="0"/>
    <n v="1"/>
    <n v="530"/>
    <s v="Sales"/>
    <n v="0"/>
    <n v="1"/>
    <n v="29"/>
    <n v="1"/>
    <s v="Medical"/>
    <n v="0"/>
    <n v="0"/>
    <n v="1"/>
    <n v="0"/>
    <n v="0"/>
    <n v="1"/>
    <x v="0"/>
    <n v="1"/>
    <n v="91"/>
    <n v="3"/>
    <n v="3"/>
    <s v="Manager"/>
    <n v="0"/>
    <n v="0"/>
    <n v="0"/>
    <n v="1"/>
    <n v="0"/>
    <n v="0"/>
    <n v="0"/>
    <n v="0"/>
    <x v="2"/>
    <s v="Married"/>
    <n v="0"/>
    <n v="1"/>
    <n v="12504"/>
    <n v="23978"/>
    <n v="3"/>
    <s v="No"/>
    <n v="0"/>
    <n v="21"/>
    <n v="4"/>
    <n v="2"/>
    <n v="1"/>
    <n v="15"/>
    <n v="3"/>
    <n v="1"/>
    <n v="0"/>
    <n v="0"/>
    <n v="0"/>
    <n v="0"/>
  </r>
  <r>
    <n v="37"/>
    <x v="1"/>
    <n v="0"/>
    <s v="Travel_Rarely"/>
    <n v="0"/>
    <n v="1"/>
    <n v="1319"/>
    <s v="Research &amp; Development"/>
    <n v="1"/>
    <n v="0"/>
    <n v="6"/>
    <n v="3"/>
    <s v="Medical"/>
    <n v="0"/>
    <n v="0"/>
    <n v="1"/>
    <n v="0"/>
    <n v="0"/>
    <n v="3"/>
    <x v="1"/>
    <n v="0"/>
    <n v="51"/>
    <n v="4"/>
    <n v="2"/>
    <s v="Research Scientist"/>
    <n v="0"/>
    <n v="0"/>
    <n v="0"/>
    <n v="0"/>
    <n v="0"/>
    <n v="0"/>
    <n v="0"/>
    <n v="1"/>
    <x v="3"/>
    <s v="Divorced"/>
    <n v="0"/>
    <n v="0"/>
    <n v="5974"/>
    <n v="17001"/>
    <n v="4"/>
    <s v="Yes"/>
    <n v="1"/>
    <n v="13"/>
    <n v="3"/>
    <n v="1"/>
    <n v="2"/>
    <n v="13"/>
    <n v="2"/>
    <n v="3"/>
    <n v="7"/>
    <n v="7"/>
    <n v="6"/>
    <n v="7"/>
  </r>
  <r>
    <n v="30"/>
    <x v="1"/>
    <n v="0"/>
    <s v="Non-Travel"/>
    <n v="0"/>
    <n v="0"/>
    <n v="641"/>
    <s v="Sales"/>
    <n v="0"/>
    <n v="1"/>
    <n v="25"/>
    <n v="2"/>
    <s v="Technical Degree"/>
    <n v="0"/>
    <n v="0"/>
    <n v="0"/>
    <n v="0"/>
    <n v="1"/>
    <n v="4"/>
    <x v="0"/>
    <n v="1"/>
    <n v="85"/>
    <n v="3"/>
    <n v="2"/>
    <s v="Sales Executive"/>
    <n v="0"/>
    <n v="1"/>
    <n v="0"/>
    <n v="0"/>
    <n v="0"/>
    <n v="0"/>
    <n v="0"/>
    <n v="0"/>
    <x v="2"/>
    <s v="Married"/>
    <n v="0"/>
    <n v="1"/>
    <n v="4736"/>
    <n v="6069"/>
    <n v="7"/>
    <s v="Yes"/>
    <n v="1"/>
    <n v="12"/>
    <n v="3"/>
    <n v="2"/>
    <n v="1"/>
    <n v="4"/>
    <n v="2"/>
    <n v="4"/>
    <n v="2"/>
    <n v="2"/>
    <n v="2"/>
    <n v="2"/>
  </r>
  <r>
    <n v="26"/>
    <x v="1"/>
    <n v="0"/>
    <s v="Travel_Rarely"/>
    <n v="0"/>
    <n v="1"/>
    <n v="933"/>
    <s v="Sales"/>
    <n v="0"/>
    <n v="1"/>
    <n v="1"/>
    <n v="3"/>
    <s v="Life Sciences"/>
    <n v="1"/>
    <n v="0"/>
    <n v="0"/>
    <n v="0"/>
    <n v="0"/>
    <n v="3"/>
    <x v="1"/>
    <n v="0"/>
    <n v="57"/>
    <n v="3"/>
    <n v="2"/>
    <s v="Sales Executive"/>
    <n v="0"/>
    <n v="1"/>
    <n v="0"/>
    <n v="0"/>
    <n v="0"/>
    <n v="0"/>
    <n v="0"/>
    <n v="0"/>
    <x v="2"/>
    <s v="Married"/>
    <n v="0"/>
    <n v="1"/>
    <n v="5296"/>
    <n v="20156"/>
    <n v="1"/>
    <s v="No"/>
    <n v="0"/>
    <n v="17"/>
    <n v="3"/>
    <n v="2"/>
    <n v="1"/>
    <n v="8"/>
    <n v="3"/>
    <n v="3"/>
    <n v="8"/>
    <n v="7"/>
    <n v="7"/>
    <n v="7"/>
  </r>
  <r>
    <n v="42"/>
    <x v="1"/>
    <n v="0"/>
    <s v="Travel_Rarely"/>
    <n v="0"/>
    <n v="1"/>
    <n v="1332"/>
    <s v="Research &amp; Development"/>
    <n v="1"/>
    <n v="0"/>
    <n v="2"/>
    <n v="4"/>
    <s v="Other"/>
    <n v="0"/>
    <n v="1"/>
    <n v="0"/>
    <n v="0"/>
    <n v="0"/>
    <n v="1"/>
    <x v="1"/>
    <n v="0"/>
    <n v="98"/>
    <n v="2"/>
    <n v="2"/>
    <s v="Healthcare Representative"/>
    <n v="1"/>
    <n v="0"/>
    <n v="0"/>
    <n v="0"/>
    <n v="0"/>
    <n v="0"/>
    <n v="0"/>
    <n v="0"/>
    <x v="0"/>
    <s v="Single"/>
    <n v="1"/>
    <n v="0"/>
    <n v="6781"/>
    <n v="17078"/>
    <n v="3"/>
    <s v="No"/>
    <n v="0"/>
    <n v="23"/>
    <n v="4"/>
    <n v="2"/>
    <n v="0"/>
    <n v="14"/>
    <n v="6"/>
    <n v="3"/>
    <n v="1"/>
    <n v="0"/>
    <n v="0"/>
    <n v="0"/>
  </r>
  <r>
    <n v="21"/>
    <x v="0"/>
    <n v="1"/>
    <s v="Travel_Frequently"/>
    <n v="1"/>
    <n v="0"/>
    <n v="756"/>
    <s v="Sales"/>
    <n v="0"/>
    <n v="1"/>
    <n v="1"/>
    <n v="1"/>
    <s v="Technical Degree"/>
    <n v="0"/>
    <n v="0"/>
    <n v="0"/>
    <n v="0"/>
    <n v="1"/>
    <n v="1"/>
    <x v="0"/>
    <n v="1"/>
    <n v="99"/>
    <n v="2"/>
    <n v="1"/>
    <s v="Sales Representative"/>
    <n v="0"/>
    <n v="0"/>
    <n v="0"/>
    <n v="0"/>
    <n v="0"/>
    <n v="0"/>
    <n v="1"/>
    <n v="0"/>
    <x v="1"/>
    <s v="Single"/>
    <n v="1"/>
    <n v="0"/>
    <n v="2174"/>
    <n v="9150"/>
    <n v="1"/>
    <s v="Yes"/>
    <n v="1"/>
    <n v="11"/>
    <n v="3"/>
    <n v="3"/>
    <n v="0"/>
    <n v="3"/>
    <n v="3"/>
    <n v="3"/>
    <n v="3"/>
    <n v="2"/>
    <n v="1"/>
    <n v="2"/>
  </r>
  <r>
    <n v="36"/>
    <x v="1"/>
    <n v="0"/>
    <s v="Non-Travel"/>
    <n v="0"/>
    <n v="0"/>
    <n v="845"/>
    <s v="Sales"/>
    <n v="0"/>
    <n v="1"/>
    <n v="1"/>
    <n v="5"/>
    <s v="Medical"/>
    <n v="0"/>
    <n v="0"/>
    <n v="1"/>
    <n v="0"/>
    <n v="0"/>
    <n v="4"/>
    <x v="0"/>
    <n v="1"/>
    <n v="45"/>
    <n v="3"/>
    <n v="2"/>
    <s v="Sales Executive"/>
    <n v="0"/>
    <n v="1"/>
    <n v="0"/>
    <n v="0"/>
    <n v="0"/>
    <n v="0"/>
    <n v="0"/>
    <n v="0"/>
    <x v="0"/>
    <s v="Single"/>
    <n v="1"/>
    <n v="0"/>
    <n v="6653"/>
    <n v="15276"/>
    <n v="4"/>
    <s v="No"/>
    <n v="0"/>
    <n v="15"/>
    <n v="3"/>
    <n v="2"/>
    <n v="0"/>
    <n v="7"/>
    <n v="6"/>
    <n v="3"/>
    <n v="1"/>
    <n v="0"/>
    <n v="0"/>
    <n v="0"/>
  </r>
  <r>
    <n v="36"/>
    <x v="1"/>
    <n v="0"/>
    <s v="Travel_Frequently"/>
    <n v="1"/>
    <n v="0"/>
    <n v="541"/>
    <s v="Sales"/>
    <n v="0"/>
    <n v="1"/>
    <n v="3"/>
    <n v="4"/>
    <s v="Medical"/>
    <n v="0"/>
    <n v="0"/>
    <n v="1"/>
    <n v="0"/>
    <n v="0"/>
    <n v="1"/>
    <x v="1"/>
    <n v="0"/>
    <n v="48"/>
    <n v="2"/>
    <n v="3"/>
    <s v="Sales Executive"/>
    <n v="0"/>
    <n v="1"/>
    <n v="0"/>
    <n v="0"/>
    <n v="0"/>
    <n v="0"/>
    <n v="0"/>
    <n v="0"/>
    <x v="0"/>
    <s v="Married"/>
    <n v="0"/>
    <n v="1"/>
    <n v="9699"/>
    <n v="7246"/>
    <n v="4"/>
    <s v="No"/>
    <n v="0"/>
    <n v="11"/>
    <n v="3"/>
    <n v="1"/>
    <n v="1"/>
    <n v="16"/>
    <n v="2"/>
    <n v="3"/>
    <n v="13"/>
    <n v="9"/>
    <n v="1"/>
    <n v="12"/>
  </r>
  <r>
    <n v="57"/>
    <x v="1"/>
    <n v="0"/>
    <s v="Travel_Rarely"/>
    <n v="0"/>
    <n v="1"/>
    <n v="593"/>
    <s v="Research &amp; Development"/>
    <n v="1"/>
    <n v="0"/>
    <n v="1"/>
    <n v="4"/>
    <s v="Medical"/>
    <n v="0"/>
    <n v="0"/>
    <n v="1"/>
    <n v="0"/>
    <n v="0"/>
    <n v="4"/>
    <x v="1"/>
    <n v="0"/>
    <n v="88"/>
    <n v="3"/>
    <n v="2"/>
    <s v="Healthcare Representative"/>
    <n v="1"/>
    <n v="0"/>
    <n v="0"/>
    <n v="0"/>
    <n v="0"/>
    <n v="0"/>
    <n v="0"/>
    <n v="0"/>
    <x v="2"/>
    <s v="Married"/>
    <n v="0"/>
    <n v="1"/>
    <n v="6755"/>
    <n v="2967"/>
    <n v="2"/>
    <s v="No"/>
    <n v="0"/>
    <n v="11"/>
    <n v="3"/>
    <n v="3"/>
    <n v="0"/>
    <n v="15"/>
    <n v="2"/>
    <n v="3"/>
    <n v="3"/>
    <n v="2"/>
    <n v="1"/>
    <n v="2"/>
  </r>
  <r>
    <n v="40"/>
    <x v="1"/>
    <n v="0"/>
    <s v="Travel_Rarely"/>
    <n v="0"/>
    <n v="1"/>
    <n v="1171"/>
    <s v="Research &amp; Development"/>
    <n v="1"/>
    <n v="0"/>
    <n v="10"/>
    <n v="4"/>
    <s v="Life Sciences"/>
    <n v="1"/>
    <n v="0"/>
    <n v="0"/>
    <n v="0"/>
    <n v="0"/>
    <n v="4"/>
    <x v="0"/>
    <n v="1"/>
    <n v="46"/>
    <n v="4"/>
    <n v="1"/>
    <s v="Laboratory Technician"/>
    <n v="0"/>
    <n v="0"/>
    <n v="1"/>
    <n v="0"/>
    <n v="0"/>
    <n v="0"/>
    <n v="0"/>
    <n v="0"/>
    <x v="2"/>
    <s v="Married"/>
    <n v="0"/>
    <n v="1"/>
    <n v="2213"/>
    <n v="22495"/>
    <n v="3"/>
    <s v="Yes"/>
    <n v="1"/>
    <n v="13"/>
    <n v="3"/>
    <n v="3"/>
    <n v="1"/>
    <n v="10"/>
    <n v="3"/>
    <n v="3"/>
    <n v="7"/>
    <n v="7"/>
    <n v="1"/>
    <n v="7"/>
  </r>
  <r>
    <n v="21"/>
    <x v="1"/>
    <n v="0"/>
    <s v="Non-Travel"/>
    <n v="0"/>
    <n v="0"/>
    <n v="895"/>
    <s v="Sales"/>
    <n v="0"/>
    <n v="1"/>
    <n v="9"/>
    <n v="2"/>
    <s v="Medical"/>
    <n v="0"/>
    <n v="0"/>
    <n v="1"/>
    <n v="0"/>
    <n v="0"/>
    <n v="1"/>
    <x v="1"/>
    <n v="0"/>
    <n v="39"/>
    <n v="3"/>
    <n v="1"/>
    <s v="Sales Representative"/>
    <n v="0"/>
    <n v="0"/>
    <n v="0"/>
    <n v="0"/>
    <n v="0"/>
    <n v="0"/>
    <n v="1"/>
    <n v="0"/>
    <x v="0"/>
    <s v="Single"/>
    <n v="1"/>
    <n v="0"/>
    <n v="2610"/>
    <n v="2851"/>
    <n v="1"/>
    <s v="No"/>
    <n v="0"/>
    <n v="24"/>
    <n v="4"/>
    <n v="3"/>
    <n v="0"/>
    <n v="3"/>
    <n v="3"/>
    <n v="2"/>
    <n v="3"/>
    <n v="2"/>
    <n v="2"/>
    <n v="2"/>
  </r>
  <r>
    <n v="33"/>
    <x v="0"/>
    <n v="1"/>
    <s v="Travel_Rarely"/>
    <n v="0"/>
    <n v="1"/>
    <n v="350"/>
    <s v="Sales"/>
    <n v="0"/>
    <n v="1"/>
    <n v="5"/>
    <n v="3"/>
    <s v="Marketing"/>
    <n v="0"/>
    <n v="0"/>
    <n v="0"/>
    <n v="1"/>
    <n v="0"/>
    <n v="4"/>
    <x v="0"/>
    <n v="1"/>
    <n v="34"/>
    <n v="3"/>
    <n v="1"/>
    <s v="Sales Representative"/>
    <n v="0"/>
    <n v="0"/>
    <n v="0"/>
    <n v="0"/>
    <n v="0"/>
    <n v="0"/>
    <n v="1"/>
    <n v="0"/>
    <x v="2"/>
    <s v="Single"/>
    <n v="1"/>
    <n v="0"/>
    <n v="2851"/>
    <n v="9150"/>
    <n v="1"/>
    <s v="Yes"/>
    <n v="1"/>
    <n v="13"/>
    <n v="3"/>
    <n v="2"/>
    <n v="0"/>
    <n v="1"/>
    <n v="2"/>
    <n v="3"/>
    <n v="1"/>
    <n v="0"/>
    <n v="0"/>
    <n v="0"/>
  </r>
  <r>
    <n v="37"/>
    <x v="1"/>
    <n v="0"/>
    <s v="Travel_Rarely"/>
    <n v="0"/>
    <n v="1"/>
    <n v="921"/>
    <s v="Research &amp; Development"/>
    <n v="1"/>
    <n v="0"/>
    <n v="10"/>
    <n v="3"/>
    <s v="Medical"/>
    <n v="0"/>
    <n v="0"/>
    <n v="1"/>
    <n v="0"/>
    <n v="0"/>
    <n v="3"/>
    <x v="0"/>
    <n v="1"/>
    <n v="98"/>
    <n v="3"/>
    <n v="1"/>
    <s v="Laboratory Technician"/>
    <n v="0"/>
    <n v="0"/>
    <n v="1"/>
    <n v="0"/>
    <n v="0"/>
    <n v="0"/>
    <n v="0"/>
    <n v="0"/>
    <x v="3"/>
    <s v="Married"/>
    <n v="0"/>
    <n v="1"/>
    <n v="3452"/>
    <n v="17663"/>
    <n v="6"/>
    <s v="No"/>
    <n v="0"/>
    <n v="20"/>
    <n v="4"/>
    <n v="2"/>
    <n v="1"/>
    <n v="17"/>
    <n v="3"/>
    <n v="3"/>
    <n v="5"/>
    <n v="4"/>
    <n v="0"/>
    <n v="3"/>
  </r>
  <r>
    <n v="46"/>
    <x v="1"/>
    <n v="0"/>
    <s v="Non-Travel"/>
    <n v="0"/>
    <n v="0"/>
    <n v="1144"/>
    <s v="Research &amp; Development"/>
    <n v="1"/>
    <n v="0"/>
    <n v="7"/>
    <n v="4"/>
    <s v="Medical"/>
    <n v="0"/>
    <n v="0"/>
    <n v="1"/>
    <n v="0"/>
    <n v="0"/>
    <n v="3"/>
    <x v="0"/>
    <n v="1"/>
    <n v="30"/>
    <n v="3"/>
    <n v="2"/>
    <s v="Manufacturing Director"/>
    <n v="0"/>
    <n v="0"/>
    <n v="0"/>
    <n v="0"/>
    <n v="1"/>
    <n v="1"/>
    <n v="0"/>
    <n v="0"/>
    <x v="2"/>
    <s v="Married"/>
    <n v="0"/>
    <n v="1"/>
    <n v="5258"/>
    <n v="16044"/>
    <n v="2"/>
    <s v="No"/>
    <n v="0"/>
    <n v="14"/>
    <n v="3"/>
    <n v="3"/>
    <n v="0"/>
    <n v="7"/>
    <n v="2"/>
    <n v="4"/>
    <n v="1"/>
    <n v="0"/>
    <n v="0"/>
    <n v="0"/>
  </r>
  <r>
    <n v="41"/>
    <x v="0"/>
    <n v="1"/>
    <s v="Travel_Frequently"/>
    <n v="1"/>
    <n v="0"/>
    <n v="143"/>
    <s v="Sales"/>
    <n v="0"/>
    <n v="1"/>
    <n v="4"/>
    <n v="3"/>
    <s v="Marketing"/>
    <n v="0"/>
    <n v="0"/>
    <n v="0"/>
    <n v="1"/>
    <n v="0"/>
    <n v="1"/>
    <x v="1"/>
    <n v="0"/>
    <n v="56"/>
    <n v="3"/>
    <n v="2"/>
    <s v="Sales Executive"/>
    <n v="0"/>
    <n v="1"/>
    <n v="0"/>
    <n v="0"/>
    <n v="0"/>
    <n v="0"/>
    <n v="0"/>
    <n v="0"/>
    <x v="1"/>
    <s v="Single"/>
    <n v="1"/>
    <n v="0"/>
    <n v="9355"/>
    <n v="9558"/>
    <n v="1"/>
    <s v="No"/>
    <n v="0"/>
    <n v="18"/>
    <n v="3"/>
    <n v="3"/>
    <n v="0"/>
    <n v="8"/>
    <n v="5"/>
    <n v="3"/>
    <n v="8"/>
    <n v="7"/>
    <n v="7"/>
    <n v="7"/>
  </r>
  <r>
    <n v="50"/>
    <x v="1"/>
    <n v="0"/>
    <s v="Travel_Rarely"/>
    <n v="0"/>
    <n v="1"/>
    <n v="1046"/>
    <s v="Research &amp; Development"/>
    <n v="1"/>
    <n v="0"/>
    <n v="10"/>
    <n v="3"/>
    <s v="Technical Degree"/>
    <n v="0"/>
    <n v="0"/>
    <n v="0"/>
    <n v="0"/>
    <n v="1"/>
    <n v="4"/>
    <x v="1"/>
    <n v="0"/>
    <n v="100"/>
    <n v="2"/>
    <n v="3"/>
    <s v="Healthcare Representative"/>
    <n v="1"/>
    <n v="0"/>
    <n v="0"/>
    <n v="0"/>
    <n v="0"/>
    <n v="0"/>
    <n v="0"/>
    <n v="0"/>
    <x v="0"/>
    <s v="Single"/>
    <n v="1"/>
    <n v="0"/>
    <n v="10496"/>
    <n v="2755"/>
    <n v="6"/>
    <s v="No"/>
    <n v="0"/>
    <n v="15"/>
    <n v="3"/>
    <n v="4"/>
    <n v="0"/>
    <n v="20"/>
    <n v="2"/>
    <n v="3"/>
    <n v="4"/>
    <n v="3"/>
    <n v="1"/>
    <n v="3"/>
  </r>
  <r>
    <n v="40"/>
    <x v="0"/>
    <n v="1"/>
    <s v="Travel_Rarely"/>
    <n v="0"/>
    <n v="1"/>
    <n v="575"/>
    <s v="Sales"/>
    <n v="0"/>
    <n v="1"/>
    <n v="22"/>
    <n v="2"/>
    <s v="Marketing"/>
    <n v="0"/>
    <n v="0"/>
    <n v="0"/>
    <n v="1"/>
    <n v="0"/>
    <n v="3"/>
    <x v="1"/>
    <n v="0"/>
    <n v="68"/>
    <n v="2"/>
    <n v="2"/>
    <s v="Sales Executive"/>
    <n v="0"/>
    <n v="1"/>
    <n v="0"/>
    <n v="0"/>
    <n v="0"/>
    <n v="0"/>
    <n v="0"/>
    <n v="0"/>
    <x v="2"/>
    <s v="Married"/>
    <n v="0"/>
    <n v="1"/>
    <n v="6380"/>
    <n v="6110"/>
    <n v="2"/>
    <s v="Yes"/>
    <n v="1"/>
    <n v="12"/>
    <n v="3"/>
    <n v="1"/>
    <n v="2"/>
    <n v="8"/>
    <n v="6"/>
    <n v="3"/>
    <n v="6"/>
    <n v="4"/>
    <n v="1"/>
    <n v="0"/>
  </r>
  <r>
    <n v="31"/>
    <x v="1"/>
    <n v="0"/>
    <s v="Travel_Rarely"/>
    <n v="0"/>
    <n v="1"/>
    <n v="408"/>
    <s v="Research &amp; Development"/>
    <n v="1"/>
    <n v="0"/>
    <n v="9"/>
    <n v="4"/>
    <s v="Life Sciences"/>
    <n v="1"/>
    <n v="0"/>
    <n v="0"/>
    <n v="0"/>
    <n v="0"/>
    <n v="3"/>
    <x v="1"/>
    <n v="0"/>
    <n v="42"/>
    <n v="2"/>
    <n v="1"/>
    <s v="Research Scientist"/>
    <n v="0"/>
    <n v="0"/>
    <n v="0"/>
    <n v="0"/>
    <n v="0"/>
    <n v="0"/>
    <n v="0"/>
    <n v="1"/>
    <x v="1"/>
    <s v="Single"/>
    <n v="1"/>
    <n v="0"/>
    <n v="2657"/>
    <n v="7551"/>
    <n v="0"/>
    <s v="Yes"/>
    <n v="1"/>
    <n v="16"/>
    <n v="3"/>
    <n v="4"/>
    <n v="0"/>
    <n v="3"/>
    <n v="5"/>
    <n v="3"/>
    <n v="2"/>
    <n v="2"/>
    <n v="2"/>
    <n v="2"/>
  </r>
  <r>
    <n v="21"/>
    <x v="0"/>
    <n v="1"/>
    <s v="Travel_Rarely"/>
    <n v="0"/>
    <n v="1"/>
    <n v="156"/>
    <s v="Sales"/>
    <n v="0"/>
    <n v="1"/>
    <n v="12"/>
    <n v="3"/>
    <s v="Life Sciences"/>
    <n v="1"/>
    <n v="0"/>
    <n v="0"/>
    <n v="0"/>
    <n v="0"/>
    <n v="3"/>
    <x v="0"/>
    <n v="1"/>
    <n v="90"/>
    <n v="4"/>
    <n v="1"/>
    <s v="Sales Representative"/>
    <n v="0"/>
    <n v="0"/>
    <n v="0"/>
    <n v="0"/>
    <n v="0"/>
    <n v="0"/>
    <n v="1"/>
    <n v="0"/>
    <x v="1"/>
    <s v="Single"/>
    <n v="1"/>
    <n v="0"/>
    <n v="2716"/>
    <n v="25422"/>
    <n v="1"/>
    <s v="No"/>
    <n v="0"/>
    <n v="15"/>
    <n v="3"/>
    <n v="4"/>
    <n v="0"/>
    <n v="1"/>
    <n v="0"/>
    <n v="3"/>
    <n v="1"/>
    <n v="0"/>
    <n v="0"/>
    <n v="0"/>
  </r>
  <r>
    <n v="29"/>
    <x v="1"/>
    <n v="0"/>
    <s v="Travel_Rarely"/>
    <n v="0"/>
    <n v="1"/>
    <n v="1283"/>
    <s v="Research &amp; Development"/>
    <n v="1"/>
    <n v="0"/>
    <n v="23"/>
    <n v="3"/>
    <s v="Life Sciences"/>
    <n v="1"/>
    <n v="0"/>
    <n v="0"/>
    <n v="0"/>
    <n v="0"/>
    <n v="4"/>
    <x v="1"/>
    <n v="0"/>
    <n v="54"/>
    <n v="3"/>
    <n v="1"/>
    <s v="Research Scientist"/>
    <n v="0"/>
    <n v="0"/>
    <n v="0"/>
    <n v="0"/>
    <n v="0"/>
    <n v="0"/>
    <n v="0"/>
    <n v="1"/>
    <x v="0"/>
    <s v="Single"/>
    <n v="1"/>
    <n v="0"/>
    <n v="2201"/>
    <n v="18168"/>
    <n v="9"/>
    <s v="No"/>
    <n v="0"/>
    <n v="16"/>
    <n v="3"/>
    <n v="4"/>
    <n v="0"/>
    <n v="6"/>
    <n v="4"/>
    <n v="3"/>
    <n v="3"/>
    <n v="2"/>
    <n v="1"/>
    <n v="2"/>
  </r>
  <r>
    <n v="35"/>
    <x v="1"/>
    <n v="0"/>
    <s v="Travel_Rarely"/>
    <n v="0"/>
    <n v="1"/>
    <n v="755"/>
    <s v="Research &amp; Development"/>
    <n v="1"/>
    <n v="0"/>
    <n v="9"/>
    <n v="4"/>
    <s v="Life Sciences"/>
    <n v="1"/>
    <n v="0"/>
    <n v="0"/>
    <n v="0"/>
    <n v="0"/>
    <n v="3"/>
    <x v="1"/>
    <n v="0"/>
    <n v="97"/>
    <n v="2"/>
    <n v="2"/>
    <s v="Healthcare Representative"/>
    <n v="1"/>
    <n v="0"/>
    <n v="0"/>
    <n v="0"/>
    <n v="0"/>
    <n v="0"/>
    <n v="0"/>
    <n v="0"/>
    <x v="1"/>
    <s v="Single"/>
    <n v="1"/>
    <n v="0"/>
    <n v="6540"/>
    <n v="19394"/>
    <n v="9"/>
    <s v="No"/>
    <n v="0"/>
    <n v="19"/>
    <n v="3"/>
    <n v="3"/>
    <n v="0"/>
    <n v="10"/>
    <n v="5"/>
    <n v="3"/>
    <n v="1"/>
    <n v="1"/>
    <n v="0"/>
    <n v="0"/>
  </r>
  <r>
    <n v="27"/>
    <x v="1"/>
    <n v="0"/>
    <s v="Travel_Rarely"/>
    <n v="0"/>
    <n v="1"/>
    <n v="1469"/>
    <s v="Research &amp; Development"/>
    <n v="1"/>
    <n v="0"/>
    <n v="1"/>
    <n v="2"/>
    <s v="Medical"/>
    <n v="0"/>
    <n v="0"/>
    <n v="1"/>
    <n v="0"/>
    <n v="0"/>
    <n v="4"/>
    <x v="1"/>
    <n v="0"/>
    <n v="82"/>
    <n v="3"/>
    <n v="1"/>
    <s v="Laboratory Technician"/>
    <n v="0"/>
    <n v="0"/>
    <n v="1"/>
    <n v="0"/>
    <n v="0"/>
    <n v="0"/>
    <n v="0"/>
    <n v="0"/>
    <x v="1"/>
    <s v="Divorced"/>
    <n v="0"/>
    <n v="0"/>
    <n v="3816"/>
    <n v="17881"/>
    <n v="1"/>
    <s v="No"/>
    <n v="0"/>
    <n v="11"/>
    <n v="3"/>
    <n v="2"/>
    <n v="1"/>
    <n v="5"/>
    <n v="2"/>
    <n v="3"/>
    <n v="5"/>
    <n v="2"/>
    <n v="0"/>
    <n v="4"/>
  </r>
  <r>
    <n v="28"/>
    <x v="1"/>
    <n v="0"/>
    <s v="Travel_Rarely"/>
    <n v="0"/>
    <n v="1"/>
    <n v="304"/>
    <s v="Sales"/>
    <n v="0"/>
    <n v="1"/>
    <n v="9"/>
    <n v="4"/>
    <s v="Life Sciences"/>
    <n v="1"/>
    <n v="0"/>
    <n v="0"/>
    <n v="0"/>
    <n v="0"/>
    <n v="2"/>
    <x v="1"/>
    <n v="0"/>
    <n v="92"/>
    <n v="3"/>
    <n v="2"/>
    <s v="Sales Executive"/>
    <n v="0"/>
    <n v="1"/>
    <n v="0"/>
    <n v="0"/>
    <n v="0"/>
    <n v="0"/>
    <n v="0"/>
    <n v="0"/>
    <x v="0"/>
    <s v="Single"/>
    <n v="1"/>
    <n v="0"/>
    <n v="5253"/>
    <n v="20750"/>
    <n v="1"/>
    <s v="No"/>
    <n v="0"/>
    <n v="16"/>
    <n v="3"/>
    <n v="4"/>
    <n v="0"/>
    <n v="7"/>
    <n v="1"/>
    <n v="3"/>
    <n v="7"/>
    <n v="5"/>
    <n v="0"/>
    <n v="7"/>
  </r>
  <r>
    <n v="49"/>
    <x v="1"/>
    <n v="0"/>
    <s v="Travel_Rarely"/>
    <n v="0"/>
    <n v="1"/>
    <n v="1261"/>
    <s v="Research &amp; Development"/>
    <n v="1"/>
    <n v="0"/>
    <n v="7"/>
    <n v="3"/>
    <s v="Other"/>
    <n v="0"/>
    <n v="1"/>
    <n v="0"/>
    <n v="0"/>
    <n v="0"/>
    <n v="2"/>
    <x v="1"/>
    <n v="0"/>
    <n v="31"/>
    <n v="2"/>
    <n v="3"/>
    <s v="Healthcare Representative"/>
    <n v="1"/>
    <n v="0"/>
    <n v="0"/>
    <n v="0"/>
    <n v="0"/>
    <n v="0"/>
    <n v="0"/>
    <n v="0"/>
    <x v="2"/>
    <s v="Single"/>
    <n v="1"/>
    <n v="0"/>
    <n v="10965"/>
    <n v="12066"/>
    <n v="8"/>
    <s v="No"/>
    <n v="0"/>
    <n v="24"/>
    <n v="4"/>
    <n v="3"/>
    <n v="0"/>
    <n v="26"/>
    <n v="2"/>
    <n v="3"/>
    <n v="5"/>
    <n v="2"/>
    <n v="0"/>
    <n v="0"/>
  </r>
  <r>
    <n v="51"/>
    <x v="1"/>
    <n v="0"/>
    <s v="Travel_Rarely"/>
    <n v="0"/>
    <n v="1"/>
    <n v="1178"/>
    <s v="Sales"/>
    <n v="0"/>
    <n v="1"/>
    <n v="14"/>
    <n v="2"/>
    <s v="Life Sciences"/>
    <n v="1"/>
    <n v="0"/>
    <n v="0"/>
    <n v="0"/>
    <n v="0"/>
    <n v="3"/>
    <x v="0"/>
    <n v="1"/>
    <n v="87"/>
    <n v="3"/>
    <n v="2"/>
    <s v="Sales Executive"/>
    <n v="0"/>
    <n v="1"/>
    <n v="0"/>
    <n v="0"/>
    <n v="0"/>
    <n v="0"/>
    <n v="0"/>
    <n v="0"/>
    <x v="0"/>
    <s v="Married"/>
    <n v="0"/>
    <n v="1"/>
    <n v="4936"/>
    <n v="14862"/>
    <n v="4"/>
    <s v="No"/>
    <n v="0"/>
    <n v="11"/>
    <n v="3"/>
    <n v="3"/>
    <n v="1"/>
    <n v="18"/>
    <n v="2"/>
    <n v="2"/>
    <n v="7"/>
    <n v="7"/>
    <n v="0"/>
    <n v="7"/>
  </r>
  <r>
    <n v="36"/>
    <x v="1"/>
    <n v="0"/>
    <s v="Travel_Rarely"/>
    <n v="0"/>
    <n v="1"/>
    <n v="329"/>
    <s v="Research &amp; Development"/>
    <n v="1"/>
    <n v="0"/>
    <n v="2"/>
    <n v="3"/>
    <s v="Life Sciences"/>
    <n v="1"/>
    <n v="0"/>
    <n v="0"/>
    <n v="0"/>
    <n v="0"/>
    <n v="4"/>
    <x v="0"/>
    <n v="1"/>
    <n v="96"/>
    <n v="3"/>
    <n v="1"/>
    <s v="Research Scientist"/>
    <n v="0"/>
    <n v="0"/>
    <n v="0"/>
    <n v="0"/>
    <n v="0"/>
    <n v="0"/>
    <n v="0"/>
    <n v="1"/>
    <x v="2"/>
    <s v="Married"/>
    <n v="0"/>
    <n v="1"/>
    <n v="2543"/>
    <n v="11868"/>
    <n v="4"/>
    <s v="No"/>
    <n v="0"/>
    <n v="13"/>
    <n v="3"/>
    <n v="2"/>
    <n v="1"/>
    <n v="6"/>
    <n v="3"/>
    <n v="3"/>
    <n v="2"/>
    <n v="2"/>
    <n v="2"/>
    <n v="2"/>
  </r>
  <r>
    <n v="34"/>
    <x v="0"/>
    <n v="1"/>
    <s v="Non-Travel"/>
    <n v="0"/>
    <n v="0"/>
    <n v="1362"/>
    <s v="Sales"/>
    <n v="0"/>
    <n v="1"/>
    <n v="19"/>
    <n v="3"/>
    <s v="Marketing"/>
    <n v="0"/>
    <n v="0"/>
    <n v="0"/>
    <n v="1"/>
    <n v="0"/>
    <n v="1"/>
    <x v="1"/>
    <n v="0"/>
    <n v="67"/>
    <n v="4"/>
    <n v="2"/>
    <s v="Sales Executive"/>
    <n v="0"/>
    <n v="1"/>
    <n v="0"/>
    <n v="0"/>
    <n v="0"/>
    <n v="0"/>
    <n v="0"/>
    <n v="0"/>
    <x v="0"/>
    <s v="Single"/>
    <n v="1"/>
    <n v="0"/>
    <n v="5304"/>
    <n v="4652"/>
    <n v="8"/>
    <s v="Yes"/>
    <n v="1"/>
    <n v="13"/>
    <n v="3"/>
    <n v="2"/>
    <n v="0"/>
    <n v="9"/>
    <n v="3"/>
    <n v="2"/>
    <n v="5"/>
    <n v="2"/>
    <n v="0"/>
    <n v="4"/>
  </r>
  <r>
    <n v="55"/>
    <x v="1"/>
    <n v="0"/>
    <s v="Travel_Rarely"/>
    <n v="0"/>
    <n v="1"/>
    <n v="1311"/>
    <s v="Research &amp; Development"/>
    <n v="1"/>
    <n v="0"/>
    <n v="2"/>
    <n v="3"/>
    <s v="Life Sciences"/>
    <n v="1"/>
    <n v="0"/>
    <n v="0"/>
    <n v="0"/>
    <n v="0"/>
    <n v="3"/>
    <x v="0"/>
    <n v="1"/>
    <n v="97"/>
    <n v="3"/>
    <n v="4"/>
    <s v="Manager"/>
    <n v="0"/>
    <n v="0"/>
    <n v="0"/>
    <n v="1"/>
    <n v="0"/>
    <n v="0"/>
    <n v="0"/>
    <n v="0"/>
    <x v="0"/>
    <s v="Single"/>
    <n v="1"/>
    <n v="0"/>
    <n v="16659"/>
    <n v="23258"/>
    <n v="2"/>
    <s v="Yes"/>
    <n v="1"/>
    <n v="13"/>
    <n v="3"/>
    <n v="3"/>
    <n v="0"/>
    <n v="30"/>
    <n v="2"/>
    <n v="3"/>
    <n v="5"/>
    <n v="4"/>
    <n v="1"/>
    <n v="2"/>
  </r>
  <r>
    <n v="24"/>
    <x v="1"/>
    <n v="0"/>
    <s v="Travel_Rarely"/>
    <n v="0"/>
    <n v="1"/>
    <n v="1371"/>
    <s v="Sales"/>
    <n v="0"/>
    <n v="1"/>
    <n v="10"/>
    <n v="4"/>
    <s v="Marketing"/>
    <n v="0"/>
    <n v="0"/>
    <n v="0"/>
    <n v="1"/>
    <n v="0"/>
    <n v="4"/>
    <x v="0"/>
    <n v="1"/>
    <n v="77"/>
    <n v="3"/>
    <n v="2"/>
    <s v="Sales Executive"/>
    <n v="0"/>
    <n v="1"/>
    <n v="0"/>
    <n v="0"/>
    <n v="0"/>
    <n v="0"/>
    <n v="0"/>
    <n v="0"/>
    <x v="2"/>
    <s v="Divorced"/>
    <n v="0"/>
    <n v="0"/>
    <n v="4260"/>
    <n v="5915"/>
    <n v="1"/>
    <s v="Yes"/>
    <n v="1"/>
    <n v="12"/>
    <n v="3"/>
    <n v="4"/>
    <n v="1"/>
    <n v="5"/>
    <n v="2"/>
    <n v="4"/>
    <n v="5"/>
    <n v="2"/>
    <n v="0"/>
    <n v="3"/>
  </r>
  <r>
    <n v="30"/>
    <x v="1"/>
    <n v="0"/>
    <s v="Travel_Rarely"/>
    <n v="0"/>
    <n v="1"/>
    <n v="202"/>
    <s v="Sales"/>
    <n v="0"/>
    <n v="1"/>
    <n v="2"/>
    <n v="1"/>
    <s v="Technical Degree"/>
    <n v="0"/>
    <n v="0"/>
    <n v="0"/>
    <n v="0"/>
    <n v="1"/>
    <n v="3"/>
    <x v="1"/>
    <n v="0"/>
    <n v="72"/>
    <n v="3"/>
    <n v="1"/>
    <s v="Sales Representative"/>
    <n v="0"/>
    <n v="0"/>
    <n v="0"/>
    <n v="0"/>
    <n v="0"/>
    <n v="0"/>
    <n v="1"/>
    <n v="0"/>
    <x v="1"/>
    <s v="Married"/>
    <n v="0"/>
    <n v="1"/>
    <n v="2476"/>
    <n v="17434"/>
    <n v="1"/>
    <s v="No"/>
    <n v="0"/>
    <n v="18"/>
    <n v="3"/>
    <n v="1"/>
    <n v="1"/>
    <n v="1"/>
    <n v="3"/>
    <n v="3"/>
    <n v="1"/>
    <n v="0"/>
    <n v="0"/>
    <n v="0"/>
  </r>
  <r>
    <n v="26"/>
    <x v="0"/>
    <n v="1"/>
    <s v="Travel_Frequently"/>
    <n v="1"/>
    <n v="0"/>
    <n v="575"/>
    <s v="Research &amp; Development"/>
    <n v="1"/>
    <n v="0"/>
    <n v="3"/>
    <n v="1"/>
    <s v="Technical Degree"/>
    <n v="0"/>
    <n v="0"/>
    <n v="0"/>
    <n v="0"/>
    <n v="1"/>
    <n v="3"/>
    <x v="1"/>
    <n v="0"/>
    <n v="73"/>
    <n v="3"/>
    <n v="1"/>
    <s v="Research Scientist"/>
    <n v="0"/>
    <n v="0"/>
    <n v="0"/>
    <n v="0"/>
    <n v="0"/>
    <n v="0"/>
    <n v="0"/>
    <n v="1"/>
    <x v="3"/>
    <s v="Single"/>
    <n v="1"/>
    <n v="0"/>
    <n v="3102"/>
    <n v="6582"/>
    <n v="0"/>
    <s v="No"/>
    <n v="0"/>
    <n v="22"/>
    <n v="4"/>
    <n v="3"/>
    <n v="0"/>
    <n v="7"/>
    <n v="2"/>
    <n v="3"/>
    <n v="6"/>
    <n v="4"/>
    <n v="0"/>
    <n v="4"/>
  </r>
  <r>
    <n v="22"/>
    <x v="1"/>
    <n v="0"/>
    <s v="Travel_Rarely"/>
    <n v="0"/>
    <n v="1"/>
    <n v="253"/>
    <s v="Research &amp; Development"/>
    <n v="1"/>
    <n v="0"/>
    <n v="11"/>
    <n v="3"/>
    <s v="Medical"/>
    <n v="0"/>
    <n v="0"/>
    <n v="1"/>
    <n v="0"/>
    <n v="0"/>
    <n v="1"/>
    <x v="0"/>
    <n v="1"/>
    <n v="43"/>
    <n v="3"/>
    <n v="1"/>
    <s v="Research Scientist"/>
    <n v="0"/>
    <n v="0"/>
    <n v="0"/>
    <n v="0"/>
    <n v="0"/>
    <n v="0"/>
    <n v="0"/>
    <n v="1"/>
    <x v="1"/>
    <s v="Married"/>
    <n v="0"/>
    <n v="1"/>
    <n v="2244"/>
    <n v="24440"/>
    <n v="1"/>
    <s v="No"/>
    <n v="0"/>
    <n v="13"/>
    <n v="3"/>
    <n v="4"/>
    <n v="1"/>
    <n v="2"/>
    <n v="1"/>
    <n v="3"/>
    <n v="2"/>
    <n v="1"/>
    <n v="1"/>
    <n v="2"/>
  </r>
  <r>
    <n v="36"/>
    <x v="1"/>
    <n v="0"/>
    <s v="Travel_Rarely"/>
    <n v="0"/>
    <n v="1"/>
    <n v="164"/>
    <s v="Sales"/>
    <n v="0"/>
    <n v="1"/>
    <n v="2"/>
    <n v="2"/>
    <s v="Medical"/>
    <n v="0"/>
    <n v="0"/>
    <n v="1"/>
    <n v="0"/>
    <n v="0"/>
    <n v="2"/>
    <x v="1"/>
    <n v="0"/>
    <n v="61"/>
    <n v="2"/>
    <n v="3"/>
    <s v="Sales Executive"/>
    <n v="0"/>
    <n v="1"/>
    <n v="0"/>
    <n v="0"/>
    <n v="0"/>
    <n v="0"/>
    <n v="0"/>
    <n v="0"/>
    <x v="2"/>
    <s v="Married"/>
    <n v="0"/>
    <n v="1"/>
    <n v="7596"/>
    <n v="3809"/>
    <n v="1"/>
    <s v="No"/>
    <n v="0"/>
    <n v="13"/>
    <n v="3"/>
    <n v="2"/>
    <n v="2"/>
    <n v="10"/>
    <n v="2"/>
    <n v="3"/>
    <n v="10"/>
    <n v="9"/>
    <n v="9"/>
    <n v="0"/>
  </r>
  <r>
    <n v="30"/>
    <x v="0"/>
    <n v="1"/>
    <s v="Travel_Frequently"/>
    <n v="1"/>
    <n v="0"/>
    <n v="464"/>
    <s v="Research &amp; Development"/>
    <n v="1"/>
    <n v="0"/>
    <n v="4"/>
    <n v="3"/>
    <s v="Technical Degree"/>
    <n v="0"/>
    <n v="0"/>
    <n v="0"/>
    <n v="0"/>
    <n v="1"/>
    <n v="3"/>
    <x v="1"/>
    <n v="0"/>
    <n v="40"/>
    <n v="3"/>
    <n v="1"/>
    <s v="Research Scientist"/>
    <n v="0"/>
    <n v="0"/>
    <n v="0"/>
    <n v="0"/>
    <n v="0"/>
    <n v="0"/>
    <n v="0"/>
    <n v="1"/>
    <x v="0"/>
    <s v="Single"/>
    <n v="1"/>
    <n v="0"/>
    <n v="2285"/>
    <n v="3427"/>
    <n v="9"/>
    <s v="Yes"/>
    <n v="1"/>
    <n v="23"/>
    <n v="4"/>
    <n v="3"/>
    <n v="0"/>
    <n v="3"/>
    <n v="4"/>
    <n v="3"/>
    <n v="1"/>
    <n v="0"/>
    <n v="0"/>
    <n v="0"/>
  </r>
  <r>
    <n v="37"/>
    <x v="1"/>
    <n v="0"/>
    <s v="Travel_Rarely"/>
    <n v="0"/>
    <n v="1"/>
    <n v="1107"/>
    <s v="Research &amp; Development"/>
    <n v="1"/>
    <n v="0"/>
    <n v="14"/>
    <n v="3"/>
    <s v="Life Sciences"/>
    <n v="1"/>
    <n v="0"/>
    <n v="0"/>
    <n v="0"/>
    <n v="0"/>
    <n v="4"/>
    <x v="0"/>
    <n v="1"/>
    <n v="95"/>
    <n v="3"/>
    <n v="1"/>
    <s v="Laboratory Technician"/>
    <n v="0"/>
    <n v="0"/>
    <n v="1"/>
    <n v="0"/>
    <n v="0"/>
    <n v="0"/>
    <n v="0"/>
    <n v="0"/>
    <x v="3"/>
    <s v="Divorced"/>
    <n v="0"/>
    <n v="0"/>
    <n v="3034"/>
    <n v="26914"/>
    <n v="1"/>
    <s v="No"/>
    <n v="0"/>
    <n v="12"/>
    <n v="3"/>
    <n v="3"/>
    <n v="1"/>
    <n v="18"/>
    <n v="2"/>
    <n v="2"/>
    <n v="18"/>
    <n v="7"/>
    <n v="12"/>
    <n v="17"/>
  </r>
  <r>
    <n v="40"/>
    <x v="1"/>
    <n v="0"/>
    <s v="Travel_Rarely"/>
    <n v="0"/>
    <n v="1"/>
    <n v="759"/>
    <s v="Sales"/>
    <n v="0"/>
    <n v="1"/>
    <n v="2"/>
    <n v="2"/>
    <s v="Marketing"/>
    <n v="0"/>
    <n v="0"/>
    <n v="0"/>
    <n v="1"/>
    <n v="0"/>
    <n v="4"/>
    <x v="0"/>
    <n v="1"/>
    <n v="46"/>
    <n v="3"/>
    <n v="2"/>
    <s v="Sales Executive"/>
    <n v="0"/>
    <n v="1"/>
    <n v="0"/>
    <n v="0"/>
    <n v="0"/>
    <n v="0"/>
    <n v="0"/>
    <n v="0"/>
    <x v="1"/>
    <s v="Divorced"/>
    <n v="0"/>
    <n v="0"/>
    <n v="5715"/>
    <n v="22553"/>
    <n v="7"/>
    <s v="No"/>
    <n v="0"/>
    <n v="12"/>
    <n v="3"/>
    <n v="3"/>
    <n v="2"/>
    <n v="8"/>
    <n v="5"/>
    <n v="3"/>
    <n v="5"/>
    <n v="4"/>
    <n v="1"/>
    <n v="3"/>
  </r>
  <r>
    <n v="42"/>
    <x v="1"/>
    <n v="0"/>
    <s v="Travel_Rarely"/>
    <n v="0"/>
    <n v="1"/>
    <n v="201"/>
    <s v="Research &amp; Development"/>
    <n v="1"/>
    <n v="0"/>
    <n v="1"/>
    <n v="4"/>
    <s v="Life Sciences"/>
    <n v="1"/>
    <n v="0"/>
    <n v="0"/>
    <n v="0"/>
    <n v="0"/>
    <n v="2"/>
    <x v="0"/>
    <n v="1"/>
    <n v="95"/>
    <n v="3"/>
    <n v="1"/>
    <s v="Laboratory Technician"/>
    <n v="0"/>
    <n v="0"/>
    <n v="1"/>
    <n v="0"/>
    <n v="0"/>
    <n v="0"/>
    <n v="0"/>
    <n v="0"/>
    <x v="3"/>
    <s v="Divorced"/>
    <n v="0"/>
    <n v="0"/>
    <n v="2576"/>
    <n v="20490"/>
    <n v="3"/>
    <s v="No"/>
    <n v="0"/>
    <n v="16"/>
    <n v="3"/>
    <n v="2"/>
    <n v="1"/>
    <n v="8"/>
    <n v="5"/>
    <n v="3"/>
    <n v="5"/>
    <n v="2"/>
    <n v="1"/>
    <n v="2"/>
  </r>
  <r>
    <n v="37"/>
    <x v="1"/>
    <n v="0"/>
    <s v="Travel_Rarely"/>
    <n v="0"/>
    <n v="1"/>
    <n v="1305"/>
    <s v="Research &amp; Development"/>
    <n v="1"/>
    <n v="0"/>
    <n v="10"/>
    <n v="4"/>
    <s v="Life Sciences"/>
    <n v="1"/>
    <n v="0"/>
    <n v="0"/>
    <n v="0"/>
    <n v="0"/>
    <n v="3"/>
    <x v="1"/>
    <n v="0"/>
    <n v="49"/>
    <n v="3"/>
    <n v="2"/>
    <s v="Manufacturing Director"/>
    <n v="0"/>
    <n v="0"/>
    <n v="0"/>
    <n v="0"/>
    <n v="1"/>
    <n v="1"/>
    <n v="0"/>
    <n v="0"/>
    <x v="1"/>
    <s v="Single"/>
    <n v="1"/>
    <n v="0"/>
    <n v="4197"/>
    <n v="21123"/>
    <n v="2"/>
    <s v="Yes"/>
    <n v="1"/>
    <n v="12"/>
    <n v="3"/>
    <n v="4"/>
    <n v="0"/>
    <n v="18"/>
    <n v="2"/>
    <n v="2"/>
    <n v="1"/>
    <n v="0"/>
    <n v="0"/>
    <n v="1"/>
  </r>
  <r>
    <n v="43"/>
    <x v="1"/>
    <n v="0"/>
    <s v="Travel_Rarely"/>
    <n v="0"/>
    <n v="1"/>
    <n v="982"/>
    <s v="Research &amp; Development"/>
    <n v="1"/>
    <n v="0"/>
    <n v="12"/>
    <n v="3"/>
    <s v="Life Sciences"/>
    <n v="1"/>
    <n v="0"/>
    <n v="0"/>
    <n v="0"/>
    <n v="0"/>
    <n v="1"/>
    <x v="1"/>
    <n v="0"/>
    <n v="59"/>
    <n v="2"/>
    <n v="4"/>
    <s v="Research Director"/>
    <n v="0"/>
    <n v="0"/>
    <n v="0"/>
    <n v="0"/>
    <n v="0"/>
    <n v="0"/>
    <n v="0"/>
    <n v="0"/>
    <x v="1"/>
    <s v="Divorced"/>
    <n v="0"/>
    <n v="0"/>
    <n v="14336"/>
    <n v="4345"/>
    <n v="1"/>
    <s v="No"/>
    <n v="0"/>
    <n v="11"/>
    <n v="3"/>
    <n v="3"/>
    <n v="1"/>
    <n v="25"/>
    <n v="3"/>
    <n v="3"/>
    <n v="25"/>
    <n v="10"/>
    <n v="3"/>
    <n v="9"/>
  </r>
  <r>
    <n v="40"/>
    <x v="1"/>
    <n v="0"/>
    <s v="Travel_Rarely"/>
    <n v="0"/>
    <n v="1"/>
    <n v="555"/>
    <s v="Research &amp; Development"/>
    <n v="1"/>
    <n v="0"/>
    <n v="2"/>
    <n v="3"/>
    <s v="Medical"/>
    <n v="0"/>
    <n v="0"/>
    <n v="1"/>
    <n v="0"/>
    <n v="0"/>
    <n v="2"/>
    <x v="0"/>
    <n v="1"/>
    <n v="78"/>
    <n v="2"/>
    <n v="2"/>
    <s v="Laboratory Technician"/>
    <n v="0"/>
    <n v="0"/>
    <n v="1"/>
    <n v="0"/>
    <n v="0"/>
    <n v="0"/>
    <n v="0"/>
    <n v="0"/>
    <x v="2"/>
    <s v="Married"/>
    <n v="0"/>
    <n v="1"/>
    <n v="3448"/>
    <n v="13436"/>
    <n v="6"/>
    <s v="No"/>
    <n v="0"/>
    <n v="22"/>
    <n v="4"/>
    <n v="2"/>
    <n v="1"/>
    <n v="20"/>
    <n v="3"/>
    <n v="3"/>
    <n v="1"/>
    <n v="0"/>
    <n v="0"/>
    <n v="0"/>
  </r>
  <r>
    <n v="54"/>
    <x v="1"/>
    <n v="0"/>
    <s v="Travel_Rarely"/>
    <n v="0"/>
    <n v="1"/>
    <n v="821"/>
    <s v="Research &amp; Development"/>
    <n v="1"/>
    <n v="0"/>
    <n v="5"/>
    <n v="2"/>
    <s v="Medical"/>
    <n v="0"/>
    <n v="0"/>
    <n v="1"/>
    <n v="0"/>
    <n v="0"/>
    <n v="1"/>
    <x v="1"/>
    <n v="0"/>
    <n v="86"/>
    <n v="3"/>
    <n v="5"/>
    <s v="Research Director"/>
    <n v="0"/>
    <n v="0"/>
    <n v="0"/>
    <n v="0"/>
    <n v="0"/>
    <n v="0"/>
    <n v="0"/>
    <n v="0"/>
    <x v="3"/>
    <s v="Married"/>
    <n v="0"/>
    <n v="1"/>
    <n v="19406"/>
    <n v="8509"/>
    <n v="4"/>
    <s v="No"/>
    <n v="0"/>
    <n v="11"/>
    <n v="3"/>
    <n v="3"/>
    <n v="1"/>
    <n v="24"/>
    <n v="4"/>
    <n v="2"/>
    <n v="4"/>
    <n v="2"/>
    <n v="1"/>
    <n v="2"/>
  </r>
  <r>
    <n v="34"/>
    <x v="1"/>
    <n v="0"/>
    <s v="Non-Travel"/>
    <n v="0"/>
    <n v="0"/>
    <n v="1381"/>
    <s v="Sales"/>
    <n v="0"/>
    <n v="1"/>
    <n v="4"/>
    <n v="4"/>
    <s v="Marketing"/>
    <n v="0"/>
    <n v="0"/>
    <n v="0"/>
    <n v="1"/>
    <n v="0"/>
    <n v="3"/>
    <x v="0"/>
    <n v="1"/>
    <n v="72"/>
    <n v="3"/>
    <n v="2"/>
    <s v="Sales Executive"/>
    <n v="0"/>
    <n v="1"/>
    <n v="0"/>
    <n v="0"/>
    <n v="0"/>
    <n v="0"/>
    <n v="0"/>
    <n v="0"/>
    <x v="2"/>
    <s v="Married"/>
    <n v="0"/>
    <n v="1"/>
    <n v="6538"/>
    <n v="12740"/>
    <n v="9"/>
    <s v="No"/>
    <n v="0"/>
    <n v="15"/>
    <n v="3"/>
    <n v="1"/>
    <n v="1"/>
    <n v="6"/>
    <n v="3"/>
    <n v="3"/>
    <n v="3"/>
    <n v="2"/>
    <n v="1"/>
    <n v="2"/>
  </r>
  <r>
    <n v="31"/>
    <x v="1"/>
    <n v="0"/>
    <s v="Travel_Rarely"/>
    <n v="0"/>
    <n v="1"/>
    <n v="480"/>
    <s v="Research &amp; Development"/>
    <n v="1"/>
    <n v="0"/>
    <n v="7"/>
    <n v="2"/>
    <s v="Medical"/>
    <n v="0"/>
    <n v="0"/>
    <n v="1"/>
    <n v="0"/>
    <n v="0"/>
    <n v="2"/>
    <x v="0"/>
    <n v="1"/>
    <n v="31"/>
    <n v="3"/>
    <n v="2"/>
    <s v="Manufacturing Director"/>
    <n v="0"/>
    <n v="0"/>
    <n v="0"/>
    <n v="0"/>
    <n v="1"/>
    <n v="1"/>
    <n v="0"/>
    <n v="0"/>
    <x v="3"/>
    <s v="Married"/>
    <n v="0"/>
    <n v="1"/>
    <n v="4306"/>
    <n v="4156"/>
    <n v="1"/>
    <s v="No"/>
    <n v="0"/>
    <n v="12"/>
    <n v="3"/>
    <n v="2"/>
    <n v="1"/>
    <n v="13"/>
    <n v="5"/>
    <n v="1"/>
    <n v="13"/>
    <n v="10"/>
    <n v="3"/>
    <n v="12"/>
  </r>
  <r>
    <n v="43"/>
    <x v="1"/>
    <n v="0"/>
    <s v="Travel_Frequently"/>
    <n v="1"/>
    <n v="0"/>
    <n v="313"/>
    <s v="Research &amp; Development"/>
    <n v="1"/>
    <n v="0"/>
    <n v="21"/>
    <n v="3"/>
    <s v="Medical"/>
    <n v="0"/>
    <n v="0"/>
    <n v="1"/>
    <n v="0"/>
    <n v="0"/>
    <n v="4"/>
    <x v="1"/>
    <n v="0"/>
    <n v="61"/>
    <n v="3"/>
    <n v="1"/>
    <s v="Laboratory Technician"/>
    <n v="0"/>
    <n v="0"/>
    <n v="1"/>
    <n v="0"/>
    <n v="0"/>
    <n v="0"/>
    <n v="0"/>
    <n v="0"/>
    <x v="0"/>
    <s v="Married"/>
    <n v="0"/>
    <n v="1"/>
    <n v="2258"/>
    <n v="15238"/>
    <n v="7"/>
    <s v="No"/>
    <n v="0"/>
    <n v="20"/>
    <n v="4"/>
    <n v="1"/>
    <n v="1"/>
    <n v="8"/>
    <n v="1"/>
    <n v="3"/>
    <n v="3"/>
    <n v="2"/>
    <n v="1"/>
    <n v="2"/>
  </r>
  <r>
    <n v="43"/>
    <x v="1"/>
    <n v="0"/>
    <s v="Travel_Rarely"/>
    <n v="0"/>
    <n v="1"/>
    <n v="1473"/>
    <s v="Research &amp; Development"/>
    <n v="1"/>
    <n v="0"/>
    <n v="8"/>
    <n v="4"/>
    <s v="Other"/>
    <n v="0"/>
    <n v="1"/>
    <n v="0"/>
    <n v="0"/>
    <n v="0"/>
    <n v="3"/>
    <x v="0"/>
    <n v="1"/>
    <n v="74"/>
    <n v="3"/>
    <n v="2"/>
    <s v="Healthcare Representative"/>
    <n v="1"/>
    <n v="0"/>
    <n v="0"/>
    <n v="0"/>
    <n v="0"/>
    <n v="0"/>
    <n v="0"/>
    <n v="0"/>
    <x v="2"/>
    <s v="Divorced"/>
    <n v="0"/>
    <n v="0"/>
    <n v="4522"/>
    <n v="2227"/>
    <n v="4"/>
    <s v="Yes"/>
    <n v="1"/>
    <n v="14"/>
    <n v="3"/>
    <n v="4"/>
    <n v="0"/>
    <n v="8"/>
    <n v="3"/>
    <n v="3"/>
    <n v="5"/>
    <n v="2"/>
    <n v="0"/>
    <n v="2"/>
  </r>
  <r>
    <n v="25"/>
    <x v="1"/>
    <n v="0"/>
    <s v="Travel_Rarely"/>
    <n v="0"/>
    <n v="1"/>
    <n v="891"/>
    <s v="Sales"/>
    <n v="0"/>
    <n v="1"/>
    <n v="4"/>
    <n v="2"/>
    <s v="Life Sciences"/>
    <n v="1"/>
    <n v="0"/>
    <n v="0"/>
    <n v="0"/>
    <n v="0"/>
    <n v="2"/>
    <x v="0"/>
    <n v="1"/>
    <n v="99"/>
    <n v="2"/>
    <n v="2"/>
    <s v="Sales Executive"/>
    <n v="0"/>
    <n v="1"/>
    <n v="0"/>
    <n v="0"/>
    <n v="0"/>
    <n v="0"/>
    <n v="0"/>
    <n v="0"/>
    <x v="0"/>
    <s v="Single"/>
    <n v="1"/>
    <n v="0"/>
    <n v="4487"/>
    <n v="12090"/>
    <n v="1"/>
    <s v="Yes"/>
    <n v="1"/>
    <n v="11"/>
    <n v="3"/>
    <n v="2"/>
    <n v="0"/>
    <n v="5"/>
    <n v="3"/>
    <n v="3"/>
    <n v="5"/>
    <n v="4"/>
    <n v="1"/>
    <n v="3"/>
  </r>
  <r>
    <n v="37"/>
    <x v="1"/>
    <n v="0"/>
    <s v="Non-Travel"/>
    <n v="0"/>
    <n v="0"/>
    <n v="1063"/>
    <s v="Research &amp; Development"/>
    <n v="1"/>
    <n v="0"/>
    <n v="25"/>
    <n v="5"/>
    <s v="Medical"/>
    <n v="0"/>
    <n v="0"/>
    <n v="1"/>
    <n v="0"/>
    <n v="0"/>
    <n v="2"/>
    <x v="0"/>
    <n v="1"/>
    <n v="72"/>
    <n v="3"/>
    <n v="2"/>
    <s v="Research Scientist"/>
    <n v="0"/>
    <n v="0"/>
    <n v="0"/>
    <n v="0"/>
    <n v="0"/>
    <n v="0"/>
    <n v="0"/>
    <n v="1"/>
    <x v="2"/>
    <s v="Married"/>
    <n v="0"/>
    <n v="1"/>
    <n v="4449"/>
    <n v="23866"/>
    <n v="3"/>
    <s v="Yes"/>
    <n v="1"/>
    <n v="15"/>
    <n v="3"/>
    <n v="1"/>
    <n v="2"/>
    <n v="15"/>
    <n v="2"/>
    <n v="3"/>
    <n v="13"/>
    <n v="11"/>
    <n v="10"/>
    <n v="7"/>
  </r>
  <r>
    <n v="31"/>
    <x v="1"/>
    <n v="0"/>
    <s v="Travel_Rarely"/>
    <n v="0"/>
    <n v="1"/>
    <n v="329"/>
    <s v="Research &amp; Development"/>
    <n v="1"/>
    <n v="0"/>
    <n v="1"/>
    <n v="2"/>
    <s v="Life Sciences"/>
    <n v="1"/>
    <n v="0"/>
    <n v="0"/>
    <n v="0"/>
    <n v="0"/>
    <n v="4"/>
    <x v="1"/>
    <n v="0"/>
    <n v="98"/>
    <n v="2"/>
    <n v="1"/>
    <s v="Laboratory Technician"/>
    <n v="0"/>
    <n v="0"/>
    <n v="1"/>
    <n v="0"/>
    <n v="0"/>
    <n v="0"/>
    <n v="0"/>
    <n v="0"/>
    <x v="3"/>
    <s v="Married"/>
    <n v="0"/>
    <n v="1"/>
    <n v="2218"/>
    <n v="16193"/>
    <n v="1"/>
    <s v="No"/>
    <n v="0"/>
    <n v="12"/>
    <n v="3"/>
    <n v="3"/>
    <n v="1"/>
    <n v="4"/>
    <n v="3"/>
    <n v="3"/>
    <n v="4"/>
    <n v="2"/>
    <n v="3"/>
    <n v="2"/>
  </r>
  <r>
    <n v="39"/>
    <x v="1"/>
    <n v="0"/>
    <s v="Travel_Frequently"/>
    <n v="1"/>
    <n v="0"/>
    <n v="1218"/>
    <s v="Research &amp; Development"/>
    <n v="1"/>
    <n v="0"/>
    <n v="1"/>
    <n v="1"/>
    <s v="Life Sciences"/>
    <n v="1"/>
    <n v="0"/>
    <n v="0"/>
    <n v="0"/>
    <n v="0"/>
    <n v="2"/>
    <x v="1"/>
    <n v="0"/>
    <n v="52"/>
    <n v="3"/>
    <n v="5"/>
    <s v="Manager"/>
    <n v="0"/>
    <n v="0"/>
    <n v="0"/>
    <n v="1"/>
    <n v="0"/>
    <n v="0"/>
    <n v="0"/>
    <n v="0"/>
    <x v="2"/>
    <s v="Divorced"/>
    <n v="0"/>
    <n v="0"/>
    <n v="19197"/>
    <n v="8213"/>
    <n v="1"/>
    <s v="Yes"/>
    <n v="1"/>
    <n v="14"/>
    <n v="3"/>
    <n v="3"/>
    <n v="1"/>
    <n v="21"/>
    <n v="3"/>
    <n v="3"/>
    <n v="21"/>
    <n v="8"/>
    <n v="1"/>
    <n v="6"/>
  </r>
  <r>
    <n v="56"/>
    <x v="1"/>
    <n v="0"/>
    <s v="Travel_Frequently"/>
    <n v="1"/>
    <n v="0"/>
    <n v="906"/>
    <s v="Sales"/>
    <n v="0"/>
    <n v="1"/>
    <n v="6"/>
    <n v="3"/>
    <s v="Life Sciences"/>
    <n v="1"/>
    <n v="0"/>
    <n v="0"/>
    <n v="0"/>
    <n v="0"/>
    <n v="3"/>
    <x v="0"/>
    <n v="1"/>
    <n v="86"/>
    <n v="4"/>
    <n v="4"/>
    <s v="Sales Executive"/>
    <n v="0"/>
    <n v="1"/>
    <n v="0"/>
    <n v="0"/>
    <n v="0"/>
    <n v="0"/>
    <n v="0"/>
    <n v="0"/>
    <x v="3"/>
    <s v="Married"/>
    <n v="0"/>
    <n v="1"/>
    <n v="13212"/>
    <n v="18256"/>
    <n v="9"/>
    <s v="No"/>
    <n v="0"/>
    <n v="11"/>
    <n v="3"/>
    <n v="4"/>
    <n v="3"/>
    <n v="36"/>
    <n v="0"/>
    <n v="2"/>
    <n v="7"/>
    <n v="7"/>
    <n v="7"/>
    <n v="7"/>
  </r>
  <r>
    <n v="30"/>
    <x v="1"/>
    <n v="0"/>
    <s v="Travel_Rarely"/>
    <n v="0"/>
    <n v="1"/>
    <n v="1082"/>
    <s v="Sales"/>
    <n v="0"/>
    <n v="1"/>
    <n v="12"/>
    <n v="3"/>
    <s v="Technical Degree"/>
    <n v="0"/>
    <n v="0"/>
    <n v="0"/>
    <n v="0"/>
    <n v="1"/>
    <n v="2"/>
    <x v="0"/>
    <n v="1"/>
    <n v="83"/>
    <n v="3"/>
    <n v="2"/>
    <s v="Sales Executive"/>
    <n v="0"/>
    <n v="1"/>
    <n v="0"/>
    <n v="0"/>
    <n v="0"/>
    <n v="0"/>
    <n v="0"/>
    <n v="0"/>
    <x v="2"/>
    <s v="Single"/>
    <n v="1"/>
    <n v="0"/>
    <n v="6577"/>
    <n v="19558"/>
    <n v="0"/>
    <s v="No"/>
    <n v="0"/>
    <n v="11"/>
    <n v="3"/>
    <n v="2"/>
    <n v="0"/>
    <n v="6"/>
    <n v="6"/>
    <n v="3"/>
    <n v="5"/>
    <n v="4"/>
    <n v="4"/>
    <n v="4"/>
  </r>
  <r>
    <n v="41"/>
    <x v="1"/>
    <n v="0"/>
    <s v="Travel_Rarely"/>
    <n v="0"/>
    <n v="1"/>
    <n v="645"/>
    <s v="Sales"/>
    <n v="0"/>
    <n v="1"/>
    <n v="1"/>
    <n v="3"/>
    <s v="Marketing"/>
    <n v="0"/>
    <n v="0"/>
    <n v="0"/>
    <n v="1"/>
    <n v="0"/>
    <n v="2"/>
    <x v="1"/>
    <n v="0"/>
    <n v="49"/>
    <n v="4"/>
    <n v="3"/>
    <s v="Sales Executive"/>
    <n v="0"/>
    <n v="1"/>
    <n v="0"/>
    <n v="0"/>
    <n v="0"/>
    <n v="0"/>
    <n v="0"/>
    <n v="0"/>
    <x v="3"/>
    <s v="Married"/>
    <n v="0"/>
    <n v="1"/>
    <n v="8392"/>
    <n v="19566"/>
    <n v="1"/>
    <s v="No"/>
    <n v="0"/>
    <n v="16"/>
    <n v="3"/>
    <n v="3"/>
    <n v="1"/>
    <n v="10"/>
    <n v="2"/>
    <n v="3"/>
    <n v="10"/>
    <n v="7"/>
    <n v="0"/>
    <n v="7"/>
  </r>
  <r>
    <n v="28"/>
    <x v="1"/>
    <n v="0"/>
    <s v="Travel_Rarely"/>
    <n v="0"/>
    <n v="1"/>
    <n v="1300"/>
    <s v="Research &amp; Development"/>
    <n v="1"/>
    <n v="0"/>
    <n v="17"/>
    <n v="2"/>
    <s v="Medical"/>
    <n v="0"/>
    <n v="0"/>
    <n v="1"/>
    <n v="0"/>
    <n v="0"/>
    <n v="3"/>
    <x v="1"/>
    <n v="0"/>
    <n v="79"/>
    <n v="3"/>
    <n v="2"/>
    <s v="Laboratory Technician"/>
    <n v="0"/>
    <n v="0"/>
    <n v="1"/>
    <n v="0"/>
    <n v="0"/>
    <n v="0"/>
    <n v="0"/>
    <n v="0"/>
    <x v="3"/>
    <s v="Divorced"/>
    <n v="0"/>
    <n v="0"/>
    <n v="4558"/>
    <n v="13535"/>
    <n v="1"/>
    <s v="No"/>
    <n v="0"/>
    <n v="12"/>
    <n v="3"/>
    <n v="4"/>
    <n v="1"/>
    <n v="10"/>
    <n v="2"/>
    <n v="3"/>
    <n v="10"/>
    <n v="0"/>
    <n v="1"/>
    <n v="8"/>
  </r>
  <r>
    <n v="25"/>
    <x v="0"/>
    <n v="1"/>
    <s v="Travel_Rarely"/>
    <n v="0"/>
    <n v="1"/>
    <n v="688"/>
    <s v="Research &amp; Development"/>
    <n v="1"/>
    <n v="0"/>
    <n v="3"/>
    <n v="3"/>
    <s v="Medical"/>
    <n v="0"/>
    <n v="0"/>
    <n v="1"/>
    <n v="0"/>
    <n v="0"/>
    <n v="1"/>
    <x v="1"/>
    <n v="0"/>
    <n v="91"/>
    <n v="3"/>
    <n v="1"/>
    <s v="Laboratory Technician"/>
    <n v="0"/>
    <n v="0"/>
    <n v="1"/>
    <n v="0"/>
    <n v="0"/>
    <n v="0"/>
    <n v="0"/>
    <n v="0"/>
    <x v="3"/>
    <s v="Married"/>
    <n v="0"/>
    <n v="1"/>
    <n v="4031"/>
    <n v="9396"/>
    <n v="5"/>
    <s v="No"/>
    <n v="0"/>
    <n v="13"/>
    <n v="3"/>
    <n v="3"/>
    <n v="1"/>
    <n v="6"/>
    <n v="5"/>
    <n v="3"/>
    <n v="2"/>
    <n v="2"/>
    <n v="0"/>
    <n v="2"/>
  </r>
  <r>
    <n v="52"/>
    <x v="1"/>
    <n v="0"/>
    <s v="Travel_Rarely"/>
    <n v="0"/>
    <n v="1"/>
    <n v="319"/>
    <s v="Research &amp; Development"/>
    <n v="1"/>
    <n v="0"/>
    <n v="3"/>
    <n v="3"/>
    <s v="Medical"/>
    <n v="0"/>
    <n v="0"/>
    <n v="1"/>
    <n v="0"/>
    <n v="0"/>
    <n v="4"/>
    <x v="1"/>
    <n v="0"/>
    <n v="39"/>
    <n v="2"/>
    <n v="3"/>
    <s v="Manufacturing Director"/>
    <n v="0"/>
    <n v="0"/>
    <n v="0"/>
    <n v="0"/>
    <n v="1"/>
    <n v="1"/>
    <n v="0"/>
    <n v="0"/>
    <x v="2"/>
    <s v="Married"/>
    <n v="0"/>
    <n v="1"/>
    <n v="7969"/>
    <n v="19609"/>
    <n v="2"/>
    <s v="Yes"/>
    <n v="1"/>
    <n v="14"/>
    <n v="3"/>
    <n v="3"/>
    <n v="0"/>
    <n v="28"/>
    <n v="4"/>
    <n v="3"/>
    <n v="5"/>
    <n v="4"/>
    <n v="0"/>
    <n v="4"/>
  </r>
  <r>
    <n v="45"/>
    <x v="1"/>
    <n v="0"/>
    <s v="Travel_Rarely"/>
    <n v="0"/>
    <n v="1"/>
    <n v="192"/>
    <s v="Research &amp; Development"/>
    <n v="1"/>
    <n v="0"/>
    <n v="10"/>
    <n v="2"/>
    <s v="Life Sciences"/>
    <n v="1"/>
    <n v="0"/>
    <n v="0"/>
    <n v="0"/>
    <n v="0"/>
    <n v="1"/>
    <x v="1"/>
    <n v="0"/>
    <n v="69"/>
    <n v="3"/>
    <n v="1"/>
    <s v="Research Scientist"/>
    <n v="0"/>
    <n v="0"/>
    <n v="0"/>
    <n v="0"/>
    <n v="0"/>
    <n v="0"/>
    <n v="0"/>
    <n v="1"/>
    <x v="0"/>
    <s v="Married"/>
    <n v="0"/>
    <n v="1"/>
    <n v="2654"/>
    <n v="9655"/>
    <n v="3"/>
    <s v="No"/>
    <n v="0"/>
    <n v="21"/>
    <n v="4"/>
    <n v="4"/>
    <n v="2"/>
    <n v="8"/>
    <n v="3"/>
    <n v="2"/>
    <n v="2"/>
    <n v="2"/>
    <n v="0"/>
    <n v="2"/>
  </r>
  <r>
    <n v="52"/>
    <x v="1"/>
    <n v="0"/>
    <s v="Travel_Rarely"/>
    <n v="0"/>
    <n v="1"/>
    <n v="1490"/>
    <s v="Research &amp; Development"/>
    <n v="1"/>
    <n v="0"/>
    <n v="4"/>
    <n v="2"/>
    <s v="Life Sciences"/>
    <n v="1"/>
    <n v="0"/>
    <n v="0"/>
    <n v="0"/>
    <n v="0"/>
    <n v="4"/>
    <x v="0"/>
    <n v="1"/>
    <n v="30"/>
    <n v="3"/>
    <n v="4"/>
    <s v="Manager"/>
    <n v="0"/>
    <n v="0"/>
    <n v="0"/>
    <n v="1"/>
    <n v="0"/>
    <n v="0"/>
    <n v="0"/>
    <n v="0"/>
    <x v="0"/>
    <s v="Married"/>
    <n v="0"/>
    <n v="1"/>
    <n v="16555"/>
    <n v="10310"/>
    <n v="2"/>
    <s v="No"/>
    <n v="0"/>
    <n v="13"/>
    <n v="3"/>
    <n v="4"/>
    <n v="0"/>
    <n v="31"/>
    <n v="2"/>
    <n v="1"/>
    <n v="5"/>
    <n v="2"/>
    <n v="1"/>
    <n v="4"/>
  </r>
  <r>
    <n v="42"/>
    <x v="1"/>
    <n v="0"/>
    <s v="Travel_Frequently"/>
    <n v="1"/>
    <n v="0"/>
    <n v="532"/>
    <s v="Research &amp; Development"/>
    <n v="1"/>
    <n v="0"/>
    <n v="29"/>
    <n v="2"/>
    <s v="Life Sciences"/>
    <n v="1"/>
    <n v="0"/>
    <n v="0"/>
    <n v="0"/>
    <n v="0"/>
    <n v="1"/>
    <x v="0"/>
    <n v="1"/>
    <n v="92"/>
    <n v="3"/>
    <n v="2"/>
    <s v="Research Scientist"/>
    <n v="0"/>
    <n v="0"/>
    <n v="0"/>
    <n v="0"/>
    <n v="0"/>
    <n v="0"/>
    <n v="0"/>
    <n v="1"/>
    <x v="2"/>
    <s v="Divorced"/>
    <n v="0"/>
    <n v="0"/>
    <n v="4556"/>
    <n v="12932"/>
    <n v="2"/>
    <s v="No"/>
    <n v="0"/>
    <n v="11"/>
    <n v="3"/>
    <n v="2"/>
    <n v="1"/>
    <n v="19"/>
    <n v="3"/>
    <n v="3"/>
    <n v="5"/>
    <n v="4"/>
    <n v="0"/>
    <n v="2"/>
  </r>
  <r>
    <n v="30"/>
    <x v="1"/>
    <n v="0"/>
    <s v="Travel_Rarely"/>
    <n v="0"/>
    <n v="1"/>
    <n v="317"/>
    <s v="Research &amp; Development"/>
    <n v="1"/>
    <n v="0"/>
    <n v="2"/>
    <n v="3"/>
    <s v="Life Sciences"/>
    <n v="1"/>
    <n v="0"/>
    <n v="0"/>
    <n v="0"/>
    <n v="0"/>
    <n v="3"/>
    <x v="0"/>
    <n v="1"/>
    <n v="43"/>
    <n v="1"/>
    <n v="2"/>
    <s v="Manufacturing Director"/>
    <n v="0"/>
    <n v="0"/>
    <n v="0"/>
    <n v="0"/>
    <n v="1"/>
    <n v="1"/>
    <n v="0"/>
    <n v="0"/>
    <x v="0"/>
    <s v="Single"/>
    <n v="1"/>
    <n v="0"/>
    <n v="6091"/>
    <n v="24793"/>
    <n v="2"/>
    <s v="No"/>
    <n v="0"/>
    <n v="20"/>
    <n v="4"/>
    <n v="3"/>
    <n v="0"/>
    <n v="11"/>
    <n v="2"/>
    <n v="3"/>
    <n v="5"/>
    <n v="4"/>
    <n v="0"/>
    <n v="2"/>
  </r>
  <r>
    <n v="60"/>
    <x v="1"/>
    <n v="0"/>
    <s v="Travel_Rarely"/>
    <n v="0"/>
    <n v="1"/>
    <n v="422"/>
    <s v="Research &amp; Development"/>
    <n v="1"/>
    <n v="0"/>
    <n v="7"/>
    <n v="3"/>
    <s v="Life Sciences"/>
    <n v="1"/>
    <n v="0"/>
    <n v="0"/>
    <n v="0"/>
    <n v="0"/>
    <n v="1"/>
    <x v="0"/>
    <n v="1"/>
    <n v="41"/>
    <n v="3"/>
    <n v="5"/>
    <s v="Manager"/>
    <n v="0"/>
    <n v="0"/>
    <n v="0"/>
    <n v="1"/>
    <n v="0"/>
    <n v="0"/>
    <n v="0"/>
    <n v="0"/>
    <x v="3"/>
    <s v="Married"/>
    <n v="0"/>
    <n v="1"/>
    <n v="19566"/>
    <n v="3854"/>
    <n v="5"/>
    <s v="No"/>
    <n v="0"/>
    <n v="11"/>
    <n v="3"/>
    <n v="4"/>
    <n v="0"/>
    <n v="33"/>
    <n v="5"/>
    <n v="1"/>
    <n v="29"/>
    <n v="8"/>
    <n v="11"/>
    <n v="10"/>
  </r>
  <r>
    <n v="46"/>
    <x v="1"/>
    <n v="0"/>
    <s v="Travel_Rarely"/>
    <n v="0"/>
    <n v="1"/>
    <n v="1485"/>
    <s v="Research &amp; Development"/>
    <n v="1"/>
    <n v="0"/>
    <n v="18"/>
    <n v="3"/>
    <s v="Medical"/>
    <n v="0"/>
    <n v="0"/>
    <n v="1"/>
    <n v="0"/>
    <n v="0"/>
    <n v="3"/>
    <x v="0"/>
    <n v="1"/>
    <n v="87"/>
    <n v="3"/>
    <n v="2"/>
    <s v="Manufacturing Director"/>
    <n v="0"/>
    <n v="0"/>
    <n v="0"/>
    <n v="0"/>
    <n v="1"/>
    <n v="1"/>
    <n v="0"/>
    <n v="0"/>
    <x v="2"/>
    <s v="Divorced"/>
    <n v="0"/>
    <n v="0"/>
    <n v="4810"/>
    <n v="26314"/>
    <n v="2"/>
    <s v="No"/>
    <n v="0"/>
    <n v="14"/>
    <n v="3"/>
    <n v="3"/>
    <n v="1"/>
    <n v="19"/>
    <n v="5"/>
    <n v="2"/>
    <n v="10"/>
    <n v="7"/>
    <n v="0"/>
    <n v="8"/>
  </r>
  <r>
    <n v="42"/>
    <x v="1"/>
    <n v="0"/>
    <s v="Travel_Frequently"/>
    <n v="1"/>
    <n v="0"/>
    <n v="1368"/>
    <s v="Research &amp; Development"/>
    <n v="1"/>
    <n v="0"/>
    <n v="28"/>
    <n v="4"/>
    <s v="Technical Degree"/>
    <n v="0"/>
    <n v="0"/>
    <n v="0"/>
    <n v="0"/>
    <n v="1"/>
    <n v="4"/>
    <x v="0"/>
    <n v="1"/>
    <n v="88"/>
    <n v="2"/>
    <n v="2"/>
    <s v="Healthcare Representative"/>
    <n v="1"/>
    <n v="0"/>
    <n v="0"/>
    <n v="0"/>
    <n v="0"/>
    <n v="0"/>
    <n v="0"/>
    <n v="0"/>
    <x v="0"/>
    <s v="Married"/>
    <n v="0"/>
    <n v="1"/>
    <n v="4523"/>
    <n v="4386"/>
    <n v="0"/>
    <s v="No"/>
    <n v="0"/>
    <n v="11"/>
    <n v="3"/>
    <n v="4"/>
    <n v="3"/>
    <n v="7"/>
    <n v="4"/>
    <n v="4"/>
    <n v="6"/>
    <n v="5"/>
    <n v="0"/>
    <n v="4"/>
  </r>
  <r>
    <n v="24"/>
    <x v="0"/>
    <n v="1"/>
    <s v="Travel_Rarely"/>
    <n v="0"/>
    <n v="1"/>
    <n v="1448"/>
    <s v="Sales"/>
    <n v="0"/>
    <n v="1"/>
    <n v="1"/>
    <n v="1"/>
    <s v="Technical Degree"/>
    <n v="0"/>
    <n v="0"/>
    <n v="0"/>
    <n v="0"/>
    <n v="1"/>
    <n v="1"/>
    <x v="0"/>
    <n v="1"/>
    <n v="62"/>
    <n v="3"/>
    <n v="1"/>
    <s v="Sales Representative"/>
    <n v="0"/>
    <n v="0"/>
    <n v="0"/>
    <n v="0"/>
    <n v="0"/>
    <n v="0"/>
    <n v="1"/>
    <n v="0"/>
    <x v="1"/>
    <s v="Single"/>
    <n v="1"/>
    <n v="0"/>
    <n v="3202"/>
    <n v="21972"/>
    <n v="1"/>
    <s v="Yes"/>
    <n v="1"/>
    <n v="16"/>
    <n v="3"/>
    <n v="2"/>
    <n v="0"/>
    <n v="6"/>
    <n v="4"/>
    <n v="3"/>
    <n v="5"/>
    <n v="3"/>
    <n v="1"/>
    <n v="4"/>
  </r>
  <r>
    <n v="34"/>
    <x v="0"/>
    <n v="1"/>
    <s v="Travel_Frequently"/>
    <n v="1"/>
    <n v="0"/>
    <n v="296"/>
    <s v="Sales"/>
    <n v="0"/>
    <n v="1"/>
    <n v="6"/>
    <n v="2"/>
    <s v="Marketing"/>
    <n v="0"/>
    <n v="0"/>
    <n v="0"/>
    <n v="1"/>
    <n v="0"/>
    <n v="4"/>
    <x v="0"/>
    <n v="1"/>
    <n v="33"/>
    <n v="1"/>
    <n v="1"/>
    <s v="Sales Representative"/>
    <n v="0"/>
    <n v="0"/>
    <n v="0"/>
    <n v="0"/>
    <n v="0"/>
    <n v="0"/>
    <n v="1"/>
    <n v="0"/>
    <x v="2"/>
    <s v="Divorced"/>
    <n v="0"/>
    <n v="0"/>
    <n v="2351"/>
    <n v="12253"/>
    <n v="0"/>
    <s v="No"/>
    <n v="0"/>
    <n v="16"/>
    <n v="3"/>
    <n v="4"/>
    <n v="1"/>
    <n v="3"/>
    <n v="3"/>
    <n v="2"/>
    <n v="2"/>
    <n v="2"/>
    <n v="1"/>
    <n v="0"/>
  </r>
  <r>
    <n v="38"/>
    <x v="1"/>
    <n v="0"/>
    <s v="Travel_Frequently"/>
    <n v="1"/>
    <n v="0"/>
    <n v="1490"/>
    <s v="Research &amp; Development"/>
    <n v="1"/>
    <n v="0"/>
    <n v="2"/>
    <n v="2"/>
    <s v="Life Sciences"/>
    <n v="1"/>
    <n v="0"/>
    <n v="0"/>
    <n v="0"/>
    <n v="0"/>
    <n v="4"/>
    <x v="1"/>
    <n v="0"/>
    <n v="42"/>
    <n v="3"/>
    <n v="1"/>
    <s v="Laboratory Technician"/>
    <n v="0"/>
    <n v="0"/>
    <n v="1"/>
    <n v="0"/>
    <n v="0"/>
    <n v="0"/>
    <n v="0"/>
    <n v="0"/>
    <x v="0"/>
    <s v="Married"/>
    <n v="0"/>
    <n v="1"/>
    <n v="1702"/>
    <n v="12106"/>
    <n v="1"/>
    <s v="Yes"/>
    <n v="1"/>
    <n v="23"/>
    <n v="4"/>
    <n v="3"/>
    <n v="1"/>
    <n v="1"/>
    <n v="3"/>
    <n v="3"/>
    <n v="1"/>
    <n v="0"/>
    <n v="0"/>
    <n v="0"/>
  </r>
  <r>
    <n v="40"/>
    <x v="1"/>
    <n v="0"/>
    <s v="Travel_Rarely"/>
    <n v="0"/>
    <n v="1"/>
    <n v="1398"/>
    <s v="Sales"/>
    <n v="0"/>
    <n v="1"/>
    <n v="2"/>
    <n v="4"/>
    <s v="Life Sciences"/>
    <n v="1"/>
    <n v="0"/>
    <n v="0"/>
    <n v="0"/>
    <n v="0"/>
    <n v="3"/>
    <x v="0"/>
    <n v="1"/>
    <n v="79"/>
    <n v="3"/>
    <n v="5"/>
    <s v="Manager"/>
    <n v="0"/>
    <n v="0"/>
    <n v="0"/>
    <n v="1"/>
    <n v="0"/>
    <n v="0"/>
    <n v="0"/>
    <n v="0"/>
    <x v="2"/>
    <s v="Married"/>
    <n v="0"/>
    <n v="1"/>
    <n v="18041"/>
    <n v="13022"/>
    <n v="0"/>
    <s v="No"/>
    <n v="0"/>
    <n v="14"/>
    <n v="3"/>
    <n v="4"/>
    <n v="0"/>
    <n v="21"/>
    <n v="2"/>
    <n v="3"/>
    <n v="20"/>
    <n v="15"/>
    <n v="1"/>
    <n v="12"/>
  </r>
  <r>
    <n v="26"/>
    <x v="1"/>
    <n v="0"/>
    <s v="Travel_Rarely"/>
    <n v="0"/>
    <n v="1"/>
    <n v="1349"/>
    <s v="Research &amp; Development"/>
    <n v="1"/>
    <n v="0"/>
    <n v="23"/>
    <n v="3"/>
    <s v="Life Sciences"/>
    <n v="1"/>
    <n v="0"/>
    <n v="0"/>
    <n v="0"/>
    <n v="0"/>
    <n v="1"/>
    <x v="0"/>
    <n v="1"/>
    <n v="90"/>
    <n v="3"/>
    <n v="1"/>
    <s v="Research Scientist"/>
    <n v="0"/>
    <n v="0"/>
    <n v="0"/>
    <n v="0"/>
    <n v="0"/>
    <n v="0"/>
    <n v="0"/>
    <n v="1"/>
    <x v="0"/>
    <s v="Divorced"/>
    <n v="0"/>
    <n v="0"/>
    <n v="2886"/>
    <n v="3032"/>
    <n v="1"/>
    <s v="No"/>
    <n v="0"/>
    <n v="22"/>
    <n v="4"/>
    <n v="2"/>
    <n v="2"/>
    <n v="3"/>
    <n v="3"/>
    <n v="1"/>
    <n v="3"/>
    <n v="2"/>
    <n v="0"/>
    <n v="2"/>
  </r>
  <r>
    <n v="30"/>
    <x v="1"/>
    <n v="0"/>
    <s v="Non-Travel"/>
    <n v="0"/>
    <n v="0"/>
    <n v="1400"/>
    <s v="Research &amp; Development"/>
    <n v="1"/>
    <n v="0"/>
    <n v="3"/>
    <n v="3"/>
    <s v="Life Sciences"/>
    <n v="1"/>
    <n v="0"/>
    <n v="0"/>
    <n v="0"/>
    <n v="0"/>
    <n v="3"/>
    <x v="1"/>
    <n v="0"/>
    <n v="53"/>
    <n v="3"/>
    <n v="1"/>
    <s v="Laboratory Technician"/>
    <n v="0"/>
    <n v="0"/>
    <n v="1"/>
    <n v="0"/>
    <n v="0"/>
    <n v="0"/>
    <n v="0"/>
    <n v="0"/>
    <x v="0"/>
    <s v="Married"/>
    <n v="0"/>
    <n v="1"/>
    <n v="2097"/>
    <n v="16734"/>
    <n v="4"/>
    <s v="No"/>
    <n v="0"/>
    <n v="15"/>
    <n v="3"/>
    <n v="3"/>
    <n v="1"/>
    <n v="9"/>
    <n v="3"/>
    <n v="1"/>
    <n v="5"/>
    <n v="3"/>
    <n v="1"/>
    <n v="4"/>
  </r>
  <r>
    <n v="29"/>
    <x v="1"/>
    <n v="0"/>
    <s v="Travel_Rarely"/>
    <n v="0"/>
    <n v="1"/>
    <n v="986"/>
    <s v="Research &amp; Development"/>
    <n v="1"/>
    <n v="0"/>
    <n v="3"/>
    <n v="4"/>
    <s v="Medical"/>
    <n v="0"/>
    <n v="0"/>
    <n v="1"/>
    <n v="0"/>
    <n v="0"/>
    <n v="2"/>
    <x v="1"/>
    <n v="0"/>
    <n v="93"/>
    <n v="2"/>
    <n v="3"/>
    <s v="Research Director"/>
    <n v="0"/>
    <n v="0"/>
    <n v="0"/>
    <n v="0"/>
    <n v="0"/>
    <n v="0"/>
    <n v="0"/>
    <n v="0"/>
    <x v="2"/>
    <s v="Married"/>
    <n v="0"/>
    <n v="1"/>
    <n v="11935"/>
    <n v="21526"/>
    <n v="1"/>
    <s v="No"/>
    <n v="0"/>
    <n v="18"/>
    <n v="3"/>
    <n v="3"/>
    <n v="0"/>
    <n v="10"/>
    <n v="2"/>
    <n v="3"/>
    <n v="10"/>
    <n v="2"/>
    <n v="0"/>
    <n v="7"/>
  </r>
  <r>
    <n v="29"/>
    <x v="0"/>
    <n v="1"/>
    <s v="Travel_Rarely"/>
    <n v="0"/>
    <n v="1"/>
    <n v="408"/>
    <s v="Research &amp; Development"/>
    <n v="1"/>
    <n v="0"/>
    <n v="25"/>
    <n v="5"/>
    <s v="Technical Degree"/>
    <n v="0"/>
    <n v="0"/>
    <n v="0"/>
    <n v="0"/>
    <n v="1"/>
    <n v="3"/>
    <x v="0"/>
    <n v="1"/>
    <n v="71"/>
    <n v="2"/>
    <n v="1"/>
    <s v="Research Scientist"/>
    <n v="0"/>
    <n v="0"/>
    <n v="0"/>
    <n v="0"/>
    <n v="0"/>
    <n v="0"/>
    <n v="0"/>
    <n v="1"/>
    <x v="1"/>
    <s v="Married"/>
    <n v="0"/>
    <n v="1"/>
    <n v="2546"/>
    <n v="18300"/>
    <n v="5"/>
    <s v="No"/>
    <n v="0"/>
    <n v="16"/>
    <n v="3"/>
    <n v="2"/>
    <n v="0"/>
    <n v="6"/>
    <n v="2"/>
    <n v="4"/>
    <n v="2"/>
    <n v="2"/>
    <n v="1"/>
    <n v="1"/>
  </r>
  <r>
    <n v="19"/>
    <x v="0"/>
    <n v="1"/>
    <s v="Travel_Rarely"/>
    <n v="0"/>
    <n v="1"/>
    <n v="489"/>
    <s v="Human Resources"/>
    <n v="0"/>
    <n v="0"/>
    <n v="2"/>
    <n v="2"/>
    <s v="Technical Degree"/>
    <n v="0"/>
    <n v="0"/>
    <n v="0"/>
    <n v="0"/>
    <n v="1"/>
    <n v="1"/>
    <x v="1"/>
    <n v="0"/>
    <n v="52"/>
    <n v="2"/>
    <n v="1"/>
    <s v="Human Resources"/>
    <n v="0"/>
    <n v="0"/>
    <n v="0"/>
    <n v="0"/>
    <n v="0"/>
    <n v="0"/>
    <n v="0"/>
    <n v="0"/>
    <x v="0"/>
    <s v="Single"/>
    <n v="1"/>
    <n v="0"/>
    <n v="2564"/>
    <n v="18437"/>
    <n v="1"/>
    <s v="No"/>
    <n v="0"/>
    <n v="12"/>
    <n v="3"/>
    <n v="3"/>
    <n v="0"/>
    <n v="1"/>
    <n v="3"/>
    <n v="4"/>
    <n v="1"/>
    <n v="0"/>
    <n v="0"/>
    <n v="0"/>
  </r>
  <r>
    <n v="30"/>
    <x v="1"/>
    <n v="0"/>
    <s v="Non-Travel"/>
    <n v="0"/>
    <n v="0"/>
    <n v="1398"/>
    <s v="Sales"/>
    <n v="0"/>
    <n v="1"/>
    <n v="22"/>
    <n v="4"/>
    <s v="Other"/>
    <n v="0"/>
    <n v="1"/>
    <n v="0"/>
    <n v="0"/>
    <n v="0"/>
    <n v="3"/>
    <x v="0"/>
    <n v="1"/>
    <n v="69"/>
    <n v="3"/>
    <n v="3"/>
    <s v="Sales Executive"/>
    <n v="0"/>
    <n v="1"/>
    <n v="0"/>
    <n v="0"/>
    <n v="0"/>
    <n v="0"/>
    <n v="0"/>
    <n v="0"/>
    <x v="3"/>
    <s v="Married"/>
    <n v="0"/>
    <n v="1"/>
    <n v="8412"/>
    <n v="2890"/>
    <n v="0"/>
    <s v="No"/>
    <n v="0"/>
    <n v="11"/>
    <n v="3"/>
    <n v="3"/>
    <n v="0"/>
    <n v="10"/>
    <n v="3"/>
    <n v="3"/>
    <n v="9"/>
    <n v="8"/>
    <n v="7"/>
    <n v="8"/>
  </r>
  <r>
    <n v="57"/>
    <x v="1"/>
    <n v="0"/>
    <s v="Travel_Rarely"/>
    <n v="0"/>
    <n v="1"/>
    <n v="210"/>
    <s v="Sales"/>
    <n v="0"/>
    <n v="1"/>
    <n v="29"/>
    <n v="3"/>
    <s v="Marketing"/>
    <n v="0"/>
    <n v="0"/>
    <n v="0"/>
    <n v="1"/>
    <n v="0"/>
    <n v="1"/>
    <x v="1"/>
    <n v="0"/>
    <n v="56"/>
    <n v="2"/>
    <n v="4"/>
    <s v="Manager"/>
    <n v="0"/>
    <n v="0"/>
    <n v="0"/>
    <n v="1"/>
    <n v="0"/>
    <n v="0"/>
    <n v="0"/>
    <n v="0"/>
    <x v="0"/>
    <s v="Divorced"/>
    <n v="0"/>
    <n v="0"/>
    <n v="14118"/>
    <n v="22102"/>
    <n v="3"/>
    <s v="No"/>
    <n v="0"/>
    <n v="12"/>
    <n v="3"/>
    <n v="3"/>
    <n v="1"/>
    <n v="32"/>
    <n v="3"/>
    <n v="2"/>
    <n v="1"/>
    <n v="0"/>
    <n v="0"/>
    <n v="0"/>
  </r>
  <r>
    <n v="50"/>
    <x v="1"/>
    <n v="0"/>
    <s v="Travel_Rarely"/>
    <n v="0"/>
    <n v="1"/>
    <n v="1099"/>
    <s v="Research &amp; Development"/>
    <n v="1"/>
    <n v="0"/>
    <n v="29"/>
    <n v="4"/>
    <s v="Life Sciences"/>
    <n v="1"/>
    <n v="0"/>
    <n v="0"/>
    <n v="0"/>
    <n v="0"/>
    <n v="2"/>
    <x v="1"/>
    <n v="0"/>
    <n v="88"/>
    <n v="2"/>
    <n v="4"/>
    <s v="Manager"/>
    <n v="0"/>
    <n v="0"/>
    <n v="0"/>
    <n v="1"/>
    <n v="0"/>
    <n v="0"/>
    <n v="0"/>
    <n v="0"/>
    <x v="2"/>
    <s v="Married"/>
    <n v="0"/>
    <n v="1"/>
    <n v="17046"/>
    <n v="9314"/>
    <n v="0"/>
    <s v="No"/>
    <n v="0"/>
    <n v="15"/>
    <n v="3"/>
    <n v="2"/>
    <n v="1"/>
    <n v="28"/>
    <n v="2"/>
    <n v="3"/>
    <n v="27"/>
    <n v="10"/>
    <n v="15"/>
    <n v="7"/>
  </r>
  <r>
    <n v="30"/>
    <x v="1"/>
    <n v="0"/>
    <s v="Non-Travel"/>
    <n v="0"/>
    <n v="0"/>
    <n v="1116"/>
    <s v="Research &amp; Development"/>
    <n v="1"/>
    <n v="0"/>
    <n v="2"/>
    <n v="3"/>
    <s v="Medical"/>
    <n v="0"/>
    <n v="0"/>
    <n v="1"/>
    <n v="0"/>
    <n v="0"/>
    <n v="3"/>
    <x v="0"/>
    <n v="1"/>
    <n v="49"/>
    <n v="3"/>
    <n v="1"/>
    <s v="Laboratory Technician"/>
    <n v="0"/>
    <n v="0"/>
    <n v="1"/>
    <n v="0"/>
    <n v="0"/>
    <n v="0"/>
    <n v="0"/>
    <n v="0"/>
    <x v="0"/>
    <s v="Single"/>
    <n v="1"/>
    <n v="0"/>
    <n v="2564"/>
    <n v="7181"/>
    <n v="0"/>
    <s v="No"/>
    <n v="0"/>
    <n v="14"/>
    <n v="3"/>
    <n v="3"/>
    <n v="0"/>
    <n v="12"/>
    <n v="2"/>
    <n v="2"/>
    <n v="11"/>
    <n v="7"/>
    <n v="6"/>
    <n v="7"/>
  </r>
  <r>
    <n v="60"/>
    <x v="1"/>
    <n v="0"/>
    <s v="Travel_Frequently"/>
    <n v="1"/>
    <n v="0"/>
    <n v="1499"/>
    <s v="Sales"/>
    <n v="0"/>
    <n v="1"/>
    <n v="28"/>
    <n v="3"/>
    <s v="Marketing"/>
    <n v="0"/>
    <n v="0"/>
    <n v="0"/>
    <n v="1"/>
    <n v="0"/>
    <n v="3"/>
    <x v="0"/>
    <n v="1"/>
    <n v="80"/>
    <n v="2"/>
    <n v="3"/>
    <s v="Sales Executive"/>
    <n v="0"/>
    <n v="1"/>
    <n v="0"/>
    <n v="0"/>
    <n v="0"/>
    <n v="0"/>
    <n v="0"/>
    <n v="0"/>
    <x v="3"/>
    <s v="Married"/>
    <n v="0"/>
    <n v="1"/>
    <n v="10266"/>
    <n v="2845"/>
    <n v="4"/>
    <s v="No"/>
    <n v="0"/>
    <n v="19"/>
    <n v="3"/>
    <n v="4"/>
    <n v="0"/>
    <n v="22"/>
    <n v="5"/>
    <n v="4"/>
    <n v="18"/>
    <n v="13"/>
    <n v="13"/>
    <n v="11"/>
  </r>
  <r>
    <n v="47"/>
    <x v="1"/>
    <n v="0"/>
    <s v="Travel_Rarely"/>
    <n v="0"/>
    <n v="1"/>
    <n v="983"/>
    <s v="Research &amp; Development"/>
    <n v="1"/>
    <n v="0"/>
    <n v="2"/>
    <n v="2"/>
    <s v="Medical"/>
    <n v="0"/>
    <n v="0"/>
    <n v="1"/>
    <n v="0"/>
    <n v="0"/>
    <n v="1"/>
    <x v="0"/>
    <n v="1"/>
    <n v="65"/>
    <n v="3"/>
    <n v="2"/>
    <s v="Manufacturing Director"/>
    <n v="0"/>
    <n v="0"/>
    <n v="0"/>
    <n v="0"/>
    <n v="1"/>
    <n v="1"/>
    <n v="0"/>
    <n v="0"/>
    <x v="0"/>
    <s v="Divorced"/>
    <n v="0"/>
    <n v="0"/>
    <n v="5070"/>
    <n v="7389"/>
    <n v="5"/>
    <s v="No"/>
    <n v="0"/>
    <n v="13"/>
    <n v="3"/>
    <n v="3"/>
    <n v="3"/>
    <n v="20"/>
    <n v="2"/>
    <n v="3"/>
    <n v="5"/>
    <n v="0"/>
    <n v="0"/>
    <n v="4"/>
  </r>
  <r>
    <n v="46"/>
    <x v="1"/>
    <n v="0"/>
    <s v="Travel_Rarely"/>
    <n v="0"/>
    <n v="1"/>
    <n v="1009"/>
    <s v="Research &amp; Development"/>
    <n v="1"/>
    <n v="0"/>
    <n v="2"/>
    <n v="3"/>
    <s v="Life Sciences"/>
    <n v="1"/>
    <n v="0"/>
    <n v="0"/>
    <n v="0"/>
    <n v="0"/>
    <n v="1"/>
    <x v="1"/>
    <n v="0"/>
    <n v="51"/>
    <n v="3"/>
    <n v="4"/>
    <s v="Research Director"/>
    <n v="0"/>
    <n v="0"/>
    <n v="0"/>
    <n v="0"/>
    <n v="0"/>
    <n v="0"/>
    <n v="0"/>
    <n v="0"/>
    <x v="2"/>
    <s v="Married"/>
    <n v="0"/>
    <n v="1"/>
    <n v="17861"/>
    <n v="2288"/>
    <n v="6"/>
    <s v="No"/>
    <n v="0"/>
    <n v="13"/>
    <n v="3"/>
    <n v="3"/>
    <n v="0"/>
    <n v="26"/>
    <n v="2"/>
    <n v="1"/>
    <n v="3"/>
    <n v="2"/>
    <n v="0"/>
    <n v="1"/>
  </r>
  <r>
    <n v="35"/>
    <x v="1"/>
    <n v="0"/>
    <s v="Travel_Rarely"/>
    <n v="0"/>
    <n v="1"/>
    <n v="144"/>
    <s v="Research &amp; Development"/>
    <n v="1"/>
    <n v="0"/>
    <n v="22"/>
    <n v="3"/>
    <s v="Life Sciences"/>
    <n v="1"/>
    <n v="0"/>
    <n v="0"/>
    <n v="0"/>
    <n v="0"/>
    <n v="4"/>
    <x v="1"/>
    <n v="0"/>
    <n v="46"/>
    <n v="1"/>
    <n v="1"/>
    <s v="Laboratory Technician"/>
    <n v="0"/>
    <n v="0"/>
    <n v="1"/>
    <n v="0"/>
    <n v="0"/>
    <n v="0"/>
    <n v="0"/>
    <n v="0"/>
    <x v="2"/>
    <s v="Single"/>
    <n v="1"/>
    <n v="0"/>
    <n v="4230"/>
    <n v="19225"/>
    <n v="0"/>
    <s v="No"/>
    <n v="0"/>
    <n v="15"/>
    <n v="3"/>
    <n v="3"/>
    <n v="0"/>
    <n v="6"/>
    <n v="2"/>
    <n v="3"/>
    <n v="5"/>
    <n v="4"/>
    <n v="4"/>
    <n v="3"/>
  </r>
  <r>
    <n v="54"/>
    <x v="1"/>
    <n v="0"/>
    <s v="Travel_Rarely"/>
    <n v="0"/>
    <n v="1"/>
    <n v="548"/>
    <s v="Research &amp; Development"/>
    <n v="1"/>
    <n v="0"/>
    <n v="8"/>
    <n v="4"/>
    <s v="Life Sciences"/>
    <n v="1"/>
    <n v="0"/>
    <n v="0"/>
    <n v="0"/>
    <n v="0"/>
    <n v="3"/>
    <x v="0"/>
    <n v="1"/>
    <n v="42"/>
    <n v="3"/>
    <n v="2"/>
    <s v="Laboratory Technician"/>
    <n v="0"/>
    <n v="0"/>
    <n v="1"/>
    <n v="0"/>
    <n v="0"/>
    <n v="0"/>
    <n v="0"/>
    <n v="0"/>
    <x v="2"/>
    <s v="Single"/>
    <n v="1"/>
    <n v="0"/>
    <n v="3780"/>
    <n v="23428"/>
    <n v="7"/>
    <s v="No"/>
    <n v="0"/>
    <n v="11"/>
    <n v="3"/>
    <n v="3"/>
    <n v="0"/>
    <n v="19"/>
    <n v="3"/>
    <n v="3"/>
    <n v="1"/>
    <n v="0"/>
    <n v="0"/>
    <n v="0"/>
  </r>
  <r>
    <n v="34"/>
    <x v="1"/>
    <n v="0"/>
    <s v="Travel_Rarely"/>
    <n v="0"/>
    <n v="1"/>
    <n v="1303"/>
    <s v="Research &amp; Development"/>
    <n v="1"/>
    <n v="0"/>
    <n v="2"/>
    <n v="4"/>
    <s v="Life Sciences"/>
    <n v="1"/>
    <n v="0"/>
    <n v="0"/>
    <n v="0"/>
    <n v="0"/>
    <n v="4"/>
    <x v="1"/>
    <n v="0"/>
    <n v="62"/>
    <n v="2"/>
    <n v="1"/>
    <s v="Research Scientist"/>
    <n v="0"/>
    <n v="0"/>
    <n v="0"/>
    <n v="0"/>
    <n v="0"/>
    <n v="0"/>
    <n v="0"/>
    <n v="1"/>
    <x v="2"/>
    <s v="Divorced"/>
    <n v="0"/>
    <n v="0"/>
    <n v="2768"/>
    <n v="8416"/>
    <n v="3"/>
    <s v="No"/>
    <n v="0"/>
    <n v="12"/>
    <n v="3"/>
    <n v="3"/>
    <n v="1"/>
    <n v="14"/>
    <n v="3"/>
    <n v="3"/>
    <n v="7"/>
    <n v="3"/>
    <n v="5"/>
    <n v="7"/>
  </r>
  <r>
    <n v="46"/>
    <x v="1"/>
    <n v="0"/>
    <s v="Travel_Rarely"/>
    <n v="0"/>
    <n v="1"/>
    <n v="1125"/>
    <s v="Sales"/>
    <n v="0"/>
    <n v="1"/>
    <n v="10"/>
    <n v="3"/>
    <s v="Marketing"/>
    <n v="0"/>
    <n v="0"/>
    <n v="0"/>
    <n v="1"/>
    <n v="0"/>
    <n v="3"/>
    <x v="0"/>
    <n v="1"/>
    <n v="94"/>
    <n v="2"/>
    <n v="3"/>
    <s v="Sales Executive"/>
    <n v="0"/>
    <n v="1"/>
    <n v="0"/>
    <n v="0"/>
    <n v="0"/>
    <n v="0"/>
    <n v="0"/>
    <n v="0"/>
    <x v="0"/>
    <s v="Married"/>
    <n v="0"/>
    <n v="1"/>
    <n v="9071"/>
    <n v="11563"/>
    <n v="2"/>
    <s v="Yes"/>
    <n v="1"/>
    <n v="19"/>
    <n v="3"/>
    <n v="3"/>
    <n v="1"/>
    <n v="15"/>
    <n v="3"/>
    <n v="3"/>
    <n v="3"/>
    <n v="2"/>
    <n v="1"/>
    <n v="2"/>
  </r>
  <r>
    <n v="31"/>
    <x v="1"/>
    <n v="0"/>
    <s v="Travel_Rarely"/>
    <n v="0"/>
    <n v="1"/>
    <n v="1274"/>
    <s v="Research &amp; Development"/>
    <n v="1"/>
    <n v="0"/>
    <n v="9"/>
    <n v="1"/>
    <s v="Life Sciences"/>
    <n v="1"/>
    <n v="0"/>
    <n v="0"/>
    <n v="0"/>
    <n v="0"/>
    <n v="3"/>
    <x v="1"/>
    <n v="0"/>
    <n v="33"/>
    <n v="3"/>
    <n v="3"/>
    <s v="Manufacturing Director"/>
    <n v="0"/>
    <n v="0"/>
    <n v="0"/>
    <n v="0"/>
    <n v="1"/>
    <n v="1"/>
    <n v="0"/>
    <n v="0"/>
    <x v="1"/>
    <s v="Divorced"/>
    <n v="0"/>
    <n v="0"/>
    <n v="10648"/>
    <n v="14394"/>
    <n v="1"/>
    <s v="No"/>
    <n v="0"/>
    <n v="25"/>
    <n v="4"/>
    <n v="4"/>
    <n v="1"/>
    <n v="13"/>
    <n v="6"/>
    <n v="4"/>
    <n v="13"/>
    <n v="8"/>
    <n v="0"/>
    <n v="8"/>
  </r>
  <r>
    <n v="33"/>
    <x v="0"/>
    <n v="1"/>
    <s v="Travel_Rarely"/>
    <n v="0"/>
    <n v="1"/>
    <n v="1277"/>
    <s v="Research &amp; Development"/>
    <n v="1"/>
    <n v="0"/>
    <n v="15"/>
    <n v="1"/>
    <s v="Medical"/>
    <n v="0"/>
    <n v="0"/>
    <n v="1"/>
    <n v="0"/>
    <n v="0"/>
    <n v="2"/>
    <x v="1"/>
    <n v="0"/>
    <n v="56"/>
    <n v="3"/>
    <n v="3"/>
    <s v="Manager"/>
    <n v="0"/>
    <n v="0"/>
    <n v="0"/>
    <n v="1"/>
    <n v="0"/>
    <n v="0"/>
    <n v="0"/>
    <n v="0"/>
    <x v="2"/>
    <s v="Married"/>
    <n v="0"/>
    <n v="1"/>
    <n v="13610"/>
    <n v="24619"/>
    <n v="7"/>
    <s v="Yes"/>
    <n v="1"/>
    <n v="12"/>
    <n v="3"/>
    <n v="4"/>
    <n v="0"/>
    <n v="15"/>
    <n v="2"/>
    <n v="4"/>
    <n v="7"/>
    <n v="6"/>
    <n v="7"/>
    <n v="7"/>
  </r>
  <r>
    <n v="33"/>
    <x v="0"/>
    <n v="1"/>
    <s v="Travel_Rarely"/>
    <n v="0"/>
    <n v="1"/>
    <n v="587"/>
    <s v="Research &amp; Development"/>
    <n v="1"/>
    <n v="0"/>
    <n v="10"/>
    <n v="1"/>
    <s v="Medical"/>
    <n v="0"/>
    <n v="0"/>
    <n v="1"/>
    <n v="0"/>
    <n v="0"/>
    <n v="1"/>
    <x v="1"/>
    <n v="0"/>
    <n v="38"/>
    <n v="1"/>
    <n v="1"/>
    <s v="Laboratory Technician"/>
    <n v="0"/>
    <n v="0"/>
    <n v="1"/>
    <n v="0"/>
    <n v="0"/>
    <n v="0"/>
    <n v="0"/>
    <n v="0"/>
    <x v="0"/>
    <s v="Divorced"/>
    <n v="0"/>
    <n v="0"/>
    <n v="3408"/>
    <n v="6705"/>
    <n v="7"/>
    <s v="No"/>
    <n v="0"/>
    <n v="13"/>
    <n v="3"/>
    <n v="1"/>
    <n v="3"/>
    <n v="8"/>
    <n v="2"/>
    <n v="3"/>
    <n v="4"/>
    <n v="3"/>
    <n v="1"/>
    <n v="3"/>
  </r>
  <r>
    <n v="30"/>
    <x v="1"/>
    <n v="0"/>
    <s v="Travel_Rarely"/>
    <n v="0"/>
    <n v="1"/>
    <n v="413"/>
    <s v="Sales"/>
    <n v="0"/>
    <n v="1"/>
    <n v="7"/>
    <n v="1"/>
    <s v="Marketing"/>
    <n v="0"/>
    <n v="0"/>
    <n v="0"/>
    <n v="1"/>
    <n v="0"/>
    <n v="4"/>
    <x v="1"/>
    <n v="0"/>
    <n v="57"/>
    <n v="3"/>
    <n v="1"/>
    <s v="Sales Representative"/>
    <n v="0"/>
    <n v="0"/>
    <n v="0"/>
    <n v="0"/>
    <n v="0"/>
    <n v="0"/>
    <n v="1"/>
    <n v="0"/>
    <x v="1"/>
    <s v="Single"/>
    <n v="1"/>
    <n v="0"/>
    <n v="2983"/>
    <n v="18398"/>
    <n v="0"/>
    <s v="No"/>
    <n v="0"/>
    <n v="14"/>
    <n v="3"/>
    <n v="1"/>
    <n v="0"/>
    <n v="4"/>
    <n v="3"/>
    <n v="3"/>
    <n v="3"/>
    <n v="2"/>
    <n v="1"/>
    <n v="2"/>
  </r>
  <r>
    <n v="35"/>
    <x v="1"/>
    <n v="0"/>
    <s v="Travel_Rarely"/>
    <n v="0"/>
    <n v="1"/>
    <n v="1276"/>
    <s v="Research &amp; Development"/>
    <n v="1"/>
    <n v="0"/>
    <n v="16"/>
    <n v="3"/>
    <s v="Life Sciences"/>
    <n v="1"/>
    <n v="0"/>
    <n v="0"/>
    <n v="0"/>
    <n v="0"/>
    <n v="4"/>
    <x v="1"/>
    <n v="0"/>
    <n v="72"/>
    <n v="3"/>
    <n v="3"/>
    <s v="Healthcare Representative"/>
    <n v="1"/>
    <n v="0"/>
    <n v="0"/>
    <n v="0"/>
    <n v="0"/>
    <n v="0"/>
    <n v="0"/>
    <n v="0"/>
    <x v="2"/>
    <s v="Married"/>
    <n v="0"/>
    <n v="1"/>
    <n v="7632"/>
    <n v="14295"/>
    <n v="4"/>
    <s v="Yes"/>
    <n v="1"/>
    <n v="12"/>
    <n v="3"/>
    <n v="3"/>
    <n v="0"/>
    <n v="10"/>
    <n v="2"/>
    <n v="3"/>
    <n v="8"/>
    <n v="7"/>
    <n v="0"/>
    <n v="0"/>
  </r>
  <r>
    <n v="31"/>
    <x v="0"/>
    <n v="1"/>
    <s v="Travel_Frequently"/>
    <n v="1"/>
    <n v="0"/>
    <n v="534"/>
    <s v="Research &amp; Development"/>
    <n v="1"/>
    <n v="0"/>
    <n v="20"/>
    <n v="3"/>
    <s v="Life Sciences"/>
    <n v="1"/>
    <n v="0"/>
    <n v="0"/>
    <n v="0"/>
    <n v="0"/>
    <n v="1"/>
    <x v="1"/>
    <n v="0"/>
    <n v="66"/>
    <n v="3"/>
    <n v="3"/>
    <s v="Healthcare Representative"/>
    <n v="1"/>
    <n v="0"/>
    <n v="0"/>
    <n v="0"/>
    <n v="0"/>
    <n v="0"/>
    <n v="0"/>
    <n v="0"/>
    <x v="2"/>
    <s v="Married"/>
    <n v="0"/>
    <n v="1"/>
    <n v="9824"/>
    <n v="22908"/>
    <n v="3"/>
    <s v="No"/>
    <n v="0"/>
    <n v="12"/>
    <n v="3"/>
    <n v="1"/>
    <n v="0"/>
    <n v="12"/>
    <n v="2"/>
    <n v="3"/>
    <n v="1"/>
    <n v="0"/>
    <n v="0"/>
    <n v="0"/>
  </r>
  <r>
    <n v="34"/>
    <x v="0"/>
    <n v="1"/>
    <s v="Travel_Frequently"/>
    <n v="1"/>
    <n v="0"/>
    <n v="988"/>
    <s v="Human Resources"/>
    <n v="0"/>
    <n v="0"/>
    <n v="23"/>
    <n v="3"/>
    <s v="Human Resources"/>
    <n v="0"/>
    <n v="0"/>
    <n v="0"/>
    <n v="0"/>
    <n v="0"/>
    <n v="2"/>
    <x v="0"/>
    <n v="1"/>
    <n v="43"/>
    <n v="3"/>
    <n v="3"/>
    <s v="Human Resources"/>
    <n v="0"/>
    <n v="0"/>
    <n v="0"/>
    <n v="0"/>
    <n v="0"/>
    <n v="0"/>
    <n v="0"/>
    <n v="0"/>
    <x v="3"/>
    <s v="Divorced"/>
    <n v="0"/>
    <n v="0"/>
    <n v="9950"/>
    <n v="11533"/>
    <n v="9"/>
    <s v="Yes"/>
    <n v="1"/>
    <n v="15"/>
    <n v="3"/>
    <n v="3"/>
    <n v="3"/>
    <n v="11"/>
    <n v="2"/>
    <n v="3"/>
    <n v="3"/>
    <n v="2"/>
    <n v="0"/>
    <n v="2"/>
  </r>
  <r>
    <n v="42"/>
    <x v="1"/>
    <n v="0"/>
    <s v="Travel_Frequently"/>
    <n v="1"/>
    <n v="0"/>
    <n v="1474"/>
    <s v="Research &amp; Development"/>
    <n v="1"/>
    <n v="0"/>
    <n v="5"/>
    <n v="2"/>
    <s v="Other"/>
    <n v="0"/>
    <n v="1"/>
    <n v="0"/>
    <n v="0"/>
    <n v="0"/>
    <n v="2"/>
    <x v="1"/>
    <n v="0"/>
    <n v="97"/>
    <n v="3"/>
    <n v="1"/>
    <s v="Laboratory Technician"/>
    <n v="0"/>
    <n v="0"/>
    <n v="1"/>
    <n v="0"/>
    <n v="0"/>
    <n v="0"/>
    <n v="0"/>
    <n v="0"/>
    <x v="2"/>
    <s v="Married"/>
    <n v="0"/>
    <n v="1"/>
    <n v="2093"/>
    <n v="9260"/>
    <n v="4"/>
    <s v="No"/>
    <n v="0"/>
    <n v="17"/>
    <n v="3"/>
    <n v="4"/>
    <n v="1"/>
    <n v="8"/>
    <n v="4"/>
    <n v="3"/>
    <n v="2"/>
    <n v="2"/>
    <n v="2"/>
    <n v="0"/>
  </r>
  <r>
    <n v="36"/>
    <x v="1"/>
    <n v="0"/>
    <s v="Non-Travel"/>
    <n v="0"/>
    <n v="0"/>
    <n v="635"/>
    <s v="Sales"/>
    <n v="0"/>
    <n v="1"/>
    <n v="10"/>
    <n v="4"/>
    <s v="Medical"/>
    <n v="0"/>
    <n v="0"/>
    <n v="1"/>
    <n v="0"/>
    <n v="0"/>
    <n v="2"/>
    <x v="1"/>
    <n v="0"/>
    <n v="32"/>
    <n v="3"/>
    <n v="3"/>
    <s v="Sales Executive"/>
    <n v="0"/>
    <n v="1"/>
    <n v="0"/>
    <n v="0"/>
    <n v="0"/>
    <n v="0"/>
    <n v="0"/>
    <n v="0"/>
    <x v="0"/>
    <s v="Single"/>
    <n v="1"/>
    <n v="0"/>
    <n v="9980"/>
    <n v="15318"/>
    <n v="1"/>
    <s v="No"/>
    <n v="0"/>
    <n v="14"/>
    <n v="3"/>
    <n v="4"/>
    <n v="0"/>
    <n v="10"/>
    <n v="3"/>
    <n v="2"/>
    <n v="10"/>
    <n v="3"/>
    <n v="9"/>
    <n v="7"/>
  </r>
  <r>
    <n v="22"/>
    <x v="0"/>
    <n v="1"/>
    <s v="Travel_Frequently"/>
    <n v="1"/>
    <n v="0"/>
    <n v="1368"/>
    <s v="Research &amp; Development"/>
    <n v="1"/>
    <n v="0"/>
    <n v="4"/>
    <n v="1"/>
    <s v="Technical Degree"/>
    <n v="0"/>
    <n v="0"/>
    <n v="0"/>
    <n v="0"/>
    <n v="1"/>
    <n v="3"/>
    <x v="1"/>
    <n v="0"/>
    <n v="99"/>
    <n v="2"/>
    <n v="1"/>
    <s v="Laboratory Technician"/>
    <n v="0"/>
    <n v="0"/>
    <n v="1"/>
    <n v="0"/>
    <n v="0"/>
    <n v="0"/>
    <n v="0"/>
    <n v="0"/>
    <x v="2"/>
    <s v="Single"/>
    <n v="1"/>
    <n v="0"/>
    <n v="3894"/>
    <n v="9129"/>
    <n v="5"/>
    <s v="No"/>
    <n v="0"/>
    <n v="16"/>
    <n v="3"/>
    <n v="3"/>
    <n v="0"/>
    <n v="4"/>
    <n v="3"/>
    <n v="3"/>
    <n v="2"/>
    <n v="2"/>
    <n v="1"/>
    <n v="2"/>
  </r>
  <r>
    <n v="48"/>
    <x v="1"/>
    <n v="0"/>
    <s v="Travel_Rarely"/>
    <n v="0"/>
    <n v="1"/>
    <n v="163"/>
    <s v="Sales"/>
    <n v="0"/>
    <n v="1"/>
    <n v="2"/>
    <n v="5"/>
    <s v="Marketing"/>
    <n v="0"/>
    <n v="0"/>
    <n v="0"/>
    <n v="1"/>
    <n v="0"/>
    <n v="2"/>
    <x v="0"/>
    <n v="1"/>
    <n v="37"/>
    <n v="3"/>
    <n v="2"/>
    <s v="Sales Executive"/>
    <n v="0"/>
    <n v="1"/>
    <n v="0"/>
    <n v="0"/>
    <n v="0"/>
    <n v="0"/>
    <n v="0"/>
    <n v="0"/>
    <x v="0"/>
    <s v="Married"/>
    <n v="0"/>
    <n v="1"/>
    <n v="4051"/>
    <n v="19658"/>
    <n v="2"/>
    <s v="No"/>
    <n v="0"/>
    <n v="14"/>
    <n v="3"/>
    <n v="1"/>
    <n v="1"/>
    <n v="14"/>
    <n v="2"/>
    <n v="3"/>
    <n v="9"/>
    <n v="7"/>
    <n v="6"/>
    <n v="7"/>
  </r>
  <r>
    <n v="55"/>
    <x v="1"/>
    <n v="0"/>
    <s v="Travel_Rarely"/>
    <n v="0"/>
    <n v="1"/>
    <n v="1117"/>
    <s v="Sales"/>
    <n v="0"/>
    <n v="1"/>
    <n v="18"/>
    <n v="5"/>
    <s v="Life Sciences"/>
    <n v="1"/>
    <n v="0"/>
    <n v="0"/>
    <n v="0"/>
    <n v="0"/>
    <n v="1"/>
    <x v="0"/>
    <n v="1"/>
    <n v="83"/>
    <n v="3"/>
    <n v="4"/>
    <s v="Manager"/>
    <n v="0"/>
    <n v="0"/>
    <n v="0"/>
    <n v="1"/>
    <n v="0"/>
    <n v="0"/>
    <n v="0"/>
    <n v="0"/>
    <x v="1"/>
    <s v="Single"/>
    <n v="1"/>
    <n v="0"/>
    <n v="16835"/>
    <n v="9873"/>
    <n v="3"/>
    <s v="No"/>
    <n v="0"/>
    <n v="23"/>
    <n v="4"/>
    <n v="4"/>
    <n v="0"/>
    <n v="37"/>
    <n v="2"/>
    <n v="3"/>
    <n v="10"/>
    <n v="9"/>
    <n v="7"/>
    <n v="7"/>
  </r>
  <r>
    <n v="41"/>
    <x v="1"/>
    <n v="0"/>
    <s v="Non-Travel"/>
    <n v="0"/>
    <n v="0"/>
    <n v="267"/>
    <s v="Sales"/>
    <n v="0"/>
    <n v="1"/>
    <n v="10"/>
    <n v="2"/>
    <s v="Life Sciences"/>
    <n v="1"/>
    <n v="0"/>
    <n v="0"/>
    <n v="0"/>
    <n v="0"/>
    <n v="4"/>
    <x v="1"/>
    <n v="0"/>
    <n v="56"/>
    <n v="3"/>
    <n v="2"/>
    <s v="Sales Executive"/>
    <n v="0"/>
    <n v="1"/>
    <n v="0"/>
    <n v="0"/>
    <n v="0"/>
    <n v="0"/>
    <n v="0"/>
    <n v="0"/>
    <x v="0"/>
    <s v="Single"/>
    <n v="1"/>
    <n v="0"/>
    <n v="6230"/>
    <n v="13430"/>
    <n v="7"/>
    <s v="No"/>
    <n v="0"/>
    <n v="14"/>
    <n v="3"/>
    <n v="4"/>
    <n v="0"/>
    <n v="16"/>
    <n v="3"/>
    <n v="3"/>
    <n v="14"/>
    <n v="3"/>
    <n v="1"/>
    <n v="10"/>
  </r>
  <r>
    <n v="35"/>
    <x v="1"/>
    <n v="0"/>
    <s v="Travel_Rarely"/>
    <n v="0"/>
    <n v="1"/>
    <n v="619"/>
    <s v="Sales"/>
    <n v="0"/>
    <n v="1"/>
    <n v="1"/>
    <n v="3"/>
    <s v="Marketing"/>
    <n v="0"/>
    <n v="0"/>
    <n v="0"/>
    <n v="1"/>
    <n v="0"/>
    <n v="2"/>
    <x v="1"/>
    <n v="0"/>
    <n v="85"/>
    <n v="3"/>
    <n v="2"/>
    <s v="Sales Executive"/>
    <n v="0"/>
    <n v="1"/>
    <n v="0"/>
    <n v="0"/>
    <n v="0"/>
    <n v="0"/>
    <n v="0"/>
    <n v="0"/>
    <x v="2"/>
    <s v="Married"/>
    <n v="0"/>
    <n v="1"/>
    <n v="4717"/>
    <n v="18659"/>
    <n v="9"/>
    <s v="No"/>
    <n v="0"/>
    <n v="11"/>
    <n v="3"/>
    <n v="3"/>
    <n v="0"/>
    <n v="15"/>
    <n v="2"/>
    <n v="3"/>
    <n v="11"/>
    <n v="9"/>
    <n v="6"/>
    <n v="9"/>
  </r>
  <r>
    <n v="40"/>
    <x v="1"/>
    <n v="0"/>
    <s v="Travel_Rarely"/>
    <n v="0"/>
    <n v="1"/>
    <n v="302"/>
    <s v="Research &amp; Development"/>
    <n v="1"/>
    <n v="0"/>
    <n v="6"/>
    <n v="3"/>
    <s v="Life Sciences"/>
    <n v="1"/>
    <n v="0"/>
    <n v="0"/>
    <n v="0"/>
    <n v="0"/>
    <n v="2"/>
    <x v="0"/>
    <n v="1"/>
    <n v="75"/>
    <n v="3"/>
    <n v="4"/>
    <s v="Manufacturing Director"/>
    <n v="0"/>
    <n v="0"/>
    <n v="0"/>
    <n v="0"/>
    <n v="1"/>
    <n v="1"/>
    <n v="0"/>
    <n v="0"/>
    <x v="2"/>
    <s v="Single"/>
    <n v="1"/>
    <n v="0"/>
    <n v="13237"/>
    <n v="20364"/>
    <n v="7"/>
    <s v="No"/>
    <n v="0"/>
    <n v="15"/>
    <n v="3"/>
    <n v="3"/>
    <n v="0"/>
    <n v="22"/>
    <n v="3"/>
    <n v="3"/>
    <n v="20"/>
    <n v="6"/>
    <n v="5"/>
    <n v="13"/>
  </r>
  <r>
    <n v="39"/>
    <x v="1"/>
    <n v="0"/>
    <s v="Travel_Frequently"/>
    <n v="1"/>
    <n v="0"/>
    <n v="443"/>
    <s v="Research &amp; Development"/>
    <n v="1"/>
    <n v="0"/>
    <n v="8"/>
    <n v="1"/>
    <s v="Life Sciences"/>
    <n v="1"/>
    <n v="0"/>
    <n v="0"/>
    <n v="0"/>
    <n v="0"/>
    <n v="3"/>
    <x v="0"/>
    <n v="1"/>
    <n v="48"/>
    <n v="3"/>
    <n v="1"/>
    <s v="Laboratory Technician"/>
    <n v="0"/>
    <n v="0"/>
    <n v="1"/>
    <n v="0"/>
    <n v="0"/>
    <n v="0"/>
    <n v="0"/>
    <n v="0"/>
    <x v="2"/>
    <s v="Married"/>
    <n v="0"/>
    <n v="1"/>
    <n v="3755"/>
    <n v="17872"/>
    <n v="1"/>
    <s v="No"/>
    <n v="0"/>
    <n v="11"/>
    <n v="3"/>
    <n v="1"/>
    <n v="1"/>
    <n v="8"/>
    <n v="3"/>
    <n v="3"/>
    <n v="8"/>
    <n v="3"/>
    <n v="0"/>
    <n v="7"/>
  </r>
  <r>
    <n v="31"/>
    <x v="1"/>
    <n v="0"/>
    <s v="Travel_Rarely"/>
    <n v="0"/>
    <n v="1"/>
    <n v="828"/>
    <s v="Sales"/>
    <n v="0"/>
    <n v="1"/>
    <n v="2"/>
    <n v="1"/>
    <s v="Life Sciences"/>
    <n v="1"/>
    <n v="0"/>
    <n v="0"/>
    <n v="0"/>
    <n v="0"/>
    <n v="2"/>
    <x v="1"/>
    <n v="0"/>
    <n v="77"/>
    <n v="3"/>
    <n v="2"/>
    <s v="Sales Executive"/>
    <n v="0"/>
    <n v="1"/>
    <n v="0"/>
    <n v="0"/>
    <n v="0"/>
    <n v="0"/>
    <n v="0"/>
    <n v="0"/>
    <x v="0"/>
    <s v="Single"/>
    <n v="1"/>
    <n v="0"/>
    <n v="6582"/>
    <n v="8346"/>
    <n v="4"/>
    <s v="Yes"/>
    <n v="1"/>
    <n v="13"/>
    <n v="3"/>
    <n v="3"/>
    <n v="0"/>
    <n v="10"/>
    <n v="2"/>
    <n v="4"/>
    <n v="6"/>
    <n v="5"/>
    <n v="0"/>
    <n v="5"/>
  </r>
  <r>
    <n v="42"/>
    <x v="1"/>
    <n v="0"/>
    <s v="Travel_Rarely"/>
    <n v="0"/>
    <n v="1"/>
    <n v="319"/>
    <s v="Research &amp; Development"/>
    <n v="1"/>
    <n v="0"/>
    <n v="24"/>
    <n v="3"/>
    <s v="Medical"/>
    <n v="0"/>
    <n v="0"/>
    <n v="1"/>
    <n v="0"/>
    <n v="0"/>
    <n v="4"/>
    <x v="1"/>
    <n v="0"/>
    <n v="56"/>
    <n v="3"/>
    <n v="3"/>
    <s v="Manufacturing Director"/>
    <n v="0"/>
    <n v="0"/>
    <n v="0"/>
    <n v="0"/>
    <n v="1"/>
    <n v="1"/>
    <n v="0"/>
    <n v="0"/>
    <x v="3"/>
    <s v="Married"/>
    <n v="0"/>
    <n v="1"/>
    <n v="7406"/>
    <n v="6950"/>
    <n v="1"/>
    <s v="Yes"/>
    <n v="1"/>
    <n v="21"/>
    <n v="4"/>
    <n v="4"/>
    <n v="1"/>
    <n v="10"/>
    <n v="5"/>
    <n v="2"/>
    <n v="10"/>
    <n v="9"/>
    <n v="5"/>
    <n v="8"/>
  </r>
  <r>
    <n v="45"/>
    <x v="1"/>
    <n v="0"/>
    <s v="Travel_Rarely"/>
    <n v="0"/>
    <n v="1"/>
    <n v="561"/>
    <s v="Sales"/>
    <n v="0"/>
    <n v="1"/>
    <n v="2"/>
    <n v="3"/>
    <s v="Other"/>
    <n v="0"/>
    <n v="1"/>
    <n v="0"/>
    <n v="0"/>
    <n v="0"/>
    <n v="4"/>
    <x v="1"/>
    <n v="0"/>
    <n v="61"/>
    <n v="3"/>
    <n v="2"/>
    <s v="Sales Executive"/>
    <n v="0"/>
    <n v="1"/>
    <n v="0"/>
    <n v="0"/>
    <n v="0"/>
    <n v="0"/>
    <n v="0"/>
    <n v="0"/>
    <x v="1"/>
    <s v="Married"/>
    <n v="0"/>
    <n v="1"/>
    <n v="4805"/>
    <n v="16177"/>
    <n v="0"/>
    <s v="No"/>
    <n v="0"/>
    <n v="19"/>
    <n v="3"/>
    <n v="2"/>
    <n v="1"/>
    <n v="9"/>
    <n v="3"/>
    <n v="4"/>
    <n v="8"/>
    <n v="7"/>
    <n v="3"/>
    <n v="7"/>
  </r>
  <r>
    <n v="26"/>
    <x v="0"/>
    <n v="1"/>
    <s v="Travel_Frequently"/>
    <n v="1"/>
    <n v="0"/>
    <n v="426"/>
    <s v="Human Resources"/>
    <n v="0"/>
    <n v="0"/>
    <n v="17"/>
    <n v="4"/>
    <s v="Life Sciences"/>
    <n v="1"/>
    <n v="0"/>
    <n v="0"/>
    <n v="0"/>
    <n v="0"/>
    <n v="2"/>
    <x v="0"/>
    <n v="1"/>
    <n v="58"/>
    <n v="3"/>
    <n v="1"/>
    <s v="Human Resources"/>
    <n v="0"/>
    <n v="0"/>
    <n v="0"/>
    <n v="0"/>
    <n v="0"/>
    <n v="0"/>
    <n v="0"/>
    <n v="0"/>
    <x v="2"/>
    <s v="Divorced"/>
    <n v="0"/>
    <n v="0"/>
    <n v="2741"/>
    <n v="22808"/>
    <n v="0"/>
    <s v="Yes"/>
    <n v="1"/>
    <n v="11"/>
    <n v="3"/>
    <n v="2"/>
    <n v="1"/>
    <n v="8"/>
    <n v="2"/>
    <n v="2"/>
    <n v="7"/>
    <n v="7"/>
    <n v="1"/>
    <n v="0"/>
  </r>
  <r>
    <n v="29"/>
    <x v="1"/>
    <n v="0"/>
    <s v="Travel_Rarely"/>
    <n v="0"/>
    <n v="1"/>
    <n v="232"/>
    <s v="Research &amp; Development"/>
    <n v="1"/>
    <n v="0"/>
    <n v="19"/>
    <n v="3"/>
    <s v="Technical Degree"/>
    <n v="0"/>
    <n v="0"/>
    <n v="0"/>
    <n v="0"/>
    <n v="1"/>
    <n v="4"/>
    <x v="1"/>
    <n v="0"/>
    <n v="34"/>
    <n v="3"/>
    <n v="2"/>
    <s v="Manufacturing Director"/>
    <n v="0"/>
    <n v="0"/>
    <n v="0"/>
    <n v="0"/>
    <n v="1"/>
    <n v="1"/>
    <n v="0"/>
    <n v="0"/>
    <x v="0"/>
    <s v="Divorced"/>
    <n v="0"/>
    <n v="0"/>
    <n v="4262"/>
    <n v="22645"/>
    <n v="4"/>
    <s v="No"/>
    <n v="0"/>
    <n v="12"/>
    <n v="3"/>
    <n v="2"/>
    <n v="2"/>
    <n v="8"/>
    <n v="2"/>
    <n v="4"/>
    <n v="3"/>
    <n v="2"/>
    <n v="1"/>
    <n v="2"/>
  </r>
  <r>
    <n v="33"/>
    <x v="1"/>
    <n v="0"/>
    <s v="Travel_Rarely"/>
    <n v="0"/>
    <n v="1"/>
    <n v="922"/>
    <s v="Research &amp; Development"/>
    <n v="1"/>
    <n v="0"/>
    <n v="1"/>
    <n v="5"/>
    <s v="Medical"/>
    <n v="0"/>
    <n v="0"/>
    <n v="1"/>
    <n v="0"/>
    <n v="0"/>
    <n v="1"/>
    <x v="0"/>
    <n v="1"/>
    <n v="95"/>
    <n v="4"/>
    <n v="4"/>
    <s v="Research Director"/>
    <n v="0"/>
    <n v="0"/>
    <n v="0"/>
    <n v="0"/>
    <n v="0"/>
    <n v="0"/>
    <n v="0"/>
    <n v="0"/>
    <x v="2"/>
    <s v="Divorced"/>
    <n v="0"/>
    <n v="0"/>
    <n v="16184"/>
    <n v="22578"/>
    <n v="4"/>
    <s v="No"/>
    <n v="0"/>
    <n v="19"/>
    <n v="3"/>
    <n v="3"/>
    <n v="1"/>
    <n v="10"/>
    <n v="2"/>
    <n v="3"/>
    <n v="6"/>
    <n v="1"/>
    <n v="0"/>
    <n v="5"/>
  </r>
  <r>
    <n v="31"/>
    <x v="1"/>
    <n v="0"/>
    <s v="Travel_Rarely"/>
    <n v="0"/>
    <n v="1"/>
    <n v="688"/>
    <s v="Sales"/>
    <n v="0"/>
    <n v="1"/>
    <n v="7"/>
    <n v="3"/>
    <s v="Life Sciences"/>
    <n v="1"/>
    <n v="0"/>
    <n v="0"/>
    <n v="0"/>
    <n v="0"/>
    <n v="3"/>
    <x v="1"/>
    <n v="0"/>
    <n v="44"/>
    <n v="2"/>
    <n v="3"/>
    <s v="Manager"/>
    <n v="0"/>
    <n v="0"/>
    <n v="0"/>
    <n v="1"/>
    <n v="0"/>
    <n v="0"/>
    <n v="0"/>
    <n v="0"/>
    <x v="0"/>
    <s v="Divorced"/>
    <n v="0"/>
    <n v="0"/>
    <n v="11557"/>
    <n v="25291"/>
    <n v="9"/>
    <s v="No"/>
    <n v="0"/>
    <n v="21"/>
    <n v="4"/>
    <n v="3"/>
    <n v="1"/>
    <n v="10"/>
    <n v="3"/>
    <n v="2"/>
    <n v="5"/>
    <n v="4"/>
    <n v="0"/>
    <n v="1"/>
  </r>
  <r>
    <n v="18"/>
    <x v="0"/>
    <n v="1"/>
    <s v="Travel_Frequently"/>
    <n v="1"/>
    <n v="0"/>
    <n v="1306"/>
    <s v="Sales"/>
    <n v="0"/>
    <n v="1"/>
    <n v="5"/>
    <n v="3"/>
    <s v="Marketing"/>
    <n v="0"/>
    <n v="0"/>
    <n v="0"/>
    <n v="1"/>
    <n v="0"/>
    <n v="2"/>
    <x v="1"/>
    <n v="0"/>
    <n v="69"/>
    <n v="3"/>
    <n v="1"/>
    <s v="Sales Representative"/>
    <n v="0"/>
    <n v="0"/>
    <n v="0"/>
    <n v="0"/>
    <n v="0"/>
    <n v="0"/>
    <n v="1"/>
    <n v="0"/>
    <x v="1"/>
    <s v="Single"/>
    <n v="1"/>
    <n v="0"/>
    <n v="1878"/>
    <n v="8059"/>
    <n v="1"/>
    <s v="Yes"/>
    <n v="1"/>
    <n v="14"/>
    <n v="3"/>
    <n v="4"/>
    <n v="0"/>
    <n v="0"/>
    <n v="3"/>
    <n v="3"/>
    <n v="0"/>
    <n v="0"/>
    <n v="0"/>
    <n v="0"/>
  </r>
  <r>
    <n v="40"/>
    <x v="1"/>
    <n v="0"/>
    <s v="Non-Travel"/>
    <n v="0"/>
    <n v="0"/>
    <n v="1094"/>
    <s v="Sales"/>
    <n v="0"/>
    <n v="1"/>
    <n v="28"/>
    <n v="3"/>
    <s v="Other"/>
    <n v="0"/>
    <n v="1"/>
    <n v="0"/>
    <n v="0"/>
    <n v="0"/>
    <n v="3"/>
    <x v="1"/>
    <n v="0"/>
    <n v="58"/>
    <n v="1"/>
    <n v="3"/>
    <s v="Sales Executive"/>
    <n v="0"/>
    <n v="1"/>
    <n v="0"/>
    <n v="0"/>
    <n v="0"/>
    <n v="0"/>
    <n v="0"/>
    <n v="0"/>
    <x v="3"/>
    <s v="Divorced"/>
    <n v="0"/>
    <n v="0"/>
    <n v="10932"/>
    <n v="11373"/>
    <n v="3"/>
    <s v="No"/>
    <n v="0"/>
    <n v="15"/>
    <n v="3"/>
    <n v="3"/>
    <n v="1"/>
    <n v="20"/>
    <n v="2"/>
    <n v="3"/>
    <n v="1"/>
    <n v="0"/>
    <n v="0"/>
    <n v="1"/>
  </r>
  <r>
    <n v="41"/>
    <x v="1"/>
    <n v="0"/>
    <s v="Non-Travel"/>
    <n v="0"/>
    <n v="0"/>
    <n v="509"/>
    <s v="Research &amp; Development"/>
    <n v="1"/>
    <n v="0"/>
    <n v="2"/>
    <n v="4"/>
    <s v="Other"/>
    <n v="0"/>
    <n v="1"/>
    <n v="0"/>
    <n v="0"/>
    <n v="0"/>
    <n v="1"/>
    <x v="0"/>
    <n v="1"/>
    <n v="62"/>
    <n v="2"/>
    <n v="2"/>
    <s v="Healthcare Representative"/>
    <n v="1"/>
    <n v="0"/>
    <n v="0"/>
    <n v="0"/>
    <n v="0"/>
    <n v="0"/>
    <n v="0"/>
    <n v="0"/>
    <x v="2"/>
    <s v="Single"/>
    <n v="1"/>
    <n v="0"/>
    <n v="6811"/>
    <n v="2112"/>
    <n v="2"/>
    <s v="Yes"/>
    <n v="1"/>
    <n v="17"/>
    <n v="3"/>
    <n v="1"/>
    <n v="0"/>
    <n v="10"/>
    <n v="3"/>
    <n v="3"/>
    <n v="8"/>
    <n v="7"/>
    <n v="0"/>
    <n v="7"/>
  </r>
  <r>
    <n v="26"/>
    <x v="1"/>
    <n v="0"/>
    <s v="Travel_Rarely"/>
    <n v="0"/>
    <n v="1"/>
    <n v="775"/>
    <s v="Sales"/>
    <n v="0"/>
    <n v="1"/>
    <n v="29"/>
    <n v="2"/>
    <s v="Medical"/>
    <n v="0"/>
    <n v="0"/>
    <n v="1"/>
    <n v="0"/>
    <n v="0"/>
    <n v="1"/>
    <x v="1"/>
    <n v="0"/>
    <n v="45"/>
    <n v="3"/>
    <n v="2"/>
    <s v="Sales Executive"/>
    <n v="0"/>
    <n v="1"/>
    <n v="0"/>
    <n v="0"/>
    <n v="0"/>
    <n v="0"/>
    <n v="0"/>
    <n v="0"/>
    <x v="2"/>
    <s v="Divorced"/>
    <n v="0"/>
    <n v="0"/>
    <n v="4306"/>
    <n v="4267"/>
    <n v="5"/>
    <s v="No"/>
    <n v="0"/>
    <n v="12"/>
    <n v="3"/>
    <n v="1"/>
    <n v="2"/>
    <n v="8"/>
    <n v="5"/>
    <n v="3"/>
    <n v="0"/>
    <n v="0"/>
    <n v="0"/>
    <n v="0"/>
  </r>
  <r>
    <n v="35"/>
    <x v="1"/>
    <n v="0"/>
    <s v="Travel_Rarely"/>
    <n v="0"/>
    <n v="1"/>
    <n v="195"/>
    <s v="Sales"/>
    <n v="0"/>
    <n v="1"/>
    <n v="1"/>
    <n v="3"/>
    <s v="Medical"/>
    <n v="0"/>
    <n v="0"/>
    <n v="1"/>
    <n v="0"/>
    <n v="0"/>
    <n v="1"/>
    <x v="0"/>
    <n v="1"/>
    <n v="80"/>
    <n v="3"/>
    <n v="2"/>
    <s v="Sales Executive"/>
    <n v="0"/>
    <n v="1"/>
    <n v="0"/>
    <n v="0"/>
    <n v="0"/>
    <n v="0"/>
    <n v="0"/>
    <n v="0"/>
    <x v="2"/>
    <s v="Single"/>
    <n v="1"/>
    <n v="0"/>
    <n v="4859"/>
    <n v="6698"/>
    <n v="1"/>
    <s v="No"/>
    <n v="0"/>
    <n v="16"/>
    <n v="3"/>
    <n v="4"/>
    <n v="0"/>
    <n v="5"/>
    <n v="3"/>
    <n v="3"/>
    <n v="5"/>
    <n v="4"/>
    <n v="0"/>
    <n v="3"/>
  </r>
  <r>
    <n v="34"/>
    <x v="1"/>
    <n v="0"/>
    <s v="Travel_Rarely"/>
    <n v="0"/>
    <n v="1"/>
    <n v="258"/>
    <s v="Sales"/>
    <n v="0"/>
    <n v="1"/>
    <n v="21"/>
    <n v="4"/>
    <s v="Life Sciences"/>
    <n v="1"/>
    <n v="0"/>
    <n v="0"/>
    <n v="0"/>
    <n v="0"/>
    <n v="4"/>
    <x v="1"/>
    <n v="0"/>
    <n v="74"/>
    <n v="4"/>
    <n v="2"/>
    <s v="Sales Executive"/>
    <n v="0"/>
    <n v="1"/>
    <n v="0"/>
    <n v="0"/>
    <n v="0"/>
    <n v="0"/>
    <n v="0"/>
    <n v="0"/>
    <x v="0"/>
    <s v="Single"/>
    <n v="1"/>
    <n v="0"/>
    <n v="5337"/>
    <n v="19921"/>
    <n v="1"/>
    <s v="No"/>
    <n v="0"/>
    <n v="12"/>
    <n v="3"/>
    <n v="4"/>
    <n v="0"/>
    <n v="10"/>
    <n v="3"/>
    <n v="3"/>
    <n v="10"/>
    <n v="7"/>
    <n v="5"/>
    <n v="7"/>
  </r>
  <r>
    <n v="26"/>
    <x v="0"/>
    <n v="1"/>
    <s v="Travel_Rarely"/>
    <n v="0"/>
    <n v="1"/>
    <n v="471"/>
    <s v="Research &amp; Development"/>
    <n v="1"/>
    <n v="0"/>
    <n v="24"/>
    <n v="3"/>
    <s v="Technical Degree"/>
    <n v="0"/>
    <n v="0"/>
    <n v="0"/>
    <n v="0"/>
    <n v="1"/>
    <n v="3"/>
    <x v="1"/>
    <n v="0"/>
    <n v="66"/>
    <n v="1"/>
    <n v="1"/>
    <s v="Laboratory Technician"/>
    <n v="0"/>
    <n v="0"/>
    <n v="1"/>
    <n v="0"/>
    <n v="0"/>
    <n v="0"/>
    <n v="0"/>
    <n v="0"/>
    <x v="0"/>
    <s v="Single"/>
    <n v="1"/>
    <n v="0"/>
    <n v="2340"/>
    <n v="23213"/>
    <n v="1"/>
    <s v="Yes"/>
    <n v="1"/>
    <n v="18"/>
    <n v="3"/>
    <n v="2"/>
    <n v="0"/>
    <n v="1"/>
    <n v="3"/>
    <n v="1"/>
    <n v="1"/>
    <n v="0"/>
    <n v="0"/>
    <n v="0"/>
  </r>
  <r>
    <n v="37"/>
    <x v="1"/>
    <n v="0"/>
    <s v="Travel_Rarely"/>
    <n v="0"/>
    <n v="1"/>
    <n v="799"/>
    <s v="Research &amp; Development"/>
    <n v="1"/>
    <n v="0"/>
    <n v="1"/>
    <n v="3"/>
    <s v="Technical Degree"/>
    <n v="0"/>
    <n v="0"/>
    <n v="0"/>
    <n v="0"/>
    <n v="1"/>
    <n v="2"/>
    <x v="0"/>
    <n v="1"/>
    <n v="59"/>
    <n v="3"/>
    <n v="3"/>
    <s v="Manufacturing Director"/>
    <n v="0"/>
    <n v="0"/>
    <n v="0"/>
    <n v="0"/>
    <n v="1"/>
    <n v="1"/>
    <n v="0"/>
    <n v="0"/>
    <x v="0"/>
    <s v="Single"/>
    <n v="1"/>
    <n v="0"/>
    <n v="7491"/>
    <n v="23848"/>
    <n v="4"/>
    <s v="No"/>
    <n v="0"/>
    <n v="17"/>
    <n v="3"/>
    <n v="4"/>
    <n v="0"/>
    <n v="12"/>
    <n v="3"/>
    <n v="4"/>
    <n v="6"/>
    <n v="5"/>
    <n v="1"/>
    <n v="2"/>
  </r>
  <r>
    <n v="46"/>
    <x v="1"/>
    <n v="0"/>
    <s v="Travel_Frequently"/>
    <n v="1"/>
    <n v="0"/>
    <n v="1034"/>
    <s v="Research &amp; Development"/>
    <n v="1"/>
    <n v="0"/>
    <n v="18"/>
    <n v="1"/>
    <s v="Medical"/>
    <n v="0"/>
    <n v="0"/>
    <n v="1"/>
    <n v="0"/>
    <n v="0"/>
    <n v="1"/>
    <x v="0"/>
    <n v="1"/>
    <n v="86"/>
    <n v="3"/>
    <n v="3"/>
    <s v="Healthcare Representative"/>
    <n v="1"/>
    <n v="0"/>
    <n v="0"/>
    <n v="0"/>
    <n v="0"/>
    <n v="0"/>
    <n v="0"/>
    <n v="0"/>
    <x v="2"/>
    <s v="Married"/>
    <n v="0"/>
    <n v="1"/>
    <n v="10527"/>
    <n v="8984"/>
    <n v="5"/>
    <s v="No"/>
    <n v="0"/>
    <n v="11"/>
    <n v="3"/>
    <n v="4"/>
    <n v="0"/>
    <n v="28"/>
    <n v="3"/>
    <n v="2"/>
    <n v="2"/>
    <n v="2"/>
    <n v="1"/>
    <n v="2"/>
  </r>
  <r>
    <n v="41"/>
    <x v="1"/>
    <n v="0"/>
    <s v="Travel_Rarely"/>
    <n v="0"/>
    <n v="1"/>
    <n v="1276"/>
    <s v="Sales"/>
    <n v="0"/>
    <n v="1"/>
    <n v="2"/>
    <n v="5"/>
    <s v="Life Sciences"/>
    <n v="1"/>
    <n v="0"/>
    <n v="0"/>
    <n v="0"/>
    <n v="0"/>
    <n v="2"/>
    <x v="0"/>
    <n v="1"/>
    <n v="91"/>
    <n v="3"/>
    <n v="4"/>
    <s v="Manager"/>
    <n v="0"/>
    <n v="0"/>
    <n v="0"/>
    <n v="1"/>
    <n v="0"/>
    <n v="0"/>
    <n v="0"/>
    <n v="0"/>
    <x v="3"/>
    <s v="Married"/>
    <n v="0"/>
    <n v="1"/>
    <n v="16595"/>
    <n v="5626"/>
    <n v="7"/>
    <s v="No"/>
    <n v="0"/>
    <n v="16"/>
    <n v="3"/>
    <n v="2"/>
    <n v="1"/>
    <n v="22"/>
    <n v="2"/>
    <n v="3"/>
    <n v="18"/>
    <n v="16"/>
    <n v="11"/>
    <n v="8"/>
  </r>
  <r>
    <n v="37"/>
    <x v="1"/>
    <n v="0"/>
    <s v="Non-Travel"/>
    <n v="0"/>
    <n v="0"/>
    <n v="142"/>
    <s v="Sales"/>
    <n v="0"/>
    <n v="1"/>
    <n v="9"/>
    <n v="4"/>
    <s v="Medical"/>
    <n v="0"/>
    <n v="0"/>
    <n v="1"/>
    <n v="0"/>
    <n v="0"/>
    <n v="1"/>
    <x v="1"/>
    <n v="0"/>
    <n v="69"/>
    <n v="3"/>
    <n v="3"/>
    <s v="Sales Executive"/>
    <n v="0"/>
    <n v="1"/>
    <n v="0"/>
    <n v="0"/>
    <n v="0"/>
    <n v="0"/>
    <n v="0"/>
    <n v="0"/>
    <x v="1"/>
    <s v="Divorced"/>
    <n v="0"/>
    <n v="0"/>
    <n v="8834"/>
    <n v="24666"/>
    <n v="1"/>
    <s v="No"/>
    <n v="0"/>
    <n v="13"/>
    <n v="3"/>
    <n v="4"/>
    <n v="1"/>
    <n v="9"/>
    <n v="6"/>
    <n v="3"/>
    <n v="9"/>
    <n v="5"/>
    <n v="7"/>
    <n v="7"/>
  </r>
  <r>
    <n v="52"/>
    <x v="1"/>
    <n v="0"/>
    <s v="Travel_Rarely"/>
    <n v="0"/>
    <n v="1"/>
    <n v="956"/>
    <s v="Research &amp; Development"/>
    <n v="1"/>
    <n v="0"/>
    <n v="6"/>
    <n v="2"/>
    <s v="Technical Degree"/>
    <n v="0"/>
    <n v="0"/>
    <n v="0"/>
    <n v="0"/>
    <n v="1"/>
    <n v="4"/>
    <x v="1"/>
    <n v="0"/>
    <n v="78"/>
    <n v="3"/>
    <n v="2"/>
    <s v="Research Scientist"/>
    <n v="0"/>
    <n v="0"/>
    <n v="0"/>
    <n v="0"/>
    <n v="0"/>
    <n v="0"/>
    <n v="0"/>
    <n v="1"/>
    <x v="3"/>
    <s v="Divorced"/>
    <n v="0"/>
    <n v="0"/>
    <n v="5577"/>
    <n v="22087"/>
    <n v="3"/>
    <s v="Yes"/>
    <n v="1"/>
    <n v="12"/>
    <n v="3"/>
    <n v="2"/>
    <n v="2"/>
    <n v="18"/>
    <n v="3"/>
    <n v="3"/>
    <n v="10"/>
    <n v="9"/>
    <n v="6"/>
    <n v="9"/>
  </r>
  <r>
    <n v="32"/>
    <x v="0"/>
    <n v="1"/>
    <s v="Non-Travel"/>
    <n v="0"/>
    <n v="0"/>
    <n v="1474"/>
    <s v="Sales"/>
    <n v="0"/>
    <n v="1"/>
    <n v="11"/>
    <n v="4"/>
    <s v="Other"/>
    <n v="0"/>
    <n v="1"/>
    <n v="0"/>
    <n v="0"/>
    <n v="0"/>
    <n v="4"/>
    <x v="1"/>
    <n v="0"/>
    <n v="60"/>
    <n v="4"/>
    <n v="2"/>
    <s v="Sales Executive"/>
    <n v="0"/>
    <n v="1"/>
    <n v="0"/>
    <n v="0"/>
    <n v="0"/>
    <n v="0"/>
    <n v="0"/>
    <n v="0"/>
    <x v="2"/>
    <s v="Married"/>
    <n v="0"/>
    <n v="1"/>
    <n v="4707"/>
    <n v="23914"/>
    <n v="8"/>
    <s v="No"/>
    <n v="0"/>
    <n v="12"/>
    <n v="3"/>
    <n v="4"/>
    <n v="0"/>
    <n v="6"/>
    <n v="2"/>
    <n v="3"/>
    <n v="4"/>
    <n v="2"/>
    <n v="1"/>
    <n v="2"/>
  </r>
  <r>
    <n v="24"/>
    <x v="1"/>
    <n v="0"/>
    <s v="Travel_Frequently"/>
    <n v="1"/>
    <n v="0"/>
    <n v="535"/>
    <s v="Sales"/>
    <n v="0"/>
    <n v="1"/>
    <n v="24"/>
    <n v="3"/>
    <s v="Medical"/>
    <n v="0"/>
    <n v="0"/>
    <n v="1"/>
    <n v="0"/>
    <n v="0"/>
    <n v="4"/>
    <x v="1"/>
    <n v="0"/>
    <n v="38"/>
    <n v="3"/>
    <n v="1"/>
    <s v="Sales Representative"/>
    <n v="0"/>
    <n v="0"/>
    <n v="0"/>
    <n v="0"/>
    <n v="0"/>
    <n v="0"/>
    <n v="1"/>
    <n v="0"/>
    <x v="0"/>
    <s v="Married"/>
    <n v="0"/>
    <n v="1"/>
    <n v="2400"/>
    <n v="5530"/>
    <n v="0"/>
    <s v="No"/>
    <n v="0"/>
    <n v="13"/>
    <n v="3"/>
    <n v="3"/>
    <n v="2"/>
    <n v="3"/>
    <n v="3"/>
    <n v="3"/>
    <n v="2"/>
    <n v="2"/>
    <n v="2"/>
    <n v="1"/>
  </r>
  <r>
    <n v="38"/>
    <x v="1"/>
    <n v="0"/>
    <s v="Travel_Rarely"/>
    <n v="0"/>
    <n v="1"/>
    <n v="1495"/>
    <s v="Research &amp; Development"/>
    <n v="1"/>
    <n v="0"/>
    <n v="10"/>
    <n v="3"/>
    <s v="Medical"/>
    <n v="0"/>
    <n v="0"/>
    <n v="1"/>
    <n v="0"/>
    <n v="0"/>
    <n v="3"/>
    <x v="0"/>
    <n v="1"/>
    <n v="76"/>
    <n v="3"/>
    <n v="2"/>
    <s v="Healthcare Representative"/>
    <n v="1"/>
    <n v="0"/>
    <n v="0"/>
    <n v="0"/>
    <n v="0"/>
    <n v="0"/>
    <n v="0"/>
    <n v="0"/>
    <x v="2"/>
    <s v="Married"/>
    <n v="0"/>
    <n v="1"/>
    <n v="9824"/>
    <n v="22174"/>
    <n v="3"/>
    <s v="No"/>
    <n v="0"/>
    <n v="19"/>
    <n v="3"/>
    <n v="3"/>
    <n v="1"/>
    <n v="18"/>
    <n v="4"/>
    <n v="3"/>
    <n v="1"/>
    <n v="0"/>
    <n v="0"/>
    <n v="0"/>
  </r>
  <r>
    <n v="37"/>
    <x v="1"/>
    <n v="0"/>
    <s v="Travel_Rarely"/>
    <n v="0"/>
    <n v="1"/>
    <n v="446"/>
    <s v="Research &amp; Development"/>
    <n v="1"/>
    <n v="0"/>
    <n v="1"/>
    <n v="4"/>
    <s v="Life Sciences"/>
    <n v="1"/>
    <n v="0"/>
    <n v="0"/>
    <n v="0"/>
    <n v="0"/>
    <n v="2"/>
    <x v="0"/>
    <n v="1"/>
    <n v="65"/>
    <n v="3"/>
    <n v="2"/>
    <s v="Manufacturing Director"/>
    <n v="0"/>
    <n v="0"/>
    <n v="0"/>
    <n v="0"/>
    <n v="1"/>
    <n v="1"/>
    <n v="0"/>
    <n v="0"/>
    <x v="1"/>
    <s v="Married"/>
    <n v="0"/>
    <n v="1"/>
    <n v="6447"/>
    <n v="15701"/>
    <n v="6"/>
    <s v="No"/>
    <n v="0"/>
    <n v="12"/>
    <n v="3"/>
    <n v="2"/>
    <n v="1"/>
    <n v="8"/>
    <n v="2"/>
    <n v="2"/>
    <n v="6"/>
    <n v="5"/>
    <n v="4"/>
    <n v="3"/>
  </r>
  <r>
    <n v="49"/>
    <x v="1"/>
    <n v="0"/>
    <s v="Travel_Rarely"/>
    <n v="0"/>
    <n v="1"/>
    <n v="1245"/>
    <s v="Research &amp; Development"/>
    <n v="1"/>
    <n v="0"/>
    <n v="18"/>
    <n v="4"/>
    <s v="Life Sciences"/>
    <n v="1"/>
    <n v="0"/>
    <n v="0"/>
    <n v="0"/>
    <n v="0"/>
    <n v="4"/>
    <x v="1"/>
    <n v="0"/>
    <n v="58"/>
    <n v="2"/>
    <n v="5"/>
    <s v="Research Director"/>
    <n v="0"/>
    <n v="0"/>
    <n v="0"/>
    <n v="0"/>
    <n v="0"/>
    <n v="0"/>
    <n v="0"/>
    <n v="0"/>
    <x v="2"/>
    <s v="Divorced"/>
    <n v="0"/>
    <n v="0"/>
    <n v="19502"/>
    <n v="2125"/>
    <n v="1"/>
    <s v="Yes"/>
    <n v="1"/>
    <n v="17"/>
    <n v="3"/>
    <n v="3"/>
    <n v="1"/>
    <n v="31"/>
    <n v="5"/>
    <n v="3"/>
    <n v="31"/>
    <n v="9"/>
    <n v="0"/>
    <n v="9"/>
  </r>
  <r>
    <n v="24"/>
    <x v="1"/>
    <n v="0"/>
    <s v="Travel_Rarely"/>
    <n v="0"/>
    <n v="1"/>
    <n v="691"/>
    <s v="Research &amp; Development"/>
    <n v="1"/>
    <n v="0"/>
    <n v="23"/>
    <n v="3"/>
    <s v="Medical"/>
    <n v="0"/>
    <n v="0"/>
    <n v="1"/>
    <n v="0"/>
    <n v="0"/>
    <n v="2"/>
    <x v="1"/>
    <n v="0"/>
    <n v="89"/>
    <n v="4"/>
    <n v="1"/>
    <s v="Research Scientist"/>
    <n v="0"/>
    <n v="0"/>
    <n v="0"/>
    <n v="0"/>
    <n v="0"/>
    <n v="0"/>
    <n v="0"/>
    <n v="1"/>
    <x v="0"/>
    <s v="Married"/>
    <n v="0"/>
    <n v="1"/>
    <n v="2725"/>
    <n v="21630"/>
    <n v="1"/>
    <s v="Yes"/>
    <n v="1"/>
    <n v="11"/>
    <n v="3"/>
    <n v="2"/>
    <n v="2"/>
    <n v="6"/>
    <n v="3"/>
    <n v="3"/>
    <n v="6"/>
    <n v="5"/>
    <n v="1"/>
    <n v="4"/>
  </r>
  <r>
    <n v="26"/>
    <x v="1"/>
    <n v="0"/>
    <s v="Travel_Rarely"/>
    <n v="0"/>
    <n v="1"/>
    <n v="703"/>
    <s v="Sales"/>
    <n v="0"/>
    <n v="1"/>
    <n v="28"/>
    <n v="2"/>
    <s v="Marketing"/>
    <n v="0"/>
    <n v="0"/>
    <n v="0"/>
    <n v="1"/>
    <n v="0"/>
    <n v="1"/>
    <x v="1"/>
    <n v="0"/>
    <n v="66"/>
    <n v="3"/>
    <n v="2"/>
    <s v="Sales Executive"/>
    <n v="0"/>
    <n v="1"/>
    <n v="0"/>
    <n v="0"/>
    <n v="0"/>
    <n v="0"/>
    <n v="0"/>
    <n v="0"/>
    <x v="1"/>
    <s v="Married"/>
    <n v="0"/>
    <n v="1"/>
    <n v="6272"/>
    <n v="7428"/>
    <n v="1"/>
    <s v="No"/>
    <n v="0"/>
    <n v="20"/>
    <n v="4"/>
    <n v="4"/>
    <n v="2"/>
    <n v="6"/>
    <n v="5"/>
    <n v="4"/>
    <n v="5"/>
    <n v="3"/>
    <n v="1"/>
    <n v="4"/>
  </r>
  <r>
    <n v="24"/>
    <x v="1"/>
    <n v="0"/>
    <s v="Travel_Rarely"/>
    <n v="0"/>
    <n v="1"/>
    <n v="823"/>
    <s v="Research &amp; Development"/>
    <n v="1"/>
    <n v="0"/>
    <n v="17"/>
    <n v="2"/>
    <s v="Other"/>
    <n v="0"/>
    <n v="1"/>
    <n v="0"/>
    <n v="0"/>
    <n v="0"/>
    <n v="4"/>
    <x v="1"/>
    <n v="0"/>
    <n v="94"/>
    <n v="2"/>
    <n v="1"/>
    <s v="Laboratory Technician"/>
    <n v="0"/>
    <n v="0"/>
    <n v="1"/>
    <n v="0"/>
    <n v="0"/>
    <n v="0"/>
    <n v="0"/>
    <n v="0"/>
    <x v="1"/>
    <s v="Married"/>
    <n v="0"/>
    <n v="1"/>
    <n v="2127"/>
    <n v="9100"/>
    <n v="1"/>
    <s v="No"/>
    <n v="0"/>
    <n v="21"/>
    <n v="4"/>
    <n v="4"/>
    <n v="1"/>
    <n v="1"/>
    <n v="2"/>
    <n v="3"/>
    <n v="1"/>
    <n v="0"/>
    <n v="0"/>
    <n v="0"/>
  </r>
  <r>
    <n v="50"/>
    <x v="1"/>
    <n v="0"/>
    <s v="Travel_Frequently"/>
    <n v="1"/>
    <n v="0"/>
    <n v="1246"/>
    <s v="Human Resources"/>
    <n v="0"/>
    <n v="0"/>
    <n v="3"/>
    <n v="3"/>
    <s v="Medical"/>
    <n v="0"/>
    <n v="0"/>
    <n v="1"/>
    <n v="0"/>
    <n v="0"/>
    <n v="1"/>
    <x v="1"/>
    <n v="0"/>
    <n v="99"/>
    <n v="3"/>
    <n v="5"/>
    <s v="Manager"/>
    <n v="0"/>
    <n v="0"/>
    <n v="0"/>
    <n v="1"/>
    <n v="0"/>
    <n v="0"/>
    <n v="0"/>
    <n v="0"/>
    <x v="1"/>
    <s v="Married"/>
    <n v="0"/>
    <n v="1"/>
    <n v="18200"/>
    <n v="7999"/>
    <n v="1"/>
    <s v="No"/>
    <n v="0"/>
    <n v="11"/>
    <n v="3"/>
    <n v="3"/>
    <n v="1"/>
    <n v="32"/>
    <n v="2"/>
    <n v="3"/>
    <n v="32"/>
    <n v="5"/>
    <n v="10"/>
    <n v="7"/>
  </r>
  <r>
    <n v="25"/>
    <x v="1"/>
    <n v="0"/>
    <s v="Travel_Rarely"/>
    <n v="0"/>
    <n v="1"/>
    <n v="622"/>
    <s v="Sales"/>
    <n v="0"/>
    <n v="1"/>
    <n v="13"/>
    <n v="1"/>
    <s v="Medical"/>
    <n v="0"/>
    <n v="0"/>
    <n v="1"/>
    <n v="0"/>
    <n v="0"/>
    <n v="2"/>
    <x v="1"/>
    <n v="0"/>
    <n v="40"/>
    <n v="3"/>
    <n v="1"/>
    <s v="Sales Representative"/>
    <n v="0"/>
    <n v="0"/>
    <n v="0"/>
    <n v="0"/>
    <n v="0"/>
    <n v="0"/>
    <n v="1"/>
    <n v="0"/>
    <x v="2"/>
    <s v="Married"/>
    <n v="0"/>
    <n v="1"/>
    <n v="2096"/>
    <n v="26376"/>
    <n v="1"/>
    <s v="No"/>
    <n v="0"/>
    <n v="11"/>
    <n v="3"/>
    <n v="3"/>
    <n v="0"/>
    <n v="7"/>
    <n v="1"/>
    <n v="3"/>
    <n v="7"/>
    <n v="4"/>
    <n v="0"/>
    <n v="6"/>
  </r>
  <r>
    <n v="24"/>
    <x v="0"/>
    <n v="1"/>
    <s v="Travel_Frequently"/>
    <n v="1"/>
    <n v="0"/>
    <n v="1287"/>
    <s v="Research &amp; Development"/>
    <n v="1"/>
    <n v="0"/>
    <n v="7"/>
    <n v="3"/>
    <s v="Life Sciences"/>
    <n v="1"/>
    <n v="0"/>
    <n v="0"/>
    <n v="0"/>
    <n v="0"/>
    <n v="1"/>
    <x v="0"/>
    <n v="1"/>
    <n v="55"/>
    <n v="3"/>
    <n v="1"/>
    <s v="Laboratory Technician"/>
    <n v="0"/>
    <n v="0"/>
    <n v="1"/>
    <n v="0"/>
    <n v="0"/>
    <n v="0"/>
    <n v="0"/>
    <n v="0"/>
    <x v="2"/>
    <s v="Married"/>
    <n v="0"/>
    <n v="1"/>
    <n v="2886"/>
    <n v="14168"/>
    <n v="1"/>
    <s v="Yes"/>
    <n v="1"/>
    <n v="16"/>
    <n v="3"/>
    <n v="4"/>
    <n v="1"/>
    <n v="6"/>
    <n v="4"/>
    <n v="3"/>
    <n v="6"/>
    <n v="3"/>
    <n v="1"/>
    <n v="2"/>
  </r>
  <r>
    <n v="30"/>
    <x v="0"/>
    <n v="1"/>
    <s v="Travel_Frequently"/>
    <n v="1"/>
    <n v="0"/>
    <n v="448"/>
    <s v="Sales"/>
    <n v="0"/>
    <n v="1"/>
    <n v="12"/>
    <n v="4"/>
    <s v="Life Sciences"/>
    <n v="1"/>
    <n v="0"/>
    <n v="0"/>
    <n v="0"/>
    <n v="0"/>
    <n v="2"/>
    <x v="1"/>
    <n v="0"/>
    <n v="74"/>
    <n v="2"/>
    <n v="1"/>
    <s v="Sales Representative"/>
    <n v="0"/>
    <n v="0"/>
    <n v="0"/>
    <n v="0"/>
    <n v="0"/>
    <n v="0"/>
    <n v="1"/>
    <n v="0"/>
    <x v="3"/>
    <s v="Married"/>
    <n v="0"/>
    <n v="1"/>
    <n v="2033"/>
    <n v="14470"/>
    <n v="1"/>
    <s v="No"/>
    <n v="0"/>
    <n v="18"/>
    <n v="3"/>
    <n v="3"/>
    <n v="1"/>
    <n v="1"/>
    <n v="2"/>
    <n v="4"/>
    <n v="1"/>
    <n v="0"/>
    <n v="0"/>
    <n v="0"/>
  </r>
  <r>
    <n v="34"/>
    <x v="1"/>
    <n v="0"/>
    <s v="Travel_Rarely"/>
    <n v="0"/>
    <n v="1"/>
    <n v="254"/>
    <s v="Research &amp; Development"/>
    <n v="1"/>
    <n v="0"/>
    <n v="1"/>
    <n v="2"/>
    <s v="Life Sciences"/>
    <n v="1"/>
    <n v="0"/>
    <n v="0"/>
    <n v="0"/>
    <n v="0"/>
    <n v="2"/>
    <x v="1"/>
    <n v="0"/>
    <n v="83"/>
    <n v="2"/>
    <n v="1"/>
    <s v="Research Scientist"/>
    <n v="0"/>
    <n v="0"/>
    <n v="0"/>
    <n v="0"/>
    <n v="0"/>
    <n v="0"/>
    <n v="0"/>
    <n v="1"/>
    <x v="0"/>
    <s v="Married"/>
    <n v="0"/>
    <n v="1"/>
    <n v="3622"/>
    <n v="22794"/>
    <n v="1"/>
    <s v="Yes"/>
    <n v="1"/>
    <n v="13"/>
    <n v="3"/>
    <n v="4"/>
    <n v="1"/>
    <n v="6"/>
    <n v="3"/>
    <n v="3"/>
    <n v="6"/>
    <n v="5"/>
    <n v="1"/>
    <n v="3"/>
  </r>
  <r>
    <n v="31"/>
    <x v="0"/>
    <n v="1"/>
    <s v="Travel_Rarely"/>
    <n v="0"/>
    <n v="1"/>
    <n v="1365"/>
    <s v="Sales"/>
    <n v="0"/>
    <n v="1"/>
    <n v="13"/>
    <n v="4"/>
    <s v="Medical"/>
    <n v="0"/>
    <n v="0"/>
    <n v="1"/>
    <n v="0"/>
    <n v="0"/>
    <n v="2"/>
    <x v="1"/>
    <n v="0"/>
    <n v="46"/>
    <n v="3"/>
    <n v="2"/>
    <s v="Sales Executive"/>
    <n v="0"/>
    <n v="1"/>
    <n v="0"/>
    <n v="0"/>
    <n v="0"/>
    <n v="0"/>
    <n v="0"/>
    <n v="0"/>
    <x v="3"/>
    <s v="Divorced"/>
    <n v="0"/>
    <n v="0"/>
    <n v="4233"/>
    <n v="11512"/>
    <n v="2"/>
    <s v="No"/>
    <n v="0"/>
    <n v="17"/>
    <n v="3"/>
    <n v="3"/>
    <n v="0"/>
    <n v="9"/>
    <n v="2"/>
    <n v="1"/>
    <n v="3"/>
    <n v="1"/>
    <n v="1"/>
    <n v="2"/>
  </r>
  <r>
    <n v="35"/>
    <x v="1"/>
    <n v="0"/>
    <s v="Travel_Rarely"/>
    <n v="0"/>
    <n v="1"/>
    <n v="538"/>
    <s v="Research &amp; Development"/>
    <n v="1"/>
    <n v="0"/>
    <n v="25"/>
    <n v="2"/>
    <s v="Other"/>
    <n v="0"/>
    <n v="1"/>
    <n v="0"/>
    <n v="0"/>
    <n v="0"/>
    <n v="1"/>
    <x v="1"/>
    <n v="0"/>
    <n v="54"/>
    <n v="2"/>
    <n v="2"/>
    <s v="Laboratory Technician"/>
    <n v="0"/>
    <n v="0"/>
    <n v="1"/>
    <n v="0"/>
    <n v="0"/>
    <n v="0"/>
    <n v="0"/>
    <n v="0"/>
    <x v="0"/>
    <s v="Single"/>
    <n v="1"/>
    <n v="0"/>
    <n v="3681"/>
    <n v="14004"/>
    <n v="4"/>
    <s v="No"/>
    <n v="0"/>
    <n v="14"/>
    <n v="3"/>
    <n v="4"/>
    <n v="0"/>
    <n v="9"/>
    <n v="3"/>
    <n v="3"/>
    <n v="3"/>
    <n v="2"/>
    <n v="0"/>
    <n v="2"/>
  </r>
  <r>
    <n v="31"/>
    <x v="1"/>
    <n v="0"/>
    <s v="Travel_Rarely"/>
    <n v="0"/>
    <n v="1"/>
    <n v="525"/>
    <s v="Sales"/>
    <n v="0"/>
    <n v="1"/>
    <n v="6"/>
    <n v="4"/>
    <s v="Medical"/>
    <n v="0"/>
    <n v="0"/>
    <n v="1"/>
    <n v="0"/>
    <n v="0"/>
    <n v="1"/>
    <x v="1"/>
    <n v="0"/>
    <n v="66"/>
    <n v="4"/>
    <n v="2"/>
    <s v="Sales Executive"/>
    <n v="0"/>
    <n v="1"/>
    <n v="0"/>
    <n v="0"/>
    <n v="0"/>
    <n v="0"/>
    <n v="0"/>
    <n v="0"/>
    <x v="0"/>
    <s v="Divorced"/>
    <n v="0"/>
    <n v="0"/>
    <n v="5460"/>
    <n v="6219"/>
    <n v="4"/>
    <s v="No"/>
    <n v="0"/>
    <n v="22"/>
    <n v="4"/>
    <n v="4"/>
    <n v="2"/>
    <n v="13"/>
    <n v="4"/>
    <n v="4"/>
    <n v="7"/>
    <n v="7"/>
    <n v="5"/>
    <n v="7"/>
  </r>
  <r>
    <n v="27"/>
    <x v="1"/>
    <n v="0"/>
    <s v="Travel_Rarely"/>
    <n v="0"/>
    <n v="1"/>
    <n v="798"/>
    <s v="Research &amp; Development"/>
    <n v="1"/>
    <n v="0"/>
    <n v="6"/>
    <n v="4"/>
    <s v="Medical"/>
    <n v="0"/>
    <n v="0"/>
    <n v="1"/>
    <n v="0"/>
    <n v="0"/>
    <n v="1"/>
    <x v="0"/>
    <n v="1"/>
    <n v="66"/>
    <n v="2"/>
    <n v="1"/>
    <s v="Research Scientist"/>
    <n v="0"/>
    <n v="0"/>
    <n v="0"/>
    <n v="0"/>
    <n v="0"/>
    <n v="0"/>
    <n v="0"/>
    <n v="1"/>
    <x v="2"/>
    <s v="Divorced"/>
    <n v="0"/>
    <n v="0"/>
    <n v="2187"/>
    <n v="5013"/>
    <n v="0"/>
    <s v="No"/>
    <n v="0"/>
    <n v="12"/>
    <n v="3"/>
    <n v="3"/>
    <n v="2"/>
    <n v="6"/>
    <n v="5"/>
    <n v="2"/>
    <n v="5"/>
    <n v="3"/>
    <n v="0"/>
    <n v="3"/>
  </r>
  <r>
    <n v="37"/>
    <x v="1"/>
    <n v="0"/>
    <s v="Travel_Rarely"/>
    <n v="0"/>
    <n v="1"/>
    <n v="558"/>
    <s v="Sales"/>
    <n v="0"/>
    <n v="1"/>
    <n v="2"/>
    <n v="3"/>
    <s v="Marketing"/>
    <n v="0"/>
    <n v="0"/>
    <n v="0"/>
    <n v="1"/>
    <n v="0"/>
    <n v="4"/>
    <x v="1"/>
    <n v="0"/>
    <n v="75"/>
    <n v="3"/>
    <n v="2"/>
    <s v="Sales Executive"/>
    <n v="0"/>
    <n v="1"/>
    <n v="0"/>
    <n v="0"/>
    <n v="0"/>
    <n v="0"/>
    <n v="0"/>
    <n v="0"/>
    <x v="2"/>
    <s v="Married"/>
    <n v="0"/>
    <n v="1"/>
    <n v="9602"/>
    <n v="3010"/>
    <n v="4"/>
    <s v="Yes"/>
    <n v="1"/>
    <n v="11"/>
    <n v="3"/>
    <n v="3"/>
    <n v="1"/>
    <n v="17"/>
    <n v="3"/>
    <n v="2"/>
    <n v="3"/>
    <n v="0"/>
    <n v="1"/>
    <n v="0"/>
  </r>
  <r>
    <n v="20"/>
    <x v="1"/>
    <n v="0"/>
    <s v="Travel_Rarely"/>
    <n v="0"/>
    <n v="1"/>
    <n v="959"/>
    <s v="Research &amp; Development"/>
    <n v="1"/>
    <n v="0"/>
    <n v="1"/>
    <n v="3"/>
    <s v="Life Sciences"/>
    <n v="1"/>
    <n v="0"/>
    <n v="0"/>
    <n v="0"/>
    <n v="0"/>
    <n v="4"/>
    <x v="0"/>
    <n v="1"/>
    <n v="83"/>
    <n v="2"/>
    <n v="1"/>
    <s v="Research Scientist"/>
    <n v="0"/>
    <n v="0"/>
    <n v="0"/>
    <n v="0"/>
    <n v="0"/>
    <n v="0"/>
    <n v="0"/>
    <n v="1"/>
    <x v="1"/>
    <s v="Single"/>
    <n v="1"/>
    <n v="0"/>
    <n v="2836"/>
    <n v="11757"/>
    <n v="1"/>
    <s v="No"/>
    <n v="0"/>
    <n v="13"/>
    <n v="3"/>
    <n v="4"/>
    <n v="0"/>
    <n v="1"/>
    <n v="0"/>
    <n v="4"/>
    <n v="1"/>
    <n v="0"/>
    <n v="0"/>
    <n v="0"/>
  </r>
  <r>
    <n v="42"/>
    <x v="1"/>
    <n v="0"/>
    <s v="Travel_Rarely"/>
    <n v="0"/>
    <n v="1"/>
    <n v="622"/>
    <s v="Research &amp; Development"/>
    <n v="1"/>
    <n v="0"/>
    <n v="2"/>
    <n v="4"/>
    <s v="Life Sciences"/>
    <n v="1"/>
    <n v="0"/>
    <n v="0"/>
    <n v="0"/>
    <n v="0"/>
    <n v="3"/>
    <x v="0"/>
    <n v="1"/>
    <n v="81"/>
    <n v="3"/>
    <n v="2"/>
    <s v="Healthcare Representative"/>
    <n v="1"/>
    <n v="0"/>
    <n v="0"/>
    <n v="0"/>
    <n v="0"/>
    <n v="0"/>
    <n v="0"/>
    <n v="0"/>
    <x v="0"/>
    <s v="Married"/>
    <n v="0"/>
    <n v="1"/>
    <n v="4089"/>
    <n v="5718"/>
    <n v="1"/>
    <s v="No"/>
    <n v="0"/>
    <n v="13"/>
    <n v="3"/>
    <n v="2"/>
    <n v="2"/>
    <n v="10"/>
    <n v="4"/>
    <n v="3"/>
    <n v="10"/>
    <n v="2"/>
    <n v="2"/>
    <n v="2"/>
  </r>
  <r>
    <n v="43"/>
    <x v="1"/>
    <n v="0"/>
    <s v="Travel_Rarely"/>
    <n v="0"/>
    <n v="1"/>
    <n v="782"/>
    <s v="Research &amp; Development"/>
    <n v="1"/>
    <n v="0"/>
    <n v="6"/>
    <n v="4"/>
    <s v="Other"/>
    <n v="0"/>
    <n v="1"/>
    <n v="0"/>
    <n v="0"/>
    <n v="0"/>
    <n v="2"/>
    <x v="1"/>
    <n v="0"/>
    <n v="50"/>
    <n v="2"/>
    <n v="4"/>
    <s v="Research Director"/>
    <n v="0"/>
    <n v="0"/>
    <n v="0"/>
    <n v="0"/>
    <n v="0"/>
    <n v="0"/>
    <n v="0"/>
    <n v="0"/>
    <x v="0"/>
    <s v="Divorced"/>
    <n v="0"/>
    <n v="0"/>
    <n v="16627"/>
    <n v="2671"/>
    <n v="4"/>
    <s v="Yes"/>
    <n v="1"/>
    <n v="14"/>
    <n v="3"/>
    <n v="3"/>
    <n v="1"/>
    <n v="21"/>
    <n v="3"/>
    <n v="2"/>
    <n v="1"/>
    <n v="0"/>
    <n v="0"/>
    <n v="0"/>
  </r>
  <r>
    <n v="38"/>
    <x v="1"/>
    <n v="0"/>
    <s v="Travel_Rarely"/>
    <n v="0"/>
    <n v="1"/>
    <n v="362"/>
    <s v="Research &amp; Development"/>
    <n v="1"/>
    <n v="0"/>
    <n v="1"/>
    <n v="1"/>
    <s v="Life Sciences"/>
    <n v="1"/>
    <n v="0"/>
    <n v="0"/>
    <n v="0"/>
    <n v="0"/>
    <n v="3"/>
    <x v="0"/>
    <n v="1"/>
    <n v="43"/>
    <n v="3"/>
    <n v="1"/>
    <s v="Research Scientist"/>
    <n v="0"/>
    <n v="0"/>
    <n v="0"/>
    <n v="0"/>
    <n v="0"/>
    <n v="0"/>
    <n v="0"/>
    <n v="1"/>
    <x v="3"/>
    <s v="Single"/>
    <n v="1"/>
    <n v="0"/>
    <n v="2619"/>
    <n v="14561"/>
    <n v="3"/>
    <s v="No"/>
    <n v="0"/>
    <n v="17"/>
    <n v="3"/>
    <n v="4"/>
    <n v="0"/>
    <n v="8"/>
    <n v="3"/>
    <n v="2"/>
    <n v="0"/>
    <n v="0"/>
    <n v="0"/>
    <n v="0"/>
  </r>
  <r>
    <n v="43"/>
    <x v="1"/>
    <n v="0"/>
    <s v="Travel_Frequently"/>
    <n v="1"/>
    <n v="0"/>
    <n v="1001"/>
    <s v="Research &amp; Development"/>
    <n v="1"/>
    <n v="0"/>
    <n v="9"/>
    <n v="5"/>
    <s v="Medical"/>
    <n v="0"/>
    <n v="0"/>
    <n v="1"/>
    <n v="0"/>
    <n v="0"/>
    <n v="4"/>
    <x v="1"/>
    <n v="0"/>
    <n v="72"/>
    <n v="3"/>
    <n v="2"/>
    <s v="Laboratory Technician"/>
    <n v="0"/>
    <n v="0"/>
    <n v="1"/>
    <n v="0"/>
    <n v="0"/>
    <n v="0"/>
    <n v="0"/>
    <n v="0"/>
    <x v="2"/>
    <s v="Divorced"/>
    <n v="0"/>
    <n v="0"/>
    <n v="5679"/>
    <n v="19627"/>
    <n v="3"/>
    <s v="Yes"/>
    <n v="1"/>
    <n v="13"/>
    <n v="3"/>
    <n v="2"/>
    <n v="1"/>
    <n v="10"/>
    <n v="3"/>
    <n v="3"/>
    <n v="8"/>
    <n v="7"/>
    <n v="4"/>
    <n v="7"/>
  </r>
  <r>
    <n v="48"/>
    <x v="1"/>
    <n v="0"/>
    <s v="Travel_Rarely"/>
    <n v="0"/>
    <n v="1"/>
    <n v="1236"/>
    <s v="Research &amp; Development"/>
    <n v="1"/>
    <n v="0"/>
    <n v="1"/>
    <n v="4"/>
    <s v="Life Sciences"/>
    <n v="1"/>
    <n v="0"/>
    <n v="0"/>
    <n v="0"/>
    <n v="0"/>
    <n v="4"/>
    <x v="0"/>
    <n v="1"/>
    <n v="40"/>
    <n v="2"/>
    <n v="4"/>
    <s v="Manager"/>
    <n v="0"/>
    <n v="0"/>
    <n v="0"/>
    <n v="1"/>
    <n v="0"/>
    <n v="0"/>
    <n v="0"/>
    <n v="0"/>
    <x v="3"/>
    <s v="Married"/>
    <n v="0"/>
    <n v="1"/>
    <n v="15402"/>
    <n v="17997"/>
    <n v="7"/>
    <s v="No"/>
    <n v="0"/>
    <n v="11"/>
    <n v="3"/>
    <n v="1"/>
    <n v="1"/>
    <n v="21"/>
    <n v="3"/>
    <n v="1"/>
    <n v="3"/>
    <n v="2"/>
    <n v="0"/>
    <n v="2"/>
  </r>
  <r>
    <n v="44"/>
    <x v="1"/>
    <n v="0"/>
    <s v="Travel_Rarely"/>
    <n v="0"/>
    <n v="1"/>
    <n v="1112"/>
    <s v="Human Resources"/>
    <n v="0"/>
    <n v="0"/>
    <n v="1"/>
    <n v="4"/>
    <s v="Life Sciences"/>
    <n v="1"/>
    <n v="0"/>
    <n v="0"/>
    <n v="0"/>
    <n v="0"/>
    <n v="1"/>
    <x v="0"/>
    <n v="1"/>
    <n v="50"/>
    <n v="2"/>
    <n v="2"/>
    <s v="Human Resources"/>
    <n v="0"/>
    <n v="0"/>
    <n v="0"/>
    <n v="0"/>
    <n v="0"/>
    <n v="0"/>
    <n v="0"/>
    <n v="0"/>
    <x v="2"/>
    <s v="Single"/>
    <n v="1"/>
    <n v="0"/>
    <n v="5985"/>
    <n v="26894"/>
    <n v="4"/>
    <s v="No"/>
    <n v="0"/>
    <n v="11"/>
    <n v="3"/>
    <n v="2"/>
    <n v="0"/>
    <n v="10"/>
    <n v="1"/>
    <n v="4"/>
    <n v="2"/>
    <n v="2"/>
    <n v="0"/>
    <n v="2"/>
  </r>
  <r>
    <n v="34"/>
    <x v="1"/>
    <n v="0"/>
    <s v="Travel_Rarely"/>
    <n v="0"/>
    <n v="1"/>
    <n v="204"/>
    <s v="Sales"/>
    <n v="0"/>
    <n v="1"/>
    <n v="14"/>
    <n v="3"/>
    <s v="Technical Degree"/>
    <n v="0"/>
    <n v="0"/>
    <n v="0"/>
    <n v="0"/>
    <n v="1"/>
    <n v="3"/>
    <x v="0"/>
    <n v="1"/>
    <n v="31"/>
    <n v="3"/>
    <n v="1"/>
    <s v="Sales Representative"/>
    <n v="0"/>
    <n v="0"/>
    <n v="0"/>
    <n v="0"/>
    <n v="0"/>
    <n v="0"/>
    <n v="1"/>
    <n v="0"/>
    <x v="2"/>
    <s v="Divorced"/>
    <n v="0"/>
    <n v="0"/>
    <n v="2579"/>
    <n v="2912"/>
    <n v="1"/>
    <s v="Yes"/>
    <n v="1"/>
    <n v="18"/>
    <n v="3"/>
    <n v="4"/>
    <n v="2"/>
    <n v="8"/>
    <n v="3"/>
    <n v="3"/>
    <n v="8"/>
    <n v="2"/>
    <n v="0"/>
    <n v="6"/>
  </r>
  <r>
    <n v="27"/>
    <x v="0"/>
    <n v="1"/>
    <s v="Travel_Rarely"/>
    <n v="0"/>
    <n v="1"/>
    <n v="1420"/>
    <s v="Sales"/>
    <n v="0"/>
    <n v="1"/>
    <n v="2"/>
    <n v="1"/>
    <s v="Marketing"/>
    <n v="0"/>
    <n v="0"/>
    <n v="0"/>
    <n v="1"/>
    <n v="0"/>
    <n v="3"/>
    <x v="1"/>
    <n v="0"/>
    <n v="85"/>
    <n v="3"/>
    <n v="1"/>
    <s v="Sales Representative"/>
    <n v="0"/>
    <n v="0"/>
    <n v="0"/>
    <n v="0"/>
    <n v="0"/>
    <n v="0"/>
    <n v="1"/>
    <n v="0"/>
    <x v="3"/>
    <s v="Divorced"/>
    <n v="0"/>
    <n v="0"/>
    <n v="3041"/>
    <n v="16346"/>
    <n v="0"/>
    <s v="No"/>
    <n v="0"/>
    <n v="11"/>
    <n v="3"/>
    <n v="2"/>
    <n v="1"/>
    <n v="5"/>
    <n v="3"/>
    <n v="3"/>
    <n v="4"/>
    <n v="3"/>
    <n v="0"/>
    <n v="2"/>
  </r>
  <r>
    <n v="21"/>
    <x v="1"/>
    <n v="0"/>
    <s v="Travel_Rarely"/>
    <n v="0"/>
    <n v="1"/>
    <n v="1343"/>
    <s v="Sales"/>
    <n v="0"/>
    <n v="1"/>
    <n v="22"/>
    <n v="1"/>
    <s v="Technical Degree"/>
    <n v="0"/>
    <n v="0"/>
    <n v="0"/>
    <n v="0"/>
    <n v="1"/>
    <n v="3"/>
    <x v="1"/>
    <n v="0"/>
    <n v="49"/>
    <n v="3"/>
    <n v="1"/>
    <s v="Sales Representative"/>
    <n v="0"/>
    <n v="0"/>
    <n v="0"/>
    <n v="0"/>
    <n v="0"/>
    <n v="0"/>
    <n v="1"/>
    <n v="0"/>
    <x v="2"/>
    <s v="Single"/>
    <n v="1"/>
    <n v="0"/>
    <n v="3447"/>
    <n v="24444"/>
    <n v="1"/>
    <s v="No"/>
    <n v="0"/>
    <n v="11"/>
    <n v="3"/>
    <n v="3"/>
    <n v="0"/>
    <n v="3"/>
    <n v="2"/>
    <n v="3"/>
    <n v="3"/>
    <n v="2"/>
    <n v="1"/>
    <n v="2"/>
  </r>
  <r>
    <n v="44"/>
    <x v="1"/>
    <n v="0"/>
    <s v="Travel_Rarely"/>
    <n v="0"/>
    <n v="1"/>
    <n v="1315"/>
    <s v="Research &amp; Development"/>
    <n v="1"/>
    <n v="0"/>
    <n v="3"/>
    <n v="4"/>
    <s v="Other"/>
    <n v="0"/>
    <n v="1"/>
    <n v="0"/>
    <n v="0"/>
    <n v="0"/>
    <n v="4"/>
    <x v="1"/>
    <n v="0"/>
    <n v="35"/>
    <n v="3"/>
    <n v="5"/>
    <s v="Manager"/>
    <n v="0"/>
    <n v="0"/>
    <n v="0"/>
    <n v="1"/>
    <n v="0"/>
    <n v="0"/>
    <n v="0"/>
    <n v="0"/>
    <x v="0"/>
    <s v="Married"/>
    <n v="0"/>
    <n v="1"/>
    <n v="19513"/>
    <n v="9358"/>
    <n v="4"/>
    <s v="Yes"/>
    <n v="1"/>
    <n v="12"/>
    <n v="3"/>
    <n v="1"/>
    <n v="1"/>
    <n v="26"/>
    <n v="2"/>
    <n v="4"/>
    <n v="2"/>
    <n v="2"/>
    <n v="0"/>
    <n v="1"/>
  </r>
  <r>
    <n v="22"/>
    <x v="1"/>
    <n v="0"/>
    <s v="Travel_Rarely"/>
    <n v="0"/>
    <n v="1"/>
    <n v="604"/>
    <s v="Research &amp; Development"/>
    <n v="1"/>
    <n v="0"/>
    <n v="6"/>
    <n v="1"/>
    <s v="Medical"/>
    <n v="0"/>
    <n v="0"/>
    <n v="1"/>
    <n v="0"/>
    <n v="0"/>
    <n v="1"/>
    <x v="1"/>
    <n v="0"/>
    <n v="69"/>
    <n v="3"/>
    <n v="1"/>
    <s v="Research Scientist"/>
    <n v="0"/>
    <n v="0"/>
    <n v="0"/>
    <n v="0"/>
    <n v="0"/>
    <n v="0"/>
    <n v="0"/>
    <n v="1"/>
    <x v="2"/>
    <s v="Married"/>
    <n v="0"/>
    <n v="1"/>
    <n v="2773"/>
    <n v="12145"/>
    <n v="0"/>
    <s v="No"/>
    <n v="0"/>
    <n v="20"/>
    <n v="4"/>
    <n v="4"/>
    <n v="0"/>
    <n v="3"/>
    <n v="3"/>
    <n v="3"/>
    <n v="2"/>
    <n v="2"/>
    <n v="2"/>
    <n v="2"/>
  </r>
  <r>
    <n v="33"/>
    <x v="1"/>
    <n v="0"/>
    <s v="Travel_Rarely"/>
    <n v="0"/>
    <n v="1"/>
    <n v="1216"/>
    <s v="Sales"/>
    <n v="0"/>
    <n v="1"/>
    <n v="8"/>
    <n v="4"/>
    <s v="Marketing"/>
    <n v="0"/>
    <n v="0"/>
    <n v="0"/>
    <n v="1"/>
    <n v="0"/>
    <n v="3"/>
    <x v="1"/>
    <n v="0"/>
    <n v="39"/>
    <n v="3"/>
    <n v="2"/>
    <s v="Sales Executive"/>
    <n v="0"/>
    <n v="1"/>
    <n v="0"/>
    <n v="0"/>
    <n v="0"/>
    <n v="0"/>
    <n v="0"/>
    <n v="0"/>
    <x v="2"/>
    <s v="Divorced"/>
    <n v="0"/>
    <n v="0"/>
    <n v="7104"/>
    <n v="20431"/>
    <n v="0"/>
    <s v="No"/>
    <n v="0"/>
    <n v="12"/>
    <n v="3"/>
    <n v="4"/>
    <n v="0"/>
    <n v="6"/>
    <n v="3"/>
    <n v="3"/>
    <n v="5"/>
    <n v="0"/>
    <n v="1"/>
    <n v="2"/>
  </r>
  <r>
    <n v="32"/>
    <x v="1"/>
    <n v="0"/>
    <s v="Travel_Rarely"/>
    <n v="0"/>
    <n v="1"/>
    <n v="646"/>
    <s v="Research &amp; Development"/>
    <n v="1"/>
    <n v="0"/>
    <n v="9"/>
    <n v="4"/>
    <s v="Life Sciences"/>
    <n v="1"/>
    <n v="0"/>
    <n v="0"/>
    <n v="0"/>
    <n v="0"/>
    <n v="1"/>
    <x v="0"/>
    <n v="1"/>
    <n v="92"/>
    <n v="3"/>
    <n v="2"/>
    <s v="Research Scientist"/>
    <n v="0"/>
    <n v="0"/>
    <n v="0"/>
    <n v="0"/>
    <n v="0"/>
    <n v="0"/>
    <n v="0"/>
    <n v="1"/>
    <x v="0"/>
    <s v="Married"/>
    <n v="0"/>
    <n v="1"/>
    <n v="6322"/>
    <n v="18089"/>
    <n v="1"/>
    <s v="Yes"/>
    <n v="1"/>
    <n v="12"/>
    <n v="3"/>
    <n v="4"/>
    <n v="1"/>
    <n v="6"/>
    <n v="2"/>
    <n v="2"/>
    <n v="6"/>
    <n v="4"/>
    <n v="0"/>
    <n v="5"/>
  </r>
  <r>
    <n v="30"/>
    <x v="1"/>
    <n v="0"/>
    <s v="Travel_Frequently"/>
    <n v="1"/>
    <n v="0"/>
    <n v="160"/>
    <s v="Research &amp; Development"/>
    <n v="1"/>
    <n v="0"/>
    <n v="3"/>
    <n v="3"/>
    <s v="Medical"/>
    <n v="0"/>
    <n v="0"/>
    <n v="1"/>
    <n v="0"/>
    <n v="0"/>
    <n v="3"/>
    <x v="0"/>
    <n v="1"/>
    <n v="71"/>
    <n v="3"/>
    <n v="1"/>
    <s v="Research Scientist"/>
    <n v="0"/>
    <n v="0"/>
    <n v="0"/>
    <n v="0"/>
    <n v="0"/>
    <n v="0"/>
    <n v="0"/>
    <n v="1"/>
    <x v="2"/>
    <s v="Divorced"/>
    <n v="0"/>
    <n v="0"/>
    <n v="2083"/>
    <n v="22653"/>
    <n v="1"/>
    <s v="No"/>
    <n v="0"/>
    <n v="20"/>
    <n v="4"/>
    <n v="3"/>
    <n v="1"/>
    <n v="1"/>
    <n v="2"/>
    <n v="3"/>
    <n v="1"/>
    <n v="0"/>
    <n v="0"/>
    <n v="0"/>
  </r>
  <r>
    <n v="53"/>
    <x v="1"/>
    <n v="0"/>
    <s v="Travel_Rarely"/>
    <n v="0"/>
    <n v="1"/>
    <n v="238"/>
    <s v="Sales"/>
    <n v="0"/>
    <n v="1"/>
    <n v="1"/>
    <n v="1"/>
    <s v="Medical"/>
    <n v="0"/>
    <n v="0"/>
    <n v="1"/>
    <n v="0"/>
    <n v="0"/>
    <n v="4"/>
    <x v="0"/>
    <n v="1"/>
    <n v="34"/>
    <n v="3"/>
    <n v="2"/>
    <s v="Sales Executive"/>
    <n v="0"/>
    <n v="1"/>
    <n v="0"/>
    <n v="0"/>
    <n v="0"/>
    <n v="0"/>
    <n v="0"/>
    <n v="0"/>
    <x v="3"/>
    <s v="Single"/>
    <n v="1"/>
    <n v="0"/>
    <n v="8381"/>
    <n v="7507"/>
    <n v="7"/>
    <s v="No"/>
    <n v="0"/>
    <n v="20"/>
    <n v="4"/>
    <n v="4"/>
    <n v="0"/>
    <n v="18"/>
    <n v="2"/>
    <n v="4"/>
    <n v="14"/>
    <n v="7"/>
    <n v="8"/>
    <n v="10"/>
  </r>
  <r>
    <n v="34"/>
    <x v="1"/>
    <n v="0"/>
    <s v="Travel_Rarely"/>
    <n v="0"/>
    <n v="1"/>
    <n v="1397"/>
    <s v="Research &amp; Development"/>
    <n v="1"/>
    <n v="0"/>
    <n v="1"/>
    <n v="5"/>
    <s v="Life Sciences"/>
    <n v="1"/>
    <n v="0"/>
    <n v="0"/>
    <n v="0"/>
    <n v="0"/>
    <n v="2"/>
    <x v="1"/>
    <n v="0"/>
    <n v="42"/>
    <n v="3"/>
    <n v="1"/>
    <s v="Research Scientist"/>
    <n v="0"/>
    <n v="0"/>
    <n v="0"/>
    <n v="0"/>
    <n v="0"/>
    <n v="0"/>
    <n v="0"/>
    <n v="1"/>
    <x v="0"/>
    <s v="Married"/>
    <n v="0"/>
    <n v="1"/>
    <n v="2691"/>
    <n v="7660"/>
    <n v="1"/>
    <s v="No"/>
    <n v="0"/>
    <n v="12"/>
    <n v="3"/>
    <n v="4"/>
    <n v="1"/>
    <n v="10"/>
    <n v="4"/>
    <n v="2"/>
    <n v="10"/>
    <n v="9"/>
    <n v="8"/>
    <n v="8"/>
  </r>
  <r>
    <n v="45"/>
    <x v="0"/>
    <n v="1"/>
    <s v="Travel_Frequently"/>
    <n v="1"/>
    <n v="0"/>
    <n v="306"/>
    <s v="Sales"/>
    <n v="0"/>
    <n v="1"/>
    <n v="26"/>
    <n v="4"/>
    <s v="Life Sciences"/>
    <n v="1"/>
    <n v="0"/>
    <n v="0"/>
    <n v="0"/>
    <n v="0"/>
    <n v="1"/>
    <x v="0"/>
    <n v="1"/>
    <n v="100"/>
    <n v="3"/>
    <n v="2"/>
    <s v="Sales Executive"/>
    <n v="0"/>
    <n v="1"/>
    <n v="0"/>
    <n v="0"/>
    <n v="0"/>
    <n v="0"/>
    <n v="0"/>
    <n v="0"/>
    <x v="3"/>
    <s v="Married"/>
    <n v="0"/>
    <n v="1"/>
    <n v="4286"/>
    <n v="5630"/>
    <n v="2"/>
    <s v="No"/>
    <n v="0"/>
    <n v="14"/>
    <n v="3"/>
    <n v="4"/>
    <n v="2"/>
    <n v="5"/>
    <n v="4"/>
    <n v="3"/>
    <n v="1"/>
    <n v="1"/>
    <n v="0"/>
    <n v="0"/>
  </r>
  <r>
    <n v="26"/>
    <x v="1"/>
    <n v="0"/>
    <s v="Travel_Rarely"/>
    <n v="0"/>
    <n v="1"/>
    <n v="991"/>
    <s v="Research &amp; Development"/>
    <n v="1"/>
    <n v="0"/>
    <n v="6"/>
    <n v="3"/>
    <s v="Life Sciences"/>
    <n v="1"/>
    <n v="0"/>
    <n v="0"/>
    <n v="0"/>
    <n v="0"/>
    <n v="3"/>
    <x v="0"/>
    <n v="1"/>
    <n v="71"/>
    <n v="3"/>
    <n v="1"/>
    <s v="Laboratory Technician"/>
    <n v="0"/>
    <n v="0"/>
    <n v="1"/>
    <n v="0"/>
    <n v="0"/>
    <n v="0"/>
    <n v="0"/>
    <n v="0"/>
    <x v="0"/>
    <s v="Married"/>
    <n v="0"/>
    <n v="1"/>
    <n v="2659"/>
    <n v="17759"/>
    <n v="1"/>
    <s v="Yes"/>
    <n v="1"/>
    <n v="13"/>
    <n v="3"/>
    <n v="3"/>
    <n v="1"/>
    <n v="3"/>
    <n v="2"/>
    <n v="3"/>
    <n v="3"/>
    <n v="2"/>
    <n v="0"/>
    <n v="2"/>
  </r>
  <r>
    <n v="37"/>
    <x v="1"/>
    <n v="0"/>
    <s v="Travel_Rarely"/>
    <n v="0"/>
    <n v="1"/>
    <n v="482"/>
    <s v="Research &amp; Development"/>
    <n v="1"/>
    <n v="0"/>
    <n v="3"/>
    <n v="3"/>
    <s v="Other"/>
    <n v="0"/>
    <n v="1"/>
    <n v="0"/>
    <n v="0"/>
    <n v="0"/>
    <n v="3"/>
    <x v="1"/>
    <n v="0"/>
    <n v="36"/>
    <n v="3"/>
    <n v="3"/>
    <s v="Manufacturing Director"/>
    <n v="0"/>
    <n v="0"/>
    <n v="0"/>
    <n v="0"/>
    <n v="1"/>
    <n v="1"/>
    <n v="0"/>
    <n v="0"/>
    <x v="2"/>
    <s v="Married"/>
    <n v="0"/>
    <n v="1"/>
    <n v="9434"/>
    <n v="9606"/>
    <n v="1"/>
    <s v="No"/>
    <n v="0"/>
    <n v="15"/>
    <n v="3"/>
    <n v="3"/>
    <n v="1"/>
    <n v="10"/>
    <n v="2"/>
    <n v="3"/>
    <n v="10"/>
    <n v="7"/>
    <n v="7"/>
    <n v="8"/>
  </r>
  <r>
    <n v="29"/>
    <x v="1"/>
    <n v="0"/>
    <s v="Travel_Rarely"/>
    <n v="0"/>
    <n v="1"/>
    <n v="1176"/>
    <s v="Sales"/>
    <n v="0"/>
    <n v="1"/>
    <n v="3"/>
    <n v="2"/>
    <s v="Medical"/>
    <n v="0"/>
    <n v="0"/>
    <n v="1"/>
    <n v="0"/>
    <n v="0"/>
    <n v="2"/>
    <x v="0"/>
    <n v="1"/>
    <n v="62"/>
    <n v="3"/>
    <n v="2"/>
    <s v="Sales Executive"/>
    <n v="0"/>
    <n v="1"/>
    <n v="0"/>
    <n v="0"/>
    <n v="0"/>
    <n v="0"/>
    <n v="0"/>
    <n v="0"/>
    <x v="2"/>
    <s v="Married"/>
    <n v="0"/>
    <n v="1"/>
    <n v="5561"/>
    <n v="3487"/>
    <n v="1"/>
    <s v="No"/>
    <n v="0"/>
    <n v="14"/>
    <n v="3"/>
    <n v="1"/>
    <n v="1"/>
    <n v="6"/>
    <n v="5"/>
    <n v="2"/>
    <n v="6"/>
    <n v="0"/>
    <n v="1"/>
    <n v="2"/>
  </r>
  <r>
    <n v="35"/>
    <x v="1"/>
    <n v="0"/>
    <s v="Travel_Rarely"/>
    <n v="0"/>
    <n v="1"/>
    <n v="1017"/>
    <s v="Research &amp; Development"/>
    <n v="1"/>
    <n v="0"/>
    <n v="6"/>
    <n v="4"/>
    <s v="Life Sciences"/>
    <n v="1"/>
    <n v="0"/>
    <n v="0"/>
    <n v="0"/>
    <n v="0"/>
    <n v="2"/>
    <x v="1"/>
    <n v="0"/>
    <n v="82"/>
    <n v="1"/>
    <n v="2"/>
    <s v="Research Scientist"/>
    <n v="0"/>
    <n v="0"/>
    <n v="0"/>
    <n v="0"/>
    <n v="0"/>
    <n v="0"/>
    <n v="0"/>
    <n v="1"/>
    <x v="0"/>
    <s v="Single"/>
    <n v="1"/>
    <n v="0"/>
    <n v="6646"/>
    <n v="19368"/>
    <n v="1"/>
    <s v="No"/>
    <n v="0"/>
    <n v="13"/>
    <n v="3"/>
    <n v="2"/>
    <n v="0"/>
    <n v="17"/>
    <n v="3"/>
    <n v="3"/>
    <n v="17"/>
    <n v="11"/>
    <n v="11"/>
    <n v="8"/>
  </r>
  <r>
    <n v="33"/>
    <x v="1"/>
    <n v="0"/>
    <s v="Travel_Frequently"/>
    <n v="1"/>
    <n v="0"/>
    <n v="1296"/>
    <s v="Research &amp; Development"/>
    <n v="1"/>
    <n v="0"/>
    <n v="6"/>
    <n v="3"/>
    <s v="Life Sciences"/>
    <n v="1"/>
    <n v="0"/>
    <n v="0"/>
    <n v="0"/>
    <n v="0"/>
    <n v="3"/>
    <x v="1"/>
    <n v="0"/>
    <n v="30"/>
    <n v="3"/>
    <n v="2"/>
    <s v="Healthcare Representative"/>
    <n v="1"/>
    <n v="0"/>
    <n v="0"/>
    <n v="0"/>
    <n v="0"/>
    <n v="0"/>
    <n v="0"/>
    <n v="0"/>
    <x v="0"/>
    <s v="Divorced"/>
    <n v="0"/>
    <n v="0"/>
    <n v="7725"/>
    <n v="5335"/>
    <n v="3"/>
    <s v="No"/>
    <n v="0"/>
    <n v="23"/>
    <n v="4"/>
    <n v="3"/>
    <n v="1"/>
    <n v="15"/>
    <n v="2"/>
    <n v="1"/>
    <n v="13"/>
    <n v="11"/>
    <n v="4"/>
    <n v="7"/>
  </r>
  <r>
    <n v="54"/>
    <x v="1"/>
    <n v="0"/>
    <s v="Travel_Rarely"/>
    <n v="0"/>
    <n v="1"/>
    <n v="397"/>
    <s v="Human Resources"/>
    <n v="0"/>
    <n v="0"/>
    <n v="19"/>
    <n v="4"/>
    <s v="Medical"/>
    <n v="0"/>
    <n v="0"/>
    <n v="1"/>
    <n v="0"/>
    <n v="0"/>
    <n v="3"/>
    <x v="1"/>
    <n v="0"/>
    <n v="88"/>
    <n v="3"/>
    <n v="3"/>
    <s v="Human Resources"/>
    <n v="0"/>
    <n v="0"/>
    <n v="0"/>
    <n v="0"/>
    <n v="0"/>
    <n v="0"/>
    <n v="0"/>
    <n v="0"/>
    <x v="1"/>
    <s v="Married"/>
    <n v="0"/>
    <n v="1"/>
    <n v="10725"/>
    <n v="6729"/>
    <n v="2"/>
    <s v="No"/>
    <n v="0"/>
    <n v="15"/>
    <n v="3"/>
    <n v="3"/>
    <n v="1"/>
    <n v="16"/>
    <n v="1"/>
    <n v="4"/>
    <n v="9"/>
    <n v="7"/>
    <n v="7"/>
    <n v="1"/>
  </r>
  <r>
    <n v="36"/>
    <x v="1"/>
    <n v="0"/>
    <s v="Travel_Rarely"/>
    <n v="0"/>
    <n v="1"/>
    <n v="913"/>
    <s v="Research &amp; Development"/>
    <n v="1"/>
    <n v="0"/>
    <n v="9"/>
    <n v="2"/>
    <s v="Medical"/>
    <n v="0"/>
    <n v="0"/>
    <n v="1"/>
    <n v="0"/>
    <n v="0"/>
    <n v="2"/>
    <x v="1"/>
    <n v="0"/>
    <n v="48"/>
    <n v="2"/>
    <n v="2"/>
    <s v="Manufacturing Director"/>
    <n v="0"/>
    <n v="0"/>
    <n v="0"/>
    <n v="0"/>
    <n v="1"/>
    <n v="1"/>
    <n v="0"/>
    <n v="0"/>
    <x v="1"/>
    <s v="Divorced"/>
    <n v="0"/>
    <n v="0"/>
    <n v="8847"/>
    <n v="13934"/>
    <n v="2"/>
    <s v="Yes"/>
    <n v="1"/>
    <n v="11"/>
    <n v="3"/>
    <n v="3"/>
    <n v="1"/>
    <n v="13"/>
    <n v="2"/>
    <n v="3"/>
    <n v="3"/>
    <n v="2"/>
    <n v="0"/>
    <n v="2"/>
  </r>
  <r>
    <n v="27"/>
    <x v="1"/>
    <n v="0"/>
    <s v="Travel_Rarely"/>
    <n v="0"/>
    <n v="1"/>
    <n v="1115"/>
    <s v="Research &amp; Development"/>
    <n v="1"/>
    <n v="0"/>
    <n v="3"/>
    <n v="4"/>
    <s v="Medical"/>
    <n v="0"/>
    <n v="0"/>
    <n v="1"/>
    <n v="0"/>
    <n v="0"/>
    <n v="1"/>
    <x v="1"/>
    <n v="0"/>
    <n v="54"/>
    <n v="2"/>
    <n v="1"/>
    <s v="Research Scientist"/>
    <n v="0"/>
    <n v="0"/>
    <n v="0"/>
    <n v="0"/>
    <n v="0"/>
    <n v="0"/>
    <n v="0"/>
    <n v="1"/>
    <x v="0"/>
    <s v="Single"/>
    <n v="1"/>
    <n v="0"/>
    <n v="2045"/>
    <n v="15174"/>
    <n v="0"/>
    <s v="No"/>
    <n v="0"/>
    <n v="13"/>
    <n v="3"/>
    <n v="4"/>
    <n v="0"/>
    <n v="5"/>
    <n v="0"/>
    <n v="3"/>
    <n v="4"/>
    <n v="2"/>
    <n v="1"/>
    <n v="1"/>
  </r>
  <r>
    <n v="20"/>
    <x v="0"/>
    <n v="1"/>
    <s v="Travel_Rarely"/>
    <n v="0"/>
    <n v="1"/>
    <n v="1362"/>
    <s v="Research &amp; Development"/>
    <n v="1"/>
    <n v="0"/>
    <n v="10"/>
    <n v="1"/>
    <s v="Medical"/>
    <n v="0"/>
    <n v="0"/>
    <n v="1"/>
    <n v="0"/>
    <n v="0"/>
    <n v="4"/>
    <x v="1"/>
    <n v="0"/>
    <n v="32"/>
    <n v="3"/>
    <n v="1"/>
    <s v="Research Scientist"/>
    <n v="0"/>
    <n v="0"/>
    <n v="0"/>
    <n v="0"/>
    <n v="0"/>
    <n v="0"/>
    <n v="0"/>
    <n v="1"/>
    <x v="2"/>
    <s v="Single"/>
    <n v="1"/>
    <n v="0"/>
    <n v="1009"/>
    <n v="26999"/>
    <n v="1"/>
    <s v="Yes"/>
    <n v="1"/>
    <n v="11"/>
    <n v="3"/>
    <n v="4"/>
    <n v="0"/>
    <n v="1"/>
    <n v="5"/>
    <n v="3"/>
    <n v="1"/>
    <n v="0"/>
    <n v="1"/>
    <n v="1"/>
  </r>
  <r>
    <n v="33"/>
    <x v="0"/>
    <n v="1"/>
    <s v="Travel_Frequently"/>
    <n v="1"/>
    <n v="0"/>
    <n v="1076"/>
    <s v="Research &amp; Development"/>
    <n v="1"/>
    <n v="0"/>
    <n v="3"/>
    <n v="3"/>
    <s v="Life Sciences"/>
    <n v="1"/>
    <n v="0"/>
    <n v="0"/>
    <n v="0"/>
    <n v="0"/>
    <n v="1"/>
    <x v="1"/>
    <n v="0"/>
    <n v="70"/>
    <n v="3"/>
    <n v="1"/>
    <s v="Research Scientist"/>
    <n v="0"/>
    <n v="0"/>
    <n v="0"/>
    <n v="0"/>
    <n v="0"/>
    <n v="0"/>
    <n v="0"/>
    <n v="1"/>
    <x v="3"/>
    <s v="Single"/>
    <n v="1"/>
    <n v="0"/>
    <n v="3348"/>
    <n v="3164"/>
    <n v="1"/>
    <s v="Yes"/>
    <n v="1"/>
    <n v="11"/>
    <n v="3"/>
    <n v="1"/>
    <n v="0"/>
    <n v="10"/>
    <n v="3"/>
    <n v="3"/>
    <n v="10"/>
    <n v="8"/>
    <n v="9"/>
    <n v="7"/>
  </r>
  <r>
    <n v="35"/>
    <x v="1"/>
    <n v="0"/>
    <s v="Non-Travel"/>
    <n v="0"/>
    <n v="0"/>
    <n v="727"/>
    <s v="Research &amp; Development"/>
    <n v="1"/>
    <n v="0"/>
    <n v="3"/>
    <n v="3"/>
    <s v="Life Sciences"/>
    <n v="1"/>
    <n v="0"/>
    <n v="0"/>
    <n v="0"/>
    <n v="0"/>
    <n v="3"/>
    <x v="1"/>
    <n v="0"/>
    <n v="41"/>
    <n v="2"/>
    <n v="1"/>
    <s v="Laboratory Technician"/>
    <n v="0"/>
    <n v="0"/>
    <n v="1"/>
    <n v="0"/>
    <n v="0"/>
    <n v="0"/>
    <n v="0"/>
    <n v="0"/>
    <x v="2"/>
    <s v="Married"/>
    <n v="0"/>
    <n v="1"/>
    <n v="1281"/>
    <n v="16900"/>
    <n v="1"/>
    <s v="No"/>
    <n v="0"/>
    <n v="18"/>
    <n v="3"/>
    <n v="3"/>
    <n v="2"/>
    <n v="1"/>
    <n v="3"/>
    <n v="3"/>
    <n v="1"/>
    <n v="0"/>
    <n v="0"/>
    <n v="0"/>
  </r>
  <r>
    <n v="23"/>
    <x v="1"/>
    <n v="0"/>
    <s v="Travel_Rarely"/>
    <n v="0"/>
    <n v="1"/>
    <n v="885"/>
    <s v="Research &amp; Development"/>
    <n v="1"/>
    <n v="0"/>
    <n v="4"/>
    <n v="3"/>
    <s v="Medical"/>
    <n v="0"/>
    <n v="0"/>
    <n v="1"/>
    <n v="0"/>
    <n v="0"/>
    <n v="1"/>
    <x v="1"/>
    <n v="0"/>
    <n v="58"/>
    <n v="4"/>
    <n v="1"/>
    <s v="Research Scientist"/>
    <n v="0"/>
    <n v="0"/>
    <n v="0"/>
    <n v="0"/>
    <n v="0"/>
    <n v="0"/>
    <n v="0"/>
    <n v="1"/>
    <x v="3"/>
    <s v="Married"/>
    <n v="0"/>
    <n v="1"/>
    <n v="2819"/>
    <n v="8544"/>
    <n v="2"/>
    <s v="No"/>
    <n v="0"/>
    <n v="16"/>
    <n v="3"/>
    <n v="1"/>
    <n v="1"/>
    <n v="5"/>
    <n v="3"/>
    <n v="4"/>
    <n v="3"/>
    <n v="2"/>
    <n v="0"/>
    <n v="2"/>
  </r>
  <r>
    <n v="25"/>
    <x v="1"/>
    <n v="0"/>
    <s v="Travel_Rarely"/>
    <n v="0"/>
    <n v="1"/>
    <n v="810"/>
    <s v="Sales"/>
    <n v="0"/>
    <n v="1"/>
    <n v="8"/>
    <n v="3"/>
    <s v="Life Sciences"/>
    <n v="1"/>
    <n v="0"/>
    <n v="0"/>
    <n v="0"/>
    <n v="0"/>
    <n v="4"/>
    <x v="1"/>
    <n v="0"/>
    <n v="57"/>
    <n v="4"/>
    <n v="2"/>
    <s v="Sales Executive"/>
    <n v="0"/>
    <n v="1"/>
    <n v="0"/>
    <n v="0"/>
    <n v="0"/>
    <n v="0"/>
    <n v="0"/>
    <n v="0"/>
    <x v="1"/>
    <s v="Married"/>
    <n v="0"/>
    <n v="1"/>
    <n v="4851"/>
    <n v="15678"/>
    <n v="0"/>
    <s v="No"/>
    <n v="0"/>
    <n v="22"/>
    <n v="4"/>
    <n v="3"/>
    <n v="1"/>
    <n v="4"/>
    <n v="4"/>
    <n v="3"/>
    <n v="3"/>
    <n v="2"/>
    <n v="1"/>
    <n v="2"/>
  </r>
  <r>
    <n v="38"/>
    <x v="1"/>
    <n v="0"/>
    <s v="Travel_Rarely"/>
    <n v="0"/>
    <n v="1"/>
    <n v="243"/>
    <s v="Sales"/>
    <n v="0"/>
    <n v="1"/>
    <n v="7"/>
    <n v="4"/>
    <s v="Marketing"/>
    <n v="0"/>
    <n v="0"/>
    <n v="0"/>
    <n v="1"/>
    <n v="0"/>
    <n v="4"/>
    <x v="0"/>
    <n v="1"/>
    <n v="46"/>
    <n v="2"/>
    <n v="2"/>
    <s v="Sales Executive"/>
    <n v="0"/>
    <n v="1"/>
    <n v="0"/>
    <n v="0"/>
    <n v="0"/>
    <n v="0"/>
    <n v="0"/>
    <n v="0"/>
    <x v="0"/>
    <s v="Single"/>
    <n v="1"/>
    <n v="0"/>
    <n v="4028"/>
    <n v="7791"/>
    <n v="0"/>
    <s v="No"/>
    <n v="0"/>
    <n v="20"/>
    <n v="4"/>
    <n v="1"/>
    <n v="0"/>
    <n v="8"/>
    <n v="2"/>
    <n v="3"/>
    <n v="7"/>
    <n v="7"/>
    <n v="0"/>
    <n v="5"/>
  </r>
  <r>
    <n v="29"/>
    <x v="1"/>
    <n v="0"/>
    <s v="Travel_Frequently"/>
    <n v="1"/>
    <n v="0"/>
    <n v="806"/>
    <s v="Research &amp; Development"/>
    <n v="1"/>
    <n v="0"/>
    <n v="1"/>
    <n v="4"/>
    <s v="Life Sciences"/>
    <n v="1"/>
    <n v="0"/>
    <n v="0"/>
    <n v="0"/>
    <n v="0"/>
    <n v="2"/>
    <x v="1"/>
    <n v="0"/>
    <n v="76"/>
    <n v="1"/>
    <n v="1"/>
    <s v="Research Scientist"/>
    <n v="0"/>
    <n v="0"/>
    <n v="0"/>
    <n v="0"/>
    <n v="0"/>
    <n v="0"/>
    <n v="0"/>
    <n v="1"/>
    <x v="0"/>
    <s v="Divorced"/>
    <n v="0"/>
    <n v="0"/>
    <n v="2720"/>
    <n v="18959"/>
    <n v="1"/>
    <s v="No"/>
    <n v="0"/>
    <n v="18"/>
    <n v="3"/>
    <n v="4"/>
    <n v="1"/>
    <n v="10"/>
    <n v="5"/>
    <n v="3"/>
    <n v="10"/>
    <n v="7"/>
    <n v="2"/>
    <n v="8"/>
  </r>
  <r>
    <n v="48"/>
    <x v="1"/>
    <n v="0"/>
    <s v="Travel_Rarely"/>
    <n v="0"/>
    <n v="1"/>
    <n v="817"/>
    <s v="Sales"/>
    <n v="0"/>
    <n v="1"/>
    <n v="2"/>
    <n v="1"/>
    <s v="Marketing"/>
    <n v="0"/>
    <n v="0"/>
    <n v="0"/>
    <n v="1"/>
    <n v="0"/>
    <n v="2"/>
    <x v="1"/>
    <n v="0"/>
    <n v="56"/>
    <n v="4"/>
    <n v="2"/>
    <s v="Sales Executive"/>
    <n v="0"/>
    <n v="1"/>
    <n v="0"/>
    <n v="0"/>
    <n v="0"/>
    <n v="0"/>
    <n v="0"/>
    <n v="0"/>
    <x v="1"/>
    <s v="Married"/>
    <n v="0"/>
    <n v="1"/>
    <n v="8120"/>
    <n v="18597"/>
    <n v="3"/>
    <s v="No"/>
    <n v="0"/>
    <n v="12"/>
    <n v="3"/>
    <n v="4"/>
    <n v="0"/>
    <n v="12"/>
    <n v="3"/>
    <n v="3"/>
    <n v="2"/>
    <n v="2"/>
    <n v="2"/>
    <n v="2"/>
  </r>
  <r>
    <n v="27"/>
    <x v="1"/>
    <n v="0"/>
    <s v="Travel_Frequently"/>
    <n v="1"/>
    <n v="0"/>
    <n v="1410"/>
    <s v="Sales"/>
    <n v="0"/>
    <n v="1"/>
    <n v="3"/>
    <n v="1"/>
    <s v="Medical"/>
    <n v="0"/>
    <n v="0"/>
    <n v="1"/>
    <n v="0"/>
    <n v="0"/>
    <n v="4"/>
    <x v="0"/>
    <n v="1"/>
    <n v="71"/>
    <n v="4"/>
    <n v="2"/>
    <s v="Sales Executive"/>
    <n v="0"/>
    <n v="1"/>
    <n v="0"/>
    <n v="0"/>
    <n v="0"/>
    <n v="0"/>
    <n v="0"/>
    <n v="0"/>
    <x v="0"/>
    <s v="Divorced"/>
    <n v="0"/>
    <n v="0"/>
    <n v="4647"/>
    <n v="16673"/>
    <n v="1"/>
    <s v="Yes"/>
    <n v="1"/>
    <n v="20"/>
    <n v="4"/>
    <n v="2"/>
    <n v="2"/>
    <n v="6"/>
    <n v="3"/>
    <n v="3"/>
    <n v="6"/>
    <n v="5"/>
    <n v="0"/>
    <n v="4"/>
  </r>
  <r>
    <n v="37"/>
    <x v="1"/>
    <n v="0"/>
    <s v="Travel_Rarely"/>
    <n v="0"/>
    <n v="1"/>
    <n v="1225"/>
    <s v="Research &amp; Development"/>
    <n v="1"/>
    <n v="0"/>
    <n v="10"/>
    <n v="2"/>
    <s v="Life Sciences"/>
    <n v="1"/>
    <n v="0"/>
    <n v="0"/>
    <n v="0"/>
    <n v="0"/>
    <n v="4"/>
    <x v="1"/>
    <n v="0"/>
    <n v="80"/>
    <n v="4"/>
    <n v="1"/>
    <s v="Research Scientist"/>
    <n v="0"/>
    <n v="0"/>
    <n v="0"/>
    <n v="0"/>
    <n v="0"/>
    <n v="0"/>
    <n v="0"/>
    <n v="1"/>
    <x v="0"/>
    <s v="Single"/>
    <n v="1"/>
    <n v="0"/>
    <n v="4680"/>
    <n v="15232"/>
    <n v="3"/>
    <s v="No"/>
    <n v="0"/>
    <n v="17"/>
    <n v="3"/>
    <n v="1"/>
    <n v="0"/>
    <n v="4"/>
    <n v="2"/>
    <n v="3"/>
    <n v="1"/>
    <n v="0"/>
    <n v="0"/>
    <n v="0"/>
  </r>
  <r>
    <n v="50"/>
    <x v="1"/>
    <n v="0"/>
    <s v="Travel_Rarely"/>
    <n v="0"/>
    <n v="1"/>
    <n v="1207"/>
    <s v="Research &amp; Development"/>
    <n v="1"/>
    <n v="0"/>
    <n v="28"/>
    <n v="1"/>
    <s v="Medical"/>
    <n v="0"/>
    <n v="0"/>
    <n v="1"/>
    <n v="0"/>
    <n v="0"/>
    <n v="4"/>
    <x v="1"/>
    <n v="0"/>
    <n v="74"/>
    <n v="4"/>
    <n v="1"/>
    <s v="Laboratory Technician"/>
    <n v="0"/>
    <n v="0"/>
    <n v="1"/>
    <n v="0"/>
    <n v="0"/>
    <n v="0"/>
    <n v="0"/>
    <n v="0"/>
    <x v="2"/>
    <s v="Married"/>
    <n v="0"/>
    <n v="1"/>
    <n v="3221"/>
    <n v="3297"/>
    <n v="1"/>
    <s v="Yes"/>
    <n v="1"/>
    <n v="11"/>
    <n v="3"/>
    <n v="3"/>
    <n v="3"/>
    <n v="20"/>
    <n v="3"/>
    <n v="3"/>
    <n v="20"/>
    <n v="8"/>
    <n v="3"/>
    <n v="8"/>
  </r>
  <r>
    <n v="34"/>
    <x v="1"/>
    <n v="0"/>
    <s v="Travel_Rarely"/>
    <n v="0"/>
    <n v="1"/>
    <n v="1442"/>
    <s v="Research &amp; Development"/>
    <n v="1"/>
    <n v="0"/>
    <n v="9"/>
    <n v="3"/>
    <s v="Medical"/>
    <n v="0"/>
    <n v="0"/>
    <n v="1"/>
    <n v="0"/>
    <n v="0"/>
    <n v="4"/>
    <x v="0"/>
    <n v="1"/>
    <n v="46"/>
    <n v="2"/>
    <n v="3"/>
    <s v="Healthcare Representative"/>
    <n v="1"/>
    <n v="0"/>
    <n v="0"/>
    <n v="0"/>
    <n v="0"/>
    <n v="0"/>
    <n v="0"/>
    <n v="0"/>
    <x v="1"/>
    <s v="Single"/>
    <n v="1"/>
    <n v="0"/>
    <n v="8621"/>
    <n v="17654"/>
    <n v="1"/>
    <s v="No"/>
    <n v="0"/>
    <n v="14"/>
    <n v="3"/>
    <n v="2"/>
    <n v="0"/>
    <n v="9"/>
    <n v="3"/>
    <n v="4"/>
    <n v="8"/>
    <n v="7"/>
    <n v="7"/>
    <n v="7"/>
  </r>
  <r>
    <n v="24"/>
    <x v="0"/>
    <n v="1"/>
    <s v="Travel_Rarely"/>
    <n v="0"/>
    <n v="1"/>
    <n v="693"/>
    <s v="Sales"/>
    <n v="0"/>
    <n v="1"/>
    <n v="3"/>
    <n v="2"/>
    <s v="Life Sciences"/>
    <n v="1"/>
    <n v="0"/>
    <n v="0"/>
    <n v="0"/>
    <n v="0"/>
    <n v="1"/>
    <x v="0"/>
    <n v="1"/>
    <n v="65"/>
    <n v="3"/>
    <n v="2"/>
    <s v="Sales Executive"/>
    <n v="0"/>
    <n v="1"/>
    <n v="0"/>
    <n v="0"/>
    <n v="0"/>
    <n v="0"/>
    <n v="0"/>
    <n v="0"/>
    <x v="2"/>
    <s v="Single"/>
    <n v="1"/>
    <n v="0"/>
    <n v="4577"/>
    <n v="24785"/>
    <n v="9"/>
    <s v="No"/>
    <n v="0"/>
    <n v="14"/>
    <n v="3"/>
    <n v="1"/>
    <n v="0"/>
    <n v="4"/>
    <n v="3"/>
    <n v="3"/>
    <n v="2"/>
    <n v="2"/>
    <n v="2"/>
    <n v="0"/>
  </r>
  <r>
    <n v="39"/>
    <x v="1"/>
    <n v="0"/>
    <s v="Travel_Rarely"/>
    <n v="0"/>
    <n v="1"/>
    <n v="408"/>
    <s v="Research &amp; Development"/>
    <n v="1"/>
    <n v="0"/>
    <n v="2"/>
    <n v="4"/>
    <s v="Technical Degree"/>
    <n v="0"/>
    <n v="0"/>
    <n v="0"/>
    <n v="0"/>
    <n v="1"/>
    <n v="4"/>
    <x v="0"/>
    <n v="1"/>
    <n v="80"/>
    <n v="2"/>
    <n v="2"/>
    <s v="Healthcare Representative"/>
    <n v="1"/>
    <n v="0"/>
    <n v="0"/>
    <n v="0"/>
    <n v="0"/>
    <n v="0"/>
    <n v="0"/>
    <n v="0"/>
    <x v="2"/>
    <s v="Single"/>
    <n v="1"/>
    <n v="0"/>
    <n v="4553"/>
    <n v="20978"/>
    <n v="1"/>
    <s v="No"/>
    <n v="0"/>
    <n v="11"/>
    <n v="3"/>
    <n v="1"/>
    <n v="0"/>
    <n v="20"/>
    <n v="4"/>
    <n v="3"/>
    <n v="20"/>
    <n v="7"/>
    <n v="11"/>
    <n v="10"/>
  </r>
  <r>
    <n v="32"/>
    <x v="1"/>
    <n v="0"/>
    <s v="Travel_Rarely"/>
    <n v="0"/>
    <n v="1"/>
    <n v="929"/>
    <s v="Sales"/>
    <n v="0"/>
    <n v="1"/>
    <n v="10"/>
    <n v="3"/>
    <s v="Marketing"/>
    <n v="0"/>
    <n v="0"/>
    <n v="0"/>
    <n v="1"/>
    <n v="0"/>
    <n v="4"/>
    <x v="1"/>
    <n v="0"/>
    <n v="55"/>
    <n v="3"/>
    <n v="2"/>
    <s v="Sales Executive"/>
    <n v="0"/>
    <n v="1"/>
    <n v="0"/>
    <n v="0"/>
    <n v="0"/>
    <n v="0"/>
    <n v="0"/>
    <n v="0"/>
    <x v="0"/>
    <s v="Single"/>
    <n v="1"/>
    <n v="0"/>
    <n v="5396"/>
    <n v="21703"/>
    <n v="1"/>
    <s v="No"/>
    <n v="0"/>
    <n v="12"/>
    <n v="3"/>
    <n v="4"/>
    <n v="0"/>
    <n v="10"/>
    <n v="2"/>
    <n v="2"/>
    <n v="10"/>
    <n v="7"/>
    <n v="0"/>
    <n v="8"/>
  </r>
  <r>
    <n v="50"/>
    <x v="0"/>
    <n v="1"/>
    <s v="Travel_Frequently"/>
    <n v="1"/>
    <n v="0"/>
    <n v="562"/>
    <s v="Sales"/>
    <n v="0"/>
    <n v="1"/>
    <n v="8"/>
    <n v="2"/>
    <s v="Technical Degree"/>
    <n v="0"/>
    <n v="0"/>
    <n v="0"/>
    <n v="0"/>
    <n v="1"/>
    <n v="2"/>
    <x v="1"/>
    <n v="0"/>
    <n v="50"/>
    <n v="3"/>
    <n v="2"/>
    <s v="Sales Executive"/>
    <n v="0"/>
    <n v="1"/>
    <n v="0"/>
    <n v="0"/>
    <n v="0"/>
    <n v="0"/>
    <n v="0"/>
    <n v="0"/>
    <x v="2"/>
    <s v="Married"/>
    <n v="0"/>
    <n v="1"/>
    <n v="6796"/>
    <n v="23452"/>
    <n v="3"/>
    <s v="Yes"/>
    <n v="1"/>
    <n v="14"/>
    <n v="3"/>
    <n v="1"/>
    <n v="1"/>
    <n v="18"/>
    <n v="4"/>
    <n v="3"/>
    <n v="4"/>
    <n v="3"/>
    <n v="1"/>
    <n v="3"/>
  </r>
  <r>
    <n v="38"/>
    <x v="1"/>
    <n v="0"/>
    <s v="Travel_Rarely"/>
    <n v="0"/>
    <n v="1"/>
    <n v="827"/>
    <s v="Research &amp; Development"/>
    <n v="1"/>
    <n v="0"/>
    <n v="1"/>
    <n v="4"/>
    <s v="Life Sciences"/>
    <n v="1"/>
    <n v="0"/>
    <n v="0"/>
    <n v="0"/>
    <n v="0"/>
    <n v="2"/>
    <x v="0"/>
    <n v="1"/>
    <n v="33"/>
    <n v="4"/>
    <n v="2"/>
    <s v="Healthcare Representative"/>
    <n v="1"/>
    <n v="0"/>
    <n v="0"/>
    <n v="0"/>
    <n v="0"/>
    <n v="0"/>
    <n v="0"/>
    <n v="0"/>
    <x v="0"/>
    <s v="Single"/>
    <n v="1"/>
    <n v="0"/>
    <n v="7625"/>
    <n v="19383"/>
    <n v="0"/>
    <s v="No"/>
    <n v="0"/>
    <n v="13"/>
    <n v="3"/>
    <n v="3"/>
    <n v="0"/>
    <n v="10"/>
    <n v="4"/>
    <n v="2"/>
    <n v="9"/>
    <n v="7"/>
    <n v="1"/>
    <n v="8"/>
  </r>
  <r>
    <n v="27"/>
    <x v="1"/>
    <n v="0"/>
    <s v="Travel_Rarely"/>
    <n v="0"/>
    <n v="1"/>
    <n v="608"/>
    <s v="Research &amp; Development"/>
    <n v="1"/>
    <n v="0"/>
    <n v="1"/>
    <n v="2"/>
    <s v="Life Sciences"/>
    <n v="1"/>
    <n v="0"/>
    <n v="0"/>
    <n v="0"/>
    <n v="0"/>
    <n v="3"/>
    <x v="0"/>
    <n v="1"/>
    <n v="68"/>
    <n v="3"/>
    <n v="3"/>
    <s v="Manufacturing Director"/>
    <n v="0"/>
    <n v="0"/>
    <n v="0"/>
    <n v="0"/>
    <n v="1"/>
    <n v="1"/>
    <n v="0"/>
    <n v="0"/>
    <x v="3"/>
    <s v="Married"/>
    <n v="0"/>
    <n v="1"/>
    <n v="7412"/>
    <n v="6009"/>
    <n v="1"/>
    <s v="No"/>
    <n v="0"/>
    <n v="11"/>
    <n v="3"/>
    <n v="4"/>
    <n v="0"/>
    <n v="9"/>
    <n v="3"/>
    <n v="3"/>
    <n v="9"/>
    <n v="7"/>
    <n v="0"/>
    <n v="7"/>
  </r>
  <r>
    <n v="32"/>
    <x v="1"/>
    <n v="0"/>
    <s v="Travel_Rarely"/>
    <n v="0"/>
    <n v="1"/>
    <n v="1018"/>
    <s v="Research &amp; Development"/>
    <n v="1"/>
    <n v="0"/>
    <n v="3"/>
    <n v="2"/>
    <s v="Life Sciences"/>
    <n v="1"/>
    <n v="0"/>
    <n v="0"/>
    <n v="0"/>
    <n v="0"/>
    <n v="3"/>
    <x v="0"/>
    <n v="1"/>
    <n v="39"/>
    <n v="3"/>
    <n v="3"/>
    <s v="Research Director"/>
    <n v="0"/>
    <n v="0"/>
    <n v="0"/>
    <n v="0"/>
    <n v="0"/>
    <n v="0"/>
    <n v="0"/>
    <n v="0"/>
    <x v="0"/>
    <s v="Single"/>
    <n v="1"/>
    <n v="0"/>
    <n v="11159"/>
    <n v="19373"/>
    <n v="3"/>
    <s v="No"/>
    <n v="0"/>
    <n v="15"/>
    <n v="3"/>
    <n v="4"/>
    <n v="0"/>
    <n v="10"/>
    <n v="6"/>
    <n v="3"/>
    <n v="7"/>
    <n v="7"/>
    <n v="7"/>
    <n v="7"/>
  </r>
  <r>
    <n v="47"/>
    <x v="1"/>
    <n v="0"/>
    <s v="Travel_Rarely"/>
    <n v="0"/>
    <n v="1"/>
    <n v="703"/>
    <s v="Sales"/>
    <n v="0"/>
    <n v="1"/>
    <n v="14"/>
    <n v="4"/>
    <s v="Marketing"/>
    <n v="0"/>
    <n v="0"/>
    <n v="0"/>
    <n v="1"/>
    <n v="0"/>
    <n v="4"/>
    <x v="1"/>
    <n v="0"/>
    <n v="42"/>
    <n v="3"/>
    <n v="2"/>
    <s v="Sales Executive"/>
    <n v="0"/>
    <n v="1"/>
    <n v="0"/>
    <n v="0"/>
    <n v="0"/>
    <n v="0"/>
    <n v="0"/>
    <n v="0"/>
    <x v="3"/>
    <s v="Single"/>
    <n v="1"/>
    <n v="0"/>
    <n v="4960"/>
    <n v="11825"/>
    <n v="2"/>
    <s v="No"/>
    <n v="0"/>
    <n v="12"/>
    <n v="3"/>
    <n v="4"/>
    <n v="0"/>
    <n v="20"/>
    <n v="2"/>
    <n v="3"/>
    <n v="7"/>
    <n v="7"/>
    <n v="1"/>
    <n v="7"/>
  </r>
  <r>
    <n v="40"/>
    <x v="1"/>
    <n v="0"/>
    <s v="Travel_Frequently"/>
    <n v="1"/>
    <n v="0"/>
    <n v="580"/>
    <s v="Sales"/>
    <n v="0"/>
    <n v="1"/>
    <n v="5"/>
    <n v="4"/>
    <s v="Life Sciences"/>
    <n v="1"/>
    <n v="0"/>
    <n v="0"/>
    <n v="0"/>
    <n v="0"/>
    <n v="4"/>
    <x v="1"/>
    <n v="0"/>
    <n v="48"/>
    <n v="2"/>
    <n v="3"/>
    <s v="Sales Executive"/>
    <n v="0"/>
    <n v="1"/>
    <n v="0"/>
    <n v="0"/>
    <n v="0"/>
    <n v="0"/>
    <n v="0"/>
    <n v="0"/>
    <x v="3"/>
    <s v="Married"/>
    <n v="0"/>
    <n v="1"/>
    <n v="10475"/>
    <n v="23772"/>
    <n v="5"/>
    <s v="Yes"/>
    <n v="1"/>
    <n v="21"/>
    <n v="4"/>
    <n v="3"/>
    <n v="1"/>
    <n v="20"/>
    <n v="2"/>
    <n v="3"/>
    <n v="18"/>
    <n v="13"/>
    <n v="1"/>
    <n v="12"/>
  </r>
  <r>
    <n v="53"/>
    <x v="1"/>
    <n v="0"/>
    <s v="Travel_Rarely"/>
    <n v="0"/>
    <n v="1"/>
    <n v="970"/>
    <s v="Research &amp; Development"/>
    <n v="1"/>
    <n v="0"/>
    <n v="7"/>
    <n v="3"/>
    <s v="Life Sciences"/>
    <n v="1"/>
    <n v="0"/>
    <n v="0"/>
    <n v="0"/>
    <n v="0"/>
    <n v="3"/>
    <x v="1"/>
    <n v="0"/>
    <n v="59"/>
    <n v="4"/>
    <n v="4"/>
    <s v="Research Director"/>
    <n v="0"/>
    <n v="0"/>
    <n v="0"/>
    <n v="0"/>
    <n v="0"/>
    <n v="0"/>
    <n v="0"/>
    <n v="0"/>
    <x v="2"/>
    <s v="Married"/>
    <n v="0"/>
    <n v="1"/>
    <n v="14814"/>
    <n v="13514"/>
    <n v="3"/>
    <s v="No"/>
    <n v="0"/>
    <n v="19"/>
    <n v="3"/>
    <n v="3"/>
    <n v="0"/>
    <n v="32"/>
    <n v="3"/>
    <n v="3"/>
    <n v="5"/>
    <n v="1"/>
    <n v="1"/>
    <n v="3"/>
  </r>
  <r>
    <n v="41"/>
    <x v="1"/>
    <n v="0"/>
    <s v="Travel_Rarely"/>
    <n v="0"/>
    <n v="1"/>
    <n v="427"/>
    <s v="Human Resources"/>
    <n v="0"/>
    <n v="0"/>
    <n v="10"/>
    <n v="4"/>
    <s v="Human Resources"/>
    <n v="0"/>
    <n v="0"/>
    <n v="0"/>
    <n v="0"/>
    <n v="0"/>
    <n v="2"/>
    <x v="1"/>
    <n v="0"/>
    <n v="73"/>
    <n v="2"/>
    <n v="5"/>
    <s v="Manager"/>
    <n v="0"/>
    <n v="0"/>
    <n v="0"/>
    <n v="1"/>
    <n v="0"/>
    <n v="0"/>
    <n v="0"/>
    <n v="0"/>
    <x v="0"/>
    <s v="Divorced"/>
    <n v="0"/>
    <n v="0"/>
    <n v="19141"/>
    <n v="8861"/>
    <n v="3"/>
    <s v="No"/>
    <n v="0"/>
    <n v="15"/>
    <n v="3"/>
    <n v="2"/>
    <n v="3"/>
    <n v="23"/>
    <n v="2"/>
    <n v="2"/>
    <n v="21"/>
    <n v="6"/>
    <n v="12"/>
    <n v="6"/>
  </r>
  <r>
    <n v="60"/>
    <x v="1"/>
    <n v="0"/>
    <s v="Travel_Rarely"/>
    <n v="0"/>
    <n v="1"/>
    <n v="1179"/>
    <s v="Sales"/>
    <n v="0"/>
    <n v="1"/>
    <n v="16"/>
    <n v="4"/>
    <s v="Marketing"/>
    <n v="0"/>
    <n v="0"/>
    <n v="0"/>
    <n v="1"/>
    <n v="0"/>
    <n v="1"/>
    <x v="1"/>
    <n v="0"/>
    <n v="84"/>
    <n v="3"/>
    <n v="2"/>
    <s v="Sales Executive"/>
    <n v="0"/>
    <n v="1"/>
    <n v="0"/>
    <n v="0"/>
    <n v="0"/>
    <n v="0"/>
    <n v="0"/>
    <n v="0"/>
    <x v="3"/>
    <s v="Single"/>
    <n v="1"/>
    <n v="0"/>
    <n v="5405"/>
    <n v="11924"/>
    <n v="8"/>
    <s v="No"/>
    <n v="0"/>
    <n v="14"/>
    <n v="3"/>
    <n v="4"/>
    <n v="0"/>
    <n v="10"/>
    <n v="1"/>
    <n v="3"/>
    <n v="2"/>
    <n v="2"/>
    <n v="2"/>
    <n v="2"/>
  </r>
  <r>
    <n v="27"/>
    <x v="1"/>
    <n v="0"/>
    <s v="Travel_Frequently"/>
    <n v="1"/>
    <n v="0"/>
    <n v="294"/>
    <s v="Research &amp; Development"/>
    <n v="1"/>
    <n v="0"/>
    <n v="10"/>
    <n v="2"/>
    <s v="Life Sciences"/>
    <n v="1"/>
    <n v="0"/>
    <n v="0"/>
    <n v="0"/>
    <n v="0"/>
    <n v="4"/>
    <x v="1"/>
    <n v="0"/>
    <n v="32"/>
    <n v="3"/>
    <n v="3"/>
    <s v="Manufacturing Director"/>
    <n v="0"/>
    <n v="0"/>
    <n v="0"/>
    <n v="0"/>
    <n v="1"/>
    <n v="1"/>
    <n v="0"/>
    <n v="0"/>
    <x v="3"/>
    <s v="Divorced"/>
    <n v="0"/>
    <n v="0"/>
    <n v="8793"/>
    <n v="4809"/>
    <n v="1"/>
    <s v="No"/>
    <n v="0"/>
    <n v="21"/>
    <n v="4"/>
    <n v="3"/>
    <n v="2"/>
    <n v="9"/>
    <n v="4"/>
    <n v="2"/>
    <n v="9"/>
    <n v="7"/>
    <n v="1"/>
    <n v="7"/>
  </r>
  <r>
    <n v="41"/>
    <x v="1"/>
    <n v="0"/>
    <s v="Travel_Rarely"/>
    <n v="0"/>
    <n v="1"/>
    <n v="314"/>
    <s v="Human Resources"/>
    <n v="0"/>
    <n v="0"/>
    <n v="1"/>
    <n v="3"/>
    <s v="Human Resources"/>
    <n v="0"/>
    <n v="0"/>
    <n v="0"/>
    <n v="0"/>
    <n v="0"/>
    <n v="4"/>
    <x v="1"/>
    <n v="0"/>
    <n v="59"/>
    <n v="2"/>
    <n v="5"/>
    <s v="Manager"/>
    <n v="0"/>
    <n v="0"/>
    <n v="0"/>
    <n v="1"/>
    <n v="0"/>
    <n v="0"/>
    <n v="0"/>
    <n v="0"/>
    <x v="2"/>
    <s v="Married"/>
    <n v="0"/>
    <n v="1"/>
    <n v="19189"/>
    <n v="19562"/>
    <n v="1"/>
    <s v="No"/>
    <n v="0"/>
    <n v="12"/>
    <n v="3"/>
    <n v="2"/>
    <n v="1"/>
    <n v="22"/>
    <n v="3"/>
    <n v="3"/>
    <n v="22"/>
    <n v="7"/>
    <n v="2"/>
    <n v="10"/>
  </r>
  <r>
    <n v="50"/>
    <x v="1"/>
    <n v="0"/>
    <s v="Travel_Rarely"/>
    <n v="0"/>
    <n v="1"/>
    <n v="316"/>
    <s v="Sales"/>
    <n v="0"/>
    <n v="1"/>
    <n v="8"/>
    <n v="4"/>
    <s v="Marketing"/>
    <n v="0"/>
    <n v="0"/>
    <n v="0"/>
    <n v="1"/>
    <n v="0"/>
    <n v="4"/>
    <x v="1"/>
    <n v="0"/>
    <n v="54"/>
    <n v="3"/>
    <n v="1"/>
    <s v="Sales Representative"/>
    <n v="0"/>
    <n v="0"/>
    <n v="0"/>
    <n v="0"/>
    <n v="0"/>
    <n v="0"/>
    <n v="1"/>
    <n v="0"/>
    <x v="1"/>
    <s v="Married"/>
    <n v="0"/>
    <n v="1"/>
    <n v="3875"/>
    <n v="9983"/>
    <n v="7"/>
    <s v="No"/>
    <n v="0"/>
    <n v="15"/>
    <n v="3"/>
    <n v="4"/>
    <n v="1"/>
    <n v="4"/>
    <n v="2"/>
    <n v="3"/>
    <n v="2"/>
    <n v="2"/>
    <n v="2"/>
    <n v="2"/>
  </r>
  <r>
    <n v="28"/>
    <x v="0"/>
    <n v="1"/>
    <s v="Travel_Rarely"/>
    <n v="0"/>
    <n v="1"/>
    <n v="654"/>
    <s v="Research &amp; Development"/>
    <n v="1"/>
    <n v="0"/>
    <n v="1"/>
    <n v="2"/>
    <s v="Life Sciences"/>
    <n v="1"/>
    <n v="0"/>
    <n v="0"/>
    <n v="0"/>
    <n v="0"/>
    <n v="1"/>
    <x v="0"/>
    <n v="1"/>
    <n v="67"/>
    <n v="1"/>
    <n v="1"/>
    <s v="Research Scientist"/>
    <n v="0"/>
    <n v="0"/>
    <n v="0"/>
    <n v="0"/>
    <n v="0"/>
    <n v="0"/>
    <n v="0"/>
    <n v="1"/>
    <x v="1"/>
    <s v="Single"/>
    <n v="1"/>
    <n v="0"/>
    <n v="2216"/>
    <n v="3872"/>
    <n v="7"/>
    <s v="Yes"/>
    <n v="1"/>
    <n v="13"/>
    <n v="3"/>
    <n v="4"/>
    <n v="0"/>
    <n v="10"/>
    <n v="4"/>
    <n v="3"/>
    <n v="7"/>
    <n v="7"/>
    <n v="3"/>
    <n v="7"/>
  </r>
  <r>
    <n v="36"/>
    <x v="1"/>
    <n v="0"/>
    <s v="Non-Travel"/>
    <n v="0"/>
    <n v="0"/>
    <n v="427"/>
    <s v="Research &amp; Development"/>
    <n v="1"/>
    <n v="0"/>
    <n v="8"/>
    <n v="3"/>
    <s v="Life Sciences"/>
    <n v="1"/>
    <n v="0"/>
    <n v="0"/>
    <n v="0"/>
    <n v="0"/>
    <n v="1"/>
    <x v="0"/>
    <n v="1"/>
    <n v="63"/>
    <n v="4"/>
    <n v="3"/>
    <s v="Research Director"/>
    <n v="0"/>
    <n v="0"/>
    <n v="0"/>
    <n v="0"/>
    <n v="0"/>
    <n v="0"/>
    <n v="0"/>
    <n v="0"/>
    <x v="3"/>
    <s v="Married"/>
    <n v="0"/>
    <n v="1"/>
    <n v="11713"/>
    <n v="20335"/>
    <n v="9"/>
    <s v="No"/>
    <n v="0"/>
    <n v="14"/>
    <n v="3"/>
    <n v="1"/>
    <n v="1"/>
    <n v="10"/>
    <n v="2"/>
    <n v="3"/>
    <n v="8"/>
    <n v="7"/>
    <n v="0"/>
    <n v="5"/>
  </r>
  <r>
    <n v="38"/>
    <x v="1"/>
    <n v="0"/>
    <s v="Travel_Rarely"/>
    <n v="0"/>
    <n v="1"/>
    <n v="168"/>
    <s v="Research &amp; Development"/>
    <n v="1"/>
    <n v="0"/>
    <n v="1"/>
    <n v="3"/>
    <s v="Life Sciences"/>
    <n v="1"/>
    <n v="0"/>
    <n v="0"/>
    <n v="0"/>
    <n v="0"/>
    <n v="3"/>
    <x v="0"/>
    <n v="1"/>
    <n v="81"/>
    <n v="3"/>
    <n v="3"/>
    <s v="Manufacturing Director"/>
    <n v="0"/>
    <n v="0"/>
    <n v="0"/>
    <n v="0"/>
    <n v="1"/>
    <n v="1"/>
    <n v="0"/>
    <n v="0"/>
    <x v="2"/>
    <s v="Single"/>
    <n v="1"/>
    <n v="0"/>
    <n v="7861"/>
    <n v="15397"/>
    <n v="4"/>
    <s v="Yes"/>
    <n v="1"/>
    <n v="14"/>
    <n v="3"/>
    <n v="4"/>
    <n v="0"/>
    <n v="10"/>
    <n v="4"/>
    <n v="4"/>
    <n v="1"/>
    <n v="0"/>
    <n v="0"/>
    <n v="0"/>
  </r>
  <r>
    <n v="44"/>
    <x v="1"/>
    <n v="0"/>
    <s v="Non-Travel"/>
    <n v="0"/>
    <n v="0"/>
    <n v="381"/>
    <s v="Research &amp; Development"/>
    <n v="1"/>
    <n v="0"/>
    <n v="24"/>
    <n v="3"/>
    <s v="Medical"/>
    <n v="0"/>
    <n v="0"/>
    <n v="1"/>
    <n v="0"/>
    <n v="0"/>
    <n v="1"/>
    <x v="1"/>
    <n v="0"/>
    <n v="49"/>
    <n v="1"/>
    <n v="1"/>
    <s v="Laboratory Technician"/>
    <n v="0"/>
    <n v="0"/>
    <n v="1"/>
    <n v="0"/>
    <n v="0"/>
    <n v="0"/>
    <n v="0"/>
    <n v="0"/>
    <x v="2"/>
    <s v="Single"/>
    <n v="1"/>
    <n v="0"/>
    <n v="3708"/>
    <n v="2104"/>
    <n v="2"/>
    <s v="No"/>
    <n v="0"/>
    <n v="14"/>
    <n v="3"/>
    <n v="3"/>
    <n v="0"/>
    <n v="9"/>
    <n v="5"/>
    <n v="3"/>
    <n v="5"/>
    <n v="2"/>
    <n v="1"/>
    <n v="4"/>
  </r>
  <r>
    <n v="47"/>
    <x v="1"/>
    <n v="0"/>
    <s v="Travel_Frequently"/>
    <n v="1"/>
    <n v="0"/>
    <n v="217"/>
    <s v="Sales"/>
    <n v="0"/>
    <n v="1"/>
    <n v="3"/>
    <n v="3"/>
    <s v="Medical"/>
    <n v="0"/>
    <n v="0"/>
    <n v="1"/>
    <n v="0"/>
    <n v="0"/>
    <n v="4"/>
    <x v="0"/>
    <n v="1"/>
    <n v="49"/>
    <n v="3"/>
    <n v="4"/>
    <s v="Sales Executive"/>
    <n v="0"/>
    <n v="1"/>
    <n v="0"/>
    <n v="0"/>
    <n v="0"/>
    <n v="0"/>
    <n v="0"/>
    <n v="0"/>
    <x v="2"/>
    <s v="Divorced"/>
    <n v="0"/>
    <n v="0"/>
    <n v="13770"/>
    <n v="10225"/>
    <n v="9"/>
    <s v="Yes"/>
    <n v="1"/>
    <n v="12"/>
    <n v="3"/>
    <n v="4"/>
    <n v="2"/>
    <n v="28"/>
    <n v="2"/>
    <n v="2"/>
    <n v="22"/>
    <n v="2"/>
    <n v="11"/>
    <n v="13"/>
  </r>
  <r>
    <n v="30"/>
    <x v="1"/>
    <n v="0"/>
    <s v="Travel_Rarely"/>
    <n v="0"/>
    <n v="1"/>
    <n v="501"/>
    <s v="Sales"/>
    <n v="0"/>
    <n v="1"/>
    <n v="27"/>
    <n v="5"/>
    <s v="Marketing"/>
    <n v="0"/>
    <n v="0"/>
    <n v="0"/>
    <n v="1"/>
    <n v="0"/>
    <n v="3"/>
    <x v="1"/>
    <n v="0"/>
    <n v="99"/>
    <n v="3"/>
    <n v="2"/>
    <s v="Sales Executive"/>
    <n v="0"/>
    <n v="1"/>
    <n v="0"/>
    <n v="0"/>
    <n v="0"/>
    <n v="0"/>
    <n v="0"/>
    <n v="0"/>
    <x v="0"/>
    <s v="Divorced"/>
    <n v="0"/>
    <n v="0"/>
    <n v="5304"/>
    <n v="25275"/>
    <n v="7"/>
    <s v="No"/>
    <n v="0"/>
    <n v="23"/>
    <n v="4"/>
    <n v="4"/>
    <n v="1"/>
    <n v="10"/>
    <n v="2"/>
    <n v="2"/>
    <n v="8"/>
    <n v="7"/>
    <n v="7"/>
    <n v="7"/>
  </r>
  <r>
    <n v="29"/>
    <x v="1"/>
    <n v="0"/>
    <s v="Travel_Rarely"/>
    <n v="0"/>
    <n v="1"/>
    <n v="1396"/>
    <s v="Sales"/>
    <n v="0"/>
    <n v="1"/>
    <n v="10"/>
    <n v="3"/>
    <s v="Life Sciences"/>
    <n v="1"/>
    <n v="0"/>
    <n v="0"/>
    <n v="0"/>
    <n v="0"/>
    <n v="3"/>
    <x v="1"/>
    <n v="0"/>
    <n v="99"/>
    <n v="3"/>
    <n v="1"/>
    <s v="Sales Representative"/>
    <n v="0"/>
    <n v="0"/>
    <n v="0"/>
    <n v="0"/>
    <n v="0"/>
    <n v="0"/>
    <n v="1"/>
    <n v="0"/>
    <x v="2"/>
    <s v="Single"/>
    <n v="1"/>
    <n v="0"/>
    <n v="2642"/>
    <n v="2755"/>
    <n v="1"/>
    <s v="No"/>
    <n v="0"/>
    <n v="11"/>
    <n v="3"/>
    <n v="3"/>
    <n v="0"/>
    <n v="1"/>
    <n v="6"/>
    <n v="3"/>
    <n v="1"/>
    <n v="0"/>
    <n v="0"/>
    <n v="0"/>
  </r>
  <r>
    <n v="42"/>
    <x v="0"/>
    <n v="1"/>
    <s v="Travel_Frequently"/>
    <n v="1"/>
    <n v="0"/>
    <n v="933"/>
    <s v="Research &amp; Development"/>
    <n v="1"/>
    <n v="0"/>
    <n v="19"/>
    <n v="3"/>
    <s v="Medical"/>
    <n v="0"/>
    <n v="0"/>
    <n v="1"/>
    <n v="0"/>
    <n v="0"/>
    <n v="3"/>
    <x v="1"/>
    <n v="0"/>
    <n v="57"/>
    <n v="4"/>
    <n v="1"/>
    <s v="Research Scientist"/>
    <n v="0"/>
    <n v="0"/>
    <n v="0"/>
    <n v="0"/>
    <n v="0"/>
    <n v="0"/>
    <n v="0"/>
    <n v="1"/>
    <x v="2"/>
    <s v="Divorced"/>
    <n v="0"/>
    <n v="0"/>
    <n v="2759"/>
    <n v="20366"/>
    <n v="6"/>
    <s v="Yes"/>
    <n v="1"/>
    <n v="12"/>
    <n v="3"/>
    <n v="4"/>
    <n v="0"/>
    <n v="7"/>
    <n v="2"/>
    <n v="3"/>
    <n v="2"/>
    <n v="2"/>
    <n v="2"/>
    <n v="2"/>
  </r>
  <r>
    <n v="43"/>
    <x v="1"/>
    <n v="0"/>
    <s v="Travel_Frequently"/>
    <n v="1"/>
    <n v="0"/>
    <n v="775"/>
    <s v="Sales"/>
    <n v="0"/>
    <n v="1"/>
    <n v="15"/>
    <n v="3"/>
    <s v="Life Sciences"/>
    <n v="1"/>
    <n v="0"/>
    <n v="0"/>
    <n v="0"/>
    <n v="0"/>
    <n v="4"/>
    <x v="1"/>
    <n v="0"/>
    <n v="47"/>
    <n v="2"/>
    <n v="2"/>
    <s v="Sales Executive"/>
    <n v="0"/>
    <n v="1"/>
    <n v="0"/>
    <n v="0"/>
    <n v="0"/>
    <n v="0"/>
    <n v="0"/>
    <n v="0"/>
    <x v="0"/>
    <s v="Married"/>
    <n v="0"/>
    <n v="1"/>
    <n v="6804"/>
    <n v="23683"/>
    <n v="3"/>
    <s v="No"/>
    <n v="0"/>
    <n v="18"/>
    <n v="3"/>
    <n v="3"/>
    <n v="1"/>
    <n v="7"/>
    <n v="5"/>
    <n v="3"/>
    <n v="2"/>
    <n v="2"/>
    <n v="2"/>
    <n v="2"/>
  </r>
  <r>
    <n v="34"/>
    <x v="1"/>
    <n v="0"/>
    <s v="Travel_Rarely"/>
    <n v="0"/>
    <n v="1"/>
    <n v="970"/>
    <s v="Research &amp; Development"/>
    <n v="1"/>
    <n v="0"/>
    <n v="8"/>
    <n v="2"/>
    <s v="Medical"/>
    <n v="0"/>
    <n v="0"/>
    <n v="1"/>
    <n v="0"/>
    <n v="0"/>
    <n v="2"/>
    <x v="0"/>
    <n v="1"/>
    <n v="96"/>
    <n v="3"/>
    <n v="2"/>
    <s v="Healthcare Representative"/>
    <n v="1"/>
    <n v="0"/>
    <n v="0"/>
    <n v="0"/>
    <n v="0"/>
    <n v="0"/>
    <n v="0"/>
    <n v="0"/>
    <x v="2"/>
    <s v="Single"/>
    <n v="1"/>
    <n v="0"/>
    <n v="6142"/>
    <n v="7360"/>
    <n v="3"/>
    <s v="No"/>
    <n v="0"/>
    <n v="11"/>
    <n v="3"/>
    <n v="4"/>
    <n v="0"/>
    <n v="10"/>
    <n v="2"/>
    <n v="3"/>
    <n v="5"/>
    <n v="1"/>
    <n v="4"/>
    <n v="3"/>
  </r>
  <r>
    <n v="23"/>
    <x v="1"/>
    <n v="0"/>
    <s v="Travel_Rarely"/>
    <n v="0"/>
    <n v="1"/>
    <n v="650"/>
    <s v="Research &amp; Development"/>
    <n v="1"/>
    <n v="0"/>
    <n v="9"/>
    <n v="1"/>
    <s v="Medical"/>
    <n v="0"/>
    <n v="0"/>
    <n v="1"/>
    <n v="0"/>
    <n v="0"/>
    <n v="2"/>
    <x v="1"/>
    <n v="0"/>
    <n v="37"/>
    <n v="3"/>
    <n v="1"/>
    <s v="Laboratory Technician"/>
    <n v="0"/>
    <n v="0"/>
    <n v="1"/>
    <n v="0"/>
    <n v="0"/>
    <n v="0"/>
    <n v="0"/>
    <n v="0"/>
    <x v="3"/>
    <s v="Married"/>
    <n v="0"/>
    <n v="1"/>
    <n v="2500"/>
    <n v="4344"/>
    <n v="1"/>
    <s v="No"/>
    <n v="0"/>
    <n v="14"/>
    <n v="3"/>
    <n v="4"/>
    <n v="1"/>
    <n v="5"/>
    <n v="2"/>
    <n v="4"/>
    <n v="4"/>
    <n v="3"/>
    <n v="0"/>
    <n v="2"/>
  </r>
  <r>
    <n v="39"/>
    <x v="1"/>
    <n v="0"/>
    <s v="Travel_Rarely"/>
    <n v="0"/>
    <n v="1"/>
    <n v="141"/>
    <s v="Human Resources"/>
    <n v="0"/>
    <n v="0"/>
    <n v="3"/>
    <n v="3"/>
    <s v="Human Resources"/>
    <n v="0"/>
    <n v="0"/>
    <n v="0"/>
    <n v="0"/>
    <n v="0"/>
    <n v="3"/>
    <x v="0"/>
    <n v="1"/>
    <n v="44"/>
    <n v="4"/>
    <n v="2"/>
    <s v="Human Resources"/>
    <n v="0"/>
    <n v="0"/>
    <n v="0"/>
    <n v="0"/>
    <n v="0"/>
    <n v="0"/>
    <n v="0"/>
    <n v="0"/>
    <x v="1"/>
    <s v="Married"/>
    <n v="0"/>
    <n v="1"/>
    <n v="6389"/>
    <n v="18767"/>
    <n v="9"/>
    <s v="No"/>
    <n v="0"/>
    <n v="15"/>
    <n v="3"/>
    <n v="3"/>
    <n v="1"/>
    <n v="12"/>
    <n v="3"/>
    <n v="1"/>
    <n v="8"/>
    <n v="3"/>
    <n v="3"/>
    <n v="6"/>
  </r>
  <r>
    <n v="56"/>
    <x v="1"/>
    <n v="0"/>
    <s v="Travel_Rarely"/>
    <n v="0"/>
    <n v="1"/>
    <n v="832"/>
    <s v="Research &amp; Development"/>
    <n v="1"/>
    <n v="0"/>
    <n v="9"/>
    <n v="3"/>
    <s v="Medical"/>
    <n v="0"/>
    <n v="0"/>
    <n v="1"/>
    <n v="0"/>
    <n v="0"/>
    <n v="3"/>
    <x v="1"/>
    <n v="0"/>
    <n v="81"/>
    <n v="3"/>
    <n v="4"/>
    <s v="Healthcare Representative"/>
    <n v="1"/>
    <n v="0"/>
    <n v="0"/>
    <n v="0"/>
    <n v="0"/>
    <n v="0"/>
    <n v="0"/>
    <n v="0"/>
    <x v="0"/>
    <s v="Married"/>
    <n v="0"/>
    <n v="1"/>
    <n v="11103"/>
    <n v="20420"/>
    <n v="7"/>
    <s v="No"/>
    <n v="0"/>
    <n v="11"/>
    <n v="3"/>
    <n v="3"/>
    <n v="0"/>
    <n v="30"/>
    <n v="1"/>
    <n v="2"/>
    <n v="10"/>
    <n v="7"/>
    <n v="1"/>
    <n v="1"/>
  </r>
  <r>
    <n v="40"/>
    <x v="1"/>
    <n v="0"/>
    <s v="Travel_Rarely"/>
    <n v="0"/>
    <n v="1"/>
    <n v="804"/>
    <s v="Research &amp; Development"/>
    <n v="1"/>
    <n v="0"/>
    <n v="2"/>
    <n v="1"/>
    <s v="Medical"/>
    <n v="0"/>
    <n v="0"/>
    <n v="1"/>
    <n v="0"/>
    <n v="0"/>
    <n v="4"/>
    <x v="0"/>
    <n v="1"/>
    <n v="86"/>
    <n v="2"/>
    <n v="1"/>
    <s v="Research Scientist"/>
    <n v="0"/>
    <n v="0"/>
    <n v="0"/>
    <n v="0"/>
    <n v="0"/>
    <n v="0"/>
    <n v="0"/>
    <n v="1"/>
    <x v="0"/>
    <s v="Single"/>
    <n v="1"/>
    <n v="0"/>
    <n v="2342"/>
    <n v="22929"/>
    <n v="0"/>
    <s v="Yes"/>
    <n v="1"/>
    <n v="20"/>
    <n v="4"/>
    <n v="4"/>
    <n v="0"/>
    <n v="5"/>
    <n v="2"/>
    <n v="2"/>
    <n v="4"/>
    <n v="2"/>
    <n v="2"/>
    <n v="3"/>
  </r>
  <r>
    <n v="27"/>
    <x v="1"/>
    <n v="0"/>
    <s v="Travel_Rarely"/>
    <n v="0"/>
    <n v="1"/>
    <n v="975"/>
    <s v="Research &amp; Development"/>
    <n v="1"/>
    <n v="0"/>
    <n v="7"/>
    <n v="3"/>
    <s v="Medical"/>
    <n v="0"/>
    <n v="0"/>
    <n v="1"/>
    <n v="0"/>
    <n v="0"/>
    <n v="4"/>
    <x v="0"/>
    <n v="1"/>
    <n v="55"/>
    <n v="2"/>
    <n v="2"/>
    <s v="Healthcare Representative"/>
    <n v="1"/>
    <n v="0"/>
    <n v="0"/>
    <n v="0"/>
    <n v="0"/>
    <n v="0"/>
    <n v="0"/>
    <n v="0"/>
    <x v="3"/>
    <s v="Single"/>
    <n v="1"/>
    <n v="0"/>
    <n v="6811"/>
    <n v="23398"/>
    <n v="8"/>
    <s v="No"/>
    <n v="0"/>
    <n v="19"/>
    <n v="3"/>
    <n v="1"/>
    <n v="0"/>
    <n v="9"/>
    <n v="2"/>
    <n v="1"/>
    <n v="7"/>
    <n v="6"/>
    <n v="0"/>
    <n v="7"/>
  </r>
  <r>
    <n v="29"/>
    <x v="1"/>
    <n v="0"/>
    <s v="Travel_Rarely"/>
    <n v="0"/>
    <n v="1"/>
    <n v="1090"/>
    <s v="Sales"/>
    <n v="0"/>
    <n v="1"/>
    <n v="10"/>
    <n v="3"/>
    <s v="Marketing"/>
    <n v="0"/>
    <n v="0"/>
    <n v="0"/>
    <n v="1"/>
    <n v="0"/>
    <n v="4"/>
    <x v="1"/>
    <n v="0"/>
    <n v="83"/>
    <n v="3"/>
    <n v="1"/>
    <s v="Sales Representative"/>
    <n v="0"/>
    <n v="0"/>
    <n v="0"/>
    <n v="0"/>
    <n v="0"/>
    <n v="0"/>
    <n v="1"/>
    <n v="0"/>
    <x v="1"/>
    <s v="Divorced"/>
    <n v="0"/>
    <n v="0"/>
    <n v="2297"/>
    <n v="17967"/>
    <n v="1"/>
    <s v="No"/>
    <n v="0"/>
    <n v="14"/>
    <n v="3"/>
    <n v="4"/>
    <n v="2"/>
    <n v="2"/>
    <n v="2"/>
    <n v="3"/>
    <n v="2"/>
    <n v="2"/>
    <n v="2"/>
    <n v="2"/>
  </r>
  <r>
    <n v="53"/>
    <x v="1"/>
    <n v="0"/>
    <s v="Travel_Rarely"/>
    <n v="0"/>
    <n v="1"/>
    <n v="346"/>
    <s v="Research &amp; Development"/>
    <n v="1"/>
    <n v="0"/>
    <n v="6"/>
    <n v="3"/>
    <s v="Life Sciences"/>
    <n v="1"/>
    <n v="0"/>
    <n v="0"/>
    <n v="0"/>
    <n v="0"/>
    <n v="4"/>
    <x v="1"/>
    <n v="0"/>
    <n v="86"/>
    <n v="3"/>
    <n v="2"/>
    <s v="Laboratory Technician"/>
    <n v="0"/>
    <n v="0"/>
    <n v="1"/>
    <n v="0"/>
    <n v="0"/>
    <n v="0"/>
    <n v="0"/>
    <n v="0"/>
    <x v="0"/>
    <s v="Single"/>
    <n v="1"/>
    <n v="0"/>
    <n v="2450"/>
    <n v="10919"/>
    <n v="2"/>
    <s v="No"/>
    <n v="0"/>
    <n v="17"/>
    <n v="3"/>
    <n v="4"/>
    <n v="0"/>
    <n v="19"/>
    <n v="4"/>
    <n v="3"/>
    <n v="2"/>
    <n v="2"/>
    <n v="2"/>
    <n v="2"/>
  </r>
  <r>
    <n v="35"/>
    <x v="1"/>
    <n v="0"/>
    <s v="Non-Travel"/>
    <n v="0"/>
    <n v="0"/>
    <n v="1225"/>
    <s v="Research &amp; Development"/>
    <n v="1"/>
    <n v="0"/>
    <n v="2"/>
    <n v="4"/>
    <s v="Life Sciences"/>
    <n v="1"/>
    <n v="0"/>
    <n v="0"/>
    <n v="0"/>
    <n v="0"/>
    <n v="4"/>
    <x v="0"/>
    <n v="1"/>
    <n v="61"/>
    <n v="3"/>
    <n v="2"/>
    <s v="Healthcare Representative"/>
    <n v="1"/>
    <n v="0"/>
    <n v="0"/>
    <n v="0"/>
    <n v="0"/>
    <n v="0"/>
    <n v="0"/>
    <n v="0"/>
    <x v="3"/>
    <s v="Divorced"/>
    <n v="0"/>
    <n v="0"/>
    <n v="5093"/>
    <n v="4761"/>
    <n v="2"/>
    <s v="No"/>
    <n v="0"/>
    <n v="11"/>
    <n v="3"/>
    <n v="1"/>
    <n v="1"/>
    <n v="16"/>
    <n v="2"/>
    <n v="4"/>
    <n v="1"/>
    <n v="0"/>
    <n v="0"/>
    <n v="0"/>
  </r>
  <r>
    <n v="32"/>
    <x v="1"/>
    <n v="0"/>
    <s v="Travel_Frequently"/>
    <n v="1"/>
    <n v="0"/>
    <n v="430"/>
    <s v="Research &amp; Development"/>
    <n v="1"/>
    <n v="0"/>
    <n v="24"/>
    <n v="4"/>
    <s v="Life Sciences"/>
    <n v="1"/>
    <n v="0"/>
    <n v="0"/>
    <n v="0"/>
    <n v="0"/>
    <n v="1"/>
    <x v="1"/>
    <n v="0"/>
    <n v="80"/>
    <n v="3"/>
    <n v="2"/>
    <s v="Laboratory Technician"/>
    <n v="0"/>
    <n v="0"/>
    <n v="1"/>
    <n v="0"/>
    <n v="0"/>
    <n v="0"/>
    <n v="0"/>
    <n v="0"/>
    <x v="0"/>
    <s v="Married"/>
    <n v="0"/>
    <n v="1"/>
    <n v="5309"/>
    <n v="21146"/>
    <n v="1"/>
    <s v="No"/>
    <n v="0"/>
    <n v="15"/>
    <n v="3"/>
    <n v="4"/>
    <n v="2"/>
    <n v="10"/>
    <n v="2"/>
    <n v="3"/>
    <n v="10"/>
    <n v="8"/>
    <n v="4"/>
    <n v="7"/>
  </r>
  <r>
    <n v="38"/>
    <x v="1"/>
    <n v="0"/>
    <s v="Travel_Rarely"/>
    <n v="0"/>
    <n v="1"/>
    <n v="268"/>
    <s v="Research &amp; Development"/>
    <n v="1"/>
    <n v="0"/>
    <n v="2"/>
    <n v="5"/>
    <s v="Medical"/>
    <n v="0"/>
    <n v="0"/>
    <n v="1"/>
    <n v="0"/>
    <n v="0"/>
    <n v="4"/>
    <x v="1"/>
    <n v="0"/>
    <n v="92"/>
    <n v="3"/>
    <n v="1"/>
    <s v="Research Scientist"/>
    <n v="0"/>
    <n v="0"/>
    <n v="0"/>
    <n v="0"/>
    <n v="0"/>
    <n v="0"/>
    <n v="0"/>
    <n v="1"/>
    <x v="2"/>
    <s v="Married"/>
    <n v="0"/>
    <n v="1"/>
    <n v="3057"/>
    <n v="20471"/>
    <n v="6"/>
    <s v="Yes"/>
    <n v="1"/>
    <n v="13"/>
    <n v="3"/>
    <n v="2"/>
    <n v="1"/>
    <n v="6"/>
    <n v="0"/>
    <n v="1"/>
    <n v="1"/>
    <n v="0"/>
    <n v="0"/>
    <n v="1"/>
  </r>
  <r>
    <n v="34"/>
    <x v="1"/>
    <n v="0"/>
    <s v="Travel_Rarely"/>
    <n v="0"/>
    <n v="1"/>
    <n v="167"/>
    <s v="Research &amp; Development"/>
    <n v="1"/>
    <n v="0"/>
    <n v="8"/>
    <n v="5"/>
    <s v="Life Sciences"/>
    <n v="1"/>
    <n v="0"/>
    <n v="0"/>
    <n v="0"/>
    <n v="0"/>
    <n v="2"/>
    <x v="0"/>
    <n v="1"/>
    <n v="32"/>
    <n v="3"/>
    <n v="2"/>
    <s v="Manufacturing Director"/>
    <n v="0"/>
    <n v="0"/>
    <n v="0"/>
    <n v="0"/>
    <n v="1"/>
    <n v="1"/>
    <n v="0"/>
    <n v="0"/>
    <x v="3"/>
    <s v="Divorced"/>
    <n v="0"/>
    <n v="0"/>
    <n v="5121"/>
    <n v="4187"/>
    <n v="3"/>
    <s v="No"/>
    <n v="0"/>
    <n v="14"/>
    <n v="3"/>
    <n v="3"/>
    <n v="1"/>
    <n v="7"/>
    <n v="3"/>
    <n v="3"/>
    <n v="0"/>
    <n v="0"/>
    <n v="0"/>
    <n v="0"/>
  </r>
  <r>
    <n v="52"/>
    <x v="1"/>
    <n v="0"/>
    <s v="Travel_Rarely"/>
    <n v="0"/>
    <n v="1"/>
    <n v="621"/>
    <s v="Sales"/>
    <n v="0"/>
    <n v="1"/>
    <n v="3"/>
    <n v="4"/>
    <s v="Marketing"/>
    <n v="0"/>
    <n v="0"/>
    <n v="0"/>
    <n v="1"/>
    <n v="0"/>
    <n v="3"/>
    <x v="1"/>
    <n v="0"/>
    <n v="31"/>
    <n v="2"/>
    <n v="4"/>
    <s v="Manager"/>
    <n v="0"/>
    <n v="0"/>
    <n v="0"/>
    <n v="1"/>
    <n v="0"/>
    <n v="0"/>
    <n v="0"/>
    <n v="0"/>
    <x v="3"/>
    <s v="Married"/>
    <n v="0"/>
    <n v="1"/>
    <n v="16856"/>
    <n v="10084"/>
    <n v="1"/>
    <s v="No"/>
    <n v="0"/>
    <n v="11"/>
    <n v="3"/>
    <n v="1"/>
    <n v="0"/>
    <n v="34"/>
    <n v="3"/>
    <n v="4"/>
    <n v="34"/>
    <n v="6"/>
    <n v="1"/>
    <n v="16"/>
  </r>
  <r>
    <n v="33"/>
    <x v="0"/>
    <n v="1"/>
    <s v="Travel_Rarely"/>
    <n v="0"/>
    <n v="1"/>
    <n v="527"/>
    <s v="Research &amp; Development"/>
    <n v="1"/>
    <n v="0"/>
    <n v="1"/>
    <n v="4"/>
    <s v="Other"/>
    <n v="0"/>
    <n v="1"/>
    <n v="0"/>
    <n v="0"/>
    <n v="0"/>
    <n v="4"/>
    <x v="1"/>
    <n v="0"/>
    <n v="63"/>
    <n v="3"/>
    <n v="1"/>
    <s v="Research Scientist"/>
    <n v="0"/>
    <n v="0"/>
    <n v="0"/>
    <n v="0"/>
    <n v="0"/>
    <n v="0"/>
    <n v="0"/>
    <n v="1"/>
    <x v="0"/>
    <s v="Single"/>
    <n v="1"/>
    <n v="0"/>
    <n v="2686"/>
    <n v="5207"/>
    <n v="1"/>
    <s v="Yes"/>
    <n v="1"/>
    <n v="13"/>
    <n v="3"/>
    <n v="3"/>
    <n v="0"/>
    <n v="10"/>
    <n v="2"/>
    <n v="2"/>
    <n v="10"/>
    <n v="9"/>
    <n v="7"/>
    <n v="8"/>
  </r>
  <r>
    <n v="25"/>
    <x v="1"/>
    <n v="0"/>
    <s v="Travel_Rarely"/>
    <n v="0"/>
    <n v="1"/>
    <n v="883"/>
    <s v="Sales"/>
    <n v="0"/>
    <n v="1"/>
    <n v="26"/>
    <n v="1"/>
    <s v="Medical"/>
    <n v="0"/>
    <n v="0"/>
    <n v="1"/>
    <n v="0"/>
    <n v="0"/>
    <n v="3"/>
    <x v="0"/>
    <n v="1"/>
    <n v="32"/>
    <n v="3"/>
    <n v="2"/>
    <s v="Sales Executive"/>
    <n v="0"/>
    <n v="1"/>
    <n v="0"/>
    <n v="0"/>
    <n v="0"/>
    <n v="0"/>
    <n v="0"/>
    <n v="0"/>
    <x v="0"/>
    <s v="Single"/>
    <n v="1"/>
    <n v="0"/>
    <n v="6180"/>
    <n v="22807"/>
    <n v="1"/>
    <s v="No"/>
    <n v="0"/>
    <n v="23"/>
    <n v="4"/>
    <n v="2"/>
    <n v="0"/>
    <n v="6"/>
    <n v="5"/>
    <n v="2"/>
    <n v="6"/>
    <n v="5"/>
    <n v="1"/>
    <n v="4"/>
  </r>
  <r>
    <n v="45"/>
    <x v="1"/>
    <n v="0"/>
    <s v="Travel_Rarely"/>
    <n v="0"/>
    <n v="1"/>
    <n v="954"/>
    <s v="Sales"/>
    <n v="0"/>
    <n v="1"/>
    <n v="2"/>
    <n v="2"/>
    <s v="Technical Degree"/>
    <n v="0"/>
    <n v="0"/>
    <n v="0"/>
    <n v="0"/>
    <n v="1"/>
    <n v="2"/>
    <x v="1"/>
    <n v="0"/>
    <n v="46"/>
    <n v="1"/>
    <n v="2"/>
    <s v="Sales Representative"/>
    <n v="0"/>
    <n v="0"/>
    <n v="0"/>
    <n v="0"/>
    <n v="0"/>
    <n v="0"/>
    <n v="1"/>
    <n v="0"/>
    <x v="2"/>
    <s v="Single"/>
    <n v="1"/>
    <n v="0"/>
    <n v="6632"/>
    <n v="12388"/>
    <n v="0"/>
    <s v="No"/>
    <n v="0"/>
    <n v="13"/>
    <n v="3"/>
    <n v="1"/>
    <n v="0"/>
    <n v="9"/>
    <n v="3"/>
    <n v="3"/>
    <n v="8"/>
    <n v="7"/>
    <n v="3"/>
    <n v="1"/>
  </r>
  <r>
    <n v="23"/>
    <x v="1"/>
    <n v="0"/>
    <s v="Travel_Rarely"/>
    <n v="0"/>
    <n v="1"/>
    <n v="310"/>
    <s v="Research &amp; Development"/>
    <n v="1"/>
    <n v="0"/>
    <n v="10"/>
    <n v="1"/>
    <s v="Medical"/>
    <n v="0"/>
    <n v="0"/>
    <n v="1"/>
    <n v="0"/>
    <n v="0"/>
    <n v="1"/>
    <x v="1"/>
    <n v="0"/>
    <n v="79"/>
    <n v="4"/>
    <n v="1"/>
    <s v="Research Scientist"/>
    <n v="0"/>
    <n v="0"/>
    <n v="0"/>
    <n v="0"/>
    <n v="0"/>
    <n v="0"/>
    <n v="0"/>
    <n v="1"/>
    <x v="2"/>
    <s v="Single"/>
    <n v="1"/>
    <n v="0"/>
    <n v="3505"/>
    <n v="19630"/>
    <n v="1"/>
    <s v="No"/>
    <n v="0"/>
    <n v="18"/>
    <n v="3"/>
    <n v="4"/>
    <n v="0"/>
    <n v="2"/>
    <n v="3"/>
    <n v="3"/>
    <n v="2"/>
    <n v="2"/>
    <n v="0"/>
    <n v="2"/>
  </r>
  <r>
    <n v="47"/>
    <x v="0"/>
    <n v="1"/>
    <s v="Travel_Frequently"/>
    <n v="1"/>
    <n v="0"/>
    <n v="719"/>
    <s v="Sales"/>
    <n v="0"/>
    <n v="1"/>
    <n v="27"/>
    <n v="2"/>
    <s v="Life Sciences"/>
    <n v="1"/>
    <n v="0"/>
    <n v="0"/>
    <n v="0"/>
    <n v="0"/>
    <n v="2"/>
    <x v="0"/>
    <n v="1"/>
    <n v="77"/>
    <n v="4"/>
    <n v="2"/>
    <s v="Sales Executive"/>
    <n v="0"/>
    <n v="1"/>
    <n v="0"/>
    <n v="0"/>
    <n v="0"/>
    <n v="0"/>
    <n v="0"/>
    <n v="0"/>
    <x v="2"/>
    <s v="Single"/>
    <n v="1"/>
    <n v="0"/>
    <n v="6397"/>
    <n v="10339"/>
    <n v="4"/>
    <s v="Yes"/>
    <n v="1"/>
    <n v="12"/>
    <n v="3"/>
    <n v="4"/>
    <n v="0"/>
    <n v="8"/>
    <n v="2"/>
    <n v="3"/>
    <n v="5"/>
    <n v="4"/>
    <n v="1"/>
    <n v="3"/>
  </r>
  <r>
    <n v="34"/>
    <x v="1"/>
    <n v="0"/>
    <s v="Travel_Rarely"/>
    <n v="0"/>
    <n v="1"/>
    <n v="304"/>
    <s v="Sales"/>
    <n v="0"/>
    <n v="1"/>
    <n v="2"/>
    <n v="3"/>
    <s v="Other"/>
    <n v="0"/>
    <n v="1"/>
    <n v="0"/>
    <n v="0"/>
    <n v="0"/>
    <n v="4"/>
    <x v="1"/>
    <n v="0"/>
    <n v="60"/>
    <n v="3"/>
    <n v="2"/>
    <s v="Sales Executive"/>
    <n v="0"/>
    <n v="1"/>
    <n v="0"/>
    <n v="0"/>
    <n v="0"/>
    <n v="0"/>
    <n v="0"/>
    <n v="0"/>
    <x v="0"/>
    <s v="Single"/>
    <n v="1"/>
    <n v="0"/>
    <n v="6274"/>
    <n v="18686"/>
    <n v="1"/>
    <s v="No"/>
    <n v="0"/>
    <n v="22"/>
    <n v="4"/>
    <n v="3"/>
    <n v="0"/>
    <n v="6"/>
    <n v="5"/>
    <n v="3"/>
    <n v="6"/>
    <n v="5"/>
    <n v="1"/>
    <n v="4"/>
  </r>
  <r>
    <n v="55"/>
    <x v="0"/>
    <n v="1"/>
    <s v="Travel_Rarely"/>
    <n v="0"/>
    <n v="1"/>
    <n v="725"/>
    <s v="Research &amp; Development"/>
    <n v="1"/>
    <n v="0"/>
    <n v="2"/>
    <n v="3"/>
    <s v="Medical"/>
    <n v="0"/>
    <n v="0"/>
    <n v="1"/>
    <n v="0"/>
    <n v="0"/>
    <n v="4"/>
    <x v="1"/>
    <n v="0"/>
    <n v="78"/>
    <n v="3"/>
    <n v="5"/>
    <s v="Manager"/>
    <n v="0"/>
    <n v="0"/>
    <n v="0"/>
    <n v="1"/>
    <n v="0"/>
    <n v="0"/>
    <n v="0"/>
    <n v="0"/>
    <x v="3"/>
    <s v="Married"/>
    <n v="0"/>
    <n v="1"/>
    <n v="19859"/>
    <n v="21199"/>
    <n v="5"/>
    <s v="Yes"/>
    <n v="1"/>
    <n v="13"/>
    <n v="3"/>
    <n v="4"/>
    <n v="1"/>
    <n v="24"/>
    <n v="2"/>
    <n v="3"/>
    <n v="5"/>
    <n v="2"/>
    <n v="1"/>
    <n v="4"/>
  </r>
  <r>
    <n v="36"/>
    <x v="1"/>
    <n v="0"/>
    <s v="Non-Travel"/>
    <n v="0"/>
    <n v="0"/>
    <n v="1434"/>
    <s v="Sales"/>
    <n v="0"/>
    <n v="1"/>
    <n v="8"/>
    <n v="4"/>
    <s v="Life Sciences"/>
    <n v="1"/>
    <n v="0"/>
    <n v="0"/>
    <n v="0"/>
    <n v="0"/>
    <n v="1"/>
    <x v="1"/>
    <n v="0"/>
    <n v="76"/>
    <n v="2"/>
    <n v="3"/>
    <s v="Sales Executive"/>
    <n v="0"/>
    <n v="1"/>
    <n v="0"/>
    <n v="0"/>
    <n v="0"/>
    <n v="0"/>
    <n v="0"/>
    <n v="0"/>
    <x v="3"/>
    <s v="Single"/>
    <n v="1"/>
    <n v="0"/>
    <n v="7587"/>
    <n v="14229"/>
    <n v="1"/>
    <s v="No"/>
    <n v="0"/>
    <n v="15"/>
    <n v="3"/>
    <n v="2"/>
    <n v="0"/>
    <n v="10"/>
    <n v="1"/>
    <n v="3"/>
    <n v="10"/>
    <n v="7"/>
    <n v="0"/>
    <n v="9"/>
  </r>
  <r>
    <n v="52"/>
    <x v="1"/>
    <n v="0"/>
    <s v="Non-Travel"/>
    <n v="0"/>
    <n v="0"/>
    <n v="715"/>
    <s v="Research &amp; Development"/>
    <n v="1"/>
    <n v="0"/>
    <n v="19"/>
    <n v="4"/>
    <s v="Medical"/>
    <n v="0"/>
    <n v="0"/>
    <n v="1"/>
    <n v="0"/>
    <n v="0"/>
    <n v="4"/>
    <x v="1"/>
    <n v="0"/>
    <n v="41"/>
    <n v="3"/>
    <n v="1"/>
    <s v="Research Scientist"/>
    <n v="0"/>
    <n v="0"/>
    <n v="0"/>
    <n v="0"/>
    <n v="0"/>
    <n v="0"/>
    <n v="0"/>
    <n v="1"/>
    <x v="0"/>
    <s v="Married"/>
    <n v="0"/>
    <n v="1"/>
    <n v="4258"/>
    <n v="26589"/>
    <n v="0"/>
    <s v="No"/>
    <n v="0"/>
    <n v="18"/>
    <n v="3"/>
    <n v="1"/>
    <n v="1"/>
    <n v="5"/>
    <n v="3"/>
    <n v="3"/>
    <n v="4"/>
    <n v="3"/>
    <n v="1"/>
    <n v="2"/>
  </r>
  <r>
    <n v="26"/>
    <x v="1"/>
    <n v="0"/>
    <s v="Travel_Frequently"/>
    <n v="1"/>
    <n v="0"/>
    <n v="575"/>
    <s v="Research &amp; Development"/>
    <n v="1"/>
    <n v="0"/>
    <n v="1"/>
    <n v="2"/>
    <s v="Life Sciences"/>
    <n v="1"/>
    <n v="0"/>
    <n v="0"/>
    <n v="0"/>
    <n v="0"/>
    <n v="1"/>
    <x v="0"/>
    <n v="1"/>
    <n v="71"/>
    <n v="1"/>
    <n v="1"/>
    <s v="Laboratory Technician"/>
    <n v="0"/>
    <n v="0"/>
    <n v="1"/>
    <n v="0"/>
    <n v="0"/>
    <n v="0"/>
    <n v="0"/>
    <n v="0"/>
    <x v="0"/>
    <s v="Divorced"/>
    <n v="0"/>
    <n v="0"/>
    <n v="4364"/>
    <n v="5288"/>
    <n v="3"/>
    <s v="No"/>
    <n v="0"/>
    <n v="14"/>
    <n v="3"/>
    <n v="1"/>
    <n v="1"/>
    <n v="5"/>
    <n v="2"/>
    <n v="3"/>
    <n v="2"/>
    <n v="2"/>
    <n v="2"/>
    <n v="0"/>
  </r>
  <r>
    <n v="29"/>
    <x v="1"/>
    <n v="0"/>
    <s v="Travel_Rarely"/>
    <n v="0"/>
    <n v="1"/>
    <n v="657"/>
    <s v="Research &amp; Development"/>
    <n v="1"/>
    <n v="0"/>
    <n v="27"/>
    <n v="3"/>
    <s v="Medical"/>
    <n v="0"/>
    <n v="0"/>
    <n v="1"/>
    <n v="0"/>
    <n v="0"/>
    <n v="2"/>
    <x v="0"/>
    <n v="1"/>
    <n v="66"/>
    <n v="3"/>
    <n v="2"/>
    <s v="Healthcare Representative"/>
    <n v="1"/>
    <n v="0"/>
    <n v="0"/>
    <n v="0"/>
    <n v="0"/>
    <n v="0"/>
    <n v="0"/>
    <n v="0"/>
    <x v="2"/>
    <s v="Married"/>
    <n v="0"/>
    <n v="1"/>
    <n v="4335"/>
    <n v="25549"/>
    <n v="4"/>
    <s v="No"/>
    <n v="0"/>
    <n v="12"/>
    <n v="3"/>
    <n v="1"/>
    <n v="1"/>
    <n v="11"/>
    <n v="3"/>
    <n v="2"/>
    <n v="8"/>
    <n v="7"/>
    <n v="1"/>
    <n v="1"/>
  </r>
  <r>
    <n v="26"/>
    <x v="0"/>
    <n v="1"/>
    <s v="Travel_Rarely"/>
    <n v="0"/>
    <n v="1"/>
    <n v="1146"/>
    <s v="Sales"/>
    <n v="0"/>
    <n v="1"/>
    <n v="8"/>
    <n v="3"/>
    <s v="Technical Degree"/>
    <n v="0"/>
    <n v="0"/>
    <n v="0"/>
    <n v="0"/>
    <n v="1"/>
    <n v="4"/>
    <x v="1"/>
    <n v="0"/>
    <n v="38"/>
    <n v="2"/>
    <n v="2"/>
    <s v="Sales Executive"/>
    <n v="0"/>
    <n v="1"/>
    <n v="0"/>
    <n v="0"/>
    <n v="0"/>
    <n v="0"/>
    <n v="0"/>
    <n v="0"/>
    <x v="3"/>
    <s v="Single"/>
    <n v="1"/>
    <n v="0"/>
    <n v="5326"/>
    <n v="3064"/>
    <n v="6"/>
    <s v="No"/>
    <n v="0"/>
    <n v="17"/>
    <n v="3"/>
    <n v="3"/>
    <n v="0"/>
    <n v="6"/>
    <n v="2"/>
    <n v="2"/>
    <n v="4"/>
    <n v="3"/>
    <n v="1"/>
    <n v="2"/>
  </r>
  <r>
    <n v="34"/>
    <x v="1"/>
    <n v="0"/>
    <s v="Travel_Rarely"/>
    <n v="0"/>
    <n v="1"/>
    <n v="182"/>
    <s v="Research &amp; Development"/>
    <n v="1"/>
    <n v="0"/>
    <n v="1"/>
    <n v="4"/>
    <s v="Life Sciences"/>
    <n v="1"/>
    <n v="0"/>
    <n v="0"/>
    <n v="0"/>
    <n v="0"/>
    <n v="2"/>
    <x v="0"/>
    <n v="1"/>
    <n v="72"/>
    <n v="4"/>
    <n v="1"/>
    <s v="Research Scientist"/>
    <n v="0"/>
    <n v="0"/>
    <n v="0"/>
    <n v="0"/>
    <n v="0"/>
    <n v="0"/>
    <n v="0"/>
    <n v="1"/>
    <x v="0"/>
    <s v="Single"/>
    <n v="1"/>
    <n v="0"/>
    <n v="3280"/>
    <n v="13551"/>
    <n v="2"/>
    <s v="No"/>
    <n v="0"/>
    <n v="16"/>
    <n v="3"/>
    <n v="3"/>
    <n v="0"/>
    <n v="10"/>
    <n v="2"/>
    <n v="3"/>
    <n v="4"/>
    <n v="2"/>
    <n v="1"/>
    <n v="3"/>
  </r>
  <r>
    <n v="54"/>
    <x v="1"/>
    <n v="0"/>
    <s v="Travel_Rarely"/>
    <n v="0"/>
    <n v="1"/>
    <n v="376"/>
    <s v="Research &amp; Development"/>
    <n v="1"/>
    <n v="0"/>
    <n v="19"/>
    <n v="4"/>
    <s v="Medical"/>
    <n v="0"/>
    <n v="0"/>
    <n v="1"/>
    <n v="0"/>
    <n v="0"/>
    <n v="4"/>
    <x v="0"/>
    <n v="1"/>
    <n v="95"/>
    <n v="3"/>
    <n v="2"/>
    <s v="Manufacturing Director"/>
    <n v="0"/>
    <n v="0"/>
    <n v="0"/>
    <n v="0"/>
    <n v="1"/>
    <n v="1"/>
    <n v="0"/>
    <n v="0"/>
    <x v="3"/>
    <s v="Divorced"/>
    <n v="0"/>
    <n v="0"/>
    <n v="5485"/>
    <n v="22670"/>
    <n v="9"/>
    <s v="Yes"/>
    <n v="1"/>
    <n v="11"/>
    <n v="3"/>
    <n v="2"/>
    <n v="2"/>
    <n v="9"/>
    <n v="4"/>
    <n v="3"/>
    <n v="5"/>
    <n v="3"/>
    <n v="1"/>
    <n v="4"/>
  </r>
  <r>
    <n v="27"/>
    <x v="1"/>
    <n v="0"/>
    <s v="Travel_Frequently"/>
    <n v="1"/>
    <n v="0"/>
    <n v="829"/>
    <s v="Sales"/>
    <n v="0"/>
    <n v="1"/>
    <n v="8"/>
    <n v="1"/>
    <s v="Marketing"/>
    <n v="0"/>
    <n v="0"/>
    <n v="0"/>
    <n v="1"/>
    <n v="0"/>
    <n v="3"/>
    <x v="1"/>
    <n v="0"/>
    <n v="84"/>
    <n v="3"/>
    <n v="2"/>
    <s v="Sales Executive"/>
    <n v="0"/>
    <n v="1"/>
    <n v="0"/>
    <n v="0"/>
    <n v="0"/>
    <n v="0"/>
    <n v="0"/>
    <n v="0"/>
    <x v="0"/>
    <s v="Married"/>
    <n v="0"/>
    <n v="1"/>
    <n v="4342"/>
    <n v="24008"/>
    <n v="0"/>
    <s v="No"/>
    <n v="0"/>
    <n v="19"/>
    <n v="3"/>
    <n v="2"/>
    <n v="1"/>
    <n v="5"/>
    <n v="3"/>
    <n v="3"/>
    <n v="4"/>
    <n v="2"/>
    <n v="1"/>
    <n v="1"/>
  </r>
  <r>
    <n v="37"/>
    <x v="1"/>
    <n v="0"/>
    <s v="Travel_Rarely"/>
    <n v="0"/>
    <n v="1"/>
    <n v="571"/>
    <s v="Research &amp; Development"/>
    <n v="1"/>
    <n v="0"/>
    <n v="10"/>
    <n v="1"/>
    <s v="Life Sciences"/>
    <n v="1"/>
    <n v="0"/>
    <n v="0"/>
    <n v="0"/>
    <n v="0"/>
    <n v="4"/>
    <x v="0"/>
    <n v="1"/>
    <n v="82"/>
    <n v="3"/>
    <n v="1"/>
    <s v="Research Scientist"/>
    <n v="0"/>
    <n v="0"/>
    <n v="0"/>
    <n v="0"/>
    <n v="0"/>
    <n v="0"/>
    <n v="0"/>
    <n v="1"/>
    <x v="3"/>
    <s v="Divorced"/>
    <n v="0"/>
    <n v="0"/>
    <n v="2782"/>
    <n v="19905"/>
    <n v="0"/>
    <s v="Yes"/>
    <n v="1"/>
    <n v="13"/>
    <n v="3"/>
    <n v="2"/>
    <n v="2"/>
    <n v="6"/>
    <n v="3"/>
    <n v="2"/>
    <n v="5"/>
    <n v="3"/>
    <n v="4"/>
    <n v="3"/>
  </r>
  <r>
    <n v="38"/>
    <x v="1"/>
    <n v="0"/>
    <s v="Travel_Frequently"/>
    <n v="1"/>
    <n v="0"/>
    <n v="240"/>
    <s v="Research &amp; Development"/>
    <n v="1"/>
    <n v="0"/>
    <n v="2"/>
    <n v="4"/>
    <s v="Life Sciences"/>
    <n v="1"/>
    <n v="0"/>
    <n v="0"/>
    <n v="0"/>
    <n v="0"/>
    <n v="1"/>
    <x v="0"/>
    <n v="1"/>
    <n v="75"/>
    <n v="4"/>
    <n v="2"/>
    <s v="Manufacturing Director"/>
    <n v="0"/>
    <n v="0"/>
    <n v="0"/>
    <n v="0"/>
    <n v="1"/>
    <n v="1"/>
    <n v="0"/>
    <n v="0"/>
    <x v="3"/>
    <s v="Single"/>
    <n v="1"/>
    <n v="0"/>
    <n v="5980"/>
    <n v="26085"/>
    <n v="6"/>
    <s v="Yes"/>
    <n v="1"/>
    <n v="12"/>
    <n v="3"/>
    <n v="4"/>
    <n v="0"/>
    <n v="17"/>
    <n v="2"/>
    <n v="3"/>
    <n v="15"/>
    <n v="7"/>
    <n v="4"/>
    <n v="12"/>
  </r>
  <r>
    <n v="34"/>
    <x v="1"/>
    <n v="0"/>
    <s v="Travel_Rarely"/>
    <n v="0"/>
    <n v="1"/>
    <n v="121"/>
    <s v="Research &amp; Development"/>
    <n v="1"/>
    <n v="0"/>
    <n v="2"/>
    <n v="4"/>
    <s v="Medical"/>
    <n v="0"/>
    <n v="0"/>
    <n v="1"/>
    <n v="0"/>
    <n v="0"/>
    <n v="3"/>
    <x v="0"/>
    <n v="1"/>
    <n v="86"/>
    <n v="2"/>
    <n v="1"/>
    <s v="Research Scientist"/>
    <n v="0"/>
    <n v="0"/>
    <n v="0"/>
    <n v="0"/>
    <n v="0"/>
    <n v="0"/>
    <n v="0"/>
    <n v="1"/>
    <x v="3"/>
    <s v="Single"/>
    <n v="1"/>
    <n v="0"/>
    <n v="4381"/>
    <n v="7530"/>
    <n v="1"/>
    <s v="No"/>
    <n v="0"/>
    <n v="11"/>
    <n v="3"/>
    <n v="3"/>
    <n v="0"/>
    <n v="6"/>
    <n v="3"/>
    <n v="3"/>
    <n v="6"/>
    <n v="5"/>
    <n v="1"/>
    <n v="3"/>
  </r>
  <r>
    <n v="35"/>
    <x v="1"/>
    <n v="0"/>
    <s v="Travel_Rarely"/>
    <n v="0"/>
    <n v="1"/>
    <n v="384"/>
    <s v="Sales"/>
    <n v="0"/>
    <n v="1"/>
    <n v="8"/>
    <n v="4"/>
    <s v="Life Sciences"/>
    <n v="1"/>
    <n v="0"/>
    <n v="0"/>
    <n v="0"/>
    <n v="0"/>
    <n v="1"/>
    <x v="0"/>
    <n v="1"/>
    <n v="72"/>
    <n v="3"/>
    <n v="1"/>
    <s v="Sales Representative"/>
    <n v="0"/>
    <n v="0"/>
    <n v="0"/>
    <n v="0"/>
    <n v="0"/>
    <n v="0"/>
    <n v="1"/>
    <n v="0"/>
    <x v="0"/>
    <s v="Married"/>
    <n v="0"/>
    <n v="1"/>
    <n v="2572"/>
    <n v="20317"/>
    <n v="1"/>
    <s v="No"/>
    <n v="0"/>
    <n v="16"/>
    <n v="3"/>
    <n v="2"/>
    <n v="1"/>
    <n v="3"/>
    <n v="1"/>
    <n v="2"/>
    <n v="3"/>
    <n v="2"/>
    <n v="0"/>
    <n v="2"/>
  </r>
  <r>
    <n v="30"/>
    <x v="1"/>
    <n v="0"/>
    <s v="Travel_Rarely"/>
    <n v="0"/>
    <n v="1"/>
    <n v="921"/>
    <s v="Research &amp; Development"/>
    <n v="1"/>
    <n v="0"/>
    <n v="1"/>
    <n v="3"/>
    <s v="Life Sciences"/>
    <n v="1"/>
    <n v="0"/>
    <n v="0"/>
    <n v="0"/>
    <n v="0"/>
    <n v="4"/>
    <x v="1"/>
    <n v="0"/>
    <n v="38"/>
    <n v="1"/>
    <n v="1"/>
    <s v="Laboratory Technician"/>
    <n v="0"/>
    <n v="0"/>
    <n v="1"/>
    <n v="0"/>
    <n v="0"/>
    <n v="0"/>
    <n v="0"/>
    <n v="0"/>
    <x v="2"/>
    <s v="Married"/>
    <n v="0"/>
    <n v="1"/>
    <n v="3833"/>
    <n v="24375"/>
    <n v="3"/>
    <s v="No"/>
    <n v="0"/>
    <n v="21"/>
    <n v="4"/>
    <n v="3"/>
    <n v="2"/>
    <n v="7"/>
    <n v="2"/>
    <n v="3"/>
    <n v="2"/>
    <n v="2"/>
    <n v="0"/>
    <n v="2"/>
  </r>
  <r>
    <n v="40"/>
    <x v="1"/>
    <n v="0"/>
    <s v="Travel_Frequently"/>
    <n v="1"/>
    <n v="0"/>
    <n v="791"/>
    <s v="Research &amp; Development"/>
    <n v="1"/>
    <n v="0"/>
    <n v="2"/>
    <n v="2"/>
    <s v="Medical"/>
    <n v="0"/>
    <n v="0"/>
    <n v="1"/>
    <n v="0"/>
    <n v="0"/>
    <n v="3"/>
    <x v="0"/>
    <n v="1"/>
    <n v="38"/>
    <n v="4"/>
    <n v="2"/>
    <s v="Healthcare Representative"/>
    <n v="1"/>
    <n v="0"/>
    <n v="0"/>
    <n v="0"/>
    <n v="0"/>
    <n v="0"/>
    <n v="0"/>
    <n v="0"/>
    <x v="1"/>
    <s v="Married"/>
    <n v="0"/>
    <n v="1"/>
    <n v="4244"/>
    <n v="9931"/>
    <n v="1"/>
    <s v="No"/>
    <n v="0"/>
    <n v="24"/>
    <n v="4"/>
    <n v="4"/>
    <n v="1"/>
    <n v="8"/>
    <n v="2"/>
    <n v="3"/>
    <n v="8"/>
    <n v="7"/>
    <n v="3"/>
    <n v="7"/>
  </r>
  <r>
    <n v="34"/>
    <x v="1"/>
    <n v="0"/>
    <s v="Travel_Rarely"/>
    <n v="0"/>
    <n v="1"/>
    <n v="1111"/>
    <s v="Sales"/>
    <n v="0"/>
    <n v="1"/>
    <n v="8"/>
    <n v="2"/>
    <s v="Life Sciences"/>
    <n v="1"/>
    <n v="0"/>
    <n v="0"/>
    <n v="0"/>
    <n v="0"/>
    <n v="3"/>
    <x v="0"/>
    <n v="1"/>
    <n v="93"/>
    <n v="3"/>
    <n v="2"/>
    <s v="Sales Executive"/>
    <n v="0"/>
    <n v="1"/>
    <n v="0"/>
    <n v="0"/>
    <n v="0"/>
    <n v="0"/>
    <n v="0"/>
    <n v="0"/>
    <x v="3"/>
    <s v="Married"/>
    <n v="0"/>
    <n v="1"/>
    <n v="6500"/>
    <n v="13305"/>
    <n v="5"/>
    <s v="No"/>
    <n v="0"/>
    <n v="17"/>
    <n v="3"/>
    <n v="2"/>
    <n v="1"/>
    <n v="6"/>
    <n v="1"/>
    <n v="3"/>
    <n v="3"/>
    <n v="2"/>
    <n v="1"/>
    <n v="2"/>
  </r>
  <r>
    <n v="42"/>
    <x v="1"/>
    <n v="0"/>
    <s v="Travel_Frequently"/>
    <n v="1"/>
    <n v="0"/>
    <n v="570"/>
    <s v="Research &amp; Development"/>
    <n v="1"/>
    <n v="0"/>
    <n v="8"/>
    <n v="3"/>
    <s v="Life Sciences"/>
    <n v="1"/>
    <n v="0"/>
    <n v="0"/>
    <n v="0"/>
    <n v="0"/>
    <n v="2"/>
    <x v="1"/>
    <n v="0"/>
    <n v="66"/>
    <n v="3"/>
    <n v="5"/>
    <s v="Manager"/>
    <n v="0"/>
    <n v="0"/>
    <n v="0"/>
    <n v="1"/>
    <n v="0"/>
    <n v="0"/>
    <n v="0"/>
    <n v="0"/>
    <x v="0"/>
    <s v="Divorced"/>
    <n v="0"/>
    <n v="0"/>
    <n v="18430"/>
    <n v="16225"/>
    <n v="1"/>
    <s v="No"/>
    <n v="0"/>
    <n v="13"/>
    <n v="3"/>
    <n v="2"/>
    <n v="1"/>
    <n v="24"/>
    <n v="4"/>
    <n v="2"/>
    <n v="24"/>
    <n v="7"/>
    <n v="14"/>
    <n v="9"/>
  </r>
  <r>
    <n v="23"/>
    <x v="0"/>
    <n v="1"/>
    <s v="Travel_Rarely"/>
    <n v="0"/>
    <n v="1"/>
    <n v="1243"/>
    <s v="Research &amp; Development"/>
    <n v="1"/>
    <n v="0"/>
    <n v="6"/>
    <n v="3"/>
    <s v="Life Sciences"/>
    <n v="1"/>
    <n v="0"/>
    <n v="0"/>
    <n v="0"/>
    <n v="0"/>
    <n v="3"/>
    <x v="1"/>
    <n v="0"/>
    <n v="63"/>
    <n v="4"/>
    <n v="1"/>
    <s v="Laboratory Technician"/>
    <n v="0"/>
    <n v="0"/>
    <n v="1"/>
    <n v="0"/>
    <n v="0"/>
    <n v="0"/>
    <n v="0"/>
    <n v="0"/>
    <x v="3"/>
    <s v="Married"/>
    <n v="0"/>
    <n v="1"/>
    <n v="1601"/>
    <n v="3445"/>
    <n v="1"/>
    <s v="Yes"/>
    <n v="1"/>
    <n v="21"/>
    <n v="4"/>
    <n v="3"/>
    <n v="2"/>
    <n v="1"/>
    <n v="2"/>
    <n v="3"/>
    <n v="0"/>
    <n v="0"/>
    <n v="0"/>
    <n v="0"/>
  </r>
  <r>
    <n v="24"/>
    <x v="1"/>
    <n v="0"/>
    <s v="Non-Travel"/>
    <n v="0"/>
    <n v="0"/>
    <n v="1092"/>
    <s v="Research &amp; Development"/>
    <n v="1"/>
    <n v="0"/>
    <n v="9"/>
    <n v="3"/>
    <s v="Life Sciences"/>
    <n v="1"/>
    <n v="0"/>
    <n v="0"/>
    <n v="0"/>
    <n v="0"/>
    <n v="3"/>
    <x v="1"/>
    <n v="0"/>
    <n v="60"/>
    <n v="2"/>
    <n v="1"/>
    <s v="Laboratory Technician"/>
    <n v="0"/>
    <n v="0"/>
    <n v="1"/>
    <n v="0"/>
    <n v="0"/>
    <n v="0"/>
    <n v="0"/>
    <n v="0"/>
    <x v="1"/>
    <s v="Divorced"/>
    <n v="0"/>
    <n v="0"/>
    <n v="2694"/>
    <n v="26551"/>
    <n v="1"/>
    <s v="No"/>
    <n v="0"/>
    <n v="11"/>
    <n v="3"/>
    <n v="3"/>
    <n v="3"/>
    <n v="1"/>
    <n v="4"/>
    <n v="3"/>
    <n v="1"/>
    <n v="0"/>
    <n v="0"/>
    <n v="0"/>
  </r>
  <r>
    <n v="52"/>
    <x v="1"/>
    <n v="0"/>
    <s v="Travel_Rarely"/>
    <n v="0"/>
    <n v="1"/>
    <n v="1325"/>
    <s v="Research &amp; Development"/>
    <n v="1"/>
    <n v="0"/>
    <n v="11"/>
    <n v="4"/>
    <s v="Life Sciences"/>
    <n v="1"/>
    <n v="0"/>
    <n v="0"/>
    <n v="0"/>
    <n v="0"/>
    <n v="4"/>
    <x v="0"/>
    <n v="1"/>
    <n v="82"/>
    <n v="3"/>
    <n v="2"/>
    <s v="Laboratory Technician"/>
    <n v="0"/>
    <n v="0"/>
    <n v="1"/>
    <n v="0"/>
    <n v="0"/>
    <n v="0"/>
    <n v="0"/>
    <n v="0"/>
    <x v="2"/>
    <s v="Married"/>
    <n v="0"/>
    <n v="1"/>
    <n v="3149"/>
    <n v="21821"/>
    <n v="8"/>
    <s v="No"/>
    <n v="0"/>
    <n v="20"/>
    <n v="4"/>
    <n v="2"/>
    <n v="1"/>
    <n v="9"/>
    <n v="3"/>
    <n v="3"/>
    <n v="5"/>
    <n v="2"/>
    <n v="1"/>
    <n v="4"/>
  </r>
  <r>
    <n v="50"/>
    <x v="1"/>
    <n v="0"/>
    <s v="Travel_Rarely"/>
    <n v="0"/>
    <n v="1"/>
    <n v="691"/>
    <s v="Research &amp; Development"/>
    <n v="1"/>
    <n v="0"/>
    <n v="2"/>
    <n v="3"/>
    <s v="Medical"/>
    <n v="0"/>
    <n v="0"/>
    <n v="1"/>
    <n v="0"/>
    <n v="0"/>
    <n v="3"/>
    <x v="1"/>
    <n v="0"/>
    <n v="64"/>
    <n v="3"/>
    <n v="4"/>
    <s v="Research Director"/>
    <n v="0"/>
    <n v="0"/>
    <n v="0"/>
    <n v="0"/>
    <n v="0"/>
    <n v="0"/>
    <n v="0"/>
    <n v="0"/>
    <x v="2"/>
    <s v="Married"/>
    <n v="0"/>
    <n v="1"/>
    <n v="17639"/>
    <n v="6881"/>
    <n v="5"/>
    <s v="No"/>
    <n v="0"/>
    <n v="16"/>
    <n v="3"/>
    <n v="4"/>
    <n v="0"/>
    <n v="30"/>
    <n v="3"/>
    <n v="3"/>
    <n v="4"/>
    <n v="3"/>
    <n v="0"/>
    <n v="3"/>
  </r>
  <r>
    <n v="29"/>
    <x v="0"/>
    <n v="1"/>
    <s v="Travel_Rarely"/>
    <n v="0"/>
    <n v="1"/>
    <n v="805"/>
    <s v="Research &amp; Development"/>
    <n v="1"/>
    <n v="0"/>
    <n v="1"/>
    <n v="2"/>
    <s v="Life Sciences"/>
    <n v="1"/>
    <n v="0"/>
    <n v="0"/>
    <n v="0"/>
    <n v="0"/>
    <n v="2"/>
    <x v="0"/>
    <n v="1"/>
    <n v="36"/>
    <n v="2"/>
    <n v="1"/>
    <s v="Laboratory Technician"/>
    <n v="0"/>
    <n v="0"/>
    <n v="1"/>
    <n v="0"/>
    <n v="0"/>
    <n v="0"/>
    <n v="0"/>
    <n v="0"/>
    <x v="3"/>
    <s v="Married"/>
    <n v="0"/>
    <n v="1"/>
    <n v="2319"/>
    <n v="6689"/>
    <n v="1"/>
    <s v="Yes"/>
    <n v="1"/>
    <n v="11"/>
    <n v="3"/>
    <n v="4"/>
    <n v="1"/>
    <n v="1"/>
    <n v="1"/>
    <n v="3"/>
    <n v="1"/>
    <n v="0"/>
    <n v="0"/>
    <n v="0"/>
  </r>
  <r>
    <n v="33"/>
    <x v="1"/>
    <n v="0"/>
    <s v="Travel_Rarely"/>
    <n v="0"/>
    <n v="1"/>
    <n v="213"/>
    <s v="Research &amp; Development"/>
    <n v="1"/>
    <n v="0"/>
    <n v="7"/>
    <n v="3"/>
    <s v="Medical"/>
    <n v="0"/>
    <n v="0"/>
    <n v="1"/>
    <n v="0"/>
    <n v="0"/>
    <n v="3"/>
    <x v="1"/>
    <n v="0"/>
    <n v="49"/>
    <n v="3"/>
    <n v="3"/>
    <s v="Research Director"/>
    <n v="0"/>
    <n v="0"/>
    <n v="0"/>
    <n v="0"/>
    <n v="0"/>
    <n v="0"/>
    <n v="0"/>
    <n v="0"/>
    <x v="2"/>
    <s v="Married"/>
    <n v="0"/>
    <n v="1"/>
    <n v="11691"/>
    <n v="25995"/>
    <n v="0"/>
    <s v="No"/>
    <n v="0"/>
    <n v="11"/>
    <n v="3"/>
    <n v="4"/>
    <n v="0"/>
    <n v="14"/>
    <n v="3"/>
    <n v="4"/>
    <n v="13"/>
    <n v="9"/>
    <n v="3"/>
    <n v="7"/>
  </r>
  <r>
    <n v="33"/>
    <x v="0"/>
    <n v="1"/>
    <s v="Travel_Rarely"/>
    <n v="0"/>
    <n v="1"/>
    <n v="118"/>
    <s v="Sales"/>
    <n v="0"/>
    <n v="1"/>
    <n v="16"/>
    <n v="3"/>
    <s v="Marketing"/>
    <n v="0"/>
    <n v="0"/>
    <n v="0"/>
    <n v="1"/>
    <n v="0"/>
    <n v="1"/>
    <x v="0"/>
    <n v="1"/>
    <n v="69"/>
    <n v="3"/>
    <n v="2"/>
    <s v="Sales Executive"/>
    <n v="0"/>
    <n v="1"/>
    <n v="0"/>
    <n v="0"/>
    <n v="0"/>
    <n v="0"/>
    <n v="0"/>
    <n v="0"/>
    <x v="3"/>
    <s v="Single"/>
    <n v="1"/>
    <n v="0"/>
    <n v="5324"/>
    <n v="26507"/>
    <n v="5"/>
    <s v="No"/>
    <n v="0"/>
    <n v="15"/>
    <n v="3"/>
    <n v="3"/>
    <n v="0"/>
    <n v="6"/>
    <n v="3"/>
    <n v="3"/>
    <n v="3"/>
    <n v="2"/>
    <n v="0"/>
    <n v="2"/>
  </r>
  <r>
    <n v="47"/>
    <x v="1"/>
    <n v="0"/>
    <s v="Travel_Rarely"/>
    <n v="0"/>
    <n v="1"/>
    <n v="202"/>
    <s v="Research &amp; Development"/>
    <n v="1"/>
    <n v="0"/>
    <n v="2"/>
    <n v="2"/>
    <s v="Other"/>
    <n v="0"/>
    <n v="1"/>
    <n v="0"/>
    <n v="0"/>
    <n v="0"/>
    <n v="3"/>
    <x v="0"/>
    <n v="1"/>
    <n v="33"/>
    <n v="3"/>
    <n v="4"/>
    <s v="Manager"/>
    <n v="0"/>
    <n v="0"/>
    <n v="0"/>
    <n v="1"/>
    <n v="0"/>
    <n v="0"/>
    <n v="0"/>
    <n v="0"/>
    <x v="0"/>
    <s v="Married"/>
    <n v="0"/>
    <n v="1"/>
    <n v="16752"/>
    <n v="12982"/>
    <n v="1"/>
    <s v="Yes"/>
    <n v="1"/>
    <n v="11"/>
    <n v="3"/>
    <n v="3"/>
    <n v="1"/>
    <n v="26"/>
    <n v="3"/>
    <n v="2"/>
    <n v="26"/>
    <n v="14"/>
    <n v="3"/>
    <n v="0"/>
  </r>
  <r>
    <n v="36"/>
    <x v="1"/>
    <n v="0"/>
    <s v="Travel_Rarely"/>
    <n v="0"/>
    <n v="1"/>
    <n v="676"/>
    <s v="Research &amp; Development"/>
    <n v="1"/>
    <n v="0"/>
    <n v="1"/>
    <n v="3"/>
    <s v="Other"/>
    <n v="0"/>
    <n v="1"/>
    <n v="0"/>
    <n v="0"/>
    <n v="0"/>
    <n v="3"/>
    <x v="0"/>
    <n v="1"/>
    <n v="35"/>
    <n v="3"/>
    <n v="2"/>
    <s v="Manufacturing Director"/>
    <n v="0"/>
    <n v="0"/>
    <n v="0"/>
    <n v="0"/>
    <n v="1"/>
    <n v="1"/>
    <n v="0"/>
    <n v="0"/>
    <x v="1"/>
    <s v="Married"/>
    <n v="0"/>
    <n v="1"/>
    <n v="5228"/>
    <n v="23361"/>
    <n v="0"/>
    <s v="No"/>
    <n v="0"/>
    <n v="15"/>
    <n v="3"/>
    <n v="1"/>
    <n v="1"/>
    <n v="10"/>
    <n v="2"/>
    <n v="3"/>
    <n v="9"/>
    <n v="7"/>
    <n v="0"/>
    <n v="5"/>
  </r>
  <r>
    <n v="29"/>
    <x v="1"/>
    <n v="0"/>
    <s v="Travel_Rarely"/>
    <n v="0"/>
    <n v="1"/>
    <n v="1252"/>
    <s v="Research &amp; Development"/>
    <n v="1"/>
    <n v="0"/>
    <n v="23"/>
    <n v="2"/>
    <s v="Life Sciences"/>
    <n v="1"/>
    <n v="0"/>
    <n v="0"/>
    <n v="0"/>
    <n v="0"/>
    <n v="3"/>
    <x v="1"/>
    <n v="0"/>
    <n v="81"/>
    <n v="4"/>
    <n v="1"/>
    <s v="Research Scientist"/>
    <n v="0"/>
    <n v="0"/>
    <n v="0"/>
    <n v="0"/>
    <n v="0"/>
    <n v="0"/>
    <n v="0"/>
    <n v="1"/>
    <x v="2"/>
    <s v="Married"/>
    <n v="0"/>
    <n v="1"/>
    <n v="2700"/>
    <n v="23779"/>
    <n v="1"/>
    <s v="No"/>
    <n v="0"/>
    <n v="24"/>
    <n v="4"/>
    <n v="3"/>
    <n v="1"/>
    <n v="10"/>
    <n v="3"/>
    <n v="3"/>
    <n v="10"/>
    <n v="7"/>
    <n v="0"/>
    <n v="7"/>
  </r>
  <r>
    <n v="58"/>
    <x v="0"/>
    <n v="1"/>
    <s v="Travel_Rarely"/>
    <n v="0"/>
    <n v="1"/>
    <n v="286"/>
    <s v="Research &amp; Development"/>
    <n v="1"/>
    <n v="0"/>
    <n v="2"/>
    <n v="4"/>
    <s v="Life Sciences"/>
    <n v="1"/>
    <n v="0"/>
    <n v="0"/>
    <n v="0"/>
    <n v="0"/>
    <n v="4"/>
    <x v="1"/>
    <n v="0"/>
    <n v="31"/>
    <n v="3"/>
    <n v="5"/>
    <s v="Research Director"/>
    <n v="0"/>
    <n v="0"/>
    <n v="0"/>
    <n v="0"/>
    <n v="0"/>
    <n v="0"/>
    <n v="0"/>
    <n v="0"/>
    <x v="1"/>
    <s v="Single"/>
    <n v="1"/>
    <n v="0"/>
    <n v="19246"/>
    <n v="25761"/>
    <n v="7"/>
    <s v="Yes"/>
    <n v="1"/>
    <n v="12"/>
    <n v="3"/>
    <n v="4"/>
    <n v="0"/>
    <n v="40"/>
    <n v="2"/>
    <n v="3"/>
    <n v="31"/>
    <n v="15"/>
    <n v="13"/>
    <n v="8"/>
  </r>
  <r>
    <n v="35"/>
    <x v="1"/>
    <n v="0"/>
    <s v="Travel_Rarely"/>
    <n v="0"/>
    <n v="1"/>
    <n v="1258"/>
    <s v="Research &amp; Development"/>
    <n v="1"/>
    <n v="0"/>
    <n v="1"/>
    <n v="4"/>
    <s v="Life Sciences"/>
    <n v="1"/>
    <n v="0"/>
    <n v="0"/>
    <n v="0"/>
    <n v="0"/>
    <n v="4"/>
    <x v="0"/>
    <n v="1"/>
    <n v="40"/>
    <n v="4"/>
    <n v="1"/>
    <s v="Research Scientist"/>
    <n v="0"/>
    <n v="0"/>
    <n v="0"/>
    <n v="0"/>
    <n v="0"/>
    <n v="0"/>
    <n v="0"/>
    <n v="1"/>
    <x v="2"/>
    <s v="Single"/>
    <n v="1"/>
    <n v="0"/>
    <n v="2506"/>
    <n v="13301"/>
    <n v="3"/>
    <s v="No"/>
    <n v="0"/>
    <n v="13"/>
    <n v="3"/>
    <n v="3"/>
    <n v="0"/>
    <n v="7"/>
    <n v="0"/>
    <n v="3"/>
    <n v="2"/>
    <n v="2"/>
    <n v="2"/>
    <n v="2"/>
  </r>
  <r>
    <n v="42"/>
    <x v="1"/>
    <n v="0"/>
    <s v="Travel_Rarely"/>
    <n v="0"/>
    <n v="1"/>
    <n v="932"/>
    <s v="Research &amp; Development"/>
    <n v="1"/>
    <n v="0"/>
    <n v="1"/>
    <n v="2"/>
    <s v="Life Sciences"/>
    <n v="1"/>
    <n v="0"/>
    <n v="0"/>
    <n v="0"/>
    <n v="0"/>
    <n v="4"/>
    <x v="0"/>
    <n v="1"/>
    <n v="43"/>
    <n v="2"/>
    <n v="2"/>
    <s v="Manufacturing Director"/>
    <n v="0"/>
    <n v="0"/>
    <n v="0"/>
    <n v="0"/>
    <n v="1"/>
    <n v="1"/>
    <n v="0"/>
    <n v="0"/>
    <x v="0"/>
    <s v="Married"/>
    <n v="0"/>
    <n v="1"/>
    <n v="6062"/>
    <n v="4051"/>
    <n v="9"/>
    <s v="Yes"/>
    <n v="1"/>
    <n v="13"/>
    <n v="3"/>
    <n v="4"/>
    <n v="1"/>
    <n v="8"/>
    <n v="4"/>
    <n v="3"/>
    <n v="4"/>
    <n v="3"/>
    <n v="0"/>
    <n v="2"/>
  </r>
  <r>
    <n v="28"/>
    <x v="0"/>
    <n v="1"/>
    <s v="Travel_Rarely"/>
    <n v="0"/>
    <n v="1"/>
    <n v="890"/>
    <s v="Research &amp; Development"/>
    <n v="1"/>
    <n v="0"/>
    <n v="2"/>
    <n v="4"/>
    <s v="Medical"/>
    <n v="0"/>
    <n v="0"/>
    <n v="1"/>
    <n v="0"/>
    <n v="0"/>
    <n v="3"/>
    <x v="1"/>
    <n v="0"/>
    <n v="46"/>
    <n v="3"/>
    <n v="1"/>
    <s v="Research Scientist"/>
    <n v="0"/>
    <n v="0"/>
    <n v="0"/>
    <n v="0"/>
    <n v="0"/>
    <n v="0"/>
    <n v="0"/>
    <n v="1"/>
    <x v="2"/>
    <s v="Single"/>
    <n v="1"/>
    <n v="0"/>
    <n v="4382"/>
    <n v="16374"/>
    <n v="6"/>
    <s v="No"/>
    <n v="0"/>
    <n v="17"/>
    <n v="3"/>
    <n v="4"/>
    <n v="0"/>
    <n v="5"/>
    <n v="3"/>
    <n v="2"/>
    <n v="2"/>
    <n v="2"/>
    <n v="2"/>
    <n v="1"/>
  </r>
  <r>
    <n v="36"/>
    <x v="1"/>
    <n v="0"/>
    <s v="Travel_Rarely"/>
    <n v="0"/>
    <n v="1"/>
    <n v="1041"/>
    <s v="Human Resources"/>
    <n v="0"/>
    <n v="0"/>
    <n v="13"/>
    <n v="3"/>
    <s v="Human Resources"/>
    <n v="0"/>
    <n v="0"/>
    <n v="0"/>
    <n v="0"/>
    <n v="0"/>
    <n v="3"/>
    <x v="1"/>
    <n v="0"/>
    <n v="36"/>
    <n v="3"/>
    <n v="1"/>
    <s v="Human Resources"/>
    <n v="0"/>
    <n v="0"/>
    <n v="0"/>
    <n v="0"/>
    <n v="0"/>
    <n v="0"/>
    <n v="0"/>
    <n v="0"/>
    <x v="1"/>
    <s v="Married"/>
    <n v="0"/>
    <n v="1"/>
    <n v="2143"/>
    <n v="25527"/>
    <n v="4"/>
    <s v="No"/>
    <n v="0"/>
    <n v="13"/>
    <n v="3"/>
    <n v="2"/>
    <n v="1"/>
    <n v="8"/>
    <n v="2"/>
    <n v="3"/>
    <n v="5"/>
    <n v="2"/>
    <n v="0"/>
    <n v="4"/>
  </r>
  <r>
    <n v="32"/>
    <x v="1"/>
    <n v="0"/>
    <s v="Travel_Rarely"/>
    <n v="0"/>
    <n v="1"/>
    <n v="859"/>
    <s v="Research &amp; Development"/>
    <n v="1"/>
    <n v="0"/>
    <n v="4"/>
    <n v="3"/>
    <s v="Life Sciences"/>
    <n v="1"/>
    <n v="0"/>
    <n v="0"/>
    <n v="0"/>
    <n v="0"/>
    <n v="3"/>
    <x v="0"/>
    <n v="1"/>
    <n v="98"/>
    <n v="2"/>
    <n v="2"/>
    <s v="Manufacturing Director"/>
    <n v="0"/>
    <n v="0"/>
    <n v="0"/>
    <n v="0"/>
    <n v="1"/>
    <n v="1"/>
    <n v="0"/>
    <n v="0"/>
    <x v="2"/>
    <s v="Married"/>
    <n v="0"/>
    <n v="1"/>
    <n v="6162"/>
    <n v="19124"/>
    <n v="1"/>
    <s v="No"/>
    <n v="0"/>
    <n v="12"/>
    <n v="3"/>
    <n v="3"/>
    <n v="1"/>
    <n v="14"/>
    <n v="3"/>
    <n v="3"/>
    <n v="14"/>
    <n v="13"/>
    <n v="6"/>
    <n v="8"/>
  </r>
  <r>
    <n v="40"/>
    <x v="1"/>
    <n v="0"/>
    <s v="Travel_Frequently"/>
    <n v="1"/>
    <n v="0"/>
    <n v="720"/>
    <s v="Research &amp; Development"/>
    <n v="1"/>
    <n v="0"/>
    <n v="16"/>
    <n v="4"/>
    <s v="Medical"/>
    <n v="0"/>
    <n v="0"/>
    <n v="1"/>
    <n v="0"/>
    <n v="0"/>
    <n v="1"/>
    <x v="1"/>
    <n v="0"/>
    <n v="51"/>
    <n v="2"/>
    <n v="2"/>
    <s v="Laboratory Technician"/>
    <n v="0"/>
    <n v="0"/>
    <n v="1"/>
    <n v="0"/>
    <n v="0"/>
    <n v="0"/>
    <n v="0"/>
    <n v="0"/>
    <x v="2"/>
    <s v="Single"/>
    <n v="1"/>
    <n v="0"/>
    <n v="5094"/>
    <n v="11983"/>
    <n v="6"/>
    <s v="No"/>
    <n v="0"/>
    <n v="14"/>
    <n v="3"/>
    <n v="4"/>
    <n v="0"/>
    <n v="10"/>
    <n v="6"/>
    <n v="3"/>
    <n v="1"/>
    <n v="0"/>
    <n v="0"/>
    <n v="0"/>
  </r>
  <r>
    <n v="30"/>
    <x v="1"/>
    <n v="0"/>
    <s v="Travel_Rarely"/>
    <n v="0"/>
    <n v="1"/>
    <n v="946"/>
    <s v="Research &amp; Development"/>
    <n v="1"/>
    <n v="0"/>
    <n v="2"/>
    <n v="3"/>
    <s v="Medical"/>
    <n v="0"/>
    <n v="0"/>
    <n v="1"/>
    <n v="0"/>
    <n v="0"/>
    <n v="3"/>
    <x v="0"/>
    <n v="1"/>
    <n v="52"/>
    <n v="2"/>
    <n v="2"/>
    <s v="Manufacturing Director"/>
    <n v="0"/>
    <n v="0"/>
    <n v="0"/>
    <n v="0"/>
    <n v="1"/>
    <n v="1"/>
    <n v="0"/>
    <n v="0"/>
    <x v="0"/>
    <s v="Single"/>
    <n v="1"/>
    <n v="0"/>
    <n v="6877"/>
    <n v="20234"/>
    <n v="5"/>
    <s v="Yes"/>
    <n v="1"/>
    <n v="24"/>
    <n v="4"/>
    <n v="2"/>
    <n v="0"/>
    <n v="12"/>
    <n v="4"/>
    <n v="2"/>
    <n v="0"/>
    <n v="0"/>
    <n v="0"/>
    <n v="0"/>
  </r>
  <r>
    <n v="45"/>
    <x v="1"/>
    <n v="0"/>
    <s v="Travel_Rarely"/>
    <n v="0"/>
    <n v="1"/>
    <n v="252"/>
    <s v="Research &amp; Development"/>
    <n v="1"/>
    <n v="0"/>
    <n v="2"/>
    <n v="3"/>
    <s v="Life Sciences"/>
    <n v="1"/>
    <n v="0"/>
    <n v="0"/>
    <n v="0"/>
    <n v="0"/>
    <n v="2"/>
    <x v="0"/>
    <n v="1"/>
    <n v="95"/>
    <n v="2"/>
    <n v="1"/>
    <s v="Research Scientist"/>
    <n v="0"/>
    <n v="0"/>
    <n v="0"/>
    <n v="0"/>
    <n v="0"/>
    <n v="0"/>
    <n v="0"/>
    <n v="1"/>
    <x v="2"/>
    <s v="Single"/>
    <n v="1"/>
    <n v="0"/>
    <n v="2274"/>
    <n v="6153"/>
    <n v="1"/>
    <s v="No"/>
    <n v="0"/>
    <n v="14"/>
    <n v="3"/>
    <n v="4"/>
    <n v="0"/>
    <n v="1"/>
    <n v="3"/>
    <n v="3"/>
    <n v="1"/>
    <n v="0"/>
    <n v="0"/>
    <n v="0"/>
  </r>
  <r>
    <n v="42"/>
    <x v="1"/>
    <n v="0"/>
    <s v="Travel_Rarely"/>
    <n v="0"/>
    <n v="1"/>
    <n v="933"/>
    <s v="Research &amp; Development"/>
    <n v="1"/>
    <n v="0"/>
    <n v="29"/>
    <n v="3"/>
    <s v="Life Sciences"/>
    <n v="1"/>
    <n v="0"/>
    <n v="0"/>
    <n v="0"/>
    <n v="0"/>
    <n v="2"/>
    <x v="1"/>
    <n v="0"/>
    <n v="98"/>
    <n v="3"/>
    <n v="2"/>
    <s v="Manufacturing Director"/>
    <n v="0"/>
    <n v="0"/>
    <n v="0"/>
    <n v="0"/>
    <n v="1"/>
    <n v="1"/>
    <n v="0"/>
    <n v="0"/>
    <x v="1"/>
    <s v="Married"/>
    <n v="0"/>
    <n v="1"/>
    <n v="4434"/>
    <n v="11806"/>
    <n v="1"/>
    <s v="No"/>
    <n v="0"/>
    <n v="13"/>
    <n v="3"/>
    <n v="4"/>
    <n v="1"/>
    <n v="10"/>
    <n v="3"/>
    <n v="2"/>
    <n v="9"/>
    <n v="8"/>
    <n v="7"/>
    <n v="8"/>
  </r>
  <r>
    <n v="38"/>
    <x v="1"/>
    <n v="0"/>
    <s v="Travel_Frequently"/>
    <n v="1"/>
    <n v="0"/>
    <n v="471"/>
    <s v="Research &amp; Development"/>
    <n v="1"/>
    <n v="0"/>
    <n v="12"/>
    <n v="3"/>
    <s v="Life Sciences"/>
    <n v="1"/>
    <n v="0"/>
    <n v="0"/>
    <n v="0"/>
    <n v="0"/>
    <n v="1"/>
    <x v="1"/>
    <n v="0"/>
    <n v="45"/>
    <n v="2"/>
    <n v="2"/>
    <s v="Healthcare Representative"/>
    <n v="1"/>
    <n v="0"/>
    <n v="0"/>
    <n v="0"/>
    <n v="0"/>
    <n v="0"/>
    <n v="0"/>
    <n v="0"/>
    <x v="3"/>
    <s v="Divorced"/>
    <n v="0"/>
    <n v="0"/>
    <n v="6288"/>
    <n v="4284"/>
    <n v="2"/>
    <s v="No"/>
    <n v="0"/>
    <n v="15"/>
    <n v="3"/>
    <n v="3"/>
    <n v="1"/>
    <n v="13"/>
    <n v="3"/>
    <n v="2"/>
    <n v="4"/>
    <n v="3"/>
    <n v="1"/>
    <n v="2"/>
  </r>
  <r>
    <n v="34"/>
    <x v="1"/>
    <n v="0"/>
    <s v="Travel_Frequently"/>
    <n v="1"/>
    <n v="0"/>
    <n v="702"/>
    <s v="Research &amp; Development"/>
    <n v="1"/>
    <n v="0"/>
    <n v="16"/>
    <n v="4"/>
    <s v="Life Sciences"/>
    <n v="1"/>
    <n v="0"/>
    <n v="0"/>
    <n v="0"/>
    <n v="0"/>
    <n v="3"/>
    <x v="0"/>
    <n v="1"/>
    <n v="100"/>
    <n v="2"/>
    <n v="1"/>
    <s v="Research Scientist"/>
    <n v="0"/>
    <n v="0"/>
    <n v="0"/>
    <n v="0"/>
    <n v="0"/>
    <n v="0"/>
    <n v="0"/>
    <n v="1"/>
    <x v="0"/>
    <s v="Single"/>
    <n v="1"/>
    <n v="0"/>
    <n v="2553"/>
    <n v="8306"/>
    <n v="1"/>
    <s v="No"/>
    <n v="0"/>
    <n v="16"/>
    <n v="3"/>
    <n v="3"/>
    <n v="0"/>
    <n v="6"/>
    <n v="3"/>
    <n v="3"/>
    <n v="5"/>
    <n v="2"/>
    <n v="1"/>
    <n v="3"/>
  </r>
  <r>
    <n v="49"/>
    <x v="0"/>
    <n v="1"/>
    <s v="Travel_Rarely"/>
    <n v="0"/>
    <n v="1"/>
    <n v="1184"/>
    <s v="Sales"/>
    <n v="0"/>
    <n v="1"/>
    <n v="11"/>
    <n v="3"/>
    <s v="Marketing"/>
    <n v="0"/>
    <n v="0"/>
    <n v="0"/>
    <n v="1"/>
    <n v="0"/>
    <n v="3"/>
    <x v="0"/>
    <n v="1"/>
    <n v="43"/>
    <n v="3"/>
    <n v="3"/>
    <s v="Sales Executive"/>
    <n v="0"/>
    <n v="1"/>
    <n v="0"/>
    <n v="0"/>
    <n v="0"/>
    <n v="0"/>
    <n v="0"/>
    <n v="0"/>
    <x v="0"/>
    <s v="Married"/>
    <n v="0"/>
    <n v="1"/>
    <n v="7654"/>
    <n v="5860"/>
    <n v="1"/>
    <s v="No"/>
    <n v="0"/>
    <n v="18"/>
    <n v="3"/>
    <n v="1"/>
    <n v="2"/>
    <n v="9"/>
    <n v="3"/>
    <n v="4"/>
    <n v="9"/>
    <n v="8"/>
    <n v="7"/>
    <n v="7"/>
  </r>
  <r>
    <n v="55"/>
    <x v="0"/>
    <n v="1"/>
    <s v="Travel_Rarely"/>
    <n v="0"/>
    <n v="1"/>
    <n v="436"/>
    <s v="Sales"/>
    <n v="0"/>
    <n v="1"/>
    <n v="2"/>
    <n v="1"/>
    <s v="Medical"/>
    <n v="0"/>
    <n v="0"/>
    <n v="1"/>
    <n v="0"/>
    <n v="0"/>
    <n v="3"/>
    <x v="1"/>
    <n v="0"/>
    <n v="37"/>
    <n v="3"/>
    <n v="2"/>
    <s v="Sales Executive"/>
    <n v="0"/>
    <n v="1"/>
    <n v="0"/>
    <n v="0"/>
    <n v="0"/>
    <n v="0"/>
    <n v="0"/>
    <n v="0"/>
    <x v="0"/>
    <s v="Single"/>
    <n v="1"/>
    <n v="0"/>
    <n v="5160"/>
    <n v="21519"/>
    <n v="4"/>
    <s v="No"/>
    <n v="0"/>
    <n v="16"/>
    <n v="3"/>
    <n v="3"/>
    <n v="0"/>
    <n v="12"/>
    <n v="3"/>
    <n v="2"/>
    <n v="9"/>
    <n v="7"/>
    <n v="7"/>
    <n v="3"/>
  </r>
  <r>
    <n v="43"/>
    <x v="1"/>
    <n v="0"/>
    <s v="Travel_Rarely"/>
    <n v="0"/>
    <n v="1"/>
    <n v="589"/>
    <s v="Research &amp; Development"/>
    <n v="1"/>
    <n v="0"/>
    <n v="14"/>
    <n v="2"/>
    <s v="Life Sciences"/>
    <n v="1"/>
    <n v="0"/>
    <n v="0"/>
    <n v="0"/>
    <n v="0"/>
    <n v="2"/>
    <x v="1"/>
    <n v="0"/>
    <n v="94"/>
    <n v="3"/>
    <n v="4"/>
    <s v="Research Director"/>
    <n v="0"/>
    <n v="0"/>
    <n v="0"/>
    <n v="0"/>
    <n v="0"/>
    <n v="0"/>
    <n v="0"/>
    <n v="0"/>
    <x v="3"/>
    <s v="Married"/>
    <n v="0"/>
    <n v="1"/>
    <n v="17159"/>
    <n v="5200"/>
    <n v="6"/>
    <s v="No"/>
    <n v="0"/>
    <n v="24"/>
    <n v="4"/>
    <n v="3"/>
    <n v="1"/>
    <n v="22"/>
    <n v="3"/>
    <n v="3"/>
    <n v="4"/>
    <n v="1"/>
    <n v="1"/>
    <n v="0"/>
  </r>
  <r>
    <n v="27"/>
    <x v="1"/>
    <n v="0"/>
    <s v="Travel_Rarely"/>
    <n v="0"/>
    <n v="1"/>
    <n v="269"/>
    <s v="Research &amp; Development"/>
    <n v="1"/>
    <n v="0"/>
    <n v="5"/>
    <n v="1"/>
    <s v="Technical Degree"/>
    <n v="0"/>
    <n v="0"/>
    <n v="0"/>
    <n v="0"/>
    <n v="1"/>
    <n v="3"/>
    <x v="1"/>
    <n v="0"/>
    <n v="42"/>
    <n v="2"/>
    <n v="3"/>
    <s v="Research Director"/>
    <n v="0"/>
    <n v="0"/>
    <n v="0"/>
    <n v="0"/>
    <n v="0"/>
    <n v="0"/>
    <n v="0"/>
    <n v="0"/>
    <x v="0"/>
    <s v="Divorced"/>
    <n v="0"/>
    <n v="0"/>
    <n v="12808"/>
    <n v="8842"/>
    <n v="1"/>
    <s v="Yes"/>
    <n v="1"/>
    <n v="16"/>
    <n v="3"/>
    <n v="2"/>
    <n v="1"/>
    <n v="9"/>
    <n v="3"/>
    <n v="3"/>
    <n v="9"/>
    <n v="8"/>
    <n v="0"/>
    <n v="8"/>
  </r>
  <r>
    <n v="35"/>
    <x v="1"/>
    <n v="0"/>
    <s v="Travel_Rarely"/>
    <n v="0"/>
    <n v="1"/>
    <n v="950"/>
    <s v="Research &amp; Development"/>
    <n v="1"/>
    <n v="0"/>
    <n v="7"/>
    <n v="3"/>
    <s v="Other"/>
    <n v="0"/>
    <n v="1"/>
    <n v="0"/>
    <n v="0"/>
    <n v="0"/>
    <n v="3"/>
    <x v="1"/>
    <n v="0"/>
    <n v="59"/>
    <n v="3"/>
    <n v="3"/>
    <s v="Manufacturing Director"/>
    <n v="0"/>
    <n v="0"/>
    <n v="0"/>
    <n v="0"/>
    <n v="1"/>
    <n v="1"/>
    <n v="0"/>
    <n v="0"/>
    <x v="2"/>
    <s v="Single"/>
    <n v="1"/>
    <n v="0"/>
    <n v="10221"/>
    <n v="18869"/>
    <n v="3"/>
    <s v="No"/>
    <n v="0"/>
    <n v="21"/>
    <n v="4"/>
    <n v="2"/>
    <n v="0"/>
    <n v="17"/>
    <n v="3"/>
    <n v="4"/>
    <n v="8"/>
    <n v="5"/>
    <n v="1"/>
    <n v="6"/>
  </r>
  <r>
    <n v="28"/>
    <x v="1"/>
    <n v="0"/>
    <s v="Travel_Rarely"/>
    <n v="0"/>
    <n v="1"/>
    <n v="760"/>
    <s v="Sales"/>
    <n v="0"/>
    <n v="1"/>
    <n v="2"/>
    <n v="4"/>
    <s v="Marketing"/>
    <n v="0"/>
    <n v="0"/>
    <n v="0"/>
    <n v="1"/>
    <n v="0"/>
    <n v="2"/>
    <x v="0"/>
    <n v="1"/>
    <n v="81"/>
    <n v="3"/>
    <n v="2"/>
    <s v="Sales Executive"/>
    <n v="0"/>
    <n v="1"/>
    <n v="0"/>
    <n v="0"/>
    <n v="0"/>
    <n v="0"/>
    <n v="0"/>
    <n v="0"/>
    <x v="1"/>
    <s v="Married"/>
    <n v="0"/>
    <n v="1"/>
    <n v="4779"/>
    <n v="3698"/>
    <n v="1"/>
    <s v="Yes"/>
    <n v="1"/>
    <n v="20"/>
    <n v="4"/>
    <n v="1"/>
    <n v="0"/>
    <n v="8"/>
    <n v="2"/>
    <n v="3"/>
    <n v="8"/>
    <n v="7"/>
    <n v="7"/>
    <n v="5"/>
  </r>
  <r>
    <n v="34"/>
    <x v="1"/>
    <n v="0"/>
    <s v="Travel_Rarely"/>
    <n v="0"/>
    <n v="1"/>
    <n v="829"/>
    <s v="Human Resources"/>
    <n v="0"/>
    <n v="0"/>
    <n v="3"/>
    <n v="2"/>
    <s v="Human Resources"/>
    <n v="0"/>
    <n v="0"/>
    <n v="0"/>
    <n v="0"/>
    <n v="0"/>
    <n v="3"/>
    <x v="1"/>
    <n v="0"/>
    <n v="88"/>
    <n v="3"/>
    <n v="1"/>
    <s v="Human Resources"/>
    <n v="0"/>
    <n v="0"/>
    <n v="0"/>
    <n v="0"/>
    <n v="0"/>
    <n v="0"/>
    <n v="0"/>
    <n v="0"/>
    <x v="0"/>
    <s v="Married"/>
    <n v="0"/>
    <n v="1"/>
    <n v="3737"/>
    <n v="2243"/>
    <n v="0"/>
    <s v="No"/>
    <n v="0"/>
    <n v="19"/>
    <n v="3"/>
    <n v="3"/>
    <n v="1"/>
    <n v="4"/>
    <n v="1"/>
    <n v="1"/>
    <n v="3"/>
    <n v="2"/>
    <n v="0"/>
    <n v="2"/>
  </r>
  <r>
    <n v="26"/>
    <x v="0"/>
    <n v="1"/>
    <s v="Travel_Frequently"/>
    <n v="1"/>
    <n v="0"/>
    <n v="887"/>
    <s v="Research &amp; Development"/>
    <n v="1"/>
    <n v="0"/>
    <n v="5"/>
    <n v="2"/>
    <s v="Medical"/>
    <n v="0"/>
    <n v="0"/>
    <n v="1"/>
    <n v="0"/>
    <n v="0"/>
    <n v="3"/>
    <x v="0"/>
    <n v="1"/>
    <n v="88"/>
    <n v="2"/>
    <n v="1"/>
    <s v="Research Scientist"/>
    <n v="0"/>
    <n v="0"/>
    <n v="0"/>
    <n v="0"/>
    <n v="0"/>
    <n v="0"/>
    <n v="0"/>
    <n v="1"/>
    <x v="2"/>
    <s v="Married"/>
    <n v="0"/>
    <n v="1"/>
    <n v="2366"/>
    <n v="20898"/>
    <n v="1"/>
    <s v="Yes"/>
    <n v="1"/>
    <n v="14"/>
    <n v="3"/>
    <n v="1"/>
    <n v="1"/>
    <n v="8"/>
    <n v="2"/>
    <n v="3"/>
    <n v="8"/>
    <n v="7"/>
    <n v="1"/>
    <n v="7"/>
  </r>
  <r>
    <n v="27"/>
    <x v="1"/>
    <n v="0"/>
    <s v="Non-Travel"/>
    <n v="0"/>
    <n v="0"/>
    <n v="443"/>
    <s v="Research &amp; Development"/>
    <n v="1"/>
    <n v="0"/>
    <n v="3"/>
    <n v="3"/>
    <s v="Medical"/>
    <n v="0"/>
    <n v="0"/>
    <n v="1"/>
    <n v="0"/>
    <n v="0"/>
    <n v="4"/>
    <x v="1"/>
    <n v="0"/>
    <n v="50"/>
    <n v="3"/>
    <n v="1"/>
    <s v="Research Scientist"/>
    <n v="0"/>
    <n v="0"/>
    <n v="0"/>
    <n v="0"/>
    <n v="0"/>
    <n v="0"/>
    <n v="0"/>
    <n v="1"/>
    <x v="0"/>
    <s v="Married"/>
    <n v="0"/>
    <n v="1"/>
    <n v="1706"/>
    <n v="16571"/>
    <n v="1"/>
    <s v="No"/>
    <n v="0"/>
    <n v="11"/>
    <n v="3"/>
    <n v="3"/>
    <n v="3"/>
    <n v="0"/>
    <n v="6"/>
    <n v="2"/>
    <n v="0"/>
    <n v="0"/>
    <n v="0"/>
    <n v="0"/>
  </r>
  <r>
    <n v="51"/>
    <x v="1"/>
    <n v="0"/>
    <s v="Travel_Rarely"/>
    <n v="0"/>
    <n v="1"/>
    <n v="1318"/>
    <s v="Sales"/>
    <n v="0"/>
    <n v="1"/>
    <n v="26"/>
    <n v="4"/>
    <s v="Marketing"/>
    <n v="0"/>
    <n v="0"/>
    <n v="0"/>
    <n v="1"/>
    <n v="0"/>
    <n v="1"/>
    <x v="0"/>
    <n v="1"/>
    <n v="66"/>
    <n v="3"/>
    <n v="4"/>
    <s v="Manager"/>
    <n v="0"/>
    <n v="0"/>
    <n v="0"/>
    <n v="1"/>
    <n v="0"/>
    <n v="0"/>
    <n v="0"/>
    <n v="0"/>
    <x v="2"/>
    <s v="Married"/>
    <n v="0"/>
    <n v="1"/>
    <n v="16307"/>
    <n v="5594"/>
    <n v="2"/>
    <s v="No"/>
    <n v="0"/>
    <n v="14"/>
    <n v="3"/>
    <n v="3"/>
    <n v="1"/>
    <n v="29"/>
    <n v="2"/>
    <n v="2"/>
    <n v="20"/>
    <n v="6"/>
    <n v="4"/>
    <n v="17"/>
  </r>
  <r>
    <n v="44"/>
    <x v="1"/>
    <n v="0"/>
    <s v="Travel_Rarely"/>
    <n v="0"/>
    <n v="1"/>
    <n v="625"/>
    <s v="Research &amp; Development"/>
    <n v="1"/>
    <n v="0"/>
    <n v="4"/>
    <n v="3"/>
    <s v="Medical"/>
    <n v="0"/>
    <n v="0"/>
    <n v="1"/>
    <n v="0"/>
    <n v="0"/>
    <n v="4"/>
    <x v="1"/>
    <n v="0"/>
    <n v="50"/>
    <n v="3"/>
    <n v="2"/>
    <s v="Healthcare Representative"/>
    <n v="1"/>
    <n v="0"/>
    <n v="0"/>
    <n v="0"/>
    <n v="0"/>
    <n v="0"/>
    <n v="0"/>
    <n v="0"/>
    <x v="1"/>
    <s v="Single"/>
    <n v="1"/>
    <n v="0"/>
    <n v="5933"/>
    <n v="5197"/>
    <n v="9"/>
    <s v="No"/>
    <n v="0"/>
    <n v="12"/>
    <n v="3"/>
    <n v="4"/>
    <n v="0"/>
    <n v="10"/>
    <n v="2"/>
    <n v="2"/>
    <n v="5"/>
    <n v="2"/>
    <n v="2"/>
    <n v="3"/>
  </r>
  <r>
    <n v="25"/>
    <x v="1"/>
    <n v="0"/>
    <s v="Travel_Rarely"/>
    <n v="0"/>
    <n v="1"/>
    <n v="180"/>
    <s v="Research &amp; Development"/>
    <n v="1"/>
    <n v="0"/>
    <n v="2"/>
    <n v="1"/>
    <s v="Medical"/>
    <n v="0"/>
    <n v="0"/>
    <n v="1"/>
    <n v="0"/>
    <n v="0"/>
    <n v="1"/>
    <x v="1"/>
    <n v="0"/>
    <n v="65"/>
    <n v="4"/>
    <n v="1"/>
    <s v="Research Scientist"/>
    <n v="0"/>
    <n v="0"/>
    <n v="0"/>
    <n v="0"/>
    <n v="0"/>
    <n v="0"/>
    <n v="0"/>
    <n v="1"/>
    <x v="3"/>
    <s v="Single"/>
    <n v="1"/>
    <n v="0"/>
    <n v="3424"/>
    <n v="21632"/>
    <n v="7"/>
    <s v="No"/>
    <n v="0"/>
    <n v="13"/>
    <n v="3"/>
    <n v="3"/>
    <n v="0"/>
    <n v="6"/>
    <n v="3"/>
    <n v="2"/>
    <n v="4"/>
    <n v="3"/>
    <n v="0"/>
    <n v="1"/>
  </r>
  <r>
    <n v="33"/>
    <x v="1"/>
    <n v="0"/>
    <s v="Travel_Rarely"/>
    <n v="0"/>
    <n v="1"/>
    <n v="586"/>
    <s v="Sales"/>
    <n v="0"/>
    <n v="1"/>
    <n v="1"/>
    <n v="3"/>
    <s v="Medical"/>
    <n v="0"/>
    <n v="0"/>
    <n v="1"/>
    <n v="0"/>
    <n v="0"/>
    <n v="1"/>
    <x v="1"/>
    <n v="0"/>
    <n v="48"/>
    <n v="4"/>
    <n v="2"/>
    <s v="Sales Executive"/>
    <n v="0"/>
    <n v="1"/>
    <n v="0"/>
    <n v="0"/>
    <n v="0"/>
    <n v="0"/>
    <n v="0"/>
    <n v="0"/>
    <x v="3"/>
    <s v="Divorced"/>
    <n v="0"/>
    <n v="0"/>
    <n v="4037"/>
    <n v="21816"/>
    <n v="1"/>
    <s v="No"/>
    <n v="0"/>
    <n v="22"/>
    <n v="4"/>
    <n v="1"/>
    <n v="1"/>
    <n v="9"/>
    <n v="5"/>
    <n v="3"/>
    <n v="9"/>
    <n v="8"/>
    <n v="0"/>
    <n v="8"/>
  </r>
  <r>
    <n v="35"/>
    <x v="1"/>
    <n v="0"/>
    <s v="Travel_Rarely"/>
    <n v="0"/>
    <n v="1"/>
    <n v="1343"/>
    <s v="Research &amp; Development"/>
    <n v="1"/>
    <n v="0"/>
    <n v="27"/>
    <n v="1"/>
    <s v="Medical"/>
    <n v="0"/>
    <n v="0"/>
    <n v="1"/>
    <n v="0"/>
    <n v="0"/>
    <n v="3"/>
    <x v="0"/>
    <n v="1"/>
    <n v="53"/>
    <n v="2"/>
    <n v="1"/>
    <s v="Research Scientist"/>
    <n v="0"/>
    <n v="0"/>
    <n v="0"/>
    <n v="0"/>
    <n v="0"/>
    <n v="0"/>
    <n v="0"/>
    <n v="1"/>
    <x v="3"/>
    <s v="Single"/>
    <n v="1"/>
    <n v="0"/>
    <n v="2559"/>
    <n v="17852"/>
    <n v="1"/>
    <s v="No"/>
    <n v="0"/>
    <n v="11"/>
    <n v="3"/>
    <n v="4"/>
    <n v="0"/>
    <n v="6"/>
    <n v="3"/>
    <n v="2"/>
    <n v="6"/>
    <n v="5"/>
    <n v="1"/>
    <n v="1"/>
  </r>
  <r>
    <n v="36"/>
    <x v="1"/>
    <n v="0"/>
    <s v="Travel_Rarely"/>
    <n v="0"/>
    <n v="1"/>
    <n v="928"/>
    <s v="Sales"/>
    <n v="0"/>
    <n v="1"/>
    <n v="1"/>
    <n v="2"/>
    <s v="Life Sciences"/>
    <n v="1"/>
    <n v="0"/>
    <n v="0"/>
    <n v="0"/>
    <n v="0"/>
    <n v="2"/>
    <x v="1"/>
    <n v="0"/>
    <n v="56"/>
    <n v="3"/>
    <n v="2"/>
    <s v="Sales Executive"/>
    <n v="0"/>
    <n v="1"/>
    <n v="0"/>
    <n v="0"/>
    <n v="0"/>
    <n v="0"/>
    <n v="0"/>
    <n v="0"/>
    <x v="0"/>
    <s v="Married"/>
    <n v="0"/>
    <n v="1"/>
    <n v="6201"/>
    <n v="2823"/>
    <n v="1"/>
    <s v="Yes"/>
    <n v="1"/>
    <n v="14"/>
    <n v="3"/>
    <n v="4"/>
    <n v="1"/>
    <n v="18"/>
    <n v="1"/>
    <n v="2"/>
    <n v="18"/>
    <n v="14"/>
    <n v="4"/>
    <n v="11"/>
  </r>
  <r>
    <n v="32"/>
    <x v="1"/>
    <n v="0"/>
    <s v="Travel_Rarely"/>
    <n v="0"/>
    <n v="1"/>
    <n v="117"/>
    <s v="Sales"/>
    <n v="0"/>
    <n v="1"/>
    <n v="13"/>
    <n v="4"/>
    <s v="Life Sciences"/>
    <n v="1"/>
    <n v="0"/>
    <n v="0"/>
    <n v="0"/>
    <n v="0"/>
    <n v="2"/>
    <x v="1"/>
    <n v="0"/>
    <n v="73"/>
    <n v="3"/>
    <n v="2"/>
    <s v="Sales Executive"/>
    <n v="0"/>
    <n v="1"/>
    <n v="0"/>
    <n v="0"/>
    <n v="0"/>
    <n v="0"/>
    <n v="0"/>
    <n v="0"/>
    <x v="0"/>
    <s v="Divorced"/>
    <n v="0"/>
    <n v="0"/>
    <n v="4403"/>
    <n v="9250"/>
    <n v="2"/>
    <s v="No"/>
    <n v="0"/>
    <n v="11"/>
    <n v="3"/>
    <n v="3"/>
    <n v="1"/>
    <n v="8"/>
    <n v="3"/>
    <n v="2"/>
    <n v="5"/>
    <n v="2"/>
    <n v="0"/>
    <n v="3"/>
  </r>
  <r>
    <n v="30"/>
    <x v="1"/>
    <n v="0"/>
    <s v="Travel_Frequently"/>
    <n v="1"/>
    <n v="0"/>
    <n v="1012"/>
    <s v="Research &amp; Development"/>
    <n v="1"/>
    <n v="0"/>
    <n v="5"/>
    <n v="4"/>
    <s v="Life Sciences"/>
    <n v="1"/>
    <n v="0"/>
    <n v="0"/>
    <n v="0"/>
    <n v="0"/>
    <n v="2"/>
    <x v="1"/>
    <n v="0"/>
    <n v="75"/>
    <n v="2"/>
    <n v="1"/>
    <s v="Research Scientist"/>
    <n v="0"/>
    <n v="0"/>
    <n v="0"/>
    <n v="0"/>
    <n v="0"/>
    <n v="0"/>
    <n v="0"/>
    <n v="1"/>
    <x v="0"/>
    <s v="Divorced"/>
    <n v="0"/>
    <n v="0"/>
    <n v="3761"/>
    <n v="2373"/>
    <n v="9"/>
    <s v="No"/>
    <n v="0"/>
    <n v="12"/>
    <n v="3"/>
    <n v="2"/>
    <n v="1"/>
    <n v="10"/>
    <n v="3"/>
    <n v="2"/>
    <n v="5"/>
    <n v="4"/>
    <n v="0"/>
    <n v="3"/>
  </r>
  <r>
    <n v="53"/>
    <x v="1"/>
    <n v="0"/>
    <s v="Travel_Rarely"/>
    <n v="0"/>
    <n v="1"/>
    <n v="661"/>
    <s v="Sales"/>
    <n v="0"/>
    <n v="1"/>
    <n v="7"/>
    <n v="2"/>
    <s v="Marketing"/>
    <n v="0"/>
    <n v="0"/>
    <n v="0"/>
    <n v="1"/>
    <n v="0"/>
    <n v="1"/>
    <x v="0"/>
    <n v="1"/>
    <n v="78"/>
    <n v="2"/>
    <n v="3"/>
    <s v="Sales Executive"/>
    <n v="0"/>
    <n v="1"/>
    <n v="0"/>
    <n v="0"/>
    <n v="0"/>
    <n v="0"/>
    <n v="0"/>
    <n v="0"/>
    <x v="0"/>
    <s v="Married"/>
    <n v="0"/>
    <n v="1"/>
    <n v="10934"/>
    <n v="20715"/>
    <n v="7"/>
    <s v="Yes"/>
    <n v="1"/>
    <n v="18"/>
    <n v="3"/>
    <n v="4"/>
    <n v="1"/>
    <n v="35"/>
    <n v="3"/>
    <n v="3"/>
    <n v="5"/>
    <n v="2"/>
    <n v="0"/>
    <n v="4"/>
  </r>
  <r>
    <n v="45"/>
    <x v="1"/>
    <n v="0"/>
    <s v="Travel_Rarely"/>
    <n v="0"/>
    <n v="1"/>
    <n v="930"/>
    <s v="Sales"/>
    <n v="0"/>
    <n v="1"/>
    <n v="9"/>
    <n v="3"/>
    <s v="Marketing"/>
    <n v="0"/>
    <n v="0"/>
    <n v="0"/>
    <n v="1"/>
    <n v="0"/>
    <n v="4"/>
    <x v="1"/>
    <n v="0"/>
    <n v="74"/>
    <n v="3"/>
    <n v="3"/>
    <s v="Sales Executive"/>
    <n v="0"/>
    <n v="1"/>
    <n v="0"/>
    <n v="0"/>
    <n v="0"/>
    <n v="0"/>
    <n v="0"/>
    <n v="0"/>
    <x v="3"/>
    <s v="Divorced"/>
    <n v="0"/>
    <n v="0"/>
    <n v="10761"/>
    <n v="19239"/>
    <n v="4"/>
    <s v="Yes"/>
    <n v="1"/>
    <n v="12"/>
    <n v="3"/>
    <n v="3"/>
    <n v="1"/>
    <n v="18"/>
    <n v="2"/>
    <n v="3"/>
    <n v="5"/>
    <n v="4"/>
    <n v="0"/>
    <n v="2"/>
  </r>
  <r>
    <n v="32"/>
    <x v="1"/>
    <n v="0"/>
    <s v="Travel_Rarely"/>
    <n v="0"/>
    <n v="1"/>
    <n v="638"/>
    <s v="Research &amp; Development"/>
    <n v="1"/>
    <n v="0"/>
    <n v="8"/>
    <n v="2"/>
    <s v="Medical"/>
    <n v="0"/>
    <n v="0"/>
    <n v="1"/>
    <n v="0"/>
    <n v="0"/>
    <n v="3"/>
    <x v="0"/>
    <n v="1"/>
    <n v="91"/>
    <n v="4"/>
    <n v="2"/>
    <s v="Research Scientist"/>
    <n v="0"/>
    <n v="0"/>
    <n v="0"/>
    <n v="0"/>
    <n v="0"/>
    <n v="0"/>
    <n v="0"/>
    <n v="1"/>
    <x v="2"/>
    <s v="Married"/>
    <n v="0"/>
    <n v="1"/>
    <n v="5175"/>
    <n v="22162"/>
    <n v="5"/>
    <s v="No"/>
    <n v="0"/>
    <n v="12"/>
    <n v="3"/>
    <n v="3"/>
    <n v="1"/>
    <n v="9"/>
    <n v="3"/>
    <n v="2"/>
    <n v="5"/>
    <n v="3"/>
    <n v="1"/>
    <n v="3"/>
  </r>
  <r>
    <n v="52"/>
    <x v="1"/>
    <n v="0"/>
    <s v="Travel_Frequently"/>
    <n v="1"/>
    <n v="0"/>
    <n v="890"/>
    <s v="Research &amp; Development"/>
    <n v="1"/>
    <n v="0"/>
    <n v="25"/>
    <n v="4"/>
    <s v="Medical"/>
    <n v="0"/>
    <n v="0"/>
    <n v="1"/>
    <n v="0"/>
    <n v="0"/>
    <n v="3"/>
    <x v="0"/>
    <n v="1"/>
    <n v="81"/>
    <n v="2"/>
    <n v="4"/>
    <s v="Manufacturing Director"/>
    <n v="0"/>
    <n v="0"/>
    <n v="0"/>
    <n v="0"/>
    <n v="1"/>
    <n v="1"/>
    <n v="0"/>
    <n v="0"/>
    <x v="0"/>
    <s v="Married"/>
    <n v="0"/>
    <n v="1"/>
    <n v="13826"/>
    <n v="19028"/>
    <n v="3"/>
    <s v="No"/>
    <n v="0"/>
    <n v="22"/>
    <n v="4"/>
    <n v="3"/>
    <n v="0"/>
    <n v="31"/>
    <n v="3"/>
    <n v="3"/>
    <n v="9"/>
    <n v="8"/>
    <n v="0"/>
    <n v="0"/>
  </r>
  <r>
    <n v="37"/>
    <x v="1"/>
    <n v="0"/>
    <s v="Travel_Rarely"/>
    <n v="0"/>
    <n v="1"/>
    <n v="342"/>
    <s v="Sales"/>
    <n v="0"/>
    <n v="1"/>
    <n v="16"/>
    <n v="4"/>
    <s v="Marketing"/>
    <n v="0"/>
    <n v="0"/>
    <n v="0"/>
    <n v="1"/>
    <n v="0"/>
    <n v="4"/>
    <x v="1"/>
    <n v="0"/>
    <n v="66"/>
    <n v="2"/>
    <n v="2"/>
    <s v="Sales Executive"/>
    <n v="0"/>
    <n v="1"/>
    <n v="0"/>
    <n v="0"/>
    <n v="0"/>
    <n v="0"/>
    <n v="0"/>
    <n v="0"/>
    <x v="2"/>
    <s v="Divorced"/>
    <n v="0"/>
    <n v="0"/>
    <n v="6334"/>
    <n v="24558"/>
    <n v="4"/>
    <s v="No"/>
    <n v="0"/>
    <n v="19"/>
    <n v="3"/>
    <n v="4"/>
    <n v="2"/>
    <n v="9"/>
    <n v="2"/>
    <n v="3"/>
    <n v="1"/>
    <n v="0"/>
    <n v="0"/>
    <n v="0"/>
  </r>
  <r>
    <n v="28"/>
    <x v="1"/>
    <n v="0"/>
    <s v="Travel_Rarely"/>
    <n v="0"/>
    <n v="1"/>
    <n v="1169"/>
    <s v="Human Resources"/>
    <n v="0"/>
    <n v="0"/>
    <n v="8"/>
    <n v="2"/>
    <s v="Medical"/>
    <n v="0"/>
    <n v="0"/>
    <n v="1"/>
    <n v="0"/>
    <n v="0"/>
    <n v="2"/>
    <x v="1"/>
    <n v="0"/>
    <n v="63"/>
    <n v="2"/>
    <n v="1"/>
    <s v="Human Resources"/>
    <n v="0"/>
    <n v="0"/>
    <n v="0"/>
    <n v="0"/>
    <n v="0"/>
    <n v="0"/>
    <n v="0"/>
    <n v="0"/>
    <x v="0"/>
    <s v="Divorced"/>
    <n v="0"/>
    <n v="0"/>
    <n v="4936"/>
    <n v="23965"/>
    <n v="1"/>
    <s v="No"/>
    <n v="0"/>
    <n v="13"/>
    <n v="3"/>
    <n v="4"/>
    <n v="1"/>
    <n v="6"/>
    <n v="6"/>
    <n v="3"/>
    <n v="5"/>
    <n v="1"/>
    <n v="0"/>
    <n v="4"/>
  </r>
  <r>
    <n v="22"/>
    <x v="1"/>
    <n v="0"/>
    <s v="Travel_Rarely"/>
    <n v="0"/>
    <n v="1"/>
    <n v="1230"/>
    <s v="Research &amp; Development"/>
    <n v="1"/>
    <n v="0"/>
    <n v="1"/>
    <n v="2"/>
    <s v="Life Sciences"/>
    <n v="1"/>
    <n v="0"/>
    <n v="0"/>
    <n v="0"/>
    <n v="0"/>
    <n v="4"/>
    <x v="1"/>
    <n v="0"/>
    <n v="33"/>
    <n v="2"/>
    <n v="2"/>
    <s v="Manufacturing Director"/>
    <n v="0"/>
    <n v="0"/>
    <n v="0"/>
    <n v="0"/>
    <n v="1"/>
    <n v="1"/>
    <n v="0"/>
    <n v="0"/>
    <x v="0"/>
    <s v="Married"/>
    <n v="0"/>
    <n v="1"/>
    <n v="4775"/>
    <n v="19146"/>
    <n v="6"/>
    <s v="No"/>
    <n v="0"/>
    <n v="22"/>
    <n v="4"/>
    <n v="1"/>
    <n v="2"/>
    <n v="4"/>
    <n v="2"/>
    <n v="1"/>
    <n v="2"/>
    <n v="2"/>
    <n v="2"/>
    <n v="2"/>
  </r>
  <r>
    <n v="44"/>
    <x v="1"/>
    <n v="0"/>
    <s v="Travel_Rarely"/>
    <n v="0"/>
    <n v="1"/>
    <n v="986"/>
    <s v="Research &amp; Development"/>
    <n v="1"/>
    <n v="0"/>
    <n v="8"/>
    <n v="4"/>
    <s v="Life Sciences"/>
    <n v="1"/>
    <n v="0"/>
    <n v="0"/>
    <n v="0"/>
    <n v="0"/>
    <n v="1"/>
    <x v="1"/>
    <n v="0"/>
    <n v="62"/>
    <n v="4"/>
    <n v="1"/>
    <s v="Laboratory Technician"/>
    <n v="0"/>
    <n v="0"/>
    <n v="1"/>
    <n v="0"/>
    <n v="0"/>
    <n v="0"/>
    <n v="0"/>
    <n v="0"/>
    <x v="0"/>
    <s v="Married"/>
    <n v="0"/>
    <n v="1"/>
    <n v="2818"/>
    <n v="5044"/>
    <n v="2"/>
    <s v="Yes"/>
    <n v="1"/>
    <n v="24"/>
    <n v="4"/>
    <n v="3"/>
    <n v="1"/>
    <n v="10"/>
    <n v="2"/>
    <n v="2"/>
    <n v="3"/>
    <n v="2"/>
    <n v="0"/>
    <n v="2"/>
  </r>
  <r>
    <n v="42"/>
    <x v="1"/>
    <n v="0"/>
    <s v="Travel_Frequently"/>
    <n v="1"/>
    <n v="0"/>
    <n v="1271"/>
    <s v="Research &amp; Development"/>
    <n v="1"/>
    <n v="0"/>
    <n v="2"/>
    <n v="1"/>
    <s v="Medical"/>
    <n v="0"/>
    <n v="0"/>
    <n v="1"/>
    <n v="0"/>
    <n v="0"/>
    <n v="2"/>
    <x v="1"/>
    <n v="0"/>
    <n v="35"/>
    <n v="3"/>
    <n v="1"/>
    <s v="Research Scientist"/>
    <n v="0"/>
    <n v="0"/>
    <n v="0"/>
    <n v="0"/>
    <n v="0"/>
    <n v="0"/>
    <n v="0"/>
    <n v="1"/>
    <x v="0"/>
    <s v="Single"/>
    <n v="1"/>
    <n v="0"/>
    <n v="2515"/>
    <n v="9068"/>
    <n v="5"/>
    <s v="Yes"/>
    <n v="1"/>
    <n v="14"/>
    <n v="3"/>
    <n v="4"/>
    <n v="0"/>
    <n v="8"/>
    <n v="2"/>
    <n v="3"/>
    <n v="2"/>
    <n v="1"/>
    <n v="2"/>
    <n v="2"/>
  </r>
  <r>
    <n v="36"/>
    <x v="1"/>
    <n v="0"/>
    <s v="Travel_Rarely"/>
    <n v="0"/>
    <n v="1"/>
    <n v="1278"/>
    <s v="Human Resources"/>
    <n v="0"/>
    <n v="0"/>
    <n v="8"/>
    <n v="3"/>
    <s v="Life Sciences"/>
    <n v="1"/>
    <n v="0"/>
    <n v="0"/>
    <n v="0"/>
    <n v="0"/>
    <n v="1"/>
    <x v="1"/>
    <n v="0"/>
    <n v="77"/>
    <n v="2"/>
    <n v="1"/>
    <s v="Human Resources"/>
    <n v="0"/>
    <n v="0"/>
    <n v="0"/>
    <n v="0"/>
    <n v="0"/>
    <n v="0"/>
    <n v="0"/>
    <n v="0"/>
    <x v="3"/>
    <s v="Married"/>
    <n v="0"/>
    <n v="1"/>
    <n v="2342"/>
    <n v="8635"/>
    <n v="0"/>
    <s v="No"/>
    <n v="0"/>
    <n v="21"/>
    <n v="4"/>
    <n v="3"/>
    <n v="0"/>
    <n v="6"/>
    <n v="3"/>
    <n v="3"/>
    <n v="5"/>
    <n v="4"/>
    <n v="0"/>
    <n v="3"/>
  </r>
  <r>
    <n v="25"/>
    <x v="1"/>
    <n v="0"/>
    <s v="Travel_Rarely"/>
    <n v="0"/>
    <n v="1"/>
    <n v="141"/>
    <s v="Sales"/>
    <n v="0"/>
    <n v="1"/>
    <n v="3"/>
    <n v="1"/>
    <s v="Other"/>
    <n v="0"/>
    <n v="1"/>
    <n v="0"/>
    <n v="0"/>
    <n v="0"/>
    <n v="3"/>
    <x v="1"/>
    <n v="0"/>
    <n v="98"/>
    <n v="3"/>
    <n v="2"/>
    <s v="Sales Executive"/>
    <n v="0"/>
    <n v="1"/>
    <n v="0"/>
    <n v="0"/>
    <n v="0"/>
    <n v="0"/>
    <n v="0"/>
    <n v="0"/>
    <x v="3"/>
    <s v="Married"/>
    <n v="0"/>
    <n v="1"/>
    <n v="4194"/>
    <n v="14363"/>
    <n v="1"/>
    <s v="Yes"/>
    <n v="1"/>
    <n v="18"/>
    <n v="3"/>
    <n v="4"/>
    <n v="0"/>
    <n v="5"/>
    <n v="3"/>
    <n v="3"/>
    <n v="5"/>
    <n v="3"/>
    <n v="0"/>
    <n v="3"/>
  </r>
  <r>
    <n v="35"/>
    <x v="1"/>
    <n v="0"/>
    <s v="Travel_Rarely"/>
    <n v="0"/>
    <n v="1"/>
    <n v="607"/>
    <s v="Research &amp; Development"/>
    <n v="1"/>
    <n v="0"/>
    <n v="9"/>
    <n v="3"/>
    <s v="Life Sciences"/>
    <n v="1"/>
    <n v="0"/>
    <n v="0"/>
    <n v="0"/>
    <n v="0"/>
    <n v="4"/>
    <x v="0"/>
    <n v="1"/>
    <n v="66"/>
    <n v="2"/>
    <n v="3"/>
    <s v="Manufacturing Director"/>
    <n v="0"/>
    <n v="0"/>
    <n v="0"/>
    <n v="0"/>
    <n v="1"/>
    <n v="1"/>
    <n v="0"/>
    <n v="0"/>
    <x v="2"/>
    <s v="Married"/>
    <n v="0"/>
    <n v="1"/>
    <n v="10685"/>
    <n v="23457"/>
    <n v="1"/>
    <s v="Yes"/>
    <n v="1"/>
    <n v="20"/>
    <n v="4"/>
    <n v="2"/>
    <n v="1"/>
    <n v="17"/>
    <n v="2"/>
    <n v="3"/>
    <n v="17"/>
    <n v="14"/>
    <n v="5"/>
    <n v="15"/>
  </r>
  <r>
    <n v="35"/>
    <x v="0"/>
    <n v="1"/>
    <s v="Travel_Frequently"/>
    <n v="1"/>
    <n v="0"/>
    <n v="130"/>
    <s v="Research &amp; Development"/>
    <n v="1"/>
    <n v="0"/>
    <n v="25"/>
    <n v="4"/>
    <s v="Life Sciences"/>
    <n v="1"/>
    <n v="0"/>
    <n v="0"/>
    <n v="0"/>
    <n v="0"/>
    <n v="4"/>
    <x v="0"/>
    <n v="1"/>
    <n v="96"/>
    <n v="3"/>
    <n v="1"/>
    <s v="Research Scientist"/>
    <n v="0"/>
    <n v="0"/>
    <n v="0"/>
    <n v="0"/>
    <n v="0"/>
    <n v="0"/>
    <n v="0"/>
    <n v="1"/>
    <x v="1"/>
    <s v="Divorced"/>
    <n v="0"/>
    <n v="0"/>
    <n v="2022"/>
    <n v="16612"/>
    <n v="1"/>
    <s v="Yes"/>
    <n v="1"/>
    <n v="19"/>
    <n v="3"/>
    <n v="1"/>
    <n v="1"/>
    <n v="10"/>
    <n v="3"/>
    <n v="2"/>
    <n v="10"/>
    <n v="2"/>
    <n v="7"/>
    <n v="8"/>
  </r>
  <r>
    <n v="32"/>
    <x v="1"/>
    <n v="0"/>
    <s v="Non-Travel"/>
    <n v="0"/>
    <n v="0"/>
    <n v="300"/>
    <s v="Research &amp; Development"/>
    <n v="1"/>
    <n v="0"/>
    <n v="1"/>
    <n v="3"/>
    <s v="Life Sciences"/>
    <n v="1"/>
    <n v="0"/>
    <n v="0"/>
    <n v="0"/>
    <n v="0"/>
    <n v="4"/>
    <x v="1"/>
    <n v="0"/>
    <n v="61"/>
    <n v="3"/>
    <n v="1"/>
    <s v="Laboratory Technician"/>
    <n v="0"/>
    <n v="0"/>
    <n v="1"/>
    <n v="0"/>
    <n v="0"/>
    <n v="0"/>
    <n v="0"/>
    <n v="0"/>
    <x v="0"/>
    <s v="Divorced"/>
    <n v="0"/>
    <n v="0"/>
    <n v="2314"/>
    <n v="9148"/>
    <n v="0"/>
    <s v="No"/>
    <n v="0"/>
    <n v="12"/>
    <n v="3"/>
    <n v="2"/>
    <n v="1"/>
    <n v="4"/>
    <n v="2"/>
    <n v="3"/>
    <n v="3"/>
    <n v="0"/>
    <n v="0"/>
    <n v="2"/>
  </r>
  <r>
    <n v="25"/>
    <x v="1"/>
    <n v="0"/>
    <s v="Travel_Rarely"/>
    <n v="0"/>
    <n v="1"/>
    <n v="583"/>
    <s v="Sales"/>
    <n v="0"/>
    <n v="1"/>
    <n v="4"/>
    <n v="1"/>
    <s v="Marketing"/>
    <n v="0"/>
    <n v="0"/>
    <n v="0"/>
    <n v="1"/>
    <n v="0"/>
    <n v="3"/>
    <x v="1"/>
    <n v="0"/>
    <n v="87"/>
    <n v="2"/>
    <n v="2"/>
    <s v="Sales Executive"/>
    <n v="0"/>
    <n v="1"/>
    <n v="0"/>
    <n v="0"/>
    <n v="0"/>
    <n v="0"/>
    <n v="0"/>
    <n v="0"/>
    <x v="3"/>
    <s v="Married"/>
    <n v="0"/>
    <n v="1"/>
    <n v="4256"/>
    <n v="18154"/>
    <n v="1"/>
    <s v="No"/>
    <n v="0"/>
    <n v="12"/>
    <n v="3"/>
    <n v="1"/>
    <n v="0"/>
    <n v="5"/>
    <n v="1"/>
    <n v="4"/>
    <n v="5"/>
    <n v="2"/>
    <n v="0"/>
    <n v="3"/>
  </r>
  <r>
    <n v="49"/>
    <x v="1"/>
    <n v="0"/>
    <s v="Travel_Rarely"/>
    <n v="0"/>
    <n v="1"/>
    <n v="1418"/>
    <s v="Research &amp; Development"/>
    <n v="1"/>
    <n v="0"/>
    <n v="1"/>
    <n v="3"/>
    <s v="Technical Degree"/>
    <n v="0"/>
    <n v="0"/>
    <n v="0"/>
    <n v="0"/>
    <n v="1"/>
    <n v="3"/>
    <x v="0"/>
    <n v="1"/>
    <n v="36"/>
    <n v="3"/>
    <n v="1"/>
    <s v="Research Scientist"/>
    <n v="0"/>
    <n v="0"/>
    <n v="0"/>
    <n v="0"/>
    <n v="0"/>
    <n v="0"/>
    <n v="0"/>
    <n v="1"/>
    <x v="3"/>
    <s v="Married"/>
    <n v="0"/>
    <n v="1"/>
    <n v="3580"/>
    <n v="10554"/>
    <n v="2"/>
    <s v="No"/>
    <n v="0"/>
    <n v="16"/>
    <n v="3"/>
    <n v="2"/>
    <n v="1"/>
    <n v="7"/>
    <n v="2"/>
    <n v="3"/>
    <n v="4"/>
    <n v="2"/>
    <n v="0"/>
    <n v="2"/>
  </r>
  <r>
    <n v="24"/>
    <x v="1"/>
    <n v="0"/>
    <s v="Non-Travel"/>
    <n v="0"/>
    <n v="0"/>
    <n v="1269"/>
    <s v="Research &amp; Development"/>
    <n v="1"/>
    <n v="0"/>
    <n v="4"/>
    <n v="1"/>
    <s v="Life Sciences"/>
    <n v="1"/>
    <n v="0"/>
    <n v="0"/>
    <n v="0"/>
    <n v="0"/>
    <n v="1"/>
    <x v="1"/>
    <n v="0"/>
    <n v="46"/>
    <n v="2"/>
    <n v="1"/>
    <s v="Laboratory Technician"/>
    <n v="0"/>
    <n v="0"/>
    <n v="1"/>
    <n v="0"/>
    <n v="0"/>
    <n v="0"/>
    <n v="0"/>
    <n v="0"/>
    <x v="0"/>
    <s v="Married"/>
    <n v="0"/>
    <n v="1"/>
    <n v="3162"/>
    <n v="10778"/>
    <n v="0"/>
    <s v="No"/>
    <n v="0"/>
    <n v="17"/>
    <n v="3"/>
    <n v="4"/>
    <n v="0"/>
    <n v="6"/>
    <n v="2"/>
    <n v="2"/>
    <n v="5"/>
    <n v="2"/>
    <n v="3"/>
    <n v="4"/>
  </r>
  <r>
    <n v="32"/>
    <x v="1"/>
    <n v="0"/>
    <s v="Travel_Frequently"/>
    <n v="1"/>
    <n v="0"/>
    <n v="379"/>
    <s v="Sales"/>
    <n v="0"/>
    <n v="1"/>
    <n v="5"/>
    <n v="2"/>
    <s v="Life Sciences"/>
    <n v="1"/>
    <n v="0"/>
    <n v="0"/>
    <n v="0"/>
    <n v="0"/>
    <n v="2"/>
    <x v="1"/>
    <n v="0"/>
    <n v="48"/>
    <n v="3"/>
    <n v="2"/>
    <s v="Sales Executive"/>
    <n v="0"/>
    <n v="1"/>
    <n v="0"/>
    <n v="0"/>
    <n v="0"/>
    <n v="0"/>
    <n v="0"/>
    <n v="0"/>
    <x v="1"/>
    <s v="Married"/>
    <n v="0"/>
    <n v="1"/>
    <n v="6524"/>
    <n v="8891"/>
    <n v="1"/>
    <s v="No"/>
    <n v="0"/>
    <n v="14"/>
    <n v="3"/>
    <n v="4"/>
    <n v="1"/>
    <n v="10"/>
    <n v="3"/>
    <n v="3"/>
    <n v="10"/>
    <n v="8"/>
    <n v="5"/>
    <n v="3"/>
  </r>
  <r>
    <n v="38"/>
    <x v="1"/>
    <n v="0"/>
    <s v="Travel_Rarely"/>
    <n v="0"/>
    <n v="1"/>
    <n v="395"/>
    <s v="Sales"/>
    <n v="0"/>
    <n v="1"/>
    <n v="9"/>
    <n v="3"/>
    <s v="Marketing"/>
    <n v="0"/>
    <n v="0"/>
    <n v="0"/>
    <n v="1"/>
    <n v="0"/>
    <n v="2"/>
    <x v="1"/>
    <n v="0"/>
    <n v="98"/>
    <n v="2"/>
    <n v="1"/>
    <s v="Sales Representative"/>
    <n v="0"/>
    <n v="0"/>
    <n v="0"/>
    <n v="0"/>
    <n v="0"/>
    <n v="0"/>
    <n v="1"/>
    <n v="0"/>
    <x v="1"/>
    <s v="Married"/>
    <n v="0"/>
    <n v="1"/>
    <n v="2899"/>
    <n v="12102"/>
    <n v="0"/>
    <s v="No"/>
    <n v="0"/>
    <n v="19"/>
    <n v="3"/>
    <n v="4"/>
    <n v="1"/>
    <n v="3"/>
    <n v="3"/>
    <n v="3"/>
    <n v="2"/>
    <n v="2"/>
    <n v="1"/>
    <n v="2"/>
  </r>
  <r>
    <n v="42"/>
    <x v="1"/>
    <n v="0"/>
    <s v="Travel_Rarely"/>
    <n v="0"/>
    <n v="1"/>
    <n v="1265"/>
    <s v="Research &amp; Development"/>
    <n v="1"/>
    <n v="0"/>
    <n v="3"/>
    <n v="3"/>
    <s v="Life Sciences"/>
    <n v="1"/>
    <n v="0"/>
    <n v="0"/>
    <n v="0"/>
    <n v="0"/>
    <n v="3"/>
    <x v="0"/>
    <n v="1"/>
    <n v="95"/>
    <n v="4"/>
    <n v="2"/>
    <s v="Laboratory Technician"/>
    <n v="0"/>
    <n v="0"/>
    <n v="1"/>
    <n v="0"/>
    <n v="0"/>
    <n v="0"/>
    <n v="0"/>
    <n v="0"/>
    <x v="0"/>
    <s v="Married"/>
    <n v="0"/>
    <n v="1"/>
    <n v="5231"/>
    <n v="23726"/>
    <n v="2"/>
    <s v="Yes"/>
    <n v="1"/>
    <n v="13"/>
    <n v="3"/>
    <n v="2"/>
    <n v="1"/>
    <n v="17"/>
    <n v="1"/>
    <n v="2"/>
    <n v="5"/>
    <n v="3"/>
    <n v="1"/>
    <n v="3"/>
  </r>
  <r>
    <n v="31"/>
    <x v="1"/>
    <n v="0"/>
    <s v="Travel_Rarely"/>
    <n v="0"/>
    <n v="1"/>
    <n v="1222"/>
    <s v="Research &amp; Development"/>
    <n v="1"/>
    <n v="0"/>
    <n v="11"/>
    <n v="4"/>
    <s v="Life Sciences"/>
    <n v="1"/>
    <n v="0"/>
    <n v="0"/>
    <n v="0"/>
    <n v="0"/>
    <n v="4"/>
    <x v="1"/>
    <n v="0"/>
    <n v="48"/>
    <n v="3"/>
    <n v="1"/>
    <s v="Research Scientist"/>
    <n v="0"/>
    <n v="0"/>
    <n v="0"/>
    <n v="0"/>
    <n v="0"/>
    <n v="0"/>
    <n v="0"/>
    <n v="1"/>
    <x v="0"/>
    <s v="Married"/>
    <n v="0"/>
    <n v="1"/>
    <n v="2356"/>
    <n v="14871"/>
    <n v="3"/>
    <s v="Yes"/>
    <n v="1"/>
    <n v="19"/>
    <n v="3"/>
    <n v="2"/>
    <n v="1"/>
    <n v="8"/>
    <n v="2"/>
    <n v="3"/>
    <n v="6"/>
    <n v="4"/>
    <n v="0"/>
    <n v="2"/>
  </r>
  <r>
    <n v="29"/>
    <x v="0"/>
    <n v="1"/>
    <s v="Travel_Rarely"/>
    <n v="0"/>
    <n v="1"/>
    <n v="341"/>
    <s v="Sales"/>
    <n v="0"/>
    <n v="1"/>
    <n v="1"/>
    <n v="3"/>
    <s v="Medical"/>
    <n v="0"/>
    <n v="0"/>
    <n v="1"/>
    <n v="0"/>
    <n v="0"/>
    <n v="2"/>
    <x v="0"/>
    <n v="1"/>
    <n v="48"/>
    <n v="2"/>
    <n v="1"/>
    <s v="Sales Representative"/>
    <n v="0"/>
    <n v="0"/>
    <n v="0"/>
    <n v="0"/>
    <n v="0"/>
    <n v="0"/>
    <n v="1"/>
    <n v="0"/>
    <x v="2"/>
    <s v="Divorced"/>
    <n v="0"/>
    <n v="0"/>
    <n v="2800"/>
    <n v="23522"/>
    <n v="6"/>
    <s v="Yes"/>
    <n v="1"/>
    <n v="19"/>
    <n v="3"/>
    <n v="3"/>
    <n v="3"/>
    <n v="5"/>
    <n v="3"/>
    <n v="3"/>
    <n v="3"/>
    <n v="2"/>
    <n v="0"/>
    <n v="2"/>
  </r>
  <r>
    <n v="53"/>
    <x v="1"/>
    <n v="0"/>
    <s v="Travel_Rarely"/>
    <n v="0"/>
    <n v="1"/>
    <n v="868"/>
    <s v="Sales"/>
    <n v="0"/>
    <n v="1"/>
    <n v="8"/>
    <n v="3"/>
    <s v="Marketing"/>
    <n v="0"/>
    <n v="0"/>
    <n v="0"/>
    <n v="1"/>
    <n v="0"/>
    <n v="1"/>
    <x v="1"/>
    <n v="0"/>
    <n v="73"/>
    <n v="3"/>
    <n v="4"/>
    <s v="Sales Executive"/>
    <n v="0"/>
    <n v="1"/>
    <n v="0"/>
    <n v="0"/>
    <n v="0"/>
    <n v="0"/>
    <n v="0"/>
    <n v="0"/>
    <x v="0"/>
    <s v="Married"/>
    <n v="0"/>
    <n v="1"/>
    <n v="11836"/>
    <n v="22789"/>
    <n v="5"/>
    <s v="No"/>
    <n v="0"/>
    <n v="14"/>
    <n v="3"/>
    <n v="3"/>
    <n v="1"/>
    <n v="28"/>
    <n v="3"/>
    <n v="3"/>
    <n v="2"/>
    <n v="0"/>
    <n v="2"/>
    <n v="2"/>
  </r>
  <r>
    <n v="35"/>
    <x v="1"/>
    <n v="0"/>
    <s v="Travel_Rarely"/>
    <n v="0"/>
    <n v="1"/>
    <n v="672"/>
    <s v="Research &amp; Development"/>
    <n v="1"/>
    <n v="0"/>
    <n v="25"/>
    <n v="3"/>
    <s v="Technical Degree"/>
    <n v="0"/>
    <n v="0"/>
    <n v="0"/>
    <n v="0"/>
    <n v="1"/>
    <n v="4"/>
    <x v="1"/>
    <n v="0"/>
    <n v="78"/>
    <n v="2"/>
    <n v="3"/>
    <s v="Manufacturing Director"/>
    <n v="0"/>
    <n v="0"/>
    <n v="0"/>
    <n v="0"/>
    <n v="1"/>
    <n v="1"/>
    <n v="0"/>
    <n v="0"/>
    <x v="1"/>
    <s v="Married"/>
    <n v="0"/>
    <n v="1"/>
    <n v="10903"/>
    <n v="9129"/>
    <n v="3"/>
    <s v="No"/>
    <n v="0"/>
    <n v="16"/>
    <n v="3"/>
    <n v="1"/>
    <n v="0"/>
    <n v="16"/>
    <n v="2"/>
    <n v="3"/>
    <n v="13"/>
    <n v="10"/>
    <n v="4"/>
    <n v="8"/>
  </r>
  <r>
    <n v="37"/>
    <x v="1"/>
    <n v="0"/>
    <s v="Travel_Frequently"/>
    <n v="1"/>
    <n v="0"/>
    <n v="1231"/>
    <s v="Sales"/>
    <n v="0"/>
    <n v="1"/>
    <n v="21"/>
    <n v="2"/>
    <s v="Medical"/>
    <n v="0"/>
    <n v="0"/>
    <n v="1"/>
    <n v="0"/>
    <n v="0"/>
    <n v="3"/>
    <x v="0"/>
    <n v="1"/>
    <n v="54"/>
    <n v="3"/>
    <n v="1"/>
    <s v="Sales Representative"/>
    <n v="0"/>
    <n v="0"/>
    <n v="0"/>
    <n v="0"/>
    <n v="0"/>
    <n v="0"/>
    <n v="1"/>
    <n v="0"/>
    <x v="0"/>
    <s v="Married"/>
    <n v="0"/>
    <n v="1"/>
    <n v="2973"/>
    <n v="21222"/>
    <n v="5"/>
    <s v="No"/>
    <n v="0"/>
    <n v="15"/>
    <n v="3"/>
    <n v="2"/>
    <n v="1"/>
    <n v="10"/>
    <n v="3"/>
    <n v="3"/>
    <n v="5"/>
    <n v="4"/>
    <n v="0"/>
    <n v="0"/>
  </r>
  <r>
    <n v="53"/>
    <x v="1"/>
    <n v="0"/>
    <s v="Travel_Rarely"/>
    <n v="0"/>
    <n v="1"/>
    <n v="102"/>
    <s v="Research &amp; Development"/>
    <n v="1"/>
    <n v="0"/>
    <n v="23"/>
    <n v="4"/>
    <s v="Life Sciences"/>
    <n v="1"/>
    <n v="0"/>
    <n v="0"/>
    <n v="0"/>
    <n v="0"/>
    <n v="4"/>
    <x v="0"/>
    <n v="1"/>
    <n v="72"/>
    <n v="3"/>
    <n v="4"/>
    <s v="Research Director"/>
    <n v="0"/>
    <n v="0"/>
    <n v="0"/>
    <n v="0"/>
    <n v="0"/>
    <n v="0"/>
    <n v="0"/>
    <n v="0"/>
    <x v="0"/>
    <s v="Single"/>
    <n v="1"/>
    <n v="0"/>
    <n v="14275"/>
    <n v="20206"/>
    <n v="6"/>
    <s v="No"/>
    <n v="0"/>
    <n v="18"/>
    <n v="3"/>
    <n v="3"/>
    <n v="0"/>
    <n v="33"/>
    <n v="0"/>
    <n v="3"/>
    <n v="12"/>
    <n v="9"/>
    <n v="3"/>
    <n v="8"/>
  </r>
  <r>
    <n v="43"/>
    <x v="1"/>
    <n v="0"/>
    <s v="Travel_Frequently"/>
    <n v="1"/>
    <n v="0"/>
    <n v="422"/>
    <s v="Research &amp; Development"/>
    <n v="1"/>
    <n v="0"/>
    <n v="1"/>
    <n v="3"/>
    <s v="Life Sciences"/>
    <n v="1"/>
    <n v="0"/>
    <n v="0"/>
    <n v="0"/>
    <n v="0"/>
    <n v="4"/>
    <x v="0"/>
    <n v="1"/>
    <n v="33"/>
    <n v="3"/>
    <n v="2"/>
    <s v="Healthcare Representative"/>
    <n v="1"/>
    <n v="0"/>
    <n v="0"/>
    <n v="0"/>
    <n v="0"/>
    <n v="0"/>
    <n v="0"/>
    <n v="0"/>
    <x v="0"/>
    <s v="Married"/>
    <n v="0"/>
    <n v="1"/>
    <n v="5562"/>
    <n v="21782"/>
    <n v="4"/>
    <s v="No"/>
    <n v="0"/>
    <n v="13"/>
    <n v="3"/>
    <n v="2"/>
    <n v="1"/>
    <n v="12"/>
    <n v="2"/>
    <n v="2"/>
    <n v="5"/>
    <n v="2"/>
    <n v="2"/>
    <n v="2"/>
  </r>
  <r>
    <n v="47"/>
    <x v="1"/>
    <n v="0"/>
    <s v="Travel_Rarely"/>
    <n v="0"/>
    <n v="1"/>
    <n v="249"/>
    <s v="Sales"/>
    <n v="0"/>
    <n v="1"/>
    <n v="2"/>
    <n v="2"/>
    <s v="Marketing"/>
    <n v="0"/>
    <n v="0"/>
    <n v="0"/>
    <n v="1"/>
    <n v="0"/>
    <n v="3"/>
    <x v="0"/>
    <n v="1"/>
    <n v="35"/>
    <n v="3"/>
    <n v="2"/>
    <s v="Sales Executive"/>
    <n v="0"/>
    <n v="1"/>
    <n v="0"/>
    <n v="0"/>
    <n v="0"/>
    <n v="0"/>
    <n v="0"/>
    <n v="0"/>
    <x v="0"/>
    <s v="Married"/>
    <n v="0"/>
    <n v="1"/>
    <n v="4537"/>
    <n v="17783"/>
    <n v="0"/>
    <s v="Yes"/>
    <n v="1"/>
    <n v="22"/>
    <n v="4"/>
    <n v="1"/>
    <n v="1"/>
    <n v="8"/>
    <n v="2"/>
    <n v="3"/>
    <n v="7"/>
    <n v="6"/>
    <n v="7"/>
    <n v="7"/>
  </r>
  <r>
    <n v="37"/>
    <x v="1"/>
    <n v="0"/>
    <s v="Non-Travel"/>
    <n v="0"/>
    <n v="0"/>
    <n v="1252"/>
    <s v="Sales"/>
    <n v="0"/>
    <n v="1"/>
    <n v="19"/>
    <n v="2"/>
    <s v="Medical"/>
    <n v="0"/>
    <n v="0"/>
    <n v="1"/>
    <n v="0"/>
    <n v="0"/>
    <n v="1"/>
    <x v="1"/>
    <n v="0"/>
    <n v="32"/>
    <n v="3"/>
    <n v="3"/>
    <s v="Sales Executive"/>
    <n v="0"/>
    <n v="1"/>
    <n v="0"/>
    <n v="0"/>
    <n v="0"/>
    <n v="0"/>
    <n v="0"/>
    <n v="0"/>
    <x v="1"/>
    <s v="Single"/>
    <n v="1"/>
    <n v="0"/>
    <n v="7642"/>
    <n v="4814"/>
    <n v="1"/>
    <s v="Yes"/>
    <n v="1"/>
    <n v="13"/>
    <n v="3"/>
    <n v="4"/>
    <n v="0"/>
    <n v="10"/>
    <n v="2"/>
    <n v="3"/>
    <n v="10"/>
    <n v="0"/>
    <n v="0"/>
    <n v="9"/>
  </r>
  <r>
    <n v="50"/>
    <x v="1"/>
    <n v="0"/>
    <s v="Non-Travel"/>
    <n v="0"/>
    <n v="0"/>
    <n v="881"/>
    <s v="Research &amp; Development"/>
    <n v="1"/>
    <n v="0"/>
    <n v="2"/>
    <n v="4"/>
    <s v="Life Sciences"/>
    <n v="1"/>
    <n v="0"/>
    <n v="0"/>
    <n v="0"/>
    <n v="0"/>
    <n v="1"/>
    <x v="1"/>
    <n v="0"/>
    <n v="98"/>
    <n v="3"/>
    <n v="4"/>
    <s v="Manager"/>
    <n v="0"/>
    <n v="0"/>
    <n v="0"/>
    <n v="1"/>
    <n v="0"/>
    <n v="0"/>
    <n v="0"/>
    <n v="0"/>
    <x v="3"/>
    <s v="Divorced"/>
    <n v="0"/>
    <n v="0"/>
    <n v="17924"/>
    <n v="4544"/>
    <n v="1"/>
    <s v="No"/>
    <n v="0"/>
    <n v="11"/>
    <n v="3"/>
    <n v="4"/>
    <n v="1"/>
    <n v="31"/>
    <n v="3"/>
    <n v="3"/>
    <n v="31"/>
    <n v="6"/>
    <n v="14"/>
    <n v="7"/>
  </r>
  <r>
    <n v="39"/>
    <x v="1"/>
    <n v="0"/>
    <s v="Travel_Rarely"/>
    <n v="0"/>
    <n v="1"/>
    <n v="1383"/>
    <s v="Human Resources"/>
    <n v="0"/>
    <n v="0"/>
    <n v="2"/>
    <n v="3"/>
    <s v="Life Sciences"/>
    <n v="1"/>
    <n v="0"/>
    <n v="0"/>
    <n v="0"/>
    <n v="0"/>
    <n v="4"/>
    <x v="0"/>
    <n v="1"/>
    <n v="42"/>
    <n v="2"/>
    <n v="2"/>
    <s v="Human Resources"/>
    <n v="0"/>
    <n v="0"/>
    <n v="0"/>
    <n v="0"/>
    <n v="0"/>
    <n v="0"/>
    <n v="0"/>
    <n v="0"/>
    <x v="0"/>
    <s v="Married"/>
    <n v="0"/>
    <n v="1"/>
    <n v="5204"/>
    <n v="7790"/>
    <n v="8"/>
    <s v="No"/>
    <n v="0"/>
    <n v="11"/>
    <n v="3"/>
    <n v="3"/>
    <n v="2"/>
    <n v="13"/>
    <n v="2"/>
    <n v="3"/>
    <n v="5"/>
    <n v="4"/>
    <n v="0"/>
    <n v="4"/>
  </r>
  <r>
    <n v="33"/>
    <x v="1"/>
    <n v="0"/>
    <s v="Travel_Rarely"/>
    <n v="0"/>
    <n v="1"/>
    <n v="1075"/>
    <s v="Human Resources"/>
    <n v="0"/>
    <n v="0"/>
    <n v="3"/>
    <n v="2"/>
    <s v="Human Resources"/>
    <n v="0"/>
    <n v="0"/>
    <n v="0"/>
    <n v="0"/>
    <n v="0"/>
    <n v="4"/>
    <x v="1"/>
    <n v="0"/>
    <n v="57"/>
    <n v="3"/>
    <n v="1"/>
    <s v="Human Resources"/>
    <n v="0"/>
    <n v="0"/>
    <n v="0"/>
    <n v="0"/>
    <n v="0"/>
    <n v="0"/>
    <n v="0"/>
    <n v="0"/>
    <x v="1"/>
    <s v="Divorced"/>
    <n v="0"/>
    <n v="0"/>
    <n v="2277"/>
    <n v="22650"/>
    <n v="3"/>
    <s v="Yes"/>
    <n v="1"/>
    <n v="11"/>
    <n v="3"/>
    <n v="3"/>
    <n v="1"/>
    <n v="7"/>
    <n v="4"/>
    <n v="4"/>
    <n v="4"/>
    <n v="3"/>
    <n v="0"/>
    <n v="3"/>
  </r>
  <r>
    <n v="32"/>
    <x v="0"/>
    <n v="1"/>
    <s v="Travel_Rarely"/>
    <n v="0"/>
    <n v="1"/>
    <n v="374"/>
    <s v="Research &amp; Development"/>
    <n v="1"/>
    <n v="0"/>
    <n v="25"/>
    <n v="4"/>
    <s v="Life Sciences"/>
    <n v="1"/>
    <n v="0"/>
    <n v="0"/>
    <n v="0"/>
    <n v="0"/>
    <n v="1"/>
    <x v="1"/>
    <n v="0"/>
    <n v="87"/>
    <n v="3"/>
    <n v="1"/>
    <s v="Laboratory Technician"/>
    <n v="0"/>
    <n v="0"/>
    <n v="1"/>
    <n v="0"/>
    <n v="0"/>
    <n v="0"/>
    <n v="0"/>
    <n v="0"/>
    <x v="0"/>
    <s v="Single"/>
    <n v="1"/>
    <n v="0"/>
    <n v="2795"/>
    <n v="18016"/>
    <n v="1"/>
    <s v="Yes"/>
    <n v="1"/>
    <n v="24"/>
    <n v="4"/>
    <n v="3"/>
    <n v="0"/>
    <n v="1"/>
    <n v="2"/>
    <n v="1"/>
    <n v="1"/>
    <n v="0"/>
    <n v="0"/>
    <n v="1"/>
  </r>
  <r>
    <n v="29"/>
    <x v="1"/>
    <n v="0"/>
    <s v="Travel_Rarely"/>
    <n v="0"/>
    <n v="1"/>
    <n v="1086"/>
    <s v="Research &amp; Development"/>
    <n v="1"/>
    <n v="0"/>
    <n v="7"/>
    <n v="1"/>
    <s v="Medical"/>
    <n v="0"/>
    <n v="0"/>
    <n v="1"/>
    <n v="0"/>
    <n v="0"/>
    <n v="1"/>
    <x v="0"/>
    <n v="1"/>
    <n v="62"/>
    <n v="2"/>
    <n v="1"/>
    <s v="Laboratory Technician"/>
    <n v="0"/>
    <n v="0"/>
    <n v="1"/>
    <n v="0"/>
    <n v="0"/>
    <n v="0"/>
    <n v="0"/>
    <n v="0"/>
    <x v="0"/>
    <s v="Divorced"/>
    <n v="0"/>
    <n v="0"/>
    <n v="2532"/>
    <n v="6054"/>
    <n v="6"/>
    <s v="No"/>
    <n v="0"/>
    <n v="14"/>
    <n v="3"/>
    <n v="3"/>
    <n v="3"/>
    <n v="8"/>
    <n v="5"/>
    <n v="3"/>
    <n v="4"/>
    <n v="3"/>
    <n v="0"/>
    <n v="3"/>
  </r>
  <r>
    <n v="44"/>
    <x v="1"/>
    <n v="0"/>
    <s v="Travel_Rarely"/>
    <n v="0"/>
    <n v="1"/>
    <n v="661"/>
    <s v="Research &amp; Development"/>
    <n v="1"/>
    <n v="0"/>
    <n v="9"/>
    <n v="2"/>
    <s v="Life Sciences"/>
    <n v="1"/>
    <n v="0"/>
    <n v="0"/>
    <n v="0"/>
    <n v="0"/>
    <n v="2"/>
    <x v="1"/>
    <n v="0"/>
    <n v="61"/>
    <n v="3"/>
    <n v="1"/>
    <s v="Research Scientist"/>
    <n v="0"/>
    <n v="0"/>
    <n v="0"/>
    <n v="0"/>
    <n v="0"/>
    <n v="0"/>
    <n v="0"/>
    <n v="1"/>
    <x v="3"/>
    <s v="Married"/>
    <n v="0"/>
    <n v="1"/>
    <n v="2559"/>
    <n v="7508"/>
    <n v="1"/>
    <s v="Yes"/>
    <n v="1"/>
    <n v="13"/>
    <n v="3"/>
    <n v="4"/>
    <n v="0"/>
    <n v="8"/>
    <n v="0"/>
    <n v="3"/>
    <n v="8"/>
    <n v="7"/>
    <n v="7"/>
    <n v="1"/>
  </r>
  <r>
    <n v="28"/>
    <x v="1"/>
    <n v="0"/>
    <s v="Travel_Rarely"/>
    <n v="0"/>
    <n v="1"/>
    <n v="821"/>
    <s v="Sales"/>
    <n v="0"/>
    <n v="1"/>
    <n v="5"/>
    <n v="4"/>
    <s v="Medical"/>
    <n v="0"/>
    <n v="0"/>
    <n v="1"/>
    <n v="0"/>
    <n v="0"/>
    <n v="1"/>
    <x v="1"/>
    <n v="0"/>
    <n v="98"/>
    <n v="3"/>
    <n v="2"/>
    <s v="Sales Executive"/>
    <n v="0"/>
    <n v="1"/>
    <n v="0"/>
    <n v="0"/>
    <n v="0"/>
    <n v="0"/>
    <n v="0"/>
    <n v="0"/>
    <x v="0"/>
    <s v="Single"/>
    <n v="1"/>
    <n v="0"/>
    <n v="4908"/>
    <n v="24252"/>
    <n v="1"/>
    <s v="No"/>
    <n v="0"/>
    <n v="14"/>
    <n v="3"/>
    <n v="2"/>
    <n v="0"/>
    <n v="4"/>
    <n v="3"/>
    <n v="3"/>
    <n v="4"/>
    <n v="2"/>
    <n v="0"/>
    <n v="2"/>
  </r>
  <r>
    <n v="58"/>
    <x v="0"/>
    <n v="1"/>
    <s v="Travel_Frequently"/>
    <n v="1"/>
    <n v="0"/>
    <n v="781"/>
    <s v="Research &amp; Development"/>
    <n v="1"/>
    <n v="0"/>
    <n v="2"/>
    <n v="1"/>
    <s v="Life Sciences"/>
    <n v="1"/>
    <n v="0"/>
    <n v="0"/>
    <n v="0"/>
    <n v="0"/>
    <n v="4"/>
    <x v="1"/>
    <n v="0"/>
    <n v="57"/>
    <n v="2"/>
    <n v="1"/>
    <s v="Laboratory Technician"/>
    <n v="0"/>
    <n v="0"/>
    <n v="1"/>
    <n v="0"/>
    <n v="0"/>
    <n v="0"/>
    <n v="0"/>
    <n v="0"/>
    <x v="0"/>
    <s v="Divorced"/>
    <n v="0"/>
    <n v="0"/>
    <n v="2380"/>
    <n v="13384"/>
    <n v="9"/>
    <s v="Yes"/>
    <n v="1"/>
    <n v="14"/>
    <n v="3"/>
    <n v="4"/>
    <n v="1"/>
    <n v="3"/>
    <n v="3"/>
    <n v="2"/>
    <n v="1"/>
    <n v="0"/>
    <n v="0"/>
    <n v="0"/>
  </r>
  <r>
    <n v="43"/>
    <x v="1"/>
    <n v="0"/>
    <s v="Travel_Rarely"/>
    <n v="0"/>
    <n v="1"/>
    <n v="177"/>
    <s v="Research &amp; Development"/>
    <n v="1"/>
    <n v="0"/>
    <n v="8"/>
    <n v="3"/>
    <s v="Life Sciences"/>
    <n v="1"/>
    <n v="0"/>
    <n v="0"/>
    <n v="0"/>
    <n v="0"/>
    <n v="1"/>
    <x v="0"/>
    <n v="1"/>
    <n v="55"/>
    <n v="3"/>
    <n v="2"/>
    <s v="Manufacturing Director"/>
    <n v="0"/>
    <n v="0"/>
    <n v="0"/>
    <n v="0"/>
    <n v="1"/>
    <n v="1"/>
    <n v="0"/>
    <n v="0"/>
    <x v="1"/>
    <s v="Divorced"/>
    <n v="0"/>
    <n v="0"/>
    <n v="4765"/>
    <n v="23814"/>
    <n v="4"/>
    <s v="No"/>
    <n v="0"/>
    <n v="21"/>
    <n v="4"/>
    <n v="3"/>
    <n v="1"/>
    <n v="4"/>
    <n v="2"/>
    <n v="4"/>
    <n v="1"/>
    <n v="0"/>
    <n v="0"/>
    <n v="0"/>
  </r>
  <r>
    <n v="20"/>
    <x v="0"/>
    <n v="1"/>
    <s v="Travel_Rarely"/>
    <n v="0"/>
    <n v="1"/>
    <n v="500"/>
    <s v="Sales"/>
    <n v="0"/>
    <n v="1"/>
    <n v="2"/>
    <n v="3"/>
    <s v="Medical"/>
    <n v="0"/>
    <n v="0"/>
    <n v="1"/>
    <n v="0"/>
    <n v="0"/>
    <n v="3"/>
    <x v="0"/>
    <n v="1"/>
    <n v="49"/>
    <n v="2"/>
    <n v="1"/>
    <s v="Sales Representative"/>
    <n v="0"/>
    <n v="0"/>
    <n v="0"/>
    <n v="0"/>
    <n v="0"/>
    <n v="0"/>
    <n v="1"/>
    <n v="0"/>
    <x v="2"/>
    <s v="Single"/>
    <n v="1"/>
    <n v="0"/>
    <n v="2044"/>
    <n v="22052"/>
    <n v="1"/>
    <s v="No"/>
    <n v="0"/>
    <n v="13"/>
    <n v="3"/>
    <n v="4"/>
    <n v="0"/>
    <n v="2"/>
    <n v="3"/>
    <n v="2"/>
    <n v="2"/>
    <n v="2"/>
    <n v="0"/>
    <n v="2"/>
  </r>
  <r>
    <n v="21"/>
    <x v="0"/>
    <n v="1"/>
    <s v="Travel_Rarely"/>
    <n v="0"/>
    <n v="1"/>
    <n v="1427"/>
    <s v="Research &amp; Development"/>
    <n v="1"/>
    <n v="0"/>
    <n v="18"/>
    <n v="1"/>
    <s v="Other"/>
    <n v="0"/>
    <n v="1"/>
    <n v="0"/>
    <n v="0"/>
    <n v="0"/>
    <n v="4"/>
    <x v="0"/>
    <n v="1"/>
    <n v="65"/>
    <n v="3"/>
    <n v="1"/>
    <s v="Research Scientist"/>
    <n v="0"/>
    <n v="0"/>
    <n v="0"/>
    <n v="0"/>
    <n v="0"/>
    <n v="0"/>
    <n v="0"/>
    <n v="1"/>
    <x v="0"/>
    <s v="Single"/>
    <n v="1"/>
    <n v="0"/>
    <n v="2693"/>
    <n v="8870"/>
    <n v="1"/>
    <s v="No"/>
    <n v="0"/>
    <n v="19"/>
    <n v="3"/>
    <n v="1"/>
    <n v="0"/>
    <n v="1"/>
    <n v="3"/>
    <n v="2"/>
    <n v="1"/>
    <n v="0"/>
    <n v="0"/>
    <n v="0"/>
  </r>
  <r>
    <n v="36"/>
    <x v="1"/>
    <n v="0"/>
    <s v="Travel_Rarely"/>
    <n v="0"/>
    <n v="1"/>
    <n v="1425"/>
    <s v="Research &amp; Development"/>
    <n v="1"/>
    <n v="0"/>
    <n v="14"/>
    <n v="1"/>
    <s v="Life Sciences"/>
    <n v="1"/>
    <n v="0"/>
    <n v="0"/>
    <n v="0"/>
    <n v="0"/>
    <n v="3"/>
    <x v="1"/>
    <n v="0"/>
    <n v="68"/>
    <n v="3"/>
    <n v="2"/>
    <s v="Healthcare Representative"/>
    <n v="1"/>
    <n v="0"/>
    <n v="0"/>
    <n v="0"/>
    <n v="0"/>
    <n v="0"/>
    <n v="0"/>
    <n v="0"/>
    <x v="0"/>
    <s v="Married"/>
    <n v="0"/>
    <n v="1"/>
    <n v="6586"/>
    <n v="4821"/>
    <n v="0"/>
    <s v="Yes"/>
    <n v="1"/>
    <n v="17"/>
    <n v="3"/>
    <n v="1"/>
    <n v="1"/>
    <n v="17"/>
    <n v="2"/>
    <n v="2"/>
    <n v="16"/>
    <n v="8"/>
    <n v="4"/>
    <n v="11"/>
  </r>
  <r>
    <n v="47"/>
    <x v="1"/>
    <n v="0"/>
    <s v="Travel_Rarely"/>
    <n v="0"/>
    <n v="1"/>
    <n v="1454"/>
    <s v="Sales"/>
    <n v="0"/>
    <n v="1"/>
    <n v="2"/>
    <n v="4"/>
    <s v="Life Sciences"/>
    <n v="1"/>
    <n v="0"/>
    <n v="0"/>
    <n v="0"/>
    <n v="0"/>
    <n v="4"/>
    <x v="0"/>
    <n v="1"/>
    <n v="65"/>
    <n v="2"/>
    <n v="1"/>
    <s v="Sales Representative"/>
    <n v="0"/>
    <n v="0"/>
    <n v="0"/>
    <n v="0"/>
    <n v="0"/>
    <n v="0"/>
    <n v="1"/>
    <n v="0"/>
    <x v="0"/>
    <s v="Single"/>
    <n v="1"/>
    <n v="0"/>
    <n v="3294"/>
    <n v="13137"/>
    <n v="1"/>
    <s v="Yes"/>
    <n v="1"/>
    <n v="18"/>
    <n v="3"/>
    <n v="1"/>
    <n v="0"/>
    <n v="3"/>
    <n v="3"/>
    <n v="2"/>
    <n v="3"/>
    <n v="2"/>
    <n v="1"/>
    <n v="2"/>
  </r>
  <r>
    <n v="22"/>
    <x v="0"/>
    <n v="1"/>
    <s v="Travel_Rarely"/>
    <n v="0"/>
    <n v="1"/>
    <n v="617"/>
    <s v="Research &amp; Development"/>
    <n v="1"/>
    <n v="0"/>
    <n v="3"/>
    <n v="1"/>
    <s v="Life Sciences"/>
    <n v="1"/>
    <n v="0"/>
    <n v="0"/>
    <n v="0"/>
    <n v="0"/>
    <n v="2"/>
    <x v="0"/>
    <n v="1"/>
    <n v="34"/>
    <n v="3"/>
    <n v="2"/>
    <s v="Manufacturing Director"/>
    <n v="0"/>
    <n v="0"/>
    <n v="0"/>
    <n v="0"/>
    <n v="1"/>
    <n v="1"/>
    <n v="0"/>
    <n v="0"/>
    <x v="2"/>
    <s v="Married"/>
    <n v="0"/>
    <n v="1"/>
    <n v="4171"/>
    <n v="10022"/>
    <n v="0"/>
    <s v="Yes"/>
    <n v="1"/>
    <n v="19"/>
    <n v="3"/>
    <n v="1"/>
    <n v="1"/>
    <n v="4"/>
    <n v="3"/>
    <n v="4"/>
    <n v="3"/>
    <n v="2"/>
    <n v="0"/>
    <n v="2"/>
  </r>
  <r>
    <n v="41"/>
    <x v="0"/>
    <n v="1"/>
    <s v="Travel_Rarely"/>
    <n v="0"/>
    <n v="1"/>
    <n v="1085"/>
    <s v="Research &amp; Development"/>
    <n v="1"/>
    <n v="0"/>
    <n v="2"/>
    <n v="4"/>
    <s v="Life Sciences"/>
    <n v="1"/>
    <n v="0"/>
    <n v="0"/>
    <n v="0"/>
    <n v="0"/>
    <n v="2"/>
    <x v="0"/>
    <n v="1"/>
    <n v="57"/>
    <n v="1"/>
    <n v="1"/>
    <s v="Laboratory Technician"/>
    <n v="0"/>
    <n v="0"/>
    <n v="1"/>
    <n v="0"/>
    <n v="0"/>
    <n v="0"/>
    <n v="0"/>
    <n v="0"/>
    <x v="0"/>
    <s v="Divorced"/>
    <n v="0"/>
    <n v="0"/>
    <n v="2778"/>
    <n v="17725"/>
    <n v="4"/>
    <s v="Yes"/>
    <n v="1"/>
    <n v="13"/>
    <n v="3"/>
    <n v="3"/>
    <n v="1"/>
    <n v="10"/>
    <n v="1"/>
    <n v="2"/>
    <n v="7"/>
    <n v="7"/>
    <n v="1"/>
    <n v="0"/>
  </r>
  <r>
    <n v="28"/>
    <x v="1"/>
    <n v="0"/>
    <s v="Travel_Rarely"/>
    <n v="0"/>
    <n v="1"/>
    <n v="995"/>
    <s v="Research &amp; Development"/>
    <n v="1"/>
    <n v="0"/>
    <n v="9"/>
    <n v="3"/>
    <s v="Medical"/>
    <n v="0"/>
    <n v="0"/>
    <n v="1"/>
    <n v="0"/>
    <n v="0"/>
    <n v="3"/>
    <x v="0"/>
    <n v="1"/>
    <n v="77"/>
    <n v="3"/>
    <n v="1"/>
    <s v="Research Scientist"/>
    <n v="0"/>
    <n v="0"/>
    <n v="0"/>
    <n v="0"/>
    <n v="0"/>
    <n v="0"/>
    <n v="0"/>
    <n v="1"/>
    <x v="2"/>
    <s v="Divorced"/>
    <n v="0"/>
    <n v="0"/>
    <n v="2377"/>
    <n v="9834"/>
    <n v="5"/>
    <s v="No"/>
    <n v="0"/>
    <n v="18"/>
    <n v="3"/>
    <n v="2"/>
    <n v="1"/>
    <n v="6"/>
    <n v="2"/>
    <n v="3"/>
    <n v="2"/>
    <n v="2"/>
    <n v="2"/>
    <n v="2"/>
  </r>
  <r>
    <n v="39"/>
    <x v="0"/>
    <n v="1"/>
    <s v="Travel_Rarely"/>
    <n v="0"/>
    <n v="1"/>
    <n v="1122"/>
    <s v="Research &amp; Development"/>
    <n v="1"/>
    <n v="0"/>
    <n v="6"/>
    <n v="3"/>
    <s v="Medical"/>
    <n v="0"/>
    <n v="0"/>
    <n v="1"/>
    <n v="0"/>
    <n v="0"/>
    <n v="4"/>
    <x v="1"/>
    <n v="0"/>
    <n v="70"/>
    <n v="3"/>
    <n v="1"/>
    <s v="Laboratory Technician"/>
    <n v="0"/>
    <n v="0"/>
    <n v="1"/>
    <n v="0"/>
    <n v="0"/>
    <n v="0"/>
    <n v="0"/>
    <n v="0"/>
    <x v="3"/>
    <s v="Married"/>
    <n v="0"/>
    <n v="1"/>
    <n v="2404"/>
    <n v="4303"/>
    <n v="7"/>
    <s v="Yes"/>
    <n v="1"/>
    <n v="21"/>
    <n v="4"/>
    <n v="4"/>
    <n v="0"/>
    <n v="8"/>
    <n v="2"/>
    <n v="1"/>
    <n v="2"/>
    <n v="2"/>
    <n v="2"/>
    <n v="2"/>
  </r>
  <r>
    <n v="27"/>
    <x v="1"/>
    <n v="0"/>
    <s v="Travel_Rarely"/>
    <n v="0"/>
    <n v="1"/>
    <n v="618"/>
    <s v="Research &amp; Development"/>
    <n v="1"/>
    <n v="0"/>
    <n v="4"/>
    <n v="3"/>
    <s v="Life Sciences"/>
    <n v="1"/>
    <n v="0"/>
    <n v="0"/>
    <n v="0"/>
    <n v="0"/>
    <n v="2"/>
    <x v="0"/>
    <n v="1"/>
    <n v="76"/>
    <n v="3"/>
    <n v="1"/>
    <s v="Research Scientist"/>
    <n v="0"/>
    <n v="0"/>
    <n v="0"/>
    <n v="0"/>
    <n v="0"/>
    <n v="0"/>
    <n v="0"/>
    <n v="1"/>
    <x v="2"/>
    <s v="Single"/>
    <n v="1"/>
    <n v="0"/>
    <n v="2318"/>
    <n v="17808"/>
    <n v="1"/>
    <s v="No"/>
    <n v="0"/>
    <n v="19"/>
    <n v="3"/>
    <n v="3"/>
    <n v="0"/>
    <n v="1"/>
    <n v="2"/>
    <n v="3"/>
    <n v="1"/>
    <n v="1"/>
    <n v="0"/>
    <n v="0"/>
  </r>
  <r>
    <n v="34"/>
    <x v="1"/>
    <n v="0"/>
    <s v="Travel_Rarely"/>
    <n v="0"/>
    <n v="1"/>
    <n v="546"/>
    <s v="Research &amp; Development"/>
    <n v="1"/>
    <n v="0"/>
    <n v="10"/>
    <n v="3"/>
    <s v="Life Sciences"/>
    <n v="1"/>
    <n v="0"/>
    <n v="0"/>
    <n v="0"/>
    <n v="0"/>
    <n v="2"/>
    <x v="1"/>
    <n v="0"/>
    <n v="83"/>
    <n v="3"/>
    <n v="1"/>
    <s v="Laboratory Technician"/>
    <n v="0"/>
    <n v="0"/>
    <n v="1"/>
    <n v="0"/>
    <n v="0"/>
    <n v="0"/>
    <n v="0"/>
    <n v="0"/>
    <x v="1"/>
    <s v="Divorced"/>
    <n v="0"/>
    <n v="0"/>
    <n v="2008"/>
    <n v="6896"/>
    <n v="1"/>
    <s v="No"/>
    <n v="0"/>
    <n v="14"/>
    <n v="3"/>
    <n v="2"/>
    <n v="2"/>
    <n v="1"/>
    <n v="3"/>
    <n v="3"/>
    <n v="1"/>
    <n v="0"/>
    <n v="1"/>
    <n v="0"/>
  </r>
  <r>
    <n v="42"/>
    <x v="1"/>
    <n v="0"/>
    <s v="Travel_Rarely"/>
    <n v="0"/>
    <n v="1"/>
    <n v="462"/>
    <s v="Sales"/>
    <n v="0"/>
    <n v="1"/>
    <n v="14"/>
    <n v="2"/>
    <s v="Medical"/>
    <n v="0"/>
    <n v="0"/>
    <n v="1"/>
    <n v="0"/>
    <n v="0"/>
    <n v="3"/>
    <x v="0"/>
    <n v="1"/>
    <n v="68"/>
    <n v="2"/>
    <n v="2"/>
    <s v="Sales Executive"/>
    <n v="0"/>
    <n v="1"/>
    <n v="0"/>
    <n v="0"/>
    <n v="0"/>
    <n v="0"/>
    <n v="0"/>
    <n v="0"/>
    <x v="2"/>
    <s v="Single"/>
    <n v="1"/>
    <n v="0"/>
    <n v="6244"/>
    <n v="7824"/>
    <n v="7"/>
    <s v="No"/>
    <n v="0"/>
    <n v="17"/>
    <n v="3"/>
    <n v="1"/>
    <n v="0"/>
    <n v="10"/>
    <n v="6"/>
    <n v="3"/>
    <n v="5"/>
    <n v="4"/>
    <n v="0"/>
    <n v="3"/>
  </r>
  <r>
    <n v="33"/>
    <x v="1"/>
    <n v="0"/>
    <s v="Travel_Rarely"/>
    <n v="0"/>
    <n v="1"/>
    <n v="1198"/>
    <s v="Research &amp; Development"/>
    <n v="1"/>
    <n v="0"/>
    <n v="1"/>
    <n v="4"/>
    <s v="Other"/>
    <n v="0"/>
    <n v="1"/>
    <n v="0"/>
    <n v="0"/>
    <n v="0"/>
    <n v="3"/>
    <x v="1"/>
    <n v="0"/>
    <n v="100"/>
    <n v="2"/>
    <n v="1"/>
    <s v="Research Scientist"/>
    <n v="0"/>
    <n v="0"/>
    <n v="0"/>
    <n v="0"/>
    <n v="0"/>
    <n v="0"/>
    <n v="0"/>
    <n v="1"/>
    <x v="3"/>
    <s v="Single"/>
    <n v="1"/>
    <n v="0"/>
    <n v="2799"/>
    <n v="3339"/>
    <n v="3"/>
    <s v="Yes"/>
    <n v="1"/>
    <n v="11"/>
    <n v="3"/>
    <n v="2"/>
    <n v="0"/>
    <n v="6"/>
    <n v="1"/>
    <n v="3"/>
    <n v="3"/>
    <n v="2"/>
    <n v="0"/>
    <n v="2"/>
  </r>
  <r>
    <n v="58"/>
    <x v="1"/>
    <n v="0"/>
    <s v="Travel_Rarely"/>
    <n v="0"/>
    <n v="1"/>
    <n v="1272"/>
    <s v="Research &amp; Development"/>
    <n v="1"/>
    <n v="0"/>
    <n v="5"/>
    <n v="3"/>
    <s v="Technical Degree"/>
    <n v="0"/>
    <n v="0"/>
    <n v="0"/>
    <n v="0"/>
    <n v="1"/>
    <n v="3"/>
    <x v="0"/>
    <n v="1"/>
    <n v="37"/>
    <n v="2"/>
    <n v="3"/>
    <s v="Healthcare Representative"/>
    <n v="1"/>
    <n v="0"/>
    <n v="0"/>
    <n v="0"/>
    <n v="0"/>
    <n v="0"/>
    <n v="0"/>
    <n v="0"/>
    <x v="1"/>
    <s v="Divorced"/>
    <n v="0"/>
    <n v="0"/>
    <n v="10552"/>
    <n v="9255"/>
    <n v="2"/>
    <s v="Yes"/>
    <n v="1"/>
    <n v="13"/>
    <n v="3"/>
    <n v="4"/>
    <n v="1"/>
    <n v="24"/>
    <n v="3"/>
    <n v="3"/>
    <n v="6"/>
    <n v="0"/>
    <n v="0"/>
    <n v="4"/>
  </r>
  <r>
    <n v="31"/>
    <x v="1"/>
    <n v="0"/>
    <s v="Travel_Rarely"/>
    <n v="0"/>
    <n v="1"/>
    <n v="154"/>
    <s v="Sales"/>
    <n v="0"/>
    <n v="1"/>
    <n v="7"/>
    <n v="4"/>
    <s v="Life Sciences"/>
    <n v="1"/>
    <n v="0"/>
    <n v="0"/>
    <n v="0"/>
    <n v="0"/>
    <n v="2"/>
    <x v="1"/>
    <n v="0"/>
    <n v="41"/>
    <n v="2"/>
    <n v="1"/>
    <s v="Sales Representative"/>
    <n v="0"/>
    <n v="0"/>
    <n v="0"/>
    <n v="0"/>
    <n v="0"/>
    <n v="0"/>
    <n v="1"/>
    <n v="0"/>
    <x v="2"/>
    <s v="Married"/>
    <n v="0"/>
    <n v="1"/>
    <n v="2329"/>
    <n v="11737"/>
    <n v="3"/>
    <s v="No"/>
    <n v="0"/>
    <n v="15"/>
    <n v="3"/>
    <n v="2"/>
    <n v="0"/>
    <n v="13"/>
    <n v="2"/>
    <n v="4"/>
    <n v="7"/>
    <n v="7"/>
    <n v="5"/>
    <n v="2"/>
  </r>
  <r>
    <n v="35"/>
    <x v="1"/>
    <n v="0"/>
    <s v="Travel_Rarely"/>
    <n v="0"/>
    <n v="1"/>
    <n v="1137"/>
    <s v="Research &amp; Development"/>
    <n v="1"/>
    <n v="0"/>
    <n v="21"/>
    <n v="1"/>
    <s v="Life Sciences"/>
    <n v="1"/>
    <n v="0"/>
    <n v="0"/>
    <n v="0"/>
    <n v="0"/>
    <n v="4"/>
    <x v="0"/>
    <n v="1"/>
    <n v="51"/>
    <n v="3"/>
    <n v="2"/>
    <s v="Healthcare Representative"/>
    <n v="1"/>
    <n v="0"/>
    <n v="0"/>
    <n v="0"/>
    <n v="0"/>
    <n v="0"/>
    <n v="0"/>
    <n v="0"/>
    <x v="0"/>
    <s v="Married"/>
    <n v="0"/>
    <n v="1"/>
    <n v="4014"/>
    <n v="19170"/>
    <n v="1"/>
    <s v="Yes"/>
    <n v="1"/>
    <n v="25"/>
    <n v="4"/>
    <n v="4"/>
    <n v="1"/>
    <n v="10"/>
    <n v="2"/>
    <n v="1"/>
    <n v="10"/>
    <n v="6"/>
    <n v="0"/>
    <n v="7"/>
  </r>
  <r>
    <n v="49"/>
    <x v="1"/>
    <n v="0"/>
    <s v="Travel_Rarely"/>
    <n v="0"/>
    <n v="1"/>
    <n v="527"/>
    <s v="Research &amp; Development"/>
    <n v="1"/>
    <n v="0"/>
    <n v="8"/>
    <n v="2"/>
    <s v="Other"/>
    <n v="0"/>
    <n v="1"/>
    <n v="0"/>
    <n v="0"/>
    <n v="0"/>
    <n v="1"/>
    <x v="0"/>
    <n v="1"/>
    <n v="51"/>
    <n v="3"/>
    <n v="3"/>
    <s v="Laboratory Technician"/>
    <n v="0"/>
    <n v="0"/>
    <n v="1"/>
    <n v="0"/>
    <n v="0"/>
    <n v="0"/>
    <n v="0"/>
    <n v="0"/>
    <x v="1"/>
    <s v="Married"/>
    <n v="0"/>
    <n v="1"/>
    <n v="7403"/>
    <n v="22477"/>
    <n v="4"/>
    <s v="No"/>
    <n v="0"/>
    <n v="11"/>
    <n v="3"/>
    <n v="3"/>
    <n v="1"/>
    <n v="29"/>
    <n v="3"/>
    <n v="2"/>
    <n v="26"/>
    <n v="9"/>
    <n v="1"/>
    <n v="7"/>
  </r>
  <r>
    <n v="48"/>
    <x v="1"/>
    <n v="0"/>
    <s v="Travel_Rarely"/>
    <n v="0"/>
    <n v="1"/>
    <n v="1469"/>
    <s v="Research &amp; Development"/>
    <n v="1"/>
    <n v="0"/>
    <n v="20"/>
    <n v="4"/>
    <s v="Medical"/>
    <n v="0"/>
    <n v="0"/>
    <n v="1"/>
    <n v="0"/>
    <n v="0"/>
    <n v="4"/>
    <x v="1"/>
    <n v="0"/>
    <n v="51"/>
    <n v="3"/>
    <n v="1"/>
    <s v="Research Scientist"/>
    <n v="0"/>
    <n v="0"/>
    <n v="0"/>
    <n v="0"/>
    <n v="0"/>
    <n v="0"/>
    <n v="0"/>
    <n v="1"/>
    <x v="2"/>
    <s v="Married"/>
    <n v="0"/>
    <n v="1"/>
    <n v="2259"/>
    <n v="5543"/>
    <n v="4"/>
    <s v="No"/>
    <n v="0"/>
    <n v="17"/>
    <n v="3"/>
    <n v="1"/>
    <n v="2"/>
    <n v="13"/>
    <n v="2"/>
    <n v="2"/>
    <n v="0"/>
    <n v="0"/>
    <n v="0"/>
    <n v="0"/>
  </r>
  <r>
    <n v="31"/>
    <x v="1"/>
    <n v="0"/>
    <s v="Non-Travel"/>
    <n v="0"/>
    <n v="0"/>
    <n v="1188"/>
    <s v="Sales"/>
    <n v="0"/>
    <n v="1"/>
    <n v="20"/>
    <n v="2"/>
    <s v="Marketing"/>
    <n v="0"/>
    <n v="0"/>
    <n v="0"/>
    <n v="1"/>
    <n v="0"/>
    <n v="4"/>
    <x v="0"/>
    <n v="1"/>
    <n v="45"/>
    <n v="3"/>
    <n v="2"/>
    <s v="Sales Executive"/>
    <n v="0"/>
    <n v="1"/>
    <n v="0"/>
    <n v="0"/>
    <n v="0"/>
    <n v="0"/>
    <n v="0"/>
    <n v="0"/>
    <x v="2"/>
    <s v="Married"/>
    <n v="0"/>
    <n v="1"/>
    <n v="6932"/>
    <n v="24406"/>
    <n v="1"/>
    <s v="No"/>
    <n v="0"/>
    <n v="13"/>
    <n v="3"/>
    <n v="4"/>
    <n v="1"/>
    <n v="9"/>
    <n v="2"/>
    <n v="2"/>
    <n v="9"/>
    <n v="8"/>
    <n v="0"/>
    <n v="0"/>
  </r>
  <r>
    <n v="36"/>
    <x v="1"/>
    <n v="0"/>
    <s v="Travel_Rarely"/>
    <n v="0"/>
    <n v="1"/>
    <n v="188"/>
    <s v="Research &amp; Development"/>
    <n v="1"/>
    <n v="0"/>
    <n v="7"/>
    <n v="4"/>
    <s v="Other"/>
    <n v="0"/>
    <n v="1"/>
    <n v="0"/>
    <n v="0"/>
    <n v="0"/>
    <n v="2"/>
    <x v="1"/>
    <n v="0"/>
    <n v="65"/>
    <n v="3"/>
    <n v="1"/>
    <s v="Research Scientist"/>
    <n v="0"/>
    <n v="0"/>
    <n v="0"/>
    <n v="0"/>
    <n v="0"/>
    <n v="0"/>
    <n v="0"/>
    <n v="1"/>
    <x v="0"/>
    <s v="Single"/>
    <n v="1"/>
    <n v="0"/>
    <n v="4678"/>
    <n v="23293"/>
    <n v="2"/>
    <s v="No"/>
    <n v="0"/>
    <n v="18"/>
    <n v="3"/>
    <n v="3"/>
    <n v="0"/>
    <n v="8"/>
    <n v="6"/>
    <n v="3"/>
    <n v="6"/>
    <n v="2"/>
    <n v="0"/>
    <n v="1"/>
  </r>
  <r>
    <n v="38"/>
    <x v="1"/>
    <n v="0"/>
    <s v="Travel_Rarely"/>
    <n v="0"/>
    <n v="1"/>
    <n v="1333"/>
    <s v="Research &amp; Development"/>
    <n v="1"/>
    <n v="0"/>
    <n v="1"/>
    <n v="3"/>
    <s v="Technical Degree"/>
    <n v="0"/>
    <n v="0"/>
    <n v="0"/>
    <n v="0"/>
    <n v="1"/>
    <n v="4"/>
    <x v="0"/>
    <n v="1"/>
    <n v="80"/>
    <n v="3"/>
    <n v="3"/>
    <s v="Research Director"/>
    <n v="0"/>
    <n v="0"/>
    <n v="0"/>
    <n v="0"/>
    <n v="0"/>
    <n v="0"/>
    <n v="0"/>
    <n v="0"/>
    <x v="3"/>
    <s v="Married"/>
    <n v="0"/>
    <n v="1"/>
    <n v="13582"/>
    <n v="16292"/>
    <n v="1"/>
    <s v="No"/>
    <n v="0"/>
    <n v="13"/>
    <n v="3"/>
    <n v="2"/>
    <n v="1"/>
    <n v="15"/>
    <n v="3"/>
    <n v="3"/>
    <n v="15"/>
    <n v="12"/>
    <n v="5"/>
    <n v="11"/>
  </r>
  <r>
    <n v="32"/>
    <x v="1"/>
    <n v="0"/>
    <s v="Non-Travel"/>
    <n v="0"/>
    <n v="0"/>
    <n v="1184"/>
    <s v="Research &amp; Development"/>
    <n v="1"/>
    <n v="0"/>
    <n v="1"/>
    <n v="3"/>
    <s v="Life Sciences"/>
    <n v="1"/>
    <n v="0"/>
    <n v="0"/>
    <n v="0"/>
    <n v="0"/>
    <n v="3"/>
    <x v="0"/>
    <n v="1"/>
    <n v="70"/>
    <n v="2"/>
    <n v="1"/>
    <s v="Laboratory Technician"/>
    <n v="0"/>
    <n v="0"/>
    <n v="1"/>
    <n v="0"/>
    <n v="0"/>
    <n v="0"/>
    <n v="0"/>
    <n v="0"/>
    <x v="1"/>
    <s v="Married"/>
    <n v="0"/>
    <n v="1"/>
    <n v="2332"/>
    <n v="3974"/>
    <n v="6"/>
    <s v="No"/>
    <n v="0"/>
    <n v="20"/>
    <n v="4"/>
    <n v="3"/>
    <n v="0"/>
    <n v="5"/>
    <n v="3"/>
    <n v="3"/>
    <n v="3"/>
    <n v="0"/>
    <n v="0"/>
    <n v="2"/>
  </r>
  <r>
    <n v="25"/>
    <x v="0"/>
    <n v="1"/>
    <s v="Travel_Rarely"/>
    <n v="0"/>
    <n v="1"/>
    <n v="867"/>
    <s v="Sales"/>
    <n v="0"/>
    <n v="1"/>
    <n v="19"/>
    <n v="2"/>
    <s v="Marketing"/>
    <n v="0"/>
    <n v="0"/>
    <n v="0"/>
    <n v="1"/>
    <n v="0"/>
    <n v="3"/>
    <x v="1"/>
    <n v="0"/>
    <n v="36"/>
    <n v="2"/>
    <n v="1"/>
    <s v="Sales Representative"/>
    <n v="0"/>
    <n v="0"/>
    <n v="0"/>
    <n v="0"/>
    <n v="0"/>
    <n v="0"/>
    <n v="1"/>
    <n v="0"/>
    <x v="1"/>
    <s v="Married"/>
    <n v="0"/>
    <n v="1"/>
    <n v="2413"/>
    <n v="18798"/>
    <n v="1"/>
    <s v="Yes"/>
    <n v="1"/>
    <n v="18"/>
    <n v="3"/>
    <n v="3"/>
    <n v="3"/>
    <n v="1"/>
    <n v="2"/>
    <n v="3"/>
    <n v="1"/>
    <n v="0"/>
    <n v="0"/>
    <n v="0"/>
  </r>
  <r>
    <n v="40"/>
    <x v="1"/>
    <n v="0"/>
    <s v="Travel_Rarely"/>
    <n v="0"/>
    <n v="1"/>
    <n v="658"/>
    <s v="Sales"/>
    <n v="0"/>
    <n v="1"/>
    <n v="10"/>
    <n v="4"/>
    <s v="Marketing"/>
    <n v="0"/>
    <n v="0"/>
    <n v="0"/>
    <n v="1"/>
    <n v="0"/>
    <n v="1"/>
    <x v="1"/>
    <n v="0"/>
    <n v="67"/>
    <n v="2"/>
    <n v="3"/>
    <s v="Sales Executive"/>
    <n v="0"/>
    <n v="1"/>
    <n v="0"/>
    <n v="0"/>
    <n v="0"/>
    <n v="0"/>
    <n v="0"/>
    <n v="0"/>
    <x v="1"/>
    <s v="Divorced"/>
    <n v="0"/>
    <n v="0"/>
    <n v="9705"/>
    <n v="20652"/>
    <n v="2"/>
    <s v="No"/>
    <n v="0"/>
    <n v="12"/>
    <n v="3"/>
    <n v="2"/>
    <n v="1"/>
    <n v="11"/>
    <n v="2"/>
    <n v="2"/>
    <n v="1"/>
    <n v="0"/>
    <n v="0"/>
    <n v="0"/>
  </r>
  <r>
    <n v="26"/>
    <x v="1"/>
    <n v="0"/>
    <s v="Travel_Frequently"/>
    <n v="1"/>
    <n v="0"/>
    <n v="1283"/>
    <s v="Sales"/>
    <n v="0"/>
    <n v="1"/>
    <n v="1"/>
    <n v="3"/>
    <s v="Medical"/>
    <n v="0"/>
    <n v="0"/>
    <n v="1"/>
    <n v="0"/>
    <n v="0"/>
    <n v="3"/>
    <x v="1"/>
    <n v="0"/>
    <n v="52"/>
    <n v="2"/>
    <n v="2"/>
    <s v="Sales Executive"/>
    <n v="0"/>
    <n v="1"/>
    <n v="0"/>
    <n v="0"/>
    <n v="0"/>
    <n v="0"/>
    <n v="0"/>
    <n v="0"/>
    <x v="3"/>
    <s v="Single"/>
    <n v="1"/>
    <n v="0"/>
    <n v="4294"/>
    <n v="11148"/>
    <n v="1"/>
    <s v="No"/>
    <n v="0"/>
    <n v="12"/>
    <n v="3"/>
    <n v="2"/>
    <n v="0"/>
    <n v="7"/>
    <n v="2"/>
    <n v="3"/>
    <n v="7"/>
    <n v="7"/>
    <n v="0"/>
    <n v="7"/>
  </r>
  <r>
    <n v="41"/>
    <x v="1"/>
    <n v="0"/>
    <s v="Travel_Rarely"/>
    <n v="0"/>
    <n v="1"/>
    <n v="263"/>
    <s v="Research &amp; Development"/>
    <n v="1"/>
    <n v="0"/>
    <n v="6"/>
    <n v="3"/>
    <s v="Medical"/>
    <n v="0"/>
    <n v="0"/>
    <n v="1"/>
    <n v="0"/>
    <n v="0"/>
    <n v="4"/>
    <x v="1"/>
    <n v="0"/>
    <n v="59"/>
    <n v="3"/>
    <n v="1"/>
    <s v="Laboratory Technician"/>
    <n v="0"/>
    <n v="0"/>
    <n v="1"/>
    <n v="0"/>
    <n v="0"/>
    <n v="0"/>
    <n v="0"/>
    <n v="0"/>
    <x v="3"/>
    <s v="Single"/>
    <n v="1"/>
    <n v="0"/>
    <n v="4721"/>
    <n v="3119"/>
    <n v="2"/>
    <s v="Yes"/>
    <n v="1"/>
    <n v="13"/>
    <n v="3"/>
    <n v="3"/>
    <n v="0"/>
    <n v="20"/>
    <n v="3"/>
    <n v="3"/>
    <n v="18"/>
    <n v="13"/>
    <n v="2"/>
    <n v="17"/>
  </r>
  <r>
    <n v="36"/>
    <x v="1"/>
    <n v="0"/>
    <s v="Travel_Rarely"/>
    <n v="0"/>
    <n v="1"/>
    <n v="938"/>
    <s v="Research &amp; Development"/>
    <n v="1"/>
    <n v="0"/>
    <n v="2"/>
    <n v="4"/>
    <s v="Medical"/>
    <n v="0"/>
    <n v="0"/>
    <n v="1"/>
    <n v="0"/>
    <n v="0"/>
    <n v="3"/>
    <x v="1"/>
    <n v="0"/>
    <n v="79"/>
    <n v="3"/>
    <n v="1"/>
    <s v="Laboratory Technician"/>
    <n v="0"/>
    <n v="0"/>
    <n v="1"/>
    <n v="0"/>
    <n v="0"/>
    <n v="0"/>
    <n v="0"/>
    <n v="0"/>
    <x v="2"/>
    <s v="Single"/>
    <n v="1"/>
    <n v="0"/>
    <n v="2519"/>
    <n v="12287"/>
    <n v="4"/>
    <s v="No"/>
    <n v="0"/>
    <n v="21"/>
    <n v="4"/>
    <n v="3"/>
    <n v="0"/>
    <n v="16"/>
    <n v="6"/>
    <n v="3"/>
    <n v="11"/>
    <n v="8"/>
    <n v="3"/>
    <n v="9"/>
  </r>
  <r>
    <n v="19"/>
    <x v="0"/>
    <n v="1"/>
    <s v="Travel_Rarely"/>
    <n v="0"/>
    <n v="1"/>
    <n v="419"/>
    <s v="Sales"/>
    <n v="0"/>
    <n v="1"/>
    <n v="21"/>
    <n v="3"/>
    <s v="Other"/>
    <n v="0"/>
    <n v="1"/>
    <n v="0"/>
    <n v="0"/>
    <n v="0"/>
    <n v="4"/>
    <x v="1"/>
    <n v="0"/>
    <n v="37"/>
    <n v="2"/>
    <n v="1"/>
    <s v="Sales Representative"/>
    <n v="0"/>
    <n v="0"/>
    <n v="0"/>
    <n v="0"/>
    <n v="0"/>
    <n v="0"/>
    <n v="1"/>
    <n v="0"/>
    <x v="1"/>
    <s v="Single"/>
    <n v="1"/>
    <n v="0"/>
    <n v="2121"/>
    <n v="9947"/>
    <n v="1"/>
    <s v="Yes"/>
    <n v="1"/>
    <n v="13"/>
    <n v="3"/>
    <n v="2"/>
    <n v="0"/>
    <n v="1"/>
    <n v="3"/>
    <n v="4"/>
    <n v="1"/>
    <n v="0"/>
    <n v="0"/>
    <n v="0"/>
  </r>
  <r>
    <n v="20"/>
    <x v="0"/>
    <n v="1"/>
    <s v="Travel_Rarely"/>
    <n v="0"/>
    <n v="1"/>
    <n v="129"/>
    <s v="Research &amp; Development"/>
    <n v="1"/>
    <n v="0"/>
    <n v="4"/>
    <n v="3"/>
    <s v="Technical Degree"/>
    <n v="0"/>
    <n v="0"/>
    <n v="0"/>
    <n v="0"/>
    <n v="1"/>
    <n v="1"/>
    <x v="1"/>
    <n v="0"/>
    <n v="84"/>
    <n v="3"/>
    <n v="1"/>
    <s v="Laboratory Technician"/>
    <n v="0"/>
    <n v="0"/>
    <n v="1"/>
    <n v="0"/>
    <n v="0"/>
    <n v="0"/>
    <n v="0"/>
    <n v="0"/>
    <x v="3"/>
    <s v="Single"/>
    <n v="1"/>
    <n v="0"/>
    <n v="2973"/>
    <n v="13008"/>
    <n v="1"/>
    <s v="No"/>
    <n v="0"/>
    <n v="19"/>
    <n v="3"/>
    <n v="2"/>
    <n v="0"/>
    <n v="1"/>
    <n v="2"/>
    <n v="3"/>
    <n v="1"/>
    <n v="0"/>
    <n v="0"/>
    <n v="0"/>
  </r>
  <r>
    <n v="31"/>
    <x v="1"/>
    <n v="0"/>
    <s v="Travel_Rarely"/>
    <n v="0"/>
    <n v="1"/>
    <n v="616"/>
    <s v="Research &amp; Development"/>
    <n v="1"/>
    <n v="0"/>
    <n v="12"/>
    <n v="3"/>
    <s v="Medical"/>
    <n v="0"/>
    <n v="0"/>
    <n v="1"/>
    <n v="0"/>
    <n v="0"/>
    <n v="4"/>
    <x v="0"/>
    <n v="1"/>
    <n v="41"/>
    <n v="3"/>
    <n v="2"/>
    <s v="Healthcare Representative"/>
    <n v="1"/>
    <n v="0"/>
    <n v="0"/>
    <n v="0"/>
    <n v="0"/>
    <n v="0"/>
    <n v="0"/>
    <n v="0"/>
    <x v="0"/>
    <s v="Married"/>
    <n v="0"/>
    <n v="1"/>
    <n v="5855"/>
    <n v="17369"/>
    <n v="0"/>
    <s v="Yes"/>
    <n v="1"/>
    <n v="11"/>
    <n v="3"/>
    <n v="3"/>
    <n v="2"/>
    <n v="10"/>
    <n v="2"/>
    <n v="1"/>
    <n v="9"/>
    <n v="7"/>
    <n v="8"/>
    <n v="5"/>
  </r>
  <r>
    <n v="40"/>
    <x v="1"/>
    <n v="0"/>
    <s v="Travel_Frequently"/>
    <n v="1"/>
    <n v="0"/>
    <n v="1469"/>
    <s v="Research &amp; Development"/>
    <n v="1"/>
    <n v="0"/>
    <n v="9"/>
    <n v="4"/>
    <s v="Medical"/>
    <n v="0"/>
    <n v="0"/>
    <n v="1"/>
    <n v="0"/>
    <n v="0"/>
    <n v="4"/>
    <x v="1"/>
    <n v="0"/>
    <n v="35"/>
    <n v="3"/>
    <n v="1"/>
    <s v="Research Scientist"/>
    <n v="0"/>
    <n v="0"/>
    <n v="0"/>
    <n v="0"/>
    <n v="0"/>
    <n v="0"/>
    <n v="0"/>
    <n v="1"/>
    <x v="1"/>
    <s v="Divorced"/>
    <n v="0"/>
    <n v="0"/>
    <n v="3617"/>
    <n v="25063"/>
    <n v="8"/>
    <s v="Yes"/>
    <n v="1"/>
    <n v="14"/>
    <n v="3"/>
    <n v="4"/>
    <n v="1"/>
    <n v="3"/>
    <n v="2"/>
    <n v="3"/>
    <n v="1"/>
    <n v="1"/>
    <n v="0"/>
    <n v="0"/>
  </r>
  <r>
    <n v="32"/>
    <x v="1"/>
    <n v="0"/>
    <s v="Travel_Rarely"/>
    <n v="0"/>
    <n v="1"/>
    <n v="498"/>
    <s v="Research &amp; Development"/>
    <n v="1"/>
    <n v="0"/>
    <n v="3"/>
    <n v="4"/>
    <s v="Medical"/>
    <n v="0"/>
    <n v="0"/>
    <n v="1"/>
    <n v="0"/>
    <n v="0"/>
    <n v="3"/>
    <x v="0"/>
    <n v="1"/>
    <n v="93"/>
    <n v="3"/>
    <n v="2"/>
    <s v="Manufacturing Director"/>
    <n v="0"/>
    <n v="0"/>
    <n v="0"/>
    <n v="0"/>
    <n v="1"/>
    <n v="1"/>
    <n v="0"/>
    <n v="0"/>
    <x v="3"/>
    <s v="Married"/>
    <n v="0"/>
    <n v="1"/>
    <n v="6725"/>
    <n v="13554"/>
    <n v="1"/>
    <s v="No"/>
    <n v="0"/>
    <n v="12"/>
    <n v="3"/>
    <n v="3"/>
    <n v="1"/>
    <n v="8"/>
    <n v="2"/>
    <n v="4"/>
    <n v="8"/>
    <n v="7"/>
    <n v="6"/>
    <n v="3"/>
  </r>
  <r>
    <n v="36"/>
    <x v="0"/>
    <n v="1"/>
    <s v="Travel_Rarely"/>
    <n v="0"/>
    <n v="1"/>
    <n v="530"/>
    <s v="Sales"/>
    <n v="0"/>
    <n v="1"/>
    <n v="3"/>
    <n v="1"/>
    <s v="Life Sciences"/>
    <n v="1"/>
    <n v="0"/>
    <n v="0"/>
    <n v="0"/>
    <n v="0"/>
    <n v="3"/>
    <x v="1"/>
    <n v="0"/>
    <n v="51"/>
    <n v="2"/>
    <n v="3"/>
    <s v="Sales Executive"/>
    <n v="0"/>
    <n v="1"/>
    <n v="0"/>
    <n v="0"/>
    <n v="0"/>
    <n v="0"/>
    <n v="0"/>
    <n v="0"/>
    <x v="0"/>
    <s v="Married"/>
    <n v="0"/>
    <n v="1"/>
    <n v="10325"/>
    <n v="5518"/>
    <n v="1"/>
    <s v="Yes"/>
    <n v="1"/>
    <n v="11"/>
    <n v="3"/>
    <n v="1"/>
    <n v="1"/>
    <n v="16"/>
    <n v="6"/>
    <n v="3"/>
    <n v="16"/>
    <n v="7"/>
    <n v="3"/>
    <n v="7"/>
  </r>
  <r>
    <n v="33"/>
    <x v="1"/>
    <n v="0"/>
    <s v="Travel_Rarely"/>
    <n v="0"/>
    <n v="1"/>
    <n v="1069"/>
    <s v="Research &amp; Development"/>
    <n v="1"/>
    <n v="0"/>
    <n v="1"/>
    <n v="3"/>
    <s v="Life Sciences"/>
    <n v="1"/>
    <n v="0"/>
    <n v="0"/>
    <n v="0"/>
    <n v="0"/>
    <n v="2"/>
    <x v="0"/>
    <n v="1"/>
    <n v="42"/>
    <n v="2"/>
    <n v="2"/>
    <s v="Healthcare Representative"/>
    <n v="1"/>
    <n v="0"/>
    <n v="0"/>
    <n v="0"/>
    <n v="0"/>
    <n v="0"/>
    <n v="0"/>
    <n v="0"/>
    <x v="0"/>
    <s v="Single"/>
    <n v="1"/>
    <n v="0"/>
    <n v="6949"/>
    <n v="12291"/>
    <n v="0"/>
    <s v="No"/>
    <n v="0"/>
    <n v="14"/>
    <n v="3"/>
    <n v="1"/>
    <n v="0"/>
    <n v="6"/>
    <n v="3"/>
    <n v="3"/>
    <n v="5"/>
    <n v="0"/>
    <n v="1"/>
    <n v="4"/>
  </r>
  <r>
    <n v="37"/>
    <x v="0"/>
    <n v="1"/>
    <s v="Travel_Rarely"/>
    <n v="0"/>
    <n v="1"/>
    <n v="625"/>
    <s v="Sales"/>
    <n v="0"/>
    <n v="1"/>
    <n v="1"/>
    <n v="4"/>
    <s v="Life Sciences"/>
    <n v="1"/>
    <n v="0"/>
    <n v="0"/>
    <n v="0"/>
    <n v="0"/>
    <n v="1"/>
    <x v="1"/>
    <n v="0"/>
    <n v="46"/>
    <n v="2"/>
    <n v="3"/>
    <s v="Sales Executive"/>
    <n v="0"/>
    <n v="1"/>
    <n v="0"/>
    <n v="0"/>
    <n v="0"/>
    <n v="0"/>
    <n v="0"/>
    <n v="0"/>
    <x v="2"/>
    <s v="Married"/>
    <n v="0"/>
    <n v="1"/>
    <n v="10609"/>
    <n v="14922"/>
    <n v="5"/>
    <s v="No"/>
    <n v="0"/>
    <n v="11"/>
    <n v="3"/>
    <n v="3"/>
    <n v="0"/>
    <n v="17"/>
    <n v="2"/>
    <n v="1"/>
    <n v="14"/>
    <n v="1"/>
    <n v="11"/>
    <n v="7"/>
  </r>
  <r>
    <n v="45"/>
    <x v="1"/>
    <n v="0"/>
    <s v="Non-Travel"/>
    <n v="0"/>
    <n v="0"/>
    <n v="805"/>
    <s v="Research &amp; Development"/>
    <n v="1"/>
    <n v="0"/>
    <n v="4"/>
    <n v="2"/>
    <s v="Life Sciences"/>
    <n v="1"/>
    <n v="0"/>
    <n v="0"/>
    <n v="0"/>
    <n v="0"/>
    <n v="3"/>
    <x v="1"/>
    <n v="0"/>
    <n v="57"/>
    <n v="3"/>
    <n v="2"/>
    <s v="Laboratory Technician"/>
    <n v="0"/>
    <n v="0"/>
    <n v="1"/>
    <n v="0"/>
    <n v="0"/>
    <n v="0"/>
    <n v="0"/>
    <n v="0"/>
    <x v="1"/>
    <s v="Married"/>
    <n v="0"/>
    <n v="1"/>
    <n v="4447"/>
    <n v="23163"/>
    <n v="1"/>
    <s v="No"/>
    <n v="0"/>
    <n v="12"/>
    <n v="3"/>
    <n v="2"/>
    <n v="0"/>
    <n v="9"/>
    <n v="5"/>
    <n v="2"/>
    <n v="9"/>
    <n v="7"/>
    <n v="0"/>
    <n v="8"/>
  </r>
  <r>
    <n v="29"/>
    <x v="1"/>
    <n v="0"/>
    <s v="Travel_Frequently"/>
    <n v="1"/>
    <n v="0"/>
    <n v="1404"/>
    <s v="Sales"/>
    <n v="0"/>
    <n v="1"/>
    <n v="20"/>
    <n v="3"/>
    <s v="Technical Degree"/>
    <n v="0"/>
    <n v="0"/>
    <n v="0"/>
    <n v="0"/>
    <n v="1"/>
    <n v="3"/>
    <x v="0"/>
    <n v="1"/>
    <n v="84"/>
    <n v="3"/>
    <n v="1"/>
    <s v="Sales Representative"/>
    <n v="0"/>
    <n v="0"/>
    <n v="0"/>
    <n v="0"/>
    <n v="0"/>
    <n v="0"/>
    <n v="1"/>
    <n v="0"/>
    <x v="0"/>
    <s v="Married"/>
    <n v="0"/>
    <n v="1"/>
    <n v="2157"/>
    <n v="18203"/>
    <n v="1"/>
    <s v="No"/>
    <n v="0"/>
    <n v="15"/>
    <n v="3"/>
    <n v="2"/>
    <n v="1"/>
    <n v="3"/>
    <n v="5"/>
    <n v="3"/>
    <n v="3"/>
    <n v="1"/>
    <n v="0"/>
    <n v="2"/>
  </r>
  <r>
    <n v="35"/>
    <x v="1"/>
    <n v="0"/>
    <s v="Travel_Rarely"/>
    <n v="0"/>
    <n v="1"/>
    <n v="1219"/>
    <s v="Sales"/>
    <n v="0"/>
    <n v="1"/>
    <n v="18"/>
    <n v="3"/>
    <s v="Medical"/>
    <n v="0"/>
    <n v="0"/>
    <n v="1"/>
    <n v="0"/>
    <n v="0"/>
    <n v="3"/>
    <x v="0"/>
    <n v="1"/>
    <n v="86"/>
    <n v="3"/>
    <n v="2"/>
    <s v="Sales Executive"/>
    <n v="0"/>
    <n v="1"/>
    <n v="0"/>
    <n v="0"/>
    <n v="0"/>
    <n v="0"/>
    <n v="0"/>
    <n v="0"/>
    <x v="2"/>
    <s v="Married"/>
    <n v="0"/>
    <n v="1"/>
    <n v="4601"/>
    <n v="6179"/>
    <n v="1"/>
    <s v="No"/>
    <n v="0"/>
    <n v="16"/>
    <n v="3"/>
    <n v="2"/>
    <n v="0"/>
    <n v="5"/>
    <n v="3"/>
    <n v="3"/>
    <n v="5"/>
    <n v="2"/>
    <n v="1"/>
    <n v="0"/>
  </r>
  <r>
    <n v="52"/>
    <x v="1"/>
    <n v="0"/>
    <s v="Travel_Rarely"/>
    <n v="0"/>
    <n v="1"/>
    <n v="1053"/>
    <s v="Research &amp; Development"/>
    <n v="1"/>
    <n v="0"/>
    <n v="1"/>
    <n v="2"/>
    <s v="Life Sciences"/>
    <n v="1"/>
    <n v="0"/>
    <n v="0"/>
    <n v="0"/>
    <n v="0"/>
    <n v="4"/>
    <x v="1"/>
    <n v="0"/>
    <n v="70"/>
    <n v="3"/>
    <n v="4"/>
    <s v="Manager"/>
    <n v="0"/>
    <n v="0"/>
    <n v="0"/>
    <n v="1"/>
    <n v="0"/>
    <n v="0"/>
    <n v="0"/>
    <n v="0"/>
    <x v="0"/>
    <s v="Married"/>
    <n v="0"/>
    <n v="1"/>
    <n v="17099"/>
    <n v="13829"/>
    <n v="2"/>
    <s v="No"/>
    <n v="0"/>
    <n v="15"/>
    <n v="3"/>
    <n v="2"/>
    <n v="1"/>
    <n v="26"/>
    <n v="2"/>
    <n v="2"/>
    <n v="9"/>
    <n v="8"/>
    <n v="7"/>
    <n v="8"/>
  </r>
  <r>
    <n v="58"/>
    <x v="0"/>
    <n v="1"/>
    <s v="Travel_Rarely"/>
    <n v="0"/>
    <n v="1"/>
    <n v="289"/>
    <s v="Research &amp; Development"/>
    <n v="1"/>
    <n v="0"/>
    <n v="2"/>
    <n v="3"/>
    <s v="Technical Degree"/>
    <n v="0"/>
    <n v="0"/>
    <n v="0"/>
    <n v="0"/>
    <n v="1"/>
    <n v="4"/>
    <x v="1"/>
    <n v="0"/>
    <n v="51"/>
    <n v="3"/>
    <n v="1"/>
    <s v="Research Scientist"/>
    <n v="0"/>
    <n v="0"/>
    <n v="0"/>
    <n v="0"/>
    <n v="0"/>
    <n v="0"/>
    <n v="0"/>
    <n v="1"/>
    <x v="2"/>
    <s v="Single"/>
    <n v="1"/>
    <n v="0"/>
    <n v="2479"/>
    <n v="26227"/>
    <n v="4"/>
    <s v="No"/>
    <n v="0"/>
    <n v="24"/>
    <n v="4"/>
    <n v="1"/>
    <n v="0"/>
    <n v="7"/>
    <n v="4"/>
    <n v="3"/>
    <n v="1"/>
    <n v="0"/>
    <n v="0"/>
    <n v="0"/>
  </r>
  <r>
    <n v="53"/>
    <x v="1"/>
    <n v="0"/>
    <s v="Travel_Rarely"/>
    <n v="0"/>
    <n v="1"/>
    <n v="1376"/>
    <s v="Sales"/>
    <n v="0"/>
    <n v="1"/>
    <n v="2"/>
    <n v="2"/>
    <s v="Medical"/>
    <n v="0"/>
    <n v="0"/>
    <n v="1"/>
    <n v="0"/>
    <n v="0"/>
    <n v="3"/>
    <x v="1"/>
    <n v="0"/>
    <n v="45"/>
    <n v="3"/>
    <n v="4"/>
    <s v="Manager"/>
    <n v="0"/>
    <n v="0"/>
    <n v="0"/>
    <n v="1"/>
    <n v="0"/>
    <n v="0"/>
    <n v="0"/>
    <n v="0"/>
    <x v="2"/>
    <s v="Divorced"/>
    <n v="0"/>
    <n v="0"/>
    <n v="14852"/>
    <n v="13938"/>
    <n v="6"/>
    <s v="No"/>
    <n v="0"/>
    <n v="13"/>
    <n v="3"/>
    <n v="3"/>
    <n v="1"/>
    <n v="22"/>
    <n v="3"/>
    <n v="4"/>
    <n v="17"/>
    <n v="13"/>
    <n v="15"/>
    <n v="2"/>
  </r>
  <r>
    <n v="30"/>
    <x v="1"/>
    <n v="0"/>
    <s v="Travel_Rarely"/>
    <n v="0"/>
    <n v="1"/>
    <n v="231"/>
    <s v="Sales"/>
    <n v="0"/>
    <n v="1"/>
    <n v="8"/>
    <n v="2"/>
    <s v="Other"/>
    <n v="0"/>
    <n v="1"/>
    <n v="0"/>
    <n v="0"/>
    <n v="0"/>
    <n v="3"/>
    <x v="1"/>
    <n v="0"/>
    <n v="62"/>
    <n v="3"/>
    <n v="3"/>
    <s v="Sales Executive"/>
    <n v="0"/>
    <n v="1"/>
    <n v="0"/>
    <n v="0"/>
    <n v="0"/>
    <n v="0"/>
    <n v="0"/>
    <n v="0"/>
    <x v="2"/>
    <s v="Divorced"/>
    <n v="0"/>
    <n v="0"/>
    <n v="7264"/>
    <n v="9977"/>
    <n v="5"/>
    <s v="No"/>
    <n v="0"/>
    <n v="11"/>
    <n v="3"/>
    <n v="1"/>
    <n v="1"/>
    <n v="10"/>
    <n v="2"/>
    <n v="4"/>
    <n v="8"/>
    <n v="4"/>
    <n v="7"/>
    <n v="7"/>
  </r>
  <r>
    <n v="38"/>
    <x v="1"/>
    <n v="0"/>
    <s v="Non-Travel"/>
    <n v="0"/>
    <n v="0"/>
    <n v="152"/>
    <s v="Sales"/>
    <n v="0"/>
    <n v="1"/>
    <n v="10"/>
    <n v="3"/>
    <s v="Technical Degree"/>
    <n v="0"/>
    <n v="0"/>
    <n v="0"/>
    <n v="0"/>
    <n v="1"/>
    <n v="3"/>
    <x v="0"/>
    <n v="1"/>
    <n v="85"/>
    <n v="3"/>
    <n v="2"/>
    <s v="Sales Executive"/>
    <n v="0"/>
    <n v="1"/>
    <n v="0"/>
    <n v="0"/>
    <n v="0"/>
    <n v="0"/>
    <n v="0"/>
    <n v="0"/>
    <x v="0"/>
    <s v="Single"/>
    <n v="1"/>
    <n v="0"/>
    <n v="5666"/>
    <n v="19899"/>
    <n v="1"/>
    <s v="Yes"/>
    <n v="1"/>
    <n v="13"/>
    <n v="3"/>
    <n v="2"/>
    <n v="0"/>
    <n v="6"/>
    <n v="1"/>
    <n v="3"/>
    <n v="5"/>
    <n v="3"/>
    <n v="1"/>
    <n v="3"/>
  </r>
  <r>
    <n v="35"/>
    <x v="1"/>
    <n v="0"/>
    <s v="Travel_Rarely"/>
    <n v="0"/>
    <n v="1"/>
    <n v="882"/>
    <s v="Sales"/>
    <n v="0"/>
    <n v="1"/>
    <n v="3"/>
    <n v="4"/>
    <s v="Life Sciences"/>
    <n v="1"/>
    <n v="0"/>
    <n v="0"/>
    <n v="0"/>
    <n v="0"/>
    <n v="4"/>
    <x v="1"/>
    <n v="0"/>
    <n v="92"/>
    <n v="3"/>
    <n v="3"/>
    <s v="Sales Executive"/>
    <n v="0"/>
    <n v="1"/>
    <n v="0"/>
    <n v="0"/>
    <n v="0"/>
    <n v="0"/>
    <n v="0"/>
    <n v="0"/>
    <x v="0"/>
    <s v="Divorced"/>
    <n v="0"/>
    <n v="0"/>
    <n v="7823"/>
    <n v="6812"/>
    <n v="6"/>
    <s v="No"/>
    <n v="0"/>
    <n v="13"/>
    <n v="3"/>
    <n v="2"/>
    <n v="1"/>
    <n v="12"/>
    <n v="2"/>
    <n v="3"/>
    <n v="10"/>
    <n v="9"/>
    <n v="0"/>
    <n v="8"/>
  </r>
  <r>
    <n v="39"/>
    <x v="1"/>
    <n v="0"/>
    <s v="Travel_Rarely"/>
    <n v="0"/>
    <n v="1"/>
    <n v="903"/>
    <s v="Sales"/>
    <n v="0"/>
    <n v="1"/>
    <n v="2"/>
    <n v="5"/>
    <s v="Life Sciences"/>
    <n v="1"/>
    <n v="0"/>
    <n v="0"/>
    <n v="0"/>
    <n v="0"/>
    <n v="1"/>
    <x v="1"/>
    <n v="0"/>
    <n v="41"/>
    <n v="4"/>
    <n v="3"/>
    <s v="Sales Executive"/>
    <n v="0"/>
    <n v="1"/>
    <n v="0"/>
    <n v="0"/>
    <n v="0"/>
    <n v="0"/>
    <n v="0"/>
    <n v="0"/>
    <x v="2"/>
    <s v="Single"/>
    <n v="1"/>
    <n v="0"/>
    <n v="7880"/>
    <n v="2560"/>
    <n v="0"/>
    <s v="No"/>
    <n v="0"/>
    <n v="18"/>
    <n v="3"/>
    <n v="4"/>
    <n v="0"/>
    <n v="9"/>
    <n v="3"/>
    <n v="3"/>
    <n v="8"/>
    <n v="7"/>
    <n v="0"/>
    <n v="7"/>
  </r>
  <r>
    <n v="40"/>
    <x v="0"/>
    <n v="1"/>
    <s v="Non-Travel"/>
    <n v="0"/>
    <n v="0"/>
    <n v="1479"/>
    <s v="Sales"/>
    <n v="0"/>
    <n v="1"/>
    <n v="24"/>
    <n v="3"/>
    <s v="Life Sciences"/>
    <n v="1"/>
    <n v="0"/>
    <n v="0"/>
    <n v="0"/>
    <n v="0"/>
    <n v="2"/>
    <x v="0"/>
    <n v="1"/>
    <n v="100"/>
    <n v="4"/>
    <n v="4"/>
    <s v="Sales Executive"/>
    <n v="0"/>
    <n v="1"/>
    <n v="0"/>
    <n v="0"/>
    <n v="0"/>
    <n v="0"/>
    <n v="0"/>
    <n v="0"/>
    <x v="1"/>
    <s v="Single"/>
    <n v="1"/>
    <n v="0"/>
    <n v="13194"/>
    <n v="17071"/>
    <n v="4"/>
    <s v="Yes"/>
    <n v="1"/>
    <n v="16"/>
    <n v="3"/>
    <n v="4"/>
    <n v="0"/>
    <n v="22"/>
    <n v="2"/>
    <n v="2"/>
    <n v="1"/>
    <n v="0"/>
    <n v="0"/>
    <n v="0"/>
  </r>
  <r>
    <n v="47"/>
    <x v="1"/>
    <n v="0"/>
    <s v="Travel_Frequently"/>
    <n v="1"/>
    <n v="0"/>
    <n v="1379"/>
    <s v="Research &amp; Development"/>
    <n v="1"/>
    <n v="0"/>
    <n v="16"/>
    <n v="4"/>
    <s v="Medical"/>
    <n v="0"/>
    <n v="0"/>
    <n v="1"/>
    <n v="0"/>
    <n v="0"/>
    <n v="3"/>
    <x v="1"/>
    <n v="0"/>
    <n v="64"/>
    <n v="4"/>
    <n v="2"/>
    <s v="Manufacturing Director"/>
    <n v="0"/>
    <n v="0"/>
    <n v="0"/>
    <n v="0"/>
    <n v="1"/>
    <n v="1"/>
    <n v="0"/>
    <n v="0"/>
    <x v="2"/>
    <s v="Divorced"/>
    <n v="0"/>
    <n v="0"/>
    <n v="5067"/>
    <n v="6759"/>
    <n v="1"/>
    <s v="Yes"/>
    <n v="1"/>
    <n v="19"/>
    <n v="3"/>
    <n v="3"/>
    <n v="0"/>
    <n v="20"/>
    <n v="3"/>
    <n v="4"/>
    <n v="19"/>
    <n v="10"/>
    <n v="2"/>
    <n v="7"/>
  </r>
  <r>
    <n v="36"/>
    <x v="1"/>
    <n v="0"/>
    <s v="Non-Travel"/>
    <n v="0"/>
    <n v="0"/>
    <n v="1229"/>
    <s v="Sales"/>
    <n v="0"/>
    <n v="1"/>
    <n v="8"/>
    <n v="4"/>
    <s v="Technical Degree"/>
    <n v="0"/>
    <n v="0"/>
    <n v="0"/>
    <n v="0"/>
    <n v="1"/>
    <n v="1"/>
    <x v="1"/>
    <n v="0"/>
    <n v="84"/>
    <n v="3"/>
    <n v="2"/>
    <s v="Sales Executive"/>
    <n v="0"/>
    <n v="1"/>
    <n v="0"/>
    <n v="0"/>
    <n v="0"/>
    <n v="0"/>
    <n v="0"/>
    <n v="0"/>
    <x v="0"/>
    <s v="Divorced"/>
    <n v="0"/>
    <n v="0"/>
    <n v="5079"/>
    <n v="25952"/>
    <n v="4"/>
    <s v="No"/>
    <n v="0"/>
    <n v="13"/>
    <n v="3"/>
    <n v="4"/>
    <n v="2"/>
    <n v="12"/>
    <n v="3"/>
    <n v="3"/>
    <n v="7"/>
    <n v="7"/>
    <n v="0"/>
    <n v="7"/>
  </r>
  <r>
    <n v="31"/>
    <x v="0"/>
    <n v="1"/>
    <s v="Non-Travel"/>
    <n v="0"/>
    <n v="0"/>
    <n v="335"/>
    <s v="Research &amp; Development"/>
    <n v="1"/>
    <n v="0"/>
    <n v="9"/>
    <n v="2"/>
    <s v="Medical"/>
    <n v="0"/>
    <n v="0"/>
    <n v="1"/>
    <n v="0"/>
    <n v="0"/>
    <n v="3"/>
    <x v="1"/>
    <n v="0"/>
    <n v="46"/>
    <n v="2"/>
    <n v="1"/>
    <s v="Research Scientist"/>
    <n v="0"/>
    <n v="0"/>
    <n v="0"/>
    <n v="0"/>
    <n v="0"/>
    <n v="0"/>
    <n v="0"/>
    <n v="1"/>
    <x v="3"/>
    <s v="Single"/>
    <n v="1"/>
    <n v="0"/>
    <n v="2321"/>
    <n v="10322"/>
    <n v="0"/>
    <s v="Yes"/>
    <n v="1"/>
    <n v="22"/>
    <n v="4"/>
    <n v="1"/>
    <n v="0"/>
    <n v="4"/>
    <n v="0"/>
    <n v="3"/>
    <n v="3"/>
    <n v="2"/>
    <n v="1"/>
    <n v="2"/>
  </r>
  <r>
    <n v="33"/>
    <x v="1"/>
    <n v="0"/>
    <s v="Non-Travel"/>
    <n v="0"/>
    <n v="0"/>
    <n v="722"/>
    <s v="Sales"/>
    <n v="0"/>
    <n v="1"/>
    <n v="17"/>
    <n v="3"/>
    <s v="Life Sciences"/>
    <n v="1"/>
    <n v="0"/>
    <n v="0"/>
    <n v="0"/>
    <n v="0"/>
    <n v="4"/>
    <x v="1"/>
    <n v="0"/>
    <n v="38"/>
    <n v="3"/>
    <n v="4"/>
    <s v="Manager"/>
    <n v="0"/>
    <n v="0"/>
    <n v="0"/>
    <n v="1"/>
    <n v="0"/>
    <n v="0"/>
    <n v="0"/>
    <n v="0"/>
    <x v="2"/>
    <s v="Single"/>
    <n v="1"/>
    <n v="0"/>
    <n v="17444"/>
    <n v="20489"/>
    <n v="1"/>
    <s v="No"/>
    <n v="0"/>
    <n v="11"/>
    <n v="3"/>
    <n v="4"/>
    <n v="0"/>
    <n v="10"/>
    <n v="2"/>
    <n v="3"/>
    <n v="10"/>
    <n v="8"/>
    <n v="6"/>
    <n v="0"/>
  </r>
  <r>
    <n v="29"/>
    <x v="0"/>
    <n v="1"/>
    <s v="Travel_Rarely"/>
    <n v="0"/>
    <n v="1"/>
    <n v="906"/>
    <s v="Research &amp; Development"/>
    <n v="1"/>
    <n v="0"/>
    <n v="10"/>
    <n v="3"/>
    <s v="Life Sciences"/>
    <n v="1"/>
    <n v="0"/>
    <n v="0"/>
    <n v="0"/>
    <n v="0"/>
    <n v="4"/>
    <x v="0"/>
    <n v="1"/>
    <n v="92"/>
    <n v="2"/>
    <n v="1"/>
    <s v="Research Scientist"/>
    <n v="0"/>
    <n v="0"/>
    <n v="0"/>
    <n v="0"/>
    <n v="0"/>
    <n v="0"/>
    <n v="0"/>
    <n v="1"/>
    <x v="3"/>
    <s v="Single"/>
    <n v="1"/>
    <n v="0"/>
    <n v="2404"/>
    <n v="11479"/>
    <n v="6"/>
    <s v="Yes"/>
    <n v="1"/>
    <n v="20"/>
    <n v="4"/>
    <n v="3"/>
    <n v="0"/>
    <n v="3"/>
    <n v="5"/>
    <n v="3"/>
    <n v="0"/>
    <n v="0"/>
    <n v="0"/>
    <n v="0"/>
  </r>
  <r>
    <n v="33"/>
    <x v="1"/>
    <n v="0"/>
    <s v="Travel_Rarely"/>
    <n v="0"/>
    <n v="1"/>
    <n v="461"/>
    <s v="Research &amp; Development"/>
    <n v="1"/>
    <n v="0"/>
    <n v="13"/>
    <n v="1"/>
    <s v="Life Sciences"/>
    <n v="1"/>
    <n v="0"/>
    <n v="0"/>
    <n v="0"/>
    <n v="0"/>
    <n v="2"/>
    <x v="0"/>
    <n v="1"/>
    <n v="53"/>
    <n v="3"/>
    <n v="1"/>
    <s v="Research Scientist"/>
    <n v="0"/>
    <n v="0"/>
    <n v="0"/>
    <n v="0"/>
    <n v="0"/>
    <n v="0"/>
    <n v="0"/>
    <n v="1"/>
    <x v="0"/>
    <s v="Single"/>
    <n v="1"/>
    <n v="0"/>
    <n v="3452"/>
    <n v="17241"/>
    <n v="3"/>
    <s v="No"/>
    <n v="0"/>
    <n v="18"/>
    <n v="3"/>
    <n v="1"/>
    <n v="0"/>
    <n v="5"/>
    <n v="4"/>
    <n v="3"/>
    <n v="3"/>
    <n v="2"/>
    <n v="0"/>
    <n v="2"/>
  </r>
  <r>
    <n v="45"/>
    <x v="1"/>
    <n v="0"/>
    <s v="Travel_Rarely"/>
    <n v="0"/>
    <n v="1"/>
    <n v="974"/>
    <s v="Research &amp; Development"/>
    <n v="1"/>
    <n v="0"/>
    <n v="1"/>
    <n v="4"/>
    <s v="Medical"/>
    <n v="0"/>
    <n v="0"/>
    <n v="1"/>
    <n v="0"/>
    <n v="0"/>
    <n v="4"/>
    <x v="0"/>
    <n v="1"/>
    <n v="91"/>
    <n v="3"/>
    <n v="1"/>
    <s v="Laboratory Technician"/>
    <n v="0"/>
    <n v="0"/>
    <n v="1"/>
    <n v="0"/>
    <n v="0"/>
    <n v="0"/>
    <n v="0"/>
    <n v="0"/>
    <x v="0"/>
    <s v="Divorced"/>
    <n v="0"/>
    <n v="0"/>
    <n v="2270"/>
    <n v="11005"/>
    <n v="3"/>
    <s v="No"/>
    <n v="0"/>
    <n v="14"/>
    <n v="3"/>
    <n v="4"/>
    <n v="2"/>
    <n v="8"/>
    <n v="2"/>
    <n v="3"/>
    <n v="5"/>
    <n v="3"/>
    <n v="0"/>
    <n v="2"/>
  </r>
  <r>
    <n v="50"/>
    <x v="1"/>
    <n v="0"/>
    <s v="Travel_Rarely"/>
    <n v="0"/>
    <n v="1"/>
    <n v="1126"/>
    <s v="Research &amp; Development"/>
    <n v="1"/>
    <n v="0"/>
    <n v="1"/>
    <n v="2"/>
    <s v="Medical"/>
    <n v="0"/>
    <n v="0"/>
    <n v="1"/>
    <n v="0"/>
    <n v="0"/>
    <n v="4"/>
    <x v="1"/>
    <n v="0"/>
    <n v="66"/>
    <n v="3"/>
    <n v="4"/>
    <s v="Research Director"/>
    <n v="0"/>
    <n v="0"/>
    <n v="0"/>
    <n v="0"/>
    <n v="0"/>
    <n v="0"/>
    <n v="0"/>
    <n v="0"/>
    <x v="0"/>
    <s v="Divorced"/>
    <n v="0"/>
    <n v="0"/>
    <n v="17399"/>
    <n v="6615"/>
    <n v="9"/>
    <s v="No"/>
    <n v="0"/>
    <n v="22"/>
    <n v="4"/>
    <n v="3"/>
    <n v="1"/>
    <n v="32"/>
    <n v="1"/>
    <n v="2"/>
    <n v="5"/>
    <n v="4"/>
    <n v="1"/>
    <n v="3"/>
  </r>
  <r>
    <n v="33"/>
    <x v="1"/>
    <n v="0"/>
    <s v="Travel_Frequently"/>
    <n v="1"/>
    <n v="0"/>
    <n v="827"/>
    <s v="Research &amp; Development"/>
    <n v="1"/>
    <n v="0"/>
    <n v="1"/>
    <n v="4"/>
    <s v="Other"/>
    <n v="0"/>
    <n v="1"/>
    <n v="0"/>
    <n v="0"/>
    <n v="0"/>
    <n v="3"/>
    <x v="0"/>
    <n v="1"/>
    <n v="84"/>
    <n v="4"/>
    <n v="2"/>
    <s v="Healthcare Representative"/>
    <n v="1"/>
    <n v="0"/>
    <n v="0"/>
    <n v="0"/>
    <n v="0"/>
    <n v="0"/>
    <n v="0"/>
    <n v="0"/>
    <x v="1"/>
    <s v="Married"/>
    <n v="0"/>
    <n v="1"/>
    <n v="5488"/>
    <n v="20161"/>
    <n v="1"/>
    <s v="Yes"/>
    <n v="1"/>
    <n v="13"/>
    <n v="3"/>
    <n v="1"/>
    <n v="1"/>
    <n v="6"/>
    <n v="2"/>
    <n v="3"/>
    <n v="6"/>
    <n v="5"/>
    <n v="1"/>
    <n v="2"/>
  </r>
  <r>
    <n v="41"/>
    <x v="1"/>
    <n v="0"/>
    <s v="Travel_Frequently"/>
    <n v="1"/>
    <n v="0"/>
    <n v="840"/>
    <s v="Research &amp; Development"/>
    <n v="1"/>
    <n v="0"/>
    <n v="9"/>
    <n v="3"/>
    <s v="Medical"/>
    <n v="0"/>
    <n v="0"/>
    <n v="1"/>
    <n v="0"/>
    <n v="0"/>
    <n v="1"/>
    <x v="1"/>
    <n v="0"/>
    <n v="64"/>
    <n v="3"/>
    <n v="5"/>
    <s v="Research Director"/>
    <n v="0"/>
    <n v="0"/>
    <n v="0"/>
    <n v="0"/>
    <n v="0"/>
    <n v="0"/>
    <n v="0"/>
    <n v="0"/>
    <x v="2"/>
    <s v="Divorced"/>
    <n v="0"/>
    <n v="0"/>
    <n v="19419"/>
    <n v="3735"/>
    <n v="2"/>
    <s v="No"/>
    <n v="0"/>
    <n v="17"/>
    <n v="3"/>
    <n v="2"/>
    <n v="1"/>
    <n v="21"/>
    <n v="2"/>
    <n v="4"/>
    <n v="18"/>
    <n v="16"/>
    <n v="0"/>
    <n v="11"/>
  </r>
  <r>
    <n v="27"/>
    <x v="1"/>
    <n v="0"/>
    <s v="Travel_Rarely"/>
    <n v="0"/>
    <n v="1"/>
    <n v="1134"/>
    <s v="Research &amp; Development"/>
    <n v="1"/>
    <n v="0"/>
    <n v="16"/>
    <n v="4"/>
    <s v="Technical Degree"/>
    <n v="0"/>
    <n v="0"/>
    <n v="0"/>
    <n v="0"/>
    <n v="1"/>
    <n v="3"/>
    <x v="0"/>
    <n v="1"/>
    <n v="37"/>
    <n v="3"/>
    <n v="1"/>
    <s v="Laboratory Technician"/>
    <n v="0"/>
    <n v="0"/>
    <n v="1"/>
    <n v="0"/>
    <n v="0"/>
    <n v="0"/>
    <n v="0"/>
    <n v="0"/>
    <x v="1"/>
    <s v="Married"/>
    <n v="0"/>
    <n v="1"/>
    <n v="2811"/>
    <n v="12086"/>
    <n v="9"/>
    <s v="No"/>
    <n v="0"/>
    <n v="14"/>
    <n v="3"/>
    <n v="2"/>
    <n v="1"/>
    <n v="4"/>
    <n v="2"/>
    <n v="3"/>
    <n v="2"/>
    <n v="2"/>
    <n v="2"/>
    <n v="2"/>
  </r>
  <r>
    <n v="45"/>
    <x v="1"/>
    <n v="0"/>
    <s v="Non-Travel"/>
    <n v="0"/>
    <n v="0"/>
    <n v="248"/>
    <s v="Research &amp; Development"/>
    <n v="1"/>
    <n v="0"/>
    <n v="23"/>
    <n v="2"/>
    <s v="Life Sciences"/>
    <n v="1"/>
    <n v="0"/>
    <n v="0"/>
    <n v="0"/>
    <n v="0"/>
    <n v="4"/>
    <x v="1"/>
    <n v="0"/>
    <n v="42"/>
    <n v="3"/>
    <n v="2"/>
    <s v="Laboratory Technician"/>
    <n v="0"/>
    <n v="0"/>
    <n v="1"/>
    <n v="0"/>
    <n v="0"/>
    <n v="0"/>
    <n v="0"/>
    <n v="0"/>
    <x v="3"/>
    <s v="Married"/>
    <n v="0"/>
    <n v="1"/>
    <n v="3633"/>
    <n v="14039"/>
    <n v="1"/>
    <s v="Yes"/>
    <n v="1"/>
    <n v="15"/>
    <n v="3"/>
    <n v="3"/>
    <n v="1"/>
    <n v="9"/>
    <n v="2"/>
    <n v="3"/>
    <n v="9"/>
    <n v="8"/>
    <n v="0"/>
    <n v="8"/>
  </r>
  <r>
    <n v="47"/>
    <x v="1"/>
    <n v="0"/>
    <s v="Travel_Rarely"/>
    <n v="0"/>
    <n v="1"/>
    <n v="955"/>
    <s v="Sales"/>
    <n v="0"/>
    <n v="1"/>
    <n v="4"/>
    <n v="2"/>
    <s v="Life Sciences"/>
    <n v="1"/>
    <n v="0"/>
    <n v="0"/>
    <n v="0"/>
    <n v="0"/>
    <n v="4"/>
    <x v="0"/>
    <n v="1"/>
    <n v="83"/>
    <n v="3"/>
    <n v="2"/>
    <s v="Sales Executive"/>
    <n v="0"/>
    <n v="1"/>
    <n v="0"/>
    <n v="0"/>
    <n v="0"/>
    <n v="0"/>
    <n v="0"/>
    <n v="0"/>
    <x v="0"/>
    <s v="Single"/>
    <n v="1"/>
    <n v="0"/>
    <n v="4163"/>
    <n v="8571"/>
    <n v="1"/>
    <s v="Yes"/>
    <n v="1"/>
    <n v="17"/>
    <n v="3"/>
    <n v="3"/>
    <n v="0"/>
    <n v="9"/>
    <n v="0"/>
    <n v="3"/>
    <n v="9"/>
    <n v="0"/>
    <n v="0"/>
    <n v="7"/>
  </r>
  <r>
    <n v="30"/>
    <x v="0"/>
    <n v="1"/>
    <s v="Travel_Rarely"/>
    <n v="0"/>
    <n v="1"/>
    <n v="138"/>
    <s v="Research &amp; Development"/>
    <n v="1"/>
    <n v="0"/>
    <n v="22"/>
    <n v="3"/>
    <s v="Life Sciences"/>
    <n v="1"/>
    <n v="0"/>
    <n v="0"/>
    <n v="0"/>
    <n v="0"/>
    <n v="1"/>
    <x v="0"/>
    <n v="1"/>
    <n v="48"/>
    <n v="3"/>
    <n v="1"/>
    <s v="Research Scientist"/>
    <n v="0"/>
    <n v="0"/>
    <n v="0"/>
    <n v="0"/>
    <n v="0"/>
    <n v="0"/>
    <n v="0"/>
    <n v="1"/>
    <x v="2"/>
    <s v="Married"/>
    <n v="0"/>
    <n v="1"/>
    <n v="2132"/>
    <n v="11539"/>
    <n v="4"/>
    <s v="Yes"/>
    <n v="1"/>
    <n v="11"/>
    <n v="3"/>
    <n v="2"/>
    <n v="0"/>
    <n v="7"/>
    <n v="2"/>
    <n v="3"/>
    <n v="5"/>
    <n v="2"/>
    <n v="0"/>
    <n v="1"/>
  </r>
  <r>
    <n v="50"/>
    <x v="1"/>
    <n v="0"/>
    <s v="Travel_Rarely"/>
    <n v="0"/>
    <n v="1"/>
    <n v="939"/>
    <s v="Research &amp; Development"/>
    <n v="1"/>
    <n v="0"/>
    <n v="24"/>
    <n v="3"/>
    <s v="Life Sciences"/>
    <n v="1"/>
    <n v="0"/>
    <n v="0"/>
    <n v="0"/>
    <n v="0"/>
    <n v="4"/>
    <x v="1"/>
    <n v="0"/>
    <n v="95"/>
    <n v="3"/>
    <n v="4"/>
    <s v="Manufacturing Director"/>
    <n v="0"/>
    <n v="0"/>
    <n v="0"/>
    <n v="0"/>
    <n v="1"/>
    <n v="1"/>
    <n v="0"/>
    <n v="0"/>
    <x v="2"/>
    <s v="Married"/>
    <n v="0"/>
    <n v="1"/>
    <n v="13973"/>
    <n v="4161"/>
    <n v="3"/>
    <s v="Yes"/>
    <n v="1"/>
    <n v="18"/>
    <n v="3"/>
    <n v="4"/>
    <n v="1"/>
    <n v="22"/>
    <n v="2"/>
    <n v="3"/>
    <n v="12"/>
    <n v="11"/>
    <n v="1"/>
    <n v="5"/>
  </r>
  <r>
    <n v="38"/>
    <x v="1"/>
    <n v="0"/>
    <s v="Travel_Frequently"/>
    <n v="1"/>
    <n v="0"/>
    <n v="1391"/>
    <s v="Research &amp; Development"/>
    <n v="1"/>
    <n v="0"/>
    <n v="10"/>
    <n v="1"/>
    <s v="Medical"/>
    <n v="0"/>
    <n v="0"/>
    <n v="1"/>
    <n v="0"/>
    <n v="0"/>
    <n v="3"/>
    <x v="1"/>
    <n v="0"/>
    <n v="66"/>
    <n v="3"/>
    <n v="1"/>
    <s v="Research Scientist"/>
    <n v="0"/>
    <n v="0"/>
    <n v="0"/>
    <n v="0"/>
    <n v="0"/>
    <n v="0"/>
    <n v="0"/>
    <n v="1"/>
    <x v="2"/>
    <s v="Married"/>
    <n v="0"/>
    <n v="1"/>
    <n v="2684"/>
    <n v="12127"/>
    <n v="0"/>
    <s v="No"/>
    <n v="0"/>
    <n v="17"/>
    <n v="3"/>
    <n v="2"/>
    <n v="1"/>
    <n v="3"/>
    <n v="0"/>
    <n v="2"/>
    <n v="2"/>
    <n v="1"/>
    <n v="0"/>
    <n v="2"/>
  </r>
  <r>
    <n v="46"/>
    <x v="1"/>
    <n v="0"/>
    <s v="Travel_Rarely"/>
    <n v="0"/>
    <n v="1"/>
    <n v="566"/>
    <s v="Research &amp; Development"/>
    <n v="1"/>
    <n v="0"/>
    <n v="7"/>
    <n v="2"/>
    <s v="Medical"/>
    <n v="0"/>
    <n v="0"/>
    <n v="1"/>
    <n v="0"/>
    <n v="0"/>
    <n v="4"/>
    <x v="1"/>
    <n v="0"/>
    <n v="75"/>
    <n v="3"/>
    <n v="3"/>
    <s v="Manufacturing Director"/>
    <n v="0"/>
    <n v="0"/>
    <n v="0"/>
    <n v="0"/>
    <n v="1"/>
    <n v="1"/>
    <n v="0"/>
    <n v="0"/>
    <x v="2"/>
    <s v="Divorced"/>
    <n v="0"/>
    <n v="0"/>
    <n v="10845"/>
    <n v="24208"/>
    <n v="6"/>
    <s v="No"/>
    <n v="0"/>
    <n v="13"/>
    <n v="3"/>
    <n v="2"/>
    <n v="1"/>
    <n v="13"/>
    <n v="3"/>
    <n v="3"/>
    <n v="8"/>
    <n v="7"/>
    <n v="0"/>
    <n v="7"/>
  </r>
  <r>
    <n v="24"/>
    <x v="1"/>
    <n v="0"/>
    <s v="Travel_Rarely"/>
    <n v="0"/>
    <n v="1"/>
    <n v="1206"/>
    <s v="Research &amp; Development"/>
    <n v="1"/>
    <n v="0"/>
    <n v="17"/>
    <n v="1"/>
    <s v="Medical"/>
    <n v="0"/>
    <n v="0"/>
    <n v="1"/>
    <n v="0"/>
    <n v="0"/>
    <n v="4"/>
    <x v="0"/>
    <n v="1"/>
    <n v="41"/>
    <n v="2"/>
    <n v="2"/>
    <s v="Manufacturing Director"/>
    <n v="0"/>
    <n v="0"/>
    <n v="0"/>
    <n v="0"/>
    <n v="1"/>
    <n v="1"/>
    <n v="0"/>
    <n v="0"/>
    <x v="2"/>
    <s v="Divorced"/>
    <n v="0"/>
    <n v="0"/>
    <n v="4377"/>
    <n v="24117"/>
    <n v="1"/>
    <s v="No"/>
    <n v="0"/>
    <n v="15"/>
    <n v="3"/>
    <n v="2"/>
    <n v="2"/>
    <n v="5"/>
    <n v="6"/>
    <n v="3"/>
    <n v="4"/>
    <n v="2"/>
    <n v="3"/>
    <n v="2"/>
  </r>
  <r>
    <n v="35"/>
    <x v="0"/>
    <n v="1"/>
    <s v="Travel_Rarely"/>
    <n v="0"/>
    <n v="1"/>
    <n v="622"/>
    <s v="Research &amp; Development"/>
    <n v="1"/>
    <n v="0"/>
    <n v="14"/>
    <n v="4"/>
    <s v="Other"/>
    <n v="0"/>
    <n v="1"/>
    <n v="0"/>
    <n v="0"/>
    <n v="0"/>
    <n v="3"/>
    <x v="1"/>
    <n v="0"/>
    <n v="39"/>
    <n v="2"/>
    <n v="1"/>
    <s v="Laboratory Technician"/>
    <n v="0"/>
    <n v="0"/>
    <n v="1"/>
    <n v="0"/>
    <n v="0"/>
    <n v="0"/>
    <n v="0"/>
    <n v="0"/>
    <x v="1"/>
    <s v="Divorced"/>
    <n v="0"/>
    <n v="0"/>
    <n v="3743"/>
    <n v="10074"/>
    <n v="1"/>
    <s v="Yes"/>
    <n v="1"/>
    <n v="24"/>
    <n v="4"/>
    <n v="4"/>
    <n v="1"/>
    <n v="5"/>
    <n v="2"/>
    <n v="1"/>
    <n v="4"/>
    <n v="2"/>
    <n v="0"/>
    <n v="2"/>
  </r>
  <r>
    <n v="31"/>
    <x v="1"/>
    <n v="0"/>
    <s v="Travel_Frequently"/>
    <n v="1"/>
    <n v="0"/>
    <n v="853"/>
    <s v="Research &amp; Development"/>
    <n v="1"/>
    <n v="0"/>
    <n v="1"/>
    <n v="1"/>
    <s v="Life Sciences"/>
    <n v="1"/>
    <n v="0"/>
    <n v="0"/>
    <n v="0"/>
    <n v="0"/>
    <n v="3"/>
    <x v="0"/>
    <n v="1"/>
    <n v="96"/>
    <n v="3"/>
    <n v="2"/>
    <s v="Manufacturing Director"/>
    <n v="0"/>
    <n v="0"/>
    <n v="0"/>
    <n v="0"/>
    <n v="1"/>
    <n v="1"/>
    <n v="0"/>
    <n v="0"/>
    <x v="3"/>
    <s v="Married"/>
    <n v="0"/>
    <n v="1"/>
    <n v="4148"/>
    <n v="11275"/>
    <n v="1"/>
    <s v="No"/>
    <n v="0"/>
    <n v="12"/>
    <n v="3"/>
    <n v="3"/>
    <n v="1"/>
    <n v="4"/>
    <n v="1"/>
    <n v="3"/>
    <n v="4"/>
    <n v="3"/>
    <n v="0"/>
    <n v="3"/>
  </r>
  <r>
    <n v="18"/>
    <x v="1"/>
    <n v="0"/>
    <s v="Non-Travel"/>
    <n v="0"/>
    <n v="0"/>
    <n v="287"/>
    <s v="Research &amp; Development"/>
    <n v="1"/>
    <n v="0"/>
    <n v="5"/>
    <n v="2"/>
    <s v="Life Sciences"/>
    <n v="1"/>
    <n v="0"/>
    <n v="0"/>
    <n v="0"/>
    <n v="0"/>
    <n v="2"/>
    <x v="1"/>
    <n v="0"/>
    <n v="73"/>
    <n v="3"/>
    <n v="1"/>
    <s v="Research Scientist"/>
    <n v="0"/>
    <n v="0"/>
    <n v="0"/>
    <n v="0"/>
    <n v="0"/>
    <n v="0"/>
    <n v="0"/>
    <n v="1"/>
    <x v="0"/>
    <s v="Single"/>
    <n v="1"/>
    <n v="0"/>
    <n v="1051"/>
    <n v="13493"/>
    <n v="1"/>
    <s v="No"/>
    <n v="0"/>
    <n v="15"/>
    <n v="3"/>
    <n v="4"/>
    <n v="0"/>
    <n v="0"/>
    <n v="2"/>
    <n v="3"/>
    <n v="0"/>
    <n v="0"/>
    <n v="0"/>
    <n v="0"/>
  </r>
  <r>
    <n v="54"/>
    <x v="1"/>
    <n v="0"/>
    <s v="Travel_Rarely"/>
    <n v="0"/>
    <n v="1"/>
    <n v="1441"/>
    <s v="Research &amp; Development"/>
    <n v="1"/>
    <n v="0"/>
    <n v="17"/>
    <n v="3"/>
    <s v="Technical Degree"/>
    <n v="0"/>
    <n v="0"/>
    <n v="0"/>
    <n v="0"/>
    <n v="1"/>
    <n v="3"/>
    <x v="0"/>
    <n v="1"/>
    <n v="56"/>
    <n v="3"/>
    <n v="3"/>
    <s v="Manufacturing Director"/>
    <n v="0"/>
    <n v="0"/>
    <n v="0"/>
    <n v="0"/>
    <n v="1"/>
    <n v="1"/>
    <n v="0"/>
    <n v="0"/>
    <x v="2"/>
    <s v="Married"/>
    <n v="0"/>
    <n v="1"/>
    <n v="10739"/>
    <n v="13943"/>
    <n v="8"/>
    <s v="No"/>
    <n v="0"/>
    <n v="11"/>
    <n v="3"/>
    <n v="3"/>
    <n v="1"/>
    <n v="22"/>
    <n v="2"/>
    <n v="3"/>
    <n v="10"/>
    <n v="7"/>
    <n v="0"/>
    <n v="8"/>
  </r>
  <r>
    <n v="35"/>
    <x v="1"/>
    <n v="0"/>
    <s v="Travel_Rarely"/>
    <n v="0"/>
    <n v="1"/>
    <n v="583"/>
    <s v="Research &amp; Development"/>
    <n v="1"/>
    <n v="0"/>
    <n v="25"/>
    <n v="4"/>
    <s v="Medical"/>
    <n v="0"/>
    <n v="0"/>
    <n v="1"/>
    <n v="0"/>
    <n v="0"/>
    <n v="3"/>
    <x v="0"/>
    <n v="1"/>
    <n v="57"/>
    <n v="3"/>
    <n v="3"/>
    <s v="Healthcare Representative"/>
    <n v="1"/>
    <n v="0"/>
    <n v="0"/>
    <n v="0"/>
    <n v="0"/>
    <n v="0"/>
    <n v="0"/>
    <n v="0"/>
    <x v="2"/>
    <s v="Divorced"/>
    <n v="0"/>
    <n v="0"/>
    <n v="10388"/>
    <n v="6975"/>
    <n v="1"/>
    <s v="Yes"/>
    <n v="1"/>
    <n v="11"/>
    <n v="3"/>
    <n v="3"/>
    <n v="1"/>
    <n v="16"/>
    <n v="3"/>
    <n v="2"/>
    <n v="16"/>
    <n v="10"/>
    <n v="10"/>
    <n v="1"/>
  </r>
  <r>
    <n v="30"/>
    <x v="1"/>
    <n v="0"/>
    <s v="Travel_Rarely"/>
    <n v="0"/>
    <n v="1"/>
    <n v="153"/>
    <s v="Research &amp; Development"/>
    <n v="1"/>
    <n v="0"/>
    <n v="8"/>
    <n v="2"/>
    <s v="Life Sciences"/>
    <n v="1"/>
    <n v="0"/>
    <n v="0"/>
    <n v="0"/>
    <n v="0"/>
    <n v="2"/>
    <x v="0"/>
    <n v="1"/>
    <n v="73"/>
    <n v="4"/>
    <n v="3"/>
    <s v="Research Director"/>
    <n v="0"/>
    <n v="0"/>
    <n v="0"/>
    <n v="0"/>
    <n v="0"/>
    <n v="0"/>
    <n v="0"/>
    <n v="0"/>
    <x v="3"/>
    <s v="Married"/>
    <n v="0"/>
    <n v="1"/>
    <n v="11416"/>
    <n v="17802"/>
    <n v="0"/>
    <s v="Yes"/>
    <n v="1"/>
    <n v="12"/>
    <n v="3"/>
    <n v="3"/>
    <n v="3"/>
    <n v="9"/>
    <n v="4"/>
    <n v="2"/>
    <n v="8"/>
    <n v="7"/>
    <n v="1"/>
    <n v="7"/>
  </r>
  <r>
    <n v="20"/>
    <x v="0"/>
    <n v="1"/>
    <s v="Travel_Rarely"/>
    <n v="0"/>
    <n v="1"/>
    <n v="1097"/>
    <s v="Research &amp; Development"/>
    <n v="1"/>
    <n v="0"/>
    <n v="11"/>
    <n v="3"/>
    <s v="Medical"/>
    <n v="0"/>
    <n v="0"/>
    <n v="1"/>
    <n v="0"/>
    <n v="0"/>
    <n v="4"/>
    <x v="0"/>
    <n v="1"/>
    <n v="98"/>
    <n v="2"/>
    <n v="1"/>
    <s v="Research Scientist"/>
    <n v="0"/>
    <n v="0"/>
    <n v="0"/>
    <n v="0"/>
    <n v="0"/>
    <n v="0"/>
    <n v="0"/>
    <n v="1"/>
    <x v="3"/>
    <s v="Single"/>
    <n v="1"/>
    <n v="0"/>
    <n v="2600"/>
    <n v="18275"/>
    <n v="1"/>
    <s v="Yes"/>
    <n v="1"/>
    <n v="15"/>
    <n v="3"/>
    <n v="1"/>
    <n v="0"/>
    <n v="1"/>
    <n v="2"/>
    <n v="3"/>
    <n v="1"/>
    <n v="0"/>
    <n v="0"/>
    <n v="0"/>
  </r>
  <r>
    <n v="30"/>
    <x v="0"/>
    <n v="1"/>
    <s v="Travel_Frequently"/>
    <n v="1"/>
    <n v="0"/>
    <n v="109"/>
    <s v="Research &amp; Development"/>
    <n v="1"/>
    <n v="0"/>
    <n v="5"/>
    <n v="3"/>
    <s v="Medical"/>
    <n v="0"/>
    <n v="0"/>
    <n v="1"/>
    <n v="0"/>
    <n v="0"/>
    <n v="2"/>
    <x v="0"/>
    <n v="1"/>
    <n v="60"/>
    <n v="3"/>
    <n v="1"/>
    <s v="Laboratory Technician"/>
    <n v="0"/>
    <n v="0"/>
    <n v="1"/>
    <n v="0"/>
    <n v="0"/>
    <n v="0"/>
    <n v="0"/>
    <n v="0"/>
    <x v="1"/>
    <s v="Single"/>
    <n v="1"/>
    <n v="0"/>
    <n v="2422"/>
    <n v="25725"/>
    <n v="0"/>
    <s v="No"/>
    <n v="0"/>
    <n v="17"/>
    <n v="3"/>
    <n v="1"/>
    <n v="0"/>
    <n v="4"/>
    <n v="3"/>
    <n v="3"/>
    <n v="3"/>
    <n v="2"/>
    <n v="1"/>
    <n v="2"/>
  </r>
  <r>
    <n v="26"/>
    <x v="1"/>
    <n v="0"/>
    <s v="Travel_Rarely"/>
    <n v="0"/>
    <n v="1"/>
    <n v="1066"/>
    <s v="Research &amp; Development"/>
    <n v="1"/>
    <n v="0"/>
    <n v="2"/>
    <n v="2"/>
    <s v="Medical"/>
    <n v="0"/>
    <n v="0"/>
    <n v="1"/>
    <n v="0"/>
    <n v="0"/>
    <n v="4"/>
    <x v="1"/>
    <n v="0"/>
    <n v="32"/>
    <n v="4"/>
    <n v="2"/>
    <s v="Manufacturing Director"/>
    <n v="0"/>
    <n v="0"/>
    <n v="0"/>
    <n v="0"/>
    <n v="1"/>
    <n v="1"/>
    <n v="0"/>
    <n v="0"/>
    <x v="0"/>
    <s v="Married"/>
    <n v="0"/>
    <n v="1"/>
    <n v="5472"/>
    <n v="3334"/>
    <n v="1"/>
    <s v="No"/>
    <n v="0"/>
    <n v="12"/>
    <n v="3"/>
    <n v="2"/>
    <n v="0"/>
    <n v="8"/>
    <n v="2"/>
    <n v="3"/>
    <n v="8"/>
    <n v="7"/>
    <n v="1"/>
    <n v="3"/>
  </r>
  <r>
    <n v="22"/>
    <x v="1"/>
    <n v="0"/>
    <s v="Travel_Rarely"/>
    <n v="0"/>
    <n v="1"/>
    <n v="217"/>
    <s v="Research &amp; Development"/>
    <n v="1"/>
    <n v="0"/>
    <n v="8"/>
    <n v="1"/>
    <s v="Life Sciences"/>
    <n v="1"/>
    <n v="0"/>
    <n v="0"/>
    <n v="0"/>
    <n v="0"/>
    <n v="2"/>
    <x v="1"/>
    <n v="0"/>
    <n v="94"/>
    <n v="1"/>
    <n v="1"/>
    <s v="Laboratory Technician"/>
    <n v="0"/>
    <n v="0"/>
    <n v="1"/>
    <n v="0"/>
    <n v="0"/>
    <n v="0"/>
    <n v="0"/>
    <n v="0"/>
    <x v="3"/>
    <s v="Married"/>
    <n v="0"/>
    <n v="1"/>
    <n v="2451"/>
    <n v="6881"/>
    <n v="1"/>
    <s v="No"/>
    <n v="0"/>
    <n v="15"/>
    <n v="3"/>
    <n v="1"/>
    <n v="1"/>
    <n v="4"/>
    <n v="3"/>
    <n v="2"/>
    <n v="4"/>
    <n v="3"/>
    <n v="1"/>
    <n v="1"/>
  </r>
  <r>
    <n v="48"/>
    <x v="1"/>
    <n v="0"/>
    <s v="Travel_Rarely"/>
    <n v="0"/>
    <n v="1"/>
    <n v="277"/>
    <s v="Research &amp; Development"/>
    <n v="1"/>
    <n v="0"/>
    <n v="6"/>
    <n v="3"/>
    <s v="Life Sciences"/>
    <n v="1"/>
    <n v="0"/>
    <n v="0"/>
    <n v="0"/>
    <n v="0"/>
    <n v="1"/>
    <x v="1"/>
    <n v="0"/>
    <n v="97"/>
    <n v="2"/>
    <n v="2"/>
    <s v="Healthcare Representative"/>
    <n v="1"/>
    <n v="0"/>
    <n v="0"/>
    <n v="0"/>
    <n v="0"/>
    <n v="0"/>
    <n v="0"/>
    <n v="0"/>
    <x v="2"/>
    <s v="Single"/>
    <n v="1"/>
    <n v="0"/>
    <n v="4240"/>
    <n v="13119"/>
    <n v="2"/>
    <s v="No"/>
    <n v="0"/>
    <n v="13"/>
    <n v="3"/>
    <n v="4"/>
    <n v="0"/>
    <n v="19"/>
    <n v="0"/>
    <n v="3"/>
    <n v="2"/>
    <n v="2"/>
    <n v="2"/>
    <n v="2"/>
  </r>
  <r>
    <n v="48"/>
    <x v="1"/>
    <n v="0"/>
    <s v="Travel_Rarely"/>
    <n v="0"/>
    <n v="1"/>
    <n v="1355"/>
    <s v="Research &amp; Development"/>
    <n v="1"/>
    <n v="0"/>
    <n v="4"/>
    <n v="4"/>
    <s v="Life Sciences"/>
    <n v="1"/>
    <n v="0"/>
    <n v="0"/>
    <n v="0"/>
    <n v="0"/>
    <n v="3"/>
    <x v="1"/>
    <n v="0"/>
    <n v="78"/>
    <n v="2"/>
    <n v="3"/>
    <s v="Healthcare Representative"/>
    <n v="1"/>
    <n v="0"/>
    <n v="0"/>
    <n v="0"/>
    <n v="0"/>
    <n v="0"/>
    <n v="0"/>
    <n v="0"/>
    <x v="2"/>
    <s v="Single"/>
    <n v="1"/>
    <n v="0"/>
    <n v="10999"/>
    <n v="22245"/>
    <n v="7"/>
    <s v="No"/>
    <n v="0"/>
    <n v="14"/>
    <n v="3"/>
    <n v="2"/>
    <n v="0"/>
    <n v="27"/>
    <n v="3"/>
    <n v="3"/>
    <n v="15"/>
    <n v="11"/>
    <n v="4"/>
    <n v="8"/>
  </r>
  <r>
    <n v="41"/>
    <x v="1"/>
    <n v="0"/>
    <s v="Travel_Rarely"/>
    <n v="0"/>
    <n v="1"/>
    <n v="549"/>
    <s v="Research &amp; Development"/>
    <n v="1"/>
    <n v="0"/>
    <n v="7"/>
    <n v="2"/>
    <s v="Medical"/>
    <n v="0"/>
    <n v="0"/>
    <n v="1"/>
    <n v="0"/>
    <n v="0"/>
    <n v="4"/>
    <x v="0"/>
    <n v="1"/>
    <n v="42"/>
    <n v="3"/>
    <n v="2"/>
    <s v="Manufacturing Director"/>
    <n v="0"/>
    <n v="0"/>
    <n v="0"/>
    <n v="0"/>
    <n v="1"/>
    <n v="1"/>
    <n v="0"/>
    <n v="0"/>
    <x v="2"/>
    <s v="Single"/>
    <n v="1"/>
    <n v="0"/>
    <n v="5003"/>
    <n v="23371"/>
    <n v="6"/>
    <s v="No"/>
    <n v="0"/>
    <n v="14"/>
    <n v="3"/>
    <n v="2"/>
    <n v="0"/>
    <n v="8"/>
    <n v="6"/>
    <n v="3"/>
    <n v="2"/>
    <n v="2"/>
    <n v="2"/>
    <n v="1"/>
  </r>
  <r>
    <n v="39"/>
    <x v="1"/>
    <n v="0"/>
    <s v="Travel_Rarely"/>
    <n v="0"/>
    <n v="1"/>
    <n v="466"/>
    <s v="Research &amp; Development"/>
    <n v="1"/>
    <n v="0"/>
    <n v="1"/>
    <n v="1"/>
    <s v="Life Sciences"/>
    <n v="1"/>
    <n v="0"/>
    <n v="0"/>
    <n v="0"/>
    <n v="0"/>
    <n v="4"/>
    <x v="0"/>
    <n v="1"/>
    <n v="65"/>
    <n v="2"/>
    <n v="4"/>
    <s v="Manufacturing Director"/>
    <n v="0"/>
    <n v="0"/>
    <n v="0"/>
    <n v="0"/>
    <n v="1"/>
    <n v="1"/>
    <n v="0"/>
    <n v="0"/>
    <x v="0"/>
    <s v="Married"/>
    <n v="0"/>
    <n v="1"/>
    <n v="12742"/>
    <n v="7060"/>
    <n v="1"/>
    <s v="No"/>
    <n v="0"/>
    <n v="16"/>
    <n v="3"/>
    <n v="3"/>
    <n v="1"/>
    <n v="21"/>
    <n v="3"/>
    <n v="3"/>
    <n v="21"/>
    <n v="6"/>
    <n v="11"/>
    <n v="8"/>
  </r>
  <r>
    <n v="27"/>
    <x v="1"/>
    <n v="0"/>
    <s v="Travel_Rarely"/>
    <n v="0"/>
    <n v="1"/>
    <n v="1055"/>
    <s v="Research &amp; Development"/>
    <n v="1"/>
    <n v="0"/>
    <n v="2"/>
    <n v="4"/>
    <s v="Life Sciences"/>
    <n v="1"/>
    <n v="0"/>
    <n v="0"/>
    <n v="0"/>
    <n v="0"/>
    <n v="1"/>
    <x v="0"/>
    <n v="1"/>
    <n v="47"/>
    <n v="3"/>
    <n v="2"/>
    <s v="Manufacturing Director"/>
    <n v="0"/>
    <n v="0"/>
    <n v="0"/>
    <n v="0"/>
    <n v="1"/>
    <n v="1"/>
    <n v="0"/>
    <n v="0"/>
    <x v="0"/>
    <s v="Married"/>
    <n v="0"/>
    <n v="1"/>
    <n v="4227"/>
    <n v="4658"/>
    <n v="0"/>
    <s v="No"/>
    <n v="0"/>
    <n v="18"/>
    <n v="3"/>
    <n v="2"/>
    <n v="1"/>
    <n v="4"/>
    <n v="2"/>
    <n v="3"/>
    <n v="3"/>
    <n v="2"/>
    <n v="2"/>
    <n v="2"/>
  </r>
  <r>
    <n v="35"/>
    <x v="1"/>
    <n v="0"/>
    <s v="Travel_Rarely"/>
    <n v="0"/>
    <n v="1"/>
    <n v="802"/>
    <s v="Research &amp; Development"/>
    <n v="1"/>
    <n v="0"/>
    <n v="10"/>
    <n v="3"/>
    <s v="Other"/>
    <n v="0"/>
    <n v="1"/>
    <n v="0"/>
    <n v="0"/>
    <n v="0"/>
    <n v="2"/>
    <x v="1"/>
    <n v="0"/>
    <n v="45"/>
    <n v="3"/>
    <n v="1"/>
    <s v="Laboratory Technician"/>
    <n v="0"/>
    <n v="0"/>
    <n v="1"/>
    <n v="0"/>
    <n v="0"/>
    <n v="0"/>
    <n v="0"/>
    <n v="0"/>
    <x v="0"/>
    <s v="Divorced"/>
    <n v="0"/>
    <n v="0"/>
    <n v="3917"/>
    <n v="9541"/>
    <n v="1"/>
    <s v="No"/>
    <n v="0"/>
    <n v="20"/>
    <n v="4"/>
    <n v="1"/>
    <n v="1"/>
    <n v="3"/>
    <n v="4"/>
    <n v="2"/>
    <n v="3"/>
    <n v="2"/>
    <n v="1"/>
    <n v="2"/>
  </r>
  <r>
    <n v="42"/>
    <x v="1"/>
    <n v="0"/>
    <s v="Travel_Rarely"/>
    <n v="0"/>
    <n v="1"/>
    <n v="265"/>
    <s v="Sales"/>
    <n v="0"/>
    <n v="1"/>
    <n v="5"/>
    <n v="2"/>
    <s v="Marketing"/>
    <n v="0"/>
    <n v="0"/>
    <n v="0"/>
    <n v="1"/>
    <n v="0"/>
    <n v="4"/>
    <x v="1"/>
    <n v="0"/>
    <n v="90"/>
    <n v="3"/>
    <n v="5"/>
    <s v="Manager"/>
    <n v="0"/>
    <n v="0"/>
    <n v="0"/>
    <n v="1"/>
    <n v="0"/>
    <n v="0"/>
    <n v="0"/>
    <n v="0"/>
    <x v="2"/>
    <s v="Married"/>
    <n v="0"/>
    <n v="1"/>
    <n v="18303"/>
    <n v="7770"/>
    <n v="6"/>
    <s v="No"/>
    <n v="0"/>
    <n v="13"/>
    <n v="3"/>
    <n v="2"/>
    <n v="0"/>
    <n v="21"/>
    <n v="3"/>
    <n v="4"/>
    <n v="1"/>
    <n v="0"/>
    <n v="0"/>
    <n v="0"/>
  </r>
  <r>
    <n v="50"/>
    <x v="1"/>
    <n v="0"/>
    <s v="Travel_Rarely"/>
    <n v="0"/>
    <n v="1"/>
    <n v="804"/>
    <s v="Research &amp; Development"/>
    <n v="1"/>
    <n v="0"/>
    <n v="9"/>
    <n v="3"/>
    <s v="Life Sciences"/>
    <n v="1"/>
    <n v="0"/>
    <n v="0"/>
    <n v="0"/>
    <n v="0"/>
    <n v="1"/>
    <x v="1"/>
    <n v="0"/>
    <n v="64"/>
    <n v="3"/>
    <n v="1"/>
    <s v="Laboratory Technician"/>
    <n v="0"/>
    <n v="0"/>
    <n v="1"/>
    <n v="0"/>
    <n v="0"/>
    <n v="0"/>
    <n v="0"/>
    <n v="0"/>
    <x v="0"/>
    <s v="Married"/>
    <n v="0"/>
    <n v="1"/>
    <n v="2380"/>
    <n v="20165"/>
    <n v="4"/>
    <s v="No"/>
    <n v="0"/>
    <n v="18"/>
    <n v="3"/>
    <n v="2"/>
    <n v="0"/>
    <n v="8"/>
    <n v="5"/>
    <n v="3"/>
    <n v="1"/>
    <n v="0"/>
    <n v="0"/>
    <n v="0"/>
  </r>
  <r>
    <n v="59"/>
    <x v="1"/>
    <n v="0"/>
    <s v="Travel_Rarely"/>
    <n v="0"/>
    <n v="1"/>
    <n v="715"/>
    <s v="Research &amp; Development"/>
    <n v="1"/>
    <n v="0"/>
    <n v="2"/>
    <n v="3"/>
    <s v="Life Sciences"/>
    <n v="1"/>
    <n v="0"/>
    <n v="0"/>
    <n v="0"/>
    <n v="0"/>
    <n v="3"/>
    <x v="0"/>
    <n v="1"/>
    <n v="69"/>
    <n v="2"/>
    <n v="4"/>
    <s v="Manufacturing Director"/>
    <n v="0"/>
    <n v="0"/>
    <n v="0"/>
    <n v="0"/>
    <n v="1"/>
    <n v="1"/>
    <n v="0"/>
    <n v="0"/>
    <x v="0"/>
    <s v="Single"/>
    <n v="1"/>
    <n v="0"/>
    <n v="13726"/>
    <n v="21829"/>
    <n v="3"/>
    <s v="Yes"/>
    <n v="1"/>
    <n v="13"/>
    <n v="3"/>
    <n v="1"/>
    <n v="0"/>
    <n v="30"/>
    <n v="4"/>
    <n v="3"/>
    <n v="5"/>
    <n v="3"/>
    <n v="4"/>
    <n v="3"/>
  </r>
  <r>
    <n v="37"/>
    <x v="0"/>
    <n v="1"/>
    <s v="Travel_Rarely"/>
    <n v="0"/>
    <n v="1"/>
    <n v="1141"/>
    <s v="Research &amp; Development"/>
    <n v="1"/>
    <n v="0"/>
    <n v="11"/>
    <n v="2"/>
    <s v="Medical"/>
    <n v="0"/>
    <n v="0"/>
    <n v="1"/>
    <n v="0"/>
    <n v="0"/>
    <n v="1"/>
    <x v="0"/>
    <n v="1"/>
    <n v="61"/>
    <n v="1"/>
    <n v="2"/>
    <s v="Healthcare Representative"/>
    <n v="1"/>
    <n v="0"/>
    <n v="0"/>
    <n v="0"/>
    <n v="0"/>
    <n v="0"/>
    <n v="0"/>
    <n v="0"/>
    <x v="1"/>
    <s v="Married"/>
    <n v="0"/>
    <n v="1"/>
    <n v="4777"/>
    <n v="14382"/>
    <n v="5"/>
    <s v="No"/>
    <n v="0"/>
    <n v="15"/>
    <n v="3"/>
    <n v="1"/>
    <n v="0"/>
    <n v="15"/>
    <n v="2"/>
    <n v="1"/>
    <n v="1"/>
    <n v="0"/>
    <n v="0"/>
    <n v="0"/>
  </r>
  <r>
    <n v="55"/>
    <x v="1"/>
    <n v="0"/>
    <s v="Travel_Frequently"/>
    <n v="1"/>
    <n v="0"/>
    <n v="135"/>
    <s v="Research &amp; Development"/>
    <n v="1"/>
    <n v="0"/>
    <n v="18"/>
    <n v="4"/>
    <s v="Medical"/>
    <n v="0"/>
    <n v="0"/>
    <n v="1"/>
    <n v="0"/>
    <n v="0"/>
    <n v="3"/>
    <x v="1"/>
    <n v="0"/>
    <n v="62"/>
    <n v="3"/>
    <n v="2"/>
    <s v="Healthcare Representative"/>
    <n v="1"/>
    <n v="0"/>
    <n v="0"/>
    <n v="0"/>
    <n v="0"/>
    <n v="0"/>
    <n v="0"/>
    <n v="0"/>
    <x v="1"/>
    <s v="Married"/>
    <n v="0"/>
    <n v="1"/>
    <n v="6385"/>
    <n v="12992"/>
    <n v="3"/>
    <s v="Yes"/>
    <n v="1"/>
    <n v="14"/>
    <n v="3"/>
    <n v="4"/>
    <n v="2"/>
    <n v="17"/>
    <n v="3"/>
    <n v="3"/>
    <n v="8"/>
    <n v="7"/>
    <n v="6"/>
    <n v="7"/>
  </r>
  <r>
    <n v="41"/>
    <x v="1"/>
    <n v="0"/>
    <s v="Non-Travel"/>
    <n v="0"/>
    <n v="0"/>
    <n v="247"/>
    <s v="Research &amp; Development"/>
    <n v="1"/>
    <n v="0"/>
    <n v="7"/>
    <n v="1"/>
    <s v="Life Sciences"/>
    <n v="1"/>
    <n v="0"/>
    <n v="0"/>
    <n v="0"/>
    <n v="0"/>
    <n v="2"/>
    <x v="0"/>
    <n v="1"/>
    <n v="55"/>
    <n v="1"/>
    <n v="5"/>
    <s v="Research Director"/>
    <n v="0"/>
    <n v="0"/>
    <n v="0"/>
    <n v="0"/>
    <n v="0"/>
    <n v="0"/>
    <n v="0"/>
    <n v="0"/>
    <x v="2"/>
    <s v="Divorced"/>
    <n v="0"/>
    <n v="0"/>
    <n v="19973"/>
    <n v="20284"/>
    <n v="1"/>
    <s v="No"/>
    <n v="0"/>
    <n v="22"/>
    <n v="4"/>
    <n v="2"/>
    <n v="2"/>
    <n v="21"/>
    <n v="3"/>
    <n v="3"/>
    <n v="21"/>
    <n v="16"/>
    <n v="5"/>
    <n v="10"/>
  </r>
  <r>
    <n v="38"/>
    <x v="1"/>
    <n v="0"/>
    <s v="Travel_Rarely"/>
    <n v="0"/>
    <n v="1"/>
    <n v="1035"/>
    <s v="Sales"/>
    <n v="0"/>
    <n v="1"/>
    <n v="3"/>
    <n v="4"/>
    <s v="Life Sciences"/>
    <n v="1"/>
    <n v="0"/>
    <n v="0"/>
    <n v="0"/>
    <n v="0"/>
    <n v="2"/>
    <x v="1"/>
    <n v="0"/>
    <n v="42"/>
    <n v="3"/>
    <n v="2"/>
    <s v="Sales Executive"/>
    <n v="0"/>
    <n v="1"/>
    <n v="0"/>
    <n v="0"/>
    <n v="0"/>
    <n v="0"/>
    <n v="0"/>
    <n v="0"/>
    <x v="0"/>
    <s v="Single"/>
    <n v="1"/>
    <n v="0"/>
    <n v="6861"/>
    <n v="4981"/>
    <n v="8"/>
    <s v="Yes"/>
    <n v="1"/>
    <n v="12"/>
    <n v="3"/>
    <n v="3"/>
    <n v="0"/>
    <n v="19"/>
    <n v="1"/>
    <n v="3"/>
    <n v="1"/>
    <n v="0"/>
    <n v="0"/>
    <n v="0"/>
  </r>
  <r>
    <n v="26"/>
    <x v="0"/>
    <n v="1"/>
    <s v="Non-Travel"/>
    <n v="0"/>
    <n v="0"/>
    <n v="265"/>
    <s v="Sales"/>
    <n v="0"/>
    <n v="1"/>
    <n v="29"/>
    <n v="2"/>
    <s v="Medical"/>
    <n v="0"/>
    <n v="0"/>
    <n v="1"/>
    <n v="0"/>
    <n v="0"/>
    <n v="2"/>
    <x v="1"/>
    <n v="0"/>
    <n v="79"/>
    <n v="1"/>
    <n v="2"/>
    <s v="Sales Executive"/>
    <n v="0"/>
    <n v="1"/>
    <n v="0"/>
    <n v="0"/>
    <n v="0"/>
    <n v="0"/>
    <n v="0"/>
    <n v="0"/>
    <x v="3"/>
    <s v="Single"/>
    <n v="1"/>
    <n v="0"/>
    <n v="4969"/>
    <n v="21813"/>
    <n v="8"/>
    <s v="No"/>
    <n v="0"/>
    <n v="18"/>
    <n v="3"/>
    <n v="4"/>
    <n v="0"/>
    <n v="7"/>
    <n v="6"/>
    <n v="3"/>
    <n v="2"/>
    <n v="2"/>
    <n v="2"/>
    <n v="2"/>
  </r>
  <r>
    <n v="52"/>
    <x v="0"/>
    <n v="1"/>
    <s v="Travel_Rarely"/>
    <n v="0"/>
    <n v="1"/>
    <n v="266"/>
    <s v="Sales"/>
    <n v="0"/>
    <n v="1"/>
    <n v="2"/>
    <n v="1"/>
    <s v="Marketing"/>
    <n v="0"/>
    <n v="0"/>
    <n v="0"/>
    <n v="1"/>
    <n v="0"/>
    <n v="1"/>
    <x v="0"/>
    <n v="1"/>
    <n v="57"/>
    <n v="1"/>
    <n v="5"/>
    <s v="Manager"/>
    <n v="0"/>
    <n v="0"/>
    <n v="0"/>
    <n v="1"/>
    <n v="0"/>
    <n v="0"/>
    <n v="0"/>
    <n v="0"/>
    <x v="0"/>
    <s v="Married"/>
    <n v="0"/>
    <n v="1"/>
    <n v="19845"/>
    <n v="25846"/>
    <n v="1"/>
    <s v="No"/>
    <n v="0"/>
    <n v="15"/>
    <n v="3"/>
    <n v="4"/>
    <n v="1"/>
    <n v="33"/>
    <n v="3"/>
    <n v="3"/>
    <n v="32"/>
    <n v="14"/>
    <n v="6"/>
    <n v="9"/>
  </r>
  <r>
    <n v="44"/>
    <x v="1"/>
    <n v="0"/>
    <s v="Travel_Rarely"/>
    <n v="0"/>
    <n v="1"/>
    <n v="1448"/>
    <s v="Sales"/>
    <n v="0"/>
    <n v="1"/>
    <n v="28"/>
    <n v="3"/>
    <s v="Medical"/>
    <n v="0"/>
    <n v="0"/>
    <n v="1"/>
    <n v="0"/>
    <n v="0"/>
    <n v="4"/>
    <x v="0"/>
    <n v="1"/>
    <n v="53"/>
    <n v="4"/>
    <n v="4"/>
    <s v="Sales Executive"/>
    <n v="0"/>
    <n v="1"/>
    <n v="0"/>
    <n v="0"/>
    <n v="0"/>
    <n v="0"/>
    <n v="0"/>
    <n v="0"/>
    <x v="0"/>
    <s v="Married"/>
    <n v="0"/>
    <n v="1"/>
    <n v="13320"/>
    <n v="11737"/>
    <n v="3"/>
    <s v="Yes"/>
    <n v="1"/>
    <n v="18"/>
    <n v="3"/>
    <n v="3"/>
    <n v="1"/>
    <n v="23"/>
    <n v="2"/>
    <n v="3"/>
    <n v="12"/>
    <n v="11"/>
    <n v="11"/>
    <n v="11"/>
  </r>
  <r>
    <n v="50"/>
    <x v="1"/>
    <n v="0"/>
    <s v="Non-Travel"/>
    <n v="0"/>
    <n v="0"/>
    <n v="145"/>
    <s v="Sales"/>
    <n v="0"/>
    <n v="1"/>
    <n v="1"/>
    <n v="3"/>
    <s v="Life Sciences"/>
    <n v="1"/>
    <n v="0"/>
    <n v="0"/>
    <n v="0"/>
    <n v="0"/>
    <n v="4"/>
    <x v="0"/>
    <n v="1"/>
    <n v="95"/>
    <n v="3"/>
    <n v="2"/>
    <s v="Sales Executive"/>
    <n v="0"/>
    <n v="1"/>
    <n v="0"/>
    <n v="0"/>
    <n v="0"/>
    <n v="0"/>
    <n v="0"/>
    <n v="0"/>
    <x v="2"/>
    <s v="Married"/>
    <n v="0"/>
    <n v="1"/>
    <n v="6347"/>
    <n v="24920"/>
    <n v="0"/>
    <s v="No"/>
    <n v="0"/>
    <n v="12"/>
    <n v="3"/>
    <n v="1"/>
    <n v="1"/>
    <n v="19"/>
    <n v="3"/>
    <n v="3"/>
    <n v="18"/>
    <n v="7"/>
    <n v="0"/>
    <n v="13"/>
  </r>
  <r>
    <n v="36"/>
    <x v="0"/>
    <n v="1"/>
    <s v="Travel_Rarely"/>
    <n v="0"/>
    <n v="1"/>
    <n v="885"/>
    <s v="Research &amp; Development"/>
    <n v="1"/>
    <n v="0"/>
    <n v="16"/>
    <n v="4"/>
    <s v="Life Sciences"/>
    <n v="1"/>
    <n v="0"/>
    <n v="0"/>
    <n v="0"/>
    <n v="0"/>
    <n v="3"/>
    <x v="0"/>
    <n v="1"/>
    <n v="43"/>
    <n v="4"/>
    <n v="1"/>
    <s v="Laboratory Technician"/>
    <n v="0"/>
    <n v="0"/>
    <n v="1"/>
    <n v="0"/>
    <n v="0"/>
    <n v="0"/>
    <n v="0"/>
    <n v="0"/>
    <x v="3"/>
    <s v="Single"/>
    <n v="1"/>
    <n v="0"/>
    <n v="2743"/>
    <n v="8269"/>
    <n v="1"/>
    <s v="No"/>
    <n v="0"/>
    <n v="16"/>
    <n v="3"/>
    <n v="3"/>
    <n v="0"/>
    <n v="18"/>
    <n v="1"/>
    <n v="3"/>
    <n v="17"/>
    <n v="13"/>
    <n v="15"/>
    <n v="14"/>
  </r>
  <r>
    <n v="39"/>
    <x v="1"/>
    <n v="0"/>
    <s v="Travel_Frequently"/>
    <n v="1"/>
    <n v="0"/>
    <n v="945"/>
    <s v="Research &amp; Development"/>
    <n v="1"/>
    <n v="0"/>
    <n v="22"/>
    <n v="3"/>
    <s v="Medical"/>
    <n v="0"/>
    <n v="0"/>
    <n v="1"/>
    <n v="0"/>
    <n v="0"/>
    <n v="4"/>
    <x v="0"/>
    <n v="1"/>
    <n v="82"/>
    <n v="3"/>
    <n v="3"/>
    <s v="Manufacturing Director"/>
    <n v="0"/>
    <n v="0"/>
    <n v="0"/>
    <n v="0"/>
    <n v="1"/>
    <n v="1"/>
    <n v="0"/>
    <n v="0"/>
    <x v="3"/>
    <s v="Single"/>
    <n v="1"/>
    <n v="0"/>
    <n v="10880"/>
    <n v="5083"/>
    <n v="1"/>
    <s v="Yes"/>
    <n v="1"/>
    <n v="13"/>
    <n v="3"/>
    <n v="3"/>
    <n v="0"/>
    <n v="21"/>
    <n v="2"/>
    <n v="3"/>
    <n v="21"/>
    <n v="6"/>
    <n v="2"/>
    <n v="8"/>
  </r>
  <r>
    <n v="33"/>
    <x v="1"/>
    <n v="0"/>
    <s v="Non-Travel"/>
    <n v="0"/>
    <n v="0"/>
    <n v="1038"/>
    <s v="Sales"/>
    <n v="0"/>
    <n v="1"/>
    <n v="8"/>
    <n v="1"/>
    <s v="Life Sciences"/>
    <n v="1"/>
    <n v="0"/>
    <n v="0"/>
    <n v="0"/>
    <n v="0"/>
    <n v="2"/>
    <x v="0"/>
    <n v="1"/>
    <n v="88"/>
    <n v="2"/>
    <n v="1"/>
    <s v="Sales Representative"/>
    <n v="0"/>
    <n v="0"/>
    <n v="0"/>
    <n v="0"/>
    <n v="0"/>
    <n v="0"/>
    <n v="1"/>
    <n v="0"/>
    <x v="0"/>
    <s v="Single"/>
    <n v="1"/>
    <n v="0"/>
    <n v="2342"/>
    <n v="21437"/>
    <n v="0"/>
    <s v="No"/>
    <n v="0"/>
    <n v="19"/>
    <n v="3"/>
    <n v="4"/>
    <n v="0"/>
    <n v="3"/>
    <n v="2"/>
    <n v="2"/>
    <n v="2"/>
    <n v="2"/>
    <n v="2"/>
    <n v="2"/>
  </r>
  <r>
    <n v="45"/>
    <x v="1"/>
    <n v="0"/>
    <s v="Travel_Rarely"/>
    <n v="0"/>
    <n v="1"/>
    <n v="1234"/>
    <s v="Sales"/>
    <n v="0"/>
    <n v="1"/>
    <n v="11"/>
    <n v="2"/>
    <s v="Life Sciences"/>
    <n v="1"/>
    <n v="0"/>
    <n v="0"/>
    <n v="0"/>
    <n v="0"/>
    <n v="4"/>
    <x v="0"/>
    <n v="1"/>
    <n v="90"/>
    <n v="3"/>
    <n v="4"/>
    <s v="Manager"/>
    <n v="0"/>
    <n v="0"/>
    <n v="0"/>
    <n v="1"/>
    <n v="0"/>
    <n v="0"/>
    <n v="0"/>
    <n v="0"/>
    <x v="0"/>
    <s v="Married"/>
    <n v="0"/>
    <n v="1"/>
    <n v="17650"/>
    <n v="5404"/>
    <n v="3"/>
    <s v="No"/>
    <n v="0"/>
    <n v="13"/>
    <n v="3"/>
    <n v="2"/>
    <n v="1"/>
    <n v="26"/>
    <n v="4"/>
    <n v="4"/>
    <n v="9"/>
    <n v="3"/>
    <n v="1"/>
    <n v="1"/>
  </r>
  <r>
    <n v="32"/>
    <x v="1"/>
    <n v="0"/>
    <s v="Non-Travel"/>
    <n v="0"/>
    <n v="0"/>
    <n v="1109"/>
    <s v="Research &amp; Development"/>
    <n v="1"/>
    <n v="0"/>
    <n v="29"/>
    <n v="4"/>
    <s v="Medical"/>
    <n v="0"/>
    <n v="0"/>
    <n v="1"/>
    <n v="0"/>
    <n v="0"/>
    <n v="4"/>
    <x v="0"/>
    <n v="1"/>
    <n v="69"/>
    <n v="3"/>
    <n v="1"/>
    <s v="Laboratory Technician"/>
    <n v="0"/>
    <n v="0"/>
    <n v="1"/>
    <n v="0"/>
    <n v="0"/>
    <n v="0"/>
    <n v="0"/>
    <n v="0"/>
    <x v="2"/>
    <s v="Single"/>
    <n v="1"/>
    <n v="0"/>
    <n v="4025"/>
    <n v="11135"/>
    <n v="9"/>
    <s v="No"/>
    <n v="0"/>
    <n v="12"/>
    <n v="3"/>
    <n v="2"/>
    <n v="0"/>
    <n v="10"/>
    <n v="2"/>
    <n v="3"/>
    <n v="8"/>
    <n v="7"/>
    <n v="7"/>
    <n v="7"/>
  </r>
  <r>
    <n v="34"/>
    <x v="1"/>
    <n v="0"/>
    <s v="Travel_Rarely"/>
    <n v="0"/>
    <n v="1"/>
    <n v="216"/>
    <s v="Sales"/>
    <n v="0"/>
    <n v="1"/>
    <n v="1"/>
    <n v="4"/>
    <s v="Marketing"/>
    <n v="0"/>
    <n v="0"/>
    <n v="0"/>
    <n v="1"/>
    <n v="0"/>
    <n v="2"/>
    <x v="1"/>
    <n v="0"/>
    <n v="75"/>
    <n v="4"/>
    <n v="2"/>
    <s v="Sales Executive"/>
    <n v="0"/>
    <n v="1"/>
    <n v="0"/>
    <n v="0"/>
    <n v="0"/>
    <n v="0"/>
    <n v="0"/>
    <n v="0"/>
    <x v="0"/>
    <s v="Divorced"/>
    <n v="0"/>
    <n v="0"/>
    <n v="9725"/>
    <n v="12278"/>
    <n v="0"/>
    <s v="No"/>
    <n v="0"/>
    <n v="11"/>
    <n v="3"/>
    <n v="4"/>
    <n v="1"/>
    <n v="16"/>
    <n v="2"/>
    <n v="2"/>
    <n v="15"/>
    <n v="1"/>
    <n v="0"/>
    <n v="9"/>
  </r>
  <r>
    <n v="59"/>
    <x v="1"/>
    <n v="0"/>
    <s v="Travel_Rarely"/>
    <n v="0"/>
    <n v="1"/>
    <n v="1089"/>
    <s v="Sales"/>
    <n v="0"/>
    <n v="1"/>
    <n v="1"/>
    <n v="2"/>
    <s v="Technical Degree"/>
    <n v="0"/>
    <n v="0"/>
    <n v="0"/>
    <n v="0"/>
    <n v="1"/>
    <n v="2"/>
    <x v="1"/>
    <n v="0"/>
    <n v="66"/>
    <n v="3"/>
    <n v="3"/>
    <s v="Manager"/>
    <n v="0"/>
    <n v="0"/>
    <n v="0"/>
    <n v="1"/>
    <n v="0"/>
    <n v="0"/>
    <n v="0"/>
    <n v="0"/>
    <x v="0"/>
    <s v="Married"/>
    <n v="0"/>
    <n v="1"/>
    <n v="11904"/>
    <n v="11038"/>
    <n v="3"/>
    <s v="Yes"/>
    <n v="1"/>
    <n v="14"/>
    <n v="3"/>
    <n v="3"/>
    <n v="1"/>
    <n v="14"/>
    <n v="1"/>
    <n v="1"/>
    <n v="6"/>
    <n v="4"/>
    <n v="0"/>
    <n v="4"/>
  </r>
  <r>
    <n v="45"/>
    <x v="1"/>
    <n v="0"/>
    <s v="Travel_Rarely"/>
    <n v="0"/>
    <n v="1"/>
    <n v="788"/>
    <s v="Human Resources"/>
    <n v="0"/>
    <n v="0"/>
    <n v="24"/>
    <n v="4"/>
    <s v="Medical"/>
    <n v="0"/>
    <n v="0"/>
    <n v="1"/>
    <n v="0"/>
    <n v="0"/>
    <n v="2"/>
    <x v="1"/>
    <n v="0"/>
    <n v="36"/>
    <n v="3"/>
    <n v="1"/>
    <s v="Human Resources"/>
    <n v="0"/>
    <n v="0"/>
    <n v="0"/>
    <n v="0"/>
    <n v="0"/>
    <n v="0"/>
    <n v="0"/>
    <n v="0"/>
    <x v="1"/>
    <s v="Single"/>
    <n v="1"/>
    <n v="0"/>
    <n v="2177"/>
    <n v="8318"/>
    <n v="1"/>
    <s v="No"/>
    <n v="0"/>
    <n v="16"/>
    <n v="3"/>
    <n v="1"/>
    <n v="0"/>
    <n v="6"/>
    <n v="3"/>
    <n v="3"/>
    <n v="6"/>
    <n v="3"/>
    <n v="0"/>
    <n v="4"/>
  </r>
  <r>
    <n v="53"/>
    <x v="1"/>
    <n v="0"/>
    <s v="Travel_Frequently"/>
    <n v="1"/>
    <n v="0"/>
    <n v="124"/>
    <s v="Sales"/>
    <n v="0"/>
    <n v="1"/>
    <n v="2"/>
    <n v="3"/>
    <s v="Marketing"/>
    <n v="0"/>
    <n v="0"/>
    <n v="0"/>
    <n v="1"/>
    <n v="0"/>
    <n v="3"/>
    <x v="0"/>
    <n v="1"/>
    <n v="38"/>
    <n v="2"/>
    <n v="3"/>
    <s v="Sales Executive"/>
    <n v="0"/>
    <n v="1"/>
    <n v="0"/>
    <n v="0"/>
    <n v="0"/>
    <n v="0"/>
    <n v="0"/>
    <n v="0"/>
    <x v="1"/>
    <s v="Married"/>
    <n v="0"/>
    <n v="1"/>
    <n v="7525"/>
    <n v="23537"/>
    <n v="2"/>
    <s v="No"/>
    <n v="0"/>
    <n v="12"/>
    <n v="3"/>
    <n v="1"/>
    <n v="1"/>
    <n v="30"/>
    <n v="2"/>
    <n v="3"/>
    <n v="15"/>
    <n v="7"/>
    <n v="6"/>
    <n v="12"/>
  </r>
  <r>
    <n v="36"/>
    <x v="0"/>
    <n v="1"/>
    <s v="Travel_Rarely"/>
    <n v="0"/>
    <n v="1"/>
    <n v="660"/>
    <s v="Research &amp; Development"/>
    <n v="1"/>
    <n v="0"/>
    <n v="15"/>
    <n v="3"/>
    <s v="Other"/>
    <n v="0"/>
    <n v="1"/>
    <n v="0"/>
    <n v="0"/>
    <n v="0"/>
    <n v="1"/>
    <x v="1"/>
    <n v="0"/>
    <n v="81"/>
    <n v="3"/>
    <n v="2"/>
    <s v="Laboratory Technician"/>
    <n v="0"/>
    <n v="0"/>
    <n v="1"/>
    <n v="0"/>
    <n v="0"/>
    <n v="0"/>
    <n v="0"/>
    <n v="0"/>
    <x v="2"/>
    <s v="Divorced"/>
    <n v="0"/>
    <n v="0"/>
    <n v="4834"/>
    <n v="7858"/>
    <n v="7"/>
    <s v="No"/>
    <n v="0"/>
    <n v="14"/>
    <n v="3"/>
    <n v="2"/>
    <n v="1"/>
    <n v="9"/>
    <n v="3"/>
    <n v="2"/>
    <n v="1"/>
    <n v="0"/>
    <n v="0"/>
    <n v="0"/>
  </r>
  <r>
    <n v="26"/>
    <x v="0"/>
    <n v="1"/>
    <s v="Travel_Frequently"/>
    <n v="1"/>
    <n v="0"/>
    <n v="342"/>
    <s v="Research &amp; Development"/>
    <n v="1"/>
    <n v="0"/>
    <n v="2"/>
    <n v="3"/>
    <s v="Life Sciences"/>
    <n v="1"/>
    <n v="0"/>
    <n v="0"/>
    <n v="0"/>
    <n v="0"/>
    <n v="1"/>
    <x v="1"/>
    <n v="0"/>
    <n v="57"/>
    <n v="3"/>
    <n v="1"/>
    <s v="Research Scientist"/>
    <n v="0"/>
    <n v="0"/>
    <n v="0"/>
    <n v="0"/>
    <n v="0"/>
    <n v="0"/>
    <n v="0"/>
    <n v="1"/>
    <x v="3"/>
    <s v="Married"/>
    <n v="0"/>
    <n v="1"/>
    <n v="2042"/>
    <n v="15346"/>
    <n v="6"/>
    <s v="Yes"/>
    <n v="1"/>
    <n v="14"/>
    <n v="3"/>
    <n v="2"/>
    <n v="1"/>
    <n v="6"/>
    <n v="2"/>
    <n v="3"/>
    <n v="3"/>
    <n v="2"/>
    <n v="1"/>
    <n v="2"/>
  </r>
  <r>
    <n v="34"/>
    <x v="1"/>
    <n v="0"/>
    <s v="Travel_Rarely"/>
    <n v="0"/>
    <n v="1"/>
    <n v="1333"/>
    <s v="Sales"/>
    <n v="0"/>
    <n v="1"/>
    <n v="10"/>
    <n v="4"/>
    <s v="Life Sciences"/>
    <n v="1"/>
    <n v="0"/>
    <n v="0"/>
    <n v="0"/>
    <n v="0"/>
    <n v="3"/>
    <x v="0"/>
    <n v="1"/>
    <n v="87"/>
    <n v="3"/>
    <n v="1"/>
    <s v="Sales Representative"/>
    <n v="0"/>
    <n v="0"/>
    <n v="0"/>
    <n v="0"/>
    <n v="0"/>
    <n v="0"/>
    <n v="1"/>
    <n v="0"/>
    <x v="2"/>
    <s v="Married"/>
    <n v="0"/>
    <n v="1"/>
    <n v="2220"/>
    <n v="18410"/>
    <n v="1"/>
    <s v="Yes"/>
    <n v="1"/>
    <n v="19"/>
    <n v="3"/>
    <n v="4"/>
    <n v="1"/>
    <n v="1"/>
    <n v="2"/>
    <n v="3"/>
    <n v="1"/>
    <n v="1"/>
    <n v="0"/>
    <n v="0"/>
  </r>
  <r>
    <n v="28"/>
    <x v="1"/>
    <n v="0"/>
    <s v="Travel_Rarely"/>
    <n v="0"/>
    <n v="1"/>
    <n v="1144"/>
    <s v="Sales"/>
    <n v="0"/>
    <n v="1"/>
    <n v="10"/>
    <n v="1"/>
    <s v="Medical"/>
    <n v="0"/>
    <n v="0"/>
    <n v="1"/>
    <n v="0"/>
    <n v="0"/>
    <n v="4"/>
    <x v="1"/>
    <n v="0"/>
    <n v="74"/>
    <n v="3"/>
    <n v="1"/>
    <s v="Sales Representative"/>
    <n v="0"/>
    <n v="0"/>
    <n v="0"/>
    <n v="0"/>
    <n v="0"/>
    <n v="0"/>
    <n v="1"/>
    <n v="0"/>
    <x v="1"/>
    <s v="Married"/>
    <n v="0"/>
    <n v="1"/>
    <n v="1052"/>
    <n v="23384"/>
    <n v="1"/>
    <s v="No"/>
    <n v="0"/>
    <n v="22"/>
    <n v="4"/>
    <n v="2"/>
    <n v="0"/>
    <n v="1"/>
    <n v="5"/>
    <n v="3"/>
    <n v="1"/>
    <n v="0"/>
    <n v="0"/>
    <n v="0"/>
  </r>
  <r>
    <n v="38"/>
    <x v="1"/>
    <n v="0"/>
    <s v="Travel_Frequently"/>
    <n v="1"/>
    <n v="0"/>
    <n v="1186"/>
    <s v="Research &amp; Development"/>
    <n v="1"/>
    <n v="0"/>
    <n v="3"/>
    <n v="4"/>
    <s v="Other"/>
    <n v="0"/>
    <n v="1"/>
    <n v="0"/>
    <n v="0"/>
    <n v="0"/>
    <n v="3"/>
    <x v="1"/>
    <n v="0"/>
    <n v="44"/>
    <n v="3"/>
    <n v="1"/>
    <s v="Research Scientist"/>
    <n v="0"/>
    <n v="0"/>
    <n v="0"/>
    <n v="0"/>
    <n v="0"/>
    <n v="0"/>
    <n v="0"/>
    <n v="1"/>
    <x v="2"/>
    <s v="Married"/>
    <n v="0"/>
    <n v="1"/>
    <n v="2821"/>
    <n v="2997"/>
    <n v="3"/>
    <s v="No"/>
    <n v="0"/>
    <n v="16"/>
    <n v="3"/>
    <n v="1"/>
    <n v="1"/>
    <n v="8"/>
    <n v="2"/>
    <n v="3"/>
    <n v="2"/>
    <n v="2"/>
    <n v="2"/>
    <n v="2"/>
  </r>
  <r>
    <n v="50"/>
    <x v="1"/>
    <n v="0"/>
    <s v="Travel_Rarely"/>
    <n v="0"/>
    <n v="1"/>
    <n v="1464"/>
    <s v="Research &amp; Development"/>
    <n v="1"/>
    <n v="0"/>
    <n v="2"/>
    <n v="4"/>
    <s v="Medical"/>
    <n v="0"/>
    <n v="0"/>
    <n v="1"/>
    <n v="0"/>
    <n v="0"/>
    <n v="2"/>
    <x v="1"/>
    <n v="0"/>
    <n v="62"/>
    <n v="3"/>
    <n v="5"/>
    <s v="Research Director"/>
    <n v="0"/>
    <n v="0"/>
    <n v="0"/>
    <n v="0"/>
    <n v="0"/>
    <n v="0"/>
    <n v="0"/>
    <n v="0"/>
    <x v="2"/>
    <s v="Married"/>
    <n v="0"/>
    <n v="1"/>
    <n v="19237"/>
    <n v="12853"/>
    <n v="2"/>
    <s v="Yes"/>
    <n v="1"/>
    <n v="11"/>
    <n v="3"/>
    <n v="4"/>
    <n v="1"/>
    <n v="29"/>
    <n v="2"/>
    <n v="2"/>
    <n v="8"/>
    <n v="1"/>
    <n v="7"/>
    <n v="7"/>
  </r>
  <r>
    <n v="37"/>
    <x v="1"/>
    <n v="0"/>
    <s v="Travel_Rarely"/>
    <n v="0"/>
    <n v="1"/>
    <n v="124"/>
    <s v="Research &amp; Development"/>
    <n v="1"/>
    <n v="0"/>
    <n v="3"/>
    <n v="3"/>
    <s v="Other"/>
    <n v="0"/>
    <n v="1"/>
    <n v="0"/>
    <n v="0"/>
    <n v="0"/>
    <n v="4"/>
    <x v="0"/>
    <n v="1"/>
    <n v="35"/>
    <n v="3"/>
    <n v="2"/>
    <s v="Healthcare Representative"/>
    <n v="1"/>
    <n v="0"/>
    <n v="0"/>
    <n v="0"/>
    <n v="0"/>
    <n v="0"/>
    <n v="0"/>
    <n v="0"/>
    <x v="1"/>
    <s v="Single"/>
    <n v="1"/>
    <n v="0"/>
    <n v="4107"/>
    <n v="13848"/>
    <n v="3"/>
    <s v="No"/>
    <n v="0"/>
    <n v="15"/>
    <n v="3"/>
    <n v="1"/>
    <n v="0"/>
    <n v="8"/>
    <n v="3"/>
    <n v="2"/>
    <n v="4"/>
    <n v="3"/>
    <n v="0"/>
    <n v="1"/>
  </r>
  <r>
    <n v="40"/>
    <x v="1"/>
    <n v="0"/>
    <s v="Travel_Rarely"/>
    <n v="0"/>
    <n v="1"/>
    <n v="300"/>
    <s v="Sales"/>
    <n v="0"/>
    <n v="1"/>
    <n v="26"/>
    <n v="3"/>
    <s v="Marketing"/>
    <n v="0"/>
    <n v="0"/>
    <n v="0"/>
    <n v="1"/>
    <n v="0"/>
    <n v="3"/>
    <x v="1"/>
    <n v="0"/>
    <n v="74"/>
    <n v="3"/>
    <n v="2"/>
    <s v="Sales Executive"/>
    <n v="0"/>
    <n v="1"/>
    <n v="0"/>
    <n v="0"/>
    <n v="0"/>
    <n v="0"/>
    <n v="0"/>
    <n v="0"/>
    <x v="3"/>
    <s v="Married"/>
    <n v="0"/>
    <n v="1"/>
    <n v="8396"/>
    <n v="22217"/>
    <n v="1"/>
    <s v="No"/>
    <n v="0"/>
    <n v="14"/>
    <n v="3"/>
    <n v="2"/>
    <n v="1"/>
    <n v="8"/>
    <n v="3"/>
    <n v="2"/>
    <n v="7"/>
    <n v="7"/>
    <n v="7"/>
    <n v="5"/>
  </r>
  <r>
    <n v="26"/>
    <x v="1"/>
    <n v="0"/>
    <s v="Travel_Frequently"/>
    <n v="1"/>
    <n v="0"/>
    <n v="921"/>
    <s v="Research &amp; Development"/>
    <n v="1"/>
    <n v="0"/>
    <n v="1"/>
    <n v="1"/>
    <s v="Medical"/>
    <n v="0"/>
    <n v="0"/>
    <n v="1"/>
    <n v="0"/>
    <n v="0"/>
    <n v="1"/>
    <x v="0"/>
    <n v="1"/>
    <n v="66"/>
    <n v="2"/>
    <n v="1"/>
    <s v="Research Scientist"/>
    <n v="0"/>
    <n v="0"/>
    <n v="0"/>
    <n v="0"/>
    <n v="0"/>
    <n v="0"/>
    <n v="0"/>
    <n v="1"/>
    <x v="2"/>
    <s v="Divorced"/>
    <n v="0"/>
    <n v="0"/>
    <n v="2007"/>
    <n v="25265"/>
    <n v="1"/>
    <s v="No"/>
    <n v="0"/>
    <n v="13"/>
    <n v="3"/>
    <n v="3"/>
    <n v="2"/>
    <n v="5"/>
    <n v="5"/>
    <n v="3"/>
    <n v="5"/>
    <n v="3"/>
    <n v="1"/>
    <n v="3"/>
  </r>
  <r>
    <n v="46"/>
    <x v="1"/>
    <n v="0"/>
    <s v="Travel_Rarely"/>
    <n v="0"/>
    <n v="1"/>
    <n v="430"/>
    <s v="Research &amp; Development"/>
    <n v="1"/>
    <n v="0"/>
    <n v="1"/>
    <n v="4"/>
    <s v="Medical"/>
    <n v="0"/>
    <n v="0"/>
    <n v="1"/>
    <n v="0"/>
    <n v="0"/>
    <n v="4"/>
    <x v="1"/>
    <n v="0"/>
    <n v="40"/>
    <n v="3"/>
    <n v="5"/>
    <s v="Research Director"/>
    <n v="0"/>
    <n v="0"/>
    <n v="0"/>
    <n v="0"/>
    <n v="0"/>
    <n v="0"/>
    <n v="0"/>
    <n v="0"/>
    <x v="0"/>
    <s v="Divorced"/>
    <n v="0"/>
    <n v="0"/>
    <n v="19627"/>
    <n v="21445"/>
    <n v="9"/>
    <s v="No"/>
    <n v="0"/>
    <n v="17"/>
    <n v="3"/>
    <n v="4"/>
    <n v="2"/>
    <n v="23"/>
    <n v="0"/>
    <n v="3"/>
    <n v="2"/>
    <n v="2"/>
    <n v="2"/>
    <n v="2"/>
  </r>
  <r>
    <n v="54"/>
    <x v="1"/>
    <n v="0"/>
    <s v="Travel_Rarely"/>
    <n v="0"/>
    <n v="1"/>
    <n v="1082"/>
    <s v="Sales"/>
    <n v="0"/>
    <n v="1"/>
    <n v="2"/>
    <n v="4"/>
    <s v="Life Sciences"/>
    <n v="1"/>
    <n v="0"/>
    <n v="0"/>
    <n v="0"/>
    <n v="0"/>
    <n v="3"/>
    <x v="0"/>
    <n v="1"/>
    <n v="41"/>
    <n v="2"/>
    <n v="3"/>
    <s v="Sales Executive"/>
    <n v="0"/>
    <n v="1"/>
    <n v="0"/>
    <n v="0"/>
    <n v="0"/>
    <n v="0"/>
    <n v="0"/>
    <n v="0"/>
    <x v="2"/>
    <s v="Married"/>
    <n v="0"/>
    <n v="1"/>
    <n v="10686"/>
    <n v="8392"/>
    <n v="6"/>
    <s v="No"/>
    <n v="0"/>
    <n v="11"/>
    <n v="3"/>
    <n v="2"/>
    <n v="1"/>
    <n v="13"/>
    <n v="4"/>
    <n v="3"/>
    <n v="9"/>
    <n v="4"/>
    <n v="7"/>
    <n v="0"/>
  </r>
  <r>
    <n v="56"/>
    <x v="1"/>
    <n v="0"/>
    <s v="Travel_Frequently"/>
    <n v="1"/>
    <n v="0"/>
    <n v="1240"/>
    <s v="Research &amp; Development"/>
    <n v="1"/>
    <n v="0"/>
    <n v="9"/>
    <n v="3"/>
    <s v="Medical"/>
    <n v="0"/>
    <n v="0"/>
    <n v="1"/>
    <n v="0"/>
    <n v="0"/>
    <n v="1"/>
    <x v="0"/>
    <n v="1"/>
    <n v="63"/>
    <n v="3"/>
    <n v="1"/>
    <s v="Research Scientist"/>
    <n v="0"/>
    <n v="0"/>
    <n v="0"/>
    <n v="0"/>
    <n v="0"/>
    <n v="0"/>
    <n v="0"/>
    <n v="1"/>
    <x v="2"/>
    <s v="Married"/>
    <n v="0"/>
    <n v="1"/>
    <n v="2942"/>
    <n v="12154"/>
    <n v="2"/>
    <s v="No"/>
    <n v="0"/>
    <n v="19"/>
    <n v="3"/>
    <n v="2"/>
    <n v="1"/>
    <n v="18"/>
    <n v="4"/>
    <n v="3"/>
    <n v="5"/>
    <n v="4"/>
    <n v="0"/>
    <n v="3"/>
  </r>
  <r>
    <n v="36"/>
    <x v="1"/>
    <n v="0"/>
    <s v="Travel_Rarely"/>
    <n v="0"/>
    <n v="1"/>
    <n v="796"/>
    <s v="Research &amp; Development"/>
    <n v="1"/>
    <n v="0"/>
    <n v="12"/>
    <n v="5"/>
    <s v="Medical"/>
    <n v="0"/>
    <n v="0"/>
    <n v="1"/>
    <n v="0"/>
    <n v="0"/>
    <n v="4"/>
    <x v="0"/>
    <n v="1"/>
    <n v="51"/>
    <n v="2"/>
    <n v="3"/>
    <s v="Manufacturing Director"/>
    <n v="0"/>
    <n v="0"/>
    <n v="0"/>
    <n v="0"/>
    <n v="1"/>
    <n v="1"/>
    <n v="0"/>
    <n v="0"/>
    <x v="0"/>
    <s v="Single"/>
    <n v="1"/>
    <n v="0"/>
    <n v="8858"/>
    <n v="15669"/>
    <n v="0"/>
    <s v="No"/>
    <n v="0"/>
    <n v="11"/>
    <n v="3"/>
    <n v="2"/>
    <n v="0"/>
    <n v="15"/>
    <n v="2"/>
    <n v="2"/>
    <n v="14"/>
    <n v="8"/>
    <n v="7"/>
    <n v="8"/>
  </r>
  <r>
    <n v="55"/>
    <x v="1"/>
    <n v="0"/>
    <s v="Non-Travel"/>
    <n v="0"/>
    <n v="0"/>
    <n v="444"/>
    <s v="Research &amp; Development"/>
    <n v="1"/>
    <n v="0"/>
    <n v="2"/>
    <n v="1"/>
    <s v="Medical"/>
    <n v="0"/>
    <n v="0"/>
    <n v="1"/>
    <n v="0"/>
    <n v="0"/>
    <n v="3"/>
    <x v="1"/>
    <n v="0"/>
    <n v="40"/>
    <n v="2"/>
    <n v="4"/>
    <s v="Manager"/>
    <n v="0"/>
    <n v="0"/>
    <n v="0"/>
    <n v="1"/>
    <n v="0"/>
    <n v="0"/>
    <n v="0"/>
    <n v="0"/>
    <x v="3"/>
    <s v="Single"/>
    <n v="1"/>
    <n v="0"/>
    <n v="16756"/>
    <n v="17323"/>
    <n v="7"/>
    <s v="No"/>
    <n v="0"/>
    <n v="15"/>
    <n v="3"/>
    <n v="2"/>
    <n v="0"/>
    <n v="31"/>
    <n v="3"/>
    <n v="4"/>
    <n v="9"/>
    <n v="7"/>
    <n v="6"/>
    <n v="2"/>
  </r>
  <r>
    <n v="43"/>
    <x v="1"/>
    <n v="0"/>
    <s v="Travel_Rarely"/>
    <n v="0"/>
    <n v="1"/>
    <n v="415"/>
    <s v="Sales"/>
    <n v="0"/>
    <n v="1"/>
    <n v="25"/>
    <n v="3"/>
    <s v="Medical"/>
    <n v="0"/>
    <n v="0"/>
    <n v="1"/>
    <n v="0"/>
    <n v="0"/>
    <n v="3"/>
    <x v="1"/>
    <n v="0"/>
    <n v="79"/>
    <n v="2"/>
    <n v="3"/>
    <s v="Sales Executive"/>
    <n v="0"/>
    <n v="1"/>
    <n v="0"/>
    <n v="0"/>
    <n v="0"/>
    <n v="0"/>
    <n v="0"/>
    <n v="0"/>
    <x v="0"/>
    <s v="Divorced"/>
    <n v="0"/>
    <n v="0"/>
    <n v="10798"/>
    <n v="5268"/>
    <n v="5"/>
    <s v="No"/>
    <n v="0"/>
    <n v="13"/>
    <n v="3"/>
    <n v="3"/>
    <n v="1"/>
    <n v="18"/>
    <n v="5"/>
    <n v="3"/>
    <n v="1"/>
    <n v="0"/>
    <n v="0"/>
    <n v="0"/>
  </r>
  <r>
    <n v="20"/>
    <x v="0"/>
    <n v="1"/>
    <s v="Travel_Frequently"/>
    <n v="1"/>
    <n v="0"/>
    <n v="769"/>
    <s v="Sales"/>
    <n v="0"/>
    <n v="1"/>
    <n v="9"/>
    <n v="3"/>
    <s v="Marketing"/>
    <n v="0"/>
    <n v="0"/>
    <n v="0"/>
    <n v="1"/>
    <n v="0"/>
    <n v="4"/>
    <x v="0"/>
    <n v="1"/>
    <n v="54"/>
    <n v="3"/>
    <n v="1"/>
    <s v="Sales Representative"/>
    <n v="0"/>
    <n v="0"/>
    <n v="0"/>
    <n v="0"/>
    <n v="0"/>
    <n v="0"/>
    <n v="1"/>
    <n v="0"/>
    <x v="0"/>
    <s v="Single"/>
    <n v="1"/>
    <n v="0"/>
    <n v="2323"/>
    <n v="17205"/>
    <n v="1"/>
    <s v="Yes"/>
    <n v="1"/>
    <n v="14"/>
    <n v="3"/>
    <n v="2"/>
    <n v="0"/>
    <n v="2"/>
    <n v="3"/>
    <n v="3"/>
    <n v="2"/>
    <n v="2"/>
    <n v="0"/>
    <n v="2"/>
  </r>
  <r>
    <n v="21"/>
    <x v="0"/>
    <n v="1"/>
    <s v="Travel_Rarely"/>
    <n v="0"/>
    <n v="1"/>
    <n v="1334"/>
    <s v="Research &amp; Development"/>
    <n v="1"/>
    <n v="0"/>
    <n v="10"/>
    <n v="3"/>
    <s v="Life Sciences"/>
    <n v="1"/>
    <n v="0"/>
    <n v="0"/>
    <n v="0"/>
    <n v="0"/>
    <n v="3"/>
    <x v="0"/>
    <n v="1"/>
    <n v="36"/>
    <n v="2"/>
    <n v="1"/>
    <s v="Laboratory Technician"/>
    <n v="0"/>
    <n v="0"/>
    <n v="1"/>
    <n v="0"/>
    <n v="0"/>
    <n v="0"/>
    <n v="0"/>
    <n v="0"/>
    <x v="3"/>
    <s v="Single"/>
    <n v="1"/>
    <n v="0"/>
    <n v="1416"/>
    <n v="17258"/>
    <n v="1"/>
    <s v="No"/>
    <n v="0"/>
    <n v="13"/>
    <n v="3"/>
    <n v="1"/>
    <n v="0"/>
    <n v="1"/>
    <n v="6"/>
    <n v="2"/>
    <n v="1"/>
    <n v="0"/>
    <n v="1"/>
    <n v="0"/>
  </r>
  <r>
    <n v="46"/>
    <x v="1"/>
    <n v="0"/>
    <s v="Travel_Rarely"/>
    <n v="0"/>
    <n v="1"/>
    <n v="1003"/>
    <s v="Research &amp; Development"/>
    <n v="1"/>
    <n v="0"/>
    <n v="8"/>
    <n v="4"/>
    <s v="Life Sciences"/>
    <n v="1"/>
    <n v="0"/>
    <n v="0"/>
    <n v="0"/>
    <n v="0"/>
    <n v="4"/>
    <x v="0"/>
    <n v="1"/>
    <n v="74"/>
    <n v="2"/>
    <n v="2"/>
    <s v="Research Scientist"/>
    <n v="0"/>
    <n v="0"/>
    <n v="0"/>
    <n v="0"/>
    <n v="0"/>
    <n v="0"/>
    <n v="0"/>
    <n v="1"/>
    <x v="3"/>
    <s v="Divorced"/>
    <n v="0"/>
    <n v="0"/>
    <n v="4615"/>
    <n v="21029"/>
    <n v="8"/>
    <s v="Yes"/>
    <n v="1"/>
    <n v="23"/>
    <n v="4"/>
    <n v="1"/>
    <n v="3"/>
    <n v="19"/>
    <n v="2"/>
    <n v="3"/>
    <n v="16"/>
    <n v="13"/>
    <n v="1"/>
    <n v="7"/>
  </r>
  <r>
    <n v="51"/>
    <x v="0"/>
    <n v="1"/>
    <s v="Travel_Rarely"/>
    <n v="0"/>
    <n v="1"/>
    <n v="1323"/>
    <s v="Research &amp; Development"/>
    <n v="1"/>
    <n v="0"/>
    <n v="4"/>
    <n v="4"/>
    <s v="Life Sciences"/>
    <n v="1"/>
    <n v="0"/>
    <n v="0"/>
    <n v="0"/>
    <n v="0"/>
    <n v="1"/>
    <x v="1"/>
    <n v="0"/>
    <n v="34"/>
    <n v="3"/>
    <n v="1"/>
    <s v="Research Scientist"/>
    <n v="0"/>
    <n v="0"/>
    <n v="0"/>
    <n v="0"/>
    <n v="0"/>
    <n v="0"/>
    <n v="0"/>
    <n v="1"/>
    <x v="2"/>
    <s v="Married"/>
    <n v="0"/>
    <n v="1"/>
    <n v="2461"/>
    <n v="10332"/>
    <n v="9"/>
    <s v="Yes"/>
    <n v="1"/>
    <n v="12"/>
    <n v="3"/>
    <n v="3"/>
    <n v="3"/>
    <n v="18"/>
    <n v="2"/>
    <n v="4"/>
    <n v="10"/>
    <n v="0"/>
    <n v="2"/>
    <n v="7"/>
  </r>
  <r>
    <n v="28"/>
    <x v="0"/>
    <n v="1"/>
    <s v="Non-Travel"/>
    <n v="0"/>
    <n v="0"/>
    <n v="1366"/>
    <s v="Research &amp; Development"/>
    <n v="1"/>
    <n v="0"/>
    <n v="24"/>
    <n v="2"/>
    <s v="Technical Degree"/>
    <n v="0"/>
    <n v="0"/>
    <n v="0"/>
    <n v="0"/>
    <n v="1"/>
    <n v="2"/>
    <x v="1"/>
    <n v="0"/>
    <n v="72"/>
    <n v="2"/>
    <n v="3"/>
    <s v="Healthcare Representative"/>
    <n v="1"/>
    <n v="0"/>
    <n v="0"/>
    <n v="0"/>
    <n v="0"/>
    <n v="0"/>
    <n v="0"/>
    <n v="0"/>
    <x v="3"/>
    <s v="Single"/>
    <n v="1"/>
    <n v="0"/>
    <n v="8722"/>
    <n v="12355"/>
    <n v="1"/>
    <s v="No"/>
    <n v="0"/>
    <n v="12"/>
    <n v="3"/>
    <n v="1"/>
    <n v="0"/>
    <n v="10"/>
    <n v="2"/>
    <n v="2"/>
    <n v="10"/>
    <n v="7"/>
    <n v="1"/>
    <n v="9"/>
  </r>
  <r>
    <n v="26"/>
    <x v="1"/>
    <n v="0"/>
    <s v="Travel_Rarely"/>
    <n v="0"/>
    <n v="1"/>
    <n v="192"/>
    <s v="Research &amp; Development"/>
    <n v="1"/>
    <n v="0"/>
    <n v="1"/>
    <n v="2"/>
    <s v="Medical"/>
    <n v="0"/>
    <n v="0"/>
    <n v="1"/>
    <n v="0"/>
    <n v="0"/>
    <n v="1"/>
    <x v="1"/>
    <n v="0"/>
    <n v="59"/>
    <n v="2"/>
    <n v="1"/>
    <s v="Laboratory Technician"/>
    <n v="0"/>
    <n v="0"/>
    <n v="1"/>
    <n v="0"/>
    <n v="0"/>
    <n v="0"/>
    <n v="0"/>
    <n v="0"/>
    <x v="3"/>
    <s v="Married"/>
    <n v="0"/>
    <n v="1"/>
    <n v="3955"/>
    <n v="11141"/>
    <n v="1"/>
    <s v="No"/>
    <n v="0"/>
    <n v="16"/>
    <n v="3"/>
    <n v="1"/>
    <n v="2"/>
    <n v="6"/>
    <n v="2"/>
    <n v="3"/>
    <n v="5"/>
    <n v="3"/>
    <n v="1"/>
    <n v="3"/>
  </r>
  <r>
    <n v="30"/>
    <x v="1"/>
    <n v="0"/>
    <s v="Travel_Rarely"/>
    <n v="0"/>
    <n v="1"/>
    <n v="1176"/>
    <s v="Research &amp; Development"/>
    <n v="1"/>
    <n v="0"/>
    <n v="20"/>
    <n v="3"/>
    <s v="Other"/>
    <n v="0"/>
    <n v="1"/>
    <n v="0"/>
    <n v="0"/>
    <n v="0"/>
    <n v="3"/>
    <x v="1"/>
    <n v="0"/>
    <n v="85"/>
    <n v="3"/>
    <n v="2"/>
    <s v="Manufacturing Director"/>
    <n v="0"/>
    <n v="0"/>
    <n v="0"/>
    <n v="0"/>
    <n v="1"/>
    <n v="1"/>
    <n v="0"/>
    <n v="0"/>
    <x v="3"/>
    <s v="Married"/>
    <n v="0"/>
    <n v="1"/>
    <n v="9957"/>
    <n v="9096"/>
    <n v="0"/>
    <s v="No"/>
    <n v="0"/>
    <n v="15"/>
    <n v="3"/>
    <n v="3"/>
    <n v="1"/>
    <n v="7"/>
    <n v="1"/>
    <n v="2"/>
    <n v="6"/>
    <n v="2"/>
    <n v="0"/>
    <n v="2"/>
  </r>
  <r>
    <n v="41"/>
    <x v="1"/>
    <n v="0"/>
    <s v="Travel_Rarely"/>
    <n v="0"/>
    <n v="1"/>
    <n v="509"/>
    <s v="Research &amp; Development"/>
    <n v="1"/>
    <n v="0"/>
    <n v="7"/>
    <n v="2"/>
    <s v="Technical Degree"/>
    <n v="0"/>
    <n v="0"/>
    <n v="0"/>
    <n v="0"/>
    <n v="1"/>
    <n v="2"/>
    <x v="0"/>
    <n v="1"/>
    <n v="43"/>
    <n v="4"/>
    <n v="1"/>
    <s v="Research Scientist"/>
    <n v="0"/>
    <n v="0"/>
    <n v="0"/>
    <n v="0"/>
    <n v="0"/>
    <n v="0"/>
    <n v="0"/>
    <n v="1"/>
    <x v="2"/>
    <s v="Married"/>
    <n v="0"/>
    <n v="1"/>
    <n v="3376"/>
    <n v="18863"/>
    <n v="1"/>
    <s v="No"/>
    <n v="0"/>
    <n v="13"/>
    <n v="3"/>
    <n v="3"/>
    <n v="0"/>
    <n v="10"/>
    <n v="3"/>
    <n v="3"/>
    <n v="10"/>
    <n v="6"/>
    <n v="0"/>
    <n v="8"/>
  </r>
  <r>
    <n v="38"/>
    <x v="1"/>
    <n v="0"/>
    <s v="Travel_Rarely"/>
    <n v="0"/>
    <n v="1"/>
    <n v="330"/>
    <s v="Research &amp; Development"/>
    <n v="1"/>
    <n v="0"/>
    <n v="17"/>
    <n v="1"/>
    <s v="Life Sciences"/>
    <n v="1"/>
    <n v="0"/>
    <n v="0"/>
    <n v="0"/>
    <n v="0"/>
    <n v="3"/>
    <x v="0"/>
    <n v="1"/>
    <n v="65"/>
    <n v="2"/>
    <n v="3"/>
    <s v="Healthcare Representative"/>
    <n v="1"/>
    <n v="0"/>
    <n v="0"/>
    <n v="0"/>
    <n v="0"/>
    <n v="0"/>
    <n v="0"/>
    <n v="0"/>
    <x v="2"/>
    <s v="Married"/>
    <n v="0"/>
    <n v="1"/>
    <n v="8823"/>
    <n v="24608"/>
    <n v="0"/>
    <s v="No"/>
    <n v="0"/>
    <n v="18"/>
    <n v="3"/>
    <n v="1"/>
    <n v="1"/>
    <n v="20"/>
    <n v="4"/>
    <n v="2"/>
    <n v="19"/>
    <n v="9"/>
    <n v="1"/>
    <n v="9"/>
  </r>
  <r>
    <n v="40"/>
    <x v="1"/>
    <n v="0"/>
    <s v="Travel_Rarely"/>
    <n v="0"/>
    <n v="1"/>
    <n v="1492"/>
    <s v="Research &amp; Development"/>
    <n v="1"/>
    <n v="0"/>
    <n v="20"/>
    <n v="4"/>
    <s v="Technical Degree"/>
    <n v="0"/>
    <n v="0"/>
    <n v="0"/>
    <n v="0"/>
    <n v="1"/>
    <n v="1"/>
    <x v="1"/>
    <n v="0"/>
    <n v="61"/>
    <n v="3"/>
    <n v="3"/>
    <s v="Healthcare Representative"/>
    <n v="1"/>
    <n v="0"/>
    <n v="0"/>
    <n v="0"/>
    <n v="0"/>
    <n v="0"/>
    <n v="0"/>
    <n v="0"/>
    <x v="0"/>
    <s v="Married"/>
    <n v="0"/>
    <n v="1"/>
    <n v="10322"/>
    <n v="26542"/>
    <n v="4"/>
    <s v="No"/>
    <n v="0"/>
    <n v="20"/>
    <n v="4"/>
    <n v="4"/>
    <n v="1"/>
    <n v="14"/>
    <n v="6"/>
    <n v="3"/>
    <n v="11"/>
    <n v="10"/>
    <n v="11"/>
    <n v="1"/>
  </r>
  <r>
    <n v="27"/>
    <x v="1"/>
    <n v="0"/>
    <s v="Non-Travel"/>
    <n v="0"/>
    <n v="0"/>
    <n v="1277"/>
    <s v="Research &amp; Development"/>
    <n v="1"/>
    <n v="0"/>
    <n v="8"/>
    <n v="5"/>
    <s v="Life Sciences"/>
    <n v="1"/>
    <n v="0"/>
    <n v="0"/>
    <n v="0"/>
    <n v="0"/>
    <n v="1"/>
    <x v="1"/>
    <n v="0"/>
    <n v="87"/>
    <n v="1"/>
    <n v="1"/>
    <s v="Laboratory Technician"/>
    <n v="0"/>
    <n v="0"/>
    <n v="1"/>
    <n v="0"/>
    <n v="0"/>
    <n v="0"/>
    <n v="0"/>
    <n v="0"/>
    <x v="2"/>
    <s v="Married"/>
    <n v="0"/>
    <n v="1"/>
    <n v="4621"/>
    <n v="5869"/>
    <n v="1"/>
    <s v="No"/>
    <n v="0"/>
    <n v="19"/>
    <n v="3"/>
    <n v="4"/>
    <n v="3"/>
    <n v="3"/>
    <n v="4"/>
    <n v="3"/>
    <n v="3"/>
    <n v="2"/>
    <n v="1"/>
    <n v="2"/>
  </r>
  <r>
    <n v="55"/>
    <x v="1"/>
    <n v="0"/>
    <s v="Travel_Frequently"/>
    <n v="1"/>
    <n v="0"/>
    <n v="1091"/>
    <s v="Research &amp; Development"/>
    <n v="1"/>
    <n v="0"/>
    <n v="2"/>
    <n v="1"/>
    <s v="Life Sciences"/>
    <n v="1"/>
    <n v="0"/>
    <n v="0"/>
    <n v="0"/>
    <n v="0"/>
    <n v="4"/>
    <x v="1"/>
    <n v="0"/>
    <n v="65"/>
    <n v="3"/>
    <n v="3"/>
    <s v="Manufacturing Director"/>
    <n v="0"/>
    <n v="0"/>
    <n v="0"/>
    <n v="0"/>
    <n v="1"/>
    <n v="1"/>
    <n v="0"/>
    <n v="0"/>
    <x v="1"/>
    <s v="Married"/>
    <n v="0"/>
    <n v="1"/>
    <n v="10976"/>
    <n v="15813"/>
    <n v="3"/>
    <s v="No"/>
    <n v="0"/>
    <n v="18"/>
    <n v="3"/>
    <n v="2"/>
    <n v="1"/>
    <n v="23"/>
    <n v="4"/>
    <n v="3"/>
    <n v="3"/>
    <n v="2"/>
    <n v="1"/>
    <n v="2"/>
  </r>
  <r>
    <n v="28"/>
    <x v="1"/>
    <n v="0"/>
    <s v="Travel_Rarely"/>
    <n v="0"/>
    <n v="1"/>
    <n v="857"/>
    <s v="Research &amp; Development"/>
    <n v="1"/>
    <n v="0"/>
    <n v="10"/>
    <n v="3"/>
    <s v="Other"/>
    <n v="0"/>
    <n v="1"/>
    <n v="0"/>
    <n v="0"/>
    <n v="0"/>
    <n v="3"/>
    <x v="0"/>
    <n v="1"/>
    <n v="59"/>
    <n v="3"/>
    <n v="2"/>
    <s v="Research Scientist"/>
    <n v="0"/>
    <n v="0"/>
    <n v="0"/>
    <n v="0"/>
    <n v="0"/>
    <n v="0"/>
    <n v="0"/>
    <n v="1"/>
    <x v="2"/>
    <s v="Single"/>
    <n v="1"/>
    <n v="0"/>
    <n v="3660"/>
    <n v="7909"/>
    <n v="3"/>
    <s v="No"/>
    <n v="0"/>
    <n v="13"/>
    <n v="3"/>
    <n v="4"/>
    <n v="0"/>
    <n v="10"/>
    <n v="4"/>
    <n v="4"/>
    <n v="8"/>
    <n v="7"/>
    <n v="1"/>
    <n v="7"/>
  </r>
  <r>
    <n v="44"/>
    <x v="0"/>
    <n v="1"/>
    <s v="Travel_Rarely"/>
    <n v="0"/>
    <n v="1"/>
    <n v="1376"/>
    <s v="Human Resources"/>
    <n v="0"/>
    <n v="0"/>
    <n v="1"/>
    <n v="2"/>
    <s v="Medical"/>
    <n v="0"/>
    <n v="0"/>
    <n v="1"/>
    <n v="0"/>
    <n v="0"/>
    <n v="2"/>
    <x v="1"/>
    <n v="0"/>
    <n v="91"/>
    <n v="2"/>
    <n v="3"/>
    <s v="Human Resources"/>
    <n v="0"/>
    <n v="0"/>
    <n v="0"/>
    <n v="0"/>
    <n v="0"/>
    <n v="0"/>
    <n v="0"/>
    <n v="0"/>
    <x v="3"/>
    <s v="Married"/>
    <n v="0"/>
    <n v="1"/>
    <n v="10482"/>
    <n v="2326"/>
    <n v="9"/>
    <s v="No"/>
    <n v="0"/>
    <n v="14"/>
    <n v="3"/>
    <n v="4"/>
    <n v="1"/>
    <n v="24"/>
    <n v="1"/>
    <n v="3"/>
    <n v="20"/>
    <n v="6"/>
    <n v="3"/>
    <n v="6"/>
  </r>
  <r>
    <n v="33"/>
    <x v="1"/>
    <n v="0"/>
    <s v="Travel_Rarely"/>
    <n v="0"/>
    <n v="1"/>
    <n v="654"/>
    <s v="Research &amp; Development"/>
    <n v="1"/>
    <n v="0"/>
    <n v="5"/>
    <n v="3"/>
    <s v="Life Sciences"/>
    <n v="1"/>
    <n v="0"/>
    <n v="0"/>
    <n v="0"/>
    <n v="0"/>
    <n v="4"/>
    <x v="1"/>
    <n v="0"/>
    <n v="34"/>
    <n v="2"/>
    <n v="3"/>
    <s v="Healthcare Representative"/>
    <n v="1"/>
    <n v="0"/>
    <n v="0"/>
    <n v="0"/>
    <n v="0"/>
    <n v="0"/>
    <n v="0"/>
    <n v="0"/>
    <x v="0"/>
    <s v="Divorced"/>
    <n v="0"/>
    <n v="0"/>
    <n v="7119"/>
    <n v="21214"/>
    <n v="4"/>
    <s v="No"/>
    <n v="0"/>
    <n v="15"/>
    <n v="3"/>
    <n v="3"/>
    <n v="1"/>
    <n v="9"/>
    <n v="2"/>
    <n v="3"/>
    <n v="3"/>
    <n v="2"/>
    <n v="1"/>
    <n v="2"/>
  </r>
  <r>
    <n v="35"/>
    <x v="0"/>
    <n v="1"/>
    <s v="Travel_Rarely"/>
    <n v="0"/>
    <n v="1"/>
    <n v="1204"/>
    <s v="Sales"/>
    <n v="0"/>
    <n v="1"/>
    <n v="4"/>
    <n v="3"/>
    <s v="Technical Degree"/>
    <n v="0"/>
    <n v="0"/>
    <n v="0"/>
    <n v="0"/>
    <n v="1"/>
    <n v="4"/>
    <x v="1"/>
    <n v="0"/>
    <n v="86"/>
    <n v="3"/>
    <n v="3"/>
    <s v="Sales Executive"/>
    <n v="0"/>
    <n v="1"/>
    <n v="0"/>
    <n v="0"/>
    <n v="0"/>
    <n v="0"/>
    <n v="0"/>
    <n v="0"/>
    <x v="3"/>
    <s v="Single"/>
    <n v="1"/>
    <n v="0"/>
    <n v="9582"/>
    <n v="10333"/>
    <n v="0"/>
    <s v="Yes"/>
    <n v="1"/>
    <n v="22"/>
    <n v="4"/>
    <n v="1"/>
    <n v="0"/>
    <n v="9"/>
    <n v="2"/>
    <n v="3"/>
    <n v="8"/>
    <n v="7"/>
    <n v="4"/>
    <n v="7"/>
  </r>
  <r>
    <n v="33"/>
    <x v="0"/>
    <n v="1"/>
    <s v="Travel_Frequently"/>
    <n v="1"/>
    <n v="0"/>
    <n v="827"/>
    <s v="Research &amp; Development"/>
    <n v="1"/>
    <n v="0"/>
    <n v="29"/>
    <n v="4"/>
    <s v="Medical"/>
    <n v="0"/>
    <n v="0"/>
    <n v="1"/>
    <n v="0"/>
    <n v="0"/>
    <n v="1"/>
    <x v="0"/>
    <n v="1"/>
    <n v="54"/>
    <n v="2"/>
    <n v="2"/>
    <s v="Research Scientist"/>
    <n v="0"/>
    <n v="0"/>
    <n v="0"/>
    <n v="0"/>
    <n v="0"/>
    <n v="0"/>
    <n v="0"/>
    <n v="1"/>
    <x v="2"/>
    <s v="Single"/>
    <n v="1"/>
    <n v="0"/>
    <n v="4508"/>
    <n v="3129"/>
    <n v="1"/>
    <s v="No"/>
    <n v="0"/>
    <n v="22"/>
    <n v="4"/>
    <n v="2"/>
    <n v="0"/>
    <n v="14"/>
    <n v="4"/>
    <n v="3"/>
    <n v="13"/>
    <n v="7"/>
    <n v="3"/>
    <n v="8"/>
  </r>
  <r>
    <n v="28"/>
    <x v="1"/>
    <n v="0"/>
    <s v="Travel_Rarely"/>
    <n v="0"/>
    <n v="1"/>
    <n v="895"/>
    <s v="Research &amp; Development"/>
    <n v="1"/>
    <n v="0"/>
    <n v="15"/>
    <n v="2"/>
    <s v="Life Sciences"/>
    <n v="1"/>
    <n v="0"/>
    <n v="0"/>
    <n v="0"/>
    <n v="0"/>
    <n v="1"/>
    <x v="1"/>
    <n v="0"/>
    <n v="50"/>
    <n v="3"/>
    <n v="1"/>
    <s v="Laboratory Technician"/>
    <n v="0"/>
    <n v="0"/>
    <n v="1"/>
    <n v="0"/>
    <n v="0"/>
    <n v="0"/>
    <n v="0"/>
    <n v="0"/>
    <x v="2"/>
    <s v="Divorced"/>
    <n v="0"/>
    <n v="0"/>
    <n v="2207"/>
    <n v="22482"/>
    <n v="1"/>
    <s v="No"/>
    <n v="0"/>
    <n v="16"/>
    <n v="3"/>
    <n v="4"/>
    <n v="1"/>
    <n v="4"/>
    <n v="5"/>
    <n v="2"/>
    <n v="4"/>
    <n v="2"/>
    <n v="2"/>
    <n v="2"/>
  </r>
  <r>
    <n v="34"/>
    <x v="1"/>
    <n v="0"/>
    <s v="Travel_Frequently"/>
    <n v="1"/>
    <n v="0"/>
    <n v="618"/>
    <s v="Research &amp; Development"/>
    <n v="1"/>
    <n v="0"/>
    <n v="3"/>
    <n v="1"/>
    <s v="Life Sciences"/>
    <n v="1"/>
    <n v="0"/>
    <n v="0"/>
    <n v="0"/>
    <n v="0"/>
    <n v="1"/>
    <x v="1"/>
    <n v="0"/>
    <n v="45"/>
    <n v="3"/>
    <n v="2"/>
    <s v="Healthcare Representative"/>
    <n v="1"/>
    <n v="0"/>
    <n v="0"/>
    <n v="0"/>
    <n v="0"/>
    <n v="0"/>
    <n v="0"/>
    <n v="0"/>
    <x v="0"/>
    <s v="Single"/>
    <n v="1"/>
    <n v="0"/>
    <n v="7756"/>
    <n v="22266"/>
    <n v="0"/>
    <s v="No"/>
    <n v="0"/>
    <n v="17"/>
    <n v="3"/>
    <n v="3"/>
    <n v="0"/>
    <n v="7"/>
    <n v="1"/>
    <n v="2"/>
    <n v="6"/>
    <n v="2"/>
    <n v="0"/>
    <n v="4"/>
  </r>
  <r>
    <n v="37"/>
    <x v="1"/>
    <n v="0"/>
    <s v="Travel_Rarely"/>
    <n v="0"/>
    <n v="1"/>
    <n v="309"/>
    <s v="Sales"/>
    <n v="0"/>
    <n v="1"/>
    <n v="10"/>
    <n v="4"/>
    <s v="Life Sciences"/>
    <n v="1"/>
    <n v="0"/>
    <n v="0"/>
    <n v="0"/>
    <n v="0"/>
    <n v="4"/>
    <x v="0"/>
    <n v="1"/>
    <n v="88"/>
    <n v="2"/>
    <n v="2"/>
    <s v="Sales Executive"/>
    <n v="0"/>
    <n v="1"/>
    <n v="0"/>
    <n v="0"/>
    <n v="0"/>
    <n v="0"/>
    <n v="0"/>
    <n v="0"/>
    <x v="0"/>
    <s v="Divorced"/>
    <n v="0"/>
    <n v="0"/>
    <n v="6694"/>
    <n v="24223"/>
    <n v="2"/>
    <s v="Yes"/>
    <n v="1"/>
    <n v="14"/>
    <n v="3"/>
    <n v="3"/>
    <n v="3"/>
    <n v="8"/>
    <n v="5"/>
    <n v="3"/>
    <n v="1"/>
    <n v="0"/>
    <n v="0"/>
    <n v="0"/>
  </r>
  <r>
    <n v="25"/>
    <x v="0"/>
    <n v="1"/>
    <s v="Travel_Rarely"/>
    <n v="0"/>
    <n v="1"/>
    <n v="1219"/>
    <s v="Research &amp; Development"/>
    <n v="1"/>
    <n v="0"/>
    <n v="4"/>
    <n v="1"/>
    <s v="Technical Degree"/>
    <n v="0"/>
    <n v="0"/>
    <n v="0"/>
    <n v="0"/>
    <n v="1"/>
    <n v="4"/>
    <x v="1"/>
    <n v="0"/>
    <n v="32"/>
    <n v="3"/>
    <n v="1"/>
    <s v="Laboratory Technician"/>
    <n v="0"/>
    <n v="0"/>
    <n v="1"/>
    <n v="0"/>
    <n v="0"/>
    <n v="0"/>
    <n v="0"/>
    <n v="0"/>
    <x v="0"/>
    <s v="Married"/>
    <n v="0"/>
    <n v="1"/>
    <n v="3691"/>
    <n v="4605"/>
    <n v="1"/>
    <s v="Yes"/>
    <n v="1"/>
    <n v="15"/>
    <n v="3"/>
    <n v="2"/>
    <n v="1"/>
    <n v="7"/>
    <n v="3"/>
    <n v="4"/>
    <n v="7"/>
    <n v="7"/>
    <n v="5"/>
    <n v="6"/>
  </r>
  <r>
    <n v="26"/>
    <x v="0"/>
    <n v="1"/>
    <s v="Travel_Rarely"/>
    <n v="0"/>
    <n v="1"/>
    <n v="1330"/>
    <s v="Research &amp; Development"/>
    <n v="1"/>
    <n v="0"/>
    <n v="21"/>
    <n v="3"/>
    <s v="Medical"/>
    <n v="0"/>
    <n v="0"/>
    <n v="1"/>
    <n v="0"/>
    <n v="0"/>
    <n v="1"/>
    <x v="1"/>
    <n v="0"/>
    <n v="37"/>
    <n v="3"/>
    <n v="1"/>
    <s v="Laboratory Technician"/>
    <n v="0"/>
    <n v="0"/>
    <n v="1"/>
    <n v="0"/>
    <n v="0"/>
    <n v="0"/>
    <n v="0"/>
    <n v="0"/>
    <x v="2"/>
    <s v="Divorced"/>
    <n v="0"/>
    <n v="0"/>
    <n v="2377"/>
    <n v="19373"/>
    <n v="1"/>
    <s v="No"/>
    <n v="0"/>
    <n v="20"/>
    <n v="4"/>
    <n v="3"/>
    <n v="1"/>
    <n v="1"/>
    <n v="0"/>
    <n v="2"/>
    <n v="1"/>
    <n v="1"/>
    <n v="0"/>
    <n v="0"/>
  </r>
  <r>
    <n v="33"/>
    <x v="0"/>
    <n v="1"/>
    <s v="Travel_Rarely"/>
    <n v="0"/>
    <n v="1"/>
    <n v="1017"/>
    <s v="Research &amp; Development"/>
    <n v="1"/>
    <n v="0"/>
    <n v="25"/>
    <n v="3"/>
    <s v="Medical"/>
    <n v="0"/>
    <n v="0"/>
    <n v="1"/>
    <n v="0"/>
    <n v="0"/>
    <n v="1"/>
    <x v="1"/>
    <n v="0"/>
    <n v="55"/>
    <n v="2"/>
    <n v="1"/>
    <s v="Research Scientist"/>
    <n v="0"/>
    <n v="0"/>
    <n v="0"/>
    <n v="0"/>
    <n v="0"/>
    <n v="0"/>
    <n v="0"/>
    <n v="1"/>
    <x v="1"/>
    <s v="Single"/>
    <n v="1"/>
    <n v="0"/>
    <n v="2313"/>
    <n v="2993"/>
    <n v="4"/>
    <s v="Yes"/>
    <n v="1"/>
    <n v="20"/>
    <n v="4"/>
    <n v="2"/>
    <n v="0"/>
    <n v="5"/>
    <n v="0"/>
    <n v="3"/>
    <n v="2"/>
    <n v="2"/>
    <n v="2"/>
    <n v="2"/>
  </r>
  <r>
    <n v="42"/>
    <x v="1"/>
    <n v="0"/>
    <s v="Travel_Rarely"/>
    <n v="0"/>
    <n v="1"/>
    <n v="469"/>
    <s v="Research &amp; Development"/>
    <n v="1"/>
    <n v="0"/>
    <n v="2"/>
    <n v="2"/>
    <s v="Medical"/>
    <n v="0"/>
    <n v="0"/>
    <n v="1"/>
    <n v="0"/>
    <n v="0"/>
    <n v="4"/>
    <x v="1"/>
    <n v="0"/>
    <n v="35"/>
    <n v="3"/>
    <n v="4"/>
    <s v="Manager"/>
    <n v="0"/>
    <n v="0"/>
    <n v="0"/>
    <n v="1"/>
    <n v="0"/>
    <n v="0"/>
    <n v="0"/>
    <n v="0"/>
    <x v="3"/>
    <s v="Married"/>
    <n v="0"/>
    <n v="1"/>
    <n v="17665"/>
    <n v="14399"/>
    <n v="0"/>
    <s v="No"/>
    <n v="0"/>
    <n v="17"/>
    <n v="3"/>
    <n v="4"/>
    <n v="1"/>
    <n v="23"/>
    <n v="3"/>
    <n v="3"/>
    <n v="22"/>
    <n v="6"/>
    <n v="13"/>
    <n v="7"/>
  </r>
  <r>
    <n v="28"/>
    <x v="0"/>
    <n v="1"/>
    <s v="Travel_Frequently"/>
    <n v="1"/>
    <n v="0"/>
    <n v="1009"/>
    <s v="Research &amp; Development"/>
    <n v="1"/>
    <n v="0"/>
    <n v="1"/>
    <n v="3"/>
    <s v="Medical"/>
    <n v="0"/>
    <n v="0"/>
    <n v="1"/>
    <n v="0"/>
    <n v="0"/>
    <n v="1"/>
    <x v="1"/>
    <n v="0"/>
    <n v="45"/>
    <n v="2"/>
    <n v="1"/>
    <s v="Laboratory Technician"/>
    <n v="0"/>
    <n v="0"/>
    <n v="1"/>
    <n v="0"/>
    <n v="0"/>
    <n v="0"/>
    <n v="0"/>
    <n v="0"/>
    <x v="1"/>
    <s v="Divorced"/>
    <n v="0"/>
    <n v="0"/>
    <n v="2596"/>
    <n v="7160"/>
    <n v="1"/>
    <s v="No"/>
    <n v="0"/>
    <n v="15"/>
    <n v="3"/>
    <n v="1"/>
    <n v="2"/>
    <n v="1"/>
    <n v="2"/>
    <n v="3"/>
    <n v="1"/>
    <n v="0"/>
    <n v="0"/>
    <n v="0"/>
  </r>
  <r>
    <n v="50"/>
    <x v="0"/>
    <n v="1"/>
    <s v="Travel_Frequently"/>
    <n v="1"/>
    <n v="0"/>
    <n v="959"/>
    <s v="Sales"/>
    <n v="0"/>
    <n v="1"/>
    <n v="1"/>
    <n v="4"/>
    <s v="Other"/>
    <n v="0"/>
    <n v="1"/>
    <n v="0"/>
    <n v="0"/>
    <n v="0"/>
    <n v="4"/>
    <x v="1"/>
    <n v="0"/>
    <n v="81"/>
    <n v="3"/>
    <n v="2"/>
    <s v="Sales Executive"/>
    <n v="0"/>
    <n v="1"/>
    <n v="0"/>
    <n v="0"/>
    <n v="0"/>
    <n v="0"/>
    <n v="0"/>
    <n v="0"/>
    <x v="2"/>
    <s v="Single"/>
    <n v="1"/>
    <n v="0"/>
    <n v="4728"/>
    <n v="17251"/>
    <n v="3"/>
    <s v="Yes"/>
    <n v="1"/>
    <n v="14"/>
    <n v="3"/>
    <n v="4"/>
    <n v="0"/>
    <n v="5"/>
    <n v="4"/>
    <n v="3"/>
    <n v="0"/>
    <n v="0"/>
    <n v="0"/>
    <n v="0"/>
  </r>
  <r>
    <n v="33"/>
    <x v="1"/>
    <n v="0"/>
    <s v="Travel_Frequently"/>
    <n v="1"/>
    <n v="0"/>
    <n v="970"/>
    <s v="Sales"/>
    <n v="0"/>
    <n v="1"/>
    <n v="7"/>
    <n v="3"/>
    <s v="Life Sciences"/>
    <n v="1"/>
    <n v="0"/>
    <n v="0"/>
    <n v="0"/>
    <n v="0"/>
    <n v="4"/>
    <x v="0"/>
    <n v="1"/>
    <n v="30"/>
    <n v="3"/>
    <n v="2"/>
    <s v="Sales Executive"/>
    <n v="0"/>
    <n v="1"/>
    <n v="0"/>
    <n v="0"/>
    <n v="0"/>
    <n v="0"/>
    <n v="0"/>
    <n v="0"/>
    <x v="1"/>
    <s v="Married"/>
    <n v="0"/>
    <n v="1"/>
    <n v="4302"/>
    <n v="13401"/>
    <n v="0"/>
    <s v="No"/>
    <n v="0"/>
    <n v="17"/>
    <n v="3"/>
    <n v="3"/>
    <n v="1"/>
    <n v="4"/>
    <n v="3"/>
    <n v="3"/>
    <n v="3"/>
    <n v="2"/>
    <n v="0"/>
    <n v="2"/>
  </r>
  <r>
    <n v="34"/>
    <x v="1"/>
    <n v="0"/>
    <s v="Non-Travel"/>
    <n v="0"/>
    <n v="0"/>
    <n v="697"/>
    <s v="Research &amp; Development"/>
    <n v="1"/>
    <n v="0"/>
    <n v="3"/>
    <n v="4"/>
    <s v="Life Sciences"/>
    <n v="1"/>
    <n v="0"/>
    <n v="0"/>
    <n v="0"/>
    <n v="0"/>
    <n v="3"/>
    <x v="1"/>
    <n v="0"/>
    <n v="40"/>
    <n v="2"/>
    <n v="1"/>
    <s v="Research Scientist"/>
    <n v="0"/>
    <n v="0"/>
    <n v="0"/>
    <n v="0"/>
    <n v="0"/>
    <n v="0"/>
    <n v="0"/>
    <n v="1"/>
    <x v="0"/>
    <s v="Married"/>
    <n v="0"/>
    <n v="1"/>
    <n v="2979"/>
    <n v="22478"/>
    <n v="3"/>
    <s v="No"/>
    <n v="0"/>
    <n v="17"/>
    <n v="3"/>
    <n v="4"/>
    <n v="3"/>
    <n v="6"/>
    <n v="2"/>
    <n v="3"/>
    <n v="0"/>
    <n v="0"/>
    <n v="0"/>
    <n v="0"/>
  </r>
  <r>
    <n v="48"/>
    <x v="1"/>
    <n v="0"/>
    <s v="Non-Travel"/>
    <n v="0"/>
    <n v="0"/>
    <n v="1262"/>
    <s v="Research &amp; Development"/>
    <n v="1"/>
    <n v="0"/>
    <n v="1"/>
    <n v="4"/>
    <s v="Medical"/>
    <n v="0"/>
    <n v="0"/>
    <n v="1"/>
    <n v="0"/>
    <n v="0"/>
    <n v="1"/>
    <x v="1"/>
    <n v="0"/>
    <n v="35"/>
    <n v="4"/>
    <n v="4"/>
    <s v="Manager"/>
    <n v="0"/>
    <n v="0"/>
    <n v="0"/>
    <n v="1"/>
    <n v="0"/>
    <n v="0"/>
    <n v="0"/>
    <n v="0"/>
    <x v="0"/>
    <s v="Single"/>
    <n v="1"/>
    <n v="0"/>
    <n v="16885"/>
    <n v="16154"/>
    <n v="2"/>
    <s v="No"/>
    <n v="0"/>
    <n v="22"/>
    <n v="4"/>
    <n v="3"/>
    <n v="0"/>
    <n v="27"/>
    <n v="3"/>
    <n v="2"/>
    <n v="5"/>
    <n v="4"/>
    <n v="2"/>
    <n v="1"/>
  </r>
  <r>
    <n v="45"/>
    <x v="1"/>
    <n v="0"/>
    <s v="Non-Travel"/>
    <n v="0"/>
    <n v="0"/>
    <n v="1050"/>
    <s v="Sales"/>
    <n v="0"/>
    <n v="1"/>
    <n v="9"/>
    <n v="4"/>
    <s v="Life Sciences"/>
    <n v="1"/>
    <n v="0"/>
    <n v="0"/>
    <n v="0"/>
    <n v="0"/>
    <n v="2"/>
    <x v="0"/>
    <n v="1"/>
    <n v="65"/>
    <n v="2"/>
    <n v="2"/>
    <s v="Sales Executive"/>
    <n v="0"/>
    <n v="1"/>
    <n v="0"/>
    <n v="0"/>
    <n v="0"/>
    <n v="0"/>
    <n v="0"/>
    <n v="0"/>
    <x v="2"/>
    <s v="Married"/>
    <n v="0"/>
    <n v="1"/>
    <n v="5593"/>
    <n v="17970"/>
    <n v="1"/>
    <s v="No"/>
    <n v="0"/>
    <n v="13"/>
    <n v="3"/>
    <n v="4"/>
    <n v="1"/>
    <n v="15"/>
    <n v="2"/>
    <n v="3"/>
    <n v="15"/>
    <n v="10"/>
    <n v="4"/>
    <n v="12"/>
  </r>
  <r>
    <n v="52"/>
    <x v="1"/>
    <n v="0"/>
    <s v="Travel_Rarely"/>
    <n v="0"/>
    <n v="1"/>
    <n v="994"/>
    <s v="Research &amp; Development"/>
    <n v="1"/>
    <n v="0"/>
    <n v="7"/>
    <n v="4"/>
    <s v="Life Sciences"/>
    <n v="1"/>
    <n v="0"/>
    <n v="0"/>
    <n v="0"/>
    <n v="0"/>
    <n v="2"/>
    <x v="1"/>
    <n v="0"/>
    <n v="87"/>
    <n v="3"/>
    <n v="3"/>
    <s v="Healthcare Representative"/>
    <n v="1"/>
    <n v="0"/>
    <n v="0"/>
    <n v="0"/>
    <n v="0"/>
    <n v="0"/>
    <n v="0"/>
    <n v="0"/>
    <x v="1"/>
    <s v="Single"/>
    <n v="1"/>
    <n v="0"/>
    <n v="10445"/>
    <n v="15322"/>
    <n v="7"/>
    <s v="No"/>
    <n v="0"/>
    <n v="19"/>
    <n v="3"/>
    <n v="4"/>
    <n v="0"/>
    <n v="18"/>
    <n v="4"/>
    <n v="3"/>
    <n v="8"/>
    <n v="6"/>
    <n v="4"/>
    <n v="0"/>
  </r>
  <r>
    <n v="38"/>
    <x v="1"/>
    <n v="0"/>
    <s v="Travel_Rarely"/>
    <n v="0"/>
    <n v="1"/>
    <n v="770"/>
    <s v="Sales"/>
    <n v="0"/>
    <n v="1"/>
    <n v="10"/>
    <n v="4"/>
    <s v="Marketing"/>
    <n v="0"/>
    <n v="0"/>
    <n v="0"/>
    <n v="1"/>
    <n v="0"/>
    <n v="3"/>
    <x v="1"/>
    <n v="0"/>
    <n v="73"/>
    <n v="2"/>
    <n v="3"/>
    <s v="Sales Executive"/>
    <n v="0"/>
    <n v="1"/>
    <n v="0"/>
    <n v="0"/>
    <n v="0"/>
    <n v="0"/>
    <n v="0"/>
    <n v="0"/>
    <x v="2"/>
    <s v="Divorced"/>
    <n v="0"/>
    <n v="0"/>
    <n v="8740"/>
    <n v="5569"/>
    <n v="0"/>
    <s v="Yes"/>
    <n v="1"/>
    <n v="14"/>
    <n v="3"/>
    <n v="2"/>
    <n v="2"/>
    <n v="9"/>
    <n v="2"/>
    <n v="3"/>
    <n v="8"/>
    <n v="7"/>
    <n v="2"/>
    <n v="7"/>
  </r>
  <r>
    <n v="29"/>
    <x v="1"/>
    <n v="0"/>
    <s v="Travel_Rarely"/>
    <n v="0"/>
    <n v="1"/>
    <n v="1107"/>
    <s v="Research &amp; Development"/>
    <n v="1"/>
    <n v="0"/>
    <n v="28"/>
    <n v="4"/>
    <s v="Life Sciences"/>
    <n v="1"/>
    <n v="0"/>
    <n v="0"/>
    <n v="0"/>
    <n v="0"/>
    <n v="3"/>
    <x v="0"/>
    <n v="1"/>
    <n v="93"/>
    <n v="3"/>
    <n v="1"/>
    <s v="Research Scientist"/>
    <n v="0"/>
    <n v="0"/>
    <n v="0"/>
    <n v="0"/>
    <n v="0"/>
    <n v="0"/>
    <n v="0"/>
    <n v="1"/>
    <x v="0"/>
    <s v="Divorced"/>
    <n v="0"/>
    <n v="0"/>
    <n v="2514"/>
    <n v="26968"/>
    <n v="4"/>
    <s v="No"/>
    <n v="0"/>
    <n v="22"/>
    <n v="4"/>
    <n v="1"/>
    <n v="1"/>
    <n v="11"/>
    <n v="1"/>
    <n v="3"/>
    <n v="7"/>
    <n v="5"/>
    <n v="1"/>
    <n v="7"/>
  </r>
  <r>
    <n v="28"/>
    <x v="1"/>
    <n v="0"/>
    <s v="Travel_Rarely"/>
    <n v="0"/>
    <n v="1"/>
    <n v="950"/>
    <s v="Research &amp; Development"/>
    <n v="1"/>
    <n v="0"/>
    <n v="3"/>
    <n v="3"/>
    <s v="Medical"/>
    <n v="0"/>
    <n v="0"/>
    <n v="1"/>
    <n v="0"/>
    <n v="0"/>
    <n v="4"/>
    <x v="0"/>
    <n v="1"/>
    <n v="93"/>
    <n v="3"/>
    <n v="3"/>
    <s v="Manufacturing Director"/>
    <n v="0"/>
    <n v="0"/>
    <n v="0"/>
    <n v="0"/>
    <n v="1"/>
    <n v="1"/>
    <n v="0"/>
    <n v="0"/>
    <x v="1"/>
    <s v="Divorced"/>
    <n v="0"/>
    <n v="0"/>
    <n v="7655"/>
    <n v="8039"/>
    <n v="0"/>
    <s v="No"/>
    <n v="0"/>
    <n v="17"/>
    <n v="3"/>
    <n v="2"/>
    <n v="3"/>
    <n v="10"/>
    <n v="3"/>
    <n v="2"/>
    <n v="9"/>
    <n v="7"/>
    <n v="1"/>
    <n v="7"/>
  </r>
  <r>
    <n v="46"/>
    <x v="1"/>
    <n v="0"/>
    <s v="Travel_Rarely"/>
    <n v="0"/>
    <n v="1"/>
    <n v="406"/>
    <s v="Sales"/>
    <n v="0"/>
    <n v="1"/>
    <n v="3"/>
    <n v="1"/>
    <s v="Marketing"/>
    <n v="0"/>
    <n v="0"/>
    <n v="0"/>
    <n v="1"/>
    <n v="0"/>
    <n v="1"/>
    <x v="1"/>
    <n v="0"/>
    <n v="52"/>
    <n v="3"/>
    <n v="4"/>
    <s v="Manager"/>
    <n v="0"/>
    <n v="0"/>
    <n v="0"/>
    <n v="1"/>
    <n v="0"/>
    <n v="0"/>
    <n v="0"/>
    <n v="0"/>
    <x v="2"/>
    <s v="Married"/>
    <n v="0"/>
    <n v="1"/>
    <n v="17465"/>
    <n v="15596"/>
    <n v="3"/>
    <s v="No"/>
    <n v="0"/>
    <n v="12"/>
    <n v="3"/>
    <n v="4"/>
    <n v="1"/>
    <n v="23"/>
    <n v="3"/>
    <n v="3"/>
    <n v="12"/>
    <n v="9"/>
    <n v="4"/>
    <n v="9"/>
  </r>
  <r>
    <n v="38"/>
    <x v="1"/>
    <n v="0"/>
    <s v="Travel_Rarely"/>
    <n v="0"/>
    <n v="1"/>
    <n v="130"/>
    <s v="Sales"/>
    <n v="0"/>
    <n v="1"/>
    <n v="2"/>
    <n v="2"/>
    <s v="Marketing"/>
    <n v="0"/>
    <n v="0"/>
    <n v="0"/>
    <n v="1"/>
    <n v="0"/>
    <n v="4"/>
    <x v="1"/>
    <n v="0"/>
    <n v="32"/>
    <n v="3"/>
    <n v="3"/>
    <s v="Sales Executive"/>
    <n v="0"/>
    <n v="1"/>
    <n v="0"/>
    <n v="0"/>
    <n v="0"/>
    <n v="0"/>
    <n v="0"/>
    <n v="0"/>
    <x v="1"/>
    <s v="Single"/>
    <n v="1"/>
    <n v="0"/>
    <n v="7351"/>
    <n v="20619"/>
    <n v="7"/>
    <s v="No"/>
    <n v="0"/>
    <n v="16"/>
    <n v="3"/>
    <n v="3"/>
    <n v="0"/>
    <n v="10"/>
    <n v="2"/>
    <n v="3"/>
    <n v="1"/>
    <n v="0"/>
    <n v="0"/>
    <n v="0"/>
  </r>
  <r>
    <n v="43"/>
    <x v="1"/>
    <n v="0"/>
    <s v="Travel_Frequently"/>
    <n v="1"/>
    <n v="0"/>
    <n v="1082"/>
    <s v="Research &amp; Development"/>
    <n v="1"/>
    <n v="0"/>
    <n v="27"/>
    <n v="3"/>
    <s v="Life Sciences"/>
    <n v="1"/>
    <n v="0"/>
    <n v="0"/>
    <n v="0"/>
    <n v="0"/>
    <n v="3"/>
    <x v="0"/>
    <n v="1"/>
    <n v="83"/>
    <n v="3"/>
    <n v="3"/>
    <s v="Manufacturing Director"/>
    <n v="0"/>
    <n v="0"/>
    <n v="0"/>
    <n v="0"/>
    <n v="1"/>
    <n v="1"/>
    <n v="0"/>
    <n v="0"/>
    <x v="3"/>
    <s v="Married"/>
    <n v="0"/>
    <n v="1"/>
    <n v="10820"/>
    <n v="11535"/>
    <n v="8"/>
    <s v="No"/>
    <n v="0"/>
    <n v="11"/>
    <n v="3"/>
    <n v="3"/>
    <n v="1"/>
    <n v="18"/>
    <n v="1"/>
    <n v="3"/>
    <n v="8"/>
    <n v="7"/>
    <n v="0"/>
    <n v="1"/>
  </r>
  <r>
    <n v="39"/>
    <x v="0"/>
    <n v="1"/>
    <s v="Travel_Frequently"/>
    <n v="1"/>
    <n v="0"/>
    <n v="203"/>
    <s v="Research &amp; Development"/>
    <n v="1"/>
    <n v="0"/>
    <n v="2"/>
    <n v="3"/>
    <s v="Life Sciences"/>
    <n v="1"/>
    <n v="0"/>
    <n v="0"/>
    <n v="0"/>
    <n v="0"/>
    <n v="1"/>
    <x v="1"/>
    <n v="0"/>
    <n v="84"/>
    <n v="3"/>
    <n v="4"/>
    <s v="Healthcare Representative"/>
    <n v="1"/>
    <n v="0"/>
    <n v="0"/>
    <n v="0"/>
    <n v="0"/>
    <n v="0"/>
    <n v="0"/>
    <n v="0"/>
    <x v="0"/>
    <s v="Divorced"/>
    <n v="0"/>
    <n v="0"/>
    <n v="12169"/>
    <n v="13547"/>
    <n v="7"/>
    <s v="No"/>
    <n v="0"/>
    <n v="11"/>
    <n v="3"/>
    <n v="4"/>
    <n v="3"/>
    <n v="21"/>
    <n v="4"/>
    <n v="3"/>
    <n v="18"/>
    <n v="7"/>
    <n v="11"/>
    <n v="5"/>
  </r>
  <r>
    <n v="40"/>
    <x v="1"/>
    <n v="0"/>
    <s v="Travel_Rarely"/>
    <n v="0"/>
    <n v="1"/>
    <n v="1308"/>
    <s v="Research &amp; Development"/>
    <n v="1"/>
    <n v="0"/>
    <n v="14"/>
    <n v="3"/>
    <s v="Medical"/>
    <n v="0"/>
    <n v="0"/>
    <n v="1"/>
    <n v="0"/>
    <n v="0"/>
    <n v="3"/>
    <x v="1"/>
    <n v="0"/>
    <n v="44"/>
    <n v="2"/>
    <n v="5"/>
    <s v="Research Director"/>
    <n v="0"/>
    <n v="0"/>
    <n v="0"/>
    <n v="0"/>
    <n v="0"/>
    <n v="0"/>
    <n v="0"/>
    <n v="0"/>
    <x v="2"/>
    <s v="Single"/>
    <n v="1"/>
    <n v="0"/>
    <n v="19626"/>
    <n v="17544"/>
    <n v="1"/>
    <s v="No"/>
    <n v="0"/>
    <n v="14"/>
    <n v="3"/>
    <n v="1"/>
    <n v="0"/>
    <n v="21"/>
    <n v="2"/>
    <n v="4"/>
    <n v="20"/>
    <n v="7"/>
    <n v="4"/>
    <n v="9"/>
  </r>
  <r>
    <n v="21"/>
    <x v="1"/>
    <n v="0"/>
    <s v="Travel_Rarely"/>
    <n v="0"/>
    <n v="1"/>
    <n v="984"/>
    <s v="Research &amp; Development"/>
    <n v="1"/>
    <n v="0"/>
    <n v="1"/>
    <n v="1"/>
    <s v="Technical Degree"/>
    <n v="0"/>
    <n v="0"/>
    <n v="0"/>
    <n v="0"/>
    <n v="1"/>
    <n v="4"/>
    <x v="0"/>
    <n v="1"/>
    <n v="70"/>
    <n v="2"/>
    <n v="1"/>
    <s v="Research Scientist"/>
    <n v="0"/>
    <n v="0"/>
    <n v="0"/>
    <n v="0"/>
    <n v="0"/>
    <n v="0"/>
    <n v="0"/>
    <n v="1"/>
    <x v="1"/>
    <s v="Single"/>
    <n v="1"/>
    <n v="0"/>
    <n v="2070"/>
    <n v="25326"/>
    <n v="1"/>
    <s v="Yes"/>
    <n v="1"/>
    <n v="11"/>
    <n v="3"/>
    <n v="3"/>
    <n v="0"/>
    <n v="2"/>
    <n v="6"/>
    <n v="4"/>
    <n v="2"/>
    <n v="2"/>
    <n v="2"/>
    <n v="2"/>
  </r>
  <r>
    <n v="39"/>
    <x v="1"/>
    <n v="0"/>
    <s v="Non-Travel"/>
    <n v="0"/>
    <n v="0"/>
    <n v="439"/>
    <s v="Research &amp; Development"/>
    <n v="1"/>
    <n v="0"/>
    <n v="9"/>
    <n v="3"/>
    <s v="Life Sciences"/>
    <n v="1"/>
    <n v="0"/>
    <n v="0"/>
    <n v="0"/>
    <n v="0"/>
    <n v="3"/>
    <x v="1"/>
    <n v="0"/>
    <n v="70"/>
    <n v="3"/>
    <n v="2"/>
    <s v="Laboratory Technician"/>
    <n v="0"/>
    <n v="0"/>
    <n v="1"/>
    <n v="0"/>
    <n v="0"/>
    <n v="0"/>
    <n v="0"/>
    <n v="0"/>
    <x v="1"/>
    <s v="Single"/>
    <n v="1"/>
    <n v="0"/>
    <n v="6782"/>
    <n v="8770"/>
    <n v="9"/>
    <s v="No"/>
    <n v="0"/>
    <n v="15"/>
    <n v="3"/>
    <n v="3"/>
    <n v="0"/>
    <n v="9"/>
    <n v="2"/>
    <n v="2"/>
    <n v="5"/>
    <n v="4"/>
    <n v="0"/>
    <n v="3"/>
  </r>
  <r>
    <n v="36"/>
    <x v="1"/>
    <n v="0"/>
    <s v="Non-Travel"/>
    <n v="0"/>
    <n v="0"/>
    <n v="217"/>
    <s v="Research &amp; Development"/>
    <n v="1"/>
    <n v="0"/>
    <n v="18"/>
    <n v="4"/>
    <s v="Life Sciences"/>
    <n v="1"/>
    <n v="0"/>
    <n v="0"/>
    <n v="0"/>
    <n v="0"/>
    <n v="1"/>
    <x v="1"/>
    <n v="0"/>
    <n v="78"/>
    <n v="3"/>
    <n v="2"/>
    <s v="Manufacturing Director"/>
    <n v="0"/>
    <n v="0"/>
    <n v="0"/>
    <n v="0"/>
    <n v="1"/>
    <n v="1"/>
    <n v="0"/>
    <n v="0"/>
    <x v="0"/>
    <s v="Single"/>
    <n v="1"/>
    <n v="0"/>
    <n v="7779"/>
    <n v="23238"/>
    <n v="2"/>
    <s v="No"/>
    <n v="0"/>
    <n v="20"/>
    <n v="4"/>
    <n v="1"/>
    <n v="0"/>
    <n v="18"/>
    <n v="0"/>
    <n v="3"/>
    <n v="11"/>
    <n v="9"/>
    <n v="0"/>
    <n v="9"/>
  </r>
  <r>
    <n v="31"/>
    <x v="1"/>
    <n v="0"/>
    <s v="Travel_Frequently"/>
    <n v="1"/>
    <n v="0"/>
    <n v="793"/>
    <s v="Sales"/>
    <n v="0"/>
    <n v="1"/>
    <n v="20"/>
    <n v="3"/>
    <s v="Life Sciences"/>
    <n v="1"/>
    <n v="0"/>
    <n v="0"/>
    <n v="0"/>
    <n v="0"/>
    <n v="3"/>
    <x v="1"/>
    <n v="0"/>
    <n v="67"/>
    <n v="4"/>
    <n v="1"/>
    <s v="Sales Representative"/>
    <n v="0"/>
    <n v="0"/>
    <n v="0"/>
    <n v="0"/>
    <n v="0"/>
    <n v="0"/>
    <n v="1"/>
    <n v="0"/>
    <x v="0"/>
    <s v="Married"/>
    <n v="0"/>
    <n v="1"/>
    <n v="2791"/>
    <n v="21981"/>
    <n v="0"/>
    <s v="No"/>
    <n v="0"/>
    <n v="12"/>
    <n v="3"/>
    <n v="1"/>
    <n v="1"/>
    <n v="3"/>
    <n v="4"/>
    <n v="3"/>
    <n v="2"/>
    <n v="2"/>
    <n v="2"/>
    <n v="2"/>
  </r>
  <r>
    <n v="28"/>
    <x v="1"/>
    <n v="0"/>
    <s v="Travel_Rarely"/>
    <n v="0"/>
    <n v="1"/>
    <n v="1451"/>
    <s v="Research &amp; Development"/>
    <n v="1"/>
    <n v="0"/>
    <n v="2"/>
    <n v="1"/>
    <s v="Life Sciences"/>
    <n v="1"/>
    <n v="0"/>
    <n v="0"/>
    <n v="0"/>
    <n v="0"/>
    <n v="1"/>
    <x v="1"/>
    <n v="0"/>
    <n v="67"/>
    <n v="2"/>
    <n v="1"/>
    <s v="Research Scientist"/>
    <n v="0"/>
    <n v="0"/>
    <n v="0"/>
    <n v="0"/>
    <n v="0"/>
    <n v="0"/>
    <n v="0"/>
    <n v="1"/>
    <x v="1"/>
    <s v="Married"/>
    <n v="0"/>
    <n v="1"/>
    <n v="3201"/>
    <n v="19911"/>
    <n v="0"/>
    <s v="No"/>
    <n v="0"/>
    <n v="17"/>
    <n v="3"/>
    <n v="1"/>
    <n v="0"/>
    <n v="6"/>
    <n v="2"/>
    <n v="1"/>
    <n v="5"/>
    <n v="3"/>
    <n v="0"/>
    <n v="4"/>
  </r>
  <r>
    <n v="35"/>
    <x v="1"/>
    <n v="0"/>
    <s v="Travel_Frequently"/>
    <n v="1"/>
    <n v="0"/>
    <n v="1182"/>
    <s v="Sales"/>
    <n v="0"/>
    <n v="1"/>
    <n v="11"/>
    <n v="2"/>
    <s v="Marketing"/>
    <n v="0"/>
    <n v="0"/>
    <n v="0"/>
    <n v="1"/>
    <n v="0"/>
    <n v="4"/>
    <x v="1"/>
    <n v="0"/>
    <n v="54"/>
    <n v="3"/>
    <n v="2"/>
    <s v="Sales Executive"/>
    <n v="0"/>
    <n v="1"/>
    <n v="0"/>
    <n v="0"/>
    <n v="0"/>
    <n v="0"/>
    <n v="0"/>
    <n v="0"/>
    <x v="0"/>
    <s v="Divorced"/>
    <n v="0"/>
    <n v="0"/>
    <n v="4968"/>
    <n v="18500"/>
    <n v="1"/>
    <s v="No"/>
    <n v="0"/>
    <n v="11"/>
    <n v="3"/>
    <n v="4"/>
    <n v="1"/>
    <n v="5"/>
    <n v="3"/>
    <n v="3"/>
    <n v="5"/>
    <n v="2"/>
    <n v="0"/>
    <n v="2"/>
  </r>
  <r>
    <n v="49"/>
    <x v="1"/>
    <n v="0"/>
    <s v="Travel_Rarely"/>
    <n v="0"/>
    <n v="1"/>
    <n v="174"/>
    <s v="Sales"/>
    <n v="0"/>
    <n v="1"/>
    <n v="8"/>
    <n v="4"/>
    <s v="Technical Degree"/>
    <n v="0"/>
    <n v="0"/>
    <n v="0"/>
    <n v="0"/>
    <n v="1"/>
    <n v="4"/>
    <x v="1"/>
    <n v="0"/>
    <n v="56"/>
    <n v="2"/>
    <n v="4"/>
    <s v="Sales Executive"/>
    <n v="0"/>
    <n v="1"/>
    <n v="0"/>
    <n v="0"/>
    <n v="0"/>
    <n v="0"/>
    <n v="0"/>
    <n v="0"/>
    <x v="1"/>
    <s v="Married"/>
    <n v="0"/>
    <n v="1"/>
    <n v="13120"/>
    <n v="11879"/>
    <n v="6"/>
    <s v="No"/>
    <n v="0"/>
    <n v="17"/>
    <n v="3"/>
    <n v="2"/>
    <n v="1"/>
    <n v="22"/>
    <n v="3"/>
    <n v="3"/>
    <n v="9"/>
    <n v="8"/>
    <n v="2"/>
    <n v="3"/>
  </r>
  <r>
    <n v="34"/>
    <x v="1"/>
    <n v="0"/>
    <s v="Travel_Frequently"/>
    <n v="1"/>
    <n v="0"/>
    <n v="1003"/>
    <s v="Research &amp; Development"/>
    <n v="1"/>
    <n v="0"/>
    <n v="2"/>
    <n v="2"/>
    <s v="Life Sciences"/>
    <n v="1"/>
    <n v="0"/>
    <n v="0"/>
    <n v="0"/>
    <n v="0"/>
    <n v="4"/>
    <x v="1"/>
    <n v="0"/>
    <n v="95"/>
    <n v="3"/>
    <n v="2"/>
    <s v="Manufacturing Director"/>
    <n v="0"/>
    <n v="0"/>
    <n v="0"/>
    <n v="0"/>
    <n v="1"/>
    <n v="1"/>
    <n v="0"/>
    <n v="0"/>
    <x v="2"/>
    <s v="Single"/>
    <n v="1"/>
    <n v="0"/>
    <n v="4033"/>
    <n v="15834"/>
    <n v="2"/>
    <s v="No"/>
    <n v="0"/>
    <n v="11"/>
    <n v="3"/>
    <n v="4"/>
    <n v="0"/>
    <n v="5"/>
    <n v="3"/>
    <n v="2"/>
    <n v="3"/>
    <n v="2"/>
    <n v="0"/>
    <n v="2"/>
  </r>
  <r>
    <n v="29"/>
    <x v="1"/>
    <n v="0"/>
    <s v="Travel_Frequently"/>
    <n v="1"/>
    <n v="0"/>
    <n v="490"/>
    <s v="Research &amp; Development"/>
    <n v="1"/>
    <n v="0"/>
    <n v="10"/>
    <n v="3"/>
    <s v="Life Sciences"/>
    <n v="1"/>
    <n v="0"/>
    <n v="0"/>
    <n v="0"/>
    <n v="0"/>
    <n v="4"/>
    <x v="0"/>
    <n v="1"/>
    <n v="61"/>
    <n v="3"/>
    <n v="1"/>
    <s v="Research Scientist"/>
    <n v="0"/>
    <n v="0"/>
    <n v="0"/>
    <n v="0"/>
    <n v="0"/>
    <n v="0"/>
    <n v="0"/>
    <n v="1"/>
    <x v="1"/>
    <s v="Divorced"/>
    <n v="0"/>
    <n v="0"/>
    <n v="3291"/>
    <n v="17940"/>
    <n v="0"/>
    <s v="No"/>
    <n v="0"/>
    <n v="14"/>
    <n v="3"/>
    <n v="4"/>
    <n v="2"/>
    <n v="8"/>
    <n v="2"/>
    <n v="2"/>
    <n v="7"/>
    <n v="5"/>
    <n v="1"/>
    <n v="1"/>
  </r>
  <r>
    <n v="42"/>
    <x v="1"/>
    <n v="0"/>
    <s v="Travel_Rarely"/>
    <n v="0"/>
    <n v="1"/>
    <n v="188"/>
    <s v="Research &amp; Development"/>
    <n v="1"/>
    <n v="0"/>
    <n v="29"/>
    <n v="3"/>
    <s v="Medical"/>
    <n v="0"/>
    <n v="0"/>
    <n v="1"/>
    <n v="0"/>
    <n v="0"/>
    <n v="2"/>
    <x v="1"/>
    <n v="0"/>
    <n v="56"/>
    <n v="1"/>
    <n v="2"/>
    <s v="Laboratory Technician"/>
    <n v="0"/>
    <n v="0"/>
    <n v="1"/>
    <n v="0"/>
    <n v="0"/>
    <n v="0"/>
    <n v="0"/>
    <n v="0"/>
    <x v="0"/>
    <s v="Single"/>
    <n v="1"/>
    <n v="0"/>
    <n v="4272"/>
    <n v="9558"/>
    <n v="4"/>
    <s v="No"/>
    <n v="0"/>
    <n v="19"/>
    <n v="3"/>
    <n v="1"/>
    <n v="0"/>
    <n v="16"/>
    <n v="3"/>
    <n v="3"/>
    <n v="1"/>
    <n v="0"/>
    <n v="0"/>
    <n v="0"/>
  </r>
  <r>
    <n v="29"/>
    <x v="1"/>
    <n v="0"/>
    <s v="Travel_Rarely"/>
    <n v="0"/>
    <n v="1"/>
    <n v="718"/>
    <s v="Research &amp; Development"/>
    <n v="1"/>
    <n v="0"/>
    <n v="8"/>
    <n v="1"/>
    <s v="Medical"/>
    <n v="0"/>
    <n v="0"/>
    <n v="1"/>
    <n v="0"/>
    <n v="0"/>
    <n v="2"/>
    <x v="1"/>
    <n v="0"/>
    <n v="79"/>
    <n v="2"/>
    <n v="2"/>
    <s v="Manufacturing Director"/>
    <n v="0"/>
    <n v="0"/>
    <n v="0"/>
    <n v="0"/>
    <n v="1"/>
    <n v="1"/>
    <n v="0"/>
    <n v="0"/>
    <x v="0"/>
    <s v="Married"/>
    <n v="0"/>
    <n v="1"/>
    <n v="5056"/>
    <n v="17689"/>
    <n v="1"/>
    <s v="Yes"/>
    <n v="1"/>
    <n v="15"/>
    <n v="3"/>
    <n v="3"/>
    <n v="1"/>
    <n v="10"/>
    <n v="2"/>
    <n v="2"/>
    <n v="10"/>
    <n v="7"/>
    <n v="1"/>
    <n v="2"/>
  </r>
  <r>
    <n v="38"/>
    <x v="1"/>
    <n v="0"/>
    <s v="Travel_Rarely"/>
    <n v="0"/>
    <n v="1"/>
    <n v="433"/>
    <s v="Human Resources"/>
    <n v="0"/>
    <n v="0"/>
    <n v="1"/>
    <n v="3"/>
    <s v="Human Resources"/>
    <n v="0"/>
    <n v="0"/>
    <n v="0"/>
    <n v="0"/>
    <n v="0"/>
    <n v="3"/>
    <x v="1"/>
    <n v="0"/>
    <n v="37"/>
    <n v="4"/>
    <n v="1"/>
    <s v="Human Resources"/>
    <n v="0"/>
    <n v="0"/>
    <n v="0"/>
    <n v="0"/>
    <n v="0"/>
    <n v="0"/>
    <n v="0"/>
    <n v="0"/>
    <x v="2"/>
    <s v="Married"/>
    <n v="0"/>
    <n v="1"/>
    <n v="2844"/>
    <n v="6004"/>
    <n v="1"/>
    <s v="No"/>
    <n v="0"/>
    <n v="13"/>
    <n v="3"/>
    <n v="4"/>
    <n v="1"/>
    <n v="7"/>
    <n v="2"/>
    <n v="4"/>
    <n v="7"/>
    <n v="6"/>
    <n v="5"/>
    <n v="0"/>
  </r>
  <r>
    <n v="28"/>
    <x v="1"/>
    <n v="0"/>
    <s v="Travel_Frequently"/>
    <n v="1"/>
    <n v="0"/>
    <n v="773"/>
    <s v="Research &amp; Development"/>
    <n v="1"/>
    <n v="0"/>
    <n v="6"/>
    <n v="3"/>
    <s v="Life Sciences"/>
    <n v="1"/>
    <n v="0"/>
    <n v="0"/>
    <n v="0"/>
    <n v="0"/>
    <n v="3"/>
    <x v="1"/>
    <n v="0"/>
    <n v="39"/>
    <n v="2"/>
    <n v="1"/>
    <s v="Research Scientist"/>
    <n v="0"/>
    <n v="0"/>
    <n v="0"/>
    <n v="0"/>
    <n v="0"/>
    <n v="0"/>
    <n v="0"/>
    <n v="1"/>
    <x v="2"/>
    <s v="Divorced"/>
    <n v="0"/>
    <n v="0"/>
    <n v="2703"/>
    <n v="22088"/>
    <n v="1"/>
    <s v="Yes"/>
    <n v="1"/>
    <n v="14"/>
    <n v="3"/>
    <n v="4"/>
    <n v="1"/>
    <n v="3"/>
    <n v="2"/>
    <n v="3"/>
    <n v="3"/>
    <n v="1"/>
    <n v="0"/>
    <n v="2"/>
  </r>
  <r>
    <n v="18"/>
    <x v="0"/>
    <n v="1"/>
    <s v="Non-Travel"/>
    <n v="0"/>
    <n v="0"/>
    <n v="247"/>
    <s v="Research &amp; Development"/>
    <n v="1"/>
    <n v="0"/>
    <n v="8"/>
    <n v="1"/>
    <s v="Medical"/>
    <n v="0"/>
    <n v="0"/>
    <n v="1"/>
    <n v="0"/>
    <n v="0"/>
    <n v="3"/>
    <x v="1"/>
    <n v="0"/>
    <n v="80"/>
    <n v="3"/>
    <n v="1"/>
    <s v="Laboratory Technician"/>
    <n v="0"/>
    <n v="0"/>
    <n v="1"/>
    <n v="0"/>
    <n v="0"/>
    <n v="0"/>
    <n v="0"/>
    <n v="0"/>
    <x v="2"/>
    <s v="Single"/>
    <n v="1"/>
    <n v="0"/>
    <n v="1904"/>
    <n v="13556"/>
    <n v="1"/>
    <s v="No"/>
    <n v="0"/>
    <n v="12"/>
    <n v="3"/>
    <n v="4"/>
    <n v="0"/>
    <n v="0"/>
    <n v="0"/>
    <n v="3"/>
    <n v="0"/>
    <n v="0"/>
    <n v="0"/>
    <n v="0"/>
  </r>
  <r>
    <n v="33"/>
    <x v="0"/>
    <n v="1"/>
    <s v="Travel_Rarely"/>
    <n v="0"/>
    <n v="1"/>
    <n v="603"/>
    <s v="Sales"/>
    <n v="0"/>
    <n v="1"/>
    <n v="9"/>
    <n v="4"/>
    <s v="Marketing"/>
    <n v="0"/>
    <n v="0"/>
    <n v="0"/>
    <n v="1"/>
    <n v="0"/>
    <n v="1"/>
    <x v="0"/>
    <n v="1"/>
    <n v="77"/>
    <n v="3"/>
    <n v="2"/>
    <s v="Sales Executive"/>
    <n v="0"/>
    <n v="1"/>
    <n v="0"/>
    <n v="0"/>
    <n v="0"/>
    <n v="0"/>
    <n v="0"/>
    <n v="0"/>
    <x v="3"/>
    <s v="Single"/>
    <n v="1"/>
    <n v="0"/>
    <n v="8224"/>
    <n v="18385"/>
    <n v="0"/>
    <s v="Yes"/>
    <n v="1"/>
    <n v="17"/>
    <n v="3"/>
    <n v="1"/>
    <n v="0"/>
    <n v="6"/>
    <n v="3"/>
    <n v="3"/>
    <n v="5"/>
    <n v="2"/>
    <n v="0"/>
    <n v="3"/>
  </r>
  <r>
    <n v="41"/>
    <x v="1"/>
    <n v="0"/>
    <s v="Travel_Rarely"/>
    <n v="0"/>
    <n v="1"/>
    <n v="167"/>
    <s v="Research &amp; Development"/>
    <n v="1"/>
    <n v="0"/>
    <n v="12"/>
    <n v="4"/>
    <s v="Life Sciences"/>
    <n v="1"/>
    <n v="0"/>
    <n v="0"/>
    <n v="0"/>
    <n v="0"/>
    <n v="2"/>
    <x v="1"/>
    <n v="0"/>
    <n v="46"/>
    <n v="3"/>
    <n v="1"/>
    <s v="Laboratory Technician"/>
    <n v="0"/>
    <n v="0"/>
    <n v="1"/>
    <n v="0"/>
    <n v="0"/>
    <n v="0"/>
    <n v="0"/>
    <n v="0"/>
    <x v="0"/>
    <s v="Married"/>
    <n v="0"/>
    <n v="1"/>
    <n v="4766"/>
    <n v="9051"/>
    <n v="3"/>
    <s v="Yes"/>
    <n v="1"/>
    <n v="11"/>
    <n v="3"/>
    <n v="1"/>
    <n v="1"/>
    <n v="6"/>
    <n v="4"/>
    <n v="3"/>
    <n v="1"/>
    <n v="0"/>
    <n v="0"/>
    <n v="0"/>
  </r>
  <r>
    <n v="31"/>
    <x v="0"/>
    <n v="1"/>
    <s v="Travel_Frequently"/>
    <n v="1"/>
    <n v="0"/>
    <n v="874"/>
    <s v="Research &amp; Development"/>
    <n v="1"/>
    <n v="0"/>
    <n v="15"/>
    <n v="3"/>
    <s v="Medical"/>
    <n v="0"/>
    <n v="0"/>
    <n v="1"/>
    <n v="0"/>
    <n v="0"/>
    <n v="3"/>
    <x v="1"/>
    <n v="0"/>
    <n v="72"/>
    <n v="3"/>
    <n v="1"/>
    <s v="Laboratory Technician"/>
    <n v="0"/>
    <n v="0"/>
    <n v="1"/>
    <n v="0"/>
    <n v="0"/>
    <n v="0"/>
    <n v="0"/>
    <n v="0"/>
    <x v="2"/>
    <s v="Married"/>
    <n v="0"/>
    <n v="1"/>
    <n v="2610"/>
    <n v="6233"/>
    <n v="1"/>
    <s v="No"/>
    <n v="0"/>
    <n v="12"/>
    <n v="3"/>
    <n v="3"/>
    <n v="1"/>
    <n v="2"/>
    <n v="5"/>
    <n v="2"/>
    <n v="2"/>
    <n v="2"/>
    <n v="2"/>
    <n v="2"/>
  </r>
  <r>
    <n v="37"/>
    <x v="1"/>
    <n v="0"/>
    <s v="Travel_Rarely"/>
    <n v="0"/>
    <n v="1"/>
    <n v="367"/>
    <s v="Research &amp; Development"/>
    <n v="1"/>
    <n v="0"/>
    <n v="25"/>
    <n v="2"/>
    <s v="Medical"/>
    <n v="0"/>
    <n v="0"/>
    <n v="1"/>
    <n v="0"/>
    <n v="0"/>
    <n v="3"/>
    <x v="0"/>
    <n v="1"/>
    <n v="52"/>
    <n v="2"/>
    <n v="2"/>
    <s v="Healthcare Representative"/>
    <n v="1"/>
    <n v="0"/>
    <n v="0"/>
    <n v="0"/>
    <n v="0"/>
    <n v="0"/>
    <n v="0"/>
    <n v="0"/>
    <x v="0"/>
    <s v="Divorced"/>
    <n v="0"/>
    <n v="0"/>
    <n v="5731"/>
    <n v="17171"/>
    <n v="7"/>
    <s v="No"/>
    <n v="0"/>
    <n v="13"/>
    <n v="3"/>
    <n v="3"/>
    <n v="2"/>
    <n v="9"/>
    <n v="2"/>
    <n v="3"/>
    <n v="6"/>
    <n v="2"/>
    <n v="1"/>
    <n v="3"/>
  </r>
  <r>
    <n v="27"/>
    <x v="1"/>
    <n v="0"/>
    <s v="Travel_Rarely"/>
    <n v="0"/>
    <n v="1"/>
    <n v="199"/>
    <s v="Research &amp; Development"/>
    <n v="1"/>
    <n v="0"/>
    <n v="6"/>
    <n v="3"/>
    <s v="Life Sciences"/>
    <n v="1"/>
    <n v="0"/>
    <n v="0"/>
    <n v="0"/>
    <n v="0"/>
    <n v="4"/>
    <x v="1"/>
    <n v="0"/>
    <n v="55"/>
    <n v="2"/>
    <n v="1"/>
    <s v="Research Scientist"/>
    <n v="0"/>
    <n v="0"/>
    <n v="0"/>
    <n v="0"/>
    <n v="0"/>
    <n v="0"/>
    <n v="0"/>
    <n v="1"/>
    <x v="2"/>
    <s v="Married"/>
    <n v="0"/>
    <n v="1"/>
    <n v="2539"/>
    <n v="7950"/>
    <n v="1"/>
    <s v="No"/>
    <n v="0"/>
    <n v="13"/>
    <n v="3"/>
    <n v="3"/>
    <n v="1"/>
    <n v="4"/>
    <n v="0"/>
    <n v="3"/>
    <n v="4"/>
    <n v="2"/>
    <n v="2"/>
    <n v="2"/>
  </r>
  <r>
    <n v="34"/>
    <x v="1"/>
    <n v="0"/>
    <s v="Travel_Rarely"/>
    <n v="0"/>
    <n v="1"/>
    <n v="1400"/>
    <s v="Sales"/>
    <n v="0"/>
    <n v="1"/>
    <n v="9"/>
    <n v="1"/>
    <s v="Life Sciences"/>
    <n v="1"/>
    <n v="0"/>
    <n v="0"/>
    <n v="0"/>
    <n v="0"/>
    <n v="2"/>
    <x v="0"/>
    <n v="1"/>
    <n v="70"/>
    <n v="3"/>
    <n v="2"/>
    <s v="Sales Executive"/>
    <n v="0"/>
    <n v="1"/>
    <n v="0"/>
    <n v="0"/>
    <n v="0"/>
    <n v="0"/>
    <n v="0"/>
    <n v="0"/>
    <x v="2"/>
    <s v="Married"/>
    <n v="0"/>
    <n v="1"/>
    <n v="5714"/>
    <n v="5829"/>
    <n v="1"/>
    <s v="No"/>
    <n v="0"/>
    <n v="20"/>
    <n v="4"/>
    <n v="1"/>
    <n v="0"/>
    <n v="6"/>
    <n v="3"/>
    <n v="2"/>
    <n v="6"/>
    <n v="5"/>
    <n v="1"/>
    <n v="3"/>
  </r>
  <r>
    <n v="35"/>
    <x v="1"/>
    <n v="0"/>
    <s v="Travel_Rarely"/>
    <n v="0"/>
    <n v="1"/>
    <n v="528"/>
    <s v="Human Resources"/>
    <n v="0"/>
    <n v="0"/>
    <n v="8"/>
    <n v="4"/>
    <s v="Technical Degree"/>
    <n v="0"/>
    <n v="0"/>
    <n v="0"/>
    <n v="0"/>
    <n v="1"/>
    <n v="3"/>
    <x v="1"/>
    <n v="0"/>
    <n v="100"/>
    <n v="3"/>
    <n v="1"/>
    <s v="Human Resources"/>
    <n v="0"/>
    <n v="0"/>
    <n v="0"/>
    <n v="0"/>
    <n v="0"/>
    <n v="0"/>
    <n v="0"/>
    <n v="0"/>
    <x v="2"/>
    <s v="Single"/>
    <n v="1"/>
    <n v="0"/>
    <n v="4323"/>
    <n v="7108"/>
    <n v="1"/>
    <s v="No"/>
    <n v="0"/>
    <n v="17"/>
    <n v="3"/>
    <n v="2"/>
    <n v="0"/>
    <n v="6"/>
    <n v="2"/>
    <n v="1"/>
    <n v="5"/>
    <n v="4"/>
    <n v="1"/>
    <n v="4"/>
  </r>
  <r>
    <n v="29"/>
    <x v="0"/>
    <n v="1"/>
    <s v="Travel_Rarely"/>
    <n v="0"/>
    <n v="1"/>
    <n v="408"/>
    <s v="Sales"/>
    <n v="0"/>
    <n v="1"/>
    <n v="23"/>
    <n v="1"/>
    <s v="Life Sciences"/>
    <n v="1"/>
    <n v="0"/>
    <n v="0"/>
    <n v="0"/>
    <n v="0"/>
    <n v="4"/>
    <x v="0"/>
    <n v="1"/>
    <n v="45"/>
    <n v="2"/>
    <n v="3"/>
    <s v="Sales Executive"/>
    <n v="0"/>
    <n v="1"/>
    <n v="0"/>
    <n v="0"/>
    <n v="0"/>
    <n v="0"/>
    <n v="0"/>
    <n v="0"/>
    <x v="3"/>
    <s v="Married"/>
    <n v="0"/>
    <n v="1"/>
    <n v="7336"/>
    <n v="11162"/>
    <n v="1"/>
    <s v="No"/>
    <n v="0"/>
    <n v="13"/>
    <n v="3"/>
    <n v="1"/>
    <n v="1"/>
    <n v="11"/>
    <n v="3"/>
    <n v="1"/>
    <n v="11"/>
    <n v="8"/>
    <n v="3"/>
    <n v="10"/>
  </r>
  <r>
    <n v="40"/>
    <x v="1"/>
    <n v="0"/>
    <s v="Travel_Frequently"/>
    <n v="1"/>
    <n v="0"/>
    <n v="593"/>
    <s v="Research &amp; Development"/>
    <n v="1"/>
    <n v="0"/>
    <n v="9"/>
    <n v="4"/>
    <s v="Medical"/>
    <n v="0"/>
    <n v="0"/>
    <n v="1"/>
    <n v="0"/>
    <n v="0"/>
    <n v="2"/>
    <x v="0"/>
    <n v="1"/>
    <n v="88"/>
    <n v="3"/>
    <n v="3"/>
    <s v="Research Director"/>
    <n v="0"/>
    <n v="0"/>
    <n v="0"/>
    <n v="0"/>
    <n v="0"/>
    <n v="0"/>
    <n v="0"/>
    <n v="0"/>
    <x v="2"/>
    <s v="Single"/>
    <n v="1"/>
    <n v="0"/>
    <n v="13499"/>
    <n v="13782"/>
    <n v="9"/>
    <s v="No"/>
    <n v="0"/>
    <n v="17"/>
    <n v="3"/>
    <n v="3"/>
    <n v="0"/>
    <n v="20"/>
    <n v="3"/>
    <n v="2"/>
    <n v="18"/>
    <n v="7"/>
    <n v="2"/>
    <n v="13"/>
  </r>
  <r>
    <n v="42"/>
    <x v="0"/>
    <n v="1"/>
    <s v="Travel_Frequently"/>
    <n v="1"/>
    <n v="0"/>
    <n v="481"/>
    <s v="Sales"/>
    <n v="0"/>
    <n v="1"/>
    <n v="12"/>
    <n v="3"/>
    <s v="Life Sciences"/>
    <n v="1"/>
    <n v="0"/>
    <n v="0"/>
    <n v="0"/>
    <n v="0"/>
    <n v="3"/>
    <x v="1"/>
    <n v="0"/>
    <n v="44"/>
    <n v="3"/>
    <n v="4"/>
    <s v="Sales Executive"/>
    <n v="0"/>
    <n v="1"/>
    <n v="0"/>
    <n v="0"/>
    <n v="0"/>
    <n v="0"/>
    <n v="0"/>
    <n v="0"/>
    <x v="3"/>
    <s v="Single"/>
    <n v="1"/>
    <n v="0"/>
    <n v="13758"/>
    <n v="2447"/>
    <n v="0"/>
    <s v="Yes"/>
    <n v="1"/>
    <n v="12"/>
    <n v="3"/>
    <n v="2"/>
    <n v="0"/>
    <n v="22"/>
    <n v="2"/>
    <n v="2"/>
    <n v="21"/>
    <n v="9"/>
    <n v="13"/>
    <n v="14"/>
  </r>
  <r>
    <n v="42"/>
    <x v="1"/>
    <n v="0"/>
    <s v="Travel_Rarely"/>
    <n v="0"/>
    <n v="1"/>
    <n v="647"/>
    <s v="Sales"/>
    <n v="0"/>
    <n v="1"/>
    <n v="4"/>
    <n v="4"/>
    <s v="Marketing"/>
    <n v="0"/>
    <n v="0"/>
    <n v="0"/>
    <n v="1"/>
    <n v="0"/>
    <n v="2"/>
    <x v="1"/>
    <n v="0"/>
    <n v="45"/>
    <n v="3"/>
    <n v="2"/>
    <s v="Sales Executive"/>
    <n v="0"/>
    <n v="1"/>
    <n v="0"/>
    <n v="0"/>
    <n v="0"/>
    <n v="0"/>
    <n v="0"/>
    <n v="0"/>
    <x v="3"/>
    <s v="Single"/>
    <n v="1"/>
    <n v="0"/>
    <n v="5155"/>
    <n v="2253"/>
    <n v="7"/>
    <s v="No"/>
    <n v="0"/>
    <n v="13"/>
    <n v="3"/>
    <n v="4"/>
    <n v="0"/>
    <n v="9"/>
    <n v="3"/>
    <n v="4"/>
    <n v="6"/>
    <n v="4"/>
    <n v="1"/>
    <n v="5"/>
  </r>
  <r>
    <n v="35"/>
    <x v="1"/>
    <n v="0"/>
    <s v="Travel_Rarely"/>
    <n v="0"/>
    <n v="1"/>
    <n v="982"/>
    <s v="Research &amp; Development"/>
    <n v="1"/>
    <n v="0"/>
    <n v="1"/>
    <n v="4"/>
    <s v="Medical"/>
    <n v="0"/>
    <n v="0"/>
    <n v="1"/>
    <n v="0"/>
    <n v="0"/>
    <n v="4"/>
    <x v="1"/>
    <n v="0"/>
    <n v="58"/>
    <n v="2"/>
    <n v="1"/>
    <s v="Laboratory Technician"/>
    <n v="0"/>
    <n v="0"/>
    <n v="1"/>
    <n v="0"/>
    <n v="0"/>
    <n v="0"/>
    <n v="0"/>
    <n v="0"/>
    <x v="2"/>
    <s v="Married"/>
    <n v="0"/>
    <n v="1"/>
    <n v="2258"/>
    <n v="16340"/>
    <n v="6"/>
    <s v="No"/>
    <n v="0"/>
    <n v="12"/>
    <n v="3"/>
    <n v="2"/>
    <n v="1"/>
    <n v="10"/>
    <n v="2"/>
    <n v="3"/>
    <n v="8"/>
    <n v="0"/>
    <n v="1"/>
    <n v="7"/>
  </r>
  <r>
    <n v="24"/>
    <x v="1"/>
    <n v="0"/>
    <s v="Travel_Rarely"/>
    <n v="0"/>
    <n v="1"/>
    <n v="477"/>
    <s v="Research &amp; Development"/>
    <n v="1"/>
    <n v="0"/>
    <n v="24"/>
    <n v="3"/>
    <s v="Medical"/>
    <n v="0"/>
    <n v="0"/>
    <n v="1"/>
    <n v="0"/>
    <n v="0"/>
    <n v="4"/>
    <x v="1"/>
    <n v="0"/>
    <n v="49"/>
    <n v="3"/>
    <n v="1"/>
    <s v="Laboratory Technician"/>
    <n v="0"/>
    <n v="0"/>
    <n v="1"/>
    <n v="0"/>
    <n v="0"/>
    <n v="0"/>
    <n v="0"/>
    <n v="0"/>
    <x v="1"/>
    <s v="Single"/>
    <n v="1"/>
    <n v="0"/>
    <n v="3597"/>
    <n v="6409"/>
    <n v="8"/>
    <s v="No"/>
    <n v="0"/>
    <n v="22"/>
    <n v="4"/>
    <n v="4"/>
    <n v="0"/>
    <n v="6"/>
    <n v="2"/>
    <n v="3"/>
    <n v="4"/>
    <n v="3"/>
    <n v="1"/>
    <n v="2"/>
  </r>
  <r>
    <n v="28"/>
    <x v="0"/>
    <n v="1"/>
    <s v="Travel_Rarely"/>
    <n v="0"/>
    <n v="1"/>
    <n v="1485"/>
    <s v="Research &amp; Development"/>
    <n v="1"/>
    <n v="0"/>
    <n v="12"/>
    <n v="1"/>
    <s v="Life Sciences"/>
    <n v="1"/>
    <n v="0"/>
    <n v="0"/>
    <n v="0"/>
    <n v="0"/>
    <n v="3"/>
    <x v="0"/>
    <n v="1"/>
    <n v="79"/>
    <n v="3"/>
    <n v="1"/>
    <s v="Laboratory Technician"/>
    <n v="0"/>
    <n v="0"/>
    <n v="1"/>
    <n v="0"/>
    <n v="0"/>
    <n v="0"/>
    <n v="0"/>
    <n v="0"/>
    <x v="0"/>
    <s v="Married"/>
    <n v="0"/>
    <n v="1"/>
    <n v="2515"/>
    <n v="22955"/>
    <n v="1"/>
    <s v="Yes"/>
    <n v="1"/>
    <n v="11"/>
    <n v="3"/>
    <n v="4"/>
    <n v="0"/>
    <n v="1"/>
    <n v="4"/>
    <n v="2"/>
    <n v="1"/>
    <n v="1"/>
    <n v="0"/>
    <n v="0"/>
  </r>
  <r>
    <n v="26"/>
    <x v="1"/>
    <n v="0"/>
    <s v="Travel_Rarely"/>
    <n v="0"/>
    <n v="1"/>
    <n v="1384"/>
    <s v="Research &amp; Development"/>
    <n v="1"/>
    <n v="0"/>
    <n v="3"/>
    <n v="4"/>
    <s v="Medical"/>
    <n v="0"/>
    <n v="0"/>
    <n v="1"/>
    <n v="0"/>
    <n v="0"/>
    <n v="1"/>
    <x v="1"/>
    <n v="0"/>
    <n v="82"/>
    <n v="4"/>
    <n v="1"/>
    <s v="Laboratory Technician"/>
    <n v="0"/>
    <n v="0"/>
    <n v="1"/>
    <n v="0"/>
    <n v="0"/>
    <n v="0"/>
    <n v="0"/>
    <n v="0"/>
    <x v="0"/>
    <s v="Married"/>
    <n v="0"/>
    <n v="1"/>
    <n v="4420"/>
    <n v="13421"/>
    <n v="1"/>
    <s v="No"/>
    <n v="0"/>
    <n v="22"/>
    <n v="4"/>
    <n v="2"/>
    <n v="1"/>
    <n v="8"/>
    <n v="2"/>
    <n v="3"/>
    <n v="8"/>
    <n v="7"/>
    <n v="0"/>
    <n v="7"/>
  </r>
  <r>
    <n v="30"/>
    <x v="1"/>
    <n v="0"/>
    <s v="Travel_Rarely"/>
    <n v="0"/>
    <n v="1"/>
    <n v="852"/>
    <s v="Sales"/>
    <n v="0"/>
    <n v="1"/>
    <n v="10"/>
    <n v="3"/>
    <s v="Marketing"/>
    <n v="0"/>
    <n v="0"/>
    <n v="0"/>
    <n v="1"/>
    <n v="0"/>
    <n v="3"/>
    <x v="1"/>
    <n v="0"/>
    <n v="72"/>
    <n v="2"/>
    <n v="2"/>
    <s v="Sales Executive"/>
    <n v="0"/>
    <n v="1"/>
    <n v="0"/>
    <n v="0"/>
    <n v="0"/>
    <n v="0"/>
    <n v="0"/>
    <n v="0"/>
    <x v="2"/>
    <s v="Married"/>
    <n v="0"/>
    <n v="1"/>
    <n v="6578"/>
    <n v="2706"/>
    <n v="1"/>
    <s v="No"/>
    <n v="0"/>
    <n v="18"/>
    <n v="3"/>
    <n v="1"/>
    <n v="1"/>
    <n v="10"/>
    <n v="3"/>
    <n v="3"/>
    <n v="10"/>
    <n v="3"/>
    <n v="1"/>
    <n v="4"/>
  </r>
  <r>
    <n v="40"/>
    <x v="1"/>
    <n v="0"/>
    <s v="Travel_Frequently"/>
    <n v="1"/>
    <n v="0"/>
    <n v="902"/>
    <s v="Research &amp; Development"/>
    <n v="1"/>
    <n v="0"/>
    <n v="26"/>
    <n v="2"/>
    <s v="Medical"/>
    <n v="0"/>
    <n v="0"/>
    <n v="1"/>
    <n v="0"/>
    <n v="0"/>
    <n v="3"/>
    <x v="0"/>
    <n v="1"/>
    <n v="92"/>
    <n v="2"/>
    <n v="2"/>
    <s v="Research Scientist"/>
    <n v="0"/>
    <n v="0"/>
    <n v="0"/>
    <n v="0"/>
    <n v="0"/>
    <n v="0"/>
    <n v="0"/>
    <n v="1"/>
    <x v="0"/>
    <s v="Married"/>
    <n v="0"/>
    <n v="1"/>
    <n v="4422"/>
    <n v="21203"/>
    <n v="3"/>
    <s v="Yes"/>
    <n v="1"/>
    <n v="13"/>
    <n v="3"/>
    <n v="4"/>
    <n v="1"/>
    <n v="16"/>
    <n v="3"/>
    <n v="1"/>
    <n v="1"/>
    <n v="1"/>
    <n v="0"/>
    <n v="0"/>
  </r>
  <r>
    <n v="35"/>
    <x v="1"/>
    <n v="0"/>
    <s v="Travel_Rarely"/>
    <n v="0"/>
    <n v="1"/>
    <n v="819"/>
    <s v="Research &amp; Development"/>
    <n v="1"/>
    <n v="0"/>
    <n v="2"/>
    <n v="3"/>
    <s v="Life Sciences"/>
    <n v="1"/>
    <n v="0"/>
    <n v="0"/>
    <n v="0"/>
    <n v="0"/>
    <n v="3"/>
    <x v="1"/>
    <n v="0"/>
    <n v="44"/>
    <n v="2"/>
    <n v="3"/>
    <s v="Manufacturing Director"/>
    <n v="0"/>
    <n v="0"/>
    <n v="0"/>
    <n v="0"/>
    <n v="1"/>
    <n v="1"/>
    <n v="0"/>
    <n v="0"/>
    <x v="1"/>
    <s v="Divorced"/>
    <n v="0"/>
    <n v="0"/>
    <n v="10274"/>
    <n v="19588"/>
    <n v="2"/>
    <s v="No"/>
    <n v="0"/>
    <n v="18"/>
    <n v="3"/>
    <n v="2"/>
    <n v="1"/>
    <n v="15"/>
    <n v="2"/>
    <n v="4"/>
    <n v="7"/>
    <n v="7"/>
    <n v="6"/>
    <n v="4"/>
  </r>
  <r>
    <n v="34"/>
    <x v="1"/>
    <n v="0"/>
    <s v="Travel_Frequently"/>
    <n v="1"/>
    <n v="0"/>
    <n v="669"/>
    <s v="Research &amp; Development"/>
    <n v="1"/>
    <n v="0"/>
    <n v="1"/>
    <n v="3"/>
    <s v="Medical"/>
    <n v="0"/>
    <n v="0"/>
    <n v="1"/>
    <n v="0"/>
    <n v="0"/>
    <n v="4"/>
    <x v="1"/>
    <n v="0"/>
    <n v="97"/>
    <n v="2"/>
    <n v="2"/>
    <s v="Healthcare Representative"/>
    <n v="1"/>
    <n v="0"/>
    <n v="0"/>
    <n v="0"/>
    <n v="0"/>
    <n v="0"/>
    <n v="0"/>
    <n v="0"/>
    <x v="3"/>
    <s v="Single"/>
    <n v="1"/>
    <n v="0"/>
    <n v="5343"/>
    <n v="25755"/>
    <n v="0"/>
    <s v="No"/>
    <n v="0"/>
    <n v="20"/>
    <n v="4"/>
    <n v="3"/>
    <n v="0"/>
    <n v="14"/>
    <n v="3"/>
    <n v="3"/>
    <n v="13"/>
    <n v="9"/>
    <n v="4"/>
    <n v="9"/>
  </r>
  <r>
    <n v="35"/>
    <x v="1"/>
    <n v="0"/>
    <s v="Travel_Frequently"/>
    <n v="1"/>
    <n v="0"/>
    <n v="636"/>
    <s v="Research &amp; Development"/>
    <n v="1"/>
    <n v="0"/>
    <n v="4"/>
    <n v="4"/>
    <s v="Other"/>
    <n v="0"/>
    <n v="1"/>
    <n v="0"/>
    <n v="0"/>
    <n v="0"/>
    <n v="4"/>
    <x v="1"/>
    <n v="0"/>
    <n v="47"/>
    <n v="2"/>
    <n v="1"/>
    <s v="Laboratory Technician"/>
    <n v="0"/>
    <n v="0"/>
    <n v="1"/>
    <n v="0"/>
    <n v="0"/>
    <n v="0"/>
    <n v="0"/>
    <n v="0"/>
    <x v="0"/>
    <s v="Married"/>
    <n v="0"/>
    <n v="1"/>
    <n v="2376"/>
    <n v="26537"/>
    <n v="1"/>
    <s v="No"/>
    <n v="0"/>
    <n v="13"/>
    <n v="3"/>
    <n v="2"/>
    <n v="1"/>
    <n v="2"/>
    <n v="2"/>
    <n v="4"/>
    <n v="2"/>
    <n v="2"/>
    <n v="2"/>
    <n v="2"/>
  </r>
  <r>
    <n v="43"/>
    <x v="0"/>
    <n v="1"/>
    <s v="Travel_Rarely"/>
    <n v="0"/>
    <n v="1"/>
    <n v="1372"/>
    <s v="Sales"/>
    <n v="0"/>
    <n v="1"/>
    <n v="9"/>
    <n v="3"/>
    <s v="Marketing"/>
    <n v="0"/>
    <n v="0"/>
    <n v="0"/>
    <n v="1"/>
    <n v="0"/>
    <n v="1"/>
    <x v="0"/>
    <n v="1"/>
    <n v="85"/>
    <n v="1"/>
    <n v="2"/>
    <s v="Sales Executive"/>
    <n v="0"/>
    <n v="1"/>
    <n v="0"/>
    <n v="0"/>
    <n v="0"/>
    <n v="0"/>
    <n v="0"/>
    <n v="0"/>
    <x v="2"/>
    <s v="Single"/>
    <n v="1"/>
    <n v="0"/>
    <n v="5346"/>
    <n v="9489"/>
    <n v="8"/>
    <s v="No"/>
    <n v="0"/>
    <n v="13"/>
    <n v="3"/>
    <n v="2"/>
    <n v="0"/>
    <n v="7"/>
    <n v="2"/>
    <n v="2"/>
    <n v="4"/>
    <n v="3"/>
    <n v="1"/>
    <n v="3"/>
  </r>
  <r>
    <n v="32"/>
    <x v="1"/>
    <n v="0"/>
    <s v="Non-Travel"/>
    <n v="0"/>
    <n v="0"/>
    <n v="862"/>
    <s v="Sales"/>
    <n v="0"/>
    <n v="1"/>
    <n v="2"/>
    <n v="1"/>
    <s v="Life Sciences"/>
    <n v="1"/>
    <n v="0"/>
    <n v="0"/>
    <n v="0"/>
    <n v="0"/>
    <n v="3"/>
    <x v="0"/>
    <n v="1"/>
    <n v="76"/>
    <n v="3"/>
    <n v="1"/>
    <s v="Sales Representative"/>
    <n v="0"/>
    <n v="0"/>
    <n v="0"/>
    <n v="0"/>
    <n v="0"/>
    <n v="0"/>
    <n v="1"/>
    <n v="0"/>
    <x v="3"/>
    <s v="Divorced"/>
    <n v="0"/>
    <n v="0"/>
    <n v="2827"/>
    <n v="14947"/>
    <n v="1"/>
    <s v="No"/>
    <n v="0"/>
    <n v="12"/>
    <n v="3"/>
    <n v="3"/>
    <n v="3"/>
    <n v="1"/>
    <n v="3"/>
    <n v="3"/>
    <n v="1"/>
    <n v="0"/>
    <n v="0"/>
    <n v="0"/>
  </r>
  <r>
    <n v="56"/>
    <x v="1"/>
    <n v="0"/>
    <s v="Travel_Rarely"/>
    <n v="0"/>
    <n v="1"/>
    <n v="718"/>
    <s v="Research &amp; Development"/>
    <n v="1"/>
    <n v="0"/>
    <n v="4"/>
    <n v="4"/>
    <s v="Technical Degree"/>
    <n v="0"/>
    <n v="0"/>
    <n v="0"/>
    <n v="0"/>
    <n v="1"/>
    <n v="4"/>
    <x v="0"/>
    <n v="1"/>
    <n v="92"/>
    <n v="3"/>
    <n v="5"/>
    <s v="Manager"/>
    <n v="0"/>
    <n v="0"/>
    <n v="0"/>
    <n v="1"/>
    <n v="0"/>
    <n v="0"/>
    <n v="0"/>
    <n v="0"/>
    <x v="3"/>
    <s v="Divorced"/>
    <n v="0"/>
    <n v="0"/>
    <n v="19943"/>
    <n v="18575"/>
    <n v="4"/>
    <s v="No"/>
    <n v="0"/>
    <n v="13"/>
    <n v="3"/>
    <n v="4"/>
    <n v="1"/>
    <n v="28"/>
    <n v="2"/>
    <n v="3"/>
    <n v="5"/>
    <n v="2"/>
    <n v="4"/>
    <n v="2"/>
  </r>
  <r>
    <n v="29"/>
    <x v="1"/>
    <n v="0"/>
    <s v="Travel_Rarely"/>
    <n v="0"/>
    <n v="1"/>
    <n v="1401"/>
    <s v="Research &amp; Development"/>
    <n v="1"/>
    <n v="0"/>
    <n v="6"/>
    <n v="1"/>
    <s v="Medical"/>
    <n v="0"/>
    <n v="0"/>
    <n v="1"/>
    <n v="0"/>
    <n v="0"/>
    <n v="2"/>
    <x v="0"/>
    <n v="1"/>
    <n v="54"/>
    <n v="3"/>
    <n v="1"/>
    <s v="Laboratory Technician"/>
    <n v="0"/>
    <n v="0"/>
    <n v="1"/>
    <n v="0"/>
    <n v="0"/>
    <n v="0"/>
    <n v="0"/>
    <n v="0"/>
    <x v="0"/>
    <s v="Married"/>
    <n v="0"/>
    <n v="1"/>
    <n v="3131"/>
    <n v="26342"/>
    <n v="1"/>
    <s v="No"/>
    <n v="0"/>
    <n v="13"/>
    <n v="3"/>
    <n v="1"/>
    <n v="1"/>
    <n v="10"/>
    <n v="5"/>
    <n v="3"/>
    <n v="10"/>
    <n v="8"/>
    <n v="0"/>
    <n v="8"/>
  </r>
  <r>
    <n v="19"/>
    <x v="1"/>
    <n v="0"/>
    <s v="Travel_Rarely"/>
    <n v="0"/>
    <n v="1"/>
    <n v="645"/>
    <s v="Research &amp; Development"/>
    <n v="1"/>
    <n v="0"/>
    <n v="9"/>
    <n v="2"/>
    <s v="Life Sciences"/>
    <n v="1"/>
    <n v="0"/>
    <n v="0"/>
    <n v="0"/>
    <n v="0"/>
    <n v="3"/>
    <x v="1"/>
    <n v="0"/>
    <n v="54"/>
    <n v="3"/>
    <n v="1"/>
    <s v="Research Scientist"/>
    <n v="0"/>
    <n v="0"/>
    <n v="0"/>
    <n v="0"/>
    <n v="0"/>
    <n v="0"/>
    <n v="0"/>
    <n v="1"/>
    <x v="3"/>
    <s v="Single"/>
    <n v="1"/>
    <n v="0"/>
    <n v="2552"/>
    <n v="7172"/>
    <n v="1"/>
    <s v="No"/>
    <n v="0"/>
    <n v="25"/>
    <n v="4"/>
    <n v="3"/>
    <n v="0"/>
    <n v="1"/>
    <n v="4"/>
    <n v="3"/>
    <n v="1"/>
    <n v="1"/>
    <n v="0"/>
    <n v="0"/>
  </r>
  <r>
    <n v="45"/>
    <x v="1"/>
    <n v="0"/>
    <s v="Travel_Rarely"/>
    <n v="0"/>
    <n v="1"/>
    <n v="1457"/>
    <s v="Research &amp; Development"/>
    <n v="1"/>
    <n v="0"/>
    <n v="7"/>
    <n v="3"/>
    <s v="Medical"/>
    <n v="0"/>
    <n v="0"/>
    <n v="1"/>
    <n v="0"/>
    <n v="0"/>
    <n v="1"/>
    <x v="0"/>
    <n v="1"/>
    <n v="83"/>
    <n v="3"/>
    <n v="1"/>
    <s v="Research Scientist"/>
    <n v="0"/>
    <n v="0"/>
    <n v="0"/>
    <n v="0"/>
    <n v="0"/>
    <n v="0"/>
    <n v="0"/>
    <n v="1"/>
    <x v="2"/>
    <s v="Married"/>
    <n v="0"/>
    <n v="1"/>
    <n v="4477"/>
    <n v="20100"/>
    <n v="4"/>
    <s v="Yes"/>
    <n v="1"/>
    <n v="19"/>
    <n v="3"/>
    <n v="3"/>
    <n v="1"/>
    <n v="7"/>
    <n v="2"/>
    <n v="2"/>
    <n v="3"/>
    <n v="2"/>
    <n v="0"/>
    <n v="2"/>
  </r>
  <r>
    <n v="37"/>
    <x v="1"/>
    <n v="0"/>
    <s v="Travel_Rarely"/>
    <n v="0"/>
    <n v="1"/>
    <n v="977"/>
    <s v="Research &amp; Development"/>
    <n v="1"/>
    <n v="0"/>
    <n v="1"/>
    <n v="3"/>
    <s v="Life Sciences"/>
    <n v="1"/>
    <n v="0"/>
    <n v="0"/>
    <n v="0"/>
    <n v="0"/>
    <n v="4"/>
    <x v="0"/>
    <n v="1"/>
    <n v="56"/>
    <n v="2"/>
    <n v="2"/>
    <s v="Manufacturing Director"/>
    <n v="0"/>
    <n v="0"/>
    <n v="0"/>
    <n v="0"/>
    <n v="1"/>
    <n v="1"/>
    <n v="0"/>
    <n v="0"/>
    <x v="0"/>
    <s v="Married"/>
    <n v="0"/>
    <n v="1"/>
    <n v="6474"/>
    <n v="9961"/>
    <n v="1"/>
    <s v="No"/>
    <n v="0"/>
    <n v="13"/>
    <n v="3"/>
    <n v="2"/>
    <n v="1"/>
    <n v="14"/>
    <n v="2"/>
    <n v="2"/>
    <n v="14"/>
    <n v="8"/>
    <n v="3"/>
    <n v="11"/>
  </r>
  <r>
    <n v="20"/>
    <x v="1"/>
    <n v="0"/>
    <s v="Travel_Rarely"/>
    <n v="0"/>
    <n v="1"/>
    <n v="805"/>
    <s v="Research &amp; Development"/>
    <n v="1"/>
    <n v="0"/>
    <n v="3"/>
    <n v="3"/>
    <s v="Life Sciences"/>
    <n v="1"/>
    <n v="0"/>
    <n v="0"/>
    <n v="0"/>
    <n v="0"/>
    <n v="1"/>
    <x v="1"/>
    <n v="0"/>
    <n v="87"/>
    <n v="2"/>
    <n v="1"/>
    <s v="Laboratory Technician"/>
    <n v="0"/>
    <n v="0"/>
    <n v="1"/>
    <n v="0"/>
    <n v="0"/>
    <n v="0"/>
    <n v="0"/>
    <n v="0"/>
    <x v="2"/>
    <s v="Single"/>
    <n v="1"/>
    <n v="0"/>
    <n v="3033"/>
    <n v="12828"/>
    <n v="1"/>
    <s v="No"/>
    <n v="0"/>
    <n v="12"/>
    <n v="3"/>
    <n v="1"/>
    <n v="0"/>
    <n v="2"/>
    <n v="2"/>
    <n v="2"/>
    <n v="2"/>
    <n v="2"/>
    <n v="1"/>
    <n v="2"/>
  </r>
  <r>
    <n v="44"/>
    <x v="0"/>
    <n v="1"/>
    <s v="Travel_Rarely"/>
    <n v="0"/>
    <n v="1"/>
    <n v="1097"/>
    <s v="Research &amp; Development"/>
    <n v="1"/>
    <n v="0"/>
    <n v="10"/>
    <n v="4"/>
    <s v="Life Sciences"/>
    <n v="1"/>
    <n v="0"/>
    <n v="0"/>
    <n v="0"/>
    <n v="0"/>
    <n v="3"/>
    <x v="1"/>
    <n v="0"/>
    <n v="96"/>
    <n v="3"/>
    <n v="1"/>
    <s v="Research Scientist"/>
    <n v="0"/>
    <n v="0"/>
    <n v="0"/>
    <n v="0"/>
    <n v="0"/>
    <n v="0"/>
    <n v="0"/>
    <n v="1"/>
    <x v="2"/>
    <s v="Single"/>
    <n v="1"/>
    <n v="0"/>
    <n v="2936"/>
    <n v="10826"/>
    <n v="1"/>
    <s v="Yes"/>
    <n v="1"/>
    <n v="11"/>
    <n v="3"/>
    <n v="3"/>
    <n v="0"/>
    <n v="6"/>
    <n v="4"/>
    <n v="3"/>
    <n v="6"/>
    <n v="4"/>
    <n v="0"/>
    <n v="2"/>
  </r>
  <r>
    <n v="53"/>
    <x v="1"/>
    <n v="0"/>
    <s v="Travel_Rarely"/>
    <n v="0"/>
    <n v="1"/>
    <n v="1223"/>
    <s v="Research &amp; Development"/>
    <n v="1"/>
    <n v="0"/>
    <n v="7"/>
    <n v="2"/>
    <s v="Medical"/>
    <n v="0"/>
    <n v="0"/>
    <n v="1"/>
    <n v="0"/>
    <n v="0"/>
    <n v="4"/>
    <x v="0"/>
    <n v="1"/>
    <n v="50"/>
    <n v="3"/>
    <n v="5"/>
    <s v="Manager"/>
    <n v="0"/>
    <n v="0"/>
    <n v="0"/>
    <n v="1"/>
    <n v="0"/>
    <n v="0"/>
    <n v="0"/>
    <n v="0"/>
    <x v="2"/>
    <s v="Divorced"/>
    <n v="0"/>
    <n v="0"/>
    <n v="18606"/>
    <n v="18640"/>
    <n v="3"/>
    <s v="No"/>
    <n v="0"/>
    <n v="18"/>
    <n v="3"/>
    <n v="2"/>
    <n v="1"/>
    <n v="26"/>
    <n v="6"/>
    <n v="3"/>
    <n v="7"/>
    <n v="7"/>
    <n v="4"/>
    <n v="7"/>
  </r>
  <r>
    <n v="29"/>
    <x v="1"/>
    <n v="0"/>
    <s v="Travel_Rarely"/>
    <n v="0"/>
    <n v="1"/>
    <n v="942"/>
    <s v="Research &amp; Development"/>
    <n v="1"/>
    <n v="0"/>
    <n v="15"/>
    <n v="1"/>
    <s v="Life Sciences"/>
    <n v="1"/>
    <n v="0"/>
    <n v="0"/>
    <n v="0"/>
    <n v="0"/>
    <n v="2"/>
    <x v="0"/>
    <n v="1"/>
    <n v="69"/>
    <n v="1"/>
    <n v="1"/>
    <s v="Research Scientist"/>
    <n v="0"/>
    <n v="0"/>
    <n v="0"/>
    <n v="0"/>
    <n v="0"/>
    <n v="0"/>
    <n v="0"/>
    <n v="1"/>
    <x v="0"/>
    <s v="Married"/>
    <n v="0"/>
    <n v="1"/>
    <n v="2168"/>
    <n v="26933"/>
    <n v="0"/>
    <s v="Yes"/>
    <n v="1"/>
    <n v="18"/>
    <n v="3"/>
    <n v="1"/>
    <n v="1"/>
    <n v="6"/>
    <n v="2"/>
    <n v="2"/>
    <n v="5"/>
    <n v="4"/>
    <n v="1"/>
    <n v="3"/>
  </r>
  <r>
    <n v="22"/>
    <x v="0"/>
    <n v="1"/>
    <s v="Travel_Frequently"/>
    <n v="1"/>
    <n v="0"/>
    <n v="1256"/>
    <s v="Research &amp; Development"/>
    <n v="1"/>
    <n v="0"/>
    <n v="3"/>
    <n v="4"/>
    <s v="Life Sciences"/>
    <n v="1"/>
    <n v="0"/>
    <n v="0"/>
    <n v="0"/>
    <n v="0"/>
    <n v="3"/>
    <x v="1"/>
    <n v="0"/>
    <n v="48"/>
    <n v="2"/>
    <n v="1"/>
    <s v="Research Scientist"/>
    <n v="0"/>
    <n v="0"/>
    <n v="0"/>
    <n v="0"/>
    <n v="0"/>
    <n v="0"/>
    <n v="0"/>
    <n v="1"/>
    <x v="0"/>
    <s v="Married"/>
    <n v="0"/>
    <n v="1"/>
    <n v="2853"/>
    <n v="4223"/>
    <n v="0"/>
    <s v="Yes"/>
    <n v="1"/>
    <n v="11"/>
    <n v="3"/>
    <n v="2"/>
    <n v="1"/>
    <n v="1"/>
    <n v="5"/>
    <n v="3"/>
    <n v="0"/>
    <n v="0"/>
    <n v="0"/>
    <n v="0"/>
  </r>
  <r>
    <n v="46"/>
    <x v="1"/>
    <n v="0"/>
    <s v="Travel_Rarely"/>
    <n v="0"/>
    <n v="1"/>
    <n v="1402"/>
    <s v="Sales"/>
    <n v="0"/>
    <n v="1"/>
    <n v="2"/>
    <n v="3"/>
    <s v="Marketing"/>
    <n v="0"/>
    <n v="0"/>
    <n v="0"/>
    <n v="1"/>
    <n v="0"/>
    <n v="3"/>
    <x v="0"/>
    <n v="1"/>
    <n v="69"/>
    <n v="3"/>
    <n v="4"/>
    <s v="Manager"/>
    <n v="0"/>
    <n v="0"/>
    <n v="0"/>
    <n v="1"/>
    <n v="0"/>
    <n v="0"/>
    <n v="0"/>
    <n v="0"/>
    <x v="3"/>
    <s v="Married"/>
    <n v="0"/>
    <n v="1"/>
    <n v="17048"/>
    <n v="24097"/>
    <n v="8"/>
    <s v="No"/>
    <n v="0"/>
    <n v="23"/>
    <n v="4"/>
    <n v="1"/>
    <n v="0"/>
    <n v="28"/>
    <n v="2"/>
    <n v="3"/>
    <n v="26"/>
    <n v="15"/>
    <n v="15"/>
    <n v="9"/>
  </r>
  <r>
    <n v="44"/>
    <x v="1"/>
    <n v="0"/>
    <s v="Non-Travel"/>
    <n v="0"/>
    <n v="0"/>
    <n v="111"/>
    <s v="Research &amp; Development"/>
    <n v="1"/>
    <n v="0"/>
    <n v="17"/>
    <n v="3"/>
    <s v="Life Sciences"/>
    <n v="1"/>
    <n v="0"/>
    <n v="0"/>
    <n v="0"/>
    <n v="0"/>
    <n v="4"/>
    <x v="1"/>
    <n v="0"/>
    <n v="74"/>
    <n v="1"/>
    <n v="1"/>
    <s v="Research Scientist"/>
    <n v="0"/>
    <n v="0"/>
    <n v="0"/>
    <n v="0"/>
    <n v="0"/>
    <n v="0"/>
    <n v="0"/>
    <n v="1"/>
    <x v="2"/>
    <s v="Single"/>
    <n v="1"/>
    <n v="0"/>
    <n v="2290"/>
    <n v="4279"/>
    <n v="2"/>
    <s v="No"/>
    <n v="0"/>
    <n v="13"/>
    <n v="3"/>
    <n v="4"/>
    <n v="0"/>
    <n v="6"/>
    <n v="3"/>
    <n v="3"/>
    <n v="0"/>
    <n v="0"/>
    <n v="0"/>
    <n v="0"/>
  </r>
  <r>
    <n v="33"/>
    <x v="1"/>
    <n v="0"/>
    <s v="Travel_Rarely"/>
    <n v="0"/>
    <n v="1"/>
    <n v="147"/>
    <s v="Human Resources"/>
    <n v="0"/>
    <n v="0"/>
    <n v="2"/>
    <n v="3"/>
    <s v="Human Resources"/>
    <n v="0"/>
    <n v="0"/>
    <n v="0"/>
    <n v="0"/>
    <n v="0"/>
    <n v="2"/>
    <x v="1"/>
    <n v="0"/>
    <n v="99"/>
    <n v="3"/>
    <n v="1"/>
    <s v="Human Resources"/>
    <n v="0"/>
    <n v="0"/>
    <n v="0"/>
    <n v="0"/>
    <n v="0"/>
    <n v="0"/>
    <n v="0"/>
    <n v="0"/>
    <x v="2"/>
    <s v="Married"/>
    <n v="0"/>
    <n v="1"/>
    <n v="3600"/>
    <n v="8429"/>
    <n v="1"/>
    <s v="No"/>
    <n v="0"/>
    <n v="13"/>
    <n v="3"/>
    <n v="4"/>
    <n v="1"/>
    <n v="5"/>
    <n v="2"/>
    <n v="3"/>
    <n v="5"/>
    <n v="4"/>
    <n v="1"/>
    <n v="4"/>
  </r>
  <r>
    <n v="41"/>
    <x v="0"/>
    <n v="1"/>
    <s v="Non-Travel"/>
    <n v="0"/>
    <n v="0"/>
    <n v="906"/>
    <s v="Research &amp; Development"/>
    <n v="1"/>
    <n v="0"/>
    <n v="5"/>
    <n v="2"/>
    <s v="Life Sciences"/>
    <n v="1"/>
    <n v="0"/>
    <n v="0"/>
    <n v="0"/>
    <n v="0"/>
    <n v="1"/>
    <x v="1"/>
    <n v="0"/>
    <n v="95"/>
    <n v="2"/>
    <n v="1"/>
    <s v="Research Scientist"/>
    <n v="0"/>
    <n v="0"/>
    <n v="0"/>
    <n v="0"/>
    <n v="0"/>
    <n v="0"/>
    <n v="0"/>
    <n v="1"/>
    <x v="3"/>
    <s v="Divorced"/>
    <n v="0"/>
    <n v="0"/>
    <n v="2107"/>
    <n v="20293"/>
    <n v="6"/>
    <s v="No"/>
    <n v="0"/>
    <n v="17"/>
    <n v="3"/>
    <n v="1"/>
    <n v="1"/>
    <n v="5"/>
    <n v="2"/>
    <n v="1"/>
    <n v="1"/>
    <n v="0"/>
    <n v="0"/>
    <n v="0"/>
  </r>
  <r>
    <n v="30"/>
    <x v="1"/>
    <n v="0"/>
    <s v="Travel_Rarely"/>
    <n v="0"/>
    <n v="1"/>
    <n v="1329"/>
    <s v="Sales"/>
    <n v="0"/>
    <n v="1"/>
    <n v="29"/>
    <n v="4"/>
    <s v="Life Sciences"/>
    <n v="1"/>
    <n v="0"/>
    <n v="0"/>
    <n v="0"/>
    <n v="0"/>
    <n v="3"/>
    <x v="1"/>
    <n v="0"/>
    <n v="61"/>
    <n v="3"/>
    <n v="2"/>
    <s v="Sales Executive"/>
    <n v="0"/>
    <n v="1"/>
    <n v="0"/>
    <n v="0"/>
    <n v="0"/>
    <n v="0"/>
    <n v="0"/>
    <n v="0"/>
    <x v="3"/>
    <s v="Divorced"/>
    <n v="0"/>
    <n v="0"/>
    <n v="4115"/>
    <n v="13192"/>
    <n v="8"/>
    <s v="No"/>
    <n v="0"/>
    <n v="19"/>
    <n v="3"/>
    <n v="3"/>
    <n v="3"/>
    <n v="8"/>
    <n v="3"/>
    <n v="3"/>
    <n v="4"/>
    <n v="3"/>
    <n v="0"/>
    <n v="3"/>
  </r>
  <r>
    <n v="40"/>
    <x v="1"/>
    <n v="0"/>
    <s v="Travel_Frequently"/>
    <n v="1"/>
    <n v="0"/>
    <n v="1184"/>
    <s v="Sales"/>
    <n v="0"/>
    <n v="1"/>
    <n v="2"/>
    <n v="4"/>
    <s v="Medical"/>
    <n v="0"/>
    <n v="0"/>
    <n v="1"/>
    <n v="0"/>
    <n v="0"/>
    <n v="2"/>
    <x v="1"/>
    <n v="0"/>
    <n v="62"/>
    <n v="3"/>
    <n v="2"/>
    <s v="Sales Executive"/>
    <n v="0"/>
    <n v="1"/>
    <n v="0"/>
    <n v="0"/>
    <n v="0"/>
    <n v="0"/>
    <n v="0"/>
    <n v="0"/>
    <x v="1"/>
    <s v="Married"/>
    <n v="0"/>
    <n v="1"/>
    <n v="4327"/>
    <n v="25440"/>
    <n v="5"/>
    <s v="No"/>
    <n v="0"/>
    <n v="12"/>
    <n v="3"/>
    <n v="4"/>
    <n v="3"/>
    <n v="5"/>
    <n v="2"/>
    <n v="3"/>
    <n v="0"/>
    <n v="0"/>
    <n v="0"/>
    <n v="0"/>
  </r>
  <r>
    <n v="50"/>
    <x v="1"/>
    <n v="0"/>
    <s v="Travel_Frequently"/>
    <n v="1"/>
    <n v="0"/>
    <n v="1421"/>
    <s v="Research &amp; Development"/>
    <n v="1"/>
    <n v="0"/>
    <n v="2"/>
    <n v="3"/>
    <s v="Medical"/>
    <n v="0"/>
    <n v="0"/>
    <n v="1"/>
    <n v="0"/>
    <n v="0"/>
    <n v="4"/>
    <x v="0"/>
    <n v="1"/>
    <n v="30"/>
    <n v="3"/>
    <n v="4"/>
    <s v="Manager"/>
    <n v="0"/>
    <n v="0"/>
    <n v="0"/>
    <n v="1"/>
    <n v="0"/>
    <n v="0"/>
    <n v="0"/>
    <n v="0"/>
    <x v="3"/>
    <s v="Married"/>
    <n v="0"/>
    <n v="1"/>
    <n v="17856"/>
    <n v="9490"/>
    <n v="2"/>
    <s v="No"/>
    <n v="0"/>
    <n v="22"/>
    <n v="4"/>
    <n v="3"/>
    <n v="1"/>
    <n v="32"/>
    <n v="3"/>
    <n v="3"/>
    <n v="2"/>
    <n v="2"/>
    <n v="2"/>
    <n v="2"/>
  </r>
  <r>
    <n v="28"/>
    <x v="1"/>
    <n v="0"/>
    <s v="Travel_Rarely"/>
    <n v="0"/>
    <n v="1"/>
    <n v="1179"/>
    <s v="Research &amp; Development"/>
    <n v="1"/>
    <n v="0"/>
    <n v="19"/>
    <n v="4"/>
    <s v="Medical"/>
    <n v="0"/>
    <n v="0"/>
    <n v="1"/>
    <n v="0"/>
    <n v="0"/>
    <n v="4"/>
    <x v="1"/>
    <n v="0"/>
    <n v="78"/>
    <n v="2"/>
    <n v="1"/>
    <s v="Laboratory Technician"/>
    <n v="0"/>
    <n v="0"/>
    <n v="1"/>
    <n v="0"/>
    <n v="0"/>
    <n v="0"/>
    <n v="0"/>
    <n v="0"/>
    <x v="3"/>
    <s v="Married"/>
    <n v="0"/>
    <n v="1"/>
    <n v="3196"/>
    <n v="12449"/>
    <n v="1"/>
    <s v="No"/>
    <n v="0"/>
    <n v="12"/>
    <n v="3"/>
    <n v="3"/>
    <n v="3"/>
    <n v="6"/>
    <n v="2"/>
    <n v="3"/>
    <n v="6"/>
    <n v="5"/>
    <n v="3"/>
    <n v="3"/>
  </r>
  <r>
    <n v="46"/>
    <x v="1"/>
    <n v="0"/>
    <s v="Travel_Rarely"/>
    <n v="0"/>
    <n v="1"/>
    <n v="1450"/>
    <s v="Research &amp; Development"/>
    <n v="1"/>
    <n v="0"/>
    <n v="15"/>
    <n v="2"/>
    <s v="Life Sciences"/>
    <n v="1"/>
    <n v="0"/>
    <n v="0"/>
    <n v="0"/>
    <n v="0"/>
    <n v="4"/>
    <x v="1"/>
    <n v="0"/>
    <n v="52"/>
    <n v="3"/>
    <n v="5"/>
    <s v="Research Director"/>
    <n v="0"/>
    <n v="0"/>
    <n v="0"/>
    <n v="0"/>
    <n v="0"/>
    <n v="0"/>
    <n v="0"/>
    <n v="0"/>
    <x v="1"/>
    <s v="Married"/>
    <n v="0"/>
    <n v="1"/>
    <n v="19081"/>
    <n v="10849"/>
    <n v="5"/>
    <s v="No"/>
    <n v="0"/>
    <n v="11"/>
    <n v="3"/>
    <n v="1"/>
    <n v="1"/>
    <n v="25"/>
    <n v="2"/>
    <n v="3"/>
    <n v="4"/>
    <n v="2"/>
    <n v="0"/>
    <n v="3"/>
  </r>
  <r>
    <n v="35"/>
    <x v="1"/>
    <n v="0"/>
    <s v="Travel_Rarely"/>
    <n v="0"/>
    <n v="1"/>
    <n v="1361"/>
    <s v="Sales"/>
    <n v="0"/>
    <n v="1"/>
    <n v="17"/>
    <n v="4"/>
    <s v="Life Sciences"/>
    <n v="1"/>
    <n v="0"/>
    <n v="0"/>
    <n v="0"/>
    <n v="0"/>
    <n v="3"/>
    <x v="1"/>
    <n v="0"/>
    <n v="94"/>
    <n v="3"/>
    <n v="2"/>
    <s v="Sales Executive"/>
    <n v="0"/>
    <n v="1"/>
    <n v="0"/>
    <n v="0"/>
    <n v="0"/>
    <n v="0"/>
    <n v="0"/>
    <n v="0"/>
    <x v="3"/>
    <s v="Married"/>
    <n v="0"/>
    <n v="1"/>
    <n v="8966"/>
    <n v="21026"/>
    <n v="3"/>
    <s v="Yes"/>
    <n v="1"/>
    <n v="15"/>
    <n v="3"/>
    <n v="4"/>
    <n v="3"/>
    <n v="15"/>
    <n v="2"/>
    <n v="3"/>
    <n v="7"/>
    <n v="7"/>
    <n v="1"/>
    <n v="7"/>
  </r>
  <r>
    <n v="24"/>
    <x v="0"/>
    <n v="1"/>
    <s v="Travel_Rarely"/>
    <n v="0"/>
    <n v="1"/>
    <n v="984"/>
    <s v="Research &amp; Development"/>
    <n v="1"/>
    <n v="0"/>
    <n v="17"/>
    <n v="2"/>
    <s v="Life Sciences"/>
    <n v="1"/>
    <n v="0"/>
    <n v="0"/>
    <n v="0"/>
    <n v="0"/>
    <n v="4"/>
    <x v="0"/>
    <n v="1"/>
    <n v="97"/>
    <n v="3"/>
    <n v="1"/>
    <s v="Laboratory Technician"/>
    <n v="0"/>
    <n v="0"/>
    <n v="1"/>
    <n v="0"/>
    <n v="0"/>
    <n v="0"/>
    <n v="0"/>
    <n v="0"/>
    <x v="1"/>
    <s v="Married"/>
    <n v="0"/>
    <n v="1"/>
    <n v="2210"/>
    <n v="3372"/>
    <n v="1"/>
    <s v="No"/>
    <n v="0"/>
    <n v="13"/>
    <n v="3"/>
    <n v="1"/>
    <n v="1"/>
    <n v="1"/>
    <n v="3"/>
    <n v="1"/>
    <n v="1"/>
    <n v="0"/>
    <n v="0"/>
    <n v="0"/>
  </r>
  <r>
    <n v="33"/>
    <x v="1"/>
    <n v="0"/>
    <s v="Travel_Frequently"/>
    <n v="1"/>
    <n v="0"/>
    <n v="1146"/>
    <s v="Sales"/>
    <n v="0"/>
    <n v="1"/>
    <n v="25"/>
    <n v="3"/>
    <s v="Medical"/>
    <n v="0"/>
    <n v="0"/>
    <n v="1"/>
    <n v="0"/>
    <n v="0"/>
    <n v="2"/>
    <x v="0"/>
    <n v="1"/>
    <n v="82"/>
    <n v="3"/>
    <n v="2"/>
    <s v="Sales Executive"/>
    <n v="0"/>
    <n v="1"/>
    <n v="0"/>
    <n v="0"/>
    <n v="0"/>
    <n v="0"/>
    <n v="0"/>
    <n v="0"/>
    <x v="2"/>
    <s v="Married"/>
    <n v="0"/>
    <n v="1"/>
    <n v="4539"/>
    <n v="4905"/>
    <n v="1"/>
    <s v="No"/>
    <n v="0"/>
    <n v="12"/>
    <n v="3"/>
    <n v="1"/>
    <n v="1"/>
    <n v="10"/>
    <n v="3"/>
    <n v="2"/>
    <n v="10"/>
    <n v="7"/>
    <n v="0"/>
    <n v="1"/>
  </r>
  <r>
    <n v="36"/>
    <x v="1"/>
    <n v="0"/>
    <s v="Travel_Rarely"/>
    <n v="0"/>
    <n v="1"/>
    <n v="917"/>
    <s v="Research &amp; Development"/>
    <n v="1"/>
    <n v="0"/>
    <n v="6"/>
    <n v="4"/>
    <s v="Life Sciences"/>
    <n v="1"/>
    <n v="0"/>
    <n v="0"/>
    <n v="0"/>
    <n v="0"/>
    <n v="3"/>
    <x v="1"/>
    <n v="0"/>
    <n v="60"/>
    <n v="1"/>
    <n v="1"/>
    <s v="Laboratory Technician"/>
    <n v="0"/>
    <n v="0"/>
    <n v="1"/>
    <n v="0"/>
    <n v="0"/>
    <n v="0"/>
    <n v="0"/>
    <n v="0"/>
    <x v="2"/>
    <s v="Divorced"/>
    <n v="0"/>
    <n v="0"/>
    <n v="2741"/>
    <n v="6865"/>
    <n v="1"/>
    <s v="No"/>
    <n v="0"/>
    <n v="14"/>
    <n v="3"/>
    <n v="3"/>
    <n v="1"/>
    <n v="7"/>
    <n v="4"/>
    <n v="3"/>
    <n v="7"/>
    <n v="7"/>
    <n v="1"/>
    <n v="7"/>
  </r>
  <r>
    <n v="30"/>
    <x v="1"/>
    <n v="0"/>
    <s v="Travel_Rarely"/>
    <n v="0"/>
    <n v="1"/>
    <n v="853"/>
    <s v="Research &amp; Development"/>
    <n v="1"/>
    <n v="0"/>
    <n v="7"/>
    <n v="4"/>
    <s v="Life Sciences"/>
    <n v="1"/>
    <n v="0"/>
    <n v="0"/>
    <n v="0"/>
    <n v="0"/>
    <n v="3"/>
    <x v="1"/>
    <n v="0"/>
    <n v="49"/>
    <n v="3"/>
    <n v="2"/>
    <s v="Laboratory Technician"/>
    <n v="0"/>
    <n v="0"/>
    <n v="1"/>
    <n v="0"/>
    <n v="0"/>
    <n v="0"/>
    <n v="0"/>
    <n v="0"/>
    <x v="2"/>
    <s v="Divorced"/>
    <n v="0"/>
    <n v="0"/>
    <n v="3491"/>
    <n v="11309"/>
    <n v="1"/>
    <s v="No"/>
    <n v="0"/>
    <n v="13"/>
    <n v="3"/>
    <n v="1"/>
    <n v="3"/>
    <n v="10"/>
    <n v="4"/>
    <n v="2"/>
    <n v="10"/>
    <n v="7"/>
    <n v="8"/>
    <n v="9"/>
  </r>
  <r>
    <n v="44"/>
    <x v="1"/>
    <n v="0"/>
    <s v="Travel_Rarely"/>
    <n v="0"/>
    <n v="1"/>
    <n v="200"/>
    <s v="Research &amp; Development"/>
    <n v="1"/>
    <n v="0"/>
    <n v="29"/>
    <n v="4"/>
    <s v="Other"/>
    <n v="0"/>
    <n v="1"/>
    <n v="0"/>
    <n v="0"/>
    <n v="0"/>
    <n v="4"/>
    <x v="1"/>
    <n v="0"/>
    <n v="32"/>
    <n v="3"/>
    <n v="2"/>
    <s v="Research Scientist"/>
    <n v="0"/>
    <n v="0"/>
    <n v="0"/>
    <n v="0"/>
    <n v="0"/>
    <n v="0"/>
    <n v="0"/>
    <n v="1"/>
    <x v="0"/>
    <s v="Single"/>
    <n v="1"/>
    <n v="0"/>
    <n v="4541"/>
    <n v="7744"/>
    <n v="1"/>
    <s v="No"/>
    <n v="0"/>
    <n v="25"/>
    <n v="4"/>
    <n v="2"/>
    <n v="0"/>
    <n v="20"/>
    <n v="3"/>
    <n v="3"/>
    <n v="20"/>
    <n v="11"/>
    <n v="13"/>
    <n v="17"/>
  </r>
  <r>
    <n v="20"/>
    <x v="1"/>
    <n v="0"/>
    <s v="Travel_Rarely"/>
    <n v="0"/>
    <n v="1"/>
    <n v="654"/>
    <s v="Sales"/>
    <n v="0"/>
    <n v="1"/>
    <n v="21"/>
    <n v="3"/>
    <s v="Marketing"/>
    <n v="0"/>
    <n v="0"/>
    <n v="0"/>
    <n v="1"/>
    <n v="0"/>
    <n v="3"/>
    <x v="1"/>
    <n v="0"/>
    <n v="43"/>
    <n v="4"/>
    <n v="1"/>
    <s v="Sales Representative"/>
    <n v="0"/>
    <n v="0"/>
    <n v="0"/>
    <n v="0"/>
    <n v="0"/>
    <n v="0"/>
    <n v="1"/>
    <n v="0"/>
    <x v="0"/>
    <s v="Single"/>
    <n v="1"/>
    <n v="0"/>
    <n v="2678"/>
    <n v="5050"/>
    <n v="1"/>
    <s v="No"/>
    <n v="0"/>
    <n v="17"/>
    <n v="3"/>
    <n v="4"/>
    <n v="0"/>
    <n v="2"/>
    <n v="2"/>
    <n v="3"/>
    <n v="2"/>
    <n v="1"/>
    <n v="2"/>
    <n v="2"/>
  </r>
  <r>
    <n v="46"/>
    <x v="1"/>
    <n v="0"/>
    <s v="Travel_Rarely"/>
    <n v="0"/>
    <n v="1"/>
    <n v="150"/>
    <s v="Research &amp; Development"/>
    <n v="1"/>
    <n v="0"/>
    <n v="2"/>
    <n v="4"/>
    <s v="Technical Degree"/>
    <n v="0"/>
    <n v="0"/>
    <n v="0"/>
    <n v="0"/>
    <n v="1"/>
    <n v="4"/>
    <x v="1"/>
    <n v="0"/>
    <n v="60"/>
    <n v="3"/>
    <n v="2"/>
    <s v="Manufacturing Director"/>
    <n v="0"/>
    <n v="0"/>
    <n v="0"/>
    <n v="0"/>
    <n v="1"/>
    <n v="1"/>
    <n v="0"/>
    <n v="0"/>
    <x v="0"/>
    <s v="Divorced"/>
    <n v="0"/>
    <n v="0"/>
    <n v="7379"/>
    <n v="17433"/>
    <n v="2"/>
    <s v="No"/>
    <n v="0"/>
    <n v="11"/>
    <n v="3"/>
    <n v="3"/>
    <n v="1"/>
    <n v="12"/>
    <n v="3"/>
    <n v="2"/>
    <n v="6"/>
    <n v="3"/>
    <n v="1"/>
    <n v="4"/>
  </r>
  <r>
    <n v="42"/>
    <x v="1"/>
    <n v="0"/>
    <s v="Non-Travel"/>
    <n v="0"/>
    <n v="0"/>
    <n v="179"/>
    <s v="Human Resources"/>
    <n v="0"/>
    <n v="0"/>
    <n v="2"/>
    <n v="5"/>
    <s v="Medical"/>
    <n v="0"/>
    <n v="0"/>
    <n v="1"/>
    <n v="0"/>
    <n v="0"/>
    <n v="4"/>
    <x v="1"/>
    <n v="0"/>
    <n v="79"/>
    <n v="4"/>
    <n v="2"/>
    <s v="Human Resources"/>
    <n v="0"/>
    <n v="0"/>
    <n v="0"/>
    <n v="0"/>
    <n v="0"/>
    <n v="0"/>
    <n v="0"/>
    <n v="0"/>
    <x v="3"/>
    <s v="Married"/>
    <n v="0"/>
    <n v="1"/>
    <n v="6272"/>
    <n v="12858"/>
    <n v="7"/>
    <s v="No"/>
    <n v="0"/>
    <n v="16"/>
    <n v="3"/>
    <n v="1"/>
    <n v="1"/>
    <n v="10"/>
    <n v="3"/>
    <n v="4"/>
    <n v="4"/>
    <n v="3"/>
    <n v="0"/>
    <n v="3"/>
  </r>
  <r>
    <n v="60"/>
    <x v="1"/>
    <n v="0"/>
    <s v="Travel_Rarely"/>
    <n v="0"/>
    <n v="1"/>
    <n v="696"/>
    <s v="Sales"/>
    <n v="0"/>
    <n v="1"/>
    <n v="7"/>
    <n v="4"/>
    <s v="Marketing"/>
    <n v="0"/>
    <n v="0"/>
    <n v="0"/>
    <n v="1"/>
    <n v="0"/>
    <n v="2"/>
    <x v="1"/>
    <n v="0"/>
    <n v="52"/>
    <n v="4"/>
    <n v="2"/>
    <s v="Sales Executive"/>
    <n v="0"/>
    <n v="1"/>
    <n v="0"/>
    <n v="0"/>
    <n v="0"/>
    <n v="0"/>
    <n v="0"/>
    <n v="0"/>
    <x v="0"/>
    <s v="Divorced"/>
    <n v="0"/>
    <n v="0"/>
    <n v="5220"/>
    <n v="10893"/>
    <n v="0"/>
    <s v="Yes"/>
    <n v="1"/>
    <n v="18"/>
    <n v="3"/>
    <n v="2"/>
    <n v="1"/>
    <n v="12"/>
    <n v="3"/>
    <n v="3"/>
    <n v="11"/>
    <n v="7"/>
    <n v="1"/>
    <n v="9"/>
  </r>
  <r>
    <n v="32"/>
    <x v="1"/>
    <n v="0"/>
    <s v="Travel_Frequently"/>
    <n v="1"/>
    <n v="0"/>
    <n v="116"/>
    <s v="Research &amp; Development"/>
    <n v="1"/>
    <n v="0"/>
    <n v="13"/>
    <n v="3"/>
    <s v="Other"/>
    <n v="0"/>
    <n v="1"/>
    <n v="0"/>
    <n v="0"/>
    <n v="0"/>
    <n v="3"/>
    <x v="0"/>
    <n v="1"/>
    <n v="77"/>
    <n v="2"/>
    <n v="1"/>
    <s v="Laboratory Technician"/>
    <n v="0"/>
    <n v="0"/>
    <n v="1"/>
    <n v="0"/>
    <n v="0"/>
    <n v="0"/>
    <n v="0"/>
    <n v="0"/>
    <x v="1"/>
    <s v="Married"/>
    <n v="0"/>
    <n v="1"/>
    <n v="2743"/>
    <n v="7331"/>
    <n v="1"/>
    <s v="No"/>
    <n v="0"/>
    <n v="20"/>
    <n v="4"/>
    <n v="3"/>
    <n v="1"/>
    <n v="2"/>
    <n v="2"/>
    <n v="3"/>
    <n v="2"/>
    <n v="2"/>
    <n v="2"/>
    <n v="2"/>
  </r>
  <r>
    <n v="32"/>
    <x v="1"/>
    <n v="0"/>
    <s v="Travel_Frequently"/>
    <n v="1"/>
    <n v="0"/>
    <n v="1316"/>
    <s v="Research &amp; Development"/>
    <n v="1"/>
    <n v="0"/>
    <n v="2"/>
    <n v="2"/>
    <s v="Life Sciences"/>
    <n v="1"/>
    <n v="0"/>
    <n v="0"/>
    <n v="0"/>
    <n v="0"/>
    <n v="4"/>
    <x v="0"/>
    <n v="1"/>
    <n v="38"/>
    <n v="3"/>
    <n v="2"/>
    <s v="Research Scientist"/>
    <n v="0"/>
    <n v="0"/>
    <n v="0"/>
    <n v="0"/>
    <n v="0"/>
    <n v="0"/>
    <n v="0"/>
    <n v="1"/>
    <x v="2"/>
    <s v="Single"/>
    <n v="1"/>
    <n v="0"/>
    <n v="4998"/>
    <n v="2338"/>
    <n v="4"/>
    <s v="Yes"/>
    <n v="1"/>
    <n v="14"/>
    <n v="3"/>
    <n v="4"/>
    <n v="0"/>
    <n v="10"/>
    <n v="2"/>
    <n v="3"/>
    <n v="8"/>
    <n v="7"/>
    <n v="0"/>
    <n v="7"/>
  </r>
  <r>
    <n v="36"/>
    <x v="1"/>
    <n v="0"/>
    <s v="Travel_Rarely"/>
    <n v="0"/>
    <n v="1"/>
    <n v="363"/>
    <s v="Research &amp; Development"/>
    <n v="1"/>
    <n v="0"/>
    <n v="1"/>
    <n v="3"/>
    <s v="Technical Degree"/>
    <n v="0"/>
    <n v="0"/>
    <n v="0"/>
    <n v="0"/>
    <n v="1"/>
    <n v="3"/>
    <x v="0"/>
    <n v="1"/>
    <n v="77"/>
    <n v="1"/>
    <n v="3"/>
    <s v="Manufacturing Director"/>
    <n v="0"/>
    <n v="0"/>
    <n v="0"/>
    <n v="0"/>
    <n v="1"/>
    <n v="1"/>
    <n v="0"/>
    <n v="0"/>
    <x v="3"/>
    <s v="Divorced"/>
    <n v="0"/>
    <n v="0"/>
    <n v="10252"/>
    <n v="4235"/>
    <n v="2"/>
    <s v="Yes"/>
    <n v="1"/>
    <n v="21"/>
    <n v="4"/>
    <n v="3"/>
    <n v="1"/>
    <n v="17"/>
    <n v="2"/>
    <n v="3"/>
    <n v="7"/>
    <n v="7"/>
    <n v="7"/>
    <n v="7"/>
  </r>
  <r>
    <n v="33"/>
    <x v="1"/>
    <n v="0"/>
    <s v="Travel_Rarely"/>
    <n v="0"/>
    <n v="1"/>
    <n v="117"/>
    <s v="Research &amp; Development"/>
    <n v="1"/>
    <n v="0"/>
    <n v="9"/>
    <n v="3"/>
    <s v="Medical"/>
    <n v="0"/>
    <n v="0"/>
    <n v="1"/>
    <n v="0"/>
    <n v="0"/>
    <n v="1"/>
    <x v="1"/>
    <n v="0"/>
    <n v="60"/>
    <n v="3"/>
    <n v="1"/>
    <s v="Research Scientist"/>
    <n v="0"/>
    <n v="0"/>
    <n v="0"/>
    <n v="0"/>
    <n v="0"/>
    <n v="0"/>
    <n v="0"/>
    <n v="1"/>
    <x v="0"/>
    <s v="Married"/>
    <n v="0"/>
    <n v="1"/>
    <n v="2781"/>
    <n v="6311"/>
    <n v="0"/>
    <s v="No"/>
    <n v="0"/>
    <n v="13"/>
    <n v="3"/>
    <n v="2"/>
    <n v="1"/>
    <n v="15"/>
    <n v="5"/>
    <n v="3"/>
    <n v="14"/>
    <n v="10"/>
    <n v="4"/>
    <n v="10"/>
  </r>
  <r>
    <n v="40"/>
    <x v="1"/>
    <n v="0"/>
    <s v="Travel_Rarely"/>
    <n v="0"/>
    <n v="1"/>
    <n v="107"/>
    <s v="Sales"/>
    <n v="0"/>
    <n v="1"/>
    <n v="10"/>
    <n v="3"/>
    <s v="Technical Degree"/>
    <n v="0"/>
    <n v="0"/>
    <n v="0"/>
    <n v="0"/>
    <n v="1"/>
    <n v="2"/>
    <x v="0"/>
    <n v="1"/>
    <n v="84"/>
    <n v="2"/>
    <n v="2"/>
    <s v="Sales Executive"/>
    <n v="0"/>
    <n v="1"/>
    <n v="0"/>
    <n v="0"/>
    <n v="0"/>
    <n v="0"/>
    <n v="0"/>
    <n v="0"/>
    <x v="1"/>
    <s v="Divorced"/>
    <n v="0"/>
    <n v="0"/>
    <n v="6852"/>
    <n v="11591"/>
    <n v="7"/>
    <s v="No"/>
    <n v="0"/>
    <n v="12"/>
    <n v="3"/>
    <n v="2"/>
    <n v="1"/>
    <n v="7"/>
    <n v="2"/>
    <n v="4"/>
    <n v="5"/>
    <n v="1"/>
    <n v="1"/>
    <n v="3"/>
  </r>
  <r>
    <n v="25"/>
    <x v="1"/>
    <n v="0"/>
    <s v="Travel_Rarely"/>
    <n v="0"/>
    <n v="1"/>
    <n v="1356"/>
    <s v="Sales"/>
    <n v="0"/>
    <n v="1"/>
    <n v="10"/>
    <n v="4"/>
    <s v="Life Sciences"/>
    <n v="1"/>
    <n v="0"/>
    <n v="0"/>
    <n v="0"/>
    <n v="0"/>
    <n v="3"/>
    <x v="1"/>
    <n v="0"/>
    <n v="57"/>
    <n v="3"/>
    <n v="2"/>
    <s v="Sales Executive"/>
    <n v="0"/>
    <n v="1"/>
    <n v="0"/>
    <n v="0"/>
    <n v="0"/>
    <n v="0"/>
    <n v="0"/>
    <n v="0"/>
    <x v="0"/>
    <s v="Single"/>
    <n v="1"/>
    <n v="0"/>
    <n v="4950"/>
    <n v="20623"/>
    <n v="0"/>
    <s v="No"/>
    <n v="0"/>
    <n v="14"/>
    <n v="3"/>
    <n v="2"/>
    <n v="0"/>
    <n v="5"/>
    <n v="4"/>
    <n v="3"/>
    <n v="4"/>
    <n v="3"/>
    <n v="1"/>
    <n v="1"/>
  </r>
  <r>
    <n v="30"/>
    <x v="1"/>
    <n v="0"/>
    <s v="Travel_Rarely"/>
    <n v="0"/>
    <n v="1"/>
    <n v="1465"/>
    <s v="Research &amp; Development"/>
    <n v="1"/>
    <n v="0"/>
    <n v="1"/>
    <n v="3"/>
    <s v="Medical"/>
    <n v="0"/>
    <n v="0"/>
    <n v="1"/>
    <n v="0"/>
    <n v="0"/>
    <n v="4"/>
    <x v="1"/>
    <n v="0"/>
    <n v="63"/>
    <n v="3"/>
    <n v="1"/>
    <s v="Research Scientist"/>
    <n v="0"/>
    <n v="0"/>
    <n v="0"/>
    <n v="0"/>
    <n v="0"/>
    <n v="0"/>
    <n v="0"/>
    <n v="1"/>
    <x v="1"/>
    <s v="Married"/>
    <n v="0"/>
    <n v="1"/>
    <n v="3579"/>
    <n v="9369"/>
    <n v="0"/>
    <s v="Yes"/>
    <n v="1"/>
    <n v="21"/>
    <n v="4"/>
    <n v="1"/>
    <n v="1"/>
    <n v="12"/>
    <n v="2"/>
    <n v="3"/>
    <n v="11"/>
    <n v="9"/>
    <n v="5"/>
    <n v="7"/>
  </r>
  <r>
    <n v="42"/>
    <x v="1"/>
    <n v="0"/>
    <s v="Travel_Frequently"/>
    <n v="1"/>
    <n v="0"/>
    <n v="458"/>
    <s v="Research &amp; Development"/>
    <n v="1"/>
    <n v="0"/>
    <n v="26"/>
    <n v="5"/>
    <s v="Medical"/>
    <n v="0"/>
    <n v="0"/>
    <n v="1"/>
    <n v="0"/>
    <n v="0"/>
    <n v="1"/>
    <x v="0"/>
    <n v="1"/>
    <n v="60"/>
    <n v="3"/>
    <n v="3"/>
    <s v="Research Director"/>
    <n v="0"/>
    <n v="0"/>
    <n v="0"/>
    <n v="0"/>
    <n v="0"/>
    <n v="0"/>
    <n v="0"/>
    <n v="0"/>
    <x v="3"/>
    <s v="Married"/>
    <n v="0"/>
    <n v="1"/>
    <n v="13191"/>
    <n v="23281"/>
    <n v="3"/>
    <s v="Yes"/>
    <n v="1"/>
    <n v="17"/>
    <n v="3"/>
    <n v="3"/>
    <n v="0"/>
    <n v="20"/>
    <n v="6"/>
    <n v="3"/>
    <n v="1"/>
    <n v="0"/>
    <n v="0"/>
    <n v="0"/>
  </r>
  <r>
    <n v="35"/>
    <x v="1"/>
    <n v="0"/>
    <s v="Non-Travel"/>
    <n v="0"/>
    <n v="0"/>
    <n v="1212"/>
    <s v="Sales"/>
    <n v="0"/>
    <n v="1"/>
    <n v="8"/>
    <n v="2"/>
    <s v="Marketing"/>
    <n v="0"/>
    <n v="0"/>
    <n v="0"/>
    <n v="1"/>
    <n v="0"/>
    <n v="3"/>
    <x v="0"/>
    <n v="1"/>
    <n v="78"/>
    <n v="2"/>
    <n v="3"/>
    <s v="Sales Executive"/>
    <n v="0"/>
    <n v="1"/>
    <n v="0"/>
    <n v="0"/>
    <n v="0"/>
    <n v="0"/>
    <n v="0"/>
    <n v="0"/>
    <x v="0"/>
    <s v="Married"/>
    <n v="0"/>
    <n v="1"/>
    <n v="10377"/>
    <n v="13755"/>
    <n v="4"/>
    <s v="Yes"/>
    <n v="1"/>
    <n v="11"/>
    <n v="3"/>
    <n v="2"/>
    <n v="1"/>
    <n v="16"/>
    <n v="6"/>
    <n v="2"/>
    <n v="13"/>
    <n v="2"/>
    <n v="4"/>
    <n v="12"/>
  </r>
  <r>
    <n v="27"/>
    <x v="1"/>
    <n v="0"/>
    <s v="Travel_Rarely"/>
    <n v="0"/>
    <n v="1"/>
    <n v="1103"/>
    <s v="Research &amp; Development"/>
    <n v="1"/>
    <n v="0"/>
    <n v="14"/>
    <n v="3"/>
    <s v="Life Sciences"/>
    <n v="1"/>
    <n v="0"/>
    <n v="0"/>
    <n v="0"/>
    <n v="0"/>
    <n v="1"/>
    <x v="1"/>
    <n v="0"/>
    <n v="42"/>
    <n v="3"/>
    <n v="1"/>
    <s v="Research Scientist"/>
    <n v="0"/>
    <n v="0"/>
    <n v="0"/>
    <n v="0"/>
    <n v="0"/>
    <n v="0"/>
    <n v="0"/>
    <n v="1"/>
    <x v="3"/>
    <s v="Married"/>
    <n v="0"/>
    <n v="1"/>
    <n v="2235"/>
    <n v="14377"/>
    <n v="1"/>
    <s v="Yes"/>
    <n v="1"/>
    <n v="14"/>
    <n v="3"/>
    <n v="4"/>
    <n v="2"/>
    <n v="9"/>
    <n v="3"/>
    <n v="2"/>
    <n v="9"/>
    <n v="7"/>
    <n v="6"/>
    <n v="8"/>
  </r>
  <r>
    <n v="54"/>
    <x v="1"/>
    <n v="0"/>
    <s v="Travel_Frequently"/>
    <n v="1"/>
    <n v="0"/>
    <n v="966"/>
    <s v="Research &amp; Development"/>
    <n v="1"/>
    <n v="0"/>
    <n v="1"/>
    <n v="4"/>
    <s v="Life Sciences"/>
    <n v="1"/>
    <n v="0"/>
    <n v="0"/>
    <n v="0"/>
    <n v="0"/>
    <n v="4"/>
    <x v="0"/>
    <n v="1"/>
    <n v="53"/>
    <n v="3"/>
    <n v="3"/>
    <s v="Manufacturing Director"/>
    <n v="0"/>
    <n v="0"/>
    <n v="0"/>
    <n v="0"/>
    <n v="1"/>
    <n v="1"/>
    <n v="0"/>
    <n v="0"/>
    <x v="2"/>
    <s v="Divorced"/>
    <n v="0"/>
    <n v="0"/>
    <n v="10502"/>
    <n v="9659"/>
    <n v="7"/>
    <s v="No"/>
    <n v="0"/>
    <n v="17"/>
    <n v="3"/>
    <n v="1"/>
    <n v="1"/>
    <n v="33"/>
    <n v="2"/>
    <n v="1"/>
    <n v="5"/>
    <n v="4"/>
    <n v="1"/>
    <n v="4"/>
  </r>
  <r>
    <n v="44"/>
    <x v="1"/>
    <n v="0"/>
    <s v="Travel_Rarely"/>
    <n v="0"/>
    <n v="1"/>
    <n v="1117"/>
    <s v="Research &amp; Development"/>
    <n v="1"/>
    <n v="0"/>
    <n v="2"/>
    <n v="1"/>
    <s v="Life Sciences"/>
    <n v="1"/>
    <n v="0"/>
    <n v="0"/>
    <n v="0"/>
    <n v="0"/>
    <n v="1"/>
    <x v="0"/>
    <n v="1"/>
    <n v="72"/>
    <n v="4"/>
    <n v="1"/>
    <s v="Research Scientist"/>
    <n v="0"/>
    <n v="0"/>
    <n v="0"/>
    <n v="0"/>
    <n v="0"/>
    <n v="0"/>
    <n v="0"/>
    <n v="1"/>
    <x v="0"/>
    <s v="Married"/>
    <n v="0"/>
    <n v="1"/>
    <n v="2011"/>
    <n v="19982"/>
    <n v="1"/>
    <s v="No"/>
    <n v="0"/>
    <n v="13"/>
    <n v="3"/>
    <n v="4"/>
    <n v="1"/>
    <n v="10"/>
    <n v="5"/>
    <n v="3"/>
    <n v="10"/>
    <n v="5"/>
    <n v="7"/>
    <n v="7"/>
  </r>
  <r>
    <n v="19"/>
    <x v="0"/>
    <n v="1"/>
    <s v="Non-Travel"/>
    <n v="0"/>
    <n v="0"/>
    <n v="504"/>
    <s v="Research &amp; Development"/>
    <n v="1"/>
    <n v="0"/>
    <n v="10"/>
    <n v="3"/>
    <s v="Medical"/>
    <n v="0"/>
    <n v="0"/>
    <n v="1"/>
    <n v="0"/>
    <n v="0"/>
    <n v="1"/>
    <x v="0"/>
    <n v="1"/>
    <n v="96"/>
    <n v="2"/>
    <n v="1"/>
    <s v="Research Scientist"/>
    <n v="0"/>
    <n v="0"/>
    <n v="0"/>
    <n v="0"/>
    <n v="0"/>
    <n v="0"/>
    <n v="0"/>
    <n v="1"/>
    <x v="1"/>
    <s v="Single"/>
    <n v="1"/>
    <n v="0"/>
    <n v="1859"/>
    <n v="6148"/>
    <n v="1"/>
    <s v="Yes"/>
    <n v="1"/>
    <n v="25"/>
    <n v="4"/>
    <n v="2"/>
    <n v="0"/>
    <n v="1"/>
    <n v="2"/>
    <n v="4"/>
    <n v="1"/>
    <n v="1"/>
    <n v="0"/>
    <n v="0"/>
  </r>
  <r>
    <n v="29"/>
    <x v="1"/>
    <n v="0"/>
    <s v="Travel_Rarely"/>
    <n v="0"/>
    <n v="1"/>
    <n v="1010"/>
    <s v="Research &amp; Development"/>
    <n v="1"/>
    <n v="0"/>
    <n v="1"/>
    <n v="3"/>
    <s v="Life Sciences"/>
    <n v="1"/>
    <n v="0"/>
    <n v="0"/>
    <n v="0"/>
    <n v="0"/>
    <n v="1"/>
    <x v="0"/>
    <n v="1"/>
    <n v="97"/>
    <n v="3"/>
    <n v="1"/>
    <s v="Research Scientist"/>
    <n v="0"/>
    <n v="0"/>
    <n v="0"/>
    <n v="0"/>
    <n v="0"/>
    <n v="0"/>
    <n v="0"/>
    <n v="1"/>
    <x v="0"/>
    <s v="Divorced"/>
    <n v="0"/>
    <n v="0"/>
    <n v="3760"/>
    <n v="5598"/>
    <n v="1"/>
    <s v="No"/>
    <n v="0"/>
    <n v="15"/>
    <n v="3"/>
    <n v="1"/>
    <n v="3"/>
    <n v="3"/>
    <n v="5"/>
    <n v="3"/>
    <n v="3"/>
    <n v="2"/>
    <n v="1"/>
    <n v="2"/>
  </r>
  <r>
    <n v="54"/>
    <x v="1"/>
    <n v="0"/>
    <s v="Travel_Rarely"/>
    <n v="0"/>
    <n v="1"/>
    <n v="685"/>
    <s v="Research &amp; Development"/>
    <n v="1"/>
    <n v="0"/>
    <n v="3"/>
    <n v="3"/>
    <s v="Life Sciences"/>
    <n v="1"/>
    <n v="0"/>
    <n v="0"/>
    <n v="0"/>
    <n v="0"/>
    <n v="4"/>
    <x v="1"/>
    <n v="0"/>
    <n v="85"/>
    <n v="3"/>
    <n v="4"/>
    <s v="Research Director"/>
    <n v="0"/>
    <n v="0"/>
    <n v="0"/>
    <n v="0"/>
    <n v="0"/>
    <n v="0"/>
    <n v="0"/>
    <n v="0"/>
    <x v="0"/>
    <s v="Married"/>
    <n v="0"/>
    <n v="1"/>
    <n v="17779"/>
    <n v="23474"/>
    <n v="3"/>
    <s v="No"/>
    <n v="0"/>
    <n v="14"/>
    <n v="3"/>
    <n v="1"/>
    <n v="0"/>
    <n v="36"/>
    <n v="2"/>
    <n v="3"/>
    <n v="10"/>
    <n v="9"/>
    <n v="0"/>
    <n v="9"/>
  </r>
  <r>
    <n v="31"/>
    <x v="1"/>
    <n v="0"/>
    <s v="Travel_Rarely"/>
    <n v="0"/>
    <n v="1"/>
    <n v="1332"/>
    <s v="Research &amp; Development"/>
    <n v="1"/>
    <n v="0"/>
    <n v="11"/>
    <n v="2"/>
    <s v="Medical"/>
    <n v="0"/>
    <n v="0"/>
    <n v="1"/>
    <n v="0"/>
    <n v="0"/>
    <n v="3"/>
    <x v="1"/>
    <n v="0"/>
    <n v="80"/>
    <n v="3"/>
    <n v="2"/>
    <s v="Healthcare Representative"/>
    <n v="1"/>
    <n v="0"/>
    <n v="0"/>
    <n v="0"/>
    <n v="0"/>
    <n v="0"/>
    <n v="0"/>
    <n v="0"/>
    <x v="3"/>
    <s v="Married"/>
    <n v="0"/>
    <n v="1"/>
    <n v="6833"/>
    <n v="17089"/>
    <n v="1"/>
    <s v="Yes"/>
    <n v="1"/>
    <n v="12"/>
    <n v="3"/>
    <n v="4"/>
    <n v="0"/>
    <n v="6"/>
    <n v="2"/>
    <n v="2"/>
    <n v="6"/>
    <n v="5"/>
    <n v="0"/>
    <n v="1"/>
  </r>
  <r>
    <n v="31"/>
    <x v="1"/>
    <n v="0"/>
    <s v="Travel_Rarely"/>
    <n v="0"/>
    <n v="1"/>
    <n v="1062"/>
    <s v="Research &amp; Development"/>
    <n v="1"/>
    <n v="0"/>
    <n v="24"/>
    <n v="3"/>
    <s v="Medical"/>
    <n v="0"/>
    <n v="0"/>
    <n v="1"/>
    <n v="0"/>
    <n v="0"/>
    <n v="3"/>
    <x v="0"/>
    <n v="1"/>
    <n v="96"/>
    <n v="2"/>
    <n v="2"/>
    <s v="Healthcare Representative"/>
    <n v="1"/>
    <n v="0"/>
    <n v="0"/>
    <n v="0"/>
    <n v="0"/>
    <n v="0"/>
    <n v="0"/>
    <n v="0"/>
    <x v="3"/>
    <s v="Single"/>
    <n v="1"/>
    <n v="0"/>
    <n v="6812"/>
    <n v="17198"/>
    <n v="1"/>
    <s v="No"/>
    <n v="0"/>
    <n v="19"/>
    <n v="3"/>
    <n v="2"/>
    <n v="0"/>
    <n v="10"/>
    <n v="2"/>
    <n v="3"/>
    <n v="10"/>
    <n v="9"/>
    <n v="1"/>
    <n v="8"/>
  </r>
  <r>
    <n v="59"/>
    <x v="1"/>
    <n v="0"/>
    <s v="Travel_Rarely"/>
    <n v="0"/>
    <n v="1"/>
    <n v="326"/>
    <s v="Sales"/>
    <n v="0"/>
    <n v="1"/>
    <n v="3"/>
    <n v="3"/>
    <s v="Life Sciences"/>
    <n v="1"/>
    <n v="0"/>
    <n v="0"/>
    <n v="0"/>
    <n v="0"/>
    <n v="3"/>
    <x v="0"/>
    <n v="1"/>
    <n v="48"/>
    <n v="2"/>
    <n v="2"/>
    <s v="Sales Executive"/>
    <n v="0"/>
    <n v="1"/>
    <n v="0"/>
    <n v="0"/>
    <n v="0"/>
    <n v="0"/>
    <n v="0"/>
    <n v="0"/>
    <x v="0"/>
    <s v="Single"/>
    <n v="1"/>
    <n v="0"/>
    <n v="5171"/>
    <n v="16490"/>
    <n v="5"/>
    <s v="No"/>
    <n v="0"/>
    <n v="17"/>
    <n v="3"/>
    <n v="4"/>
    <n v="0"/>
    <n v="13"/>
    <n v="2"/>
    <n v="3"/>
    <n v="6"/>
    <n v="1"/>
    <n v="0"/>
    <n v="5"/>
  </r>
  <r>
    <n v="43"/>
    <x v="1"/>
    <n v="0"/>
    <s v="Travel_Rarely"/>
    <n v="0"/>
    <n v="1"/>
    <n v="920"/>
    <s v="Research &amp; Development"/>
    <n v="1"/>
    <n v="0"/>
    <n v="3"/>
    <n v="3"/>
    <s v="Life Sciences"/>
    <n v="1"/>
    <n v="0"/>
    <n v="0"/>
    <n v="0"/>
    <n v="0"/>
    <n v="3"/>
    <x v="1"/>
    <n v="0"/>
    <n v="96"/>
    <n v="1"/>
    <n v="5"/>
    <s v="Research Director"/>
    <n v="0"/>
    <n v="0"/>
    <n v="0"/>
    <n v="0"/>
    <n v="0"/>
    <n v="0"/>
    <n v="0"/>
    <n v="0"/>
    <x v="0"/>
    <s v="Married"/>
    <n v="0"/>
    <n v="1"/>
    <n v="19740"/>
    <n v="18625"/>
    <n v="3"/>
    <s v="No"/>
    <n v="0"/>
    <n v="14"/>
    <n v="3"/>
    <n v="2"/>
    <n v="1"/>
    <n v="25"/>
    <n v="2"/>
    <n v="3"/>
    <n v="8"/>
    <n v="7"/>
    <n v="0"/>
    <n v="7"/>
  </r>
  <r>
    <n v="49"/>
    <x v="1"/>
    <n v="0"/>
    <s v="Travel_Rarely"/>
    <n v="0"/>
    <n v="1"/>
    <n v="1098"/>
    <s v="Research &amp; Development"/>
    <n v="1"/>
    <n v="0"/>
    <n v="4"/>
    <n v="2"/>
    <s v="Medical"/>
    <n v="0"/>
    <n v="0"/>
    <n v="1"/>
    <n v="0"/>
    <n v="0"/>
    <n v="1"/>
    <x v="1"/>
    <n v="0"/>
    <n v="85"/>
    <n v="2"/>
    <n v="5"/>
    <s v="Manager"/>
    <n v="0"/>
    <n v="0"/>
    <n v="0"/>
    <n v="1"/>
    <n v="0"/>
    <n v="0"/>
    <n v="0"/>
    <n v="0"/>
    <x v="2"/>
    <s v="Married"/>
    <n v="0"/>
    <n v="1"/>
    <n v="18711"/>
    <n v="12124"/>
    <n v="2"/>
    <s v="No"/>
    <n v="0"/>
    <n v="13"/>
    <n v="3"/>
    <n v="3"/>
    <n v="1"/>
    <n v="23"/>
    <n v="2"/>
    <n v="4"/>
    <n v="1"/>
    <n v="0"/>
    <n v="0"/>
    <n v="0"/>
  </r>
  <r>
    <n v="36"/>
    <x v="1"/>
    <n v="0"/>
    <s v="Travel_Frequently"/>
    <n v="1"/>
    <n v="0"/>
    <n v="469"/>
    <s v="Research &amp; Development"/>
    <n v="1"/>
    <n v="0"/>
    <n v="3"/>
    <n v="3"/>
    <s v="Technical Degree"/>
    <n v="0"/>
    <n v="0"/>
    <n v="0"/>
    <n v="0"/>
    <n v="1"/>
    <n v="3"/>
    <x v="1"/>
    <n v="0"/>
    <n v="46"/>
    <n v="3"/>
    <n v="1"/>
    <s v="Research Scientist"/>
    <n v="0"/>
    <n v="0"/>
    <n v="0"/>
    <n v="0"/>
    <n v="0"/>
    <n v="0"/>
    <n v="0"/>
    <n v="1"/>
    <x v="1"/>
    <s v="Married"/>
    <n v="0"/>
    <n v="1"/>
    <n v="3692"/>
    <n v="9256"/>
    <n v="1"/>
    <s v="No"/>
    <n v="0"/>
    <n v="12"/>
    <n v="3"/>
    <n v="3"/>
    <n v="0"/>
    <n v="12"/>
    <n v="2"/>
    <n v="2"/>
    <n v="11"/>
    <n v="10"/>
    <n v="0"/>
    <n v="7"/>
  </r>
  <r>
    <n v="48"/>
    <x v="1"/>
    <n v="0"/>
    <s v="Travel_Rarely"/>
    <n v="0"/>
    <n v="1"/>
    <n v="969"/>
    <s v="Research &amp; Development"/>
    <n v="1"/>
    <n v="0"/>
    <n v="2"/>
    <n v="2"/>
    <s v="Technical Degree"/>
    <n v="0"/>
    <n v="0"/>
    <n v="0"/>
    <n v="0"/>
    <n v="1"/>
    <n v="4"/>
    <x v="1"/>
    <n v="0"/>
    <n v="76"/>
    <n v="4"/>
    <n v="1"/>
    <s v="Laboratory Technician"/>
    <n v="0"/>
    <n v="0"/>
    <n v="1"/>
    <n v="0"/>
    <n v="0"/>
    <n v="0"/>
    <n v="0"/>
    <n v="0"/>
    <x v="1"/>
    <s v="Single"/>
    <n v="1"/>
    <n v="0"/>
    <n v="2559"/>
    <n v="16620"/>
    <n v="5"/>
    <s v="No"/>
    <n v="0"/>
    <n v="11"/>
    <n v="3"/>
    <n v="3"/>
    <n v="0"/>
    <n v="7"/>
    <n v="4"/>
    <n v="2"/>
    <n v="1"/>
    <n v="0"/>
    <n v="0"/>
    <n v="0"/>
  </r>
  <r>
    <n v="27"/>
    <x v="1"/>
    <n v="0"/>
    <s v="Travel_Rarely"/>
    <n v="0"/>
    <n v="1"/>
    <n v="1167"/>
    <s v="Research &amp; Development"/>
    <n v="1"/>
    <n v="0"/>
    <n v="4"/>
    <n v="2"/>
    <s v="Life Sciences"/>
    <n v="1"/>
    <n v="0"/>
    <n v="0"/>
    <n v="0"/>
    <n v="0"/>
    <n v="1"/>
    <x v="1"/>
    <n v="0"/>
    <n v="76"/>
    <n v="3"/>
    <n v="1"/>
    <s v="Research Scientist"/>
    <n v="0"/>
    <n v="0"/>
    <n v="0"/>
    <n v="0"/>
    <n v="0"/>
    <n v="0"/>
    <n v="0"/>
    <n v="1"/>
    <x v="2"/>
    <s v="Divorced"/>
    <n v="0"/>
    <n v="0"/>
    <n v="2517"/>
    <n v="3208"/>
    <n v="1"/>
    <s v="No"/>
    <n v="0"/>
    <n v="11"/>
    <n v="3"/>
    <n v="2"/>
    <n v="3"/>
    <n v="5"/>
    <n v="2"/>
    <n v="3"/>
    <n v="5"/>
    <n v="3"/>
    <n v="0"/>
    <n v="3"/>
  </r>
  <r>
    <n v="29"/>
    <x v="1"/>
    <n v="0"/>
    <s v="Travel_Rarely"/>
    <n v="0"/>
    <n v="1"/>
    <n v="1329"/>
    <s v="Research &amp; Development"/>
    <n v="1"/>
    <n v="0"/>
    <n v="7"/>
    <n v="3"/>
    <s v="Life Sciences"/>
    <n v="1"/>
    <n v="0"/>
    <n v="0"/>
    <n v="0"/>
    <n v="0"/>
    <n v="3"/>
    <x v="1"/>
    <n v="0"/>
    <n v="82"/>
    <n v="3"/>
    <n v="2"/>
    <s v="Healthcare Representative"/>
    <n v="1"/>
    <n v="0"/>
    <n v="0"/>
    <n v="0"/>
    <n v="0"/>
    <n v="0"/>
    <n v="0"/>
    <n v="0"/>
    <x v="0"/>
    <s v="Divorced"/>
    <n v="0"/>
    <n v="0"/>
    <n v="6623"/>
    <n v="4204"/>
    <n v="1"/>
    <s v="Yes"/>
    <n v="1"/>
    <n v="11"/>
    <n v="3"/>
    <n v="2"/>
    <n v="2"/>
    <n v="6"/>
    <n v="2"/>
    <n v="3"/>
    <n v="6"/>
    <n v="0"/>
    <n v="1"/>
    <n v="0"/>
  </r>
  <r>
    <n v="48"/>
    <x v="1"/>
    <n v="0"/>
    <s v="Travel_Rarely"/>
    <n v="0"/>
    <n v="1"/>
    <n v="715"/>
    <s v="Research &amp; Development"/>
    <n v="1"/>
    <n v="0"/>
    <n v="1"/>
    <n v="3"/>
    <s v="Life Sciences"/>
    <n v="1"/>
    <n v="0"/>
    <n v="0"/>
    <n v="0"/>
    <n v="0"/>
    <n v="4"/>
    <x v="1"/>
    <n v="0"/>
    <n v="76"/>
    <n v="2"/>
    <n v="5"/>
    <s v="Research Director"/>
    <n v="0"/>
    <n v="0"/>
    <n v="0"/>
    <n v="0"/>
    <n v="0"/>
    <n v="0"/>
    <n v="0"/>
    <n v="0"/>
    <x v="0"/>
    <s v="Single"/>
    <n v="1"/>
    <n v="0"/>
    <n v="18265"/>
    <n v="8733"/>
    <n v="6"/>
    <s v="No"/>
    <n v="0"/>
    <n v="12"/>
    <n v="3"/>
    <n v="3"/>
    <n v="0"/>
    <n v="25"/>
    <n v="3"/>
    <n v="4"/>
    <n v="1"/>
    <n v="0"/>
    <n v="0"/>
    <n v="0"/>
  </r>
  <r>
    <n v="29"/>
    <x v="1"/>
    <n v="0"/>
    <s v="Travel_Rarely"/>
    <n v="0"/>
    <n v="1"/>
    <n v="694"/>
    <s v="Research &amp; Development"/>
    <n v="1"/>
    <n v="0"/>
    <n v="1"/>
    <n v="3"/>
    <s v="Life Sciences"/>
    <n v="1"/>
    <n v="0"/>
    <n v="0"/>
    <n v="0"/>
    <n v="0"/>
    <n v="4"/>
    <x v="0"/>
    <n v="1"/>
    <n v="87"/>
    <n v="2"/>
    <n v="4"/>
    <s v="Research Director"/>
    <n v="0"/>
    <n v="0"/>
    <n v="0"/>
    <n v="0"/>
    <n v="0"/>
    <n v="0"/>
    <n v="0"/>
    <n v="0"/>
    <x v="0"/>
    <s v="Divorced"/>
    <n v="0"/>
    <n v="0"/>
    <n v="16124"/>
    <n v="3423"/>
    <n v="3"/>
    <s v="No"/>
    <n v="0"/>
    <n v="14"/>
    <n v="3"/>
    <n v="2"/>
    <n v="2"/>
    <n v="9"/>
    <n v="2"/>
    <n v="2"/>
    <n v="7"/>
    <n v="7"/>
    <n v="1"/>
    <n v="7"/>
  </r>
  <r>
    <n v="34"/>
    <x v="1"/>
    <n v="0"/>
    <s v="Travel_Rarely"/>
    <n v="0"/>
    <n v="1"/>
    <n v="1320"/>
    <s v="Research &amp; Development"/>
    <n v="1"/>
    <n v="0"/>
    <n v="20"/>
    <n v="3"/>
    <s v="Technical Degree"/>
    <n v="0"/>
    <n v="0"/>
    <n v="0"/>
    <n v="0"/>
    <n v="1"/>
    <n v="3"/>
    <x v="0"/>
    <n v="1"/>
    <n v="89"/>
    <n v="4"/>
    <n v="1"/>
    <s v="Research Scientist"/>
    <n v="0"/>
    <n v="0"/>
    <n v="0"/>
    <n v="0"/>
    <n v="0"/>
    <n v="0"/>
    <n v="0"/>
    <n v="1"/>
    <x v="2"/>
    <s v="Married"/>
    <n v="0"/>
    <n v="1"/>
    <n v="2585"/>
    <n v="21643"/>
    <n v="0"/>
    <s v="No"/>
    <n v="0"/>
    <n v="17"/>
    <n v="3"/>
    <n v="4"/>
    <n v="0"/>
    <n v="2"/>
    <n v="5"/>
    <n v="2"/>
    <n v="1"/>
    <n v="0"/>
    <n v="0"/>
    <n v="0"/>
  </r>
  <r>
    <n v="44"/>
    <x v="1"/>
    <n v="0"/>
    <s v="Travel_Rarely"/>
    <n v="0"/>
    <n v="1"/>
    <n v="1099"/>
    <s v="Sales"/>
    <n v="0"/>
    <n v="1"/>
    <n v="5"/>
    <n v="3"/>
    <s v="Marketing"/>
    <n v="0"/>
    <n v="0"/>
    <n v="0"/>
    <n v="1"/>
    <n v="0"/>
    <n v="2"/>
    <x v="1"/>
    <n v="0"/>
    <n v="88"/>
    <n v="3"/>
    <n v="5"/>
    <s v="Manager"/>
    <n v="0"/>
    <n v="0"/>
    <n v="0"/>
    <n v="1"/>
    <n v="0"/>
    <n v="0"/>
    <n v="0"/>
    <n v="0"/>
    <x v="1"/>
    <s v="Married"/>
    <n v="0"/>
    <n v="1"/>
    <n v="18213"/>
    <n v="8751"/>
    <n v="7"/>
    <s v="No"/>
    <n v="0"/>
    <n v="11"/>
    <n v="3"/>
    <n v="3"/>
    <n v="1"/>
    <n v="26"/>
    <n v="5"/>
    <n v="3"/>
    <n v="22"/>
    <n v="9"/>
    <n v="3"/>
    <n v="10"/>
  </r>
  <r>
    <n v="33"/>
    <x v="1"/>
    <n v="0"/>
    <s v="Travel_Rarely"/>
    <n v="0"/>
    <n v="1"/>
    <n v="536"/>
    <s v="Sales"/>
    <n v="0"/>
    <n v="1"/>
    <n v="10"/>
    <n v="5"/>
    <s v="Marketing"/>
    <n v="0"/>
    <n v="0"/>
    <n v="0"/>
    <n v="1"/>
    <n v="0"/>
    <n v="4"/>
    <x v="1"/>
    <n v="0"/>
    <n v="82"/>
    <n v="4"/>
    <n v="3"/>
    <s v="Sales Executive"/>
    <n v="0"/>
    <n v="1"/>
    <n v="0"/>
    <n v="0"/>
    <n v="0"/>
    <n v="0"/>
    <n v="0"/>
    <n v="0"/>
    <x v="2"/>
    <s v="Divorced"/>
    <n v="0"/>
    <n v="0"/>
    <n v="8380"/>
    <n v="21708"/>
    <n v="0"/>
    <s v="Yes"/>
    <n v="1"/>
    <n v="14"/>
    <n v="3"/>
    <n v="4"/>
    <n v="2"/>
    <n v="10"/>
    <n v="3"/>
    <n v="3"/>
    <n v="9"/>
    <n v="8"/>
    <n v="0"/>
    <n v="8"/>
  </r>
  <r>
    <n v="19"/>
    <x v="1"/>
    <n v="0"/>
    <s v="Travel_Rarely"/>
    <n v="0"/>
    <n v="1"/>
    <n v="265"/>
    <s v="Research &amp; Development"/>
    <n v="1"/>
    <n v="0"/>
    <n v="25"/>
    <n v="3"/>
    <s v="Life Sciences"/>
    <n v="1"/>
    <n v="0"/>
    <n v="0"/>
    <n v="0"/>
    <n v="0"/>
    <n v="2"/>
    <x v="0"/>
    <n v="1"/>
    <n v="57"/>
    <n v="4"/>
    <n v="1"/>
    <s v="Research Scientist"/>
    <n v="0"/>
    <n v="0"/>
    <n v="0"/>
    <n v="0"/>
    <n v="0"/>
    <n v="0"/>
    <n v="0"/>
    <n v="1"/>
    <x v="0"/>
    <s v="Single"/>
    <n v="1"/>
    <n v="0"/>
    <n v="2994"/>
    <n v="21221"/>
    <n v="1"/>
    <s v="Yes"/>
    <n v="1"/>
    <n v="12"/>
    <n v="3"/>
    <n v="4"/>
    <n v="0"/>
    <n v="1"/>
    <n v="2"/>
    <n v="3"/>
    <n v="1"/>
    <n v="0"/>
    <n v="0"/>
    <n v="1"/>
  </r>
  <r>
    <n v="23"/>
    <x v="1"/>
    <n v="0"/>
    <s v="Travel_Rarely"/>
    <n v="0"/>
    <n v="1"/>
    <n v="373"/>
    <s v="Research &amp; Development"/>
    <n v="1"/>
    <n v="0"/>
    <n v="1"/>
    <n v="2"/>
    <s v="Life Sciences"/>
    <n v="1"/>
    <n v="0"/>
    <n v="0"/>
    <n v="0"/>
    <n v="0"/>
    <n v="4"/>
    <x v="1"/>
    <n v="0"/>
    <n v="47"/>
    <n v="3"/>
    <n v="1"/>
    <s v="Research Scientist"/>
    <n v="0"/>
    <n v="0"/>
    <n v="0"/>
    <n v="0"/>
    <n v="0"/>
    <n v="0"/>
    <n v="0"/>
    <n v="1"/>
    <x v="2"/>
    <s v="Married"/>
    <n v="0"/>
    <n v="1"/>
    <n v="1223"/>
    <n v="16901"/>
    <n v="1"/>
    <s v="No"/>
    <n v="0"/>
    <n v="22"/>
    <n v="4"/>
    <n v="4"/>
    <n v="1"/>
    <n v="1"/>
    <n v="2"/>
    <n v="3"/>
    <n v="1"/>
    <n v="0"/>
    <n v="0"/>
    <n v="1"/>
  </r>
  <r>
    <n v="25"/>
    <x v="0"/>
    <n v="1"/>
    <s v="Travel_Frequently"/>
    <n v="1"/>
    <n v="0"/>
    <n v="599"/>
    <s v="Sales"/>
    <n v="0"/>
    <n v="1"/>
    <n v="24"/>
    <n v="1"/>
    <s v="Life Sciences"/>
    <n v="1"/>
    <n v="0"/>
    <n v="0"/>
    <n v="0"/>
    <n v="0"/>
    <n v="3"/>
    <x v="1"/>
    <n v="0"/>
    <n v="73"/>
    <n v="1"/>
    <n v="1"/>
    <s v="Sales Representative"/>
    <n v="0"/>
    <n v="0"/>
    <n v="0"/>
    <n v="0"/>
    <n v="0"/>
    <n v="0"/>
    <n v="1"/>
    <n v="0"/>
    <x v="0"/>
    <s v="Single"/>
    <n v="1"/>
    <n v="0"/>
    <n v="1118"/>
    <n v="8040"/>
    <n v="1"/>
    <s v="Yes"/>
    <n v="1"/>
    <n v="14"/>
    <n v="3"/>
    <n v="4"/>
    <n v="0"/>
    <n v="1"/>
    <n v="4"/>
    <n v="3"/>
    <n v="1"/>
    <n v="0"/>
    <n v="1"/>
    <n v="0"/>
  </r>
  <r>
    <n v="26"/>
    <x v="1"/>
    <n v="0"/>
    <s v="Travel_Rarely"/>
    <n v="0"/>
    <n v="1"/>
    <n v="583"/>
    <s v="Research &amp; Development"/>
    <n v="1"/>
    <n v="0"/>
    <n v="4"/>
    <n v="2"/>
    <s v="Life Sciences"/>
    <n v="1"/>
    <n v="0"/>
    <n v="0"/>
    <n v="0"/>
    <n v="0"/>
    <n v="3"/>
    <x v="1"/>
    <n v="0"/>
    <n v="53"/>
    <n v="3"/>
    <n v="1"/>
    <s v="Research Scientist"/>
    <n v="0"/>
    <n v="0"/>
    <n v="0"/>
    <n v="0"/>
    <n v="0"/>
    <n v="0"/>
    <n v="0"/>
    <n v="1"/>
    <x v="0"/>
    <s v="Single"/>
    <n v="1"/>
    <n v="0"/>
    <n v="2875"/>
    <n v="9973"/>
    <n v="1"/>
    <s v="Yes"/>
    <n v="1"/>
    <n v="20"/>
    <n v="4"/>
    <n v="2"/>
    <n v="0"/>
    <n v="8"/>
    <n v="2"/>
    <n v="2"/>
    <n v="8"/>
    <n v="5"/>
    <n v="2"/>
    <n v="2"/>
  </r>
  <r>
    <n v="45"/>
    <x v="0"/>
    <n v="1"/>
    <s v="Travel_Rarely"/>
    <n v="0"/>
    <n v="1"/>
    <n v="1449"/>
    <s v="Sales"/>
    <n v="0"/>
    <n v="1"/>
    <n v="2"/>
    <n v="3"/>
    <s v="Marketing"/>
    <n v="0"/>
    <n v="0"/>
    <n v="0"/>
    <n v="1"/>
    <n v="0"/>
    <n v="1"/>
    <x v="0"/>
    <n v="1"/>
    <n v="94"/>
    <n v="1"/>
    <n v="5"/>
    <s v="Manager"/>
    <n v="0"/>
    <n v="0"/>
    <n v="0"/>
    <n v="1"/>
    <n v="0"/>
    <n v="0"/>
    <n v="0"/>
    <n v="0"/>
    <x v="1"/>
    <s v="Single"/>
    <n v="1"/>
    <n v="0"/>
    <n v="18824"/>
    <n v="2493"/>
    <n v="2"/>
    <s v="Yes"/>
    <n v="1"/>
    <n v="16"/>
    <n v="3"/>
    <n v="1"/>
    <n v="0"/>
    <n v="26"/>
    <n v="2"/>
    <n v="3"/>
    <n v="24"/>
    <n v="10"/>
    <n v="1"/>
    <n v="11"/>
  </r>
  <r>
    <n v="55"/>
    <x v="1"/>
    <n v="0"/>
    <s v="Non-Travel"/>
    <n v="0"/>
    <n v="0"/>
    <n v="177"/>
    <s v="Research &amp; Development"/>
    <n v="1"/>
    <n v="0"/>
    <n v="8"/>
    <n v="1"/>
    <s v="Medical"/>
    <n v="0"/>
    <n v="0"/>
    <n v="1"/>
    <n v="0"/>
    <n v="0"/>
    <n v="4"/>
    <x v="1"/>
    <n v="0"/>
    <n v="37"/>
    <n v="2"/>
    <n v="4"/>
    <s v="Healthcare Representative"/>
    <n v="1"/>
    <n v="0"/>
    <n v="0"/>
    <n v="0"/>
    <n v="0"/>
    <n v="0"/>
    <n v="0"/>
    <n v="0"/>
    <x v="1"/>
    <s v="Divorced"/>
    <n v="0"/>
    <n v="0"/>
    <n v="13577"/>
    <n v="25592"/>
    <n v="1"/>
    <s v="Yes"/>
    <n v="1"/>
    <n v="15"/>
    <n v="3"/>
    <n v="4"/>
    <n v="1"/>
    <n v="34"/>
    <n v="3"/>
    <n v="3"/>
    <n v="33"/>
    <n v="9"/>
    <n v="15"/>
    <n v="0"/>
  </r>
  <r>
    <n v="21"/>
    <x v="0"/>
    <n v="1"/>
    <s v="Travel_Frequently"/>
    <n v="1"/>
    <n v="0"/>
    <n v="251"/>
    <s v="Research &amp; Development"/>
    <n v="1"/>
    <n v="0"/>
    <n v="10"/>
    <n v="2"/>
    <s v="Life Sciences"/>
    <n v="1"/>
    <n v="0"/>
    <n v="0"/>
    <n v="0"/>
    <n v="0"/>
    <n v="1"/>
    <x v="0"/>
    <n v="1"/>
    <n v="45"/>
    <n v="2"/>
    <n v="1"/>
    <s v="Laboratory Technician"/>
    <n v="0"/>
    <n v="0"/>
    <n v="1"/>
    <n v="0"/>
    <n v="0"/>
    <n v="0"/>
    <n v="0"/>
    <n v="0"/>
    <x v="2"/>
    <s v="Single"/>
    <n v="1"/>
    <n v="0"/>
    <n v="2625"/>
    <n v="25308"/>
    <n v="1"/>
    <s v="No"/>
    <n v="0"/>
    <n v="20"/>
    <n v="4"/>
    <n v="3"/>
    <n v="0"/>
    <n v="2"/>
    <n v="2"/>
    <n v="1"/>
    <n v="2"/>
    <n v="2"/>
    <n v="2"/>
    <n v="2"/>
  </r>
  <r>
    <n v="46"/>
    <x v="1"/>
    <n v="0"/>
    <s v="Travel_Rarely"/>
    <n v="0"/>
    <n v="1"/>
    <n v="168"/>
    <s v="Sales"/>
    <n v="0"/>
    <n v="1"/>
    <n v="4"/>
    <n v="2"/>
    <s v="Marketing"/>
    <n v="0"/>
    <n v="0"/>
    <n v="0"/>
    <n v="1"/>
    <n v="0"/>
    <n v="4"/>
    <x v="0"/>
    <n v="1"/>
    <n v="33"/>
    <n v="2"/>
    <n v="5"/>
    <s v="Manager"/>
    <n v="0"/>
    <n v="0"/>
    <n v="0"/>
    <n v="1"/>
    <n v="0"/>
    <n v="0"/>
    <n v="0"/>
    <n v="0"/>
    <x v="1"/>
    <s v="Married"/>
    <n v="0"/>
    <n v="1"/>
    <n v="18789"/>
    <n v="9946"/>
    <n v="2"/>
    <s v="No"/>
    <n v="0"/>
    <n v="14"/>
    <n v="3"/>
    <n v="3"/>
    <n v="1"/>
    <n v="26"/>
    <n v="2"/>
    <n v="3"/>
    <n v="11"/>
    <n v="4"/>
    <n v="0"/>
    <n v="8"/>
  </r>
  <r>
    <n v="34"/>
    <x v="1"/>
    <n v="0"/>
    <s v="Travel_Rarely"/>
    <n v="0"/>
    <n v="1"/>
    <n v="131"/>
    <s v="Sales"/>
    <n v="0"/>
    <n v="1"/>
    <n v="2"/>
    <n v="3"/>
    <s v="Marketing"/>
    <n v="0"/>
    <n v="0"/>
    <n v="0"/>
    <n v="1"/>
    <n v="0"/>
    <n v="3"/>
    <x v="0"/>
    <n v="1"/>
    <n v="86"/>
    <n v="3"/>
    <n v="2"/>
    <s v="Sales Executive"/>
    <n v="0"/>
    <n v="1"/>
    <n v="0"/>
    <n v="0"/>
    <n v="0"/>
    <n v="0"/>
    <n v="0"/>
    <n v="0"/>
    <x v="3"/>
    <s v="Single"/>
    <n v="1"/>
    <n v="0"/>
    <n v="4538"/>
    <n v="6039"/>
    <n v="0"/>
    <s v="Yes"/>
    <n v="1"/>
    <n v="12"/>
    <n v="3"/>
    <n v="4"/>
    <n v="0"/>
    <n v="4"/>
    <n v="3"/>
    <n v="3"/>
    <n v="3"/>
    <n v="2"/>
    <n v="0"/>
    <n v="2"/>
  </r>
  <r>
    <n v="51"/>
    <x v="1"/>
    <n v="0"/>
    <s v="Travel_Frequently"/>
    <n v="1"/>
    <n v="0"/>
    <n v="237"/>
    <s v="Sales"/>
    <n v="0"/>
    <n v="1"/>
    <n v="9"/>
    <n v="3"/>
    <s v="Life Sciences"/>
    <n v="1"/>
    <n v="0"/>
    <n v="0"/>
    <n v="0"/>
    <n v="0"/>
    <n v="4"/>
    <x v="1"/>
    <n v="0"/>
    <n v="83"/>
    <n v="3"/>
    <n v="5"/>
    <s v="Manager"/>
    <n v="0"/>
    <n v="0"/>
    <n v="0"/>
    <n v="1"/>
    <n v="0"/>
    <n v="0"/>
    <n v="0"/>
    <n v="0"/>
    <x v="1"/>
    <s v="Divorced"/>
    <n v="0"/>
    <n v="0"/>
    <n v="19847"/>
    <n v="19196"/>
    <n v="4"/>
    <s v="Yes"/>
    <n v="1"/>
    <n v="24"/>
    <n v="4"/>
    <n v="1"/>
    <n v="1"/>
    <n v="31"/>
    <n v="5"/>
    <n v="2"/>
    <n v="29"/>
    <n v="10"/>
    <n v="11"/>
    <n v="10"/>
  </r>
  <r>
    <n v="59"/>
    <x v="1"/>
    <n v="0"/>
    <s v="Travel_Rarely"/>
    <n v="0"/>
    <n v="1"/>
    <n v="1429"/>
    <s v="Research &amp; Development"/>
    <n v="1"/>
    <n v="0"/>
    <n v="18"/>
    <n v="4"/>
    <s v="Medical"/>
    <n v="0"/>
    <n v="0"/>
    <n v="1"/>
    <n v="0"/>
    <n v="0"/>
    <n v="4"/>
    <x v="1"/>
    <n v="0"/>
    <n v="67"/>
    <n v="3"/>
    <n v="3"/>
    <s v="Manufacturing Director"/>
    <n v="0"/>
    <n v="0"/>
    <n v="0"/>
    <n v="0"/>
    <n v="1"/>
    <n v="1"/>
    <n v="0"/>
    <n v="0"/>
    <x v="0"/>
    <s v="Single"/>
    <n v="1"/>
    <n v="0"/>
    <n v="10512"/>
    <n v="20002"/>
    <n v="6"/>
    <s v="No"/>
    <n v="0"/>
    <n v="12"/>
    <n v="3"/>
    <n v="4"/>
    <n v="0"/>
    <n v="25"/>
    <n v="6"/>
    <n v="2"/>
    <n v="9"/>
    <n v="7"/>
    <n v="5"/>
    <n v="4"/>
  </r>
  <r>
    <n v="34"/>
    <x v="1"/>
    <n v="0"/>
    <s v="Travel_Frequently"/>
    <n v="1"/>
    <n v="0"/>
    <n v="135"/>
    <s v="Research &amp; Development"/>
    <n v="1"/>
    <n v="0"/>
    <n v="19"/>
    <n v="3"/>
    <s v="Medical"/>
    <n v="0"/>
    <n v="0"/>
    <n v="1"/>
    <n v="0"/>
    <n v="0"/>
    <n v="3"/>
    <x v="0"/>
    <n v="1"/>
    <n v="46"/>
    <n v="3"/>
    <n v="2"/>
    <s v="Laboratory Technician"/>
    <n v="0"/>
    <n v="0"/>
    <n v="1"/>
    <n v="0"/>
    <n v="0"/>
    <n v="0"/>
    <n v="0"/>
    <n v="0"/>
    <x v="1"/>
    <s v="Divorced"/>
    <n v="0"/>
    <n v="0"/>
    <n v="4444"/>
    <n v="22534"/>
    <n v="4"/>
    <s v="No"/>
    <n v="0"/>
    <n v="13"/>
    <n v="3"/>
    <n v="3"/>
    <n v="2"/>
    <n v="15"/>
    <n v="2"/>
    <n v="4"/>
    <n v="11"/>
    <n v="8"/>
    <n v="5"/>
    <n v="10"/>
  </r>
  <r>
    <n v="28"/>
    <x v="1"/>
    <n v="0"/>
    <s v="Travel_Frequently"/>
    <n v="1"/>
    <n v="0"/>
    <n v="791"/>
    <s v="Research &amp; Development"/>
    <n v="1"/>
    <n v="0"/>
    <n v="1"/>
    <n v="4"/>
    <s v="Medical"/>
    <n v="0"/>
    <n v="0"/>
    <n v="1"/>
    <n v="0"/>
    <n v="0"/>
    <n v="4"/>
    <x v="1"/>
    <n v="0"/>
    <n v="44"/>
    <n v="3"/>
    <n v="1"/>
    <s v="Laboratory Technician"/>
    <n v="0"/>
    <n v="0"/>
    <n v="1"/>
    <n v="0"/>
    <n v="0"/>
    <n v="0"/>
    <n v="0"/>
    <n v="0"/>
    <x v="2"/>
    <s v="Single"/>
    <n v="1"/>
    <n v="0"/>
    <n v="2154"/>
    <n v="6842"/>
    <n v="0"/>
    <s v="Yes"/>
    <n v="1"/>
    <n v="11"/>
    <n v="3"/>
    <n v="3"/>
    <n v="0"/>
    <n v="5"/>
    <n v="2"/>
    <n v="2"/>
    <n v="4"/>
    <n v="2"/>
    <n v="0"/>
    <n v="2"/>
  </r>
  <r>
    <n v="44"/>
    <x v="1"/>
    <n v="0"/>
    <s v="Travel_Rarely"/>
    <n v="0"/>
    <n v="1"/>
    <n v="1199"/>
    <s v="Research &amp; Development"/>
    <n v="1"/>
    <n v="0"/>
    <n v="4"/>
    <n v="2"/>
    <s v="Life Sciences"/>
    <n v="1"/>
    <n v="0"/>
    <n v="0"/>
    <n v="0"/>
    <n v="0"/>
    <n v="3"/>
    <x v="1"/>
    <n v="0"/>
    <n v="92"/>
    <n v="4"/>
    <n v="5"/>
    <s v="Manager"/>
    <n v="0"/>
    <n v="0"/>
    <n v="0"/>
    <n v="1"/>
    <n v="0"/>
    <n v="0"/>
    <n v="0"/>
    <n v="0"/>
    <x v="3"/>
    <s v="Divorced"/>
    <n v="0"/>
    <n v="0"/>
    <n v="19190"/>
    <n v="17477"/>
    <n v="1"/>
    <s v="No"/>
    <n v="0"/>
    <n v="14"/>
    <n v="3"/>
    <n v="4"/>
    <n v="2"/>
    <n v="26"/>
    <n v="4"/>
    <n v="2"/>
    <n v="25"/>
    <n v="9"/>
    <n v="14"/>
    <n v="13"/>
  </r>
  <r>
    <n v="34"/>
    <x v="1"/>
    <n v="0"/>
    <s v="Travel_Frequently"/>
    <n v="1"/>
    <n v="0"/>
    <n v="648"/>
    <s v="Human Resources"/>
    <n v="0"/>
    <n v="0"/>
    <n v="11"/>
    <n v="3"/>
    <s v="Life Sciences"/>
    <n v="1"/>
    <n v="0"/>
    <n v="0"/>
    <n v="0"/>
    <n v="0"/>
    <n v="3"/>
    <x v="1"/>
    <n v="0"/>
    <n v="56"/>
    <n v="2"/>
    <n v="2"/>
    <s v="Human Resources"/>
    <n v="0"/>
    <n v="0"/>
    <n v="0"/>
    <n v="0"/>
    <n v="0"/>
    <n v="0"/>
    <n v="0"/>
    <n v="0"/>
    <x v="1"/>
    <s v="Married"/>
    <n v="0"/>
    <n v="1"/>
    <n v="4490"/>
    <n v="21833"/>
    <n v="4"/>
    <s v="No"/>
    <n v="0"/>
    <n v="11"/>
    <n v="3"/>
    <n v="4"/>
    <n v="2"/>
    <n v="14"/>
    <n v="5"/>
    <n v="4"/>
    <n v="10"/>
    <n v="9"/>
    <n v="1"/>
    <n v="8"/>
  </r>
  <r>
    <n v="35"/>
    <x v="1"/>
    <n v="0"/>
    <s v="Travel_Rarely"/>
    <n v="0"/>
    <n v="1"/>
    <n v="735"/>
    <s v="Research &amp; Development"/>
    <n v="1"/>
    <n v="0"/>
    <n v="6"/>
    <n v="1"/>
    <s v="Life Sciences"/>
    <n v="1"/>
    <n v="0"/>
    <n v="0"/>
    <n v="0"/>
    <n v="0"/>
    <n v="3"/>
    <x v="1"/>
    <n v="0"/>
    <n v="66"/>
    <n v="3"/>
    <n v="1"/>
    <s v="Research Scientist"/>
    <n v="0"/>
    <n v="0"/>
    <n v="0"/>
    <n v="0"/>
    <n v="0"/>
    <n v="0"/>
    <n v="0"/>
    <n v="1"/>
    <x v="2"/>
    <s v="Married"/>
    <n v="0"/>
    <n v="1"/>
    <n v="3506"/>
    <n v="6020"/>
    <n v="0"/>
    <s v="Yes"/>
    <n v="1"/>
    <n v="14"/>
    <n v="3"/>
    <n v="4"/>
    <n v="0"/>
    <n v="4"/>
    <n v="3"/>
    <n v="3"/>
    <n v="3"/>
    <n v="2"/>
    <n v="2"/>
    <n v="2"/>
  </r>
  <r>
    <n v="42"/>
    <x v="1"/>
    <n v="0"/>
    <s v="Travel_Rarely"/>
    <n v="0"/>
    <n v="1"/>
    <n v="603"/>
    <s v="Research &amp; Development"/>
    <n v="1"/>
    <n v="0"/>
    <n v="7"/>
    <n v="4"/>
    <s v="Medical"/>
    <n v="0"/>
    <n v="0"/>
    <n v="1"/>
    <n v="0"/>
    <n v="0"/>
    <n v="2"/>
    <x v="0"/>
    <n v="1"/>
    <n v="78"/>
    <n v="4"/>
    <n v="2"/>
    <s v="Research Scientist"/>
    <n v="0"/>
    <n v="0"/>
    <n v="0"/>
    <n v="0"/>
    <n v="0"/>
    <n v="0"/>
    <n v="0"/>
    <n v="1"/>
    <x v="1"/>
    <s v="Married"/>
    <n v="0"/>
    <n v="1"/>
    <n v="2372"/>
    <n v="5628"/>
    <n v="6"/>
    <s v="Yes"/>
    <n v="1"/>
    <n v="16"/>
    <n v="3"/>
    <n v="4"/>
    <n v="0"/>
    <n v="18"/>
    <n v="2"/>
    <n v="3"/>
    <n v="1"/>
    <n v="0"/>
    <n v="0"/>
    <n v="0"/>
  </r>
  <r>
    <n v="43"/>
    <x v="1"/>
    <n v="0"/>
    <s v="Travel_Rarely"/>
    <n v="0"/>
    <n v="1"/>
    <n v="531"/>
    <s v="Sales"/>
    <n v="0"/>
    <n v="1"/>
    <n v="4"/>
    <n v="4"/>
    <s v="Marketing"/>
    <n v="0"/>
    <n v="0"/>
    <n v="0"/>
    <n v="1"/>
    <n v="0"/>
    <n v="4"/>
    <x v="0"/>
    <n v="1"/>
    <n v="56"/>
    <n v="2"/>
    <n v="3"/>
    <s v="Sales Executive"/>
    <n v="0"/>
    <n v="1"/>
    <n v="0"/>
    <n v="0"/>
    <n v="0"/>
    <n v="0"/>
    <n v="0"/>
    <n v="0"/>
    <x v="0"/>
    <s v="Single"/>
    <n v="1"/>
    <n v="0"/>
    <n v="10231"/>
    <n v="20364"/>
    <n v="3"/>
    <s v="No"/>
    <n v="0"/>
    <n v="14"/>
    <n v="3"/>
    <n v="4"/>
    <n v="0"/>
    <n v="23"/>
    <n v="3"/>
    <n v="4"/>
    <n v="21"/>
    <n v="7"/>
    <n v="15"/>
    <n v="17"/>
  </r>
  <r>
    <n v="36"/>
    <x v="1"/>
    <n v="0"/>
    <s v="Travel_Rarely"/>
    <n v="0"/>
    <n v="1"/>
    <n v="429"/>
    <s v="Research &amp; Development"/>
    <n v="1"/>
    <n v="0"/>
    <n v="2"/>
    <n v="4"/>
    <s v="Life Sciences"/>
    <n v="1"/>
    <n v="0"/>
    <n v="0"/>
    <n v="0"/>
    <n v="0"/>
    <n v="3"/>
    <x v="0"/>
    <n v="1"/>
    <n v="53"/>
    <n v="3"/>
    <n v="2"/>
    <s v="Manufacturing Director"/>
    <n v="0"/>
    <n v="0"/>
    <n v="0"/>
    <n v="0"/>
    <n v="1"/>
    <n v="1"/>
    <n v="0"/>
    <n v="0"/>
    <x v="1"/>
    <s v="Single"/>
    <n v="1"/>
    <n v="0"/>
    <n v="5410"/>
    <n v="2323"/>
    <n v="9"/>
    <s v="Yes"/>
    <n v="1"/>
    <n v="11"/>
    <n v="3"/>
    <n v="4"/>
    <n v="0"/>
    <n v="18"/>
    <n v="2"/>
    <n v="3"/>
    <n v="16"/>
    <n v="14"/>
    <n v="5"/>
    <n v="12"/>
  </r>
  <r>
    <n v="44"/>
    <x v="0"/>
    <n v="1"/>
    <s v="Travel_Rarely"/>
    <n v="0"/>
    <n v="1"/>
    <n v="621"/>
    <s v="Research &amp; Development"/>
    <n v="1"/>
    <n v="0"/>
    <n v="15"/>
    <n v="3"/>
    <s v="Medical"/>
    <n v="0"/>
    <n v="0"/>
    <n v="1"/>
    <n v="0"/>
    <n v="0"/>
    <n v="1"/>
    <x v="0"/>
    <n v="1"/>
    <n v="73"/>
    <n v="3"/>
    <n v="3"/>
    <s v="Healthcare Representative"/>
    <n v="1"/>
    <n v="0"/>
    <n v="0"/>
    <n v="0"/>
    <n v="0"/>
    <n v="0"/>
    <n v="0"/>
    <n v="0"/>
    <x v="0"/>
    <s v="Married"/>
    <n v="0"/>
    <n v="1"/>
    <n v="7978"/>
    <n v="14075"/>
    <n v="1"/>
    <s v="No"/>
    <n v="0"/>
    <n v="11"/>
    <n v="3"/>
    <n v="4"/>
    <n v="1"/>
    <n v="10"/>
    <n v="2"/>
    <n v="3"/>
    <n v="10"/>
    <n v="7"/>
    <n v="0"/>
    <n v="5"/>
  </r>
  <r>
    <n v="28"/>
    <x v="1"/>
    <n v="0"/>
    <s v="Travel_Frequently"/>
    <n v="1"/>
    <n v="0"/>
    <n v="193"/>
    <s v="Research &amp; Development"/>
    <n v="1"/>
    <n v="0"/>
    <n v="2"/>
    <n v="3"/>
    <s v="Life Sciences"/>
    <n v="1"/>
    <n v="0"/>
    <n v="0"/>
    <n v="0"/>
    <n v="0"/>
    <n v="4"/>
    <x v="1"/>
    <n v="0"/>
    <n v="52"/>
    <n v="2"/>
    <n v="1"/>
    <s v="Laboratory Technician"/>
    <n v="0"/>
    <n v="0"/>
    <n v="1"/>
    <n v="0"/>
    <n v="0"/>
    <n v="0"/>
    <n v="0"/>
    <n v="0"/>
    <x v="0"/>
    <s v="Married"/>
    <n v="0"/>
    <n v="1"/>
    <n v="3867"/>
    <n v="14222"/>
    <n v="1"/>
    <s v="Yes"/>
    <n v="1"/>
    <n v="12"/>
    <n v="3"/>
    <n v="2"/>
    <n v="1"/>
    <n v="2"/>
    <n v="2"/>
    <n v="3"/>
    <n v="2"/>
    <n v="2"/>
    <n v="2"/>
    <n v="2"/>
  </r>
  <r>
    <n v="51"/>
    <x v="1"/>
    <n v="0"/>
    <s v="Travel_Frequently"/>
    <n v="1"/>
    <n v="0"/>
    <n v="968"/>
    <s v="Research &amp; Development"/>
    <n v="1"/>
    <n v="0"/>
    <n v="6"/>
    <n v="2"/>
    <s v="Medical"/>
    <n v="0"/>
    <n v="0"/>
    <n v="1"/>
    <n v="0"/>
    <n v="0"/>
    <n v="2"/>
    <x v="0"/>
    <n v="1"/>
    <n v="40"/>
    <n v="2"/>
    <n v="1"/>
    <s v="Laboratory Technician"/>
    <n v="0"/>
    <n v="0"/>
    <n v="1"/>
    <n v="0"/>
    <n v="0"/>
    <n v="0"/>
    <n v="0"/>
    <n v="0"/>
    <x v="2"/>
    <s v="Single"/>
    <n v="1"/>
    <n v="0"/>
    <n v="2838"/>
    <n v="4257"/>
    <n v="0"/>
    <s v="No"/>
    <n v="0"/>
    <n v="14"/>
    <n v="3"/>
    <n v="2"/>
    <n v="0"/>
    <n v="8"/>
    <n v="6"/>
    <n v="2"/>
    <n v="7"/>
    <n v="0"/>
    <n v="7"/>
    <n v="7"/>
  </r>
  <r>
    <n v="30"/>
    <x v="1"/>
    <n v="0"/>
    <s v="Non-Travel"/>
    <n v="0"/>
    <n v="0"/>
    <n v="879"/>
    <s v="Research &amp; Development"/>
    <n v="1"/>
    <n v="0"/>
    <n v="9"/>
    <n v="2"/>
    <s v="Medical"/>
    <n v="0"/>
    <n v="0"/>
    <n v="1"/>
    <n v="0"/>
    <n v="0"/>
    <n v="3"/>
    <x v="0"/>
    <n v="1"/>
    <n v="72"/>
    <n v="3"/>
    <n v="2"/>
    <s v="Manufacturing Director"/>
    <n v="0"/>
    <n v="0"/>
    <n v="0"/>
    <n v="0"/>
    <n v="1"/>
    <n v="1"/>
    <n v="0"/>
    <n v="0"/>
    <x v="2"/>
    <s v="Single"/>
    <n v="1"/>
    <n v="0"/>
    <n v="4695"/>
    <n v="12858"/>
    <n v="7"/>
    <s v="Yes"/>
    <n v="1"/>
    <n v="18"/>
    <n v="3"/>
    <n v="3"/>
    <n v="0"/>
    <n v="10"/>
    <n v="3"/>
    <n v="3"/>
    <n v="8"/>
    <n v="4"/>
    <n v="1"/>
    <n v="7"/>
  </r>
  <r>
    <n v="29"/>
    <x v="0"/>
    <n v="1"/>
    <s v="Travel_Rarely"/>
    <n v="0"/>
    <n v="1"/>
    <n v="806"/>
    <s v="Research &amp; Development"/>
    <n v="1"/>
    <n v="0"/>
    <n v="7"/>
    <n v="3"/>
    <s v="Technical Degree"/>
    <n v="0"/>
    <n v="0"/>
    <n v="0"/>
    <n v="0"/>
    <n v="1"/>
    <n v="2"/>
    <x v="0"/>
    <n v="1"/>
    <n v="39"/>
    <n v="3"/>
    <n v="1"/>
    <s v="Laboratory Technician"/>
    <n v="0"/>
    <n v="0"/>
    <n v="1"/>
    <n v="0"/>
    <n v="0"/>
    <n v="0"/>
    <n v="0"/>
    <n v="0"/>
    <x v="2"/>
    <s v="Divorced"/>
    <n v="0"/>
    <n v="0"/>
    <n v="3339"/>
    <n v="17285"/>
    <n v="3"/>
    <s v="Yes"/>
    <n v="1"/>
    <n v="13"/>
    <n v="3"/>
    <n v="1"/>
    <n v="2"/>
    <n v="10"/>
    <n v="2"/>
    <n v="3"/>
    <n v="7"/>
    <n v="7"/>
    <n v="7"/>
    <n v="7"/>
  </r>
  <r>
    <n v="28"/>
    <x v="1"/>
    <n v="0"/>
    <s v="Travel_Rarely"/>
    <n v="0"/>
    <n v="1"/>
    <n v="640"/>
    <s v="Research &amp; Development"/>
    <n v="1"/>
    <n v="0"/>
    <n v="1"/>
    <n v="3"/>
    <s v="Technical Degree"/>
    <n v="0"/>
    <n v="0"/>
    <n v="0"/>
    <n v="0"/>
    <n v="1"/>
    <n v="4"/>
    <x v="1"/>
    <n v="0"/>
    <n v="84"/>
    <n v="3"/>
    <n v="1"/>
    <s v="Research Scientist"/>
    <n v="0"/>
    <n v="0"/>
    <n v="0"/>
    <n v="0"/>
    <n v="0"/>
    <n v="0"/>
    <n v="0"/>
    <n v="1"/>
    <x v="3"/>
    <s v="Single"/>
    <n v="1"/>
    <n v="0"/>
    <n v="2080"/>
    <n v="4732"/>
    <n v="2"/>
    <s v="No"/>
    <n v="0"/>
    <n v="11"/>
    <n v="3"/>
    <n v="2"/>
    <n v="0"/>
    <n v="5"/>
    <n v="2"/>
    <n v="2"/>
    <n v="3"/>
    <n v="2"/>
    <n v="1"/>
    <n v="2"/>
  </r>
  <r>
    <n v="25"/>
    <x v="1"/>
    <n v="0"/>
    <s v="Travel_Rarely"/>
    <n v="0"/>
    <n v="1"/>
    <n v="266"/>
    <s v="Research &amp; Development"/>
    <n v="1"/>
    <n v="0"/>
    <n v="1"/>
    <n v="3"/>
    <s v="Medical"/>
    <n v="0"/>
    <n v="0"/>
    <n v="1"/>
    <n v="0"/>
    <n v="0"/>
    <n v="4"/>
    <x v="0"/>
    <n v="1"/>
    <n v="40"/>
    <n v="3"/>
    <n v="1"/>
    <s v="Research Scientist"/>
    <n v="0"/>
    <n v="0"/>
    <n v="0"/>
    <n v="0"/>
    <n v="0"/>
    <n v="0"/>
    <n v="0"/>
    <n v="1"/>
    <x v="1"/>
    <s v="Single"/>
    <n v="1"/>
    <n v="0"/>
    <n v="2096"/>
    <n v="18830"/>
    <n v="1"/>
    <s v="No"/>
    <n v="0"/>
    <n v="18"/>
    <n v="3"/>
    <n v="4"/>
    <n v="0"/>
    <n v="2"/>
    <n v="3"/>
    <n v="2"/>
    <n v="2"/>
    <n v="2"/>
    <n v="2"/>
    <n v="1"/>
  </r>
  <r>
    <n v="32"/>
    <x v="1"/>
    <n v="0"/>
    <s v="Travel_Rarely"/>
    <n v="0"/>
    <n v="1"/>
    <n v="604"/>
    <s v="Sales"/>
    <n v="0"/>
    <n v="1"/>
    <n v="8"/>
    <n v="3"/>
    <s v="Medical"/>
    <n v="0"/>
    <n v="0"/>
    <n v="1"/>
    <n v="0"/>
    <n v="0"/>
    <n v="3"/>
    <x v="1"/>
    <n v="0"/>
    <n v="56"/>
    <n v="4"/>
    <n v="2"/>
    <s v="Sales Executive"/>
    <n v="0"/>
    <n v="1"/>
    <n v="0"/>
    <n v="0"/>
    <n v="0"/>
    <n v="0"/>
    <n v="0"/>
    <n v="0"/>
    <x v="0"/>
    <s v="Married"/>
    <n v="0"/>
    <n v="1"/>
    <n v="6209"/>
    <n v="11693"/>
    <n v="1"/>
    <s v="No"/>
    <n v="0"/>
    <n v="15"/>
    <n v="3"/>
    <n v="3"/>
    <n v="2"/>
    <n v="10"/>
    <n v="4"/>
    <n v="4"/>
    <n v="10"/>
    <n v="7"/>
    <n v="0"/>
    <n v="8"/>
  </r>
  <r>
    <n v="45"/>
    <x v="1"/>
    <n v="0"/>
    <s v="Travel_Frequently"/>
    <n v="1"/>
    <n v="0"/>
    <n v="364"/>
    <s v="Research &amp; Development"/>
    <n v="1"/>
    <n v="0"/>
    <n v="25"/>
    <n v="3"/>
    <s v="Medical"/>
    <n v="0"/>
    <n v="0"/>
    <n v="1"/>
    <n v="0"/>
    <n v="0"/>
    <n v="2"/>
    <x v="0"/>
    <n v="1"/>
    <n v="83"/>
    <n v="3"/>
    <n v="5"/>
    <s v="Manager"/>
    <n v="0"/>
    <n v="0"/>
    <n v="0"/>
    <n v="1"/>
    <n v="0"/>
    <n v="0"/>
    <n v="0"/>
    <n v="0"/>
    <x v="1"/>
    <s v="Single"/>
    <n v="1"/>
    <n v="0"/>
    <n v="18061"/>
    <n v="13035"/>
    <n v="3"/>
    <s v="No"/>
    <n v="0"/>
    <n v="22"/>
    <n v="4"/>
    <n v="3"/>
    <n v="0"/>
    <n v="22"/>
    <n v="4"/>
    <n v="3"/>
    <n v="0"/>
    <n v="0"/>
    <n v="0"/>
    <n v="0"/>
  </r>
  <r>
    <n v="39"/>
    <x v="1"/>
    <n v="0"/>
    <s v="Travel_Rarely"/>
    <n v="0"/>
    <n v="1"/>
    <n v="412"/>
    <s v="Research &amp; Development"/>
    <n v="1"/>
    <n v="0"/>
    <n v="13"/>
    <n v="4"/>
    <s v="Medical"/>
    <n v="0"/>
    <n v="0"/>
    <n v="1"/>
    <n v="0"/>
    <n v="0"/>
    <n v="3"/>
    <x v="0"/>
    <n v="1"/>
    <n v="94"/>
    <n v="2"/>
    <n v="4"/>
    <s v="Manager"/>
    <n v="0"/>
    <n v="0"/>
    <n v="0"/>
    <n v="1"/>
    <n v="0"/>
    <n v="0"/>
    <n v="0"/>
    <n v="0"/>
    <x v="1"/>
    <s v="Divorced"/>
    <n v="0"/>
    <n v="0"/>
    <n v="17123"/>
    <n v="17334"/>
    <n v="6"/>
    <s v="Yes"/>
    <n v="1"/>
    <n v="13"/>
    <n v="3"/>
    <n v="4"/>
    <n v="2"/>
    <n v="21"/>
    <n v="4"/>
    <n v="3"/>
    <n v="19"/>
    <n v="9"/>
    <n v="15"/>
    <n v="2"/>
  </r>
  <r>
    <n v="58"/>
    <x v="1"/>
    <n v="0"/>
    <s v="Travel_Rarely"/>
    <n v="0"/>
    <n v="1"/>
    <n v="848"/>
    <s v="Research &amp; Development"/>
    <n v="1"/>
    <n v="0"/>
    <n v="23"/>
    <n v="4"/>
    <s v="Life Sciences"/>
    <n v="1"/>
    <n v="0"/>
    <n v="0"/>
    <n v="0"/>
    <n v="0"/>
    <n v="1"/>
    <x v="1"/>
    <n v="0"/>
    <n v="88"/>
    <n v="3"/>
    <n v="1"/>
    <s v="Research Scientist"/>
    <n v="0"/>
    <n v="0"/>
    <n v="0"/>
    <n v="0"/>
    <n v="0"/>
    <n v="0"/>
    <n v="0"/>
    <n v="1"/>
    <x v="2"/>
    <s v="Divorced"/>
    <n v="0"/>
    <n v="0"/>
    <n v="2372"/>
    <n v="26076"/>
    <n v="1"/>
    <s v="No"/>
    <n v="0"/>
    <n v="12"/>
    <n v="3"/>
    <n v="4"/>
    <n v="2"/>
    <n v="2"/>
    <n v="3"/>
    <n v="3"/>
    <n v="2"/>
    <n v="2"/>
    <n v="2"/>
    <n v="2"/>
  </r>
  <r>
    <n v="32"/>
    <x v="0"/>
    <n v="1"/>
    <s v="Travel_Rarely"/>
    <n v="0"/>
    <n v="1"/>
    <n v="1089"/>
    <s v="Research &amp; Development"/>
    <n v="1"/>
    <n v="0"/>
    <n v="7"/>
    <n v="2"/>
    <s v="Life Sciences"/>
    <n v="1"/>
    <n v="0"/>
    <n v="0"/>
    <n v="0"/>
    <n v="0"/>
    <n v="4"/>
    <x v="1"/>
    <n v="0"/>
    <n v="79"/>
    <n v="3"/>
    <n v="2"/>
    <s v="Laboratory Technician"/>
    <n v="0"/>
    <n v="0"/>
    <n v="1"/>
    <n v="0"/>
    <n v="0"/>
    <n v="0"/>
    <n v="0"/>
    <n v="0"/>
    <x v="2"/>
    <s v="Married"/>
    <n v="0"/>
    <n v="1"/>
    <n v="4883"/>
    <n v="22845"/>
    <n v="1"/>
    <s v="No"/>
    <n v="0"/>
    <n v="18"/>
    <n v="3"/>
    <n v="1"/>
    <n v="1"/>
    <n v="10"/>
    <n v="3"/>
    <n v="3"/>
    <n v="10"/>
    <n v="4"/>
    <n v="1"/>
    <n v="1"/>
  </r>
  <r>
    <n v="39"/>
    <x v="0"/>
    <n v="1"/>
    <s v="Travel_Rarely"/>
    <n v="0"/>
    <n v="1"/>
    <n v="360"/>
    <s v="Research &amp; Development"/>
    <n v="1"/>
    <n v="0"/>
    <n v="23"/>
    <n v="3"/>
    <s v="Medical"/>
    <n v="0"/>
    <n v="0"/>
    <n v="1"/>
    <n v="0"/>
    <n v="0"/>
    <n v="3"/>
    <x v="1"/>
    <n v="0"/>
    <n v="93"/>
    <n v="3"/>
    <n v="1"/>
    <s v="Research Scientist"/>
    <n v="0"/>
    <n v="0"/>
    <n v="0"/>
    <n v="0"/>
    <n v="0"/>
    <n v="0"/>
    <n v="0"/>
    <n v="1"/>
    <x v="3"/>
    <s v="Single"/>
    <n v="1"/>
    <n v="0"/>
    <n v="3904"/>
    <n v="22154"/>
    <n v="0"/>
    <s v="No"/>
    <n v="0"/>
    <n v="13"/>
    <n v="3"/>
    <n v="1"/>
    <n v="0"/>
    <n v="6"/>
    <n v="2"/>
    <n v="3"/>
    <n v="5"/>
    <n v="2"/>
    <n v="0"/>
    <n v="3"/>
  </r>
  <r>
    <n v="30"/>
    <x v="1"/>
    <n v="0"/>
    <s v="Travel_Rarely"/>
    <n v="0"/>
    <n v="1"/>
    <n v="1138"/>
    <s v="Research &amp; Development"/>
    <n v="1"/>
    <n v="0"/>
    <n v="6"/>
    <n v="3"/>
    <s v="Technical Degree"/>
    <n v="0"/>
    <n v="0"/>
    <n v="0"/>
    <n v="0"/>
    <n v="1"/>
    <n v="1"/>
    <x v="0"/>
    <n v="1"/>
    <n v="48"/>
    <n v="2"/>
    <n v="2"/>
    <s v="Laboratory Technician"/>
    <n v="0"/>
    <n v="0"/>
    <n v="1"/>
    <n v="0"/>
    <n v="0"/>
    <n v="0"/>
    <n v="0"/>
    <n v="0"/>
    <x v="0"/>
    <s v="Married"/>
    <n v="0"/>
    <n v="1"/>
    <n v="4627"/>
    <n v="23631"/>
    <n v="0"/>
    <s v="No"/>
    <n v="0"/>
    <n v="12"/>
    <n v="3"/>
    <n v="1"/>
    <n v="1"/>
    <n v="10"/>
    <n v="6"/>
    <n v="3"/>
    <n v="9"/>
    <n v="2"/>
    <n v="6"/>
    <n v="7"/>
  </r>
  <r>
    <n v="36"/>
    <x v="1"/>
    <n v="0"/>
    <s v="Travel_Rarely"/>
    <n v="0"/>
    <n v="1"/>
    <n v="325"/>
    <s v="Research &amp; Development"/>
    <n v="1"/>
    <n v="0"/>
    <n v="10"/>
    <n v="4"/>
    <s v="Technical Degree"/>
    <n v="0"/>
    <n v="0"/>
    <n v="0"/>
    <n v="0"/>
    <n v="1"/>
    <n v="4"/>
    <x v="0"/>
    <n v="1"/>
    <n v="63"/>
    <n v="3"/>
    <n v="3"/>
    <s v="Healthcare Representative"/>
    <n v="1"/>
    <n v="0"/>
    <n v="0"/>
    <n v="0"/>
    <n v="0"/>
    <n v="0"/>
    <n v="0"/>
    <n v="0"/>
    <x v="2"/>
    <s v="Married"/>
    <n v="0"/>
    <n v="1"/>
    <n v="7094"/>
    <n v="5747"/>
    <n v="3"/>
    <s v="No"/>
    <n v="0"/>
    <n v="12"/>
    <n v="3"/>
    <n v="1"/>
    <n v="0"/>
    <n v="10"/>
    <n v="0"/>
    <n v="3"/>
    <n v="7"/>
    <n v="7"/>
    <n v="1"/>
    <n v="7"/>
  </r>
  <r>
    <n v="46"/>
    <x v="1"/>
    <n v="0"/>
    <s v="Travel_Rarely"/>
    <n v="0"/>
    <n v="1"/>
    <n v="991"/>
    <s v="Human Resources"/>
    <n v="0"/>
    <n v="0"/>
    <n v="1"/>
    <n v="2"/>
    <s v="Life Sciences"/>
    <n v="1"/>
    <n v="0"/>
    <n v="0"/>
    <n v="0"/>
    <n v="0"/>
    <n v="4"/>
    <x v="0"/>
    <n v="1"/>
    <n v="44"/>
    <n v="3"/>
    <n v="1"/>
    <s v="Human Resources"/>
    <n v="0"/>
    <n v="0"/>
    <n v="0"/>
    <n v="0"/>
    <n v="0"/>
    <n v="0"/>
    <n v="0"/>
    <n v="0"/>
    <x v="3"/>
    <s v="Single"/>
    <n v="1"/>
    <n v="0"/>
    <n v="3423"/>
    <n v="22957"/>
    <n v="6"/>
    <s v="No"/>
    <n v="0"/>
    <n v="12"/>
    <n v="3"/>
    <n v="3"/>
    <n v="0"/>
    <n v="10"/>
    <n v="3"/>
    <n v="4"/>
    <n v="7"/>
    <n v="6"/>
    <n v="5"/>
    <n v="7"/>
  </r>
  <r>
    <n v="28"/>
    <x v="1"/>
    <n v="0"/>
    <s v="Non-Travel"/>
    <n v="0"/>
    <n v="0"/>
    <n v="1476"/>
    <s v="Research &amp; Development"/>
    <n v="1"/>
    <n v="0"/>
    <n v="1"/>
    <n v="3"/>
    <s v="Life Sciences"/>
    <n v="1"/>
    <n v="0"/>
    <n v="0"/>
    <n v="0"/>
    <n v="0"/>
    <n v="3"/>
    <x v="0"/>
    <n v="1"/>
    <n v="55"/>
    <n v="1"/>
    <n v="2"/>
    <s v="Laboratory Technician"/>
    <n v="0"/>
    <n v="0"/>
    <n v="1"/>
    <n v="0"/>
    <n v="0"/>
    <n v="0"/>
    <n v="0"/>
    <n v="0"/>
    <x v="0"/>
    <s v="Married"/>
    <n v="0"/>
    <n v="1"/>
    <n v="6674"/>
    <n v="16392"/>
    <n v="0"/>
    <s v="No"/>
    <n v="0"/>
    <n v="11"/>
    <n v="3"/>
    <n v="1"/>
    <n v="3"/>
    <n v="10"/>
    <n v="6"/>
    <n v="3"/>
    <n v="9"/>
    <n v="8"/>
    <n v="7"/>
    <n v="5"/>
  </r>
  <r>
    <n v="50"/>
    <x v="1"/>
    <n v="0"/>
    <s v="Travel_Rarely"/>
    <n v="0"/>
    <n v="1"/>
    <n v="1322"/>
    <s v="Research &amp; Development"/>
    <n v="1"/>
    <n v="0"/>
    <n v="28"/>
    <n v="3"/>
    <s v="Life Sciences"/>
    <n v="1"/>
    <n v="0"/>
    <n v="0"/>
    <n v="0"/>
    <n v="0"/>
    <n v="4"/>
    <x v="0"/>
    <n v="1"/>
    <n v="43"/>
    <n v="3"/>
    <n v="4"/>
    <s v="Research Director"/>
    <n v="0"/>
    <n v="0"/>
    <n v="0"/>
    <n v="0"/>
    <n v="0"/>
    <n v="0"/>
    <n v="0"/>
    <n v="0"/>
    <x v="3"/>
    <s v="Married"/>
    <n v="0"/>
    <n v="1"/>
    <n v="16880"/>
    <n v="22422"/>
    <n v="4"/>
    <s v="Yes"/>
    <n v="1"/>
    <n v="11"/>
    <n v="3"/>
    <n v="2"/>
    <n v="0"/>
    <n v="25"/>
    <n v="2"/>
    <n v="3"/>
    <n v="3"/>
    <n v="2"/>
    <n v="1"/>
    <n v="2"/>
  </r>
  <r>
    <n v="40"/>
    <x v="0"/>
    <n v="1"/>
    <s v="Travel_Rarely"/>
    <n v="0"/>
    <n v="1"/>
    <n v="299"/>
    <s v="Sales"/>
    <n v="0"/>
    <n v="1"/>
    <n v="25"/>
    <n v="4"/>
    <s v="Marketing"/>
    <n v="0"/>
    <n v="0"/>
    <n v="0"/>
    <n v="1"/>
    <n v="0"/>
    <n v="4"/>
    <x v="1"/>
    <n v="0"/>
    <n v="57"/>
    <n v="2"/>
    <n v="3"/>
    <s v="Sales Executive"/>
    <n v="0"/>
    <n v="1"/>
    <n v="0"/>
    <n v="0"/>
    <n v="0"/>
    <n v="0"/>
    <n v="0"/>
    <n v="0"/>
    <x v="1"/>
    <s v="Single"/>
    <n v="1"/>
    <n v="0"/>
    <n v="9094"/>
    <n v="17235"/>
    <n v="2"/>
    <s v="Yes"/>
    <n v="1"/>
    <n v="12"/>
    <n v="3"/>
    <n v="3"/>
    <n v="0"/>
    <n v="9"/>
    <n v="2"/>
    <n v="3"/>
    <n v="5"/>
    <n v="4"/>
    <n v="1"/>
    <n v="0"/>
  </r>
  <r>
    <n v="52"/>
    <x v="0"/>
    <n v="1"/>
    <s v="Travel_Rarely"/>
    <n v="0"/>
    <n v="1"/>
    <n v="1030"/>
    <s v="Sales"/>
    <n v="0"/>
    <n v="1"/>
    <n v="5"/>
    <n v="3"/>
    <s v="Life Sciences"/>
    <n v="1"/>
    <n v="0"/>
    <n v="0"/>
    <n v="0"/>
    <n v="0"/>
    <n v="2"/>
    <x v="1"/>
    <n v="0"/>
    <n v="64"/>
    <n v="3"/>
    <n v="3"/>
    <s v="Sales Executive"/>
    <n v="0"/>
    <n v="1"/>
    <n v="0"/>
    <n v="0"/>
    <n v="0"/>
    <n v="0"/>
    <n v="0"/>
    <n v="0"/>
    <x v="1"/>
    <s v="Single"/>
    <n v="1"/>
    <n v="0"/>
    <n v="8446"/>
    <n v="21534"/>
    <n v="9"/>
    <s v="Yes"/>
    <n v="1"/>
    <n v="19"/>
    <n v="3"/>
    <n v="3"/>
    <n v="0"/>
    <n v="10"/>
    <n v="2"/>
    <n v="2"/>
    <n v="8"/>
    <n v="7"/>
    <n v="7"/>
    <n v="7"/>
  </r>
  <r>
    <n v="30"/>
    <x v="1"/>
    <n v="0"/>
    <s v="Travel_Rarely"/>
    <n v="0"/>
    <n v="1"/>
    <n v="634"/>
    <s v="Research &amp; Development"/>
    <n v="1"/>
    <n v="0"/>
    <n v="17"/>
    <n v="4"/>
    <s v="Medical"/>
    <n v="0"/>
    <n v="0"/>
    <n v="1"/>
    <n v="0"/>
    <n v="0"/>
    <n v="2"/>
    <x v="0"/>
    <n v="1"/>
    <n v="95"/>
    <n v="3"/>
    <n v="3"/>
    <s v="Manager"/>
    <n v="0"/>
    <n v="0"/>
    <n v="0"/>
    <n v="1"/>
    <n v="0"/>
    <n v="0"/>
    <n v="0"/>
    <n v="0"/>
    <x v="3"/>
    <s v="Married"/>
    <n v="0"/>
    <n v="1"/>
    <n v="11916"/>
    <n v="25927"/>
    <n v="1"/>
    <s v="Yes"/>
    <n v="1"/>
    <n v="23"/>
    <n v="4"/>
    <n v="4"/>
    <n v="2"/>
    <n v="9"/>
    <n v="2"/>
    <n v="3"/>
    <n v="9"/>
    <n v="1"/>
    <n v="0"/>
    <n v="8"/>
  </r>
  <r>
    <n v="39"/>
    <x v="1"/>
    <n v="0"/>
    <s v="Travel_Rarely"/>
    <n v="0"/>
    <n v="1"/>
    <n v="524"/>
    <s v="Research &amp; Development"/>
    <n v="1"/>
    <n v="0"/>
    <n v="18"/>
    <n v="2"/>
    <s v="Life Sciences"/>
    <n v="1"/>
    <n v="0"/>
    <n v="0"/>
    <n v="0"/>
    <n v="0"/>
    <n v="1"/>
    <x v="1"/>
    <n v="0"/>
    <n v="32"/>
    <n v="3"/>
    <n v="2"/>
    <s v="Manufacturing Director"/>
    <n v="0"/>
    <n v="0"/>
    <n v="0"/>
    <n v="0"/>
    <n v="1"/>
    <n v="1"/>
    <n v="0"/>
    <n v="0"/>
    <x v="2"/>
    <s v="Single"/>
    <n v="1"/>
    <n v="0"/>
    <n v="4534"/>
    <n v="13352"/>
    <n v="0"/>
    <s v="No"/>
    <n v="0"/>
    <n v="11"/>
    <n v="3"/>
    <n v="1"/>
    <n v="0"/>
    <n v="9"/>
    <n v="6"/>
    <n v="3"/>
    <n v="8"/>
    <n v="7"/>
    <n v="1"/>
    <n v="7"/>
  </r>
  <r>
    <n v="31"/>
    <x v="1"/>
    <n v="0"/>
    <s v="Non-Travel"/>
    <n v="0"/>
    <n v="0"/>
    <n v="587"/>
    <s v="Sales"/>
    <n v="0"/>
    <n v="1"/>
    <n v="2"/>
    <n v="4"/>
    <s v="Life Sciences"/>
    <n v="1"/>
    <n v="0"/>
    <n v="0"/>
    <n v="0"/>
    <n v="0"/>
    <n v="4"/>
    <x v="0"/>
    <n v="1"/>
    <n v="57"/>
    <n v="3"/>
    <n v="3"/>
    <s v="Sales Executive"/>
    <n v="0"/>
    <n v="1"/>
    <n v="0"/>
    <n v="0"/>
    <n v="0"/>
    <n v="0"/>
    <n v="0"/>
    <n v="0"/>
    <x v="2"/>
    <s v="Divorced"/>
    <n v="0"/>
    <n v="0"/>
    <n v="9852"/>
    <n v="8935"/>
    <n v="1"/>
    <s v="Yes"/>
    <n v="1"/>
    <n v="19"/>
    <n v="3"/>
    <n v="1"/>
    <n v="1"/>
    <n v="10"/>
    <n v="5"/>
    <n v="2"/>
    <n v="10"/>
    <n v="8"/>
    <n v="9"/>
    <n v="6"/>
  </r>
  <r>
    <n v="41"/>
    <x v="1"/>
    <n v="0"/>
    <s v="Non-Travel"/>
    <n v="0"/>
    <n v="0"/>
    <n v="256"/>
    <s v="Sales"/>
    <n v="0"/>
    <n v="1"/>
    <n v="10"/>
    <n v="2"/>
    <s v="Medical"/>
    <n v="0"/>
    <n v="0"/>
    <n v="1"/>
    <n v="0"/>
    <n v="0"/>
    <n v="3"/>
    <x v="1"/>
    <n v="0"/>
    <n v="40"/>
    <n v="1"/>
    <n v="2"/>
    <s v="Sales Executive"/>
    <n v="0"/>
    <n v="1"/>
    <n v="0"/>
    <n v="0"/>
    <n v="0"/>
    <n v="0"/>
    <n v="0"/>
    <n v="0"/>
    <x v="1"/>
    <s v="Single"/>
    <n v="1"/>
    <n v="0"/>
    <n v="6151"/>
    <n v="22074"/>
    <n v="1"/>
    <s v="No"/>
    <n v="0"/>
    <n v="13"/>
    <n v="3"/>
    <n v="1"/>
    <n v="0"/>
    <n v="19"/>
    <n v="4"/>
    <n v="3"/>
    <n v="19"/>
    <n v="2"/>
    <n v="11"/>
    <n v="9"/>
  </r>
  <r>
    <n v="31"/>
    <x v="0"/>
    <n v="1"/>
    <s v="Travel_Frequently"/>
    <n v="1"/>
    <n v="0"/>
    <n v="1060"/>
    <s v="Sales"/>
    <n v="0"/>
    <n v="1"/>
    <n v="1"/>
    <n v="3"/>
    <s v="Life Sciences"/>
    <n v="1"/>
    <n v="0"/>
    <n v="0"/>
    <n v="0"/>
    <n v="0"/>
    <n v="4"/>
    <x v="0"/>
    <n v="1"/>
    <n v="54"/>
    <n v="3"/>
    <n v="1"/>
    <s v="Sales Representative"/>
    <n v="0"/>
    <n v="0"/>
    <n v="0"/>
    <n v="0"/>
    <n v="0"/>
    <n v="0"/>
    <n v="1"/>
    <n v="0"/>
    <x v="1"/>
    <s v="Single"/>
    <n v="1"/>
    <n v="0"/>
    <n v="2302"/>
    <n v="8319"/>
    <n v="1"/>
    <s v="Yes"/>
    <n v="1"/>
    <n v="11"/>
    <n v="3"/>
    <n v="1"/>
    <n v="0"/>
    <n v="3"/>
    <n v="2"/>
    <n v="4"/>
    <n v="3"/>
    <n v="2"/>
    <n v="2"/>
    <n v="2"/>
  </r>
  <r>
    <n v="44"/>
    <x v="0"/>
    <n v="1"/>
    <s v="Travel_Rarely"/>
    <n v="0"/>
    <n v="1"/>
    <n v="935"/>
    <s v="Research &amp; Development"/>
    <n v="1"/>
    <n v="0"/>
    <n v="3"/>
    <n v="3"/>
    <s v="Life Sciences"/>
    <n v="1"/>
    <n v="0"/>
    <n v="0"/>
    <n v="0"/>
    <n v="0"/>
    <n v="1"/>
    <x v="1"/>
    <n v="0"/>
    <n v="89"/>
    <n v="3"/>
    <n v="1"/>
    <s v="Laboratory Technician"/>
    <n v="0"/>
    <n v="0"/>
    <n v="1"/>
    <n v="0"/>
    <n v="0"/>
    <n v="0"/>
    <n v="0"/>
    <n v="0"/>
    <x v="3"/>
    <s v="Married"/>
    <n v="0"/>
    <n v="1"/>
    <n v="2362"/>
    <n v="14669"/>
    <n v="4"/>
    <s v="No"/>
    <n v="0"/>
    <n v="12"/>
    <n v="3"/>
    <n v="3"/>
    <n v="0"/>
    <n v="10"/>
    <n v="4"/>
    <n v="4"/>
    <n v="3"/>
    <n v="2"/>
    <n v="1"/>
    <n v="2"/>
  </r>
  <r>
    <n v="42"/>
    <x v="1"/>
    <n v="0"/>
    <s v="Non-Travel"/>
    <n v="0"/>
    <n v="0"/>
    <n v="495"/>
    <s v="Research &amp; Development"/>
    <n v="1"/>
    <n v="0"/>
    <n v="2"/>
    <n v="1"/>
    <s v="Life Sciences"/>
    <n v="1"/>
    <n v="0"/>
    <n v="0"/>
    <n v="0"/>
    <n v="0"/>
    <n v="3"/>
    <x v="1"/>
    <n v="0"/>
    <n v="37"/>
    <n v="3"/>
    <n v="4"/>
    <s v="Manager"/>
    <n v="0"/>
    <n v="0"/>
    <n v="0"/>
    <n v="1"/>
    <n v="0"/>
    <n v="0"/>
    <n v="0"/>
    <n v="0"/>
    <x v="2"/>
    <s v="Married"/>
    <n v="0"/>
    <n v="1"/>
    <n v="17861"/>
    <n v="26582"/>
    <n v="0"/>
    <s v="Yes"/>
    <n v="1"/>
    <n v="13"/>
    <n v="3"/>
    <n v="4"/>
    <n v="0"/>
    <n v="21"/>
    <n v="3"/>
    <n v="2"/>
    <n v="20"/>
    <n v="8"/>
    <n v="2"/>
    <n v="10"/>
  </r>
  <r>
    <n v="55"/>
    <x v="1"/>
    <n v="0"/>
    <s v="Travel_Rarely"/>
    <n v="0"/>
    <n v="1"/>
    <n v="282"/>
    <s v="Research &amp; Development"/>
    <n v="1"/>
    <n v="0"/>
    <n v="2"/>
    <n v="2"/>
    <s v="Medical"/>
    <n v="0"/>
    <n v="0"/>
    <n v="1"/>
    <n v="0"/>
    <n v="0"/>
    <n v="4"/>
    <x v="0"/>
    <n v="1"/>
    <n v="58"/>
    <n v="1"/>
    <n v="5"/>
    <s v="Manager"/>
    <n v="0"/>
    <n v="0"/>
    <n v="0"/>
    <n v="1"/>
    <n v="0"/>
    <n v="0"/>
    <n v="0"/>
    <n v="0"/>
    <x v="2"/>
    <s v="Married"/>
    <n v="0"/>
    <n v="1"/>
    <n v="19187"/>
    <n v="6992"/>
    <n v="4"/>
    <s v="No"/>
    <n v="0"/>
    <n v="14"/>
    <n v="3"/>
    <n v="4"/>
    <n v="1"/>
    <n v="23"/>
    <n v="5"/>
    <n v="3"/>
    <n v="19"/>
    <n v="9"/>
    <n v="9"/>
    <n v="11"/>
  </r>
  <r>
    <n v="56"/>
    <x v="1"/>
    <n v="0"/>
    <s v="Travel_Rarely"/>
    <n v="0"/>
    <n v="1"/>
    <n v="206"/>
    <s v="Human Resources"/>
    <n v="0"/>
    <n v="0"/>
    <n v="8"/>
    <n v="4"/>
    <s v="Life Sciences"/>
    <n v="1"/>
    <n v="0"/>
    <n v="0"/>
    <n v="0"/>
    <n v="0"/>
    <n v="4"/>
    <x v="1"/>
    <n v="0"/>
    <n v="99"/>
    <n v="3"/>
    <n v="5"/>
    <s v="Manager"/>
    <n v="0"/>
    <n v="0"/>
    <n v="0"/>
    <n v="1"/>
    <n v="0"/>
    <n v="0"/>
    <n v="0"/>
    <n v="0"/>
    <x v="1"/>
    <s v="Single"/>
    <n v="1"/>
    <n v="0"/>
    <n v="19717"/>
    <n v="4022"/>
    <n v="6"/>
    <s v="No"/>
    <n v="0"/>
    <n v="14"/>
    <n v="3"/>
    <n v="1"/>
    <n v="0"/>
    <n v="36"/>
    <n v="4"/>
    <n v="3"/>
    <n v="7"/>
    <n v="3"/>
    <n v="7"/>
    <n v="7"/>
  </r>
  <r>
    <n v="40"/>
    <x v="1"/>
    <n v="0"/>
    <s v="Non-Travel"/>
    <n v="0"/>
    <n v="0"/>
    <n v="458"/>
    <s v="Research &amp; Development"/>
    <n v="1"/>
    <n v="0"/>
    <n v="16"/>
    <n v="2"/>
    <s v="Life Sciences"/>
    <n v="1"/>
    <n v="0"/>
    <n v="0"/>
    <n v="0"/>
    <n v="0"/>
    <n v="3"/>
    <x v="1"/>
    <n v="0"/>
    <n v="74"/>
    <n v="3"/>
    <n v="1"/>
    <s v="Research Scientist"/>
    <n v="0"/>
    <n v="0"/>
    <n v="0"/>
    <n v="0"/>
    <n v="0"/>
    <n v="0"/>
    <n v="0"/>
    <n v="1"/>
    <x v="2"/>
    <s v="Divorced"/>
    <n v="0"/>
    <n v="0"/>
    <n v="3544"/>
    <n v="8532"/>
    <n v="9"/>
    <s v="No"/>
    <n v="0"/>
    <n v="16"/>
    <n v="3"/>
    <n v="2"/>
    <n v="1"/>
    <n v="6"/>
    <n v="0"/>
    <n v="3"/>
    <n v="4"/>
    <n v="2"/>
    <n v="0"/>
    <n v="0"/>
  </r>
  <r>
    <n v="34"/>
    <x v="1"/>
    <n v="0"/>
    <s v="Travel_Rarely"/>
    <n v="0"/>
    <n v="1"/>
    <n v="943"/>
    <s v="Research &amp; Development"/>
    <n v="1"/>
    <n v="0"/>
    <n v="9"/>
    <n v="3"/>
    <s v="Life Sciences"/>
    <n v="1"/>
    <n v="0"/>
    <n v="0"/>
    <n v="0"/>
    <n v="0"/>
    <n v="4"/>
    <x v="1"/>
    <n v="0"/>
    <n v="86"/>
    <n v="3"/>
    <n v="3"/>
    <s v="Healthcare Representative"/>
    <n v="1"/>
    <n v="0"/>
    <n v="0"/>
    <n v="0"/>
    <n v="0"/>
    <n v="0"/>
    <n v="0"/>
    <n v="0"/>
    <x v="0"/>
    <s v="Divorced"/>
    <n v="0"/>
    <n v="0"/>
    <n v="8500"/>
    <n v="5494"/>
    <n v="0"/>
    <s v="No"/>
    <n v="0"/>
    <n v="11"/>
    <n v="3"/>
    <n v="4"/>
    <n v="1"/>
    <n v="10"/>
    <n v="0"/>
    <n v="2"/>
    <n v="9"/>
    <n v="7"/>
    <n v="1"/>
    <n v="6"/>
  </r>
  <r>
    <n v="40"/>
    <x v="1"/>
    <n v="0"/>
    <s v="Travel_Rarely"/>
    <n v="0"/>
    <n v="1"/>
    <n v="523"/>
    <s v="Research &amp; Development"/>
    <n v="1"/>
    <n v="0"/>
    <n v="2"/>
    <n v="3"/>
    <s v="Life Sciences"/>
    <n v="1"/>
    <n v="0"/>
    <n v="0"/>
    <n v="0"/>
    <n v="0"/>
    <n v="3"/>
    <x v="1"/>
    <n v="0"/>
    <n v="98"/>
    <n v="3"/>
    <n v="2"/>
    <s v="Research Scientist"/>
    <n v="0"/>
    <n v="0"/>
    <n v="0"/>
    <n v="0"/>
    <n v="0"/>
    <n v="0"/>
    <n v="0"/>
    <n v="1"/>
    <x v="0"/>
    <s v="Single"/>
    <n v="1"/>
    <n v="0"/>
    <n v="4661"/>
    <n v="22455"/>
    <n v="1"/>
    <s v="No"/>
    <n v="0"/>
    <n v="13"/>
    <n v="3"/>
    <n v="3"/>
    <n v="0"/>
    <n v="9"/>
    <n v="4"/>
    <n v="3"/>
    <n v="9"/>
    <n v="8"/>
    <n v="8"/>
    <n v="8"/>
  </r>
  <r>
    <n v="41"/>
    <x v="1"/>
    <n v="0"/>
    <s v="Travel_Frequently"/>
    <n v="1"/>
    <n v="0"/>
    <n v="1018"/>
    <s v="Sales"/>
    <n v="0"/>
    <n v="1"/>
    <n v="1"/>
    <n v="3"/>
    <s v="Marketing"/>
    <n v="0"/>
    <n v="0"/>
    <n v="0"/>
    <n v="1"/>
    <n v="0"/>
    <n v="3"/>
    <x v="0"/>
    <n v="1"/>
    <n v="66"/>
    <n v="3"/>
    <n v="2"/>
    <s v="Sales Executive"/>
    <n v="0"/>
    <n v="1"/>
    <n v="0"/>
    <n v="0"/>
    <n v="0"/>
    <n v="0"/>
    <n v="0"/>
    <n v="0"/>
    <x v="3"/>
    <s v="Divorced"/>
    <n v="0"/>
    <n v="0"/>
    <n v="4103"/>
    <n v="4297"/>
    <n v="0"/>
    <s v="No"/>
    <n v="0"/>
    <n v="17"/>
    <n v="3"/>
    <n v="4"/>
    <n v="1"/>
    <n v="10"/>
    <n v="2"/>
    <n v="3"/>
    <n v="9"/>
    <n v="3"/>
    <n v="1"/>
    <n v="7"/>
  </r>
  <r>
    <n v="35"/>
    <x v="1"/>
    <n v="0"/>
    <s v="Travel_Frequently"/>
    <n v="1"/>
    <n v="0"/>
    <n v="482"/>
    <s v="Research &amp; Development"/>
    <n v="1"/>
    <n v="0"/>
    <n v="4"/>
    <n v="4"/>
    <s v="Life Sciences"/>
    <n v="1"/>
    <n v="0"/>
    <n v="0"/>
    <n v="0"/>
    <n v="0"/>
    <n v="3"/>
    <x v="1"/>
    <n v="0"/>
    <n v="87"/>
    <n v="3"/>
    <n v="2"/>
    <s v="Research Scientist"/>
    <n v="0"/>
    <n v="0"/>
    <n v="0"/>
    <n v="0"/>
    <n v="0"/>
    <n v="0"/>
    <n v="0"/>
    <n v="1"/>
    <x v="2"/>
    <s v="Single"/>
    <n v="1"/>
    <n v="0"/>
    <n v="4249"/>
    <n v="2690"/>
    <n v="1"/>
    <s v="Yes"/>
    <n v="1"/>
    <n v="11"/>
    <n v="3"/>
    <n v="2"/>
    <n v="0"/>
    <n v="9"/>
    <n v="3"/>
    <n v="3"/>
    <n v="9"/>
    <n v="6"/>
    <n v="1"/>
    <n v="1"/>
  </r>
  <r>
    <n v="51"/>
    <x v="1"/>
    <n v="0"/>
    <s v="Travel_Rarely"/>
    <n v="0"/>
    <n v="1"/>
    <n v="770"/>
    <s v="Human Resources"/>
    <n v="0"/>
    <n v="0"/>
    <n v="5"/>
    <n v="3"/>
    <s v="Life Sciences"/>
    <n v="1"/>
    <n v="0"/>
    <n v="0"/>
    <n v="0"/>
    <n v="0"/>
    <n v="3"/>
    <x v="1"/>
    <n v="0"/>
    <n v="84"/>
    <n v="3"/>
    <n v="4"/>
    <s v="Manager"/>
    <n v="0"/>
    <n v="0"/>
    <n v="0"/>
    <n v="1"/>
    <n v="0"/>
    <n v="0"/>
    <n v="0"/>
    <n v="0"/>
    <x v="1"/>
    <s v="Divorced"/>
    <n v="0"/>
    <n v="0"/>
    <n v="14026"/>
    <n v="17588"/>
    <n v="1"/>
    <s v="Yes"/>
    <n v="1"/>
    <n v="11"/>
    <n v="3"/>
    <n v="2"/>
    <n v="1"/>
    <n v="33"/>
    <n v="2"/>
    <n v="3"/>
    <n v="33"/>
    <n v="9"/>
    <n v="0"/>
    <n v="10"/>
  </r>
  <r>
    <n v="38"/>
    <x v="1"/>
    <n v="0"/>
    <s v="Travel_Rarely"/>
    <n v="0"/>
    <n v="1"/>
    <n v="1009"/>
    <s v="Sales"/>
    <n v="0"/>
    <n v="1"/>
    <n v="2"/>
    <n v="2"/>
    <s v="Life Sciences"/>
    <n v="1"/>
    <n v="0"/>
    <n v="0"/>
    <n v="0"/>
    <n v="0"/>
    <n v="2"/>
    <x v="0"/>
    <n v="1"/>
    <n v="31"/>
    <n v="3"/>
    <n v="2"/>
    <s v="Sales Executive"/>
    <n v="0"/>
    <n v="1"/>
    <n v="0"/>
    <n v="0"/>
    <n v="0"/>
    <n v="0"/>
    <n v="0"/>
    <n v="0"/>
    <x v="3"/>
    <s v="Divorced"/>
    <n v="0"/>
    <n v="0"/>
    <n v="6893"/>
    <n v="19461"/>
    <n v="3"/>
    <s v="No"/>
    <n v="0"/>
    <n v="15"/>
    <n v="3"/>
    <n v="4"/>
    <n v="1"/>
    <n v="11"/>
    <n v="3"/>
    <n v="3"/>
    <n v="7"/>
    <n v="7"/>
    <n v="1"/>
    <n v="7"/>
  </r>
  <r>
    <n v="34"/>
    <x v="1"/>
    <n v="0"/>
    <s v="Travel_Rarely"/>
    <n v="0"/>
    <n v="1"/>
    <n v="507"/>
    <s v="Sales"/>
    <n v="0"/>
    <n v="1"/>
    <n v="15"/>
    <n v="2"/>
    <s v="Medical"/>
    <n v="0"/>
    <n v="0"/>
    <n v="1"/>
    <n v="0"/>
    <n v="0"/>
    <n v="3"/>
    <x v="0"/>
    <n v="1"/>
    <n v="66"/>
    <n v="3"/>
    <n v="2"/>
    <s v="Sales Executive"/>
    <n v="0"/>
    <n v="1"/>
    <n v="0"/>
    <n v="0"/>
    <n v="0"/>
    <n v="0"/>
    <n v="0"/>
    <n v="0"/>
    <x v="3"/>
    <s v="Single"/>
    <n v="1"/>
    <n v="0"/>
    <n v="6125"/>
    <n v="23553"/>
    <n v="1"/>
    <s v="No"/>
    <n v="0"/>
    <n v="12"/>
    <n v="3"/>
    <n v="4"/>
    <n v="0"/>
    <n v="10"/>
    <n v="6"/>
    <n v="4"/>
    <n v="10"/>
    <n v="8"/>
    <n v="9"/>
    <n v="6"/>
  </r>
  <r>
    <n v="25"/>
    <x v="1"/>
    <n v="0"/>
    <s v="Travel_Rarely"/>
    <n v="0"/>
    <n v="1"/>
    <n v="882"/>
    <s v="Research &amp; Development"/>
    <n v="1"/>
    <n v="0"/>
    <n v="19"/>
    <n v="1"/>
    <s v="Medical"/>
    <n v="0"/>
    <n v="0"/>
    <n v="1"/>
    <n v="0"/>
    <n v="0"/>
    <n v="4"/>
    <x v="1"/>
    <n v="0"/>
    <n v="67"/>
    <n v="3"/>
    <n v="1"/>
    <s v="Laboratory Technician"/>
    <n v="0"/>
    <n v="0"/>
    <n v="1"/>
    <n v="0"/>
    <n v="0"/>
    <n v="0"/>
    <n v="0"/>
    <n v="0"/>
    <x v="0"/>
    <s v="Married"/>
    <n v="0"/>
    <n v="1"/>
    <n v="3669"/>
    <n v="9075"/>
    <n v="3"/>
    <s v="No"/>
    <n v="0"/>
    <n v="11"/>
    <n v="3"/>
    <n v="3"/>
    <n v="3"/>
    <n v="7"/>
    <n v="6"/>
    <n v="2"/>
    <n v="3"/>
    <n v="2"/>
    <n v="1"/>
    <n v="2"/>
  </r>
  <r>
    <n v="58"/>
    <x v="0"/>
    <n v="1"/>
    <s v="Travel_Rarely"/>
    <n v="0"/>
    <n v="1"/>
    <n v="601"/>
    <s v="Research &amp; Development"/>
    <n v="1"/>
    <n v="0"/>
    <n v="7"/>
    <n v="4"/>
    <s v="Medical"/>
    <n v="0"/>
    <n v="0"/>
    <n v="1"/>
    <n v="0"/>
    <n v="0"/>
    <n v="3"/>
    <x v="0"/>
    <n v="1"/>
    <n v="53"/>
    <n v="2"/>
    <n v="3"/>
    <s v="Manufacturing Director"/>
    <n v="0"/>
    <n v="0"/>
    <n v="0"/>
    <n v="0"/>
    <n v="1"/>
    <n v="1"/>
    <n v="0"/>
    <n v="0"/>
    <x v="3"/>
    <s v="Married"/>
    <n v="0"/>
    <n v="1"/>
    <n v="10008"/>
    <n v="12023"/>
    <n v="7"/>
    <s v="Yes"/>
    <n v="1"/>
    <n v="14"/>
    <n v="3"/>
    <n v="4"/>
    <n v="0"/>
    <n v="31"/>
    <n v="0"/>
    <n v="2"/>
    <n v="10"/>
    <n v="9"/>
    <n v="5"/>
    <n v="9"/>
  </r>
  <r>
    <n v="40"/>
    <x v="1"/>
    <n v="0"/>
    <s v="Travel_Rarely"/>
    <n v="0"/>
    <n v="1"/>
    <n v="329"/>
    <s v="Research &amp; Development"/>
    <n v="1"/>
    <n v="0"/>
    <n v="1"/>
    <n v="4"/>
    <s v="Life Sciences"/>
    <n v="1"/>
    <n v="0"/>
    <n v="0"/>
    <n v="0"/>
    <n v="0"/>
    <n v="2"/>
    <x v="1"/>
    <n v="0"/>
    <n v="88"/>
    <n v="3"/>
    <n v="1"/>
    <s v="Laboratory Technician"/>
    <n v="0"/>
    <n v="0"/>
    <n v="1"/>
    <n v="0"/>
    <n v="0"/>
    <n v="0"/>
    <n v="0"/>
    <n v="0"/>
    <x v="1"/>
    <s v="Married"/>
    <n v="0"/>
    <n v="1"/>
    <n v="2387"/>
    <n v="6762"/>
    <n v="3"/>
    <s v="No"/>
    <n v="0"/>
    <n v="22"/>
    <n v="4"/>
    <n v="3"/>
    <n v="1"/>
    <n v="7"/>
    <n v="3"/>
    <n v="3"/>
    <n v="4"/>
    <n v="2"/>
    <n v="0"/>
    <n v="3"/>
  </r>
  <r>
    <n v="36"/>
    <x v="1"/>
    <n v="0"/>
    <s v="Travel_Frequently"/>
    <n v="1"/>
    <n v="0"/>
    <n v="607"/>
    <s v="Sales"/>
    <n v="0"/>
    <n v="1"/>
    <n v="7"/>
    <n v="3"/>
    <s v="Marketing"/>
    <n v="0"/>
    <n v="0"/>
    <n v="0"/>
    <n v="1"/>
    <n v="0"/>
    <n v="1"/>
    <x v="0"/>
    <n v="1"/>
    <n v="83"/>
    <n v="4"/>
    <n v="2"/>
    <s v="Sales Executive"/>
    <n v="0"/>
    <n v="1"/>
    <n v="0"/>
    <n v="0"/>
    <n v="0"/>
    <n v="0"/>
    <n v="0"/>
    <n v="0"/>
    <x v="3"/>
    <s v="Married"/>
    <n v="0"/>
    <n v="1"/>
    <n v="4639"/>
    <n v="2261"/>
    <n v="2"/>
    <s v="No"/>
    <n v="0"/>
    <n v="16"/>
    <n v="3"/>
    <n v="4"/>
    <n v="1"/>
    <n v="17"/>
    <n v="2"/>
    <n v="2"/>
    <n v="15"/>
    <n v="7"/>
    <n v="6"/>
    <n v="13"/>
  </r>
  <r>
    <n v="48"/>
    <x v="1"/>
    <n v="0"/>
    <s v="Travel_Rarely"/>
    <n v="0"/>
    <n v="1"/>
    <n v="855"/>
    <s v="Research &amp; Development"/>
    <n v="1"/>
    <n v="0"/>
    <n v="4"/>
    <n v="3"/>
    <s v="Life Sciences"/>
    <n v="1"/>
    <n v="0"/>
    <n v="0"/>
    <n v="0"/>
    <n v="0"/>
    <n v="4"/>
    <x v="1"/>
    <n v="0"/>
    <n v="54"/>
    <n v="3"/>
    <n v="3"/>
    <s v="Manufacturing Director"/>
    <n v="0"/>
    <n v="0"/>
    <n v="0"/>
    <n v="0"/>
    <n v="1"/>
    <n v="1"/>
    <n v="0"/>
    <n v="0"/>
    <x v="0"/>
    <s v="Single"/>
    <n v="1"/>
    <n v="0"/>
    <n v="7898"/>
    <n v="18706"/>
    <n v="1"/>
    <s v="No"/>
    <n v="0"/>
    <n v="11"/>
    <n v="3"/>
    <n v="3"/>
    <n v="0"/>
    <n v="11"/>
    <n v="2"/>
    <n v="3"/>
    <n v="10"/>
    <n v="9"/>
    <n v="0"/>
    <n v="8"/>
  </r>
  <r>
    <n v="27"/>
    <x v="1"/>
    <n v="0"/>
    <s v="Travel_Rarely"/>
    <n v="0"/>
    <n v="1"/>
    <n v="1291"/>
    <s v="Sales"/>
    <n v="0"/>
    <n v="1"/>
    <n v="11"/>
    <n v="3"/>
    <s v="Medical"/>
    <n v="0"/>
    <n v="0"/>
    <n v="1"/>
    <n v="0"/>
    <n v="0"/>
    <n v="3"/>
    <x v="0"/>
    <n v="1"/>
    <n v="98"/>
    <n v="4"/>
    <n v="1"/>
    <s v="Sales Representative"/>
    <n v="0"/>
    <n v="0"/>
    <n v="0"/>
    <n v="0"/>
    <n v="0"/>
    <n v="0"/>
    <n v="1"/>
    <n v="0"/>
    <x v="0"/>
    <s v="Married"/>
    <n v="0"/>
    <n v="1"/>
    <n v="2534"/>
    <n v="6527"/>
    <n v="8"/>
    <s v="No"/>
    <n v="0"/>
    <n v="14"/>
    <n v="3"/>
    <n v="2"/>
    <n v="1"/>
    <n v="5"/>
    <n v="4"/>
    <n v="3"/>
    <n v="1"/>
    <n v="0"/>
    <n v="0"/>
    <n v="0"/>
  </r>
  <r>
    <n v="51"/>
    <x v="1"/>
    <n v="0"/>
    <s v="Travel_Rarely"/>
    <n v="0"/>
    <n v="1"/>
    <n v="1405"/>
    <s v="Research &amp; Development"/>
    <n v="1"/>
    <n v="0"/>
    <n v="11"/>
    <n v="2"/>
    <s v="Technical Degree"/>
    <n v="0"/>
    <n v="0"/>
    <n v="0"/>
    <n v="0"/>
    <n v="1"/>
    <n v="4"/>
    <x v="0"/>
    <n v="1"/>
    <n v="82"/>
    <n v="2"/>
    <n v="4"/>
    <s v="Manufacturing Director"/>
    <n v="0"/>
    <n v="0"/>
    <n v="0"/>
    <n v="0"/>
    <n v="1"/>
    <n v="1"/>
    <n v="0"/>
    <n v="0"/>
    <x v="1"/>
    <s v="Single"/>
    <n v="1"/>
    <n v="0"/>
    <n v="13142"/>
    <n v="24439"/>
    <n v="3"/>
    <s v="No"/>
    <n v="0"/>
    <n v="16"/>
    <n v="3"/>
    <n v="2"/>
    <n v="0"/>
    <n v="29"/>
    <n v="1"/>
    <n v="2"/>
    <n v="5"/>
    <n v="2"/>
    <n v="0"/>
    <n v="3"/>
  </r>
  <r>
    <n v="18"/>
    <x v="1"/>
    <n v="0"/>
    <s v="Non-Travel"/>
    <n v="0"/>
    <n v="0"/>
    <n v="1124"/>
    <s v="Research &amp; Development"/>
    <n v="1"/>
    <n v="0"/>
    <n v="1"/>
    <n v="3"/>
    <s v="Life Sciences"/>
    <n v="1"/>
    <n v="0"/>
    <n v="0"/>
    <n v="0"/>
    <n v="0"/>
    <n v="4"/>
    <x v="0"/>
    <n v="1"/>
    <n v="97"/>
    <n v="3"/>
    <n v="1"/>
    <s v="Laboratory Technician"/>
    <n v="0"/>
    <n v="0"/>
    <n v="1"/>
    <n v="0"/>
    <n v="0"/>
    <n v="0"/>
    <n v="0"/>
    <n v="0"/>
    <x v="0"/>
    <s v="Single"/>
    <n v="1"/>
    <n v="0"/>
    <n v="1611"/>
    <n v="19305"/>
    <n v="1"/>
    <s v="No"/>
    <n v="0"/>
    <n v="15"/>
    <n v="3"/>
    <n v="3"/>
    <n v="0"/>
    <n v="0"/>
    <n v="5"/>
    <n v="4"/>
    <n v="0"/>
    <n v="0"/>
    <n v="0"/>
    <n v="0"/>
  </r>
  <r>
    <n v="35"/>
    <x v="1"/>
    <n v="0"/>
    <s v="Travel_Rarely"/>
    <n v="0"/>
    <n v="1"/>
    <n v="817"/>
    <s v="Research &amp; Development"/>
    <n v="1"/>
    <n v="0"/>
    <n v="1"/>
    <n v="3"/>
    <s v="Medical"/>
    <n v="0"/>
    <n v="0"/>
    <n v="1"/>
    <n v="0"/>
    <n v="0"/>
    <n v="4"/>
    <x v="0"/>
    <n v="1"/>
    <n v="60"/>
    <n v="2"/>
    <n v="2"/>
    <s v="Laboratory Technician"/>
    <n v="0"/>
    <n v="0"/>
    <n v="1"/>
    <n v="0"/>
    <n v="0"/>
    <n v="0"/>
    <n v="0"/>
    <n v="0"/>
    <x v="0"/>
    <s v="Married"/>
    <n v="0"/>
    <n v="1"/>
    <n v="5363"/>
    <n v="10846"/>
    <n v="0"/>
    <s v="No"/>
    <n v="0"/>
    <n v="12"/>
    <n v="3"/>
    <n v="2"/>
    <n v="1"/>
    <n v="10"/>
    <n v="0"/>
    <n v="3"/>
    <n v="9"/>
    <n v="7"/>
    <n v="0"/>
    <n v="0"/>
  </r>
  <r>
    <n v="27"/>
    <x v="1"/>
    <n v="0"/>
    <s v="Travel_Frequently"/>
    <n v="1"/>
    <n v="0"/>
    <n v="793"/>
    <s v="Sales"/>
    <n v="0"/>
    <n v="1"/>
    <n v="2"/>
    <n v="1"/>
    <s v="Life Sciences"/>
    <n v="1"/>
    <n v="0"/>
    <n v="0"/>
    <n v="0"/>
    <n v="0"/>
    <n v="4"/>
    <x v="1"/>
    <n v="0"/>
    <n v="43"/>
    <n v="1"/>
    <n v="2"/>
    <s v="Sales Executive"/>
    <n v="0"/>
    <n v="1"/>
    <n v="0"/>
    <n v="0"/>
    <n v="0"/>
    <n v="0"/>
    <n v="0"/>
    <n v="0"/>
    <x v="0"/>
    <s v="Single"/>
    <n v="1"/>
    <n v="0"/>
    <n v="5071"/>
    <n v="20392"/>
    <n v="3"/>
    <s v="No"/>
    <n v="0"/>
    <n v="20"/>
    <n v="4"/>
    <n v="2"/>
    <n v="0"/>
    <n v="8"/>
    <n v="3"/>
    <n v="3"/>
    <n v="6"/>
    <n v="2"/>
    <n v="0"/>
    <n v="0"/>
  </r>
  <r>
    <n v="55"/>
    <x v="0"/>
    <n v="1"/>
    <s v="Travel_Rarely"/>
    <n v="0"/>
    <n v="1"/>
    <n v="267"/>
    <s v="Sales"/>
    <n v="0"/>
    <n v="1"/>
    <n v="13"/>
    <n v="4"/>
    <s v="Marketing"/>
    <n v="0"/>
    <n v="0"/>
    <n v="0"/>
    <n v="1"/>
    <n v="0"/>
    <n v="1"/>
    <x v="1"/>
    <n v="0"/>
    <n v="85"/>
    <n v="4"/>
    <n v="4"/>
    <s v="Sales Executive"/>
    <n v="0"/>
    <n v="1"/>
    <n v="0"/>
    <n v="0"/>
    <n v="0"/>
    <n v="0"/>
    <n v="0"/>
    <n v="0"/>
    <x v="2"/>
    <s v="Single"/>
    <n v="1"/>
    <n v="0"/>
    <n v="13695"/>
    <n v="9277"/>
    <n v="6"/>
    <s v="Yes"/>
    <n v="1"/>
    <n v="17"/>
    <n v="3"/>
    <n v="3"/>
    <n v="0"/>
    <n v="24"/>
    <n v="2"/>
    <n v="2"/>
    <n v="19"/>
    <n v="7"/>
    <n v="3"/>
    <n v="8"/>
  </r>
  <r>
    <n v="56"/>
    <x v="1"/>
    <n v="0"/>
    <s v="Travel_Rarely"/>
    <n v="0"/>
    <n v="1"/>
    <n v="1369"/>
    <s v="Research &amp; Development"/>
    <n v="1"/>
    <n v="0"/>
    <n v="23"/>
    <n v="3"/>
    <s v="Life Sciences"/>
    <n v="1"/>
    <n v="0"/>
    <n v="0"/>
    <n v="0"/>
    <n v="0"/>
    <n v="4"/>
    <x v="1"/>
    <n v="0"/>
    <n v="68"/>
    <n v="3"/>
    <n v="4"/>
    <s v="Manufacturing Director"/>
    <n v="0"/>
    <n v="0"/>
    <n v="0"/>
    <n v="0"/>
    <n v="1"/>
    <n v="1"/>
    <n v="0"/>
    <n v="0"/>
    <x v="1"/>
    <s v="Married"/>
    <n v="0"/>
    <n v="1"/>
    <n v="13402"/>
    <n v="18235"/>
    <n v="4"/>
    <s v="Yes"/>
    <n v="1"/>
    <n v="12"/>
    <n v="3"/>
    <n v="1"/>
    <n v="1"/>
    <n v="33"/>
    <n v="0"/>
    <n v="3"/>
    <n v="19"/>
    <n v="16"/>
    <n v="15"/>
    <n v="9"/>
  </r>
  <r>
    <n v="34"/>
    <x v="1"/>
    <n v="0"/>
    <s v="Non-Travel"/>
    <n v="0"/>
    <n v="0"/>
    <n v="999"/>
    <s v="Research &amp; Development"/>
    <n v="1"/>
    <n v="0"/>
    <n v="26"/>
    <n v="1"/>
    <s v="Technical Degree"/>
    <n v="0"/>
    <n v="0"/>
    <n v="0"/>
    <n v="0"/>
    <n v="1"/>
    <n v="1"/>
    <x v="0"/>
    <n v="1"/>
    <n v="92"/>
    <n v="2"/>
    <n v="1"/>
    <s v="Research Scientist"/>
    <n v="0"/>
    <n v="0"/>
    <n v="0"/>
    <n v="0"/>
    <n v="0"/>
    <n v="0"/>
    <n v="0"/>
    <n v="1"/>
    <x v="2"/>
    <s v="Divorced"/>
    <n v="0"/>
    <n v="0"/>
    <n v="2029"/>
    <n v="15891"/>
    <n v="1"/>
    <s v="No"/>
    <n v="0"/>
    <n v="20"/>
    <n v="4"/>
    <n v="3"/>
    <n v="3"/>
    <n v="5"/>
    <n v="2"/>
    <n v="3"/>
    <n v="5"/>
    <n v="4"/>
    <n v="0"/>
    <n v="0"/>
  </r>
  <r>
    <n v="40"/>
    <x v="1"/>
    <n v="0"/>
    <s v="Travel_Rarely"/>
    <n v="0"/>
    <n v="1"/>
    <n v="1202"/>
    <s v="Research &amp; Development"/>
    <n v="1"/>
    <n v="0"/>
    <n v="2"/>
    <n v="1"/>
    <s v="Medical"/>
    <n v="0"/>
    <n v="0"/>
    <n v="1"/>
    <n v="0"/>
    <n v="0"/>
    <n v="2"/>
    <x v="0"/>
    <n v="1"/>
    <n v="89"/>
    <n v="4"/>
    <n v="2"/>
    <s v="Healthcare Representative"/>
    <n v="1"/>
    <n v="0"/>
    <n v="0"/>
    <n v="0"/>
    <n v="0"/>
    <n v="0"/>
    <n v="0"/>
    <n v="0"/>
    <x v="2"/>
    <s v="Divorced"/>
    <n v="0"/>
    <n v="0"/>
    <n v="6377"/>
    <n v="13888"/>
    <n v="5"/>
    <s v="No"/>
    <n v="0"/>
    <n v="20"/>
    <n v="4"/>
    <n v="2"/>
    <n v="3"/>
    <n v="15"/>
    <n v="0"/>
    <n v="3"/>
    <n v="12"/>
    <n v="11"/>
    <n v="11"/>
    <n v="8"/>
  </r>
  <r>
    <n v="34"/>
    <x v="1"/>
    <n v="0"/>
    <s v="Travel_Rarely"/>
    <n v="0"/>
    <n v="1"/>
    <n v="285"/>
    <s v="Research &amp; Development"/>
    <n v="1"/>
    <n v="0"/>
    <n v="29"/>
    <n v="3"/>
    <s v="Medical"/>
    <n v="0"/>
    <n v="0"/>
    <n v="1"/>
    <n v="0"/>
    <n v="0"/>
    <n v="2"/>
    <x v="1"/>
    <n v="0"/>
    <n v="86"/>
    <n v="3"/>
    <n v="2"/>
    <s v="Laboratory Technician"/>
    <n v="0"/>
    <n v="0"/>
    <n v="1"/>
    <n v="0"/>
    <n v="0"/>
    <n v="0"/>
    <n v="0"/>
    <n v="0"/>
    <x v="2"/>
    <s v="Married"/>
    <n v="0"/>
    <n v="1"/>
    <n v="5429"/>
    <n v="17491"/>
    <n v="4"/>
    <s v="No"/>
    <n v="0"/>
    <n v="13"/>
    <n v="3"/>
    <n v="1"/>
    <n v="2"/>
    <n v="10"/>
    <n v="1"/>
    <n v="3"/>
    <n v="8"/>
    <n v="7"/>
    <n v="7"/>
    <n v="7"/>
  </r>
  <r>
    <n v="31"/>
    <x v="0"/>
    <n v="1"/>
    <s v="Travel_Frequently"/>
    <n v="1"/>
    <n v="0"/>
    <n v="703"/>
    <s v="Sales"/>
    <n v="0"/>
    <n v="1"/>
    <n v="2"/>
    <n v="3"/>
    <s v="Life Sciences"/>
    <n v="1"/>
    <n v="0"/>
    <n v="0"/>
    <n v="0"/>
    <n v="0"/>
    <n v="3"/>
    <x v="0"/>
    <n v="1"/>
    <n v="90"/>
    <n v="2"/>
    <n v="1"/>
    <s v="Sales Representative"/>
    <n v="0"/>
    <n v="0"/>
    <n v="0"/>
    <n v="0"/>
    <n v="0"/>
    <n v="0"/>
    <n v="1"/>
    <n v="0"/>
    <x v="0"/>
    <s v="Single"/>
    <n v="1"/>
    <n v="0"/>
    <n v="2785"/>
    <n v="11882"/>
    <n v="7"/>
    <s v="No"/>
    <n v="0"/>
    <n v="14"/>
    <n v="3"/>
    <n v="3"/>
    <n v="0"/>
    <n v="3"/>
    <n v="3"/>
    <n v="4"/>
    <n v="1"/>
    <n v="0"/>
    <n v="0"/>
    <n v="0"/>
  </r>
  <r>
    <n v="35"/>
    <x v="0"/>
    <n v="1"/>
    <s v="Travel_Frequently"/>
    <n v="1"/>
    <n v="0"/>
    <n v="662"/>
    <s v="Sales"/>
    <n v="0"/>
    <n v="1"/>
    <n v="18"/>
    <n v="4"/>
    <s v="Marketing"/>
    <n v="0"/>
    <n v="0"/>
    <n v="0"/>
    <n v="1"/>
    <n v="0"/>
    <n v="4"/>
    <x v="0"/>
    <n v="1"/>
    <n v="67"/>
    <n v="3"/>
    <n v="2"/>
    <s v="Sales Executive"/>
    <n v="0"/>
    <n v="1"/>
    <n v="0"/>
    <n v="0"/>
    <n v="0"/>
    <n v="0"/>
    <n v="0"/>
    <n v="0"/>
    <x v="2"/>
    <s v="Married"/>
    <n v="0"/>
    <n v="1"/>
    <n v="4614"/>
    <n v="23288"/>
    <n v="0"/>
    <s v="Yes"/>
    <n v="1"/>
    <n v="18"/>
    <n v="3"/>
    <n v="3"/>
    <n v="1"/>
    <n v="5"/>
    <n v="0"/>
    <n v="2"/>
    <n v="4"/>
    <n v="2"/>
    <n v="3"/>
    <n v="2"/>
  </r>
  <r>
    <n v="38"/>
    <x v="1"/>
    <n v="0"/>
    <s v="Travel_Frequently"/>
    <n v="1"/>
    <n v="0"/>
    <n v="693"/>
    <s v="Research &amp; Development"/>
    <n v="1"/>
    <n v="0"/>
    <n v="7"/>
    <n v="3"/>
    <s v="Life Sciences"/>
    <n v="1"/>
    <n v="0"/>
    <n v="0"/>
    <n v="0"/>
    <n v="0"/>
    <n v="4"/>
    <x v="1"/>
    <n v="0"/>
    <n v="57"/>
    <n v="4"/>
    <n v="1"/>
    <s v="Research Scientist"/>
    <n v="0"/>
    <n v="0"/>
    <n v="0"/>
    <n v="0"/>
    <n v="0"/>
    <n v="0"/>
    <n v="0"/>
    <n v="1"/>
    <x v="2"/>
    <s v="Divorced"/>
    <n v="0"/>
    <n v="0"/>
    <n v="2610"/>
    <n v="15748"/>
    <n v="1"/>
    <s v="No"/>
    <n v="0"/>
    <n v="11"/>
    <n v="3"/>
    <n v="4"/>
    <n v="3"/>
    <n v="4"/>
    <n v="2"/>
    <n v="3"/>
    <n v="4"/>
    <n v="2"/>
    <n v="0"/>
    <n v="3"/>
  </r>
  <r>
    <n v="34"/>
    <x v="1"/>
    <n v="0"/>
    <s v="Travel_Rarely"/>
    <n v="0"/>
    <n v="1"/>
    <n v="404"/>
    <s v="Research &amp; Development"/>
    <n v="1"/>
    <n v="0"/>
    <n v="2"/>
    <n v="4"/>
    <s v="Technical Degree"/>
    <n v="0"/>
    <n v="0"/>
    <n v="0"/>
    <n v="0"/>
    <n v="1"/>
    <n v="3"/>
    <x v="0"/>
    <n v="1"/>
    <n v="98"/>
    <n v="3"/>
    <n v="2"/>
    <s v="Healthcare Representative"/>
    <n v="1"/>
    <n v="0"/>
    <n v="0"/>
    <n v="0"/>
    <n v="0"/>
    <n v="0"/>
    <n v="0"/>
    <n v="0"/>
    <x v="0"/>
    <s v="Single"/>
    <n v="1"/>
    <n v="0"/>
    <n v="6687"/>
    <n v="6163"/>
    <n v="1"/>
    <s v="No"/>
    <n v="0"/>
    <n v="11"/>
    <n v="3"/>
    <n v="4"/>
    <n v="0"/>
    <n v="14"/>
    <n v="2"/>
    <n v="4"/>
    <n v="14"/>
    <n v="11"/>
    <n v="4"/>
    <n v="11"/>
  </r>
  <r>
    <n v="28"/>
    <x v="1"/>
    <n v="0"/>
    <s v="Travel_Rarely"/>
    <n v="0"/>
    <n v="1"/>
    <n v="736"/>
    <s v="Sales"/>
    <n v="0"/>
    <n v="1"/>
    <n v="26"/>
    <n v="3"/>
    <s v="Life Sciences"/>
    <n v="1"/>
    <n v="0"/>
    <n v="0"/>
    <n v="0"/>
    <n v="0"/>
    <n v="3"/>
    <x v="1"/>
    <n v="0"/>
    <n v="48"/>
    <n v="2"/>
    <n v="2"/>
    <s v="Sales Executive"/>
    <n v="0"/>
    <n v="1"/>
    <n v="0"/>
    <n v="0"/>
    <n v="0"/>
    <n v="0"/>
    <n v="0"/>
    <n v="0"/>
    <x v="3"/>
    <s v="Married"/>
    <n v="0"/>
    <n v="1"/>
    <n v="4724"/>
    <n v="24232"/>
    <n v="1"/>
    <s v="No"/>
    <n v="0"/>
    <n v="11"/>
    <n v="3"/>
    <n v="3"/>
    <n v="1"/>
    <n v="5"/>
    <n v="0"/>
    <n v="3"/>
    <n v="5"/>
    <n v="3"/>
    <n v="0"/>
    <n v="4"/>
  </r>
  <r>
    <n v="31"/>
    <x v="0"/>
    <n v="1"/>
    <s v="Travel_Rarely"/>
    <n v="0"/>
    <n v="1"/>
    <n v="330"/>
    <s v="Research &amp; Development"/>
    <n v="1"/>
    <n v="0"/>
    <n v="22"/>
    <n v="4"/>
    <s v="Medical"/>
    <n v="0"/>
    <n v="0"/>
    <n v="1"/>
    <n v="0"/>
    <n v="0"/>
    <n v="4"/>
    <x v="1"/>
    <n v="0"/>
    <n v="98"/>
    <n v="3"/>
    <n v="2"/>
    <s v="Manufacturing Director"/>
    <n v="0"/>
    <n v="0"/>
    <n v="0"/>
    <n v="0"/>
    <n v="1"/>
    <n v="1"/>
    <n v="0"/>
    <n v="0"/>
    <x v="2"/>
    <s v="Married"/>
    <n v="0"/>
    <n v="1"/>
    <n v="6179"/>
    <n v="21057"/>
    <n v="1"/>
    <s v="Yes"/>
    <n v="1"/>
    <n v="15"/>
    <n v="3"/>
    <n v="4"/>
    <n v="2"/>
    <n v="10"/>
    <n v="3"/>
    <n v="2"/>
    <n v="10"/>
    <n v="2"/>
    <n v="6"/>
    <n v="7"/>
  </r>
  <r>
    <n v="39"/>
    <x v="1"/>
    <n v="0"/>
    <s v="Travel_Rarely"/>
    <n v="0"/>
    <n v="1"/>
    <n v="1498"/>
    <s v="Sales"/>
    <n v="0"/>
    <n v="1"/>
    <n v="21"/>
    <n v="4"/>
    <s v="Life Sciences"/>
    <n v="1"/>
    <n v="0"/>
    <n v="0"/>
    <n v="0"/>
    <n v="0"/>
    <n v="1"/>
    <x v="1"/>
    <n v="0"/>
    <n v="44"/>
    <n v="2"/>
    <n v="2"/>
    <s v="Sales Executive"/>
    <n v="0"/>
    <n v="1"/>
    <n v="0"/>
    <n v="0"/>
    <n v="0"/>
    <n v="0"/>
    <n v="0"/>
    <n v="0"/>
    <x v="0"/>
    <s v="Married"/>
    <n v="0"/>
    <n v="1"/>
    <n v="6120"/>
    <n v="3567"/>
    <n v="3"/>
    <s v="Yes"/>
    <n v="1"/>
    <n v="12"/>
    <n v="3"/>
    <n v="4"/>
    <n v="2"/>
    <n v="8"/>
    <n v="2"/>
    <n v="4"/>
    <n v="5"/>
    <n v="4"/>
    <n v="1"/>
    <n v="4"/>
  </r>
  <r>
    <n v="51"/>
    <x v="1"/>
    <n v="0"/>
    <s v="Travel_Frequently"/>
    <n v="1"/>
    <n v="0"/>
    <n v="541"/>
    <s v="Sales"/>
    <n v="0"/>
    <n v="1"/>
    <n v="2"/>
    <n v="3"/>
    <s v="Marketing"/>
    <n v="0"/>
    <n v="0"/>
    <n v="0"/>
    <n v="1"/>
    <n v="0"/>
    <n v="2"/>
    <x v="1"/>
    <n v="0"/>
    <n v="52"/>
    <n v="3"/>
    <n v="3"/>
    <s v="Sales Executive"/>
    <n v="0"/>
    <n v="1"/>
    <n v="0"/>
    <n v="0"/>
    <n v="0"/>
    <n v="0"/>
    <n v="0"/>
    <n v="0"/>
    <x v="1"/>
    <s v="Married"/>
    <n v="0"/>
    <n v="1"/>
    <n v="10596"/>
    <n v="15395"/>
    <n v="2"/>
    <s v="No"/>
    <n v="0"/>
    <n v="11"/>
    <n v="3"/>
    <n v="2"/>
    <n v="0"/>
    <n v="14"/>
    <n v="5"/>
    <n v="3"/>
    <n v="4"/>
    <n v="2"/>
    <n v="3"/>
    <n v="2"/>
  </r>
  <r>
    <n v="41"/>
    <x v="1"/>
    <n v="0"/>
    <s v="Travel_Frequently"/>
    <n v="1"/>
    <n v="0"/>
    <n v="1200"/>
    <s v="Research &amp; Development"/>
    <n v="1"/>
    <n v="0"/>
    <n v="22"/>
    <n v="3"/>
    <s v="Life Sciences"/>
    <n v="1"/>
    <n v="0"/>
    <n v="0"/>
    <n v="0"/>
    <n v="0"/>
    <n v="4"/>
    <x v="0"/>
    <n v="1"/>
    <n v="75"/>
    <n v="3"/>
    <n v="2"/>
    <s v="Research Scientist"/>
    <n v="0"/>
    <n v="0"/>
    <n v="0"/>
    <n v="0"/>
    <n v="0"/>
    <n v="0"/>
    <n v="0"/>
    <n v="1"/>
    <x v="0"/>
    <s v="Divorced"/>
    <n v="0"/>
    <n v="0"/>
    <n v="5467"/>
    <n v="13953"/>
    <n v="3"/>
    <s v="Yes"/>
    <n v="1"/>
    <n v="14"/>
    <n v="3"/>
    <n v="1"/>
    <n v="2"/>
    <n v="12"/>
    <n v="4"/>
    <n v="2"/>
    <n v="6"/>
    <n v="2"/>
    <n v="3"/>
    <n v="3"/>
  </r>
  <r>
    <n v="37"/>
    <x v="1"/>
    <n v="0"/>
    <s v="Travel_Rarely"/>
    <n v="0"/>
    <n v="1"/>
    <n v="1439"/>
    <s v="Research &amp; Development"/>
    <n v="1"/>
    <n v="0"/>
    <n v="4"/>
    <n v="1"/>
    <s v="Life Sciences"/>
    <n v="1"/>
    <n v="0"/>
    <n v="0"/>
    <n v="0"/>
    <n v="0"/>
    <n v="3"/>
    <x v="1"/>
    <n v="0"/>
    <n v="54"/>
    <n v="3"/>
    <n v="1"/>
    <s v="Research Scientist"/>
    <n v="0"/>
    <n v="0"/>
    <n v="0"/>
    <n v="0"/>
    <n v="0"/>
    <n v="0"/>
    <n v="0"/>
    <n v="1"/>
    <x v="2"/>
    <s v="Married"/>
    <n v="0"/>
    <n v="1"/>
    <n v="2996"/>
    <n v="5182"/>
    <n v="7"/>
    <s v="Yes"/>
    <n v="1"/>
    <n v="15"/>
    <n v="3"/>
    <n v="4"/>
    <n v="0"/>
    <n v="8"/>
    <n v="2"/>
    <n v="3"/>
    <n v="6"/>
    <n v="4"/>
    <n v="1"/>
    <n v="3"/>
  </r>
  <r>
    <n v="33"/>
    <x v="1"/>
    <n v="0"/>
    <s v="Travel_Frequently"/>
    <n v="1"/>
    <n v="0"/>
    <n v="1111"/>
    <s v="Sales"/>
    <n v="0"/>
    <n v="1"/>
    <n v="5"/>
    <n v="1"/>
    <s v="Life Sciences"/>
    <n v="1"/>
    <n v="0"/>
    <n v="0"/>
    <n v="0"/>
    <n v="0"/>
    <n v="2"/>
    <x v="1"/>
    <n v="0"/>
    <n v="61"/>
    <n v="3"/>
    <n v="2"/>
    <s v="Sales Executive"/>
    <n v="0"/>
    <n v="1"/>
    <n v="0"/>
    <n v="0"/>
    <n v="0"/>
    <n v="0"/>
    <n v="0"/>
    <n v="0"/>
    <x v="0"/>
    <s v="Married"/>
    <n v="0"/>
    <n v="1"/>
    <n v="9998"/>
    <n v="19293"/>
    <n v="6"/>
    <s v="No"/>
    <n v="0"/>
    <n v="13"/>
    <n v="3"/>
    <n v="1"/>
    <n v="0"/>
    <n v="8"/>
    <n v="2"/>
    <n v="4"/>
    <n v="5"/>
    <n v="4"/>
    <n v="1"/>
    <n v="2"/>
  </r>
  <r>
    <n v="32"/>
    <x v="1"/>
    <n v="0"/>
    <s v="Travel_Rarely"/>
    <n v="0"/>
    <n v="1"/>
    <n v="499"/>
    <s v="Sales"/>
    <n v="0"/>
    <n v="1"/>
    <n v="2"/>
    <n v="1"/>
    <s v="Marketing"/>
    <n v="0"/>
    <n v="0"/>
    <n v="0"/>
    <n v="1"/>
    <n v="0"/>
    <n v="3"/>
    <x v="1"/>
    <n v="0"/>
    <n v="36"/>
    <n v="3"/>
    <n v="2"/>
    <s v="Sales Executive"/>
    <n v="0"/>
    <n v="1"/>
    <n v="0"/>
    <n v="0"/>
    <n v="0"/>
    <n v="0"/>
    <n v="0"/>
    <n v="0"/>
    <x v="1"/>
    <s v="Married"/>
    <n v="0"/>
    <n v="1"/>
    <n v="4078"/>
    <n v="20497"/>
    <n v="0"/>
    <s v="Yes"/>
    <n v="1"/>
    <n v="13"/>
    <n v="3"/>
    <n v="1"/>
    <n v="3"/>
    <n v="4"/>
    <n v="3"/>
    <n v="2"/>
    <n v="3"/>
    <n v="2"/>
    <n v="1"/>
    <n v="2"/>
  </r>
  <r>
    <n v="39"/>
    <x v="1"/>
    <n v="0"/>
    <s v="Non-Travel"/>
    <n v="0"/>
    <n v="0"/>
    <n v="1485"/>
    <s v="Research &amp; Development"/>
    <n v="1"/>
    <n v="0"/>
    <n v="25"/>
    <n v="2"/>
    <s v="Life Sciences"/>
    <n v="1"/>
    <n v="0"/>
    <n v="0"/>
    <n v="0"/>
    <n v="0"/>
    <n v="3"/>
    <x v="1"/>
    <n v="0"/>
    <n v="71"/>
    <n v="3"/>
    <n v="3"/>
    <s v="Healthcare Representative"/>
    <n v="1"/>
    <n v="0"/>
    <n v="0"/>
    <n v="0"/>
    <n v="0"/>
    <n v="0"/>
    <n v="0"/>
    <n v="0"/>
    <x v="2"/>
    <s v="Married"/>
    <n v="0"/>
    <n v="1"/>
    <n v="10920"/>
    <n v="3449"/>
    <n v="3"/>
    <s v="No"/>
    <n v="0"/>
    <n v="21"/>
    <n v="4"/>
    <n v="2"/>
    <n v="1"/>
    <n v="13"/>
    <n v="2"/>
    <n v="3"/>
    <n v="6"/>
    <n v="4"/>
    <n v="0"/>
    <n v="5"/>
  </r>
  <r>
    <n v="25"/>
    <x v="1"/>
    <n v="0"/>
    <s v="Travel_Rarely"/>
    <n v="0"/>
    <n v="1"/>
    <n v="1372"/>
    <s v="Sales"/>
    <n v="0"/>
    <n v="1"/>
    <n v="18"/>
    <n v="1"/>
    <s v="Life Sciences"/>
    <n v="1"/>
    <n v="0"/>
    <n v="0"/>
    <n v="0"/>
    <n v="0"/>
    <n v="1"/>
    <x v="1"/>
    <n v="0"/>
    <n v="93"/>
    <n v="4"/>
    <n v="2"/>
    <s v="Sales Executive"/>
    <n v="0"/>
    <n v="1"/>
    <n v="0"/>
    <n v="0"/>
    <n v="0"/>
    <n v="0"/>
    <n v="0"/>
    <n v="0"/>
    <x v="2"/>
    <s v="Married"/>
    <n v="0"/>
    <n v="1"/>
    <n v="6232"/>
    <n v="12477"/>
    <n v="2"/>
    <s v="No"/>
    <n v="0"/>
    <n v="11"/>
    <n v="3"/>
    <n v="2"/>
    <n v="0"/>
    <n v="6"/>
    <n v="3"/>
    <n v="2"/>
    <n v="3"/>
    <n v="2"/>
    <n v="1"/>
    <n v="2"/>
  </r>
  <r>
    <n v="52"/>
    <x v="1"/>
    <n v="0"/>
    <s v="Travel_Frequently"/>
    <n v="1"/>
    <n v="0"/>
    <n v="322"/>
    <s v="Research &amp; Development"/>
    <n v="1"/>
    <n v="0"/>
    <n v="28"/>
    <n v="2"/>
    <s v="Medical"/>
    <n v="0"/>
    <n v="0"/>
    <n v="1"/>
    <n v="0"/>
    <n v="0"/>
    <n v="4"/>
    <x v="0"/>
    <n v="1"/>
    <n v="59"/>
    <n v="4"/>
    <n v="4"/>
    <s v="Manufacturing Director"/>
    <n v="0"/>
    <n v="0"/>
    <n v="0"/>
    <n v="0"/>
    <n v="1"/>
    <n v="1"/>
    <n v="0"/>
    <n v="0"/>
    <x v="2"/>
    <s v="Married"/>
    <n v="0"/>
    <n v="1"/>
    <n v="13247"/>
    <n v="9731"/>
    <n v="2"/>
    <s v="Yes"/>
    <n v="1"/>
    <n v="11"/>
    <n v="3"/>
    <n v="2"/>
    <n v="1"/>
    <n v="24"/>
    <n v="3"/>
    <n v="2"/>
    <n v="5"/>
    <n v="3"/>
    <n v="0"/>
    <n v="2"/>
  </r>
  <r>
    <n v="43"/>
    <x v="1"/>
    <n v="0"/>
    <s v="Travel_Rarely"/>
    <n v="0"/>
    <n v="1"/>
    <n v="930"/>
    <s v="Research &amp; Development"/>
    <n v="1"/>
    <n v="0"/>
    <n v="6"/>
    <n v="3"/>
    <s v="Medical"/>
    <n v="0"/>
    <n v="0"/>
    <n v="1"/>
    <n v="0"/>
    <n v="0"/>
    <n v="1"/>
    <x v="0"/>
    <n v="1"/>
    <n v="73"/>
    <n v="2"/>
    <n v="2"/>
    <s v="Research Scientist"/>
    <n v="0"/>
    <n v="0"/>
    <n v="0"/>
    <n v="0"/>
    <n v="0"/>
    <n v="0"/>
    <n v="0"/>
    <n v="1"/>
    <x v="2"/>
    <s v="Single"/>
    <n v="1"/>
    <n v="0"/>
    <n v="4081"/>
    <n v="20003"/>
    <n v="1"/>
    <s v="Yes"/>
    <n v="1"/>
    <n v="14"/>
    <n v="3"/>
    <n v="1"/>
    <n v="0"/>
    <n v="20"/>
    <n v="3"/>
    <n v="1"/>
    <n v="20"/>
    <n v="7"/>
    <n v="1"/>
    <n v="8"/>
  </r>
  <r>
    <n v="27"/>
    <x v="1"/>
    <n v="0"/>
    <s v="Travel_Rarely"/>
    <n v="0"/>
    <n v="1"/>
    <n v="205"/>
    <s v="Sales"/>
    <n v="0"/>
    <n v="1"/>
    <n v="10"/>
    <n v="3"/>
    <s v="Marketing"/>
    <n v="0"/>
    <n v="0"/>
    <n v="0"/>
    <n v="1"/>
    <n v="0"/>
    <n v="4"/>
    <x v="0"/>
    <n v="1"/>
    <n v="98"/>
    <n v="2"/>
    <n v="2"/>
    <s v="Sales Executive"/>
    <n v="0"/>
    <n v="1"/>
    <n v="0"/>
    <n v="0"/>
    <n v="0"/>
    <n v="0"/>
    <n v="0"/>
    <n v="0"/>
    <x v="0"/>
    <s v="Married"/>
    <n v="0"/>
    <n v="1"/>
    <n v="5769"/>
    <n v="7100"/>
    <n v="1"/>
    <s v="Yes"/>
    <n v="1"/>
    <n v="11"/>
    <n v="3"/>
    <n v="4"/>
    <n v="0"/>
    <n v="6"/>
    <n v="3"/>
    <n v="3"/>
    <n v="6"/>
    <n v="2"/>
    <n v="4"/>
    <n v="4"/>
  </r>
  <r>
    <n v="27"/>
    <x v="0"/>
    <n v="1"/>
    <s v="Travel_Rarely"/>
    <n v="0"/>
    <n v="1"/>
    <n v="135"/>
    <s v="Research &amp; Development"/>
    <n v="1"/>
    <n v="0"/>
    <n v="17"/>
    <n v="4"/>
    <s v="Life Sciences"/>
    <n v="1"/>
    <n v="0"/>
    <n v="0"/>
    <n v="0"/>
    <n v="0"/>
    <n v="4"/>
    <x v="0"/>
    <n v="1"/>
    <n v="51"/>
    <n v="3"/>
    <n v="1"/>
    <s v="Research Scientist"/>
    <n v="0"/>
    <n v="0"/>
    <n v="0"/>
    <n v="0"/>
    <n v="0"/>
    <n v="0"/>
    <n v="0"/>
    <n v="1"/>
    <x v="2"/>
    <s v="Single"/>
    <n v="1"/>
    <n v="0"/>
    <n v="2394"/>
    <n v="25681"/>
    <n v="1"/>
    <s v="Yes"/>
    <n v="1"/>
    <n v="13"/>
    <n v="3"/>
    <n v="4"/>
    <n v="0"/>
    <n v="8"/>
    <n v="2"/>
    <n v="3"/>
    <n v="8"/>
    <n v="2"/>
    <n v="7"/>
    <n v="7"/>
  </r>
  <r>
    <n v="26"/>
    <x v="1"/>
    <n v="0"/>
    <s v="Travel_Rarely"/>
    <n v="0"/>
    <n v="1"/>
    <n v="683"/>
    <s v="Research &amp; Development"/>
    <n v="1"/>
    <n v="0"/>
    <n v="2"/>
    <n v="1"/>
    <s v="Medical"/>
    <n v="0"/>
    <n v="0"/>
    <n v="1"/>
    <n v="0"/>
    <n v="0"/>
    <n v="1"/>
    <x v="1"/>
    <n v="0"/>
    <n v="36"/>
    <n v="2"/>
    <n v="1"/>
    <s v="Research Scientist"/>
    <n v="0"/>
    <n v="0"/>
    <n v="0"/>
    <n v="0"/>
    <n v="0"/>
    <n v="0"/>
    <n v="0"/>
    <n v="1"/>
    <x v="0"/>
    <s v="Single"/>
    <n v="1"/>
    <n v="0"/>
    <n v="3904"/>
    <n v="4050"/>
    <n v="0"/>
    <s v="No"/>
    <n v="0"/>
    <n v="12"/>
    <n v="3"/>
    <n v="4"/>
    <n v="0"/>
    <n v="5"/>
    <n v="2"/>
    <n v="3"/>
    <n v="4"/>
    <n v="3"/>
    <n v="1"/>
    <n v="1"/>
  </r>
  <r>
    <n v="42"/>
    <x v="1"/>
    <n v="0"/>
    <s v="Travel_Rarely"/>
    <n v="0"/>
    <n v="1"/>
    <n v="1147"/>
    <s v="Human Resources"/>
    <n v="0"/>
    <n v="0"/>
    <n v="10"/>
    <n v="3"/>
    <s v="Human Resources"/>
    <n v="0"/>
    <n v="0"/>
    <n v="0"/>
    <n v="0"/>
    <n v="0"/>
    <n v="3"/>
    <x v="0"/>
    <n v="1"/>
    <n v="31"/>
    <n v="3"/>
    <n v="4"/>
    <s v="Manager"/>
    <n v="0"/>
    <n v="0"/>
    <n v="0"/>
    <n v="1"/>
    <n v="0"/>
    <n v="0"/>
    <n v="0"/>
    <n v="0"/>
    <x v="3"/>
    <s v="Married"/>
    <n v="0"/>
    <n v="1"/>
    <n v="16799"/>
    <n v="16616"/>
    <n v="0"/>
    <s v="No"/>
    <n v="0"/>
    <n v="14"/>
    <n v="3"/>
    <n v="3"/>
    <n v="1"/>
    <n v="21"/>
    <n v="5"/>
    <n v="3"/>
    <n v="20"/>
    <n v="7"/>
    <n v="0"/>
    <n v="9"/>
  </r>
  <r>
    <n v="52"/>
    <x v="1"/>
    <n v="0"/>
    <s v="Travel_Rarely"/>
    <n v="0"/>
    <n v="1"/>
    <n v="258"/>
    <s v="Research &amp; Development"/>
    <n v="1"/>
    <n v="0"/>
    <n v="8"/>
    <n v="4"/>
    <s v="Other"/>
    <n v="0"/>
    <n v="1"/>
    <n v="0"/>
    <n v="0"/>
    <n v="0"/>
    <n v="3"/>
    <x v="0"/>
    <n v="1"/>
    <n v="54"/>
    <n v="3"/>
    <n v="1"/>
    <s v="Laboratory Technician"/>
    <n v="0"/>
    <n v="0"/>
    <n v="1"/>
    <n v="0"/>
    <n v="0"/>
    <n v="0"/>
    <n v="0"/>
    <n v="0"/>
    <x v="3"/>
    <s v="Married"/>
    <n v="0"/>
    <n v="1"/>
    <n v="2950"/>
    <n v="17363"/>
    <n v="9"/>
    <s v="No"/>
    <n v="0"/>
    <n v="13"/>
    <n v="3"/>
    <n v="3"/>
    <n v="0"/>
    <n v="12"/>
    <n v="2"/>
    <n v="1"/>
    <n v="5"/>
    <n v="4"/>
    <n v="0"/>
    <n v="4"/>
  </r>
  <r>
    <n v="37"/>
    <x v="1"/>
    <n v="0"/>
    <s v="Travel_Rarely"/>
    <n v="0"/>
    <n v="1"/>
    <n v="1462"/>
    <s v="Research &amp; Development"/>
    <n v="1"/>
    <n v="0"/>
    <n v="11"/>
    <n v="3"/>
    <s v="Medical"/>
    <n v="0"/>
    <n v="0"/>
    <n v="1"/>
    <n v="0"/>
    <n v="0"/>
    <n v="1"/>
    <x v="0"/>
    <n v="1"/>
    <n v="94"/>
    <n v="3"/>
    <n v="1"/>
    <s v="Laboratory Technician"/>
    <n v="0"/>
    <n v="0"/>
    <n v="1"/>
    <n v="0"/>
    <n v="0"/>
    <n v="0"/>
    <n v="0"/>
    <n v="0"/>
    <x v="2"/>
    <s v="Single"/>
    <n v="1"/>
    <n v="0"/>
    <n v="3629"/>
    <n v="19106"/>
    <n v="4"/>
    <s v="No"/>
    <n v="0"/>
    <n v="18"/>
    <n v="3"/>
    <n v="1"/>
    <n v="0"/>
    <n v="8"/>
    <n v="6"/>
    <n v="3"/>
    <n v="3"/>
    <n v="2"/>
    <n v="0"/>
    <n v="2"/>
  </r>
  <r>
    <n v="35"/>
    <x v="1"/>
    <n v="0"/>
    <s v="Travel_Frequently"/>
    <n v="1"/>
    <n v="0"/>
    <n v="200"/>
    <s v="Research &amp; Development"/>
    <n v="1"/>
    <n v="0"/>
    <n v="18"/>
    <n v="2"/>
    <s v="Life Sciences"/>
    <n v="1"/>
    <n v="0"/>
    <n v="0"/>
    <n v="0"/>
    <n v="0"/>
    <n v="3"/>
    <x v="1"/>
    <n v="0"/>
    <n v="60"/>
    <n v="3"/>
    <n v="3"/>
    <s v="Manufacturing Director"/>
    <n v="0"/>
    <n v="0"/>
    <n v="0"/>
    <n v="0"/>
    <n v="1"/>
    <n v="1"/>
    <n v="0"/>
    <n v="0"/>
    <x v="0"/>
    <s v="Single"/>
    <n v="1"/>
    <n v="0"/>
    <n v="9362"/>
    <n v="19944"/>
    <n v="2"/>
    <s v="No"/>
    <n v="0"/>
    <n v="11"/>
    <n v="3"/>
    <n v="3"/>
    <n v="0"/>
    <n v="10"/>
    <n v="2"/>
    <n v="3"/>
    <n v="2"/>
    <n v="2"/>
    <n v="2"/>
    <n v="2"/>
  </r>
  <r>
    <n v="25"/>
    <x v="1"/>
    <n v="0"/>
    <s v="Travel_Rarely"/>
    <n v="0"/>
    <n v="1"/>
    <n v="949"/>
    <s v="Research &amp; Development"/>
    <n v="1"/>
    <n v="0"/>
    <n v="1"/>
    <n v="3"/>
    <s v="Technical Degree"/>
    <n v="0"/>
    <n v="0"/>
    <n v="0"/>
    <n v="0"/>
    <n v="1"/>
    <n v="1"/>
    <x v="1"/>
    <n v="0"/>
    <n v="81"/>
    <n v="3"/>
    <n v="1"/>
    <s v="Laboratory Technician"/>
    <n v="0"/>
    <n v="0"/>
    <n v="1"/>
    <n v="0"/>
    <n v="0"/>
    <n v="0"/>
    <n v="0"/>
    <n v="0"/>
    <x v="0"/>
    <s v="Married"/>
    <n v="0"/>
    <n v="1"/>
    <n v="3229"/>
    <n v="4910"/>
    <n v="4"/>
    <s v="No"/>
    <n v="0"/>
    <n v="11"/>
    <n v="3"/>
    <n v="2"/>
    <n v="1"/>
    <n v="7"/>
    <n v="2"/>
    <n v="2"/>
    <n v="3"/>
    <n v="2"/>
    <n v="0"/>
    <n v="2"/>
  </r>
  <r>
    <n v="26"/>
    <x v="1"/>
    <n v="0"/>
    <s v="Travel_Rarely"/>
    <n v="0"/>
    <n v="1"/>
    <n v="652"/>
    <s v="Research &amp; Development"/>
    <n v="1"/>
    <n v="0"/>
    <n v="7"/>
    <n v="3"/>
    <s v="Other"/>
    <n v="0"/>
    <n v="1"/>
    <n v="0"/>
    <n v="0"/>
    <n v="0"/>
    <n v="3"/>
    <x v="1"/>
    <n v="0"/>
    <n v="100"/>
    <n v="4"/>
    <n v="1"/>
    <s v="Laboratory Technician"/>
    <n v="0"/>
    <n v="0"/>
    <n v="1"/>
    <n v="0"/>
    <n v="0"/>
    <n v="0"/>
    <n v="0"/>
    <n v="0"/>
    <x v="3"/>
    <s v="Single"/>
    <n v="1"/>
    <n v="0"/>
    <n v="3578"/>
    <n v="23577"/>
    <n v="0"/>
    <s v="No"/>
    <n v="0"/>
    <n v="12"/>
    <n v="3"/>
    <n v="4"/>
    <n v="0"/>
    <n v="8"/>
    <n v="2"/>
    <n v="3"/>
    <n v="7"/>
    <n v="7"/>
    <n v="0"/>
    <n v="7"/>
  </r>
  <r>
    <n v="29"/>
    <x v="1"/>
    <n v="0"/>
    <s v="Travel_Rarely"/>
    <n v="0"/>
    <n v="1"/>
    <n v="332"/>
    <s v="Human Resources"/>
    <n v="0"/>
    <n v="0"/>
    <n v="17"/>
    <n v="3"/>
    <s v="Other"/>
    <n v="0"/>
    <n v="1"/>
    <n v="0"/>
    <n v="0"/>
    <n v="0"/>
    <n v="2"/>
    <x v="1"/>
    <n v="0"/>
    <n v="51"/>
    <n v="2"/>
    <n v="3"/>
    <s v="Human Resources"/>
    <n v="0"/>
    <n v="0"/>
    <n v="0"/>
    <n v="0"/>
    <n v="0"/>
    <n v="0"/>
    <n v="0"/>
    <n v="0"/>
    <x v="3"/>
    <s v="Single"/>
    <n v="1"/>
    <n v="0"/>
    <n v="7988"/>
    <n v="9769"/>
    <n v="1"/>
    <s v="No"/>
    <n v="0"/>
    <n v="13"/>
    <n v="3"/>
    <n v="1"/>
    <n v="0"/>
    <n v="10"/>
    <n v="3"/>
    <n v="2"/>
    <n v="10"/>
    <n v="9"/>
    <n v="0"/>
    <n v="9"/>
  </r>
  <r>
    <n v="49"/>
    <x v="0"/>
    <n v="1"/>
    <s v="Travel_Frequently"/>
    <n v="1"/>
    <n v="0"/>
    <n v="1475"/>
    <s v="Research &amp; Development"/>
    <n v="1"/>
    <n v="0"/>
    <n v="28"/>
    <n v="2"/>
    <s v="Life Sciences"/>
    <n v="1"/>
    <n v="0"/>
    <n v="0"/>
    <n v="0"/>
    <n v="0"/>
    <n v="1"/>
    <x v="1"/>
    <n v="0"/>
    <n v="97"/>
    <n v="2"/>
    <n v="2"/>
    <s v="Laboratory Technician"/>
    <n v="0"/>
    <n v="0"/>
    <n v="1"/>
    <n v="0"/>
    <n v="0"/>
    <n v="0"/>
    <n v="0"/>
    <n v="0"/>
    <x v="3"/>
    <s v="Single"/>
    <n v="1"/>
    <n v="0"/>
    <n v="4284"/>
    <n v="22710"/>
    <n v="3"/>
    <s v="No"/>
    <n v="0"/>
    <n v="20"/>
    <n v="4"/>
    <n v="1"/>
    <n v="0"/>
    <n v="20"/>
    <n v="2"/>
    <n v="3"/>
    <n v="4"/>
    <n v="3"/>
    <n v="1"/>
    <n v="3"/>
  </r>
  <r>
    <n v="29"/>
    <x v="0"/>
    <n v="1"/>
    <s v="Travel_Frequently"/>
    <n v="1"/>
    <n v="0"/>
    <n v="337"/>
    <s v="Research &amp; Development"/>
    <n v="1"/>
    <n v="0"/>
    <n v="14"/>
    <n v="1"/>
    <s v="Other"/>
    <n v="0"/>
    <n v="1"/>
    <n v="0"/>
    <n v="0"/>
    <n v="0"/>
    <n v="3"/>
    <x v="0"/>
    <n v="1"/>
    <n v="84"/>
    <n v="3"/>
    <n v="3"/>
    <s v="Healthcare Representative"/>
    <n v="1"/>
    <n v="0"/>
    <n v="0"/>
    <n v="0"/>
    <n v="0"/>
    <n v="0"/>
    <n v="0"/>
    <n v="0"/>
    <x v="0"/>
    <s v="Single"/>
    <n v="1"/>
    <n v="0"/>
    <n v="7553"/>
    <n v="22930"/>
    <n v="0"/>
    <s v="Yes"/>
    <n v="1"/>
    <n v="12"/>
    <n v="3"/>
    <n v="1"/>
    <n v="0"/>
    <n v="9"/>
    <n v="1"/>
    <n v="3"/>
    <n v="8"/>
    <n v="7"/>
    <n v="7"/>
    <n v="7"/>
  </r>
  <r>
    <n v="54"/>
    <x v="1"/>
    <n v="0"/>
    <s v="Travel_Rarely"/>
    <n v="0"/>
    <n v="1"/>
    <n v="971"/>
    <s v="Research &amp; Development"/>
    <n v="1"/>
    <n v="0"/>
    <n v="1"/>
    <n v="3"/>
    <s v="Medical"/>
    <n v="0"/>
    <n v="0"/>
    <n v="1"/>
    <n v="0"/>
    <n v="0"/>
    <n v="4"/>
    <x v="0"/>
    <n v="1"/>
    <n v="54"/>
    <n v="3"/>
    <n v="4"/>
    <s v="Research Director"/>
    <n v="0"/>
    <n v="0"/>
    <n v="0"/>
    <n v="0"/>
    <n v="0"/>
    <n v="0"/>
    <n v="0"/>
    <n v="0"/>
    <x v="0"/>
    <s v="Single"/>
    <n v="1"/>
    <n v="0"/>
    <n v="17328"/>
    <n v="5652"/>
    <n v="6"/>
    <s v="No"/>
    <n v="0"/>
    <n v="19"/>
    <n v="3"/>
    <n v="4"/>
    <n v="0"/>
    <n v="29"/>
    <n v="3"/>
    <n v="2"/>
    <n v="20"/>
    <n v="7"/>
    <n v="12"/>
    <n v="7"/>
  </r>
  <r>
    <n v="58"/>
    <x v="1"/>
    <n v="0"/>
    <s v="Travel_Rarely"/>
    <n v="0"/>
    <n v="1"/>
    <n v="1055"/>
    <s v="Research &amp; Development"/>
    <n v="1"/>
    <n v="0"/>
    <n v="1"/>
    <n v="3"/>
    <s v="Medical"/>
    <n v="0"/>
    <n v="0"/>
    <n v="1"/>
    <n v="0"/>
    <n v="0"/>
    <n v="4"/>
    <x v="0"/>
    <n v="1"/>
    <n v="76"/>
    <n v="3"/>
    <n v="5"/>
    <s v="Research Director"/>
    <n v="0"/>
    <n v="0"/>
    <n v="0"/>
    <n v="0"/>
    <n v="0"/>
    <n v="0"/>
    <n v="0"/>
    <n v="0"/>
    <x v="3"/>
    <s v="Married"/>
    <n v="0"/>
    <n v="1"/>
    <n v="19701"/>
    <n v="22456"/>
    <n v="3"/>
    <s v="Yes"/>
    <n v="1"/>
    <n v="21"/>
    <n v="4"/>
    <n v="3"/>
    <n v="1"/>
    <n v="32"/>
    <n v="3"/>
    <n v="3"/>
    <n v="9"/>
    <n v="8"/>
    <n v="1"/>
    <n v="5"/>
  </r>
  <r>
    <n v="55"/>
    <x v="1"/>
    <n v="0"/>
    <s v="Travel_Rarely"/>
    <n v="0"/>
    <n v="1"/>
    <n v="1136"/>
    <s v="Research &amp; Development"/>
    <n v="1"/>
    <n v="0"/>
    <n v="1"/>
    <n v="4"/>
    <s v="Medical"/>
    <n v="0"/>
    <n v="0"/>
    <n v="1"/>
    <n v="0"/>
    <n v="0"/>
    <n v="2"/>
    <x v="1"/>
    <n v="0"/>
    <n v="81"/>
    <n v="4"/>
    <n v="4"/>
    <s v="Research Director"/>
    <n v="0"/>
    <n v="0"/>
    <n v="0"/>
    <n v="0"/>
    <n v="0"/>
    <n v="0"/>
    <n v="0"/>
    <n v="0"/>
    <x v="0"/>
    <s v="Divorced"/>
    <n v="0"/>
    <n v="0"/>
    <n v="14732"/>
    <n v="12414"/>
    <n v="2"/>
    <s v="No"/>
    <n v="0"/>
    <n v="13"/>
    <n v="3"/>
    <n v="4"/>
    <n v="2"/>
    <n v="31"/>
    <n v="4"/>
    <n v="4"/>
    <n v="7"/>
    <n v="7"/>
    <n v="0"/>
    <n v="0"/>
  </r>
  <r>
    <n v="36"/>
    <x v="1"/>
    <n v="0"/>
    <s v="Travel_Rarely"/>
    <n v="0"/>
    <n v="1"/>
    <n v="1174"/>
    <s v="Sales"/>
    <n v="0"/>
    <n v="1"/>
    <n v="3"/>
    <n v="4"/>
    <s v="Marketing"/>
    <n v="0"/>
    <n v="0"/>
    <n v="0"/>
    <n v="1"/>
    <n v="0"/>
    <n v="1"/>
    <x v="0"/>
    <n v="1"/>
    <n v="99"/>
    <n v="3"/>
    <n v="2"/>
    <s v="Sales Executive"/>
    <n v="0"/>
    <n v="1"/>
    <n v="0"/>
    <n v="0"/>
    <n v="0"/>
    <n v="0"/>
    <n v="0"/>
    <n v="0"/>
    <x v="1"/>
    <s v="Single"/>
    <n v="1"/>
    <n v="0"/>
    <n v="9278"/>
    <n v="20763"/>
    <n v="3"/>
    <s v="Yes"/>
    <n v="1"/>
    <n v="16"/>
    <n v="3"/>
    <n v="4"/>
    <n v="0"/>
    <n v="15"/>
    <n v="3"/>
    <n v="3"/>
    <n v="5"/>
    <n v="4"/>
    <n v="0"/>
    <n v="1"/>
  </r>
  <r>
    <n v="31"/>
    <x v="0"/>
    <n v="1"/>
    <s v="Travel_Frequently"/>
    <n v="1"/>
    <n v="0"/>
    <n v="667"/>
    <s v="Sales"/>
    <n v="0"/>
    <n v="1"/>
    <n v="1"/>
    <n v="4"/>
    <s v="Life Sciences"/>
    <n v="1"/>
    <n v="0"/>
    <n v="0"/>
    <n v="0"/>
    <n v="0"/>
    <n v="2"/>
    <x v="0"/>
    <n v="1"/>
    <n v="50"/>
    <n v="1"/>
    <n v="1"/>
    <s v="Sales Representative"/>
    <n v="0"/>
    <n v="0"/>
    <n v="0"/>
    <n v="0"/>
    <n v="0"/>
    <n v="0"/>
    <n v="1"/>
    <n v="0"/>
    <x v="2"/>
    <s v="Single"/>
    <n v="1"/>
    <n v="0"/>
    <n v="1359"/>
    <n v="16154"/>
    <n v="1"/>
    <s v="No"/>
    <n v="0"/>
    <n v="12"/>
    <n v="3"/>
    <n v="2"/>
    <n v="0"/>
    <n v="1"/>
    <n v="3"/>
    <n v="3"/>
    <n v="1"/>
    <n v="0"/>
    <n v="0"/>
    <n v="0"/>
  </r>
  <r>
    <n v="30"/>
    <x v="1"/>
    <n v="0"/>
    <s v="Travel_Rarely"/>
    <n v="0"/>
    <n v="1"/>
    <n v="855"/>
    <s v="Sales"/>
    <n v="0"/>
    <n v="1"/>
    <n v="7"/>
    <n v="4"/>
    <s v="Marketing"/>
    <n v="0"/>
    <n v="0"/>
    <n v="0"/>
    <n v="1"/>
    <n v="0"/>
    <n v="4"/>
    <x v="0"/>
    <n v="1"/>
    <n v="73"/>
    <n v="3"/>
    <n v="2"/>
    <s v="Sales Executive"/>
    <n v="0"/>
    <n v="1"/>
    <n v="0"/>
    <n v="0"/>
    <n v="0"/>
    <n v="0"/>
    <n v="0"/>
    <n v="0"/>
    <x v="3"/>
    <s v="Divorced"/>
    <n v="0"/>
    <n v="0"/>
    <n v="4779"/>
    <n v="12761"/>
    <n v="7"/>
    <s v="No"/>
    <n v="0"/>
    <n v="14"/>
    <n v="3"/>
    <n v="2"/>
    <n v="2"/>
    <n v="8"/>
    <n v="3"/>
    <n v="3"/>
    <n v="3"/>
    <n v="2"/>
    <n v="0"/>
    <n v="2"/>
  </r>
  <r>
    <n v="31"/>
    <x v="1"/>
    <n v="0"/>
    <s v="Travel_Rarely"/>
    <n v="0"/>
    <n v="1"/>
    <n v="182"/>
    <s v="Research &amp; Development"/>
    <n v="1"/>
    <n v="0"/>
    <n v="8"/>
    <n v="5"/>
    <s v="Life Sciences"/>
    <n v="1"/>
    <n v="0"/>
    <n v="0"/>
    <n v="0"/>
    <n v="0"/>
    <n v="1"/>
    <x v="0"/>
    <n v="1"/>
    <n v="93"/>
    <n v="3"/>
    <n v="4"/>
    <s v="Research Director"/>
    <n v="0"/>
    <n v="0"/>
    <n v="0"/>
    <n v="0"/>
    <n v="0"/>
    <n v="0"/>
    <n v="0"/>
    <n v="0"/>
    <x v="1"/>
    <s v="Single"/>
    <n v="1"/>
    <n v="0"/>
    <n v="16422"/>
    <n v="8847"/>
    <n v="3"/>
    <s v="No"/>
    <n v="0"/>
    <n v="11"/>
    <n v="3"/>
    <n v="3"/>
    <n v="0"/>
    <n v="9"/>
    <n v="3"/>
    <n v="4"/>
    <n v="3"/>
    <n v="2"/>
    <n v="1"/>
    <n v="0"/>
  </r>
  <r>
    <n v="34"/>
    <x v="1"/>
    <n v="0"/>
    <s v="Travel_Frequently"/>
    <n v="1"/>
    <n v="0"/>
    <n v="560"/>
    <s v="Research &amp; Development"/>
    <n v="1"/>
    <n v="0"/>
    <n v="1"/>
    <n v="4"/>
    <s v="Other"/>
    <n v="0"/>
    <n v="1"/>
    <n v="0"/>
    <n v="0"/>
    <n v="0"/>
    <n v="4"/>
    <x v="1"/>
    <n v="0"/>
    <n v="91"/>
    <n v="3"/>
    <n v="1"/>
    <s v="Research Scientist"/>
    <n v="0"/>
    <n v="0"/>
    <n v="0"/>
    <n v="0"/>
    <n v="0"/>
    <n v="0"/>
    <n v="0"/>
    <n v="1"/>
    <x v="3"/>
    <s v="Divorced"/>
    <n v="0"/>
    <n v="0"/>
    <n v="2996"/>
    <n v="20284"/>
    <n v="5"/>
    <s v="No"/>
    <n v="0"/>
    <n v="14"/>
    <n v="3"/>
    <n v="3"/>
    <n v="2"/>
    <n v="10"/>
    <n v="2"/>
    <n v="3"/>
    <n v="4"/>
    <n v="3"/>
    <n v="1"/>
    <n v="3"/>
  </r>
  <r>
    <n v="31"/>
    <x v="0"/>
    <n v="1"/>
    <s v="Travel_Rarely"/>
    <n v="0"/>
    <n v="1"/>
    <n v="202"/>
    <s v="Research &amp; Development"/>
    <n v="1"/>
    <n v="0"/>
    <n v="8"/>
    <n v="3"/>
    <s v="Life Sciences"/>
    <n v="1"/>
    <n v="0"/>
    <n v="0"/>
    <n v="0"/>
    <n v="0"/>
    <n v="1"/>
    <x v="0"/>
    <n v="1"/>
    <n v="34"/>
    <n v="2"/>
    <n v="1"/>
    <s v="Research Scientist"/>
    <n v="0"/>
    <n v="0"/>
    <n v="0"/>
    <n v="0"/>
    <n v="0"/>
    <n v="0"/>
    <n v="0"/>
    <n v="1"/>
    <x v="1"/>
    <s v="Single"/>
    <n v="1"/>
    <n v="0"/>
    <n v="1261"/>
    <n v="22262"/>
    <n v="1"/>
    <s v="No"/>
    <n v="0"/>
    <n v="12"/>
    <n v="3"/>
    <n v="3"/>
    <n v="0"/>
    <n v="1"/>
    <n v="3"/>
    <n v="4"/>
    <n v="1"/>
    <n v="0"/>
    <n v="0"/>
    <n v="0"/>
  </r>
  <r>
    <n v="27"/>
    <x v="1"/>
    <n v="0"/>
    <s v="Travel_Rarely"/>
    <n v="0"/>
    <n v="1"/>
    <n v="1377"/>
    <s v="Research &amp; Development"/>
    <n v="1"/>
    <n v="0"/>
    <n v="11"/>
    <n v="1"/>
    <s v="Life Sciences"/>
    <n v="1"/>
    <n v="0"/>
    <n v="0"/>
    <n v="0"/>
    <n v="0"/>
    <n v="2"/>
    <x v="1"/>
    <n v="0"/>
    <n v="91"/>
    <n v="3"/>
    <n v="1"/>
    <s v="Laboratory Technician"/>
    <n v="0"/>
    <n v="0"/>
    <n v="1"/>
    <n v="0"/>
    <n v="0"/>
    <n v="0"/>
    <n v="0"/>
    <n v="0"/>
    <x v="3"/>
    <s v="Married"/>
    <n v="0"/>
    <n v="1"/>
    <n v="2099"/>
    <n v="7679"/>
    <n v="0"/>
    <s v="No"/>
    <n v="0"/>
    <n v="14"/>
    <n v="3"/>
    <n v="2"/>
    <n v="0"/>
    <n v="6"/>
    <n v="3"/>
    <n v="4"/>
    <n v="5"/>
    <n v="0"/>
    <n v="1"/>
    <n v="4"/>
  </r>
  <r>
    <n v="36"/>
    <x v="1"/>
    <n v="0"/>
    <s v="Travel_Rarely"/>
    <n v="0"/>
    <n v="1"/>
    <n v="172"/>
    <s v="Research &amp; Development"/>
    <n v="1"/>
    <n v="0"/>
    <n v="4"/>
    <n v="4"/>
    <s v="Life Sciences"/>
    <n v="1"/>
    <n v="0"/>
    <n v="0"/>
    <n v="0"/>
    <n v="0"/>
    <n v="1"/>
    <x v="1"/>
    <n v="0"/>
    <n v="37"/>
    <n v="2"/>
    <n v="2"/>
    <s v="Laboratory Technician"/>
    <n v="0"/>
    <n v="0"/>
    <n v="1"/>
    <n v="0"/>
    <n v="0"/>
    <n v="0"/>
    <n v="0"/>
    <n v="0"/>
    <x v="0"/>
    <s v="Single"/>
    <n v="1"/>
    <n v="0"/>
    <n v="5810"/>
    <n v="22604"/>
    <n v="1"/>
    <s v="No"/>
    <n v="0"/>
    <n v="16"/>
    <n v="3"/>
    <n v="3"/>
    <n v="0"/>
    <n v="10"/>
    <n v="2"/>
    <n v="2"/>
    <n v="10"/>
    <n v="4"/>
    <n v="1"/>
    <n v="8"/>
  </r>
  <r>
    <n v="36"/>
    <x v="1"/>
    <n v="0"/>
    <s v="Travel_Rarely"/>
    <n v="0"/>
    <n v="1"/>
    <n v="329"/>
    <s v="Sales"/>
    <n v="0"/>
    <n v="1"/>
    <n v="16"/>
    <n v="4"/>
    <s v="Marketing"/>
    <n v="0"/>
    <n v="0"/>
    <n v="0"/>
    <n v="1"/>
    <n v="0"/>
    <n v="3"/>
    <x v="0"/>
    <n v="1"/>
    <n v="98"/>
    <n v="2"/>
    <n v="2"/>
    <s v="Sales Executive"/>
    <n v="0"/>
    <n v="1"/>
    <n v="0"/>
    <n v="0"/>
    <n v="0"/>
    <n v="0"/>
    <n v="0"/>
    <n v="0"/>
    <x v="3"/>
    <s v="Married"/>
    <n v="0"/>
    <n v="1"/>
    <n v="5647"/>
    <n v="13494"/>
    <n v="4"/>
    <s v="No"/>
    <n v="0"/>
    <n v="13"/>
    <n v="3"/>
    <n v="1"/>
    <n v="2"/>
    <n v="11"/>
    <n v="3"/>
    <n v="2"/>
    <n v="3"/>
    <n v="2"/>
    <n v="0"/>
    <n v="2"/>
  </r>
  <r>
    <n v="47"/>
    <x v="1"/>
    <n v="0"/>
    <s v="Travel_Rarely"/>
    <n v="0"/>
    <n v="1"/>
    <n v="465"/>
    <s v="Research &amp; Development"/>
    <n v="1"/>
    <n v="0"/>
    <n v="1"/>
    <n v="3"/>
    <s v="Technical Degree"/>
    <n v="0"/>
    <n v="0"/>
    <n v="0"/>
    <n v="0"/>
    <n v="1"/>
    <n v="1"/>
    <x v="1"/>
    <n v="0"/>
    <n v="74"/>
    <n v="3"/>
    <n v="1"/>
    <s v="Research Scientist"/>
    <n v="0"/>
    <n v="0"/>
    <n v="0"/>
    <n v="0"/>
    <n v="0"/>
    <n v="0"/>
    <n v="0"/>
    <n v="1"/>
    <x v="0"/>
    <s v="Married"/>
    <n v="0"/>
    <n v="1"/>
    <n v="3420"/>
    <n v="10205"/>
    <n v="7"/>
    <s v="No"/>
    <n v="0"/>
    <n v="12"/>
    <n v="3"/>
    <n v="3"/>
    <n v="1"/>
    <n v="17"/>
    <n v="2"/>
    <n v="2"/>
    <n v="6"/>
    <n v="5"/>
    <n v="1"/>
    <n v="2"/>
  </r>
  <r>
    <n v="25"/>
    <x v="0"/>
    <n v="1"/>
    <s v="Travel_Rarely"/>
    <n v="0"/>
    <n v="1"/>
    <n v="383"/>
    <s v="Sales"/>
    <n v="0"/>
    <n v="1"/>
    <n v="9"/>
    <n v="2"/>
    <s v="Life Sciences"/>
    <n v="1"/>
    <n v="0"/>
    <n v="0"/>
    <n v="0"/>
    <n v="0"/>
    <n v="1"/>
    <x v="1"/>
    <n v="0"/>
    <n v="68"/>
    <n v="2"/>
    <n v="1"/>
    <s v="Sales Representative"/>
    <n v="0"/>
    <n v="0"/>
    <n v="0"/>
    <n v="0"/>
    <n v="0"/>
    <n v="0"/>
    <n v="1"/>
    <n v="0"/>
    <x v="3"/>
    <s v="Married"/>
    <n v="0"/>
    <n v="1"/>
    <n v="4400"/>
    <n v="15182"/>
    <n v="3"/>
    <s v="No"/>
    <n v="0"/>
    <n v="12"/>
    <n v="3"/>
    <n v="1"/>
    <n v="0"/>
    <n v="6"/>
    <n v="2"/>
    <n v="3"/>
    <n v="3"/>
    <n v="2"/>
    <n v="2"/>
    <n v="2"/>
  </r>
  <r>
    <n v="37"/>
    <x v="1"/>
    <n v="0"/>
    <s v="Non-Travel"/>
    <n v="0"/>
    <n v="0"/>
    <n v="1413"/>
    <s v="Research &amp; Development"/>
    <n v="1"/>
    <n v="0"/>
    <n v="5"/>
    <n v="2"/>
    <s v="Technical Degree"/>
    <n v="0"/>
    <n v="0"/>
    <n v="0"/>
    <n v="0"/>
    <n v="1"/>
    <n v="3"/>
    <x v="1"/>
    <n v="0"/>
    <n v="84"/>
    <n v="4"/>
    <n v="1"/>
    <s v="Laboratory Technician"/>
    <n v="0"/>
    <n v="0"/>
    <n v="1"/>
    <n v="0"/>
    <n v="0"/>
    <n v="0"/>
    <n v="0"/>
    <n v="0"/>
    <x v="2"/>
    <s v="Single"/>
    <n v="1"/>
    <n v="0"/>
    <n v="3500"/>
    <n v="25470"/>
    <n v="0"/>
    <s v="No"/>
    <n v="0"/>
    <n v="14"/>
    <n v="3"/>
    <n v="1"/>
    <n v="0"/>
    <n v="7"/>
    <n v="2"/>
    <n v="1"/>
    <n v="6"/>
    <n v="5"/>
    <n v="1"/>
    <n v="3"/>
  </r>
  <r>
    <n v="56"/>
    <x v="1"/>
    <n v="0"/>
    <s v="Travel_Rarely"/>
    <n v="0"/>
    <n v="1"/>
    <n v="1255"/>
    <s v="Research &amp; Development"/>
    <n v="1"/>
    <n v="0"/>
    <n v="1"/>
    <n v="2"/>
    <s v="Life Sciences"/>
    <n v="1"/>
    <n v="0"/>
    <n v="0"/>
    <n v="0"/>
    <n v="0"/>
    <n v="1"/>
    <x v="0"/>
    <n v="1"/>
    <n v="90"/>
    <n v="3"/>
    <n v="1"/>
    <s v="Research Scientist"/>
    <n v="0"/>
    <n v="0"/>
    <n v="0"/>
    <n v="0"/>
    <n v="0"/>
    <n v="0"/>
    <n v="0"/>
    <n v="1"/>
    <x v="3"/>
    <s v="Married"/>
    <n v="0"/>
    <n v="1"/>
    <n v="2066"/>
    <n v="10494"/>
    <n v="2"/>
    <s v="No"/>
    <n v="0"/>
    <n v="22"/>
    <n v="4"/>
    <n v="4"/>
    <n v="1"/>
    <n v="5"/>
    <n v="3"/>
    <n v="4"/>
    <n v="3"/>
    <n v="2"/>
    <n v="1"/>
    <n v="0"/>
  </r>
  <r>
    <n v="47"/>
    <x v="1"/>
    <n v="0"/>
    <s v="Travel_Rarely"/>
    <n v="0"/>
    <n v="1"/>
    <n v="359"/>
    <s v="Research &amp; Development"/>
    <n v="1"/>
    <n v="0"/>
    <n v="2"/>
    <n v="4"/>
    <s v="Medical"/>
    <n v="0"/>
    <n v="0"/>
    <n v="1"/>
    <n v="0"/>
    <n v="0"/>
    <n v="1"/>
    <x v="0"/>
    <n v="1"/>
    <n v="82"/>
    <n v="3"/>
    <n v="4"/>
    <s v="Research Director"/>
    <n v="0"/>
    <n v="0"/>
    <n v="0"/>
    <n v="0"/>
    <n v="0"/>
    <n v="0"/>
    <n v="0"/>
    <n v="0"/>
    <x v="2"/>
    <s v="Married"/>
    <n v="0"/>
    <n v="1"/>
    <n v="17169"/>
    <n v="26703"/>
    <n v="3"/>
    <s v="No"/>
    <n v="0"/>
    <n v="19"/>
    <n v="3"/>
    <n v="2"/>
    <n v="2"/>
    <n v="26"/>
    <n v="2"/>
    <n v="4"/>
    <n v="20"/>
    <n v="17"/>
    <n v="5"/>
    <n v="6"/>
  </r>
  <r>
    <n v="24"/>
    <x v="1"/>
    <n v="0"/>
    <s v="Travel_Rarely"/>
    <n v="0"/>
    <n v="1"/>
    <n v="1476"/>
    <s v="Sales"/>
    <n v="0"/>
    <n v="1"/>
    <n v="4"/>
    <n v="1"/>
    <s v="Medical"/>
    <n v="0"/>
    <n v="0"/>
    <n v="1"/>
    <n v="0"/>
    <n v="0"/>
    <n v="4"/>
    <x v="0"/>
    <n v="1"/>
    <n v="42"/>
    <n v="3"/>
    <n v="2"/>
    <s v="Sales Executive"/>
    <n v="0"/>
    <n v="1"/>
    <n v="0"/>
    <n v="0"/>
    <n v="0"/>
    <n v="0"/>
    <n v="0"/>
    <n v="0"/>
    <x v="2"/>
    <s v="Married"/>
    <n v="0"/>
    <n v="1"/>
    <n v="4162"/>
    <n v="15211"/>
    <n v="1"/>
    <s v="Yes"/>
    <n v="1"/>
    <n v="12"/>
    <n v="3"/>
    <n v="3"/>
    <n v="2"/>
    <n v="5"/>
    <n v="3"/>
    <n v="3"/>
    <n v="5"/>
    <n v="4"/>
    <n v="0"/>
    <n v="3"/>
  </r>
  <r>
    <n v="32"/>
    <x v="1"/>
    <n v="0"/>
    <s v="Travel_Rarely"/>
    <n v="0"/>
    <n v="1"/>
    <n v="601"/>
    <s v="Sales"/>
    <n v="0"/>
    <n v="1"/>
    <n v="7"/>
    <n v="5"/>
    <s v="Marketing"/>
    <n v="0"/>
    <n v="0"/>
    <n v="0"/>
    <n v="1"/>
    <n v="0"/>
    <n v="4"/>
    <x v="1"/>
    <n v="0"/>
    <n v="97"/>
    <n v="3"/>
    <n v="2"/>
    <s v="Sales Executive"/>
    <n v="0"/>
    <n v="1"/>
    <n v="0"/>
    <n v="0"/>
    <n v="0"/>
    <n v="0"/>
    <n v="0"/>
    <n v="0"/>
    <x v="0"/>
    <s v="Married"/>
    <n v="0"/>
    <n v="1"/>
    <n v="9204"/>
    <n v="23343"/>
    <n v="4"/>
    <s v="No"/>
    <n v="0"/>
    <n v="12"/>
    <n v="3"/>
    <n v="3"/>
    <n v="1"/>
    <n v="7"/>
    <n v="3"/>
    <n v="2"/>
    <n v="4"/>
    <n v="3"/>
    <n v="0"/>
    <n v="3"/>
  </r>
  <r>
    <n v="34"/>
    <x v="1"/>
    <n v="0"/>
    <s v="Travel_Rarely"/>
    <n v="0"/>
    <n v="1"/>
    <n v="401"/>
    <s v="Research &amp; Development"/>
    <n v="1"/>
    <n v="0"/>
    <n v="1"/>
    <n v="3"/>
    <s v="Life Sciences"/>
    <n v="1"/>
    <n v="0"/>
    <n v="0"/>
    <n v="0"/>
    <n v="0"/>
    <n v="4"/>
    <x v="0"/>
    <n v="1"/>
    <n v="86"/>
    <n v="2"/>
    <n v="1"/>
    <s v="Laboratory Technician"/>
    <n v="0"/>
    <n v="0"/>
    <n v="1"/>
    <n v="0"/>
    <n v="0"/>
    <n v="0"/>
    <n v="0"/>
    <n v="0"/>
    <x v="1"/>
    <s v="Married"/>
    <n v="0"/>
    <n v="1"/>
    <n v="3294"/>
    <n v="3708"/>
    <n v="5"/>
    <s v="No"/>
    <n v="0"/>
    <n v="17"/>
    <n v="3"/>
    <n v="1"/>
    <n v="1"/>
    <n v="7"/>
    <n v="2"/>
    <n v="2"/>
    <n v="5"/>
    <n v="4"/>
    <n v="0"/>
    <n v="2"/>
  </r>
  <r>
    <n v="41"/>
    <x v="1"/>
    <n v="0"/>
    <s v="Travel_Rarely"/>
    <n v="0"/>
    <n v="1"/>
    <n v="1283"/>
    <s v="Research &amp; Development"/>
    <n v="1"/>
    <n v="0"/>
    <n v="5"/>
    <n v="5"/>
    <s v="Medical"/>
    <n v="0"/>
    <n v="0"/>
    <n v="1"/>
    <n v="0"/>
    <n v="0"/>
    <n v="2"/>
    <x v="1"/>
    <n v="0"/>
    <n v="90"/>
    <n v="4"/>
    <n v="1"/>
    <s v="Research Scientist"/>
    <n v="0"/>
    <n v="0"/>
    <n v="0"/>
    <n v="0"/>
    <n v="0"/>
    <n v="0"/>
    <n v="0"/>
    <n v="1"/>
    <x v="2"/>
    <s v="Married"/>
    <n v="0"/>
    <n v="1"/>
    <n v="2127"/>
    <n v="5561"/>
    <n v="2"/>
    <s v="Yes"/>
    <n v="1"/>
    <n v="12"/>
    <n v="3"/>
    <n v="1"/>
    <n v="0"/>
    <n v="7"/>
    <n v="5"/>
    <n v="2"/>
    <n v="4"/>
    <n v="2"/>
    <n v="0"/>
    <n v="3"/>
  </r>
  <r>
    <n v="40"/>
    <x v="1"/>
    <n v="0"/>
    <s v="Non-Travel"/>
    <n v="0"/>
    <n v="0"/>
    <n v="663"/>
    <s v="Research &amp; Development"/>
    <n v="1"/>
    <n v="0"/>
    <n v="9"/>
    <n v="4"/>
    <s v="Other"/>
    <n v="0"/>
    <n v="1"/>
    <n v="0"/>
    <n v="0"/>
    <n v="0"/>
    <n v="3"/>
    <x v="1"/>
    <n v="0"/>
    <n v="81"/>
    <n v="3"/>
    <n v="2"/>
    <s v="Laboratory Technician"/>
    <n v="0"/>
    <n v="0"/>
    <n v="1"/>
    <n v="0"/>
    <n v="0"/>
    <n v="0"/>
    <n v="0"/>
    <n v="0"/>
    <x v="2"/>
    <s v="Divorced"/>
    <n v="0"/>
    <n v="0"/>
    <n v="3975"/>
    <n v="23099"/>
    <n v="3"/>
    <s v="No"/>
    <n v="0"/>
    <n v="11"/>
    <n v="3"/>
    <n v="3"/>
    <n v="2"/>
    <n v="11"/>
    <n v="2"/>
    <n v="4"/>
    <n v="8"/>
    <n v="7"/>
    <n v="0"/>
    <n v="7"/>
  </r>
  <r>
    <n v="31"/>
    <x v="1"/>
    <n v="0"/>
    <s v="Travel_Rarely"/>
    <n v="0"/>
    <n v="1"/>
    <n v="326"/>
    <s v="Sales"/>
    <n v="0"/>
    <n v="1"/>
    <n v="8"/>
    <n v="2"/>
    <s v="Life Sciences"/>
    <n v="1"/>
    <n v="0"/>
    <n v="0"/>
    <n v="0"/>
    <n v="0"/>
    <n v="1"/>
    <x v="1"/>
    <n v="0"/>
    <n v="31"/>
    <n v="3"/>
    <n v="3"/>
    <s v="Sales Executive"/>
    <n v="0"/>
    <n v="1"/>
    <n v="0"/>
    <n v="0"/>
    <n v="0"/>
    <n v="0"/>
    <n v="0"/>
    <n v="0"/>
    <x v="0"/>
    <s v="Divorced"/>
    <n v="0"/>
    <n v="0"/>
    <n v="10793"/>
    <n v="8386"/>
    <n v="1"/>
    <s v="No"/>
    <n v="0"/>
    <n v="18"/>
    <n v="3"/>
    <n v="1"/>
    <n v="1"/>
    <n v="13"/>
    <n v="5"/>
    <n v="3"/>
    <n v="13"/>
    <n v="7"/>
    <n v="9"/>
    <n v="9"/>
  </r>
  <r>
    <n v="46"/>
    <x v="0"/>
    <n v="1"/>
    <s v="Travel_Rarely"/>
    <n v="0"/>
    <n v="1"/>
    <n v="377"/>
    <s v="Sales"/>
    <n v="0"/>
    <n v="1"/>
    <n v="9"/>
    <n v="3"/>
    <s v="Marketing"/>
    <n v="0"/>
    <n v="0"/>
    <n v="0"/>
    <n v="1"/>
    <n v="0"/>
    <n v="1"/>
    <x v="1"/>
    <n v="0"/>
    <n v="52"/>
    <n v="3"/>
    <n v="3"/>
    <s v="Sales Executive"/>
    <n v="0"/>
    <n v="1"/>
    <n v="0"/>
    <n v="0"/>
    <n v="0"/>
    <n v="0"/>
    <n v="0"/>
    <n v="0"/>
    <x v="0"/>
    <s v="Divorced"/>
    <n v="0"/>
    <n v="0"/>
    <n v="10096"/>
    <n v="15986"/>
    <n v="4"/>
    <s v="No"/>
    <n v="0"/>
    <n v="11"/>
    <n v="3"/>
    <n v="1"/>
    <n v="1"/>
    <n v="28"/>
    <n v="1"/>
    <n v="4"/>
    <n v="7"/>
    <n v="7"/>
    <n v="4"/>
    <n v="3"/>
  </r>
  <r>
    <n v="39"/>
    <x v="0"/>
    <n v="1"/>
    <s v="Non-Travel"/>
    <n v="0"/>
    <n v="0"/>
    <n v="592"/>
    <s v="Research &amp; Development"/>
    <n v="1"/>
    <n v="0"/>
    <n v="2"/>
    <n v="3"/>
    <s v="Life Sciences"/>
    <n v="1"/>
    <n v="0"/>
    <n v="0"/>
    <n v="0"/>
    <n v="0"/>
    <n v="1"/>
    <x v="0"/>
    <n v="1"/>
    <n v="54"/>
    <n v="2"/>
    <n v="1"/>
    <s v="Laboratory Technician"/>
    <n v="0"/>
    <n v="0"/>
    <n v="1"/>
    <n v="0"/>
    <n v="0"/>
    <n v="0"/>
    <n v="0"/>
    <n v="0"/>
    <x v="3"/>
    <s v="Single"/>
    <n v="1"/>
    <n v="0"/>
    <n v="3646"/>
    <n v="17181"/>
    <n v="2"/>
    <s v="Yes"/>
    <n v="1"/>
    <n v="23"/>
    <n v="4"/>
    <n v="2"/>
    <n v="0"/>
    <n v="11"/>
    <n v="2"/>
    <n v="4"/>
    <n v="1"/>
    <n v="0"/>
    <n v="0"/>
    <n v="0"/>
  </r>
  <r>
    <n v="31"/>
    <x v="0"/>
    <n v="1"/>
    <s v="Travel_Frequently"/>
    <n v="1"/>
    <n v="0"/>
    <n v="1445"/>
    <s v="Research &amp; Development"/>
    <n v="1"/>
    <n v="0"/>
    <n v="1"/>
    <n v="5"/>
    <s v="Life Sciences"/>
    <n v="1"/>
    <n v="0"/>
    <n v="0"/>
    <n v="0"/>
    <n v="0"/>
    <n v="3"/>
    <x v="0"/>
    <n v="1"/>
    <n v="100"/>
    <n v="4"/>
    <n v="3"/>
    <s v="Manufacturing Director"/>
    <n v="0"/>
    <n v="0"/>
    <n v="0"/>
    <n v="0"/>
    <n v="1"/>
    <n v="1"/>
    <n v="0"/>
    <n v="0"/>
    <x v="1"/>
    <s v="Single"/>
    <n v="1"/>
    <n v="0"/>
    <n v="7446"/>
    <n v="8931"/>
    <n v="1"/>
    <s v="No"/>
    <n v="0"/>
    <n v="11"/>
    <n v="3"/>
    <n v="1"/>
    <n v="0"/>
    <n v="10"/>
    <n v="2"/>
    <n v="3"/>
    <n v="10"/>
    <n v="8"/>
    <n v="4"/>
    <n v="7"/>
  </r>
  <r>
    <n v="45"/>
    <x v="1"/>
    <n v="0"/>
    <s v="Travel_Rarely"/>
    <n v="0"/>
    <n v="1"/>
    <n v="1038"/>
    <s v="Research &amp; Development"/>
    <n v="1"/>
    <n v="0"/>
    <n v="20"/>
    <n v="3"/>
    <s v="Medical"/>
    <n v="0"/>
    <n v="0"/>
    <n v="1"/>
    <n v="0"/>
    <n v="0"/>
    <n v="2"/>
    <x v="1"/>
    <n v="0"/>
    <n v="95"/>
    <n v="1"/>
    <n v="3"/>
    <s v="Healthcare Representative"/>
    <n v="1"/>
    <n v="0"/>
    <n v="0"/>
    <n v="0"/>
    <n v="0"/>
    <n v="0"/>
    <n v="0"/>
    <n v="0"/>
    <x v="3"/>
    <s v="Divorced"/>
    <n v="0"/>
    <n v="0"/>
    <n v="10851"/>
    <n v="19863"/>
    <n v="2"/>
    <s v="Yes"/>
    <n v="1"/>
    <n v="18"/>
    <n v="3"/>
    <n v="2"/>
    <n v="1"/>
    <n v="24"/>
    <n v="2"/>
    <n v="3"/>
    <n v="7"/>
    <n v="7"/>
    <n v="0"/>
    <n v="7"/>
  </r>
  <r>
    <n v="31"/>
    <x v="1"/>
    <n v="0"/>
    <s v="Travel_Rarely"/>
    <n v="0"/>
    <n v="1"/>
    <n v="1398"/>
    <s v="Human Resources"/>
    <n v="0"/>
    <n v="0"/>
    <n v="8"/>
    <n v="2"/>
    <s v="Medical"/>
    <n v="0"/>
    <n v="0"/>
    <n v="1"/>
    <n v="0"/>
    <n v="0"/>
    <n v="4"/>
    <x v="0"/>
    <n v="1"/>
    <n v="96"/>
    <n v="4"/>
    <n v="1"/>
    <s v="Human Resources"/>
    <n v="0"/>
    <n v="0"/>
    <n v="0"/>
    <n v="0"/>
    <n v="0"/>
    <n v="0"/>
    <n v="0"/>
    <n v="0"/>
    <x v="1"/>
    <s v="Single"/>
    <n v="1"/>
    <n v="0"/>
    <n v="2109"/>
    <n v="24609"/>
    <n v="9"/>
    <s v="No"/>
    <n v="0"/>
    <n v="18"/>
    <n v="3"/>
    <n v="4"/>
    <n v="0"/>
    <n v="8"/>
    <n v="3"/>
    <n v="3"/>
    <n v="3"/>
    <n v="2"/>
    <n v="0"/>
    <n v="2"/>
  </r>
  <r>
    <n v="31"/>
    <x v="0"/>
    <n v="1"/>
    <s v="Travel_Frequently"/>
    <n v="1"/>
    <n v="0"/>
    <n v="523"/>
    <s v="Research &amp; Development"/>
    <n v="1"/>
    <n v="0"/>
    <n v="2"/>
    <n v="3"/>
    <s v="Life Sciences"/>
    <n v="1"/>
    <n v="0"/>
    <n v="0"/>
    <n v="0"/>
    <n v="0"/>
    <n v="2"/>
    <x v="1"/>
    <n v="0"/>
    <n v="94"/>
    <n v="3"/>
    <n v="1"/>
    <s v="Laboratory Technician"/>
    <n v="0"/>
    <n v="0"/>
    <n v="1"/>
    <n v="0"/>
    <n v="0"/>
    <n v="0"/>
    <n v="0"/>
    <n v="0"/>
    <x v="0"/>
    <s v="Married"/>
    <n v="0"/>
    <n v="1"/>
    <n v="3722"/>
    <n v="21081"/>
    <n v="6"/>
    <s v="Yes"/>
    <n v="1"/>
    <n v="13"/>
    <n v="3"/>
    <n v="3"/>
    <n v="1"/>
    <n v="7"/>
    <n v="2"/>
    <n v="1"/>
    <n v="2"/>
    <n v="2"/>
    <n v="2"/>
    <n v="2"/>
  </r>
  <r>
    <n v="45"/>
    <x v="1"/>
    <n v="0"/>
    <s v="Travel_Rarely"/>
    <n v="0"/>
    <n v="1"/>
    <n v="1448"/>
    <s v="Research &amp; Development"/>
    <n v="1"/>
    <n v="0"/>
    <n v="29"/>
    <n v="3"/>
    <s v="Technical Degree"/>
    <n v="0"/>
    <n v="0"/>
    <n v="0"/>
    <n v="0"/>
    <n v="1"/>
    <n v="2"/>
    <x v="1"/>
    <n v="0"/>
    <n v="55"/>
    <n v="3"/>
    <n v="3"/>
    <s v="Manufacturing Director"/>
    <n v="0"/>
    <n v="0"/>
    <n v="0"/>
    <n v="0"/>
    <n v="1"/>
    <n v="1"/>
    <n v="0"/>
    <n v="0"/>
    <x v="0"/>
    <s v="Married"/>
    <n v="0"/>
    <n v="1"/>
    <n v="9380"/>
    <n v="14720"/>
    <n v="4"/>
    <s v="Yes"/>
    <n v="1"/>
    <n v="18"/>
    <n v="3"/>
    <n v="4"/>
    <n v="2"/>
    <n v="10"/>
    <n v="4"/>
    <n v="4"/>
    <n v="3"/>
    <n v="1"/>
    <n v="1"/>
    <n v="2"/>
  </r>
  <r>
    <n v="48"/>
    <x v="1"/>
    <n v="0"/>
    <s v="Travel_Rarely"/>
    <n v="0"/>
    <n v="1"/>
    <n v="1221"/>
    <s v="Sales"/>
    <n v="0"/>
    <n v="1"/>
    <n v="7"/>
    <n v="3"/>
    <s v="Marketing"/>
    <n v="0"/>
    <n v="0"/>
    <n v="0"/>
    <n v="1"/>
    <n v="0"/>
    <n v="3"/>
    <x v="1"/>
    <n v="0"/>
    <n v="96"/>
    <n v="3"/>
    <n v="2"/>
    <s v="Sales Executive"/>
    <n v="0"/>
    <n v="1"/>
    <n v="0"/>
    <n v="0"/>
    <n v="0"/>
    <n v="0"/>
    <n v="0"/>
    <n v="0"/>
    <x v="3"/>
    <s v="Divorced"/>
    <n v="0"/>
    <n v="0"/>
    <n v="5486"/>
    <n v="24795"/>
    <n v="4"/>
    <s v="No"/>
    <n v="0"/>
    <n v="11"/>
    <n v="3"/>
    <n v="1"/>
    <n v="3"/>
    <n v="15"/>
    <n v="3"/>
    <n v="3"/>
    <n v="2"/>
    <n v="2"/>
    <n v="2"/>
    <n v="2"/>
  </r>
  <r>
    <n v="34"/>
    <x v="0"/>
    <n v="1"/>
    <s v="Travel_Rarely"/>
    <n v="0"/>
    <n v="1"/>
    <n v="1107"/>
    <s v="Human Resources"/>
    <n v="0"/>
    <n v="0"/>
    <n v="9"/>
    <n v="4"/>
    <s v="Technical Degree"/>
    <n v="0"/>
    <n v="0"/>
    <n v="0"/>
    <n v="0"/>
    <n v="1"/>
    <n v="1"/>
    <x v="0"/>
    <n v="1"/>
    <n v="52"/>
    <n v="3"/>
    <n v="1"/>
    <s v="Human Resources"/>
    <n v="0"/>
    <n v="0"/>
    <n v="0"/>
    <n v="0"/>
    <n v="0"/>
    <n v="0"/>
    <n v="0"/>
    <n v="0"/>
    <x v="2"/>
    <s v="Married"/>
    <n v="0"/>
    <n v="1"/>
    <n v="2742"/>
    <n v="3072"/>
    <n v="1"/>
    <s v="No"/>
    <n v="0"/>
    <n v="15"/>
    <n v="3"/>
    <n v="4"/>
    <n v="0"/>
    <n v="2"/>
    <n v="0"/>
    <n v="3"/>
    <n v="2"/>
    <n v="2"/>
    <n v="2"/>
    <n v="2"/>
  </r>
  <r>
    <n v="40"/>
    <x v="1"/>
    <n v="0"/>
    <s v="Non-Travel"/>
    <n v="0"/>
    <n v="0"/>
    <n v="218"/>
    <s v="Research &amp; Development"/>
    <n v="1"/>
    <n v="0"/>
    <n v="8"/>
    <n v="1"/>
    <s v="Medical"/>
    <n v="0"/>
    <n v="0"/>
    <n v="1"/>
    <n v="0"/>
    <n v="0"/>
    <n v="4"/>
    <x v="1"/>
    <n v="0"/>
    <n v="55"/>
    <n v="2"/>
    <n v="3"/>
    <s v="Research Director"/>
    <n v="0"/>
    <n v="0"/>
    <n v="0"/>
    <n v="0"/>
    <n v="0"/>
    <n v="0"/>
    <n v="0"/>
    <n v="0"/>
    <x v="1"/>
    <s v="Divorced"/>
    <n v="0"/>
    <n v="0"/>
    <n v="13757"/>
    <n v="25178"/>
    <n v="2"/>
    <s v="No"/>
    <n v="0"/>
    <n v="11"/>
    <n v="3"/>
    <n v="3"/>
    <n v="1"/>
    <n v="16"/>
    <n v="5"/>
    <n v="3"/>
    <n v="9"/>
    <n v="8"/>
    <n v="4"/>
    <n v="8"/>
  </r>
  <r>
    <n v="28"/>
    <x v="1"/>
    <n v="0"/>
    <s v="Travel_Rarely"/>
    <n v="0"/>
    <n v="1"/>
    <n v="866"/>
    <s v="Sales"/>
    <n v="0"/>
    <n v="1"/>
    <n v="5"/>
    <n v="3"/>
    <s v="Medical"/>
    <n v="0"/>
    <n v="0"/>
    <n v="1"/>
    <n v="0"/>
    <n v="0"/>
    <n v="4"/>
    <x v="1"/>
    <n v="0"/>
    <n v="84"/>
    <n v="3"/>
    <n v="2"/>
    <s v="Sales Executive"/>
    <n v="0"/>
    <n v="1"/>
    <n v="0"/>
    <n v="0"/>
    <n v="0"/>
    <n v="0"/>
    <n v="0"/>
    <n v="0"/>
    <x v="3"/>
    <s v="Single"/>
    <n v="1"/>
    <n v="0"/>
    <n v="8463"/>
    <n v="23490"/>
    <n v="0"/>
    <s v="No"/>
    <n v="0"/>
    <n v="18"/>
    <n v="3"/>
    <n v="4"/>
    <n v="0"/>
    <n v="6"/>
    <n v="4"/>
    <n v="3"/>
    <n v="5"/>
    <n v="4"/>
    <n v="1"/>
    <n v="3"/>
  </r>
  <r>
    <n v="44"/>
    <x v="1"/>
    <n v="0"/>
    <s v="Non-Travel"/>
    <n v="0"/>
    <n v="0"/>
    <n v="981"/>
    <s v="Research &amp; Development"/>
    <n v="1"/>
    <n v="0"/>
    <n v="5"/>
    <n v="3"/>
    <s v="Life Sciences"/>
    <n v="1"/>
    <n v="0"/>
    <n v="0"/>
    <n v="0"/>
    <n v="0"/>
    <n v="3"/>
    <x v="1"/>
    <n v="0"/>
    <n v="90"/>
    <n v="2"/>
    <n v="1"/>
    <s v="Laboratory Technician"/>
    <n v="0"/>
    <n v="0"/>
    <n v="1"/>
    <n v="0"/>
    <n v="0"/>
    <n v="0"/>
    <n v="0"/>
    <n v="0"/>
    <x v="2"/>
    <s v="Single"/>
    <n v="1"/>
    <n v="0"/>
    <n v="3162"/>
    <n v="7973"/>
    <n v="3"/>
    <s v="No"/>
    <n v="0"/>
    <n v="14"/>
    <n v="3"/>
    <n v="4"/>
    <n v="0"/>
    <n v="7"/>
    <n v="5"/>
    <n v="3"/>
    <n v="5"/>
    <n v="2"/>
    <n v="0"/>
    <n v="3"/>
  </r>
  <r>
    <n v="53"/>
    <x v="1"/>
    <n v="0"/>
    <s v="Travel_Rarely"/>
    <n v="0"/>
    <n v="1"/>
    <n v="447"/>
    <s v="Research &amp; Development"/>
    <n v="1"/>
    <n v="0"/>
    <n v="2"/>
    <n v="3"/>
    <s v="Medical"/>
    <n v="0"/>
    <n v="0"/>
    <n v="1"/>
    <n v="0"/>
    <n v="0"/>
    <n v="4"/>
    <x v="1"/>
    <n v="0"/>
    <n v="39"/>
    <n v="4"/>
    <n v="4"/>
    <s v="Research Director"/>
    <n v="0"/>
    <n v="0"/>
    <n v="0"/>
    <n v="0"/>
    <n v="0"/>
    <n v="0"/>
    <n v="0"/>
    <n v="0"/>
    <x v="1"/>
    <s v="Single"/>
    <n v="1"/>
    <n v="0"/>
    <n v="16598"/>
    <n v="19764"/>
    <n v="4"/>
    <s v="No"/>
    <n v="0"/>
    <n v="12"/>
    <n v="3"/>
    <n v="2"/>
    <n v="0"/>
    <n v="35"/>
    <n v="2"/>
    <n v="2"/>
    <n v="9"/>
    <n v="8"/>
    <n v="8"/>
    <n v="8"/>
  </r>
  <r>
    <n v="49"/>
    <x v="1"/>
    <n v="0"/>
    <s v="Travel_Rarely"/>
    <n v="0"/>
    <n v="1"/>
    <n v="1495"/>
    <s v="Research &amp; Development"/>
    <n v="1"/>
    <n v="0"/>
    <n v="5"/>
    <n v="4"/>
    <s v="Technical Degree"/>
    <n v="0"/>
    <n v="0"/>
    <n v="0"/>
    <n v="0"/>
    <n v="1"/>
    <n v="1"/>
    <x v="1"/>
    <n v="0"/>
    <n v="96"/>
    <n v="3"/>
    <n v="2"/>
    <s v="Healthcare Representative"/>
    <n v="1"/>
    <n v="0"/>
    <n v="0"/>
    <n v="0"/>
    <n v="0"/>
    <n v="0"/>
    <n v="0"/>
    <n v="0"/>
    <x v="2"/>
    <s v="Married"/>
    <n v="0"/>
    <n v="1"/>
    <n v="6651"/>
    <n v="21534"/>
    <n v="2"/>
    <s v="No"/>
    <n v="0"/>
    <n v="14"/>
    <n v="3"/>
    <n v="2"/>
    <n v="1"/>
    <n v="20"/>
    <n v="0"/>
    <n v="2"/>
    <n v="3"/>
    <n v="2"/>
    <n v="1"/>
    <n v="2"/>
  </r>
  <r>
    <n v="40"/>
    <x v="1"/>
    <n v="0"/>
    <s v="Travel_Rarely"/>
    <n v="0"/>
    <n v="1"/>
    <n v="896"/>
    <s v="Research &amp; Development"/>
    <n v="1"/>
    <n v="0"/>
    <n v="2"/>
    <n v="3"/>
    <s v="Medical"/>
    <n v="0"/>
    <n v="0"/>
    <n v="1"/>
    <n v="0"/>
    <n v="0"/>
    <n v="3"/>
    <x v="1"/>
    <n v="0"/>
    <n v="68"/>
    <n v="3"/>
    <n v="1"/>
    <s v="Research Scientist"/>
    <n v="0"/>
    <n v="0"/>
    <n v="0"/>
    <n v="0"/>
    <n v="0"/>
    <n v="0"/>
    <n v="0"/>
    <n v="1"/>
    <x v="2"/>
    <s v="Divorced"/>
    <n v="0"/>
    <n v="0"/>
    <n v="2345"/>
    <n v="8045"/>
    <n v="2"/>
    <s v="No"/>
    <n v="0"/>
    <n v="14"/>
    <n v="3"/>
    <n v="3"/>
    <n v="1"/>
    <n v="8"/>
    <n v="3"/>
    <n v="4"/>
    <n v="3"/>
    <n v="1"/>
    <n v="1"/>
    <n v="2"/>
  </r>
  <r>
    <n v="44"/>
    <x v="1"/>
    <n v="0"/>
    <s v="Travel_Rarely"/>
    <n v="0"/>
    <n v="1"/>
    <n v="1467"/>
    <s v="Research &amp; Development"/>
    <n v="1"/>
    <n v="0"/>
    <n v="20"/>
    <n v="3"/>
    <s v="Life Sciences"/>
    <n v="1"/>
    <n v="0"/>
    <n v="0"/>
    <n v="0"/>
    <n v="0"/>
    <n v="4"/>
    <x v="1"/>
    <n v="0"/>
    <n v="49"/>
    <n v="3"/>
    <n v="1"/>
    <s v="Research Scientist"/>
    <n v="0"/>
    <n v="0"/>
    <n v="0"/>
    <n v="0"/>
    <n v="0"/>
    <n v="0"/>
    <n v="0"/>
    <n v="1"/>
    <x v="1"/>
    <s v="Single"/>
    <n v="1"/>
    <n v="0"/>
    <n v="3420"/>
    <n v="21158"/>
    <n v="1"/>
    <s v="No"/>
    <n v="0"/>
    <n v="13"/>
    <n v="3"/>
    <n v="3"/>
    <n v="0"/>
    <n v="6"/>
    <n v="3"/>
    <n v="2"/>
    <n v="5"/>
    <n v="2"/>
    <n v="1"/>
    <n v="3"/>
  </r>
  <r>
    <n v="33"/>
    <x v="1"/>
    <n v="0"/>
    <s v="Travel_Frequently"/>
    <n v="1"/>
    <n v="0"/>
    <n v="430"/>
    <s v="Sales"/>
    <n v="0"/>
    <n v="1"/>
    <n v="7"/>
    <n v="3"/>
    <s v="Medical"/>
    <n v="0"/>
    <n v="0"/>
    <n v="1"/>
    <n v="0"/>
    <n v="0"/>
    <n v="4"/>
    <x v="1"/>
    <n v="0"/>
    <n v="54"/>
    <n v="3"/>
    <n v="2"/>
    <s v="Sales Executive"/>
    <n v="0"/>
    <n v="1"/>
    <n v="0"/>
    <n v="0"/>
    <n v="0"/>
    <n v="0"/>
    <n v="0"/>
    <n v="0"/>
    <x v="3"/>
    <s v="Married"/>
    <n v="0"/>
    <n v="1"/>
    <n v="4373"/>
    <n v="17456"/>
    <n v="0"/>
    <s v="No"/>
    <n v="0"/>
    <n v="14"/>
    <n v="3"/>
    <n v="1"/>
    <n v="2"/>
    <n v="5"/>
    <n v="2"/>
    <n v="3"/>
    <n v="4"/>
    <n v="3"/>
    <n v="0"/>
    <n v="3"/>
  </r>
  <r>
    <n v="34"/>
    <x v="1"/>
    <n v="0"/>
    <s v="Travel_Rarely"/>
    <n v="0"/>
    <n v="1"/>
    <n v="1326"/>
    <s v="Sales"/>
    <n v="0"/>
    <n v="1"/>
    <n v="3"/>
    <n v="3"/>
    <s v="Other"/>
    <n v="0"/>
    <n v="1"/>
    <n v="0"/>
    <n v="0"/>
    <n v="0"/>
    <n v="4"/>
    <x v="1"/>
    <n v="0"/>
    <n v="81"/>
    <n v="1"/>
    <n v="2"/>
    <s v="Sales Executive"/>
    <n v="0"/>
    <n v="1"/>
    <n v="0"/>
    <n v="0"/>
    <n v="0"/>
    <n v="0"/>
    <n v="0"/>
    <n v="0"/>
    <x v="3"/>
    <s v="Single"/>
    <n v="1"/>
    <n v="0"/>
    <n v="4759"/>
    <n v="15891"/>
    <n v="3"/>
    <s v="No"/>
    <n v="0"/>
    <n v="18"/>
    <n v="3"/>
    <n v="4"/>
    <n v="0"/>
    <n v="15"/>
    <n v="2"/>
    <n v="3"/>
    <n v="13"/>
    <n v="9"/>
    <n v="3"/>
    <n v="12"/>
  </r>
  <r>
    <n v="30"/>
    <x v="1"/>
    <n v="0"/>
    <s v="Travel_Rarely"/>
    <n v="0"/>
    <n v="1"/>
    <n v="1358"/>
    <s v="Sales"/>
    <n v="0"/>
    <n v="1"/>
    <n v="16"/>
    <n v="1"/>
    <s v="Life Sciences"/>
    <n v="1"/>
    <n v="0"/>
    <n v="0"/>
    <n v="0"/>
    <n v="0"/>
    <n v="4"/>
    <x v="1"/>
    <n v="0"/>
    <n v="96"/>
    <n v="3"/>
    <n v="2"/>
    <s v="Sales Executive"/>
    <n v="0"/>
    <n v="1"/>
    <n v="0"/>
    <n v="0"/>
    <n v="0"/>
    <n v="0"/>
    <n v="0"/>
    <n v="0"/>
    <x v="2"/>
    <s v="Married"/>
    <n v="0"/>
    <n v="1"/>
    <n v="5301"/>
    <n v="2939"/>
    <n v="8"/>
    <s v="No"/>
    <n v="0"/>
    <n v="15"/>
    <n v="3"/>
    <n v="3"/>
    <n v="2"/>
    <n v="4"/>
    <n v="2"/>
    <n v="2"/>
    <n v="2"/>
    <n v="1"/>
    <n v="2"/>
    <n v="2"/>
  </r>
  <r>
    <n v="42"/>
    <x v="1"/>
    <n v="0"/>
    <s v="Travel_Frequently"/>
    <n v="1"/>
    <n v="0"/>
    <n v="748"/>
    <s v="Research &amp; Development"/>
    <n v="1"/>
    <n v="0"/>
    <n v="9"/>
    <n v="2"/>
    <s v="Medical"/>
    <n v="0"/>
    <n v="0"/>
    <n v="1"/>
    <n v="0"/>
    <n v="0"/>
    <n v="1"/>
    <x v="0"/>
    <n v="1"/>
    <n v="74"/>
    <n v="3"/>
    <n v="1"/>
    <s v="Laboratory Technician"/>
    <n v="0"/>
    <n v="0"/>
    <n v="1"/>
    <n v="0"/>
    <n v="0"/>
    <n v="0"/>
    <n v="0"/>
    <n v="0"/>
    <x v="0"/>
    <s v="Single"/>
    <n v="1"/>
    <n v="0"/>
    <n v="3673"/>
    <n v="16458"/>
    <n v="1"/>
    <s v="No"/>
    <n v="0"/>
    <n v="13"/>
    <n v="3"/>
    <n v="3"/>
    <n v="0"/>
    <n v="12"/>
    <n v="3"/>
    <n v="3"/>
    <n v="12"/>
    <n v="9"/>
    <n v="5"/>
    <n v="8"/>
  </r>
  <r>
    <n v="44"/>
    <x v="1"/>
    <n v="0"/>
    <s v="Travel_Frequently"/>
    <n v="1"/>
    <n v="0"/>
    <n v="383"/>
    <s v="Sales"/>
    <n v="0"/>
    <n v="1"/>
    <n v="1"/>
    <n v="5"/>
    <s v="Marketing"/>
    <n v="0"/>
    <n v="0"/>
    <n v="0"/>
    <n v="1"/>
    <n v="0"/>
    <n v="1"/>
    <x v="0"/>
    <n v="1"/>
    <n v="79"/>
    <n v="3"/>
    <n v="2"/>
    <s v="Sales Executive"/>
    <n v="0"/>
    <n v="1"/>
    <n v="0"/>
    <n v="0"/>
    <n v="0"/>
    <n v="0"/>
    <n v="0"/>
    <n v="0"/>
    <x v="2"/>
    <s v="Married"/>
    <n v="0"/>
    <n v="1"/>
    <n v="4768"/>
    <n v="9282"/>
    <n v="7"/>
    <s v="No"/>
    <n v="0"/>
    <n v="12"/>
    <n v="3"/>
    <n v="3"/>
    <n v="1"/>
    <n v="11"/>
    <n v="4"/>
    <n v="2"/>
    <n v="1"/>
    <n v="0"/>
    <n v="0"/>
    <n v="0"/>
  </r>
  <r>
    <n v="30"/>
    <x v="1"/>
    <n v="0"/>
    <s v="Non-Travel"/>
    <n v="0"/>
    <n v="0"/>
    <n v="990"/>
    <s v="Research &amp; Development"/>
    <n v="1"/>
    <n v="0"/>
    <n v="7"/>
    <n v="3"/>
    <s v="Technical Degree"/>
    <n v="0"/>
    <n v="0"/>
    <n v="0"/>
    <n v="0"/>
    <n v="1"/>
    <n v="3"/>
    <x v="1"/>
    <n v="0"/>
    <n v="64"/>
    <n v="3"/>
    <n v="1"/>
    <s v="Research Scientist"/>
    <n v="0"/>
    <n v="0"/>
    <n v="0"/>
    <n v="0"/>
    <n v="0"/>
    <n v="0"/>
    <n v="0"/>
    <n v="1"/>
    <x v="2"/>
    <s v="Divorced"/>
    <n v="0"/>
    <n v="0"/>
    <n v="1274"/>
    <n v="7152"/>
    <n v="1"/>
    <s v="No"/>
    <n v="0"/>
    <n v="13"/>
    <n v="3"/>
    <n v="2"/>
    <n v="2"/>
    <n v="1"/>
    <n v="2"/>
    <n v="2"/>
    <n v="1"/>
    <n v="0"/>
    <n v="0"/>
    <n v="0"/>
  </r>
  <r>
    <n v="57"/>
    <x v="1"/>
    <n v="0"/>
    <s v="Travel_Rarely"/>
    <n v="0"/>
    <n v="1"/>
    <n v="405"/>
    <s v="Research &amp; Development"/>
    <n v="1"/>
    <n v="0"/>
    <n v="1"/>
    <n v="2"/>
    <s v="Life Sciences"/>
    <n v="1"/>
    <n v="0"/>
    <n v="0"/>
    <n v="0"/>
    <n v="0"/>
    <n v="2"/>
    <x v="1"/>
    <n v="0"/>
    <n v="93"/>
    <n v="4"/>
    <n v="2"/>
    <s v="Research Scientist"/>
    <n v="0"/>
    <n v="0"/>
    <n v="0"/>
    <n v="0"/>
    <n v="0"/>
    <n v="0"/>
    <n v="0"/>
    <n v="1"/>
    <x v="2"/>
    <s v="Married"/>
    <n v="0"/>
    <n v="1"/>
    <n v="4900"/>
    <n v="2721"/>
    <n v="0"/>
    <s v="No"/>
    <n v="0"/>
    <n v="24"/>
    <n v="4"/>
    <n v="1"/>
    <n v="1"/>
    <n v="13"/>
    <n v="2"/>
    <n v="2"/>
    <n v="12"/>
    <n v="9"/>
    <n v="2"/>
    <n v="8"/>
  </r>
  <r>
    <n v="49"/>
    <x v="1"/>
    <n v="0"/>
    <s v="Travel_Rarely"/>
    <n v="0"/>
    <n v="1"/>
    <n v="1490"/>
    <s v="Research &amp; Development"/>
    <n v="1"/>
    <n v="0"/>
    <n v="7"/>
    <n v="4"/>
    <s v="Life Sciences"/>
    <n v="1"/>
    <n v="0"/>
    <n v="0"/>
    <n v="0"/>
    <n v="0"/>
    <n v="3"/>
    <x v="1"/>
    <n v="0"/>
    <n v="35"/>
    <n v="3"/>
    <n v="3"/>
    <s v="Healthcare Representative"/>
    <n v="1"/>
    <n v="0"/>
    <n v="0"/>
    <n v="0"/>
    <n v="0"/>
    <n v="0"/>
    <n v="0"/>
    <n v="0"/>
    <x v="1"/>
    <s v="Divorced"/>
    <n v="0"/>
    <n v="0"/>
    <n v="10466"/>
    <n v="20948"/>
    <n v="3"/>
    <s v="No"/>
    <n v="0"/>
    <n v="14"/>
    <n v="3"/>
    <n v="2"/>
    <n v="2"/>
    <n v="29"/>
    <n v="3"/>
    <n v="3"/>
    <n v="8"/>
    <n v="7"/>
    <n v="0"/>
    <n v="7"/>
  </r>
  <r>
    <n v="34"/>
    <x v="1"/>
    <n v="0"/>
    <s v="Travel_Frequently"/>
    <n v="1"/>
    <n v="0"/>
    <n v="829"/>
    <s v="Research &amp; Development"/>
    <n v="1"/>
    <n v="0"/>
    <n v="15"/>
    <n v="3"/>
    <s v="Medical"/>
    <n v="0"/>
    <n v="0"/>
    <n v="1"/>
    <n v="0"/>
    <n v="0"/>
    <n v="2"/>
    <x v="1"/>
    <n v="0"/>
    <n v="71"/>
    <n v="3"/>
    <n v="4"/>
    <s v="Research Director"/>
    <n v="0"/>
    <n v="0"/>
    <n v="0"/>
    <n v="0"/>
    <n v="0"/>
    <n v="0"/>
    <n v="0"/>
    <n v="0"/>
    <x v="3"/>
    <s v="Divorced"/>
    <n v="0"/>
    <n v="0"/>
    <n v="17007"/>
    <n v="11929"/>
    <n v="7"/>
    <s v="No"/>
    <n v="0"/>
    <n v="14"/>
    <n v="3"/>
    <n v="4"/>
    <n v="2"/>
    <n v="16"/>
    <n v="3"/>
    <n v="2"/>
    <n v="14"/>
    <n v="8"/>
    <n v="6"/>
    <n v="9"/>
  </r>
  <r>
    <n v="28"/>
    <x v="0"/>
    <n v="1"/>
    <s v="Travel_Frequently"/>
    <n v="1"/>
    <n v="0"/>
    <n v="1496"/>
    <s v="Sales"/>
    <n v="0"/>
    <n v="1"/>
    <n v="1"/>
    <n v="3"/>
    <s v="Technical Degree"/>
    <n v="0"/>
    <n v="0"/>
    <n v="0"/>
    <n v="0"/>
    <n v="1"/>
    <n v="1"/>
    <x v="1"/>
    <n v="0"/>
    <n v="92"/>
    <n v="3"/>
    <n v="1"/>
    <s v="Sales Representative"/>
    <n v="0"/>
    <n v="0"/>
    <n v="0"/>
    <n v="0"/>
    <n v="0"/>
    <n v="0"/>
    <n v="1"/>
    <n v="0"/>
    <x v="2"/>
    <s v="Married"/>
    <n v="0"/>
    <n v="1"/>
    <n v="2909"/>
    <n v="15747"/>
    <n v="3"/>
    <s v="No"/>
    <n v="0"/>
    <n v="15"/>
    <n v="3"/>
    <n v="4"/>
    <n v="1"/>
    <n v="5"/>
    <n v="3"/>
    <n v="4"/>
    <n v="3"/>
    <n v="2"/>
    <n v="1"/>
    <n v="2"/>
  </r>
  <r>
    <n v="29"/>
    <x v="0"/>
    <n v="1"/>
    <s v="Travel_Frequently"/>
    <n v="1"/>
    <n v="0"/>
    <n v="115"/>
    <s v="Sales"/>
    <n v="0"/>
    <n v="1"/>
    <n v="13"/>
    <n v="3"/>
    <s v="Technical Degree"/>
    <n v="0"/>
    <n v="0"/>
    <n v="0"/>
    <n v="0"/>
    <n v="1"/>
    <n v="1"/>
    <x v="0"/>
    <n v="1"/>
    <n v="51"/>
    <n v="3"/>
    <n v="2"/>
    <s v="Sales Executive"/>
    <n v="0"/>
    <n v="1"/>
    <n v="0"/>
    <n v="0"/>
    <n v="0"/>
    <n v="0"/>
    <n v="0"/>
    <n v="0"/>
    <x v="1"/>
    <s v="Single"/>
    <n v="1"/>
    <n v="0"/>
    <n v="5765"/>
    <n v="17485"/>
    <n v="5"/>
    <s v="No"/>
    <n v="0"/>
    <n v="11"/>
    <n v="3"/>
    <n v="1"/>
    <n v="0"/>
    <n v="7"/>
    <n v="4"/>
    <n v="1"/>
    <n v="5"/>
    <n v="3"/>
    <n v="0"/>
    <n v="0"/>
  </r>
  <r>
    <n v="34"/>
    <x v="0"/>
    <n v="1"/>
    <s v="Travel_Rarely"/>
    <n v="0"/>
    <n v="1"/>
    <n v="790"/>
    <s v="Sales"/>
    <n v="0"/>
    <n v="1"/>
    <n v="24"/>
    <n v="4"/>
    <s v="Medical"/>
    <n v="0"/>
    <n v="0"/>
    <n v="1"/>
    <n v="0"/>
    <n v="0"/>
    <n v="1"/>
    <x v="0"/>
    <n v="1"/>
    <n v="40"/>
    <n v="2"/>
    <n v="2"/>
    <s v="Sales Executive"/>
    <n v="0"/>
    <n v="1"/>
    <n v="0"/>
    <n v="0"/>
    <n v="0"/>
    <n v="0"/>
    <n v="0"/>
    <n v="0"/>
    <x v="1"/>
    <s v="Single"/>
    <n v="1"/>
    <n v="0"/>
    <n v="4599"/>
    <n v="7815"/>
    <n v="0"/>
    <s v="Yes"/>
    <n v="1"/>
    <n v="23"/>
    <n v="4"/>
    <n v="3"/>
    <n v="0"/>
    <n v="16"/>
    <n v="2"/>
    <n v="4"/>
    <n v="15"/>
    <n v="9"/>
    <n v="10"/>
    <n v="10"/>
  </r>
  <r>
    <n v="35"/>
    <x v="1"/>
    <n v="0"/>
    <s v="Travel_Rarely"/>
    <n v="0"/>
    <n v="1"/>
    <n v="660"/>
    <s v="Sales"/>
    <n v="0"/>
    <n v="1"/>
    <n v="7"/>
    <n v="1"/>
    <s v="Life Sciences"/>
    <n v="1"/>
    <n v="0"/>
    <n v="0"/>
    <n v="0"/>
    <n v="0"/>
    <n v="4"/>
    <x v="1"/>
    <n v="0"/>
    <n v="76"/>
    <n v="3"/>
    <n v="1"/>
    <s v="Sales Representative"/>
    <n v="0"/>
    <n v="0"/>
    <n v="0"/>
    <n v="0"/>
    <n v="0"/>
    <n v="0"/>
    <n v="1"/>
    <n v="0"/>
    <x v="2"/>
    <s v="Married"/>
    <n v="0"/>
    <n v="1"/>
    <n v="2404"/>
    <n v="16192"/>
    <n v="1"/>
    <s v="No"/>
    <n v="0"/>
    <n v="13"/>
    <n v="3"/>
    <n v="1"/>
    <n v="1"/>
    <n v="1"/>
    <n v="3"/>
    <n v="3"/>
    <n v="1"/>
    <n v="0"/>
    <n v="0"/>
    <n v="0"/>
  </r>
  <r>
    <n v="24"/>
    <x v="0"/>
    <n v="1"/>
    <s v="Travel_Frequently"/>
    <n v="1"/>
    <n v="0"/>
    <n v="381"/>
    <s v="Research &amp; Development"/>
    <n v="1"/>
    <n v="0"/>
    <n v="9"/>
    <n v="3"/>
    <s v="Medical"/>
    <n v="0"/>
    <n v="0"/>
    <n v="1"/>
    <n v="0"/>
    <n v="0"/>
    <n v="2"/>
    <x v="1"/>
    <n v="0"/>
    <n v="89"/>
    <n v="3"/>
    <n v="1"/>
    <s v="Laboratory Technician"/>
    <n v="0"/>
    <n v="0"/>
    <n v="1"/>
    <n v="0"/>
    <n v="0"/>
    <n v="0"/>
    <n v="0"/>
    <n v="0"/>
    <x v="3"/>
    <s v="Single"/>
    <n v="1"/>
    <n v="0"/>
    <n v="3172"/>
    <n v="16998"/>
    <n v="2"/>
    <s v="Yes"/>
    <n v="1"/>
    <n v="11"/>
    <n v="3"/>
    <n v="3"/>
    <n v="0"/>
    <n v="4"/>
    <n v="2"/>
    <n v="2"/>
    <n v="0"/>
    <n v="0"/>
    <n v="0"/>
    <n v="0"/>
  </r>
  <r>
    <n v="24"/>
    <x v="1"/>
    <n v="0"/>
    <s v="Non-Travel"/>
    <n v="0"/>
    <n v="0"/>
    <n v="830"/>
    <s v="Sales"/>
    <n v="0"/>
    <n v="1"/>
    <n v="13"/>
    <n v="2"/>
    <s v="Life Sciences"/>
    <n v="1"/>
    <n v="0"/>
    <n v="0"/>
    <n v="0"/>
    <n v="0"/>
    <n v="4"/>
    <x v="0"/>
    <n v="1"/>
    <n v="78"/>
    <n v="3"/>
    <n v="1"/>
    <s v="Sales Representative"/>
    <n v="0"/>
    <n v="0"/>
    <n v="0"/>
    <n v="0"/>
    <n v="0"/>
    <n v="0"/>
    <n v="1"/>
    <n v="0"/>
    <x v="1"/>
    <s v="Married"/>
    <n v="0"/>
    <n v="1"/>
    <n v="2033"/>
    <n v="7103"/>
    <n v="1"/>
    <s v="No"/>
    <n v="0"/>
    <n v="13"/>
    <n v="3"/>
    <n v="3"/>
    <n v="1"/>
    <n v="1"/>
    <n v="2"/>
    <n v="3"/>
    <n v="1"/>
    <n v="0"/>
    <n v="0"/>
    <n v="0"/>
  </r>
  <r>
    <n v="44"/>
    <x v="1"/>
    <n v="0"/>
    <s v="Travel_Frequently"/>
    <n v="1"/>
    <n v="0"/>
    <n v="1193"/>
    <s v="Research &amp; Development"/>
    <n v="1"/>
    <n v="0"/>
    <n v="2"/>
    <n v="1"/>
    <s v="Medical"/>
    <n v="0"/>
    <n v="0"/>
    <n v="1"/>
    <n v="0"/>
    <n v="0"/>
    <n v="2"/>
    <x v="1"/>
    <n v="0"/>
    <n v="86"/>
    <n v="3"/>
    <n v="3"/>
    <s v="Manufacturing Director"/>
    <n v="0"/>
    <n v="0"/>
    <n v="0"/>
    <n v="0"/>
    <n v="1"/>
    <n v="1"/>
    <n v="0"/>
    <n v="0"/>
    <x v="2"/>
    <s v="Single"/>
    <n v="1"/>
    <n v="0"/>
    <n v="10209"/>
    <n v="19719"/>
    <n v="5"/>
    <s v="Yes"/>
    <n v="1"/>
    <n v="18"/>
    <n v="3"/>
    <n v="2"/>
    <n v="0"/>
    <n v="16"/>
    <n v="2"/>
    <n v="2"/>
    <n v="2"/>
    <n v="2"/>
    <n v="2"/>
    <n v="2"/>
  </r>
  <r>
    <n v="29"/>
    <x v="1"/>
    <n v="0"/>
    <s v="Travel_Rarely"/>
    <n v="0"/>
    <n v="1"/>
    <n v="1246"/>
    <s v="Sales"/>
    <n v="0"/>
    <n v="1"/>
    <n v="19"/>
    <n v="3"/>
    <s v="Life Sciences"/>
    <n v="1"/>
    <n v="0"/>
    <n v="0"/>
    <n v="0"/>
    <n v="0"/>
    <n v="3"/>
    <x v="1"/>
    <n v="0"/>
    <n v="77"/>
    <n v="2"/>
    <n v="2"/>
    <s v="Sales Executive"/>
    <n v="0"/>
    <n v="1"/>
    <n v="0"/>
    <n v="0"/>
    <n v="0"/>
    <n v="0"/>
    <n v="0"/>
    <n v="0"/>
    <x v="2"/>
    <s v="Divorced"/>
    <n v="0"/>
    <n v="0"/>
    <n v="8620"/>
    <n v="23757"/>
    <n v="1"/>
    <s v="No"/>
    <n v="0"/>
    <n v="14"/>
    <n v="3"/>
    <n v="3"/>
    <n v="2"/>
    <n v="10"/>
    <n v="3"/>
    <n v="3"/>
    <n v="10"/>
    <n v="7"/>
    <n v="0"/>
    <n v="4"/>
  </r>
  <r>
    <n v="30"/>
    <x v="1"/>
    <n v="0"/>
    <s v="Travel_Rarely"/>
    <n v="0"/>
    <n v="1"/>
    <n v="330"/>
    <s v="Human Resources"/>
    <n v="0"/>
    <n v="0"/>
    <n v="1"/>
    <n v="3"/>
    <s v="Life Sciences"/>
    <n v="1"/>
    <n v="0"/>
    <n v="0"/>
    <n v="0"/>
    <n v="0"/>
    <n v="3"/>
    <x v="1"/>
    <n v="0"/>
    <n v="46"/>
    <n v="3"/>
    <n v="1"/>
    <s v="Human Resources"/>
    <n v="0"/>
    <n v="0"/>
    <n v="0"/>
    <n v="0"/>
    <n v="0"/>
    <n v="0"/>
    <n v="0"/>
    <n v="0"/>
    <x v="2"/>
    <s v="Divorced"/>
    <n v="0"/>
    <n v="0"/>
    <n v="2064"/>
    <n v="15428"/>
    <n v="0"/>
    <s v="No"/>
    <n v="0"/>
    <n v="21"/>
    <n v="4"/>
    <n v="1"/>
    <n v="1"/>
    <n v="6"/>
    <n v="3"/>
    <n v="4"/>
    <n v="5"/>
    <n v="3"/>
    <n v="1"/>
    <n v="3"/>
  </r>
  <r>
    <n v="55"/>
    <x v="1"/>
    <n v="0"/>
    <s v="Travel_Rarely"/>
    <n v="0"/>
    <n v="1"/>
    <n v="1229"/>
    <s v="Research &amp; Development"/>
    <n v="1"/>
    <n v="0"/>
    <n v="4"/>
    <n v="4"/>
    <s v="Life Sciences"/>
    <n v="1"/>
    <n v="0"/>
    <n v="0"/>
    <n v="0"/>
    <n v="0"/>
    <n v="4"/>
    <x v="1"/>
    <n v="0"/>
    <n v="30"/>
    <n v="3"/>
    <n v="2"/>
    <s v="Healthcare Representative"/>
    <n v="1"/>
    <n v="0"/>
    <n v="0"/>
    <n v="0"/>
    <n v="0"/>
    <n v="0"/>
    <n v="0"/>
    <n v="0"/>
    <x v="2"/>
    <s v="Married"/>
    <n v="0"/>
    <n v="1"/>
    <n v="4035"/>
    <n v="16143"/>
    <n v="0"/>
    <s v="Yes"/>
    <n v="1"/>
    <n v="16"/>
    <n v="3"/>
    <n v="2"/>
    <n v="0"/>
    <n v="4"/>
    <n v="2"/>
    <n v="3"/>
    <n v="3"/>
    <n v="2"/>
    <n v="1"/>
    <n v="2"/>
  </r>
  <r>
    <n v="33"/>
    <x v="1"/>
    <n v="0"/>
    <s v="Travel_Rarely"/>
    <n v="0"/>
    <n v="1"/>
    <n v="1099"/>
    <s v="Research &amp; Development"/>
    <n v="1"/>
    <n v="0"/>
    <n v="4"/>
    <n v="4"/>
    <s v="Medical"/>
    <n v="0"/>
    <n v="0"/>
    <n v="1"/>
    <n v="0"/>
    <n v="0"/>
    <n v="1"/>
    <x v="0"/>
    <n v="1"/>
    <n v="82"/>
    <n v="2"/>
    <n v="1"/>
    <s v="Laboratory Technician"/>
    <n v="0"/>
    <n v="0"/>
    <n v="1"/>
    <n v="0"/>
    <n v="0"/>
    <n v="0"/>
    <n v="0"/>
    <n v="0"/>
    <x v="1"/>
    <s v="Married"/>
    <n v="0"/>
    <n v="1"/>
    <n v="3838"/>
    <n v="8192"/>
    <n v="8"/>
    <s v="No"/>
    <n v="0"/>
    <n v="11"/>
    <n v="3"/>
    <n v="4"/>
    <n v="0"/>
    <n v="8"/>
    <n v="5"/>
    <n v="3"/>
    <n v="5"/>
    <n v="4"/>
    <n v="0"/>
    <n v="2"/>
  </r>
  <r>
    <n v="47"/>
    <x v="1"/>
    <n v="0"/>
    <s v="Travel_Rarely"/>
    <n v="0"/>
    <n v="1"/>
    <n v="571"/>
    <s v="Sales"/>
    <n v="0"/>
    <n v="1"/>
    <n v="14"/>
    <n v="3"/>
    <s v="Medical"/>
    <n v="0"/>
    <n v="0"/>
    <n v="1"/>
    <n v="0"/>
    <n v="0"/>
    <n v="3"/>
    <x v="0"/>
    <n v="1"/>
    <n v="78"/>
    <n v="3"/>
    <n v="2"/>
    <s v="Sales Executive"/>
    <n v="0"/>
    <n v="1"/>
    <n v="0"/>
    <n v="0"/>
    <n v="0"/>
    <n v="0"/>
    <n v="0"/>
    <n v="0"/>
    <x v="2"/>
    <s v="Married"/>
    <n v="0"/>
    <n v="1"/>
    <n v="4591"/>
    <n v="24200"/>
    <n v="3"/>
    <s v="Yes"/>
    <n v="1"/>
    <n v="17"/>
    <n v="3"/>
    <n v="3"/>
    <n v="1"/>
    <n v="11"/>
    <n v="4"/>
    <n v="2"/>
    <n v="5"/>
    <n v="4"/>
    <n v="1"/>
    <n v="2"/>
  </r>
  <r>
    <n v="28"/>
    <x v="0"/>
    <n v="1"/>
    <s v="Travel_Frequently"/>
    <n v="1"/>
    <n v="0"/>
    <n v="289"/>
    <s v="Research &amp; Development"/>
    <n v="1"/>
    <n v="0"/>
    <n v="2"/>
    <n v="2"/>
    <s v="Medical"/>
    <n v="0"/>
    <n v="0"/>
    <n v="1"/>
    <n v="0"/>
    <n v="0"/>
    <n v="3"/>
    <x v="1"/>
    <n v="0"/>
    <n v="38"/>
    <n v="2"/>
    <n v="1"/>
    <s v="Laboratory Technician"/>
    <n v="0"/>
    <n v="0"/>
    <n v="1"/>
    <n v="0"/>
    <n v="0"/>
    <n v="0"/>
    <n v="0"/>
    <n v="0"/>
    <x v="3"/>
    <s v="Single"/>
    <n v="1"/>
    <n v="0"/>
    <n v="2561"/>
    <n v="5355"/>
    <n v="7"/>
    <s v="No"/>
    <n v="0"/>
    <n v="11"/>
    <n v="3"/>
    <n v="3"/>
    <n v="0"/>
    <n v="8"/>
    <n v="2"/>
    <n v="2"/>
    <n v="0"/>
    <n v="0"/>
    <n v="0"/>
    <n v="0"/>
  </r>
  <r>
    <n v="28"/>
    <x v="1"/>
    <n v="0"/>
    <s v="Travel_Rarely"/>
    <n v="0"/>
    <n v="1"/>
    <n v="1423"/>
    <s v="Research &amp; Development"/>
    <n v="1"/>
    <n v="0"/>
    <n v="1"/>
    <n v="3"/>
    <s v="Life Sciences"/>
    <n v="1"/>
    <n v="0"/>
    <n v="0"/>
    <n v="0"/>
    <n v="0"/>
    <n v="1"/>
    <x v="1"/>
    <n v="0"/>
    <n v="72"/>
    <n v="2"/>
    <n v="1"/>
    <s v="Research Scientist"/>
    <n v="0"/>
    <n v="0"/>
    <n v="0"/>
    <n v="0"/>
    <n v="0"/>
    <n v="0"/>
    <n v="0"/>
    <n v="1"/>
    <x v="2"/>
    <s v="Divorced"/>
    <n v="0"/>
    <n v="0"/>
    <n v="1563"/>
    <n v="12530"/>
    <n v="1"/>
    <s v="No"/>
    <n v="0"/>
    <n v="14"/>
    <n v="3"/>
    <n v="4"/>
    <n v="1"/>
    <n v="1"/>
    <n v="2"/>
    <n v="1"/>
    <n v="1"/>
    <n v="0"/>
    <n v="0"/>
    <n v="0"/>
  </r>
  <r>
    <n v="28"/>
    <x v="1"/>
    <n v="0"/>
    <s v="Travel_Frequently"/>
    <n v="1"/>
    <n v="0"/>
    <n v="467"/>
    <s v="Sales"/>
    <n v="0"/>
    <n v="1"/>
    <n v="7"/>
    <n v="3"/>
    <s v="Life Sciences"/>
    <n v="1"/>
    <n v="0"/>
    <n v="0"/>
    <n v="0"/>
    <n v="0"/>
    <n v="3"/>
    <x v="1"/>
    <n v="0"/>
    <n v="55"/>
    <n v="3"/>
    <n v="2"/>
    <s v="Sales Executive"/>
    <n v="0"/>
    <n v="1"/>
    <n v="0"/>
    <n v="0"/>
    <n v="0"/>
    <n v="0"/>
    <n v="0"/>
    <n v="0"/>
    <x v="3"/>
    <s v="Single"/>
    <n v="1"/>
    <n v="0"/>
    <n v="4898"/>
    <n v="11827"/>
    <n v="0"/>
    <s v="No"/>
    <n v="0"/>
    <n v="14"/>
    <n v="3"/>
    <n v="4"/>
    <n v="0"/>
    <n v="5"/>
    <n v="5"/>
    <n v="3"/>
    <n v="4"/>
    <n v="2"/>
    <n v="1"/>
    <n v="3"/>
  </r>
  <r>
    <n v="49"/>
    <x v="1"/>
    <n v="0"/>
    <s v="Travel_Rarely"/>
    <n v="0"/>
    <n v="1"/>
    <n v="271"/>
    <s v="Research &amp; Development"/>
    <n v="1"/>
    <n v="0"/>
    <n v="3"/>
    <n v="2"/>
    <s v="Medical"/>
    <n v="0"/>
    <n v="0"/>
    <n v="1"/>
    <n v="0"/>
    <n v="0"/>
    <n v="3"/>
    <x v="0"/>
    <n v="1"/>
    <n v="43"/>
    <n v="2"/>
    <n v="2"/>
    <s v="Laboratory Technician"/>
    <n v="0"/>
    <n v="0"/>
    <n v="1"/>
    <n v="0"/>
    <n v="0"/>
    <n v="0"/>
    <n v="0"/>
    <n v="0"/>
    <x v="3"/>
    <s v="Married"/>
    <n v="0"/>
    <n v="1"/>
    <n v="4789"/>
    <n v="23070"/>
    <n v="4"/>
    <s v="No"/>
    <n v="0"/>
    <n v="25"/>
    <n v="4"/>
    <n v="1"/>
    <n v="1"/>
    <n v="10"/>
    <n v="3"/>
    <n v="3"/>
    <n v="3"/>
    <n v="2"/>
    <n v="1"/>
    <n v="2"/>
  </r>
  <r>
    <n v="29"/>
    <x v="1"/>
    <n v="0"/>
    <s v="Travel_Frequently"/>
    <n v="1"/>
    <n v="0"/>
    <n v="410"/>
    <s v="Research &amp; Development"/>
    <n v="1"/>
    <n v="0"/>
    <n v="2"/>
    <n v="1"/>
    <s v="Life Sciences"/>
    <n v="1"/>
    <n v="0"/>
    <n v="0"/>
    <n v="0"/>
    <n v="0"/>
    <n v="4"/>
    <x v="0"/>
    <n v="1"/>
    <n v="97"/>
    <n v="3"/>
    <n v="1"/>
    <s v="Laboratory Technician"/>
    <n v="0"/>
    <n v="0"/>
    <n v="1"/>
    <n v="0"/>
    <n v="0"/>
    <n v="0"/>
    <n v="0"/>
    <n v="0"/>
    <x v="1"/>
    <s v="Married"/>
    <n v="0"/>
    <n v="1"/>
    <n v="3180"/>
    <n v="4668"/>
    <n v="0"/>
    <s v="No"/>
    <n v="0"/>
    <n v="13"/>
    <n v="3"/>
    <n v="3"/>
    <n v="3"/>
    <n v="4"/>
    <n v="3"/>
    <n v="3"/>
    <n v="3"/>
    <n v="2"/>
    <n v="0"/>
    <n v="2"/>
  </r>
  <r>
    <n v="28"/>
    <x v="1"/>
    <n v="0"/>
    <s v="Travel_Rarely"/>
    <n v="0"/>
    <n v="1"/>
    <n v="1083"/>
    <s v="Research &amp; Development"/>
    <n v="1"/>
    <n v="0"/>
    <n v="29"/>
    <n v="1"/>
    <s v="Life Sciences"/>
    <n v="1"/>
    <n v="0"/>
    <n v="0"/>
    <n v="0"/>
    <n v="0"/>
    <n v="3"/>
    <x v="1"/>
    <n v="0"/>
    <n v="96"/>
    <n v="1"/>
    <n v="2"/>
    <s v="Manufacturing Director"/>
    <n v="0"/>
    <n v="0"/>
    <n v="0"/>
    <n v="0"/>
    <n v="1"/>
    <n v="1"/>
    <n v="0"/>
    <n v="0"/>
    <x v="1"/>
    <s v="Married"/>
    <n v="0"/>
    <n v="1"/>
    <n v="6549"/>
    <n v="3173"/>
    <n v="1"/>
    <s v="No"/>
    <n v="0"/>
    <n v="14"/>
    <n v="3"/>
    <n v="2"/>
    <n v="2"/>
    <n v="8"/>
    <n v="2"/>
    <n v="2"/>
    <n v="8"/>
    <n v="6"/>
    <n v="1"/>
    <n v="7"/>
  </r>
  <r>
    <n v="33"/>
    <x v="1"/>
    <n v="0"/>
    <s v="Travel_Rarely"/>
    <n v="0"/>
    <n v="1"/>
    <n v="516"/>
    <s v="Research &amp; Development"/>
    <n v="1"/>
    <n v="0"/>
    <n v="8"/>
    <n v="5"/>
    <s v="Life Sciences"/>
    <n v="1"/>
    <n v="0"/>
    <n v="0"/>
    <n v="0"/>
    <n v="0"/>
    <n v="4"/>
    <x v="1"/>
    <n v="0"/>
    <n v="69"/>
    <n v="3"/>
    <n v="2"/>
    <s v="Healthcare Representative"/>
    <n v="1"/>
    <n v="0"/>
    <n v="0"/>
    <n v="0"/>
    <n v="0"/>
    <n v="0"/>
    <n v="0"/>
    <n v="0"/>
    <x v="2"/>
    <s v="Single"/>
    <n v="1"/>
    <n v="0"/>
    <n v="6388"/>
    <n v="22049"/>
    <n v="2"/>
    <s v="Yes"/>
    <n v="1"/>
    <n v="17"/>
    <n v="3"/>
    <n v="1"/>
    <n v="0"/>
    <n v="14"/>
    <n v="6"/>
    <n v="3"/>
    <n v="0"/>
    <n v="0"/>
    <n v="0"/>
    <n v="0"/>
  </r>
  <r>
    <n v="32"/>
    <x v="1"/>
    <n v="0"/>
    <s v="Travel_Rarely"/>
    <n v="0"/>
    <n v="1"/>
    <n v="495"/>
    <s v="Research &amp; Development"/>
    <n v="1"/>
    <n v="0"/>
    <n v="10"/>
    <n v="3"/>
    <s v="Medical"/>
    <n v="0"/>
    <n v="0"/>
    <n v="1"/>
    <n v="0"/>
    <n v="0"/>
    <n v="3"/>
    <x v="1"/>
    <n v="0"/>
    <n v="64"/>
    <n v="3"/>
    <n v="3"/>
    <s v="Manager"/>
    <n v="0"/>
    <n v="0"/>
    <n v="0"/>
    <n v="1"/>
    <n v="0"/>
    <n v="0"/>
    <n v="0"/>
    <n v="0"/>
    <x v="0"/>
    <s v="Single"/>
    <n v="1"/>
    <n v="0"/>
    <n v="11244"/>
    <n v="21072"/>
    <n v="2"/>
    <s v="No"/>
    <n v="0"/>
    <n v="25"/>
    <n v="4"/>
    <n v="2"/>
    <n v="0"/>
    <n v="10"/>
    <n v="5"/>
    <n v="4"/>
    <n v="5"/>
    <n v="2"/>
    <n v="0"/>
    <n v="0"/>
  </r>
  <r>
    <n v="54"/>
    <x v="1"/>
    <n v="0"/>
    <s v="Travel_Frequently"/>
    <n v="1"/>
    <n v="0"/>
    <n v="1050"/>
    <s v="Research &amp; Development"/>
    <n v="1"/>
    <n v="0"/>
    <n v="11"/>
    <n v="4"/>
    <s v="Medical"/>
    <n v="0"/>
    <n v="0"/>
    <n v="1"/>
    <n v="0"/>
    <n v="0"/>
    <n v="2"/>
    <x v="0"/>
    <n v="1"/>
    <n v="87"/>
    <n v="3"/>
    <n v="4"/>
    <s v="Manager"/>
    <n v="0"/>
    <n v="0"/>
    <n v="0"/>
    <n v="1"/>
    <n v="0"/>
    <n v="0"/>
    <n v="0"/>
    <n v="0"/>
    <x v="0"/>
    <s v="Divorced"/>
    <n v="0"/>
    <n v="0"/>
    <n v="16032"/>
    <n v="24456"/>
    <n v="3"/>
    <s v="No"/>
    <n v="0"/>
    <n v="20"/>
    <n v="4"/>
    <n v="1"/>
    <n v="1"/>
    <n v="26"/>
    <n v="2"/>
    <n v="3"/>
    <n v="14"/>
    <n v="9"/>
    <n v="1"/>
    <n v="12"/>
  </r>
  <r>
    <n v="29"/>
    <x v="0"/>
    <n v="1"/>
    <s v="Travel_Rarely"/>
    <n v="0"/>
    <n v="1"/>
    <n v="224"/>
    <s v="Research &amp; Development"/>
    <n v="1"/>
    <n v="0"/>
    <n v="1"/>
    <n v="4"/>
    <s v="Technical Degree"/>
    <n v="0"/>
    <n v="0"/>
    <n v="0"/>
    <n v="0"/>
    <n v="1"/>
    <n v="1"/>
    <x v="1"/>
    <n v="0"/>
    <n v="100"/>
    <n v="2"/>
    <n v="1"/>
    <s v="Research Scientist"/>
    <n v="0"/>
    <n v="0"/>
    <n v="0"/>
    <n v="0"/>
    <n v="0"/>
    <n v="0"/>
    <n v="0"/>
    <n v="1"/>
    <x v="3"/>
    <s v="Single"/>
    <n v="1"/>
    <n v="0"/>
    <n v="2362"/>
    <n v="7568"/>
    <n v="6"/>
    <s v="No"/>
    <n v="0"/>
    <n v="13"/>
    <n v="3"/>
    <n v="3"/>
    <n v="0"/>
    <n v="11"/>
    <n v="2"/>
    <n v="1"/>
    <n v="9"/>
    <n v="7"/>
    <n v="0"/>
    <n v="7"/>
  </r>
  <r>
    <n v="44"/>
    <x v="1"/>
    <n v="0"/>
    <s v="Travel_Rarely"/>
    <n v="0"/>
    <n v="1"/>
    <n v="136"/>
    <s v="Research &amp; Development"/>
    <n v="1"/>
    <n v="0"/>
    <n v="28"/>
    <n v="3"/>
    <s v="Life Sciences"/>
    <n v="1"/>
    <n v="0"/>
    <n v="0"/>
    <n v="0"/>
    <n v="0"/>
    <n v="4"/>
    <x v="1"/>
    <n v="0"/>
    <n v="32"/>
    <n v="3"/>
    <n v="4"/>
    <s v="Research Director"/>
    <n v="0"/>
    <n v="0"/>
    <n v="0"/>
    <n v="0"/>
    <n v="0"/>
    <n v="0"/>
    <n v="0"/>
    <n v="0"/>
    <x v="3"/>
    <s v="Married"/>
    <n v="0"/>
    <n v="1"/>
    <n v="16328"/>
    <n v="22074"/>
    <n v="3"/>
    <s v="No"/>
    <n v="0"/>
    <n v="13"/>
    <n v="3"/>
    <n v="3"/>
    <n v="1"/>
    <n v="24"/>
    <n v="1"/>
    <n v="4"/>
    <n v="20"/>
    <n v="6"/>
    <n v="14"/>
    <n v="17"/>
  </r>
  <r>
    <n v="39"/>
    <x v="1"/>
    <n v="0"/>
    <s v="Travel_Rarely"/>
    <n v="0"/>
    <n v="1"/>
    <n v="1089"/>
    <s v="Research &amp; Development"/>
    <n v="1"/>
    <n v="0"/>
    <n v="6"/>
    <n v="3"/>
    <s v="Life Sciences"/>
    <n v="1"/>
    <n v="0"/>
    <n v="0"/>
    <n v="0"/>
    <n v="0"/>
    <n v="2"/>
    <x v="0"/>
    <n v="1"/>
    <n v="32"/>
    <n v="3"/>
    <n v="3"/>
    <s v="Manufacturing Director"/>
    <n v="0"/>
    <n v="0"/>
    <n v="0"/>
    <n v="0"/>
    <n v="1"/>
    <n v="1"/>
    <n v="0"/>
    <n v="0"/>
    <x v="1"/>
    <s v="Single"/>
    <n v="1"/>
    <n v="0"/>
    <n v="8376"/>
    <n v="9150"/>
    <n v="4"/>
    <s v="No"/>
    <n v="0"/>
    <n v="18"/>
    <n v="3"/>
    <n v="4"/>
    <n v="0"/>
    <n v="9"/>
    <n v="3"/>
    <n v="3"/>
    <n v="2"/>
    <n v="0"/>
    <n v="2"/>
    <n v="2"/>
  </r>
  <r>
    <n v="46"/>
    <x v="1"/>
    <n v="0"/>
    <s v="Travel_Rarely"/>
    <n v="0"/>
    <n v="1"/>
    <n v="228"/>
    <s v="Sales"/>
    <n v="0"/>
    <n v="1"/>
    <n v="3"/>
    <n v="3"/>
    <s v="Life Sciences"/>
    <n v="1"/>
    <n v="0"/>
    <n v="0"/>
    <n v="0"/>
    <n v="0"/>
    <n v="3"/>
    <x v="0"/>
    <n v="1"/>
    <n v="51"/>
    <n v="3"/>
    <n v="4"/>
    <s v="Manager"/>
    <n v="0"/>
    <n v="0"/>
    <n v="0"/>
    <n v="1"/>
    <n v="0"/>
    <n v="0"/>
    <n v="0"/>
    <n v="0"/>
    <x v="1"/>
    <s v="Married"/>
    <n v="0"/>
    <n v="1"/>
    <n v="16606"/>
    <n v="11380"/>
    <n v="8"/>
    <s v="No"/>
    <n v="0"/>
    <n v="12"/>
    <n v="3"/>
    <n v="4"/>
    <n v="1"/>
    <n v="23"/>
    <n v="2"/>
    <n v="4"/>
    <n v="13"/>
    <n v="12"/>
    <n v="5"/>
    <n v="1"/>
  </r>
  <r>
    <n v="35"/>
    <x v="1"/>
    <n v="0"/>
    <s v="Travel_Rarely"/>
    <n v="0"/>
    <n v="1"/>
    <n v="1029"/>
    <s v="Research &amp; Development"/>
    <n v="1"/>
    <n v="0"/>
    <n v="16"/>
    <n v="3"/>
    <s v="Life Sciences"/>
    <n v="1"/>
    <n v="0"/>
    <n v="0"/>
    <n v="0"/>
    <n v="0"/>
    <n v="4"/>
    <x v="0"/>
    <n v="1"/>
    <n v="91"/>
    <n v="2"/>
    <n v="3"/>
    <s v="Healthcare Representative"/>
    <n v="1"/>
    <n v="0"/>
    <n v="0"/>
    <n v="0"/>
    <n v="0"/>
    <n v="0"/>
    <n v="0"/>
    <n v="0"/>
    <x v="1"/>
    <s v="Single"/>
    <n v="1"/>
    <n v="0"/>
    <n v="8606"/>
    <n v="21195"/>
    <n v="1"/>
    <s v="No"/>
    <n v="0"/>
    <n v="19"/>
    <n v="3"/>
    <n v="4"/>
    <n v="0"/>
    <n v="11"/>
    <n v="3"/>
    <n v="1"/>
    <n v="11"/>
    <n v="8"/>
    <n v="3"/>
    <n v="3"/>
  </r>
  <r>
    <n v="23"/>
    <x v="1"/>
    <n v="0"/>
    <s v="Travel_Rarely"/>
    <n v="0"/>
    <n v="1"/>
    <n v="507"/>
    <s v="Research &amp; Development"/>
    <n v="1"/>
    <n v="0"/>
    <n v="20"/>
    <n v="1"/>
    <s v="Life Sciences"/>
    <n v="1"/>
    <n v="0"/>
    <n v="0"/>
    <n v="0"/>
    <n v="0"/>
    <n v="1"/>
    <x v="1"/>
    <n v="0"/>
    <n v="97"/>
    <n v="3"/>
    <n v="2"/>
    <s v="Laboratory Technician"/>
    <n v="0"/>
    <n v="0"/>
    <n v="1"/>
    <n v="0"/>
    <n v="0"/>
    <n v="0"/>
    <n v="0"/>
    <n v="0"/>
    <x v="2"/>
    <s v="Single"/>
    <n v="1"/>
    <n v="0"/>
    <n v="2272"/>
    <n v="24812"/>
    <n v="0"/>
    <s v="No"/>
    <n v="0"/>
    <n v="14"/>
    <n v="3"/>
    <n v="2"/>
    <n v="0"/>
    <n v="5"/>
    <n v="2"/>
    <n v="3"/>
    <n v="4"/>
    <n v="3"/>
    <n v="1"/>
    <n v="2"/>
  </r>
  <r>
    <n v="40"/>
    <x v="0"/>
    <n v="1"/>
    <s v="Travel_Rarely"/>
    <n v="0"/>
    <n v="1"/>
    <n v="676"/>
    <s v="Research &amp; Development"/>
    <n v="1"/>
    <n v="0"/>
    <n v="9"/>
    <n v="4"/>
    <s v="Life Sciences"/>
    <n v="1"/>
    <n v="0"/>
    <n v="0"/>
    <n v="0"/>
    <n v="0"/>
    <n v="4"/>
    <x v="1"/>
    <n v="0"/>
    <n v="86"/>
    <n v="3"/>
    <n v="1"/>
    <s v="Laboratory Technician"/>
    <n v="0"/>
    <n v="0"/>
    <n v="1"/>
    <n v="0"/>
    <n v="0"/>
    <n v="0"/>
    <n v="0"/>
    <n v="0"/>
    <x v="3"/>
    <s v="Single"/>
    <n v="1"/>
    <n v="0"/>
    <n v="2018"/>
    <n v="21831"/>
    <n v="3"/>
    <s v="No"/>
    <n v="0"/>
    <n v="14"/>
    <n v="3"/>
    <n v="2"/>
    <n v="0"/>
    <n v="15"/>
    <n v="3"/>
    <n v="1"/>
    <n v="5"/>
    <n v="4"/>
    <n v="1"/>
    <n v="0"/>
  </r>
  <r>
    <n v="34"/>
    <x v="1"/>
    <n v="0"/>
    <s v="Travel_Rarely"/>
    <n v="0"/>
    <n v="1"/>
    <n v="971"/>
    <s v="Sales"/>
    <n v="0"/>
    <n v="1"/>
    <n v="1"/>
    <n v="3"/>
    <s v="Technical Degree"/>
    <n v="0"/>
    <n v="0"/>
    <n v="0"/>
    <n v="0"/>
    <n v="1"/>
    <n v="4"/>
    <x v="1"/>
    <n v="0"/>
    <n v="64"/>
    <n v="2"/>
    <n v="3"/>
    <s v="Sales Executive"/>
    <n v="0"/>
    <n v="1"/>
    <n v="0"/>
    <n v="0"/>
    <n v="0"/>
    <n v="0"/>
    <n v="0"/>
    <n v="0"/>
    <x v="2"/>
    <s v="Married"/>
    <n v="0"/>
    <n v="1"/>
    <n v="7083"/>
    <n v="12288"/>
    <n v="1"/>
    <s v="Yes"/>
    <n v="1"/>
    <n v="14"/>
    <n v="3"/>
    <n v="4"/>
    <n v="0"/>
    <n v="10"/>
    <n v="3"/>
    <n v="3"/>
    <n v="10"/>
    <n v="9"/>
    <n v="8"/>
    <n v="6"/>
  </r>
  <r>
    <n v="31"/>
    <x v="0"/>
    <n v="1"/>
    <s v="Travel_Frequently"/>
    <n v="1"/>
    <n v="0"/>
    <n v="561"/>
    <s v="Research &amp; Development"/>
    <n v="1"/>
    <n v="0"/>
    <n v="3"/>
    <n v="3"/>
    <s v="Life Sciences"/>
    <n v="1"/>
    <n v="0"/>
    <n v="0"/>
    <n v="0"/>
    <n v="0"/>
    <n v="4"/>
    <x v="0"/>
    <n v="1"/>
    <n v="33"/>
    <n v="3"/>
    <n v="1"/>
    <s v="Research Scientist"/>
    <n v="0"/>
    <n v="0"/>
    <n v="0"/>
    <n v="0"/>
    <n v="0"/>
    <n v="0"/>
    <n v="0"/>
    <n v="1"/>
    <x v="2"/>
    <s v="Single"/>
    <n v="1"/>
    <n v="0"/>
    <n v="4084"/>
    <n v="4156"/>
    <n v="1"/>
    <s v="No"/>
    <n v="0"/>
    <n v="12"/>
    <n v="3"/>
    <n v="1"/>
    <n v="0"/>
    <n v="7"/>
    <n v="2"/>
    <n v="1"/>
    <n v="7"/>
    <n v="2"/>
    <n v="7"/>
    <n v="7"/>
  </r>
  <r>
    <n v="50"/>
    <x v="1"/>
    <n v="0"/>
    <s v="Travel_Frequently"/>
    <n v="1"/>
    <n v="0"/>
    <n v="333"/>
    <s v="Research &amp; Development"/>
    <n v="1"/>
    <n v="0"/>
    <n v="22"/>
    <n v="5"/>
    <s v="Medical"/>
    <n v="0"/>
    <n v="0"/>
    <n v="1"/>
    <n v="0"/>
    <n v="0"/>
    <n v="3"/>
    <x v="1"/>
    <n v="0"/>
    <n v="88"/>
    <n v="1"/>
    <n v="4"/>
    <s v="Research Director"/>
    <n v="0"/>
    <n v="0"/>
    <n v="0"/>
    <n v="0"/>
    <n v="0"/>
    <n v="0"/>
    <n v="0"/>
    <n v="0"/>
    <x v="0"/>
    <s v="Single"/>
    <n v="1"/>
    <n v="0"/>
    <n v="14411"/>
    <n v="24450"/>
    <n v="1"/>
    <s v="Yes"/>
    <n v="1"/>
    <n v="13"/>
    <n v="3"/>
    <n v="4"/>
    <n v="0"/>
    <n v="32"/>
    <n v="2"/>
    <n v="3"/>
    <n v="32"/>
    <n v="6"/>
    <n v="13"/>
    <n v="9"/>
  </r>
  <r>
    <n v="34"/>
    <x v="1"/>
    <n v="0"/>
    <s v="Travel_Rarely"/>
    <n v="0"/>
    <n v="1"/>
    <n v="1440"/>
    <s v="Sales"/>
    <n v="0"/>
    <n v="1"/>
    <n v="7"/>
    <n v="2"/>
    <s v="Technical Degree"/>
    <n v="0"/>
    <n v="0"/>
    <n v="0"/>
    <n v="0"/>
    <n v="1"/>
    <n v="2"/>
    <x v="1"/>
    <n v="0"/>
    <n v="55"/>
    <n v="3"/>
    <n v="1"/>
    <s v="Sales Representative"/>
    <n v="0"/>
    <n v="0"/>
    <n v="0"/>
    <n v="0"/>
    <n v="0"/>
    <n v="0"/>
    <n v="1"/>
    <n v="0"/>
    <x v="2"/>
    <s v="Married"/>
    <n v="0"/>
    <n v="1"/>
    <n v="2308"/>
    <n v="4944"/>
    <n v="0"/>
    <s v="Yes"/>
    <n v="1"/>
    <n v="25"/>
    <n v="4"/>
    <n v="2"/>
    <n v="1"/>
    <n v="12"/>
    <n v="4"/>
    <n v="3"/>
    <n v="11"/>
    <n v="10"/>
    <n v="5"/>
    <n v="7"/>
  </r>
  <r>
    <n v="42"/>
    <x v="1"/>
    <n v="0"/>
    <s v="Travel_Rarely"/>
    <n v="0"/>
    <n v="1"/>
    <n v="1210"/>
    <s v="Research &amp; Development"/>
    <n v="1"/>
    <n v="0"/>
    <n v="2"/>
    <n v="3"/>
    <s v="Medical"/>
    <n v="0"/>
    <n v="0"/>
    <n v="1"/>
    <n v="0"/>
    <n v="0"/>
    <n v="3"/>
    <x v="1"/>
    <n v="0"/>
    <n v="68"/>
    <n v="2"/>
    <n v="1"/>
    <s v="Laboratory Technician"/>
    <n v="0"/>
    <n v="0"/>
    <n v="1"/>
    <n v="0"/>
    <n v="0"/>
    <n v="0"/>
    <n v="0"/>
    <n v="0"/>
    <x v="1"/>
    <s v="Married"/>
    <n v="0"/>
    <n v="1"/>
    <n v="4841"/>
    <n v="24052"/>
    <n v="4"/>
    <s v="No"/>
    <n v="0"/>
    <n v="14"/>
    <n v="3"/>
    <n v="2"/>
    <n v="1"/>
    <n v="4"/>
    <n v="3"/>
    <n v="3"/>
    <n v="1"/>
    <n v="0"/>
    <n v="0"/>
    <n v="0"/>
  </r>
  <r>
    <n v="37"/>
    <x v="1"/>
    <n v="0"/>
    <s v="Travel_Rarely"/>
    <n v="0"/>
    <n v="1"/>
    <n v="674"/>
    <s v="Research &amp; Development"/>
    <n v="1"/>
    <n v="0"/>
    <n v="13"/>
    <n v="3"/>
    <s v="Medical"/>
    <n v="0"/>
    <n v="0"/>
    <n v="1"/>
    <n v="0"/>
    <n v="0"/>
    <n v="1"/>
    <x v="1"/>
    <n v="0"/>
    <n v="47"/>
    <n v="3"/>
    <n v="2"/>
    <s v="Research Scientist"/>
    <n v="0"/>
    <n v="0"/>
    <n v="0"/>
    <n v="0"/>
    <n v="0"/>
    <n v="0"/>
    <n v="0"/>
    <n v="1"/>
    <x v="0"/>
    <s v="Married"/>
    <n v="0"/>
    <n v="1"/>
    <n v="4285"/>
    <n v="3031"/>
    <n v="1"/>
    <s v="No"/>
    <n v="0"/>
    <n v="17"/>
    <n v="3"/>
    <n v="1"/>
    <n v="0"/>
    <n v="10"/>
    <n v="2"/>
    <n v="3"/>
    <n v="10"/>
    <n v="8"/>
    <n v="3"/>
    <n v="7"/>
  </r>
  <r>
    <n v="29"/>
    <x v="1"/>
    <n v="0"/>
    <s v="Travel_Rarely"/>
    <n v="0"/>
    <n v="1"/>
    <n v="441"/>
    <s v="Research &amp; Development"/>
    <n v="1"/>
    <n v="0"/>
    <n v="8"/>
    <n v="1"/>
    <s v="Other"/>
    <n v="0"/>
    <n v="1"/>
    <n v="0"/>
    <n v="0"/>
    <n v="0"/>
    <n v="3"/>
    <x v="0"/>
    <n v="1"/>
    <n v="39"/>
    <n v="1"/>
    <n v="2"/>
    <s v="Healthcare Representative"/>
    <n v="1"/>
    <n v="0"/>
    <n v="0"/>
    <n v="0"/>
    <n v="0"/>
    <n v="0"/>
    <n v="0"/>
    <n v="0"/>
    <x v="3"/>
    <s v="Married"/>
    <n v="0"/>
    <n v="1"/>
    <n v="9715"/>
    <n v="7288"/>
    <n v="3"/>
    <s v="No"/>
    <n v="0"/>
    <n v="13"/>
    <n v="3"/>
    <n v="3"/>
    <n v="1"/>
    <n v="9"/>
    <n v="3"/>
    <n v="3"/>
    <n v="7"/>
    <n v="7"/>
    <n v="0"/>
    <n v="7"/>
  </r>
  <r>
    <n v="33"/>
    <x v="1"/>
    <n v="0"/>
    <s v="Travel_Rarely"/>
    <n v="0"/>
    <n v="1"/>
    <n v="575"/>
    <s v="Research &amp; Development"/>
    <n v="1"/>
    <n v="0"/>
    <n v="25"/>
    <n v="3"/>
    <s v="Life Sciences"/>
    <n v="1"/>
    <n v="0"/>
    <n v="0"/>
    <n v="0"/>
    <n v="0"/>
    <n v="4"/>
    <x v="1"/>
    <n v="0"/>
    <n v="44"/>
    <n v="2"/>
    <n v="2"/>
    <s v="Manufacturing Director"/>
    <n v="0"/>
    <n v="0"/>
    <n v="0"/>
    <n v="0"/>
    <n v="1"/>
    <n v="1"/>
    <n v="0"/>
    <n v="0"/>
    <x v="1"/>
    <s v="Single"/>
    <n v="1"/>
    <n v="0"/>
    <n v="4320"/>
    <n v="24152"/>
    <n v="1"/>
    <s v="No"/>
    <n v="0"/>
    <n v="13"/>
    <n v="3"/>
    <n v="4"/>
    <n v="0"/>
    <n v="5"/>
    <n v="2"/>
    <n v="3"/>
    <n v="5"/>
    <n v="3"/>
    <n v="0"/>
    <n v="2"/>
  </r>
  <r>
    <n v="45"/>
    <x v="1"/>
    <n v="0"/>
    <s v="Travel_Rarely"/>
    <n v="0"/>
    <n v="1"/>
    <n v="950"/>
    <s v="Research &amp; Development"/>
    <n v="1"/>
    <n v="0"/>
    <n v="28"/>
    <n v="3"/>
    <s v="Technical Degree"/>
    <n v="0"/>
    <n v="0"/>
    <n v="0"/>
    <n v="0"/>
    <n v="1"/>
    <n v="4"/>
    <x v="1"/>
    <n v="0"/>
    <n v="97"/>
    <n v="3"/>
    <n v="1"/>
    <s v="Research Scientist"/>
    <n v="0"/>
    <n v="0"/>
    <n v="0"/>
    <n v="0"/>
    <n v="0"/>
    <n v="0"/>
    <n v="0"/>
    <n v="1"/>
    <x v="0"/>
    <s v="Married"/>
    <n v="0"/>
    <n v="1"/>
    <n v="2132"/>
    <n v="4585"/>
    <n v="4"/>
    <s v="No"/>
    <n v="0"/>
    <n v="20"/>
    <n v="4"/>
    <n v="4"/>
    <n v="1"/>
    <n v="8"/>
    <n v="3"/>
    <n v="3"/>
    <n v="5"/>
    <n v="4"/>
    <n v="0"/>
    <n v="3"/>
  </r>
  <r>
    <n v="42"/>
    <x v="1"/>
    <n v="0"/>
    <s v="Travel_Frequently"/>
    <n v="1"/>
    <n v="0"/>
    <n v="288"/>
    <s v="Research &amp; Development"/>
    <n v="1"/>
    <n v="0"/>
    <n v="2"/>
    <n v="3"/>
    <s v="Life Sciences"/>
    <n v="1"/>
    <n v="0"/>
    <n v="0"/>
    <n v="0"/>
    <n v="0"/>
    <n v="4"/>
    <x v="1"/>
    <n v="0"/>
    <n v="40"/>
    <n v="3"/>
    <n v="3"/>
    <s v="Healthcare Representative"/>
    <n v="1"/>
    <n v="0"/>
    <n v="0"/>
    <n v="0"/>
    <n v="0"/>
    <n v="0"/>
    <n v="0"/>
    <n v="0"/>
    <x v="0"/>
    <s v="Married"/>
    <n v="0"/>
    <n v="1"/>
    <n v="10124"/>
    <n v="18611"/>
    <n v="2"/>
    <s v="Yes"/>
    <n v="1"/>
    <n v="14"/>
    <n v="3"/>
    <n v="3"/>
    <n v="1"/>
    <n v="24"/>
    <n v="3"/>
    <n v="1"/>
    <n v="20"/>
    <n v="8"/>
    <n v="13"/>
    <n v="9"/>
  </r>
  <r>
    <n v="40"/>
    <x v="1"/>
    <n v="0"/>
    <s v="Travel_Rarely"/>
    <n v="0"/>
    <n v="1"/>
    <n v="1342"/>
    <s v="Sales"/>
    <n v="0"/>
    <n v="1"/>
    <n v="9"/>
    <n v="2"/>
    <s v="Medical"/>
    <n v="0"/>
    <n v="0"/>
    <n v="1"/>
    <n v="0"/>
    <n v="0"/>
    <n v="1"/>
    <x v="1"/>
    <n v="0"/>
    <n v="47"/>
    <n v="3"/>
    <n v="2"/>
    <s v="Sales Executive"/>
    <n v="0"/>
    <n v="1"/>
    <n v="0"/>
    <n v="0"/>
    <n v="0"/>
    <n v="0"/>
    <n v="0"/>
    <n v="0"/>
    <x v="3"/>
    <s v="Married"/>
    <n v="0"/>
    <n v="1"/>
    <n v="5473"/>
    <n v="19345"/>
    <n v="0"/>
    <s v="No"/>
    <n v="0"/>
    <n v="12"/>
    <n v="3"/>
    <n v="4"/>
    <n v="0"/>
    <n v="9"/>
    <n v="5"/>
    <n v="4"/>
    <n v="8"/>
    <n v="4"/>
    <n v="7"/>
    <n v="1"/>
  </r>
  <r>
    <n v="33"/>
    <x v="1"/>
    <n v="0"/>
    <s v="Travel_Rarely"/>
    <n v="0"/>
    <n v="1"/>
    <n v="589"/>
    <s v="Research &amp; Development"/>
    <n v="1"/>
    <n v="0"/>
    <n v="28"/>
    <n v="4"/>
    <s v="Life Sciences"/>
    <n v="1"/>
    <n v="0"/>
    <n v="0"/>
    <n v="0"/>
    <n v="0"/>
    <n v="2"/>
    <x v="1"/>
    <n v="0"/>
    <n v="79"/>
    <n v="3"/>
    <n v="2"/>
    <s v="Laboratory Technician"/>
    <n v="0"/>
    <n v="0"/>
    <n v="1"/>
    <n v="0"/>
    <n v="0"/>
    <n v="0"/>
    <n v="0"/>
    <n v="0"/>
    <x v="2"/>
    <s v="Married"/>
    <n v="0"/>
    <n v="1"/>
    <n v="5207"/>
    <n v="22949"/>
    <n v="1"/>
    <s v="Yes"/>
    <n v="1"/>
    <n v="12"/>
    <n v="3"/>
    <n v="2"/>
    <n v="1"/>
    <n v="15"/>
    <n v="3"/>
    <n v="3"/>
    <n v="15"/>
    <n v="14"/>
    <n v="5"/>
    <n v="7"/>
  </r>
  <r>
    <n v="40"/>
    <x v="1"/>
    <n v="0"/>
    <s v="Travel_Rarely"/>
    <n v="0"/>
    <n v="1"/>
    <n v="898"/>
    <s v="Human Resources"/>
    <n v="0"/>
    <n v="0"/>
    <n v="6"/>
    <n v="2"/>
    <s v="Medical"/>
    <n v="0"/>
    <n v="0"/>
    <n v="1"/>
    <n v="0"/>
    <n v="0"/>
    <n v="3"/>
    <x v="1"/>
    <n v="0"/>
    <n v="38"/>
    <n v="3"/>
    <n v="4"/>
    <s v="Manager"/>
    <n v="0"/>
    <n v="0"/>
    <n v="0"/>
    <n v="1"/>
    <n v="0"/>
    <n v="0"/>
    <n v="0"/>
    <n v="0"/>
    <x v="0"/>
    <s v="Single"/>
    <n v="1"/>
    <n v="0"/>
    <n v="16437"/>
    <n v="17381"/>
    <n v="1"/>
    <s v="Yes"/>
    <n v="1"/>
    <n v="21"/>
    <n v="4"/>
    <n v="4"/>
    <n v="0"/>
    <n v="21"/>
    <n v="2"/>
    <n v="3"/>
    <n v="21"/>
    <n v="7"/>
    <n v="7"/>
    <n v="7"/>
  </r>
  <r>
    <n v="24"/>
    <x v="1"/>
    <n v="0"/>
    <s v="Travel_Rarely"/>
    <n v="0"/>
    <n v="1"/>
    <n v="350"/>
    <s v="Research &amp; Development"/>
    <n v="1"/>
    <n v="0"/>
    <n v="21"/>
    <n v="2"/>
    <s v="Technical Degree"/>
    <n v="0"/>
    <n v="0"/>
    <n v="0"/>
    <n v="0"/>
    <n v="1"/>
    <n v="3"/>
    <x v="1"/>
    <n v="0"/>
    <n v="57"/>
    <n v="2"/>
    <n v="1"/>
    <s v="Laboratory Technician"/>
    <n v="0"/>
    <n v="0"/>
    <n v="1"/>
    <n v="0"/>
    <n v="0"/>
    <n v="0"/>
    <n v="0"/>
    <n v="0"/>
    <x v="3"/>
    <s v="Divorced"/>
    <n v="0"/>
    <n v="0"/>
    <n v="2296"/>
    <n v="10036"/>
    <n v="0"/>
    <s v="No"/>
    <n v="0"/>
    <n v="14"/>
    <n v="3"/>
    <n v="2"/>
    <n v="3"/>
    <n v="2"/>
    <n v="3"/>
    <n v="3"/>
    <n v="1"/>
    <n v="1"/>
    <n v="0"/>
    <n v="0"/>
  </r>
  <r>
    <n v="40"/>
    <x v="1"/>
    <n v="0"/>
    <s v="Non-Travel"/>
    <n v="0"/>
    <n v="0"/>
    <n v="1142"/>
    <s v="Research &amp; Development"/>
    <n v="1"/>
    <n v="0"/>
    <n v="8"/>
    <n v="2"/>
    <s v="Life Sciences"/>
    <n v="1"/>
    <n v="0"/>
    <n v="0"/>
    <n v="0"/>
    <n v="0"/>
    <n v="4"/>
    <x v="1"/>
    <n v="0"/>
    <n v="72"/>
    <n v="3"/>
    <n v="2"/>
    <s v="Healthcare Representative"/>
    <n v="1"/>
    <n v="0"/>
    <n v="0"/>
    <n v="0"/>
    <n v="0"/>
    <n v="0"/>
    <n v="0"/>
    <n v="0"/>
    <x v="0"/>
    <s v="Divorced"/>
    <n v="0"/>
    <n v="0"/>
    <n v="4069"/>
    <n v="8841"/>
    <n v="3"/>
    <s v="Yes"/>
    <n v="1"/>
    <n v="18"/>
    <n v="3"/>
    <n v="3"/>
    <n v="0"/>
    <n v="8"/>
    <n v="2"/>
    <n v="3"/>
    <n v="2"/>
    <n v="2"/>
    <n v="2"/>
    <n v="2"/>
  </r>
  <r>
    <n v="45"/>
    <x v="1"/>
    <n v="0"/>
    <s v="Travel_Rarely"/>
    <n v="0"/>
    <n v="1"/>
    <n v="538"/>
    <s v="Research &amp; Development"/>
    <n v="1"/>
    <n v="0"/>
    <n v="1"/>
    <n v="4"/>
    <s v="Technical Degree"/>
    <n v="0"/>
    <n v="0"/>
    <n v="0"/>
    <n v="0"/>
    <n v="1"/>
    <n v="1"/>
    <x v="1"/>
    <n v="0"/>
    <n v="66"/>
    <n v="3"/>
    <n v="3"/>
    <s v="Healthcare Representative"/>
    <n v="1"/>
    <n v="0"/>
    <n v="0"/>
    <n v="0"/>
    <n v="0"/>
    <n v="0"/>
    <n v="0"/>
    <n v="0"/>
    <x v="1"/>
    <s v="Divorced"/>
    <n v="0"/>
    <n v="0"/>
    <n v="7441"/>
    <n v="20933"/>
    <n v="1"/>
    <s v="No"/>
    <n v="0"/>
    <n v="12"/>
    <n v="3"/>
    <n v="1"/>
    <n v="3"/>
    <n v="10"/>
    <n v="4"/>
    <n v="3"/>
    <n v="10"/>
    <n v="8"/>
    <n v="7"/>
    <n v="7"/>
  </r>
  <r>
    <n v="35"/>
    <x v="1"/>
    <n v="0"/>
    <s v="Travel_Rarely"/>
    <n v="0"/>
    <n v="1"/>
    <n v="1402"/>
    <s v="Sales"/>
    <n v="0"/>
    <n v="1"/>
    <n v="28"/>
    <n v="4"/>
    <s v="Life Sciences"/>
    <n v="1"/>
    <n v="0"/>
    <n v="0"/>
    <n v="0"/>
    <n v="0"/>
    <n v="2"/>
    <x v="0"/>
    <n v="1"/>
    <n v="98"/>
    <n v="2"/>
    <n v="1"/>
    <s v="Sales Representative"/>
    <n v="0"/>
    <n v="0"/>
    <n v="0"/>
    <n v="0"/>
    <n v="0"/>
    <n v="0"/>
    <n v="1"/>
    <n v="0"/>
    <x v="2"/>
    <s v="Married"/>
    <n v="0"/>
    <n v="1"/>
    <n v="2430"/>
    <n v="26204"/>
    <n v="0"/>
    <s v="No"/>
    <n v="0"/>
    <n v="23"/>
    <n v="4"/>
    <n v="1"/>
    <n v="2"/>
    <n v="6"/>
    <n v="5"/>
    <n v="3"/>
    <n v="5"/>
    <n v="3"/>
    <n v="4"/>
    <n v="2"/>
  </r>
  <r>
    <n v="32"/>
    <x v="1"/>
    <n v="0"/>
    <s v="Travel_Rarely"/>
    <n v="0"/>
    <n v="1"/>
    <n v="824"/>
    <s v="Research &amp; Development"/>
    <n v="1"/>
    <n v="0"/>
    <n v="5"/>
    <n v="2"/>
    <s v="Life Sciences"/>
    <n v="1"/>
    <n v="0"/>
    <n v="0"/>
    <n v="0"/>
    <n v="0"/>
    <n v="4"/>
    <x v="0"/>
    <n v="1"/>
    <n v="67"/>
    <n v="2"/>
    <n v="2"/>
    <s v="Research Scientist"/>
    <n v="0"/>
    <n v="0"/>
    <n v="0"/>
    <n v="0"/>
    <n v="0"/>
    <n v="0"/>
    <n v="0"/>
    <n v="1"/>
    <x v="1"/>
    <s v="Married"/>
    <n v="0"/>
    <n v="1"/>
    <n v="5878"/>
    <n v="15624"/>
    <n v="3"/>
    <s v="No"/>
    <n v="0"/>
    <n v="12"/>
    <n v="3"/>
    <n v="1"/>
    <n v="1"/>
    <n v="12"/>
    <n v="2"/>
    <n v="3"/>
    <n v="7"/>
    <n v="1"/>
    <n v="2"/>
    <n v="5"/>
  </r>
  <r>
    <n v="36"/>
    <x v="1"/>
    <n v="0"/>
    <s v="Travel_Rarely"/>
    <n v="0"/>
    <n v="1"/>
    <n v="1157"/>
    <s v="Sales"/>
    <n v="0"/>
    <n v="1"/>
    <n v="2"/>
    <n v="4"/>
    <s v="Life Sciences"/>
    <n v="1"/>
    <n v="0"/>
    <n v="0"/>
    <n v="0"/>
    <n v="0"/>
    <n v="3"/>
    <x v="1"/>
    <n v="0"/>
    <n v="70"/>
    <n v="3"/>
    <n v="1"/>
    <s v="Sales Representative"/>
    <n v="0"/>
    <n v="0"/>
    <n v="0"/>
    <n v="0"/>
    <n v="0"/>
    <n v="0"/>
    <n v="1"/>
    <n v="0"/>
    <x v="0"/>
    <s v="Single"/>
    <n v="1"/>
    <n v="0"/>
    <n v="2644"/>
    <n v="17001"/>
    <n v="3"/>
    <s v="Yes"/>
    <n v="1"/>
    <n v="21"/>
    <n v="4"/>
    <n v="4"/>
    <n v="0"/>
    <n v="7"/>
    <n v="3"/>
    <n v="2"/>
    <n v="3"/>
    <n v="2"/>
    <n v="1"/>
    <n v="2"/>
  </r>
  <r>
    <n v="48"/>
    <x v="1"/>
    <n v="0"/>
    <s v="Travel_Rarely"/>
    <n v="0"/>
    <n v="1"/>
    <n v="492"/>
    <s v="Sales"/>
    <n v="0"/>
    <n v="1"/>
    <n v="16"/>
    <n v="4"/>
    <s v="Life Sciences"/>
    <n v="1"/>
    <n v="0"/>
    <n v="0"/>
    <n v="0"/>
    <n v="0"/>
    <n v="3"/>
    <x v="0"/>
    <n v="1"/>
    <n v="96"/>
    <n v="3"/>
    <n v="2"/>
    <s v="Sales Executive"/>
    <n v="0"/>
    <n v="1"/>
    <n v="0"/>
    <n v="0"/>
    <n v="0"/>
    <n v="0"/>
    <n v="0"/>
    <n v="0"/>
    <x v="2"/>
    <s v="Divorced"/>
    <n v="0"/>
    <n v="0"/>
    <n v="6439"/>
    <n v="13693"/>
    <n v="8"/>
    <s v="No"/>
    <n v="0"/>
    <n v="14"/>
    <n v="3"/>
    <n v="3"/>
    <n v="1"/>
    <n v="18"/>
    <n v="2"/>
    <n v="3"/>
    <n v="8"/>
    <n v="7"/>
    <n v="7"/>
    <n v="7"/>
  </r>
  <r>
    <n v="29"/>
    <x v="1"/>
    <n v="0"/>
    <s v="Travel_Rarely"/>
    <n v="0"/>
    <n v="1"/>
    <n v="598"/>
    <s v="Research &amp; Development"/>
    <n v="1"/>
    <n v="0"/>
    <n v="9"/>
    <n v="3"/>
    <s v="Life Sciences"/>
    <n v="1"/>
    <n v="0"/>
    <n v="0"/>
    <n v="0"/>
    <n v="0"/>
    <n v="3"/>
    <x v="1"/>
    <n v="0"/>
    <n v="91"/>
    <n v="4"/>
    <n v="1"/>
    <s v="Research Scientist"/>
    <n v="0"/>
    <n v="0"/>
    <n v="0"/>
    <n v="0"/>
    <n v="0"/>
    <n v="0"/>
    <n v="0"/>
    <n v="1"/>
    <x v="2"/>
    <s v="Married"/>
    <n v="0"/>
    <n v="1"/>
    <n v="2451"/>
    <n v="22376"/>
    <n v="6"/>
    <s v="No"/>
    <n v="0"/>
    <n v="18"/>
    <n v="3"/>
    <n v="1"/>
    <n v="2"/>
    <n v="5"/>
    <n v="2"/>
    <n v="2"/>
    <n v="1"/>
    <n v="0"/>
    <n v="0"/>
    <n v="0"/>
  </r>
  <r>
    <n v="33"/>
    <x v="1"/>
    <n v="0"/>
    <s v="Travel_Rarely"/>
    <n v="0"/>
    <n v="1"/>
    <n v="1242"/>
    <s v="Sales"/>
    <n v="0"/>
    <n v="1"/>
    <n v="8"/>
    <n v="4"/>
    <s v="Life Sciences"/>
    <n v="1"/>
    <n v="0"/>
    <n v="0"/>
    <n v="0"/>
    <n v="0"/>
    <n v="1"/>
    <x v="1"/>
    <n v="0"/>
    <n v="46"/>
    <n v="3"/>
    <n v="2"/>
    <s v="Sales Executive"/>
    <n v="0"/>
    <n v="1"/>
    <n v="0"/>
    <n v="0"/>
    <n v="0"/>
    <n v="0"/>
    <n v="0"/>
    <n v="0"/>
    <x v="3"/>
    <s v="Married"/>
    <n v="0"/>
    <n v="1"/>
    <n v="6392"/>
    <n v="10589"/>
    <n v="2"/>
    <s v="No"/>
    <n v="0"/>
    <n v="13"/>
    <n v="3"/>
    <n v="4"/>
    <n v="1"/>
    <n v="8"/>
    <n v="6"/>
    <n v="1"/>
    <n v="2"/>
    <n v="2"/>
    <n v="2"/>
    <n v="2"/>
  </r>
  <r>
    <n v="30"/>
    <x v="0"/>
    <n v="1"/>
    <s v="Travel_Rarely"/>
    <n v="0"/>
    <n v="1"/>
    <n v="740"/>
    <s v="Sales"/>
    <n v="0"/>
    <n v="1"/>
    <n v="1"/>
    <n v="3"/>
    <s v="Life Sciences"/>
    <n v="1"/>
    <n v="0"/>
    <n v="0"/>
    <n v="0"/>
    <n v="0"/>
    <n v="2"/>
    <x v="1"/>
    <n v="0"/>
    <n v="64"/>
    <n v="2"/>
    <n v="2"/>
    <s v="Sales Executive"/>
    <n v="0"/>
    <n v="1"/>
    <n v="0"/>
    <n v="0"/>
    <n v="0"/>
    <n v="0"/>
    <n v="0"/>
    <n v="0"/>
    <x v="3"/>
    <s v="Married"/>
    <n v="0"/>
    <n v="1"/>
    <n v="9714"/>
    <n v="5323"/>
    <n v="1"/>
    <s v="No"/>
    <n v="0"/>
    <n v="11"/>
    <n v="3"/>
    <n v="4"/>
    <n v="1"/>
    <n v="10"/>
    <n v="4"/>
    <n v="3"/>
    <n v="10"/>
    <n v="8"/>
    <n v="6"/>
    <n v="7"/>
  </r>
  <r>
    <n v="38"/>
    <x v="1"/>
    <n v="0"/>
    <s v="Travel_Frequently"/>
    <n v="1"/>
    <n v="0"/>
    <n v="888"/>
    <s v="Human Resources"/>
    <n v="0"/>
    <n v="0"/>
    <n v="10"/>
    <n v="4"/>
    <s v="Human Resources"/>
    <n v="0"/>
    <n v="0"/>
    <n v="0"/>
    <n v="0"/>
    <n v="0"/>
    <n v="3"/>
    <x v="1"/>
    <n v="0"/>
    <n v="71"/>
    <n v="3"/>
    <n v="2"/>
    <s v="Human Resources"/>
    <n v="0"/>
    <n v="0"/>
    <n v="0"/>
    <n v="0"/>
    <n v="0"/>
    <n v="0"/>
    <n v="0"/>
    <n v="0"/>
    <x v="2"/>
    <s v="Married"/>
    <n v="0"/>
    <n v="1"/>
    <n v="6077"/>
    <n v="14814"/>
    <n v="3"/>
    <s v="No"/>
    <n v="0"/>
    <n v="11"/>
    <n v="3"/>
    <n v="3"/>
    <n v="0"/>
    <n v="10"/>
    <n v="2"/>
    <n v="3"/>
    <n v="6"/>
    <n v="3"/>
    <n v="1"/>
    <n v="2"/>
  </r>
  <r>
    <n v="35"/>
    <x v="1"/>
    <n v="0"/>
    <s v="Travel_Rarely"/>
    <n v="0"/>
    <n v="1"/>
    <n v="992"/>
    <s v="Research &amp; Development"/>
    <n v="1"/>
    <n v="0"/>
    <n v="1"/>
    <n v="3"/>
    <s v="Medical"/>
    <n v="0"/>
    <n v="0"/>
    <n v="1"/>
    <n v="0"/>
    <n v="0"/>
    <n v="4"/>
    <x v="1"/>
    <n v="0"/>
    <n v="68"/>
    <n v="2"/>
    <n v="1"/>
    <s v="Laboratory Technician"/>
    <n v="0"/>
    <n v="0"/>
    <n v="1"/>
    <n v="0"/>
    <n v="0"/>
    <n v="0"/>
    <n v="0"/>
    <n v="0"/>
    <x v="3"/>
    <s v="Single"/>
    <n v="1"/>
    <n v="0"/>
    <n v="2450"/>
    <n v="21731"/>
    <n v="1"/>
    <s v="No"/>
    <n v="0"/>
    <n v="19"/>
    <n v="3"/>
    <n v="2"/>
    <n v="0"/>
    <n v="3"/>
    <n v="3"/>
    <n v="3"/>
    <n v="3"/>
    <n v="0"/>
    <n v="1"/>
    <n v="2"/>
  </r>
  <r>
    <n v="30"/>
    <x v="1"/>
    <n v="0"/>
    <s v="Travel_Rarely"/>
    <n v="0"/>
    <n v="1"/>
    <n v="1288"/>
    <s v="Sales"/>
    <n v="0"/>
    <n v="1"/>
    <n v="29"/>
    <n v="4"/>
    <s v="Technical Degree"/>
    <n v="0"/>
    <n v="0"/>
    <n v="0"/>
    <n v="0"/>
    <n v="1"/>
    <n v="3"/>
    <x v="1"/>
    <n v="0"/>
    <n v="33"/>
    <n v="3"/>
    <n v="3"/>
    <s v="Sales Executive"/>
    <n v="0"/>
    <n v="1"/>
    <n v="0"/>
    <n v="0"/>
    <n v="0"/>
    <n v="0"/>
    <n v="0"/>
    <n v="0"/>
    <x v="1"/>
    <s v="Married"/>
    <n v="0"/>
    <n v="1"/>
    <n v="9250"/>
    <n v="17799"/>
    <n v="3"/>
    <s v="No"/>
    <n v="0"/>
    <n v="12"/>
    <n v="3"/>
    <n v="2"/>
    <n v="1"/>
    <n v="9"/>
    <n v="3"/>
    <n v="3"/>
    <n v="4"/>
    <n v="2"/>
    <n v="1"/>
    <n v="3"/>
  </r>
  <r>
    <n v="35"/>
    <x v="0"/>
    <n v="1"/>
    <s v="Travel_Rarely"/>
    <n v="0"/>
    <n v="1"/>
    <n v="104"/>
    <s v="Research &amp; Development"/>
    <n v="1"/>
    <n v="0"/>
    <n v="2"/>
    <n v="3"/>
    <s v="Life Sciences"/>
    <n v="1"/>
    <n v="0"/>
    <n v="0"/>
    <n v="0"/>
    <n v="0"/>
    <n v="1"/>
    <x v="0"/>
    <n v="1"/>
    <n v="69"/>
    <n v="3"/>
    <n v="1"/>
    <s v="Laboratory Technician"/>
    <n v="0"/>
    <n v="0"/>
    <n v="1"/>
    <n v="0"/>
    <n v="0"/>
    <n v="0"/>
    <n v="0"/>
    <n v="0"/>
    <x v="3"/>
    <s v="Divorced"/>
    <n v="0"/>
    <n v="0"/>
    <n v="2074"/>
    <n v="26619"/>
    <n v="1"/>
    <s v="Yes"/>
    <n v="1"/>
    <n v="12"/>
    <n v="3"/>
    <n v="4"/>
    <n v="1"/>
    <n v="1"/>
    <n v="2"/>
    <n v="3"/>
    <n v="1"/>
    <n v="0"/>
    <n v="0"/>
    <n v="0"/>
  </r>
  <r>
    <n v="53"/>
    <x v="0"/>
    <n v="1"/>
    <s v="Travel_Rarely"/>
    <n v="0"/>
    <n v="1"/>
    <n v="607"/>
    <s v="Research &amp; Development"/>
    <n v="1"/>
    <n v="0"/>
    <n v="2"/>
    <n v="5"/>
    <s v="Technical Degree"/>
    <n v="0"/>
    <n v="0"/>
    <n v="0"/>
    <n v="0"/>
    <n v="1"/>
    <n v="3"/>
    <x v="0"/>
    <n v="1"/>
    <n v="78"/>
    <n v="2"/>
    <n v="3"/>
    <s v="Manufacturing Director"/>
    <n v="0"/>
    <n v="0"/>
    <n v="0"/>
    <n v="0"/>
    <n v="1"/>
    <n v="1"/>
    <n v="0"/>
    <n v="0"/>
    <x v="0"/>
    <s v="Married"/>
    <n v="0"/>
    <n v="1"/>
    <n v="10169"/>
    <n v="14618"/>
    <n v="0"/>
    <s v="No"/>
    <n v="0"/>
    <n v="16"/>
    <n v="3"/>
    <n v="2"/>
    <n v="1"/>
    <n v="34"/>
    <n v="4"/>
    <n v="3"/>
    <n v="33"/>
    <n v="7"/>
    <n v="1"/>
    <n v="9"/>
  </r>
  <r>
    <n v="38"/>
    <x v="0"/>
    <n v="1"/>
    <s v="Travel_Rarely"/>
    <n v="0"/>
    <n v="1"/>
    <n v="903"/>
    <s v="Research &amp; Development"/>
    <n v="1"/>
    <n v="0"/>
    <n v="2"/>
    <n v="3"/>
    <s v="Medical"/>
    <n v="0"/>
    <n v="0"/>
    <n v="1"/>
    <n v="0"/>
    <n v="0"/>
    <n v="3"/>
    <x v="1"/>
    <n v="0"/>
    <n v="81"/>
    <n v="3"/>
    <n v="2"/>
    <s v="Manufacturing Director"/>
    <n v="0"/>
    <n v="0"/>
    <n v="0"/>
    <n v="0"/>
    <n v="1"/>
    <n v="1"/>
    <n v="0"/>
    <n v="0"/>
    <x v="1"/>
    <s v="Married"/>
    <n v="0"/>
    <n v="1"/>
    <n v="4855"/>
    <n v="7653"/>
    <n v="4"/>
    <s v="No"/>
    <n v="0"/>
    <n v="11"/>
    <n v="3"/>
    <n v="1"/>
    <n v="2"/>
    <n v="7"/>
    <n v="2"/>
    <n v="3"/>
    <n v="5"/>
    <n v="2"/>
    <n v="1"/>
    <n v="4"/>
  </r>
  <r>
    <n v="32"/>
    <x v="1"/>
    <n v="0"/>
    <s v="Non-Travel"/>
    <n v="0"/>
    <n v="0"/>
    <n v="1200"/>
    <s v="Research &amp; Development"/>
    <n v="1"/>
    <n v="0"/>
    <n v="1"/>
    <n v="4"/>
    <s v="Technical Degree"/>
    <n v="0"/>
    <n v="0"/>
    <n v="0"/>
    <n v="0"/>
    <n v="1"/>
    <n v="4"/>
    <x v="1"/>
    <n v="0"/>
    <n v="62"/>
    <n v="3"/>
    <n v="2"/>
    <s v="Research Scientist"/>
    <n v="0"/>
    <n v="0"/>
    <n v="0"/>
    <n v="0"/>
    <n v="0"/>
    <n v="0"/>
    <n v="0"/>
    <n v="1"/>
    <x v="3"/>
    <s v="Married"/>
    <n v="0"/>
    <n v="1"/>
    <n v="4087"/>
    <n v="25174"/>
    <n v="4"/>
    <s v="No"/>
    <n v="0"/>
    <n v="14"/>
    <n v="3"/>
    <n v="2"/>
    <n v="1"/>
    <n v="9"/>
    <n v="3"/>
    <n v="2"/>
    <n v="6"/>
    <n v="5"/>
    <n v="1"/>
    <n v="2"/>
  </r>
  <r>
    <n v="48"/>
    <x v="1"/>
    <n v="0"/>
    <s v="Travel_Rarely"/>
    <n v="0"/>
    <n v="1"/>
    <n v="1108"/>
    <s v="Research &amp; Development"/>
    <n v="1"/>
    <n v="0"/>
    <n v="15"/>
    <n v="4"/>
    <s v="Other"/>
    <n v="0"/>
    <n v="1"/>
    <n v="0"/>
    <n v="0"/>
    <n v="0"/>
    <n v="3"/>
    <x v="0"/>
    <n v="1"/>
    <n v="65"/>
    <n v="3"/>
    <n v="1"/>
    <s v="Research Scientist"/>
    <n v="0"/>
    <n v="0"/>
    <n v="0"/>
    <n v="0"/>
    <n v="0"/>
    <n v="0"/>
    <n v="0"/>
    <n v="1"/>
    <x v="3"/>
    <s v="Married"/>
    <n v="0"/>
    <n v="1"/>
    <n v="2367"/>
    <n v="16530"/>
    <n v="8"/>
    <s v="No"/>
    <n v="0"/>
    <n v="12"/>
    <n v="3"/>
    <n v="4"/>
    <n v="1"/>
    <n v="10"/>
    <n v="3"/>
    <n v="2"/>
    <n v="8"/>
    <n v="2"/>
    <n v="7"/>
    <n v="6"/>
  </r>
  <r>
    <n v="34"/>
    <x v="1"/>
    <n v="0"/>
    <s v="Travel_Rarely"/>
    <n v="0"/>
    <n v="1"/>
    <n v="479"/>
    <s v="Research &amp; Development"/>
    <n v="1"/>
    <n v="0"/>
    <n v="7"/>
    <n v="4"/>
    <s v="Medical"/>
    <n v="0"/>
    <n v="0"/>
    <n v="1"/>
    <n v="0"/>
    <n v="0"/>
    <n v="1"/>
    <x v="1"/>
    <n v="0"/>
    <n v="35"/>
    <n v="3"/>
    <n v="1"/>
    <s v="Research Scientist"/>
    <n v="0"/>
    <n v="0"/>
    <n v="0"/>
    <n v="0"/>
    <n v="0"/>
    <n v="0"/>
    <n v="0"/>
    <n v="1"/>
    <x v="0"/>
    <s v="Single"/>
    <n v="1"/>
    <n v="0"/>
    <n v="2972"/>
    <n v="22061"/>
    <n v="1"/>
    <s v="No"/>
    <n v="0"/>
    <n v="13"/>
    <n v="3"/>
    <n v="3"/>
    <n v="0"/>
    <n v="1"/>
    <n v="4"/>
    <n v="1"/>
    <n v="1"/>
    <n v="0"/>
    <n v="0"/>
    <n v="0"/>
  </r>
  <r>
    <n v="55"/>
    <x v="1"/>
    <n v="0"/>
    <s v="Travel_Rarely"/>
    <n v="0"/>
    <n v="1"/>
    <n v="685"/>
    <s v="Sales"/>
    <n v="0"/>
    <n v="1"/>
    <n v="26"/>
    <n v="5"/>
    <s v="Marketing"/>
    <n v="0"/>
    <n v="0"/>
    <n v="0"/>
    <n v="1"/>
    <n v="0"/>
    <n v="3"/>
    <x v="1"/>
    <n v="0"/>
    <n v="60"/>
    <n v="2"/>
    <n v="5"/>
    <s v="Manager"/>
    <n v="0"/>
    <n v="0"/>
    <n v="0"/>
    <n v="1"/>
    <n v="0"/>
    <n v="0"/>
    <n v="0"/>
    <n v="0"/>
    <x v="0"/>
    <s v="Married"/>
    <n v="0"/>
    <n v="1"/>
    <n v="19586"/>
    <n v="23037"/>
    <n v="1"/>
    <s v="No"/>
    <n v="0"/>
    <n v="21"/>
    <n v="4"/>
    <n v="3"/>
    <n v="1"/>
    <n v="36"/>
    <n v="3"/>
    <n v="3"/>
    <n v="36"/>
    <n v="6"/>
    <n v="2"/>
    <n v="13"/>
  </r>
  <r>
    <n v="34"/>
    <x v="1"/>
    <n v="0"/>
    <s v="Travel_Rarely"/>
    <n v="0"/>
    <n v="1"/>
    <n v="1351"/>
    <s v="Research &amp; Development"/>
    <n v="1"/>
    <n v="0"/>
    <n v="1"/>
    <n v="4"/>
    <s v="Life Sciences"/>
    <n v="1"/>
    <n v="0"/>
    <n v="0"/>
    <n v="0"/>
    <n v="0"/>
    <n v="2"/>
    <x v="1"/>
    <n v="0"/>
    <n v="45"/>
    <n v="3"/>
    <n v="2"/>
    <s v="Research Scientist"/>
    <n v="0"/>
    <n v="0"/>
    <n v="0"/>
    <n v="0"/>
    <n v="0"/>
    <n v="0"/>
    <n v="0"/>
    <n v="1"/>
    <x v="0"/>
    <s v="Married"/>
    <n v="0"/>
    <n v="1"/>
    <n v="5484"/>
    <n v="13008"/>
    <n v="9"/>
    <s v="No"/>
    <n v="0"/>
    <n v="17"/>
    <n v="3"/>
    <n v="2"/>
    <n v="1"/>
    <n v="9"/>
    <n v="3"/>
    <n v="2"/>
    <n v="2"/>
    <n v="2"/>
    <n v="2"/>
    <n v="1"/>
  </r>
  <r>
    <n v="26"/>
    <x v="1"/>
    <n v="0"/>
    <s v="Travel_Rarely"/>
    <n v="0"/>
    <n v="1"/>
    <n v="474"/>
    <s v="Research &amp; Development"/>
    <n v="1"/>
    <n v="0"/>
    <n v="3"/>
    <n v="3"/>
    <s v="Life Sciences"/>
    <n v="1"/>
    <n v="0"/>
    <n v="0"/>
    <n v="0"/>
    <n v="0"/>
    <n v="1"/>
    <x v="0"/>
    <n v="1"/>
    <n v="89"/>
    <n v="3"/>
    <n v="1"/>
    <s v="Research Scientist"/>
    <n v="0"/>
    <n v="0"/>
    <n v="0"/>
    <n v="0"/>
    <n v="0"/>
    <n v="0"/>
    <n v="0"/>
    <n v="1"/>
    <x v="0"/>
    <s v="Married"/>
    <n v="0"/>
    <n v="1"/>
    <n v="2061"/>
    <n v="11133"/>
    <n v="1"/>
    <s v="No"/>
    <n v="0"/>
    <n v="21"/>
    <n v="4"/>
    <n v="1"/>
    <n v="0"/>
    <n v="1"/>
    <n v="5"/>
    <n v="3"/>
    <n v="1"/>
    <n v="0"/>
    <n v="0"/>
    <n v="0"/>
  </r>
  <r>
    <n v="38"/>
    <x v="1"/>
    <n v="0"/>
    <s v="Travel_Rarely"/>
    <n v="0"/>
    <n v="1"/>
    <n v="1245"/>
    <s v="Sales"/>
    <n v="0"/>
    <n v="1"/>
    <n v="14"/>
    <n v="3"/>
    <s v="Life Sciences"/>
    <n v="1"/>
    <n v="0"/>
    <n v="0"/>
    <n v="0"/>
    <n v="0"/>
    <n v="3"/>
    <x v="1"/>
    <n v="0"/>
    <n v="80"/>
    <n v="3"/>
    <n v="2"/>
    <s v="Sales Executive"/>
    <n v="0"/>
    <n v="1"/>
    <n v="0"/>
    <n v="0"/>
    <n v="0"/>
    <n v="0"/>
    <n v="0"/>
    <n v="0"/>
    <x v="1"/>
    <s v="Married"/>
    <n v="0"/>
    <n v="1"/>
    <n v="9924"/>
    <n v="12355"/>
    <n v="0"/>
    <s v="No"/>
    <n v="0"/>
    <n v="11"/>
    <n v="3"/>
    <n v="4"/>
    <n v="1"/>
    <n v="10"/>
    <n v="3"/>
    <n v="3"/>
    <n v="9"/>
    <n v="8"/>
    <n v="7"/>
    <n v="7"/>
  </r>
  <r>
    <n v="38"/>
    <x v="1"/>
    <n v="0"/>
    <s v="Travel_Rarely"/>
    <n v="0"/>
    <n v="1"/>
    <n v="437"/>
    <s v="Sales"/>
    <n v="0"/>
    <n v="1"/>
    <n v="16"/>
    <n v="3"/>
    <s v="Life Sciences"/>
    <n v="1"/>
    <n v="0"/>
    <n v="0"/>
    <n v="0"/>
    <n v="0"/>
    <n v="2"/>
    <x v="0"/>
    <n v="1"/>
    <n v="90"/>
    <n v="3"/>
    <n v="2"/>
    <s v="Sales Executive"/>
    <n v="0"/>
    <n v="1"/>
    <n v="0"/>
    <n v="0"/>
    <n v="0"/>
    <n v="0"/>
    <n v="0"/>
    <n v="0"/>
    <x v="1"/>
    <s v="Single"/>
    <n v="1"/>
    <n v="0"/>
    <n v="4198"/>
    <n v="16379"/>
    <n v="2"/>
    <s v="No"/>
    <n v="0"/>
    <n v="12"/>
    <n v="3"/>
    <n v="2"/>
    <n v="0"/>
    <n v="8"/>
    <n v="5"/>
    <n v="4"/>
    <n v="3"/>
    <n v="2"/>
    <n v="1"/>
    <n v="2"/>
  </r>
  <r>
    <n v="36"/>
    <x v="1"/>
    <n v="0"/>
    <s v="Travel_Rarely"/>
    <n v="0"/>
    <n v="1"/>
    <n v="884"/>
    <s v="Sales"/>
    <n v="0"/>
    <n v="1"/>
    <n v="1"/>
    <n v="4"/>
    <s v="Life Sciences"/>
    <n v="1"/>
    <n v="0"/>
    <n v="0"/>
    <n v="0"/>
    <n v="0"/>
    <n v="2"/>
    <x v="0"/>
    <n v="1"/>
    <n v="73"/>
    <n v="3"/>
    <n v="2"/>
    <s v="Sales Executive"/>
    <n v="0"/>
    <n v="1"/>
    <n v="0"/>
    <n v="0"/>
    <n v="0"/>
    <n v="0"/>
    <n v="0"/>
    <n v="0"/>
    <x v="2"/>
    <s v="Single"/>
    <n v="1"/>
    <n v="0"/>
    <n v="6815"/>
    <n v="21447"/>
    <n v="6"/>
    <s v="No"/>
    <n v="0"/>
    <n v="13"/>
    <n v="3"/>
    <n v="1"/>
    <n v="0"/>
    <n v="15"/>
    <n v="5"/>
    <n v="3"/>
    <n v="1"/>
    <n v="0"/>
    <n v="0"/>
    <n v="0"/>
  </r>
  <r>
    <n v="29"/>
    <x v="1"/>
    <n v="0"/>
    <s v="Travel_Rarely"/>
    <n v="0"/>
    <n v="1"/>
    <n v="1370"/>
    <s v="Research &amp; Development"/>
    <n v="1"/>
    <n v="0"/>
    <n v="3"/>
    <n v="1"/>
    <s v="Medical"/>
    <n v="0"/>
    <n v="0"/>
    <n v="1"/>
    <n v="0"/>
    <n v="0"/>
    <n v="2"/>
    <x v="1"/>
    <n v="0"/>
    <n v="87"/>
    <n v="3"/>
    <n v="1"/>
    <s v="Laboratory Technician"/>
    <n v="0"/>
    <n v="0"/>
    <n v="1"/>
    <n v="0"/>
    <n v="0"/>
    <n v="0"/>
    <n v="0"/>
    <n v="0"/>
    <x v="3"/>
    <s v="Single"/>
    <n v="1"/>
    <n v="0"/>
    <n v="4723"/>
    <n v="16213"/>
    <n v="1"/>
    <s v="Yes"/>
    <n v="1"/>
    <n v="18"/>
    <n v="3"/>
    <n v="4"/>
    <n v="0"/>
    <n v="10"/>
    <n v="3"/>
    <n v="3"/>
    <n v="10"/>
    <n v="9"/>
    <n v="1"/>
    <n v="5"/>
  </r>
  <r>
    <n v="35"/>
    <x v="1"/>
    <n v="0"/>
    <s v="Travel_Rarely"/>
    <n v="0"/>
    <n v="1"/>
    <n v="670"/>
    <s v="Research &amp; Development"/>
    <n v="1"/>
    <n v="0"/>
    <n v="10"/>
    <n v="4"/>
    <s v="Medical"/>
    <n v="0"/>
    <n v="0"/>
    <n v="1"/>
    <n v="0"/>
    <n v="0"/>
    <n v="1"/>
    <x v="0"/>
    <n v="1"/>
    <n v="51"/>
    <n v="3"/>
    <n v="2"/>
    <s v="Healthcare Representative"/>
    <n v="1"/>
    <n v="0"/>
    <n v="0"/>
    <n v="0"/>
    <n v="0"/>
    <n v="0"/>
    <n v="0"/>
    <n v="0"/>
    <x v="2"/>
    <s v="Single"/>
    <n v="1"/>
    <n v="0"/>
    <n v="6142"/>
    <n v="4223"/>
    <n v="3"/>
    <s v="Yes"/>
    <n v="1"/>
    <n v="16"/>
    <n v="3"/>
    <n v="3"/>
    <n v="0"/>
    <n v="10"/>
    <n v="4"/>
    <n v="3"/>
    <n v="5"/>
    <n v="2"/>
    <n v="0"/>
    <n v="4"/>
  </r>
  <r>
    <n v="39"/>
    <x v="1"/>
    <n v="0"/>
    <s v="Travel_Rarely"/>
    <n v="0"/>
    <n v="1"/>
    <n v="1462"/>
    <s v="Sales"/>
    <n v="0"/>
    <n v="1"/>
    <n v="6"/>
    <n v="3"/>
    <s v="Medical"/>
    <n v="0"/>
    <n v="0"/>
    <n v="1"/>
    <n v="0"/>
    <n v="0"/>
    <n v="4"/>
    <x v="1"/>
    <n v="0"/>
    <n v="38"/>
    <n v="4"/>
    <n v="3"/>
    <s v="Sales Executive"/>
    <n v="0"/>
    <n v="1"/>
    <n v="0"/>
    <n v="0"/>
    <n v="0"/>
    <n v="0"/>
    <n v="0"/>
    <n v="0"/>
    <x v="2"/>
    <s v="Married"/>
    <n v="0"/>
    <n v="1"/>
    <n v="8237"/>
    <n v="4658"/>
    <n v="2"/>
    <s v="No"/>
    <n v="0"/>
    <n v="11"/>
    <n v="3"/>
    <n v="1"/>
    <n v="1"/>
    <n v="11"/>
    <n v="3"/>
    <n v="3"/>
    <n v="7"/>
    <n v="6"/>
    <n v="7"/>
    <n v="6"/>
  </r>
  <r>
    <n v="29"/>
    <x v="1"/>
    <n v="0"/>
    <s v="Travel_Frequently"/>
    <n v="1"/>
    <n v="0"/>
    <n v="995"/>
    <s v="Research &amp; Development"/>
    <n v="1"/>
    <n v="0"/>
    <n v="2"/>
    <n v="1"/>
    <s v="Life Sciences"/>
    <n v="1"/>
    <n v="0"/>
    <n v="0"/>
    <n v="0"/>
    <n v="0"/>
    <n v="1"/>
    <x v="1"/>
    <n v="0"/>
    <n v="87"/>
    <n v="3"/>
    <n v="2"/>
    <s v="Healthcare Representative"/>
    <n v="1"/>
    <n v="0"/>
    <n v="0"/>
    <n v="0"/>
    <n v="0"/>
    <n v="0"/>
    <n v="0"/>
    <n v="0"/>
    <x v="0"/>
    <s v="Divorced"/>
    <n v="0"/>
    <n v="0"/>
    <n v="8853"/>
    <n v="24483"/>
    <n v="1"/>
    <s v="No"/>
    <n v="0"/>
    <n v="19"/>
    <n v="3"/>
    <n v="4"/>
    <n v="1"/>
    <n v="6"/>
    <n v="0"/>
    <n v="4"/>
    <n v="6"/>
    <n v="4"/>
    <n v="1"/>
    <n v="3"/>
  </r>
  <r>
    <n v="50"/>
    <x v="1"/>
    <n v="0"/>
    <s v="Travel_Rarely"/>
    <n v="0"/>
    <n v="1"/>
    <n v="264"/>
    <s v="Sales"/>
    <n v="0"/>
    <n v="1"/>
    <n v="9"/>
    <n v="3"/>
    <s v="Marketing"/>
    <n v="0"/>
    <n v="0"/>
    <n v="0"/>
    <n v="1"/>
    <n v="0"/>
    <n v="3"/>
    <x v="1"/>
    <n v="0"/>
    <n v="59"/>
    <n v="3"/>
    <n v="5"/>
    <s v="Manager"/>
    <n v="0"/>
    <n v="0"/>
    <n v="0"/>
    <n v="1"/>
    <n v="0"/>
    <n v="0"/>
    <n v="0"/>
    <n v="0"/>
    <x v="2"/>
    <s v="Married"/>
    <n v="0"/>
    <n v="1"/>
    <n v="19331"/>
    <n v="19519"/>
    <n v="4"/>
    <s v="Yes"/>
    <n v="1"/>
    <n v="16"/>
    <n v="3"/>
    <n v="3"/>
    <n v="1"/>
    <n v="27"/>
    <n v="2"/>
    <n v="3"/>
    <n v="1"/>
    <n v="0"/>
    <n v="0"/>
    <n v="0"/>
  </r>
  <r>
    <n v="23"/>
    <x v="1"/>
    <n v="0"/>
    <s v="Travel_Rarely"/>
    <n v="0"/>
    <n v="1"/>
    <n v="977"/>
    <s v="Research &amp; Development"/>
    <n v="1"/>
    <n v="0"/>
    <n v="10"/>
    <n v="3"/>
    <s v="Technical Degree"/>
    <n v="0"/>
    <n v="0"/>
    <n v="0"/>
    <n v="0"/>
    <n v="1"/>
    <n v="4"/>
    <x v="1"/>
    <n v="0"/>
    <n v="45"/>
    <n v="4"/>
    <n v="1"/>
    <s v="Research Scientist"/>
    <n v="0"/>
    <n v="0"/>
    <n v="0"/>
    <n v="0"/>
    <n v="0"/>
    <n v="0"/>
    <n v="0"/>
    <n v="1"/>
    <x v="2"/>
    <s v="Married"/>
    <n v="0"/>
    <n v="1"/>
    <n v="2073"/>
    <n v="12826"/>
    <n v="2"/>
    <s v="No"/>
    <n v="0"/>
    <n v="16"/>
    <n v="3"/>
    <n v="4"/>
    <n v="1"/>
    <n v="4"/>
    <n v="2"/>
    <n v="3"/>
    <n v="2"/>
    <n v="2"/>
    <n v="2"/>
    <n v="2"/>
  </r>
  <r>
    <n v="36"/>
    <x v="1"/>
    <n v="0"/>
    <s v="Travel_Frequently"/>
    <n v="1"/>
    <n v="0"/>
    <n v="1302"/>
    <s v="Research &amp; Development"/>
    <n v="1"/>
    <n v="0"/>
    <n v="6"/>
    <n v="4"/>
    <s v="Life Sciences"/>
    <n v="1"/>
    <n v="0"/>
    <n v="0"/>
    <n v="0"/>
    <n v="0"/>
    <n v="1"/>
    <x v="1"/>
    <n v="0"/>
    <n v="80"/>
    <n v="4"/>
    <n v="2"/>
    <s v="Laboratory Technician"/>
    <n v="0"/>
    <n v="0"/>
    <n v="1"/>
    <n v="0"/>
    <n v="0"/>
    <n v="0"/>
    <n v="0"/>
    <n v="0"/>
    <x v="3"/>
    <s v="Married"/>
    <n v="0"/>
    <n v="1"/>
    <n v="5562"/>
    <n v="19711"/>
    <n v="3"/>
    <s v="Yes"/>
    <n v="1"/>
    <n v="13"/>
    <n v="3"/>
    <n v="4"/>
    <n v="1"/>
    <n v="9"/>
    <n v="3"/>
    <n v="3"/>
    <n v="3"/>
    <n v="2"/>
    <n v="0"/>
    <n v="2"/>
  </r>
  <r>
    <n v="42"/>
    <x v="1"/>
    <n v="0"/>
    <s v="Travel_Rarely"/>
    <n v="0"/>
    <n v="1"/>
    <n v="1059"/>
    <s v="Research &amp; Development"/>
    <n v="1"/>
    <n v="0"/>
    <n v="9"/>
    <n v="2"/>
    <s v="Other"/>
    <n v="0"/>
    <n v="1"/>
    <n v="0"/>
    <n v="0"/>
    <n v="0"/>
    <n v="4"/>
    <x v="1"/>
    <n v="0"/>
    <n v="93"/>
    <n v="2"/>
    <n v="5"/>
    <s v="Manager"/>
    <n v="0"/>
    <n v="0"/>
    <n v="0"/>
    <n v="1"/>
    <n v="0"/>
    <n v="0"/>
    <n v="0"/>
    <n v="0"/>
    <x v="0"/>
    <s v="Single"/>
    <n v="1"/>
    <n v="0"/>
    <n v="19613"/>
    <n v="26362"/>
    <n v="8"/>
    <s v="No"/>
    <n v="0"/>
    <n v="22"/>
    <n v="4"/>
    <n v="4"/>
    <n v="0"/>
    <n v="24"/>
    <n v="2"/>
    <n v="3"/>
    <n v="1"/>
    <n v="0"/>
    <n v="0"/>
    <n v="1"/>
  </r>
  <r>
    <n v="35"/>
    <x v="1"/>
    <n v="0"/>
    <s v="Travel_Rarely"/>
    <n v="0"/>
    <n v="1"/>
    <n v="750"/>
    <s v="Research &amp; Development"/>
    <n v="1"/>
    <n v="0"/>
    <n v="28"/>
    <n v="3"/>
    <s v="Life Sciences"/>
    <n v="1"/>
    <n v="0"/>
    <n v="0"/>
    <n v="0"/>
    <n v="0"/>
    <n v="2"/>
    <x v="1"/>
    <n v="0"/>
    <n v="46"/>
    <n v="4"/>
    <n v="2"/>
    <s v="Laboratory Technician"/>
    <n v="0"/>
    <n v="0"/>
    <n v="1"/>
    <n v="0"/>
    <n v="0"/>
    <n v="0"/>
    <n v="0"/>
    <n v="0"/>
    <x v="2"/>
    <s v="Married"/>
    <n v="0"/>
    <n v="1"/>
    <n v="3407"/>
    <n v="25348"/>
    <n v="1"/>
    <s v="No"/>
    <n v="0"/>
    <n v="17"/>
    <n v="3"/>
    <n v="4"/>
    <n v="2"/>
    <n v="10"/>
    <n v="3"/>
    <n v="2"/>
    <n v="10"/>
    <n v="9"/>
    <n v="6"/>
    <n v="8"/>
  </r>
  <r>
    <n v="34"/>
    <x v="1"/>
    <n v="0"/>
    <s v="Travel_Frequently"/>
    <n v="1"/>
    <n v="0"/>
    <n v="653"/>
    <s v="Research &amp; Development"/>
    <n v="1"/>
    <n v="0"/>
    <n v="10"/>
    <n v="4"/>
    <s v="Technical Degree"/>
    <n v="0"/>
    <n v="0"/>
    <n v="0"/>
    <n v="0"/>
    <n v="1"/>
    <n v="4"/>
    <x v="1"/>
    <n v="0"/>
    <n v="92"/>
    <n v="2"/>
    <n v="2"/>
    <s v="Healthcare Representative"/>
    <n v="1"/>
    <n v="0"/>
    <n v="0"/>
    <n v="0"/>
    <n v="0"/>
    <n v="0"/>
    <n v="0"/>
    <n v="0"/>
    <x v="2"/>
    <s v="Married"/>
    <n v="0"/>
    <n v="1"/>
    <n v="5063"/>
    <n v="15332"/>
    <n v="1"/>
    <s v="No"/>
    <n v="0"/>
    <n v="14"/>
    <n v="3"/>
    <n v="2"/>
    <n v="1"/>
    <n v="8"/>
    <n v="3"/>
    <n v="2"/>
    <n v="8"/>
    <n v="2"/>
    <n v="7"/>
    <n v="7"/>
  </r>
  <r>
    <n v="40"/>
    <x v="1"/>
    <n v="0"/>
    <s v="Travel_Rarely"/>
    <n v="0"/>
    <n v="1"/>
    <n v="118"/>
    <s v="Sales"/>
    <n v="0"/>
    <n v="1"/>
    <n v="14"/>
    <n v="2"/>
    <s v="Life Sciences"/>
    <n v="1"/>
    <n v="0"/>
    <n v="0"/>
    <n v="0"/>
    <n v="0"/>
    <n v="4"/>
    <x v="0"/>
    <n v="1"/>
    <n v="84"/>
    <n v="3"/>
    <n v="2"/>
    <s v="Sales Executive"/>
    <n v="0"/>
    <n v="1"/>
    <n v="0"/>
    <n v="0"/>
    <n v="0"/>
    <n v="0"/>
    <n v="0"/>
    <n v="0"/>
    <x v="3"/>
    <s v="Married"/>
    <n v="0"/>
    <n v="1"/>
    <n v="4639"/>
    <n v="11262"/>
    <n v="1"/>
    <s v="No"/>
    <n v="0"/>
    <n v="15"/>
    <n v="3"/>
    <n v="3"/>
    <n v="1"/>
    <n v="5"/>
    <n v="2"/>
    <n v="3"/>
    <n v="5"/>
    <n v="4"/>
    <n v="1"/>
    <n v="2"/>
  </r>
  <r>
    <n v="43"/>
    <x v="1"/>
    <n v="0"/>
    <s v="Travel_Rarely"/>
    <n v="0"/>
    <n v="1"/>
    <n v="990"/>
    <s v="Research &amp; Development"/>
    <n v="1"/>
    <n v="0"/>
    <n v="27"/>
    <n v="3"/>
    <s v="Technical Degree"/>
    <n v="0"/>
    <n v="0"/>
    <n v="0"/>
    <n v="0"/>
    <n v="1"/>
    <n v="4"/>
    <x v="1"/>
    <n v="0"/>
    <n v="87"/>
    <n v="4"/>
    <n v="1"/>
    <s v="Laboratory Technician"/>
    <n v="0"/>
    <n v="0"/>
    <n v="1"/>
    <n v="0"/>
    <n v="0"/>
    <n v="0"/>
    <n v="0"/>
    <n v="0"/>
    <x v="1"/>
    <s v="Divorced"/>
    <n v="0"/>
    <n v="0"/>
    <n v="4876"/>
    <n v="5855"/>
    <n v="5"/>
    <s v="No"/>
    <n v="0"/>
    <n v="12"/>
    <n v="3"/>
    <n v="3"/>
    <n v="1"/>
    <n v="8"/>
    <n v="0"/>
    <n v="3"/>
    <n v="6"/>
    <n v="4"/>
    <n v="0"/>
    <n v="2"/>
  </r>
  <r>
    <n v="35"/>
    <x v="1"/>
    <n v="0"/>
    <s v="Travel_Rarely"/>
    <n v="0"/>
    <n v="1"/>
    <n v="1349"/>
    <s v="Research &amp; Development"/>
    <n v="1"/>
    <n v="0"/>
    <n v="7"/>
    <n v="2"/>
    <s v="Life Sciences"/>
    <n v="1"/>
    <n v="0"/>
    <n v="0"/>
    <n v="0"/>
    <n v="0"/>
    <n v="3"/>
    <x v="1"/>
    <n v="0"/>
    <n v="63"/>
    <n v="2"/>
    <n v="1"/>
    <s v="Laboratory Technician"/>
    <n v="0"/>
    <n v="0"/>
    <n v="1"/>
    <n v="0"/>
    <n v="0"/>
    <n v="0"/>
    <n v="0"/>
    <n v="0"/>
    <x v="0"/>
    <s v="Married"/>
    <n v="0"/>
    <n v="1"/>
    <n v="2690"/>
    <n v="7713"/>
    <n v="1"/>
    <s v="No"/>
    <n v="0"/>
    <n v="18"/>
    <n v="3"/>
    <n v="4"/>
    <n v="1"/>
    <n v="1"/>
    <n v="5"/>
    <n v="2"/>
    <n v="1"/>
    <n v="0"/>
    <n v="0"/>
    <n v="1"/>
  </r>
  <r>
    <n v="46"/>
    <x v="1"/>
    <n v="0"/>
    <s v="Travel_Rarely"/>
    <n v="0"/>
    <n v="1"/>
    <n v="563"/>
    <s v="Sales"/>
    <n v="0"/>
    <n v="1"/>
    <n v="1"/>
    <n v="4"/>
    <s v="Life Sciences"/>
    <n v="1"/>
    <n v="0"/>
    <n v="0"/>
    <n v="0"/>
    <n v="0"/>
    <n v="4"/>
    <x v="1"/>
    <n v="0"/>
    <n v="56"/>
    <n v="4"/>
    <n v="4"/>
    <s v="Manager"/>
    <n v="0"/>
    <n v="0"/>
    <n v="0"/>
    <n v="1"/>
    <n v="0"/>
    <n v="0"/>
    <n v="0"/>
    <n v="0"/>
    <x v="3"/>
    <s v="Single"/>
    <n v="1"/>
    <n v="0"/>
    <n v="17567"/>
    <n v="3156"/>
    <n v="1"/>
    <s v="No"/>
    <n v="0"/>
    <n v="15"/>
    <n v="3"/>
    <n v="2"/>
    <n v="0"/>
    <n v="27"/>
    <n v="5"/>
    <n v="1"/>
    <n v="26"/>
    <n v="0"/>
    <n v="0"/>
    <n v="12"/>
  </r>
  <r>
    <n v="28"/>
    <x v="0"/>
    <n v="1"/>
    <s v="Travel_Rarely"/>
    <n v="0"/>
    <n v="1"/>
    <n v="329"/>
    <s v="Research &amp; Development"/>
    <n v="1"/>
    <n v="0"/>
    <n v="24"/>
    <n v="3"/>
    <s v="Medical"/>
    <n v="0"/>
    <n v="0"/>
    <n v="1"/>
    <n v="0"/>
    <n v="0"/>
    <n v="3"/>
    <x v="1"/>
    <n v="0"/>
    <n v="51"/>
    <n v="3"/>
    <n v="1"/>
    <s v="Laboratory Technician"/>
    <n v="0"/>
    <n v="0"/>
    <n v="1"/>
    <n v="0"/>
    <n v="0"/>
    <n v="0"/>
    <n v="0"/>
    <n v="0"/>
    <x v="1"/>
    <s v="Married"/>
    <n v="0"/>
    <n v="1"/>
    <n v="2408"/>
    <n v="7324"/>
    <n v="1"/>
    <s v="Yes"/>
    <n v="1"/>
    <n v="17"/>
    <n v="3"/>
    <n v="3"/>
    <n v="3"/>
    <n v="1"/>
    <n v="3"/>
    <n v="3"/>
    <n v="1"/>
    <n v="1"/>
    <n v="0"/>
    <n v="0"/>
  </r>
  <r>
    <n v="22"/>
    <x v="1"/>
    <n v="0"/>
    <s v="Non-Travel"/>
    <n v="0"/>
    <n v="0"/>
    <n v="457"/>
    <s v="Research &amp; Development"/>
    <n v="1"/>
    <n v="0"/>
    <n v="26"/>
    <n v="2"/>
    <s v="Other"/>
    <n v="0"/>
    <n v="1"/>
    <n v="0"/>
    <n v="0"/>
    <n v="0"/>
    <n v="2"/>
    <x v="0"/>
    <n v="1"/>
    <n v="85"/>
    <n v="2"/>
    <n v="1"/>
    <s v="Research Scientist"/>
    <n v="0"/>
    <n v="0"/>
    <n v="0"/>
    <n v="0"/>
    <n v="0"/>
    <n v="0"/>
    <n v="0"/>
    <n v="1"/>
    <x v="2"/>
    <s v="Married"/>
    <n v="0"/>
    <n v="1"/>
    <n v="2814"/>
    <n v="10293"/>
    <n v="1"/>
    <s v="Yes"/>
    <n v="1"/>
    <n v="14"/>
    <n v="3"/>
    <n v="2"/>
    <n v="0"/>
    <n v="4"/>
    <n v="2"/>
    <n v="2"/>
    <n v="4"/>
    <n v="2"/>
    <n v="1"/>
    <n v="3"/>
  </r>
  <r>
    <n v="50"/>
    <x v="1"/>
    <n v="0"/>
    <s v="Travel_Frequently"/>
    <n v="1"/>
    <n v="0"/>
    <n v="1234"/>
    <s v="Research &amp; Development"/>
    <n v="1"/>
    <n v="0"/>
    <n v="20"/>
    <n v="5"/>
    <s v="Medical"/>
    <n v="0"/>
    <n v="0"/>
    <n v="1"/>
    <n v="0"/>
    <n v="0"/>
    <n v="2"/>
    <x v="1"/>
    <n v="0"/>
    <n v="41"/>
    <n v="3"/>
    <n v="4"/>
    <s v="Healthcare Representative"/>
    <n v="1"/>
    <n v="0"/>
    <n v="0"/>
    <n v="0"/>
    <n v="0"/>
    <n v="0"/>
    <n v="0"/>
    <n v="0"/>
    <x v="2"/>
    <s v="Married"/>
    <n v="0"/>
    <n v="1"/>
    <n v="11245"/>
    <n v="20689"/>
    <n v="2"/>
    <s v="Yes"/>
    <n v="1"/>
    <n v="15"/>
    <n v="3"/>
    <n v="3"/>
    <n v="1"/>
    <n v="32"/>
    <n v="3"/>
    <n v="3"/>
    <n v="30"/>
    <n v="8"/>
    <n v="12"/>
    <n v="13"/>
  </r>
  <r>
    <n v="32"/>
    <x v="1"/>
    <n v="0"/>
    <s v="Travel_Rarely"/>
    <n v="0"/>
    <n v="1"/>
    <n v="634"/>
    <s v="Research &amp; Development"/>
    <n v="1"/>
    <n v="0"/>
    <n v="5"/>
    <n v="4"/>
    <s v="Other"/>
    <n v="0"/>
    <n v="1"/>
    <n v="0"/>
    <n v="0"/>
    <n v="0"/>
    <n v="2"/>
    <x v="0"/>
    <n v="1"/>
    <n v="35"/>
    <n v="4"/>
    <n v="1"/>
    <s v="Research Scientist"/>
    <n v="0"/>
    <n v="0"/>
    <n v="0"/>
    <n v="0"/>
    <n v="0"/>
    <n v="0"/>
    <n v="0"/>
    <n v="1"/>
    <x v="0"/>
    <s v="Married"/>
    <n v="0"/>
    <n v="1"/>
    <n v="3312"/>
    <n v="18783"/>
    <n v="3"/>
    <s v="No"/>
    <n v="0"/>
    <n v="17"/>
    <n v="3"/>
    <n v="4"/>
    <n v="2"/>
    <n v="6"/>
    <n v="3"/>
    <n v="3"/>
    <n v="3"/>
    <n v="2"/>
    <n v="0"/>
    <n v="2"/>
  </r>
  <r>
    <n v="44"/>
    <x v="1"/>
    <n v="0"/>
    <s v="Travel_Rarely"/>
    <n v="0"/>
    <n v="1"/>
    <n v="1313"/>
    <s v="Research &amp; Development"/>
    <n v="1"/>
    <n v="0"/>
    <n v="7"/>
    <n v="3"/>
    <s v="Medical"/>
    <n v="0"/>
    <n v="0"/>
    <n v="1"/>
    <n v="0"/>
    <n v="0"/>
    <n v="2"/>
    <x v="0"/>
    <n v="1"/>
    <n v="31"/>
    <n v="3"/>
    <n v="5"/>
    <s v="Research Director"/>
    <n v="0"/>
    <n v="0"/>
    <n v="0"/>
    <n v="0"/>
    <n v="0"/>
    <n v="0"/>
    <n v="0"/>
    <n v="0"/>
    <x v="0"/>
    <s v="Divorced"/>
    <n v="0"/>
    <n v="0"/>
    <n v="19049"/>
    <n v="3549"/>
    <n v="0"/>
    <s v="Yes"/>
    <n v="1"/>
    <n v="14"/>
    <n v="3"/>
    <n v="4"/>
    <n v="1"/>
    <n v="23"/>
    <n v="4"/>
    <n v="2"/>
    <n v="22"/>
    <n v="7"/>
    <n v="1"/>
    <n v="10"/>
  </r>
  <r>
    <n v="30"/>
    <x v="1"/>
    <n v="0"/>
    <s v="Travel_Rarely"/>
    <n v="0"/>
    <n v="1"/>
    <n v="241"/>
    <s v="Research &amp; Development"/>
    <n v="1"/>
    <n v="0"/>
    <n v="7"/>
    <n v="3"/>
    <s v="Medical"/>
    <n v="0"/>
    <n v="0"/>
    <n v="1"/>
    <n v="0"/>
    <n v="0"/>
    <n v="2"/>
    <x v="1"/>
    <n v="0"/>
    <n v="48"/>
    <n v="2"/>
    <n v="1"/>
    <s v="Research Scientist"/>
    <n v="0"/>
    <n v="0"/>
    <n v="0"/>
    <n v="0"/>
    <n v="0"/>
    <n v="0"/>
    <n v="0"/>
    <n v="1"/>
    <x v="1"/>
    <s v="Married"/>
    <n v="0"/>
    <n v="1"/>
    <n v="2141"/>
    <n v="5348"/>
    <n v="1"/>
    <s v="No"/>
    <n v="0"/>
    <n v="12"/>
    <n v="3"/>
    <n v="2"/>
    <n v="1"/>
    <n v="6"/>
    <n v="3"/>
    <n v="2"/>
    <n v="6"/>
    <n v="4"/>
    <n v="1"/>
    <n v="1"/>
  </r>
  <r>
    <n v="45"/>
    <x v="1"/>
    <n v="0"/>
    <s v="Travel_Rarely"/>
    <n v="0"/>
    <n v="1"/>
    <n v="1015"/>
    <s v="Research &amp; Development"/>
    <n v="1"/>
    <n v="0"/>
    <n v="5"/>
    <n v="5"/>
    <s v="Medical"/>
    <n v="0"/>
    <n v="0"/>
    <n v="1"/>
    <n v="0"/>
    <n v="0"/>
    <n v="3"/>
    <x v="0"/>
    <n v="1"/>
    <n v="50"/>
    <n v="1"/>
    <n v="2"/>
    <s v="Laboratory Technician"/>
    <n v="0"/>
    <n v="0"/>
    <n v="1"/>
    <n v="0"/>
    <n v="0"/>
    <n v="0"/>
    <n v="0"/>
    <n v="0"/>
    <x v="3"/>
    <s v="Single"/>
    <n v="1"/>
    <n v="0"/>
    <n v="5769"/>
    <n v="23447"/>
    <n v="1"/>
    <s v="Yes"/>
    <n v="1"/>
    <n v="14"/>
    <n v="3"/>
    <n v="1"/>
    <n v="0"/>
    <n v="10"/>
    <n v="3"/>
    <n v="3"/>
    <n v="10"/>
    <n v="7"/>
    <n v="1"/>
    <n v="4"/>
  </r>
  <r>
    <n v="45"/>
    <x v="1"/>
    <n v="0"/>
    <s v="Non-Travel"/>
    <n v="0"/>
    <n v="0"/>
    <n v="336"/>
    <s v="Sales"/>
    <n v="0"/>
    <n v="1"/>
    <n v="26"/>
    <n v="3"/>
    <s v="Marketing"/>
    <n v="0"/>
    <n v="0"/>
    <n v="0"/>
    <n v="1"/>
    <n v="0"/>
    <n v="1"/>
    <x v="1"/>
    <n v="0"/>
    <n v="52"/>
    <n v="2"/>
    <n v="2"/>
    <s v="Sales Executive"/>
    <n v="0"/>
    <n v="1"/>
    <n v="0"/>
    <n v="0"/>
    <n v="0"/>
    <n v="0"/>
    <n v="0"/>
    <n v="0"/>
    <x v="3"/>
    <s v="Married"/>
    <n v="0"/>
    <n v="1"/>
    <n v="4385"/>
    <n v="24162"/>
    <n v="1"/>
    <s v="No"/>
    <n v="0"/>
    <n v="15"/>
    <n v="3"/>
    <n v="1"/>
    <n v="1"/>
    <n v="10"/>
    <n v="2"/>
    <n v="3"/>
    <n v="10"/>
    <n v="7"/>
    <n v="4"/>
    <n v="5"/>
  </r>
  <r>
    <n v="31"/>
    <x v="1"/>
    <n v="0"/>
    <s v="Travel_Frequently"/>
    <n v="1"/>
    <n v="0"/>
    <n v="715"/>
    <s v="Sales"/>
    <n v="0"/>
    <n v="1"/>
    <n v="2"/>
    <n v="4"/>
    <s v="Other"/>
    <n v="0"/>
    <n v="1"/>
    <n v="0"/>
    <n v="0"/>
    <n v="0"/>
    <n v="4"/>
    <x v="1"/>
    <n v="0"/>
    <n v="54"/>
    <n v="3"/>
    <n v="2"/>
    <s v="Sales Executive"/>
    <n v="0"/>
    <n v="1"/>
    <n v="0"/>
    <n v="0"/>
    <n v="0"/>
    <n v="0"/>
    <n v="0"/>
    <n v="0"/>
    <x v="3"/>
    <s v="Single"/>
    <n v="1"/>
    <n v="0"/>
    <n v="5332"/>
    <n v="21602"/>
    <n v="7"/>
    <s v="No"/>
    <n v="0"/>
    <n v="13"/>
    <n v="3"/>
    <n v="4"/>
    <n v="0"/>
    <n v="10"/>
    <n v="3"/>
    <n v="3"/>
    <n v="5"/>
    <n v="2"/>
    <n v="0"/>
    <n v="3"/>
  </r>
  <r>
    <n v="36"/>
    <x v="1"/>
    <n v="0"/>
    <s v="Travel_Rarely"/>
    <n v="0"/>
    <n v="1"/>
    <n v="559"/>
    <s v="Research &amp; Development"/>
    <n v="1"/>
    <n v="0"/>
    <n v="12"/>
    <n v="4"/>
    <s v="Life Sciences"/>
    <n v="1"/>
    <n v="0"/>
    <n v="0"/>
    <n v="0"/>
    <n v="0"/>
    <n v="3"/>
    <x v="0"/>
    <n v="1"/>
    <n v="76"/>
    <n v="3"/>
    <n v="2"/>
    <s v="Manufacturing Director"/>
    <n v="0"/>
    <n v="0"/>
    <n v="0"/>
    <n v="0"/>
    <n v="1"/>
    <n v="1"/>
    <n v="0"/>
    <n v="0"/>
    <x v="2"/>
    <s v="Married"/>
    <n v="0"/>
    <n v="1"/>
    <n v="4663"/>
    <n v="12421"/>
    <n v="9"/>
    <s v="Yes"/>
    <n v="1"/>
    <n v="12"/>
    <n v="3"/>
    <n v="2"/>
    <n v="2"/>
    <n v="7"/>
    <n v="2"/>
    <n v="3"/>
    <n v="3"/>
    <n v="2"/>
    <n v="1"/>
    <n v="1"/>
  </r>
  <r>
    <n v="34"/>
    <x v="1"/>
    <n v="0"/>
    <s v="Travel_Frequently"/>
    <n v="1"/>
    <n v="0"/>
    <n v="426"/>
    <s v="Research &amp; Development"/>
    <n v="1"/>
    <n v="0"/>
    <n v="10"/>
    <n v="4"/>
    <s v="Life Sciences"/>
    <n v="1"/>
    <n v="0"/>
    <n v="0"/>
    <n v="0"/>
    <n v="0"/>
    <n v="3"/>
    <x v="1"/>
    <n v="0"/>
    <n v="42"/>
    <n v="4"/>
    <n v="2"/>
    <s v="Manufacturing Director"/>
    <n v="0"/>
    <n v="0"/>
    <n v="0"/>
    <n v="0"/>
    <n v="1"/>
    <n v="1"/>
    <n v="0"/>
    <n v="0"/>
    <x v="0"/>
    <s v="Divorced"/>
    <n v="0"/>
    <n v="0"/>
    <n v="4724"/>
    <n v="17000"/>
    <n v="1"/>
    <s v="No"/>
    <n v="0"/>
    <n v="13"/>
    <n v="3"/>
    <n v="1"/>
    <n v="1"/>
    <n v="9"/>
    <n v="3"/>
    <n v="3"/>
    <n v="9"/>
    <n v="7"/>
    <n v="7"/>
    <n v="2"/>
  </r>
  <r>
    <n v="49"/>
    <x v="1"/>
    <n v="0"/>
    <s v="Travel_Rarely"/>
    <n v="0"/>
    <n v="1"/>
    <n v="722"/>
    <s v="Research &amp; Development"/>
    <n v="1"/>
    <n v="0"/>
    <n v="25"/>
    <n v="4"/>
    <s v="Life Sciences"/>
    <n v="1"/>
    <n v="0"/>
    <n v="0"/>
    <n v="0"/>
    <n v="0"/>
    <n v="3"/>
    <x v="0"/>
    <n v="1"/>
    <n v="84"/>
    <n v="3"/>
    <n v="1"/>
    <s v="Laboratory Technician"/>
    <n v="0"/>
    <n v="0"/>
    <n v="1"/>
    <n v="0"/>
    <n v="0"/>
    <n v="0"/>
    <n v="0"/>
    <n v="0"/>
    <x v="3"/>
    <s v="Married"/>
    <n v="0"/>
    <n v="1"/>
    <n v="3211"/>
    <n v="22102"/>
    <n v="1"/>
    <s v="No"/>
    <n v="0"/>
    <n v="14"/>
    <n v="3"/>
    <n v="4"/>
    <n v="1"/>
    <n v="10"/>
    <n v="3"/>
    <n v="2"/>
    <n v="9"/>
    <n v="6"/>
    <n v="1"/>
    <n v="4"/>
  </r>
  <r>
    <n v="39"/>
    <x v="1"/>
    <n v="0"/>
    <s v="Travel_Rarely"/>
    <n v="0"/>
    <n v="1"/>
    <n v="1387"/>
    <s v="Research &amp; Development"/>
    <n v="1"/>
    <n v="0"/>
    <n v="10"/>
    <n v="5"/>
    <s v="Medical"/>
    <n v="0"/>
    <n v="0"/>
    <n v="1"/>
    <n v="0"/>
    <n v="0"/>
    <n v="2"/>
    <x v="1"/>
    <n v="0"/>
    <n v="76"/>
    <n v="3"/>
    <n v="2"/>
    <s v="Manufacturing Director"/>
    <n v="0"/>
    <n v="0"/>
    <n v="0"/>
    <n v="0"/>
    <n v="1"/>
    <n v="1"/>
    <n v="0"/>
    <n v="0"/>
    <x v="3"/>
    <s v="Married"/>
    <n v="0"/>
    <n v="1"/>
    <n v="5377"/>
    <n v="3835"/>
    <n v="2"/>
    <s v="No"/>
    <n v="0"/>
    <n v="13"/>
    <n v="3"/>
    <n v="4"/>
    <n v="3"/>
    <n v="10"/>
    <n v="3"/>
    <n v="3"/>
    <n v="7"/>
    <n v="7"/>
    <n v="7"/>
    <n v="7"/>
  </r>
  <r>
    <n v="27"/>
    <x v="1"/>
    <n v="0"/>
    <s v="Travel_Rarely"/>
    <n v="0"/>
    <n v="1"/>
    <n v="1302"/>
    <s v="Research &amp; Development"/>
    <n v="1"/>
    <n v="0"/>
    <n v="19"/>
    <n v="3"/>
    <s v="Other"/>
    <n v="0"/>
    <n v="1"/>
    <n v="0"/>
    <n v="0"/>
    <n v="0"/>
    <n v="4"/>
    <x v="1"/>
    <n v="0"/>
    <n v="67"/>
    <n v="2"/>
    <n v="1"/>
    <s v="Laboratory Technician"/>
    <n v="0"/>
    <n v="0"/>
    <n v="1"/>
    <n v="0"/>
    <n v="0"/>
    <n v="0"/>
    <n v="0"/>
    <n v="0"/>
    <x v="3"/>
    <s v="Divorced"/>
    <n v="0"/>
    <n v="0"/>
    <n v="4066"/>
    <n v="16290"/>
    <n v="1"/>
    <s v="No"/>
    <n v="0"/>
    <n v="11"/>
    <n v="3"/>
    <n v="1"/>
    <n v="2"/>
    <n v="7"/>
    <n v="3"/>
    <n v="3"/>
    <n v="7"/>
    <n v="7"/>
    <n v="0"/>
    <n v="7"/>
  </r>
  <r>
    <n v="35"/>
    <x v="1"/>
    <n v="0"/>
    <s v="Travel_Rarely"/>
    <n v="0"/>
    <n v="1"/>
    <n v="819"/>
    <s v="Research &amp; Development"/>
    <n v="1"/>
    <n v="0"/>
    <n v="18"/>
    <n v="5"/>
    <s v="Life Sciences"/>
    <n v="1"/>
    <n v="0"/>
    <n v="0"/>
    <n v="0"/>
    <n v="0"/>
    <n v="2"/>
    <x v="1"/>
    <n v="0"/>
    <n v="48"/>
    <n v="4"/>
    <n v="2"/>
    <s v="Research Scientist"/>
    <n v="0"/>
    <n v="0"/>
    <n v="0"/>
    <n v="0"/>
    <n v="0"/>
    <n v="0"/>
    <n v="0"/>
    <n v="1"/>
    <x v="3"/>
    <s v="Married"/>
    <n v="0"/>
    <n v="1"/>
    <n v="5208"/>
    <n v="26312"/>
    <n v="1"/>
    <s v="No"/>
    <n v="0"/>
    <n v="11"/>
    <n v="3"/>
    <n v="4"/>
    <n v="0"/>
    <n v="16"/>
    <n v="2"/>
    <n v="3"/>
    <n v="16"/>
    <n v="15"/>
    <n v="1"/>
    <n v="10"/>
  </r>
  <r>
    <n v="28"/>
    <x v="1"/>
    <n v="0"/>
    <s v="Travel_Rarely"/>
    <n v="0"/>
    <n v="1"/>
    <n v="580"/>
    <s v="Research &amp; Development"/>
    <n v="1"/>
    <n v="0"/>
    <n v="27"/>
    <n v="3"/>
    <s v="Medical"/>
    <n v="0"/>
    <n v="0"/>
    <n v="1"/>
    <n v="0"/>
    <n v="0"/>
    <n v="2"/>
    <x v="0"/>
    <n v="1"/>
    <n v="39"/>
    <n v="1"/>
    <n v="2"/>
    <s v="Manufacturing Director"/>
    <n v="0"/>
    <n v="0"/>
    <n v="0"/>
    <n v="0"/>
    <n v="1"/>
    <n v="1"/>
    <n v="0"/>
    <n v="0"/>
    <x v="3"/>
    <s v="Divorced"/>
    <n v="0"/>
    <n v="0"/>
    <n v="4877"/>
    <n v="20460"/>
    <n v="0"/>
    <s v="No"/>
    <n v="0"/>
    <n v="21"/>
    <n v="4"/>
    <n v="2"/>
    <n v="1"/>
    <n v="6"/>
    <n v="5"/>
    <n v="2"/>
    <n v="5"/>
    <n v="3"/>
    <n v="0"/>
    <n v="0"/>
  </r>
  <r>
    <n v="21"/>
    <x v="1"/>
    <n v="0"/>
    <s v="Travel_Rarely"/>
    <n v="0"/>
    <n v="1"/>
    <n v="546"/>
    <s v="Research &amp; Development"/>
    <n v="1"/>
    <n v="0"/>
    <n v="5"/>
    <n v="1"/>
    <s v="Medical"/>
    <n v="0"/>
    <n v="0"/>
    <n v="1"/>
    <n v="0"/>
    <n v="0"/>
    <n v="3"/>
    <x v="1"/>
    <n v="0"/>
    <n v="97"/>
    <n v="3"/>
    <n v="1"/>
    <s v="Research Scientist"/>
    <n v="0"/>
    <n v="0"/>
    <n v="0"/>
    <n v="0"/>
    <n v="0"/>
    <n v="0"/>
    <n v="0"/>
    <n v="1"/>
    <x v="0"/>
    <s v="Single"/>
    <n v="1"/>
    <n v="0"/>
    <n v="3117"/>
    <n v="26009"/>
    <n v="1"/>
    <s v="No"/>
    <n v="0"/>
    <n v="18"/>
    <n v="3"/>
    <n v="3"/>
    <n v="0"/>
    <n v="3"/>
    <n v="2"/>
    <n v="3"/>
    <n v="2"/>
    <n v="2"/>
    <n v="2"/>
    <n v="2"/>
  </r>
  <r>
    <n v="18"/>
    <x v="0"/>
    <n v="1"/>
    <s v="Travel_Frequently"/>
    <n v="1"/>
    <n v="0"/>
    <n v="544"/>
    <s v="Sales"/>
    <n v="0"/>
    <n v="1"/>
    <n v="3"/>
    <n v="2"/>
    <s v="Medical"/>
    <n v="0"/>
    <n v="0"/>
    <n v="1"/>
    <n v="0"/>
    <n v="0"/>
    <n v="2"/>
    <x v="0"/>
    <n v="1"/>
    <n v="70"/>
    <n v="3"/>
    <n v="1"/>
    <s v="Sales Representative"/>
    <n v="0"/>
    <n v="0"/>
    <n v="0"/>
    <n v="0"/>
    <n v="0"/>
    <n v="0"/>
    <n v="1"/>
    <n v="0"/>
    <x v="0"/>
    <s v="Single"/>
    <n v="1"/>
    <n v="0"/>
    <n v="1569"/>
    <n v="18420"/>
    <n v="1"/>
    <s v="Yes"/>
    <n v="1"/>
    <n v="12"/>
    <n v="3"/>
    <n v="3"/>
    <n v="0"/>
    <n v="0"/>
    <n v="2"/>
    <n v="4"/>
    <n v="0"/>
    <n v="0"/>
    <n v="0"/>
    <n v="0"/>
  </r>
  <r>
    <n v="47"/>
    <x v="1"/>
    <n v="0"/>
    <s v="Travel_Rarely"/>
    <n v="0"/>
    <n v="1"/>
    <n v="1176"/>
    <s v="Human Resources"/>
    <n v="0"/>
    <n v="0"/>
    <n v="26"/>
    <n v="4"/>
    <s v="Life Sciences"/>
    <n v="1"/>
    <n v="0"/>
    <n v="0"/>
    <n v="0"/>
    <n v="0"/>
    <n v="4"/>
    <x v="0"/>
    <n v="1"/>
    <n v="98"/>
    <n v="3"/>
    <n v="5"/>
    <s v="Manager"/>
    <n v="0"/>
    <n v="0"/>
    <n v="0"/>
    <n v="1"/>
    <n v="0"/>
    <n v="0"/>
    <n v="0"/>
    <n v="0"/>
    <x v="2"/>
    <s v="Married"/>
    <n v="0"/>
    <n v="1"/>
    <n v="19658"/>
    <n v="5220"/>
    <n v="3"/>
    <s v="No"/>
    <n v="0"/>
    <n v="11"/>
    <n v="3"/>
    <n v="3"/>
    <n v="1"/>
    <n v="27"/>
    <n v="2"/>
    <n v="3"/>
    <n v="5"/>
    <n v="2"/>
    <n v="1"/>
    <n v="0"/>
  </r>
  <r>
    <n v="39"/>
    <x v="1"/>
    <n v="0"/>
    <s v="Travel_Rarely"/>
    <n v="0"/>
    <n v="1"/>
    <n v="170"/>
    <s v="Research &amp; Development"/>
    <n v="1"/>
    <n v="0"/>
    <n v="3"/>
    <n v="2"/>
    <s v="Medical"/>
    <n v="0"/>
    <n v="0"/>
    <n v="1"/>
    <n v="0"/>
    <n v="0"/>
    <n v="3"/>
    <x v="1"/>
    <n v="0"/>
    <n v="76"/>
    <n v="2"/>
    <n v="2"/>
    <s v="Laboratory Technician"/>
    <n v="0"/>
    <n v="0"/>
    <n v="1"/>
    <n v="0"/>
    <n v="0"/>
    <n v="0"/>
    <n v="0"/>
    <n v="0"/>
    <x v="2"/>
    <s v="Divorced"/>
    <n v="0"/>
    <n v="0"/>
    <n v="3069"/>
    <n v="10302"/>
    <n v="0"/>
    <s v="No"/>
    <n v="0"/>
    <n v="15"/>
    <n v="3"/>
    <n v="4"/>
    <n v="1"/>
    <n v="11"/>
    <n v="3"/>
    <n v="3"/>
    <n v="10"/>
    <n v="8"/>
    <n v="0"/>
    <n v="7"/>
  </r>
  <r>
    <n v="40"/>
    <x v="1"/>
    <n v="0"/>
    <s v="Travel_Rarely"/>
    <n v="0"/>
    <n v="1"/>
    <n v="884"/>
    <s v="Research &amp; Development"/>
    <n v="1"/>
    <n v="0"/>
    <n v="15"/>
    <n v="3"/>
    <s v="Life Sciences"/>
    <n v="1"/>
    <n v="0"/>
    <n v="0"/>
    <n v="0"/>
    <n v="0"/>
    <n v="1"/>
    <x v="0"/>
    <n v="1"/>
    <n v="80"/>
    <n v="2"/>
    <n v="3"/>
    <s v="Manufacturing Director"/>
    <n v="0"/>
    <n v="0"/>
    <n v="0"/>
    <n v="0"/>
    <n v="1"/>
    <n v="1"/>
    <n v="0"/>
    <n v="0"/>
    <x v="2"/>
    <s v="Married"/>
    <n v="0"/>
    <n v="1"/>
    <n v="10435"/>
    <n v="25800"/>
    <n v="1"/>
    <s v="No"/>
    <n v="0"/>
    <n v="13"/>
    <n v="3"/>
    <n v="4"/>
    <n v="2"/>
    <n v="18"/>
    <n v="2"/>
    <n v="3"/>
    <n v="18"/>
    <n v="15"/>
    <n v="14"/>
    <n v="12"/>
  </r>
  <r>
    <n v="35"/>
    <x v="1"/>
    <n v="0"/>
    <s v="Non-Travel"/>
    <n v="0"/>
    <n v="0"/>
    <n v="208"/>
    <s v="Research &amp; Development"/>
    <n v="1"/>
    <n v="0"/>
    <n v="8"/>
    <n v="4"/>
    <s v="Life Sciences"/>
    <n v="1"/>
    <n v="0"/>
    <n v="0"/>
    <n v="0"/>
    <n v="0"/>
    <n v="3"/>
    <x v="0"/>
    <n v="1"/>
    <n v="52"/>
    <n v="3"/>
    <n v="2"/>
    <s v="Healthcare Representative"/>
    <n v="1"/>
    <n v="0"/>
    <n v="0"/>
    <n v="0"/>
    <n v="0"/>
    <n v="0"/>
    <n v="0"/>
    <n v="0"/>
    <x v="2"/>
    <s v="Married"/>
    <n v="0"/>
    <n v="1"/>
    <n v="4148"/>
    <n v="12250"/>
    <n v="1"/>
    <s v="No"/>
    <n v="0"/>
    <n v="12"/>
    <n v="3"/>
    <n v="4"/>
    <n v="1"/>
    <n v="15"/>
    <n v="5"/>
    <n v="3"/>
    <n v="14"/>
    <n v="11"/>
    <n v="2"/>
    <n v="9"/>
  </r>
  <r>
    <n v="37"/>
    <x v="1"/>
    <n v="0"/>
    <s v="Travel_Rarely"/>
    <n v="0"/>
    <n v="1"/>
    <n v="671"/>
    <s v="Research &amp; Development"/>
    <n v="1"/>
    <n v="0"/>
    <n v="19"/>
    <n v="3"/>
    <s v="Life Sciences"/>
    <n v="1"/>
    <n v="0"/>
    <n v="0"/>
    <n v="0"/>
    <n v="0"/>
    <n v="3"/>
    <x v="1"/>
    <n v="0"/>
    <n v="85"/>
    <n v="3"/>
    <n v="2"/>
    <s v="Manufacturing Director"/>
    <n v="0"/>
    <n v="0"/>
    <n v="0"/>
    <n v="0"/>
    <n v="1"/>
    <n v="1"/>
    <n v="0"/>
    <n v="0"/>
    <x v="2"/>
    <s v="Married"/>
    <n v="0"/>
    <n v="1"/>
    <n v="5768"/>
    <n v="26493"/>
    <n v="3"/>
    <s v="No"/>
    <n v="0"/>
    <n v="17"/>
    <n v="3"/>
    <n v="1"/>
    <n v="3"/>
    <n v="9"/>
    <n v="2"/>
    <n v="2"/>
    <n v="4"/>
    <n v="3"/>
    <n v="0"/>
    <n v="2"/>
  </r>
  <r>
    <n v="39"/>
    <x v="1"/>
    <n v="0"/>
    <s v="Travel_Frequently"/>
    <n v="1"/>
    <n v="0"/>
    <n v="711"/>
    <s v="Research &amp; Development"/>
    <n v="1"/>
    <n v="0"/>
    <n v="4"/>
    <n v="3"/>
    <s v="Medical"/>
    <n v="0"/>
    <n v="0"/>
    <n v="1"/>
    <n v="0"/>
    <n v="0"/>
    <n v="1"/>
    <x v="0"/>
    <n v="1"/>
    <n v="81"/>
    <n v="3"/>
    <n v="2"/>
    <s v="Manufacturing Director"/>
    <n v="0"/>
    <n v="0"/>
    <n v="0"/>
    <n v="0"/>
    <n v="1"/>
    <n v="1"/>
    <n v="0"/>
    <n v="0"/>
    <x v="2"/>
    <s v="Single"/>
    <n v="1"/>
    <n v="0"/>
    <n v="5042"/>
    <n v="3140"/>
    <n v="0"/>
    <s v="No"/>
    <n v="0"/>
    <n v="13"/>
    <n v="3"/>
    <n v="4"/>
    <n v="0"/>
    <n v="10"/>
    <n v="2"/>
    <n v="1"/>
    <n v="9"/>
    <n v="2"/>
    <n v="3"/>
    <n v="8"/>
  </r>
  <r>
    <n v="45"/>
    <x v="1"/>
    <n v="0"/>
    <s v="Travel_Rarely"/>
    <n v="0"/>
    <n v="1"/>
    <n v="1329"/>
    <s v="Research &amp; Development"/>
    <n v="1"/>
    <n v="0"/>
    <n v="2"/>
    <n v="2"/>
    <s v="Other"/>
    <n v="0"/>
    <n v="1"/>
    <n v="0"/>
    <n v="0"/>
    <n v="0"/>
    <n v="4"/>
    <x v="0"/>
    <n v="1"/>
    <n v="59"/>
    <n v="2"/>
    <n v="2"/>
    <s v="Manufacturing Director"/>
    <n v="0"/>
    <n v="0"/>
    <n v="0"/>
    <n v="0"/>
    <n v="1"/>
    <n v="1"/>
    <n v="0"/>
    <n v="0"/>
    <x v="0"/>
    <s v="Divorced"/>
    <n v="0"/>
    <n v="0"/>
    <n v="5770"/>
    <n v="5388"/>
    <n v="1"/>
    <s v="No"/>
    <n v="0"/>
    <n v="19"/>
    <n v="3"/>
    <n v="1"/>
    <n v="2"/>
    <n v="10"/>
    <n v="3"/>
    <n v="3"/>
    <n v="10"/>
    <n v="7"/>
    <n v="3"/>
    <n v="9"/>
  </r>
  <r>
    <n v="38"/>
    <x v="1"/>
    <n v="0"/>
    <s v="Travel_Rarely"/>
    <n v="0"/>
    <n v="1"/>
    <n v="397"/>
    <s v="Research &amp; Development"/>
    <n v="1"/>
    <n v="0"/>
    <n v="2"/>
    <n v="2"/>
    <s v="Medical"/>
    <n v="0"/>
    <n v="0"/>
    <n v="1"/>
    <n v="0"/>
    <n v="0"/>
    <n v="4"/>
    <x v="0"/>
    <n v="1"/>
    <n v="54"/>
    <n v="2"/>
    <n v="3"/>
    <s v="Manufacturing Director"/>
    <n v="0"/>
    <n v="0"/>
    <n v="0"/>
    <n v="0"/>
    <n v="1"/>
    <n v="1"/>
    <n v="0"/>
    <n v="0"/>
    <x v="2"/>
    <s v="Married"/>
    <n v="0"/>
    <n v="1"/>
    <n v="7756"/>
    <n v="14199"/>
    <n v="3"/>
    <s v="Yes"/>
    <n v="1"/>
    <n v="19"/>
    <n v="3"/>
    <n v="4"/>
    <n v="1"/>
    <n v="10"/>
    <n v="6"/>
    <n v="4"/>
    <n v="5"/>
    <n v="4"/>
    <n v="0"/>
    <n v="2"/>
  </r>
  <r>
    <n v="35"/>
    <x v="0"/>
    <n v="1"/>
    <s v="Travel_Rarely"/>
    <n v="0"/>
    <n v="1"/>
    <n v="737"/>
    <s v="Sales"/>
    <n v="0"/>
    <n v="1"/>
    <n v="10"/>
    <n v="3"/>
    <s v="Medical"/>
    <n v="0"/>
    <n v="0"/>
    <n v="1"/>
    <n v="0"/>
    <n v="0"/>
    <n v="4"/>
    <x v="1"/>
    <n v="0"/>
    <n v="55"/>
    <n v="2"/>
    <n v="3"/>
    <s v="Sales Executive"/>
    <n v="0"/>
    <n v="1"/>
    <n v="0"/>
    <n v="0"/>
    <n v="0"/>
    <n v="0"/>
    <n v="0"/>
    <n v="0"/>
    <x v="3"/>
    <s v="Married"/>
    <n v="0"/>
    <n v="1"/>
    <n v="10306"/>
    <n v="21530"/>
    <n v="9"/>
    <s v="No"/>
    <n v="0"/>
    <n v="17"/>
    <n v="3"/>
    <n v="3"/>
    <n v="0"/>
    <n v="15"/>
    <n v="3"/>
    <n v="3"/>
    <n v="13"/>
    <n v="12"/>
    <n v="6"/>
    <n v="0"/>
  </r>
  <r>
    <n v="37"/>
    <x v="1"/>
    <n v="0"/>
    <s v="Travel_Rarely"/>
    <n v="0"/>
    <n v="1"/>
    <n v="1470"/>
    <s v="Research &amp; Development"/>
    <n v="1"/>
    <n v="0"/>
    <n v="10"/>
    <n v="3"/>
    <s v="Medical"/>
    <n v="0"/>
    <n v="0"/>
    <n v="1"/>
    <n v="0"/>
    <n v="0"/>
    <n v="2"/>
    <x v="0"/>
    <n v="1"/>
    <n v="71"/>
    <n v="3"/>
    <n v="1"/>
    <s v="Research Scientist"/>
    <n v="0"/>
    <n v="0"/>
    <n v="0"/>
    <n v="0"/>
    <n v="0"/>
    <n v="0"/>
    <n v="0"/>
    <n v="1"/>
    <x v="1"/>
    <s v="Married"/>
    <n v="0"/>
    <n v="1"/>
    <n v="3936"/>
    <n v="9953"/>
    <n v="1"/>
    <s v="No"/>
    <n v="0"/>
    <n v="11"/>
    <n v="3"/>
    <n v="1"/>
    <n v="1"/>
    <n v="8"/>
    <n v="2"/>
    <n v="1"/>
    <n v="8"/>
    <n v="4"/>
    <n v="7"/>
    <n v="7"/>
  </r>
  <r>
    <n v="40"/>
    <x v="1"/>
    <n v="0"/>
    <s v="Travel_Rarely"/>
    <n v="0"/>
    <n v="1"/>
    <n v="448"/>
    <s v="Research &amp; Development"/>
    <n v="1"/>
    <n v="0"/>
    <n v="16"/>
    <n v="3"/>
    <s v="Life Sciences"/>
    <n v="1"/>
    <n v="0"/>
    <n v="0"/>
    <n v="0"/>
    <n v="0"/>
    <n v="3"/>
    <x v="0"/>
    <n v="1"/>
    <n v="84"/>
    <n v="3"/>
    <n v="3"/>
    <s v="Manufacturing Director"/>
    <n v="0"/>
    <n v="0"/>
    <n v="0"/>
    <n v="0"/>
    <n v="1"/>
    <n v="1"/>
    <n v="0"/>
    <n v="0"/>
    <x v="0"/>
    <s v="Single"/>
    <n v="1"/>
    <n v="0"/>
    <n v="7945"/>
    <n v="19948"/>
    <n v="6"/>
    <s v="Yes"/>
    <n v="1"/>
    <n v="15"/>
    <n v="3"/>
    <n v="4"/>
    <n v="0"/>
    <n v="18"/>
    <n v="2"/>
    <n v="2"/>
    <n v="4"/>
    <n v="2"/>
    <n v="3"/>
    <n v="3"/>
  </r>
  <r>
    <n v="44"/>
    <x v="1"/>
    <n v="0"/>
    <s v="Travel_Frequently"/>
    <n v="1"/>
    <n v="0"/>
    <n v="602"/>
    <s v="Human Resources"/>
    <n v="0"/>
    <n v="0"/>
    <n v="1"/>
    <n v="5"/>
    <s v="Human Resources"/>
    <n v="0"/>
    <n v="0"/>
    <n v="0"/>
    <n v="0"/>
    <n v="0"/>
    <n v="1"/>
    <x v="1"/>
    <n v="0"/>
    <n v="37"/>
    <n v="3"/>
    <n v="2"/>
    <s v="Human Resources"/>
    <n v="0"/>
    <n v="0"/>
    <n v="0"/>
    <n v="0"/>
    <n v="0"/>
    <n v="0"/>
    <n v="0"/>
    <n v="0"/>
    <x v="0"/>
    <s v="Married"/>
    <n v="0"/>
    <n v="1"/>
    <n v="5743"/>
    <n v="10503"/>
    <n v="4"/>
    <s v="Yes"/>
    <n v="1"/>
    <n v="11"/>
    <n v="3"/>
    <n v="3"/>
    <n v="0"/>
    <n v="14"/>
    <n v="3"/>
    <n v="3"/>
    <n v="10"/>
    <n v="7"/>
    <n v="0"/>
    <n v="2"/>
  </r>
  <r>
    <n v="48"/>
    <x v="1"/>
    <n v="0"/>
    <s v="Travel_Frequently"/>
    <n v="1"/>
    <n v="0"/>
    <n v="365"/>
    <s v="Research &amp; Development"/>
    <n v="1"/>
    <n v="0"/>
    <n v="4"/>
    <n v="5"/>
    <s v="Medical"/>
    <n v="0"/>
    <n v="0"/>
    <n v="1"/>
    <n v="0"/>
    <n v="0"/>
    <n v="3"/>
    <x v="1"/>
    <n v="0"/>
    <n v="89"/>
    <n v="2"/>
    <n v="4"/>
    <s v="Manager"/>
    <n v="0"/>
    <n v="0"/>
    <n v="0"/>
    <n v="1"/>
    <n v="0"/>
    <n v="0"/>
    <n v="0"/>
    <n v="0"/>
    <x v="0"/>
    <s v="Married"/>
    <n v="0"/>
    <n v="1"/>
    <n v="15202"/>
    <n v="5602"/>
    <n v="2"/>
    <s v="No"/>
    <n v="0"/>
    <n v="25"/>
    <n v="4"/>
    <n v="2"/>
    <n v="1"/>
    <n v="23"/>
    <n v="3"/>
    <n v="3"/>
    <n v="2"/>
    <n v="2"/>
    <n v="2"/>
    <n v="2"/>
  </r>
  <r>
    <n v="35"/>
    <x v="0"/>
    <n v="1"/>
    <s v="Travel_Rarely"/>
    <n v="0"/>
    <n v="1"/>
    <n v="763"/>
    <s v="Sales"/>
    <n v="0"/>
    <n v="1"/>
    <n v="15"/>
    <n v="2"/>
    <s v="Medical"/>
    <n v="0"/>
    <n v="0"/>
    <n v="1"/>
    <n v="0"/>
    <n v="0"/>
    <n v="1"/>
    <x v="1"/>
    <n v="0"/>
    <n v="59"/>
    <n v="1"/>
    <n v="2"/>
    <s v="Sales Executive"/>
    <n v="0"/>
    <n v="1"/>
    <n v="0"/>
    <n v="0"/>
    <n v="0"/>
    <n v="0"/>
    <n v="0"/>
    <n v="0"/>
    <x v="0"/>
    <s v="Divorced"/>
    <n v="0"/>
    <n v="0"/>
    <n v="5440"/>
    <n v="22098"/>
    <n v="6"/>
    <s v="Yes"/>
    <n v="1"/>
    <n v="14"/>
    <n v="3"/>
    <n v="4"/>
    <n v="2"/>
    <n v="7"/>
    <n v="2"/>
    <n v="2"/>
    <n v="2"/>
    <n v="2"/>
    <n v="2"/>
    <n v="2"/>
  </r>
  <r>
    <n v="24"/>
    <x v="1"/>
    <n v="0"/>
    <s v="Travel_Frequently"/>
    <n v="1"/>
    <n v="0"/>
    <n v="567"/>
    <s v="Research &amp; Development"/>
    <n v="1"/>
    <n v="0"/>
    <n v="2"/>
    <n v="1"/>
    <s v="Technical Degree"/>
    <n v="0"/>
    <n v="0"/>
    <n v="0"/>
    <n v="0"/>
    <n v="1"/>
    <n v="1"/>
    <x v="0"/>
    <n v="1"/>
    <n v="32"/>
    <n v="3"/>
    <n v="1"/>
    <s v="Research Scientist"/>
    <n v="0"/>
    <n v="0"/>
    <n v="0"/>
    <n v="0"/>
    <n v="0"/>
    <n v="0"/>
    <n v="0"/>
    <n v="1"/>
    <x v="0"/>
    <s v="Single"/>
    <n v="1"/>
    <n v="0"/>
    <n v="3760"/>
    <n v="17218"/>
    <n v="1"/>
    <s v="Yes"/>
    <n v="1"/>
    <n v="13"/>
    <n v="3"/>
    <n v="3"/>
    <n v="0"/>
    <n v="6"/>
    <n v="2"/>
    <n v="3"/>
    <n v="6"/>
    <n v="3"/>
    <n v="1"/>
    <n v="3"/>
  </r>
  <r>
    <n v="27"/>
    <x v="1"/>
    <n v="0"/>
    <s v="Travel_Rarely"/>
    <n v="0"/>
    <n v="1"/>
    <n v="486"/>
    <s v="Research &amp; Development"/>
    <n v="1"/>
    <n v="0"/>
    <n v="8"/>
    <n v="3"/>
    <s v="Medical"/>
    <n v="0"/>
    <n v="0"/>
    <n v="1"/>
    <n v="0"/>
    <n v="0"/>
    <n v="2"/>
    <x v="0"/>
    <n v="1"/>
    <n v="86"/>
    <n v="4"/>
    <n v="1"/>
    <s v="Research Scientist"/>
    <n v="0"/>
    <n v="0"/>
    <n v="0"/>
    <n v="0"/>
    <n v="0"/>
    <n v="0"/>
    <n v="0"/>
    <n v="1"/>
    <x v="2"/>
    <s v="Married"/>
    <n v="0"/>
    <n v="1"/>
    <n v="3517"/>
    <n v="22490"/>
    <n v="7"/>
    <s v="No"/>
    <n v="0"/>
    <n v="17"/>
    <n v="3"/>
    <n v="1"/>
    <n v="0"/>
    <n v="5"/>
    <n v="0"/>
    <n v="3"/>
    <n v="3"/>
    <n v="2"/>
    <n v="0"/>
    <n v="2"/>
  </r>
  <r>
    <n v="27"/>
    <x v="1"/>
    <n v="0"/>
    <s v="Travel_Frequently"/>
    <n v="1"/>
    <n v="0"/>
    <n v="591"/>
    <s v="Research &amp; Development"/>
    <n v="1"/>
    <n v="0"/>
    <n v="2"/>
    <n v="3"/>
    <s v="Medical"/>
    <n v="0"/>
    <n v="0"/>
    <n v="1"/>
    <n v="0"/>
    <n v="0"/>
    <n v="4"/>
    <x v="1"/>
    <n v="0"/>
    <n v="87"/>
    <n v="3"/>
    <n v="1"/>
    <s v="Research Scientist"/>
    <n v="0"/>
    <n v="0"/>
    <n v="0"/>
    <n v="0"/>
    <n v="0"/>
    <n v="0"/>
    <n v="0"/>
    <n v="1"/>
    <x v="0"/>
    <s v="Single"/>
    <n v="1"/>
    <n v="0"/>
    <n v="2580"/>
    <n v="6297"/>
    <n v="2"/>
    <s v="No"/>
    <n v="0"/>
    <n v="13"/>
    <n v="3"/>
    <n v="3"/>
    <n v="0"/>
    <n v="6"/>
    <n v="0"/>
    <n v="2"/>
    <n v="4"/>
    <n v="2"/>
    <n v="1"/>
    <n v="2"/>
  </r>
  <r>
    <n v="40"/>
    <x v="0"/>
    <n v="1"/>
    <s v="Travel_Rarely"/>
    <n v="0"/>
    <n v="1"/>
    <n v="1329"/>
    <s v="Research &amp; Development"/>
    <n v="1"/>
    <n v="0"/>
    <n v="7"/>
    <n v="3"/>
    <s v="Life Sciences"/>
    <n v="1"/>
    <n v="0"/>
    <n v="0"/>
    <n v="0"/>
    <n v="0"/>
    <n v="1"/>
    <x v="1"/>
    <n v="0"/>
    <n v="73"/>
    <n v="3"/>
    <n v="1"/>
    <s v="Laboratory Technician"/>
    <n v="0"/>
    <n v="0"/>
    <n v="1"/>
    <n v="0"/>
    <n v="0"/>
    <n v="0"/>
    <n v="0"/>
    <n v="0"/>
    <x v="3"/>
    <s v="Single"/>
    <n v="1"/>
    <n v="0"/>
    <n v="2166"/>
    <n v="3339"/>
    <n v="3"/>
    <s v="Yes"/>
    <n v="1"/>
    <n v="14"/>
    <n v="3"/>
    <n v="2"/>
    <n v="0"/>
    <n v="10"/>
    <n v="3"/>
    <n v="1"/>
    <n v="4"/>
    <n v="2"/>
    <n v="0"/>
    <n v="3"/>
  </r>
  <r>
    <n v="29"/>
    <x v="1"/>
    <n v="0"/>
    <s v="Travel_Rarely"/>
    <n v="0"/>
    <n v="1"/>
    <n v="469"/>
    <s v="Sales"/>
    <n v="0"/>
    <n v="1"/>
    <n v="10"/>
    <n v="3"/>
    <s v="Medical"/>
    <n v="0"/>
    <n v="0"/>
    <n v="1"/>
    <n v="0"/>
    <n v="0"/>
    <n v="3"/>
    <x v="1"/>
    <n v="0"/>
    <n v="42"/>
    <n v="2"/>
    <n v="2"/>
    <s v="Sales Executive"/>
    <n v="0"/>
    <n v="1"/>
    <n v="0"/>
    <n v="0"/>
    <n v="0"/>
    <n v="0"/>
    <n v="0"/>
    <n v="0"/>
    <x v="2"/>
    <s v="Single"/>
    <n v="1"/>
    <n v="0"/>
    <n v="5869"/>
    <n v="23413"/>
    <n v="9"/>
    <s v="No"/>
    <n v="0"/>
    <n v="11"/>
    <n v="3"/>
    <n v="3"/>
    <n v="0"/>
    <n v="8"/>
    <n v="2"/>
    <n v="3"/>
    <n v="5"/>
    <n v="2"/>
    <n v="1"/>
    <n v="4"/>
  </r>
  <r>
    <n v="36"/>
    <x v="1"/>
    <n v="0"/>
    <s v="Travel_Rarely"/>
    <n v="0"/>
    <n v="1"/>
    <n v="711"/>
    <s v="Research &amp; Development"/>
    <n v="1"/>
    <n v="0"/>
    <n v="5"/>
    <n v="4"/>
    <s v="Life Sciences"/>
    <n v="1"/>
    <n v="0"/>
    <n v="0"/>
    <n v="0"/>
    <n v="0"/>
    <n v="2"/>
    <x v="0"/>
    <n v="1"/>
    <n v="42"/>
    <n v="3"/>
    <n v="3"/>
    <s v="Healthcare Representative"/>
    <n v="1"/>
    <n v="0"/>
    <n v="0"/>
    <n v="0"/>
    <n v="0"/>
    <n v="0"/>
    <n v="0"/>
    <n v="0"/>
    <x v="3"/>
    <s v="Married"/>
    <n v="0"/>
    <n v="1"/>
    <n v="8008"/>
    <n v="22792"/>
    <n v="4"/>
    <s v="No"/>
    <n v="0"/>
    <n v="12"/>
    <n v="3"/>
    <n v="3"/>
    <n v="2"/>
    <n v="9"/>
    <n v="6"/>
    <n v="3"/>
    <n v="3"/>
    <n v="2"/>
    <n v="0"/>
    <n v="2"/>
  </r>
  <r>
    <n v="25"/>
    <x v="1"/>
    <n v="0"/>
    <s v="Travel_Frequently"/>
    <n v="1"/>
    <n v="0"/>
    <n v="772"/>
    <s v="Research &amp; Development"/>
    <n v="1"/>
    <n v="0"/>
    <n v="2"/>
    <n v="1"/>
    <s v="Life Sciences"/>
    <n v="1"/>
    <n v="0"/>
    <n v="0"/>
    <n v="0"/>
    <n v="0"/>
    <n v="4"/>
    <x v="1"/>
    <n v="0"/>
    <n v="77"/>
    <n v="4"/>
    <n v="2"/>
    <s v="Manufacturing Director"/>
    <n v="0"/>
    <n v="0"/>
    <n v="0"/>
    <n v="0"/>
    <n v="1"/>
    <n v="1"/>
    <n v="0"/>
    <n v="0"/>
    <x v="2"/>
    <s v="Divorced"/>
    <n v="0"/>
    <n v="0"/>
    <n v="5206"/>
    <n v="4973"/>
    <n v="1"/>
    <s v="No"/>
    <n v="0"/>
    <n v="17"/>
    <n v="3"/>
    <n v="3"/>
    <n v="2"/>
    <n v="7"/>
    <n v="6"/>
    <n v="3"/>
    <n v="7"/>
    <n v="7"/>
    <n v="0"/>
    <n v="7"/>
  </r>
  <r>
    <n v="39"/>
    <x v="1"/>
    <n v="0"/>
    <s v="Travel_Rarely"/>
    <n v="0"/>
    <n v="1"/>
    <n v="492"/>
    <s v="Research &amp; Development"/>
    <n v="1"/>
    <n v="0"/>
    <n v="12"/>
    <n v="3"/>
    <s v="Medical"/>
    <n v="0"/>
    <n v="0"/>
    <n v="1"/>
    <n v="0"/>
    <n v="0"/>
    <n v="4"/>
    <x v="1"/>
    <n v="0"/>
    <n v="66"/>
    <n v="3"/>
    <n v="2"/>
    <s v="Manufacturing Director"/>
    <n v="0"/>
    <n v="0"/>
    <n v="0"/>
    <n v="0"/>
    <n v="1"/>
    <n v="1"/>
    <n v="0"/>
    <n v="0"/>
    <x v="1"/>
    <s v="Married"/>
    <n v="0"/>
    <n v="1"/>
    <n v="5295"/>
    <n v="7693"/>
    <n v="4"/>
    <s v="No"/>
    <n v="0"/>
    <n v="21"/>
    <n v="4"/>
    <n v="3"/>
    <n v="0"/>
    <n v="7"/>
    <n v="3"/>
    <n v="3"/>
    <n v="5"/>
    <n v="4"/>
    <n v="1"/>
    <n v="0"/>
  </r>
  <r>
    <n v="49"/>
    <x v="1"/>
    <n v="0"/>
    <s v="Travel_Rarely"/>
    <n v="0"/>
    <n v="1"/>
    <n v="301"/>
    <s v="Research &amp; Development"/>
    <n v="1"/>
    <n v="0"/>
    <n v="22"/>
    <n v="4"/>
    <s v="Other"/>
    <n v="0"/>
    <n v="1"/>
    <n v="0"/>
    <n v="0"/>
    <n v="0"/>
    <n v="1"/>
    <x v="0"/>
    <n v="1"/>
    <n v="72"/>
    <n v="3"/>
    <n v="4"/>
    <s v="Research Director"/>
    <n v="0"/>
    <n v="0"/>
    <n v="0"/>
    <n v="0"/>
    <n v="0"/>
    <n v="0"/>
    <n v="0"/>
    <n v="0"/>
    <x v="1"/>
    <s v="Married"/>
    <n v="0"/>
    <n v="1"/>
    <n v="16413"/>
    <n v="3498"/>
    <n v="3"/>
    <s v="No"/>
    <n v="0"/>
    <n v="16"/>
    <n v="3"/>
    <n v="2"/>
    <n v="2"/>
    <n v="27"/>
    <n v="2"/>
    <n v="3"/>
    <n v="4"/>
    <n v="2"/>
    <n v="1"/>
    <n v="2"/>
  </r>
  <r>
    <n v="50"/>
    <x v="1"/>
    <n v="0"/>
    <s v="Travel_Rarely"/>
    <n v="0"/>
    <n v="1"/>
    <n v="813"/>
    <s v="Research &amp; Development"/>
    <n v="1"/>
    <n v="0"/>
    <n v="17"/>
    <n v="5"/>
    <s v="Life Sciences"/>
    <n v="1"/>
    <n v="0"/>
    <n v="0"/>
    <n v="0"/>
    <n v="0"/>
    <n v="4"/>
    <x v="0"/>
    <n v="1"/>
    <n v="50"/>
    <n v="2"/>
    <n v="3"/>
    <s v="Research Director"/>
    <n v="0"/>
    <n v="0"/>
    <n v="0"/>
    <n v="0"/>
    <n v="0"/>
    <n v="0"/>
    <n v="0"/>
    <n v="0"/>
    <x v="3"/>
    <s v="Divorced"/>
    <n v="0"/>
    <n v="0"/>
    <n v="13269"/>
    <n v="21981"/>
    <n v="5"/>
    <s v="No"/>
    <n v="0"/>
    <n v="15"/>
    <n v="3"/>
    <n v="3"/>
    <n v="3"/>
    <n v="19"/>
    <n v="3"/>
    <n v="3"/>
    <n v="14"/>
    <n v="11"/>
    <n v="1"/>
    <n v="11"/>
  </r>
  <r>
    <n v="20"/>
    <x v="1"/>
    <n v="0"/>
    <s v="Travel_Rarely"/>
    <n v="0"/>
    <n v="1"/>
    <n v="1141"/>
    <s v="Sales"/>
    <n v="0"/>
    <n v="1"/>
    <n v="2"/>
    <n v="3"/>
    <s v="Medical"/>
    <n v="0"/>
    <n v="0"/>
    <n v="1"/>
    <n v="0"/>
    <n v="0"/>
    <n v="3"/>
    <x v="0"/>
    <n v="1"/>
    <n v="31"/>
    <n v="3"/>
    <n v="1"/>
    <s v="Sales Representative"/>
    <n v="0"/>
    <n v="0"/>
    <n v="0"/>
    <n v="0"/>
    <n v="0"/>
    <n v="0"/>
    <n v="1"/>
    <n v="0"/>
    <x v="2"/>
    <s v="Single"/>
    <n v="1"/>
    <n v="0"/>
    <n v="2783"/>
    <n v="13251"/>
    <n v="1"/>
    <s v="No"/>
    <n v="0"/>
    <n v="19"/>
    <n v="3"/>
    <n v="1"/>
    <n v="0"/>
    <n v="2"/>
    <n v="3"/>
    <n v="3"/>
    <n v="2"/>
    <n v="2"/>
    <n v="2"/>
    <n v="2"/>
  </r>
  <r>
    <n v="34"/>
    <x v="1"/>
    <n v="0"/>
    <s v="Travel_Rarely"/>
    <n v="0"/>
    <n v="1"/>
    <n v="1130"/>
    <s v="Research &amp; Development"/>
    <n v="1"/>
    <n v="0"/>
    <n v="3"/>
    <n v="3"/>
    <s v="Life Sciences"/>
    <n v="1"/>
    <n v="0"/>
    <n v="0"/>
    <n v="0"/>
    <n v="0"/>
    <n v="4"/>
    <x v="0"/>
    <n v="1"/>
    <n v="66"/>
    <n v="3"/>
    <n v="2"/>
    <s v="Research Scientist"/>
    <n v="0"/>
    <n v="0"/>
    <n v="0"/>
    <n v="0"/>
    <n v="0"/>
    <n v="0"/>
    <n v="0"/>
    <n v="1"/>
    <x v="1"/>
    <s v="Divorced"/>
    <n v="0"/>
    <n v="0"/>
    <n v="5433"/>
    <n v="19332"/>
    <n v="1"/>
    <s v="No"/>
    <n v="0"/>
    <n v="12"/>
    <n v="3"/>
    <n v="3"/>
    <n v="1"/>
    <n v="11"/>
    <n v="2"/>
    <n v="3"/>
    <n v="11"/>
    <n v="8"/>
    <n v="7"/>
    <n v="9"/>
  </r>
  <r>
    <n v="36"/>
    <x v="1"/>
    <n v="0"/>
    <s v="Travel_Rarely"/>
    <n v="0"/>
    <n v="1"/>
    <n v="311"/>
    <s v="Research &amp; Development"/>
    <n v="1"/>
    <n v="0"/>
    <n v="7"/>
    <n v="3"/>
    <s v="Life Sciences"/>
    <n v="1"/>
    <n v="0"/>
    <n v="0"/>
    <n v="0"/>
    <n v="0"/>
    <n v="1"/>
    <x v="1"/>
    <n v="0"/>
    <n v="77"/>
    <n v="3"/>
    <n v="1"/>
    <s v="Laboratory Technician"/>
    <n v="0"/>
    <n v="0"/>
    <n v="1"/>
    <n v="0"/>
    <n v="0"/>
    <n v="0"/>
    <n v="0"/>
    <n v="0"/>
    <x v="1"/>
    <s v="Single"/>
    <n v="1"/>
    <n v="0"/>
    <n v="2013"/>
    <n v="10950"/>
    <n v="2"/>
    <s v="No"/>
    <n v="0"/>
    <n v="11"/>
    <n v="3"/>
    <n v="3"/>
    <n v="0"/>
    <n v="15"/>
    <n v="4"/>
    <n v="3"/>
    <n v="4"/>
    <n v="3"/>
    <n v="1"/>
    <n v="3"/>
  </r>
  <r>
    <n v="49"/>
    <x v="1"/>
    <n v="0"/>
    <s v="Travel_Rarely"/>
    <n v="0"/>
    <n v="1"/>
    <n v="465"/>
    <s v="Research &amp; Development"/>
    <n v="1"/>
    <n v="0"/>
    <n v="6"/>
    <n v="1"/>
    <s v="Life Sciences"/>
    <n v="1"/>
    <n v="0"/>
    <n v="0"/>
    <n v="0"/>
    <n v="0"/>
    <n v="3"/>
    <x v="0"/>
    <n v="1"/>
    <n v="41"/>
    <n v="2"/>
    <n v="4"/>
    <s v="Healthcare Representative"/>
    <n v="1"/>
    <n v="0"/>
    <n v="0"/>
    <n v="0"/>
    <n v="0"/>
    <n v="0"/>
    <n v="0"/>
    <n v="0"/>
    <x v="2"/>
    <s v="Married"/>
    <n v="0"/>
    <n v="1"/>
    <n v="13966"/>
    <n v="11652"/>
    <n v="2"/>
    <s v="Yes"/>
    <n v="1"/>
    <n v="19"/>
    <n v="3"/>
    <n v="2"/>
    <n v="1"/>
    <n v="30"/>
    <n v="3"/>
    <n v="3"/>
    <n v="15"/>
    <n v="11"/>
    <n v="2"/>
    <n v="12"/>
  </r>
  <r>
    <n v="36"/>
    <x v="1"/>
    <n v="0"/>
    <s v="Non-Travel"/>
    <n v="0"/>
    <n v="0"/>
    <n v="894"/>
    <s v="Research &amp; Development"/>
    <n v="1"/>
    <n v="0"/>
    <n v="1"/>
    <n v="4"/>
    <s v="Medical"/>
    <n v="0"/>
    <n v="0"/>
    <n v="1"/>
    <n v="0"/>
    <n v="0"/>
    <n v="4"/>
    <x v="0"/>
    <n v="1"/>
    <n v="33"/>
    <n v="2"/>
    <n v="2"/>
    <s v="Manufacturing Director"/>
    <n v="0"/>
    <n v="0"/>
    <n v="0"/>
    <n v="0"/>
    <n v="1"/>
    <n v="1"/>
    <n v="0"/>
    <n v="0"/>
    <x v="2"/>
    <s v="Married"/>
    <n v="0"/>
    <n v="1"/>
    <n v="4374"/>
    <n v="15411"/>
    <n v="0"/>
    <s v="No"/>
    <n v="0"/>
    <n v="15"/>
    <n v="3"/>
    <n v="3"/>
    <n v="0"/>
    <n v="4"/>
    <n v="6"/>
    <n v="3"/>
    <n v="3"/>
    <n v="2"/>
    <n v="1"/>
    <n v="2"/>
  </r>
  <r>
    <n v="36"/>
    <x v="1"/>
    <n v="0"/>
    <s v="Travel_Rarely"/>
    <n v="0"/>
    <n v="1"/>
    <n v="1040"/>
    <s v="Research &amp; Development"/>
    <n v="1"/>
    <n v="0"/>
    <n v="3"/>
    <n v="2"/>
    <s v="Life Sciences"/>
    <n v="1"/>
    <n v="0"/>
    <n v="0"/>
    <n v="0"/>
    <n v="0"/>
    <n v="4"/>
    <x v="1"/>
    <n v="0"/>
    <n v="79"/>
    <n v="4"/>
    <n v="2"/>
    <s v="Healthcare Representative"/>
    <n v="1"/>
    <n v="0"/>
    <n v="0"/>
    <n v="0"/>
    <n v="0"/>
    <n v="0"/>
    <n v="0"/>
    <n v="0"/>
    <x v="3"/>
    <s v="Divorced"/>
    <n v="0"/>
    <n v="0"/>
    <n v="6842"/>
    <n v="26308"/>
    <n v="6"/>
    <s v="No"/>
    <n v="0"/>
    <n v="20"/>
    <n v="4"/>
    <n v="1"/>
    <n v="1"/>
    <n v="13"/>
    <n v="3"/>
    <n v="3"/>
    <n v="5"/>
    <n v="4"/>
    <n v="0"/>
    <n v="4"/>
  </r>
  <r>
    <n v="54"/>
    <x v="1"/>
    <n v="0"/>
    <s v="Travel_Rarely"/>
    <n v="0"/>
    <n v="1"/>
    <n v="584"/>
    <s v="Research &amp; Development"/>
    <n v="1"/>
    <n v="0"/>
    <n v="22"/>
    <n v="5"/>
    <s v="Medical"/>
    <n v="0"/>
    <n v="0"/>
    <n v="1"/>
    <n v="0"/>
    <n v="0"/>
    <n v="2"/>
    <x v="0"/>
    <n v="1"/>
    <n v="91"/>
    <n v="3"/>
    <n v="4"/>
    <s v="Manager"/>
    <n v="0"/>
    <n v="0"/>
    <n v="0"/>
    <n v="1"/>
    <n v="0"/>
    <n v="0"/>
    <n v="0"/>
    <n v="0"/>
    <x v="2"/>
    <s v="Married"/>
    <n v="0"/>
    <n v="1"/>
    <n v="17426"/>
    <n v="18685"/>
    <n v="3"/>
    <s v="No"/>
    <n v="0"/>
    <n v="25"/>
    <n v="4"/>
    <n v="3"/>
    <n v="1"/>
    <n v="36"/>
    <n v="6"/>
    <n v="3"/>
    <n v="10"/>
    <n v="8"/>
    <n v="4"/>
    <n v="7"/>
  </r>
  <r>
    <n v="43"/>
    <x v="1"/>
    <n v="0"/>
    <s v="Travel_Rarely"/>
    <n v="0"/>
    <n v="1"/>
    <n v="1291"/>
    <s v="Research &amp; Development"/>
    <n v="1"/>
    <n v="0"/>
    <n v="15"/>
    <n v="2"/>
    <s v="Life Sciences"/>
    <n v="1"/>
    <n v="0"/>
    <n v="0"/>
    <n v="0"/>
    <n v="0"/>
    <n v="3"/>
    <x v="1"/>
    <n v="0"/>
    <n v="65"/>
    <n v="2"/>
    <n v="4"/>
    <s v="Research Director"/>
    <n v="0"/>
    <n v="0"/>
    <n v="0"/>
    <n v="0"/>
    <n v="0"/>
    <n v="0"/>
    <n v="0"/>
    <n v="0"/>
    <x v="2"/>
    <s v="Married"/>
    <n v="0"/>
    <n v="1"/>
    <n v="17603"/>
    <n v="3525"/>
    <n v="1"/>
    <s v="No"/>
    <n v="0"/>
    <n v="24"/>
    <n v="4"/>
    <n v="1"/>
    <n v="1"/>
    <n v="14"/>
    <n v="3"/>
    <n v="3"/>
    <n v="14"/>
    <n v="10"/>
    <n v="6"/>
    <n v="11"/>
  </r>
  <r>
    <n v="35"/>
    <x v="0"/>
    <n v="1"/>
    <s v="Travel_Frequently"/>
    <n v="1"/>
    <n v="0"/>
    <n v="880"/>
    <s v="Sales"/>
    <n v="0"/>
    <n v="1"/>
    <n v="12"/>
    <n v="4"/>
    <s v="Other"/>
    <n v="0"/>
    <n v="1"/>
    <n v="0"/>
    <n v="0"/>
    <n v="0"/>
    <n v="4"/>
    <x v="1"/>
    <n v="0"/>
    <n v="36"/>
    <n v="3"/>
    <n v="2"/>
    <s v="Sales Executive"/>
    <n v="0"/>
    <n v="1"/>
    <n v="0"/>
    <n v="0"/>
    <n v="0"/>
    <n v="0"/>
    <n v="0"/>
    <n v="0"/>
    <x v="0"/>
    <s v="Single"/>
    <n v="1"/>
    <n v="0"/>
    <n v="4581"/>
    <n v="10414"/>
    <n v="3"/>
    <s v="Yes"/>
    <n v="1"/>
    <n v="24"/>
    <n v="4"/>
    <n v="1"/>
    <n v="0"/>
    <n v="13"/>
    <n v="2"/>
    <n v="4"/>
    <n v="11"/>
    <n v="9"/>
    <n v="6"/>
    <n v="7"/>
  </r>
  <r>
    <n v="38"/>
    <x v="1"/>
    <n v="0"/>
    <s v="Travel_Frequently"/>
    <n v="1"/>
    <n v="0"/>
    <n v="1189"/>
    <s v="Research &amp; Development"/>
    <n v="1"/>
    <n v="0"/>
    <n v="1"/>
    <n v="3"/>
    <s v="Life Sciences"/>
    <n v="1"/>
    <n v="0"/>
    <n v="0"/>
    <n v="0"/>
    <n v="0"/>
    <n v="4"/>
    <x v="1"/>
    <n v="0"/>
    <n v="90"/>
    <n v="3"/>
    <n v="2"/>
    <s v="Research Scientist"/>
    <n v="0"/>
    <n v="0"/>
    <n v="0"/>
    <n v="0"/>
    <n v="0"/>
    <n v="0"/>
    <n v="0"/>
    <n v="1"/>
    <x v="0"/>
    <s v="Married"/>
    <n v="0"/>
    <n v="1"/>
    <n v="4735"/>
    <n v="9867"/>
    <n v="7"/>
    <s v="No"/>
    <n v="0"/>
    <n v="15"/>
    <n v="3"/>
    <n v="4"/>
    <n v="2"/>
    <n v="19"/>
    <n v="4"/>
    <n v="4"/>
    <n v="13"/>
    <n v="11"/>
    <n v="2"/>
    <n v="9"/>
  </r>
  <r>
    <n v="29"/>
    <x v="1"/>
    <n v="0"/>
    <s v="Travel_Rarely"/>
    <n v="0"/>
    <n v="1"/>
    <n v="991"/>
    <s v="Sales"/>
    <n v="0"/>
    <n v="1"/>
    <n v="5"/>
    <n v="3"/>
    <s v="Medical"/>
    <n v="0"/>
    <n v="0"/>
    <n v="1"/>
    <n v="0"/>
    <n v="0"/>
    <n v="1"/>
    <x v="1"/>
    <n v="0"/>
    <n v="43"/>
    <n v="2"/>
    <n v="2"/>
    <s v="Sales Executive"/>
    <n v="0"/>
    <n v="1"/>
    <n v="0"/>
    <n v="0"/>
    <n v="0"/>
    <n v="0"/>
    <n v="0"/>
    <n v="0"/>
    <x v="1"/>
    <s v="Divorced"/>
    <n v="0"/>
    <n v="0"/>
    <n v="4187"/>
    <n v="3356"/>
    <n v="1"/>
    <s v="Yes"/>
    <n v="1"/>
    <n v="13"/>
    <n v="3"/>
    <n v="2"/>
    <n v="1"/>
    <n v="10"/>
    <n v="3"/>
    <n v="2"/>
    <n v="10"/>
    <n v="0"/>
    <n v="0"/>
    <n v="9"/>
  </r>
  <r>
    <n v="33"/>
    <x v="1"/>
    <n v="0"/>
    <s v="Travel_Rarely"/>
    <n v="0"/>
    <n v="1"/>
    <n v="392"/>
    <s v="Sales"/>
    <n v="0"/>
    <n v="1"/>
    <n v="2"/>
    <n v="4"/>
    <s v="Medical"/>
    <n v="0"/>
    <n v="0"/>
    <n v="1"/>
    <n v="0"/>
    <n v="0"/>
    <n v="4"/>
    <x v="1"/>
    <n v="0"/>
    <n v="93"/>
    <n v="3"/>
    <n v="2"/>
    <s v="Sales Executive"/>
    <n v="0"/>
    <n v="1"/>
    <n v="0"/>
    <n v="0"/>
    <n v="0"/>
    <n v="0"/>
    <n v="0"/>
    <n v="0"/>
    <x v="0"/>
    <s v="Divorced"/>
    <n v="0"/>
    <n v="0"/>
    <n v="5505"/>
    <n v="3921"/>
    <n v="1"/>
    <s v="No"/>
    <n v="0"/>
    <n v="14"/>
    <n v="3"/>
    <n v="3"/>
    <n v="2"/>
    <n v="6"/>
    <n v="5"/>
    <n v="3"/>
    <n v="6"/>
    <n v="2"/>
    <n v="0"/>
    <n v="4"/>
  </r>
  <r>
    <n v="32"/>
    <x v="1"/>
    <n v="0"/>
    <s v="Travel_Rarely"/>
    <n v="0"/>
    <n v="1"/>
    <n v="977"/>
    <s v="Research &amp; Development"/>
    <n v="1"/>
    <n v="0"/>
    <n v="2"/>
    <n v="3"/>
    <s v="Medical"/>
    <n v="0"/>
    <n v="0"/>
    <n v="1"/>
    <n v="0"/>
    <n v="0"/>
    <n v="4"/>
    <x v="1"/>
    <n v="0"/>
    <n v="45"/>
    <n v="3"/>
    <n v="2"/>
    <s v="Research Scientist"/>
    <n v="0"/>
    <n v="0"/>
    <n v="0"/>
    <n v="0"/>
    <n v="0"/>
    <n v="0"/>
    <n v="0"/>
    <n v="1"/>
    <x v="1"/>
    <s v="Divorced"/>
    <n v="0"/>
    <n v="0"/>
    <n v="5470"/>
    <n v="25518"/>
    <n v="0"/>
    <s v="No"/>
    <n v="0"/>
    <n v="13"/>
    <n v="3"/>
    <n v="3"/>
    <n v="2"/>
    <n v="10"/>
    <n v="4"/>
    <n v="2"/>
    <n v="9"/>
    <n v="5"/>
    <n v="1"/>
    <n v="6"/>
  </r>
  <r>
    <n v="31"/>
    <x v="1"/>
    <n v="0"/>
    <s v="Travel_Rarely"/>
    <n v="0"/>
    <n v="1"/>
    <n v="1112"/>
    <s v="Sales"/>
    <n v="0"/>
    <n v="1"/>
    <n v="5"/>
    <n v="4"/>
    <s v="Life Sciences"/>
    <n v="1"/>
    <n v="0"/>
    <n v="0"/>
    <n v="0"/>
    <n v="0"/>
    <n v="1"/>
    <x v="0"/>
    <n v="1"/>
    <n v="67"/>
    <n v="3"/>
    <n v="2"/>
    <s v="Sales Executive"/>
    <n v="0"/>
    <n v="1"/>
    <n v="0"/>
    <n v="0"/>
    <n v="0"/>
    <n v="0"/>
    <n v="0"/>
    <n v="0"/>
    <x v="0"/>
    <s v="Married"/>
    <n v="0"/>
    <n v="1"/>
    <n v="5476"/>
    <n v="22589"/>
    <n v="1"/>
    <s v="No"/>
    <n v="0"/>
    <n v="11"/>
    <n v="3"/>
    <n v="1"/>
    <n v="2"/>
    <n v="10"/>
    <n v="2"/>
    <n v="3"/>
    <n v="10"/>
    <n v="0"/>
    <n v="0"/>
    <n v="2"/>
  </r>
  <r>
    <n v="49"/>
    <x v="1"/>
    <n v="0"/>
    <s v="Travel_Rarely"/>
    <n v="0"/>
    <n v="1"/>
    <n v="464"/>
    <s v="Research &amp; Development"/>
    <n v="1"/>
    <n v="0"/>
    <n v="16"/>
    <n v="3"/>
    <s v="Medical"/>
    <n v="0"/>
    <n v="0"/>
    <n v="1"/>
    <n v="0"/>
    <n v="0"/>
    <n v="4"/>
    <x v="0"/>
    <n v="1"/>
    <n v="74"/>
    <n v="3"/>
    <n v="1"/>
    <s v="Laboratory Technician"/>
    <n v="0"/>
    <n v="0"/>
    <n v="1"/>
    <n v="0"/>
    <n v="0"/>
    <n v="0"/>
    <n v="0"/>
    <n v="0"/>
    <x v="3"/>
    <s v="Divorced"/>
    <n v="0"/>
    <n v="0"/>
    <n v="2587"/>
    <n v="24941"/>
    <n v="4"/>
    <s v="Yes"/>
    <n v="1"/>
    <n v="16"/>
    <n v="3"/>
    <n v="2"/>
    <n v="1"/>
    <n v="17"/>
    <n v="2"/>
    <n v="2"/>
    <n v="2"/>
    <n v="2"/>
    <n v="2"/>
    <n v="2"/>
  </r>
  <r>
    <n v="38"/>
    <x v="1"/>
    <n v="0"/>
    <s v="Travel_Frequently"/>
    <n v="1"/>
    <n v="0"/>
    <n v="148"/>
    <s v="Research &amp; Development"/>
    <n v="1"/>
    <n v="0"/>
    <n v="2"/>
    <n v="3"/>
    <s v="Medical"/>
    <n v="0"/>
    <n v="0"/>
    <n v="1"/>
    <n v="0"/>
    <n v="0"/>
    <n v="4"/>
    <x v="0"/>
    <n v="1"/>
    <n v="42"/>
    <n v="2"/>
    <n v="1"/>
    <s v="Laboratory Technician"/>
    <n v="0"/>
    <n v="0"/>
    <n v="1"/>
    <n v="0"/>
    <n v="0"/>
    <n v="0"/>
    <n v="0"/>
    <n v="0"/>
    <x v="1"/>
    <s v="Single"/>
    <n v="1"/>
    <n v="0"/>
    <n v="2440"/>
    <n v="23826"/>
    <n v="1"/>
    <s v="No"/>
    <n v="0"/>
    <n v="22"/>
    <n v="4"/>
    <n v="2"/>
    <n v="0"/>
    <n v="4"/>
    <n v="3"/>
    <n v="3"/>
    <n v="4"/>
    <n v="3"/>
    <n v="3"/>
    <n v="3"/>
  </r>
  <r>
    <n v="47"/>
    <x v="1"/>
    <n v="0"/>
    <s v="Travel_Rarely"/>
    <n v="0"/>
    <n v="1"/>
    <n v="1225"/>
    <s v="Sales"/>
    <n v="0"/>
    <n v="1"/>
    <n v="2"/>
    <n v="4"/>
    <s v="Life Sciences"/>
    <n v="1"/>
    <n v="0"/>
    <n v="0"/>
    <n v="0"/>
    <n v="0"/>
    <n v="2"/>
    <x v="0"/>
    <n v="1"/>
    <n v="47"/>
    <n v="4"/>
    <n v="4"/>
    <s v="Manager"/>
    <n v="0"/>
    <n v="0"/>
    <n v="0"/>
    <n v="1"/>
    <n v="0"/>
    <n v="0"/>
    <n v="0"/>
    <n v="0"/>
    <x v="1"/>
    <s v="Divorced"/>
    <n v="0"/>
    <n v="0"/>
    <n v="15972"/>
    <n v="21086"/>
    <n v="6"/>
    <s v="No"/>
    <n v="0"/>
    <n v="14"/>
    <n v="3"/>
    <n v="3"/>
    <n v="3"/>
    <n v="29"/>
    <n v="2"/>
    <n v="3"/>
    <n v="3"/>
    <n v="2"/>
    <n v="1"/>
    <n v="2"/>
  </r>
  <r>
    <n v="49"/>
    <x v="1"/>
    <n v="0"/>
    <s v="Travel_Rarely"/>
    <n v="0"/>
    <n v="1"/>
    <n v="809"/>
    <s v="Research &amp; Development"/>
    <n v="1"/>
    <n v="0"/>
    <n v="1"/>
    <n v="3"/>
    <s v="Life Sciences"/>
    <n v="1"/>
    <n v="0"/>
    <n v="0"/>
    <n v="0"/>
    <n v="0"/>
    <n v="3"/>
    <x v="1"/>
    <n v="0"/>
    <n v="36"/>
    <n v="3"/>
    <n v="4"/>
    <s v="Manager"/>
    <n v="0"/>
    <n v="0"/>
    <n v="0"/>
    <n v="1"/>
    <n v="0"/>
    <n v="0"/>
    <n v="0"/>
    <n v="0"/>
    <x v="2"/>
    <s v="Single"/>
    <n v="1"/>
    <n v="0"/>
    <n v="15379"/>
    <n v="22384"/>
    <n v="4"/>
    <s v="No"/>
    <n v="0"/>
    <n v="14"/>
    <n v="3"/>
    <n v="1"/>
    <n v="0"/>
    <n v="23"/>
    <n v="2"/>
    <n v="3"/>
    <n v="8"/>
    <n v="7"/>
    <n v="0"/>
    <n v="0"/>
  </r>
  <r>
    <n v="41"/>
    <x v="1"/>
    <n v="0"/>
    <s v="Travel_Rarely"/>
    <n v="0"/>
    <n v="1"/>
    <n v="1206"/>
    <s v="Sales"/>
    <n v="0"/>
    <n v="1"/>
    <n v="23"/>
    <n v="2"/>
    <s v="Life Sciences"/>
    <n v="1"/>
    <n v="0"/>
    <n v="0"/>
    <n v="0"/>
    <n v="0"/>
    <n v="4"/>
    <x v="1"/>
    <n v="0"/>
    <n v="80"/>
    <n v="3"/>
    <n v="3"/>
    <s v="Sales Executive"/>
    <n v="0"/>
    <n v="1"/>
    <n v="0"/>
    <n v="0"/>
    <n v="0"/>
    <n v="0"/>
    <n v="0"/>
    <n v="0"/>
    <x v="2"/>
    <s v="Single"/>
    <n v="1"/>
    <n v="0"/>
    <n v="7082"/>
    <n v="11591"/>
    <n v="3"/>
    <s v="Yes"/>
    <n v="1"/>
    <n v="16"/>
    <n v="3"/>
    <n v="4"/>
    <n v="0"/>
    <n v="21"/>
    <n v="2"/>
    <n v="3"/>
    <n v="2"/>
    <n v="0"/>
    <n v="0"/>
    <n v="2"/>
  </r>
  <r>
    <n v="20"/>
    <x v="1"/>
    <n v="0"/>
    <s v="Travel_Rarely"/>
    <n v="0"/>
    <n v="1"/>
    <n v="727"/>
    <s v="Sales"/>
    <n v="0"/>
    <n v="1"/>
    <n v="9"/>
    <n v="1"/>
    <s v="Life Sciences"/>
    <n v="1"/>
    <n v="0"/>
    <n v="0"/>
    <n v="0"/>
    <n v="0"/>
    <n v="4"/>
    <x v="1"/>
    <n v="0"/>
    <n v="54"/>
    <n v="3"/>
    <n v="1"/>
    <s v="Sales Representative"/>
    <n v="0"/>
    <n v="0"/>
    <n v="0"/>
    <n v="0"/>
    <n v="0"/>
    <n v="0"/>
    <n v="1"/>
    <n v="0"/>
    <x v="3"/>
    <s v="Single"/>
    <n v="1"/>
    <n v="0"/>
    <n v="2728"/>
    <n v="21082"/>
    <n v="1"/>
    <s v="No"/>
    <n v="0"/>
    <n v="11"/>
    <n v="3"/>
    <n v="1"/>
    <n v="0"/>
    <n v="2"/>
    <n v="3"/>
    <n v="3"/>
    <n v="2"/>
    <n v="2"/>
    <n v="0"/>
    <n v="2"/>
  </r>
  <r>
    <n v="33"/>
    <x v="1"/>
    <n v="0"/>
    <s v="Non-Travel"/>
    <n v="0"/>
    <n v="0"/>
    <n v="530"/>
    <s v="Sales"/>
    <n v="0"/>
    <n v="1"/>
    <n v="16"/>
    <n v="3"/>
    <s v="Life Sciences"/>
    <n v="1"/>
    <n v="0"/>
    <n v="0"/>
    <n v="0"/>
    <n v="0"/>
    <n v="3"/>
    <x v="0"/>
    <n v="1"/>
    <n v="36"/>
    <n v="3"/>
    <n v="2"/>
    <s v="Sales Executive"/>
    <n v="0"/>
    <n v="1"/>
    <n v="0"/>
    <n v="0"/>
    <n v="0"/>
    <n v="0"/>
    <n v="0"/>
    <n v="0"/>
    <x v="0"/>
    <s v="Divorced"/>
    <n v="0"/>
    <n v="0"/>
    <n v="5368"/>
    <n v="16130"/>
    <n v="1"/>
    <s v="Yes"/>
    <n v="1"/>
    <n v="25"/>
    <n v="4"/>
    <n v="3"/>
    <n v="1"/>
    <n v="7"/>
    <n v="2"/>
    <n v="3"/>
    <n v="6"/>
    <n v="5"/>
    <n v="1"/>
    <n v="2"/>
  </r>
  <r>
    <n v="36"/>
    <x v="1"/>
    <n v="0"/>
    <s v="Travel_Rarely"/>
    <n v="0"/>
    <n v="1"/>
    <n v="1351"/>
    <s v="Research &amp; Development"/>
    <n v="1"/>
    <n v="0"/>
    <n v="26"/>
    <n v="4"/>
    <s v="Life Sciences"/>
    <n v="1"/>
    <n v="0"/>
    <n v="0"/>
    <n v="0"/>
    <n v="0"/>
    <n v="1"/>
    <x v="1"/>
    <n v="0"/>
    <n v="80"/>
    <n v="3"/>
    <n v="2"/>
    <s v="Healthcare Representative"/>
    <n v="1"/>
    <n v="0"/>
    <n v="0"/>
    <n v="0"/>
    <n v="0"/>
    <n v="0"/>
    <n v="0"/>
    <n v="0"/>
    <x v="2"/>
    <s v="Married"/>
    <n v="0"/>
    <n v="1"/>
    <n v="5347"/>
    <n v="7419"/>
    <n v="6"/>
    <s v="No"/>
    <n v="0"/>
    <n v="14"/>
    <n v="3"/>
    <n v="2"/>
    <n v="2"/>
    <n v="10"/>
    <n v="2"/>
    <n v="2"/>
    <n v="3"/>
    <n v="2"/>
    <n v="0"/>
    <n v="2"/>
  </r>
  <r>
    <n v="44"/>
    <x v="1"/>
    <n v="0"/>
    <s v="Travel_Rarely"/>
    <n v="0"/>
    <n v="1"/>
    <n v="528"/>
    <s v="Human Resources"/>
    <n v="0"/>
    <n v="0"/>
    <n v="1"/>
    <n v="3"/>
    <s v="Life Sciences"/>
    <n v="1"/>
    <n v="0"/>
    <n v="0"/>
    <n v="0"/>
    <n v="0"/>
    <n v="3"/>
    <x v="0"/>
    <n v="1"/>
    <n v="44"/>
    <n v="3"/>
    <n v="1"/>
    <s v="Human Resources"/>
    <n v="0"/>
    <n v="0"/>
    <n v="0"/>
    <n v="0"/>
    <n v="0"/>
    <n v="0"/>
    <n v="0"/>
    <n v="0"/>
    <x v="0"/>
    <s v="Divorced"/>
    <n v="0"/>
    <n v="0"/>
    <n v="3195"/>
    <n v="4167"/>
    <n v="4"/>
    <s v="Yes"/>
    <n v="1"/>
    <n v="18"/>
    <n v="3"/>
    <n v="1"/>
    <n v="3"/>
    <n v="8"/>
    <n v="2"/>
    <n v="3"/>
    <n v="2"/>
    <n v="2"/>
    <n v="2"/>
    <n v="2"/>
  </r>
  <r>
    <n v="23"/>
    <x v="0"/>
    <n v="1"/>
    <s v="Travel_Rarely"/>
    <n v="0"/>
    <n v="1"/>
    <n v="1320"/>
    <s v="Research &amp; Development"/>
    <n v="1"/>
    <n v="0"/>
    <n v="8"/>
    <n v="1"/>
    <s v="Medical"/>
    <n v="0"/>
    <n v="0"/>
    <n v="1"/>
    <n v="0"/>
    <n v="0"/>
    <n v="4"/>
    <x v="1"/>
    <n v="0"/>
    <n v="93"/>
    <n v="2"/>
    <n v="1"/>
    <s v="Laboratory Technician"/>
    <n v="0"/>
    <n v="0"/>
    <n v="1"/>
    <n v="0"/>
    <n v="0"/>
    <n v="0"/>
    <n v="0"/>
    <n v="0"/>
    <x v="2"/>
    <s v="Single"/>
    <n v="1"/>
    <n v="0"/>
    <n v="3989"/>
    <n v="20586"/>
    <n v="1"/>
    <s v="Yes"/>
    <n v="1"/>
    <n v="11"/>
    <n v="3"/>
    <n v="1"/>
    <n v="0"/>
    <n v="5"/>
    <n v="2"/>
    <n v="3"/>
    <n v="5"/>
    <n v="4"/>
    <n v="1"/>
    <n v="2"/>
  </r>
  <r>
    <n v="38"/>
    <x v="1"/>
    <n v="0"/>
    <s v="Travel_Rarely"/>
    <n v="0"/>
    <n v="1"/>
    <n v="1495"/>
    <s v="Research &amp; Development"/>
    <n v="1"/>
    <n v="0"/>
    <n v="4"/>
    <n v="2"/>
    <s v="Medical"/>
    <n v="0"/>
    <n v="0"/>
    <n v="1"/>
    <n v="0"/>
    <n v="0"/>
    <n v="4"/>
    <x v="0"/>
    <n v="1"/>
    <n v="87"/>
    <n v="3"/>
    <n v="1"/>
    <s v="Laboratory Technician"/>
    <n v="0"/>
    <n v="0"/>
    <n v="1"/>
    <n v="0"/>
    <n v="0"/>
    <n v="0"/>
    <n v="0"/>
    <n v="0"/>
    <x v="2"/>
    <s v="Married"/>
    <n v="0"/>
    <n v="1"/>
    <n v="3306"/>
    <n v="26176"/>
    <n v="7"/>
    <s v="No"/>
    <n v="0"/>
    <n v="19"/>
    <n v="3"/>
    <n v="4"/>
    <n v="1"/>
    <n v="7"/>
    <n v="5"/>
    <n v="2"/>
    <n v="0"/>
    <n v="0"/>
    <n v="0"/>
    <n v="0"/>
  </r>
  <r>
    <n v="53"/>
    <x v="1"/>
    <n v="0"/>
    <s v="Travel_Rarely"/>
    <n v="0"/>
    <n v="1"/>
    <n v="1395"/>
    <s v="Research &amp; Development"/>
    <n v="1"/>
    <n v="0"/>
    <n v="24"/>
    <n v="4"/>
    <s v="Medical"/>
    <n v="0"/>
    <n v="0"/>
    <n v="1"/>
    <n v="0"/>
    <n v="0"/>
    <n v="2"/>
    <x v="1"/>
    <n v="0"/>
    <n v="48"/>
    <n v="4"/>
    <n v="3"/>
    <s v="Healthcare Representative"/>
    <n v="1"/>
    <n v="0"/>
    <n v="0"/>
    <n v="0"/>
    <n v="0"/>
    <n v="0"/>
    <n v="0"/>
    <n v="0"/>
    <x v="0"/>
    <s v="Married"/>
    <n v="0"/>
    <n v="1"/>
    <n v="7005"/>
    <n v="3458"/>
    <n v="3"/>
    <s v="No"/>
    <n v="0"/>
    <n v="15"/>
    <n v="3"/>
    <n v="3"/>
    <n v="0"/>
    <n v="11"/>
    <n v="2"/>
    <n v="3"/>
    <n v="4"/>
    <n v="3"/>
    <n v="1"/>
    <n v="2"/>
  </r>
  <r>
    <n v="48"/>
    <x v="0"/>
    <n v="1"/>
    <s v="Travel_Frequently"/>
    <n v="1"/>
    <n v="0"/>
    <n v="708"/>
    <s v="Sales"/>
    <n v="0"/>
    <n v="1"/>
    <n v="7"/>
    <n v="2"/>
    <s v="Medical"/>
    <n v="0"/>
    <n v="0"/>
    <n v="1"/>
    <n v="0"/>
    <n v="0"/>
    <n v="4"/>
    <x v="0"/>
    <n v="1"/>
    <n v="95"/>
    <n v="3"/>
    <n v="1"/>
    <s v="Sales Representative"/>
    <n v="0"/>
    <n v="0"/>
    <n v="0"/>
    <n v="0"/>
    <n v="0"/>
    <n v="0"/>
    <n v="1"/>
    <n v="0"/>
    <x v="2"/>
    <s v="Married"/>
    <n v="0"/>
    <n v="1"/>
    <n v="2655"/>
    <n v="11740"/>
    <n v="2"/>
    <s v="Yes"/>
    <n v="1"/>
    <n v="11"/>
    <n v="3"/>
    <n v="3"/>
    <n v="2"/>
    <n v="19"/>
    <n v="3"/>
    <n v="3"/>
    <n v="9"/>
    <n v="7"/>
    <n v="7"/>
    <n v="7"/>
  </r>
  <r>
    <n v="32"/>
    <x v="0"/>
    <n v="1"/>
    <s v="Travel_Rarely"/>
    <n v="0"/>
    <n v="1"/>
    <n v="1259"/>
    <s v="Research &amp; Development"/>
    <n v="1"/>
    <n v="0"/>
    <n v="2"/>
    <n v="4"/>
    <s v="Life Sciences"/>
    <n v="1"/>
    <n v="0"/>
    <n v="0"/>
    <n v="0"/>
    <n v="0"/>
    <n v="4"/>
    <x v="1"/>
    <n v="0"/>
    <n v="95"/>
    <n v="3"/>
    <n v="1"/>
    <s v="Laboratory Technician"/>
    <n v="0"/>
    <n v="0"/>
    <n v="1"/>
    <n v="0"/>
    <n v="0"/>
    <n v="0"/>
    <n v="0"/>
    <n v="0"/>
    <x v="1"/>
    <s v="Single"/>
    <n v="1"/>
    <n v="0"/>
    <n v="1393"/>
    <n v="24852"/>
    <n v="1"/>
    <s v="No"/>
    <n v="0"/>
    <n v="12"/>
    <n v="3"/>
    <n v="1"/>
    <n v="0"/>
    <n v="1"/>
    <n v="2"/>
    <n v="3"/>
    <n v="1"/>
    <n v="0"/>
    <n v="0"/>
    <n v="0"/>
  </r>
  <r>
    <n v="26"/>
    <x v="1"/>
    <n v="0"/>
    <s v="Non-Travel"/>
    <n v="0"/>
    <n v="0"/>
    <n v="786"/>
    <s v="Research &amp; Development"/>
    <n v="1"/>
    <n v="0"/>
    <n v="7"/>
    <n v="3"/>
    <s v="Medical"/>
    <n v="0"/>
    <n v="0"/>
    <n v="1"/>
    <n v="0"/>
    <n v="0"/>
    <n v="4"/>
    <x v="1"/>
    <n v="0"/>
    <n v="76"/>
    <n v="3"/>
    <n v="1"/>
    <s v="Laboratory Technician"/>
    <n v="0"/>
    <n v="0"/>
    <n v="1"/>
    <n v="0"/>
    <n v="0"/>
    <n v="0"/>
    <n v="0"/>
    <n v="0"/>
    <x v="0"/>
    <s v="Single"/>
    <n v="1"/>
    <n v="0"/>
    <n v="2570"/>
    <n v="11925"/>
    <n v="1"/>
    <s v="No"/>
    <n v="0"/>
    <n v="20"/>
    <n v="4"/>
    <n v="3"/>
    <n v="0"/>
    <n v="7"/>
    <n v="5"/>
    <n v="3"/>
    <n v="7"/>
    <n v="7"/>
    <n v="5"/>
    <n v="7"/>
  </r>
  <r>
    <n v="55"/>
    <x v="1"/>
    <n v="0"/>
    <s v="Travel_Rarely"/>
    <n v="0"/>
    <n v="1"/>
    <n v="1441"/>
    <s v="Research &amp; Development"/>
    <n v="1"/>
    <n v="0"/>
    <n v="22"/>
    <n v="3"/>
    <s v="Technical Degree"/>
    <n v="0"/>
    <n v="0"/>
    <n v="0"/>
    <n v="0"/>
    <n v="1"/>
    <n v="1"/>
    <x v="1"/>
    <n v="0"/>
    <n v="94"/>
    <n v="2"/>
    <n v="1"/>
    <s v="Research Scientist"/>
    <n v="0"/>
    <n v="0"/>
    <n v="0"/>
    <n v="0"/>
    <n v="0"/>
    <n v="0"/>
    <n v="0"/>
    <n v="1"/>
    <x v="1"/>
    <s v="Divorced"/>
    <n v="0"/>
    <n v="0"/>
    <n v="3537"/>
    <n v="23737"/>
    <n v="5"/>
    <s v="No"/>
    <n v="0"/>
    <n v="12"/>
    <n v="3"/>
    <n v="4"/>
    <n v="1"/>
    <n v="8"/>
    <n v="1"/>
    <n v="3"/>
    <n v="4"/>
    <n v="2"/>
    <n v="1"/>
    <n v="2"/>
  </r>
  <r>
    <n v="34"/>
    <x v="1"/>
    <n v="0"/>
    <s v="Travel_Rarely"/>
    <n v="0"/>
    <n v="1"/>
    <n v="1157"/>
    <s v="Research &amp; Development"/>
    <n v="1"/>
    <n v="0"/>
    <n v="5"/>
    <n v="2"/>
    <s v="Medical"/>
    <n v="0"/>
    <n v="0"/>
    <n v="1"/>
    <n v="0"/>
    <n v="0"/>
    <n v="2"/>
    <x v="1"/>
    <n v="0"/>
    <n v="57"/>
    <n v="2"/>
    <n v="2"/>
    <s v="Laboratory Technician"/>
    <n v="0"/>
    <n v="0"/>
    <n v="1"/>
    <n v="0"/>
    <n v="0"/>
    <n v="0"/>
    <n v="0"/>
    <n v="0"/>
    <x v="0"/>
    <s v="Married"/>
    <n v="0"/>
    <n v="1"/>
    <n v="3986"/>
    <n v="11912"/>
    <n v="1"/>
    <s v="No"/>
    <n v="0"/>
    <n v="14"/>
    <n v="3"/>
    <n v="3"/>
    <n v="1"/>
    <n v="15"/>
    <n v="3"/>
    <n v="4"/>
    <n v="15"/>
    <n v="10"/>
    <n v="4"/>
    <n v="13"/>
  </r>
  <r>
    <n v="60"/>
    <x v="1"/>
    <n v="0"/>
    <s v="Travel_Rarely"/>
    <n v="0"/>
    <n v="1"/>
    <n v="370"/>
    <s v="Research &amp; Development"/>
    <n v="1"/>
    <n v="0"/>
    <n v="1"/>
    <n v="4"/>
    <s v="Medical"/>
    <n v="0"/>
    <n v="0"/>
    <n v="1"/>
    <n v="0"/>
    <n v="0"/>
    <n v="3"/>
    <x v="1"/>
    <n v="0"/>
    <n v="92"/>
    <n v="1"/>
    <n v="3"/>
    <s v="Healthcare Representative"/>
    <n v="1"/>
    <n v="0"/>
    <n v="0"/>
    <n v="0"/>
    <n v="0"/>
    <n v="0"/>
    <n v="0"/>
    <n v="0"/>
    <x v="0"/>
    <s v="Divorced"/>
    <n v="0"/>
    <n v="0"/>
    <n v="10883"/>
    <n v="20467"/>
    <n v="3"/>
    <s v="No"/>
    <n v="0"/>
    <n v="20"/>
    <n v="4"/>
    <n v="3"/>
    <n v="1"/>
    <n v="19"/>
    <n v="2"/>
    <n v="4"/>
    <n v="1"/>
    <n v="0"/>
    <n v="0"/>
    <n v="0"/>
  </r>
  <r>
    <n v="33"/>
    <x v="1"/>
    <n v="0"/>
    <s v="Travel_Rarely"/>
    <n v="0"/>
    <n v="1"/>
    <n v="267"/>
    <s v="Research &amp; Development"/>
    <n v="1"/>
    <n v="0"/>
    <n v="21"/>
    <n v="3"/>
    <s v="Medical"/>
    <n v="0"/>
    <n v="0"/>
    <n v="1"/>
    <n v="0"/>
    <n v="0"/>
    <n v="2"/>
    <x v="1"/>
    <n v="0"/>
    <n v="79"/>
    <n v="4"/>
    <n v="1"/>
    <s v="Laboratory Technician"/>
    <n v="0"/>
    <n v="0"/>
    <n v="1"/>
    <n v="0"/>
    <n v="0"/>
    <n v="0"/>
    <n v="0"/>
    <n v="0"/>
    <x v="1"/>
    <s v="Married"/>
    <n v="0"/>
    <n v="1"/>
    <n v="2028"/>
    <n v="13637"/>
    <n v="1"/>
    <s v="No"/>
    <n v="0"/>
    <n v="18"/>
    <n v="3"/>
    <n v="4"/>
    <n v="3"/>
    <n v="14"/>
    <n v="6"/>
    <n v="3"/>
    <n v="14"/>
    <n v="11"/>
    <n v="2"/>
    <n v="13"/>
  </r>
  <r>
    <n v="37"/>
    <x v="1"/>
    <n v="0"/>
    <s v="Travel_Frequently"/>
    <n v="1"/>
    <n v="0"/>
    <n v="1278"/>
    <s v="Sales"/>
    <n v="0"/>
    <n v="1"/>
    <n v="1"/>
    <n v="4"/>
    <s v="Medical"/>
    <n v="0"/>
    <n v="0"/>
    <n v="1"/>
    <n v="0"/>
    <n v="0"/>
    <n v="3"/>
    <x v="1"/>
    <n v="0"/>
    <n v="31"/>
    <n v="1"/>
    <n v="2"/>
    <s v="Sales Executive"/>
    <n v="0"/>
    <n v="1"/>
    <n v="0"/>
    <n v="0"/>
    <n v="0"/>
    <n v="0"/>
    <n v="0"/>
    <n v="0"/>
    <x v="0"/>
    <s v="Divorced"/>
    <n v="0"/>
    <n v="0"/>
    <n v="9525"/>
    <n v="7677"/>
    <n v="1"/>
    <s v="No"/>
    <n v="0"/>
    <n v="14"/>
    <n v="3"/>
    <n v="3"/>
    <n v="2"/>
    <n v="6"/>
    <n v="2"/>
    <n v="2"/>
    <n v="6"/>
    <n v="3"/>
    <n v="1"/>
    <n v="3"/>
  </r>
  <r>
    <n v="34"/>
    <x v="1"/>
    <n v="0"/>
    <s v="Travel_Rarely"/>
    <n v="0"/>
    <n v="1"/>
    <n v="678"/>
    <s v="Research &amp; Development"/>
    <n v="1"/>
    <n v="0"/>
    <n v="19"/>
    <n v="3"/>
    <s v="Life Sciences"/>
    <n v="1"/>
    <n v="0"/>
    <n v="0"/>
    <n v="0"/>
    <n v="0"/>
    <n v="2"/>
    <x v="0"/>
    <n v="1"/>
    <n v="35"/>
    <n v="2"/>
    <n v="1"/>
    <s v="Research Scientist"/>
    <n v="0"/>
    <n v="0"/>
    <n v="0"/>
    <n v="0"/>
    <n v="0"/>
    <n v="0"/>
    <n v="0"/>
    <n v="1"/>
    <x v="0"/>
    <s v="Married"/>
    <n v="0"/>
    <n v="1"/>
    <n v="2929"/>
    <n v="20338"/>
    <n v="1"/>
    <s v="No"/>
    <n v="0"/>
    <n v="12"/>
    <n v="3"/>
    <n v="2"/>
    <n v="0"/>
    <n v="10"/>
    <n v="3"/>
    <n v="3"/>
    <n v="10"/>
    <n v="9"/>
    <n v="8"/>
    <n v="7"/>
  </r>
  <r>
    <n v="23"/>
    <x v="0"/>
    <n v="1"/>
    <s v="Travel_Rarely"/>
    <n v="0"/>
    <n v="1"/>
    <n v="427"/>
    <s v="Sales"/>
    <n v="0"/>
    <n v="1"/>
    <n v="7"/>
    <n v="3"/>
    <s v="Life Sciences"/>
    <n v="1"/>
    <n v="0"/>
    <n v="0"/>
    <n v="0"/>
    <n v="0"/>
    <n v="3"/>
    <x v="1"/>
    <n v="0"/>
    <n v="99"/>
    <n v="3"/>
    <n v="1"/>
    <s v="Sales Representative"/>
    <n v="0"/>
    <n v="0"/>
    <n v="0"/>
    <n v="0"/>
    <n v="0"/>
    <n v="0"/>
    <n v="1"/>
    <n v="0"/>
    <x v="0"/>
    <s v="Divorced"/>
    <n v="0"/>
    <n v="0"/>
    <n v="2275"/>
    <n v="25103"/>
    <n v="1"/>
    <s v="Yes"/>
    <n v="1"/>
    <n v="21"/>
    <n v="4"/>
    <n v="2"/>
    <n v="1"/>
    <n v="3"/>
    <n v="2"/>
    <n v="3"/>
    <n v="3"/>
    <n v="2"/>
    <n v="0"/>
    <n v="2"/>
  </r>
  <r>
    <n v="44"/>
    <x v="1"/>
    <n v="0"/>
    <s v="Travel_Rarely"/>
    <n v="0"/>
    <n v="1"/>
    <n v="921"/>
    <s v="Research &amp; Development"/>
    <n v="1"/>
    <n v="0"/>
    <n v="2"/>
    <n v="3"/>
    <s v="Life Sciences"/>
    <n v="1"/>
    <n v="0"/>
    <n v="0"/>
    <n v="0"/>
    <n v="0"/>
    <n v="3"/>
    <x v="0"/>
    <n v="1"/>
    <n v="96"/>
    <n v="4"/>
    <n v="3"/>
    <s v="Healthcare Representative"/>
    <n v="1"/>
    <n v="0"/>
    <n v="0"/>
    <n v="0"/>
    <n v="0"/>
    <n v="0"/>
    <n v="0"/>
    <n v="0"/>
    <x v="0"/>
    <s v="Married"/>
    <n v="0"/>
    <n v="1"/>
    <n v="7879"/>
    <n v="14810"/>
    <n v="1"/>
    <s v="Yes"/>
    <n v="1"/>
    <n v="19"/>
    <n v="3"/>
    <n v="2"/>
    <n v="1"/>
    <n v="9"/>
    <n v="2"/>
    <n v="3"/>
    <n v="8"/>
    <n v="7"/>
    <n v="6"/>
    <n v="7"/>
  </r>
  <r>
    <n v="35"/>
    <x v="1"/>
    <n v="0"/>
    <s v="Travel_Frequently"/>
    <n v="1"/>
    <n v="0"/>
    <n v="146"/>
    <s v="Research &amp; Development"/>
    <n v="1"/>
    <n v="0"/>
    <n v="2"/>
    <n v="4"/>
    <s v="Medical"/>
    <n v="0"/>
    <n v="0"/>
    <n v="1"/>
    <n v="0"/>
    <n v="0"/>
    <n v="1"/>
    <x v="1"/>
    <n v="0"/>
    <n v="79"/>
    <n v="2"/>
    <n v="1"/>
    <s v="Research Scientist"/>
    <n v="0"/>
    <n v="0"/>
    <n v="0"/>
    <n v="0"/>
    <n v="0"/>
    <n v="0"/>
    <n v="0"/>
    <n v="1"/>
    <x v="0"/>
    <s v="Single"/>
    <n v="1"/>
    <n v="0"/>
    <n v="4930"/>
    <n v="13970"/>
    <n v="0"/>
    <s v="Yes"/>
    <n v="1"/>
    <n v="14"/>
    <n v="3"/>
    <n v="3"/>
    <n v="0"/>
    <n v="6"/>
    <n v="2"/>
    <n v="4"/>
    <n v="5"/>
    <n v="4"/>
    <n v="1"/>
    <n v="4"/>
  </r>
  <r>
    <n v="43"/>
    <x v="1"/>
    <n v="0"/>
    <s v="Travel_Rarely"/>
    <n v="0"/>
    <n v="1"/>
    <n v="1179"/>
    <s v="Sales"/>
    <n v="0"/>
    <n v="1"/>
    <n v="2"/>
    <n v="3"/>
    <s v="Medical"/>
    <n v="0"/>
    <n v="0"/>
    <n v="1"/>
    <n v="0"/>
    <n v="0"/>
    <n v="4"/>
    <x v="1"/>
    <n v="0"/>
    <n v="73"/>
    <n v="3"/>
    <n v="2"/>
    <s v="Sales Executive"/>
    <n v="0"/>
    <n v="1"/>
    <n v="0"/>
    <n v="0"/>
    <n v="0"/>
    <n v="0"/>
    <n v="0"/>
    <n v="0"/>
    <x v="0"/>
    <s v="Married"/>
    <n v="0"/>
    <n v="1"/>
    <n v="7847"/>
    <n v="6069"/>
    <n v="1"/>
    <s v="Yes"/>
    <n v="1"/>
    <n v="17"/>
    <n v="3"/>
    <n v="1"/>
    <n v="1"/>
    <n v="10"/>
    <n v="3"/>
    <n v="3"/>
    <n v="10"/>
    <n v="9"/>
    <n v="8"/>
    <n v="8"/>
  </r>
  <r>
    <n v="24"/>
    <x v="1"/>
    <n v="0"/>
    <s v="Travel_Rarely"/>
    <n v="0"/>
    <n v="1"/>
    <n v="581"/>
    <s v="Research &amp; Development"/>
    <n v="1"/>
    <n v="0"/>
    <n v="9"/>
    <n v="3"/>
    <s v="Medical"/>
    <n v="0"/>
    <n v="0"/>
    <n v="1"/>
    <n v="0"/>
    <n v="0"/>
    <n v="3"/>
    <x v="1"/>
    <n v="0"/>
    <n v="62"/>
    <n v="4"/>
    <n v="1"/>
    <s v="Research Scientist"/>
    <n v="0"/>
    <n v="0"/>
    <n v="0"/>
    <n v="0"/>
    <n v="0"/>
    <n v="0"/>
    <n v="0"/>
    <n v="1"/>
    <x v="2"/>
    <s v="Married"/>
    <n v="0"/>
    <n v="1"/>
    <n v="4401"/>
    <n v="17616"/>
    <n v="1"/>
    <s v="No"/>
    <n v="0"/>
    <n v="16"/>
    <n v="3"/>
    <n v="4"/>
    <n v="1"/>
    <n v="5"/>
    <n v="1"/>
    <n v="3"/>
    <n v="5"/>
    <n v="3"/>
    <n v="0"/>
    <n v="4"/>
  </r>
  <r>
    <n v="41"/>
    <x v="1"/>
    <n v="0"/>
    <s v="Travel_Rarely"/>
    <n v="0"/>
    <n v="1"/>
    <n v="918"/>
    <s v="Sales"/>
    <n v="0"/>
    <n v="1"/>
    <n v="6"/>
    <n v="3"/>
    <s v="Marketing"/>
    <n v="0"/>
    <n v="0"/>
    <n v="0"/>
    <n v="1"/>
    <n v="0"/>
    <n v="4"/>
    <x v="1"/>
    <n v="0"/>
    <n v="35"/>
    <n v="3"/>
    <n v="3"/>
    <s v="Sales Executive"/>
    <n v="0"/>
    <n v="1"/>
    <n v="0"/>
    <n v="0"/>
    <n v="0"/>
    <n v="0"/>
    <n v="0"/>
    <n v="0"/>
    <x v="2"/>
    <s v="Single"/>
    <n v="1"/>
    <n v="0"/>
    <n v="9241"/>
    <n v="15869"/>
    <n v="1"/>
    <s v="No"/>
    <n v="0"/>
    <n v="12"/>
    <n v="3"/>
    <n v="2"/>
    <n v="0"/>
    <n v="10"/>
    <n v="3"/>
    <n v="3"/>
    <n v="10"/>
    <n v="8"/>
    <n v="8"/>
    <n v="7"/>
  </r>
  <r>
    <n v="29"/>
    <x v="1"/>
    <n v="0"/>
    <s v="Travel_Rarely"/>
    <n v="0"/>
    <n v="1"/>
    <n v="1082"/>
    <s v="Research &amp; Development"/>
    <n v="1"/>
    <n v="0"/>
    <n v="9"/>
    <n v="4"/>
    <s v="Medical"/>
    <n v="0"/>
    <n v="0"/>
    <n v="1"/>
    <n v="0"/>
    <n v="0"/>
    <n v="4"/>
    <x v="0"/>
    <n v="1"/>
    <n v="43"/>
    <n v="3"/>
    <n v="1"/>
    <s v="Laboratory Technician"/>
    <n v="0"/>
    <n v="0"/>
    <n v="1"/>
    <n v="0"/>
    <n v="0"/>
    <n v="0"/>
    <n v="0"/>
    <n v="0"/>
    <x v="2"/>
    <s v="Married"/>
    <n v="0"/>
    <n v="1"/>
    <n v="2974"/>
    <n v="25412"/>
    <n v="9"/>
    <s v="No"/>
    <n v="0"/>
    <n v="17"/>
    <n v="3"/>
    <n v="3"/>
    <n v="1"/>
    <n v="9"/>
    <n v="2"/>
    <n v="3"/>
    <n v="5"/>
    <n v="3"/>
    <n v="1"/>
    <n v="2"/>
  </r>
  <r>
    <n v="36"/>
    <x v="1"/>
    <n v="0"/>
    <s v="Travel_Rarely"/>
    <n v="0"/>
    <n v="1"/>
    <n v="530"/>
    <s v="Sales"/>
    <n v="0"/>
    <n v="1"/>
    <n v="2"/>
    <n v="4"/>
    <s v="Life Sciences"/>
    <n v="1"/>
    <n v="0"/>
    <n v="0"/>
    <n v="0"/>
    <n v="0"/>
    <n v="3"/>
    <x v="0"/>
    <n v="1"/>
    <n v="51"/>
    <n v="3"/>
    <n v="2"/>
    <s v="Sales Representative"/>
    <n v="0"/>
    <n v="0"/>
    <n v="0"/>
    <n v="0"/>
    <n v="0"/>
    <n v="0"/>
    <n v="1"/>
    <n v="0"/>
    <x v="0"/>
    <s v="Single"/>
    <n v="1"/>
    <n v="0"/>
    <n v="4502"/>
    <n v="7439"/>
    <n v="3"/>
    <s v="No"/>
    <n v="0"/>
    <n v="15"/>
    <n v="3"/>
    <n v="3"/>
    <n v="0"/>
    <n v="17"/>
    <n v="2"/>
    <n v="2"/>
    <n v="13"/>
    <n v="7"/>
    <n v="6"/>
    <n v="7"/>
  </r>
  <r>
    <n v="45"/>
    <x v="1"/>
    <n v="0"/>
    <s v="Non-Travel"/>
    <n v="0"/>
    <n v="0"/>
    <n v="1238"/>
    <s v="Research &amp; Development"/>
    <n v="1"/>
    <n v="0"/>
    <n v="1"/>
    <n v="1"/>
    <s v="Life Sciences"/>
    <n v="1"/>
    <n v="0"/>
    <n v="0"/>
    <n v="0"/>
    <n v="0"/>
    <n v="3"/>
    <x v="1"/>
    <n v="0"/>
    <n v="74"/>
    <n v="2"/>
    <n v="3"/>
    <s v="Healthcare Representative"/>
    <n v="1"/>
    <n v="0"/>
    <n v="0"/>
    <n v="0"/>
    <n v="0"/>
    <n v="0"/>
    <n v="0"/>
    <n v="0"/>
    <x v="2"/>
    <s v="Married"/>
    <n v="0"/>
    <n v="1"/>
    <n v="10748"/>
    <n v="3395"/>
    <n v="3"/>
    <s v="No"/>
    <n v="0"/>
    <n v="23"/>
    <n v="4"/>
    <n v="4"/>
    <n v="1"/>
    <n v="25"/>
    <n v="3"/>
    <n v="2"/>
    <n v="23"/>
    <n v="15"/>
    <n v="14"/>
    <n v="4"/>
  </r>
  <r>
    <n v="24"/>
    <x v="0"/>
    <n v="1"/>
    <s v="Travel_Rarely"/>
    <n v="0"/>
    <n v="1"/>
    <n v="240"/>
    <s v="Human Resources"/>
    <n v="0"/>
    <n v="0"/>
    <n v="22"/>
    <n v="1"/>
    <s v="Human Resources"/>
    <n v="0"/>
    <n v="0"/>
    <n v="0"/>
    <n v="0"/>
    <n v="0"/>
    <n v="4"/>
    <x v="1"/>
    <n v="0"/>
    <n v="58"/>
    <n v="1"/>
    <n v="1"/>
    <s v="Human Resources"/>
    <n v="0"/>
    <n v="0"/>
    <n v="0"/>
    <n v="0"/>
    <n v="0"/>
    <n v="0"/>
    <n v="0"/>
    <n v="0"/>
    <x v="2"/>
    <s v="Married"/>
    <n v="0"/>
    <n v="1"/>
    <n v="1555"/>
    <n v="11585"/>
    <n v="1"/>
    <s v="No"/>
    <n v="0"/>
    <n v="11"/>
    <n v="3"/>
    <n v="3"/>
    <n v="1"/>
    <n v="1"/>
    <n v="2"/>
    <n v="3"/>
    <n v="1"/>
    <n v="0"/>
    <n v="0"/>
    <n v="0"/>
  </r>
  <r>
    <n v="47"/>
    <x v="0"/>
    <n v="1"/>
    <s v="Travel_Frequently"/>
    <n v="1"/>
    <n v="0"/>
    <n v="1093"/>
    <s v="Sales"/>
    <n v="0"/>
    <n v="1"/>
    <n v="9"/>
    <n v="3"/>
    <s v="Life Sciences"/>
    <n v="1"/>
    <n v="0"/>
    <n v="0"/>
    <n v="0"/>
    <n v="0"/>
    <n v="3"/>
    <x v="1"/>
    <n v="0"/>
    <n v="82"/>
    <n v="1"/>
    <n v="4"/>
    <s v="Sales Executive"/>
    <n v="0"/>
    <n v="1"/>
    <n v="0"/>
    <n v="0"/>
    <n v="0"/>
    <n v="0"/>
    <n v="0"/>
    <n v="0"/>
    <x v="2"/>
    <s v="Married"/>
    <n v="0"/>
    <n v="1"/>
    <n v="12936"/>
    <n v="24164"/>
    <n v="7"/>
    <s v="No"/>
    <n v="0"/>
    <n v="11"/>
    <n v="3"/>
    <n v="3"/>
    <n v="0"/>
    <n v="25"/>
    <n v="3"/>
    <n v="1"/>
    <n v="23"/>
    <n v="5"/>
    <n v="14"/>
    <n v="10"/>
  </r>
  <r>
    <n v="26"/>
    <x v="1"/>
    <n v="0"/>
    <s v="Travel_Rarely"/>
    <n v="0"/>
    <n v="1"/>
    <n v="390"/>
    <s v="Research &amp; Development"/>
    <n v="1"/>
    <n v="0"/>
    <n v="17"/>
    <n v="4"/>
    <s v="Medical"/>
    <n v="0"/>
    <n v="0"/>
    <n v="1"/>
    <n v="0"/>
    <n v="0"/>
    <n v="4"/>
    <x v="1"/>
    <n v="0"/>
    <n v="62"/>
    <n v="1"/>
    <n v="1"/>
    <s v="Laboratory Technician"/>
    <n v="0"/>
    <n v="0"/>
    <n v="1"/>
    <n v="0"/>
    <n v="0"/>
    <n v="0"/>
    <n v="0"/>
    <n v="0"/>
    <x v="2"/>
    <s v="Married"/>
    <n v="0"/>
    <n v="1"/>
    <n v="2305"/>
    <n v="6217"/>
    <n v="1"/>
    <s v="No"/>
    <n v="0"/>
    <n v="15"/>
    <n v="3"/>
    <n v="3"/>
    <n v="3"/>
    <n v="3"/>
    <n v="3"/>
    <n v="4"/>
    <n v="3"/>
    <n v="2"/>
    <n v="0"/>
    <n v="2"/>
  </r>
  <r>
    <n v="45"/>
    <x v="1"/>
    <n v="0"/>
    <s v="Travel_Rarely"/>
    <n v="0"/>
    <n v="1"/>
    <n v="1005"/>
    <s v="Research &amp; Development"/>
    <n v="1"/>
    <n v="0"/>
    <n v="28"/>
    <n v="2"/>
    <s v="Technical Degree"/>
    <n v="0"/>
    <n v="0"/>
    <n v="0"/>
    <n v="0"/>
    <n v="1"/>
    <n v="4"/>
    <x v="0"/>
    <n v="1"/>
    <n v="48"/>
    <n v="2"/>
    <n v="4"/>
    <s v="Research Director"/>
    <n v="0"/>
    <n v="0"/>
    <n v="0"/>
    <n v="0"/>
    <n v="0"/>
    <n v="0"/>
    <n v="0"/>
    <n v="0"/>
    <x v="1"/>
    <s v="Single"/>
    <n v="1"/>
    <n v="0"/>
    <n v="16704"/>
    <n v="17119"/>
    <n v="1"/>
    <s v="No"/>
    <n v="0"/>
    <n v="11"/>
    <n v="3"/>
    <n v="3"/>
    <n v="0"/>
    <n v="21"/>
    <n v="2"/>
    <n v="3"/>
    <n v="21"/>
    <n v="6"/>
    <n v="8"/>
    <n v="6"/>
  </r>
  <r>
    <n v="32"/>
    <x v="1"/>
    <n v="0"/>
    <s v="Travel_Frequently"/>
    <n v="1"/>
    <n v="0"/>
    <n v="585"/>
    <s v="Research &amp; Development"/>
    <n v="1"/>
    <n v="0"/>
    <n v="10"/>
    <n v="3"/>
    <s v="Life Sciences"/>
    <n v="1"/>
    <n v="0"/>
    <n v="0"/>
    <n v="0"/>
    <n v="0"/>
    <n v="1"/>
    <x v="1"/>
    <n v="0"/>
    <n v="56"/>
    <n v="3"/>
    <n v="1"/>
    <s v="Research Scientist"/>
    <n v="0"/>
    <n v="0"/>
    <n v="0"/>
    <n v="0"/>
    <n v="0"/>
    <n v="0"/>
    <n v="0"/>
    <n v="1"/>
    <x v="2"/>
    <s v="Married"/>
    <n v="0"/>
    <n v="1"/>
    <n v="3433"/>
    <n v="17360"/>
    <n v="6"/>
    <s v="No"/>
    <n v="0"/>
    <n v="13"/>
    <n v="3"/>
    <n v="1"/>
    <n v="1"/>
    <n v="10"/>
    <n v="3"/>
    <n v="2"/>
    <n v="5"/>
    <n v="2"/>
    <n v="1"/>
    <n v="3"/>
  </r>
  <r>
    <n v="31"/>
    <x v="1"/>
    <n v="0"/>
    <s v="Travel_Rarely"/>
    <n v="0"/>
    <n v="1"/>
    <n v="741"/>
    <s v="Research &amp; Development"/>
    <n v="1"/>
    <n v="0"/>
    <n v="2"/>
    <n v="4"/>
    <s v="Life Sciences"/>
    <n v="1"/>
    <n v="0"/>
    <n v="0"/>
    <n v="0"/>
    <n v="0"/>
    <n v="2"/>
    <x v="1"/>
    <n v="0"/>
    <n v="69"/>
    <n v="3"/>
    <n v="1"/>
    <s v="Laboratory Technician"/>
    <n v="0"/>
    <n v="0"/>
    <n v="1"/>
    <n v="0"/>
    <n v="0"/>
    <n v="0"/>
    <n v="0"/>
    <n v="0"/>
    <x v="2"/>
    <s v="Married"/>
    <n v="0"/>
    <n v="1"/>
    <n v="3477"/>
    <n v="18103"/>
    <n v="1"/>
    <s v="No"/>
    <n v="0"/>
    <n v="14"/>
    <n v="3"/>
    <n v="4"/>
    <n v="1"/>
    <n v="6"/>
    <n v="2"/>
    <n v="4"/>
    <n v="5"/>
    <n v="2"/>
    <n v="0"/>
    <n v="3"/>
  </r>
  <r>
    <n v="41"/>
    <x v="1"/>
    <n v="0"/>
    <s v="Non-Travel"/>
    <n v="0"/>
    <n v="0"/>
    <n v="552"/>
    <s v="Human Resources"/>
    <n v="0"/>
    <n v="0"/>
    <n v="4"/>
    <n v="3"/>
    <s v="Human Resources"/>
    <n v="0"/>
    <n v="0"/>
    <n v="0"/>
    <n v="0"/>
    <n v="0"/>
    <n v="3"/>
    <x v="1"/>
    <n v="0"/>
    <n v="60"/>
    <n v="1"/>
    <n v="2"/>
    <s v="Human Resources"/>
    <n v="0"/>
    <n v="0"/>
    <n v="0"/>
    <n v="0"/>
    <n v="0"/>
    <n v="0"/>
    <n v="0"/>
    <n v="0"/>
    <x v="1"/>
    <s v="Married"/>
    <n v="0"/>
    <n v="1"/>
    <n v="6430"/>
    <n v="20794"/>
    <n v="6"/>
    <s v="No"/>
    <n v="0"/>
    <n v="19"/>
    <n v="3"/>
    <n v="2"/>
    <n v="1"/>
    <n v="10"/>
    <n v="4"/>
    <n v="3"/>
    <n v="3"/>
    <n v="2"/>
    <n v="1"/>
    <n v="2"/>
  </r>
  <r>
    <n v="40"/>
    <x v="1"/>
    <n v="0"/>
    <s v="Travel_Rarely"/>
    <n v="0"/>
    <n v="1"/>
    <n v="369"/>
    <s v="Research &amp; Development"/>
    <n v="1"/>
    <n v="0"/>
    <n v="8"/>
    <n v="2"/>
    <s v="Life Sciences"/>
    <n v="1"/>
    <n v="0"/>
    <n v="0"/>
    <n v="0"/>
    <n v="0"/>
    <n v="2"/>
    <x v="0"/>
    <n v="1"/>
    <n v="92"/>
    <n v="3"/>
    <n v="2"/>
    <s v="Manufacturing Director"/>
    <n v="0"/>
    <n v="0"/>
    <n v="0"/>
    <n v="0"/>
    <n v="1"/>
    <n v="1"/>
    <n v="0"/>
    <n v="0"/>
    <x v="3"/>
    <s v="Married"/>
    <n v="0"/>
    <n v="1"/>
    <n v="6516"/>
    <n v="5041"/>
    <n v="2"/>
    <s v="Yes"/>
    <n v="1"/>
    <n v="16"/>
    <n v="3"/>
    <n v="2"/>
    <n v="1"/>
    <n v="18"/>
    <n v="3"/>
    <n v="3"/>
    <n v="1"/>
    <n v="0"/>
    <n v="0"/>
    <n v="0"/>
  </r>
  <r>
    <n v="24"/>
    <x v="1"/>
    <n v="0"/>
    <s v="Travel_Rarely"/>
    <n v="0"/>
    <n v="1"/>
    <n v="506"/>
    <s v="Research &amp; Development"/>
    <n v="1"/>
    <n v="0"/>
    <n v="29"/>
    <n v="1"/>
    <s v="Medical"/>
    <n v="0"/>
    <n v="0"/>
    <n v="1"/>
    <n v="0"/>
    <n v="0"/>
    <n v="2"/>
    <x v="1"/>
    <n v="0"/>
    <n v="91"/>
    <n v="3"/>
    <n v="1"/>
    <s v="Laboratory Technician"/>
    <n v="0"/>
    <n v="0"/>
    <n v="1"/>
    <n v="0"/>
    <n v="0"/>
    <n v="0"/>
    <n v="0"/>
    <n v="0"/>
    <x v="3"/>
    <s v="Divorced"/>
    <n v="0"/>
    <n v="0"/>
    <n v="3907"/>
    <n v="3622"/>
    <n v="1"/>
    <s v="No"/>
    <n v="0"/>
    <n v="13"/>
    <n v="3"/>
    <n v="2"/>
    <n v="3"/>
    <n v="6"/>
    <n v="2"/>
    <n v="4"/>
    <n v="6"/>
    <n v="2"/>
    <n v="1"/>
    <n v="2"/>
  </r>
  <r>
    <n v="46"/>
    <x v="1"/>
    <n v="0"/>
    <s v="Travel_Rarely"/>
    <n v="0"/>
    <n v="1"/>
    <n v="717"/>
    <s v="Research &amp; Development"/>
    <n v="1"/>
    <n v="0"/>
    <n v="13"/>
    <n v="4"/>
    <s v="Life Sciences"/>
    <n v="1"/>
    <n v="0"/>
    <n v="0"/>
    <n v="0"/>
    <n v="0"/>
    <n v="3"/>
    <x v="1"/>
    <n v="0"/>
    <n v="34"/>
    <n v="3"/>
    <n v="2"/>
    <s v="Healthcare Representative"/>
    <n v="1"/>
    <n v="0"/>
    <n v="0"/>
    <n v="0"/>
    <n v="0"/>
    <n v="0"/>
    <n v="0"/>
    <n v="0"/>
    <x v="1"/>
    <s v="Single"/>
    <n v="1"/>
    <n v="0"/>
    <n v="5562"/>
    <n v="9697"/>
    <n v="6"/>
    <s v="No"/>
    <n v="0"/>
    <n v="14"/>
    <n v="3"/>
    <n v="4"/>
    <n v="0"/>
    <n v="19"/>
    <n v="3"/>
    <n v="3"/>
    <n v="10"/>
    <n v="7"/>
    <n v="0"/>
    <n v="9"/>
  </r>
  <r>
    <n v="35"/>
    <x v="1"/>
    <n v="0"/>
    <s v="Travel_Rarely"/>
    <n v="0"/>
    <n v="1"/>
    <n v="1370"/>
    <s v="Research &amp; Development"/>
    <n v="1"/>
    <n v="0"/>
    <n v="27"/>
    <n v="4"/>
    <s v="Life Sciences"/>
    <n v="1"/>
    <n v="0"/>
    <n v="0"/>
    <n v="0"/>
    <n v="0"/>
    <n v="4"/>
    <x v="1"/>
    <n v="0"/>
    <n v="49"/>
    <n v="3"/>
    <n v="2"/>
    <s v="Manufacturing Director"/>
    <n v="0"/>
    <n v="0"/>
    <n v="0"/>
    <n v="0"/>
    <n v="1"/>
    <n v="1"/>
    <n v="0"/>
    <n v="0"/>
    <x v="2"/>
    <s v="Married"/>
    <n v="0"/>
    <n v="1"/>
    <n v="6883"/>
    <n v="5151"/>
    <n v="2"/>
    <s v="No"/>
    <n v="0"/>
    <n v="16"/>
    <n v="3"/>
    <n v="2"/>
    <n v="1"/>
    <n v="17"/>
    <n v="3"/>
    <n v="3"/>
    <n v="7"/>
    <n v="7"/>
    <n v="0"/>
    <n v="7"/>
  </r>
  <r>
    <n v="30"/>
    <x v="1"/>
    <n v="0"/>
    <s v="Travel_Rarely"/>
    <n v="0"/>
    <n v="1"/>
    <n v="793"/>
    <s v="Research &amp; Development"/>
    <n v="1"/>
    <n v="0"/>
    <n v="16"/>
    <n v="1"/>
    <s v="Life Sciences"/>
    <n v="1"/>
    <n v="0"/>
    <n v="0"/>
    <n v="0"/>
    <n v="0"/>
    <n v="2"/>
    <x v="1"/>
    <n v="0"/>
    <n v="33"/>
    <n v="3"/>
    <n v="1"/>
    <s v="Research Scientist"/>
    <n v="0"/>
    <n v="0"/>
    <n v="0"/>
    <n v="0"/>
    <n v="0"/>
    <n v="0"/>
    <n v="0"/>
    <n v="1"/>
    <x v="0"/>
    <s v="Married"/>
    <n v="0"/>
    <n v="1"/>
    <n v="2862"/>
    <n v="3811"/>
    <n v="1"/>
    <s v="No"/>
    <n v="0"/>
    <n v="12"/>
    <n v="3"/>
    <n v="2"/>
    <n v="1"/>
    <n v="10"/>
    <n v="2"/>
    <n v="2"/>
    <n v="10"/>
    <n v="0"/>
    <n v="0"/>
    <n v="8"/>
  </r>
  <r>
    <n v="47"/>
    <x v="1"/>
    <n v="0"/>
    <s v="Non-Travel"/>
    <n v="0"/>
    <n v="0"/>
    <n v="543"/>
    <s v="Sales"/>
    <n v="0"/>
    <n v="1"/>
    <n v="2"/>
    <n v="4"/>
    <s v="Marketing"/>
    <n v="0"/>
    <n v="0"/>
    <n v="0"/>
    <n v="1"/>
    <n v="0"/>
    <n v="3"/>
    <x v="1"/>
    <n v="0"/>
    <n v="87"/>
    <n v="3"/>
    <n v="2"/>
    <s v="Sales Executive"/>
    <n v="0"/>
    <n v="1"/>
    <n v="0"/>
    <n v="0"/>
    <n v="0"/>
    <n v="0"/>
    <n v="0"/>
    <n v="0"/>
    <x v="1"/>
    <s v="Married"/>
    <n v="0"/>
    <n v="1"/>
    <n v="4978"/>
    <n v="3536"/>
    <n v="7"/>
    <s v="No"/>
    <n v="0"/>
    <n v="11"/>
    <n v="3"/>
    <n v="4"/>
    <n v="1"/>
    <n v="4"/>
    <n v="3"/>
    <n v="1"/>
    <n v="1"/>
    <n v="0"/>
    <n v="0"/>
    <n v="0"/>
  </r>
  <r>
    <n v="46"/>
    <x v="1"/>
    <n v="0"/>
    <s v="Travel_Rarely"/>
    <n v="0"/>
    <n v="1"/>
    <n v="1277"/>
    <s v="Sales"/>
    <n v="0"/>
    <n v="1"/>
    <n v="2"/>
    <n v="3"/>
    <s v="Life Sciences"/>
    <n v="1"/>
    <n v="0"/>
    <n v="0"/>
    <n v="0"/>
    <n v="0"/>
    <n v="3"/>
    <x v="1"/>
    <n v="0"/>
    <n v="74"/>
    <n v="3"/>
    <n v="3"/>
    <s v="Sales Executive"/>
    <n v="0"/>
    <n v="1"/>
    <n v="0"/>
    <n v="0"/>
    <n v="0"/>
    <n v="0"/>
    <n v="0"/>
    <n v="0"/>
    <x v="0"/>
    <s v="Divorced"/>
    <n v="0"/>
    <n v="0"/>
    <n v="10368"/>
    <n v="5596"/>
    <n v="4"/>
    <s v="Yes"/>
    <n v="1"/>
    <n v="12"/>
    <n v="3"/>
    <n v="2"/>
    <n v="1"/>
    <n v="13"/>
    <n v="5"/>
    <n v="2"/>
    <n v="10"/>
    <n v="6"/>
    <n v="0"/>
    <n v="3"/>
  </r>
  <r>
    <n v="36"/>
    <x v="0"/>
    <n v="1"/>
    <s v="Travel_Rarely"/>
    <n v="0"/>
    <n v="1"/>
    <n v="1456"/>
    <s v="Sales"/>
    <n v="0"/>
    <n v="1"/>
    <n v="13"/>
    <n v="5"/>
    <s v="Marketing"/>
    <n v="0"/>
    <n v="0"/>
    <n v="0"/>
    <n v="1"/>
    <n v="0"/>
    <n v="2"/>
    <x v="1"/>
    <n v="0"/>
    <n v="96"/>
    <n v="2"/>
    <n v="2"/>
    <s v="Sales Executive"/>
    <n v="0"/>
    <n v="1"/>
    <n v="0"/>
    <n v="0"/>
    <n v="0"/>
    <n v="0"/>
    <n v="0"/>
    <n v="0"/>
    <x v="3"/>
    <s v="Divorced"/>
    <n v="0"/>
    <n v="0"/>
    <n v="6134"/>
    <n v="8658"/>
    <n v="5"/>
    <s v="Yes"/>
    <n v="1"/>
    <n v="13"/>
    <n v="3"/>
    <n v="2"/>
    <n v="3"/>
    <n v="16"/>
    <n v="3"/>
    <n v="3"/>
    <n v="2"/>
    <n v="2"/>
    <n v="2"/>
    <n v="2"/>
  </r>
  <r>
    <n v="32"/>
    <x v="0"/>
    <n v="1"/>
    <s v="Travel_Rarely"/>
    <n v="0"/>
    <n v="1"/>
    <n v="964"/>
    <s v="Sales"/>
    <n v="0"/>
    <n v="1"/>
    <n v="1"/>
    <n v="2"/>
    <s v="Life Sciences"/>
    <n v="1"/>
    <n v="0"/>
    <n v="0"/>
    <n v="0"/>
    <n v="0"/>
    <n v="1"/>
    <x v="1"/>
    <n v="0"/>
    <n v="34"/>
    <n v="1"/>
    <n v="2"/>
    <s v="Sales Executive"/>
    <n v="0"/>
    <n v="1"/>
    <n v="0"/>
    <n v="0"/>
    <n v="0"/>
    <n v="0"/>
    <n v="0"/>
    <n v="0"/>
    <x v="1"/>
    <s v="Single"/>
    <n v="1"/>
    <n v="0"/>
    <n v="6735"/>
    <n v="12147"/>
    <n v="6"/>
    <s v="No"/>
    <n v="0"/>
    <n v="15"/>
    <n v="3"/>
    <n v="2"/>
    <n v="0"/>
    <n v="10"/>
    <n v="2"/>
    <n v="3"/>
    <n v="0"/>
    <n v="0"/>
    <n v="0"/>
    <n v="0"/>
  </r>
  <r>
    <n v="23"/>
    <x v="1"/>
    <n v="0"/>
    <s v="Travel_Rarely"/>
    <n v="0"/>
    <n v="1"/>
    <n v="160"/>
    <s v="Research &amp; Development"/>
    <n v="1"/>
    <n v="0"/>
    <n v="4"/>
    <n v="1"/>
    <s v="Medical"/>
    <n v="0"/>
    <n v="0"/>
    <n v="1"/>
    <n v="0"/>
    <n v="0"/>
    <n v="3"/>
    <x v="0"/>
    <n v="1"/>
    <n v="51"/>
    <n v="3"/>
    <n v="1"/>
    <s v="Laboratory Technician"/>
    <n v="0"/>
    <n v="0"/>
    <n v="1"/>
    <n v="0"/>
    <n v="0"/>
    <n v="0"/>
    <n v="0"/>
    <n v="0"/>
    <x v="1"/>
    <s v="Single"/>
    <n v="1"/>
    <n v="0"/>
    <n v="3295"/>
    <n v="12862"/>
    <n v="1"/>
    <s v="No"/>
    <n v="0"/>
    <n v="13"/>
    <n v="3"/>
    <n v="3"/>
    <n v="0"/>
    <n v="3"/>
    <n v="3"/>
    <n v="1"/>
    <n v="3"/>
    <n v="2"/>
    <n v="1"/>
    <n v="2"/>
  </r>
  <r>
    <n v="31"/>
    <x v="1"/>
    <n v="0"/>
    <s v="Travel_Frequently"/>
    <n v="1"/>
    <n v="0"/>
    <n v="163"/>
    <s v="Research &amp; Development"/>
    <n v="1"/>
    <n v="0"/>
    <n v="24"/>
    <n v="1"/>
    <s v="Technical Degree"/>
    <n v="0"/>
    <n v="0"/>
    <n v="0"/>
    <n v="0"/>
    <n v="1"/>
    <n v="4"/>
    <x v="0"/>
    <n v="1"/>
    <n v="30"/>
    <n v="3"/>
    <n v="2"/>
    <s v="Manufacturing Director"/>
    <n v="0"/>
    <n v="0"/>
    <n v="0"/>
    <n v="0"/>
    <n v="1"/>
    <n v="1"/>
    <n v="0"/>
    <n v="0"/>
    <x v="0"/>
    <s v="Single"/>
    <n v="1"/>
    <n v="0"/>
    <n v="5238"/>
    <n v="6670"/>
    <n v="2"/>
    <s v="No"/>
    <n v="0"/>
    <n v="20"/>
    <n v="4"/>
    <n v="4"/>
    <n v="0"/>
    <n v="9"/>
    <n v="3"/>
    <n v="2"/>
    <n v="5"/>
    <n v="4"/>
    <n v="1"/>
    <n v="4"/>
  </r>
  <r>
    <n v="39"/>
    <x v="1"/>
    <n v="0"/>
    <s v="Non-Travel"/>
    <n v="0"/>
    <n v="0"/>
    <n v="792"/>
    <s v="Research &amp; Development"/>
    <n v="1"/>
    <n v="0"/>
    <n v="1"/>
    <n v="3"/>
    <s v="Life Sciences"/>
    <n v="1"/>
    <n v="0"/>
    <n v="0"/>
    <n v="0"/>
    <n v="0"/>
    <n v="4"/>
    <x v="1"/>
    <n v="0"/>
    <n v="77"/>
    <n v="3"/>
    <n v="2"/>
    <s v="Laboratory Technician"/>
    <n v="0"/>
    <n v="0"/>
    <n v="1"/>
    <n v="0"/>
    <n v="0"/>
    <n v="0"/>
    <n v="0"/>
    <n v="0"/>
    <x v="0"/>
    <s v="Married"/>
    <n v="0"/>
    <n v="1"/>
    <n v="6472"/>
    <n v="8989"/>
    <n v="1"/>
    <s v="Yes"/>
    <n v="1"/>
    <n v="15"/>
    <n v="3"/>
    <n v="4"/>
    <n v="1"/>
    <n v="9"/>
    <n v="2"/>
    <n v="3"/>
    <n v="9"/>
    <n v="8"/>
    <n v="5"/>
    <n v="8"/>
  </r>
  <r>
    <n v="32"/>
    <x v="1"/>
    <n v="0"/>
    <s v="Travel_Rarely"/>
    <n v="0"/>
    <n v="1"/>
    <n v="371"/>
    <s v="Sales"/>
    <n v="0"/>
    <n v="1"/>
    <n v="19"/>
    <n v="3"/>
    <s v="Life Sciences"/>
    <n v="1"/>
    <n v="0"/>
    <n v="0"/>
    <n v="0"/>
    <n v="0"/>
    <n v="4"/>
    <x v="1"/>
    <n v="0"/>
    <n v="80"/>
    <n v="1"/>
    <n v="3"/>
    <s v="Sales Executive"/>
    <n v="0"/>
    <n v="1"/>
    <n v="0"/>
    <n v="0"/>
    <n v="0"/>
    <n v="0"/>
    <n v="0"/>
    <n v="0"/>
    <x v="2"/>
    <s v="Married"/>
    <n v="0"/>
    <n v="1"/>
    <n v="9610"/>
    <n v="3840"/>
    <n v="3"/>
    <s v="No"/>
    <n v="0"/>
    <n v="13"/>
    <n v="3"/>
    <n v="3"/>
    <n v="1"/>
    <n v="10"/>
    <n v="2"/>
    <n v="1"/>
    <n v="4"/>
    <n v="3"/>
    <n v="0"/>
    <n v="2"/>
  </r>
  <r>
    <n v="40"/>
    <x v="1"/>
    <n v="0"/>
    <s v="Travel_Rarely"/>
    <n v="0"/>
    <n v="1"/>
    <n v="611"/>
    <s v="Sales"/>
    <n v="0"/>
    <n v="1"/>
    <n v="7"/>
    <n v="4"/>
    <s v="Medical"/>
    <n v="0"/>
    <n v="0"/>
    <n v="1"/>
    <n v="0"/>
    <n v="0"/>
    <n v="2"/>
    <x v="1"/>
    <n v="0"/>
    <n v="88"/>
    <n v="3"/>
    <n v="5"/>
    <s v="Manager"/>
    <n v="0"/>
    <n v="0"/>
    <n v="0"/>
    <n v="1"/>
    <n v="0"/>
    <n v="0"/>
    <n v="0"/>
    <n v="0"/>
    <x v="1"/>
    <s v="Single"/>
    <n v="1"/>
    <n v="0"/>
    <n v="19833"/>
    <n v="4349"/>
    <n v="1"/>
    <s v="No"/>
    <n v="0"/>
    <n v="14"/>
    <n v="3"/>
    <n v="2"/>
    <n v="0"/>
    <n v="21"/>
    <n v="3"/>
    <n v="2"/>
    <n v="21"/>
    <n v="8"/>
    <n v="12"/>
    <n v="8"/>
  </r>
  <r>
    <n v="45"/>
    <x v="1"/>
    <n v="0"/>
    <s v="Travel_Rarely"/>
    <n v="0"/>
    <n v="1"/>
    <n v="176"/>
    <s v="Human Resources"/>
    <n v="0"/>
    <n v="0"/>
    <n v="4"/>
    <n v="3"/>
    <s v="Life Sciences"/>
    <n v="1"/>
    <n v="0"/>
    <n v="0"/>
    <n v="0"/>
    <n v="0"/>
    <n v="3"/>
    <x v="0"/>
    <n v="1"/>
    <n v="56"/>
    <n v="1"/>
    <n v="3"/>
    <s v="Human Resources"/>
    <n v="0"/>
    <n v="0"/>
    <n v="0"/>
    <n v="0"/>
    <n v="0"/>
    <n v="0"/>
    <n v="0"/>
    <n v="0"/>
    <x v="2"/>
    <s v="Married"/>
    <n v="0"/>
    <n v="1"/>
    <n v="9756"/>
    <n v="6595"/>
    <n v="4"/>
    <s v="No"/>
    <n v="0"/>
    <n v="21"/>
    <n v="4"/>
    <n v="3"/>
    <n v="2"/>
    <n v="9"/>
    <n v="2"/>
    <n v="4"/>
    <n v="5"/>
    <n v="0"/>
    <n v="0"/>
    <n v="3"/>
  </r>
  <r>
    <n v="30"/>
    <x v="1"/>
    <n v="0"/>
    <s v="Travel_Frequently"/>
    <n v="1"/>
    <n v="0"/>
    <n v="1312"/>
    <s v="Research &amp; Development"/>
    <n v="1"/>
    <n v="0"/>
    <n v="2"/>
    <n v="4"/>
    <s v="Technical Degree"/>
    <n v="0"/>
    <n v="0"/>
    <n v="0"/>
    <n v="0"/>
    <n v="1"/>
    <n v="4"/>
    <x v="0"/>
    <n v="1"/>
    <n v="78"/>
    <n v="2"/>
    <n v="1"/>
    <s v="Research Scientist"/>
    <n v="0"/>
    <n v="0"/>
    <n v="0"/>
    <n v="0"/>
    <n v="0"/>
    <n v="0"/>
    <n v="0"/>
    <n v="1"/>
    <x v="3"/>
    <s v="Single"/>
    <n v="1"/>
    <n v="0"/>
    <n v="4968"/>
    <n v="26427"/>
    <n v="0"/>
    <s v="No"/>
    <n v="0"/>
    <n v="16"/>
    <n v="3"/>
    <n v="4"/>
    <n v="0"/>
    <n v="10"/>
    <n v="2"/>
    <n v="3"/>
    <n v="9"/>
    <n v="7"/>
    <n v="0"/>
    <n v="7"/>
  </r>
  <r>
    <n v="24"/>
    <x v="1"/>
    <n v="0"/>
    <s v="Travel_Frequently"/>
    <n v="1"/>
    <n v="0"/>
    <n v="897"/>
    <s v="Human Resources"/>
    <n v="0"/>
    <n v="0"/>
    <n v="10"/>
    <n v="3"/>
    <s v="Medical"/>
    <n v="0"/>
    <n v="0"/>
    <n v="1"/>
    <n v="0"/>
    <n v="0"/>
    <n v="1"/>
    <x v="1"/>
    <n v="0"/>
    <n v="59"/>
    <n v="3"/>
    <n v="1"/>
    <s v="Human Resources"/>
    <n v="0"/>
    <n v="0"/>
    <n v="0"/>
    <n v="0"/>
    <n v="0"/>
    <n v="0"/>
    <n v="0"/>
    <n v="0"/>
    <x v="0"/>
    <s v="Married"/>
    <n v="0"/>
    <n v="1"/>
    <n v="2145"/>
    <n v="2097"/>
    <n v="0"/>
    <s v="No"/>
    <n v="0"/>
    <n v="14"/>
    <n v="3"/>
    <n v="4"/>
    <n v="1"/>
    <n v="3"/>
    <n v="2"/>
    <n v="3"/>
    <n v="2"/>
    <n v="2"/>
    <n v="2"/>
    <n v="1"/>
  </r>
  <r>
    <n v="30"/>
    <x v="0"/>
    <n v="1"/>
    <s v="Travel_Frequently"/>
    <n v="1"/>
    <n v="0"/>
    <n v="600"/>
    <s v="Human Resources"/>
    <n v="0"/>
    <n v="0"/>
    <n v="8"/>
    <n v="3"/>
    <s v="Human Resources"/>
    <n v="0"/>
    <n v="0"/>
    <n v="0"/>
    <n v="0"/>
    <n v="0"/>
    <n v="3"/>
    <x v="0"/>
    <n v="1"/>
    <n v="66"/>
    <n v="2"/>
    <n v="1"/>
    <s v="Human Resources"/>
    <n v="0"/>
    <n v="0"/>
    <n v="0"/>
    <n v="0"/>
    <n v="0"/>
    <n v="0"/>
    <n v="0"/>
    <n v="0"/>
    <x v="0"/>
    <s v="Divorced"/>
    <n v="0"/>
    <n v="0"/>
    <n v="2180"/>
    <n v="9732"/>
    <n v="6"/>
    <s v="No"/>
    <n v="0"/>
    <n v="11"/>
    <n v="3"/>
    <n v="3"/>
    <n v="1"/>
    <n v="6"/>
    <n v="0"/>
    <n v="2"/>
    <n v="4"/>
    <n v="2"/>
    <n v="1"/>
    <n v="2"/>
  </r>
  <r>
    <n v="31"/>
    <x v="1"/>
    <n v="0"/>
    <s v="Travel_Rarely"/>
    <n v="0"/>
    <n v="1"/>
    <n v="1003"/>
    <s v="Sales"/>
    <n v="0"/>
    <n v="1"/>
    <n v="5"/>
    <n v="3"/>
    <s v="Technical Degree"/>
    <n v="0"/>
    <n v="0"/>
    <n v="0"/>
    <n v="0"/>
    <n v="1"/>
    <n v="1"/>
    <x v="1"/>
    <n v="0"/>
    <n v="51"/>
    <n v="3"/>
    <n v="2"/>
    <s v="Sales Executive"/>
    <n v="0"/>
    <n v="1"/>
    <n v="0"/>
    <n v="0"/>
    <n v="0"/>
    <n v="0"/>
    <n v="0"/>
    <n v="0"/>
    <x v="2"/>
    <s v="Married"/>
    <n v="0"/>
    <n v="1"/>
    <n v="8346"/>
    <n v="20943"/>
    <n v="1"/>
    <s v="No"/>
    <n v="0"/>
    <n v="19"/>
    <n v="3"/>
    <n v="3"/>
    <n v="1"/>
    <n v="6"/>
    <n v="3"/>
    <n v="3"/>
    <n v="5"/>
    <n v="2"/>
    <n v="0"/>
    <n v="2"/>
  </r>
  <r>
    <n v="27"/>
    <x v="1"/>
    <n v="0"/>
    <s v="Travel_Rarely"/>
    <n v="0"/>
    <n v="1"/>
    <n v="1054"/>
    <s v="Research &amp; Development"/>
    <n v="1"/>
    <n v="0"/>
    <n v="8"/>
    <n v="3"/>
    <s v="Medical"/>
    <n v="0"/>
    <n v="0"/>
    <n v="1"/>
    <n v="0"/>
    <n v="0"/>
    <n v="3"/>
    <x v="0"/>
    <n v="1"/>
    <n v="67"/>
    <n v="3"/>
    <n v="1"/>
    <s v="Research Scientist"/>
    <n v="0"/>
    <n v="0"/>
    <n v="0"/>
    <n v="0"/>
    <n v="0"/>
    <n v="0"/>
    <n v="0"/>
    <n v="1"/>
    <x v="0"/>
    <s v="Single"/>
    <n v="1"/>
    <n v="0"/>
    <n v="3445"/>
    <n v="6152"/>
    <n v="1"/>
    <s v="No"/>
    <n v="0"/>
    <n v="11"/>
    <n v="3"/>
    <n v="3"/>
    <n v="0"/>
    <n v="6"/>
    <n v="5"/>
    <n v="2"/>
    <n v="6"/>
    <n v="2"/>
    <n v="1"/>
    <n v="4"/>
  </r>
  <r>
    <n v="29"/>
    <x v="0"/>
    <n v="1"/>
    <s v="Travel_Rarely"/>
    <n v="0"/>
    <n v="1"/>
    <n v="428"/>
    <s v="Sales"/>
    <n v="0"/>
    <n v="1"/>
    <n v="9"/>
    <n v="3"/>
    <s v="Marketing"/>
    <n v="0"/>
    <n v="0"/>
    <n v="0"/>
    <n v="1"/>
    <n v="0"/>
    <n v="2"/>
    <x v="0"/>
    <n v="1"/>
    <n v="52"/>
    <n v="1"/>
    <n v="1"/>
    <s v="Sales Representative"/>
    <n v="0"/>
    <n v="0"/>
    <n v="0"/>
    <n v="0"/>
    <n v="0"/>
    <n v="0"/>
    <n v="1"/>
    <n v="0"/>
    <x v="1"/>
    <s v="Single"/>
    <n v="1"/>
    <n v="0"/>
    <n v="2760"/>
    <n v="14630"/>
    <n v="1"/>
    <s v="No"/>
    <n v="0"/>
    <n v="13"/>
    <n v="3"/>
    <n v="3"/>
    <n v="0"/>
    <n v="2"/>
    <n v="3"/>
    <n v="3"/>
    <n v="2"/>
    <n v="2"/>
    <n v="2"/>
    <n v="2"/>
  </r>
  <r>
    <n v="29"/>
    <x v="1"/>
    <n v="0"/>
    <s v="Travel_Frequently"/>
    <n v="1"/>
    <n v="0"/>
    <n v="461"/>
    <s v="Research &amp; Development"/>
    <n v="1"/>
    <n v="0"/>
    <n v="1"/>
    <n v="3"/>
    <s v="Life Sciences"/>
    <n v="1"/>
    <n v="0"/>
    <n v="0"/>
    <n v="0"/>
    <n v="0"/>
    <n v="4"/>
    <x v="1"/>
    <n v="0"/>
    <n v="70"/>
    <n v="4"/>
    <n v="2"/>
    <s v="Healthcare Representative"/>
    <n v="1"/>
    <n v="0"/>
    <n v="0"/>
    <n v="0"/>
    <n v="0"/>
    <n v="0"/>
    <n v="0"/>
    <n v="0"/>
    <x v="2"/>
    <s v="Single"/>
    <n v="1"/>
    <n v="0"/>
    <n v="6294"/>
    <n v="23060"/>
    <n v="8"/>
    <s v="Yes"/>
    <n v="1"/>
    <n v="12"/>
    <n v="3"/>
    <n v="4"/>
    <n v="0"/>
    <n v="10"/>
    <n v="5"/>
    <n v="4"/>
    <n v="3"/>
    <n v="2"/>
    <n v="0"/>
    <n v="2"/>
  </r>
  <r>
    <n v="30"/>
    <x v="1"/>
    <n v="0"/>
    <s v="Travel_Rarely"/>
    <n v="0"/>
    <n v="1"/>
    <n v="979"/>
    <s v="Sales"/>
    <n v="0"/>
    <n v="1"/>
    <n v="15"/>
    <n v="2"/>
    <s v="Marketing"/>
    <n v="0"/>
    <n v="0"/>
    <n v="0"/>
    <n v="1"/>
    <n v="0"/>
    <n v="3"/>
    <x v="1"/>
    <n v="0"/>
    <n v="94"/>
    <n v="2"/>
    <n v="3"/>
    <s v="Sales Executive"/>
    <n v="0"/>
    <n v="1"/>
    <n v="0"/>
    <n v="0"/>
    <n v="0"/>
    <n v="0"/>
    <n v="0"/>
    <n v="0"/>
    <x v="3"/>
    <s v="Divorced"/>
    <n v="0"/>
    <n v="0"/>
    <n v="7140"/>
    <n v="3088"/>
    <n v="2"/>
    <s v="No"/>
    <n v="0"/>
    <n v="11"/>
    <n v="3"/>
    <n v="1"/>
    <n v="1"/>
    <n v="12"/>
    <n v="2"/>
    <n v="3"/>
    <n v="7"/>
    <n v="7"/>
    <n v="1"/>
    <n v="7"/>
  </r>
  <r>
    <n v="34"/>
    <x v="1"/>
    <n v="0"/>
    <s v="Travel_Rarely"/>
    <n v="0"/>
    <n v="1"/>
    <n v="181"/>
    <s v="Research &amp; Development"/>
    <n v="1"/>
    <n v="0"/>
    <n v="2"/>
    <n v="4"/>
    <s v="Medical"/>
    <n v="0"/>
    <n v="0"/>
    <n v="1"/>
    <n v="0"/>
    <n v="0"/>
    <n v="4"/>
    <x v="1"/>
    <n v="0"/>
    <n v="97"/>
    <n v="4"/>
    <n v="1"/>
    <s v="Research Scientist"/>
    <n v="0"/>
    <n v="0"/>
    <n v="0"/>
    <n v="0"/>
    <n v="0"/>
    <n v="0"/>
    <n v="0"/>
    <n v="1"/>
    <x v="0"/>
    <s v="Married"/>
    <n v="0"/>
    <n v="1"/>
    <n v="2932"/>
    <n v="5586"/>
    <n v="0"/>
    <s v="Yes"/>
    <n v="1"/>
    <n v="14"/>
    <n v="3"/>
    <n v="1"/>
    <n v="3"/>
    <n v="6"/>
    <n v="3"/>
    <n v="3"/>
    <n v="5"/>
    <n v="0"/>
    <n v="1"/>
    <n v="2"/>
  </r>
  <r>
    <n v="33"/>
    <x v="1"/>
    <n v="0"/>
    <s v="Non-Travel"/>
    <n v="0"/>
    <n v="0"/>
    <n v="1283"/>
    <s v="Sales"/>
    <n v="0"/>
    <n v="1"/>
    <n v="2"/>
    <n v="3"/>
    <s v="Marketing"/>
    <n v="0"/>
    <n v="0"/>
    <n v="0"/>
    <n v="1"/>
    <n v="0"/>
    <n v="4"/>
    <x v="0"/>
    <n v="1"/>
    <n v="62"/>
    <n v="3"/>
    <n v="2"/>
    <s v="Sales Executive"/>
    <n v="0"/>
    <n v="1"/>
    <n v="0"/>
    <n v="0"/>
    <n v="0"/>
    <n v="0"/>
    <n v="0"/>
    <n v="0"/>
    <x v="1"/>
    <s v="Single"/>
    <n v="1"/>
    <n v="0"/>
    <n v="5147"/>
    <n v="10697"/>
    <n v="8"/>
    <s v="No"/>
    <n v="0"/>
    <n v="15"/>
    <n v="3"/>
    <n v="4"/>
    <n v="0"/>
    <n v="13"/>
    <n v="2"/>
    <n v="2"/>
    <n v="11"/>
    <n v="7"/>
    <n v="1"/>
    <n v="7"/>
  </r>
  <r>
    <n v="49"/>
    <x v="1"/>
    <n v="0"/>
    <s v="Travel_Rarely"/>
    <n v="0"/>
    <n v="1"/>
    <n v="1313"/>
    <s v="Sales"/>
    <n v="0"/>
    <n v="1"/>
    <n v="11"/>
    <n v="4"/>
    <s v="Marketing"/>
    <n v="0"/>
    <n v="0"/>
    <n v="0"/>
    <n v="1"/>
    <n v="0"/>
    <n v="4"/>
    <x v="0"/>
    <n v="1"/>
    <n v="80"/>
    <n v="3"/>
    <n v="2"/>
    <s v="Sales Executive"/>
    <n v="0"/>
    <n v="1"/>
    <n v="0"/>
    <n v="0"/>
    <n v="0"/>
    <n v="0"/>
    <n v="0"/>
    <n v="0"/>
    <x v="0"/>
    <s v="Single"/>
    <n v="1"/>
    <n v="0"/>
    <n v="4507"/>
    <n v="8191"/>
    <n v="3"/>
    <s v="No"/>
    <n v="0"/>
    <n v="12"/>
    <n v="3"/>
    <n v="3"/>
    <n v="0"/>
    <n v="8"/>
    <n v="1"/>
    <n v="4"/>
    <n v="5"/>
    <n v="1"/>
    <n v="0"/>
    <n v="4"/>
  </r>
  <r>
    <n v="33"/>
    <x v="0"/>
    <n v="1"/>
    <s v="Travel_Rarely"/>
    <n v="0"/>
    <n v="1"/>
    <n v="211"/>
    <s v="Sales"/>
    <n v="0"/>
    <n v="1"/>
    <n v="16"/>
    <n v="3"/>
    <s v="Life Sciences"/>
    <n v="1"/>
    <n v="0"/>
    <n v="0"/>
    <n v="0"/>
    <n v="0"/>
    <n v="1"/>
    <x v="0"/>
    <n v="1"/>
    <n v="74"/>
    <n v="3"/>
    <n v="3"/>
    <s v="Sales Executive"/>
    <n v="0"/>
    <n v="1"/>
    <n v="0"/>
    <n v="0"/>
    <n v="0"/>
    <n v="0"/>
    <n v="0"/>
    <n v="0"/>
    <x v="3"/>
    <s v="Single"/>
    <n v="1"/>
    <n v="0"/>
    <n v="8564"/>
    <n v="10092"/>
    <n v="2"/>
    <s v="Yes"/>
    <n v="1"/>
    <n v="20"/>
    <n v="4"/>
    <n v="3"/>
    <n v="0"/>
    <n v="11"/>
    <n v="2"/>
    <n v="2"/>
    <n v="0"/>
    <n v="0"/>
    <n v="0"/>
    <n v="0"/>
  </r>
  <r>
    <n v="38"/>
    <x v="1"/>
    <n v="0"/>
    <s v="Travel_Frequently"/>
    <n v="1"/>
    <n v="0"/>
    <n v="594"/>
    <s v="Research &amp; Development"/>
    <n v="1"/>
    <n v="0"/>
    <n v="2"/>
    <n v="2"/>
    <s v="Medical"/>
    <n v="0"/>
    <n v="0"/>
    <n v="1"/>
    <n v="0"/>
    <n v="0"/>
    <n v="3"/>
    <x v="0"/>
    <n v="1"/>
    <n v="75"/>
    <n v="2"/>
    <n v="1"/>
    <s v="Laboratory Technician"/>
    <n v="0"/>
    <n v="0"/>
    <n v="1"/>
    <n v="0"/>
    <n v="0"/>
    <n v="0"/>
    <n v="0"/>
    <n v="0"/>
    <x v="1"/>
    <s v="Married"/>
    <n v="0"/>
    <n v="1"/>
    <n v="2468"/>
    <n v="15963"/>
    <n v="4"/>
    <s v="No"/>
    <n v="0"/>
    <n v="14"/>
    <n v="3"/>
    <n v="2"/>
    <n v="1"/>
    <n v="9"/>
    <n v="4"/>
    <n v="2"/>
    <n v="6"/>
    <n v="1"/>
    <n v="0"/>
    <n v="5"/>
  </r>
  <r>
    <n v="31"/>
    <x v="0"/>
    <n v="1"/>
    <s v="Travel_Rarely"/>
    <n v="0"/>
    <n v="1"/>
    <n v="1079"/>
    <s v="Sales"/>
    <n v="0"/>
    <n v="1"/>
    <n v="16"/>
    <n v="4"/>
    <s v="Marketing"/>
    <n v="0"/>
    <n v="0"/>
    <n v="0"/>
    <n v="1"/>
    <n v="0"/>
    <n v="1"/>
    <x v="1"/>
    <n v="0"/>
    <n v="70"/>
    <n v="3"/>
    <n v="3"/>
    <s v="Sales Executive"/>
    <n v="0"/>
    <n v="1"/>
    <n v="0"/>
    <n v="0"/>
    <n v="0"/>
    <n v="0"/>
    <n v="0"/>
    <n v="0"/>
    <x v="2"/>
    <s v="Married"/>
    <n v="0"/>
    <n v="1"/>
    <n v="8161"/>
    <n v="19002"/>
    <n v="2"/>
    <s v="No"/>
    <n v="0"/>
    <n v="13"/>
    <n v="3"/>
    <n v="1"/>
    <n v="3"/>
    <n v="10"/>
    <n v="2"/>
    <n v="3"/>
    <n v="1"/>
    <n v="0"/>
    <n v="0"/>
    <n v="0"/>
  </r>
  <r>
    <n v="29"/>
    <x v="1"/>
    <n v="0"/>
    <s v="Travel_Rarely"/>
    <n v="0"/>
    <n v="1"/>
    <n v="590"/>
    <s v="Research &amp; Development"/>
    <n v="1"/>
    <n v="0"/>
    <n v="4"/>
    <n v="3"/>
    <s v="Technical Degree"/>
    <n v="0"/>
    <n v="0"/>
    <n v="0"/>
    <n v="0"/>
    <n v="1"/>
    <n v="4"/>
    <x v="0"/>
    <n v="1"/>
    <n v="91"/>
    <n v="2"/>
    <n v="1"/>
    <s v="Research Scientist"/>
    <n v="0"/>
    <n v="0"/>
    <n v="0"/>
    <n v="0"/>
    <n v="0"/>
    <n v="0"/>
    <n v="0"/>
    <n v="1"/>
    <x v="3"/>
    <s v="Divorced"/>
    <n v="0"/>
    <n v="0"/>
    <n v="2109"/>
    <n v="10007"/>
    <n v="1"/>
    <s v="No"/>
    <n v="0"/>
    <n v="13"/>
    <n v="3"/>
    <n v="3"/>
    <n v="1"/>
    <n v="1"/>
    <n v="2"/>
    <n v="3"/>
    <n v="1"/>
    <n v="0"/>
    <n v="0"/>
    <n v="0"/>
  </r>
  <r>
    <n v="30"/>
    <x v="1"/>
    <n v="0"/>
    <s v="Travel_Rarely"/>
    <n v="0"/>
    <n v="1"/>
    <n v="305"/>
    <s v="Research &amp; Development"/>
    <n v="1"/>
    <n v="0"/>
    <n v="16"/>
    <n v="3"/>
    <s v="Life Sciences"/>
    <n v="1"/>
    <n v="0"/>
    <n v="0"/>
    <n v="0"/>
    <n v="0"/>
    <n v="3"/>
    <x v="1"/>
    <n v="0"/>
    <n v="58"/>
    <n v="4"/>
    <n v="2"/>
    <s v="Healthcare Representative"/>
    <n v="1"/>
    <n v="0"/>
    <n v="0"/>
    <n v="0"/>
    <n v="0"/>
    <n v="0"/>
    <n v="0"/>
    <n v="0"/>
    <x v="2"/>
    <s v="Married"/>
    <n v="0"/>
    <n v="1"/>
    <n v="5294"/>
    <n v="9128"/>
    <n v="3"/>
    <s v="No"/>
    <n v="0"/>
    <n v="16"/>
    <n v="3"/>
    <n v="3"/>
    <n v="1"/>
    <n v="10"/>
    <n v="3"/>
    <n v="3"/>
    <n v="7"/>
    <n v="0"/>
    <n v="1"/>
    <n v="7"/>
  </r>
  <r>
    <n v="32"/>
    <x v="1"/>
    <n v="0"/>
    <s v="Non-Travel"/>
    <n v="0"/>
    <n v="0"/>
    <n v="953"/>
    <s v="Research &amp; Development"/>
    <n v="1"/>
    <n v="0"/>
    <n v="5"/>
    <n v="4"/>
    <s v="Technical Degree"/>
    <n v="0"/>
    <n v="0"/>
    <n v="0"/>
    <n v="0"/>
    <n v="1"/>
    <n v="2"/>
    <x v="1"/>
    <n v="0"/>
    <n v="65"/>
    <n v="3"/>
    <n v="1"/>
    <s v="Research Scientist"/>
    <n v="0"/>
    <n v="0"/>
    <n v="0"/>
    <n v="0"/>
    <n v="0"/>
    <n v="0"/>
    <n v="0"/>
    <n v="1"/>
    <x v="1"/>
    <s v="Single"/>
    <n v="1"/>
    <n v="0"/>
    <n v="2718"/>
    <n v="17674"/>
    <n v="2"/>
    <s v="No"/>
    <n v="0"/>
    <n v="14"/>
    <n v="3"/>
    <n v="2"/>
    <n v="0"/>
    <n v="12"/>
    <n v="3"/>
    <n v="3"/>
    <n v="7"/>
    <n v="7"/>
    <n v="0"/>
    <n v="7"/>
  </r>
  <r>
    <n v="38"/>
    <x v="1"/>
    <n v="0"/>
    <s v="Travel_Rarely"/>
    <n v="0"/>
    <n v="1"/>
    <n v="833"/>
    <s v="Research &amp; Development"/>
    <n v="1"/>
    <n v="0"/>
    <n v="18"/>
    <n v="3"/>
    <s v="Medical"/>
    <n v="0"/>
    <n v="0"/>
    <n v="1"/>
    <n v="0"/>
    <n v="0"/>
    <n v="2"/>
    <x v="1"/>
    <n v="0"/>
    <n v="60"/>
    <n v="1"/>
    <n v="2"/>
    <s v="Healthcare Representative"/>
    <n v="1"/>
    <n v="0"/>
    <n v="0"/>
    <n v="0"/>
    <n v="0"/>
    <n v="0"/>
    <n v="0"/>
    <n v="0"/>
    <x v="0"/>
    <s v="Married"/>
    <n v="0"/>
    <n v="1"/>
    <n v="5811"/>
    <n v="24539"/>
    <n v="3"/>
    <s v="Yes"/>
    <n v="1"/>
    <n v="16"/>
    <n v="3"/>
    <n v="3"/>
    <n v="1"/>
    <n v="15"/>
    <n v="2"/>
    <n v="3"/>
    <n v="1"/>
    <n v="0"/>
    <n v="1"/>
    <n v="0"/>
  </r>
  <r>
    <n v="43"/>
    <x v="0"/>
    <n v="1"/>
    <s v="Travel_Frequently"/>
    <n v="1"/>
    <n v="0"/>
    <n v="807"/>
    <s v="Research &amp; Development"/>
    <n v="1"/>
    <n v="0"/>
    <n v="17"/>
    <n v="3"/>
    <s v="Technical Degree"/>
    <n v="0"/>
    <n v="0"/>
    <n v="0"/>
    <n v="0"/>
    <n v="1"/>
    <n v="3"/>
    <x v="1"/>
    <n v="0"/>
    <n v="38"/>
    <n v="2"/>
    <n v="1"/>
    <s v="Research Scientist"/>
    <n v="0"/>
    <n v="0"/>
    <n v="0"/>
    <n v="0"/>
    <n v="0"/>
    <n v="0"/>
    <n v="0"/>
    <n v="1"/>
    <x v="2"/>
    <s v="Married"/>
    <n v="0"/>
    <n v="1"/>
    <n v="2437"/>
    <n v="15587"/>
    <n v="9"/>
    <s v="Yes"/>
    <n v="1"/>
    <n v="16"/>
    <n v="3"/>
    <n v="4"/>
    <n v="1"/>
    <n v="6"/>
    <n v="4"/>
    <n v="3"/>
    <n v="1"/>
    <n v="0"/>
    <n v="0"/>
    <n v="0"/>
  </r>
  <r>
    <n v="42"/>
    <x v="1"/>
    <n v="0"/>
    <s v="Travel_Rarely"/>
    <n v="0"/>
    <n v="1"/>
    <n v="855"/>
    <s v="Research &amp; Development"/>
    <n v="1"/>
    <n v="0"/>
    <n v="12"/>
    <n v="3"/>
    <s v="Medical"/>
    <n v="0"/>
    <n v="0"/>
    <n v="1"/>
    <n v="0"/>
    <n v="0"/>
    <n v="2"/>
    <x v="1"/>
    <n v="0"/>
    <n v="57"/>
    <n v="3"/>
    <n v="1"/>
    <s v="Laboratory Technician"/>
    <n v="0"/>
    <n v="0"/>
    <n v="1"/>
    <n v="0"/>
    <n v="0"/>
    <n v="0"/>
    <n v="0"/>
    <n v="0"/>
    <x v="1"/>
    <s v="Divorced"/>
    <n v="0"/>
    <n v="0"/>
    <n v="2766"/>
    <n v="8952"/>
    <n v="8"/>
    <s v="No"/>
    <n v="0"/>
    <n v="22"/>
    <n v="4"/>
    <n v="2"/>
    <n v="3"/>
    <n v="7"/>
    <n v="6"/>
    <n v="2"/>
    <n v="5"/>
    <n v="3"/>
    <n v="0"/>
    <n v="4"/>
  </r>
  <r>
    <n v="55"/>
    <x v="1"/>
    <n v="0"/>
    <s v="Travel_Rarely"/>
    <n v="0"/>
    <n v="1"/>
    <n v="478"/>
    <s v="Research &amp; Development"/>
    <n v="1"/>
    <n v="0"/>
    <n v="2"/>
    <n v="3"/>
    <s v="Medical"/>
    <n v="0"/>
    <n v="0"/>
    <n v="1"/>
    <n v="0"/>
    <n v="0"/>
    <n v="3"/>
    <x v="1"/>
    <n v="0"/>
    <n v="60"/>
    <n v="2"/>
    <n v="5"/>
    <s v="Research Director"/>
    <n v="0"/>
    <n v="0"/>
    <n v="0"/>
    <n v="0"/>
    <n v="0"/>
    <n v="0"/>
    <n v="0"/>
    <n v="0"/>
    <x v="3"/>
    <s v="Married"/>
    <n v="0"/>
    <n v="1"/>
    <n v="19038"/>
    <n v="19805"/>
    <n v="8"/>
    <s v="No"/>
    <n v="0"/>
    <n v="12"/>
    <n v="3"/>
    <n v="2"/>
    <n v="3"/>
    <n v="34"/>
    <n v="2"/>
    <n v="3"/>
    <n v="1"/>
    <n v="0"/>
    <n v="0"/>
    <n v="0"/>
  </r>
  <r>
    <n v="33"/>
    <x v="1"/>
    <n v="0"/>
    <s v="Non-Travel"/>
    <n v="0"/>
    <n v="0"/>
    <n v="775"/>
    <s v="Research &amp; Development"/>
    <n v="1"/>
    <n v="0"/>
    <n v="4"/>
    <n v="3"/>
    <s v="Technical Degree"/>
    <n v="0"/>
    <n v="0"/>
    <n v="0"/>
    <n v="0"/>
    <n v="1"/>
    <n v="4"/>
    <x v="1"/>
    <n v="0"/>
    <n v="90"/>
    <n v="3"/>
    <n v="2"/>
    <s v="Research Scientist"/>
    <n v="0"/>
    <n v="0"/>
    <n v="0"/>
    <n v="0"/>
    <n v="0"/>
    <n v="0"/>
    <n v="0"/>
    <n v="1"/>
    <x v="1"/>
    <s v="Divorced"/>
    <n v="0"/>
    <n v="0"/>
    <n v="3055"/>
    <n v="6194"/>
    <n v="5"/>
    <s v="No"/>
    <n v="0"/>
    <n v="15"/>
    <n v="3"/>
    <n v="4"/>
    <n v="2"/>
    <n v="11"/>
    <n v="2"/>
    <n v="2"/>
    <n v="9"/>
    <n v="8"/>
    <n v="1"/>
    <n v="7"/>
  </r>
  <r>
    <n v="41"/>
    <x v="1"/>
    <n v="0"/>
    <s v="Travel_Rarely"/>
    <n v="0"/>
    <n v="1"/>
    <n v="548"/>
    <s v="Research &amp; Development"/>
    <n v="1"/>
    <n v="0"/>
    <n v="9"/>
    <n v="4"/>
    <s v="Life Sciences"/>
    <n v="1"/>
    <n v="0"/>
    <n v="0"/>
    <n v="0"/>
    <n v="0"/>
    <n v="3"/>
    <x v="1"/>
    <n v="0"/>
    <n v="94"/>
    <n v="3"/>
    <n v="1"/>
    <s v="Laboratory Technician"/>
    <n v="0"/>
    <n v="0"/>
    <n v="1"/>
    <n v="0"/>
    <n v="0"/>
    <n v="0"/>
    <n v="0"/>
    <n v="0"/>
    <x v="3"/>
    <s v="Divorced"/>
    <n v="0"/>
    <n v="0"/>
    <n v="2289"/>
    <n v="20520"/>
    <n v="1"/>
    <s v="No"/>
    <n v="0"/>
    <n v="20"/>
    <n v="4"/>
    <n v="2"/>
    <n v="2"/>
    <n v="5"/>
    <n v="2"/>
    <n v="3"/>
    <n v="5"/>
    <n v="3"/>
    <n v="0"/>
    <n v="4"/>
  </r>
  <r>
    <n v="34"/>
    <x v="1"/>
    <n v="0"/>
    <s v="Non-Travel"/>
    <n v="0"/>
    <n v="0"/>
    <n v="1375"/>
    <s v="Sales"/>
    <n v="0"/>
    <n v="1"/>
    <n v="10"/>
    <n v="3"/>
    <s v="Life Sciences"/>
    <n v="1"/>
    <n v="0"/>
    <n v="0"/>
    <n v="0"/>
    <n v="0"/>
    <n v="4"/>
    <x v="1"/>
    <n v="0"/>
    <n v="87"/>
    <n v="3"/>
    <n v="2"/>
    <s v="Sales Executive"/>
    <n v="0"/>
    <n v="1"/>
    <n v="0"/>
    <n v="0"/>
    <n v="0"/>
    <n v="0"/>
    <n v="0"/>
    <n v="0"/>
    <x v="2"/>
    <s v="Divorced"/>
    <n v="0"/>
    <n v="0"/>
    <n v="4001"/>
    <n v="12313"/>
    <n v="1"/>
    <s v="Yes"/>
    <n v="1"/>
    <n v="14"/>
    <n v="3"/>
    <n v="3"/>
    <n v="1"/>
    <n v="15"/>
    <n v="3"/>
    <n v="3"/>
    <n v="15"/>
    <n v="14"/>
    <n v="0"/>
    <n v="7"/>
  </r>
  <r>
    <n v="53"/>
    <x v="1"/>
    <n v="0"/>
    <s v="Non-Travel"/>
    <n v="0"/>
    <n v="0"/>
    <n v="661"/>
    <s v="Research &amp; Development"/>
    <n v="1"/>
    <n v="0"/>
    <n v="1"/>
    <n v="4"/>
    <s v="Medical"/>
    <n v="0"/>
    <n v="0"/>
    <n v="1"/>
    <n v="0"/>
    <n v="0"/>
    <n v="1"/>
    <x v="0"/>
    <n v="1"/>
    <n v="60"/>
    <n v="2"/>
    <n v="4"/>
    <s v="Manufacturing Director"/>
    <n v="0"/>
    <n v="0"/>
    <n v="0"/>
    <n v="0"/>
    <n v="1"/>
    <n v="1"/>
    <n v="0"/>
    <n v="0"/>
    <x v="2"/>
    <s v="Married"/>
    <n v="0"/>
    <n v="1"/>
    <n v="12965"/>
    <n v="22308"/>
    <n v="4"/>
    <s v="Yes"/>
    <n v="1"/>
    <n v="20"/>
    <n v="4"/>
    <n v="4"/>
    <n v="3"/>
    <n v="27"/>
    <n v="2"/>
    <n v="2"/>
    <n v="3"/>
    <n v="2"/>
    <n v="0"/>
    <n v="2"/>
  </r>
  <r>
    <n v="43"/>
    <x v="1"/>
    <n v="0"/>
    <s v="Travel_Rarely"/>
    <n v="0"/>
    <n v="1"/>
    <n v="244"/>
    <s v="Human Resources"/>
    <n v="0"/>
    <n v="0"/>
    <n v="2"/>
    <n v="3"/>
    <s v="Life Sciences"/>
    <n v="1"/>
    <n v="0"/>
    <n v="0"/>
    <n v="0"/>
    <n v="0"/>
    <n v="2"/>
    <x v="1"/>
    <n v="0"/>
    <n v="97"/>
    <n v="3"/>
    <n v="1"/>
    <s v="Human Resources"/>
    <n v="0"/>
    <n v="0"/>
    <n v="0"/>
    <n v="0"/>
    <n v="0"/>
    <n v="0"/>
    <n v="0"/>
    <n v="0"/>
    <x v="0"/>
    <s v="Single"/>
    <n v="1"/>
    <n v="0"/>
    <n v="3539"/>
    <n v="5033"/>
    <n v="0"/>
    <s v="No"/>
    <n v="0"/>
    <n v="13"/>
    <n v="3"/>
    <n v="2"/>
    <n v="0"/>
    <n v="10"/>
    <n v="5"/>
    <n v="3"/>
    <n v="9"/>
    <n v="7"/>
    <n v="1"/>
    <n v="8"/>
  </r>
  <r>
    <n v="34"/>
    <x v="1"/>
    <n v="0"/>
    <s v="Travel_Rarely"/>
    <n v="0"/>
    <n v="1"/>
    <n v="511"/>
    <s v="Sales"/>
    <n v="0"/>
    <n v="1"/>
    <n v="3"/>
    <n v="2"/>
    <s v="Life Sciences"/>
    <n v="1"/>
    <n v="0"/>
    <n v="0"/>
    <n v="0"/>
    <n v="0"/>
    <n v="4"/>
    <x v="0"/>
    <n v="1"/>
    <n v="32"/>
    <n v="1"/>
    <n v="2"/>
    <s v="Sales Executive"/>
    <n v="0"/>
    <n v="1"/>
    <n v="0"/>
    <n v="0"/>
    <n v="0"/>
    <n v="0"/>
    <n v="0"/>
    <n v="0"/>
    <x v="0"/>
    <s v="Single"/>
    <n v="1"/>
    <n v="0"/>
    <n v="6029"/>
    <n v="25353"/>
    <n v="5"/>
    <s v="No"/>
    <n v="0"/>
    <n v="12"/>
    <n v="3"/>
    <n v="1"/>
    <n v="0"/>
    <n v="6"/>
    <n v="3"/>
    <n v="3"/>
    <n v="2"/>
    <n v="2"/>
    <n v="2"/>
    <n v="2"/>
  </r>
  <r>
    <n v="21"/>
    <x v="0"/>
    <n v="1"/>
    <s v="Travel_Rarely"/>
    <n v="0"/>
    <n v="1"/>
    <n v="337"/>
    <s v="Sales"/>
    <n v="0"/>
    <n v="1"/>
    <n v="7"/>
    <n v="1"/>
    <s v="Marketing"/>
    <n v="0"/>
    <n v="0"/>
    <n v="0"/>
    <n v="1"/>
    <n v="0"/>
    <n v="2"/>
    <x v="1"/>
    <n v="0"/>
    <n v="31"/>
    <n v="3"/>
    <n v="1"/>
    <s v="Sales Representative"/>
    <n v="0"/>
    <n v="0"/>
    <n v="0"/>
    <n v="0"/>
    <n v="0"/>
    <n v="0"/>
    <n v="1"/>
    <n v="0"/>
    <x v="1"/>
    <s v="Single"/>
    <n v="1"/>
    <n v="0"/>
    <n v="2679"/>
    <n v="4567"/>
    <n v="1"/>
    <s v="No"/>
    <n v="0"/>
    <n v="13"/>
    <n v="3"/>
    <n v="2"/>
    <n v="0"/>
    <n v="1"/>
    <n v="3"/>
    <n v="3"/>
    <n v="1"/>
    <n v="0"/>
    <n v="1"/>
    <n v="0"/>
  </r>
  <r>
    <n v="38"/>
    <x v="1"/>
    <n v="0"/>
    <s v="Travel_Rarely"/>
    <n v="0"/>
    <n v="1"/>
    <n v="1153"/>
    <s v="Research &amp; Development"/>
    <n v="1"/>
    <n v="0"/>
    <n v="6"/>
    <n v="2"/>
    <s v="Other"/>
    <n v="0"/>
    <n v="1"/>
    <n v="0"/>
    <n v="0"/>
    <n v="0"/>
    <n v="4"/>
    <x v="0"/>
    <n v="1"/>
    <n v="40"/>
    <n v="2"/>
    <n v="1"/>
    <s v="Laboratory Technician"/>
    <n v="0"/>
    <n v="0"/>
    <n v="1"/>
    <n v="0"/>
    <n v="0"/>
    <n v="0"/>
    <n v="0"/>
    <n v="0"/>
    <x v="2"/>
    <s v="Married"/>
    <n v="0"/>
    <n v="1"/>
    <n v="3702"/>
    <n v="16376"/>
    <n v="1"/>
    <s v="No"/>
    <n v="0"/>
    <n v="11"/>
    <n v="3"/>
    <n v="2"/>
    <n v="1"/>
    <n v="5"/>
    <n v="3"/>
    <n v="3"/>
    <n v="5"/>
    <n v="4"/>
    <n v="0"/>
    <n v="4"/>
  </r>
  <r>
    <n v="22"/>
    <x v="0"/>
    <n v="1"/>
    <s v="Travel_Rarely"/>
    <n v="0"/>
    <n v="1"/>
    <n v="1294"/>
    <s v="Research &amp; Development"/>
    <n v="1"/>
    <n v="0"/>
    <n v="8"/>
    <n v="1"/>
    <s v="Medical"/>
    <n v="0"/>
    <n v="0"/>
    <n v="1"/>
    <n v="0"/>
    <n v="0"/>
    <n v="3"/>
    <x v="0"/>
    <n v="1"/>
    <n v="79"/>
    <n v="3"/>
    <n v="1"/>
    <s v="Laboratory Technician"/>
    <n v="0"/>
    <n v="0"/>
    <n v="1"/>
    <n v="0"/>
    <n v="0"/>
    <n v="0"/>
    <n v="0"/>
    <n v="0"/>
    <x v="3"/>
    <s v="Married"/>
    <n v="0"/>
    <n v="1"/>
    <n v="2398"/>
    <n v="15999"/>
    <n v="1"/>
    <s v="Yes"/>
    <n v="1"/>
    <n v="17"/>
    <n v="3"/>
    <n v="3"/>
    <n v="0"/>
    <n v="1"/>
    <n v="6"/>
    <n v="3"/>
    <n v="1"/>
    <n v="0"/>
    <n v="0"/>
    <n v="0"/>
  </r>
  <r>
    <n v="31"/>
    <x v="1"/>
    <n v="0"/>
    <s v="Travel_Rarely"/>
    <n v="0"/>
    <n v="1"/>
    <n v="196"/>
    <s v="Sales"/>
    <n v="0"/>
    <n v="1"/>
    <n v="29"/>
    <n v="4"/>
    <s v="Marketing"/>
    <n v="0"/>
    <n v="0"/>
    <n v="0"/>
    <n v="1"/>
    <n v="0"/>
    <n v="1"/>
    <x v="0"/>
    <n v="1"/>
    <n v="91"/>
    <n v="2"/>
    <n v="2"/>
    <s v="Sales Executive"/>
    <n v="0"/>
    <n v="1"/>
    <n v="0"/>
    <n v="0"/>
    <n v="0"/>
    <n v="0"/>
    <n v="0"/>
    <n v="0"/>
    <x v="0"/>
    <s v="Married"/>
    <n v="0"/>
    <n v="1"/>
    <n v="5468"/>
    <n v="13402"/>
    <n v="1"/>
    <s v="No"/>
    <n v="0"/>
    <n v="14"/>
    <n v="3"/>
    <n v="1"/>
    <n v="2"/>
    <n v="13"/>
    <n v="3"/>
    <n v="3"/>
    <n v="12"/>
    <n v="7"/>
    <n v="5"/>
    <n v="7"/>
  </r>
  <r>
    <n v="51"/>
    <x v="1"/>
    <n v="0"/>
    <s v="Travel_Rarely"/>
    <n v="0"/>
    <n v="1"/>
    <n v="942"/>
    <s v="Research &amp; Development"/>
    <n v="1"/>
    <n v="0"/>
    <n v="3"/>
    <n v="3"/>
    <s v="Technical Degree"/>
    <n v="0"/>
    <n v="0"/>
    <n v="0"/>
    <n v="0"/>
    <n v="1"/>
    <n v="1"/>
    <x v="0"/>
    <n v="1"/>
    <n v="53"/>
    <n v="3"/>
    <n v="3"/>
    <s v="Manager"/>
    <n v="0"/>
    <n v="0"/>
    <n v="0"/>
    <n v="1"/>
    <n v="0"/>
    <n v="0"/>
    <n v="0"/>
    <n v="0"/>
    <x v="2"/>
    <s v="Married"/>
    <n v="0"/>
    <n v="1"/>
    <n v="13116"/>
    <n v="22984"/>
    <n v="2"/>
    <s v="No"/>
    <n v="0"/>
    <n v="11"/>
    <n v="3"/>
    <n v="4"/>
    <n v="0"/>
    <n v="15"/>
    <n v="2"/>
    <n v="3"/>
    <n v="2"/>
    <n v="2"/>
    <n v="2"/>
    <n v="2"/>
  </r>
  <r>
    <n v="37"/>
    <x v="1"/>
    <n v="0"/>
    <s v="Travel_Rarely"/>
    <n v="0"/>
    <n v="1"/>
    <n v="589"/>
    <s v="Sales"/>
    <n v="0"/>
    <n v="1"/>
    <n v="9"/>
    <n v="2"/>
    <s v="Marketing"/>
    <n v="0"/>
    <n v="0"/>
    <n v="0"/>
    <n v="1"/>
    <n v="0"/>
    <n v="2"/>
    <x v="1"/>
    <n v="0"/>
    <n v="46"/>
    <n v="2"/>
    <n v="2"/>
    <s v="Sales Executive"/>
    <n v="0"/>
    <n v="1"/>
    <n v="0"/>
    <n v="0"/>
    <n v="0"/>
    <n v="0"/>
    <n v="0"/>
    <n v="0"/>
    <x v="1"/>
    <s v="Married"/>
    <n v="0"/>
    <n v="1"/>
    <n v="4189"/>
    <n v="8800"/>
    <n v="1"/>
    <s v="No"/>
    <n v="0"/>
    <n v="14"/>
    <n v="3"/>
    <n v="1"/>
    <n v="2"/>
    <n v="5"/>
    <n v="2"/>
    <n v="3"/>
    <n v="5"/>
    <n v="2"/>
    <n v="0"/>
    <n v="3"/>
  </r>
  <r>
    <n v="46"/>
    <x v="1"/>
    <n v="0"/>
    <s v="Travel_Rarely"/>
    <n v="0"/>
    <n v="1"/>
    <n v="734"/>
    <s v="Research &amp; Development"/>
    <n v="1"/>
    <n v="0"/>
    <n v="2"/>
    <n v="4"/>
    <s v="Medical"/>
    <n v="0"/>
    <n v="0"/>
    <n v="1"/>
    <n v="0"/>
    <n v="0"/>
    <n v="3"/>
    <x v="1"/>
    <n v="0"/>
    <n v="46"/>
    <n v="3"/>
    <n v="5"/>
    <s v="Research Director"/>
    <n v="0"/>
    <n v="0"/>
    <n v="0"/>
    <n v="0"/>
    <n v="0"/>
    <n v="0"/>
    <n v="0"/>
    <n v="0"/>
    <x v="0"/>
    <s v="Divorced"/>
    <n v="0"/>
    <n v="0"/>
    <n v="19328"/>
    <n v="14218"/>
    <n v="7"/>
    <s v="Yes"/>
    <n v="1"/>
    <n v="17"/>
    <n v="3"/>
    <n v="3"/>
    <n v="1"/>
    <n v="24"/>
    <n v="3"/>
    <n v="3"/>
    <n v="2"/>
    <n v="1"/>
    <n v="2"/>
    <n v="2"/>
  </r>
  <r>
    <n v="36"/>
    <x v="1"/>
    <n v="0"/>
    <s v="Travel_Rarely"/>
    <n v="0"/>
    <n v="1"/>
    <n v="1383"/>
    <s v="Research &amp; Development"/>
    <n v="1"/>
    <n v="0"/>
    <n v="10"/>
    <n v="3"/>
    <s v="Life Sciences"/>
    <n v="1"/>
    <n v="0"/>
    <n v="0"/>
    <n v="0"/>
    <n v="0"/>
    <n v="4"/>
    <x v="1"/>
    <n v="0"/>
    <n v="90"/>
    <n v="3"/>
    <n v="3"/>
    <s v="Healthcare Representative"/>
    <n v="1"/>
    <n v="0"/>
    <n v="0"/>
    <n v="0"/>
    <n v="0"/>
    <n v="0"/>
    <n v="0"/>
    <n v="0"/>
    <x v="3"/>
    <s v="Married"/>
    <n v="0"/>
    <n v="1"/>
    <n v="8321"/>
    <n v="25949"/>
    <n v="7"/>
    <s v="Yes"/>
    <n v="1"/>
    <n v="13"/>
    <n v="3"/>
    <n v="4"/>
    <n v="1"/>
    <n v="15"/>
    <n v="1"/>
    <n v="3"/>
    <n v="12"/>
    <n v="8"/>
    <n v="5"/>
    <n v="7"/>
  </r>
  <r>
    <n v="44"/>
    <x v="0"/>
    <n v="1"/>
    <s v="Travel_Frequently"/>
    <n v="1"/>
    <n v="0"/>
    <n v="429"/>
    <s v="Research &amp; Development"/>
    <n v="1"/>
    <n v="0"/>
    <n v="1"/>
    <n v="2"/>
    <s v="Medical"/>
    <n v="0"/>
    <n v="0"/>
    <n v="1"/>
    <n v="0"/>
    <n v="0"/>
    <n v="3"/>
    <x v="1"/>
    <n v="0"/>
    <n v="99"/>
    <n v="3"/>
    <n v="1"/>
    <s v="Research Scientist"/>
    <n v="0"/>
    <n v="0"/>
    <n v="0"/>
    <n v="0"/>
    <n v="0"/>
    <n v="0"/>
    <n v="0"/>
    <n v="1"/>
    <x v="1"/>
    <s v="Divorced"/>
    <n v="0"/>
    <n v="0"/>
    <n v="2342"/>
    <n v="11092"/>
    <n v="1"/>
    <s v="Yes"/>
    <n v="1"/>
    <n v="12"/>
    <n v="3"/>
    <n v="3"/>
    <n v="3"/>
    <n v="6"/>
    <n v="2"/>
    <n v="2"/>
    <n v="5"/>
    <n v="3"/>
    <n v="2"/>
    <n v="3"/>
  </r>
  <r>
    <n v="37"/>
    <x v="1"/>
    <n v="0"/>
    <s v="Travel_Rarely"/>
    <n v="0"/>
    <n v="1"/>
    <n v="1239"/>
    <s v="Human Resources"/>
    <n v="0"/>
    <n v="0"/>
    <n v="8"/>
    <n v="2"/>
    <s v="Other"/>
    <n v="0"/>
    <n v="1"/>
    <n v="0"/>
    <n v="0"/>
    <n v="0"/>
    <n v="3"/>
    <x v="1"/>
    <n v="0"/>
    <n v="89"/>
    <n v="3"/>
    <n v="2"/>
    <s v="Human Resources"/>
    <n v="0"/>
    <n v="0"/>
    <n v="0"/>
    <n v="0"/>
    <n v="0"/>
    <n v="0"/>
    <n v="0"/>
    <n v="0"/>
    <x v="1"/>
    <s v="Divorced"/>
    <n v="0"/>
    <n v="0"/>
    <n v="4071"/>
    <n v="12832"/>
    <n v="2"/>
    <s v="No"/>
    <n v="0"/>
    <n v="13"/>
    <n v="3"/>
    <n v="3"/>
    <n v="0"/>
    <n v="19"/>
    <n v="4"/>
    <n v="2"/>
    <n v="10"/>
    <n v="0"/>
    <n v="4"/>
    <n v="7"/>
  </r>
  <r>
    <n v="35"/>
    <x v="0"/>
    <n v="1"/>
    <s v="Travel_Rarely"/>
    <n v="0"/>
    <n v="1"/>
    <n v="303"/>
    <s v="Sales"/>
    <n v="0"/>
    <n v="1"/>
    <n v="27"/>
    <n v="3"/>
    <s v="Life Sciences"/>
    <n v="1"/>
    <n v="0"/>
    <n v="0"/>
    <n v="0"/>
    <n v="0"/>
    <n v="3"/>
    <x v="1"/>
    <n v="0"/>
    <n v="84"/>
    <n v="3"/>
    <n v="2"/>
    <s v="Sales Executive"/>
    <n v="0"/>
    <n v="1"/>
    <n v="0"/>
    <n v="0"/>
    <n v="0"/>
    <n v="0"/>
    <n v="0"/>
    <n v="0"/>
    <x v="0"/>
    <s v="Single"/>
    <n v="1"/>
    <n v="0"/>
    <n v="5813"/>
    <n v="13492"/>
    <n v="1"/>
    <s v="Yes"/>
    <n v="1"/>
    <n v="18"/>
    <n v="3"/>
    <n v="4"/>
    <n v="0"/>
    <n v="10"/>
    <n v="2"/>
    <n v="3"/>
    <n v="10"/>
    <n v="7"/>
    <n v="7"/>
    <n v="7"/>
  </r>
  <r>
    <n v="33"/>
    <x v="1"/>
    <n v="0"/>
    <s v="Travel_Rarely"/>
    <n v="0"/>
    <n v="1"/>
    <n v="867"/>
    <s v="Research &amp; Development"/>
    <n v="1"/>
    <n v="0"/>
    <n v="8"/>
    <n v="4"/>
    <s v="Life Sciences"/>
    <n v="1"/>
    <n v="0"/>
    <n v="0"/>
    <n v="0"/>
    <n v="0"/>
    <n v="4"/>
    <x v="1"/>
    <n v="0"/>
    <n v="90"/>
    <n v="4"/>
    <n v="1"/>
    <s v="Research Scientist"/>
    <n v="0"/>
    <n v="0"/>
    <n v="0"/>
    <n v="0"/>
    <n v="0"/>
    <n v="0"/>
    <n v="0"/>
    <n v="1"/>
    <x v="3"/>
    <s v="Married"/>
    <n v="0"/>
    <n v="1"/>
    <n v="3143"/>
    <n v="6076"/>
    <n v="6"/>
    <s v="No"/>
    <n v="0"/>
    <n v="19"/>
    <n v="3"/>
    <n v="2"/>
    <n v="1"/>
    <n v="14"/>
    <n v="1"/>
    <n v="3"/>
    <n v="10"/>
    <n v="8"/>
    <n v="7"/>
    <n v="6"/>
  </r>
  <r>
    <n v="28"/>
    <x v="1"/>
    <n v="0"/>
    <s v="Travel_Rarely"/>
    <n v="0"/>
    <n v="1"/>
    <n v="1181"/>
    <s v="Research &amp; Development"/>
    <n v="1"/>
    <n v="0"/>
    <n v="1"/>
    <n v="3"/>
    <s v="Life Sciences"/>
    <n v="1"/>
    <n v="0"/>
    <n v="0"/>
    <n v="0"/>
    <n v="0"/>
    <n v="3"/>
    <x v="1"/>
    <n v="0"/>
    <n v="82"/>
    <n v="3"/>
    <n v="1"/>
    <s v="Research Scientist"/>
    <n v="0"/>
    <n v="0"/>
    <n v="0"/>
    <n v="0"/>
    <n v="0"/>
    <n v="0"/>
    <n v="0"/>
    <n v="1"/>
    <x v="0"/>
    <s v="Married"/>
    <n v="0"/>
    <n v="1"/>
    <n v="2044"/>
    <n v="5531"/>
    <n v="1"/>
    <s v="No"/>
    <n v="0"/>
    <n v="11"/>
    <n v="3"/>
    <n v="3"/>
    <n v="1"/>
    <n v="5"/>
    <n v="6"/>
    <n v="4"/>
    <n v="5"/>
    <n v="3"/>
    <n v="0"/>
    <n v="3"/>
  </r>
  <r>
    <n v="39"/>
    <x v="1"/>
    <n v="0"/>
    <s v="Travel_Rarely"/>
    <n v="0"/>
    <n v="1"/>
    <n v="1253"/>
    <s v="Research &amp; Development"/>
    <n v="1"/>
    <n v="0"/>
    <n v="10"/>
    <n v="1"/>
    <s v="Medical"/>
    <n v="0"/>
    <n v="0"/>
    <n v="1"/>
    <n v="0"/>
    <n v="0"/>
    <n v="3"/>
    <x v="1"/>
    <n v="0"/>
    <n v="65"/>
    <n v="3"/>
    <n v="3"/>
    <s v="Research Director"/>
    <n v="0"/>
    <n v="0"/>
    <n v="0"/>
    <n v="0"/>
    <n v="0"/>
    <n v="0"/>
    <n v="0"/>
    <n v="0"/>
    <x v="2"/>
    <s v="Single"/>
    <n v="1"/>
    <n v="0"/>
    <n v="13464"/>
    <n v="7914"/>
    <n v="7"/>
    <s v="No"/>
    <n v="0"/>
    <n v="21"/>
    <n v="4"/>
    <n v="3"/>
    <n v="0"/>
    <n v="9"/>
    <n v="3"/>
    <n v="3"/>
    <n v="4"/>
    <n v="3"/>
    <n v="2"/>
    <n v="2"/>
  </r>
  <r>
    <n v="46"/>
    <x v="1"/>
    <n v="0"/>
    <s v="Non-Travel"/>
    <n v="0"/>
    <n v="0"/>
    <n v="849"/>
    <s v="Sales"/>
    <n v="0"/>
    <n v="1"/>
    <n v="26"/>
    <n v="2"/>
    <s v="Life Sciences"/>
    <n v="1"/>
    <n v="0"/>
    <n v="0"/>
    <n v="0"/>
    <n v="0"/>
    <n v="2"/>
    <x v="1"/>
    <n v="0"/>
    <n v="98"/>
    <n v="2"/>
    <n v="2"/>
    <s v="Sales Executive"/>
    <n v="0"/>
    <n v="1"/>
    <n v="0"/>
    <n v="0"/>
    <n v="0"/>
    <n v="0"/>
    <n v="0"/>
    <n v="0"/>
    <x v="1"/>
    <s v="Single"/>
    <n v="1"/>
    <n v="0"/>
    <n v="7991"/>
    <n v="25166"/>
    <n v="8"/>
    <s v="No"/>
    <n v="0"/>
    <n v="15"/>
    <n v="3"/>
    <n v="3"/>
    <n v="0"/>
    <n v="6"/>
    <n v="3"/>
    <n v="3"/>
    <n v="2"/>
    <n v="2"/>
    <n v="2"/>
    <n v="2"/>
  </r>
  <r>
    <n v="40"/>
    <x v="1"/>
    <n v="0"/>
    <s v="Travel_Rarely"/>
    <n v="0"/>
    <n v="1"/>
    <n v="616"/>
    <s v="Research &amp; Development"/>
    <n v="1"/>
    <n v="0"/>
    <n v="2"/>
    <n v="2"/>
    <s v="Life Sciences"/>
    <n v="1"/>
    <n v="0"/>
    <n v="0"/>
    <n v="0"/>
    <n v="0"/>
    <n v="3"/>
    <x v="0"/>
    <n v="1"/>
    <n v="99"/>
    <n v="3"/>
    <n v="1"/>
    <s v="Laboratory Technician"/>
    <n v="0"/>
    <n v="0"/>
    <n v="1"/>
    <n v="0"/>
    <n v="0"/>
    <n v="0"/>
    <n v="0"/>
    <n v="0"/>
    <x v="3"/>
    <s v="Married"/>
    <n v="0"/>
    <n v="1"/>
    <n v="3377"/>
    <n v="25605"/>
    <n v="4"/>
    <s v="No"/>
    <n v="0"/>
    <n v="17"/>
    <n v="3"/>
    <n v="4"/>
    <n v="1"/>
    <n v="7"/>
    <n v="5"/>
    <n v="2"/>
    <n v="4"/>
    <n v="3"/>
    <n v="0"/>
    <n v="2"/>
  </r>
  <r>
    <n v="42"/>
    <x v="1"/>
    <n v="0"/>
    <s v="Travel_Rarely"/>
    <n v="0"/>
    <n v="1"/>
    <n v="1128"/>
    <s v="Research &amp; Development"/>
    <n v="1"/>
    <n v="0"/>
    <n v="13"/>
    <n v="3"/>
    <s v="Medical"/>
    <n v="0"/>
    <n v="0"/>
    <n v="1"/>
    <n v="0"/>
    <n v="0"/>
    <n v="2"/>
    <x v="1"/>
    <n v="0"/>
    <n v="95"/>
    <n v="4"/>
    <n v="2"/>
    <s v="Healthcare Representative"/>
    <n v="1"/>
    <n v="0"/>
    <n v="0"/>
    <n v="0"/>
    <n v="0"/>
    <n v="0"/>
    <n v="0"/>
    <n v="0"/>
    <x v="3"/>
    <s v="Married"/>
    <n v="0"/>
    <n v="1"/>
    <n v="5538"/>
    <n v="5696"/>
    <n v="5"/>
    <s v="No"/>
    <n v="0"/>
    <n v="18"/>
    <n v="3"/>
    <n v="3"/>
    <n v="2"/>
    <n v="10"/>
    <n v="2"/>
    <n v="2"/>
    <n v="0"/>
    <n v="0"/>
    <n v="0"/>
    <n v="0"/>
  </r>
  <r>
    <n v="35"/>
    <x v="1"/>
    <n v="0"/>
    <s v="Non-Travel"/>
    <n v="0"/>
    <n v="0"/>
    <n v="1180"/>
    <s v="Research &amp; Development"/>
    <n v="1"/>
    <n v="0"/>
    <n v="2"/>
    <n v="2"/>
    <s v="Medical"/>
    <n v="0"/>
    <n v="0"/>
    <n v="1"/>
    <n v="0"/>
    <n v="0"/>
    <n v="2"/>
    <x v="1"/>
    <n v="0"/>
    <n v="90"/>
    <n v="3"/>
    <n v="2"/>
    <s v="Manufacturing Director"/>
    <n v="0"/>
    <n v="0"/>
    <n v="0"/>
    <n v="0"/>
    <n v="1"/>
    <n v="1"/>
    <n v="0"/>
    <n v="0"/>
    <x v="0"/>
    <s v="Divorced"/>
    <n v="0"/>
    <n v="0"/>
    <n v="5762"/>
    <n v="24442"/>
    <n v="2"/>
    <s v="No"/>
    <n v="0"/>
    <n v="14"/>
    <n v="3"/>
    <n v="3"/>
    <n v="1"/>
    <n v="15"/>
    <n v="6"/>
    <n v="3"/>
    <n v="7"/>
    <n v="7"/>
    <n v="1"/>
    <n v="7"/>
  </r>
  <r>
    <n v="38"/>
    <x v="1"/>
    <n v="0"/>
    <s v="Non-Travel"/>
    <n v="0"/>
    <n v="0"/>
    <n v="1336"/>
    <s v="Human Resources"/>
    <n v="0"/>
    <n v="0"/>
    <n v="2"/>
    <n v="3"/>
    <s v="Human Resources"/>
    <n v="0"/>
    <n v="0"/>
    <n v="0"/>
    <n v="0"/>
    <n v="0"/>
    <n v="1"/>
    <x v="1"/>
    <n v="0"/>
    <n v="100"/>
    <n v="3"/>
    <n v="1"/>
    <s v="Human Resources"/>
    <n v="0"/>
    <n v="0"/>
    <n v="0"/>
    <n v="0"/>
    <n v="0"/>
    <n v="0"/>
    <n v="0"/>
    <n v="0"/>
    <x v="1"/>
    <s v="Divorced"/>
    <n v="0"/>
    <n v="0"/>
    <n v="2592"/>
    <n v="7129"/>
    <n v="5"/>
    <s v="No"/>
    <n v="0"/>
    <n v="13"/>
    <n v="3"/>
    <n v="4"/>
    <n v="3"/>
    <n v="13"/>
    <n v="3"/>
    <n v="3"/>
    <n v="11"/>
    <n v="10"/>
    <n v="3"/>
    <n v="8"/>
  </r>
  <r>
    <n v="34"/>
    <x v="0"/>
    <n v="1"/>
    <s v="Travel_Frequently"/>
    <n v="1"/>
    <n v="0"/>
    <n v="234"/>
    <s v="Research &amp; Development"/>
    <n v="1"/>
    <n v="0"/>
    <n v="9"/>
    <n v="4"/>
    <s v="Life Sciences"/>
    <n v="1"/>
    <n v="0"/>
    <n v="0"/>
    <n v="0"/>
    <n v="0"/>
    <n v="4"/>
    <x v="1"/>
    <n v="0"/>
    <n v="93"/>
    <n v="3"/>
    <n v="2"/>
    <s v="Laboratory Technician"/>
    <n v="0"/>
    <n v="0"/>
    <n v="1"/>
    <n v="0"/>
    <n v="0"/>
    <n v="0"/>
    <n v="0"/>
    <n v="0"/>
    <x v="3"/>
    <s v="Married"/>
    <n v="0"/>
    <n v="1"/>
    <n v="5346"/>
    <n v="6208"/>
    <n v="4"/>
    <s v="No"/>
    <n v="0"/>
    <n v="17"/>
    <n v="3"/>
    <n v="3"/>
    <n v="1"/>
    <n v="11"/>
    <n v="3"/>
    <n v="2"/>
    <n v="7"/>
    <n v="1"/>
    <n v="0"/>
    <n v="7"/>
  </r>
  <r>
    <n v="37"/>
    <x v="0"/>
    <n v="1"/>
    <s v="Travel_Rarely"/>
    <n v="0"/>
    <n v="1"/>
    <n v="370"/>
    <s v="Research &amp; Development"/>
    <n v="1"/>
    <n v="0"/>
    <n v="10"/>
    <n v="4"/>
    <s v="Medical"/>
    <n v="0"/>
    <n v="0"/>
    <n v="1"/>
    <n v="0"/>
    <n v="0"/>
    <n v="4"/>
    <x v="1"/>
    <n v="0"/>
    <n v="58"/>
    <n v="3"/>
    <n v="2"/>
    <s v="Manufacturing Director"/>
    <n v="0"/>
    <n v="0"/>
    <n v="0"/>
    <n v="0"/>
    <n v="1"/>
    <n v="1"/>
    <n v="0"/>
    <n v="0"/>
    <x v="3"/>
    <s v="Single"/>
    <n v="1"/>
    <n v="0"/>
    <n v="4213"/>
    <n v="4992"/>
    <n v="1"/>
    <s v="No"/>
    <n v="0"/>
    <n v="15"/>
    <n v="3"/>
    <n v="2"/>
    <n v="0"/>
    <n v="10"/>
    <n v="4"/>
    <n v="1"/>
    <n v="10"/>
    <n v="3"/>
    <n v="0"/>
    <n v="8"/>
  </r>
  <r>
    <n v="39"/>
    <x v="1"/>
    <n v="0"/>
    <s v="Travel_Frequently"/>
    <n v="1"/>
    <n v="0"/>
    <n v="766"/>
    <s v="Sales"/>
    <n v="0"/>
    <n v="1"/>
    <n v="20"/>
    <n v="3"/>
    <s v="Life Sciences"/>
    <n v="1"/>
    <n v="0"/>
    <n v="0"/>
    <n v="0"/>
    <n v="0"/>
    <n v="3"/>
    <x v="1"/>
    <n v="0"/>
    <n v="83"/>
    <n v="3"/>
    <n v="2"/>
    <s v="Sales Executive"/>
    <n v="0"/>
    <n v="1"/>
    <n v="0"/>
    <n v="0"/>
    <n v="0"/>
    <n v="0"/>
    <n v="0"/>
    <n v="0"/>
    <x v="0"/>
    <s v="Divorced"/>
    <n v="0"/>
    <n v="0"/>
    <n v="4127"/>
    <n v="19188"/>
    <n v="2"/>
    <s v="No"/>
    <n v="0"/>
    <n v="18"/>
    <n v="3"/>
    <n v="4"/>
    <n v="1"/>
    <n v="7"/>
    <n v="6"/>
    <n v="3"/>
    <n v="2"/>
    <n v="1"/>
    <n v="2"/>
    <n v="2"/>
  </r>
  <r>
    <n v="43"/>
    <x v="1"/>
    <n v="0"/>
    <s v="Non-Travel"/>
    <n v="0"/>
    <n v="0"/>
    <n v="343"/>
    <s v="Research &amp; Development"/>
    <n v="1"/>
    <n v="0"/>
    <n v="9"/>
    <n v="3"/>
    <s v="Life Sciences"/>
    <n v="1"/>
    <n v="0"/>
    <n v="0"/>
    <n v="0"/>
    <n v="0"/>
    <n v="1"/>
    <x v="1"/>
    <n v="0"/>
    <n v="52"/>
    <n v="3"/>
    <n v="1"/>
    <s v="Research Scientist"/>
    <n v="0"/>
    <n v="0"/>
    <n v="0"/>
    <n v="0"/>
    <n v="0"/>
    <n v="0"/>
    <n v="0"/>
    <n v="1"/>
    <x v="2"/>
    <s v="Single"/>
    <n v="1"/>
    <n v="0"/>
    <n v="2438"/>
    <n v="24978"/>
    <n v="4"/>
    <s v="No"/>
    <n v="0"/>
    <n v="13"/>
    <n v="3"/>
    <n v="3"/>
    <n v="0"/>
    <n v="7"/>
    <n v="2"/>
    <n v="2"/>
    <n v="3"/>
    <n v="2"/>
    <n v="1"/>
    <n v="2"/>
  </r>
  <r>
    <n v="41"/>
    <x v="1"/>
    <n v="0"/>
    <s v="Travel_Rarely"/>
    <n v="0"/>
    <n v="1"/>
    <n v="447"/>
    <s v="Research &amp; Development"/>
    <n v="1"/>
    <n v="0"/>
    <n v="5"/>
    <n v="3"/>
    <s v="Life Sciences"/>
    <n v="1"/>
    <n v="0"/>
    <n v="0"/>
    <n v="0"/>
    <n v="0"/>
    <n v="2"/>
    <x v="1"/>
    <n v="0"/>
    <n v="85"/>
    <n v="4"/>
    <n v="2"/>
    <s v="Healthcare Representative"/>
    <n v="1"/>
    <n v="0"/>
    <n v="0"/>
    <n v="0"/>
    <n v="0"/>
    <n v="0"/>
    <n v="0"/>
    <n v="0"/>
    <x v="1"/>
    <s v="Single"/>
    <n v="1"/>
    <n v="0"/>
    <n v="6870"/>
    <n v="15530"/>
    <n v="3"/>
    <s v="No"/>
    <n v="0"/>
    <n v="12"/>
    <n v="3"/>
    <n v="1"/>
    <n v="0"/>
    <n v="11"/>
    <n v="3"/>
    <n v="1"/>
    <n v="3"/>
    <n v="2"/>
    <n v="1"/>
    <n v="2"/>
  </r>
  <r>
    <n v="41"/>
    <x v="1"/>
    <n v="0"/>
    <s v="Travel_Rarely"/>
    <n v="0"/>
    <n v="1"/>
    <n v="796"/>
    <s v="Sales"/>
    <n v="0"/>
    <n v="1"/>
    <n v="4"/>
    <n v="1"/>
    <s v="Marketing"/>
    <n v="0"/>
    <n v="0"/>
    <n v="0"/>
    <n v="1"/>
    <n v="0"/>
    <n v="3"/>
    <x v="0"/>
    <n v="1"/>
    <n v="81"/>
    <n v="3"/>
    <n v="3"/>
    <s v="Sales Executive"/>
    <n v="0"/>
    <n v="1"/>
    <n v="0"/>
    <n v="0"/>
    <n v="0"/>
    <n v="0"/>
    <n v="0"/>
    <n v="0"/>
    <x v="2"/>
    <s v="Divorced"/>
    <n v="0"/>
    <n v="0"/>
    <n v="10447"/>
    <n v="26458"/>
    <n v="0"/>
    <s v="Yes"/>
    <n v="1"/>
    <n v="13"/>
    <n v="3"/>
    <n v="4"/>
    <n v="1"/>
    <n v="23"/>
    <n v="3"/>
    <n v="4"/>
    <n v="22"/>
    <n v="14"/>
    <n v="13"/>
    <n v="5"/>
  </r>
  <r>
    <n v="30"/>
    <x v="1"/>
    <n v="0"/>
    <s v="Travel_Rarely"/>
    <n v="0"/>
    <n v="1"/>
    <n v="1092"/>
    <s v="Research &amp; Development"/>
    <n v="1"/>
    <n v="0"/>
    <n v="10"/>
    <n v="3"/>
    <s v="Medical"/>
    <n v="0"/>
    <n v="0"/>
    <n v="1"/>
    <n v="0"/>
    <n v="0"/>
    <n v="1"/>
    <x v="0"/>
    <n v="1"/>
    <n v="64"/>
    <n v="3"/>
    <n v="3"/>
    <s v="Manufacturing Director"/>
    <n v="0"/>
    <n v="0"/>
    <n v="0"/>
    <n v="0"/>
    <n v="1"/>
    <n v="1"/>
    <n v="0"/>
    <n v="0"/>
    <x v="2"/>
    <s v="Single"/>
    <n v="1"/>
    <n v="0"/>
    <n v="9667"/>
    <n v="2739"/>
    <n v="9"/>
    <s v="No"/>
    <n v="0"/>
    <n v="14"/>
    <n v="3"/>
    <n v="2"/>
    <n v="0"/>
    <n v="9"/>
    <n v="3"/>
    <n v="3"/>
    <n v="7"/>
    <n v="7"/>
    <n v="0"/>
    <n v="2"/>
  </r>
  <r>
    <n v="26"/>
    <x v="0"/>
    <n v="1"/>
    <s v="Travel_Rarely"/>
    <n v="0"/>
    <n v="1"/>
    <n v="920"/>
    <s v="Human Resources"/>
    <n v="0"/>
    <n v="0"/>
    <n v="20"/>
    <n v="2"/>
    <s v="Medical"/>
    <n v="0"/>
    <n v="0"/>
    <n v="1"/>
    <n v="0"/>
    <n v="0"/>
    <n v="4"/>
    <x v="0"/>
    <n v="1"/>
    <n v="69"/>
    <n v="3"/>
    <n v="1"/>
    <s v="Human Resources"/>
    <n v="0"/>
    <n v="0"/>
    <n v="0"/>
    <n v="0"/>
    <n v="0"/>
    <n v="0"/>
    <n v="0"/>
    <n v="0"/>
    <x v="1"/>
    <s v="Married"/>
    <n v="0"/>
    <n v="1"/>
    <n v="2148"/>
    <n v="6889"/>
    <n v="0"/>
    <s v="Yes"/>
    <n v="1"/>
    <n v="11"/>
    <n v="3"/>
    <n v="3"/>
    <n v="0"/>
    <n v="6"/>
    <n v="3"/>
    <n v="3"/>
    <n v="5"/>
    <n v="1"/>
    <n v="1"/>
    <n v="4"/>
  </r>
  <r>
    <n v="46"/>
    <x v="0"/>
    <n v="1"/>
    <s v="Travel_Rarely"/>
    <n v="0"/>
    <n v="1"/>
    <n v="261"/>
    <s v="Research &amp; Development"/>
    <n v="1"/>
    <n v="0"/>
    <n v="21"/>
    <n v="2"/>
    <s v="Medical"/>
    <n v="0"/>
    <n v="0"/>
    <n v="1"/>
    <n v="0"/>
    <n v="0"/>
    <n v="4"/>
    <x v="0"/>
    <n v="1"/>
    <n v="66"/>
    <n v="3"/>
    <n v="2"/>
    <s v="Healthcare Representative"/>
    <n v="1"/>
    <n v="0"/>
    <n v="0"/>
    <n v="0"/>
    <n v="0"/>
    <n v="0"/>
    <n v="0"/>
    <n v="0"/>
    <x v="1"/>
    <s v="Married"/>
    <n v="0"/>
    <n v="1"/>
    <n v="8926"/>
    <n v="10842"/>
    <n v="4"/>
    <s v="No"/>
    <n v="0"/>
    <n v="22"/>
    <n v="4"/>
    <n v="4"/>
    <n v="1"/>
    <n v="13"/>
    <n v="2"/>
    <n v="4"/>
    <n v="9"/>
    <n v="7"/>
    <n v="3"/>
    <n v="7"/>
  </r>
  <r>
    <n v="40"/>
    <x v="1"/>
    <n v="0"/>
    <s v="Travel_Rarely"/>
    <n v="0"/>
    <n v="1"/>
    <n v="1194"/>
    <s v="Research &amp; Development"/>
    <n v="1"/>
    <n v="0"/>
    <n v="1"/>
    <n v="3"/>
    <s v="Life Sciences"/>
    <n v="1"/>
    <n v="0"/>
    <n v="0"/>
    <n v="0"/>
    <n v="0"/>
    <n v="3"/>
    <x v="0"/>
    <n v="1"/>
    <n v="52"/>
    <n v="3"/>
    <n v="2"/>
    <s v="Healthcare Representative"/>
    <n v="1"/>
    <n v="0"/>
    <n v="0"/>
    <n v="0"/>
    <n v="0"/>
    <n v="0"/>
    <n v="0"/>
    <n v="0"/>
    <x v="0"/>
    <s v="Divorced"/>
    <n v="0"/>
    <n v="0"/>
    <n v="6513"/>
    <n v="9060"/>
    <n v="4"/>
    <s v="No"/>
    <n v="0"/>
    <n v="17"/>
    <n v="3"/>
    <n v="4"/>
    <n v="1"/>
    <n v="12"/>
    <n v="3"/>
    <n v="3"/>
    <n v="5"/>
    <n v="3"/>
    <n v="0"/>
    <n v="3"/>
  </r>
  <r>
    <n v="34"/>
    <x v="1"/>
    <n v="0"/>
    <s v="Travel_Rarely"/>
    <n v="0"/>
    <n v="1"/>
    <n v="810"/>
    <s v="Sales"/>
    <n v="0"/>
    <n v="1"/>
    <n v="8"/>
    <n v="2"/>
    <s v="Technical Degree"/>
    <n v="0"/>
    <n v="0"/>
    <n v="0"/>
    <n v="0"/>
    <n v="1"/>
    <n v="2"/>
    <x v="1"/>
    <n v="0"/>
    <n v="92"/>
    <n v="4"/>
    <n v="2"/>
    <s v="Sales Executive"/>
    <n v="0"/>
    <n v="1"/>
    <n v="0"/>
    <n v="0"/>
    <n v="0"/>
    <n v="0"/>
    <n v="0"/>
    <n v="0"/>
    <x v="2"/>
    <s v="Married"/>
    <n v="0"/>
    <n v="1"/>
    <n v="6799"/>
    <n v="22128"/>
    <n v="1"/>
    <s v="No"/>
    <n v="0"/>
    <n v="21"/>
    <n v="4"/>
    <n v="3"/>
    <n v="2"/>
    <n v="10"/>
    <n v="5"/>
    <n v="3"/>
    <n v="10"/>
    <n v="8"/>
    <n v="4"/>
    <n v="8"/>
  </r>
  <r>
    <n v="58"/>
    <x v="1"/>
    <n v="0"/>
    <s v="Non-Travel"/>
    <n v="0"/>
    <n v="0"/>
    <n v="350"/>
    <s v="Sales"/>
    <n v="0"/>
    <n v="1"/>
    <n v="2"/>
    <n v="3"/>
    <s v="Medical"/>
    <n v="0"/>
    <n v="0"/>
    <n v="1"/>
    <n v="0"/>
    <n v="0"/>
    <n v="2"/>
    <x v="1"/>
    <n v="0"/>
    <n v="52"/>
    <n v="3"/>
    <n v="4"/>
    <s v="Manager"/>
    <n v="0"/>
    <n v="0"/>
    <n v="0"/>
    <n v="1"/>
    <n v="0"/>
    <n v="0"/>
    <n v="0"/>
    <n v="0"/>
    <x v="1"/>
    <s v="Divorced"/>
    <n v="0"/>
    <n v="0"/>
    <n v="16291"/>
    <n v="22577"/>
    <n v="4"/>
    <s v="No"/>
    <n v="0"/>
    <n v="22"/>
    <n v="4"/>
    <n v="4"/>
    <n v="1"/>
    <n v="37"/>
    <n v="0"/>
    <n v="2"/>
    <n v="16"/>
    <n v="9"/>
    <n v="14"/>
    <n v="14"/>
  </r>
  <r>
    <n v="35"/>
    <x v="1"/>
    <n v="0"/>
    <s v="Travel_Rarely"/>
    <n v="0"/>
    <n v="1"/>
    <n v="185"/>
    <s v="Research &amp; Development"/>
    <n v="1"/>
    <n v="0"/>
    <n v="23"/>
    <n v="4"/>
    <s v="Medical"/>
    <n v="0"/>
    <n v="0"/>
    <n v="1"/>
    <n v="0"/>
    <n v="0"/>
    <n v="2"/>
    <x v="1"/>
    <n v="0"/>
    <n v="91"/>
    <n v="1"/>
    <n v="1"/>
    <s v="Laboratory Technician"/>
    <n v="0"/>
    <n v="0"/>
    <n v="1"/>
    <n v="0"/>
    <n v="0"/>
    <n v="0"/>
    <n v="0"/>
    <n v="0"/>
    <x v="2"/>
    <s v="Married"/>
    <n v="0"/>
    <n v="1"/>
    <n v="2705"/>
    <n v="9696"/>
    <n v="0"/>
    <s v="No"/>
    <n v="0"/>
    <n v="16"/>
    <n v="3"/>
    <n v="2"/>
    <n v="1"/>
    <n v="6"/>
    <n v="2"/>
    <n v="4"/>
    <n v="5"/>
    <n v="4"/>
    <n v="0"/>
    <n v="3"/>
  </r>
  <r>
    <n v="47"/>
    <x v="1"/>
    <n v="0"/>
    <s v="Travel_Rarely"/>
    <n v="0"/>
    <n v="1"/>
    <n v="1001"/>
    <s v="Research &amp; Development"/>
    <n v="1"/>
    <n v="0"/>
    <n v="4"/>
    <n v="3"/>
    <s v="Life Sciences"/>
    <n v="1"/>
    <n v="0"/>
    <n v="0"/>
    <n v="0"/>
    <n v="0"/>
    <n v="3"/>
    <x v="0"/>
    <n v="1"/>
    <n v="92"/>
    <n v="2"/>
    <n v="3"/>
    <s v="Manufacturing Director"/>
    <n v="0"/>
    <n v="0"/>
    <n v="0"/>
    <n v="0"/>
    <n v="1"/>
    <n v="1"/>
    <n v="0"/>
    <n v="0"/>
    <x v="1"/>
    <s v="Divorced"/>
    <n v="0"/>
    <n v="0"/>
    <n v="10333"/>
    <n v="19271"/>
    <n v="8"/>
    <s v="Yes"/>
    <n v="1"/>
    <n v="12"/>
    <n v="3"/>
    <n v="3"/>
    <n v="1"/>
    <n v="28"/>
    <n v="4"/>
    <n v="3"/>
    <n v="22"/>
    <n v="11"/>
    <n v="14"/>
    <n v="10"/>
  </r>
  <r>
    <n v="40"/>
    <x v="1"/>
    <n v="0"/>
    <s v="Travel_Rarely"/>
    <n v="0"/>
    <n v="1"/>
    <n v="750"/>
    <s v="Research &amp; Development"/>
    <n v="1"/>
    <n v="0"/>
    <n v="12"/>
    <n v="3"/>
    <s v="Life Sciences"/>
    <n v="1"/>
    <n v="0"/>
    <n v="0"/>
    <n v="0"/>
    <n v="0"/>
    <n v="2"/>
    <x v="0"/>
    <n v="1"/>
    <n v="47"/>
    <n v="3"/>
    <n v="2"/>
    <s v="Healthcare Representative"/>
    <n v="1"/>
    <n v="0"/>
    <n v="0"/>
    <n v="0"/>
    <n v="0"/>
    <n v="0"/>
    <n v="0"/>
    <n v="0"/>
    <x v="3"/>
    <s v="Divorced"/>
    <n v="0"/>
    <n v="0"/>
    <n v="4448"/>
    <n v="10748"/>
    <n v="2"/>
    <s v="No"/>
    <n v="0"/>
    <n v="12"/>
    <n v="3"/>
    <n v="2"/>
    <n v="1"/>
    <n v="15"/>
    <n v="3"/>
    <n v="3"/>
    <n v="7"/>
    <n v="4"/>
    <n v="7"/>
    <n v="7"/>
  </r>
  <r>
    <n v="54"/>
    <x v="1"/>
    <n v="0"/>
    <s v="Travel_Rarely"/>
    <n v="0"/>
    <n v="1"/>
    <n v="431"/>
    <s v="Research &amp; Development"/>
    <n v="1"/>
    <n v="0"/>
    <n v="7"/>
    <n v="4"/>
    <s v="Medical"/>
    <n v="0"/>
    <n v="0"/>
    <n v="1"/>
    <n v="0"/>
    <n v="0"/>
    <n v="4"/>
    <x v="0"/>
    <n v="1"/>
    <n v="68"/>
    <n v="3"/>
    <n v="2"/>
    <s v="Research Scientist"/>
    <n v="0"/>
    <n v="0"/>
    <n v="0"/>
    <n v="0"/>
    <n v="0"/>
    <n v="0"/>
    <n v="0"/>
    <n v="1"/>
    <x v="0"/>
    <s v="Married"/>
    <n v="0"/>
    <n v="1"/>
    <n v="6854"/>
    <n v="15696"/>
    <n v="4"/>
    <s v="No"/>
    <n v="0"/>
    <n v="15"/>
    <n v="3"/>
    <n v="2"/>
    <n v="1"/>
    <n v="14"/>
    <n v="2"/>
    <n v="2"/>
    <n v="7"/>
    <n v="1"/>
    <n v="1"/>
    <n v="7"/>
  </r>
  <r>
    <n v="31"/>
    <x v="1"/>
    <n v="0"/>
    <s v="Travel_Frequently"/>
    <n v="1"/>
    <n v="0"/>
    <n v="1125"/>
    <s v="Sales"/>
    <n v="0"/>
    <n v="1"/>
    <n v="7"/>
    <n v="4"/>
    <s v="Marketing"/>
    <n v="0"/>
    <n v="0"/>
    <n v="0"/>
    <n v="1"/>
    <n v="0"/>
    <n v="1"/>
    <x v="0"/>
    <n v="1"/>
    <n v="68"/>
    <n v="3"/>
    <n v="3"/>
    <s v="Sales Executive"/>
    <n v="0"/>
    <n v="1"/>
    <n v="0"/>
    <n v="0"/>
    <n v="0"/>
    <n v="0"/>
    <n v="0"/>
    <n v="0"/>
    <x v="3"/>
    <s v="Married"/>
    <n v="0"/>
    <n v="1"/>
    <n v="9637"/>
    <n v="8277"/>
    <n v="2"/>
    <s v="No"/>
    <n v="0"/>
    <n v="14"/>
    <n v="3"/>
    <n v="4"/>
    <n v="2"/>
    <n v="9"/>
    <n v="3"/>
    <n v="3"/>
    <n v="3"/>
    <n v="2"/>
    <n v="2"/>
    <n v="2"/>
  </r>
  <r>
    <n v="28"/>
    <x v="1"/>
    <n v="0"/>
    <s v="Travel_Rarely"/>
    <n v="0"/>
    <n v="1"/>
    <n v="1217"/>
    <s v="Research &amp; Development"/>
    <n v="1"/>
    <n v="0"/>
    <n v="1"/>
    <n v="3"/>
    <s v="Medical"/>
    <n v="0"/>
    <n v="0"/>
    <n v="1"/>
    <n v="0"/>
    <n v="0"/>
    <n v="3"/>
    <x v="0"/>
    <n v="1"/>
    <n v="67"/>
    <n v="3"/>
    <n v="1"/>
    <s v="Research Scientist"/>
    <n v="0"/>
    <n v="0"/>
    <n v="0"/>
    <n v="0"/>
    <n v="0"/>
    <n v="0"/>
    <n v="0"/>
    <n v="1"/>
    <x v="3"/>
    <s v="Married"/>
    <n v="0"/>
    <n v="1"/>
    <n v="3591"/>
    <n v="12719"/>
    <n v="1"/>
    <s v="No"/>
    <n v="0"/>
    <n v="25"/>
    <n v="4"/>
    <n v="3"/>
    <n v="1"/>
    <n v="3"/>
    <n v="3"/>
    <n v="3"/>
    <n v="3"/>
    <n v="2"/>
    <n v="1"/>
    <n v="2"/>
  </r>
  <r>
    <n v="38"/>
    <x v="1"/>
    <n v="0"/>
    <s v="Travel_Rarely"/>
    <n v="0"/>
    <n v="1"/>
    <n v="723"/>
    <s v="Sales"/>
    <n v="0"/>
    <n v="1"/>
    <n v="2"/>
    <n v="4"/>
    <s v="Marketing"/>
    <n v="0"/>
    <n v="0"/>
    <n v="0"/>
    <n v="1"/>
    <n v="0"/>
    <n v="2"/>
    <x v="0"/>
    <n v="1"/>
    <n v="77"/>
    <n v="1"/>
    <n v="2"/>
    <s v="Sales Representative"/>
    <n v="0"/>
    <n v="0"/>
    <n v="0"/>
    <n v="0"/>
    <n v="0"/>
    <n v="0"/>
    <n v="1"/>
    <n v="0"/>
    <x v="0"/>
    <s v="Married"/>
    <n v="0"/>
    <n v="1"/>
    <n v="5405"/>
    <n v="4244"/>
    <n v="2"/>
    <s v="Yes"/>
    <n v="1"/>
    <n v="20"/>
    <n v="4"/>
    <n v="1"/>
    <n v="2"/>
    <n v="20"/>
    <n v="4"/>
    <n v="2"/>
    <n v="4"/>
    <n v="2"/>
    <n v="0"/>
    <n v="3"/>
  </r>
  <r>
    <n v="26"/>
    <x v="1"/>
    <n v="0"/>
    <s v="Travel_Rarely"/>
    <n v="0"/>
    <n v="1"/>
    <n v="572"/>
    <s v="Sales"/>
    <n v="0"/>
    <n v="1"/>
    <n v="10"/>
    <n v="3"/>
    <s v="Medical"/>
    <n v="0"/>
    <n v="0"/>
    <n v="1"/>
    <n v="0"/>
    <n v="0"/>
    <n v="3"/>
    <x v="1"/>
    <n v="0"/>
    <n v="46"/>
    <n v="3"/>
    <n v="2"/>
    <s v="Sales Executive"/>
    <n v="0"/>
    <n v="1"/>
    <n v="0"/>
    <n v="0"/>
    <n v="0"/>
    <n v="0"/>
    <n v="0"/>
    <n v="0"/>
    <x v="0"/>
    <s v="Single"/>
    <n v="1"/>
    <n v="0"/>
    <n v="4684"/>
    <n v="9125"/>
    <n v="1"/>
    <s v="No"/>
    <n v="0"/>
    <n v="13"/>
    <n v="3"/>
    <n v="1"/>
    <n v="0"/>
    <n v="5"/>
    <n v="4"/>
    <n v="3"/>
    <n v="5"/>
    <n v="3"/>
    <n v="1"/>
    <n v="2"/>
  </r>
  <r>
    <n v="58"/>
    <x v="1"/>
    <n v="0"/>
    <s v="Travel_Frequently"/>
    <n v="1"/>
    <n v="0"/>
    <n v="1216"/>
    <s v="Research &amp; Development"/>
    <n v="1"/>
    <n v="0"/>
    <n v="15"/>
    <n v="4"/>
    <s v="Life Sciences"/>
    <n v="1"/>
    <n v="0"/>
    <n v="0"/>
    <n v="0"/>
    <n v="0"/>
    <n v="1"/>
    <x v="1"/>
    <n v="0"/>
    <n v="87"/>
    <n v="3"/>
    <n v="4"/>
    <s v="Research Director"/>
    <n v="0"/>
    <n v="0"/>
    <n v="0"/>
    <n v="0"/>
    <n v="0"/>
    <n v="0"/>
    <n v="0"/>
    <n v="0"/>
    <x v="2"/>
    <s v="Married"/>
    <n v="0"/>
    <n v="1"/>
    <n v="15787"/>
    <n v="21624"/>
    <n v="2"/>
    <s v="Yes"/>
    <n v="1"/>
    <n v="14"/>
    <n v="3"/>
    <n v="2"/>
    <n v="0"/>
    <n v="23"/>
    <n v="3"/>
    <n v="3"/>
    <n v="2"/>
    <n v="2"/>
    <n v="2"/>
    <n v="2"/>
  </r>
  <r>
    <n v="18"/>
    <x v="1"/>
    <n v="0"/>
    <s v="Non-Travel"/>
    <n v="0"/>
    <n v="0"/>
    <n v="1431"/>
    <s v="Research &amp; Development"/>
    <n v="1"/>
    <n v="0"/>
    <n v="14"/>
    <n v="3"/>
    <s v="Medical"/>
    <n v="0"/>
    <n v="0"/>
    <n v="1"/>
    <n v="0"/>
    <n v="0"/>
    <n v="2"/>
    <x v="0"/>
    <n v="1"/>
    <n v="33"/>
    <n v="3"/>
    <n v="1"/>
    <s v="Research Scientist"/>
    <n v="0"/>
    <n v="0"/>
    <n v="0"/>
    <n v="0"/>
    <n v="0"/>
    <n v="0"/>
    <n v="0"/>
    <n v="1"/>
    <x v="2"/>
    <s v="Single"/>
    <n v="1"/>
    <n v="0"/>
    <n v="1514"/>
    <n v="8018"/>
    <n v="1"/>
    <s v="No"/>
    <n v="0"/>
    <n v="16"/>
    <n v="3"/>
    <n v="3"/>
    <n v="0"/>
    <n v="0"/>
    <n v="4"/>
    <n v="1"/>
    <n v="0"/>
    <n v="0"/>
    <n v="0"/>
    <n v="0"/>
  </r>
  <r>
    <n v="31"/>
    <x v="0"/>
    <n v="1"/>
    <s v="Travel_Rarely"/>
    <n v="0"/>
    <n v="1"/>
    <n v="359"/>
    <s v="Human Resources"/>
    <n v="0"/>
    <n v="0"/>
    <n v="18"/>
    <n v="5"/>
    <s v="Human Resources"/>
    <n v="0"/>
    <n v="0"/>
    <n v="0"/>
    <n v="0"/>
    <n v="0"/>
    <n v="4"/>
    <x v="1"/>
    <n v="0"/>
    <n v="89"/>
    <n v="4"/>
    <n v="1"/>
    <s v="Human Resources"/>
    <n v="0"/>
    <n v="0"/>
    <n v="0"/>
    <n v="0"/>
    <n v="0"/>
    <n v="0"/>
    <n v="0"/>
    <n v="0"/>
    <x v="3"/>
    <s v="Married"/>
    <n v="0"/>
    <n v="1"/>
    <n v="2956"/>
    <n v="21495"/>
    <n v="0"/>
    <s v="No"/>
    <n v="0"/>
    <n v="17"/>
    <n v="3"/>
    <n v="3"/>
    <n v="0"/>
    <n v="2"/>
    <n v="4"/>
    <n v="3"/>
    <n v="1"/>
    <n v="0"/>
    <n v="0"/>
    <n v="0"/>
  </r>
  <r>
    <n v="29"/>
    <x v="0"/>
    <n v="1"/>
    <s v="Travel_Rarely"/>
    <n v="0"/>
    <n v="1"/>
    <n v="350"/>
    <s v="Human Resources"/>
    <n v="0"/>
    <n v="0"/>
    <n v="13"/>
    <n v="3"/>
    <s v="Human Resources"/>
    <n v="0"/>
    <n v="0"/>
    <n v="0"/>
    <n v="0"/>
    <n v="0"/>
    <n v="1"/>
    <x v="1"/>
    <n v="0"/>
    <n v="56"/>
    <n v="2"/>
    <n v="1"/>
    <s v="Human Resources"/>
    <n v="0"/>
    <n v="0"/>
    <n v="0"/>
    <n v="0"/>
    <n v="0"/>
    <n v="0"/>
    <n v="0"/>
    <n v="0"/>
    <x v="3"/>
    <s v="Divorced"/>
    <n v="0"/>
    <n v="0"/>
    <n v="2335"/>
    <n v="3157"/>
    <n v="4"/>
    <s v="Yes"/>
    <n v="1"/>
    <n v="15"/>
    <n v="3"/>
    <n v="4"/>
    <n v="3"/>
    <n v="4"/>
    <n v="3"/>
    <n v="3"/>
    <n v="2"/>
    <n v="2"/>
    <n v="2"/>
    <n v="0"/>
  </r>
  <r>
    <n v="45"/>
    <x v="1"/>
    <n v="0"/>
    <s v="Non-Travel"/>
    <n v="0"/>
    <n v="0"/>
    <n v="589"/>
    <s v="Sales"/>
    <n v="0"/>
    <n v="1"/>
    <n v="2"/>
    <n v="4"/>
    <s v="Life Sciences"/>
    <n v="1"/>
    <n v="0"/>
    <n v="0"/>
    <n v="0"/>
    <n v="0"/>
    <n v="3"/>
    <x v="0"/>
    <n v="1"/>
    <n v="67"/>
    <n v="3"/>
    <n v="2"/>
    <s v="Sales Executive"/>
    <n v="0"/>
    <n v="1"/>
    <n v="0"/>
    <n v="0"/>
    <n v="0"/>
    <n v="0"/>
    <n v="0"/>
    <n v="0"/>
    <x v="2"/>
    <s v="Married"/>
    <n v="0"/>
    <n v="1"/>
    <n v="5154"/>
    <n v="19665"/>
    <n v="4"/>
    <s v="No"/>
    <n v="0"/>
    <n v="22"/>
    <n v="4"/>
    <n v="2"/>
    <n v="2"/>
    <n v="10"/>
    <n v="3"/>
    <n v="4"/>
    <n v="8"/>
    <n v="7"/>
    <n v="5"/>
    <n v="7"/>
  </r>
  <r>
    <n v="36"/>
    <x v="1"/>
    <n v="0"/>
    <s v="Travel_Rarely"/>
    <n v="0"/>
    <n v="1"/>
    <n v="430"/>
    <s v="Research &amp; Development"/>
    <n v="1"/>
    <n v="0"/>
    <n v="2"/>
    <n v="4"/>
    <s v="Other"/>
    <n v="0"/>
    <n v="1"/>
    <n v="0"/>
    <n v="0"/>
    <n v="0"/>
    <n v="4"/>
    <x v="0"/>
    <n v="1"/>
    <n v="73"/>
    <n v="3"/>
    <n v="2"/>
    <s v="Research Scientist"/>
    <n v="0"/>
    <n v="0"/>
    <n v="0"/>
    <n v="0"/>
    <n v="0"/>
    <n v="0"/>
    <n v="0"/>
    <n v="1"/>
    <x v="1"/>
    <s v="Married"/>
    <n v="0"/>
    <n v="1"/>
    <n v="6962"/>
    <n v="19573"/>
    <n v="4"/>
    <s v="Yes"/>
    <n v="1"/>
    <n v="22"/>
    <n v="4"/>
    <n v="4"/>
    <n v="1"/>
    <n v="15"/>
    <n v="2"/>
    <n v="3"/>
    <n v="1"/>
    <n v="0"/>
    <n v="0"/>
    <n v="0"/>
  </r>
  <r>
    <n v="43"/>
    <x v="1"/>
    <n v="0"/>
    <s v="Travel_Frequently"/>
    <n v="1"/>
    <n v="0"/>
    <n v="1422"/>
    <s v="Sales"/>
    <n v="0"/>
    <n v="1"/>
    <n v="2"/>
    <n v="4"/>
    <s v="Life Sciences"/>
    <n v="1"/>
    <n v="0"/>
    <n v="0"/>
    <n v="0"/>
    <n v="0"/>
    <n v="1"/>
    <x v="1"/>
    <n v="0"/>
    <n v="92"/>
    <n v="3"/>
    <n v="2"/>
    <s v="Sales Executive"/>
    <n v="0"/>
    <n v="1"/>
    <n v="0"/>
    <n v="0"/>
    <n v="0"/>
    <n v="0"/>
    <n v="0"/>
    <n v="0"/>
    <x v="0"/>
    <s v="Married"/>
    <n v="0"/>
    <n v="1"/>
    <n v="5675"/>
    <n v="19246"/>
    <n v="1"/>
    <s v="No"/>
    <n v="0"/>
    <n v="20"/>
    <n v="4"/>
    <n v="3"/>
    <n v="1"/>
    <n v="7"/>
    <n v="5"/>
    <n v="3"/>
    <n v="7"/>
    <n v="7"/>
    <n v="7"/>
    <n v="7"/>
  </r>
  <r>
    <n v="27"/>
    <x v="1"/>
    <n v="0"/>
    <s v="Travel_Frequently"/>
    <n v="1"/>
    <n v="0"/>
    <n v="1297"/>
    <s v="Research &amp; Development"/>
    <n v="1"/>
    <n v="0"/>
    <n v="5"/>
    <n v="2"/>
    <s v="Life Sciences"/>
    <n v="1"/>
    <n v="0"/>
    <n v="0"/>
    <n v="0"/>
    <n v="0"/>
    <n v="4"/>
    <x v="0"/>
    <n v="1"/>
    <n v="53"/>
    <n v="3"/>
    <n v="1"/>
    <s v="Laboratory Technician"/>
    <n v="0"/>
    <n v="0"/>
    <n v="1"/>
    <n v="0"/>
    <n v="0"/>
    <n v="0"/>
    <n v="0"/>
    <n v="0"/>
    <x v="0"/>
    <s v="Single"/>
    <n v="1"/>
    <n v="0"/>
    <n v="2379"/>
    <n v="19826"/>
    <n v="0"/>
    <s v="Yes"/>
    <n v="1"/>
    <n v="14"/>
    <n v="3"/>
    <n v="3"/>
    <n v="0"/>
    <n v="6"/>
    <n v="3"/>
    <n v="2"/>
    <n v="5"/>
    <n v="4"/>
    <n v="0"/>
    <n v="2"/>
  </r>
  <r>
    <n v="29"/>
    <x v="1"/>
    <n v="0"/>
    <s v="Travel_Frequently"/>
    <n v="1"/>
    <n v="0"/>
    <n v="574"/>
    <s v="Research &amp; Development"/>
    <n v="1"/>
    <n v="0"/>
    <n v="20"/>
    <n v="1"/>
    <s v="Medical"/>
    <n v="0"/>
    <n v="0"/>
    <n v="1"/>
    <n v="0"/>
    <n v="0"/>
    <n v="4"/>
    <x v="1"/>
    <n v="0"/>
    <n v="40"/>
    <n v="3"/>
    <n v="1"/>
    <s v="Laboratory Technician"/>
    <n v="0"/>
    <n v="0"/>
    <n v="1"/>
    <n v="0"/>
    <n v="0"/>
    <n v="0"/>
    <n v="0"/>
    <n v="0"/>
    <x v="0"/>
    <s v="Married"/>
    <n v="0"/>
    <n v="1"/>
    <n v="3812"/>
    <n v="7003"/>
    <n v="1"/>
    <s v="No"/>
    <n v="0"/>
    <n v="13"/>
    <n v="3"/>
    <n v="2"/>
    <n v="0"/>
    <n v="11"/>
    <n v="3"/>
    <n v="4"/>
    <n v="11"/>
    <n v="8"/>
    <n v="3"/>
    <n v="10"/>
  </r>
  <r>
    <n v="32"/>
    <x v="1"/>
    <n v="0"/>
    <s v="Travel_Frequently"/>
    <n v="1"/>
    <n v="0"/>
    <n v="1318"/>
    <s v="Sales"/>
    <n v="0"/>
    <n v="1"/>
    <n v="10"/>
    <n v="4"/>
    <s v="Marketing"/>
    <n v="0"/>
    <n v="0"/>
    <n v="0"/>
    <n v="1"/>
    <n v="0"/>
    <n v="4"/>
    <x v="1"/>
    <n v="0"/>
    <n v="79"/>
    <n v="3"/>
    <n v="2"/>
    <s v="Sales Executive"/>
    <n v="0"/>
    <n v="1"/>
    <n v="0"/>
    <n v="0"/>
    <n v="0"/>
    <n v="0"/>
    <n v="0"/>
    <n v="0"/>
    <x v="0"/>
    <s v="Single"/>
    <n v="1"/>
    <n v="0"/>
    <n v="4648"/>
    <n v="26075"/>
    <n v="8"/>
    <s v="No"/>
    <n v="0"/>
    <n v="13"/>
    <n v="3"/>
    <n v="3"/>
    <n v="0"/>
    <n v="4"/>
    <n v="2"/>
    <n v="4"/>
    <n v="0"/>
    <n v="0"/>
    <n v="0"/>
    <n v="0"/>
  </r>
  <r>
    <n v="42"/>
    <x v="1"/>
    <n v="0"/>
    <s v="Non-Travel"/>
    <n v="0"/>
    <n v="0"/>
    <n v="355"/>
    <s v="Research &amp; Development"/>
    <n v="1"/>
    <n v="0"/>
    <n v="10"/>
    <n v="4"/>
    <s v="Technical Degree"/>
    <n v="0"/>
    <n v="0"/>
    <n v="0"/>
    <n v="0"/>
    <n v="1"/>
    <n v="3"/>
    <x v="1"/>
    <n v="0"/>
    <n v="38"/>
    <n v="3"/>
    <n v="1"/>
    <s v="Research Scientist"/>
    <n v="0"/>
    <n v="0"/>
    <n v="0"/>
    <n v="0"/>
    <n v="0"/>
    <n v="0"/>
    <n v="0"/>
    <n v="1"/>
    <x v="2"/>
    <s v="Married"/>
    <n v="0"/>
    <n v="1"/>
    <n v="2936"/>
    <n v="6161"/>
    <n v="3"/>
    <s v="No"/>
    <n v="0"/>
    <n v="22"/>
    <n v="4"/>
    <n v="2"/>
    <n v="2"/>
    <n v="10"/>
    <n v="1"/>
    <n v="2"/>
    <n v="6"/>
    <n v="3"/>
    <n v="3"/>
    <n v="3"/>
  </r>
  <r>
    <n v="47"/>
    <x v="1"/>
    <n v="0"/>
    <s v="Travel_Rarely"/>
    <n v="0"/>
    <n v="1"/>
    <n v="207"/>
    <s v="Research &amp; Development"/>
    <n v="1"/>
    <n v="0"/>
    <n v="9"/>
    <n v="4"/>
    <s v="Life Sciences"/>
    <n v="1"/>
    <n v="0"/>
    <n v="0"/>
    <n v="0"/>
    <n v="0"/>
    <n v="2"/>
    <x v="0"/>
    <n v="1"/>
    <n v="64"/>
    <n v="3"/>
    <n v="1"/>
    <s v="Laboratory Technician"/>
    <n v="0"/>
    <n v="0"/>
    <n v="1"/>
    <n v="0"/>
    <n v="0"/>
    <n v="0"/>
    <n v="0"/>
    <n v="0"/>
    <x v="2"/>
    <s v="Single"/>
    <n v="1"/>
    <n v="0"/>
    <n v="2105"/>
    <n v="5411"/>
    <n v="4"/>
    <s v="No"/>
    <n v="0"/>
    <n v="12"/>
    <n v="3"/>
    <n v="3"/>
    <n v="0"/>
    <n v="7"/>
    <n v="2"/>
    <n v="3"/>
    <n v="2"/>
    <n v="2"/>
    <n v="2"/>
    <n v="0"/>
  </r>
  <r>
    <n v="46"/>
    <x v="1"/>
    <n v="0"/>
    <s v="Travel_Rarely"/>
    <n v="0"/>
    <n v="1"/>
    <n v="706"/>
    <s v="Research &amp; Development"/>
    <n v="1"/>
    <n v="0"/>
    <n v="2"/>
    <n v="2"/>
    <s v="Life Sciences"/>
    <n v="1"/>
    <n v="0"/>
    <n v="0"/>
    <n v="0"/>
    <n v="0"/>
    <n v="4"/>
    <x v="1"/>
    <n v="0"/>
    <n v="82"/>
    <n v="3"/>
    <n v="3"/>
    <s v="Manufacturing Director"/>
    <n v="0"/>
    <n v="0"/>
    <n v="0"/>
    <n v="0"/>
    <n v="1"/>
    <n v="1"/>
    <n v="0"/>
    <n v="0"/>
    <x v="0"/>
    <s v="Divorced"/>
    <n v="0"/>
    <n v="0"/>
    <n v="8578"/>
    <n v="19989"/>
    <n v="3"/>
    <s v="No"/>
    <n v="0"/>
    <n v="14"/>
    <n v="3"/>
    <n v="3"/>
    <n v="1"/>
    <n v="12"/>
    <n v="4"/>
    <n v="2"/>
    <n v="9"/>
    <n v="8"/>
    <n v="4"/>
    <n v="7"/>
  </r>
  <r>
    <n v="28"/>
    <x v="1"/>
    <n v="0"/>
    <s v="Non-Travel"/>
    <n v="0"/>
    <n v="0"/>
    <n v="280"/>
    <s v="Human Resources"/>
    <n v="0"/>
    <n v="0"/>
    <n v="1"/>
    <n v="2"/>
    <s v="Life Sciences"/>
    <n v="1"/>
    <n v="0"/>
    <n v="0"/>
    <n v="0"/>
    <n v="0"/>
    <n v="3"/>
    <x v="1"/>
    <n v="0"/>
    <n v="43"/>
    <n v="3"/>
    <n v="1"/>
    <s v="Human Resources"/>
    <n v="0"/>
    <n v="0"/>
    <n v="0"/>
    <n v="0"/>
    <n v="0"/>
    <n v="0"/>
    <n v="0"/>
    <n v="0"/>
    <x v="0"/>
    <s v="Divorced"/>
    <n v="0"/>
    <n v="0"/>
    <n v="2706"/>
    <n v="10494"/>
    <n v="1"/>
    <s v="No"/>
    <n v="0"/>
    <n v="15"/>
    <n v="3"/>
    <n v="2"/>
    <n v="1"/>
    <n v="3"/>
    <n v="2"/>
    <n v="3"/>
    <n v="3"/>
    <n v="2"/>
    <n v="2"/>
    <n v="2"/>
  </r>
  <r>
    <n v="29"/>
    <x v="1"/>
    <n v="0"/>
    <s v="Travel_Rarely"/>
    <n v="0"/>
    <n v="1"/>
    <n v="726"/>
    <s v="Research &amp; Development"/>
    <n v="1"/>
    <n v="0"/>
    <n v="29"/>
    <n v="1"/>
    <s v="Life Sciences"/>
    <n v="1"/>
    <n v="0"/>
    <n v="0"/>
    <n v="0"/>
    <n v="0"/>
    <n v="4"/>
    <x v="1"/>
    <n v="0"/>
    <n v="93"/>
    <n v="1"/>
    <n v="2"/>
    <s v="Healthcare Representative"/>
    <n v="1"/>
    <n v="0"/>
    <n v="0"/>
    <n v="0"/>
    <n v="0"/>
    <n v="0"/>
    <n v="0"/>
    <n v="0"/>
    <x v="2"/>
    <s v="Divorced"/>
    <n v="0"/>
    <n v="0"/>
    <n v="6384"/>
    <n v="21143"/>
    <n v="8"/>
    <s v="No"/>
    <n v="0"/>
    <n v="17"/>
    <n v="3"/>
    <n v="4"/>
    <n v="2"/>
    <n v="11"/>
    <n v="3"/>
    <n v="3"/>
    <n v="7"/>
    <n v="0"/>
    <n v="1"/>
    <n v="6"/>
  </r>
  <r>
    <n v="42"/>
    <x v="1"/>
    <n v="0"/>
    <s v="Travel_Rarely"/>
    <n v="0"/>
    <n v="1"/>
    <n v="1142"/>
    <s v="Research &amp; Development"/>
    <n v="1"/>
    <n v="0"/>
    <n v="8"/>
    <n v="3"/>
    <s v="Life Sciences"/>
    <n v="1"/>
    <n v="0"/>
    <n v="0"/>
    <n v="0"/>
    <n v="0"/>
    <n v="4"/>
    <x v="1"/>
    <n v="0"/>
    <n v="81"/>
    <n v="3"/>
    <n v="1"/>
    <s v="Laboratory Technician"/>
    <n v="0"/>
    <n v="0"/>
    <n v="1"/>
    <n v="0"/>
    <n v="0"/>
    <n v="0"/>
    <n v="0"/>
    <n v="0"/>
    <x v="2"/>
    <s v="Single"/>
    <n v="1"/>
    <n v="0"/>
    <n v="3968"/>
    <n v="13624"/>
    <n v="4"/>
    <s v="No"/>
    <n v="0"/>
    <n v="13"/>
    <n v="3"/>
    <n v="4"/>
    <n v="0"/>
    <n v="8"/>
    <n v="3"/>
    <n v="3"/>
    <n v="0"/>
    <n v="0"/>
    <n v="0"/>
    <n v="0"/>
  </r>
  <r>
    <n v="32"/>
    <x v="0"/>
    <n v="1"/>
    <s v="Travel_Rarely"/>
    <n v="0"/>
    <n v="1"/>
    <n v="414"/>
    <s v="Sales"/>
    <n v="0"/>
    <n v="1"/>
    <n v="2"/>
    <n v="4"/>
    <s v="Marketing"/>
    <n v="0"/>
    <n v="0"/>
    <n v="0"/>
    <n v="1"/>
    <n v="0"/>
    <n v="3"/>
    <x v="1"/>
    <n v="0"/>
    <n v="82"/>
    <n v="2"/>
    <n v="2"/>
    <s v="Sales Executive"/>
    <n v="0"/>
    <n v="1"/>
    <n v="0"/>
    <n v="0"/>
    <n v="0"/>
    <n v="0"/>
    <n v="0"/>
    <n v="0"/>
    <x v="1"/>
    <s v="Single"/>
    <n v="1"/>
    <n v="0"/>
    <n v="9907"/>
    <n v="26186"/>
    <n v="7"/>
    <s v="Yes"/>
    <n v="1"/>
    <n v="12"/>
    <n v="3"/>
    <n v="3"/>
    <n v="0"/>
    <n v="7"/>
    <n v="3"/>
    <n v="2"/>
    <n v="2"/>
    <n v="2"/>
    <n v="2"/>
    <n v="2"/>
  </r>
  <r>
    <n v="46"/>
    <x v="1"/>
    <n v="0"/>
    <s v="Travel_Rarely"/>
    <n v="0"/>
    <n v="1"/>
    <n v="1319"/>
    <s v="Sales"/>
    <n v="0"/>
    <n v="1"/>
    <n v="3"/>
    <n v="3"/>
    <s v="Technical Degree"/>
    <n v="0"/>
    <n v="0"/>
    <n v="0"/>
    <n v="0"/>
    <n v="1"/>
    <n v="1"/>
    <x v="0"/>
    <n v="1"/>
    <n v="45"/>
    <n v="4"/>
    <n v="4"/>
    <s v="Sales Executive"/>
    <n v="0"/>
    <n v="1"/>
    <n v="0"/>
    <n v="0"/>
    <n v="0"/>
    <n v="0"/>
    <n v="0"/>
    <n v="0"/>
    <x v="3"/>
    <s v="Divorced"/>
    <n v="0"/>
    <n v="0"/>
    <n v="13225"/>
    <n v="7739"/>
    <n v="2"/>
    <s v="No"/>
    <n v="0"/>
    <n v="12"/>
    <n v="3"/>
    <n v="4"/>
    <n v="1"/>
    <n v="25"/>
    <n v="5"/>
    <n v="3"/>
    <n v="19"/>
    <n v="17"/>
    <n v="2"/>
    <n v="8"/>
  </r>
  <r>
    <n v="27"/>
    <x v="1"/>
    <n v="0"/>
    <s v="Travel_Rarely"/>
    <n v="0"/>
    <n v="1"/>
    <n v="728"/>
    <s v="Sales"/>
    <n v="0"/>
    <n v="1"/>
    <n v="23"/>
    <n v="1"/>
    <s v="Medical"/>
    <n v="0"/>
    <n v="0"/>
    <n v="1"/>
    <n v="0"/>
    <n v="0"/>
    <n v="2"/>
    <x v="0"/>
    <n v="1"/>
    <n v="36"/>
    <n v="2"/>
    <n v="2"/>
    <s v="Sales Representative"/>
    <n v="0"/>
    <n v="0"/>
    <n v="0"/>
    <n v="0"/>
    <n v="0"/>
    <n v="0"/>
    <n v="1"/>
    <n v="0"/>
    <x v="2"/>
    <s v="Married"/>
    <n v="0"/>
    <n v="1"/>
    <n v="3540"/>
    <n v="7018"/>
    <n v="1"/>
    <s v="No"/>
    <n v="0"/>
    <n v="21"/>
    <n v="4"/>
    <n v="4"/>
    <n v="1"/>
    <n v="9"/>
    <n v="5"/>
    <n v="3"/>
    <n v="9"/>
    <n v="8"/>
    <n v="5"/>
    <n v="8"/>
  </r>
  <r>
    <n v="29"/>
    <x v="1"/>
    <n v="0"/>
    <s v="Travel_Rarely"/>
    <n v="0"/>
    <n v="1"/>
    <n v="352"/>
    <s v="Human Resources"/>
    <n v="0"/>
    <n v="0"/>
    <n v="6"/>
    <n v="1"/>
    <s v="Medical"/>
    <n v="0"/>
    <n v="0"/>
    <n v="1"/>
    <n v="0"/>
    <n v="0"/>
    <n v="4"/>
    <x v="1"/>
    <n v="0"/>
    <n v="87"/>
    <n v="2"/>
    <n v="1"/>
    <s v="Human Resources"/>
    <n v="0"/>
    <n v="0"/>
    <n v="0"/>
    <n v="0"/>
    <n v="0"/>
    <n v="0"/>
    <n v="0"/>
    <n v="0"/>
    <x v="1"/>
    <s v="Married"/>
    <n v="0"/>
    <n v="1"/>
    <n v="2804"/>
    <n v="15434"/>
    <n v="1"/>
    <s v="No"/>
    <n v="0"/>
    <n v="11"/>
    <n v="3"/>
    <n v="4"/>
    <n v="0"/>
    <n v="1"/>
    <n v="3"/>
    <n v="3"/>
    <n v="1"/>
    <n v="0"/>
    <n v="0"/>
    <n v="0"/>
  </r>
  <r>
    <n v="43"/>
    <x v="1"/>
    <n v="0"/>
    <s v="Travel_Rarely"/>
    <n v="0"/>
    <n v="1"/>
    <n v="823"/>
    <s v="Research &amp; Development"/>
    <n v="1"/>
    <n v="0"/>
    <n v="6"/>
    <n v="3"/>
    <s v="Medical"/>
    <n v="0"/>
    <n v="0"/>
    <n v="1"/>
    <n v="0"/>
    <n v="0"/>
    <n v="1"/>
    <x v="0"/>
    <n v="1"/>
    <n v="81"/>
    <n v="2"/>
    <n v="5"/>
    <s v="Manager"/>
    <n v="0"/>
    <n v="0"/>
    <n v="0"/>
    <n v="1"/>
    <n v="0"/>
    <n v="0"/>
    <n v="0"/>
    <n v="0"/>
    <x v="2"/>
    <s v="Married"/>
    <n v="0"/>
    <n v="1"/>
    <n v="19392"/>
    <n v="22539"/>
    <n v="7"/>
    <s v="No"/>
    <n v="0"/>
    <n v="13"/>
    <n v="3"/>
    <n v="4"/>
    <n v="0"/>
    <n v="21"/>
    <n v="2"/>
    <n v="3"/>
    <n v="16"/>
    <n v="12"/>
    <n v="6"/>
    <n v="14"/>
  </r>
  <r>
    <n v="48"/>
    <x v="1"/>
    <n v="0"/>
    <s v="Travel_Rarely"/>
    <n v="0"/>
    <n v="1"/>
    <n v="1224"/>
    <s v="Research &amp; Development"/>
    <n v="1"/>
    <n v="0"/>
    <n v="10"/>
    <n v="3"/>
    <s v="Life Sciences"/>
    <n v="1"/>
    <n v="0"/>
    <n v="0"/>
    <n v="0"/>
    <n v="0"/>
    <n v="4"/>
    <x v="1"/>
    <n v="0"/>
    <n v="91"/>
    <n v="2"/>
    <n v="5"/>
    <s v="Research Director"/>
    <n v="0"/>
    <n v="0"/>
    <n v="0"/>
    <n v="0"/>
    <n v="0"/>
    <n v="0"/>
    <n v="0"/>
    <n v="0"/>
    <x v="1"/>
    <s v="Married"/>
    <n v="0"/>
    <n v="1"/>
    <n v="19665"/>
    <n v="13583"/>
    <n v="4"/>
    <s v="No"/>
    <n v="0"/>
    <n v="12"/>
    <n v="3"/>
    <n v="4"/>
    <n v="0"/>
    <n v="29"/>
    <n v="3"/>
    <n v="3"/>
    <n v="22"/>
    <n v="10"/>
    <n v="12"/>
    <n v="9"/>
  </r>
  <r>
    <n v="29"/>
    <x v="0"/>
    <n v="1"/>
    <s v="Travel_Frequently"/>
    <n v="1"/>
    <n v="0"/>
    <n v="459"/>
    <s v="Research &amp; Development"/>
    <n v="1"/>
    <n v="0"/>
    <n v="24"/>
    <n v="2"/>
    <s v="Life Sciences"/>
    <n v="1"/>
    <n v="0"/>
    <n v="0"/>
    <n v="0"/>
    <n v="0"/>
    <n v="4"/>
    <x v="1"/>
    <n v="0"/>
    <n v="73"/>
    <n v="2"/>
    <n v="1"/>
    <s v="Research Scientist"/>
    <n v="0"/>
    <n v="0"/>
    <n v="0"/>
    <n v="0"/>
    <n v="0"/>
    <n v="0"/>
    <n v="0"/>
    <n v="1"/>
    <x v="0"/>
    <s v="Single"/>
    <n v="1"/>
    <n v="0"/>
    <n v="2439"/>
    <n v="14753"/>
    <n v="1"/>
    <s v="Yes"/>
    <n v="1"/>
    <n v="24"/>
    <n v="4"/>
    <n v="2"/>
    <n v="0"/>
    <n v="1"/>
    <n v="3"/>
    <n v="2"/>
    <n v="1"/>
    <n v="0"/>
    <n v="1"/>
    <n v="0"/>
  </r>
  <r>
    <n v="46"/>
    <x v="0"/>
    <n v="1"/>
    <s v="Travel_Rarely"/>
    <n v="0"/>
    <n v="1"/>
    <n v="1254"/>
    <s v="Sales"/>
    <n v="0"/>
    <n v="1"/>
    <n v="10"/>
    <n v="3"/>
    <s v="Life Sciences"/>
    <n v="1"/>
    <n v="0"/>
    <n v="0"/>
    <n v="0"/>
    <n v="0"/>
    <n v="3"/>
    <x v="0"/>
    <n v="1"/>
    <n v="64"/>
    <n v="3"/>
    <n v="3"/>
    <s v="Sales Executive"/>
    <n v="0"/>
    <n v="1"/>
    <n v="0"/>
    <n v="0"/>
    <n v="0"/>
    <n v="0"/>
    <n v="0"/>
    <n v="0"/>
    <x v="1"/>
    <s v="Married"/>
    <n v="0"/>
    <n v="1"/>
    <n v="7314"/>
    <n v="14011"/>
    <n v="5"/>
    <s v="No"/>
    <n v="0"/>
    <n v="21"/>
    <n v="4"/>
    <n v="3"/>
    <n v="3"/>
    <n v="14"/>
    <n v="2"/>
    <n v="3"/>
    <n v="8"/>
    <n v="7"/>
    <n v="0"/>
    <n v="7"/>
  </r>
  <r>
    <n v="27"/>
    <x v="1"/>
    <n v="0"/>
    <s v="Travel_Frequently"/>
    <n v="1"/>
    <n v="0"/>
    <n v="1131"/>
    <s v="Research &amp; Development"/>
    <n v="1"/>
    <n v="0"/>
    <n v="15"/>
    <n v="3"/>
    <s v="Life Sciences"/>
    <n v="1"/>
    <n v="0"/>
    <n v="0"/>
    <n v="0"/>
    <n v="0"/>
    <n v="4"/>
    <x v="0"/>
    <n v="1"/>
    <n v="77"/>
    <n v="2"/>
    <n v="1"/>
    <s v="Research Scientist"/>
    <n v="0"/>
    <n v="0"/>
    <n v="0"/>
    <n v="0"/>
    <n v="0"/>
    <n v="0"/>
    <n v="0"/>
    <n v="1"/>
    <x v="3"/>
    <s v="Married"/>
    <n v="0"/>
    <n v="1"/>
    <n v="4774"/>
    <n v="23844"/>
    <n v="0"/>
    <s v="No"/>
    <n v="0"/>
    <n v="19"/>
    <n v="3"/>
    <n v="4"/>
    <n v="1"/>
    <n v="8"/>
    <n v="2"/>
    <n v="2"/>
    <n v="7"/>
    <n v="6"/>
    <n v="7"/>
    <n v="3"/>
  </r>
  <r>
    <n v="39"/>
    <x v="1"/>
    <n v="0"/>
    <s v="Travel_Rarely"/>
    <n v="0"/>
    <n v="1"/>
    <n v="835"/>
    <s v="Research &amp; Development"/>
    <n v="1"/>
    <n v="0"/>
    <n v="19"/>
    <n v="4"/>
    <s v="Other"/>
    <n v="0"/>
    <n v="1"/>
    <n v="0"/>
    <n v="0"/>
    <n v="0"/>
    <n v="4"/>
    <x v="1"/>
    <n v="0"/>
    <n v="41"/>
    <n v="3"/>
    <n v="2"/>
    <s v="Research Scientist"/>
    <n v="0"/>
    <n v="0"/>
    <n v="0"/>
    <n v="0"/>
    <n v="0"/>
    <n v="0"/>
    <n v="0"/>
    <n v="1"/>
    <x v="0"/>
    <s v="Divorced"/>
    <n v="0"/>
    <n v="0"/>
    <n v="3902"/>
    <n v="5141"/>
    <n v="8"/>
    <s v="No"/>
    <n v="0"/>
    <n v="14"/>
    <n v="3"/>
    <n v="2"/>
    <n v="3"/>
    <n v="7"/>
    <n v="2"/>
    <n v="3"/>
    <n v="2"/>
    <n v="2"/>
    <n v="2"/>
    <n v="2"/>
  </r>
  <r>
    <n v="55"/>
    <x v="1"/>
    <n v="0"/>
    <s v="Travel_Rarely"/>
    <n v="0"/>
    <n v="1"/>
    <n v="836"/>
    <s v="Research &amp; Development"/>
    <n v="1"/>
    <n v="0"/>
    <n v="2"/>
    <n v="4"/>
    <s v="Technical Degree"/>
    <n v="0"/>
    <n v="0"/>
    <n v="0"/>
    <n v="0"/>
    <n v="1"/>
    <n v="2"/>
    <x v="1"/>
    <n v="0"/>
    <n v="98"/>
    <n v="2"/>
    <n v="1"/>
    <s v="Research Scientist"/>
    <n v="0"/>
    <n v="0"/>
    <n v="0"/>
    <n v="0"/>
    <n v="0"/>
    <n v="0"/>
    <n v="0"/>
    <n v="1"/>
    <x v="0"/>
    <s v="Married"/>
    <n v="0"/>
    <n v="1"/>
    <n v="2662"/>
    <n v="7975"/>
    <n v="8"/>
    <s v="No"/>
    <n v="0"/>
    <n v="20"/>
    <n v="4"/>
    <n v="2"/>
    <n v="1"/>
    <n v="19"/>
    <n v="2"/>
    <n v="4"/>
    <n v="5"/>
    <n v="2"/>
    <n v="0"/>
    <n v="4"/>
  </r>
  <r>
    <n v="28"/>
    <x v="1"/>
    <n v="0"/>
    <s v="Travel_Rarely"/>
    <n v="0"/>
    <n v="1"/>
    <n v="1172"/>
    <s v="Sales"/>
    <n v="0"/>
    <n v="1"/>
    <n v="3"/>
    <n v="3"/>
    <s v="Medical"/>
    <n v="0"/>
    <n v="0"/>
    <n v="1"/>
    <n v="0"/>
    <n v="0"/>
    <n v="2"/>
    <x v="0"/>
    <n v="1"/>
    <n v="78"/>
    <n v="3"/>
    <n v="1"/>
    <s v="Sales Representative"/>
    <n v="0"/>
    <n v="0"/>
    <n v="0"/>
    <n v="0"/>
    <n v="0"/>
    <n v="0"/>
    <n v="1"/>
    <n v="0"/>
    <x v="1"/>
    <s v="Married"/>
    <n v="0"/>
    <n v="1"/>
    <n v="2856"/>
    <n v="3692"/>
    <n v="1"/>
    <s v="No"/>
    <n v="0"/>
    <n v="19"/>
    <n v="3"/>
    <n v="4"/>
    <n v="1"/>
    <n v="1"/>
    <n v="3"/>
    <n v="3"/>
    <n v="1"/>
    <n v="0"/>
    <n v="0"/>
    <n v="0"/>
  </r>
  <r>
    <n v="30"/>
    <x v="0"/>
    <n v="1"/>
    <s v="Travel_Rarely"/>
    <n v="0"/>
    <n v="1"/>
    <n v="945"/>
    <s v="Sales"/>
    <n v="0"/>
    <n v="1"/>
    <n v="9"/>
    <n v="3"/>
    <s v="Medical"/>
    <n v="0"/>
    <n v="0"/>
    <n v="1"/>
    <n v="0"/>
    <n v="0"/>
    <n v="2"/>
    <x v="1"/>
    <n v="0"/>
    <n v="89"/>
    <n v="3"/>
    <n v="1"/>
    <s v="Sales Representative"/>
    <n v="0"/>
    <n v="0"/>
    <n v="0"/>
    <n v="0"/>
    <n v="0"/>
    <n v="0"/>
    <n v="1"/>
    <n v="0"/>
    <x v="0"/>
    <s v="Single"/>
    <n v="1"/>
    <n v="0"/>
    <n v="1081"/>
    <n v="16019"/>
    <n v="1"/>
    <s v="No"/>
    <n v="0"/>
    <n v="13"/>
    <n v="3"/>
    <n v="3"/>
    <n v="0"/>
    <n v="1"/>
    <n v="3"/>
    <n v="2"/>
    <n v="1"/>
    <n v="0"/>
    <n v="0"/>
    <n v="0"/>
  </r>
  <r>
    <n v="22"/>
    <x v="0"/>
    <n v="1"/>
    <s v="Travel_Rarely"/>
    <n v="0"/>
    <n v="1"/>
    <n v="391"/>
    <s v="Research &amp; Development"/>
    <n v="1"/>
    <n v="0"/>
    <n v="7"/>
    <n v="1"/>
    <s v="Life Sciences"/>
    <n v="1"/>
    <n v="0"/>
    <n v="0"/>
    <n v="0"/>
    <n v="0"/>
    <n v="4"/>
    <x v="1"/>
    <n v="0"/>
    <n v="75"/>
    <n v="3"/>
    <n v="1"/>
    <s v="Research Scientist"/>
    <n v="0"/>
    <n v="0"/>
    <n v="0"/>
    <n v="0"/>
    <n v="0"/>
    <n v="0"/>
    <n v="0"/>
    <n v="1"/>
    <x v="1"/>
    <s v="Single"/>
    <n v="1"/>
    <n v="0"/>
    <n v="2472"/>
    <n v="26092"/>
    <n v="1"/>
    <s v="Yes"/>
    <n v="1"/>
    <n v="23"/>
    <n v="4"/>
    <n v="1"/>
    <n v="0"/>
    <n v="1"/>
    <n v="2"/>
    <n v="3"/>
    <n v="1"/>
    <n v="0"/>
    <n v="0"/>
    <n v="0"/>
  </r>
  <r>
    <n v="36"/>
    <x v="1"/>
    <n v="0"/>
    <s v="Travel_Rarely"/>
    <n v="0"/>
    <n v="1"/>
    <n v="1266"/>
    <s v="Sales"/>
    <n v="0"/>
    <n v="1"/>
    <n v="10"/>
    <n v="4"/>
    <s v="Technical Degree"/>
    <n v="0"/>
    <n v="0"/>
    <n v="0"/>
    <n v="0"/>
    <n v="1"/>
    <n v="2"/>
    <x v="0"/>
    <n v="1"/>
    <n v="63"/>
    <n v="2"/>
    <n v="2"/>
    <s v="Sales Executive"/>
    <n v="0"/>
    <n v="1"/>
    <n v="0"/>
    <n v="0"/>
    <n v="0"/>
    <n v="0"/>
    <n v="0"/>
    <n v="0"/>
    <x v="2"/>
    <s v="Married"/>
    <n v="0"/>
    <n v="1"/>
    <n v="5673"/>
    <n v="6060"/>
    <n v="1"/>
    <s v="Yes"/>
    <n v="1"/>
    <n v="13"/>
    <n v="3"/>
    <n v="1"/>
    <n v="1"/>
    <n v="10"/>
    <n v="4"/>
    <n v="3"/>
    <n v="10"/>
    <n v="9"/>
    <n v="1"/>
    <n v="7"/>
  </r>
  <r>
    <n v="31"/>
    <x v="1"/>
    <n v="0"/>
    <s v="Travel_Rarely"/>
    <n v="0"/>
    <n v="1"/>
    <n v="311"/>
    <s v="Research &amp; Development"/>
    <n v="1"/>
    <n v="0"/>
    <n v="20"/>
    <n v="3"/>
    <s v="Life Sciences"/>
    <n v="1"/>
    <n v="0"/>
    <n v="0"/>
    <n v="0"/>
    <n v="0"/>
    <n v="2"/>
    <x v="1"/>
    <n v="0"/>
    <n v="89"/>
    <n v="3"/>
    <n v="2"/>
    <s v="Laboratory Technician"/>
    <n v="0"/>
    <n v="0"/>
    <n v="1"/>
    <n v="0"/>
    <n v="0"/>
    <n v="0"/>
    <n v="0"/>
    <n v="0"/>
    <x v="2"/>
    <s v="Divorced"/>
    <n v="0"/>
    <n v="0"/>
    <n v="4197"/>
    <n v="18624"/>
    <n v="1"/>
    <s v="No"/>
    <n v="0"/>
    <n v="11"/>
    <n v="3"/>
    <n v="1"/>
    <n v="1"/>
    <n v="10"/>
    <n v="2"/>
    <n v="3"/>
    <n v="10"/>
    <n v="8"/>
    <n v="0"/>
    <n v="2"/>
  </r>
  <r>
    <n v="34"/>
    <x v="1"/>
    <n v="0"/>
    <s v="Travel_Rarely"/>
    <n v="0"/>
    <n v="1"/>
    <n v="1480"/>
    <s v="Sales"/>
    <n v="0"/>
    <n v="1"/>
    <n v="4"/>
    <n v="3"/>
    <s v="Life Sciences"/>
    <n v="1"/>
    <n v="0"/>
    <n v="0"/>
    <n v="0"/>
    <n v="0"/>
    <n v="3"/>
    <x v="1"/>
    <n v="0"/>
    <n v="64"/>
    <n v="3"/>
    <n v="3"/>
    <s v="Sales Executive"/>
    <n v="0"/>
    <n v="1"/>
    <n v="0"/>
    <n v="0"/>
    <n v="0"/>
    <n v="0"/>
    <n v="0"/>
    <n v="0"/>
    <x v="0"/>
    <s v="Married"/>
    <n v="0"/>
    <n v="1"/>
    <n v="9713"/>
    <n v="24444"/>
    <n v="2"/>
    <s v="Yes"/>
    <n v="1"/>
    <n v="13"/>
    <n v="3"/>
    <n v="4"/>
    <n v="3"/>
    <n v="9"/>
    <n v="3"/>
    <n v="3"/>
    <n v="5"/>
    <n v="3"/>
    <n v="1"/>
    <n v="0"/>
  </r>
  <r>
    <n v="29"/>
    <x v="1"/>
    <n v="0"/>
    <s v="Travel_Rarely"/>
    <n v="0"/>
    <n v="1"/>
    <n v="592"/>
    <s v="Research &amp; Development"/>
    <n v="1"/>
    <n v="0"/>
    <n v="7"/>
    <n v="3"/>
    <s v="Life Sciences"/>
    <n v="1"/>
    <n v="0"/>
    <n v="0"/>
    <n v="0"/>
    <n v="0"/>
    <n v="4"/>
    <x v="1"/>
    <n v="0"/>
    <n v="59"/>
    <n v="3"/>
    <n v="1"/>
    <s v="Laboratory Technician"/>
    <n v="0"/>
    <n v="0"/>
    <n v="1"/>
    <n v="0"/>
    <n v="0"/>
    <n v="0"/>
    <n v="0"/>
    <n v="0"/>
    <x v="3"/>
    <s v="Single"/>
    <n v="1"/>
    <n v="0"/>
    <n v="2062"/>
    <n v="19384"/>
    <n v="3"/>
    <s v="No"/>
    <n v="0"/>
    <n v="14"/>
    <n v="3"/>
    <n v="2"/>
    <n v="0"/>
    <n v="11"/>
    <n v="2"/>
    <n v="3"/>
    <n v="3"/>
    <n v="2"/>
    <n v="1"/>
    <n v="2"/>
  </r>
  <r>
    <n v="37"/>
    <x v="1"/>
    <n v="0"/>
    <s v="Travel_Rarely"/>
    <n v="0"/>
    <n v="1"/>
    <n v="783"/>
    <s v="Research &amp; Development"/>
    <n v="1"/>
    <n v="0"/>
    <n v="7"/>
    <n v="4"/>
    <s v="Medical"/>
    <n v="0"/>
    <n v="0"/>
    <n v="1"/>
    <n v="0"/>
    <n v="0"/>
    <n v="4"/>
    <x v="1"/>
    <n v="0"/>
    <n v="78"/>
    <n v="3"/>
    <n v="2"/>
    <s v="Research Scientist"/>
    <n v="0"/>
    <n v="0"/>
    <n v="0"/>
    <n v="0"/>
    <n v="0"/>
    <n v="0"/>
    <n v="0"/>
    <n v="1"/>
    <x v="3"/>
    <s v="Married"/>
    <n v="0"/>
    <n v="1"/>
    <n v="4284"/>
    <n v="13588"/>
    <n v="5"/>
    <s v="Yes"/>
    <n v="1"/>
    <n v="22"/>
    <n v="4"/>
    <n v="3"/>
    <n v="1"/>
    <n v="16"/>
    <n v="2"/>
    <n v="3"/>
    <n v="5"/>
    <n v="3"/>
    <n v="0"/>
    <n v="4"/>
  </r>
  <r>
    <n v="35"/>
    <x v="1"/>
    <n v="0"/>
    <s v="Travel_Rarely"/>
    <n v="0"/>
    <n v="1"/>
    <n v="219"/>
    <s v="Research &amp; Development"/>
    <n v="1"/>
    <n v="0"/>
    <n v="16"/>
    <n v="2"/>
    <s v="Other"/>
    <n v="0"/>
    <n v="1"/>
    <n v="0"/>
    <n v="0"/>
    <n v="0"/>
    <n v="4"/>
    <x v="0"/>
    <n v="1"/>
    <n v="44"/>
    <n v="2"/>
    <n v="2"/>
    <s v="Manufacturing Director"/>
    <n v="0"/>
    <n v="0"/>
    <n v="0"/>
    <n v="0"/>
    <n v="1"/>
    <n v="1"/>
    <n v="0"/>
    <n v="0"/>
    <x v="1"/>
    <s v="Married"/>
    <n v="0"/>
    <n v="1"/>
    <n v="4788"/>
    <n v="25388"/>
    <n v="0"/>
    <s v="Yes"/>
    <n v="1"/>
    <n v="11"/>
    <n v="3"/>
    <n v="4"/>
    <n v="0"/>
    <n v="4"/>
    <n v="2"/>
    <n v="3"/>
    <n v="3"/>
    <n v="2"/>
    <n v="0"/>
    <n v="2"/>
  </r>
  <r>
    <n v="45"/>
    <x v="1"/>
    <n v="0"/>
    <s v="Travel_Rarely"/>
    <n v="0"/>
    <n v="1"/>
    <n v="556"/>
    <s v="Research &amp; Development"/>
    <n v="1"/>
    <n v="0"/>
    <n v="25"/>
    <n v="2"/>
    <s v="Life Sciences"/>
    <n v="1"/>
    <n v="0"/>
    <n v="0"/>
    <n v="0"/>
    <n v="0"/>
    <n v="2"/>
    <x v="0"/>
    <n v="1"/>
    <n v="93"/>
    <n v="2"/>
    <n v="2"/>
    <s v="Manufacturing Director"/>
    <n v="0"/>
    <n v="0"/>
    <n v="0"/>
    <n v="0"/>
    <n v="1"/>
    <n v="1"/>
    <n v="0"/>
    <n v="0"/>
    <x v="0"/>
    <s v="Married"/>
    <n v="0"/>
    <n v="1"/>
    <n v="5906"/>
    <n v="23888"/>
    <n v="0"/>
    <s v="No"/>
    <n v="0"/>
    <n v="13"/>
    <n v="3"/>
    <n v="4"/>
    <n v="2"/>
    <n v="10"/>
    <n v="2"/>
    <n v="2"/>
    <n v="9"/>
    <n v="8"/>
    <n v="3"/>
    <n v="8"/>
  </r>
  <r>
    <n v="36"/>
    <x v="1"/>
    <n v="0"/>
    <s v="Travel_Frequently"/>
    <n v="1"/>
    <n v="0"/>
    <n v="1213"/>
    <s v="Human Resources"/>
    <n v="0"/>
    <n v="0"/>
    <n v="2"/>
    <n v="1"/>
    <s v="Human Resources"/>
    <n v="0"/>
    <n v="0"/>
    <n v="0"/>
    <n v="0"/>
    <n v="0"/>
    <n v="2"/>
    <x v="1"/>
    <n v="0"/>
    <n v="94"/>
    <n v="2"/>
    <n v="2"/>
    <s v="Human Resources"/>
    <n v="0"/>
    <n v="0"/>
    <n v="0"/>
    <n v="0"/>
    <n v="0"/>
    <n v="0"/>
    <n v="0"/>
    <n v="0"/>
    <x v="0"/>
    <s v="Single"/>
    <n v="1"/>
    <n v="0"/>
    <n v="3886"/>
    <n v="4223"/>
    <n v="1"/>
    <s v="No"/>
    <n v="0"/>
    <n v="21"/>
    <n v="4"/>
    <n v="4"/>
    <n v="0"/>
    <n v="10"/>
    <n v="2"/>
    <n v="2"/>
    <n v="10"/>
    <n v="1"/>
    <n v="0"/>
    <n v="8"/>
  </r>
  <r>
    <n v="40"/>
    <x v="1"/>
    <n v="0"/>
    <s v="Travel_Rarely"/>
    <n v="0"/>
    <n v="1"/>
    <n v="1137"/>
    <s v="Research &amp; Development"/>
    <n v="1"/>
    <n v="0"/>
    <n v="1"/>
    <n v="4"/>
    <s v="Life Sciences"/>
    <n v="1"/>
    <n v="0"/>
    <n v="0"/>
    <n v="0"/>
    <n v="0"/>
    <n v="1"/>
    <x v="1"/>
    <n v="0"/>
    <n v="98"/>
    <n v="3"/>
    <n v="4"/>
    <s v="Manager"/>
    <n v="0"/>
    <n v="0"/>
    <n v="0"/>
    <n v="1"/>
    <n v="0"/>
    <n v="0"/>
    <n v="0"/>
    <n v="0"/>
    <x v="3"/>
    <s v="Divorced"/>
    <n v="0"/>
    <n v="0"/>
    <n v="16823"/>
    <n v="18991"/>
    <n v="2"/>
    <s v="No"/>
    <n v="0"/>
    <n v="11"/>
    <n v="3"/>
    <n v="1"/>
    <n v="1"/>
    <n v="22"/>
    <n v="3"/>
    <n v="3"/>
    <n v="19"/>
    <n v="7"/>
    <n v="11"/>
    <n v="16"/>
  </r>
  <r>
    <n v="26"/>
    <x v="1"/>
    <n v="0"/>
    <s v="Travel_Rarely"/>
    <n v="0"/>
    <n v="1"/>
    <n v="482"/>
    <s v="Research &amp; Development"/>
    <n v="1"/>
    <n v="0"/>
    <n v="1"/>
    <n v="2"/>
    <s v="Life Sciences"/>
    <n v="1"/>
    <n v="0"/>
    <n v="0"/>
    <n v="0"/>
    <n v="0"/>
    <n v="2"/>
    <x v="0"/>
    <n v="1"/>
    <n v="90"/>
    <n v="2"/>
    <n v="1"/>
    <s v="Research Scientist"/>
    <n v="0"/>
    <n v="0"/>
    <n v="0"/>
    <n v="0"/>
    <n v="0"/>
    <n v="0"/>
    <n v="0"/>
    <n v="1"/>
    <x v="2"/>
    <s v="Married"/>
    <n v="0"/>
    <n v="1"/>
    <n v="2933"/>
    <n v="14908"/>
    <n v="1"/>
    <s v="Yes"/>
    <n v="1"/>
    <n v="13"/>
    <n v="3"/>
    <n v="3"/>
    <n v="1"/>
    <n v="1"/>
    <n v="3"/>
    <n v="2"/>
    <n v="1"/>
    <n v="0"/>
    <n v="1"/>
    <n v="0"/>
  </r>
  <r>
    <n v="27"/>
    <x v="1"/>
    <n v="0"/>
    <s v="Travel_Rarely"/>
    <n v="0"/>
    <n v="1"/>
    <n v="511"/>
    <s v="Sales"/>
    <n v="0"/>
    <n v="1"/>
    <n v="2"/>
    <n v="2"/>
    <s v="Medical"/>
    <n v="0"/>
    <n v="0"/>
    <n v="1"/>
    <n v="0"/>
    <n v="0"/>
    <n v="1"/>
    <x v="0"/>
    <n v="1"/>
    <n v="89"/>
    <n v="4"/>
    <n v="2"/>
    <s v="Sales Executive"/>
    <n v="0"/>
    <n v="1"/>
    <n v="0"/>
    <n v="0"/>
    <n v="0"/>
    <n v="0"/>
    <n v="0"/>
    <n v="0"/>
    <x v="2"/>
    <s v="Single"/>
    <n v="1"/>
    <n v="0"/>
    <n v="6500"/>
    <n v="26997"/>
    <n v="0"/>
    <s v="No"/>
    <n v="0"/>
    <n v="14"/>
    <n v="3"/>
    <n v="2"/>
    <n v="0"/>
    <n v="9"/>
    <n v="5"/>
    <n v="2"/>
    <n v="8"/>
    <n v="7"/>
    <n v="0"/>
    <n v="7"/>
  </r>
  <r>
    <n v="48"/>
    <x v="1"/>
    <n v="0"/>
    <s v="Travel_Frequently"/>
    <n v="1"/>
    <n v="0"/>
    <n v="117"/>
    <s v="Research &amp; Development"/>
    <n v="1"/>
    <n v="0"/>
    <n v="22"/>
    <n v="3"/>
    <s v="Medical"/>
    <n v="0"/>
    <n v="0"/>
    <n v="1"/>
    <n v="0"/>
    <n v="0"/>
    <n v="4"/>
    <x v="0"/>
    <n v="1"/>
    <n v="58"/>
    <n v="3"/>
    <n v="4"/>
    <s v="Manager"/>
    <n v="0"/>
    <n v="0"/>
    <n v="0"/>
    <n v="1"/>
    <n v="0"/>
    <n v="0"/>
    <n v="0"/>
    <n v="0"/>
    <x v="0"/>
    <s v="Divorced"/>
    <n v="0"/>
    <n v="0"/>
    <n v="17174"/>
    <n v="2437"/>
    <n v="3"/>
    <s v="No"/>
    <n v="0"/>
    <n v="11"/>
    <n v="3"/>
    <n v="2"/>
    <n v="1"/>
    <n v="24"/>
    <n v="3"/>
    <n v="3"/>
    <n v="22"/>
    <n v="17"/>
    <n v="4"/>
    <n v="7"/>
  </r>
  <r>
    <n v="44"/>
    <x v="1"/>
    <n v="0"/>
    <s v="Travel_Rarely"/>
    <n v="0"/>
    <n v="1"/>
    <n v="170"/>
    <s v="Research &amp; Development"/>
    <n v="1"/>
    <n v="0"/>
    <n v="1"/>
    <n v="4"/>
    <s v="Life Sciences"/>
    <n v="1"/>
    <n v="0"/>
    <n v="0"/>
    <n v="0"/>
    <n v="0"/>
    <n v="2"/>
    <x v="1"/>
    <n v="0"/>
    <n v="78"/>
    <n v="4"/>
    <n v="2"/>
    <s v="Healthcare Representative"/>
    <n v="1"/>
    <n v="0"/>
    <n v="0"/>
    <n v="0"/>
    <n v="0"/>
    <n v="0"/>
    <n v="0"/>
    <n v="0"/>
    <x v="3"/>
    <s v="Married"/>
    <n v="0"/>
    <n v="1"/>
    <n v="5033"/>
    <n v="9364"/>
    <n v="2"/>
    <s v="No"/>
    <n v="0"/>
    <n v="15"/>
    <n v="3"/>
    <n v="4"/>
    <n v="1"/>
    <n v="10"/>
    <n v="5"/>
    <n v="3"/>
    <n v="2"/>
    <n v="0"/>
    <n v="2"/>
    <n v="2"/>
  </r>
  <r>
    <n v="34"/>
    <x v="0"/>
    <n v="1"/>
    <s v="Non-Travel"/>
    <n v="0"/>
    <n v="0"/>
    <n v="967"/>
    <s v="Research &amp; Development"/>
    <n v="1"/>
    <n v="0"/>
    <n v="16"/>
    <n v="4"/>
    <s v="Technical Degree"/>
    <n v="0"/>
    <n v="0"/>
    <n v="0"/>
    <n v="0"/>
    <n v="1"/>
    <n v="4"/>
    <x v="1"/>
    <n v="0"/>
    <n v="85"/>
    <n v="1"/>
    <n v="1"/>
    <s v="Research Scientist"/>
    <n v="0"/>
    <n v="0"/>
    <n v="0"/>
    <n v="0"/>
    <n v="0"/>
    <n v="0"/>
    <n v="0"/>
    <n v="1"/>
    <x v="3"/>
    <s v="Married"/>
    <n v="0"/>
    <n v="1"/>
    <n v="2307"/>
    <n v="14460"/>
    <n v="1"/>
    <s v="Yes"/>
    <n v="1"/>
    <n v="23"/>
    <n v="4"/>
    <n v="2"/>
    <n v="1"/>
    <n v="5"/>
    <n v="2"/>
    <n v="3"/>
    <n v="5"/>
    <n v="2"/>
    <n v="3"/>
    <n v="0"/>
  </r>
  <r>
    <n v="56"/>
    <x v="0"/>
    <n v="1"/>
    <s v="Travel_Rarely"/>
    <n v="0"/>
    <n v="1"/>
    <n v="1162"/>
    <s v="Research &amp; Development"/>
    <n v="1"/>
    <n v="0"/>
    <n v="24"/>
    <n v="2"/>
    <s v="Life Sciences"/>
    <n v="1"/>
    <n v="0"/>
    <n v="0"/>
    <n v="0"/>
    <n v="0"/>
    <n v="1"/>
    <x v="1"/>
    <n v="0"/>
    <n v="97"/>
    <n v="3"/>
    <n v="1"/>
    <s v="Laboratory Technician"/>
    <n v="0"/>
    <n v="0"/>
    <n v="1"/>
    <n v="0"/>
    <n v="0"/>
    <n v="0"/>
    <n v="0"/>
    <n v="0"/>
    <x v="0"/>
    <s v="Single"/>
    <n v="1"/>
    <n v="0"/>
    <n v="2587"/>
    <n v="10261"/>
    <n v="1"/>
    <s v="No"/>
    <n v="0"/>
    <n v="16"/>
    <n v="3"/>
    <n v="4"/>
    <n v="0"/>
    <n v="5"/>
    <n v="3"/>
    <n v="3"/>
    <n v="4"/>
    <n v="2"/>
    <n v="1"/>
    <n v="0"/>
  </r>
  <r>
    <n v="36"/>
    <x v="1"/>
    <n v="0"/>
    <s v="Travel_Rarely"/>
    <n v="0"/>
    <n v="1"/>
    <n v="335"/>
    <s v="Sales"/>
    <n v="0"/>
    <n v="1"/>
    <n v="17"/>
    <n v="2"/>
    <s v="Marketing"/>
    <n v="0"/>
    <n v="0"/>
    <n v="0"/>
    <n v="1"/>
    <n v="0"/>
    <n v="3"/>
    <x v="1"/>
    <n v="0"/>
    <n v="33"/>
    <n v="2"/>
    <n v="2"/>
    <s v="Sales Executive"/>
    <n v="0"/>
    <n v="1"/>
    <n v="0"/>
    <n v="0"/>
    <n v="0"/>
    <n v="0"/>
    <n v="0"/>
    <n v="0"/>
    <x v="1"/>
    <s v="Married"/>
    <n v="0"/>
    <n v="1"/>
    <n v="5507"/>
    <n v="16822"/>
    <n v="2"/>
    <s v="No"/>
    <n v="0"/>
    <n v="16"/>
    <n v="3"/>
    <n v="3"/>
    <n v="2"/>
    <n v="12"/>
    <n v="1"/>
    <n v="1"/>
    <n v="4"/>
    <n v="2"/>
    <n v="1"/>
    <n v="3"/>
  </r>
  <r>
    <n v="41"/>
    <x v="1"/>
    <n v="0"/>
    <s v="Travel_Rarely"/>
    <n v="0"/>
    <n v="1"/>
    <n v="337"/>
    <s v="Sales"/>
    <n v="0"/>
    <n v="1"/>
    <n v="8"/>
    <n v="3"/>
    <s v="Marketing"/>
    <n v="0"/>
    <n v="0"/>
    <n v="0"/>
    <n v="1"/>
    <n v="0"/>
    <n v="3"/>
    <x v="0"/>
    <n v="1"/>
    <n v="54"/>
    <n v="3"/>
    <n v="2"/>
    <s v="Sales Executive"/>
    <n v="0"/>
    <n v="1"/>
    <n v="0"/>
    <n v="0"/>
    <n v="0"/>
    <n v="0"/>
    <n v="0"/>
    <n v="0"/>
    <x v="1"/>
    <s v="Married"/>
    <n v="0"/>
    <n v="1"/>
    <n v="4393"/>
    <n v="26841"/>
    <n v="5"/>
    <s v="No"/>
    <n v="0"/>
    <n v="21"/>
    <n v="4"/>
    <n v="3"/>
    <n v="1"/>
    <n v="14"/>
    <n v="3"/>
    <n v="3"/>
    <n v="5"/>
    <n v="4"/>
    <n v="1"/>
    <n v="4"/>
  </r>
  <r>
    <n v="42"/>
    <x v="1"/>
    <n v="0"/>
    <s v="Travel_Rarely"/>
    <n v="0"/>
    <n v="1"/>
    <n v="1396"/>
    <s v="Research &amp; Development"/>
    <n v="1"/>
    <n v="0"/>
    <n v="6"/>
    <n v="3"/>
    <s v="Medical"/>
    <n v="0"/>
    <n v="0"/>
    <n v="1"/>
    <n v="0"/>
    <n v="0"/>
    <n v="3"/>
    <x v="1"/>
    <n v="0"/>
    <n v="83"/>
    <n v="3"/>
    <n v="3"/>
    <s v="Research Director"/>
    <n v="0"/>
    <n v="0"/>
    <n v="0"/>
    <n v="0"/>
    <n v="0"/>
    <n v="0"/>
    <n v="0"/>
    <n v="0"/>
    <x v="3"/>
    <s v="Married"/>
    <n v="0"/>
    <n v="1"/>
    <n v="13348"/>
    <n v="14842"/>
    <n v="9"/>
    <s v="No"/>
    <n v="0"/>
    <n v="13"/>
    <n v="3"/>
    <n v="2"/>
    <n v="1"/>
    <n v="18"/>
    <n v="3"/>
    <n v="4"/>
    <n v="13"/>
    <n v="7"/>
    <n v="5"/>
    <n v="7"/>
  </r>
  <r>
    <n v="31"/>
    <x v="1"/>
    <n v="0"/>
    <s v="Travel_Rarely"/>
    <n v="0"/>
    <n v="1"/>
    <n v="1079"/>
    <s v="Sales"/>
    <n v="0"/>
    <n v="1"/>
    <n v="10"/>
    <n v="2"/>
    <s v="Medical"/>
    <n v="0"/>
    <n v="0"/>
    <n v="1"/>
    <n v="0"/>
    <n v="0"/>
    <n v="3"/>
    <x v="0"/>
    <n v="1"/>
    <n v="86"/>
    <n v="3"/>
    <n v="2"/>
    <s v="Sales Executive"/>
    <n v="0"/>
    <n v="1"/>
    <n v="0"/>
    <n v="0"/>
    <n v="0"/>
    <n v="0"/>
    <n v="0"/>
    <n v="0"/>
    <x v="0"/>
    <s v="Divorced"/>
    <n v="0"/>
    <n v="0"/>
    <n v="6583"/>
    <n v="20115"/>
    <n v="2"/>
    <s v="Yes"/>
    <n v="1"/>
    <n v="11"/>
    <n v="3"/>
    <n v="4"/>
    <n v="1"/>
    <n v="8"/>
    <n v="2"/>
    <n v="3"/>
    <n v="5"/>
    <n v="2"/>
    <n v="1"/>
    <n v="4"/>
  </r>
  <r>
    <n v="34"/>
    <x v="1"/>
    <n v="0"/>
    <s v="Travel_Rarely"/>
    <n v="0"/>
    <n v="1"/>
    <n v="735"/>
    <s v="Sales"/>
    <n v="0"/>
    <n v="1"/>
    <n v="3"/>
    <n v="1"/>
    <s v="Medical"/>
    <n v="0"/>
    <n v="0"/>
    <n v="1"/>
    <n v="0"/>
    <n v="0"/>
    <n v="4"/>
    <x v="0"/>
    <n v="1"/>
    <n v="75"/>
    <n v="2"/>
    <n v="2"/>
    <s v="Sales Executive"/>
    <n v="0"/>
    <n v="1"/>
    <n v="0"/>
    <n v="0"/>
    <n v="0"/>
    <n v="0"/>
    <n v="0"/>
    <n v="0"/>
    <x v="0"/>
    <s v="Married"/>
    <n v="0"/>
    <n v="1"/>
    <n v="8103"/>
    <n v="16495"/>
    <n v="3"/>
    <s v="Yes"/>
    <n v="1"/>
    <n v="12"/>
    <n v="3"/>
    <n v="3"/>
    <n v="0"/>
    <n v="9"/>
    <n v="3"/>
    <n v="2"/>
    <n v="4"/>
    <n v="2"/>
    <n v="0"/>
    <n v="1"/>
  </r>
  <r>
    <n v="31"/>
    <x v="1"/>
    <n v="0"/>
    <s v="Travel_Rarely"/>
    <n v="0"/>
    <n v="1"/>
    <n v="471"/>
    <s v="Research &amp; Development"/>
    <n v="1"/>
    <n v="0"/>
    <n v="4"/>
    <n v="3"/>
    <s v="Medical"/>
    <n v="0"/>
    <n v="0"/>
    <n v="1"/>
    <n v="0"/>
    <n v="0"/>
    <n v="1"/>
    <x v="0"/>
    <n v="1"/>
    <n v="62"/>
    <n v="4"/>
    <n v="1"/>
    <s v="Laboratory Technician"/>
    <n v="0"/>
    <n v="0"/>
    <n v="1"/>
    <n v="0"/>
    <n v="0"/>
    <n v="0"/>
    <n v="0"/>
    <n v="0"/>
    <x v="2"/>
    <s v="Divorced"/>
    <n v="0"/>
    <n v="0"/>
    <n v="3978"/>
    <n v="16031"/>
    <n v="8"/>
    <s v="No"/>
    <n v="0"/>
    <n v="12"/>
    <n v="3"/>
    <n v="2"/>
    <n v="1"/>
    <n v="4"/>
    <n v="0"/>
    <n v="2"/>
    <n v="2"/>
    <n v="2"/>
    <n v="2"/>
    <n v="2"/>
  </r>
  <r>
    <n v="26"/>
    <x v="1"/>
    <n v="0"/>
    <s v="Travel_Frequently"/>
    <n v="1"/>
    <n v="0"/>
    <n v="1096"/>
    <s v="Research &amp; Development"/>
    <n v="1"/>
    <n v="0"/>
    <n v="6"/>
    <n v="3"/>
    <s v="Other"/>
    <n v="0"/>
    <n v="1"/>
    <n v="0"/>
    <n v="0"/>
    <n v="0"/>
    <n v="3"/>
    <x v="1"/>
    <n v="0"/>
    <n v="61"/>
    <n v="4"/>
    <n v="1"/>
    <s v="Laboratory Technician"/>
    <n v="0"/>
    <n v="0"/>
    <n v="1"/>
    <n v="0"/>
    <n v="0"/>
    <n v="0"/>
    <n v="0"/>
    <n v="0"/>
    <x v="0"/>
    <s v="Married"/>
    <n v="0"/>
    <n v="1"/>
    <n v="2544"/>
    <n v="7102"/>
    <n v="0"/>
    <s v="No"/>
    <n v="0"/>
    <n v="18"/>
    <n v="3"/>
    <n v="1"/>
    <n v="1"/>
    <n v="8"/>
    <n v="3"/>
    <n v="3"/>
    <n v="7"/>
    <n v="7"/>
    <n v="7"/>
    <n v="7"/>
  </r>
  <r>
    <n v="45"/>
    <x v="1"/>
    <n v="0"/>
    <s v="Travel_Frequently"/>
    <n v="1"/>
    <n v="0"/>
    <n v="1297"/>
    <s v="Research &amp; Development"/>
    <n v="1"/>
    <n v="0"/>
    <n v="1"/>
    <n v="4"/>
    <s v="Medical"/>
    <n v="0"/>
    <n v="0"/>
    <n v="1"/>
    <n v="0"/>
    <n v="0"/>
    <n v="2"/>
    <x v="1"/>
    <n v="0"/>
    <n v="44"/>
    <n v="3"/>
    <n v="2"/>
    <s v="Healthcare Representative"/>
    <n v="1"/>
    <n v="0"/>
    <n v="0"/>
    <n v="0"/>
    <n v="0"/>
    <n v="0"/>
    <n v="0"/>
    <n v="0"/>
    <x v="2"/>
    <s v="Single"/>
    <n v="1"/>
    <n v="0"/>
    <n v="5399"/>
    <n v="14511"/>
    <n v="4"/>
    <s v="No"/>
    <n v="0"/>
    <n v="12"/>
    <n v="3"/>
    <n v="3"/>
    <n v="0"/>
    <n v="12"/>
    <n v="3"/>
    <n v="3"/>
    <n v="4"/>
    <n v="2"/>
    <n v="0"/>
    <n v="3"/>
  </r>
  <r>
    <n v="33"/>
    <x v="1"/>
    <n v="0"/>
    <s v="Travel_Rarely"/>
    <n v="0"/>
    <n v="1"/>
    <n v="217"/>
    <s v="Sales"/>
    <n v="0"/>
    <n v="1"/>
    <n v="10"/>
    <n v="4"/>
    <s v="Marketing"/>
    <n v="0"/>
    <n v="0"/>
    <n v="0"/>
    <n v="1"/>
    <n v="0"/>
    <n v="2"/>
    <x v="1"/>
    <n v="0"/>
    <n v="43"/>
    <n v="3"/>
    <n v="2"/>
    <s v="Sales Executive"/>
    <n v="0"/>
    <n v="1"/>
    <n v="0"/>
    <n v="0"/>
    <n v="0"/>
    <n v="0"/>
    <n v="0"/>
    <n v="0"/>
    <x v="2"/>
    <s v="Single"/>
    <n v="1"/>
    <n v="0"/>
    <n v="5487"/>
    <n v="10410"/>
    <n v="1"/>
    <s v="No"/>
    <n v="0"/>
    <n v="14"/>
    <n v="3"/>
    <n v="2"/>
    <n v="0"/>
    <n v="10"/>
    <n v="2"/>
    <n v="2"/>
    <n v="10"/>
    <n v="4"/>
    <n v="0"/>
    <n v="9"/>
  </r>
  <r>
    <n v="28"/>
    <x v="1"/>
    <n v="0"/>
    <s v="Travel_Frequently"/>
    <n v="1"/>
    <n v="0"/>
    <n v="783"/>
    <s v="Sales"/>
    <n v="0"/>
    <n v="1"/>
    <n v="1"/>
    <n v="2"/>
    <s v="Life Sciences"/>
    <n v="1"/>
    <n v="0"/>
    <n v="0"/>
    <n v="0"/>
    <n v="0"/>
    <n v="3"/>
    <x v="1"/>
    <n v="0"/>
    <n v="42"/>
    <n v="2"/>
    <n v="2"/>
    <s v="Sales Executive"/>
    <n v="0"/>
    <n v="1"/>
    <n v="0"/>
    <n v="0"/>
    <n v="0"/>
    <n v="0"/>
    <n v="0"/>
    <n v="0"/>
    <x v="0"/>
    <s v="Married"/>
    <n v="0"/>
    <n v="1"/>
    <n v="6834"/>
    <n v="19255"/>
    <n v="1"/>
    <s v="Yes"/>
    <n v="1"/>
    <n v="12"/>
    <n v="3"/>
    <n v="3"/>
    <n v="1"/>
    <n v="7"/>
    <n v="2"/>
    <n v="3"/>
    <n v="7"/>
    <n v="7"/>
    <n v="0"/>
    <n v="7"/>
  </r>
  <r>
    <n v="29"/>
    <x v="0"/>
    <n v="1"/>
    <s v="Travel_Frequently"/>
    <n v="1"/>
    <n v="0"/>
    <n v="746"/>
    <s v="Sales"/>
    <n v="0"/>
    <n v="1"/>
    <n v="24"/>
    <n v="3"/>
    <s v="Technical Degree"/>
    <n v="0"/>
    <n v="0"/>
    <n v="0"/>
    <n v="0"/>
    <n v="1"/>
    <n v="3"/>
    <x v="1"/>
    <n v="0"/>
    <n v="45"/>
    <n v="4"/>
    <n v="1"/>
    <s v="Sales Representative"/>
    <n v="0"/>
    <n v="0"/>
    <n v="0"/>
    <n v="0"/>
    <n v="0"/>
    <n v="0"/>
    <n v="1"/>
    <n v="0"/>
    <x v="3"/>
    <s v="Single"/>
    <n v="1"/>
    <n v="0"/>
    <n v="1091"/>
    <n v="10642"/>
    <n v="1"/>
    <s v="No"/>
    <n v="0"/>
    <n v="17"/>
    <n v="3"/>
    <n v="4"/>
    <n v="0"/>
    <n v="1"/>
    <n v="3"/>
    <n v="3"/>
    <n v="1"/>
    <n v="0"/>
    <n v="0"/>
    <n v="0"/>
  </r>
  <r>
    <n v="39"/>
    <x v="1"/>
    <n v="0"/>
    <s v="Non-Travel"/>
    <n v="0"/>
    <n v="0"/>
    <n v="1251"/>
    <s v="Sales"/>
    <n v="0"/>
    <n v="1"/>
    <n v="21"/>
    <n v="4"/>
    <s v="Life Sciences"/>
    <n v="1"/>
    <n v="0"/>
    <n v="0"/>
    <n v="0"/>
    <n v="0"/>
    <n v="1"/>
    <x v="0"/>
    <n v="1"/>
    <n v="32"/>
    <n v="1"/>
    <n v="2"/>
    <s v="Sales Executive"/>
    <n v="0"/>
    <n v="1"/>
    <n v="0"/>
    <n v="0"/>
    <n v="0"/>
    <n v="0"/>
    <n v="0"/>
    <n v="0"/>
    <x v="2"/>
    <s v="Married"/>
    <n v="0"/>
    <n v="1"/>
    <n v="5736"/>
    <n v="3987"/>
    <n v="6"/>
    <s v="No"/>
    <n v="0"/>
    <n v="19"/>
    <n v="3"/>
    <n v="3"/>
    <n v="1"/>
    <n v="10"/>
    <n v="1"/>
    <n v="3"/>
    <n v="3"/>
    <n v="2"/>
    <n v="1"/>
    <n v="2"/>
  </r>
  <r>
    <n v="27"/>
    <x v="1"/>
    <n v="0"/>
    <s v="Travel_Rarely"/>
    <n v="0"/>
    <n v="1"/>
    <n v="1354"/>
    <s v="Research &amp; Development"/>
    <n v="1"/>
    <n v="0"/>
    <n v="2"/>
    <n v="4"/>
    <s v="Technical Degree"/>
    <n v="0"/>
    <n v="0"/>
    <n v="0"/>
    <n v="0"/>
    <n v="1"/>
    <n v="2"/>
    <x v="1"/>
    <n v="0"/>
    <n v="41"/>
    <n v="3"/>
    <n v="1"/>
    <s v="Research Scientist"/>
    <n v="0"/>
    <n v="0"/>
    <n v="0"/>
    <n v="0"/>
    <n v="0"/>
    <n v="0"/>
    <n v="0"/>
    <n v="1"/>
    <x v="1"/>
    <s v="Married"/>
    <n v="0"/>
    <n v="1"/>
    <n v="2226"/>
    <n v="6073"/>
    <n v="1"/>
    <s v="No"/>
    <n v="0"/>
    <n v="11"/>
    <n v="3"/>
    <n v="3"/>
    <n v="1"/>
    <n v="6"/>
    <n v="3"/>
    <n v="2"/>
    <n v="5"/>
    <n v="3"/>
    <n v="1"/>
    <n v="2"/>
  </r>
  <r>
    <n v="34"/>
    <x v="1"/>
    <n v="0"/>
    <s v="Travel_Frequently"/>
    <n v="1"/>
    <n v="0"/>
    <n v="735"/>
    <s v="Research &amp; Development"/>
    <n v="1"/>
    <n v="0"/>
    <n v="22"/>
    <n v="4"/>
    <s v="Other"/>
    <n v="0"/>
    <n v="1"/>
    <n v="0"/>
    <n v="0"/>
    <n v="0"/>
    <n v="3"/>
    <x v="1"/>
    <n v="0"/>
    <n v="86"/>
    <n v="2"/>
    <n v="2"/>
    <s v="Research Scientist"/>
    <n v="0"/>
    <n v="0"/>
    <n v="0"/>
    <n v="0"/>
    <n v="0"/>
    <n v="0"/>
    <n v="0"/>
    <n v="1"/>
    <x v="0"/>
    <s v="Married"/>
    <n v="0"/>
    <n v="1"/>
    <n v="5747"/>
    <n v="26496"/>
    <n v="1"/>
    <s v="Yes"/>
    <n v="1"/>
    <n v="15"/>
    <n v="3"/>
    <n v="2"/>
    <n v="0"/>
    <n v="16"/>
    <n v="3"/>
    <n v="3"/>
    <n v="15"/>
    <n v="10"/>
    <n v="6"/>
    <n v="11"/>
  </r>
  <r>
    <n v="28"/>
    <x v="0"/>
    <n v="1"/>
    <s v="Travel_Rarely"/>
    <n v="0"/>
    <n v="1"/>
    <n v="1475"/>
    <s v="Sales"/>
    <n v="0"/>
    <n v="1"/>
    <n v="13"/>
    <n v="2"/>
    <s v="Marketing"/>
    <n v="0"/>
    <n v="0"/>
    <n v="0"/>
    <n v="1"/>
    <n v="0"/>
    <n v="4"/>
    <x v="0"/>
    <n v="1"/>
    <n v="84"/>
    <n v="3"/>
    <n v="2"/>
    <s v="Sales Executive"/>
    <n v="0"/>
    <n v="1"/>
    <n v="0"/>
    <n v="0"/>
    <n v="0"/>
    <n v="0"/>
    <n v="0"/>
    <n v="0"/>
    <x v="2"/>
    <s v="Single"/>
    <n v="1"/>
    <n v="0"/>
    <n v="9854"/>
    <n v="23352"/>
    <n v="3"/>
    <s v="Yes"/>
    <n v="1"/>
    <n v="11"/>
    <n v="3"/>
    <n v="4"/>
    <n v="0"/>
    <n v="6"/>
    <n v="0"/>
    <n v="3"/>
    <n v="2"/>
    <n v="0"/>
    <n v="2"/>
    <n v="2"/>
  </r>
  <r>
    <n v="47"/>
    <x v="1"/>
    <n v="0"/>
    <s v="Non-Travel"/>
    <n v="0"/>
    <n v="0"/>
    <n v="1169"/>
    <s v="Research &amp; Development"/>
    <n v="1"/>
    <n v="0"/>
    <n v="14"/>
    <n v="4"/>
    <s v="Technical Degree"/>
    <n v="0"/>
    <n v="0"/>
    <n v="0"/>
    <n v="0"/>
    <n v="1"/>
    <n v="3"/>
    <x v="1"/>
    <n v="0"/>
    <n v="64"/>
    <n v="3"/>
    <n v="2"/>
    <s v="Research Scientist"/>
    <n v="0"/>
    <n v="0"/>
    <n v="0"/>
    <n v="0"/>
    <n v="0"/>
    <n v="0"/>
    <n v="0"/>
    <n v="1"/>
    <x v="1"/>
    <s v="Married"/>
    <n v="0"/>
    <n v="1"/>
    <n v="5467"/>
    <n v="2125"/>
    <n v="8"/>
    <s v="No"/>
    <n v="0"/>
    <n v="18"/>
    <n v="3"/>
    <n v="3"/>
    <n v="1"/>
    <n v="16"/>
    <n v="4"/>
    <n v="4"/>
    <n v="8"/>
    <n v="7"/>
    <n v="1"/>
    <n v="7"/>
  </r>
  <r>
    <n v="56"/>
    <x v="1"/>
    <n v="0"/>
    <s v="Travel_Rarely"/>
    <n v="0"/>
    <n v="1"/>
    <n v="1443"/>
    <s v="Sales"/>
    <n v="0"/>
    <n v="1"/>
    <n v="11"/>
    <n v="5"/>
    <s v="Marketing"/>
    <n v="0"/>
    <n v="0"/>
    <n v="0"/>
    <n v="1"/>
    <n v="0"/>
    <n v="4"/>
    <x v="0"/>
    <n v="1"/>
    <n v="89"/>
    <n v="2"/>
    <n v="2"/>
    <s v="Sales Executive"/>
    <n v="0"/>
    <n v="1"/>
    <n v="0"/>
    <n v="0"/>
    <n v="0"/>
    <n v="0"/>
    <n v="0"/>
    <n v="0"/>
    <x v="3"/>
    <s v="Married"/>
    <n v="0"/>
    <n v="1"/>
    <n v="5380"/>
    <n v="20328"/>
    <n v="4"/>
    <s v="No"/>
    <n v="0"/>
    <n v="16"/>
    <n v="3"/>
    <n v="3"/>
    <n v="1"/>
    <n v="6"/>
    <n v="3"/>
    <n v="3"/>
    <n v="0"/>
    <n v="0"/>
    <n v="0"/>
    <n v="0"/>
  </r>
  <r>
    <n v="39"/>
    <x v="1"/>
    <n v="0"/>
    <s v="Travel_Rarely"/>
    <n v="0"/>
    <n v="1"/>
    <n v="867"/>
    <s v="Research &amp; Development"/>
    <n v="1"/>
    <n v="0"/>
    <n v="9"/>
    <n v="2"/>
    <s v="Medical"/>
    <n v="0"/>
    <n v="0"/>
    <n v="1"/>
    <n v="0"/>
    <n v="0"/>
    <n v="1"/>
    <x v="1"/>
    <n v="0"/>
    <n v="87"/>
    <n v="3"/>
    <n v="2"/>
    <s v="Manufacturing Director"/>
    <n v="0"/>
    <n v="0"/>
    <n v="0"/>
    <n v="0"/>
    <n v="1"/>
    <n v="1"/>
    <n v="0"/>
    <n v="0"/>
    <x v="3"/>
    <s v="Married"/>
    <n v="0"/>
    <n v="1"/>
    <n v="5151"/>
    <n v="12315"/>
    <n v="1"/>
    <s v="No"/>
    <n v="0"/>
    <n v="25"/>
    <n v="4"/>
    <n v="4"/>
    <n v="1"/>
    <n v="10"/>
    <n v="3"/>
    <n v="3"/>
    <n v="10"/>
    <n v="0"/>
    <n v="7"/>
    <n v="9"/>
  </r>
  <r>
    <n v="38"/>
    <x v="1"/>
    <n v="0"/>
    <s v="Travel_Frequently"/>
    <n v="1"/>
    <n v="0"/>
    <n v="1394"/>
    <s v="Research &amp; Development"/>
    <n v="1"/>
    <n v="0"/>
    <n v="8"/>
    <n v="3"/>
    <s v="Medical"/>
    <n v="0"/>
    <n v="0"/>
    <n v="1"/>
    <n v="0"/>
    <n v="0"/>
    <n v="4"/>
    <x v="0"/>
    <n v="1"/>
    <n v="58"/>
    <n v="2"/>
    <n v="2"/>
    <s v="Research Scientist"/>
    <n v="0"/>
    <n v="0"/>
    <n v="0"/>
    <n v="0"/>
    <n v="0"/>
    <n v="0"/>
    <n v="0"/>
    <n v="1"/>
    <x v="1"/>
    <s v="Divorced"/>
    <n v="0"/>
    <n v="0"/>
    <n v="2133"/>
    <n v="18115"/>
    <n v="1"/>
    <s v="Yes"/>
    <n v="1"/>
    <n v="16"/>
    <n v="3"/>
    <n v="3"/>
    <n v="1"/>
    <n v="20"/>
    <n v="3"/>
    <n v="3"/>
    <n v="20"/>
    <n v="11"/>
    <n v="0"/>
    <n v="7"/>
  </r>
  <r>
    <n v="58"/>
    <x v="1"/>
    <n v="0"/>
    <s v="Travel_Rarely"/>
    <n v="0"/>
    <n v="1"/>
    <n v="605"/>
    <s v="Sales"/>
    <n v="0"/>
    <n v="1"/>
    <n v="21"/>
    <n v="3"/>
    <s v="Life Sciences"/>
    <n v="1"/>
    <n v="0"/>
    <n v="0"/>
    <n v="0"/>
    <n v="0"/>
    <n v="4"/>
    <x v="0"/>
    <n v="1"/>
    <n v="72"/>
    <n v="3"/>
    <n v="4"/>
    <s v="Manager"/>
    <n v="0"/>
    <n v="0"/>
    <n v="0"/>
    <n v="1"/>
    <n v="0"/>
    <n v="0"/>
    <n v="0"/>
    <n v="0"/>
    <x v="0"/>
    <s v="Married"/>
    <n v="0"/>
    <n v="1"/>
    <n v="17875"/>
    <n v="11761"/>
    <n v="4"/>
    <s v="Yes"/>
    <n v="1"/>
    <n v="13"/>
    <n v="3"/>
    <n v="3"/>
    <n v="1"/>
    <n v="29"/>
    <n v="2"/>
    <n v="2"/>
    <n v="1"/>
    <n v="0"/>
    <n v="0"/>
    <n v="0"/>
  </r>
  <r>
    <n v="32"/>
    <x v="0"/>
    <n v="1"/>
    <s v="Travel_Frequently"/>
    <n v="1"/>
    <n v="0"/>
    <n v="238"/>
    <s v="Research &amp; Development"/>
    <n v="1"/>
    <n v="0"/>
    <n v="5"/>
    <n v="2"/>
    <s v="Life Sciences"/>
    <n v="1"/>
    <n v="0"/>
    <n v="0"/>
    <n v="0"/>
    <n v="0"/>
    <n v="1"/>
    <x v="0"/>
    <n v="1"/>
    <n v="47"/>
    <n v="4"/>
    <n v="1"/>
    <s v="Research Scientist"/>
    <n v="0"/>
    <n v="0"/>
    <n v="0"/>
    <n v="0"/>
    <n v="0"/>
    <n v="0"/>
    <n v="0"/>
    <n v="1"/>
    <x v="2"/>
    <s v="Single"/>
    <n v="1"/>
    <n v="0"/>
    <n v="2432"/>
    <n v="15318"/>
    <n v="3"/>
    <s v="Yes"/>
    <n v="1"/>
    <n v="14"/>
    <n v="3"/>
    <n v="1"/>
    <n v="0"/>
    <n v="8"/>
    <n v="2"/>
    <n v="3"/>
    <n v="4"/>
    <n v="1"/>
    <n v="0"/>
    <n v="3"/>
  </r>
  <r>
    <n v="38"/>
    <x v="1"/>
    <n v="0"/>
    <s v="Travel_Rarely"/>
    <n v="0"/>
    <n v="1"/>
    <n v="1206"/>
    <s v="Research &amp; Development"/>
    <n v="1"/>
    <n v="0"/>
    <n v="9"/>
    <n v="2"/>
    <s v="Life Sciences"/>
    <n v="1"/>
    <n v="0"/>
    <n v="0"/>
    <n v="0"/>
    <n v="0"/>
    <n v="2"/>
    <x v="1"/>
    <n v="0"/>
    <n v="71"/>
    <n v="3"/>
    <n v="1"/>
    <s v="Research Scientist"/>
    <n v="0"/>
    <n v="0"/>
    <n v="0"/>
    <n v="0"/>
    <n v="0"/>
    <n v="0"/>
    <n v="0"/>
    <n v="1"/>
    <x v="0"/>
    <s v="Divorced"/>
    <n v="0"/>
    <n v="0"/>
    <n v="4771"/>
    <n v="14293"/>
    <n v="2"/>
    <s v="No"/>
    <n v="0"/>
    <n v="19"/>
    <n v="3"/>
    <n v="4"/>
    <n v="2"/>
    <n v="10"/>
    <n v="0"/>
    <n v="4"/>
    <n v="5"/>
    <n v="2"/>
    <n v="0"/>
    <n v="3"/>
  </r>
  <r>
    <n v="49"/>
    <x v="1"/>
    <n v="0"/>
    <s v="Travel_Frequently"/>
    <n v="1"/>
    <n v="0"/>
    <n v="1064"/>
    <s v="Research &amp; Development"/>
    <n v="1"/>
    <n v="0"/>
    <n v="2"/>
    <n v="1"/>
    <s v="Life Sciences"/>
    <n v="1"/>
    <n v="0"/>
    <n v="0"/>
    <n v="0"/>
    <n v="0"/>
    <n v="2"/>
    <x v="1"/>
    <n v="0"/>
    <n v="42"/>
    <n v="3"/>
    <n v="5"/>
    <s v="Research Director"/>
    <n v="0"/>
    <n v="0"/>
    <n v="0"/>
    <n v="0"/>
    <n v="0"/>
    <n v="0"/>
    <n v="0"/>
    <n v="0"/>
    <x v="0"/>
    <s v="Married"/>
    <n v="0"/>
    <n v="1"/>
    <n v="19161"/>
    <n v="13738"/>
    <n v="3"/>
    <s v="No"/>
    <n v="0"/>
    <n v="15"/>
    <n v="3"/>
    <n v="4"/>
    <n v="0"/>
    <n v="28"/>
    <n v="3"/>
    <n v="3"/>
    <n v="5"/>
    <n v="4"/>
    <n v="4"/>
    <n v="3"/>
  </r>
  <r>
    <n v="42"/>
    <x v="1"/>
    <n v="0"/>
    <s v="Travel_Rarely"/>
    <n v="0"/>
    <n v="1"/>
    <n v="419"/>
    <s v="Sales"/>
    <n v="0"/>
    <n v="1"/>
    <n v="12"/>
    <n v="4"/>
    <s v="Marketing"/>
    <n v="0"/>
    <n v="0"/>
    <n v="0"/>
    <n v="1"/>
    <n v="0"/>
    <n v="2"/>
    <x v="1"/>
    <n v="0"/>
    <n v="77"/>
    <n v="3"/>
    <n v="2"/>
    <s v="Sales Executive"/>
    <n v="0"/>
    <n v="1"/>
    <n v="0"/>
    <n v="0"/>
    <n v="0"/>
    <n v="0"/>
    <n v="0"/>
    <n v="0"/>
    <x v="0"/>
    <s v="Divorced"/>
    <n v="0"/>
    <n v="0"/>
    <n v="5087"/>
    <n v="2900"/>
    <n v="3"/>
    <s v="Yes"/>
    <n v="1"/>
    <n v="12"/>
    <n v="3"/>
    <n v="3"/>
    <n v="2"/>
    <n v="14"/>
    <n v="4"/>
    <n v="3"/>
    <n v="0"/>
    <n v="0"/>
    <n v="0"/>
    <n v="0"/>
  </r>
  <r>
    <n v="27"/>
    <x v="0"/>
    <n v="1"/>
    <s v="Travel_Frequently"/>
    <n v="1"/>
    <n v="0"/>
    <n v="1337"/>
    <s v="Human Resources"/>
    <n v="0"/>
    <n v="0"/>
    <n v="22"/>
    <n v="3"/>
    <s v="Human Resources"/>
    <n v="0"/>
    <n v="0"/>
    <n v="0"/>
    <n v="0"/>
    <n v="0"/>
    <n v="1"/>
    <x v="0"/>
    <n v="1"/>
    <n v="58"/>
    <n v="2"/>
    <n v="1"/>
    <s v="Human Resources"/>
    <n v="0"/>
    <n v="0"/>
    <n v="0"/>
    <n v="0"/>
    <n v="0"/>
    <n v="0"/>
    <n v="0"/>
    <n v="0"/>
    <x v="1"/>
    <s v="Married"/>
    <n v="0"/>
    <n v="1"/>
    <n v="2863"/>
    <n v="19555"/>
    <n v="1"/>
    <s v="No"/>
    <n v="0"/>
    <n v="12"/>
    <n v="3"/>
    <n v="1"/>
    <n v="0"/>
    <n v="1"/>
    <n v="2"/>
    <n v="3"/>
    <n v="1"/>
    <n v="0"/>
    <n v="0"/>
    <n v="0"/>
  </r>
  <r>
    <n v="35"/>
    <x v="1"/>
    <n v="0"/>
    <s v="Travel_Rarely"/>
    <n v="0"/>
    <n v="1"/>
    <n v="682"/>
    <s v="Sales"/>
    <n v="0"/>
    <n v="1"/>
    <n v="18"/>
    <n v="4"/>
    <s v="Medical"/>
    <n v="0"/>
    <n v="0"/>
    <n v="1"/>
    <n v="0"/>
    <n v="0"/>
    <n v="2"/>
    <x v="1"/>
    <n v="0"/>
    <n v="71"/>
    <n v="3"/>
    <n v="2"/>
    <s v="Sales Executive"/>
    <n v="0"/>
    <n v="1"/>
    <n v="0"/>
    <n v="0"/>
    <n v="0"/>
    <n v="0"/>
    <n v="0"/>
    <n v="0"/>
    <x v="3"/>
    <s v="Married"/>
    <n v="0"/>
    <n v="1"/>
    <n v="5561"/>
    <n v="15975"/>
    <n v="0"/>
    <s v="No"/>
    <n v="0"/>
    <n v="16"/>
    <n v="3"/>
    <n v="4"/>
    <n v="1"/>
    <n v="6"/>
    <n v="2"/>
    <n v="1"/>
    <n v="5"/>
    <n v="3"/>
    <n v="0"/>
    <n v="4"/>
  </r>
  <r>
    <n v="28"/>
    <x v="1"/>
    <n v="0"/>
    <s v="Non-Travel"/>
    <n v="0"/>
    <n v="0"/>
    <n v="1103"/>
    <s v="Research &amp; Development"/>
    <n v="1"/>
    <n v="0"/>
    <n v="16"/>
    <n v="3"/>
    <s v="Medical"/>
    <n v="0"/>
    <n v="0"/>
    <n v="1"/>
    <n v="0"/>
    <n v="0"/>
    <n v="3"/>
    <x v="1"/>
    <n v="0"/>
    <n v="49"/>
    <n v="3"/>
    <n v="1"/>
    <s v="Research Scientist"/>
    <n v="0"/>
    <n v="0"/>
    <n v="0"/>
    <n v="0"/>
    <n v="0"/>
    <n v="0"/>
    <n v="0"/>
    <n v="1"/>
    <x v="2"/>
    <s v="Single"/>
    <n v="1"/>
    <n v="0"/>
    <n v="2144"/>
    <n v="2122"/>
    <n v="1"/>
    <s v="No"/>
    <n v="0"/>
    <n v="14"/>
    <n v="3"/>
    <n v="3"/>
    <n v="0"/>
    <n v="5"/>
    <n v="3"/>
    <n v="2"/>
    <n v="5"/>
    <n v="3"/>
    <n v="1"/>
    <n v="4"/>
  </r>
  <r>
    <n v="31"/>
    <x v="1"/>
    <n v="0"/>
    <s v="Non-Travel"/>
    <n v="0"/>
    <n v="0"/>
    <n v="976"/>
    <s v="Research &amp; Development"/>
    <n v="1"/>
    <n v="0"/>
    <n v="3"/>
    <n v="2"/>
    <s v="Medical"/>
    <n v="0"/>
    <n v="0"/>
    <n v="1"/>
    <n v="0"/>
    <n v="0"/>
    <n v="3"/>
    <x v="1"/>
    <n v="0"/>
    <n v="48"/>
    <n v="3"/>
    <n v="1"/>
    <s v="Research Scientist"/>
    <n v="0"/>
    <n v="0"/>
    <n v="0"/>
    <n v="0"/>
    <n v="0"/>
    <n v="0"/>
    <n v="0"/>
    <n v="1"/>
    <x v="3"/>
    <s v="Divorced"/>
    <n v="0"/>
    <n v="0"/>
    <n v="3065"/>
    <n v="3995"/>
    <n v="1"/>
    <s v="Yes"/>
    <n v="1"/>
    <n v="13"/>
    <n v="3"/>
    <n v="4"/>
    <n v="1"/>
    <n v="4"/>
    <n v="3"/>
    <n v="4"/>
    <n v="4"/>
    <n v="2"/>
    <n v="2"/>
    <n v="3"/>
  </r>
  <r>
    <n v="36"/>
    <x v="1"/>
    <n v="0"/>
    <s v="Non-Travel"/>
    <n v="0"/>
    <n v="0"/>
    <n v="1351"/>
    <s v="Research &amp; Development"/>
    <n v="1"/>
    <n v="0"/>
    <n v="9"/>
    <n v="4"/>
    <s v="Life Sciences"/>
    <n v="1"/>
    <n v="0"/>
    <n v="0"/>
    <n v="0"/>
    <n v="0"/>
    <n v="1"/>
    <x v="1"/>
    <n v="0"/>
    <n v="66"/>
    <n v="4"/>
    <n v="1"/>
    <s v="Laboratory Technician"/>
    <n v="0"/>
    <n v="0"/>
    <n v="1"/>
    <n v="0"/>
    <n v="0"/>
    <n v="0"/>
    <n v="0"/>
    <n v="0"/>
    <x v="1"/>
    <s v="Married"/>
    <n v="0"/>
    <n v="1"/>
    <n v="2810"/>
    <n v="9238"/>
    <n v="1"/>
    <s v="No"/>
    <n v="0"/>
    <n v="22"/>
    <n v="4"/>
    <n v="2"/>
    <n v="0"/>
    <n v="5"/>
    <n v="3"/>
    <n v="3"/>
    <n v="5"/>
    <n v="4"/>
    <n v="0"/>
    <n v="2"/>
  </r>
  <r>
    <n v="34"/>
    <x v="1"/>
    <n v="0"/>
    <s v="Travel_Rarely"/>
    <n v="0"/>
    <n v="1"/>
    <n v="937"/>
    <s v="Sales"/>
    <n v="0"/>
    <n v="1"/>
    <n v="1"/>
    <n v="3"/>
    <s v="Marketing"/>
    <n v="0"/>
    <n v="0"/>
    <n v="0"/>
    <n v="1"/>
    <n v="0"/>
    <n v="1"/>
    <x v="1"/>
    <n v="0"/>
    <n v="32"/>
    <n v="3"/>
    <n v="3"/>
    <s v="Sales Executive"/>
    <n v="0"/>
    <n v="1"/>
    <n v="0"/>
    <n v="0"/>
    <n v="0"/>
    <n v="0"/>
    <n v="0"/>
    <n v="0"/>
    <x v="0"/>
    <s v="Single"/>
    <n v="1"/>
    <n v="0"/>
    <n v="9888"/>
    <n v="6770"/>
    <n v="1"/>
    <s v="No"/>
    <n v="0"/>
    <n v="21"/>
    <n v="4"/>
    <n v="1"/>
    <n v="0"/>
    <n v="14"/>
    <n v="3"/>
    <n v="2"/>
    <n v="14"/>
    <n v="8"/>
    <n v="2"/>
    <n v="1"/>
  </r>
  <r>
    <n v="34"/>
    <x v="1"/>
    <n v="0"/>
    <s v="Travel_Rarely"/>
    <n v="0"/>
    <n v="1"/>
    <n v="1239"/>
    <s v="Sales"/>
    <n v="0"/>
    <n v="1"/>
    <n v="13"/>
    <n v="4"/>
    <s v="Medical"/>
    <n v="0"/>
    <n v="0"/>
    <n v="1"/>
    <n v="0"/>
    <n v="0"/>
    <n v="4"/>
    <x v="1"/>
    <n v="0"/>
    <n v="39"/>
    <n v="3"/>
    <n v="3"/>
    <s v="Sales Executive"/>
    <n v="0"/>
    <n v="1"/>
    <n v="0"/>
    <n v="0"/>
    <n v="0"/>
    <n v="0"/>
    <n v="0"/>
    <n v="0"/>
    <x v="2"/>
    <s v="Divorced"/>
    <n v="0"/>
    <n v="0"/>
    <n v="8628"/>
    <n v="22914"/>
    <n v="1"/>
    <s v="No"/>
    <n v="0"/>
    <n v="18"/>
    <n v="3"/>
    <n v="3"/>
    <n v="1"/>
    <n v="9"/>
    <n v="2"/>
    <n v="2"/>
    <n v="8"/>
    <n v="7"/>
    <n v="1"/>
    <n v="1"/>
  </r>
  <r>
    <n v="26"/>
    <x v="1"/>
    <n v="0"/>
    <s v="Travel_Rarely"/>
    <n v="0"/>
    <n v="1"/>
    <n v="157"/>
    <s v="Research &amp; Development"/>
    <n v="1"/>
    <n v="0"/>
    <n v="1"/>
    <n v="3"/>
    <s v="Medical"/>
    <n v="0"/>
    <n v="0"/>
    <n v="1"/>
    <n v="0"/>
    <n v="0"/>
    <n v="3"/>
    <x v="1"/>
    <n v="0"/>
    <n v="95"/>
    <n v="3"/>
    <n v="1"/>
    <s v="Laboratory Technician"/>
    <n v="0"/>
    <n v="0"/>
    <n v="1"/>
    <n v="0"/>
    <n v="0"/>
    <n v="0"/>
    <n v="0"/>
    <n v="0"/>
    <x v="3"/>
    <s v="Single"/>
    <n v="1"/>
    <n v="0"/>
    <n v="2867"/>
    <n v="20006"/>
    <n v="0"/>
    <s v="No"/>
    <n v="0"/>
    <n v="13"/>
    <n v="3"/>
    <n v="4"/>
    <n v="0"/>
    <n v="8"/>
    <n v="6"/>
    <n v="2"/>
    <n v="7"/>
    <n v="7"/>
    <n v="7"/>
    <n v="6"/>
  </r>
  <r>
    <n v="29"/>
    <x v="1"/>
    <n v="0"/>
    <s v="Travel_Rarely"/>
    <n v="0"/>
    <n v="1"/>
    <n v="136"/>
    <s v="Research &amp; Development"/>
    <n v="1"/>
    <n v="0"/>
    <n v="1"/>
    <n v="3"/>
    <s v="Life Sciences"/>
    <n v="1"/>
    <n v="0"/>
    <n v="0"/>
    <n v="0"/>
    <n v="0"/>
    <n v="1"/>
    <x v="1"/>
    <n v="0"/>
    <n v="89"/>
    <n v="3"/>
    <n v="2"/>
    <s v="Healthcare Representative"/>
    <n v="1"/>
    <n v="0"/>
    <n v="0"/>
    <n v="0"/>
    <n v="0"/>
    <n v="0"/>
    <n v="0"/>
    <n v="0"/>
    <x v="3"/>
    <s v="Married"/>
    <n v="0"/>
    <n v="1"/>
    <n v="5373"/>
    <n v="6225"/>
    <n v="0"/>
    <s v="No"/>
    <n v="0"/>
    <n v="12"/>
    <n v="3"/>
    <n v="1"/>
    <n v="1"/>
    <n v="6"/>
    <n v="5"/>
    <n v="2"/>
    <n v="5"/>
    <n v="3"/>
    <n v="0"/>
    <n v="2"/>
  </r>
  <r>
    <n v="32"/>
    <x v="1"/>
    <n v="0"/>
    <s v="Non-Travel"/>
    <n v="0"/>
    <n v="0"/>
    <n v="1146"/>
    <s v="Research &amp; Development"/>
    <n v="1"/>
    <n v="0"/>
    <n v="15"/>
    <n v="4"/>
    <s v="Medical"/>
    <n v="0"/>
    <n v="0"/>
    <n v="1"/>
    <n v="0"/>
    <n v="0"/>
    <n v="3"/>
    <x v="0"/>
    <n v="1"/>
    <n v="34"/>
    <n v="3"/>
    <n v="2"/>
    <s v="Healthcare Representative"/>
    <n v="1"/>
    <n v="0"/>
    <n v="0"/>
    <n v="0"/>
    <n v="0"/>
    <n v="0"/>
    <n v="0"/>
    <n v="0"/>
    <x v="0"/>
    <s v="Divorced"/>
    <n v="0"/>
    <n v="0"/>
    <n v="6667"/>
    <n v="16542"/>
    <n v="5"/>
    <s v="No"/>
    <n v="0"/>
    <n v="18"/>
    <n v="3"/>
    <n v="2"/>
    <n v="1"/>
    <n v="9"/>
    <n v="6"/>
    <n v="3"/>
    <n v="5"/>
    <n v="1"/>
    <n v="1"/>
    <n v="2"/>
  </r>
  <r>
    <n v="31"/>
    <x v="1"/>
    <n v="0"/>
    <s v="Travel_Frequently"/>
    <n v="1"/>
    <n v="0"/>
    <n v="1125"/>
    <s v="Research &amp; Development"/>
    <n v="1"/>
    <n v="0"/>
    <n v="1"/>
    <n v="3"/>
    <s v="Life Sciences"/>
    <n v="1"/>
    <n v="0"/>
    <n v="0"/>
    <n v="0"/>
    <n v="0"/>
    <n v="4"/>
    <x v="1"/>
    <n v="0"/>
    <n v="48"/>
    <n v="1"/>
    <n v="2"/>
    <s v="Research Scientist"/>
    <n v="0"/>
    <n v="0"/>
    <n v="0"/>
    <n v="0"/>
    <n v="0"/>
    <n v="0"/>
    <n v="0"/>
    <n v="1"/>
    <x v="3"/>
    <s v="Married"/>
    <n v="0"/>
    <n v="1"/>
    <n v="5003"/>
    <n v="5771"/>
    <n v="1"/>
    <s v="No"/>
    <n v="0"/>
    <n v="21"/>
    <n v="4"/>
    <n v="2"/>
    <n v="0"/>
    <n v="10"/>
    <n v="6"/>
    <n v="3"/>
    <n v="10"/>
    <n v="8"/>
    <n v="8"/>
    <n v="7"/>
  </r>
  <r>
    <n v="28"/>
    <x v="0"/>
    <n v="1"/>
    <s v="Travel_Rarely"/>
    <n v="0"/>
    <n v="1"/>
    <n v="1404"/>
    <s v="Research &amp; Development"/>
    <n v="1"/>
    <n v="0"/>
    <n v="17"/>
    <n v="3"/>
    <s v="Technical Degree"/>
    <n v="0"/>
    <n v="0"/>
    <n v="0"/>
    <n v="0"/>
    <n v="1"/>
    <n v="3"/>
    <x v="1"/>
    <n v="0"/>
    <n v="32"/>
    <n v="2"/>
    <n v="1"/>
    <s v="Laboratory Technician"/>
    <n v="0"/>
    <n v="0"/>
    <n v="1"/>
    <n v="0"/>
    <n v="0"/>
    <n v="0"/>
    <n v="0"/>
    <n v="0"/>
    <x v="0"/>
    <s v="Divorced"/>
    <n v="0"/>
    <n v="0"/>
    <n v="2367"/>
    <n v="18779"/>
    <n v="5"/>
    <s v="No"/>
    <n v="0"/>
    <n v="12"/>
    <n v="3"/>
    <n v="1"/>
    <n v="1"/>
    <n v="6"/>
    <n v="2"/>
    <n v="2"/>
    <n v="4"/>
    <n v="1"/>
    <n v="0"/>
    <n v="3"/>
  </r>
  <r>
    <n v="38"/>
    <x v="1"/>
    <n v="0"/>
    <s v="Travel_Rarely"/>
    <n v="0"/>
    <n v="1"/>
    <n v="1404"/>
    <s v="Sales"/>
    <n v="0"/>
    <n v="1"/>
    <n v="1"/>
    <n v="3"/>
    <s v="Life Sciences"/>
    <n v="1"/>
    <n v="0"/>
    <n v="0"/>
    <n v="0"/>
    <n v="0"/>
    <n v="1"/>
    <x v="1"/>
    <n v="0"/>
    <n v="59"/>
    <n v="2"/>
    <n v="1"/>
    <s v="Sales Representative"/>
    <n v="0"/>
    <n v="0"/>
    <n v="0"/>
    <n v="0"/>
    <n v="0"/>
    <n v="0"/>
    <n v="1"/>
    <n v="0"/>
    <x v="3"/>
    <s v="Single"/>
    <n v="1"/>
    <n v="0"/>
    <n v="2858"/>
    <n v="11473"/>
    <n v="4"/>
    <s v="No"/>
    <n v="0"/>
    <n v="14"/>
    <n v="3"/>
    <n v="1"/>
    <n v="0"/>
    <n v="20"/>
    <n v="3"/>
    <n v="2"/>
    <n v="1"/>
    <n v="0"/>
    <n v="0"/>
    <n v="0"/>
  </r>
  <r>
    <n v="35"/>
    <x v="1"/>
    <n v="0"/>
    <s v="Travel_Rarely"/>
    <n v="0"/>
    <n v="1"/>
    <n v="1224"/>
    <s v="Sales"/>
    <n v="0"/>
    <n v="1"/>
    <n v="7"/>
    <n v="4"/>
    <s v="Life Sciences"/>
    <n v="1"/>
    <n v="0"/>
    <n v="0"/>
    <n v="0"/>
    <n v="0"/>
    <n v="3"/>
    <x v="0"/>
    <n v="1"/>
    <n v="55"/>
    <n v="3"/>
    <n v="2"/>
    <s v="Sales Executive"/>
    <n v="0"/>
    <n v="1"/>
    <n v="0"/>
    <n v="0"/>
    <n v="0"/>
    <n v="0"/>
    <n v="0"/>
    <n v="0"/>
    <x v="0"/>
    <s v="Married"/>
    <n v="0"/>
    <n v="1"/>
    <n v="5204"/>
    <n v="13586"/>
    <n v="1"/>
    <s v="Yes"/>
    <n v="1"/>
    <n v="11"/>
    <n v="3"/>
    <n v="4"/>
    <n v="0"/>
    <n v="10"/>
    <n v="2"/>
    <n v="3"/>
    <n v="10"/>
    <n v="8"/>
    <n v="0"/>
    <n v="9"/>
  </r>
  <r>
    <n v="27"/>
    <x v="1"/>
    <n v="0"/>
    <s v="Travel_Rarely"/>
    <n v="0"/>
    <n v="1"/>
    <n v="954"/>
    <s v="Sales"/>
    <n v="0"/>
    <n v="1"/>
    <n v="9"/>
    <n v="3"/>
    <s v="Marketing"/>
    <n v="0"/>
    <n v="0"/>
    <n v="0"/>
    <n v="1"/>
    <n v="0"/>
    <n v="4"/>
    <x v="1"/>
    <n v="0"/>
    <n v="44"/>
    <n v="3"/>
    <n v="2"/>
    <s v="Sales Executive"/>
    <n v="0"/>
    <n v="1"/>
    <n v="0"/>
    <n v="0"/>
    <n v="0"/>
    <n v="0"/>
    <n v="0"/>
    <n v="0"/>
    <x v="0"/>
    <s v="Single"/>
    <n v="1"/>
    <n v="0"/>
    <n v="4105"/>
    <n v="5099"/>
    <n v="1"/>
    <s v="No"/>
    <n v="0"/>
    <n v="14"/>
    <n v="3"/>
    <n v="1"/>
    <n v="0"/>
    <n v="7"/>
    <n v="5"/>
    <n v="3"/>
    <n v="7"/>
    <n v="7"/>
    <n v="0"/>
    <n v="7"/>
  </r>
  <r>
    <n v="32"/>
    <x v="1"/>
    <n v="0"/>
    <s v="Travel_Rarely"/>
    <n v="0"/>
    <n v="1"/>
    <n v="1373"/>
    <s v="Research &amp; Development"/>
    <n v="1"/>
    <n v="0"/>
    <n v="5"/>
    <n v="4"/>
    <s v="Life Sciences"/>
    <n v="1"/>
    <n v="0"/>
    <n v="0"/>
    <n v="0"/>
    <n v="0"/>
    <n v="4"/>
    <x v="1"/>
    <n v="0"/>
    <n v="56"/>
    <n v="2"/>
    <n v="2"/>
    <s v="Manufacturing Director"/>
    <n v="0"/>
    <n v="0"/>
    <n v="0"/>
    <n v="0"/>
    <n v="1"/>
    <n v="1"/>
    <n v="0"/>
    <n v="0"/>
    <x v="0"/>
    <s v="Single"/>
    <n v="1"/>
    <n v="0"/>
    <n v="9679"/>
    <n v="10138"/>
    <n v="8"/>
    <s v="No"/>
    <n v="0"/>
    <n v="24"/>
    <n v="4"/>
    <n v="2"/>
    <n v="0"/>
    <n v="8"/>
    <n v="1"/>
    <n v="3"/>
    <n v="1"/>
    <n v="0"/>
    <n v="0"/>
    <n v="0"/>
  </r>
  <r>
    <n v="31"/>
    <x v="0"/>
    <n v="1"/>
    <s v="Travel_Frequently"/>
    <n v="1"/>
    <n v="0"/>
    <n v="754"/>
    <s v="Sales"/>
    <n v="0"/>
    <n v="1"/>
    <n v="26"/>
    <n v="4"/>
    <s v="Marketing"/>
    <n v="0"/>
    <n v="0"/>
    <n v="0"/>
    <n v="1"/>
    <n v="0"/>
    <n v="1"/>
    <x v="1"/>
    <n v="0"/>
    <n v="63"/>
    <n v="3"/>
    <n v="2"/>
    <s v="Sales Executive"/>
    <n v="0"/>
    <n v="1"/>
    <n v="0"/>
    <n v="0"/>
    <n v="0"/>
    <n v="0"/>
    <n v="0"/>
    <n v="0"/>
    <x v="0"/>
    <s v="Married"/>
    <n v="0"/>
    <n v="1"/>
    <n v="5617"/>
    <n v="21075"/>
    <n v="1"/>
    <s v="Yes"/>
    <n v="1"/>
    <n v="11"/>
    <n v="3"/>
    <n v="3"/>
    <n v="0"/>
    <n v="10"/>
    <n v="4"/>
    <n v="3"/>
    <n v="10"/>
    <n v="7"/>
    <n v="0"/>
    <n v="8"/>
  </r>
  <r>
    <n v="53"/>
    <x v="0"/>
    <n v="1"/>
    <s v="Travel_Rarely"/>
    <n v="0"/>
    <n v="1"/>
    <n v="1168"/>
    <s v="Sales"/>
    <n v="0"/>
    <n v="1"/>
    <n v="24"/>
    <n v="4"/>
    <s v="Life Sciences"/>
    <n v="1"/>
    <n v="0"/>
    <n v="0"/>
    <n v="0"/>
    <n v="0"/>
    <n v="1"/>
    <x v="1"/>
    <n v="0"/>
    <n v="66"/>
    <n v="3"/>
    <n v="3"/>
    <s v="Sales Executive"/>
    <n v="0"/>
    <n v="1"/>
    <n v="0"/>
    <n v="0"/>
    <n v="0"/>
    <n v="0"/>
    <n v="0"/>
    <n v="0"/>
    <x v="3"/>
    <s v="Single"/>
    <n v="1"/>
    <n v="0"/>
    <n v="10448"/>
    <n v="5843"/>
    <n v="6"/>
    <s v="Yes"/>
    <n v="1"/>
    <n v="13"/>
    <n v="3"/>
    <n v="2"/>
    <n v="0"/>
    <n v="15"/>
    <n v="2"/>
    <n v="2"/>
    <n v="2"/>
    <n v="2"/>
    <n v="2"/>
    <n v="2"/>
  </r>
  <r>
    <n v="54"/>
    <x v="1"/>
    <n v="0"/>
    <s v="Travel_Rarely"/>
    <n v="0"/>
    <n v="1"/>
    <n v="155"/>
    <s v="Research &amp; Development"/>
    <n v="1"/>
    <n v="0"/>
    <n v="9"/>
    <n v="2"/>
    <s v="Life Sciences"/>
    <n v="1"/>
    <n v="0"/>
    <n v="0"/>
    <n v="0"/>
    <n v="0"/>
    <n v="1"/>
    <x v="0"/>
    <n v="1"/>
    <n v="67"/>
    <n v="3"/>
    <n v="2"/>
    <s v="Research Scientist"/>
    <n v="0"/>
    <n v="0"/>
    <n v="0"/>
    <n v="0"/>
    <n v="0"/>
    <n v="0"/>
    <n v="0"/>
    <n v="1"/>
    <x v="2"/>
    <s v="Married"/>
    <n v="0"/>
    <n v="1"/>
    <n v="2897"/>
    <n v="22474"/>
    <n v="3"/>
    <s v="No"/>
    <n v="0"/>
    <n v="11"/>
    <n v="3"/>
    <n v="3"/>
    <n v="2"/>
    <n v="9"/>
    <n v="6"/>
    <n v="2"/>
    <n v="4"/>
    <n v="3"/>
    <n v="2"/>
    <n v="3"/>
  </r>
  <r>
    <n v="33"/>
    <x v="1"/>
    <n v="0"/>
    <s v="Travel_Frequently"/>
    <n v="1"/>
    <n v="0"/>
    <n v="1303"/>
    <s v="Research &amp; Development"/>
    <n v="1"/>
    <n v="0"/>
    <n v="7"/>
    <n v="2"/>
    <s v="Life Sciences"/>
    <n v="1"/>
    <n v="0"/>
    <n v="0"/>
    <n v="0"/>
    <n v="0"/>
    <n v="4"/>
    <x v="1"/>
    <n v="0"/>
    <n v="36"/>
    <n v="3"/>
    <n v="2"/>
    <s v="Healthcare Representative"/>
    <n v="1"/>
    <n v="0"/>
    <n v="0"/>
    <n v="0"/>
    <n v="0"/>
    <n v="0"/>
    <n v="0"/>
    <n v="0"/>
    <x v="2"/>
    <s v="Divorced"/>
    <n v="0"/>
    <n v="0"/>
    <n v="5968"/>
    <n v="18079"/>
    <n v="1"/>
    <s v="No"/>
    <n v="0"/>
    <n v="20"/>
    <n v="4"/>
    <n v="3"/>
    <n v="3"/>
    <n v="9"/>
    <n v="2"/>
    <n v="3"/>
    <n v="9"/>
    <n v="7"/>
    <n v="2"/>
    <n v="8"/>
  </r>
  <r>
    <n v="43"/>
    <x v="1"/>
    <n v="0"/>
    <s v="Travel_Rarely"/>
    <n v="0"/>
    <n v="1"/>
    <n v="574"/>
    <s v="Research &amp; Development"/>
    <n v="1"/>
    <n v="0"/>
    <n v="11"/>
    <n v="3"/>
    <s v="Life Sciences"/>
    <n v="1"/>
    <n v="0"/>
    <n v="0"/>
    <n v="0"/>
    <n v="0"/>
    <n v="1"/>
    <x v="1"/>
    <n v="0"/>
    <n v="30"/>
    <n v="3"/>
    <n v="3"/>
    <s v="Healthcare Representative"/>
    <n v="1"/>
    <n v="0"/>
    <n v="0"/>
    <n v="0"/>
    <n v="0"/>
    <n v="0"/>
    <n v="0"/>
    <n v="0"/>
    <x v="2"/>
    <s v="Married"/>
    <n v="0"/>
    <n v="1"/>
    <n v="7510"/>
    <n v="16873"/>
    <n v="1"/>
    <s v="No"/>
    <n v="0"/>
    <n v="17"/>
    <n v="3"/>
    <n v="2"/>
    <n v="1"/>
    <n v="10"/>
    <n v="1"/>
    <n v="3"/>
    <n v="10"/>
    <n v="9"/>
    <n v="0"/>
    <n v="9"/>
  </r>
  <r>
    <n v="38"/>
    <x v="1"/>
    <n v="0"/>
    <s v="Travel_Frequently"/>
    <n v="1"/>
    <n v="0"/>
    <n v="1444"/>
    <s v="Human Resources"/>
    <n v="0"/>
    <n v="0"/>
    <n v="1"/>
    <n v="4"/>
    <s v="Other"/>
    <n v="0"/>
    <n v="1"/>
    <n v="0"/>
    <n v="0"/>
    <n v="0"/>
    <n v="4"/>
    <x v="1"/>
    <n v="0"/>
    <n v="88"/>
    <n v="3"/>
    <n v="1"/>
    <s v="Human Resources"/>
    <n v="0"/>
    <n v="0"/>
    <n v="0"/>
    <n v="0"/>
    <n v="0"/>
    <n v="0"/>
    <n v="0"/>
    <n v="0"/>
    <x v="1"/>
    <s v="Married"/>
    <n v="0"/>
    <n v="1"/>
    <n v="2991"/>
    <n v="5224"/>
    <n v="0"/>
    <s v="Yes"/>
    <n v="1"/>
    <n v="11"/>
    <n v="3"/>
    <n v="2"/>
    <n v="1"/>
    <n v="7"/>
    <n v="2"/>
    <n v="3"/>
    <n v="6"/>
    <n v="2"/>
    <n v="1"/>
    <n v="2"/>
  </r>
  <r>
    <n v="55"/>
    <x v="1"/>
    <n v="0"/>
    <s v="Travel_Rarely"/>
    <n v="0"/>
    <n v="1"/>
    <n v="189"/>
    <s v="Human Resources"/>
    <n v="0"/>
    <n v="0"/>
    <n v="26"/>
    <n v="4"/>
    <s v="Human Resources"/>
    <n v="0"/>
    <n v="0"/>
    <n v="0"/>
    <n v="0"/>
    <n v="0"/>
    <n v="3"/>
    <x v="1"/>
    <n v="0"/>
    <n v="71"/>
    <n v="4"/>
    <n v="5"/>
    <s v="Manager"/>
    <n v="0"/>
    <n v="0"/>
    <n v="0"/>
    <n v="1"/>
    <n v="0"/>
    <n v="0"/>
    <n v="0"/>
    <n v="0"/>
    <x v="1"/>
    <s v="Married"/>
    <n v="0"/>
    <n v="1"/>
    <n v="19636"/>
    <n v="25811"/>
    <n v="4"/>
    <s v="Yes"/>
    <n v="1"/>
    <n v="18"/>
    <n v="3"/>
    <n v="1"/>
    <n v="1"/>
    <n v="35"/>
    <n v="0"/>
    <n v="3"/>
    <n v="10"/>
    <n v="9"/>
    <n v="1"/>
    <n v="4"/>
  </r>
  <r>
    <n v="31"/>
    <x v="1"/>
    <n v="0"/>
    <s v="Travel_Rarely"/>
    <n v="0"/>
    <n v="1"/>
    <n v="1276"/>
    <s v="Research &amp; Development"/>
    <n v="1"/>
    <n v="0"/>
    <n v="2"/>
    <n v="1"/>
    <s v="Medical"/>
    <n v="0"/>
    <n v="0"/>
    <n v="1"/>
    <n v="0"/>
    <n v="0"/>
    <n v="4"/>
    <x v="0"/>
    <n v="1"/>
    <n v="59"/>
    <n v="1"/>
    <n v="1"/>
    <s v="Laboratory Technician"/>
    <n v="0"/>
    <n v="0"/>
    <n v="1"/>
    <n v="0"/>
    <n v="0"/>
    <n v="0"/>
    <n v="0"/>
    <n v="0"/>
    <x v="0"/>
    <s v="Divorced"/>
    <n v="0"/>
    <n v="0"/>
    <n v="1129"/>
    <n v="17536"/>
    <n v="1"/>
    <s v="Yes"/>
    <n v="1"/>
    <n v="11"/>
    <n v="3"/>
    <n v="3"/>
    <n v="3"/>
    <n v="1"/>
    <n v="4"/>
    <n v="3"/>
    <n v="1"/>
    <n v="0"/>
    <n v="0"/>
    <n v="0"/>
  </r>
  <r>
    <n v="39"/>
    <x v="1"/>
    <n v="0"/>
    <s v="Travel_Rarely"/>
    <n v="0"/>
    <n v="1"/>
    <n v="119"/>
    <s v="Sales"/>
    <n v="0"/>
    <n v="1"/>
    <n v="15"/>
    <n v="4"/>
    <s v="Marketing"/>
    <n v="0"/>
    <n v="0"/>
    <n v="0"/>
    <n v="1"/>
    <n v="0"/>
    <n v="2"/>
    <x v="1"/>
    <n v="0"/>
    <n v="77"/>
    <n v="3"/>
    <n v="4"/>
    <s v="Sales Executive"/>
    <n v="0"/>
    <n v="1"/>
    <n v="0"/>
    <n v="0"/>
    <n v="0"/>
    <n v="0"/>
    <n v="0"/>
    <n v="0"/>
    <x v="3"/>
    <s v="Single"/>
    <n v="1"/>
    <n v="0"/>
    <n v="13341"/>
    <n v="25098"/>
    <n v="0"/>
    <s v="No"/>
    <n v="0"/>
    <n v="12"/>
    <n v="3"/>
    <n v="1"/>
    <n v="0"/>
    <n v="21"/>
    <n v="3"/>
    <n v="3"/>
    <n v="20"/>
    <n v="8"/>
    <n v="11"/>
    <n v="10"/>
  </r>
  <r>
    <n v="42"/>
    <x v="1"/>
    <n v="0"/>
    <s v="Non-Travel"/>
    <n v="0"/>
    <n v="0"/>
    <n v="335"/>
    <s v="Research &amp; Development"/>
    <n v="1"/>
    <n v="0"/>
    <n v="23"/>
    <n v="2"/>
    <s v="Life Sciences"/>
    <n v="1"/>
    <n v="0"/>
    <n v="0"/>
    <n v="0"/>
    <n v="0"/>
    <n v="4"/>
    <x v="1"/>
    <n v="0"/>
    <n v="37"/>
    <n v="2"/>
    <n v="2"/>
    <s v="Research Scientist"/>
    <n v="0"/>
    <n v="0"/>
    <n v="0"/>
    <n v="0"/>
    <n v="0"/>
    <n v="0"/>
    <n v="0"/>
    <n v="1"/>
    <x v="2"/>
    <s v="Single"/>
    <n v="1"/>
    <n v="0"/>
    <n v="4332"/>
    <n v="14811"/>
    <n v="1"/>
    <s v="No"/>
    <n v="0"/>
    <n v="12"/>
    <n v="3"/>
    <n v="4"/>
    <n v="0"/>
    <n v="20"/>
    <n v="2"/>
    <n v="3"/>
    <n v="20"/>
    <n v="9"/>
    <n v="3"/>
    <n v="7"/>
  </r>
  <r>
    <n v="31"/>
    <x v="1"/>
    <n v="0"/>
    <s v="Non-Travel"/>
    <n v="0"/>
    <n v="0"/>
    <n v="697"/>
    <s v="Research &amp; Development"/>
    <n v="1"/>
    <n v="0"/>
    <n v="10"/>
    <n v="3"/>
    <s v="Medical"/>
    <n v="0"/>
    <n v="0"/>
    <n v="1"/>
    <n v="0"/>
    <n v="0"/>
    <n v="3"/>
    <x v="0"/>
    <n v="1"/>
    <n v="40"/>
    <n v="3"/>
    <n v="3"/>
    <s v="Research Director"/>
    <n v="0"/>
    <n v="0"/>
    <n v="0"/>
    <n v="0"/>
    <n v="0"/>
    <n v="0"/>
    <n v="0"/>
    <n v="0"/>
    <x v="2"/>
    <s v="Married"/>
    <n v="0"/>
    <n v="1"/>
    <n v="11031"/>
    <n v="26862"/>
    <n v="4"/>
    <s v="No"/>
    <n v="0"/>
    <n v="20"/>
    <n v="4"/>
    <n v="3"/>
    <n v="1"/>
    <n v="13"/>
    <n v="2"/>
    <n v="4"/>
    <n v="11"/>
    <n v="7"/>
    <n v="4"/>
    <n v="8"/>
  </r>
  <r>
    <n v="54"/>
    <x v="1"/>
    <n v="0"/>
    <s v="Travel_Rarely"/>
    <n v="0"/>
    <n v="1"/>
    <n v="157"/>
    <s v="Research &amp; Development"/>
    <n v="1"/>
    <n v="0"/>
    <n v="10"/>
    <n v="3"/>
    <s v="Medical"/>
    <n v="0"/>
    <n v="0"/>
    <n v="1"/>
    <n v="0"/>
    <n v="0"/>
    <n v="3"/>
    <x v="0"/>
    <n v="1"/>
    <n v="77"/>
    <n v="3"/>
    <n v="2"/>
    <s v="Manufacturing Director"/>
    <n v="0"/>
    <n v="0"/>
    <n v="0"/>
    <n v="0"/>
    <n v="1"/>
    <n v="1"/>
    <n v="0"/>
    <n v="0"/>
    <x v="3"/>
    <s v="Single"/>
    <n v="1"/>
    <n v="0"/>
    <n v="4440"/>
    <n v="25198"/>
    <n v="6"/>
    <s v="Yes"/>
    <n v="1"/>
    <n v="19"/>
    <n v="3"/>
    <n v="4"/>
    <n v="0"/>
    <n v="9"/>
    <n v="3"/>
    <n v="3"/>
    <n v="5"/>
    <n v="2"/>
    <n v="1"/>
    <n v="4"/>
  </r>
  <r>
    <n v="24"/>
    <x v="1"/>
    <n v="0"/>
    <s v="Travel_Rarely"/>
    <n v="0"/>
    <n v="1"/>
    <n v="771"/>
    <s v="Research &amp; Development"/>
    <n v="1"/>
    <n v="0"/>
    <n v="1"/>
    <n v="2"/>
    <s v="Life Sciences"/>
    <n v="1"/>
    <n v="0"/>
    <n v="0"/>
    <n v="0"/>
    <n v="0"/>
    <n v="2"/>
    <x v="1"/>
    <n v="0"/>
    <n v="45"/>
    <n v="2"/>
    <n v="2"/>
    <s v="Healthcare Representative"/>
    <n v="1"/>
    <n v="0"/>
    <n v="0"/>
    <n v="0"/>
    <n v="0"/>
    <n v="0"/>
    <n v="0"/>
    <n v="0"/>
    <x v="2"/>
    <s v="Single"/>
    <n v="1"/>
    <n v="0"/>
    <n v="4617"/>
    <n v="14120"/>
    <n v="1"/>
    <s v="No"/>
    <n v="0"/>
    <n v="12"/>
    <n v="3"/>
    <n v="2"/>
    <n v="0"/>
    <n v="4"/>
    <n v="2"/>
    <n v="2"/>
    <n v="4"/>
    <n v="3"/>
    <n v="1"/>
    <n v="2"/>
  </r>
  <r>
    <n v="23"/>
    <x v="1"/>
    <n v="0"/>
    <s v="Travel_Rarely"/>
    <n v="0"/>
    <n v="1"/>
    <n v="571"/>
    <s v="Research &amp; Development"/>
    <n v="1"/>
    <n v="0"/>
    <n v="12"/>
    <n v="2"/>
    <s v="Other"/>
    <n v="0"/>
    <n v="1"/>
    <n v="0"/>
    <n v="0"/>
    <n v="0"/>
    <n v="4"/>
    <x v="1"/>
    <n v="0"/>
    <n v="78"/>
    <n v="3"/>
    <n v="1"/>
    <s v="Laboratory Technician"/>
    <n v="0"/>
    <n v="0"/>
    <n v="1"/>
    <n v="0"/>
    <n v="0"/>
    <n v="0"/>
    <n v="0"/>
    <n v="0"/>
    <x v="0"/>
    <s v="Single"/>
    <n v="1"/>
    <n v="0"/>
    <n v="2647"/>
    <n v="13672"/>
    <n v="1"/>
    <s v="No"/>
    <n v="0"/>
    <n v="13"/>
    <n v="3"/>
    <n v="3"/>
    <n v="0"/>
    <n v="5"/>
    <n v="6"/>
    <n v="4"/>
    <n v="5"/>
    <n v="2"/>
    <n v="1"/>
    <n v="4"/>
  </r>
  <r>
    <n v="40"/>
    <x v="1"/>
    <n v="0"/>
    <s v="Travel_Frequently"/>
    <n v="1"/>
    <n v="0"/>
    <n v="692"/>
    <s v="Research &amp; Development"/>
    <n v="1"/>
    <n v="0"/>
    <n v="11"/>
    <n v="3"/>
    <s v="Technical Degree"/>
    <n v="0"/>
    <n v="0"/>
    <n v="0"/>
    <n v="0"/>
    <n v="1"/>
    <n v="4"/>
    <x v="0"/>
    <n v="1"/>
    <n v="73"/>
    <n v="3"/>
    <n v="2"/>
    <s v="Laboratory Technician"/>
    <n v="0"/>
    <n v="0"/>
    <n v="1"/>
    <n v="0"/>
    <n v="0"/>
    <n v="0"/>
    <n v="0"/>
    <n v="0"/>
    <x v="2"/>
    <s v="Married"/>
    <n v="0"/>
    <n v="1"/>
    <n v="6323"/>
    <n v="26849"/>
    <n v="1"/>
    <s v="No"/>
    <n v="0"/>
    <n v="11"/>
    <n v="3"/>
    <n v="1"/>
    <n v="1"/>
    <n v="10"/>
    <n v="2"/>
    <n v="4"/>
    <n v="10"/>
    <n v="9"/>
    <n v="9"/>
    <n v="4"/>
  </r>
  <r>
    <n v="40"/>
    <x v="1"/>
    <n v="0"/>
    <s v="Travel_Rarely"/>
    <n v="0"/>
    <n v="1"/>
    <n v="444"/>
    <s v="Sales"/>
    <n v="0"/>
    <n v="1"/>
    <n v="2"/>
    <n v="2"/>
    <s v="Marketing"/>
    <n v="0"/>
    <n v="0"/>
    <n v="0"/>
    <n v="1"/>
    <n v="0"/>
    <n v="2"/>
    <x v="0"/>
    <n v="1"/>
    <n v="92"/>
    <n v="3"/>
    <n v="2"/>
    <s v="Sales Executive"/>
    <n v="0"/>
    <n v="1"/>
    <n v="0"/>
    <n v="0"/>
    <n v="0"/>
    <n v="0"/>
    <n v="0"/>
    <n v="0"/>
    <x v="1"/>
    <s v="Married"/>
    <n v="0"/>
    <n v="1"/>
    <n v="5677"/>
    <n v="4258"/>
    <n v="3"/>
    <s v="No"/>
    <n v="0"/>
    <n v="14"/>
    <n v="3"/>
    <n v="3"/>
    <n v="1"/>
    <n v="15"/>
    <n v="4"/>
    <n v="3"/>
    <n v="11"/>
    <n v="8"/>
    <n v="5"/>
    <n v="10"/>
  </r>
  <r>
    <n v="25"/>
    <x v="1"/>
    <n v="0"/>
    <s v="Travel_Rarely"/>
    <n v="0"/>
    <n v="1"/>
    <n v="309"/>
    <s v="Human Resources"/>
    <n v="0"/>
    <n v="0"/>
    <n v="2"/>
    <n v="3"/>
    <s v="Human Resources"/>
    <n v="0"/>
    <n v="0"/>
    <n v="0"/>
    <n v="0"/>
    <n v="0"/>
    <n v="3"/>
    <x v="0"/>
    <n v="1"/>
    <n v="82"/>
    <n v="3"/>
    <n v="1"/>
    <s v="Human Resources"/>
    <n v="0"/>
    <n v="0"/>
    <n v="0"/>
    <n v="0"/>
    <n v="0"/>
    <n v="0"/>
    <n v="0"/>
    <n v="0"/>
    <x v="1"/>
    <s v="Married"/>
    <n v="0"/>
    <n v="1"/>
    <n v="2187"/>
    <n v="19655"/>
    <n v="4"/>
    <s v="No"/>
    <n v="0"/>
    <n v="14"/>
    <n v="3"/>
    <n v="3"/>
    <n v="0"/>
    <n v="6"/>
    <n v="3"/>
    <n v="3"/>
    <n v="2"/>
    <n v="0"/>
    <n v="1"/>
    <n v="2"/>
  </r>
  <r>
    <n v="30"/>
    <x v="1"/>
    <n v="0"/>
    <s v="Travel_Rarely"/>
    <n v="0"/>
    <n v="1"/>
    <n v="911"/>
    <s v="Research &amp; Development"/>
    <n v="1"/>
    <n v="0"/>
    <n v="1"/>
    <n v="2"/>
    <s v="Medical"/>
    <n v="0"/>
    <n v="0"/>
    <n v="1"/>
    <n v="0"/>
    <n v="0"/>
    <n v="4"/>
    <x v="1"/>
    <n v="0"/>
    <n v="76"/>
    <n v="3"/>
    <n v="1"/>
    <s v="Laboratory Technician"/>
    <n v="0"/>
    <n v="0"/>
    <n v="1"/>
    <n v="0"/>
    <n v="0"/>
    <n v="0"/>
    <n v="0"/>
    <n v="0"/>
    <x v="1"/>
    <s v="Married"/>
    <n v="0"/>
    <n v="1"/>
    <n v="3748"/>
    <n v="4077"/>
    <n v="1"/>
    <s v="No"/>
    <n v="0"/>
    <n v="13"/>
    <n v="3"/>
    <n v="3"/>
    <n v="0"/>
    <n v="12"/>
    <n v="6"/>
    <n v="2"/>
    <n v="12"/>
    <n v="8"/>
    <n v="1"/>
    <n v="7"/>
  </r>
  <r>
    <n v="25"/>
    <x v="1"/>
    <n v="0"/>
    <s v="Travel_Rarely"/>
    <n v="0"/>
    <n v="1"/>
    <n v="977"/>
    <s v="Research &amp; Development"/>
    <n v="1"/>
    <n v="0"/>
    <n v="2"/>
    <n v="1"/>
    <s v="Other"/>
    <n v="0"/>
    <n v="1"/>
    <n v="0"/>
    <n v="0"/>
    <n v="0"/>
    <n v="4"/>
    <x v="1"/>
    <n v="0"/>
    <n v="57"/>
    <n v="3"/>
    <n v="1"/>
    <s v="Laboratory Technician"/>
    <n v="0"/>
    <n v="0"/>
    <n v="1"/>
    <n v="0"/>
    <n v="0"/>
    <n v="0"/>
    <n v="0"/>
    <n v="0"/>
    <x v="2"/>
    <s v="Divorced"/>
    <n v="0"/>
    <n v="0"/>
    <n v="3977"/>
    <n v="7298"/>
    <n v="6"/>
    <s v="Yes"/>
    <n v="1"/>
    <n v="19"/>
    <n v="3"/>
    <n v="3"/>
    <n v="1"/>
    <n v="7"/>
    <n v="2"/>
    <n v="2"/>
    <n v="2"/>
    <n v="2"/>
    <n v="0"/>
    <n v="2"/>
  </r>
  <r>
    <n v="47"/>
    <x v="1"/>
    <n v="0"/>
    <s v="Travel_Rarely"/>
    <n v="0"/>
    <n v="1"/>
    <n v="1180"/>
    <s v="Research &amp; Development"/>
    <n v="1"/>
    <n v="0"/>
    <n v="25"/>
    <n v="3"/>
    <s v="Medical"/>
    <n v="0"/>
    <n v="0"/>
    <n v="1"/>
    <n v="0"/>
    <n v="0"/>
    <n v="1"/>
    <x v="1"/>
    <n v="0"/>
    <n v="84"/>
    <n v="3"/>
    <n v="3"/>
    <s v="Healthcare Representative"/>
    <n v="1"/>
    <n v="0"/>
    <n v="0"/>
    <n v="0"/>
    <n v="0"/>
    <n v="0"/>
    <n v="0"/>
    <n v="0"/>
    <x v="2"/>
    <s v="Single"/>
    <n v="1"/>
    <n v="0"/>
    <n v="8633"/>
    <n v="13084"/>
    <n v="2"/>
    <s v="No"/>
    <n v="0"/>
    <n v="23"/>
    <n v="4"/>
    <n v="2"/>
    <n v="0"/>
    <n v="25"/>
    <n v="3"/>
    <n v="3"/>
    <n v="17"/>
    <n v="14"/>
    <n v="12"/>
    <n v="11"/>
  </r>
  <r>
    <n v="33"/>
    <x v="1"/>
    <n v="0"/>
    <s v="Non-Travel"/>
    <n v="0"/>
    <n v="0"/>
    <n v="1313"/>
    <s v="Research &amp; Development"/>
    <n v="1"/>
    <n v="0"/>
    <n v="1"/>
    <n v="2"/>
    <s v="Medical"/>
    <n v="0"/>
    <n v="0"/>
    <n v="1"/>
    <n v="0"/>
    <n v="0"/>
    <n v="2"/>
    <x v="1"/>
    <n v="0"/>
    <n v="59"/>
    <n v="2"/>
    <n v="1"/>
    <s v="Laboratory Technician"/>
    <n v="0"/>
    <n v="0"/>
    <n v="1"/>
    <n v="0"/>
    <n v="0"/>
    <n v="0"/>
    <n v="0"/>
    <n v="0"/>
    <x v="2"/>
    <s v="Divorced"/>
    <n v="0"/>
    <n v="0"/>
    <n v="2008"/>
    <n v="20439"/>
    <n v="1"/>
    <s v="No"/>
    <n v="0"/>
    <n v="12"/>
    <n v="3"/>
    <n v="3"/>
    <n v="3"/>
    <n v="1"/>
    <n v="2"/>
    <n v="2"/>
    <n v="1"/>
    <n v="1"/>
    <n v="0"/>
    <n v="0"/>
  </r>
  <r>
    <n v="38"/>
    <x v="1"/>
    <n v="0"/>
    <s v="Travel_Rarely"/>
    <n v="0"/>
    <n v="1"/>
    <n v="1321"/>
    <s v="Sales"/>
    <n v="0"/>
    <n v="1"/>
    <n v="1"/>
    <n v="4"/>
    <s v="Life Sciences"/>
    <n v="1"/>
    <n v="0"/>
    <n v="0"/>
    <n v="0"/>
    <n v="0"/>
    <n v="4"/>
    <x v="1"/>
    <n v="0"/>
    <n v="86"/>
    <n v="3"/>
    <n v="2"/>
    <s v="Sales Executive"/>
    <n v="0"/>
    <n v="1"/>
    <n v="0"/>
    <n v="0"/>
    <n v="0"/>
    <n v="0"/>
    <n v="0"/>
    <n v="0"/>
    <x v="1"/>
    <s v="Married"/>
    <n v="0"/>
    <n v="1"/>
    <n v="4440"/>
    <n v="7636"/>
    <n v="0"/>
    <s v="No"/>
    <n v="0"/>
    <n v="15"/>
    <n v="3"/>
    <n v="1"/>
    <n v="2"/>
    <n v="16"/>
    <n v="3"/>
    <n v="3"/>
    <n v="15"/>
    <n v="13"/>
    <n v="5"/>
    <n v="8"/>
  </r>
  <r>
    <n v="31"/>
    <x v="1"/>
    <n v="0"/>
    <s v="Travel_Rarely"/>
    <n v="0"/>
    <n v="1"/>
    <n v="1154"/>
    <s v="Sales"/>
    <n v="0"/>
    <n v="1"/>
    <n v="2"/>
    <n v="2"/>
    <s v="Life Sciences"/>
    <n v="1"/>
    <n v="0"/>
    <n v="0"/>
    <n v="0"/>
    <n v="0"/>
    <n v="1"/>
    <x v="1"/>
    <n v="0"/>
    <n v="54"/>
    <n v="3"/>
    <n v="1"/>
    <s v="Sales Representative"/>
    <n v="0"/>
    <n v="0"/>
    <n v="0"/>
    <n v="0"/>
    <n v="0"/>
    <n v="0"/>
    <n v="1"/>
    <n v="0"/>
    <x v="2"/>
    <s v="Married"/>
    <n v="0"/>
    <n v="1"/>
    <n v="3067"/>
    <n v="6393"/>
    <n v="0"/>
    <s v="No"/>
    <n v="0"/>
    <n v="19"/>
    <n v="3"/>
    <n v="3"/>
    <n v="1"/>
    <n v="3"/>
    <n v="1"/>
    <n v="3"/>
    <n v="2"/>
    <n v="2"/>
    <n v="1"/>
    <n v="2"/>
  </r>
  <r>
    <n v="38"/>
    <x v="1"/>
    <n v="0"/>
    <s v="Travel_Frequently"/>
    <n v="1"/>
    <n v="0"/>
    <n v="508"/>
    <s v="Research &amp; Development"/>
    <n v="1"/>
    <n v="0"/>
    <n v="6"/>
    <n v="4"/>
    <s v="Life Sciences"/>
    <n v="1"/>
    <n v="0"/>
    <n v="0"/>
    <n v="0"/>
    <n v="0"/>
    <n v="1"/>
    <x v="1"/>
    <n v="0"/>
    <n v="72"/>
    <n v="2"/>
    <n v="2"/>
    <s v="Manufacturing Director"/>
    <n v="0"/>
    <n v="0"/>
    <n v="0"/>
    <n v="0"/>
    <n v="1"/>
    <n v="1"/>
    <n v="0"/>
    <n v="0"/>
    <x v="2"/>
    <s v="Married"/>
    <n v="0"/>
    <n v="1"/>
    <n v="5321"/>
    <n v="14284"/>
    <n v="2"/>
    <s v="No"/>
    <n v="0"/>
    <n v="11"/>
    <n v="3"/>
    <n v="4"/>
    <n v="1"/>
    <n v="10"/>
    <n v="1"/>
    <n v="3"/>
    <n v="8"/>
    <n v="3"/>
    <n v="7"/>
    <n v="7"/>
  </r>
  <r>
    <n v="42"/>
    <x v="1"/>
    <n v="0"/>
    <s v="Travel_Rarely"/>
    <n v="0"/>
    <n v="1"/>
    <n v="557"/>
    <s v="Research &amp; Development"/>
    <n v="1"/>
    <n v="0"/>
    <n v="18"/>
    <n v="4"/>
    <s v="Life Sciences"/>
    <n v="1"/>
    <n v="0"/>
    <n v="0"/>
    <n v="0"/>
    <n v="0"/>
    <n v="4"/>
    <x v="1"/>
    <n v="0"/>
    <n v="35"/>
    <n v="3"/>
    <n v="2"/>
    <s v="Research Scientist"/>
    <n v="0"/>
    <n v="0"/>
    <n v="0"/>
    <n v="0"/>
    <n v="0"/>
    <n v="0"/>
    <n v="0"/>
    <n v="1"/>
    <x v="3"/>
    <s v="Divorced"/>
    <n v="0"/>
    <n v="0"/>
    <n v="5410"/>
    <n v="11189"/>
    <n v="6"/>
    <s v="Yes"/>
    <n v="1"/>
    <n v="17"/>
    <n v="3"/>
    <n v="3"/>
    <n v="1"/>
    <n v="9"/>
    <n v="3"/>
    <n v="2"/>
    <n v="4"/>
    <n v="3"/>
    <n v="1"/>
    <n v="2"/>
  </r>
  <r>
    <n v="41"/>
    <x v="1"/>
    <n v="0"/>
    <s v="Travel_Rarely"/>
    <n v="0"/>
    <n v="1"/>
    <n v="642"/>
    <s v="Research &amp; Development"/>
    <n v="1"/>
    <n v="0"/>
    <n v="1"/>
    <n v="3"/>
    <s v="Life Sciences"/>
    <n v="1"/>
    <n v="0"/>
    <n v="0"/>
    <n v="0"/>
    <n v="0"/>
    <n v="4"/>
    <x v="1"/>
    <n v="0"/>
    <n v="76"/>
    <n v="3"/>
    <n v="1"/>
    <s v="Research Scientist"/>
    <n v="0"/>
    <n v="0"/>
    <n v="0"/>
    <n v="0"/>
    <n v="0"/>
    <n v="0"/>
    <n v="0"/>
    <n v="1"/>
    <x v="0"/>
    <s v="Married"/>
    <n v="0"/>
    <n v="1"/>
    <n v="2782"/>
    <n v="21412"/>
    <n v="3"/>
    <s v="No"/>
    <n v="0"/>
    <n v="22"/>
    <n v="4"/>
    <n v="1"/>
    <n v="1"/>
    <n v="12"/>
    <n v="3"/>
    <n v="3"/>
    <n v="5"/>
    <n v="3"/>
    <n v="1"/>
    <n v="0"/>
  </r>
  <r>
    <n v="47"/>
    <x v="1"/>
    <n v="0"/>
    <s v="Non-Travel"/>
    <n v="0"/>
    <n v="0"/>
    <n v="1162"/>
    <s v="Research &amp; Development"/>
    <n v="1"/>
    <n v="0"/>
    <n v="1"/>
    <n v="1"/>
    <s v="Medical"/>
    <n v="0"/>
    <n v="0"/>
    <n v="1"/>
    <n v="0"/>
    <n v="0"/>
    <n v="3"/>
    <x v="0"/>
    <n v="1"/>
    <n v="98"/>
    <n v="3"/>
    <n v="3"/>
    <s v="Research Director"/>
    <n v="0"/>
    <n v="0"/>
    <n v="0"/>
    <n v="0"/>
    <n v="0"/>
    <n v="0"/>
    <n v="0"/>
    <n v="0"/>
    <x v="1"/>
    <s v="Married"/>
    <n v="0"/>
    <n v="1"/>
    <n v="11957"/>
    <n v="17231"/>
    <n v="0"/>
    <s v="No"/>
    <n v="0"/>
    <n v="18"/>
    <n v="3"/>
    <n v="1"/>
    <n v="2"/>
    <n v="14"/>
    <n v="3"/>
    <n v="1"/>
    <n v="13"/>
    <n v="8"/>
    <n v="5"/>
    <n v="12"/>
  </r>
  <r>
    <n v="35"/>
    <x v="1"/>
    <n v="0"/>
    <s v="Travel_Rarely"/>
    <n v="0"/>
    <n v="1"/>
    <n v="1490"/>
    <s v="Research &amp; Development"/>
    <n v="1"/>
    <n v="0"/>
    <n v="11"/>
    <n v="4"/>
    <s v="Medical"/>
    <n v="0"/>
    <n v="0"/>
    <n v="1"/>
    <n v="0"/>
    <n v="0"/>
    <n v="4"/>
    <x v="1"/>
    <n v="0"/>
    <n v="43"/>
    <n v="3"/>
    <n v="1"/>
    <s v="Laboratory Technician"/>
    <n v="0"/>
    <n v="0"/>
    <n v="1"/>
    <n v="0"/>
    <n v="0"/>
    <n v="0"/>
    <n v="0"/>
    <n v="0"/>
    <x v="2"/>
    <s v="Married"/>
    <n v="0"/>
    <n v="1"/>
    <n v="2660"/>
    <n v="20232"/>
    <n v="7"/>
    <s v="Yes"/>
    <n v="1"/>
    <n v="11"/>
    <n v="3"/>
    <n v="3"/>
    <n v="1"/>
    <n v="5"/>
    <n v="3"/>
    <n v="3"/>
    <n v="2"/>
    <n v="2"/>
    <n v="2"/>
    <n v="2"/>
  </r>
  <r>
    <n v="22"/>
    <x v="1"/>
    <n v="0"/>
    <s v="Travel_Rarely"/>
    <n v="0"/>
    <n v="1"/>
    <n v="581"/>
    <s v="Research &amp; Development"/>
    <n v="1"/>
    <n v="0"/>
    <n v="1"/>
    <n v="2"/>
    <s v="Life Sciences"/>
    <n v="1"/>
    <n v="0"/>
    <n v="0"/>
    <n v="0"/>
    <n v="0"/>
    <n v="4"/>
    <x v="1"/>
    <n v="0"/>
    <n v="63"/>
    <n v="3"/>
    <n v="1"/>
    <s v="Research Scientist"/>
    <n v="0"/>
    <n v="0"/>
    <n v="0"/>
    <n v="0"/>
    <n v="0"/>
    <n v="0"/>
    <n v="0"/>
    <n v="1"/>
    <x v="2"/>
    <s v="Single"/>
    <n v="1"/>
    <n v="0"/>
    <n v="3375"/>
    <n v="17624"/>
    <n v="0"/>
    <s v="No"/>
    <n v="0"/>
    <n v="12"/>
    <n v="3"/>
    <n v="4"/>
    <n v="0"/>
    <n v="4"/>
    <n v="2"/>
    <n v="4"/>
    <n v="3"/>
    <n v="2"/>
    <n v="1"/>
    <n v="2"/>
  </r>
  <r>
    <n v="35"/>
    <x v="1"/>
    <n v="0"/>
    <s v="Travel_Rarely"/>
    <n v="0"/>
    <n v="1"/>
    <n v="1395"/>
    <s v="Research &amp; Development"/>
    <n v="1"/>
    <n v="0"/>
    <n v="9"/>
    <n v="4"/>
    <s v="Medical"/>
    <n v="0"/>
    <n v="0"/>
    <n v="1"/>
    <n v="0"/>
    <n v="0"/>
    <n v="2"/>
    <x v="1"/>
    <n v="0"/>
    <n v="48"/>
    <n v="3"/>
    <n v="2"/>
    <s v="Research Scientist"/>
    <n v="0"/>
    <n v="0"/>
    <n v="0"/>
    <n v="0"/>
    <n v="0"/>
    <n v="0"/>
    <n v="0"/>
    <n v="1"/>
    <x v="2"/>
    <s v="Single"/>
    <n v="1"/>
    <n v="0"/>
    <n v="5098"/>
    <n v="18698"/>
    <n v="1"/>
    <s v="No"/>
    <n v="0"/>
    <n v="19"/>
    <n v="3"/>
    <n v="2"/>
    <n v="0"/>
    <n v="10"/>
    <n v="5"/>
    <n v="3"/>
    <n v="10"/>
    <n v="7"/>
    <n v="0"/>
    <n v="8"/>
  </r>
  <r>
    <n v="33"/>
    <x v="1"/>
    <n v="0"/>
    <s v="Travel_Rarely"/>
    <n v="0"/>
    <n v="1"/>
    <n v="501"/>
    <s v="Research &amp; Development"/>
    <n v="1"/>
    <n v="0"/>
    <n v="15"/>
    <n v="2"/>
    <s v="Medical"/>
    <n v="0"/>
    <n v="0"/>
    <n v="1"/>
    <n v="0"/>
    <n v="0"/>
    <n v="2"/>
    <x v="0"/>
    <n v="1"/>
    <n v="95"/>
    <n v="3"/>
    <n v="2"/>
    <s v="Healthcare Representative"/>
    <n v="1"/>
    <n v="0"/>
    <n v="0"/>
    <n v="0"/>
    <n v="0"/>
    <n v="0"/>
    <n v="0"/>
    <n v="0"/>
    <x v="0"/>
    <s v="Married"/>
    <n v="0"/>
    <n v="1"/>
    <n v="4878"/>
    <n v="21653"/>
    <n v="0"/>
    <s v="Yes"/>
    <n v="1"/>
    <n v="13"/>
    <n v="3"/>
    <n v="1"/>
    <n v="1"/>
    <n v="10"/>
    <n v="6"/>
    <n v="3"/>
    <n v="9"/>
    <n v="7"/>
    <n v="8"/>
    <n v="1"/>
  </r>
  <r>
    <n v="32"/>
    <x v="1"/>
    <n v="0"/>
    <s v="Travel_Rarely"/>
    <n v="0"/>
    <n v="1"/>
    <n v="267"/>
    <s v="Research &amp; Development"/>
    <n v="1"/>
    <n v="0"/>
    <n v="29"/>
    <n v="4"/>
    <s v="Life Sciences"/>
    <n v="1"/>
    <n v="0"/>
    <n v="0"/>
    <n v="0"/>
    <n v="0"/>
    <n v="3"/>
    <x v="0"/>
    <n v="1"/>
    <n v="49"/>
    <n v="2"/>
    <n v="1"/>
    <s v="Laboratory Technician"/>
    <n v="0"/>
    <n v="0"/>
    <n v="1"/>
    <n v="0"/>
    <n v="0"/>
    <n v="0"/>
    <n v="0"/>
    <n v="0"/>
    <x v="1"/>
    <s v="Single"/>
    <n v="1"/>
    <n v="0"/>
    <n v="2837"/>
    <n v="15919"/>
    <n v="1"/>
    <s v="No"/>
    <n v="0"/>
    <n v="13"/>
    <n v="3"/>
    <n v="3"/>
    <n v="0"/>
    <n v="6"/>
    <n v="3"/>
    <n v="3"/>
    <n v="6"/>
    <n v="2"/>
    <n v="4"/>
    <n v="1"/>
  </r>
  <r>
    <n v="40"/>
    <x v="1"/>
    <n v="0"/>
    <s v="Travel_Rarely"/>
    <n v="0"/>
    <n v="1"/>
    <n v="543"/>
    <s v="Research &amp; Development"/>
    <n v="1"/>
    <n v="0"/>
    <n v="1"/>
    <n v="4"/>
    <s v="Life Sciences"/>
    <n v="1"/>
    <n v="0"/>
    <n v="0"/>
    <n v="0"/>
    <n v="0"/>
    <n v="1"/>
    <x v="1"/>
    <n v="0"/>
    <n v="83"/>
    <n v="3"/>
    <n v="1"/>
    <s v="Laboratory Technician"/>
    <n v="0"/>
    <n v="0"/>
    <n v="1"/>
    <n v="0"/>
    <n v="0"/>
    <n v="0"/>
    <n v="0"/>
    <n v="0"/>
    <x v="0"/>
    <s v="Married"/>
    <n v="0"/>
    <n v="1"/>
    <n v="2406"/>
    <n v="4060"/>
    <n v="8"/>
    <s v="No"/>
    <n v="0"/>
    <n v="19"/>
    <n v="3"/>
    <n v="3"/>
    <n v="2"/>
    <n v="8"/>
    <n v="3"/>
    <n v="2"/>
    <n v="1"/>
    <n v="0"/>
    <n v="0"/>
    <n v="0"/>
  </r>
  <r>
    <n v="32"/>
    <x v="1"/>
    <n v="0"/>
    <s v="Travel_Rarely"/>
    <n v="0"/>
    <n v="1"/>
    <n v="234"/>
    <s v="Sales"/>
    <n v="0"/>
    <n v="1"/>
    <n v="1"/>
    <n v="4"/>
    <s v="Medical"/>
    <n v="0"/>
    <n v="0"/>
    <n v="1"/>
    <n v="0"/>
    <n v="0"/>
    <n v="2"/>
    <x v="1"/>
    <n v="0"/>
    <n v="68"/>
    <n v="2"/>
    <n v="1"/>
    <s v="Sales Representative"/>
    <n v="0"/>
    <n v="0"/>
    <n v="0"/>
    <n v="0"/>
    <n v="0"/>
    <n v="0"/>
    <n v="1"/>
    <n v="0"/>
    <x v="1"/>
    <s v="Married"/>
    <n v="0"/>
    <n v="1"/>
    <n v="2269"/>
    <n v="18024"/>
    <n v="0"/>
    <s v="No"/>
    <n v="0"/>
    <n v="14"/>
    <n v="3"/>
    <n v="2"/>
    <n v="1"/>
    <n v="3"/>
    <n v="2"/>
    <n v="3"/>
    <n v="2"/>
    <n v="2"/>
    <n v="2"/>
    <n v="2"/>
  </r>
  <r>
    <n v="39"/>
    <x v="1"/>
    <n v="0"/>
    <s v="Travel_Rarely"/>
    <n v="0"/>
    <n v="1"/>
    <n v="116"/>
    <s v="Research &amp; Development"/>
    <n v="1"/>
    <n v="0"/>
    <n v="24"/>
    <n v="1"/>
    <s v="Life Sciences"/>
    <n v="1"/>
    <n v="0"/>
    <n v="0"/>
    <n v="0"/>
    <n v="0"/>
    <n v="1"/>
    <x v="1"/>
    <n v="0"/>
    <n v="52"/>
    <n v="3"/>
    <n v="2"/>
    <s v="Research Scientist"/>
    <n v="0"/>
    <n v="0"/>
    <n v="0"/>
    <n v="0"/>
    <n v="0"/>
    <n v="0"/>
    <n v="0"/>
    <n v="1"/>
    <x v="0"/>
    <s v="Single"/>
    <n v="1"/>
    <n v="0"/>
    <n v="4108"/>
    <n v="5340"/>
    <n v="7"/>
    <s v="No"/>
    <n v="0"/>
    <n v="13"/>
    <n v="3"/>
    <n v="1"/>
    <n v="0"/>
    <n v="18"/>
    <n v="2"/>
    <n v="3"/>
    <n v="7"/>
    <n v="7"/>
    <n v="1"/>
    <n v="7"/>
  </r>
  <r>
    <n v="38"/>
    <x v="1"/>
    <n v="0"/>
    <s v="Travel_Rarely"/>
    <n v="0"/>
    <n v="1"/>
    <n v="201"/>
    <s v="Research &amp; Development"/>
    <n v="1"/>
    <n v="0"/>
    <n v="10"/>
    <n v="3"/>
    <s v="Medical"/>
    <n v="0"/>
    <n v="0"/>
    <n v="1"/>
    <n v="0"/>
    <n v="0"/>
    <n v="2"/>
    <x v="0"/>
    <n v="1"/>
    <n v="99"/>
    <n v="1"/>
    <n v="3"/>
    <s v="Research Director"/>
    <n v="0"/>
    <n v="0"/>
    <n v="0"/>
    <n v="0"/>
    <n v="0"/>
    <n v="0"/>
    <n v="0"/>
    <n v="0"/>
    <x v="2"/>
    <s v="Married"/>
    <n v="0"/>
    <n v="1"/>
    <n v="13206"/>
    <n v="3376"/>
    <n v="3"/>
    <s v="No"/>
    <n v="0"/>
    <n v="12"/>
    <n v="3"/>
    <n v="1"/>
    <n v="1"/>
    <n v="20"/>
    <n v="3"/>
    <n v="3"/>
    <n v="18"/>
    <n v="16"/>
    <n v="1"/>
    <n v="11"/>
  </r>
  <r>
    <n v="32"/>
    <x v="1"/>
    <n v="0"/>
    <s v="Travel_Rarely"/>
    <n v="0"/>
    <n v="1"/>
    <n v="801"/>
    <s v="Sales"/>
    <n v="0"/>
    <n v="1"/>
    <n v="1"/>
    <n v="4"/>
    <s v="Marketing"/>
    <n v="0"/>
    <n v="0"/>
    <n v="0"/>
    <n v="1"/>
    <n v="0"/>
    <n v="3"/>
    <x v="0"/>
    <n v="1"/>
    <n v="48"/>
    <n v="3"/>
    <n v="3"/>
    <s v="Sales Executive"/>
    <n v="0"/>
    <n v="1"/>
    <n v="0"/>
    <n v="0"/>
    <n v="0"/>
    <n v="0"/>
    <n v="0"/>
    <n v="0"/>
    <x v="0"/>
    <s v="Married"/>
    <n v="0"/>
    <n v="1"/>
    <n v="10422"/>
    <n v="24032"/>
    <n v="1"/>
    <s v="No"/>
    <n v="0"/>
    <n v="19"/>
    <n v="3"/>
    <n v="3"/>
    <n v="2"/>
    <n v="14"/>
    <n v="3"/>
    <n v="3"/>
    <n v="14"/>
    <n v="10"/>
    <n v="5"/>
    <n v="7"/>
  </r>
  <r>
    <n v="37"/>
    <x v="1"/>
    <n v="0"/>
    <s v="Travel_Rarely"/>
    <n v="0"/>
    <n v="1"/>
    <n v="161"/>
    <s v="Research &amp; Development"/>
    <n v="1"/>
    <n v="0"/>
    <n v="10"/>
    <n v="3"/>
    <s v="Life Sciences"/>
    <n v="1"/>
    <n v="0"/>
    <n v="0"/>
    <n v="0"/>
    <n v="0"/>
    <n v="3"/>
    <x v="0"/>
    <n v="1"/>
    <n v="42"/>
    <n v="4"/>
    <n v="3"/>
    <s v="Research Director"/>
    <n v="0"/>
    <n v="0"/>
    <n v="0"/>
    <n v="0"/>
    <n v="0"/>
    <n v="0"/>
    <n v="0"/>
    <n v="0"/>
    <x v="0"/>
    <s v="Married"/>
    <n v="0"/>
    <n v="1"/>
    <n v="13744"/>
    <n v="15471"/>
    <n v="1"/>
    <s v="Yes"/>
    <n v="1"/>
    <n v="25"/>
    <n v="4"/>
    <n v="1"/>
    <n v="1"/>
    <n v="16"/>
    <n v="2"/>
    <n v="3"/>
    <n v="16"/>
    <n v="11"/>
    <n v="6"/>
    <n v="8"/>
  </r>
  <r>
    <n v="25"/>
    <x v="1"/>
    <n v="0"/>
    <s v="Travel_Rarely"/>
    <n v="0"/>
    <n v="1"/>
    <n v="1382"/>
    <s v="Sales"/>
    <n v="0"/>
    <n v="1"/>
    <n v="8"/>
    <n v="2"/>
    <s v="Other"/>
    <n v="0"/>
    <n v="1"/>
    <n v="0"/>
    <n v="0"/>
    <n v="0"/>
    <n v="1"/>
    <x v="0"/>
    <n v="1"/>
    <n v="85"/>
    <n v="3"/>
    <n v="2"/>
    <s v="Sales Executive"/>
    <n v="0"/>
    <n v="1"/>
    <n v="0"/>
    <n v="0"/>
    <n v="0"/>
    <n v="0"/>
    <n v="0"/>
    <n v="0"/>
    <x v="2"/>
    <s v="Divorced"/>
    <n v="0"/>
    <n v="0"/>
    <n v="4907"/>
    <n v="13684"/>
    <n v="0"/>
    <s v="Yes"/>
    <n v="1"/>
    <n v="22"/>
    <n v="4"/>
    <n v="2"/>
    <n v="1"/>
    <n v="6"/>
    <n v="3"/>
    <n v="2"/>
    <n v="5"/>
    <n v="3"/>
    <n v="0"/>
    <n v="4"/>
  </r>
  <r>
    <n v="52"/>
    <x v="1"/>
    <n v="0"/>
    <s v="Non-Travel"/>
    <n v="0"/>
    <n v="0"/>
    <n v="585"/>
    <s v="Sales"/>
    <n v="0"/>
    <n v="1"/>
    <n v="29"/>
    <n v="4"/>
    <s v="Life Sciences"/>
    <n v="1"/>
    <n v="0"/>
    <n v="0"/>
    <n v="0"/>
    <n v="0"/>
    <n v="1"/>
    <x v="1"/>
    <n v="0"/>
    <n v="40"/>
    <n v="3"/>
    <n v="1"/>
    <s v="Sales Representative"/>
    <n v="0"/>
    <n v="0"/>
    <n v="0"/>
    <n v="0"/>
    <n v="0"/>
    <n v="0"/>
    <n v="1"/>
    <n v="0"/>
    <x v="0"/>
    <s v="Divorced"/>
    <n v="0"/>
    <n v="0"/>
    <n v="3482"/>
    <n v="19788"/>
    <n v="2"/>
    <s v="No"/>
    <n v="0"/>
    <n v="15"/>
    <n v="3"/>
    <n v="2"/>
    <n v="2"/>
    <n v="16"/>
    <n v="3"/>
    <n v="2"/>
    <n v="9"/>
    <n v="8"/>
    <n v="0"/>
    <n v="0"/>
  </r>
  <r>
    <n v="44"/>
    <x v="1"/>
    <n v="0"/>
    <s v="Travel_Rarely"/>
    <n v="0"/>
    <n v="1"/>
    <n v="1037"/>
    <s v="Research &amp; Development"/>
    <n v="1"/>
    <n v="0"/>
    <n v="1"/>
    <n v="3"/>
    <s v="Medical"/>
    <n v="0"/>
    <n v="0"/>
    <n v="1"/>
    <n v="0"/>
    <n v="0"/>
    <n v="2"/>
    <x v="1"/>
    <n v="0"/>
    <n v="42"/>
    <n v="3"/>
    <n v="1"/>
    <s v="Research Scientist"/>
    <n v="0"/>
    <n v="0"/>
    <n v="0"/>
    <n v="0"/>
    <n v="0"/>
    <n v="0"/>
    <n v="0"/>
    <n v="1"/>
    <x v="0"/>
    <s v="Single"/>
    <n v="1"/>
    <n v="0"/>
    <n v="2436"/>
    <n v="13422"/>
    <n v="6"/>
    <s v="Yes"/>
    <n v="1"/>
    <n v="12"/>
    <n v="3"/>
    <n v="3"/>
    <n v="0"/>
    <n v="6"/>
    <n v="2"/>
    <n v="3"/>
    <n v="4"/>
    <n v="3"/>
    <n v="1"/>
    <n v="2"/>
  </r>
  <r>
    <n v="21"/>
    <x v="1"/>
    <n v="0"/>
    <s v="Travel_Rarely"/>
    <n v="0"/>
    <n v="1"/>
    <n v="501"/>
    <s v="Sales"/>
    <n v="0"/>
    <n v="1"/>
    <n v="5"/>
    <n v="1"/>
    <s v="Medical"/>
    <n v="0"/>
    <n v="0"/>
    <n v="1"/>
    <n v="0"/>
    <n v="0"/>
    <n v="3"/>
    <x v="1"/>
    <n v="0"/>
    <n v="58"/>
    <n v="3"/>
    <n v="1"/>
    <s v="Sales Representative"/>
    <n v="0"/>
    <n v="0"/>
    <n v="0"/>
    <n v="0"/>
    <n v="0"/>
    <n v="0"/>
    <n v="1"/>
    <n v="0"/>
    <x v="3"/>
    <s v="Single"/>
    <n v="1"/>
    <n v="0"/>
    <n v="2380"/>
    <n v="25479"/>
    <n v="1"/>
    <s v="Yes"/>
    <n v="1"/>
    <n v="11"/>
    <n v="3"/>
    <n v="4"/>
    <n v="0"/>
    <n v="2"/>
    <n v="6"/>
    <n v="3"/>
    <n v="2"/>
    <n v="2"/>
    <n v="1"/>
    <n v="2"/>
  </r>
  <r>
    <n v="39"/>
    <x v="1"/>
    <n v="0"/>
    <s v="Non-Travel"/>
    <n v="0"/>
    <n v="0"/>
    <n v="105"/>
    <s v="Research &amp; Development"/>
    <n v="1"/>
    <n v="0"/>
    <n v="9"/>
    <n v="3"/>
    <s v="Life Sciences"/>
    <n v="1"/>
    <n v="0"/>
    <n v="0"/>
    <n v="0"/>
    <n v="0"/>
    <n v="4"/>
    <x v="1"/>
    <n v="0"/>
    <n v="87"/>
    <n v="3"/>
    <n v="5"/>
    <s v="Manager"/>
    <n v="0"/>
    <n v="0"/>
    <n v="0"/>
    <n v="1"/>
    <n v="0"/>
    <n v="0"/>
    <n v="0"/>
    <n v="0"/>
    <x v="0"/>
    <s v="Single"/>
    <n v="1"/>
    <n v="0"/>
    <n v="19431"/>
    <n v="15302"/>
    <n v="2"/>
    <s v="No"/>
    <n v="0"/>
    <n v="13"/>
    <n v="3"/>
    <n v="3"/>
    <n v="0"/>
    <n v="21"/>
    <n v="3"/>
    <n v="2"/>
    <n v="6"/>
    <n v="0"/>
    <n v="1"/>
    <n v="3"/>
  </r>
  <r>
    <n v="23"/>
    <x v="0"/>
    <n v="1"/>
    <s v="Travel_Frequently"/>
    <n v="1"/>
    <n v="0"/>
    <n v="638"/>
    <s v="Sales"/>
    <n v="0"/>
    <n v="1"/>
    <n v="9"/>
    <n v="3"/>
    <s v="Marketing"/>
    <n v="0"/>
    <n v="0"/>
    <n v="0"/>
    <n v="1"/>
    <n v="0"/>
    <n v="4"/>
    <x v="1"/>
    <n v="0"/>
    <n v="33"/>
    <n v="3"/>
    <n v="1"/>
    <s v="Sales Representative"/>
    <n v="0"/>
    <n v="0"/>
    <n v="0"/>
    <n v="0"/>
    <n v="0"/>
    <n v="0"/>
    <n v="1"/>
    <n v="0"/>
    <x v="3"/>
    <s v="Married"/>
    <n v="0"/>
    <n v="1"/>
    <n v="1790"/>
    <n v="26956"/>
    <n v="1"/>
    <s v="No"/>
    <n v="0"/>
    <n v="19"/>
    <n v="3"/>
    <n v="1"/>
    <n v="1"/>
    <n v="1"/>
    <n v="3"/>
    <n v="2"/>
    <n v="1"/>
    <n v="0"/>
    <n v="1"/>
    <n v="0"/>
  </r>
  <r>
    <n v="36"/>
    <x v="1"/>
    <n v="0"/>
    <s v="Travel_Rarely"/>
    <n v="0"/>
    <n v="1"/>
    <n v="557"/>
    <s v="Sales"/>
    <n v="0"/>
    <n v="1"/>
    <n v="3"/>
    <n v="3"/>
    <s v="Medical"/>
    <n v="0"/>
    <n v="0"/>
    <n v="1"/>
    <n v="0"/>
    <n v="0"/>
    <n v="1"/>
    <x v="0"/>
    <n v="1"/>
    <n v="94"/>
    <n v="2"/>
    <n v="3"/>
    <s v="Sales Executive"/>
    <n v="0"/>
    <n v="1"/>
    <n v="0"/>
    <n v="0"/>
    <n v="0"/>
    <n v="0"/>
    <n v="0"/>
    <n v="0"/>
    <x v="0"/>
    <s v="Married"/>
    <n v="0"/>
    <n v="1"/>
    <n v="7644"/>
    <n v="12695"/>
    <n v="0"/>
    <s v="No"/>
    <n v="0"/>
    <n v="19"/>
    <n v="3"/>
    <n v="3"/>
    <n v="2"/>
    <n v="10"/>
    <n v="2"/>
    <n v="3"/>
    <n v="9"/>
    <n v="7"/>
    <n v="3"/>
    <n v="4"/>
  </r>
  <r>
    <n v="36"/>
    <x v="1"/>
    <n v="0"/>
    <s v="Travel_Frequently"/>
    <n v="1"/>
    <n v="0"/>
    <n v="688"/>
    <s v="Research &amp; Development"/>
    <n v="1"/>
    <n v="0"/>
    <n v="4"/>
    <n v="2"/>
    <s v="Life Sciences"/>
    <n v="1"/>
    <n v="0"/>
    <n v="0"/>
    <n v="0"/>
    <n v="0"/>
    <n v="4"/>
    <x v="0"/>
    <n v="1"/>
    <n v="97"/>
    <n v="3"/>
    <n v="2"/>
    <s v="Manufacturing Director"/>
    <n v="0"/>
    <n v="0"/>
    <n v="0"/>
    <n v="0"/>
    <n v="1"/>
    <n v="1"/>
    <n v="0"/>
    <n v="0"/>
    <x v="1"/>
    <s v="Divorced"/>
    <n v="0"/>
    <n v="0"/>
    <n v="5131"/>
    <n v="9192"/>
    <n v="7"/>
    <s v="No"/>
    <n v="0"/>
    <n v="13"/>
    <n v="3"/>
    <n v="2"/>
    <n v="3"/>
    <n v="18"/>
    <n v="3"/>
    <n v="3"/>
    <n v="4"/>
    <n v="2"/>
    <n v="0"/>
    <n v="2"/>
  </r>
  <r>
    <n v="56"/>
    <x v="1"/>
    <n v="0"/>
    <s v="Non-Travel"/>
    <n v="0"/>
    <n v="0"/>
    <n v="667"/>
    <s v="Research &amp; Development"/>
    <n v="1"/>
    <n v="0"/>
    <n v="1"/>
    <n v="4"/>
    <s v="Life Sciences"/>
    <n v="1"/>
    <n v="0"/>
    <n v="0"/>
    <n v="0"/>
    <n v="0"/>
    <n v="3"/>
    <x v="1"/>
    <n v="0"/>
    <n v="57"/>
    <n v="3"/>
    <n v="2"/>
    <s v="Healthcare Representative"/>
    <n v="1"/>
    <n v="0"/>
    <n v="0"/>
    <n v="0"/>
    <n v="0"/>
    <n v="0"/>
    <n v="0"/>
    <n v="0"/>
    <x v="2"/>
    <s v="Divorced"/>
    <n v="0"/>
    <n v="0"/>
    <n v="6306"/>
    <n v="26236"/>
    <n v="1"/>
    <s v="No"/>
    <n v="0"/>
    <n v="21"/>
    <n v="4"/>
    <n v="1"/>
    <n v="1"/>
    <n v="13"/>
    <n v="2"/>
    <n v="2"/>
    <n v="13"/>
    <n v="12"/>
    <n v="1"/>
    <n v="9"/>
  </r>
  <r>
    <n v="29"/>
    <x v="0"/>
    <n v="1"/>
    <s v="Travel_Rarely"/>
    <n v="0"/>
    <n v="1"/>
    <n v="1092"/>
    <s v="Research &amp; Development"/>
    <n v="1"/>
    <n v="0"/>
    <n v="1"/>
    <n v="4"/>
    <s v="Medical"/>
    <n v="0"/>
    <n v="0"/>
    <n v="1"/>
    <n v="0"/>
    <n v="0"/>
    <n v="1"/>
    <x v="1"/>
    <n v="0"/>
    <n v="36"/>
    <n v="3"/>
    <n v="1"/>
    <s v="Research Scientist"/>
    <n v="0"/>
    <n v="0"/>
    <n v="0"/>
    <n v="0"/>
    <n v="0"/>
    <n v="0"/>
    <n v="0"/>
    <n v="1"/>
    <x v="0"/>
    <s v="Married"/>
    <n v="0"/>
    <n v="1"/>
    <n v="4787"/>
    <n v="26124"/>
    <n v="9"/>
    <s v="Yes"/>
    <n v="1"/>
    <n v="14"/>
    <n v="3"/>
    <n v="2"/>
    <n v="3"/>
    <n v="4"/>
    <n v="3"/>
    <n v="4"/>
    <n v="2"/>
    <n v="2"/>
    <n v="2"/>
    <n v="2"/>
  </r>
  <r>
    <n v="42"/>
    <x v="1"/>
    <n v="0"/>
    <s v="Travel_Rarely"/>
    <n v="0"/>
    <n v="1"/>
    <n v="300"/>
    <s v="Research &amp; Development"/>
    <n v="1"/>
    <n v="0"/>
    <n v="2"/>
    <n v="3"/>
    <s v="Life Sciences"/>
    <n v="1"/>
    <n v="0"/>
    <n v="0"/>
    <n v="0"/>
    <n v="0"/>
    <n v="1"/>
    <x v="1"/>
    <n v="0"/>
    <n v="56"/>
    <n v="3"/>
    <n v="5"/>
    <s v="Manager"/>
    <n v="0"/>
    <n v="0"/>
    <n v="0"/>
    <n v="1"/>
    <n v="0"/>
    <n v="0"/>
    <n v="0"/>
    <n v="0"/>
    <x v="2"/>
    <s v="Married"/>
    <n v="0"/>
    <n v="1"/>
    <n v="18880"/>
    <n v="17312"/>
    <n v="5"/>
    <s v="No"/>
    <n v="0"/>
    <n v="11"/>
    <n v="3"/>
    <n v="1"/>
    <n v="0"/>
    <n v="24"/>
    <n v="2"/>
    <n v="2"/>
    <n v="22"/>
    <n v="6"/>
    <n v="4"/>
    <n v="14"/>
  </r>
  <r>
    <n v="56"/>
    <x v="0"/>
    <n v="1"/>
    <s v="Travel_Rarely"/>
    <n v="0"/>
    <n v="1"/>
    <n v="310"/>
    <s v="Research &amp; Development"/>
    <n v="1"/>
    <n v="0"/>
    <n v="7"/>
    <n v="2"/>
    <s v="Technical Degree"/>
    <n v="0"/>
    <n v="0"/>
    <n v="0"/>
    <n v="0"/>
    <n v="1"/>
    <n v="4"/>
    <x v="1"/>
    <n v="0"/>
    <n v="72"/>
    <n v="3"/>
    <n v="1"/>
    <s v="Laboratory Technician"/>
    <n v="0"/>
    <n v="0"/>
    <n v="1"/>
    <n v="0"/>
    <n v="0"/>
    <n v="0"/>
    <n v="0"/>
    <n v="0"/>
    <x v="2"/>
    <s v="Married"/>
    <n v="0"/>
    <n v="1"/>
    <n v="2339"/>
    <n v="3666"/>
    <n v="8"/>
    <s v="No"/>
    <n v="0"/>
    <n v="11"/>
    <n v="3"/>
    <n v="4"/>
    <n v="1"/>
    <n v="14"/>
    <n v="4"/>
    <n v="1"/>
    <n v="10"/>
    <n v="9"/>
    <n v="9"/>
    <n v="8"/>
  </r>
  <r>
    <n v="41"/>
    <x v="1"/>
    <n v="0"/>
    <s v="Travel_Rarely"/>
    <n v="0"/>
    <n v="1"/>
    <n v="582"/>
    <s v="Research &amp; Development"/>
    <n v="1"/>
    <n v="0"/>
    <n v="28"/>
    <n v="4"/>
    <s v="Life Sciences"/>
    <n v="1"/>
    <n v="0"/>
    <n v="0"/>
    <n v="0"/>
    <n v="0"/>
    <n v="1"/>
    <x v="0"/>
    <n v="1"/>
    <n v="60"/>
    <n v="2"/>
    <n v="4"/>
    <s v="Manufacturing Director"/>
    <n v="0"/>
    <n v="0"/>
    <n v="0"/>
    <n v="0"/>
    <n v="1"/>
    <n v="1"/>
    <n v="0"/>
    <n v="0"/>
    <x v="1"/>
    <s v="Married"/>
    <n v="0"/>
    <n v="1"/>
    <n v="13570"/>
    <n v="5640"/>
    <n v="0"/>
    <s v="No"/>
    <n v="0"/>
    <n v="23"/>
    <n v="4"/>
    <n v="3"/>
    <n v="1"/>
    <n v="21"/>
    <n v="3"/>
    <n v="3"/>
    <n v="20"/>
    <n v="7"/>
    <n v="0"/>
    <n v="10"/>
  </r>
  <r>
    <n v="34"/>
    <x v="1"/>
    <n v="0"/>
    <s v="Travel_Rarely"/>
    <n v="0"/>
    <n v="1"/>
    <n v="704"/>
    <s v="Sales"/>
    <n v="0"/>
    <n v="1"/>
    <n v="28"/>
    <n v="3"/>
    <s v="Marketing"/>
    <n v="0"/>
    <n v="0"/>
    <n v="0"/>
    <n v="1"/>
    <n v="0"/>
    <n v="4"/>
    <x v="0"/>
    <n v="1"/>
    <n v="95"/>
    <n v="2"/>
    <n v="2"/>
    <s v="Sales Executive"/>
    <n v="0"/>
    <n v="1"/>
    <n v="0"/>
    <n v="0"/>
    <n v="0"/>
    <n v="0"/>
    <n v="0"/>
    <n v="0"/>
    <x v="2"/>
    <s v="Married"/>
    <n v="0"/>
    <n v="1"/>
    <n v="6712"/>
    <n v="8978"/>
    <n v="1"/>
    <s v="No"/>
    <n v="0"/>
    <n v="21"/>
    <n v="4"/>
    <n v="4"/>
    <n v="2"/>
    <n v="8"/>
    <n v="2"/>
    <n v="3"/>
    <n v="8"/>
    <n v="7"/>
    <n v="1"/>
    <n v="7"/>
  </r>
  <r>
    <n v="36"/>
    <x v="1"/>
    <n v="0"/>
    <s v="Non-Travel"/>
    <n v="0"/>
    <n v="0"/>
    <n v="301"/>
    <s v="Sales"/>
    <n v="0"/>
    <n v="1"/>
    <n v="15"/>
    <n v="4"/>
    <s v="Marketing"/>
    <n v="0"/>
    <n v="0"/>
    <n v="0"/>
    <n v="1"/>
    <n v="0"/>
    <n v="4"/>
    <x v="1"/>
    <n v="0"/>
    <n v="88"/>
    <n v="1"/>
    <n v="2"/>
    <s v="Sales Executive"/>
    <n v="0"/>
    <n v="1"/>
    <n v="0"/>
    <n v="0"/>
    <n v="0"/>
    <n v="0"/>
    <n v="0"/>
    <n v="0"/>
    <x v="0"/>
    <s v="Divorced"/>
    <n v="0"/>
    <n v="0"/>
    <n v="5406"/>
    <n v="10436"/>
    <n v="1"/>
    <s v="No"/>
    <n v="0"/>
    <n v="24"/>
    <n v="4"/>
    <n v="1"/>
    <n v="1"/>
    <n v="15"/>
    <n v="4"/>
    <n v="2"/>
    <n v="15"/>
    <n v="12"/>
    <n v="11"/>
    <n v="11"/>
  </r>
  <r>
    <n v="41"/>
    <x v="1"/>
    <n v="0"/>
    <s v="Travel_Rarely"/>
    <n v="0"/>
    <n v="1"/>
    <n v="930"/>
    <s v="Sales"/>
    <n v="0"/>
    <n v="1"/>
    <n v="3"/>
    <n v="3"/>
    <s v="Life Sciences"/>
    <n v="1"/>
    <n v="0"/>
    <n v="0"/>
    <n v="0"/>
    <n v="0"/>
    <n v="3"/>
    <x v="1"/>
    <n v="0"/>
    <n v="57"/>
    <n v="2"/>
    <n v="2"/>
    <s v="Sales Executive"/>
    <n v="0"/>
    <n v="1"/>
    <n v="0"/>
    <n v="0"/>
    <n v="0"/>
    <n v="0"/>
    <n v="0"/>
    <n v="0"/>
    <x v="1"/>
    <s v="Divorced"/>
    <n v="0"/>
    <n v="0"/>
    <n v="8938"/>
    <n v="12227"/>
    <n v="2"/>
    <s v="No"/>
    <n v="0"/>
    <n v="11"/>
    <n v="3"/>
    <n v="3"/>
    <n v="1"/>
    <n v="14"/>
    <n v="5"/>
    <n v="3"/>
    <n v="5"/>
    <n v="4"/>
    <n v="0"/>
    <n v="4"/>
  </r>
  <r>
    <n v="32"/>
    <x v="1"/>
    <n v="0"/>
    <s v="Travel_Rarely"/>
    <n v="0"/>
    <n v="1"/>
    <n v="529"/>
    <s v="Research &amp; Development"/>
    <n v="1"/>
    <n v="0"/>
    <n v="2"/>
    <n v="3"/>
    <s v="Technical Degree"/>
    <n v="0"/>
    <n v="0"/>
    <n v="0"/>
    <n v="0"/>
    <n v="1"/>
    <n v="4"/>
    <x v="1"/>
    <n v="0"/>
    <n v="78"/>
    <n v="3"/>
    <n v="1"/>
    <s v="Research Scientist"/>
    <n v="0"/>
    <n v="0"/>
    <n v="0"/>
    <n v="0"/>
    <n v="0"/>
    <n v="0"/>
    <n v="0"/>
    <n v="1"/>
    <x v="3"/>
    <s v="Single"/>
    <n v="1"/>
    <n v="0"/>
    <n v="2439"/>
    <n v="11288"/>
    <n v="1"/>
    <s v="No"/>
    <n v="0"/>
    <n v="14"/>
    <n v="3"/>
    <n v="4"/>
    <n v="0"/>
    <n v="4"/>
    <n v="4"/>
    <n v="3"/>
    <n v="4"/>
    <n v="2"/>
    <n v="1"/>
    <n v="2"/>
  </r>
  <r>
    <n v="35"/>
    <x v="1"/>
    <n v="0"/>
    <s v="Travel_Rarely"/>
    <n v="0"/>
    <n v="1"/>
    <n v="1146"/>
    <s v="Human Resources"/>
    <n v="0"/>
    <n v="0"/>
    <n v="26"/>
    <n v="4"/>
    <s v="Life Sciences"/>
    <n v="1"/>
    <n v="0"/>
    <n v="0"/>
    <n v="0"/>
    <n v="0"/>
    <n v="3"/>
    <x v="0"/>
    <n v="1"/>
    <n v="31"/>
    <n v="3"/>
    <n v="3"/>
    <s v="Human Resources"/>
    <n v="0"/>
    <n v="0"/>
    <n v="0"/>
    <n v="0"/>
    <n v="0"/>
    <n v="0"/>
    <n v="0"/>
    <n v="0"/>
    <x v="0"/>
    <s v="Single"/>
    <n v="1"/>
    <n v="0"/>
    <n v="8837"/>
    <n v="16642"/>
    <n v="1"/>
    <s v="Yes"/>
    <n v="1"/>
    <n v="16"/>
    <n v="3"/>
    <n v="3"/>
    <n v="0"/>
    <n v="9"/>
    <n v="2"/>
    <n v="3"/>
    <n v="9"/>
    <n v="0"/>
    <n v="1"/>
    <n v="7"/>
  </r>
  <r>
    <n v="38"/>
    <x v="1"/>
    <n v="0"/>
    <s v="Travel_Rarely"/>
    <n v="0"/>
    <n v="1"/>
    <n v="345"/>
    <s v="Sales"/>
    <n v="0"/>
    <n v="1"/>
    <n v="10"/>
    <n v="2"/>
    <s v="Life Sciences"/>
    <n v="1"/>
    <n v="0"/>
    <n v="0"/>
    <n v="0"/>
    <n v="0"/>
    <n v="1"/>
    <x v="0"/>
    <n v="1"/>
    <n v="100"/>
    <n v="3"/>
    <n v="2"/>
    <s v="Sales Executive"/>
    <n v="0"/>
    <n v="1"/>
    <n v="0"/>
    <n v="0"/>
    <n v="0"/>
    <n v="0"/>
    <n v="0"/>
    <n v="0"/>
    <x v="0"/>
    <s v="Married"/>
    <n v="0"/>
    <n v="1"/>
    <n v="5343"/>
    <n v="5982"/>
    <n v="1"/>
    <s v="No"/>
    <n v="0"/>
    <n v="11"/>
    <n v="3"/>
    <n v="3"/>
    <n v="1"/>
    <n v="10"/>
    <n v="1"/>
    <n v="3"/>
    <n v="10"/>
    <n v="7"/>
    <n v="1"/>
    <n v="9"/>
  </r>
  <r>
    <n v="50"/>
    <x v="0"/>
    <n v="1"/>
    <s v="Travel_Frequently"/>
    <n v="1"/>
    <n v="0"/>
    <n v="878"/>
    <s v="Sales"/>
    <n v="0"/>
    <n v="1"/>
    <n v="1"/>
    <n v="4"/>
    <s v="Life Sciences"/>
    <n v="1"/>
    <n v="0"/>
    <n v="0"/>
    <n v="0"/>
    <n v="0"/>
    <n v="2"/>
    <x v="1"/>
    <n v="0"/>
    <n v="94"/>
    <n v="3"/>
    <n v="2"/>
    <s v="Sales Executive"/>
    <n v="0"/>
    <n v="1"/>
    <n v="0"/>
    <n v="0"/>
    <n v="0"/>
    <n v="0"/>
    <n v="0"/>
    <n v="0"/>
    <x v="2"/>
    <s v="Divorced"/>
    <n v="0"/>
    <n v="0"/>
    <n v="6728"/>
    <n v="14255"/>
    <n v="7"/>
    <s v="No"/>
    <n v="0"/>
    <n v="12"/>
    <n v="3"/>
    <n v="4"/>
    <n v="2"/>
    <n v="12"/>
    <n v="3"/>
    <n v="3"/>
    <n v="6"/>
    <n v="3"/>
    <n v="0"/>
    <n v="1"/>
  </r>
  <r>
    <n v="36"/>
    <x v="1"/>
    <n v="0"/>
    <s v="Travel_Rarely"/>
    <n v="0"/>
    <n v="1"/>
    <n v="1120"/>
    <s v="Sales"/>
    <n v="0"/>
    <n v="1"/>
    <n v="11"/>
    <n v="4"/>
    <s v="Marketing"/>
    <n v="0"/>
    <n v="0"/>
    <n v="0"/>
    <n v="1"/>
    <n v="0"/>
    <n v="2"/>
    <x v="0"/>
    <n v="1"/>
    <n v="100"/>
    <n v="2"/>
    <n v="2"/>
    <s v="Sales Executive"/>
    <n v="0"/>
    <n v="1"/>
    <n v="0"/>
    <n v="0"/>
    <n v="0"/>
    <n v="0"/>
    <n v="0"/>
    <n v="0"/>
    <x v="0"/>
    <s v="Married"/>
    <n v="0"/>
    <n v="1"/>
    <n v="6652"/>
    <n v="14369"/>
    <n v="4"/>
    <s v="No"/>
    <n v="0"/>
    <n v="13"/>
    <n v="3"/>
    <n v="1"/>
    <n v="1"/>
    <n v="8"/>
    <n v="2"/>
    <n v="2"/>
    <n v="6"/>
    <n v="3"/>
    <n v="0"/>
    <n v="0"/>
  </r>
  <r>
    <n v="45"/>
    <x v="1"/>
    <n v="0"/>
    <s v="Travel_Rarely"/>
    <n v="0"/>
    <n v="1"/>
    <n v="374"/>
    <s v="Sales"/>
    <n v="0"/>
    <n v="1"/>
    <n v="20"/>
    <n v="3"/>
    <s v="Life Sciences"/>
    <n v="1"/>
    <n v="0"/>
    <n v="0"/>
    <n v="0"/>
    <n v="0"/>
    <n v="4"/>
    <x v="0"/>
    <n v="1"/>
    <n v="50"/>
    <n v="3"/>
    <n v="2"/>
    <s v="Sales Executive"/>
    <n v="0"/>
    <n v="1"/>
    <n v="0"/>
    <n v="0"/>
    <n v="0"/>
    <n v="0"/>
    <n v="0"/>
    <n v="0"/>
    <x v="2"/>
    <s v="Single"/>
    <n v="1"/>
    <n v="0"/>
    <n v="4850"/>
    <n v="23333"/>
    <n v="8"/>
    <s v="No"/>
    <n v="0"/>
    <n v="15"/>
    <n v="3"/>
    <n v="3"/>
    <n v="0"/>
    <n v="8"/>
    <n v="3"/>
    <n v="3"/>
    <n v="5"/>
    <n v="3"/>
    <n v="0"/>
    <n v="1"/>
  </r>
  <r>
    <n v="40"/>
    <x v="1"/>
    <n v="0"/>
    <s v="Travel_Rarely"/>
    <n v="0"/>
    <n v="1"/>
    <n v="1322"/>
    <s v="Research &amp; Development"/>
    <n v="1"/>
    <n v="0"/>
    <n v="2"/>
    <n v="4"/>
    <s v="Life Sciences"/>
    <n v="1"/>
    <n v="0"/>
    <n v="0"/>
    <n v="0"/>
    <n v="0"/>
    <n v="3"/>
    <x v="1"/>
    <n v="0"/>
    <n v="52"/>
    <n v="2"/>
    <n v="1"/>
    <s v="Research Scientist"/>
    <n v="0"/>
    <n v="0"/>
    <n v="0"/>
    <n v="0"/>
    <n v="0"/>
    <n v="0"/>
    <n v="0"/>
    <n v="1"/>
    <x v="2"/>
    <s v="Single"/>
    <n v="1"/>
    <n v="0"/>
    <n v="2809"/>
    <n v="2725"/>
    <n v="2"/>
    <s v="No"/>
    <n v="0"/>
    <n v="14"/>
    <n v="3"/>
    <n v="4"/>
    <n v="0"/>
    <n v="8"/>
    <n v="2"/>
    <n v="3"/>
    <n v="2"/>
    <n v="2"/>
    <n v="2"/>
    <n v="2"/>
  </r>
  <r>
    <n v="35"/>
    <x v="1"/>
    <n v="0"/>
    <s v="Travel_Frequently"/>
    <n v="1"/>
    <n v="0"/>
    <n v="1199"/>
    <s v="Research &amp; Development"/>
    <n v="1"/>
    <n v="0"/>
    <n v="18"/>
    <n v="4"/>
    <s v="Life Sciences"/>
    <n v="1"/>
    <n v="0"/>
    <n v="0"/>
    <n v="0"/>
    <n v="0"/>
    <n v="3"/>
    <x v="1"/>
    <n v="0"/>
    <n v="80"/>
    <n v="3"/>
    <n v="2"/>
    <s v="Healthcare Representative"/>
    <n v="1"/>
    <n v="0"/>
    <n v="0"/>
    <n v="0"/>
    <n v="0"/>
    <n v="0"/>
    <n v="0"/>
    <n v="0"/>
    <x v="2"/>
    <s v="Married"/>
    <n v="0"/>
    <n v="1"/>
    <n v="5689"/>
    <n v="24594"/>
    <n v="1"/>
    <s v="Yes"/>
    <n v="1"/>
    <n v="14"/>
    <n v="3"/>
    <n v="4"/>
    <n v="2"/>
    <n v="10"/>
    <n v="2"/>
    <n v="4"/>
    <n v="10"/>
    <n v="2"/>
    <n v="0"/>
    <n v="2"/>
  </r>
  <r>
    <n v="40"/>
    <x v="1"/>
    <n v="0"/>
    <s v="Travel_Rarely"/>
    <n v="0"/>
    <n v="1"/>
    <n v="1194"/>
    <s v="Research &amp; Development"/>
    <n v="1"/>
    <n v="0"/>
    <n v="2"/>
    <n v="4"/>
    <s v="Medical"/>
    <n v="0"/>
    <n v="0"/>
    <n v="1"/>
    <n v="0"/>
    <n v="0"/>
    <n v="3"/>
    <x v="0"/>
    <n v="1"/>
    <n v="98"/>
    <n v="3"/>
    <n v="1"/>
    <s v="Research Scientist"/>
    <n v="0"/>
    <n v="0"/>
    <n v="0"/>
    <n v="0"/>
    <n v="0"/>
    <n v="0"/>
    <n v="0"/>
    <n v="1"/>
    <x v="2"/>
    <s v="Married"/>
    <n v="0"/>
    <n v="1"/>
    <n v="2001"/>
    <n v="12549"/>
    <n v="2"/>
    <s v="No"/>
    <n v="0"/>
    <n v="14"/>
    <n v="3"/>
    <n v="2"/>
    <n v="3"/>
    <n v="20"/>
    <n v="2"/>
    <n v="3"/>
    <n v="5"/>
    <n v="3"/>
    <n v="0"/>
    <n v="2"/>
  </r>
  <r>
    <n v="35"/>
    <x v="1"/>
    <n v="0"/>
    <s v="Travel_Rarely"/>
    <n v="0"/>
    <n v="1"/>
    <n v="287"/>
    <s v="Research &amp; Development"/>
    <n v="1"/>
    <n v="0"/>
    <n v="1"/>
    <n v="4"/>
    <s v="Life Sciences"/>
    <n v="1"/>
    <n v="0"/>
    <n v="0"/>
    <n v="0"/>
    <n v="0"/>
    <n v="3"/>
    <x v="0"/>
    <n v="1"/>
    <n v="62"/>
    <n v="1"/>
    <n v="1"/>
    <s v="Research Scientist"/>
    <n v="0"/>
    <n v="0"/>
    <n v="0"/>
    <n v="0"/>
    <n v="0"/>
    <n v="0"/>
    <n v="0"/>
    <n v="1"/>
    <x v="0"/>
    <s v="Married"/>
    <n v="0"/>
    <n v="1"/>
    <n v="2977"/>
    <n v="8952"/>
    <n v="1"/>
    <s v="No"/>
    <n v="0"/>
    <n v="12"/>
    <n v="3"/>
    <n v="4"/>
    <n v="1"/>
    <n v="4"/>
    <n v="5"/>
    <n v="3"/>
    <n v="4"/>
    <n v="3"/>
    <n v="1"/>
    <n v="1"/>
  </r>
  <r>
    <n v="29"/>
    <x v="1"/>
    <n v="0"/>
    <s v="Travel_Rarely"/>
    <n v="0"/>
    <n v="1"/>
    <n v="1378"/>
    <s v="Research &amp; Development"/>
    <n v="1"/>
    <n v="0"/>
    <n v="13"/>
    <n v="2"/>
    <s v="Other"/>
    <n v="0"/>
    <n v="1"/>
    <n v="0"/>
    <n v="0"/>
    <n v="0"/>
    <n v="4"/>
    <x v="1"/>
    <n v="0"/>
    <n v="46"/>
    <n v="2"/>
    <n v="2"/>
    <s v="Laboratory Technician"/>
    <n v="0"/>
    <n v="0"/>
    <n v="1"/>
    <n v="0"/>
    <n v="0"/>
    <n v="0"/>
    <n v="0"/>
    <n v="0"/>
    <x v="1"/>
    <s v="Married"/>
    <n v="0"/>
    <n v="1"/>
    <n v="4025"/>
    <n v="23679"/>
    <n v="4"/>
    <s v="Yes"/>
    <n v="1"/>
    <n v="13"/>
    <n v="3"/>
    <n v="1"/>
    <n v="1"/>
    <n v="10"/>
    <n v="2"/>
    <n v="3"/>
    <n v="4"/>
    <n v="3"/>
    <n v="0"/>
    <n v="3"/>
  </r>
  <r>
    <n v="29"/>
    <x v="1"/>
    <n v="0"/>
    <s v="Travel_Rarely"/>
    <n v="0"/>
    <n v="1"/>
    <n v="468"/>
    <s v="Research &amp; Development"/>
    <n v="1"/>
    <n v="0"/>
    <n v="28"/>
    <n v="4"/>
    <s v="Medical"/>
    <n v="0"/>
    <n v="0"/>
    <n v="1"/>
    <n v="0"/>
    <n v="0"/>
    <n v="4"/>
    <x v="0"/>
    <n v="1"/>
    <n v="73"/>
    <n v="2"/>
    <n v="1"/>
    <s v="Research Scientist"/>
    <n v="0"/>
    <n v="0"/>
    <n v="0"/>
    <n v="0"/>
    <n v="0"/>
    <n v="0"/>
    <n v="0"/>
    <n v="1"/>
    <x v="3"/>
    <s v="Single"/>
    <n v="1"/>
    <n v="0"/>
    <n v="3785"/>
    <n v="8489"/>
    <n v="1"/>
    <s v="No"/>
    <n v="0"/>
    <n v="14"/>
    <n v="3"/>
    <n v="2"/>
    <n v="0"/>
    <n v="5"/>
    <n v="3"/>
    <n v="1"/>
    <n v="5"/>
    <n v="4"/>
    <n v="0"/>
    <n v="4"/>
  </r>
  <r>
    <n v="50"/>
    <x v="0"/>
    <n v="1"/>
    <s v="Travel_Rarely"/>
    <n v="0"/>
    <n v="1"/>
    <n v="410"/>
    <s v="Sales"/>
    <n v="0"/>
    <n v="1"/>
    <n v="28"/>
    <n v="3"/>
    <s v="Marketing"/>
    <n v="0"/>
    <n v="0"/>
    <n v="0"/>
    <n v="1"/>
    <n v="0"/>
    <n v="4"/>
    <x v="1"/>
    <n v="0"/>
    <n v="39"/>
    <n v="2"/>
    <n v="3"/>
    <s v="Sales Executive"/>
    <n v="0"/>
    <n v="1"/>
    <n v="0"/>
    <n v="0"/>
    <n v="0"/>
    <n v="0"/>
    <n v="0"/>
    <n v="0"/>
    <x v="3"/>
    <s v="Divorced"/>
    <n v="0"/>
    <n v="0"/>
    <n v="10854"/>
    <n v="16586"/>
    <n v="4"/>
    <s v="Yes"/>
    <n v="1"/>
    <n v="13"/>
    <n v="3"/>
    <n v="2"/>
    <n v="1"/>
    <n v="20"/>
    <n v="3"/>
    <n v="3"/>
    <n v="3"/>
    <n v="2"/>
    <n v="2"/>
    <n v="0"/>
  </r>
  <r>
    <n v="39"/>
    <x v="1"/>
    <n v="0"/>
    <s v="Travel_Rarely"/>
    <n v="0"/>
    <n v="1"/>
    <n v="722"/>
    <s v="Sales"/>
    <n v="0"/>
    <n v="1"/>
    <n v="24"/>
    <n v="1"/>
    <s v="Marketing"/>
    <n v="0"/>
    <n v="0"/>
    <n v="0"/>
    <n v="1"/>
    <n v="0"/>
    <n v="2"/>
    <x v="0"/>
    <n v="1"/>
    <n v="60"/>
    <n v="2"/>
    <n v="4"/>
    <s v="Sales Executive"/>
    <n v="0"/>
    <n v="1"/>
    <n v="0"/>
    <n v="0"/>
    <n v="0"/>
    <n v="0"/>
    <n v="0"/>
    <n v="0"/>
    <x v="0"/>
    <s v="Married"/>
    <n v="0"/>
    <n v="1"/>
    <n v="12031"/>
    <n v="8828"/>
    <n v="0"/>
    <s v="No"/>
    <n v="0"/>
    <n v="11"/>
    <n v="3"/>
    <n v="1"/>
    <n v="1"/>
    <n v="21"/>
    <n v="2"/>
    <n v="2"/>
    <n v="20"/>
    <n v="9"/>
    <n v="9"/>
    <n v="6"/>
  </r>
  <r>
    <n v="31"/>
    <x v="1"/>
    <n v="0"/>
    <s v="Non-Travel"/>
    <n v="0"/>
    <n v="0"/>
    <n v="325"/>
    <s v="Research &amp; Development"/>
    <n v="1"/>
    <n v="0"/>
    <n v="5"/>
    <n v="3"/>
    <s v="Medical"/>
    <n v="0"/>
    <n v="0"/>
    <n v="1"/>
    <n v="0"/>
    <n v="0"/>
    <n v="2"/>
    <x v="1"/>
    <n v="0"/>
    <n v="74"/>
    <n v="3"/>
    <n v="2"/>
    <s v="Manufacturing Director"/>
    <n v="0"/>
    <n v="0"/>
    <n v="0"/>
    <n v="0"/>
    <n v="1"/>
    <n v="1"/>
    <n v="0"/>
    <n v="0"/>
    <x v="3"/>
    <s v="Single"/>
    <n v="1"/>
    <n v="0"/>
    <n v="9936"/>
    <n v="3787"/>
    <n v="0"/>
    <s v="No"/>
    <n v="0"/>
    <n v="19"/>
    <n v="3"/>
    <n v="2"/>
    <n v="0"/>
    <n v="10"/>
    <n v="2"/>
    <n v="3"/>
    <n v="9"/>
    <n v="4"/>
    <n v="1"/>
    <n v="7"/>
  </r>
  <r>
    <n v="26"/>
    <x v="1"/>
    <n v="0"/>
    <s v="Travel_Rarely"/>
    <n v="0"/>
    <n v="1"/>
    <n v="1167"/>
    <s v="Sales"/>
    <n v="0"/>
    <n v="1"/>
    <n v="5"/>
    <n v="3"/>
    <s v="Other"/>
    <n v="0"/>
    <n v="1"/>
    <n v="0"/>
    <n v="0"/>
    <n v="0"/>
    <n v="4"/>
    <x v="0"/>
    <n v="1"/>
    <n v="30"/>
    <n v="2"/>
    <n v="1"/>
    <s v="Sales Representative"/>
    <n v="0"/>
    <n v="0"/>
    <n v="0"/>
    <n v="0"/>
    <n v="0"/>
    <n v="0"/>
    <n v="1"/>
    <n v="0"/>
    <x v="2"/>
    <s v="Single"/>
    <n v="1"/>
    <n v="0"/>
    <n v="2966"/>
    <n v="21378"/>
    <n v="0"/>
    <s v="No"/>
    <n v="0"/>
    <n v="18"/>
    <n v="3"/>
    <n v="4"/>
    <n v="0"/>
    <n v="5"/>
    <n v="2"/>
    <n v="3"/>
    <n v="4"/>
    <n v="2"/>
    <n v="0"/>
    <n v="0"/>
  </r>
  <r>
    <n v="36"/>
    <x v="1"/>
    <n v="0"/>
    <s v="Travel_Frequently"/>
    <n v="1"/>
    <n v="0"/>
    <n v="884"/>
    <s v="Research &amp; Development"/>
    <n v="1"/>
    <n v="0"/>
    <n v="23"/>
    <n v="2"/>
    <s v="Medical"/>
    <n v="0"/>
    <n v="0"/>
    <n v="1"/>
    <n v="0"/>
    <n v="0"/>
    <n v="3"/>
    <x v="1"/>
    <n v="0"/>
    <n v="41"/>
    <n v="4"/>
    <n v="2"/>
    <s v="Laboratory Technician"/>
    <n v="0"/>
    <n v="0"/>
    <n v="1"/>
    <n v="0"/>
    <n v="0"/>
    <n v="0"/>
    <n v="0"/>
    <n v="0"/>
    <x v="0"/>
    <s v="Married"/>
    <n v="0"/>
    <n v="1"/>
    <n v="2571"/>
    <n v="12290"/>
    <n v="4"/>
    <s v="No"/>
    <n v="0"/>
    <n v="17"/>
    <n v="3"/>
    <n v="3"/>
    <n v="1"/>
    <n v="17"/>
    <n v="3"/>
    <n v="3"/>
    <n v="5"/>
    <n v="2"/>
    <n v="0"/>
    <n v="3"/>
  </r>
  <r>
    <n v="39"/>
    <x v="1"/>
    <n v="0"/>
    <s v="Travel_Rarely"/>
    <n v="0"/>
    <n v="1"/>
    <n v="613"/>
    <s v="Research &amp; Development"/>
    <n v="1"/>
    <n v="0"/>
    <n v="6"/>
    <n v="1"/>
    <s v="Medical"/>
    <n v="0"/>
    <n v="0"/>
    <n v="1"/>
    <n v="0"/>
    <n v="0"/>
    <n v="4"/>
    <x v="1"/>
    <n v="0"/>
    <n v="42"/>
    <n v="2"/>
    <n v="3"/>
    <s v="Healthcare Representative"/>
    <n v="1"/>
    <n v="0"/>
    <n v="0"/>
    <n v="0"/>
    <n v="0"/>
    <n v="0"/>
    <n v="0"/>
    <n v="0"/>
    <x v="3"/>
    <s v="Married"/>
    <n v="0"/>
    <n v="1"/>
    <n v="9991"/>
    <n v="21457"/>
    <n v="4"/>
    <s v="No"/>
    <n v="0"/>
    <n v="15"/>
    <n v="3"/>
    <n v="1"/>
    <n v="1"/>
    <n v="9"/>
    <n v="5"/>
    <n v="3"/>
    <n v="7"/>
    <n v="7"/>
    <n v="1"/>
    <n v="7"/>
  </r>
  <r>
    <n v="27"/>
    <x v="1"/>
    <n v="0"/>
    <s v="Travel_Rarely"/>
    <n v="0"/>
    <n v="1"/>
    <n v="155"/>
    <s v="Research &amp; Development"/>
    <n v="1"/>
    <n v="0"/>
    <n v="4"/>
    <n v="3"/>
    <s v="Life Sciences"/>
    <n v="1"/>
    <n v="0"/>
    <n v="0"/>
    <n v="0"/>
    <n v="0"/>
    <n v="2"/>
    <x v="1"/>
    <n v="0"/>
    <n v="87"/>
    <n v="4"/>
    <n v="2"/>
    <s v="Manufacturing Director"/>
    <n v="0"/>
    <n v="0"/>
    <n v="0"/>
    <n v="0"/>
    <n v="1"/>
    <n v="1"/>
    <n v="0"/>
    <n v="0"/>
    <x v="1"/>
    <s v="Married"/>
    <n v="0"/>
    <n v="1"/>
    <n v="6142"/>
    <n v="5174"/>
    <n v="1"/>
    <s v="Yes"/>
    <n v="1"/>
    <n v="20"/>
    <n v="4"/>
    <n v="2"/>
    <n v="1"/>
    <n v="6"/>
    <n v="0"/>
    <n v="3"/>
    <n v="6"/>
    <n v="2"/>
    <n v="0"/>
    <n v="3"/>
  </r>
  <r>
    <n v="49"/>
    <x v="1"/>
    <n v="0"/>
    <s v="Travel_Frequently"/>
    <n v="1"/>
    <n v="0"/>
    <n v="1023"/>
    <s v="Sales"/>
    <n v="0"/>
    <n v="1"/>
    <n v="2"/>
    <n v="3"/>
    <s v="Medical"/>
    <n v="0"/>
    <n v="0"/>
    <n v="1"/>
    <n v="0"/>
    <n v="0"/>
    <n v="4"/>
    <x v="1"/>
    <n v="0"/>
    <n v="63"/>
    <n v="2"/>
    <n v="2"/>
    <s v="Sales Executive"/>
    <n v="0"/>
    <n v="1"/>
    <n v="0"/>
    <n v="0"/>
    <n v="0"/>
    <n v="0"/>
    <n v="0"/>
    <n v="0"/>
    <x v="1"/>
    <s v="Married"/>
    <n v="0"/>
    <n v="1"/>
    <n v="5390"/>
    <n v="13243"/>
    <n v="2"/>
    <s v="No"/>
    <n v="0"/>
    <n v="14"/>
    <n v="3"/>
    <n v="4"/>
    <n v="0"/>
    <n v="17"/>
    <n v="3"/>
    <n v="2"/>
    <n v="9"/>
    <n v="6"/>
    <n v="0"/>
    <n v="8"/>
  </r>
  <r>
    <n v="34"/>
    <x v="1"/>
    <n v="0"/>
    <s v="Travel_Rarely"/>
    <n v="0"/>
    <n v="1"/>
    <n v="628"/>
    <s v="Research &amp; Development"/>
    <n v="1"/>
    <n v="0"/>
    <n v="8"/>
    <n v="3"/>
    <s v="Medical"/>
    <n v="0"/>
    <n v="0"/>
    <n v="1"/>
    <n v="0"/>
    <n v="0"/>
    <n v="2"/>
    <x v="1"/>
    <n v="0"/>
    <n v="82"/>
    <n v="4"/>
    <n v="2"/>
    <s v="Laboratory Technician"/>
    <n v="0"/>
    <n v="0"/>
    <n v="1"/>
    <n v="0"/>
    <n v="0"/>
    <n v="0"/>
    <n v="0"/>
    <n v="0"/>
    <x v="2"/>
    <s v="Married"/>
    <n v="0"/>
    <n v="1"/>
    <n v="4404"/>
    <n v="10228"/>
    <n v="2"/>
    <s v="No"/>
    <n v="0"/>
    <n v="12"/>
    <n v="3"/>
    <n v="1"/>
    <n v="0"/>
    <n v="6"/>
    <n v="3"/>
    <n v="4"/>
    <n v="4"/>
    <n v="3"/>
    <n v="1"/>
    <n v="2"/>
  </r>
</pivotCacheRecords>
</file>

<file path=xl/pivotCache/pivotCacheRecords2.xml><?xml version="1.0" encoding="utf-8"?>
<pivotCacheRecords xmlns="http://schemas.openxmlformats.org/spreadsheetml/2006/main" xmlns:r="http://schemas.openxmlformats.org/officeDocument/2006/relationships" count="1472">
  <r>
    <n v="41"/>
    <n v="41"/>
    <x v="0"/>
    <n v="1"/>
    <s v="Travel_Rarely"/>
    <n v="0"/>
    <n v="1"/>
    <x v="0"/>
    <n v="0"/>
    <n v="1"/>
    <n v="1"/>
    <n v="1"/>
    <n v="2"/>
    <s v="Life Sciences"/>
    <n v="1"/>
    <n v="0"/>
    <n v="0"/>
    <n v="0"/>
    <n v="0"/>
    <x v="0"/>
    <s v="Female"/>
    <n v="1"/>
    <n v="94"/>
    <n v="3"/>
    <n v="2"/>
    <s v="Sales Executive"/>
    <n v="0"/>
    <n v="1"/>
    <n v="0"/>
    <n v="0"/>
    <n v="0"/>
    <n v="0"/>
    <n v="0"/>
    <n v="0"/>
    <n v="4"/>
    <x v="0"/>
    <n v="1"/>
    <n v="0"/>
    <n v="5993"/>
    <n v="5993"/>
    <n v="8"/>
    <x v="0"/>
    <n v="1"/>
    <n v="11"/>
    <n v="3"/>
    <n v="1"/>
    <n v="0"/>
    <n v="8"/>
    <n v="8"/>
    <n v="0"/>
    <n v="1"/>
    <n v="6"/>
    <n v="6"/>
    <n v="4"/>
    <n v="0"/>
    <n v="0"/>
    <n v="5"/>
    <n v="5"/>
    <n v="10"/>
  </r>
  <r>
    <n v="49"/>
    <n v="49"/>
    <x v="1"/>
    <n v="0"/>
    <s v="Travel_Frequently"/>
    <n v="1"/>
    <n v="0"/>
    <x v="1"/>
    <n v="1"/>
    <n v="0"/>
    <n v="8"/>
    <n v="8"/>
    <n v="1"/>
    <s v="Life Sciences"/>
    <n v="1"/>
    <n v="0"/>
    <n v="0"/>
    <n v="0"/>
    <n v="0"/>
    <x v="1"/>
    <s v="Male"/>
    <n v="0"/>
    <n v="61"/>
    <n v="2"/>
    <n v="2"/>
    <s v="Research Scientist"/>
    <n v="0"/>
    <n v="0"/>
    <n v="0"/>
    <n v="0"/>
    <n v="0"/>
    <n v="0"/>
    <n v="0"/>
    <n v="1"/>
    <n v="2"/>
    <x v="1"/>
    <n v="0"/>
    <n v="1"/>
    <n v="5130"/>
    <n v="5130"/>
    <n v="1"/>
    <x v="1"/>
    <n v="0"/>
    <n v="23"/>
    <n v="4"/>
    <n v="4"/>
    <n v="1"/>
    <n v="10"/>
    <n v="10"/>
    <n v="3"/>
    <n v="3"/>
    <n v="10"/>
    <n v="10"/>
    <n v="7"/>
    <n v="1"/>
    <n v="1"/>
    <n v="7"/>
    <n v="7"/>
    <n v="14"/>
  </r>
  <r>
    <n v="37"/>
    <n v="37"/>
    <x v="0"/>
    <n v="1"/>
    <s v="Travel_Rarely"/>
    <n v="0"/>
    <n v="1"/>
    <x v="1"/>
    <n v="1"/>
    <n v="0"/>
    <n v="2"/>
    <n v="2"/>
    <n v="2"/>
    <s v="Other"/>
    <n v="0"/>
    <n v="1"/>
    <n v="0"/>
    <n v="0"/>
    <n v="0"/>
    <x v="2"/>
    <s v="Male"/>
    <n v="0"/>
    <n v="92"/>
    <n v="2"/>
    <n v="1"/>
    <s v="Laboratory Technician"/>
    <n v="0"/>
    <n v="0"/>
    <n v="1"/>
    <n v="0"/>
    <n v="0"/>
    <n v="0"/>
    <n v="0"/>
    <n v="0"/>
    <n v="3"/>
    <x v="0"/>
    <n v="1"/>
    <n v="0"/>
    <n v="2090"/>
    <n v="2090"/>
    <n v="6"/>
    <x v="0"/>
    <n v="1"/>
    <n v="15"/>
    <n v="3"/>
    <n v="2"/>
    <n v="0"/>
    <n v="7"/>
    <n v="7"/>
    <n v="3"/>
    <n v="3"/>
    <n v="0"/>
    <n v="0"/>
    <n v="0"/>
    <n v="0"/>
    <n v="0"/>
    <n v="0"/>
    <n v="0"/>
    <n v="0"/>
  </r>
  <r>
    <n v="33"/>
    <n v="33"/>
    <x v="1"/>
    <n v="0"/>
    <s v="Travel_Frequently"/>
    <n v="1"/>
    <n v="0"/>
    <x v="1"/>
    <n v="1"/>
    <n v="0"/>
    <n v="3"/>
    <n v="3"/>
    <n v="4"/>
    <s v="Life Sciences"/>
    <n v="1"/>
    <n v="0"/>
    <n v="0"/>
    <n v="0"/>
    <n v="0"/>
    <x v="2"/>
    <s v="Female"/>
    <n v="1"/>
    <n v="56"/>
    <n v="3"/>
    <n v="1"/>
    <s v="Research Scientist"/>
    <n v="0"/>
    <n v="0"/>
    <n v="0"/>
    <n v="0"/>
    <n v="0"/>
    <n v="0"/>
    <n v="0"/>
    <n v="1"/>
    <n v="3"/>
    <x v="1"/>
    <n v="0"/>
    <n v="1"/>
    <n v="2909"/>
    <n v="2909"/>
    <n v="1"/>
    <x v="0"/>
    <n v="1"/>
    <n v="11"/>
    <n v="3"/>
    <n v="3"/>
    <n v="0"/>
    <n v="8"/>
    <n v="8"/>
    <n v="3"/>
    <n v="3"/>
    <n v="8"/>
    <n v="8"/>
    <n v="7"/>
    <n v="3"/>
    <n v="3"/>
    <n v="0"/>
    <n v="0"/>
    <n v="0"/>
  </r>
  <r>
    <n v="27"/>
    <n v="27"/>
    <x v="1"/>
    <n v="0"/>
    <s v="Travel_Rarely"/>
    <n v="0"/>
    <n v="1"/>
    <x v="1"/>
    <n v="1"/>
    <n v="0"/>
    <n v="2"/>
    <n v="2"/>
    <n v="1"/>
    <s v="Medical"/>
    <n v="0"/>
    <n v="0"/>
    <n v="1"/>
    <n v="0"/>
    <n v="0"/>
    <x v="3"/>
    <s v="Male"/>
    <n v="0"/>
    <n v="40"/>
    <n v="3"/>
    <n v="1"/>
    <s v="Laboratory Technician"/>
    <n v="0"/>
    <n v="0"/>
    <n v="1"/>
    <n v="0"/>
    <n v="0"/>
    <n v="0"/>
    <n v="0"/>
    <n v="0"/>
    <n v="2"/>
    <x v="1"/>
    <n v="0"/>
    <n v="1"/>
    <n v="3468"/>
    <n v="3468"/>
    <n v="9"/>
    <x v="1"/>
    <n v="0"/>
    <n v="12"/>
    <n v="3"/>
    <n v="4"/>
    <n v="1"/>
    <n v="6"/>
    <n v="6"/>
    <n v="3"/>
    <n v="3"/>
    <n v="2"/>
    <n v="2"/>
    <n v="2"/>
    <n v="2"/>
    <n v="2"/>
    <n v="2"/>
    <n v="2"/>
    <n v="2"/>
  </r>
  <r>
    <n v="32"/>
    <n v="32"/>
    <x v="1"/>
    <n v="0"/>
    <s v="Travel_Frequently"/>
    <n v="1"/>
    <n v="0"/>
    <x v="1"/>
    <n v="1"/>
    <n v="0"/>
    <n v="2"/>
    <n v="2"/>
    <n v="2"/>
    <s v="Life Sciences"/>
    <n v="1"/>
    <n v="0"/>
    <n v="0"/>
    <n v="0"/>
    <n v="0"/>
    <x v="2"/>
    <s v="Male"/>
    <n v="0"/>
    <n v="79"/>
    <n v="3"/>
    <n v="1"/>
    <s v="Laboratory Technician"/>
    <n v="0"/>
    <n v="0"/>
    <n v="1"/>
    <n v="0"/>
    <n v="0"/>
    <n v="0"/>
    <n v="0"/>
    <n v="0"/>
    <n v="4"/>
    <x v="0"/>
    <n v="1"/>
    <n v="0"/>
    <n v="3068"/>
    <n v="3068"/>
    <n v="0"/>
    <x v="1"/>
    <n v="0"/>
    <n v="13"/>
    <n v="3"/>
    <n v="3"/>
    <n v="0"/>
    <n v="8"/>
    <n v="8"/>
    <n v="2"/>
    <n v="2"/>
    <n v="7"/>
    <n v="7"/>
    <n v="7"/>
    <n v="3"/>
    <n v="3"/>
    <n v="6"/>
    <n v="6"/>
    <n v="6"/>
  </r>
  <r>
    <n v="59"/>
    <n v="58.309999999999945"/>
    <x v="1"/>
    <n v="0"/>
    <s v="Travel_Rarely"/>
    <n v="0"/>
    <n v="1"/>
    <x v="1"/>
    <n v="1"/>
    <n v="0"/>
    <n v="3"/>
    <n v="3"/>
    <n v="3"/>
    <s v="Medical"/>
    <n v="0"/>
    <n v="0"/>
    <n v="1"/>
    <n v="0"/>
    <n v="0"/>
    <x v="1"/>
    <s v="Female"/>
    <n v="1"/>
    <n v="81"/>
    <n v="4"/>
    <n v="1"/>
    <s v="Laboratory Technician"/>
    <n v="0"/>
    <n v="0"/>
    <n v="1"/>
    <n v="0"/>
    <n v="0"/>
    <n v="0"/>
    <n v="0"/>
    <n v="0"/>
    <n v="1"/>
    <x v="1"/>
    <n v="0"/>
    <n v="1"/>
    <n v="2670"/>
    <n v="2670"/>
    <n v="4"/>
    <x v="0"/>
    <n v="1"/>
    <n v="20"/>
    <n v="4"/>
    <n v="1"/>
    <n v="3"/>
    <n v="12"/>
    <n v="12"/>
    <n v="3"/>
    <n v="2"/>
    <n v="1"/>
    <n v="1"/>
    <n v="0"/>
    <n v="0"/>
    <n v="0"/>
    <n v="0"/>
    <n v="0"/>
    <n v="0"/>
  </r>
  <r>
    <n v="30"/>
    <n v="30"/>
    <x v="1"/>
    <n v="0"/>
    <s v="Travel_Rarely"/>
    <n v="0"/>
    <n v="1"/>
    <x v="1"/>
    <n v="1"/>
    <n v="0"/>
    <n v="24"/>
    <n v="24"/>
    <n v="1"/>
    <s v="Life Sciences"/>
    <n v="1"/>
    <n v="0"/>
    <n v="0"/>
    <n v="0"/>
    <n v="0"/>
    <x v="2"/>
    <s v="Male"/>
    <n v="0"/>
    <n v="67"/>
    <n v="3"/>
    <n v="1"/>
    <s v="Laboratory Technician"/>
    <n v="0"/>
    <n v="0"/>
    <n v="1"/>
    <n v="0"/>
    <n v="0"/>
    <n v="0"/>
    <n v="0"/>
    <n v="0"/>
    <n v="3"/>
    <x v="2"/>
    <n v="0"/>
    <n v="0"/>
    <n v="2693"/>
    <n v="2693"/>
    <n v="1"/>
    <x v="1"/>
    <n v="0"/>
    <n v="22"/>
    <n v="4"/>
    <n v="2"/>
    <n v="1"/>
    <n v="1"/>
    <n v="1"/>
    <n v="2"/>
    <n v="3"/>
    <n v="1"/>
    <n v="1"/>
    <n v="0"/>
    <n v="0"/>
    <n v="0"/>
    <n v="0"/>
    <n v="0"/>
    <n v="0"/>
  </r>
  <r>
    <n v="38"/>
    <n v="38"/>
    <x v="1"/>
    <n v="0"/>
    <s v="Travel_Frequently"/>
    <n v="1"/>
    <n v="0"/>
    <x v="1"/>
    <n v="1"/>
    <n v="0"/>
    <n v="23"/>
    <n v="23"/>
    <n v="3"/>
    <s v="Life Sciences"/>
    <n v="1"/>
    <n v="0"/>
    <n v="0"/>
    <n v="0"/>
    <n v="0"/>
    <x v="2"/>
    <s v="Male"/>
    <n v="0"/>
    <n v="44"/>
    <n v="2"/>
    <n v="3"/>
    <s v="Manufacturing Director"/>
    <n v="0"/>
    <n v="0"/>
    <n v="0"/>
    <n v="0"/>
    <n v="1"/>
    <n v="1"/>
    <n v="0"/>
    <n v="0"/>
    <n v="3"/>
    <x v="0"/>
    <n v="1"/>
    <n v="0"/>
    <n v="9526"/>
    <n v="9526"/>
    <n v="0"/>
    <x v="1"/>
    <n v="0"/>
    <n v="21"/>
    <n v="4"/>
    <n v="2"/>
    <n v="0"/>
    <n v="10"/>
    <n v="10"/>
    <n v="2"/>
    <n v="3"/>
    <n v="9"/>
    <n v="9"/>
    <n v="7"/>
    <n v="1"/>
    <n v="1"/>
    <n v="8"/>
    <n v="8"/>
    <n v="24"/>
  </r>
  <r>
    <n v="36"/>
    <n v="36"/>
    <x v="1"/>
    <n v="0"/>
    <s v="Travel_Rarely"/>
    <n v="0"/>
    <n v="1"/>
    <x v="1"/>
    <n v="1"/>
    <n v="0"/>
    <n v="27"/>
    <n v="27"/>
    <n v="3"/>
    <s v="Medical"/>
    <n v="0"/>
    <n v="0"/>
    <n v="1"/>
    <n v="0"/>
    <n v="0"/>
    <x v="1"/>
    <s v="Male"/>
    <n v="0"/>
    <n v="94"/>
    <n v="3"/>
    <n v="2"/>
    <s v="Healthcare Representative"/>
    <n v="1"/>
    <n v="0"/>
    <n v="0"/>
    <n v="0"/>
    <n v="0"/>
    <n v="0"/>
    <n v="0"/>
    <n v="0"/>
    <n v="3"/>
    <x v="1"/>
    <n v="0"/>
    <n v="1"/>
    <n v="5237"/>
    <n v="5237"/>
    <n v="6"/>
    <x v="1"/>
    <n v="0"/>
    <n v="13"/>
    <n v="3"/>
    <n v="2"/>
    <n v="2"/>
    <n v="17"/>
    <n v="17"/>
    <n v="3"/>
    <n v="2"/>
    <n v="7"/>
    <n v="7"/>
    <n v="7"/>
    <n v="7"/>
    <n v="7"/>
    <n v="7"/>
    <n v="7"/>
    <n v="14"/>
  </r>
  <r>
    <n v="35"/>
    <n v="35"/>
    <x v="1"/>
    <n v="0"/>
    <s v="Travel_Rarely"/>
    <n v="0"/>
    <n v="1"/>
    <x v="1"/>
    <n v="1"/>
    <n v="0"/>
    <n v="16"/>
    <n v="16"/>
    <n v="3"/>
    <s v="Medical"/>
    <n v="0"/>
    <n v="0"/>
    <n v="1"/>
    <n v="0"/>
    <n v="0"/>
    <x v="3"/>
    <s v="Male"/>
    <n v="0"/>
    <n v="84"/>
    <n v="4"/>
    <n v="1"/>
    <s v="Laboratory Technician"/>
    <n v="0"/>
    <n v="0"/>
    <n v="1"/>
    <n v="0"/>
    <n v="0"/>
    <n v="0"/>
    <n v="0"/>
    <n v="0"/>
    <n v="2"/>
    <x v="1"/>
    <n v="0"/>
    <n v="1"/>
    <n v="2426"/>
    <n v="2426"/>
    <n v="0"/>
    <x v="1"/>
    <n v="0"/>
    <n v="13"/>
    <n v="3"/>
    <n v="3"/>
    <n v="1"/>
    <n v="6"/>
    <n v="6"/>
    <n v="5"/>
    <n v="3"/>
    <n v="5"/>
    <n v="5"/>
    <n v="4"/>
    <n v="0"/>
    <n v="0"/>
    <n v="3"/>
    <n v="3"/>
    <n v="3"/>
  </r>
  <r>
    <n v="29"/>
    <n v="29"/>
    <x v="1"/>
    <n v="0"/>
    <s v="Travel_Rarely"/>
    <n v="0"/>
    <n v="1"/>
    <x v="1"/>
    <n v="1"/>
    <n v="0"/>
    <n v="15"/>
    <n v="15"/>
    <n v="2"/>
    <s v="Life Sciences"/>
    <n v="1"/>
    <n v="0"/>
    <n v="0"/>
    <n v="0"/>
    <n v="0"/>
    <x v="2"/>
    <s v="Female"/>
    <n v="1"/>
    <n v="49"/>
    <n v="2"/>
    <n v="2"/>
    <s v="Laboratory Technician"/>
    <n v="0"/>
    <n v="0"/>
    <n v="1"/>
    <n v="0"/>
    <n v="0"/>
    <n v="0"/>
    <n v="0"/>
    <n v="0"/>
    <n v="3"/>
    <x v="0"/>
    <n v="1"/>
    <n v="0"/>
    <n v="4193"/>
    <n v="4193"/>
    <n v="0"/>
    <x v="0"/>
    <n v="1"/>
    <n v="12"/>
    <n v="3"/>
    <n v="4"/>
    <n v="0"/>
    <n v="10"/>
    <n v="10"/>
    <n v="3"/>
    <n v="3"/>
    <n v="9"/>
    <n v="9"/>
    <n v="5"/>
    <n v="0"/>
    <n v="0"/>
    <n v="8"/>
    <n v="8"/>
    <n v="16"/>
  </r>
  <r>
    <n v="31"/>
    <n v="31"/>
    <x v="1"/>
    <n v="0"/>
    <s v="Travel_Rarely"/>
    <n v="0"/>
    <n v="1"/>
    <x v="1"/>
    <n v="1"/>
    <n v="0"/>
    <n v="26"/>
    <n v="26"/>
    <n v="1"/>
    <s v="Life Sciences"/>
    <n v="1"/>
    <n v="0"/>
    <n v="0"/>
    <n v="0"/>
    <n v="0"/>
    <x v="3"/>
    <s v="Male"/>
    <n v="0"/>
    <n v="31"/>
    <n v="3"/>
    <n v="1"/>
    <s v="Research Scientist"/>
    <n v="0"/>
    <n v="0"/>
    <n v="0"/>
    <n v="0"/>
    <n v="0"/>
    <n v="0"/>
    <n v="0"/>
    <n v="1"/>
    <n v="3"/>
    <x v="2"/>
    <n v="0"/>
    <n v="0"/>
    <n v="2911"/>
    <n v="2911"/>
    <n v="1"/>
    <x v="1"/>
    <n v="0"/>
    <n v="17"/>
    <n v="3"/>
    <n v="4"/>
    <n v="1"/>
    <n v="5"/>
    <n v="5"/>
    <n v="1"/>
    <n v="2"/>
    <n v="5"/>
    <n v="5"/>
    <n v="2"/>
    <n v="4"/>
    <n v="4"/>
    <n v="3"/>
    <n v="3"/>
    <n v="3"/>
  </r>
  <r>
    <n v="34"/>
    <n v="34"/>
    <x v="1"/>
    <n v="0"/>
    <s v="Travel_Rarely"/>
    <n v="0"/>
    <n v="1"/>
    <x v="1"/>
    <n v="1"/>
    <n v="0"/>
    <n v="19"/>
    <n v="19"/>
    <n v="2"/>
    <s v="Medical"/>
    <n v="0"/>
    <n v="0"/>
    <n v="1"/>
    <n v="0"/>
    <n v="0"/>
    <x v="0"/>
    <s v="Male"/>
    <n v="0"/>
    <n v="93"/>
    <n v="3"/>
    <n v="1"/>
    <s v="Laboratory Technician"/>
    <n v="0"/>
    <n v="0"/>
    <n v="1"/>
    <n v="0"/>
    <n v="0"/>
    <n v="0"/>
    <n v="0"/>
    <n v="0"/>
    <n v="4"/>
    <x v="2"/>
    <n v="0"/>
    <n v="0"/>
    <n v="2661"/>
    <n v="2661"/>
    <n v="0"/>
    <x v="1"/>
    <n v="0"/>
    <n v="11"/>
    <n v="3"/>
    <n v="3"/>
    <n v="1"/>
    <n v="3"/>
    <n v="3"/>
    <n v="2"/>
    <n v="3"/>
    <n v="2"/>
    <n v="2"/>
    <n v="2"/>
    <n v="1"/>
    <n v="1"/>
    <n v="2"/>
    <n v="2"/>
    <n v="2"/>
  </r>
  <r>
    <n v="28"/>
    <n v="28"/>
    <x v="0"/>
    <n v="1"/>
    <s v="Travel_Rarely"/>
    <n v="0"/>
    <n v="1"/>
    <x v="1"/>
    <n v="1"/>
    <n v="0"/>
    <n v="24"/>
    <n v="24"/>
    <n v="3"/>
    <s v="Life Sciences"/>
    <n v="1"/>
    <n v="0"/>
    <n v="0"/>
    <n v="0"/>
    <n v="0"/>
    <x v="1"/>
    <s v="Male"/>
    <n v="0"/>
    <n v="50"/>
    <n v="2"/>
    <n v="1"/>
    <s v="Laboratory Technician"/>
    <n v="0"/>
    <n v="0"/>
    <n v="1"/>
    <n v="0"/>
    <n v="0"/>
    <n v="0"/>
    <n v="0"/>
    <n v="0"/>
    <n v="3"/>
    <x v="0"/>
    <n v="1"/>
    <n v="0"/>
    <n v="2028"/>
    <n v="2028"/>
    <n v="5"/>
    <x v="0"/>
    <n v="1"/>
    <n v="14"/>
    <n v="3"/>
    <n v="2"/>
    <n v="0"/>
    <n v="6"/>
    <n v="6"/>
    <n v="4"/>
    <n v="3"/>
    <n v="4"/>
    <n v="4"/>
    <n v="2"/>
    <n v="0"/>
    <n v="0"/>
    <n v="3"/>
    <n v="3"/>
    <n v="3"/>
  </r>
  <r>
    <n v="29"/>
    <n v="29"/>
    <x v="1"/>
    <n v="0"/>
    <s v="Travel_Rarely"/>
    <n v="0"/>
    <n v="1"/>
    <x v="1"/>
    <n v="1"/>
    <n v="0"/>
    <n v="21"/>
    <n v="21"/>
    <n v="4"/>
    <s v="Life Sciences"/>
    <n v="1"/>
    <n v="0"/>
    <n v="0"/>
    <n v="0"/>
    <n v="0"/>
    <x v="0"/>
    <s v="Female"/>
    <n v="1"/>
    <n v="51"/>
    <n v="4"/>
    <n v="3"/>
    <s v="Manufacturing Director"/>
    <n v="0"/>
    <n v="0"/>
    <n v="0"/>
    <n v="0"/>
    <n v="1"/>
    <n v="1"/>
    <n v="0"/>
    <n v="0"/>
    <n v="1"/>
    <x v="2"/>
    <n v="0"/>
    <n v="0"/>
    <n v="9980"/>
    <n v="9980"/>
    <n v="1"/>
    <x v="1"/>
    <n v="0"/>
    <n v="11"/>
    <n v="3"/>
    <n v="3"/>
    <n v="1"/>
    <n v="10"/>
    <n v="10"/>
    <n v="1"/>
    <n v="3"/>
    <n v="10"/>
    <n v="10"/>
    <n v="9"/>
    <n v="8"/>
    <n v="8"/>
    <n v="8"/>
    <n v="8"/>
    <n v="24"/>
  </r>
  <r>
    <n v="32"/>
    <n v="32"/>
    <x v="1"/>
    <n v="0"/>
    <s v="Travel_Rarely"/>
    <n v="0"/>
    <n v="1"/>
    <x v="1"/>
    <n v="1"/>
    <n v="0"/>
    <n v="5"/>
    <n v="5"/>
    <n v="2"/>
    <s v="Life Sciences"/>
    <n v="1"/>
    <n v="0"/>
    <n v="0"/>
    <n v="0"/>
    <n v="0"/>
    <x v="3"/>
    <s v="Male"/>
    <n v="0"/>
    <n v="80"/>
    <n v="4"/>
    <n v="1"/>
    <s v="Research Scientist"/>
    <n v="0"/>
    <n v="0"/>
    <n v="0"/>
    <n v="0"/>
    <n v="0"/>
    <n v="0"/>
    <n v="0"/>
    <n v="1"/>
    <n v="2"/>
    <x v="2"/>
    <n v="0"/>
    <n v="0"/>
    <n v="3298"/>
    <n v="3298"/>
    <n v="0"/>
    <x v="0"/>
    <n v="1"/>
    <n v="12"/>
    <n v="3"/>
    <n v="4"/>
    <n v="2"/>
    <n v="7"/>
    <n v="7"/>
    <n v="5"/>
    <n v="2"/>
    <n v="6"/>
    <n v="6"/>
    <n v="2"/>
    <n v="0"/>
    <n v="0"/>
    <n v="5"/>
    <n v="5"/>
    <n v="5"/>
  </r>
  <r>
    <n v="22"/>
    <n v="22"/>
    <x v="1"/>
    <n v="0"/>
    <s v="Non-Travel"/>
    <n v="0"/>
    <n v="0"/>
    <x v="1"/>
    <n v="1"/>
    <n v="0"/>
    <n v="16"/>
    <n v="16"/>
    <n v="2"/>
    <s v="Medical"/>
    <n v="0"/>
    <n v="0"/>
    <n v="1"/>
    <n v="0"/>
    <n v="0"/>
    <x v="2"/>
    <s v="Male"/>
    <n v="0"/>
    <n v="96"/>
    <n v="4"/>
    <n v="1"/>
    <s v="Laboratory Technician"/>
    <n v="0"/>
    <n v="0"/>
    <n v="1"/>
    <n v="0"/>
    <n v="0"/>
    <n v="0"/>
    <n v="0"/>
    <n v="0"/>
    <n v="4"/>
    <x v="2"/>
    <n v="0"/>
    <n v="0"/>
    <n v="2935"/>
    <n v="2935"/>
    <n v="1"/>
    <x v="0"/>
    <n v="1"/>
    <n v="13"/>
    <n v="3"/>
    <n v="2"/>
    <n v="2"/>
    <n v="1"/>
    <n v="1"/>
    <n v="2"/>
    <n v="2"/>
    <n v="1"/>
    <n v="1"/>
    <n v="0"/>
    <n v="0"/>
    <n v="0"/>
    <n v="0"/>
    <n v="0"/>
    <n v="0"/>
  </r>
  <r>
    <n v="53"/>
    <n v="53"/>
    <x v="1"/>
    <n v="0"/>
    <s v="Travel_Rarely"/>
    <n v="0"/>
    <n v="1"/>
    <x v="0"/>
    <n v="0"/>
    <n v="1"/>
    <n v="2"/>
    <n v="2"/>
    <n v="4"/>
    <s v="Life Sciences"/>
    <n v="1"/>
    <n v="0"/>
    <n v="0"/>
    <n v="0"/>
    <n v="0"/>
    <x v="3"/>
    <s v="Female"/>
    <n v="1"/>
    <n v="78"/>
    <n v="2"/>
    <n v="4"/>
    <s v="Manager"/>
    <n v="0"/>
    <n v="0"/>
    <n v="0"/>
    <n v="1"/>
    <n v="0"/>
    <n v="0"/>
    <n v="0"/>
    <n v="0"/>
    <n v="4"/>
    <x v="1"/>
    <n v="0"/>
    <n v="1"/>
    <n v="15427"/>
    <n v="15427"/>
    <n v="2"/>
    <x v="1"/>
    <n v="0"/>
    <n v="16"/>
    <n v="3"/>
    <n v="3"/>
    <n v="0"/>
    <n v="31"/>
    <n v="31"/>
    <n v="3"/>
    <n v="3"/>
    <n v="25"/>
    <n v="25"/>
    <n v="8"/>
    <n v="3"/>
    <n v="3"/>
    <n v="7"/>
    <n v="7"/>
    <n v="28"/>
  </r>
  <r>
    <n v="38"/>
    <n v="38"/>
    <x v="1"/>
    <n v="0"/>
    <s v="Travel_Rarely"/>
    <n v="0"/>
    <n v="1"/>
    <x v="1"/>
    <n v="1"/>
    <n v="0"/>
    <n v="2"/>
    <n v="2"/>
    <n v="3"/>
    <s v="Life Sciences"/>
    <n v="1"/>
    <n v="0"/>
    <n v="0"/>
    <n v="0"/>
    <n v="0"/>
    <x v="2"/>
    <s v="Male"/>
    <n v="0"/>
    <n v="45"/>
    <n v="3"/>
    <n v="1"/>
    <s v="Research Scientist"/>
    <n v="0"/>
    <n v="0"/>
    <n v="0"/>
    <n v="0"/>
    <n v="0"/>
    <n v="0"/>
    <n v="0"/>
    <n v="1"/>
    <n v="4"/>
    <x v="0"/>
    <n v="1"/>
    <n v="0"/>
    <n v="3944"/>
    <n v="3944"/>
    <n v="5"/>
    <x v="0"/>
    <n v="1"/>
    <n v="11"/>
    <n v="3"/>
    <n v="3"/>
    <n v="0"/>
    <n v="6"/>
    <n v="6"/>
    <n v="3"/>
    <n v="3"/>
    <n v="3"/>
    <n v="3"/>
    <n v="2"/>
    <n v="1"/>
    <n v="1"/>
    <n v="2"/>
    <n v="2"/>
    <n v="2"/>
  </r>
  <r>
    <n v="24"/>
    <n v="24"/>
    <x v="1"/>
    <n v="0"/>
    <s v="Non-Travel"/>
    <n v="0"/>
    <n v="0"/>
    <x v="1"/>
    <n v="1"/>
    <n v="0"/>
    <n v="11"/>
    <n v="11"/>
    <n v="2"/>
    <s v="Other"/>
    <n v="0"/>
    <n v="1"/>
    <n v="0"/>
    <n v="0"/>
    <n v="0"/>
    <x v="3"/>
    <s v="Female"/>
    <n v="1"/>
    <n v="96"/>
    <n v="4"/>
    <n v="2"/>
    <s v="Manufacturing Director"/>
    <n v="0"/>
    <n v="0"/>
    <n v="0"/>
    <n v="0"/>
    <n v="1"/>
    <n v="1"/>
    <n v="0"/>
    <n v="0"/>
    <n v="3"/>
    <x v="2"/>
    <n v="0"/>
    <n v="0"/>
    <n v="4011"/>
    <n v="4011"/>
    <n v="0"/>
    <x v="1"/>
    <n v="0"/>
    <n v="18"/>
    <n v="3"/>
    <n v="4"/>
    <n v="1"/>
    <n v="5"/>
    <n v="5"/>
    <n v="5"/>
    <n v="2"/>
    <n v="4"/>
    <n v="4"/>
    <n v="2"/>
    <n v="1"/>
    <n v="1"/>
    <n v="3"/>
    <n v="3"/>
    <n v="6"/>
  </r>
  <r>
    <n v="36"/>
    <n v="36"/>
    <x v="0"/>
    <n v="1"/>
    <s v="Travel_Rarely"/>
    <n v="0"/>
    <n v="1"/>
    <x v="0"/>
    <n v="0"/>
    <n v="1"/>
    <n v="9"/>
    <n v="9"/>
    <n v="4"/>
    <s v="Life Sciences"/>
    <n v="1"/>
    <n v="0"/>
    <n v="0"/>
    <n v="0"/>
    <n v="0"/>
    <x v="1"/>
    <s v="Male"/>
    <n v="0"/>
    <n v="82"/>
    <n v="2"/>
    <n v="1"/>
    <s v="Sales Representative"/>
    <n v="0"/>
    <n v="0"/>
    <n v="0"/>
    <n v="0"/>
    <n v="0"/>
    <n v="0"/>
    <n v="1"/>
    <n v="0"/>
    <n v="1"/>
    <x v="0"/>
    <n v="1"/>
    <n v="0"/>
    <n v="3407"/>
    <n v="3407"/>
    <n v="7"/>
    <x v="1"/>
    <n v="0"/>
    <n v="23"/>
    <n v="4"/>
    <n v="2"/>
    <n v="0"/>
    <n v="10"/>
    <n v="10"/>
    <n v="4"/>
    <n v="3"/>
    <n v="5"/>
    <n v="5"/>
    <n v="3"/>
    <n v="0"/>
    <n v="0"/>
    <n v="3"/>
    <n v="3"/>
    <n v="3"/>
  </r>
  <r>
    <n v="34"/>
    <n v="34"/>
    <x v="1"/>
    <n v="0"/>
    <s v="Travel_Rarely"/>
    <n v="0"/>
    <n v="1"/>
    <x v="1"/>
    <n v="1"/>
    <n v="0"/>
    <n v="7"/>
    <n v="7"/>
    <n v="4"/>
    <s v="Life Sciences"/>
    <n v="1"/>
    <n v="0"/>
    <n v="0"/>
    <n v="0"/>
    <n v="0"/>
    <x v="3"/>
    <s v="Female"/>
    <n v="1"/>
    <n v="53"/>
    <n v="3"/>
    <n v="3"/>
    <s v="Research Director"/>
    <n v="0"/>
    <n v="0"/>
    <n v="0"/>
    <n v="0"/>
    <n v="0"/>
    <n v="0"/>
    <n v="0"/>
    <n v="0"/>
    <n v="2"/>
    <x v="0"/>
    <n v="1"/>
    <n v="0"/>
    <n v="11994"/>
    <n v="11994"/>
    <n v="0"/>
    <x v="1"/>
    <n v="0"/>
    <n v="11"/>
    <n v="3"/>
    <n v="3"/>
    <n v="0"/>
    <n v="13"/>
    <n v="13"/>
    <n v="4"/>
    <n v="3"/>
    <n v="12"/>
    <n v="12"/>
    <n v="6"/>
    <n v="2"/>
    <n v="2"/>
    <n v="11"/>
    <n v="11"/>
    <n v="33"/>
  </r>
  <r>
    <n v="21"/>
    <n v="21"/>
    <x v="1"/>
    <n v="0"/>
    <s v="Travel_Rarely"/>
    <n v="0"/>
    <n v="1"/>
    <x v="1"/>
    <n v="1"/>
    <n v="0"/>
    <n v="15"/>
    <n v="15"/>
    <n v="2"/>
    <s v="Life Sciences"/>
    <n v="1"/>
    <n v="0"/>
    <n v="0"/>
    <n v="0"/>
    <n v="0"/>
    <x v="1"/>
    <s v="Male"/>
    <n v="0"/>
    <n v="96"/>
    <n v="3"/>
    <n v="1"/>
    <s v="Research Scientist"/>
    <n v="0"/>
    <n v="0"/>
    <n v="0"/>
    <n v="0"/>
    <n v="0"/>
    <n v="0"/>
    <n v="0"/>
    <n v="1"/>
    <n v="4"/>
    <x v="0"/>
    <n v="1"/>
    <n v="0"/>
    <n v="1232"/>
    <n v="1382.46"/>
    <n v="1"/>
    <x v="1"/>
    <n v="0"/>
    <n v="14"/>
    <n v="3"/>
    <n v="4"/>
    <n v="0"/>
    <n v="0"/>
    <n v="1"/>
    <n v="6"/>
    <n v="3"/>
    <n v="0"/>
    <n v="0"/>
    <n v="0"/>
    <n v="0"/>
    <n v="0"/>
    <n v="0"/>
    <n v="0"/>
    <n v="0"/>
  </r>
  <r>
    <n v="34"/>
    <n v="34"/>
    <x v="0"/>
    <n v="1"/>
    <s v="Travel_Rarely"/>
    <n v="0"/>
    <n v="1"/>
    <x v="1"/>
    <n v="1"/>
    <n v="0"/>
    <n v="6"/>
    <n v="6"/>
    <n v="1"/>
    <s v="Medical"/>
    <n v="0"/>
    <n v="0"/>
    <n v="1"/>
    <n v="0"/>
    <n v="0"/>
    <x v="0"/>
    <s v="Male"/>
    <n v="0"/>
    <n v="83"/>
    <n v="3"/>
    <n v="1"/>
    <s v="Research Scientist"/>
    <n v="0"/>
    <n v="0"/>
    <n v="0"/>
    <n v="0"/>
    <n v="0"/>
    <n v="0"/>
    <n v="0"/>
    <n v="1"/>
    <n v="1"/>
    <x v="0"/>
    <n v="1"/>
    <n v="0"/>
    <n v="2960"/>
    <n v="2960"/>
    <n v="2"/>
    <x v="1"/>
    <n v="0"/>
    <n v="11"/>
    <n v="3"/>
    <n v="3"/>
    <n v="0"/>
    <n v="8"/>
    <n v="8"/>
    <n v="2"/>
    <n v="3"/>
    <n v="4"/>
    <n v="4"/>
    <n v="2"/>
    <n v="1"/>
    <n v="1"/>
    <n v="3"/>
    <n v="3"/>
    <n v="3"/>
  </r>
  <r>
    <n v="53"/>
    <n v="53"/>
    <x v="1"/>
    <n v="0"/>
    <s v="Travel_Rarely"/>
    <n v="0"/>
    <n v="1"/>
    <x v="1"/>
    <n v="1"/>
    <n v="0"/>
    <n v="5"/>
    <n v="5"/>
    <n v="3"/>
    <s v="Other"/>
    <n v="0"/>
    <n v="1"/>
    <n v="0"/>
    <n v="0"/>
    <n v="0"/>
    <x v="1"/>
    <s v="Female"/>
    <n v="1"/>
    <n v="58"/>
    <n v="3"/>
    <n v="5"/>
    <s v="Manager"/>
    <n v="0"/>
    <n v="0"/>
    <n v="0"/>
    <n v="1"/>
    <n v="0"/>
    <n v="0"/>
    <n v="0"/>
    <n v="0"/>
    <n v="3"/>
    <x v="2"/>
    <n v="0"/>
    <n v="0"/>
    <n v="19094"/>
    <n v="19094"/>
    <n v="4"/>
    <x v="1"/>
    <n v="0"/>
    <n v="11"/>
    <n v="3"/>
    <n v="4"/>
    <n v="1"/>
    <n v="26"/>
    <n v="26"/>
    <n v="3"/>
    <n v="2"/>
    <n v="14"/>
    <n v="14"/>
    <n v="13"/>
    <n v="4"/>
    <n v="4"/>
    <n v="8"/>
    <n v="8"/>
    <n v="40"/>
  </r>
  <r>
    <n v="32"/>
    <n v="32"/>
    <x v="0"/>
    <n v="1"/>
    <s v="Travel_Frequently"/>
    <n v="1"/>
    <n v="0"/>
    <x v="1"/>
    <n v="1"/>
    <n v="0"/>
    <n v="16"/>
    <n v="16"/>
    <n v="1"/>
    <s v="Life Sciences"/>
    <n v="1"/>
    <n v="0"/>
    <n v="0"/>
    <n v="0"/>
    <n v="0"/>
    <x v="0"/>
    <s v="Female"/>
    <n v="1"/>
    <n v="72"/>
    <n v="1"/>
    <n v="1"/>
    <s v="Research Scientist"/>
    <n v="0"/>
    <n v="0"/>
    <n v="0"/>
    <n v="0"/>
    <n v="0"/>
    <n v="0"/>
    <n v="0"/>
    <n v="1"/>
    <n v="1"/>
    <x v="0"/>
    <n v="1"/>
    <n v="0"/>
    <n v="3919"/>
    <n v="3919"/>
    <n v="1"/>
    <x v="0"/>
    <n v="1"/>
    <n v="22"/>
    <n v="4"/>
    <n v="2"/>
    <n v="0"/>
    <n v="10"/>
    <n v="10"/>
    <n v="5"/>
    <n v="3"/>
    <n v="10"/>
    <n v="10"/>
    <n v="2"/>
    <n v="6"/>
    <n v="6"/>
    <n v="7"/>
    <n v="7"/>
    <n v="7"/>
  </r>
  <r>
    <n v="42"/>
    <n v="42"/>
    <x v="1"/>
    <n v="0"/>
    <s v="Travel_Rarely"/>
    <n v="0"/>
    <n v="1"/>
    <x v="0"/>
    <n v="0"/>
    <n v="1"/>
    <n v="8"/>
    <n v="8"/>
    <n v="4"/>
    <s v="Marketing"/>
    <n v="0"/>
    <n v="0"/>
    <n v="0"/>
    <n v="1"/>
    <n v="0"/>
    <x v="1"/>
    <s v="Male"/>
    <n v="0"/>
    <n v="48"/>
    <n v="3"/>
    <n v="2"/>
    <s v="Sales Executive"/>
    <n v="0"/>
    <n v="1"/>
    <n v="0"/>
    <n v="0"/>
    <n v="0"/>
    <n v="0"/>
    <n v="0"/>
    <n v="0"/>
    <n v="2"/>
    <x v="1"/>
    <n v="0"/>
    <n v="1"/>
    <n v="6825"/>
    <n v="6825"/>
    <n v="0"/>
    <x v="1"/>
    <n v="0"/>
    <n v="11"/>
    <n v="3"/>
    <n v="4"/>
    <n v="1"/>
    <n v="10"/>
    <n v="10"/>
    <n v="2"/>
    <n v="3"/>
    <n v="9"/>
    <n v="9"/>
    <n v="7"/>
    <n v="4"/>
    <n v="4"/>
    <n v="2"/>
    <n v="2"/>
    <n v="4"/>
  </r>
  <r>
    <n v="44"/>
    <n v="44"/>
    <x v="1"/>
    <n v="0"/>
    <s v="Travel_Rarely"/>
    <n v="0"/>
    <n v="1"/>
    <x v="1"/>
    <n v="1"/>
    <n v="0"/>
    <n v="7"/>
    <n v="7"/>
    <n v="4"/>
    <s v="Medical"/>
    <n v="0"/>
    <n v="0"/>
    <n v="1"/>
    <n v="0"/>
    <n v="0"/>
    <x v="3"/>
    <s v="Female"/>
    <n v="1"/>
    <n v="42"/>
    <n v="2"/>
    <n v="3"/>
    <s v="Healthcare Representative"/>
    <n v="1"/>
    <n v="0"/>
    <n v="0"/>
    <n v="0"/>
    <n v="0"/>
    <n v="0"/>
    <n v="0"/>
    <n v="0"/>
    <n v="4"/>
    <x v="1"/>
    <n v="0"/>
    <n v="1"/>
    <n v="10248"/>
    <n v="10248"/>
    <n v="3"/>
    <x v="1"/>
    <n v="0"/>
    <n v="14"/>
    <n v="3"/>
    <n v="4"/>
    <n v="1"/>
    <n v="24"/>
    <n v="24"/>
    <n v="4"/>
    <n v="3"/>
    <n v="22"/>
    <n v="22"/>
    <n v="6"/>
    <n v="5"/>
    <n v="5"/>
    <n v="17"/>
    <n v="14"/>
    <n v="42"/>
  </r>
  <r>
    <n v="46"/>
    <n v="46"/>
    <x v="1"/>
    <n v="0"/>
    <s v="Travel_Rarely"/>
    <n v="0"/>
    <n v="1"/>
    <x v="0"/>
    <n v="0"/>
    <n v="1"/>
    <n v="2"/>
    <n v="2"/>
    <n v="4"/>
    <s v="Marketing"/>
    <n v="0"/>
    <n v="0"/>
    <n v="0"/>
    <n v="1"/>
    <n v="0"/>
    <x v="0"/>
    <s v="Female"/>
    <n v="1"/>
    <n v="83"/>
    <n v="3"/>
    <n v="5"/>
    <s v="Manager"/>
    <n v="0"/>
    <n v="0"/>
    <n v="0"/>
    <n v="1"/>
    <n v="0"/>
    <n v="0"/>
    <n v="0"/>
    <n v="0"/>
    <n v="1"/>
    <x v="0"/>
    <n v="1"/>
    <n v="0"/>
    <n v="18947"/>
    <n v="18947"/>
    <n v="3"/>
    <x v="1"/>
    <n v="0"/>
    <n v="12"/>
    <n v="3"/>
    <n v="4"/>
    <n v="0"/>
    <n v="22"/>
    <n v="22"/>
    <n v="2"/>
    <n v="2"/>
    <n v="2"/>
    <n v="2"/>
    <n v="2"/>
    <n v="2"/>
    <n v="2"/>
    <n v="1"/>
    <n v="1"/>
    <n v="5"/>
  </r>
  <r>
    <n v="33"/>
    <n v="33"/>
    <x v="1"/>
    <n v="0"/>
    <s v="Travel_Rarely"/>
    <n v="0"/>
    <n v="1"/>
    <x v="1"/>
    <n v="1"/>
    <n v="0"/>
    <n v="2"/>
    <n v="2"/>
    <n v="3"/>
    <s v="Medical"/>
    <n v="0"/>
    <n v="0"/>
    <n v="1"/>
    <n v="0"/>
    <n v="0"/>
    <x v="1"/>
    <s v="Male"/>
    <n v="0"/>
    <n v="78"/>
    <n v="3"/>
    <n v="1"/>
    <s v="Laboratory Technician"/>
    <n v="0"/>
    <n v="0"/>
    <n v="1"/>
    <n v="0"/>
    <n v="0"/>
    <n v="0"/>
    <n v="0"/>
    <n v="0"/>
    <n v="4"/>
    <x v="0"/>
    <n v="1"/>
    <n v="0"/>
    <n v="2496"/>
    <n v="2496"/>
    <n v="4"/>
    <x v="1"/>
    <n v="0"/>
    <n v="11"/>
    <n v="3"/>
    <n v="4"/>
    <n v="0"/>
    <n v="7"/>
    <n v="7"/>
    <n v="3"/>
    <n v="3"/>
    <n v="1"/>
    <n v="1"/>
    <n v="1"/>
    <n v="0"/>
    <n v="0"/>
    <n v="0"/>
    <n v="0"/>
    <n v="0"/>
  </r>
  <r>
    <n v="44"/>
    <n v="44"/>
    <x v="1"/>
    <n v="0"/>
    <s v="Travel_Rarely"/>
    <n v="0"/>
    <n v="1"/>
    <x v="1"/>
    <n v="1"/>
    <n v="0"/>
    <n v="10"/>
    <n v="10"/>
    <n v="4"/>
    <s v="Other"/>
    <n v="0"/>
    <n v="1"/>
    <n v="0"/>
    <n v="0"/>
    <n v="0"/>
    <x v="2"/>
    <s v="Male"/>
    <n v="0"/>
    <n v="41"/>
    <n v="3"/>
    <n v="2"/>
    <s v="Healthcare Representative"/>
    <n v="1"/>
    <n v="0"/>
    <n v="0"/>
    <n v="0"/>
    <n v="0"/>
    <n v="0"/>
    <n v="0"/>
    <n v="0"/>
    <n v="4"/>
    <x v="1"/>
    <n v="0"/>
    <n v="1"/>
    <n v="6465"/>
    <n v="6465"/>
    <n v="2"/>
    <x v="0"/>
    <n v="1"/>
    <n v="13"/>
    <n v="3"/>
    <n v="4"/>
    <n v="0"/>
    <n v="9"/>
    <n v="9"/>
    <n v="5"/>
    <n v="4"/>
    <n v="4"/>
    <n v="4"/>
    <n v="2"/>
    <n v="1"/>
    <n v="1"/>
    <n v="3"/>
    <n v="3"/>
    <n v="6"/>
  </r>
  <r>
    <n v="30"/>
    <n v="30"/>
    <x v="1"/>
    <n v="0"/>
    <s v="Travel_Rarely"/>
    <n v="0"/>
    <n v="1"/>
    <x v="1"/>
    <n v="1"/>
    <n v="0"/>
    <n v="9"/>
    <n v="9"/>
    <n v="2"/>
    <s v="Medical"/>
    <n v="0"/>
    <n v="0"/>
    <n v="1"/>
    <n v="0"/>
    <n v="0"/>
    <x v="2"/>
    <s v="Male"/>
    <n v="0"/>
    <n v="83"/>
    <n v="2"/>
    <n v="1"/>
    <s v="Laboratory Technician"/>
    <n v="0"/>
    <n v="0"/>
    <n v="1"/>
    <n v="0"/>
    <n v="0"/>
    <n v="0"/>
    <n v="0"/>
    <n v="0"/>
    <n v="3"/>
    <x v="0"/>
    <n v="1"/>
    <n v="0"/>
    <n v="2206"/>
    <n v="2206"/>
    <n v="1"/>
    <x v="1"/>
    <n v="0"/>
    <n v="13"/>
    <n v="3"/>
    <n v="1"/>
    <n v="0"/>
    <n v="10"/>
    <n v="10"/>
    <n v="5"/>
    <n v="3"/>
    <n v="10"/>
    <n v="10"/>
    <n v="0"/>
    <n v="1"/>
    <n v="1"/>
    <n v="8"/>
    <n v="8"/>
    <n v="8"/>
  </r>
  <r>
    <n v="39"/>
    <n v="39"/>
    <x v="0"/>
    <n v="1"/>
    <s v="Travel_Rarely"/>
    <n v="0"/>
    <n v="1"/>
    <x v="0"/>
    <n v="0"/>
    <n v="1"/>
    <n v="5"/>
    <n v="5"/>
    <n v="3"/>
    <s v="Technical Degree"/>
    <n v="0"/>
    <n v="0"/>
    <n v="0"/>
    <n v="0"/>
    <n v="1"/>
    <x v="2"/>
    <s v="Male"/>
    <n v="0"/>
    <n v="56"/>
    <n v="3"/>
    <n v="2"/>
    <s v="Sales Representative"/>
    <n v="0"/>
    <n v="0"/>
    <n v="0"/>
    <n v="0"/>
    <n v="0"/>
    <n v="0"/>
    <n v="1"/>
    <n v="0"/>
    <n v="4"/>
    <x v="1"/>
    <n v="0"/>
    <n v="1"/>
    <n v="2086"/>
    <n v="2086"/>
    <n v="3"/>
    <x v="1"/>
    <n v="0"/>
    <n v="14"/>
    <n v="3"/>
    <n v="3"/>
    <n v="1"/>
    <n v="19"/>
    <n v="19"/>
    <n v="6"/>
    <n v="4"/>
    <n v="1"/>
    <n v="1"/>
    <n v="0"/>
    <n v="0"/>
    <n v="0"/>
    <n v="0"/>
    <n v="0"/>
    <n v="0"/>
  </r>
  <r>
    <n v="24"/>
    <n v="24"/>
    <x v="0"/>
    <n v="1"/>
    <s v="Travel_Rarely"/>
    <n v="0"/>
    <n v="1"/>
    <x v="1"/>
    <n v="1"/>
    <n v="0"/>
    <n v="1"/>
    <n v="1"/>
    <n v="3"/>
    <s v="Medical"/>
    <n v="0"/>
    <n v="0"/>
    <n v="1"/>
    <n v="0"/>
    <n v="0"/>
    <x v="0"/>
    <s v="Male"/>
    <n v="0"/>
    <n v="61"/>
    <n v="3"/>
    <n v="1"/>
    <s v="Research Scientist"/>
    <n v="0"/>
    <n v="0"/>
    <n v="0"/>
    <n v="0"/>
    <n v="0"/>
    <n v="0"/>
    <n v="0"/>
    <n v="1"/>
    <n v="4"/>
    <x v="1"/>
    <n v="0"/>
    <n v="1"/>
    <n v="2293"/>
    <n v="2293"/>
    <n v="2"/>
    <x v="0"/>
    <n v="1"/>
    <n v="16"/>
    <n v="3"/>
    <n v="1"/>
    <n v="1"/>
    <n v="6"/>
    <n v="6"/>
    <n v="2"/>
    <n v="2"/>
    <n v="2"/>
    <n v="2"/>
    <n v="0"/>
    <n v="2"/>
    <n v="2"/>
    <n v="0"/>
    <n v="0"/>
    <n v="0"/>
  </r>
  <r>
    <n v="43"/>
    <n v="43"/>
    <x v="1"/>
    <n v="0"/>
    <s v="Travel_Rarely"/>
    <n v="0"/>
    <n v="1"/>
    <x v="1"/>
    <n v="1"/>
    <n v="0"/>
    <n v="2"/>
    <n v="2"/>
    <n v="2"/>
    <s v="Medical"/>
    <n v="0"/>
    <n v="0"/>
    <n v="1"/>
    <n v="0"/>
    <n v="0"/>
    <x v="2"/>
    <s v="Female"/>
    <n v="1"/>
    <n v="72"/>
    <n v="4"/>
    <n v="1"/>
    <s v="Research Scientist"/>
    <n v="0"/>
    <n v="0"/>
    <n v="0"/>
    <n v="0"/>
    <n v="0"/>
    <n v="0"/>
    <n v="0"/>
    <n v="1"/>
    <n v="3"/>
    <x v="2"/>
    <n v="0"/>
    <n v="0"/>
    <n v="2645"/>
    <n v="2645"/>
    <n v="1"/>
    <x v="1"/>
    <n v="0"/>
    <n v="12"/>
    <n v="3"/>
    <n v="4"/>
    <n v="2"/>
    <n v="6"/>
    <n v="6"/>
    <n v="3"/>
    <n v="2"/>
    <n v="5"/>
    <n v="5"/>
    <n v="3"/>
    <n v="1"/>
    <n v="1"/>
    <n v="4"/>
    <n v="4"/>
    <n v="4"/>
  </r>
  <r>
    <n v="50"/>
    <n v="50"/>
    <x v="0"/>
    <n v="1"/>
    <s v="Travel_Rarely"/>
    <n v="0"/>
    <n v="1"/>
    <x v="0"/>
    <n v="0"/>
    <n v="1"/>
    <n v="3"/>
    <n v="3"/>
    <n v="2"/>
    <s v="Marketing"/>
    <n v="0"/>
    <n v="0"/>
    <n v="0"/>
    <n v="1"/>
    <n v="0"/>
    <x v="3"/>
    <s v="Male"/>
    <n v="0"/>
    <n v="86"/>
    <n v="2"/>
    <n v="1"/>
    <s v="Sales Representative"/>
    <n v="0"/>
    <n v="0"/>
    <n v="0"/>
    <n v="0"/>
    <n v="0"/>
    <n v="0"/>
    <n v="1"/>
    <n v="0"/>
    <n v="3"/>
    <x v="1"/>
    <n v="0"/>
    <n v="1"/>
    <n v="2683"/>
    <n v="2683"/>
    <n v="1"/>
    <x v="0"/>
    <n v="1"/>
    <n v="14"/>
    <n v="3"/>
    <n v="3"/>
    <n v="0"/>
    <n v="3"/>
    <n v="3"/>
    <n v="2"/>
    <n v="3"/>
    <n v="3"/>
    <n v="3"/>
    <n v="2"/>
    <n v="0"/>
    <n v="0"/>
    <n v="2"/>
    <n v="2"/>
    <n v="2"/>
  </r>
  <r>
    <n v="35"/>
    <n v="35"/>
    <x v="1"/>
    <n v="0"/>
    <s v="Travel_Rarely"/>
    <n v="0"/>
    <n v="1"/>
    <x v="0"/>
    <n v="0"/>
    <n v="1"/>
    <n v="2"/>
    <n v="2"/>
    <n v="3"/>
    <s v="Marketing"/>
    <n v="0"/>
    <n v="0"/>
    <n v="0"/>
    <n v="1"/>
    <n v="0"/>
    <x v="2"/>
    <s v="Female"/>
    <n v="1"/>
    <n v="97"/>
    <n v="3"/>
    <n v="1"/>
    <s v="Sales Representative"/>
    <n v="0"/>
    <n v="0"/>
    <n v="0"/>
    <n v="0"/>
    <n v="0"/>
    <n v="0"/>
    <n v="1"/>
    <n v="0"/>
    <n v="4"/>
    <x v="1"/>
    <n v="0"/>
    <n v="1"/>
    <n v="2014"/>
    <n v="2014"/>
    <n v="1"/>
    <x v="1"/>
    <n v="0"/>
    <n v="13"/>
    <n v="3"/>
    <n v="1"/>
    <n v="0"/>
    <n v="2"/>
    <n v="2"/>
    <n v="3"/>
    <n v="3"/>
    <n v="2"/>
    <n v="2"/>
    <n v="2"/>
    <n v="2"/>
    <n v="2"/>
    <n v="2"/>
    <n v="2"/>
    <n v="2"/>
  </r>
  <r>
    <n v="36"/>
    <n v="36"/>
    <x v="1"/>
    <n v="0"/>
    <s v="Travel_Rarely"/>
    <n v="0"/>
    <n v="1"/>
    <x v="1"/>
    <n v="1"/>
    <n v="0"/>
    <n v="5"/>
    <n v="5"/>
    <n v="4"/>
    <s v="Life Sciences"/>
    <n v="1"/>
    <n v="0"/>
    <n v="0"/>
    <n v="0"/>
    <n v="0"/>
    <x v="0"/>
    <s v="Female"/>
    <n v="1"/>
    <n v="82"/>
    <n v="2"/>
    <n v="1"/>
    <s v="Research Scientist"/>
    <n v="0"/>
    <n v="0"/>
    <n v="0"/>
    <n v="0"/>
    <n v="0"/>
    <n v="0"/>
    <n v="0"/>
    <n v="1"/>
    <n v="1"/>
    <x v="1"/>
    <n v="0"/>
    <n v="1"/>
    <n v="3419"/>
    <n v="3419"/>
    <n v="9"/>
    <x v="0"/>
    <n v="1"/>
    <n v="14"/>
    <n v="3"/>
    <n v="4"/>
    <n v="1"/>
    <n v="6"/>
    <n v="6"/>
    <n v="3"/>
    <n v="4"/>
    <n v="1"/>
    <n v="1"/>
    <n v="1"/>
    <n v="0"/>
    <n v="0"/>
    <n v="0"/>
    <n v="0"/>
    <n v="0"/>
  </r>
  <r>
    <n v="33"/>
    <n v="33"/>
    <x v="1"/>
    <n v="0"/>
    <s v="Travel_Frequently"/>
    <n v="1"/>
    <n v="0"/>
    <x v="0"/>
    <n v="0"/>
    <n v="1"/>
    <n v="1"/>
    <n v="1"/>
    <n v="3"/>
    <s v="Life Sciences"/>
    <n v="1"/>
    <n v="0"/>
    <n v="0"/>
    <n v="0"/>
    <n v="0"/>
    <x v="1"/>
    <s v="Female"/>
    <n v="1"/>
    <n v="42"/>
    <n v="4"/>
    <n v="2"/>
    <s v="Sales Executive"/>
    <n v="0"/>
    <n v="1"/>
    <n v="0"/>
    <n v="0"/>
    <n v="0"/>
    <n v="0"/>
    <n v="0"/>
    <n v="0"/>
    <n v="1"/>
    <x v="1"/>
    <n v="0"/>
    <n v="1"/>
    <n v="5376"/>
    <n v="5376"/>
    <n v="2"/>
    <x v="1"/>
    <n v="0"/>
    <n v="19"/>
    <n v="3"/>
    <n v="1"/>
    <n v="2"/>
    <n v="10"/>
    <n v="10"/>
    <n v="3"/>
    <n v="3"/>
    <n v="5"/>
    <n v="5"/>
    <n v="3"/>
    <n v="1"/>
    <n v="1"/>
    <n v="3"/>
    <n v="3"/>
    <n v="6"/>
  </r>
  <r>
    <n v="35"/>
    <n v="35"/>
    <x v="1"/>
    <n v="0"/>
    <s v="Travel_Rarely"/>
    <n v="0"/>
    <n v="1"/>
    <x v="1"/>
    <n v="1"/>
    <n v="0"/>
    <n v="4"/>
    <n v="4"/>
    <n v="2"/>
    <s v="Other"/>
    <n v="0"/>
    <n v="1"/>
    <n v="0"/>
    <n v="0"/>
    <n v="0"/>
    <x v="1"/>
    <s v="Male"/>
    <n v="0"/>
    <n v="75"/>
    <n v="3"/>
    <n v="1"/>
    <s v="Laboratory Technician"/>
    <n v="0"/>
    <n v="0"/>
    <n v="1"/>
    <n v="0"/>
    <n v="0"/>
    <n v="0"/>
    <n v="0"/>
    <n v="0"/>
    <n v="4"/>
    <x v="2"/>
    <n v="0"/>
    <n v="0"/>
    <n v="1951"/>
    <n v="1951"/>
    <n v="1"/>
    <x v="1"/>
    <n v="0"/>
    <n v="12"/>
    <n v="3"/>
    <n v="3"/>
    <n v="1"/>
    <n v="1"/>
    <n v="1"/>
    <n v="3"/>
    <n v="3"/>
    <n v="1"/>
    <n v="1"/>
    <n v="0"/>
    <n v="0"/>
    <n v="0"/>
    <n v="0"/>
    <n v="0"/>
    <n v="0"/>
  </r>
  <r>
    <n v="27"/>
    <n v="27"/>
    <x v="1"/>
    <n v="0"/>
    <s v="Travel_Rarely"/>
    <n v="0"/>
    <n v="1"/>
    <x v="1"/>
    <n v="1"/>
    <n v="0"/>
    <n v="2"/>
    <n v="2"/>
    <n v="4"/>
    <s v="Life Sciences"/>
    <n v="1"/>
    <n v="0"/>
    <n v="0"/>
    <n v="0"/>
    <n v="0"/>
    <x v="2"/>
    <s v="Female"/>
    <n v="1"/>
    <n v="33"/>
    <n v="3"/>
    <n v="1"/>
    <s v="Laboratory Technician"/>
    <n v="0"/>
    <n v="0"/>
    <n v="1"/>
    <n v="0"/>
    <n v="0"/>
    <n v="0"/>
    <n v="0"/>
    <n v="0"/>
    <n v="1"/>
    <x v="2"/>
    <n v="0"/>
    <n v="0"/>
    <n v="2341"/>
    <n v="2341"/>
    <n v="1"/>
    <x v="1"/>
    <n v="0"/>
    <n v="13"/>
    <n v="3"/>
    <n v="4"/>
    <n v="1"/>
    <n v="1"/>
    <n v="1"/>
    <n v="6"/>
    <n v="3"/>
    <n v="1"/>
    <n v="1"/>
    <n v="0"/>
    <n v="0"/>
    <n v="0"/>
    <n v="0"/>
    <n v="0"/>
    <n v="0"/>
  </r>
  <r>
    <n v="26"/>
    <n v="26"/>
    <x v="0"/>
    <n v="1"/>
    <s v="Travel_Rarely"/>
    <n v="0"/>
    <n v="1"/>
    <x v="1"/>
    <n v="1"/>
    <n v="0"/>
    <n v="25"/>
    <n v="25"/>
    <n v="3"/>
    <s v="Life Sciences"/>
    <n v="1"/>
    <n v="0"/>
    <n v="0"/>
    <n v="0"/>
    <n v="0"/>
    <x v="3"/>
    <s v="Male"/>
    <n v="0"/>
    <n v="48"/>
    <n v="1"/>
    <n v="1"/>
    <s v="Laboratory Technician"/>
    <n v="0"/>
    <n v="0"/>
    <n v="1"/>
    <n v="0"/>
    <n v="0"/>
    <n v="0"/>
    <n v="0"/>
    <n v="0"/>
    <n v="3"/>
    <x v="0"/>
    <n v="1"/>
    <n v="0"/>
    <n v="2293"/>
    <n v="2293"/>
    <n v="1"/>
    <x v="1"/>
    <n v="0"/>
    <n v="12"/>
    <n v="3"/>
    <n v="3"/>
    <n v="0"/>
    <n v="1"/>
    <n v="1"/>
    <n v="2"/>
    <n v="2"/>
    <n v="1"/>
    <n v="1"/>
    <n v="0"/>
    <n v="0"/>
    <n v="0"/>
    <n v="1"/>
    <n v="1"/>
    <n v="1"/>
  </r>
  <r>
    <n v="27"/>
    <n v="27"/>
    <x v="1"/>
    <n v="0"/>
    <s v="Travel_Frequently"/>
    <n v="1"/>
    <n v="0"/>
    <x v="0"/>
    <n v="0"/>
    <n v="1"/>
    <n v="8"/>
    <n v="8"/>
    <n v="3"/>
    <s v="Life Sciences"/>
    <n v="1"/>
    <n v="0"/>
    <n v="0"/>
    <n v="0"/>
    <n v="0"/>
    <x v="2"/>
    <s v="Male"/>
    <n v="0"/>
    <n v="37"/>
    <n v="3"/>
    <n v="3"/>
    <s v="Sales Executive"/>
    <n v="0"/>
    <n v="1"/>
    <n v="0"/>
    <n v="0"/>
    <n v="0"/>
    <n v="0"/>
    <n v="0"/>
    <n v="0"/>
    <n v="3"/>
    <x v="0"/>
    <n v="1"/>
    <n v="0"/>
    <n v="8726"/>
    <n v="8726"/>
    <n v="1"/>
    <x v="1"/>
    <n v="0"/>
    <n v="15"/>
    <n v="3"/>
    <n v="4"/>
    <n v="0"/>
    <n v="9"/>
    <n v="9"/>
    <n v="0"/>
    <n v="3"/>
    <n v="9"/>
    <n v="9"/>
    <n v="8"/>
    <n v="1"/>
    <n v="1"/>
    <n v="7"/>
    <n v="7"/>
    <n v="21"/>
  </r>
  <r>
    <n v="30"/>
    <n v="30"/>
    <x v="1"/>
    <n v="0"/>
    <s v="Travel_Frequently"/>
    <n v="1"/>
    <n v="0"/>
    <x v="1"/>
    <n v="1"/>
    <n v="0"/>
    <n v="1"/>
    <n v="1"/>
    <n v="2"/>
    <s v="Medical"/>
    <n v="0"/>
    <n v="0"/>
    <n v="1"/>
    <n v="0"/>
    <n v="0"/>
    <x v="1"/>
    <s v="Female"/>
    <n v="1"/>
    <n v="58"/>
    <n v="3"/>
    <n v="2"/>
    <s v="Laboratory Technician"/>
    <n v="0"/>
    <n v="0"/>
    <n v="1"/>
    <n v="0"/>
    <n v="0"/>
    <n v="0"/>
    <n v="0"/>
    <n v="0"/>
    <n v="4"/>
    <x v="0"/>
    <n v="1"/>
    <n v="0"/>
    <n v="4011"/>
    <n v="4011"/>
    <n v="1"/>
    <x v="1"/>
    <n v="0"/>
    <n v="23"/>
    <n v="4"/>
    <n v="4"/>
    <n v="0"/>
    <n v="12"/>
    <n v="12"/>
    <n v="2"/>
    <n v="3"/>
    <n v="12"/>
    <n v="12"/>
    <n v="8"/>
    <n v="3"/>
    <n v="3"/>
    <n v="7"/>
    <n v="7"/>
    <n v="14"/>
  </r>
  <r>
    <n v="41"/>
    <n v="41"/>
    <x v="0"/>
    <n v="1"/>
    <s v="Travel_Rarely"/>
    <n v="0"/>
    <n v="1"/>
    <x v="1"/>
    <n v="1"/>
    <n v="0"/>
    <n v="12"/>
    <n v="12"/>
    <n v="3"/>
    <s v="Technical Degree"/>
    <n v="0"/>
    <n v="0"/>
    <n v="0"/>
    <n v="0"/>
    <n v="1"/>
    <x v="0"/>
    <s v="Female"/>
    <n v="1"/>
    <n v="49"/>
    <n v="3"/>
    <n v="5"/>
    <s v="Research Director"/>
    <n v="0"/>
    <n v="0"/>
    <n v="0"/>
    <n v="0"/>
    <n v="0"/>
    <n v="0"/>
    <n v="0"/>
    <n v="0"/>
    <n v="3"/>
    <x v="1"/>
    <n v="0"/>
    <n v="1"/>
    <n v="19545"/>
    <n v="19545"/>
    <n v="1"/>
    <x v="1"/>
    <n v="0"/>
    <n v="12"/>
    <n v="3"/>
    <n v="4"/>
    <n v="0"/>
    <n v="23"/>
    <n v="23"/>
    <n v="0"/>
    <n v="3"/>
    <n v="22"/>
    <n v="22"/>
    <n v="15"/>
    <n v="15"/>
    <n v="14"/>
    <n v="8"/>
    <n v="8"/>
    <n v="40"/>
  </r>
  <r>
    <n v="34"/>
    <n v="34"/>
    <x v="1"/>
    <n v="0"/>
    <s v="Non-Travel"/>
    <n v="0"/>
    <n v="0"/>
    <x v="0"/>
    <n v="0"/>
    <n v="1"/>
    <n v="23"/>
    <n v="23"/>
    <n v="4"/>
    <s v="Marketing"/>
    <n v="0"/>
    <n v="0"/>
    <n v="0"/>
    <n v="1"/>
    <n v="0"/>
    <x v="0"/>
    <s v="Male"/>
    <n v="0"/>
    <n v="72"/>
    <n v="3"/>
    <n v="2"/>
    <s v="Sales Executive"/>
    <n v="0"/>
    <n v="1"/>
    <n v="0"/>
    <n v="0"/>
    <n v="0"/>
    <n v="0"/>
    <n v="0"/>
    <n v="0"/>
    <n v="3"/>
    <x v="0"/>
    <n v="1"/>
    <n v="0"/>
    <n v="4568"/>
    <n v="4568"/>
    <n v="0"/>
    <x v="1"/>
    <n v="0"/>
    <n v="20"/>
    <n v="4"/>
    <n v="3"/>
    <n v="0"/>
    <n v="10"/>
    <n v="10"/>
    <n v="2"/>
    <n v="3"/>
    <n v="9"/>
    <n v="9"/>
    <n v="5"/>
    <n v="8"/>
    <n v="8"/>
    <n v="7"/>
    <n v="7"/>
    <n v="14"/>
  </r>
  <r>
    <n v="37"/>
    <n v="37"/>
    <x v="1"/>
    <n v="0"/>
    <s v="Travel_Rarely"/>
    <n v="0"/>
    <n v="1"/>
    <x v="1"/>
    <n v="1"/>
    <n v="0"/>
    <n v="19"/>
    <n v="19"/>
    <n v="2"/>
    <s v="Life Sciences"/>
    <n v="1"/>
    <n v="0"/>
    <n v="0"/>
    <n v="0"/>
    <n v="0"/>
    <x v="0"/>
    <s v="Male"/>
    <n v="0"/>
    <n v="73"/>
    <n v="3"/>
    <n v="1"/>
    <s v="Research Scientist"/>
    <n v="0"/>
    <n v="0"/>
    <n v="0"/>
    <n v="0"/>
    <n v="0"/>
    <n v="0"/>
    <n v="0"/>
    <n v="1"/>
    <n v="2"/>
    <x v="1"/>
    <n v="0"/>
    <n v="1"/>
    <n v="3022"/>
    <n v="3022"/>
    <n v="4"/>
    <x v="1"/>
    <n v="0"/>
    <n v="21"/>
    <n v="4"/>
    <n v="1"/>
    <n v="0"/>
    <n v="8"/>
    <n v="8"/>
    <n v="1"/>
    <n v="3"/>
    <n v="1"/>
    <n v="1"/>
    <n v="0"/>
    <n v="0"/>
    <n v="0"/>
    <n v="0"/>
    <n v="0"/>
    <n v="0"/>
  </r>
  <r>
    <n v="46"/>
    <n v="46"/>
    <x v="1"/>
    <n v="0"/>
    <s v="Travel_Frequently"/>
    <n v="1"/>
    <n v="0"/>
    <x v="0"/>
    <n v="0"/>
    <n v="1"/>
    <n v="5"/>
    <n v="5"/>
    <n v="4"/>
    <s v="Marketing"/>
    <n v="0"/>
    <n v="0"/>
    <n v="0"/>
    <n v="1"/>
    <n v="0"/>
    <x v="3"/>
    <s v="Male"/>
    <n v="0"/>
    <n v="98"/>
    <n v="3"/>
    <n v="2"/>
    <s v="Sales Executive"/>
    <n v="0"/>
    <n v="1"/>
    <n v="0"/>
    <n v="0"/>
    <n v="0"/>
    <n v="0"/>
    <n v="0"/>
    <n v="0"/>
    <n v="4"/>
    <x v="0"/>
    <n v="1"/>
    <n v="0"/>
    <n v="5772"/>
    <n v="5772"/>
    <n v="4"/>
    <x v="0"/>
    <n v="1"/>
    <n v="21"/>
    <n v="4"/>
    <n v="3"/>
    <n v="0"/>
    <n v="14"/>
    <n v="14"/>
    <n v="4"/>
    <n v="3"/>
    <n v="9"/>
    <n v="9"/>
    <n v="6"/>
    <n v="0"/>
    <n v="0"/>
    <n v="8"/>
    <n v="8"/>
    <n v="16"/>
  </r>
  <r>
    <n v="35"/>
    <n v="35"/>
    <x v="1"/>
    <n v="0"/>
    <s v="Travel_Rarely"/>
    <n v="0"/>
    <n v="1"/>
    <x v="1"/>
    <n v="1"/>
    <n v="0"/>
    <n v="8"/>
    <n v="8"/>
    <n v="1"/>
    <s v="Life Sciences"/>
    <n v="1"/>
    <n v="0"/>
    <n v="0"/>
    <n v="0"/>
    <n v="0"/>
    <x v="2"/>
    <s v="Male"/>
    <n v="0"/>
    <n v="36"/>
    <n v="4"/>
    <n v="1"/>
    <s v="Laboratory Technician"/>
    <n v="0"/>
    <n v="0"/>
    <n v="1"/>
    <n v="0"/>
    <n v="0"/>
    <n v="0"/>
    <n v="0"/>
    <n v="0"/>
    <n v="4"/>
    <x v="1"/>
    <n v="0"/>
    <n v="1"/>
    <n v="2269"/>
    <n v="2269"/>
    <n v="1"/>
    <x v="1"/>
    <n v="0"/>
    <n v="19"/>
    <n v="3"/>
    <n v="4"/>
    <n v="0"/>
    <n v="1"/>
    <n v="1"/>
    <n v="2"/>
    <n v="3"/>
    <n v="1"/>
    <n v="1"/>
    <n v="0"/>
    <n v="0"/>
    <n v="0"/>
    <n v="1"/>
    <n v="1"/>
    <n v="1"/>
  </r>
  <r>
    <n v="48"/>
    <n v="48"/>
    <x v="0"/>
    <n v="1"/>
    <s v="Travel_Rarely"/>
    <n v="0"/>
    <n v="1"/>
    <x v="1"/>
    <n v="1"/>
    <n v="0"/>
    <n v="1"/>
    <n v="1"/>
    <n v="2"/>
    <s v="Life Sciences"/>
    <n v="1"/>
    <n v="0"/>
    <n v="0"/>
    <n v="0"/>
    <n v="0"/>
    <x v="3"/>
    <s v="Male"/>
    <n v="0"/>
    <n v="98"/>
    <n v="2"/>
    <n v="3"/>
    <s v="Laboratory Technician"/>
    <n v="0"/>
    <n v="0"/>
    <n v="1"/>
    <n v="0"/>
    <n v="0"/>
    <n v="0"/>
    <n v="0"/>
    <n v="0"/>
    <n v="3"/>
    <x v="0"/>
    <n v="1"/>
    <n v="0"/>
    <n v="5381"/>
    <n v="5381"/>
    <n v="9"/>
    <x v="0"/>
    <n v="1"/>
    <n v="13"/>
    <n v="3"/>
    <n v="4"/>
    <n v="0"/>
    <n v="23"/>
    <n v="23"/>
    <n v="2"/>
    <n v="3"/>
    <n v="1"/>
    <n v="1"/>
    <n v="0"/>
    <n v="0"/>
    <n v="0"/>
    <n v="0"/>
    <n v="0"/>
    <n v="0"/>
  </r>
  <r>
    <n v="28"/>
    <n v="28"/>
    <x v="0"/>
    <n v="1"/>
    <s v="Travel_Rarely"/>
    <n v="0"/>
    <n v="1"/>
    <x v="1"/>
    <n v="1"/>
    <n v="0"/>
    <n v="5"/>
    <n v="5"/>
    <n v="4"/>
    <s v="Technical Degree"/>
    <n v="0"/>
    <n v="0"/>
    <n v="0"/>
    <n v="0"/>
    <n v="1"/>
    <x v="1"/>
    <s v="Male"/>
    <n v="0"/>
    <n v="50"/>
    <n v="3"/>
    <n v="1"/>
    <s v="Laboratory Technician"/>
    <n v="0"/>
    <n v="0"/>
    <n v="1"/>
    <n v="0"/>
    <n v="0"/>
    <n v="0"/>
    <n v="0"/>
    <n v="0"/>
    <n v="3"/>
    <x v="0"/>
    <n v="1"/>
    <n v="0"/>
    <n v="3441"/>
    <n v="3441"/>
    <n v="1"/>
    <x v="0"/>
    <n v="1"/>
    <n v="13"/>
    <n v="3"/>
    <n v="3"/>
    <n v="0"/>
    <n v="2"/>
    <n v="2"/>
    <n v="3"/>
    <n v="2"/>
    <n v="2"/>
    <n v="2"/>
    <n v="2"/>
    <n v="2"/>
    <n v="2"/>
    <n v="2"/>
    <n v="2"/>
    <n v="2"/>
  </r>
  <r>
    <n v="44"/>
    <n v="44"/>
    <x v="1"/>
    <n v="0"/>
    <s v="Travel_Rarely"/>
    <n v="0"/>
    <n v="1"/>
    <x v="0"/>
    <n v="0"/>
    <n v="1"/>
    <n v="1"/>
    <n v="1"/>
    <n v="5"/>
    <s v="Marketing"/>
    <n v="0"/>
    <n v="0"/>
    <n v="0"/>
    <n v="1"/>
    <n v="0"/>
    <x v="0"/>
    <s v="Female"/>
    <n v="1"/>
    <n v="75"/>
    <n v="3"/>
    <n v="2"/>
    <s v="Sales Executive"/>
    <n v="0"/>
    <n v="1"/>
    <n v="0"/>
    <n v="0"/>
    <n v="0"/>
    <n v="0"/>
    <n v="0"/>
    <n v="0"/>
    <n v="1"/>
    <x v="2"/>
    <n v="0"/>
    <n v="0"/>
    <n v="5454"/>
    <n v="5454"/>
    <n v="5"/>
    <x v="0"/>
    <n v="1"/>
    <n v="21"/>
    <n v="4"/>
    <n v="3"/>
    <n v="1"/>
    <n v="9"/>
    <n v="9"/>
    <n v="2"/>
    <n v="2"/>
    <n v="4"/>
    <n v="4"/>
    <n v="3"/>
    <n v="1"/>
    <n v="1"/>
    <n v="3"/>
    <n v="3"/>
    <n v="6"/>
  </r>
  <r>
    <n v="35"/>
    <n v="35"/>
    <x v="1"/>
    <n v="0"/>
    <s v="Non-Travel"/>
    <n v="0"/>
    <n v="0"/>
    <x v="1"/>
    <n v="1"/>
    <n v="0"/>
    <n v="11"/>
    <n v="11"/>
    <n v="2"/>
    <s v="Medical"/>
    <n v="0"/>
    <n v="0"/>
    <n v="1"/>
    <n v="0"/>
    <n v="0"/>
    <x v="1"/>
    <s v="Male"/>
    <n v="0"/>
    <n v="79"/>
    <n v="2"/>
    <n v="3"/>
    <s v="Healthcare Representative"/>
    <n v="1"/>
    <n v="0"/>
    <n v="0"/>
    <n v="0"/>
    <n v="0"/>
    <n v="0"/>
    <n v="0"/>
    <n v="0"/>
    <n v="1"/>
    <x v="1"/>
    <n v="0"/>
    <n v="1"/>
    <n v="9884"/>
    <n v="9884"/>
    <n v="2"/>
    <x v="0"/>
    <n v="1"/>
    <n v="13"/>
    <n v="3"/>
    <n v="3"/>
    <n v="1"/>
    <n v="10"/>
    <n v="10"/>
    <n v="3"/>
    <n v="3"/>
    <n v="4"/>
    <n v="4"/>
    <n v="0"/>
    <n v="2"/>
    <n v="2"/>
    <n v="3"/>
    <n v="3"/>
    <n v="9"/>
  </r>
  <r>
    <n v="26"/>
    <n v="26"/>
    <x v="1"/>
    <n v="0"/>
    <s v="Travel_Rarely"/>
    <n v="0"/>
    <n v="1"/>
    <x v="0"/>
    <n v="0"/>
    <n v="1"/>
    <n v="23"/>
    <n v="23"/>
    <n v="3"/>
    <s v="Marketing"/>
    <n v="0"/>
    <n v="0"/>
    <n v="0"/>
    <n v="1"/>
    <n v="0"/>
    <x v="1"/>
    <s v="Female"/>
    <n v="1"/>
    <n v="47"/>
    <n v="2"/>
    <n v="2"/>
    <s v="Sales Executive"/>
    <n v="0"/>
    <n v="1"/>
    <n v="0"/>
    <n v="0"/>
    <n v="0"/>
    <n v="0"/>
    <n v="0"/>
    <n v="0"/>
    <n v="4"/>
    <x v="1"/>
    <n v="0"/>
    <n v="1"/>
    <n v="4157"/>
    <n v="4157"/>
    <n v="7"/>
    <x v="0"/>
    <n v="1"/>
    <n v="19"/>
    <n v="3"/>
    <n v="3"/>
    <n v="1"/>
    <n v="5"/>
    <n v="5"/>
    <n v="2"/>
    <n v="2"/>
    <n v="2"/>
    <n v="2"/>
    <n v="2"/>
    <n v="0"/>
    <n v="0"/>
    <n v="0"/>
    <n v="0"/>
    <n v="0"/>
  </r>
  <r>
    <n v="33"/>
    <n v="33"/>
    <x v="1"/>
    <n v="0"/>
    <s v="Travel_Frequently"/>
    <n v="1"/>
    <n v="0"/>
    <x v="1"/>
    <n v="1"/>
    <n v="0"/>
    <n v="1"/>
    <n v="1"/>
    <n v="2"/>
    <s v="Life Sciences"/>
    <n v="1"/>
    <n v="0"/>
    <n v="0"/>
    <n v="0"/>
    <n v="0"/>
    <x v="3"/>
    <s v="Female"/>
    <n v="1"/>
    <n v="98"/>
    <n v="3"/>
    <n v="3"/>
    <s v="Research Director"/>
    <n v="0"/>
    <n v="0"/>
    <n v="0"/>
    <n v="0"/>
    <n v="0"/>
    <n v="0"/>
    <n v="0"/>
    <n v="0"/>
    <n v="4"/>
    <x v="0"/>
    <n v="1"/>
    <n v="0"/>
    <n v="13458"/>
    <n v="13458"/>
    <n v="1"/>
    <x v="0"/>
    <n v="1"/>
    <n v="12"/>
    <n v="3"/>
    <n v="3"/>
    <n v="0"/>
    <n v="15"/>
    <n v="15"/>
    <n v="1"/>
    <n v="3"/>
    <n v="15"/>
    <n v="15"/>
    <n v="14"/>
    <n v="8"/>
    <n v="8"/>
    <n v="12"/>
    <n v="12"/>
    <n v="36"/>
  </r>
  <r>
    <n v="35"/>
    <n v="35"/>
    <x v="1"/>
    <n v="0"/>
    <s v="Travel_Frequently"/>
    <n v="1"/>
    <n v="0"/>
    <x v="0"/>
    <n v="0"/>
    <n v="1"/>
    <n v="18"/>
    <n v="18"/>
    <n v="5"/>
    <s v="Life Sciences"/>
    <n v="1"/>
    <n v="0"/>
    <n v="0"/>
    <n v="0"/>
    <n v="0"/>
    <x v="0"/>
    <s v="Male"/>
    <n v="0"/>
    <n v="71"/>
    <n v="3"/>
    <n v="3"/>
    <s v="Sales Executive"/>
    <n v="0"/>
    <n v="1"/>
    <n v="0"/>
    <n v="0"/>
    <n v="0"/>
    <n v="0"/>
    <n v="0"/>
    <n v="0"/>
    <n v="1"/>
    <x v="1"/>
    <n v="0"/>
    <n v="1"/>
    <n v="9069"/>
    <n v="9069"/>
    <n v="1"/>
    <x v="1"/>
    <n v="0"/>
    <n v="22"/>
    <n v="4"/>
    <n v="4"/>
    <n v="1"/>
    <n v="9"/>
    <n v="9"/>
    <n v="3"/>
    <n v="2"/>
    <n v="9"/>
    <n v="9"/>
    <n v="8"/>
    <n v="1"/>
    <n v="1"/>
    <n v="8"/>
    <n v="8"/>
    <n v="24"/>
  </r>
  <r>
    <n v="35"/>
    <n v="35"/>
    <x v="1"/>
    <n v="0"/>
    <s v="Travel_Rarely"/>
    <n v="0"/>
    <n v="1"/>
    <x v="1"/>
    <n v="1"/>
    <n v="0"/>
    <n v="23"/>
    <n v="23"/>
    <n v="4"/>
    <s v="Medical"/>
    <n v="0"/>
    <n v="0"/>
    <n v="1"/>
    <n v="0"/>
    <n v="0"/>
    <x v="1"/>
    <s v="Female"/>
    <n v="1"/>
    <n v="30"/>
    <n v="3"/>
    <n v="1"/>
    <s v="Laboratory Technician"/>
    <n v="0"/>
    <n v="0"/>
    <n v="1"/>
    <n v="0"/>
    <n v="0"/>
    <n v="0"/>
    <n v="0"/>
    <n v="0"/>
    <n v="1"/>
    <x v="1"/>
    <n v="0"/>
    <n v="1"/>
    <n v="4014"/>
    <n v="4014"/>
    <n v="3"/>
    <x v="0"/>
    <n v="1"/>
    <n v="15"/>
    <n v="3"/>
    <n v="3"/>
    <n v="1"/>
    <n v="4"/>
    <n v="4"/>
    <n v="3"/>
    <n v="3"/>
    <n v="2"/>
    <n v="2"/>
    <n v="2"/>
    <n v="2"/>
    <n v="2"/>
    <n v="2"/>
    <n v="2"/>
    <n v="2"/>
  </r>
  <r>
    <n v="31"/>
    <n v="31"/>
    <x v="1"/>
    <n v="0"/>
    <s v="Travel_Rarely"/>
    <n v="0"/>
    <n v="1"/>
    <x v="1"/>
    <n v="1"/>
    <n v="0"/>
    <n v="7"/>
    <n v="7"/>
    <n v="4"/>
    <s v="Life Sciences"/>
    <n v="1"/>
    <n v="0"/>
    <n v="0"/>
    <n v="0"/>
    <n v="0"/>
    <x v="2"/>
    <s v="Male"/>
    <n v="0"/>
    <n v="48"/>
    <n v="3"/>
    <n v="2"/>
    <s v="Laboratory Technician"/>
    <n v="0"/>
    <n v="0"/>
    <n v="1"/>
    <n v="0"/>
    <n v="0"/>
    <n v="0"/>
    <n v="0"/>
    <n v="0"/>
    <n v="4"/>
    <x v="2"/>
    <n v="0"/>
    <n v="0"/>
    <n v="5915"/>
    <n v="5915"/>
    <n v="3"/>
    <x v="1"/>
    <n v="0"/>
    <n v="22"/>
    <n v="4"/>
    <n v="4"/>
    <n v="1"/>
    <n v="10"/>
    <n v="10"/>
    <n v="3"/>
    <n v="2"/>
    <n v="7"/>
    <n v="7"/>
    <n v="7"/>
    <n v="1"/>
    <n v="1"/>
    <n v="7"/>
    <n v="7"/>
    <n v="14"/>
  </r>
  <r>
    <n v="37"/>
    <n v="37"/>
    <x v="1"/>
    <n v="0"/>
    <s v="Travel_Rarely"/>
    <n v="0"/>
    <n v="1"/>
    <x v="1"/>
    <n v="1"/>
    <n v="0"/>
    <n v="1"/>
    <n v="1"/>
    <n v="4"/>
    <s v="Life Sciences"/>
    <n v="1"/>
    <n v="0"/>
    <n v="0"/>
    <n v="0"/>
    <n v="0"/>
    <x v="3"/>
    <s v="Male"/>
    <n v="0"/>
    <n v="51"/>
    <n v="2"/>
    <n v="2"/>
    <s v="Manufacturing Director"/>
    <n v="0"/>
    <n v="0"/>
    <n v="0"/>
    <n v="0"/>
    <n v="1"/>
    <n v="1"/>
    <n v="0"/>
    <n v="0"/>
    <n v="3"/>
    <x v="2"/>
    <n v="0"/>
    <n v="0"/>
    <n v="5993"/>
    <n v="5993"/>
    <n v="1"/>
    <x v="1"/>
    <n v="0"/>
    <n v="18"/>
    <n v="3"/>
    <n v="3"/>
    <n v="1"/>
    <n v="7"/>
    <n v="7"/>
    <n v="2"/>
    <n v="4"/>
    <n v="7"/>
    <n v="7"/>
    <n v="5"/>
    <n v="0"/>
    <n v="0"/>
    <n v="7"/>
    <n v="7"/>
    <n v="14"/>
  </r>
  <r>
    <n v="32"/>
    <n v="32"/>
    <x v="1"/>
    <n v="0"/>
    <s v="Travel_Rarely"/>
    <n v="0"/>
    <n v="1"/>
    <x v="1"/>
    <n v="1"/>
    <n v="0"/>
    <n v="1"/>
    <n v="1"/>
    <n v="3"/>
    <s v="Medical"/>
    <n v="0"/>
    <n v="0"/>
    <n v="1"/>
    <n v="0"/>
    <n v="0"/>
    <x v="3"/>
    <s v="Male"/>
    <n v="0"/>
    <n v="33"/>
    <n v="3"/>
    <n v="2"/>
    <s v="Manufacturing Director"/>
    <n v="0"/>
    <n v="0"/>
    <n v="0"/>
    <n v="0"/>
    <n v="1"/>
    <n v="1"/>
    <n v="0"/>
    <n v="0"/>
    <n v="4"/>
    <x v="1"/>
    <n v="0"/>
    <n v="1"/>
    <n v="6162"/>
    <n v="6162"/>
    <n v="1"/>
    <x v="0"/>
    <n v="1"/>
    <n v="22"/>
    <n v="4"/>
    <n v="2"/>
    <n v="1"/>
    <n v="9"/>
    <n v="9"/>
    <n v="3"/>
    <n v="3"/>
    <n v="9"/>
    <n v="9"/>
    <n v="8"/>
    <n v="7"/>
    <n v="7"/>
    <n v="8"/>
    <n v="8"/>
    <n v="16"/>
  </r>
  <r>
    <n v="38"/>
    <n v="38"/>
    <x v="1"/>
    <n v="0"/>
    <s v="Travel_Frequently"/>
    <n v="1"/>
    <n v="0"/>
    <x v="1"/>
    <n v="1"/>
    <n v="0"/>
    <n v="29"/>
    <n v="29"/>
    <n v="5"/>
    <s v="Life Sciences"/>
    <n v="1"/>
    <n v="0"/>
    <n v="0"/>
    <n v="0"/>
    <n v="0"/>
    <x v="2"/>
    <s v="Female"/>
    <n v="1"/>
    <n v="50"/>
    <n v="3"/>
    <n v="2"/>
    <s v="Laboratory Technician"/>
    <n v="0"/>
    <n v="0"/>
    <n v="1"/>
    <n v="0"/>
    <n v="0"/>
    <n v="0"/>
    <n v="0"/>
    <n v="0"/>
    <n v="4"/>
    <x v="0"/>
    <n v="1"/>
    <n v="0"/>
    <n v="2406"/>
    <n v="2406"/>
    <n v="1"/>
    <x v="1"/>
    <n v="0"/>
    <n v="11"/>
    <n v="3"/>
    <n v="4"/>
    <n v="0"/>
    <n v="10"/>
    <n v="10"/>
    <n v="2"/>
    <n v="3"/>
    <n v="10"/>
    <n v="10"/>
    <n v="3"/>
    <n v="9"/>
    <n v="9"/>
    <n v="9"/>
    <n v="9"/>
    <n v="18"/>
  </r>
  <r>
    <n v="50"/>
    <n v="50"/>
    <x v="1"/>
    <n v="0"/>
    <s v="Travel_Rarely"/>
    <n v="0"/>
    <n v="1"/>
    <x v="1"/>
    <n v="1"/>
    <n v="0"/>
    <n v="7"/>
    <n v="7"/>
    <n v="2"/>
    <s v="Medical"/>
    <n v="0"/>
    <n v="0"/>
    <n v="1"/>
    <n v="0"/>
    <n v="0"/>
    <x v="0"/>
    <s v="Female"/>
    <n v="1"/>
    <n v="43"/>
    <n v="2"/>
    <n v="5"/>
    <s v="Research Director"/>
    <n v="0"/>
    <n v="0"/>
    <n v="0"/>
    <n v="0"/>
    <n v="0"/>
    <n v="0"/>
    <n v="0"/>
    <n v="0"/>
    <n v="3"/>
    <x v="2"/>
    <n v="0"/>
    <n v="0"/>
    <n v="18740"/>
    <n v="18740"/>
    <n v="5"/>
    <x v="0"/>
    <n v="1"/>
    <n v="12"/>
    <n v="3"/>
    <n v="4"/>
    <n v="1"/>
    <n v="29"/>
    <n v="29"/>
    <n v="2"/>
    <n v="2"/>
    <n v="27"/>
    <n v="27"/>
    <n v="3"/>
    <n v="13"/>
    <n v="13"/>
    <n v="8"/>
    <n v="8"/>
    <n v="40"/>
  </r>
  <r>
    <n v="59"/>
    <n v="58.309999999999945"/>
    <x v="1"/>
    <n v="0"/>
    <s v="Travel_Rarely"/>
    <n v="0"/>
    <n v="1"/>
    <x v="0"/>
    <n v="0"/>
    <n v="1"/>
    <n v="25"/>
    <n v="25"/>
    <n v="3"/>
    <s v="Life Sciences"/>
    <n v="1"/>
    <n v="0"/>
    <n v="0"/>
    <n v="0"/>
    <n v="0"/>
    <x v="3"/>
    <s v="Female"/>
    <n v="1"/>
    <n v="99"/>
    <n v="3"/>
    <n v="3"/>
    <s v="Sales Executive"/>
    <n v="0"/>
    <n v="1"/>
    <n v="0"/>
    <n v="0"/>
    <n v="0"/>
    <n v="0"/>
    <n v="0"/>
    <n v="0"/>
    <n v="1"/>
    <x v="0"/>
    <n v="1"/>
    <n v="0"/>
    <n v="7637"/>
    <n v="7637"/>
    <n v="7"/>
    <x v="1"/>
    <n v="0"/>
    <n v="11"/>
    <n v="3"/>
    <n v="4"/>
    <n v="0"/>
    <n v="28"/>
    <n v="28"/>
    <n v="3"/>
    <n v="2"/>
    <n v="21"/>
    <n v="21"/>
    <n v="16"/>
    <n v="7"/>
    <n v="7"/>
    <n v="9"/>
    <n v="9"/>
    <n v="27"/>
  </r>
  <r>
    <n v="36"/>
    <n v="36"/>
    <x v="1"/>
    <n v="0"/>
    <s v="Travel_Rarely"/>
    <n v="0"/>
    <n v="1"/>
    <x v="1"/>
    <n v="1"/>
    <n v="0"/>
    <n v="8"/>
    <n v="8"/>
    <n v="3"/>
    <s v="Technical Degree"/>
    <n v="0"/>
    <n v="0"/>
    <n v="0"/>
    <n v="0"/>
    <n v="1"/>
    <x v="1"/>
    <s v="Female"/>
    <n v="1"/>
    <n v="59"/>
    <n v="3"/>
    <n v="3"/>
    <s v="Healthcare Representative"/>
    <n v="1"/>
    <n v="0"/>
    <n v="0"/>
    <n v="0"/>
    <n v="0"/>
    <n v="0"/>
    <n v="0"/>
    <n v="0"/>
    <n v="3"/>
    <x v="2"/>
    <n v="0"/>
    <n v="0"/>
    <n v="10096"/>
    <n v="10096"/>
    <n v="1"/>
    <x v="1"/>
    <n v="0"/>
    <n v="13"/>
    <n v="3"/>
    <n v="2"/>
    <n v="3"/>
    <n v="17"/>
    <n v="17"/>
    <n v="2"/>
    <n v="3"/>
    <n v="17"/>
    <n v="17"/>
    <n v="14"/>
    <n v="12"/>
    <n v="12"/>
    <n v="8"/>
    <n v="8"/>
    <n v="24"/>
  </r>
  <r>
    <n v="55"/>
    <n v="55"/>
    <x v="1"/>
    <n v="0"/>
    <s v="Travel_Rarely"/>
    <n v="0"/>
    <n v="1"/>
    <x v="1"/>
    <n v="1"/>
    <n v="0"/>
    <n v="8"/>
    <n v="8"/>
    <n v="3"/>
    <s v="Medical"/>
    <n v="0"/>
    <n v="0"/>
    <n v="1"/>
    <n v="0"/>
    <n v="0"/>
    <x v="2"/>
    <s v="Female"/>
    <n v="1"/>
    <n v="33"/>
    <n v="3"/>
    <n v="4"/>
    <s v="Manager"/>
    <n v="0"/>
    <n v="0"/>
    <n v="0"/>
    <n v="1"/>
    <n v="0"/>
    <n v="0"/>
    <n v="0"/>
    <n v="0"/>
    <n v="3"/>
    <x v="2"/>
    <n v="0"/>
    <n v="0"/>
    <n v="14756"/>
    <n v="14756"/>
    <n v="2"/>
    <x v="0"/>
    <n v="1"/>
    <n v="14"/>
    <n v="3"/>
    <n v="3"/>
    <n v="3"/>
    <n v="21"/>
    <n v="21"/>
    <n v="2"/>
    <n v="3"/>
    <n v="5"/>
    <n v="5"/>
    <n v="0"/>
    <n v="0"/>
    <n v="0"/>
    <n v="2"/>
    <n v="2"/>
    <n v="8"/>
  </r>
  <r>
    <n v="36"/>
    <n v="36"/>
    <x v="1"/>
    <n v="0"/>
    <s v="Travel_Frequently"/>
    <n v="1"/>
    <n v="0"/>
    <x v="1"/>
    <n v="1"/>
    <n v="0"/>
    <n v="11"/>
    <n v="11"/>
    <n v="3"/>
    <s v="Life Sciences"/>
    <n v="1"/>
    <n v="0"/>
    <n v="0"/>
    <n v="0"/>
    <n v="0"/>
    <x v="0"/>
    <s v="Male"/>
    <n v="0"/>
    <n v="95"/>
    <n v="2"/>
    <n v="2"/>
    <s v="Manufacturing Director"/>
    <n v="0"/>
    <n v="0"/>
    <n v="0"/>
    <n v="0"/>
    <n v="1"/>
    <n v="1"/>
    <n v="0"/>
    <n v="0"/>
    <n v="2"/>
    <x v="0"/>
    <n v="1"/>
    <n v="0"/>
    <n v="6499"/>
    <n v="6499"/>
    <n v="1"/>
    <x v="1"/>
    <n v="0"/>
    <n v="13"/>
    <n v="3"/>
    <n v="3"/>
    <n v="0"/>
    <n v="6"/>
    <n v="6"/>
    <n v="3"/>
    <n v="3"/>
    <n v="6"/>
    <n v="6"/>
    <n v="5"/>
    <n v="0"/>
    <n v="0"/>
    <n v="3"/>
    <n v="3"/>
    <n v="6"/>
  </r>
  <r>
    <n v="45"/>
    <n v="45"/>
    <x v="1"/>
    <n v="0"/>
    <s v="Travel_Rarely"/>
    <n v="0"/>
    <n v="1"/>
    <x v="1"/>
    <n v="1"/>
    <n v="0"/>
    <n v="7"/>
    <n v="7"/>
    <n v="3"/>
    <s v="Life Sciences"/>
    <n v="1"/>
    <n v="0"/>
    <n v="0"/>
    <n v="0"/>
    <n v="0"/>
    <x v="0"/>
    <s v="Male"/>
    <n v="0"/>
    <n v="59"/>
    <n v="3"/>
    <n v="3"/>
    <s v="Research Scientist"/>
    <n v="0"/>
    <n v="0"/>
    <n v="0"/>
    <n v="0"/>
    <n v="0"/>
    <n v="0"/>
    <n v="0"/>
    <n v="1"/>
    <n v="1"/>
    <x v="2"/>
    <n v="0"/>
    <n v="0"/>
    <n v="9724"/>
    <n v="9724"/>
    <n v="2"/>
    <x v="1"/>
    <n v="0"/>
    <n v="17"/>
    <n v="3"/>
    <n v="3"/>
    <n v="1"/>
    <n v="25"/>
    <n v="25"/>
    <n v="2"/>
    <n v="3"/>
    <n v="1"/>
    <n v="1"/>
    <n v="0"/>
    <n v="0"/>
    <n v="0"/>
    <n v="0"/>
    <n v="0"/>
    <n v="0"/>
  </r>
  <r>
    <n v="35"/>
    <n v="35"/>
    <x v="1"/>
    <n v="0"/>
    <s v="Travel_Frequently"/>
    <n v="1"/>
    <n v="0"/>
    <x v="1"/>
    <n v="1"/>
    <n v="0"/>
    <n v="1"/>
    <n v="1"/>
    <n v="3"/>
    <s v="Medical"/>
    <n v="0"/>
    <n v="0"/>
    <n v="1"/>
    <n v="0"/>
    <n v="0"/>
    <x v="0"/>
    <s v="Male"/>
    <n v="0"/>
    <n v="79"/>
    <n v="3"/>
    <n v="1"/>
    <s v="Research Scientist"/>
    <n v="0"/>
    <n v="0"/>
    <n v="0"/>
    <n v="0"/>
    <n v="0"/>
    <n v="0"/>
    <n v="0"/>
    <n v="1"/>
    <n v="1"/>
    <x v="1"/>
    <n v="0"/>
    <n v="1"/>
    <n v="2194"/>
    <n v="2194"/>
    <n v="4"/>
    <x v="1"/>
    <n v="0"/>
    <n v="13"/>
    <n v="3"/>
    <n v="4"/>
    <n v="1"/>
    <n v="5"/>
    <n v="5"/>
    <n v="2"/>
    <n v="2"/>
    <n v="3"/>
    <n v="3"/>
    <n v="2"/>
    <n v="1"/>
    <n v="1"/>
    <n v="2"/>
    <n v="2"/>
    <n v="2"/>
  </r>
  <r>
    <n v="36"/>
    <n v="36"/>
    <x v="0"/>
    <n v="1"/>
    <s v="Travel_Rarely"/>
    <n v="0"/>
    <n v="1"/>
    <x v="1"/>
    <n v="1"/>
    <n v="0"/>
    <n v="9"/>
    <n v="9"/>
    <n v="3"/>
    <s v="Medical"/>
    <n v="0"/>
    <n v="0"/>
    <n v="1"/>
    <n v="0"/>
    <n v="0"/>
    <x v="2"/>
    <s v="Male"/>
    <n v="0"/>
    <n v="79"/>
    <n v="2"/>
    <n v="1"/>
    <s v="Research Scientist"/>
    <n v="0"/>
    <n v="0"/>
    <n v="0"/>
    <n v="0"/>
    <n v="0"/>
    <n v="0"/>
    <n v="0"/>
    <n v="1"/>
    <n v="3"/>
    <x v="1"/>
    <n v="0"/>
    <n v="1"/>
    <n v="3388"/>
    <n v="3388"/>
    <n v="0"/>
    <x v="0"/>
    <n v="1"/>
    <n v="17"/>
    <n v="3"/>
    <n v="1"/>
    <n v="1"/>
    <n v="2"/>
    <n v="2"/>
    <n v="0"/>
    <n v="2"/>
    <n v="1"/>
    <n v="1"/>
    <n v="0"/>
    <n v="0"/>
    <n v="0"/>
    <n v="0"/>
    <n v="0"/>
    <n v="0"/>
  </r>
  <r>
    <n v="59"/>
    <n v="58.309999999999945"/>
    <x v="1"/>
    <n v="0"/>
    <s v="Travel_Frequently"/>
    <n v="1"/>
    <n v="0"/>
    <x v="0"/>
    <n v="0"/>
    <n v="1"/>
    <n v="1"/>
    <n v="1"/>
    <n v="1"/>
    <s v="Life Sciences"/>
    <n v="1"/>
    <n v="0"/>
    <n v="0"/>
    <n v="0"/>
    <n v="0"/>
    <x v="3"/>
    <s v="Female"/>
    <n v="1"/>
    <n v="57"/>
    <n v="2"/>
    <n v="2"/>
    <s v="Sales Executive"/>
    <n v="0"/>
    <n v="1"/>
    <n v="0"/>
    <n v="0"/>
    <n v="0"/>
    <n v="0"/>
    <n v="0"/>
    <n v="0"/>
    <n v="3"/>
    <x v="0"/>
    <n v="1"/>
    <n v="0"/>
    <n v="5473"/>
    <n v="5473"/>
    <n v="7"/>
    <x v="1"/>
    <n v="0"/>
    <n v="11"/>
    <n v="3"/>
    <n v="4"/>
    <n v="0"/>
    <n v="20"/>
    <n v="20"/>
    <n v="2"/>
    <n v="2"/>
    <n v="4"/>
    <n v="4"/>
    <n v="3"/>
    <n v="1"/>
    <n v="1"/>
    <n v="3"/>
    <n v="3"/>
    <n v="6"/>
  </r>
  <r>
    <n v="29"/>
    <n v="29"/>
    <x v="1"/>
    <n v="0"/>
    <s v="Travel_Rarely"/>
    <n v="0"/>
    <n v="1"/>
    <x v="1"/>
    <n v="1"/>
    <n v="0"/>
    <n v="2"/>
    <n v="2"/>
    <n v="3"/>
    <s v="Life Sciences"/>
    <n v="1"/>
    <n v="0"/>
    <n v="0"/>
    <n v="0"/>
    <n v="0"/>
    <x v="1"/>
    <s v="Male"/>
    <n v="0"/>
    <n v="76"/>
    <n v="3"/>
    <n v="1"/>
    <s v="Research Scientist"/>
    <n v="0"/>
    <n v="0"/>
    <n v="0"/>
    <n v="0"/>
    <n v="0"/>
    <n v="0"/>
    <n v="0"/>
    <n v="1"/>
    <n v="2"/>
    <x v="1"/>
    <n v="0"/>
    <n v="1"/>
    <n v="2703"/>
    <n v="2703"/>
    <n v="0"/>
    <x v="1"/>
    <n v="0"/>
    <n v="23"/>
    <n v="4"/>
    <n v="4"/>
    <n v="1"/>
    <n v="6"/>
    <n v="6"/>
    <n v="3"/>
    <n v="3"/>
    <n v="5"/>
    <n v="5"/>
    <n v="4"/>
    <n v="0"/>
    <n v="0"/>
    <n v="4"/>
    <n v="4"/>
    <n v="4"/>
  </r>
  <r>
    <n v="31"/>
    <n v="31"/>
    <x v="1"/>
    <n v="0"/>
    <s v="Travel_Rarely"/>
    <n v="0"/>
    <n v="1"/>
    <x v="1"/>
    <n v="1"/>
    <n v="0"/>
    <n v="1"/>
    <n v="1"/>
    <n v="4"/>
    <s v="Medical"/>
    <n v="0"/>
    <n v="0"/>
    <n v="1"/>
    <n v="0"/>
    <n v="0"/>
    <x v="1"/>
    <s v="Male"/>
    <n v="0"/>
    <n v="87"/>
    <n v="3"/>
    <n v="1"/>
    <s v="Research Scientist"/>
    <n v="0"/>
    <n v="0"/>
    <n v="0"/>
    <n v="0"/>
    <n v="0"/>
    <n v="0"/>
    <n v="0"/>
    <n v="1"/>
    <n v="2"/>
    <x v="0"/>
    <n v="1"/>
    <n v="0"/>
    <n v="2501"/>
    <n v="2501"/>
    <n v="1"/>
    <x v="1"/>
    <n v="0"/>
    <n v="17"/>
    <n v="3"/>
    <n v="2"/>
    <n v="0"/>
    <n v="1"/>
    <n v="1"/>
    <n v="4"/>
    <n v="3"/>
    <n v="1"/>
    <n v="1"/>
    <n v="1"/>
    <n v="1"/>
    <n v="1"/>
    <n v="0"/>
    <n v="0"/>
    <n v="0"/>
  </r>
  <r>
    <n v="32"/>
    <n v="32"/>
    <x v="1"/>
    <n v="0"/>
    <s v="Travel_Rarely"/>
    <n v="0"/>
    <n v="1"/>
    <x v="1"/>
    <n v="1"/>
    <n v="0"/>
    <n v="1"/>
    <n v="1"/>
    <n v="3"/>
    <s v="Life Sciences"/>
    <n v="1"/>
    <n v="0"/>
    <n v="0"/>
    <n v="0"/>
    <n v="0"/>
    <x v="0"/>
    <s v="Male"/>
    <n v="0"/>
    <n v="66"/>
    <n v="3"/>
    <n v="2"/>
    <s v="Research Scientist"/>
    <n v="0"/>
    <n v="0"/>
    <n v="0"/>
    <n v="0"/>
    <n v="0"/>
    <n v="0"/>
    <n v="0"/>
    <n v="1"/>
    <n v="2"/>
    <x v="1"/>
    <n v="0"/>
    <n v="1"/>
    <n v="6220"/>
    <n v="6220"/>
    <n v="1"/>
    <x v="1"/>
    <n v="0"/>
    <n v="17"/>
    <n v="3"/>
    <n v="2"/>
    <n v="2"/>
    <n v="10"/>
    <n v="10"/>
    <n v="3"/>
    <n v="3"/>
    <n v="10"/>
    <n v="10"/>
    <n v="4"/>
    <n v="0"/>
    <n v="0"/>
    <n v="9"/>
    <n v="9"/>
    <n v="18"/>
  </r>
  <r>
    <n v="36"/>
    <n v="36"/>
    <x v="1"/>
    <n v="0"/>
    <s v="Travel_Rarely"/>
    <n v="0"/>
    <n v="1"/>
    <x v="1"/>
    <n v="1"/>
    <n v="0"/>
    <n v="6"/>
    <n v="6"/>
    <n v="3"/>
    <s v="Life Sciences"/>
    <n v="1"/>
    <n v="0"/>
    <n v="0"/>
    <n v="0"/>
    <n v="0"/>
    <x v="0"/>
    <s v="Female"/>
    <n v="1"/>
    <n v="55"/>
    <n v="4"/>
    <n v="1"/>
    <s v="Laboratory Technician"/>
    <n v="0"/>
    <n v="0"/>
    <n v="1"/>
    <n v="0"/>
    <n v="0"/>
    <n v="0"/>
    <n v="0"/>
    <n v="0"/>
    <n v="4"/>
    <x v="1"/>
    <n v="0"/>
    <n v="1"/>
    <n v="3038"/>
    <n v="3038"/>
    <n v="3"/>
    <x v="1"/>
    <n v="0"/>
    <n v="12"/>
    <n v="3"/>
    <n v="2"/>
    <n v="0"/>
    <n v="5"/>
    <n v="5"/>
    <n v="3"/>
    <n v="3"/>
    <n v="1"/>
    <n v="1"/>
    <n v="0"/>
    <n v="0"/>
    <n v="0"/>
    <n v="0"/>
    <n v="0"/>
    <n v="0"/>
  </r>
  <r>
    <n v="31"/>
    <n v="31"/>
    <x v="1"/>
    <n v="0"/>
    <s v="Travel_Rarely"/>
    <n v="0"/>
    <n v="1"/>
    <x v="1"/>
    <n v="1"/>
    <n v="0"/>
    <n v="8"/>
    <n v="8"/>
    <n v="4"/>
    <s v="Life Sciences"/>
    <n v="1"/>
    <n v="0"/>
    <n v="0"/>
    <n v="0"/>
    <n v="0"/>
    <x v="1"/>
    <s v="Female"/>
    <n v="1"/>
    <n v="61"/>
    <n v="3"/>
    <n v="2"/>
    <s v="Manufacturing Director"/>
    <n v="0"/>
    <n v="0"/>
    <n v="0"/>
    <n v="0"/>
    <n v="1"/>
    <n v="1"/>
    <n v="0"/>
    <n v="0"/>
    <n v="4"/>
    <x v="0"/>
    <n v="1"/>
    <n v="0"/>
    <n v="4424"/>
    <n v="4424"/>
    <n v="1"/>
    <x v="1"/>
    <n v="0"/>
    <n v="23"/>
    <n v="4"/>
    <n v="4"/>
    <n v="0"/>
    <n v="11"/>
    <n v="11"/>
    <n v="2"/>
    <n v="3"/>
    <n v="11"/>
    <n v="11"/>
    <n v="7"/>
    <n v="1"/>
    <n v="1"/>
    <n v="8"/>
    <n v="8"/>
    <n v="16"/>
  </r>
  <r>
    <n v="35"/>
    <n v="35"/>
    <x v="1"/>
    <n v="0"/>
    <s v="Travel_Rarely"/>
    <n v="0"/>
    <n v="1"/>
    <x v="0"/>
    <n v="0"/>
    <n v="1"/>
    <n v="1"/>
    <n v="1"/>
    <n v="4"/>
    <s v="Marketing"/>
    <n v="0"/>
    <n v="0"/>
    <n v="0"/>
    <n v="1"/>
    <n v="0"/>
    <x v="1"/>
    <s v="Male"/>
    <n v="0"/>
    <n v="32"/>
    <n v="2"/>
    <n v="2"/>
    <s v="Sales Executive"/>
    <n v="0"/>
    <n v="1"/>
    <n v="0"/>
    <n v="0"/>
    <n v="0"/>
    <n v="0"/>
    <n v="0"/>
    <n v="0"/>
    <n v="1"/>
    <x v="0"/>
    <n v="1"/>
    <n v="0"/>
    <n v="4312"/>
    <n v="4312"/>
    <n v="0"/>
    <x v="1"/>
    <n v="0"/>
    <n v="14"/>
    <n v="3"/>
    <n v="2"/>
    <n v="0"/>
    <n v="16"/>
    <n v="16"/>
    <n v="2"/>
    <n v="3"/>
    <n v="15"/>
    <n v="15"/>
    <n v="13"/>
    <n v="2"/>
    <n v="2"/>
    <n v="8"/>
    <n v="8"/>
    <n v="16"/>
  </r>
  <r>
    <n v="45"/>
    <n v="45"/>
    <x v="1"/>
    <n v="0"/>
    <s v="Travel_Rarely"/>
    <n v="0"/>
    <n v="1"/>
    <x v="1"/>
    <n v="1"/>
    <n v="0"/>
    <n v="6"/>
    <n v="6"/>
    <n v="4"/>
    <s v="Other"/>
    <n v="0"/>
    <n v="1"/>
    <n v="0"/>
    <n v="0"/>
    <n v="0"/>
    <x v="2"/>
    <s v="Male"/>
    <n v="0"/>
    <n v="52"/>
    <n v="3"/>
    <n v="3"/>
    <s v="Research Director"/>
    <n v="0"/>
    <n v="0"/>
    <n v="0"/>
    <n v="0"/>
    <n v="0"/>
    <n v="0"/>
    <n v="0"/>
    <n v="0"/>
    <n v="1"/>
    <x v="1"/>
    <n v="0"/>
    <n v="1"/>
    <n v="13245"/>
    <n v="13245"/>
    <n v="4"/>
    <x v="0"/>
    <n v="1"/>
    <n v="14"/>
    <n v="3"/>
    <n v="2"/>
    <n v="0"/>
    <n v="17"/>
    <n v="17"/>
    <n v="3"/>
    <n v="4"/>
    <n v="0"/>
    <n v="0"/>
    <n v="0"/>
    <n v="0"/>
    <n v="0"/>
    <n v="0"/>
    <n v="0"/>
    <n v="0"/>
  </r>
  <r>
    <n v="37"/>
    <n v="37"/>
    <x v="1"/>
    <n v="0"/>
    <s v="Travel_Rarely"/>
    <n v="0"/>
    <n v="1"/>
    <x v="1"/>
    <n v="1"/>
    <n v="0"/>
    <n v="7"/>
    <n v="7"/>
    <n v="4"/>
    <s v="Medical"/>
    <n v="0"/>
    <n v="0"/>
    <n v="1"/>
    <n v="0"/>
    <n v="0"/>
    <x v="3"/>
    <s v="Male"/>
    <n v="0"/>
    <n v="30"/>
    <n v="3"/>
    <n v="3"/>
    <s v="Research Director"/>
    <n v="0"/>
    <n v="0"/>
    <n v="0"/>
    <n v="0"/>
    <n v="0"/>
    <n v="0"/>
    <n v="0"/>
    <n v="0"/>
    <n v="3"/>
    <x v="0"/>
    <n v="1"/>
    <n v="0"/>
    <n v="13664"/>
    <n v="13664"/>
    <n v="4"/>
    <x v="1"/>
    <n v="0"/>
    <n v="13"/>
    <n v="3"/>
    <n v="1"/>
    <n v="0"/>
    <n v="16"/>
    <n v="16"/>
    <n v="3"/>
    <n v="4"/>
    <n v="5"/>
    <n v="5"/>
    <n v="2"/>
    <n v="0"/>
    <n v="0"/>
    <n v="2"/>
    <n v="2"/>
    <n v="6"/>
  </r>
  <r>
    <n v="46"/>
    <n v="46"/>
    <x v="1"/>
    <n v="0"/>
    <s v="Travel_Rarely"/>
    <n v="0"/>
    <n v="1"/>
    <x v="2"/>
    <n v="0"/>
    <n v="0"/>
    <n v="5"/>
    <n v="5"/>
    <n v="2"/>
    <s v="Medical"/>
    <n v="0"/>
    <n v="0"/>
    <n v="1"/>
    <n v="0"/>
    <n v="0"/>
    <x v="0"/>
    <s v="Male"/>
    <n v="0"/>
    <n v="80"/>
    <n v="3"/>
    <n v="2"/>
    <s v="Human Resources"/>
    <n v="0"/>
    <n v="0"/>
    <n v="0"/>
    <n v="0"/>
    <n v="0"/>
    <n v="0"/>
    <n v="0"/>
    <n v="0"/>
    <n v="2"/>
    <x v="2"/>
    <n v="0"/>
    <n v="0"/>
    <n v="5021"/>
    <n v="5021"/>
    <n v="8"/>
    <x v="0"/>
    <n v="1"/>
    <n v="22"/>
    <n v="4"/>
    <n v="4"/>
    <n v="1"/>
    <n v="16"/>
    <n v="16"/>
    <n v="2"/>
    <n v="3"/>
    <n v="4"/>
    <n v="4"/>
    <n v="2"/>
    <n v="0"/>
    <n v="0"/>
    <n v="2"/>
    <n v="2"/>
    <n v="4"/>
  </r>
  <r>
    <n v="30"/>
    <n v="30"/>
    <x v="1"/>
    <n v="0"/>
    <s v="Travel_Rarely"/>
    <n v="0"/>
    <n v="1"/>
    <x v="1"/>
    <n v="1"/>
    <n v="0"/>
    <n v="1"/>
    <n v="1"/>
    <n v="1"/>
    <s v="Life Sciences"/>
    <n v="1"/>
    <n v="0"/>
    <n v="0"/>
    <n v="0"/>
    <n v="0"/>
    <x v="2"/>
    <s v="Male"/>
    <n v="0"/>
    <n v="55"/>
    <n v="2"/>
    <n v="2"/>
    <s v="Laboratory Technician"/>
    <n v="0"/>
    <n v="0"/>
    <n v="1"/>
    <n v="0"/>
    <n v="0"/>
    <n v="0"/>
    <n v="0"/>
    <n v="0"/>
    <n v="4"/>
    <x v="1"/>
    <n v="0"/>
    <n v="1"/>
    <n v="5126"/>
    <n v="5126"/>
    <n v="1"/>
    <x v="0"/>
    <n v="1"/>
    <n v="12"/>
    <n v="3"/>
    <n v="3"/>
    <n v="2"/>
    <n v="10"/>
    <n v="10"/>
    <n v="1"/>
    <n v="2"/>
    <n v="10"/>
    <n v="10"/>
    <n v="8"/>
    <n v="3"/>
    <n v="3"/>
    <n v="0"/>
    <n v="0"/>
    <n v="0"/>
  </r>
  <r>
    <n v="35"/>
    <n v="35"/>
    <x v="1"/>
    <n v="0"/>
    <s v="Travel_Rarely"/>
    <n v="0"/>
    <n v="1"/>
    <x v="1"/>
    <n v="1"/>
    <n v="0"/>
    <n v="1"/>
    <n v="1"/>
    <n v="3"/>
    <s v="Medical"/>
    <n v="0"/>
    <n v="0"/>
    <n v="1"/>
    <n v="0"/>
    <n v="0"/>
    <x v="0"/>
    <s v="Male"/>
    <n v="0"/>
    <n v="30"/>
    <n v="2"/>
    <n v="1"/>
    <s v="Research Scientist"/>
    <n v="0"/>
    <n v="0"/>
    <n v="0"/>
    <n v="0"/>
    <n v="0"/>
    <n v="0"/>
    <n v="0"/>
    <n v="1"/>
    <n v="3"/>
    <x v="0"/>
    <n v="1"/>
    <n v="0"/>
    <n v="2859"/>
    <n v="2859"/>
    <n v="1"/>
    <x v="1"/>
    <n v="0"/>
    <n v="18"/>
    <n v="3"/>
    <n v="1"/>
    <n v="0"/>
    <n v="6"/>
    <n v="6"/>
    <n v="3"/>
    <n v="3"/>
    <n v="6"/>
    <n v="6"/>
    <n v="4"/>
    <n v="0"/>
    <n v="0"/>
    <n v="4"/>
    <n v="4"/>
    <n v="4"/>
  </r>
  <r>
    <n v="55"/>
    <n v="55"/>
    <x v="1"/>
    <n v="0"/>
    <s v="Travel_Rarely"/>
    <n v="0"/>
    <n v="1"/>
    <x v="0"/>
    <n v="0"/>
    <n v="1"/>
    <n v="1"/>
    <n v="1"/>
    <n v="2"/>
    <s v="Life Sciences"/>
    <n v="1"/>
    <n v="0"/>
    <n v="0"/>
    <n v="0"/>
    <n v="0"/>
    <x v="3"/>
    <s v="Male"/>
    <n v="0"/>
    <n v="70"/>
    <n v="3"/>
    <n v="3"/>
    <s v="Sales Executive"/>
    <n v="0"/>
    <n v="1"/>
    <n v="0"/>
    <n v="0"/>
    <n v="0"/>
    <n v="0"/>
    <n v="0"/>
    <n v="0"/>
    <n v="4"/>
    <x v="1"/>
    <n v="0"/>
    <n v="1"/>
    <n v="10239"/>
    <n v="10239"/>
    <n v="3"/>
    <x v="1"/>
    <n v="0"/>
    <n v="14"/>
    <n v="3"/>
    <n v="4"/>
    <n v="1"/>
    <n v="24"/>
    <n v="24"/>
    <n v="4"/>
    <n v="3"/>
    <n v="1"/>
    <n v="1"/>
    <n v="0"/>
    <n v="1"/>
    <n v="1"/>
    <n v="0"/>
    <n v="0"/>
    <n v="0"/>
  </r>
  <r>
    <n v="38"/>
    <n v="38"/>
    <x v="1"/>
    <n v="0"/>
    <s v="Non-Travel"/>
    <n v="0"/>
    <n v="0"/>
    <x v="1"/>
    <n v="1"/>
    <n v="0"/>
    <n v="6"/>
    <n v="6"/>
    <n v="3"/>
    <s v="Medical"/>
    <n v="0"/>
    <n v="0"/>
    <n v="1"/>
    <n v="0"/>
    <n v="0"/>
    <x v="0"/>
    <s v="Female"/>
    <n v="1"/>
    <n v="79"/>
    <n v="1"/>
    <n v="2"/>
    <s v="Research Scientist"/>
    <n v="0"/>
    <n v="0"/>
    <n v="0"/>
    <n v="0"/>
    <n v="0"/>
    <n v="0"/>
    <n v="0"/>
    <n v="1"/>
    <n v="4"/>
    <x v="2"/>
    <n v="0"/>
    <n v="0"/>
    <n v="5329"/>
    <n v="5329"/>
    <n v="7"/>
    <x v="0"/>
    <n v="1"/>
    <n v="12"/>
    <n v="3"/>
    <n v="4"/>
    <n v="3"/>
    <n v="17"/>
    <n v="17"/>
    <n v="3"/>
    <n v="3"/>
    <n v="13"/>
    <n v="13"/>
    <n v="11"/>
    <n v="1"/>
    <n v="1"/>
    <n v="9"/>
    <n v="9"/>
    <n v="18"/>
  </r>
  <r>
    <n v="34"/>
    <n v="34"/>
    <x v="1"/>
    <n v="0"/>
    <s v="Travel_Rarely"/>
    <n v="0"/>
    <n v="1"/>
    <x v="1"/>
    <n v="1"/>
    <n v="0"/>
    <n v="1"/>
    <n v="1"/>
    <n v="2"/>
    <s v="Medical"/>
    <n v="0"/>
    <n v="0"/>
    <n v="1"/>
    <n v="0"/>
    <n v="0"/>
    <x v="3"/>
    <s v="Male"/>
    <n v="0"/>
    <n v="94"/>
    <n v="3"/>
    <n v="2"/>
    <s v="Manufacturing Director"/>
    <n v="0"/>
    <n v="0"/>
    <n v="0"/>
    <n v="0"/>
    <n v="1"/>
    <n v="1"/>
    <n v="0"/>
    <n v="0"/>
    <n v="2"/>
    <x v="1"/>
    <n v="0"/>
    <n v="1"/>
    <n v="4325"/>
    <n v="4325"/>
    <n v="1"/>
    <x v="1"/>
    <n v="0"/>
    <n v="15"/>
    <n v="3"/>
    <n v="3"/>
    <n v="0"/>
    <n v="5"/>
    <n v="5"/>
    <n v="2"/>
    <n v="3"/>
    <n v="5"/>
    <n v="5"/>
    <n v="2"/>
    <n v="1"/>
    <n v="1"/>
    <n v="3"/>
    <n v="3"/>
    <n v="6"/>
  </r>
  <r>
    <n v="56"/>
    <n v="56"/>
    <x v="1"/>
    <n v="0"/>
    <s v="Travel_Rarely"/>
    <n v="0"/>
    <n v="1"/>
    <x v="1"/>
    <n v="1"/>
    <n v="0"/>
    <n v="7"/>
    <n v="7"/>
    <n v="3"/>
    <s v="Life Sciences"/>
    <n v="1"/>
    <n v="0"/>
    <n v="0"/>
    <n v="0"/>
    <n v="0"/>
    <x v="2"/>
    <s v="Male"/>
    <n v="0"/>
    <n v="49"/>
    <n v="1"/>
    <n v="3"/>
    <s v="Manufacturing Director"/>
    <n v="0"/>
    <n v="0"/>
    <n v="0"/>
    <n v="0"/>
    <n v="1"/>
    <n v="1"/>
    <n v="0"/>
    <n v="0"/>
    <n v="4"/>
    <x v="0"/>
    <n v="1"/>
    <n v="0"/>
    <n v="7260"/>
    <n v="7260"/>
    <n v="4"/>
    <x v="1"/>
    <n v="0"/>
    <n v="11"/>
    <n v="3"/>
    <n v="1"/>
    <n v="0"/>
    <n v="37"/>
    <n v="35"/>
    <n v="3"/>
    <n v="2"/>
    <n v="6"/>
    <n v="6"/>
    <n v="4"/>
    <n v="0"/>
    <n v="0"/>
    <n v="2"/>
    <n v="2"/>
    <n v="6"/>
  </r>
  <r>
    <n v="23"/>
    <n v="23"/>
    <x v="1"/>
    <n v="0"/>
    <s v="Travel_Rarely"/>
    <n v="0"/>
    <n v="1"/>
    <x v="0"/>
    <n v="0"/>
    <n v="1"/>
    <n v="2"/>
    <n v="2"/>
    <n v="1"/>
    <s v="Technical Degree"/>
    <n v="0"/>
    <n v="0"/>
    <n v="0"/>
    <n v="0"/>
    <n v="1"/>
    <x v="1"/>
    <s v="Male"/>
    <n v="0"/>
    <n v="62"/>
    <n v="3"/>
    <n v="1"/>
    <s v="Sales Representative"/>
    <n v="0"/>
    <n v="0"/>
    <n v="0"/>
    <n v="0"/>
    <n v="0"/>
    <n v="0"/>
    <n v="1"/>
    <n v="0"/>
    <n v="1"/>
    <x v="2"/>
    <n v="0"/>
    <n v="0"/>
    <n v="2322"/>
    <n v="2322"/>
    <n v="3"/>
    <x v="1"/>
    <n v="0"/>
    <n v="13"/>
    <n v="3"/>
    <n v="3"/>
    <n v="1"/>
    <n v="3"/>
    <n v="3"/>
    <n v="3"/>
    <n v="3"/>
    <n v="0"/>
    <n v="0"/>
    <n v="0"/>
    <n v="0"/>
    <n v="0"/>
    <n v="0"/>
    <n v="0"/>
    <n v="0"/>
  </r>
  <r>
    <n v="51"/>
    <n v="51"/>
    <x v="1"/>
    <n v="0"/>
    <s v="Travel_Rarely"/>
    <n v="0"/>
    <n v="1"/>
    <x v="1"/>
    <n v="1"/>
    <n v="0"/>
    <n v="9"/>
    <n v="9"/>
    <n v="4"/>
    <s v="Life Sciences"/>
    <n v="1"/>
    <n v="0"/>
    <n v="0"/>
    <n v="0"/>
    <n v="0"/>
    <x v="2"/>
    <s v="Male"/>
    <n v="0"/>
    <n v="96"/>
    <n v="3"/>
    <n v="1"/>
    <s v="Laboratory Technician"/>
    <n v="0"/>
    <n v="0"/>
    <n v="1"/>
    <n v="0"/>
    <n v="0"/>
    <n v="0"/>
    <n v="0"/>
    <n v="0"/>
    <n v="4"/>
    <x v="1"/>
    <n v="0"/>
    <n v="1"/>
    <n v="2075"/>
    <n v="2075"/>
    <n v="3"/>
    <x v="1"/>
    <n v="0"/>
    <n v="23"/>
    <n v="4"/>
    <n v="2"/>
    <n v="2"/>
    <n v="10"/>
    <n v="10"/>
    <n v="4"/>
    <n v="3"/>
    <n v="4"/>
    <n v="4"/>
    <n v="2"/>
    <n v="0"/>
    <n v="0"/>
    <n v="3"/>
    <n v="3"/>
    <n v="3"/>
  </r>
  <r>
    <n v="30"/>
    <n v="30"/>
    <x v="1"/>
    <n v="0"/>
    <s v="Travel_Rarely"/>
    <n v="0"/>
    <n v="1"/>
    <x v="1"/>
    <n v="1"/>
    <n v="0"/>
    <n v="2"/>
    <n v="2"/>
    <n v="3"/>
    <s v="Life Sciences"/>
    <n v="1"/>
    <n v="0"/>
    <n v="0"/>
    <n v="0"/>
    <n v="0"/>
    <x v="1"/>
    <s v="Male"/>
    <n v="0"/>
    <n v="99"/>
    <n v="2"/>
    <n v="2"/>
    <s v="Healthcare Representative"/>
    <n v="1"/>
    <n v="0"/>
    <n v="0"/>
    <n v="0"/>
    <n v="0"/>
    <n v="0"/>
    <n v="0"/>
    <n v="0"/>
    <n v="4"/>
    <x v="1"/>
    <n v="0"/>
    <n v="1"/>
    <n v="4152"/>
    <n v="4152"/>
    <n v="1"/>
    <x v="1"/>
    <n v="0"/>
    <n v="19"/>
    <n v="3"/>
    <n v="1"/>
    <n v="3"/>
    <n v="11"/>
    <n v="11"/>
    <n v="3"/>
    <n v="3"/>
    <n v="11"/>
    <n v="11"/>
    <n v="10"/>
    <n v="10"/>
    <n v="10"/>
    <n v="8"/>
    <n v="8"/>
    <n v="16"/>
  </r>
  <r>
    <n v="46"/>
    <n v="46"/>
    <x v="0"/>
    <n v="1"/>
    <s v="Travel_Rarely"/>
    <n v="0"/>
    <n v="1"/>
    <x v="0"/>
    <n v="0"/>
    <n v="1"/>
    <n v="9"/>
    <n v="9"/>
    <n v="2"/>
    <s v="Medical"/>
    <n v="0"/>
    <n v="0"/>
    <n v="1"/>
    <n v="0"/>
    <n v="0"/>
    <x v="1"/>
    <s v="Male"/>
    <n v="0"/>
    <n v="64"/>
    <n v="2"/>
    <n v="3"/>
    <s v="Sales Executive"/>
    <n v="0"/>
    <n v="1"/>
    <n v="0"/>
    <n v="0"/>
    <n v="0"/>
    <n v="0"/>
    <n v="0"/>
    <n v="0"/>
    <n v="4"/>
    <x v="0"/>
    <n v="1"/>
    <n v="0"/>
    <n v="9619"/>
    <n v="9619"/>
    <n v="1"/>
    <x v="1"/>
    <n v="0"/>
    <n v="16"/>
    <n v="3"/>
    <n v="4"/>
    <n v="0"/>
    <n v="9"/>
    <n v="9"/>
    <n v="3"/>
    <n v="3"/>
    <n v="9"/>
    <n v="9"/>
    <n v="8"/>
    <n v="4"/>
    <n v="4"/>
    <n v="7"/>
    <n v="7"/>
    <n v="21"/>
  </r>
  <r>
    <n v="40"/>
    <n v="40"/>
    <x v="1"/>
    <n v="0"/>
    <s v="Travel_Frequently"/>
    <n v="1"/>
    <n v="0"/>
    <x v="1"/>
    <n v="1"/>
    <n v="0"/>
    <n v="1"/>
    <n v="1"/>
    <n v="4"/>
    <s v="Life Sciences"/>
    <n v="1"/>
    <n v="0"/>
    <n v="0"/>
    <n v="0"/>
    <n v="0"/>
    <x v="1"/>
    <s v="Male"/>
    <n v="0"/>
    <n v="78"/>
    <n v="2"/>
    <n v="4"/>
    <s v="Healthcare Representative"/>
    <n v="1"/>
    <n v="0"/>
    <n v="0"/>
    <n v="0"/>
    <n v="0"/>
    <n v="0"/>
    <n v="0"/>
    <n v="0"/>
    <n v="2"/>
    <x v="1"/>
    <n v="0"/>
    <n v="1"/>
    <n v="13503"/>
    <n v="13503"/>
    <n v="1"/>
    <x v="1"/>
    <n v="0"/>
    <n v="22"/>
    <n v="4"/>
    <n v="4"/>
    <n v="1"/>
    <n v="22"/>
    <n v="22"/>
    <n v="3"/>
    <n v="2"/>
    <n v="22"/>
    <n v="22"/>
    <n v="3"/>
    <n v="11"/>
    <n v="11"/>
    <n v="11"/>
    <n v="11"/>
    <n v="44"/>
  </r>
  <r>
    <n v="51"/>
    <n v="51"/>
    <x v="1"/>
    <n v="0"/>
    <s v="Travel_Rarely"/>
    <n v="0"/>
    <n v="1"/>
    <x v="0"/>
    <n v="0"/>
    <n v="1"/>
    <n v="21"/>
    <n v="21"/>
    <n v="4"/>
    <s v="Marketing"/>
    <n v="0"/>
    <n v="0"/>
    <n v="0"/>
    <n v="1"/>
    <n v="0"/>
    <x v="1"/>
    <s v="Male"/>
    <n v="0"/>
    <n v="71"/>
    <n v="3"/>
    <n v="2"/>
    <s v="Sales Executive"/>
    <n v="0"/>
    <n v="1"/>
    <n v="0"/>
    <n v="0"/>
    <n v="0"/>
    <n v="0"/>
    <n v="0"/>
    <n v="0"/>
    <n v="4"/>
    <x v="0"/>
    <n v="1"/>
    <n v="0"/>
    <n v="5441"/>
    <n v="5441"/>
    <n v="0"/>
    <x v="0"/>
    <n v="1"/>
    <n v="22"/>
    <n v="4"/>
    <n v="4"/>
    <n v="0"/>
    <n v="11"/>
    <n v="11"/>
    <n v="2"/>
    <n v="1"/>
    <n v="10"/>
    <n v="10"/>
    <n v="7"/>
    <n v="1"/>
    <n v="1"/>
    <n v="0"/>
    <n v="0"/>
    <n v="0"/>
  </r>
  <r>
    <n v="30"/>
    <n v="30"/>
    <x v="1"/>
    <n v="0"/>
    <s v="Travel_Rarely"/>
    <n v="0"/>
    <n v="1"/>
    <x v="0"/>
    <n v="0"/>
    <n v="1"/>
    <n v="4"/>
    <n v="4"/>
    <n v="2"/>
    <s v="Medical"/>
    <n v="0"/>
    <n v="0"/>
    <n v="1"/>
    <n v="0"/>
    <n v="0"/>
    <x v="1"/>
    <s v="Female"/>
    <n v="1"/>
    <n v="63"/>
    <n v="2"/>
    <n v="2"/>
    <s v="Sales Executive"/>
    <n v="0"/>
    <n v="1"/>
    <n v="0"/>
    <n v="0"/>
    <n v="0"/>
    <n v="0"/>
    <n v="0"/>
    <n v="0"/>
    <n v="2"/>
    <x v="2"/>
    <n v="0"/>
    <n v="0"/>
    <n v="5209"/>
    <n v="5209"/>
    <n v="1"/>
    <x v="0"/>
    <n v="1"/>
    <n v="12"/>
    <n v="3"/>
    <n v="2"/>
    <n v="3"/>
    <n v="11"/>
    <n v="11"/>
    <n v="4"/>
    <n v="2"/>
    <n v="11"/>
    <n v="11"/>
    <n v="8"/>
    <n v="2"/>
    <n v="2"/>
    <n v="7"/>
    <n v="7"/>
    <n v="14"/>
  </r>
  <r>
    <n v="46"/>
    <n v="46"/>
    <x v="1"/>
    <n v="0"/>
    <s v="Travel_Frequently"/>
    <n v="1"/>
    <n v="0"/>
    <x v="1"/>
    <n v="1"/>
    <n v="0"/>
    <n v="1"/>
    <n v="1"/>
    <n v="3"/>
    <s v="Medical"/>
    <n v="0"/>
    <n v="0"/>
    <n v="1"/>
    <n v="0"/>
    <n v="0"/>
    <x v="1"/>
    <s v="Male"/>
    <n v="0"/>
    <n v="40"/>
    <n v="2"/>
    <n v="3"/>
    <s v="Healthcare Representative"/>
    <n v="1"/>
    <n v="0"/>
    <n v="0"/>
    <n v="0"/>
    <n v="0"/>
    <n v="0"/>
    <n v="0"/>
    <n v="0"/>
    <n v="1"/>
    <x v="1"/>
    <n v="0"/>
    <n v="1"/>
    <n v="10673"/>
    <n v="10673"/>
    <n v="2"/>
    <x v="0"/>
    <n v="1"/>
    <n v="13"/>
    <n v="3"/>
    <n v="3"/>
    <n v="1"/>
    <n v="21"/>
    <n v="21"/>
    <n v="5"/>
    <n v="2"/>
    <n v="10"/>
    <n v="10"/>
    <n v="9"/>
    <n v="9"/>
    <n v="9"/>
    <n v="5"/>
    <n v="5"/>
    <n v="15"/>
  </r>
  <r>
    <n v="32"/>
    <n v="32"/>
    <x v="1"/>
    <n v="0"/>
    <s v="Travel_Rarely"/>
    <n v="0"/>
    <n v="1"/>
    <x v="0"/>
    <n v="0"/>
    <n v="1"/>
    <n v="6"/>
    <n v="6"/>
    <n v="4"/>
    <s v="Medical"/>
    <n v="0"/>
    <n v="0"/>
    <n v="1"/>
    <n v="0"/>
    <n v="0"/>
    <x v="0"/>
    <s v="Male"/>
    <n v="0"/>
    <n v="87"/>
    <n v="3"/>
    <n v="2"/>
    <s v="Sales Executive"/>
    <n v="0"/>
    <n v="1"/>
    <n v="0"/>
    <n v="0"/>
    <n v="0"/>
    <n v="0"/>
    <n v="0"/>
    <n v="0"/>
    <n v="3"/>
    <x v="0"/>
    <n v="1"/>
    <n v="0"/>
    <n v="5010"/>
    <n v="5010"/>
    <n v="1"/>
    <x v="1"/>
    <n v="0"/>
    <n v="16"/>
    <n v="3"/>
    <n v="1"/>
    <n v="0"/>
    <n v="12"/>
    <n v="12"/>
    <n v="0"/>
    <n v="3"/>
    <n v="11"/>
    <n v="11"/>
    <n v="8"/>
    <n v="5"/>
    <n v="5"/>
    <n v="7"/>
    <n v="7"/>
    <n v="14"/>
  </r>
  <r>
    <n v="54"/>
    <n v="54"/>
    <x v="1"/>
    <n v="0"/>
    <s v="Travel_Rarely"/>
    <n v="0"/>
    <n v="1"/>
    <x v="1"/>
    <n v="1"/>
    <n v="0"/>
    <n v="2"/>
    <n v="2"/>
    <n v="4"/>
    <s v="Technical Degree"/>
    <n v="0"/>
    <n v="0"/>
    <n v="0"/>
    <n v="0"/>
    <n v="1"/>
    <x v="3"/>
    <s v="Female"/>
    <n v="1"/>
    <n v="60"/>
    <n v="3"/>
    <n v="3"/>
    <s v="Research Director"/>
    <n v="0"/>
    <n v="0"/>
    <n v="0"/>
    <n v="0"/>
    <n v="0"/>
    <n v="0"/>
    <n v="0"/>
    <n v="0"/>
    <n v="3"/>
    <x v="1"/>
    <n v="0"/>
    <n v="1"/>
    <n v="13549"/>
    <n v="13549"/>
    <n v="9"/>
    <x v="1"/>
    <n v="0"/>
    <n v="12"/>
    <n v="3"/>
    <n v="1"/>
    <n v="1"/>
    <n v="16"/>
    <n v="16"/>
    <n v="5"/>
    <n v="1"/>
    <n v="4"/>
    <n v="4"/>
    <n v="3"/>
    <n v="0"/>
    <n v="0"/>
    <n v="3"/>
    <n v="3"/>
    <n v="9"/>
  </r>
  <r>
    <n v="24"/>
    <n v="24"/>
    <x v="1"/>
    <n v="0"/>
    <s v="Travel_Rarely"/>
    <n v="0"/>
    <n v="1"/>
    <x v="0"/>
    <n v="0"/>
    <n v="1"/>
    <n v="3"/>
    <n v="3"/>
    <n v="2"/>
    <s v="Other"/>
    <n v="0"/>
    <n v="1"/>
    <n v="0"/>
    <n v="0"/>
    <n v="0"/>
    <x v="3"/>
    <s v="Female"/>
    <n v="1"/>
    <n v="33"/>
    <n v="3"/>
    <n v="2"/>
    <s v="Sales Executive"/>
    <n v="0"/>
    <n v="1"/>
    <n v="0"/>
    <n v="0"/>
    <n v="0"/>
    <n v="0"/>
    <n v="0"/>
    <n v="0"/>
    <n v="3"/>
    <x v="1"/>
    <n v="0"/>
    <n v="1"/>
    <n v="4999"/>
    <n v="4999"/>
    <n v="0"/>
    <x v="1"/>
    <n v="0"/>
    <n v="21"/>
    <n v="4"/>
    <n v="1"/>
    <n v="1"/>
    <n v="4"/>
    <n v="4"/>
    <n v="2"/>
    <n v="2"/>
    <n v="3"/>
    <n v="3"/>
    <n v="2"/>
    <n v="0"/>
    <n v="0"/>
    <n v="2"/>
    <n v="2"/>
    <n v="4"/>
  </r>
  <r>
    <n v="28"/>
    <n v="28"/>
    <x v="1"/>
    <n v="0"/>
    <s v="Non-Travel"/>
    <n v="0"/>
    <n v="0"/>
    <x v="0"/>
    <n v="0"/>
    <n v="1"/>
    <n v="4"/>
    <n v="4"/>
    <n v="3"/>
    <s v="Medical"/>
    <n v="0"/>
    <n v="0"/>
    <n v="1"/>
    <n v="0"/>
    <n v="0"/>
    <x v="0"/>
    <s v="Male"/>
    <n v="0"/>
    <n v="43"/>
    <n v="3"/>
    <n v="2"/>
    <s v="Sales Executive"/>
    <n v="0"/>
    <n v="1"/>
    <n v="0"/>
    <n v="0"/>
    <n v="0"/>
    <n v="0"/>
    <n v="0"/>
    <n v="0"/>
    <n v="3"/>
    <x v="1"/>
    <n v="0"/>
    <n v="1"/>
    <n v="4221"/>
    <n v="4221"/>
    <n v="1"/>
    <x v="1"/>
    <n v="0"/>
    <n v="15"/>
    <n v="3"/>
    <n v="2"/>
    <n v="0"/>
    <n v="5"/>
    <n v="5"/>
    <n v="3"/>
    <n v="4"/>
    <n v="5"/>
    <n v="5"/>
    <n v="4"/>
    <n v="0"/>
    <n v="0"/>
    <n v="4"/>
    <n v="4"/>
    <n v="8"/>
  </r>
  <r>
    <n v="58"/>
    <n v="58"/>
    <x v="1"/>
    <n v="0"/>
    <s v="Travel_Rarely"/>
    <n v="0"/>
    <n v="1"/>
    <x v="0"/>
    <n v="0"/>
    <n v="1"/>
    <n v="10"/>
    <n v="10"/>
    <n v="4"/>
    <s v="Medical"/>
    <n v="0"/>
    <n v="0"/>
    <n v="1"/>
    <n v="0"/>
    <n v="0"/>
    <x v="2"/>
    <s v="Male"/>
    <n v="0"/>
    <n v="37"/>
    <n v="3"/>
    <n v="4"/>
    <s v="Sales Executive"/>
    <n v="0"/>
    <n v="1"/>
    <n v="0"/>
    <n v="0"/>
    <n v="0"/>
    <n v="0"/>
    <n v="0"/>
    <n v="0"/>
    <n v="3"/>
    <x v="0"/>
    <n v="1"/>
    <n v="0"/>
    <n v="13872"/>
    <n v="13872"/>
    <n v="0"/>
    <x v="1"/>
    <n v="0"/>
    <n v="13"/>
    <n v="3"/>
    <n v="3"/>
    <n v="0"/>
    <n v="38"/>
    <n v="35"/>
    <n v="1"/>
    <n v="2"/>
    <n v="37"/>
    <n v="31"/>
    <n v="10"/>
    <n v="1"/>
    <n v="1"/>
    <n v="8"/>
    <n v="8"/>
    <n v="32"/>
  </r>
  <r>
    <n v="44"/>
    <n v="44"/>
    <x v="1"/>
    <n v="0"/>
    <s v="Non-Travel"/>
    <n v="0"/>
    <n v="0"/>
    <x v="1"/>
    <n v="1"/>
    <n v="0"/>
    <n v="23"/>
    <n v="23"/>
    <n v="3"/>
    <s v="Medical"/>
    <n v="0"/>
    <n v="0"/>
    <n v="1"/>
    <n v="0"/>
    <n v="0"/>
    <x v="0"/>
    <s v="Male"/>
    <n v="0"/>
    <n v="67"/>
    <n v="3"/>
    <n v="2"/>
    <s v="Laboratory Technician"/>
    <n v="0"/>
    <n v="0"/>
    <n v="1"/>
    <n v="0"/>
    <n v="0"/>
    <n v="0"/>
    <n v="0"/>
    <n v="0"/>
    <n v="2"/>
    <x v="1"/>
    <n v="0"/>
    <n v="1"/>
    <n v="2042"/>
    <n v="2042"/>
    <n v="4"/>
    <x v="1"/>
    <n v="0"/>
    <n v="12"/>
    <n v="3"/>
    <n v="3"/>
    <n v="1"/>
    <n v="17"/>
    <n v="17"/>
    <n v="3"/>
    <n v="4"/>
    <n v="3"/>
    <n v="3"/>
    <n v="2"/>
    <n v="1"/>
    <n v="1"/>
    <n v="2"/>
    <n v="2"/>
    <n v="4"/>
  </r>
  <r>
    <n v="37"/>
    <n v="37"/>
    <x v="0"/>
    <n v="1"/>
    <s v="Travel_Rarely"/>
    <n v="0"/>
    <n v="1"/>
    <x v="2"/>
    <n v="0"/>
    <n v="0"/>
    <n v="6"/>
    <n v="6"/>
    <n v="4"/>
    <s v="Human Resources"/>
    <n v="0"/>
    <n v="0"/>
    <n v="0"/>
    <n v="0"/>
    <n v="0"/>
    <x v="1"/>
    <s v="Male"/>
    <n v="0"/>
    <n v="63"/>
    <n v="3"/>
    <n v="1"/>
    <s v="Human Resources"/>
    <n v="0"/>
    <n v="0"/>
    <n v="0"/>
    <n v="0"/>
    <n v="0"/>
    <n v="0"/>
    <n v="0"/>
    <n v="0"/>
    <n v="1"/>
    <x v="2"/>
    <n v="0"/>
    <n v="0"/>
    <n v="2073"/>
    <n v="2073"/>
    <n v="4"/>
    <x v="0"/>
    <n v="1"/>
    <n v="22"/>
    <n v="4"/>
    <n v="4"/>
    <n v="0"/>
    <n v="7"/>
    <n v="7"/>
    <n v="3"/>
    <n v="3"/>
    <n v="3"/>
    <n v="3"/>
    <n v="2"/>
    <n v="0"/>
    <n v="0"/>
    <n v="2"/>
    <n v="2"/>
    <n v="2"/>
  </r>
  <r>
    <n v="32"/>
    <n v="32"/>
    <x v="1"/>
    <n v="0"/>
    <s v="Travel_Rarely"/>
    <n v="0"/>
    <n v="1"/>
    <x v="1"/>
    <n v="1"/>
    <n v="0"/>
    <n v="1"/>
    <n v="1"/>
    <n v="1"/>
    <s v="Life Sciences"/>
    <n v="1"/>
    <n v="0"/>
    <n v="0"/>
    <n v="0"/>
    <n v="0"/>
    <x v="2"/>
    <s v="Male"/>
    <n v="0"/>
    <n v="71"/>
    <n v="3"/>
    <n v="1"/>
    <s v="Research Scientist"/>
    <n v="0"/>
    <n v="0"/>
    <n v="0"/>
    <n v="0"/>
    <n v="0"/>
    <n v="0"/>
    <n v="0"/>
    <n v="1"/>
    <n v="1"/>
    <x v="0"/>
    <n v="1"/>
    <n v="0"/>
    <n v="2956"/>
    <n v="2956"/>
    <n v="1"/>
    <x v="1"/>
    <n v="0"/>
    <n v="13"/>
    <n v="3"/>
    <n v="4"/>
    <n v="0"/>
    <n v="1"/>
    <n v="1"/>
    <n v="2"/>
    <n v="3"/>
    <n v="1"/>
    <n v="1"/>
    <n v="0"/>
    <n v="0"/>
    <n v="0"/>
    <n v="0"/>
    <n v="0"/>
    <n v="0"/>
  </r>
  <r>
    <n v="20"/>
    <n v="20"/>
    <x v="0"/>
    <n v="1"/>
    <s v="Travel_Frequently"/>
    <n v="1"/>
    <n v="0"/>
    <x v="1"/>
    <n v="1"/>
    <n v="0"/>
    <n v="6"/>
    <n v="6"/>
    <n v="3"/>
    <s v="Life Sciences"/>
    <n v="1"/>
    <n v="0"/>
    <n v="0"/>
    <n v="0"/>
    <n v="0"/>
    <x v="2"/>
    <s v="Female"/>
    <n v="1"/>
    <n v="66"/>
    <n v="2"/>
    <n v="1"/>
    <s v="Laboratory Technician"/>
    <n v="0"/>
    <n v="0"/>
    <n v="1"/>
    <n v="0"/>
    <n v="0"/>
    <n v="0"/>
    <n v="0"/>
    <n v="0"/>
    <n v="4"/>
    <x v="0"/>
    <n v="1"/>
    <n v="0"/>
    <n v="2926"/>
    <n v="2926"/>
    <n v="1"/>
    <x v="0"/>
    <n v="1"/>
    <n v="18"/>
    <n v="3"/>
    <n v="2"/>
    <n v="0"/>
    <n v="1"/>
    <n v="1"/>
    <n v="5"/>
    <n v="3"/>
    <n v="1"/>
    <n v="1"/>
    <n v="0"/>
    <n v="1"/>
    <n v="1"/>
    <n v="0"/>
    <n v="0"/>
    <n v="0"/>
  </r>
  <r>
    <n v="34"/>
    <n v="34"/>
    <x v="1"/>
    <n v="0"/>
    <s v="Travel_Rarely"/>
    <n v="0"/>
    <n v="1"/>
    <x v="1"/>
    <n v="1"/>
    <n v="0"/>
    <n v="6"/>
    <n v="6"/>
    <n v="4"/>
    <s v="Other"/>
    <n v="0"/>
    <n v="1"/>
    <n v="0"/>
    <n v="0"/>
    <n v="0"/>
    <x v="3"/>
    <s v="Female"/>
    <n v="1"/>
    <n v="41"/>
    <n v="3"/>
    <n v="2"/>
    <s v="Research Scientist"/>
    <n v="0"/>
    <n v="0"/>
    <n v="0"/>
    <n v="0"/>
    <n v="0"/>
    <n v="0"/>
    <n v="0"/>
    <n v="1"/>
    <n v="3"/>
    <x v="0"/>
    <n v="1"/>
    <n v="0"/>
    <n v="4809"/>
    <n v="4809"/>
    <n v="1"/>
    <x v="1"/>
    <n v="0"/>
    <n v="14"/>
    <n v="3"/>
    <n v="3"/>
    <n v="0"/>
    <n v="16"/>
    <n v="16"/>
    <n v="3"/>
    <n v="3"/>
    <n v="16"/>
    <n v="16"/>
    <n v="13"/>
    <n v="2"/>
    <n v="2"/>
    <n v="10"/>
    <n v="10"/>
    <n v="20"/>
  </r>
  <r>
    <n v="37"/>
    <n v="37"/>
    <x v="1"/>
    <n v="0"/>
    <s v="Non-Travel"/>
    <n v="0"/>
    <n v="0"/>
    <x v="1"/>
    <n v="1"/>
    <n v="0"/>
    <n v="2"/>
    <n v="2"/>
    <n v="2"/>
    <s v="Life Sciences"/>
    <n v="1"/>
    <n v="0"/>
    <n v="0"/>
    <n v="0"/>
    <n v="0"/>
    <x v="1"/>
    <s v="Male"/>
    <n v="0"/>
    <n v="100"/>
    <n v="2"/>
    <n v="2"/>
    <s v="Healthcare Representative"/>
    <n v="1"/>
    <n v="0"/>
    <n v="0"/>
    <n v="0"/>
    <n v="0"/>
    <n v="0"/>
    <n v="0"/>
    <n v="0"/>
    <n v="4"/>
    <x v="2"/>
    <n v="0"/>
    <n v="0"/>
    <n v="5163"/>
    <n v="5163"/>
    <n v="5"/>
    <x v="1"/>
    <n v="0"/>
    <n v="14"/>
    <n v="3"/>
    <n v="4"/>
    <n v="1"/>
    <n v="17"/>
    <n v="17"/>
    <n v="2"/>
    <n v="4"/>
    <n v="1"/>
    <n v="1"/>
    <n v="0"/>
    <n v="0"/>
    <n v="0"/>
    <n v="0"/>
    <n v="0"/>
    <n v="0"/>
  </r>
  <r>
    <n v="59"/>
    <n v="58.309999999999945"/>
    <x v="1"/>
    <n v="0"/>
    <s v="Non-Travel"/>
    <n v="0"/>
    <n v="0"/>
    <x v="2"/>
    <n v="0"/>
    <n v="0"/>
    <n v="2"/>
    <n v="2"/>
    <n v="4"/>
    <s v="Human Resources"/>
    <n v="0"/>
    <n v="0"/>
    <n v="0"/>
    <n v="0"/>
    <n v="0"/>
    <x v="1"/>
    <s v="Female"/>
    <n v="1"/>
    <n v="32"/>
    <n v="2"/>
    <n v="5"/>
    <s v="Manager"/>
    <n v="0"/>
    <n v="0"/>
    <n v="0"/>
    <n v="1"/>
    <n v="0"/>
    <n v="0"/>
    <n v="0"/>
    <n v="0"/>
    <n v="4"/>
    <x v="1"/>
    <n v="0"/>
    <n v="1"/>
    <n v="18844"/>
    <n v="18844"/>
    <n v="9"/>
    <x v="1"/>
    <n v="0"/>
    <n v="21"/>
    <n v="4"/>
    <n v="4"/>
    <n v="1"/>
    <n v="30"/>
    <n v="30"/>
    <n v="3"/>
    <n v="3"/>
    <n v="3"/>
    <n v="3"/>
    <n v="2"/>
    <n v="2"/>
    <n v="2"/>
    <n v="2"/>
    <n v="2"/>
    <n v="10"/>
  </r>
  <r>
    <n v="50"/>
    <n v="50"/>
    <x v="1"/>
    <n v="0"/>
    <s v="Travel_Frequently"/>
    <n v="1"/>
    <n v="0"/>
    <x v="1"/>
    <n v="1"/>
    <n v="0"/>
    <n v="1"/>
    <n v="1"/>
    <n v="3"/>
    <s v="Life Sciences"/>
    <n v="1"/>
    <n v="0"/>
    <n v="0"/>
    <n v="0"/>
    <n v="0"/>
    <x v="3"/>
    <s v="Female"/>
    <n v="1"/>
    <n v="73"/>
    <n v="3"/>
    <n v="5"/>
    <s v="Research Director"/>
    <n v="0"/>
    <n v="0"/>
    <n v="0"/>
    <n v="0"/>
    <n v="0"/>
    <n v="0"/>
    <n v="0"/>
    <n v="0"/>
    <n v="2"/>
    <x v="1"/>
    <n v="0"/>
    <n v="1"/>
    <n v="18172"/>
    <n v="18172"/>
    <n v="3"/>
    <x v="0"/>
    <n v="1"/>
    <n v="19"/>
    <n v="3"/>
    <n v="1"/>
    <n v="0"/>
    <n v="28"/>
    <n v="28"/>
    <n v="1"/>
    <n v="2"/>
    <n v="8"/>
    <n v="8"/>
    <n v="3"/>
    <n v="0"/>
    <n v="0"/>
    <n v="7"/>
    <n v="7"/>
    <n v="35"/>
  </r>
  <r>
    <n v="25"/>
    <n v="25"/>
    <x v="0"/>
    <n v="1"/>
    <s v="Travel_Rarely"/>
    <n v="0"/>
    <n v="1"/>
    <x v="0"/>
    <n v="0"/>
    <n v="1"/>
    <n v="5"/>
    <n v="5"/>
    <n v="3"/>
    <s v="Marketing"/>
    <n v="0"/>
    <n v="0"/>
    <n v="0"/>
    <n v="1"/>
    <n v="0"/>
    <x v="1"/>
    <s v="Male"/>
    <n v="0"/>
    <n v="46"/>
    <n v="2"/>
    <n v="2"/>
    <s v="Sales Executive"/>
    <n v="0"/>
    <n v="1"/>
    <n v="0"/>
    <n v="0"/>
    <n v="0"/>
    <n v="0"/>
    <n v="0"/>
    <n v="0"/>
    <n v="3"/>
    <x v="0"/>
    <n v="1"/>
    <n v="0"/>
    <n v="5744"/>
    <n v="5744"/>
    <n v="1"/>
    <x v="0"/>
    <n v="1"/>
    <n v="11"/>
    <n v="3"/>
    <n v="4"/>
    <n v="0"/>
    <n v="6"/>
    <n v="6"/>
    <n v="1"/>
    <n v="3"/>
    <n v="6"/>
    <n v="6"/>
    <n v="4"/>
    <n v="0"/>
    <n v="0"/>
    <n v="3"/>
    <n v="3"/>
    <n v="6"/>
  </r>
  <r>
    <n v="25"/>
    <n v="25"/>
    <x v="1"/>
    <n v="0"/>
    <s v="Travel_Rarely"/>
    <n v="0"/>
    <n v="1"/>
    <x v="1"/>
    <n v="1"/>
    <n v="0"/>
    <n v="7"/>
    <n v="7"/>
    <n v="1"/>
    <s v="Medical"/>
    <n v="0"/>
    <n v="0"/>
    <n v="1"/>
    <n v="0"/>
    <n v="0"/>
    <x v="2"/>
    <s v="Male"/>
    <n v="0"/>
    <n v="64"/>
    <n v="2"/>
    <n v="1"/>
    <s v="Research Scientist"/>
    <n v="0"/>
    <n v="0"/>
    <n v="0"/>
    <n v="0"/>
    <n v="0"/>
    <n v="0"/>
    <n v="0"/>
    <n v="1"/>
    <n v="4"/>
    <x v="1"/>
    <n v="0"/>
    <n v="1"/>
    <n v="2889"/>
    <n v="2889"/>
    <n v="1"/>
    <x v="1"/>
    <n v="0"/>
    <n v="11"/>
    <n v="3"/>
    <n v="3"/>
    <n v="2"/>
    <n v="2"/>
    <n v="2"/>
    <n v="2"/>
    <n v="3"/>
    <n v="2"/>
    <n v="2"/>
    <n v="2"/>
    <n v="2"/>
    <n v="2"/>
    <n v="1"/>
    <n v="1"/>
    <n v="1"/>
  </r>
  <r>
    <n v="22"/>
    <n v="22"/>
    <x v="1"/>
    <n v="0"/>
    <s v="Travel_Rarely"/>
    <n v="0"/>
    <n v="1"/>
    <x v="1"/>
    <n v="1"/>
    <n v="0"/>
    <n v="15"/>
    <n v="15"/>
    <n v="3"/>
    <s v="Medical"/>
    <n v="0"/>
    <n v="0"/>
    <n v="1"/>
    <n v="0"/>
    <n v="0"/>
    <x v="0"/>
    <s v="Female"/>
    <n v="1"/>
    <n v="59"/>
    <n v="3"/>
    <n v="1"/>
    <s v="Laboratory Technician"/>
    <n v="0"/>
    <n v="0"/>
    <n v="1"/>
    <n v="0"/>
    <n v="0"/>
    <n v="0"/>
    <n v="0"/>
    <n v="0"/>
    <n v="4"/>
    <x v="0"/>
    <n v="1"/>
    <n v="0"/>
    <n v="2871"/>
    <n v="2871"/>
    <n v="1"/>
    <x v="1"/>
    <n v="0"/>
    <n v="15"/>
    <n v="3"/>
    <n v="3"/>
    <n v="0"/>
    <n v="1"/>
    <n v="1"/>
    <n v="5"/>
    <n v="3"/>
    <n v="0"/>
    <n v="0"/>
    <n v="0"/>
    <n v="0"/>
    <n v="0"/>
    <n v="0"/>
    <n v="0"/>
    <n v="0"/>
  </r>
  <r>
    <n v="51"/>
    <n v="51"/>
    <x v="1"/>
    <n v="0"/>
    <s v="Travel_Frequently"/>
    <n v="1"/>
    <n v="0"/>
    <x v="1"/>
    <n v="1"/>
    <n v="0"/>
    <n v="1"/>
    <n v="1"/>
    <n v="4"/>
    <s v="Medical"/>
    <n v="0"/>
    <n v="0"/>
    <n v="1"/>
    <n v="0"/>
    <n v="0"/>
    <x v="3"/>
    <s v="Female"/>
    <n v="1"/>
    <n v="30"/>
    <n v="2"/>
    <n v="3"/>
    <s v="Healthcare Representative"/>
    <n v="1"/>
    <n v="0"/>
    <n v="0"/>
    <n v="0"/>
    <n v="0"/>
    <n v="0"/>
    <n v="0"/>
    <n v="0"/>
    <n v="1"/>
    <x v="0"/>
    <n v="1"/>
    <n v="0"/>
    <n v="7484"/>
    <n v="7484"/>
    <n v="3"/>
    <x v="1"/>
    <n v="0"/>
    <n v="20"/>
    <n v="4"/>
    <n v="3"/>
    <n v="0"/>
    <n v="23"/>
    <n v="23"/>
    <n v="1"/>
    <n v="2"/>
    <n v="13"/>
    <n v="13"/>
    <n v="12"/>
    <n v="12"/>
    <n v="12"/>
    <n v="8"/>
    <n v="8"/>
    <n v="24"/>
  </r>
  <r>
    <n v="34"/>
    <n v="34"/>
    <x v="0"/>
    <n v="1"/>
    <s v="Travel_Frequently"/>
    <n v="1"/>
    <n v="0"/>
    <x v="1"/>
    <n v="1"/>
    <n v="0"/>
    <n v="7"/>
    <n v="7"/>
    <n v="3"/>
    <s v="Life Sciences"/>
    <n v="1"/>
    <n v="0"/>
    <n v="0"/>
    <n v="0"/>
    <n v="0"/>
    <x v="3"/>
    <s v="Male"/>
    <n v="0"/>
    <n v="66"/>
    <n v="1"/>
    <n v="2"/>
    <s v="Laboratory Technician"/>
    <n v="0"/>
    <n v="0"/>
    <n v="1"/>
    <n v="0"/>
    <n v="0"/>
    <n v="0"/>
    <n v="0"/>
    <n v="0"/>
    <n v="3"/>
    <x v="0"/>
    <n v="1"/>
    <n v="0"/>
    <n v="6074"/>
    <n v="6074"/>
    <n v="1"/>
    <x v="0"/>
    <n v="1"/>
    <n v="24"/>
    <n v="4"/>
    <n v="4"/>
    <n v="0"/>
    <n v="9"/>
    <n v="9"/>
    <n v="3"/>
    <n v="3"/>
    <n v="9"/>
    <n v="9"/>
    <n v="7"/>
    <n v="0"/>
    <n v="0"/>
    <n v="6"/>
    <n v="6"/>
    <n v="12"/>
  </r>
  <r>
    <n v="54"/>
    <n v="54"/>
    <x v="1"/>
    <n v="0"/>
    <s v="Non-Travel"/>
    <n v="0"/>
    <n v="0"/>
    <x v="2"/>
    <n v="0"/>
    <n v="0"/>
    <n v="26"/>
    <n v="26"/>
    <n v="3"/>
    <s v="Human Resources"/>
    <n v="0"/>
    <n v="0"/>
    <n v="0"/>
    <n v="0"/>
    <n v="0"/>
    <x v="2"/>
    <s v="Female"/>
    <n v="1"/>
    <n v="30"/>
    <n v="4"/>
    <n v="4"/>
    <s v="Manager"/>
    <n v="0"/>
    <n v="0"/>
    <n v="0"/>
    <n v="1"/>
    <n v="0"/>
    <n v="0"/>
    <n v="0"/>
    <n v="0"/>
    <n v="4"/>
    <x v="0"/>
    <n v="1"/>
    <n v="0"/>
    <n v="17328"/>
    <n v="17328"/>
    <n v="2"/>
    <x v="0"/>
    <n v="1"/>
    <n v="12"/>
    <n v="3"/>
    <n v="3"/>
    <n v="0"/>
    <n v="23"/>
    <n v="23"/>
    <n v="3"/>
    <n v="3"/>
    <n v="5"/>
    <n v="5"/>
    <n v="3"/>
    <n v="4"/>
    <n v="4"/>
    <n v="4"/>
    <n v="4"/>
    <n v="16"/>
  </r>
  <r>
    <n v="24"/>
    <n v="24"/>
    <x v="1"/>
    <n v="0"/>
    <s v="Travel_Rarely"/>
    <n v="0"/>
    <n v="1"/>
    <x v="1"/>
    <n v="1"/>
    <n v="0"/>
    <n v="18"/>
    <n v="18"/>
    <n v="1"/>
    <s v="Life Sciences"/>
    <n v="1"/>
    <n v="0"/>
    <n v="0"/>
    <n v="0"/>
    <n v="0"/>
    <x v="0"/>
    <s v="Male"/>
    <n v="0"/>
    <n v="52"/>
    <n v="3"/>
    <n v="1"/>
    <s v="Laboratory Technician"/>
    <n v="0"/>
    <n v="0"/>
    <n v="1"/>
    <n v="0"/>
    <n v="0"/>
    <n v="0"/>
    <n v="0"/>
    <n v="0"/>
    <n v="3"/>
    <x v="1"/>
    <n v="0"/>
    <n v="1"/>
    <n v="2774"/>
    <n v="2774"/>
    <n v="0"/>
    <x v="1"/>
    <n v="0"/>
    <n v="12"/>
    <n v="3"/>
    <n v="3"/>
    <n v="1"/>
    <n v="6"/>
    <n v="6"/>
    <n v="2"/>
    <n v="3"/>
    <n v="5"/>
    <n v="5"/>
    <n v="3"/>
    <n v="1"/>
    <n v="1"/>
    <n v="2"/>
    <n v="2"/>
    <n v="2"/>
  </r>
  <r>
    <n v="34"/>
    <n v="34"/>
    <x v="1"/>
    <n v="0"/>
    <s v="Travel_Rarely"/>
    <n v="0"/>
    <n v="1"/>
    <x v="1"/>
    <n v="1"/>
    <n v="0"/>
    <n v="6"/>
    <n v="6"/>
    <n v="4"/>
    <s v="Life Sciences"/>
    <n v="1"/>
    <n v="0"/>
    <n v="0"/>
    <n v="0"/>
    <n v="0"/>
    <x v="1"/>
    <s v="Female"/>
    <n v="1"/>
    <n v="45"/>
    <n v="2"/>
    <n v="2"/>
    <s v="Research Scientist"/>
    <n v="0"/>
    <n v="0"/>
    <n v="0"/>
    <n v="0"/>
    <n v="0"/>
    <n v="0"/>
    <n v="0"/>
    <n v="1"/>
    <n v="2"/>
    <x v="2"/>
    <n v="0"/>
    <n v="0"/>
    <n v="4505"/>
    <n v="4505"/>
    <n v="6"/>
    <x v="1"/>
    <n v="0"/>
    <n v="15"/>
    <n v="3"/>
    <n v="3"/>
    <n v="1"/>
    <n v="12"/>
    <n v="12"/>
    <n v="3"/>
    <n v="3"/>
    <n v="1"/>
    <n v="1"/>
    <n v="0"/>
    <n v="0"/>
    <n v="0"/>
    <n v="0"/>
    <n v="0"/>
    <n v="0"/>
  </r>
  <r>
    <n v="37"/>
    <n v="37"/>
    <x v="1"/>
    <n v="0"/>
    <s v="Travel_Rarely"/>
    <n v="0"/>
    <n v="1"/>
    <x v="0"/>
    <n v="0"/>
    <n v="1"/>
    <n v="3"/>
    <n v="3"/>
    <n v="3"/>
    <s v="Life Sciences"/>
    <n v="1"/>
    <n v="0"/>
    <n v="0"/>
    <n v="0"/>
    <n v="0"/>
    <x v="1"/>
    <s v="Male"/>
    <n v="0"/>
    <n v="87"/>
    <n v="3"/>
    <n v="3"/>
    <s v="Sales Executive"/>
    <n v="0"/>
    <n v="1"/>
    <n v="0"/>
    <n v="0"/>
    <n v="0"/>
    <n v="0"/>
    <n v="0"/>
    <n v="0"/>
    <n v="4"/>
    <x v="0"/>
    <n v="1"/>
    <n v="0"/>
    <n v="7428"/>
    <n v="7428"/>
    <n v="2"/>
    <x v="1"/>
    <n v="0"/>
    <n v="12"/>
    <n v="3"/>
    <n v="1"/>
    <n v="0"/>
    <n v="12"/>
    <n v="12"/>
    <n v="3"/>
    <n v="3"/>
    <n v="5"/>
    <n v="5"/>
    <n v="3"/>
    <n v="1"/>
    <n v="1"/>
    <n v="3"/>
    <n v="3"/>
    <n v="9"/>
  </r>
  <r>
    <n v="34"/>
    <n v="34"/>
    <x v="1"/>
    <n v="0"/>
    <s v="Travel_Rarely"/>
    <n v="0"/>
    <n v="1"/>
    <x v="1"/>
    <n v="1"/>
    <n v="0"/>
    <n v="5"/>
    <n v="5"/>
    <n v="3"/>
    <s v="Medical"/>
    <n v="0"/>
    <n v="0"/>
    <n v="1"/>
    <n v="0"/>
    <n v="0"/>
    <x v="1"/>
    <s v="Female"/>
    <n v="1"/>
    <n v="45"/>
    <n v="2"/>
    <n v="3"/>
    <s v="Manager"/>
    <n v="0"/>
    <n v="0"/>
    <n v="0"/>
    <n v="1"/>
    <n v="0"/>
    <n v="0"/>
    <n v="0"/>
    <n v="0"/>
    <n v="1"/>
    <x v="0"/>
    <n v="1"/>
    <n v="0"/>
    <n v="11631"/>
    <n v="11631"/>
    <n v="2"/>
    <x v="1"/>
    <n v="0"/>
    <n v="12"/>
    <n v="3"/>
    <n v="4"/>
    <n v="0"/>
    <n v="14"/>
    <n v="14"/>
    <n v="6"/>
    <n v="3"/>
    <n v="11"/>
    <n v="11"/>
    <n v="10"/>
    <n v="5"/>
    <n v="5"/>
    <n v="8"/>
    <n v="8"/>
    <n v="24"/>
  </r>
  <r>
    <n v="36"/>
    <n v="36"/>
    <x v="1"/>
    <n v="0"/>
    <s v="Travel_Frequently"/>
    <n v="1"/>
    <n v="0"/>
    <x v="0"/>
    <n v="0"/>
    <n v="1"/>
    <n v="11"/>
    <n v="11"/>
    <n v="2"/>
    <s v="Technical Degree"/>
    <n v="0"/>
    <n v="0"/>
    <n v="0"/>
    <n v="0"/>
    <n v="1"/>
    <x v="0"/>
    <s v="Female"/>
    <n v="1"/>
    <n v="92"/>
    <n v="3"/>
    <n v="3"/>
    <s v="Sales Executive"/>
    <n v="0"/>
    <n v="1"/>
    <n v="0"/>
    <n v="0"/>
    <n v="0"/>
    <n v="0"/>
    <n v="0"/>
    <n v="0"/>
    <n v="4"/>
    <x v="1"/>
    <n v="0"/>
    <n v="1"/>
    <n v="9738"/>
    <n v="9738"/>
    <n v="0"/>
    <x v="1"/>
    <n v="0"/>
    <n v="14"/>
    <n v="3"/>
    <n v="3"/>
    <n v="1"/>
    <n v="10"/>
    <n v="10"/>
    <n v="6"/>
    <n v="3"/>
    <n v="9"/>
    <n v="9"/>
    <n v="7"/>
    <n v="2"/>
    <n v="2"/>
    <n v="8"/>
    <n v="8"/>
    <n v="24"/>
  </r>
  <r>
    <n v="36"/>
    <n v="36"/>
    <x v="1"/>
    <n v="0"/>
    <s v="Travel_Rarely"/>
    <n v="0"/>
    <n v="1"/>
    <x v="1"/>
    <n v="1"/>
    <n v="0"/>
    <n v="3"/>
    <n v="3"/>
    <n v="2"/>
    <s v="Life Sciences"/>
    <n v="1"/>
    <n v="0"/>
    <n v="0"/>
    <n v="0"/>
    <n v="0"/>
    <x v="3"/>
    <s v="Female"/>
    <n v="1"/>
    <n v="39"/>
    <n v="3"/>
    <n v="1"/>
    <s v="Laboratory Technician"/>
    <n v="0"/>
    <n v="0"/>
    <n v="1"/>
    <n v="0"/>
    <n v="0"/>
    <n v="0"/>
    <n v="0"/>
    <n v="0"/>
    <n v="4"/>
    <x v="2"/>
    <n v="0"/>
    <n v="0"/>
    <n v="2835"/>
    <n v="2835"/>
    <n v="5"/>
    <x v="1"/>
    <n v="0"/>
    <n v="22"/>
    <n v="4"/>
    <n v="1"/>
    <n v="1"/>
    <n v="7"/>
    <n v="7"/>
    <n v="2"/>
    <n v="3"/>
    <n v="1"/>
    <n v="1"/>
    <n v="0"/>
    <n v="0"/>
    <n v="0"/>
    <n v="0"/>
    <n v="0"/>
    <n v="0"/>
  </r>
  <r>
    <n v="43"/>
    <n v="43"/>
    <x v="1"/>
    <n v="0"/>
    <s v="Travel_Frequently"/>
    <n v="1"/>
    <n v="0"/>
    <x v="0"/>
    <n v="0"/>
    <n v="1"/>
    <n v="26"/>
    <n v="26"/>
    <n v="2"/>
    <s v="Life Sciences"/>
    <n v="1"/>
    <n v="0"/>
    <n v="0"/>
    <n v="0"/>
    <n v="0"/>
    <x v="1"/>
    <s v="Male"/>
    <n v="0"/>
    <n v="92"/>
    <n v="3"/>
    <n v="4"/>
    <s v="Manager"/>
    <n v="0"/>
    <n v="0"/>
    <n v="0"/>
    <n v="1"/>
    <n v="0"/>
    <n v="0"/>
    <n v="0"/>
    <n v="0"/>
    <n v="4"/>
    <x v="1"/>
    <n v="0"/>
    <n v="1"/>
    <n v="16959"/>
    <n v="16959"/>
    <n v="1"/>
    <x v="0"/>
    <n v="1"/>
    <n v="12"/>
    <n v="3"/>
    <n v="4"/>
    <n v="2"/>
    <n v="25"/>
    <n v="25"/>
    <n v="3"/>
    <n v="4"/>
    <n v="25"/>
    <n v="25"/>
    <n v="12"/>
    <n v="4"/>
    <n v="4"/>
    <n v="12"/>
    <n v="12"/>
    <n v="48"/>
  </r>
  <r>
    <n v="30"/>
    <n v="30"/>
    <x v="1"/>
    <n v="0"/>
    <s v="Travel_Frequently"/>
    <n v="1"/>
    <n v="0"/>
    <x v="1"/>
    <n v="1"/>
    <n v="0"/>
    <n v="23"/>
    <n v="23"/>
    <n v="3"/>
    <s v="Life Sciences"/>
    <n v="1"/>
    <n v="0"/>
    <n v="0"/>
    <n v="0"/>
    <n v="0"/>
    <x v="3"/>
    <s v="Male"/>
    <n v="0"/>
    <n v="96"/>
    <n v="1"/>
    <n v="1"/>
    <s v="Research Scientist"/>
    <n v="0"/>
    <n v="0"/>
    <n v="0"/>
    <n v="0"/>
    <n v="0"/>
    <n v="0"/>
    <n v="0"/>
    <n v="1"/>
    <n v="3"/>
    <x v="2"/>
    <n v="0"/>
    <n v="0"/>
    <n v="2613"/>
    <n v="2613"/>
    <n v="1"/>
    <x v="1"/>
    <n v="0"/>
    <n v="25"/>
    <n v="4"/>
    <n v="3"/>
    <n v="3"/>
    <n v="10"/>
    <n v="10"/>
    <n v="2"/>
    <n v="2"/>
    <n v="10"/>
    <n v="10"/>
    <n v="7"/>
    <n v="0"/>
    <n v="0"/>
    <n v="9"/>
    <n v="9"/>
    <n v="9"/>
  </r>
  <r>
    <n v="33"/>
    <n v="33"/>
    <x v="1"/>
    <n v="0"/>
    <s v="Non-Travel"/>
    <n v="0"/>
    <n v="0"/>
    <x v="0"/>
    <n v="0"/>
    <n v="1"/>
    <n v="22"/>
    <n v="22"/>
    <n v="2"/>
    <s v="Marketing"/>
    <n v="0"/>
    <n v="0"/>
    <n v="0"/>
    <n v="1"/>
    <n v="0"/>
    <x v="1"/>
    <s v="Male"/>
    <n v="0"/>
    <n v="95"/>
    <n v="3"/>
    <n v="2"/>
    <s v="Sales Executive"/>
    <n v="0"/>
    <n v="1"/>
    <n v="0"/>
    <n v="0"/>
    <n v="0"/>
    <n v="0"/>
    <n v="0"/>
    <n v="0"/>
    <n v="2"/>
    <x v="1"/>
    <n v="0"/>
    <n v="1"/>
    <n v="6146"/>
    <n v="6146"/>
    <n v="0"/>
    <x v="1"/>
    <n v="0"/>
    <n v="13"/>
    <n v="3"/>
    <n v="1"/>
    <n v="1"/>
    <n v="8"/>
    <n v="8"/>
    <n v="2"/>
    <n v="4"/>
    <n v="7"/>
    <n v="7"/>
    <n v="7"/>
    <n v="0"/>
    <n v="0"/>
    <n v="7"/>
    <n v="7"/>
    <n v="14"/>
  </r>
  <r>
    <n v="56"/>
    <n v="56"/>
    <x v="0"/>
    <n v="1"/>
    <s v="Travel_Rarely"/>
    <n v="0"/>
    <n v="1"/>
    <x v="1"/>
    <n v="1"/>
    <n v="0"/>
    <n v="14"/>
    <n v="14"/>
    <n v="4"/>
    <s v="Life Sciences"/>
    <n v="1"/>
    <n v="0"/>
    <n v="0"/>
    <n v="0"/>
    <n v="0"/>
    <x v="0"/>
    <s v="Female"/>
    <n v="1"/>
    <n v="72"/>
    <n v="3"/>
    <n v="1"/>
    <s v="Research Scientist"/>
    <n v="0"/>
    <n v="0"/>
    <n v="0"/>
    <n v="0"/>
    <n v="0"/>
    <n v="0"/>
    <n v="0"/>
    <n v="1"/>
    <n v="2"/>
    <x v="1"/>
    <n v="0"/>
    <n v="1"/>
    <n v="4963"/>
    <n v="4963"/>
    <n v="9"/>
    <x v="0"/>
    <n v="1"/>
    <n v="18"/>
    <n v="3"/>
    <n v="1"/>
    <n v="3"/>
    <n v="7"/>
    <n v="7"/>
    <n v="2"/>
    <n v="3"/>
    <n v="5"/>
    <n v="5"/>
    <n v="4"/>
    <n v="4"/>
    <n v="4"/>
    <n v="3"/>
    <n v="3"/>
    <n v="3"/>
  </r>
  <r>
    <n v="51"/>
    <n v="51"/>
    <x v="1"/>
    <n v="0"/>
    <s v="Travel_Rarely"/>
    <n v="0"/>
    <n v="1"/>
    <x v="1"/>
    <n v="1"/>
    <n v="0"/>
    <n v="6"/>
    <n v="6"/>
    <n v="3"/>
    <s v="Life Sciences"/>
    <n v="1"/>
    <n v="0"/>
    <n v="0"/>
    <n v="0"/>
    <n v="0"/>
    <x v="3"/>
    <s v="Male"/>
    <n v="0"/>
    <n v="51"/>
    <n v="3"/>
    <n v="5"/>
    <s v="Research Director"/>
    <n v="0"/>
    <n v="0"/>
    <n v="0"/>
    <n v="0"/>
    <n v="0"/>
    <n v="0"/>
    <n v="0"/>
    <n v="0"/>
    <n v="3"/>
    <x v="0"/>
    <n v="1"/>
    <n v="0"/>
    <n v="19537"/>
    <n v="19537"/>
    <n v="7"/>
    <x v="1"/>
    <n v="0"/>
    <n v="13"/>
    <n v="3"/>
    <n v="3"/>
    <n v="0"/>
    <n v="23"/>
    <n v="23"/>
    <n v="5"/>
    <n v="3"/>
    <n v="20"/>
    <n v="20"/>
    <n v="18"/>
    <n v="15"/>
    <n v="14"/>
    <n v="15"/>
    <n v="14"/>
    <n v="70"/>
  </r>
  <r>
    <n v="31"/>
    <n v="31"/>
    <x v="0"/>
    <n v="1"/>
    <s v="Travel_Rarely"/>
    <n v="0"/>
    <n v="1"/>
    <x v="0"/>
    <n v="0"/>
    <n v="1"/>
    <n v="6"/>
    <n v="6"/>
    <n v="4"/>
    <s v="Life Sciences"/>
    <n v="1"/>
    <n v="0"/>
    <n v="0"/>
    <n v="0"/>
    <n v="0"/>
    <x v="0"/>
    <s v="Male"/>
    <n v="0"/>
    <n v="76"/>
    <n v="1"/>
    <n v="2"/>
    <s v="Sales Executive"/>
    <n v="0"/>
    <n v="1"/>
    <n v="0"/>
    <n v="0"/>
    <n v="0"/>
    <n v="0"/>
    <n v="0"/>
    <n v="0"/>
    <n v="3"/>
    <x v="1"/>
    <n v="0"/>
    <n v="1"/>
    <n v="6172"/>
    <n v="6172"/>
    <n v="4"/>
    <x v="0"/>
    <n v="1"/>
    <n v="18"/>
    <n v="3"/>
    <n v="2"/>
    <n v="0"/>
    <n v="12"/>
    <n v="12"/>
    <n v="3"/>
    <n v="2"/>
    <n v="7"/>
    <n v="7"/>
    <n v="7"/>
    <n v="7"/>
    <n v="7"/>
    <n v="7"/>
    <n v="7"/>
    <n v="14"/>
  </r>
  <r>
    <n v="26"/>
    <n v="26"/>
    <x v="1"/>
    <n v="0"/>
    <s v="Travel_Rarely"/>
    <n v="0"/>
    <n v="1"/>
    <x v="1"/>
    <n v="1"/>
    <n v="0"/>
    <n v="6"/>
    <n v="6"/>
    <n v="3"/>
    <s v="Other"/>
    <n v="0"/>
    <n v="1"/>
    <n v="0"/>
    <n v="0"/>
    <n v="0"/>
    <x v="1"/>
    <s v="Female"/>
    <n v="1"/>
    <n v="46"/>
    <n v="2"/>
    <n v="1"/>
    <s v="Research Scientist"/>
    <n v="0"/>
    <n v="0"/>
    <n v="0"/>
    <n v="0"/>
    <n v="0"/>
    <n v="0"/>
    <n v="0"/>
    <n v="1"/>
    <n v="2"/>
    <x v="1"/>
    <n v="0"/>
    <n v="1"/>
    <n v="2368"/>
    <n v="2368"/>
    <n v="1"/>
    <x v="1"/>
    <n v="0"/>
    <n v="19"/>
    <n v="3"/>
    <n v="3"/>
    <n v="0"/>
    <n v="5"/>
    <n v="5"/>
    <n v="3"/>
    <n v="2"/>
    <n v="5"/>
    <n v="5"/>
    <n v="4"/>
    <n v="4"/>
    <n v="4"/>
    <n v="3"/>
    <n v="3"/>
    <n v="3"/>
  </r>
  <r>
    <n v="58"/>
    <n v="58"/>
    <x v="0"/>
    <n v="1"/>
    <s v="Travel_Rarely"/>
    <n v="0"/>
    <n v="1"/>
    <x v="1"/>
    <n v="1"/>
    <n v="0"/>
    <n v="23"/>
    <n v="23"/>
    <n v="4"/>
    <s v="Medical"/>
    <n v="0"/>
    <n v="0"/>
    <n v="1"/>
    <n v="0"/>
    <n v="0"/>
    <x v="2"/>
    <s v="Female"/>
    <n v="1"/>
    <n v="94"/>
    <n v="3"/>
    <n v="3"/>
    <s v="Healthcare Representative"/>
    <n v="1"/>
    <n v="0"/>
    <n v="0"/>
    <n v="0"/>
    <n v="0"/>
    <n v="0"/>
    <n v="0"/>
    <n v="0"/>
    <n v="4"/>
    <x v="1"/>
    <n v="0"/>
    <n v="1"/>
    <n v="10312"/>
    <n v="10312"/>
    <n v="1"/>
    <x v="1"/>
    <n v="0"/>
    <n v="12"/>
    <n v="3"/>
    <n v="4"/>
    <n v="1"/>
    <n v="40"/>
    <n v="35"/>
    <n v="3"/>
    <n v="2"/>
    <n v="40"/>
    <n v="31"/>
    <n v="10"/>
    <n v="15"/>
    <n v="14"/>
    <n v="6"/>
    <n v="6"/>
    <n v="18"/>
  </r>
  <r>
    <n v="19"/>
    <n v="19"/>
    <x v="0"/>
    <n v="1"/>
    <s v="Travel_Rarely"/>
    <n v="0"/>
    <n v="1"/>
    <x v="0"/>
    <n v="0"/>
    <n v="1"/>
    <n v="22"/>
    <n v="22"/>
    <n v="1"/>
    <s v="Marketing"/>
    <n v="0"/>
    <n v="0"/>
    <n v="0"/>
    <n v="1"/>
    <n v="0"/>
    <x v="2"/>
    <s v="Male"/>
    <n v="0"/>
    <n v="50"/>
    <n v="3"/>
    <n v="1"/>
    <s v="Sales Representative"/>
    <n v="0"/>
    <n v="0"/>
    <n v="0"/>
    <n v="0"/>
    <n v="0"/>
    <n v="0"/>
    <n v="1"/>
    <n v="0"/>
    <n v="3"/>
    <x v="0"/>
    <n v="1"/>
    <n v="0"/>
    <n v="1675"/>
    <n v="1675"/>
    <n v="1"/>
    <x v="0"/>
    <n v="1"/>
    <n v="19"/>
    <n v="3"/>
    <n v="4"/>
    <n v="0"/>
    <n v="0"/>
    <n v="1"/>
    <n v="2"/>
    <n v="2"/>
    <n v="0"/>
    <n v="0"/>
    <n v="0"/>
    <n v="0"/>
    <n v="0"/>
    <n v="0"/>
    <n v="0"/>
    <n v="0"/>
  </r>
  <r>
    <n v="22"/>
    <n v="22"/>
    <x v="1"/>
    <n v="0"/>
    <s v="Travel_Rarely"/>
    <n v="0"/>
    <n v="1"/>
    <x v="1"/>
    <n v="1"/>
    <n v="0"/>
    <n v="2"/>
    <n v="2"/>
    <n v="1"/>
    <s v="Technical Degree"/>
    <n v="0"/>
    <n v="0"/>
    <n v="0"/>
    <n v="0"/>
    <n v="1"/>
    <x v="1"/>
    <s v="Male"/>
    <n v="0"/>
    <n v="100"/>
    <n v="3"/>
    <n v="1"/>
    <s v="Laboratory Technician"/>
    <n v="0"/>
    <n v="0"/>
    <n v="1"/>
    <n v="0"/>
    <n v="0"/>
    <n v="0"/>
    <n v="0"/>
    <n v="0"/>
    <n v="4"/>
    <x v="1"/>
    <n v="0"/>
    <n v="1"/>
    <n v="2523"/>
    <n v="2523"/>
    <n v="0"/>
    <x v="1"/>
    <n v="0"/>
    <n v="14"/>
    <n v="3"/>
    <n v="3"/>
    <n v="1"/>
    <n v="3"/>
    <n v="3"/>
    <n v="2"/>
    <n v="3"/>
    <n v="2"/>
    <n v="2"/>
    <n v="1"/>
    <n v="2"/>
    <n v="2"/>
    <n v="1"/>
    <n v="1"/>
    <n v="1"/>
  </r>
  <r>
    <n v="49"/>
    <n v="49"/>
    <x v="1"/>
    <n v="0"/>
    <s v="Travel_Rarely"/>
    <n v="0"/>
    <n v="1"/>
    <x v="1"/>
    <n v="1"/>
    <n v="0"/>
    <n v="20"/>
    <n v="20"/>
    <n v="4"/>
    <s v="Medical"/>
    <n v="0"/>
    <n v="0"/>
    <n v="1"/>
    <n v="0"/>
    <n v="0"/>
    <x v="1"/>
    <s v="Female"/>
    <n v="1"/>
    <n v="96"/>
    <n v="3"/>
    <n v="2"/>
    <s v="Manufacturing Director"/>
    <n v="0"/>
    <n v="0"/>
    <n v="0"/>
    <n v="0"/>
    <n v="1"/>
    <n v="1"/>
    <n v="0"/>
    <n v="0"/>
    <n v="1"/>
    <x v="1"/>
    <n v="0"/>
    <n v="1"/>
    <n v="6567"/>
    <n v="6567"/>
    <n v="1"/>
    <x v="1"/>
    <n v="0"/>
    <n v="14"/>
    <n v="3"/>
    <n v="3"/>
    <n v="0"/>
    <n v="16"/>
    <n v="16"/>
    <n v="2"/>
    <n v="2"/>
    <n v="15"/>
    <n v="15"/>
    <n v="11"/>
    <n v="5"/>
    <n v="5"/>
    <n v="11"/>
    <n v="11"/>
    <n v="22"/>
  </r>
  <r>
    <n v="43"/>
    <n v="43"/>
    <x v="1"/>
    <n v="0"/>
    <s v="Travel_Frequently"/>
    <n v="1"/>
    <n v="0"/>
    <x v="1"/>
    <n v="1"/>
    <n v="0"/>
    <n v="28"/>
    <n v="28"/>
    <n v="3"/>
    <s v="Medical"/>
    <n v="0"/>
    <n v="0"/>
    <n v="1"/>
    <n v="0"/>
    <n v="0"/>
    <x v="0"/>
    <s v="Female"/>
    <n v="1"/>
    <n v="72"/>
    <n v="4"/>
    <n v="1"/>
    <s v="Research Scientist"/>
    <n v="0"/>
    <n v="0"/>
    <n v="0"/>
    <n v="0"/>
    <n v="0"/>
    <n v="0"/>
    <n v="0"/>
    <n v="1"/>
    <n v="3"/>
    <x v="0"/>
    <n v="1"/>
    <n v="0"/>
    <n v="4739"/>
    <n v="4739"/>
    <n v="4"/>
    <x v="1"/>
    <n v="0"/>
    <n v="12"/>
    <n v="3"/>
    <n v="4"/>
    <n v="0"/>
    <n v="18"/>
    <n v="18"/>
    <n v="2"/>
    <n v="3"/>
    <n v="3"/>
    <n v="3"/>
    <n v="2"/>
    <n v="1"/>
    <n v="1"/>
    <n v="2"/>
    <n v="2"/>
    <n v="2"/>
  </r>
  <r>
    <n v="50"/>
    <n v="50"/>
    <x v="1"/>
    <n v="0"/>
    <s v="Travel_Frequently"/>
    <n v="1"/>
    <n v="0"/>
    <x v="0"/>
    <n v="0"/>
    <n v="1"/>
    <n v="12"/>
    <n v="12"/>
    <n v="3"/>
    <s v="Marketing"/>
    <n v="0"/>
    <n v="0"/>
    <n v="0"/>
    <n v="1"/>
    <n v="0"/>
    <x v="1"/>
    <s v="Female"/>
    <n v="1"/>
    <n v="77"/>
    <n v="3"/>
    <n v="3"/>
    <s v="Sales Executive"/>
    <n v="0"/>
    <n v="1"/>
    <n v="0"/>
    <n v="0"/>
    <n v="0"/>
    <n v="0"/>
    <n v="0"/>
    <n v="0"/>
    <n v="4"/>
    <x v="0"/>
    <n v="1"/>
    <n v="0"/>
    <n v="9208"/>
    <n v="9208"/>
    <n v="4"/>
    <x v="1"/>
    <n v="0"/>
    <n v="11"/>
    <n v="3"/>
    <n v="4"/>
    <n v="0"/>
    <n v="16"/>
    <n v="16"/>
    <n v="3"/>
    <n v="3"/>
    <n v="2"/>
    <n v="2"/>
    <n v="2"/>
    <n v="2"/>
    <n v="2"/>
    <n v="1"/>
    <n v="1"/>
    <n v="3"/>
  </r>
  <r>
    <n v="31"/>
    <n v="31"/>
    <x v="0"/>
    <n v="1"/>
    <s v="Travel_Rarely"/>
    <n v="0"/>
    <n v="1"/>
    <x v="0"/>
    <n v="0"/>
    <n v="1"/>
    <n v="20"/>
    <n v="20"/>
    <n v="3"/>
    <s v="Life Sciences"/>
    <n v="1"/>
    <n v="0"/>
    <n v="0"/>
    <n v="0"/>
    <n v="0"/>
    <x v="0"/>
    <s v="Female"/>
    <n v="1"/>
    <n v="71"/>
    <n v="1"/>
    <n v="2"/>
    <s v="Sales Executive"/>
    <n v="0"/>
    <n v="1"/>
    <n v="0"/>
    <n v="0"/>
    <n v="0"/>
    <n v="0"/>
    <n v="0"/>
    <n v="0"/>
    <n v="3"/>
    <x v="1"/>
    <n v="0"/>
    <n v="1"/>
    <n v="4559"/>
    <n v="4559"/>
    <n v="3"/>
    <x v="0"/>
    <n v="1"/>
    <n v="11"/>
    <n v="3"/>
    <n v="3"/>
    <n v="1"/>
    <n v="4"/>
    <n v="4"/>
    <n v="2"/>
    <n v="3"/>
    <n v="2"/>
    <n v="2"/>
    <n v="2"/>
    <n v="2"/>
    <n v="2"/>
    <n v="2"/>
    <n v="2"/>
    <n v="4"/>
  </r>
  <r>
    <n v="41"/>
    <n v="41"/>
    <x v="1"/>
    <n v="0"/>
    <s v="Travel_Rarely"/>
    <n v="0"/>
    <n v="1"/>
    <x v="0"/>
    <n v="0"/>
    <n v="1"/>
    <n v="9"/>
    <n v="9"/>
    <n v="1"/>
    <s v="Life Sciences"/>
    <n v="1"/>
    <n v="0"/>
    <n v="0"/>
    <n v="0"/>
    <n v="0"/>
    <x v="1"/>
    <s v="Male"/>
    <n v="0"/>
    <n v="96"/>
    <n v="3"/>
    <n v="3"/>
    <s v="Sales Executive"/>
    <n v="0"/>
    <n v="1"/>
    <n v="0"/>
    <n v="0"/>
    <n v="0"/>
    <n v="0"/>
    <n v="0"/>
    <n v="0"/>
    <n v="3"/>
    <x v="2"/>
    <n v="0"/>
    <n v="0"/>
    <n v="8189"/>
    <n v="8189"/>
    <n v="3"/>
    <x v="0"/>
    <n v="1"/>
    <n v="13"/>
    <n v="3"/>
    <n v="3"/>
    <n v="1"/>
    <n v="12"/>
    <n v="12"/>
    <n v="2"/>
    <n v="3"/>
    <n v="9"/>
    <n v="9"/>
    <n v="7"/>
    <n v="0"/>
    <n v="0"/>
    <n v="7"/>
    <n v="7"/>
    <n v="21"/>
  </r>
  <r>
    <n v="26"/>
    <n v="26"/>
    <x v="1"/>
    <n v="0"/>
    <s v="Travel_Rarely"/>
    <n v="0"/>
    <n v="1"/>
    <x v="2"/>
    <n v="0"/>
    <n v="0"/>
    <n v="25"/>
    <n v="25"/>
    <n v="1"/>
    <s v="Life Sciences"/>
    <n v="1"/>
    <n v="0"/>
    <n v="0"/>
    <n v="0"/>
    <n v="0"/>
    <x v="1"/>
    <s v="Female"/>
    <n v="1"/>
    <n v="61"/>
    <n v="3"/>
    <n v="1"/>
    <s v="Human Resources"/>
    <n v="0"/>
    <n v="0"/>
    <n v="0"/>
    <n v="0"/>
    <n v="0"/>
    <n v="0"/>
    <n v="0"/>
    <n v="0"/>
    <n v="3"/>
    <x v="1"/>
    <n v="0"/>
    <n v="1"/>
    <n v="2942"/>
    <n v="2942"/>
    <n v="1"/>
    <x v="1"/>
    <n v="0"/>
    <n v="23"/>
    <n v="4"/>
    <n v="4"/>
    <n v="1"/>
    <n v="8"/>
    <n v="8"/>
    <n v="3"/>
    <n v="3"/>
    <n v="8"/>
    <n v="8"/>
    <n v="7"/>
    <n v="5"/>
    <n v="5"/>
    <n v="7"/>
    <n v="7"/>
    <n v="7"/>
  </r>
  <r>
    <n v="36"/>
    <n v="36"/>
    <x v="1"/>
    <n v="0"/>
    <s v="Travel_Rarely"/>
    <n v="0"/>
    <n v="1"/>
    <x v="1"/>
    <n v="1"/>
    <n v="0"/>
    <n v="6"/>
    <n v="6"/>
    <n v="2"/>
    <s v="Medical"/>
    <n v="0"/>
    <n v="0"/>
    <n v="1"/>
    <n v="0"/>
    <n v="0"/>
    <x v="0"/>
    <s v="Male"/>
    <n v="0"/>
    <n v="84"/>
    <n v="3"/>
    <n v="2"/>
    <s v="Manufacturing Director"/>
    <n v="0"/>
    <n v="0"/>
    <n v="0"/>
    <n v="0"/>
    <n v="1"/>
    <n v="1"/>
    <n v="0"/>
    <n v="0"/>
    <n v="2"/>
    <x v="2"/>
    <n v="0"/>
    <n v="0"/>
    <n v="4941"/>
    <n v="4941"/>
    <n v="6"/>
    <x v="1"/>
    <n v="0"/>
    <n v="20"/>
    <n v="4"/>
    <n v="4"/>
    <n v="2"/>
    <n v="7"/>
    <n v="7"/>
    <n v="0"/>
    <n v="3"/>
    <n v="3"/>
    <n v="3"/>
    <n v="2"/>
    <n v="0"/>
    <n v="0"/>
    <n v="1"/>
    <n v="1"/>
    <n v="2"/>
  </r>
  <r>
    <n v="51"/>
    <n v="51"/>
    <x v="0"/>
    <n v="1"/>
    <s v="Travel_Frequently"/>
    <n v="1"/>
    <n v="0"/>
    <x v="1"/>
    <n v="1"/>
    <n v="0"/>
    <n v="8"/>
    <n v="8"/>
    <n v="4"/>
    <s v="Life Sciences"/>
    <n v="1"/>
    <n v="0"/>
    <n v="0"/>
    <n v="0"/>
    <n v="0"/>
    <x v="3"/>
    <s v="Male"/>
    <n v="0"/>
    <n v="53"/>
    <n v="1"/>
    <n v="3"/>
    <s v="Manufacturing Director"/>
    <n v="0"/>
    <n v="0"/>
    <n v="0"/>
    <n v="0"/>
    <n v="1"/>
    <n v="1"/>
    <n v="0"/>
    <n v="0"/>
    <n v="4"/>
    <x v="0"/>
    <n v="1"/>
    <n v="0"/>
    <n v="10650"/>
    <n v="10650"/>
    <n v="2"/>
    <x v="1"/>
    <n v="0"/>
    <n v="15"/>
    <n v="3"/>
    <n v="4"/>
    <n v="0"/>
    <n v="18"/>
    <n v="18"/>
    <n v="2"/>
    <n v="3"/>
    <n v="4"/>
    <n v="4"/>
    <n v="2"/>
    <n v="0"/>
    <n v="0"/>
    <n v="3"/>
    <n v="3"/>
    <n v="9"/>
  </r>
  <r>
    <n v="39"/>
    <n v="39"/>
    <x v="1"/>
    <n v="0"/>
    <s v="Travel_Rarely"/>
    <n v="0"/>
    <n v="1"/>
    <x v="0"/>
    <n v="0"/>
    <n v="1"/>
    <n v="4"/>
    <n v="4"/>
    <n v="4"/>
    <s v="Life Sciences"/>
    <n v="1"/>
    <n v="0"/>
    <n v="0"/>
    <n v="0"/>
    <n v="0"/>
    <x v="2"/>
    <s v="Female"/>
    <n v="1"/>
    <n v="47"/>
    <n v="2"/>
    <n v="2"/>
    <s v="Sales Executive"/>
    <n v="0"/>
    <n v="1"/>
    <n v="0"/>
    <n v="0"/>
    <n v="0"/>
    <n v="0"/>
    <n v="0"/>
    <n v="0"/>
    <n v="3"/>
    <x v="1"/>
    <n v="0"/>
    <n v="1"/>
    <n v="5902"/>
    <n v="5902"/>
    <n v="4"/>
    <x v="1"/>
    <n v="0"/>
    <n v="14"/>
    <n v="3"/>
    <n v="3"/>
    <n v="1"/>
    <n v="17"/>
    <n v="17"/>
    <n v="1"/>
    <n v="4"/>
    <n v="15"/>
    <n v="15"/>
    <n v="11"/>
    <n v="5"/>
    <n v="5"/>
    <n v="9"/>
    <n v="9"/>
    <n v="18"/>
  </r>
  <r>
    <n v="25"/>
    <n v="25"/>
    <x v="1"/>
    <n v="0"/>
    <s v="Travel_Rarely"/>
    <n v="0"/>
    <n v="1"/>
    <x v="0"/>
    <n v="0"/>
    <n v="1"/>
    <n v="28"/>
    <n v="28"/>
    <n v="3"/>
    <s v="Life Sciences"/>
    <n v="1"/>
    <n v="0"/>
    <n v="0"/>
    <n v="0"/>
    <n v="0"/>
    <x v="3"/>
    <s v="Male"/>
    <n v="0"/>
    <n v="41"/>
    <n v="2"/>
    <n v="2"/>
    <s v="Sales Executive"/>
    <n v="0"/>
    <n v="1"/>
    <n v="0"/>
    <n v="0"/>
    <n v="0"/>
    <n v="0"/>
    <n v="0"/>
    <n v="0"/>
    <n v="3"/>
    <x v="1"/>
    <n v="0"/>
    <n v="1"/>
    <n v="8639"/>
    <n v="8639"/>
    <n v="2"/>
    <x v="1"/>
    <n v="0"/>
    <n v="18"/>
    <n v="3"/>
    <n v="4"/>
    <n v="0"/>
    <n v="6"/>
    <n v="6"/>
    <n v="3"/>
    <n v="3"/>
    <n v="2"/>
    <n v="2"/>
    <n v="2"/>
    <n v="2"/>
    <n v="2"/>
    <n v="2"/>
    <n v="2"/>
    <n v="4"/>
  </r>
  <r>
    <n v="30"/>
    <n v="30"/>
    <x v="1"/>
    <n v="0"/>
    <s v="Travel_Rarely"/>
    <n v="0"/>
    <n v="1"/>
    <x v="2"/>
    <n v="0"/>
    <n v="0"/>
    <n v="9"/>
    <n v="9"/>
    <n v="3"/>
    <s v="Human Resources"/>
    <n v="0"/>
    <n v="0"/>
    <n v="0"/>
    <n v="0"/>
    <n v="0"/>
    <x v="1"/>
    <s v="Male"/>
    <n v="0"/>
    <n v="48"/>
    <n v="3"/>
    <n v="2"/>
    <s v="Human Resources"/>
    <n v="0"/>
    <n v="0"/>
    <n v="0"/>
    <n v="0"/>
    <n v="0"/>
    <n v="0"/>
    <n v="0"/>
    <n v="0"/>
    <n v="4"/>
    <x v="1"/>
    <n v="0"/>
    <n v="1"/>
    <n v="6347"/>
    <n v="6347"/>
    <n v="0"/>
    <x v="0"/>
    <n v="1"/>
    <n v="19"/>
    <n v="3"/>
    <n v="4"/>
    <n v="0"/>
    <n v="12"/>
    <n v="12"/>
    <n v="2"/>
    <n v="1"/>
    <n v="11"/>
    <n v="11"/>
    <n v="9"/>
    <n v="4"/>
    <n v="4"/>
    <n v="7"/>
    <n v="7"/>
    <n v="14"/>
  </r>
  <r>
    <n v="32"/>
    <n v="32"/>
    <x v="0"/>
    <n v="1"/>
    <s v="Travel_Rarely"/>
    <n v="0"/>
    <n v="1"/>
    <x v="1"/>
    <n v="1"/>
    <n v="0"/>
    <n v="9"/>
    <n v="9"/>
    <n v="3"/>
    <s v="Medical"/>
    <n v="0"/>
    <n v="0"/>
    <n v="1"/>
    <n v="0"/>
    <n v="0"/>
    <x v="3"/>
    <s v="Female"/>
    <n v="1"/>
    <n v="41"/>
    <n v="3"/>
    <n v="1"/>
    <s v="Laboratory Technician"/>
    <n v="0"/>
    <n v="0"/>
    <n v="1"/>
    <n v="0"/>
    <n v="0"/>
    <n v="0"/>
    <n v="0"/>
    <n v="0"/>
    <n v="1"/>
    <x v="0"/>
    <n v="1"/>
    <n v="0"/>
    <n v="4200"/>
    <n v="4200"/>
    <n v="7"/>
    <x v="1"/>
    <n v="0"/>
    <n v="22"/>
    <n v="4"/>
    <n v="1"/>
    <n v="0"/>
    <n v="10"/>
    <n v="10"/>
    <n v="2"/>
    <n v="4"/>
    <n v="5"/>
    <n v="5"/>
    <n v="4"/>
    <n v="0"/>
    <n v="0"/>
    <n v="4"/>
    <n v="4"/>
    <n v="4"/>
  </r>
  <r>
    <n v="45"/>
    <n v="45"/>
    <x v="1"/>
    <n v="0"/>
    <s v="Travel_Rarely"/>
    <n v="0"/>
    <n v="1"/>
    <x v="1"/>
    <n v="1"/>
    <n v="0"/>
    <n v="29"/>
    <n v="29"/>
    <n v="3"/>
    <s v="Medical"/>
    <n v="0"/>
    <n v="0"/>
    <n v="1"/>
    <n v="0"/>
    <n v="0"/>
    <x v="1"/>
    <s v="Male"/>
    <n v="0"/>
    <n v="83"/>
    <n v="3"/>
    <n v="1"/>
    <s v="Research Scientist"/>
    <n v="0"/>
    <n v="0"/>
    <n v="0"/>
    <n v="0"/>
    <n v="0"/>
    <n v="0"/>
    <n v="0"/>
    <n v="1"/>
    <n v="4"/>
    <x v="0"/>
    <n v="1"/>
    <n v="0"/>
    <n v="3452"/>
    <n v="3452"/>
    <n v="5"/>
    <x v="1"/>
    <n v="0"/>
    <n v="13"/>
    <n v="3"/>
    <n v="2"/>
    <n v="0"/>
    <n v="9"/>
    <n v="9"/>
    <n v="2"/>
    <n v="2"/>
    <n v="6"/>
    <n v="6"/>
    <n v="5"/>
    <n v="0"/>
    <n v="0"/>
    <n v="3"/>
    <n v="3"/>
    <n v="3"/>
  </r>
  <r>
    <n v="38"/>
    <n v="38"/>
    <x v="1"/>
    <n v="0"/>
    <s v="Travel_Rarely"/>
    <n v="0"/>
    <n v="1"/>
    <x v="1"/>
    <n v="1"/>
    <n v="0"/>
    <n v="3"/>
    <n v="3"/>
    <n v="5"/>
    <s v="Technical Degree"/>
    <n v="0"/>
    <n v="0"/>
    <n v="0"/>
    <n v="0"/>
    <n v="1"/>
    <x v="2"/>
    <s v="Female"/>
    <n v="1"/>
    <n v="32"/>
    <n v="3"/>
    <n v="2"/>
    <s v="Research Scientist"/>
    <n v="0"/>
    <n v="0"/>
    <n v="0"/>
    <n v="0"/>
    <n v="0"/>
    <n v="0"/>
    <n v="0"/>
    <n v="1"/>
    <n v="3"/>
    <x v="0"/>
    <n v="1"/>
    <n v="0"/>
    <n v="4317"/>
    <n v="4317"/>
    <n v="3"/>
    <x v="0"/>
    <n v="1"/>
    <n v="20"/>
    <n v="4"/>
    <n v="2"/>
    <n v="0"/>
    <n v="19"/>
    <n v="19"/>
    <n v="2"/>
    <n v="3"/>
    <n v="3"/>
    <n v="3"/>
    <n v="2"/>
    <n v="2"/>
    <n v="2"/>
    <n v="2"/>
    <n v="2"/>
    <n v="4"/>
  </r>
  <r>
    <n v="30"/>
    <n v="30"/>
    <x v="1"/>
    <n v="0"/>
    <s v="Travel_Rarely"/>
    <n v="0"/>
    <n v="1"/>
    <x v="1"/>
    <n v="1"/>
    <n v="0"/>
    <n v="18"/>
    <n v="18"/>
    <n v="3"/>
    <s v="Life Sciences"/>
    <n v="1"/>
    <n v="0"/>
    <n v="0"/>
    <n v="0"/>
    <n v="0"/>
    <x v="3"/>
    <s v="Female"/>
    <n v="1"/>
    <n v="75"/>
    <n v="3"/>
    <n v="1"/>
    <s v="Research Scientist"/>
    <n v="0"/>
    <n v="0"/>
    <n v="0"/>
    <n v="0"/>
    <n v="0"/>
    <n v="0"/>
    <n v="0"/>
    <n v="1"/>
    <n v="3"/>
    <x v="0"/>
    <n v="1"/>
    <n v="0"/>
    <n v="2632"/>
    <n v="2632"/>
    <n v="1"/>
    <x v="1"/>
    <n v="0"/>
    <n v="14"/>
    <n v="3"/>
    <n v="3"/>
    <n v="0"/>
    <n v="5"/>
    <n v="5"/>
    <n v="4"/>
    <n v="2"/>
    <n v="5"/>
    <n v="5"/>
    <n v="4"/>
    <n v="0"/>
    <n v="0"/>
    <n v="4"/>
    <n v="4"/>
    <n v="4"/>
  </r>
  <r>
    <n v="32"/>
    <n v="32"/>
    <x v="1"/>
    <n v="0"/>
    <s v="Travel_Frequently"/>
    <n v="1"/>
    <n v="0"/>
    <x v="0"/>
    <n v="0"/>
    <n v="1"/>
    <n v="9"/>
    <n v="9"/>
    <n v="2"/>
    <s v="Medical"/>
    <n v="0"/>
    <n v="0"/>
    <n v="1"/>
    <n v="0"/>
    <n v="0"/>
    <x v="2"/>
    <s v="Male"/>
    <n v="0"/>
    <n v="35"/>
    <n v="1"/>
    <n v="2"/>
    <s v="Sales Executive"/>
    <n v="0"/>
    <n v="1"/>
    <n v="0"/>
    <n v="0"/>
    <n v="0"/>
    <n v="0"/>
    <n v="0"/>
    <n v="0"/>
    <n v="4"/>
    <x v="2"/>
    <n v="0"/>
    <n v="0"/>
    <n v="4668"/>
    <n v="4668"/>
    <n v="0"/>
    <x v="1"/>
    <n v="0"/>
    <n v="17"/>
    <n v="3"/>
    <n v="4"/>
    <n v="3"/>
    <n v="9"/>
    <n v="9"/>
    <n v="2"/>
    <n v="4"/>
    <n v="8"/>
    <n v="8"/>
    <n v="7"/>
    <n v="0"/>
    <n v="0"/>
    <n v="7"/>
    <n v="7"/>
    <n v="14"/>
  </r>
  <r>
    <n v="30"/>
    <n v="30"/>
    <x v="1"/>
    <n v="0"/>
    <s v="Travel_Rarely"/>
    <n v="0"/>
    <n v="1"/>
    <x v="1"/>
    <n v="1"/>
    <n v="0"/>
    <n v="5"/>
    <n v="5"/>
    <n v="3"/>
    <s v="Technical Degree"/>
    <n v="0"/>
    <n v="0"/>
    <n v="0"/>
    <n v="0"/>
    <n v="1"/>
    <x v="2"/>
    <s v="Female"/>
    <n v="1"/>
    <n v="84"/>
    <n v="3"/>
    <n v="1"/>
    <s v="Research Scientist"/>
    <n v="0"/>
    <n v="0"/>
    <n v="0"/>
    <n v="0"/>
    <n v="0"/>
    <n v="0"/>
    <n v="0"/>
    <n v="1"/>
    <n v="1"/>
    <x v="2"/>
    <n v="0"/>
    <n v="0"/>
    <n v="3204"/>
    <n v="3204"/>
    <n v="5"/>
    <x v="1"/>
    <n v="0"/>
    <n v="14"/>
    <n v="3"/>
    <n v="4"/>
    <n v="1"/>
    <n v="8"/>
    <n v="8"/>
    <n v="3"/>
    <n v="3"/>
    <n v="3"/>
    <n v="3"/>
    <n v="2"/>
    <n v="2"/>
    <n v="2"/>
    <n v="2"/>
    <n v="2"/>
    <n v="2"/>
  </r>
  <r>
    <n v="30"/>
    <n v="30"/>
    <x v="1"/>
    <n v="0"/>
    <s v="Travel_Rarely"/>
    <n v="0"/>
    <n v="1"/>
    <x v="1"/>
    <n v="1"/>
    <n v="0"/>
    <n v="2"/>
    <n v="2"/>
    <n v="1"/>
    <s v="Medical"/>
    <n v="0"/>
    <n v="0"/>
    <n v="1"/>
    <n v="0"/>
    <n v="0"/>
    <x v="0"/>
    <s v="Male"/>
    <n v="0"/>
    <n v="35"/>
    <n v="2"/>
    <n v="1"/>
    <s v="Laboratory Technician"/>
    <n v="0"/>
    <n v="0"/>
    <n v="1"/>
    <n v="0"/>
    <n v="0"/>
    <n v="0"/>
    <n v="0"/>
    <n v="0"/>
    <n v="4"/>
    <x v="0"/>
    <n v="1"/>
    <n v="0"/>
    <n v="2720"/>
    <n v="2720"/>
    <n v="0"/>
    <x v="1"/>
    <n v="0"/>
    <n v="13"/>
    <n v="3"/>
    <n v="4"/>
    <n v="0"/>
    <n v="6"/>
    <n v="6"/>
    <n v="3"/>
    <n v="3"/>
    <n v="5"/>
    <n v="5"/>
    <n v="3"/>
    <n v="1"/>
    <n v="1"/>
    <n v="2"/>
    <n v="2"/>
    <n v="2"/>
  </r>
  <r>
    <n v="41"/>
    <n v="41"/>
    <x v="1"/>
    <n v="0"/>
    <s v="Travel_Frequently"/>
    <n v="1"/>
    <n v="0"/>
    <x v="1"/>
    <n v="1"/>
    <n v="0"/>
    <n v="10"/>
    <n v="10"/>
    <n v="3"/>
    <s v="Life Sciences"/>
    <n v="1"/>
    <n v="0"/>
    <n v="0"/>
    <n v="0"/>
    <n v="0"/>
    <x v="2"/>
    <s v="Male"/>
    <n v="0"/>
    <n v="91"/>
    <n v="2"/>
    <n v="4"/>
    <s v="Manager"/>
    <n v="0"/>
    <n v="0"/>
    <n v="0"/>
    <n v="1"/>
    <n v="0"/>
    <n v="0"/>
    <n v="0"/>
    <n v="0"/>
    <n v="1"/>
    <x v="2"/>
    <n v="0"/>
    <n v="0"/>
    <n v="17181"/>
    <n v="17181"/>
    <n v="4"/>
    <x v="1"/>
    <n v="0"/>
    <n v="13"/>
    <n v="3"/>
    <n v="2"/>
    <n v="1"/>
    <n v="21"/>
    <n v="21"/>
    <n v="2"/>
    <n v="2"/>
    <n v="7"/>
    <n v="7"/>
    <n v="6"/>
    <n v="7"/>
    <n v="7"/>
    <n v="7"/>
    <n v="7"/>
    <n v="28"/>
  </r>
  <r>
    <n v="41"/>
    <n v="41"/>
    <x v="1"/>
    <n v="0"/>
    <s v="Travel_Rarely"/>
    <n v="0"/>
    <n v="1"/>
    <x v="1"/>
    <n v="1"/>
    <n v="0"/>
    <n v="9"/>
    <n v="9"/>
    <n v="4"/>
    <s v="Life Sciences"/>
    <n v="1"/>
    <n v="0"/>
    <n v="0"/>
    <n v="0"/>
    <n v="0"/>
    <x v="1"/>
    <s v="Male"/>
    <n v="0"/>
    <n v="94"/>
    <n v="3"/>
    <n v="1"/>
    <s v="Laboratory Technician"/>
    <n v="0"/>
    <n v="0"/>
    <n v="1"/>
    <n v="0"/>
    <n v="0"/>
    <n v="0"/>
    <n v="0"/>
    <n v="0"/>
    <n v="1"/>
    <x v="1"/>
    <n v="0"/>
    <n v="1"/>
    <n v="2238"/>
    <n v="2238"/>
    <n v="2"/>
    <x v="1"/>
    <n v="0"/>
    <n v="21"/>
    <n v="4"/>
    <n v="4"/>
    <n v="1"/>
    <n v="7"/>
    <n v="7"/>
    <n v="2"/>
    <n v="3"/>
    <n v="5"/>
    <n v="5"/>
    <n v="0"/>
    <n v="1"/>
    <n v="1"/>
    <n v="4"/>
    <n v="4"/>
    <n v="4"/>
  </r>
  <r>
    <n v="19"/>
    <n v="19"/>
    <x v="1"/>
    <n v="0"/>
    <s v="Travel_Rarely"/>
    <n v="0"/>
    <n v="1"/>
    <x v="1"/>
    <n v="1"/>
    <n v="0"/>
    <n v="3"/>
    <n v="3"/>
    <n v="1"/>
    <s v="Medical"/>
    <n v="0"/>
    <n v="0"/>
    <n v="1"/>
    <n v="0"/>
    <n v="0"/>
    <x v="0"/>
    <s v="Female"/>
    <n v="1"/>
    <n v="79"/>
    <n v="3"/>
    <n v="1"/>
    <s v="Laboratory Technician"/>
    <n v="0"/>
    <n v="0"/>
    <n v="1"/>
    <n v="0"/>
    <n v="0"/>
    <n v="0"/>
    <n v="0"/>
    <n v="0"/>
    <n v="2"/>
    <x v="0"/>
    <n v="1"/>
    <n v="0"/>
    <n v="1483"/>
    <n v="1483"/>
    <n v="1"/>
    <x v="1"/>
    <n v="0"/>
    <n v="14"/>
    <n v="3"/>
    <n v="4"/>
    <n v="0"/>
    <n v="1"/>
    <n v="1"/>
    <n v="3"/>
    <n v="3"/>
    <n v="1"/>
    <n v="1"/>
    <n v="0"/>
    <n v="0"/>
    <n v="0"/>
    <n v="0"/>
    <n v="0"/>
    <n v="0"/>
  </r>
  <r>
    <n v="40"/>
    <n v="40"/>
    <x v="1"/>
    <n v="0"/>
    <s v="Travel_Frequently"/>
    <n v="1"/>
    <n v="0"/>
    <x v="1"/>
    <n v="1"/>
    <n v="0"/>
    <n v="26"/>
    <n v="26"/>
    <n v="3"/>
    <s v="Medical"/>
    <n v="0"/>
    <n v="0"/>
    <n v="1"/>
    <n v="0"/>
    <n v="0"/>
    <x v="0"/>
    <s v="Female"/>
    <n v="1"/>
    <n v="54"/>
    <n v="3"/>
    <n v="2"/>
    <s v="Research Scientist"/>
    <n v="0"/>
    <n v="0"/>
    <n v="0"/>
    <n v="0"/>
    <n v="0"/>
    <n v="0"/>
    <n v="0"/>
    <n v="1"/>
    <n v="2"/>
    <x v="2"/>
    <n v="0"/>
    <n v="0"/>
    <n v="5605"/>
    <n v="5605"/>
    <n v="1"/>
    <x v="1"/>
    <n v="0"/>
    <n v="11"/>
    <n v="3"/>
    <n v="1"/>
    <n v="1"/>
    <n v="20"/>
    <n v="20"/>
    <n v="2"/>
    <n v="3"/>
    <n v="20"/>
    <n v="20"/>
    <n v="7"/>
    <n v="2"/>
    <n v="2"/>
    <n v="13"/>
    <n v="13"/>
    <n v="26"/>
  </r>
  <r>
    <n v="35"/>
    <n v="35"/>
    <x v="1"/>
    <n v="0"/>
    <s v="Travel_Rarely"/>
    <n v="0"/>
    <n v="1"/>
    <x v="0"/>
    <n v="0"/>
    <n v="1"/>
    <n v="1"/>
    <n v="1"/>
    <n v="5"/>
    <s v="Marketing"/>
    <n v="0"/>
    <n v="0"/>
    <n v="0"/>
    <n v="1"/>
    <n v="0"/>
    <x v="1"/>
    <s v="Male"/>
    <n v="0"/>
    <n v="94"/>
    <n v="3"/>
    <n v="3"/>
    <s v="Sales Executive"/>
    <n v="0"/>
    <n v="1"/>
    <n v="0"/>
    <n v="0"/>
    <n v="0"/>
    <n v="0"/>
    <n v="0"/>
    <n v="0"/>
    <n v="2"/>
    <x v="1"/>
    <n v="0"/>
    <n v="1"/>
    <n v="7295"/>
    <n v="7295"/>
    <n v="1"/>
    <x v="1"/>
    <n v="0"/>
    <n v="13"/>
    <n v="3"/>
    <n v="1"/>
    <n v="2"/>
    <n v="10"/>
    <n v="10"/>
    <n v="3"/>
    <n v="3"/>
    <n v="10"/>
    <n v="10"/>
    <n v="8"/>
    <n v="0"/>
    <n v="0"/>
    <n v="6"/>
    <n v="6"/>
    <n v="18"/>
  </r>
  <r>
    <n v="53"/>
    <n v="53"/>
    <x v="1"/>
    <n v="0"/>
    <s v="Travel_Rarely"/>
    <n v="0"/>
    <n v="1"/>
    <x v="0"/>
    <n v="0"/>
    <n v="1"/>
    <n v="6"/>
    <n v="6"/>
    <n v="2"/>
    <s v="Marketing"/>
    <n v="0"/>
    <n v="0"/>
    <n v="0"/>
    <n v="1"/>
    <n v="0"/>
    <x v="0"/>
    <s v="Male"/>
    <n v="0"/>
    <n v="34"/>
    <n v="3"/>
    <n v="2"/>
    <s v="Sales Representative"/>
    <n v="0"/>
    <n v="0"/>
    <n v="0"/>
    <n v="0"/>
    <n v="0"/>
    <n v="0"/>
    <n v="1"/>
    <n v="0"/>
    <n v="3"/>
    <x v="1"/>
    <n v="0"/>
    <n v="1"/>
    <n v="2306"/>
    <n v="2306"/>
    <n v="2"/>
    <x v="0"/>
    <n v="1"/>
    <n v="20"/>
    <n v="4"/>
    <n v="4"/>
    <n v="1"/>
    <n v="13"/>
    <n v="13"/>
    <n v="3"/>
    <n v="1"/>
    <n v="7"/>
    <n v="7"/>
    <n v="7"/>
    <n v="4"/>
    <n v="4"/>
    <n v="5"/>
    <n v="5"/>
    <n v="10"/>
  </r>
  <r>
    <n v="45"/>
    <n v="45"/>
    <x v="1"/>
    <n v="0"/>
    <s v="Travel_Rarely"/>
    <n v="0"/>
    <n v="1"/>
    <x v="1"/>
    <n v="1"/>
    <n v="0"/>
    <n v="9"/>
    <n v="9"/>
    <n v="3"/>
    <s v="Life Sciences"/>
    <n v="1"/>
    <n v="0"/>
    <n v="0"/>
    <n v="0"/>
    <n v="0"/>
    <x v="0"/>
    <s v="Male"/>
    <n v="0"/>
    <n v="60"/>
    <n v="3"/>
    <n v="2"/>
    <s v="Laboratory Technician"/>
    <n v="0"/>
    <n v="0"/>
    <n v="1"/>
    <n v="0"/>
    <n v="0"/>
    <n v="0"/>
    <n v="0"/>
    <n v="0"/>
    <n v="2"/>
    <x v="2"/>
    <n v="0"/>
    <n v="0"/>
    <n v="2348"/>
    <n v="2348"/>
    <n v="8"/>
    <x v="1"/>
    <n v="0"/>
    <n v="18"/>
    <n v="3"/>
    <n v="3"/>
    <n v="1"/>
    <n v="20"/>
    <n v="20"/>
    <n v="2"/>
    <n v="1"/>
    <n v="17"/>
    <n v="17"/>
    <n v="9"/>
    <n v="0"/>
    <n v="0"/>
    <n v="15"/>
    <n v="14"/>
    <n v="28"/>
  </r>
  <r>
    <n v="32"/>
    <n v="32"/>
    <x v="1"/>
    <n v="0"/>
    <s v="Travel_Frequently"/>
    <n v="1"/>
    <n v="0"/>
    <x v="0"/>
    <n v="0"/>
    <n v="1"/>
    <n v="8"/>
    <n v="8"/>
    <n v="3"/>
    <s v="Marketing"/>
    <n v="0"/>
    <n v="0"/>
    <n v="0"/>
    <n v="1"/>
    <n v="0"/>
    <x v="0"/>
    <s v="Female"/>
    <n v="1"/>
    <n v="43"/>
    <n v="3"/>
    <n v="3"/>
    <s v="Sales Executive"/>
    <n v="0"/>
    <n v="1"/>
    <n v="0"/>
    <n v="0"/>
    <n v="0"/>
    <n v="0"/>
    <n v="0"/>
    <n v="0"/>
    <n v="4"/>
    <x v="0"/>
    <n v="1"/>
    <n v="0"/>
    <n v="8998"/>
    <n v="8998"/>
    <n v="1"/>
    <x v="1"/>
    <n v="0"/>
    <n v="14"/>
    <n v="3"/>
    <n v="4"/>
    <n v="0"/>
    <n v="9"/>
    <n v="9"/>
    <n v="2"/>
    <n v="3"/>
    <n v="9"/>
    <n v="9"/>
    <n v="8"/>
    <n v="3"/>
    <n v="3"/>
    <n v="7"/>
    <n v="7"/>
    <n v="21"/>
  </r>
  <r>
    <n v="29"/>
    <n v="29"/>
    <x v="1"/>
    <n v="0"/>
    <s v="Non-Travel"/>
    <n v="0"/>
    <n v="0"/>
    <x v="1"/>
    <n v="1"/>
    <n v="0"/>
    <n v="1"/>
    <n v="1"/>
    <n v="1"/>
    <s v="Technical Degree"/>
    <n v="0"/>
    <n v="0"/>
    <n v="0"/>
    <n v="0"/>
    <n v="1"/>
    <x v="2"/>
    <s v="Male"/>
    <n v="0"/>
    <n v="41"/>
    <n v="3"/>
    <n v="2"/>
    <s v="Manufacturing Director"/>
    <n v="0"/>
    <n v="0"/>
    <n v="0"/>
    <n v="0"/>
    <n v="1"/>
    <n v="1"/>
    <n v="0"/>
    <n v="0"/>
    <n v="3"/>
    <x v="1"/>
    <n v="0"/>
    <n v="1"/>
    <n v="4319"/>
    <n v="4319"/>
    <n v="1"/>
    <x v="1"/>
    <n v="0"/>
    <n v="13"/>
    <n v="3"/>
    <n v="1"/>
    <n v="1"/>
    <n v="10"/>
    <n v="10"/>
    <n v="1"/>
    <n v="3"/>
    <n v="10"/>
    <n v="10"/>
    <n v="7"/>
    <n v="0"/>
    <n v="0"/>
    <n v="9"/>
    <n v="9"/>
    <n v="18"/>
  </r>
  <r>
    <n v="51"/>
    <n v="51"/>
    <x v="1"/>
    <n v="0"/>
    <s v="Travel_Rarely"/>
    <n v="0"/>
    <n v="1"/>
    <x v="1"/>
    <n v="1"/>
    <n v="0"/>
    <n v="7"/>
    <n v="7"/>
    <n v="4"/>
    <s v="Medical"/>
    <n v="0"/>
    <n v="0"/>
    <n v="1"/>
    <n v="0"/>
    <n v="0"/>
    <x v="0"/>
    <s v="Male"/>
    <n v="0"/>
    <n v="34"/>
    <n v="2"/>
    <n v="2"/>
    <s v="Manufacturing Director"/>
    <n v="0"/>
    <n v="0"/>
    <n v="0"/>
    <n v="0"/>
    <n v="1"/>
    <n v="1"/>
    <n v="0"/>
    <n v="0"/>
    <n v="3"/>
    <x v="1"/>
    <n v="0"/>
    <n v="1"/>
    <n v="6132"/>
    <n v="6132"/>
    <n v="2"/>
    <x v="1"/>
    <n v="0"/>
    <n v="17"/>
    <n v="3"/>
    <n v="3"/>
    <n v="0"/>
    <n v="10"/>
    <n v="10"/>
    <n v="2"/>
    <n v="3"/>
    <n v="1"/>
    <n v="1"/>
    <n v="0"/>
    <n v="0"/>
    <n v="0"/>
    <n v="0"/>
    <n v="0"/>
    <n v="0"/>
  </r>
  <r>
    <n v="58"/>
    <n v="58"/>
    <x v="1"/>
    <n v="0"/>
    <s v="Travel_Rarely"/>
    <n v="0"/>
    <n v="1"/>
    <x v="1"/>
    <n v="1"/>
    <n v="0"/>
    <n v="9"/>
    <n v="9"/>
    <n v="3"/>
    <s v="Medical"/>
    <n v="0"/>
    <n v="0"/>
    <n v="1"/>
    <n v="0"/>
    <n v="0"/>
    <x v="0"/>
    <s v="Female"/>
    <n v="1"/>
    <n v="75"/>
    <n v="2"/>
    <n v="1"/>
    <s v="Research Scientist"/>
    <n v="0"/>
    <n v="0"/>
    <n v="0"/>
    <n v="0"/>
    <n v="0"/>
    <n v="0"/>
    <n v="0"/>
    <n v="1"/>
    <n v="2"/>
    <x v="1"/>
    <n v="0"/>
    <n v="1"/>
    <n v="3346"/>
    <n v="3346"/>
    <n v="4"/>
    <x v="0"/>
    <n v="1"/>
    <n v="20"/>
    <n v="4"/>
    <n v="2"/>
    <n v="1"/>
    <n v="9"/>
    <n v="9"/>
    <n v="3"/>
    <n v="2"/>
    <n v="1"/>
    <n v="1"/>
    <n v="0"/>
    <n v="0"/>
    <n v="0"/>
    <n v="0"/>
    <n v="0"/>
    <n v="0"/>
  </r>
  <r>
    <n v="40"/>
    <n v="40"/>
    <x v="1"/>
    <n v="0"/>
    <s v="Travel_Rarely"/>
    <n v="0"/>
    <n v="1"/>
    <x v="0"/>
    <n v="0"/>
    <n v="1"/>
    <n v="4"/>
    <n v="4"/>
    <n v="4"/>
    <s v="Marketing"/>
    <n v="0"/>
    <n v="0"/>
    <n v="0"/>
    <n v="1"/>
    <n v="0"/>
    <x v="1"/>
    <s v="Male"/>
    <n v="0"/>
    <n v="67"/>
    <n v="2"/>
    <n v="3"/>
    <s v="Sales Executive"/>
    <n v="0"/>
    <n v="1"/>
    <n v="0"/>
    <n v="0"/>
    <n v="0"/>
    <n v="0"/>
    <n v="0"/>
    <n v="0"/>
    <n v="4"/>
    <x v="1"/>
    <n v="0"/>
    <n v="1"/>
    <n v="10855"/>
    <n v="10855"/>
    <n v="7"/>
    <x v="1"/>
    <n v="0"/>
    <n v="11"/>
    <n v="3"/>
    <n v="1"/>
    <n v="1"/>
    <n v="15"/>
    <n v="15"/>
    <n v="2"/>
    <n v="2"/>
    <n v="12"/>
    <n v="12"/>
    <n v="11"/>
    <n v="2"/>
    <n v="2"/>
    <n v="11"/>
    <n v="11"/>
    <n v="33"/>
  </r>
  <r>
    <n v="34"/>
    <n v="34"/>
    <x v="1"/>
    <n v="0"/>
    <s v="Travel_Frequently"/>
    <n v="1"/>
    <n v="0"/>
    <x v="0"/>
    <n v="0"/>
    <n v="1"/>
    <n v="2"/>
    <n v="2"/>
    <n v="4"/>
    <s v="Marketing"/>
    <n v="0"/>
    <n v="0"/>
    <n v="0"/>
    <n v="1"/>
    <n v="0"/>
    <x v="1"/>
    <s v="Female"/>
    <n v="1"/>
    <n v="75"/>
    <n v="3"/>
    <n v="1"/>
    <s v="Sales Representative"/>
    <n v="0"/>
    <n v="0"/>
    <n v="0"/>
    <n v="0"/>
    <n v="0"/>
    <n v="0"/>
    <n v="1"/>
    <n v="0"/>
    <n v="3"/>
    <x v="1"/>
    <n v="0"/>
    <n v="1"/>
    <n v="2231"/>
    <n v="2231"/>
    <n v="6"/>
    <x v="1"/>
    <n v="0"/>
    <n v="18"/>
    <n v="3"/>
    <n v="4"/>
    <n v="1"/>
    <n v="6"/>
    <n v="6"/>
    <n v="3"/>
    <n v="3"/>
    <n v="4"/>
    <n v="4"/>
    <n v="3"/>
    <n v="1"/>
    <n v="1"/>
    <n v="2"/>
    <n v="2"/>
    <n v="2"/>
  </r>
  <r>
    <n v="22"/>
    <n v="22"/>
    <x v="1"/>
    <n v="0"/>
    <s v="Travel_Rarely"/>
    <n v="0"/>
    <n v="1"/>
    <x v="1"/>
    <n v="1"/>
    <n v="0"/>
    <n v="19"/>
    <n v="19"/>
    <n v="1"/>
    <s v="Medical"/>
    <n v="0"/>
    <n v="0"/>
    <n v="1"/>
    <n v="0"/>
    <n v="0"/>
    <x v="1"/>
    <s v="Male"/>
    <n v="0"/>
    <n v="80"/>
    <n v="3"/>
    <n v="1"/>
    <s v="Research Scientist"/>
    <n v="0"/>
    <n v="0"/>
    <n v="0"/>
    <n v="0"/>
    <n v="0"/>
    <n v="0"/>
    <n v="0"/>
    <n v="1"/>
    <n v="4"/>
    <x v="1"/>
    <n v="0"/>
    <n v="1"/>
    <n v="2323"/>
    <n v="2323"/>
    <n v="1"/>
    <x v="1"/>
    <n v="0"/>
    <n v="24"/>
    <n v="4"/>
    <n v="1"/>
    <n v="2"/>
    <n v="2"/>
    <n v="2"/>
    <n v="6"/>
    <n v="3"/>
    <n v="2"/>
    <n v="2"/>
    <n v="2"/>
    <n v="2"/>
    <n v="2"/>
    <n v="2"/>
    <n v="2"/>
    <n v="2"/>
  </r>
  <r>
    <n v="27"/>
    <n v="27"/>
    <x v="1"/>
    <n v="0"/>
    <s v="Non-Travel"/>
    <n v="0"/>
    <n v="0"/>
    <x v="1"/>
    <n v="1"/>
    <n v="0"/>
    <n v="9"/>
    <n v="9"/>
    <n v="3"/>
    <s v="Medical"/>
    <n v="0"/>
    <n v="0"/>
    <n v="1"/>
    <n v="0"/>
    <n v="0"/>
    <x v="2"/>
    <s v="Male"/>
    <n v="0"/>
    <n v="57"/>
    <n v="3"/>
    <n v="1"/>
    <s v="Research Scientist"/>
    <n v="0"/>
    <n v="0"/>
    <n v="0"/>
    <n v="0"/>
    <n v="0"/>
    <n v="0"/>
    <n v="0"/>
    <n v="1"/>
    <n v="2"/>
    <x v="2"/>
    <n v="0"/>
    <n v="0"/>
    <n v="2024"/>
    <n v="2024"/>
    <n v="6"/>
    <x v="1"/>
    <n v="0"/>
    <n v="18"/>
    <n v="3"/>
    <n v="4"/>
    <n v="1"/>
    <n v="6"/>
    <n v="6"/>
    <n v="1"/>
    <n v="1"/>
    <n v="2"/>
    <n v="2"/>
    <n v="2"/>
    <n v="2"/>
    <n v="2"/>
    <n v="2"/>
    <n v="2"/>
    <n v="2"/>
  </r>
  <r>
    <n v="28"/>
    <n v="28"/>
    <x v="1"/>
    <n v="0"/>
    <s v="Travel_Rarely"/>
    <n v="0"/>
    <n v="1"/>
    <x v="1"/>
    <n v="1"/>
    <n v="0"/>
    <n v="21"/>
    <n v="21"/>
    <n v="3"/>
    <s v="Medical"/>
    <n v="0"/>
    <n v="0"/>
    <n v="1"/>
    <n v="0"/>
    <n v="0"/>
    <x v="1"/>
    <s v="Male"/>
    <n v="0"/>
    <n v="42"/>
    <n v="3"/>
    <n v="1"/>
    <s v="Research Scientist"/>
    <n v="0"/>
    <n v="0"/>
    <n v="0"/>
    <n v="0"/>
    <n v="0"/>
    <n v="0"/>
    <n v="0"/>
    <n v="1"/>
    <n v="4"/>
    <x v="1"/>
    <n v="0"/>
    <n v="1"/>
    <n v="2713"/>
    <n v="2713"/>
    <n v="1"/>
    <x v="1"/>
    <n v="0"/>
    <n v="11"/>
    <n v="3"/>
    <n v="3"/>
    <n v="1"/>
    <n v="5"/>
    <n v="5"/>
    <n v="2"/>
    <n v="1"/>
    <n v="5"/>
    <n v="5"/>
    <n v="2"/>
    <n v="0"/>
    <n v="0"/>
    <n v="2"/>
    <n v="2"/>
    <n v="2"/>
  </r>
  <r>
    <n v="57"/>
    <n v="57"/>
    <x v="1"/>
    <n v="0"/>
    <s v="Travel_Rarely"/>
    <n v="0"/>
    <n v="1"/>
    <x v="1"/>
    <n v="1"/>
    <n v="0"/>
    <n v="24"/>
    <n v="24"/>
    <n v="2"/>
    <s v="Life Sciences"/>
    <n v="1"/>
    <n v="0"/>
    <n v="0"/>
    <n v="0"/>
    <n v="0"/>
    <x v="1"/>
    <s v="Male"/>
    <n v="0"/>
    <n v="83"/>
    <n v="4"/>
    <n v="3"/>
    <s v="Healthcare Representative"/>
    <n v="1"/>
    <n v="0"/>
    <n v="0"/>
    <n v="0"/>
    <n v="0"/>
    <n v="0"/>
    <n v="0"/>
    <n v="0"/>
    <n v="4"/>
    <x v="2"/>
    <n v="0"/>
    <n v="0"/>
    <n v="9439"/>
    <n v="9439"/>
    <n v="3"/>
    <x v="0"/>
    <n v="1"/>
    <n v="16"/>
    <n v="3"/>
    <n v="2"/>
    <n v="1"/>
    <n v="12"/>
    <n v="12"/>
    <n v="2"/>
    <n v="1"/>
    <n v="5"/>
    <n v="5"/>
    <n v="3"/>
    <n v="1"/>
    <n v="1"/>
    <n v="4"/>
    <n v="4"/>
    <n v="12"/>
  </r>
  <r>
    <n v="27"/>
    <n v="27"/>
    <x v="1"/>
    <n v="0"/>
    <s v="Non-Travel"/>
    <n v="0"/>
    <n v="0"/>
    <x v="1"/>
    <n v="1"/>
    <n v="0"/>
    <n v="3"/>
    <n v="3"/>
    <n v="3"/>
    <s v="Medical"/>
    <n v="0"/>
    <n v="0"/>
    <n v="1"/>
    <n v="0"/>
    <n v="0"/>
    <x v="1"/>
    <s v="Male"/>
    <n v="0"/>
    <n v="79"/>
    <n v="2"/>
    <n v="1"/>
    <s v="Research Scientist"/>
    <n v="0"/>
    <n v="0"/>
    <n v="0"/>
    <n v="0"/>
    <n v="0"/>
    <n v="0"/>
    <n v="0"/>
    <n v="1"/>
    <n v="3"/>
    <x v="2"/>
    <n v="0"/>
    <n v="0"/>
    <n v="2566"/>
    <n v="2566"/>
    <n v="1"/>
    <x v="0"/>
    <n v="1"/>
    <n v="15"/>
    <n v="3"/>
    <n v="4"/>
    <n v="1"/>
    <n v="1"/>
    <n v="1"/>
    <n v="2"/>
    <n v="2"/>
    <n v="1"/>
    <n v="1"/>
    <n v="1"/>
    <n v="0"/>
    <n v="0"/>
    <n v="1"/>
    <n v="1"/>
    <n v="1"/>
  </r>
  <r>
    <n v="50"/>
    <n v="50"/>
    <x v="1"/>
    <n v="0"/>
    <s v="Travel_Rarely"/>
    <n v="0"/>
    <n v="1"/>
    <x v="1"/>
    <n v="1"/>
    <n v="0"/>
    <n v="11"/>
    <n v="11"/>
    <n v="3"/>
    <s v="Life Sciences"/>
    <n v="1"/>
    <n v="0"/>
    <n v="0"/>
    <n v="0"/>
    <n v="0"/>
    <x v="1"/>
    <s v="Female"/>
    <n v="1"/>
    <n v="53"/>
    <n v="3"/>
    <n v="5"/>
    <s v="Manager"/>
    <n v="0"/>
    <n v="0"/>
    <n v="0"/>
    <n v="1"/>
    <n v="0"/>
    <n v="0"/>
    <n v="0"/>
    <n v="0"/>
    <n v="2"/>
    <x v="0"/>
    <n v="1"/>
    <n v="0"/>
    <n v="19926"/>
    <n v="19626.310000000001"/>
    <n v="3"/>
    <x v="1"/>
    <n v="0"/>
    <n v="15"/>
    <n v="3"/>
    <n v="2"/>
    <n v="0"/>
    <n v="21"/>
    <n v="21"/>
    <n v="5"/>
    <n v="3"/>
    <n v="5"/>
    <n v="5"/>
    <n v="4"/>
    <n v="4"/>
    <n v="4"/>
    <n v="4"/>
    <n v="4"/>
    <n v="20"/>
  </r>
  <r>
    <n v="41"/>
    <n v="41"/>
    <x v="1"/>
    <n v="0"/>
    <s v="Travel_Rarely"/>
    <n v="0"/>
    <n v="1"/>
    <x v="1"/>
    <n v="1"/>
    <n v="0"/>
    <n v="14"/>
    <n v="14"/>
    <n v="3"/>
    <s v="Life Sciences"/>
    <n v="1"/>
    <n v="0"/>
    <n v="0"/>
    <n v="0"/>
    <n v="0"/>
    <x v="3"/>
    <s v="Male"/>
    <n v="0"/>
    <n v="56"/>
    <n v="3"/>
    <n v="1"/>
    <s v="Research Scientist"/>
    <n v="0"/>
    <n v="0"/>
    <n v="0"/>
    <n v="0"/>
    <n v="0"/>
    <n v="0"/>
    <n v="0"/>
    <n v="1"/>
    <n v="3"/>
    <x v="2"/>
    <n v="0"/>
    <n v="0"/>
    <n v="2451"/>
    <n v="2451"/>
    <n v="4"/>
    <x v="1"/>
    <n v="0"/>
    <n v="12"/>
    <n v="3"/>
    <n v="1"/>
    <n v="1"/>
    <n v="13"/>
    <n v="13"/>
    <n v="2"/>
    <n v="3"/>
    <n v="9"/>
    <n v="9"/>
    <n v="8"/>
    <n v="1"/>
    <n v="1"/>
    <n v="8"/>
    <n v="8"/>
    <n v="8"/>
  </r>
  <r>
    <n v="30"/>
    <n v="30"/>
    <x v="1"/>
    <n v="0"/>
    <s v="Travel_Rarely"/>
    <n v="0"/>
    <n v="1"/>
    <x v="0"/>
    <n v="0"/>
    <n v="1"/>
    <n v="5"/>
    <n v="5"/>
    <n v="3"/>
    <s v="Life Sciences"/>
    <n v="1"/>
    <n v="0"/>
    <n v="0"/>
    <n v="0"/>
    <n v="0"/>
    <x v="0"/>
    <s v="Female"/>
    <n v="1"/>
    <n v="41"/>
    <n v="3"/>
    <n v="3"/>
    <s v="Sales Executive"/>
    <n v="0"/>
    <n v="1"/>
    <n v="0"/>
    <n v="0"/>
    <n v="0"/>
    <n v="0"/>
    <n v="0"/>
    <n v="0"/>
    <n v="4"/>
    <x v="1"/>
    <n v="0"/>
    <n v="1"/>
    <n v="9419"/>
    <n v="9419"/>
    <n v="2"/>
    <x v="1"/>
    <n v="0"/>
    <n v="12"/>
    <n v="3"/>
    <n v="3"/>
    <n v="1"/>
    <n v="12"/>
    <n v="12"/>
    <n v="2"/>
    <n v="3"/>
    <n v="10"/>
    <n v="10"/>
    <n v="9"/>
    <n v="7"/>
    <n v="7"/>
    <n v="4"/>
    <n v="4"/>
    <n v="12"/>
  </r>
  <r>
    <n v="38"/>
    <n v="38"/>
    <x v="1"/>
    <n v="0"/>
    <s v="Travel_Rarely"/>
    <n v="0"/>
    <n v="1"/>
    <x v="0"/>
    <n v="0"/>
    <n v="1"/>
    <n v="1"/>
    <n v="1"/>
    <n v="4"/>
    <s v="Life Sciences"/>
    <n v="1"/>
    <n v="0"/>
    <n v="0"/>
    <n v="0"/>
    <n v="0"/>
    <x v="3"/>
    <s v="Female"/>
    <n v="1"/>
    <n v="59"/>
    <n v="2"/>
    <n v="2"/>
    <s v="Sales Executive"/>
    <n v="0"/>
    <n v="1"/>
    <n v="0"/>
    <n v="0"/>
    <n v="0"/>
    <n v="0"/>
    <n v="0"/>
    <n v="0"/>
    <n v="4"/>
    <x v="0"/>
    <n v="1"/>
    <n v="0"/>
    <n v="8686"/>
    <n v="8686"/>
    <n v="4"/>
    <x v="1"/>
    <n v="0"/>
    <n v="22"/>
    <n v="4"/>
    <n v="3"/>
    <n v="0"/>
    <n v="12"/>
    <n v="12"/>
    <n v="2"/>
    <n v="4"/>
    <n v="8"/>
    <n v="8"/>
    <n v="3"/>
    <n v="0"/>
    <n v="0"/>
    <n v="7"/>
    <n v="7"/>
    <n v="14"/>
  </r>
  <r>
    <n v="32"/>
    <n v="32"/>
    <x v="1"/>
    <n v="0"/>
    <s v="Travel_Rarely"/>
    <n v="0"/>
    <n v="1"/>
    <x v="1"/>
    <n v="1"/>
    <n v="0"/>
    <n v="6"/>
    <n v="6"/>
    <n v="5"/>
    <s v="Life Sciences"/>
    <n v="1"/>
    <n v="0"/>
    <n v="0"/>
    <n v="0"/>
    <n v="0"/>
    <x v="1"/>
    <s v="Male"/>
    <n v="0"/>
    <n v="43"/>
    <n v="3"/>
    <n v="1"/>
    <s v="Research Scientist"/>
    <n v="0"/>
    <n v="0"/>
    <n v="0"/>
    <n v="0"/>
    <n v="0"/>
    <n v="0"/>
    <n v="0"/>
    <n v="1"/>
    <n v="3"/>
    <x v="0"/>
    <n v="1"/>
    <n v="0"/>
    <n v="3038"/>
    <n v="3038"/>
    <n v="3"/>
    <x v="1"/>
    <n v="0"/>
    <n v="20"/>
    <n v="4"/>
    <n v="1"/>
    <n v="0"/>
    <n v="8"/>
    <n v="8"/>
    <n v="2"/>
    <n v="3"/>
    <n v="5"/>
    <n v="5"/>
    <n v="4"/>
    <n v="1"/>
    <n v="1"/>
    <n v="4"/>
    <n v="4"/>
    <n v="4"/>
  </r>
  <r>
    <n v="27"/>
    <n v="27"/>
    <x v="1"/>
    <n v="0"/>
    <s v="Travel_Rarely"/>
    <n v="0"/>
    <n v="1"/>
    <x v="1"/>
    <n v="1"/>
    <n v="0"/>
    <n v="17"/>
    <n v="17"/>
    <n v="3"/>
    <s v="Technical Degree"/>
    <n v="0"/>
    <n v="0"/>
    <n v="0"/>
    <n v="0"/>
    <n v="1"/>
    <x v="1"/>
    <s v="Male"/>
    <n v="0"/>
    <n v="51"/>
    <n v="3"/>
    <n v="1"/>
    <s v="Research Scientist"/>
    <n v="0"/>
    <n v="0"/>
    <n v="0"/>
    <n v="0"/>
    <n v="0"/>
    <n v="0"/>
    <n v="0"/>
    <n v="1"/>
    <n v="2"/>
    <x v="1"/>
    <n v="0"/>
    <n v="1"/>
    <n v="3058"/>
    <n v="3058"/>
    <n v="0"/>
    <x v="0"/>
    <n v="1"/>
    <n v="16"/>
    <n v="3"/>
    <n v="4"/>
    <n v="1"/>
    <n v="6"/>
    <n v="6"/>
    <n v="3"/>
    <n v="2"/>
    <n v="5"/>
    <n v="5"/>
    <n v="2"/>
    <n v="1"/>
    <n v="1"/>
    <n v="1"/>
    <n v="1"/>
    <n v="1"/>
  </r>
  <r>
    <n v="19"/>
    <n v="19"/>
    <x v="0"/>
    <n v="1"/>
    <s v="Travel_Frequently"/>
    <n v="1"/>
    <n v="0"/>
    <x v="0"/>
    <n v="0"/>
    <n v="1"/>
    <n v="1"/>
    <n v="1"/>
    <n v="1"/>
    <s v="Technical Degree"/>
    <n v="0"/>
    <n v="0"/>
    <n v="0"/>
    <n v="0"/>
    <n v="1"/>
    <x v="1"/>
    <s v="Female"/>
    <n v="1"/>
    <n v="100"/>
    <n v="1"/>
    <n v="1"/>
    <s v="Sales Representative"/>
    <n v="0"/>
    <n v="0"/>
    <n v="0"/>
    <n v="0"/>
    <n v="0"/>
    <n v="0"/>
    <n v="1"/>
    <n v="0"/>
    <n v="1"/>
    <x v="0"/>
    <n v="1"/>
    <n v="0"/>
    <n v="2325"/>
    <n v="2325"/>
    <n v="0"/>
    <x v="1"/>
    <n v="0"/>
    <n v="21"/>
    <n v="4"/>
    <n v="1"/>
    <n v="0"/>
    <n v="1"/>
    <n v="1"/>
    <n v="5"/>
    <n v="4"/>
    <n v="0"/>
    <n v="0"/>
    <n v="0"/>
    <n v="0"/>
    <n v="0"/>
    <n v="0"/>
    <n v="0"/>
    <n v="0"/>
  </r>
  <r>
    <n v="36"/>
    <n v="36"/>
    <x v="1"/>
    <n v="0"/>
    <s v="Travel_Frequently"/>
    <n v="1"/>
    <n v="0"/>
    <x v="1"/>
    <n v="1"/>
    <n v="0"/>
    <n v="3"/>
    <n v="3"/>
    <n v="2"/>
    <s v="Medical"/>
    <n v="0"/>
    <n v="0"/>
    <n v="1"/>
    <n v="0"/>
    <n v="0"/>
    <x v="2"/>
    <s v="Male"/>
    <n v="0"/>
    <n v="30"/>
    <n v="3"/>
    <n v="1"/>
    <s v="Laboratory Technician"/>
    <n v="0"/>
    <n v="0"/>
    <n v="1"/>
    <n v="0"/>
    <n v="0"/>
    <n v="0"/>
    <n v="0"/>
    <n v="0"/>
    <n v="2"/>
    <x v="0"/>
    <n v="1"/>
    <n v="0"/>
    <n v="2088"/>
    <n v="2088"/>
    <n v="4"/>
    <x v="1"/>
    <n v="0"/>
    <n v="12"/>
    <n v="3"/>
    <n v="3"/>
    <n v="0"/>
    <n v="13"/>
    <n v="13"/>
    <n v="3"/>
    <n v="2"/>
    <n v="8"/>
    <n v="8"/>
    <n v="7"/>
    <n v="7"/>
    <n v="7"/>
    <n v="2"/>
    <n v="2"/>
    <n v="2"/>
  </r>
  <r>
    <n v="30"/>
    <n v="30"/>
    <x v="1"/>
    <n v="0"/>
    <s v="Non-Travel"/>
    <n v="0"/>
    <n v="0"/>
    <x v="1"/>
    <n v="1"/>
    <n v="0"/>
    <n v="9"/>
    <n v="9"/>
    <n v="3"/>
    <s v="Medical"/>
    <n v="0"/>
    <n v="0"/>
    <n v="1"/>
    <n v="0"/>
    <n v="0"/>
    <x v="1"/>
    <s v="Male"/>
    <n v="0"/>
    <n v="66"/>
    <n v="3"/>
    <n v="2"/>
    <s v="Laboratory Technician"/>
    <n v="0"/>
    <n v="0"/>
    <n v="1"/>
    <n v="0"/>
    <n v="0"/>
    <n v="0"/>
    <n v="0"/>
    <n v="0"/>
    <n v="1"/>
    <x v="2"/>
    <n v="0"/>
    <n v="0"/>
    <n v="3072"/>
    <n v="3072"/>
    <n v="1"/>
    <x v="1"/>
    <n v="0"/>
    <n v="11"/>
    <n v="3"/>
    <n v="3"/>
    <n v="2"/>
    <n v="12"/>
    <n v="12"/>
    <n v="4"/>
    <n v="3"/>
    <n v="12"/>
    <n v="12"/>
    <n v="9"/>
    <n v="6"/>
    <n v="6"/>
    <n v="10"/>
    <n v="10"/>
    <n v="20"/>
  </r>
  <r>
    <n v="45"/>
    <n v="45"/>
    <x v="1"/>
    <n v="0"/>
    <s v="Travel_Rarely"/>
    <n v="0"/>
    <n v="1"/>
    <x v="0"/>
    <n v="0"/>
    <n v="1"/>
    <n v="4"/>
    <n v="4"/>
    <n v="2"/>
    <s v="Life Sciences"/>
    <n v="1"/>
    <n v="0"/>
    <n v="0"/>
    <n v="0"/>
    <n v="0"/>
    <x v="1"/>
    <s v="Female"/>
    <n v="1"/>
    <n v="30"/>
    <n v="3"/>
    <n v="2"/>
    <s v="Sales Executive"/>
    <n v="0"/>
    <n v="1"/>
    <n v="0"/>
    <n v="0"/>
    <n v="0"/>
    <n v="0"/>
    <n v="0"/>
    <n v="0"/>
    <n v="1"/>
    <x v="2"/>
    <n v="0"/>
    <n v="0"/>
    <n v="5006"/>
    <n v="5006"/>
    <n v="4"/>
    <x v="0"/>
    <n v="1"/>
    <n v="11"/>
    <n v="3"/>
    <n v="1"/>
    <n v="1"/>
    <n v="9"/>
    <n v="9"/>
    <n v="3"/>
    <n v="4"/>
    <n v="5"/>
    <n v="5"/>
    <n v="4"/>
    <n v="0"/>
    <n v="0"/>
    <n v="3"/>
    <n v="3"/>
    <n v="6"/>
  </r>
  <r>
    <n v="56"/>
    <n v="56"/>
    <x v="1"/>
    <n v="0"/>
    <s v="Travel_Rarely"/>
    <n v="0"/>
    <n v="1"/>
    <x v="1"/>
    <n v="1"/>
    <n v="0"/>
    <n v="8"/>
    <n v="8"/>
    <n v="3"/>
    <s v="Life Sciences"/>
    <n v="1"/>
    <n v="0"/>
    <n v="0"/>
    <n v="0"/>
    <n v="0"/>
    <x v="1"/>
    <s v="Female"/>
    <n v="1"/>
    <n v="67"/>
    <n v="3"/>
    <n v="1"/>
    <s v="Research Scientist"/>
    <n v="0"/>
    <n v="0"/>
    <n v="0"/>
    <n v="0"/>
    <n v="0"/>
    <n v="0"/>
    <n v="0"/>
    <n v="1"/>
    <n v="1"/>
    <x v="2"/>
    <n v="0"/>
    <n v="0"/>
    <n v="4257"/>
    <n v="4257"/>
    <n v="4"/>
    <x v="0"/>
    <n v="1"/>
    <n v="18"/>
    <n v="3"/>
    <n v="3"/>
    <n v="1"/>
    <n v="19"/>
    <n v="19"/>
    <n v="3"/>
    <n v="3"/>
    <n v="2"/>
    <n v="2"/>
    <n v="2"/>
    <n v="2"/>
    <n v="2"/>
    <n v="2"/>
    <n v="2"/>
    <n v="2"/>
  </r>
  <r>
    <n v="33"/>
    <n v="33"/>
    <x v="1"/>
    <n v="0"/>
    <s v="Travel_Rarely"/>
    <n v="0"/>
    <n v="1"/>
    <x v="1"/>
    <n v="1"/>
    <n v="0"/>
    <n v="2"/>
    <n v="2"/>
    <n v="3"/>
    <s v="Life Sciences"/>
    <n v="1"/>
    <n v="0"/>
    <n v="0"/>
    <n v="0"/>
    <n v="0"/>
    <x v="1"/>
    <s v="Male"/>
    <n v="0"/>
    <n v="90"/>
    <n v="3"/>
    <n v="1"/>
    <s v="Research Scientist"/>
    <n v="0"/>
    <n v="0"/>
    <n v="0"/>
    <n v="0"/>
    <n v="0"/>
    <n v="0"/>
    <n v="0"/>
    <n v="1"/>
    <n v="4"/>
    <x v="0"/>
    <n v="1"/>
    <n v="0"/>
    <n v="2500"/>
    <n v="2500"/>
    <n v="0"/>
    <x v="1"/>
    <n v="0"/>
    <n v="14"/>
    <n v="3"/>
    <n v="1"/>
    <n v="0"/>
    <n v="4"/>
    <n v="4"/>
    <n v="2"/>
    <n v="4"/>
    <n v="3"/>
    <n v="3"/>
    <n v="1"/>
    <n v="0"/>
    <n v="0"/>
    <n v="2"/>
    <n v="2"/>
    <n v="2"/>
  </r>
  <r>
    <n v="19"/>
    <n v="19"/>
    <x v="0"/>
    <n v="1"/>
    <s v="Travel_Rarely"/>
    <n v="0"/>
    <n v="1"/>
    <x v="1"/>
    <n v="1"/>
    <n v="0"/>
    <n v="2"/>
    <n v="2"/>
    <n v="3"/>
    <s v="Life Sciences"/>
    <n v="1"/>
    <n v="0"/>
    <n v="0"/>
    <n v="0"/>
    <n v="0"/>
    <x v="0"/>
    <s v="Male"/>
    <n v="0"/>
    <n v="47"/>
    <n v="2"/>
    <n v="1"/>
    <s v="Laboratory Technician"/>
    <n v="0"/>
    <n v="0"/>
    <n v="1"/>
    <n v="0"/>
    <n v="0"/>
    <n v="0"/>
    <n v="0"/>
    <n v="0"/>
    <n v="4"/>
    <x v="0"/>
    <n v="1"/>
    <n v="0"/>
    <n v="1102"/>
    <n v="1382.46"/>
    <n v="1"/>
    <x v="1"/>
    <n v="0"/>
    <n v="22"/>
    <n v="4"/>
    <n v="3"/>
    <n v="0"/>
    <n v="1"/>
    <n v="1"/>
    <n v="3"/>
    <n v="2"/>
    <n v="1"/>
    <n v="1"/>
    <n v="0"/>
    <n v="1"/>
    <n v="1"/>
    <n v="0"/>
    <n v="0"/>
    <n v="0"/>
  </r>
  <r>
    <n v="46"/>
    <n v="46"/>
    <x v="1"/>
    <n v="0"/>
    <s v="Travel_Rarely"/>
    <n v="0"/>
    <n v="1"/>
    <x v="0"/>
    <n v="0"/>
    <n v="1"/>
    <n v="1"/>
    <n v="1"/>
    <n v="2"/>
    <s v="Marketing"/>
    <n v="0"/>
    <n v="0"/>
    <n v="0"/>
    <n v="1"/>
    <n v="0"/>
    <x v="0"/>
    <s v="Female"/>
    <n v="1"/>
    <n v="92"/>
    <n v="3"/>
    <n v="3"/>
    <s v="Sales Executive"/>
    <n v="0"/>
    <n v="1"/>
    <n v="0"/>
    <n v="0"/>
    <n v="0"/>
    <n v="0"/>
    <n v="0"/>
    <n v="0"/>
    <n v="1"/>
    <x v="2"/>
    <n v="0"/>
    <n v="0"/>
    <n v="10453"/>
    <n v="10453"/>
    <n v="1"/>
    <x v="1"/>
    <n v="0"/>
    <n v="25"/>
    <n v="4"/>
    <n v="3"/>
    <n v="3"/>
    <n v="24"/>
    <n v="24"/>
    <n v="2"/>
    <n v="3"/>
    <n v="24"/>
    <n v="24"/>
    <n v="13"/>
    <n v="15"/>
    <n v="14"/>
    <n v="7"/>
    <n v="7"/>
    <n v="21"/>
  </r>
  <r>
    <n v="38"/>
    <n v="38"/>
    <x v="1"/>
    <n v="0"/>
    <s v="Travel_Rarely"/>
    <n v="0"/>
    <n v="1"/>
    <x v="1"/>
    <n v="1"/>
    <n v="0"/>
    <n v="9"/>
    <n v="9"/>
    <n v="2"/>
    <s v="Life Sciences"/>
    <n v="1"/>
    <n v="0"/>
    <n v="0"/>
    <n v="0"/>
    <n v="0"/>
    <x v="1"/>
    <s v="Female"/>
    <n v="1"/>
    <n v="75"/>
    <n v="3"/>
    <n v="1"/>
    <s v="Laboratory Technician"/>
    <n v="0"/>
    <n v="0"/>
    <n v="1"/>
    <n v="0"/>
    <n v="0"/>
    <n v="0"/>
    <n v="0"/>
    <n v="0"/>
    <n v="4"/>
    <x v="0"/>
    <n v="1"/>
    <n v="0"/>
    <n v="2288"/>
    <n v="2288"/>
    <n v="1"/>
    <x v="1"/>
    <n v="0"/>
    <n v="12"/>
    <n v="3"/>
    <n v="3"/>
    <n v="0"/>
    <n v="2"/>
    <n v="2"/>
    <n v="3"/>
    <n v="3"/>
    <n v="2"/>
    <n v="2"/>
    <n v="2"/>
    <n v="2"/>
    <n v="2"/>
    <n v="1"/>
    <n v="1"/>
    <n v="1"/>
  </r>
  <r>
    <n v="31"/>
    <n v="31"/>
    <x v="1"/>
    <n v="0"/>
    <s v="Travel_Rarely"/>
    <n v="0"/>
    <n v="1"/>
    <x v="1"/>
    <n v="1"/>
    <n v="0"/>
    <n v="12"/>
    <n v="12"/>
    <n v="1"/>
    <s v="Medical"/>
    <n v="0"/>
    <n v="0"/>
    <n v="1"/>
    <n v="0"/>
    <n v="0"/>
    <x v="1"/>
    <s v="Female"/>
    <n v="1"/>
    <n v="95"/>
    <n v="3"/>
    <n v="1"/>
    <s v="Research Scientist"/>
    <n v="0"/>
    <n v="0"/>
    <n v="0"/>
    <n v="0"/>
    <n v="0"/>
    <n v="0"/>
    <n v="0"/>
    <n v="1"/>
    <n v="4"/>
    <x v="1"/>
    <n v="0"/>
    <n v="1"/>
    <n v="3929"/>
    <n v="3929"/>
    <n v="8"/>
    <x v="0"/>
    <n v="1"/>
    <n v="23"/>
    <n v="4"/>
    <n v="3"/>
    <n v="1"/>
    <n v="7"/>
    <n v="7"/>
    <n v="0"/>
    <n v="3"/>
    <n v="4"/>
    <n v="4"/>
    <n v="2"/>
    <n v="0"/>
    <n v="0"/>
    <n v="2"/>
    <n v="2"/>
    <n v="2"/>
  </r>
  <r>
    <n v="34"/>
    <n v="34"/>
    <x v="1"/>
    <n v="0"/>
    <s v="Travel_Rarely"/>
    <n v="0"/>
    <n v="1"/>
    <x v="1"/>
    <n v="1"/>
    <n v="0"/>
    <n v="27"/>
    <n v="27"/>
    <n v="2"/>
    <s v="Medical"/>
    <n v="0"/>
    <n v="0"/>
    <n v="1"/>
    <n v="0"/>
    <n v="0"/>
    <x v="2"/>
    <s v="Female"/>
    <n v="1"/>
    <n v="95"/>
    <n v="3"/>
    <n v="1"/>
    <s v="Research Scientist"/>
    <n v="0"/>
    <n v="0"/>
    <n v="0"/>
    <n v="0"/>
    <n v="0"/>
    <n v="0"/>
    <n v="0"/>
    <n v="1"/>
    <n v="2"/>
    <x v="0"/>
    <n v="1"/>
    <n v="0"/>
    <n v="2311"/>
    <n v="2311"/>
    <n v="2"/>
    <x v="1"/>
    <n v="0"/>
    <n v="15"/>
    <n v="3"/>
    <n v="4"/>
    <n v="0"/>
    <n v="9"/>
    <n v="9"/>
    <n v="3"/>
    <n v="3"/>
    <n v="3"/>
    <n v="3"/>
    <n v="2"/>
    <n v="1"/>
    <n v="1"/>
    <n v="2"/>
    <n v="2"/>
    <n v="2"/>
  </r>
  <r>
    <n v="41"/>
    <n v="41"/>
    <x v="0"/>
    <n v="1"/>
    <s v="Travel_Rarely"/>
    <n v="0"/>
    <n v="1"/>
    <x v="0"/>
    <n v="0"/>
    <n v="1"/>
    <n v="20"/>
    <n v="20"/>
    <n v="2"/>
    <s v="Marketing"/>
    <n v="0"/>
    <n v="0"/>
    <n v="0"/>
    <n v="1"/>
    <n v="0"/>
    <x v="0"/>
    <s v="Female"/>
    <n v="1"/>
    <n v="70"/>
    <n v="3"/>
    <n v="1"/>
    <s v="Sales Representative"/>
    <n v="0"/>
    <n v="0"/>
    <n v="0"/>
    <n v="0"/>
    <n v="0"/>
    <n v="0"/>
    <n v="1"/>
    <n v="0"/>
    <n v="2"/>
    <x v="0"/>
    <n v="1"/>
    <n v="0"/>
    <n v="3140"/>
    <n v="3140"/>
    <n v="1"/>
    <x v="0"/>
    <n v="1"/>
    <n v="22"/>
    <n v="4"/>
    <n v="4"/>
    <n v="0"/>
    <n v="4"/>
    <n v="4"/>
    <n v="5"/>
    <n v="2"/>
    <n v="4"/>
    <n v="4"/>
    <n v="3"/>
    <n v="0"/>
    <n v="0"/>
    <n v="2"/>
    <n v="2"/>
    <n v="2"/>
  </r>
  <r>
    <n v="50"/>
    <n v="50"/>
    <x v="1"/>
    <n v="0"/>
    <s v="Travel_Rarely"/>
    <n v="0"/>
    <n v="1"/>
    <x v="1"/>
    <n v="1"/>
    <n v="0"/>
    <n v="1"/>
    <n v="1"/>
    <n v="3"/>
    <s v="Medical"/>
    <n v="0"/>
    <n v="0"/>
    <n v="1"/>
    <n v="0"/>
    <n v="0"/>
    <x v="1"/>
    <s v="Male"/>
    <n v="0"/>
    <n v="86"/>
    <n v="2"/>
    <n v="1"/>
    <s v="Laboratory Technician"/>
    <n v="0"/>
    <n v="0"/>
    <n v="1"/>
    <n v="0"/>
    <n v="0"/>
    <n v="0"/>
    <n v="0"/>
    <n v="0"/>
    <n v="3"/>
    <x v="1"/>
    <n v="0"/>
    <n v="1"/>
    <n v="3690"/>
    <n v="3690"/>
    <n v="2"/>
    <x v="1"/>
    <n v="0"/>
    <n v="15"/>
    <n v="3"/>
    <n v="4"/>
    <n v="1"/>
    <n v="5"/>
    <n v="5"/>
    <n v="2"/>
    <n v="2"/>
    <n v="3"/>
    <n v="3"/>
    <n v="2"/>
    <n v="0"/>
    <n v="0"/>
    <n v="2"/>
    <n v="2"/>
    <n v="2"/>
  </r>
  <r>
    <n v="53"/>
    <n v="53"/>
    <x v="1"/>
    <n v="0"/>
    <s v="Travel_Rarely"/>
    <n v="0"/>
    <n v="1"/>
    <x v="1"/>
    <n v="1"/>
    <n v="0"/>
    <n v="13"/>
    <n v="13"/>
    <n v="2"/>
    <s v="Medical"/>
    <n v="0"/>
    <n v="0"/>
    <n v="1"/>
    <n v="0"/>
    <n v="0"/>
    <x v="2"/>
    <s v="Female"/>
    <n v="1"/>
    <n v="57"/>
    <n v="4"/>
    <n v="2"/>
    <s v="Manufacturing Director"/>
    <n v="0"/>
    <n v="0"/>
    <n v="0"/>
    <n v="0"/>
    <n v="1"/>
    <n v="1"/>
    <n v="0"/>
    <n v="0"/>
    <n v="1"/>
    <x v="2"/>
    <n v="0"/>
    <n v="0"/>
    <n v="4450"/>
    <n v="4450"/>
    <n v="1"/>
    <x v="1"/>
    <n v="0"/>
    <n v="11"/>
    <n v="3"/>
    <n v="3"/>
    <n v="2"/>
    <n v="5"/>
    <n v="5"/>
    <n v="3"/>
    <n v="3"/>
    <n v="4"/>
    <n v="4"/>
    <n v="2"/>
    <n v="1"/>
    <n v="1"/>
    <n v="3"/>
    <n v="3"/>
    <n v="6"/>
  </r>
  <r>
    <n v="33"/>
    <n v="33"/>
    <x v="1"/>
    <n v="0"/>
    <s v="Travel_Rarely"/>
    <n v="0"/>
    <n v="1"/>
    <x v="1"/>
    <n v="1"/>
    <n v="0"/>
    <n v="14"/>
    <n v="14"/>
    <n v="3"/>
    <s v="Medical"/>
    <n v="0"/>
    <n v="0"/>
    <n v="1"/>
    <n v="0"/>
    <n v="0"/>
    <x v="2"/>
    <s v="Female"/>
    <n v="1"/>
    <n v="72"/>
    <n v="3"/>
    <n v="1"/>
    <s v="Research Scientist"/>
    <n v="0"/>
    <n v="0"/>
    <n v="0"/>
    <n v="0"/>
    <n v="0"/>
    <n v="0"/>
    <n v="0"/>
    <n v="1"/>
    <n v="2"/>
    <x v="1"/>
    <n v="0"/>
    <n v="1"/>
    <n v="2756"/>
    <n v="2756"/>
    <n v="1"/>
    <x v="1"/>
    <n v="0"/>
    <n v="13"/>
    <n v="3"/>
    <n v="4"/>
    <n v="1"/>
    <n v="8"/>
    <n v="8"/>
    <n v="5"/>
    <n v="3"/>
    <n v="8"/>
    <n v="8"/>
    <n v="7"/>
    <n v="1"/>
    <n v="1"/>
    <n v="6"/>
    <n v="6"/>
    <n v="6"/>
  </r>
  <r>
    <n v="40"/>
    <n v="40"/>
    <x v="1"/>
    <n v="0"/>
    <s v="Travel_Rarely"/>
    <n v="0"/>
    <n v="1"/>
    <x v="1"/>
    <n v="1"/>
    <n v="0"/>
    <n v="4"/>
    <n v="4"/>
    <n v="1"/>
    <s v="Medical"/>
    <n v="0"/>
    <n v="0"/>
    <n v="1"/>
    <n v="0"/>
    <n v="0"/>
    <x v="2"/>
    <s v="Female"/>
    <n v="1"/>
    <n v="46"/>
    <n v="3"/>
    <n v="5"/>
    <s v="Manager"/>
    <n v="0"/>
    <n v="0"/>
    <n v="0"/>
    <n v="1"/>
    <n v="0"/>
    <n v="0"/>
    <n v="0"/>
    <n v="0"/>
    <n v="3"/>
    <x v="1"/>
    <n v="0"/>
    <n v="1"/>
    <n v="19033"/>
    <n v="19033"/>
    <n v="1"/>
    <x v="1"/>
    <n v="0"/>
    <n v="14"/>
    <n v="3"/>
    <n v="2"/>
    <n v="1"/>
    <n v="21"/>
    <n v="21"/>
    <n v="2"/>
    <n v="3"/>
    <n v="20"/>
    <n v="20"/>
    <n v="8"/>
    <n v="9"/>
    <n v="9"/>
    <n v="9"/>
    <n v="9"/>
    <n v="45"/>
  </r>
  <r>
    <n v="55"/>
    <n v="55"/>
    <x v="1"/>
    <n v="0"/>
    <s v="Travel_Rarely"/>
    <n v="0"/>
    <n v="1"/>
    <x v="1"/>
    <n v="1"/>
    <n v="0"/>
    <n v="14"/>
    <n v="14"/>
    <n v="4"/>
    <s v="Medical"/>
    <n v="0"/>
    <n v="0"/>
    <n v="1"/>
    <n v="0"/>
    <n v="0"/>
    <x v="1"/>
    <s v="Male"/>
    <n v="0"/>
    <n v="61"/>
    <n v="4"/>
    <n v="5"/>
    <s v="Research Director"/>
    <n v="0"/>
    <n v="0"/>
    <n v="0"/>
    <n v="0"/>
    <n v="0"/>
    <n v="0"/>
    <n v="0"/>
    <n v="0"/>
    <n v="2"/>
    <x v="0"/>
    <n v="1"/>
    <n v="0"/>
    <n v="18722"/>
    <n v="18722"/>
    <n v="8"/>
    <x v="1"/>
    <n v="0"/>
    <n v="11"/>
    <n v="3"/>
    <n v="4"/>
    <n v="0"/>
    <n v="36"/>
    <n v="35"/>
    <n v="3"/>
    <n v="3"/>
    <n v="24"/>
    <n v="24"/>
    <n v="15"/>
    <n v="2"/>
    <n v="2"/>
    <n v="15"/>
    <n v="14"/>
    <n v="70"/>
  </r>
  <r>
    <n v="34"/>
    <n v="34"/>
    <x v="1"/>
    <n v="0"/>
    <s v="Travel_Frequently"/>
    <n v="1"/>
    <n v="0"/>
    <x v="1"/>
    <n v="1"/>
    <n v="0"/>
    <n v="2"/>
    <n v="2"/>
    <n v="1"/>
    <s v="Life Sciences"/>
    <n v="1"/>
    <n v="0"/>
    <n v="0"/>
    <n v="0"/>
    <n v="0"/>
    <x v="2"/>
    <s v="Male"/>
    <n v="0"/>
    <n v="45"/>
    <n v="2"/>
    <n v="2"/>
    <s v="Manufacturing Director"/>
    <n v="0"/>
    <n v="0"/>
    <n v="0"/>
    <n v="0"/>
    <n v="1"/>
    <n v="1"/>
    <n v="0"/>
    <n v="0"/>
    <n v="3"/>
    <x v="1"/>
    <n v="0"/>
    <n v="1"/>
    <n v="9547"/>
    <n v="9547"/>
    <n v="1"/>
    <x v="1"/>
    <n v="0"/>
    <n v="17"/>
    <n v="3"/>
    <n v="3"/>
    <n v="0"/>
    <n v="10"/>
    <n v="10"/>
    <n v="2"/>
    <n v="2"/>
    <n v="10"/>
    <n v="10"/>
    <n v="9"/>
    <n v="1"/>
    <n v="1"/>
    <n v="9"/>
    <n v="9"/>
    <n v="18"/>
  </r>
  <r>
    <n v="51"/>
    <n v="51"/>
    <x v="1"/>
    <n v="0"/>
    <s v="Travel_Rarely"/>
    <n v="0"/>
    <n v="1"/>
    <x v="1"/>
    <n v="1"/>
    <n v="0"/>
    <n v="3"/>
    <n v="3"/>
    <n v="3"/>
    <s v="Medical"/>
    <n v="0"/>
    <n v="0"/>
    <n v="1"/>
    <n v="0"/>
    <n v="0"/>
    <x v="2"/>
    <s v="Female"/>
    <n v="1"/>
    <n v="98"/>
    <n v="3"/>
    <n v="4"/>
    <s v="Healthcare Representative"/>
    <n v="1"/>
    <n v="0"/>
    <n v="0"/>
    <n v="0"/>
    <n v="0"/>
    <n v="0"/>
    <n v="0"/>
    <n v="0"/>
    <n v="2"/>
    <x v="0"/>
    <n v="1"/>
    <n v="0"/>
    <n v="13734"/>
    <n v="13734"/>
    <n v="3"/>
    <x v="1"/>
    <n v="0"/>
    <n v="18"/>
    <n v="3"/>
    <n v="3"/>
    <n v="0"/>
    <n v="21"/>
    <n v="21"/>
    <n v="6"/>
    <n v="3"/>
    <n v="7"/>
    <n v="7"/>
    <n v="7"/>
    <n v="1"/>
    <n v="1"/>
    <n v="0"/>
    <n v="0"/>
    <n v="0"/>
  </r>
  <r>
    <n v="52"/>
    <n v="52"/>
    <x v="1"/>
    <n v="0"/>
    <s v="Travel_Rarely"/>
    <n v="0"/>
    <n v="1"/>
    <x v="1"/>
    <n v="1"/>
    <n v="0"/>
    <n v="1"/>
    <n v="1"/>
    <n v="4"/>
    <s v="Life Sciences"/>
    <n v="1"/>
    <n v="0"/>
    <n v="0"/>
    <n v="0"/>
    <n v="0"/>
    <x v="1"/>
    <s v="Male"/>
    <n v="0"/>
    <n v="65"/>
    <n v="2"/>
    <n v="5"/>
    <s v="Manager"/>
    <n v="0"/>
    <n v="0"/>
    <n v="0"/>
    <n v="1"/>
    <n v="0"/>
    <n v="0"/>
    <n v="0"/>
    <n v="0"/>
    <n v="3"/>
    <x v="1"/>
    <n v="0"/>
    <n v="1"/>
    <n v="19999"/>
    <n v="19626.310000000001"/>
    <n v="0"/>
    <x v="1"/>
    <n v="0"/>
    <n v="14"/>
    <n v="3"/>
    <n v="1"/>
    <n v="1"/>
    <n v="34"/>
    <n v="34"/>
    <n v="5"/>
    <n v="3"/>
    <n v="33"/>
    <n v="31"/>
    <n v="18"/>
    <n v="11"/>
    <n v="11"/>
    <n v="9"/>
    <n v="9"/>
    <n v="45"/>
  </r>
  <r>
    <n v="27"/>
    <n v="27"/>
    <x v="1"/>
    <n v="0"/>
    <s v="Travel_Rarely"/>
    <n v="0"/>
    <n v="1"/>
    <x v="1"/>
    <n v="1"/>
    <n v="0"/>
    <n v="9"/>
    <n v="9"/>
    <n v="3"/>
    <s v="Medical"/>
    <n v="0"/>
    <n v="0"/>
    <n v="1"/>
    <n v="0"/>
    <n v="0"/>
    <x v="2"/>
    <s v="Female"/>
    <n v="1"/>
    <n v="99"/>
    <n v="3"/>
    <n v="1"/>
    <s v="Research Scientist"/>
    <n v="0"/>
    <n v="0"/>
    <n v="0"/>
    <n v="0"/>
    <n v="0"/>
    <n v="0"/>
    <n v="0"/>
    <n v="1"/>
    <n v="2"/>
    <x v="0"/>
    <n v="1"/>
    <n v="0"/>
    <n v="2279"/>
    <n v="2279"/>
    <n v="1"/>
    <x v="1"/>
    <n v="0"/>
    <n v="16"/>
    <n v="3"/>
    <n v="4"/>
    <n v="0"/>
    <n v="7"/>
    <n v="7"/>
    <n v="2"/>
    <n v="2"/>
    <n v="7"/>
    <n v="7"/>
    <n v="7"/>
    <n v="0"/>
    <n v="0"/>
    <n v="3"/>
    <n v="3"/>
    <n v="3"/>
  </r>
  <r>
    <n v="35"/>
    <n v="35"/>
    <x v="0"/>
    <n v="1"/>
    <s v="Travel_Rarely"/>
    <n v="0"/>
    <n v="1"/>
    <x v="1"/>
    <n v="1"/>
    <n v="0"/>
    <n v="23"/>
    <n v="23"/>
    <n v="2"/>
    <s v="Life Sciences"/>
    <n v="1"/>
    <n v="0"/>
    <n v="0"/>
    <n v="0"/>
    <n v="0"/>
    <x v="0"/>
    <s v="Male"/>
    <n v="0"/>
    <n v="50"/>
    <n v="2"/>
    <n v="2"/>
    <s v="Manufacturing Director"/>
    <n v="0"/>
    <n v="0"/>
    <n v="0"/>
    <n v="0"/>
    <n v="1"/>
    <n v="1"/>
    <n v="0"/>
    <n v="0"/>
    <n v="3"/>
    <x v="1"/>
    <n v="0"/>
    <n v="1"/>
    <n v="5916"/>
    <n v="5916"/>
    <n v="3"/>
    <x v="0"/>
    <n v="1"/>
    <n v="13"/>
    <n v="3"/>
    <n v="1"/>
    <n v="0"/>
    <n v="8"/>
    <n v="8"/>
    <n v="1"/>
    <n v="3"/>
    <n v="1"/>
    <n v="1"/>
    <n v="0"/>
    <n v="0"/>
    <n v="0"/>
    <n v="1"/>
    <n v="1"/>
    <n v="2"/>
  </r>
  <r>
    <n v="43"/>
    <n v="43"/>
    <x v="1"/>
    <n v="0"/>
    <s v="Non-Travel"/>
    <n v="0"/>
    <n v="0"/>
    <x v="1"/>
    <n v="1"/>
    <n v="0"/>
    <n v="7"/>
    <n v="7"/>
    <n v="3"/>
    <s v="Medical"/>
    <n v="0"/>
    <n v="0"/>
    <n v="1"/>
    <n v="0"/>
    <n v="0"/>
    <x v="2"/>
    <s v="Male"/>
    <n v="0"/>
    <n v="37"/>
    <n v="4"/>
    <n v="1"/>
    <s v="Research Scientist"/>
    <n v="0"/>
    <n v="0"/>
    <n v="0"/>
    <n v="0"/>
    <n v="0"/>
    <n v="0"/>
    <n v="0"/>
    <n v="1"/>
    <n v="4"/>
    <x v="2"/>
    <n v="0"/>
    <n v="0"/>
    <n v="2089"/>
    <n v="2089"/>
    <n v="4"/>
    <x v="1"/>
    <n v="0"/>
    <n v="14"/>
    <n v="3"/>
    <n v="4"/>
    <n v="3"/>
    <n v="7"/>
    <n v="7"/>
    <n v="3"/>
    <n v="4"/>
    <n v="5"/>
    <n v="5"/>
    <n v="4"/>
    <n v="2"/>
    <n v="2"/>
    <n v="2"/>
    <n v="2"/>
    <n v="2"/>
  </r>
  <r>
    <n v="45"/>
    <n v="45"/>
    <x v="1"/>
    <n v="0"/>
    <s v="Non-Travel"/>
    <n v="0"/>
    <n v="0"/>
    <x v="1"/>
    <n v="1"/>
    <n v="0"/>
    <n v="2"/>
    <n v="2"/>
    <n v="2"/>
    <s v="Medical"/>
    <n v="0"/>
    <n v="0"/>
    <n v="1"/>
    <n v="0"/>
    <n v="0"/>
    <x v="3"/>
    <s v="Male"/>
    <n v="0"/>
    <n v="65"/>
    <n v="2"/>
    <n v="4"/>
    <s v="Manager"/>
    <n v="0"/>
    <n v="0"/>
    <n v="0"/>
    <n v="1"/>
    <n v="0"/>
    <n v="0"/>
    <n v="0"/>
    <n v="0"/>
    <n v="4"/>
    <x v="1"/>
    <n v="0"/>
    <n v="1"/>
    <n v="16792"/>
    <n v="16792"/>
    <n v="9"/>
    <x v="1"/>
    <n v="0"/>
    <n v="23"/>
    <n v="4"/>
    <n v="4"/>
    <n v="1"/>
    <n v="22"/>
    <n v="22"/>
    <n v="1"/>
    <n v="3"/>
    <n v="20"/>
    <n v="20"/>
    <n v="8"/>
    <n v="11"/>
    <n v="11"/>
    <n v="8"/>
    <n v="8"/>
    <n v="32"/>
  </r>
  <r>
    <n v="37"/>
    <n v="37"/>
    <x v="1"/>
    <n v="0"/>
    <s v="Travel_Rarely"/>
    <n v="0"/>
    <n v="1"/>
    <x v="1"/>
    <n v="1"/>
    <n v="0"/>
    <n v="21"/>
    <n v="21"/>
    <n v="3"/>
    <s v="Life Sciences"/>
    <n v="1"/>
    <n v="0"/>
    <n v="0"/>
    <n v="0"/>
    <n v="0"/>
    <x v="0"/>
    <s v="Male"/>
    <n v="0"/>
    <n v="65"/>
    <n v="4"/>
    <n v="1"/>
    <s v="Research Scientist"/>
    <n v="0"/>
    <n v="0"/>
    <n v="0"/>
    <n v="0"/>
    <n v="0"/>
    <n v="0"/>
    <n v="0"/>
    <n v="1"/>
    <n v="1"/>
    <x v="1"/>
    <n v="0"/>
    <n v="1"/>
    <n v="3564"/>
    <n v="3564"/>
    <n v="1"/>
    <x v="0"/>
    <n v="1"/>
    <n v="12"/>
    <n v="3"/>
    <n v="1"/>
    <n v="1"/>
    <n v="8"/>
    <n v="8"/>
    <n v="3"/>
    <n v="2"/>
    <n v="8"/>
    <n v="8"/>
    <n v="7"/>
    <n v="1"/>
    <n v="1"/>
    <n v="7"/>
    <n v="7"/>
    <n v="7"/>
  </r>
  <r>
    <n v="35"/>
    <n v="35"/>
    <x v="1"/>
    <n v="0"/>
    <s v="Travel_Frequently"/>
    <n v="1"/>
    <n v="0"/>
    <x v="1"/>
    <n v="1"/>
    <n v="0"/>
    <n v="2"/>
    <n v="2"/>
    <n v="3"/>
    <s v="Medical"/>
    <n v="0"/>
    <n v="0"/>
    <n v="1"/>
    <n v="0"/>
    <n v="0"/>
    <x v="0"/>
    <s v="Female"/>
    <n v="1"/>
    <n v="37"/>
    <n v="3"/>
    <n v="2"/>
    <s v="Laboratory Technician"/>
    <n v="0"/>
    <n v="0"/>
    <n v="1"/>
    <n v="0"/>
    <n v="0"/>
    <n v="0"/>
    <n v="0"/>
    <n v="0"/>
    <n v="2"/>
    <x v="0"/>
    <n v="1"/>
    <n v="0"/>
    <n v="4425"/>
    <n v="4425"/>
    <n v="5"/>
    <x v="1"/>
    <n v="0"/>
    <n v="11"/>
    <n v="3"/>
    <n v="4"/>
    <n v="0"/>
    <n v="10"/>
    <n v="10"/>
    <n v="5"/>
    <n v="3"/>
    <n v="6"/>
    <n v="6"/>
    <n v="2"/>
    <n v="1"/>
    <n v="1"/>
    <n v="2"/>
    <n v="2"/>
    <n v="4"/>
  </r>
  <r>
    <n v="42"/>
    <n v="42"/>
    <x v="1"/>
    <n v="0"/>
    <s v="Non-Travel"/>
    <n v="0"/>
    <n v="0"/>
    <x v="1"/>
    <n v="1"/>
    <n v="0"/>
    <n v="21"/>
    <n v="21"/>
    <n v="2"/>
    <s v="Medical"/>
    <n v="0"/>
    <n v="0"/>
    <n v="1"/>
    <n v="0"/>
    <n v="0"/>
    <x v="1"/>
    <s v="Female"/>
    <n v="1"/>
    <n v="36"/>
    <n v="3"/>
    <n v="2"/>
    <s v="Manufacturing Director"/>
    <n v="0"/>
    <n v="0"/>
    <n v="0"/>
    <n v="0"/>
    <n v="1"/>
    <n v="1"/>
    <n v="0"/>
    <n v="0"/>
    <n v="3"/>
    <x v="2"/>
    <n v="0"/>
    <n v="0"/>
    <n v="5265"/>
    <n v="5265"/>
    <n v="2"/>
    <x v="1"/>
    <n v="0"/>
    <n v="16"/>
    <n v="3"/>
    <n v="2"/>
    <n v="1"/>
    <n v="11"/>
    <n v="11"/>
    <n v="5"/>
    <n v="3"/>
    <n v="5"/>
    <n v="5"/>
    <n v="3"/>
    <n v="0"/>
    <n v="0"/>
    <n v="2"/>
    <n v="2"/>
    <n v="4"/>
  </r>
  <r>
    <n v="38"/>
    <n v="38"/>
    <x v="1"/>
    <n v="0"/>
    <s v="Travel_Rarely"/>
    <n v="0"/>
    <n v="1"/>
    <x v="1"/>
    <n v="1"/>
    <n v="0"/>
    <n v="2"/>
    <n v="2"/>
    <n v="4"/>
    <s v="Life Sciences"/>
    <n v="1"/>
    <n v="0"/>
    <n v="0"/>
    <n v="0"/>
    <n v="0"/>
    <x v="2"/>
    <s v="Male"/>
    <n v="0"/>
    <n v="88"/>
    <n v="3"/>
    <n v="2"/>
    <s v="Manufacturing Director"/>
    <n v="0"/>
    <n v="0"/>
    <n v="0"/>
    <n v="0"/>
    <n v="1"/>
    <n v="1"/>
    <n v="0"/>
    <n v="0"/>
    <n v="3"/>
    <x v="1"/>
    <n v="0"/>
    <n v="1"/>
    <n v="6553"/>
    <n v="6553"/>
    <n v="9"/>
    <x v="1"/>
    <n v="0"/>
    <n v="14"/>
    <n v="3"/>
    <n v="2"/>
    <n v="0"/>
    <n v="14"/>
    <n v="14"/>
    <n v="3"/>
    <n v="3"/>
    <n v="1"/>
    <n v="1"/>
    <n v="0"/>
    <n v="0"/>
    <n v="0"/>
    <n v="0"/>
    <n v="0"/>
    <n v="0"/>
  </r>
  <r>
    <n v="38"/>
    <n v="38"/>
    <x v="1"/>
    <n v="0"/>
    <s v="Travel_Rarely"/>
    <n v="0"/>
    <n v="1"/>
    <x v="1"/>
    <n v="1"/>
    <n v="0"/>
    <n v="29"/>
    <n v="29"/>
    <n v="3"/>
    <s v="Technical Degree"/>
    <n v="0"/>
    <n v="0"/>
    <n v="0"/>
    <n v="0"/>
    <n v="1"/>
    <x v="2"/>
    <s v="Male"/>
    <n v="0"/>
    <n v="54"/>
    <n v="3"/>
    <n v="2"/>
    <s v="Manufacturing Director"/>
    <n v="0"/>
    <n v="0"/>
    <n v="0"/>
    <n v="0"/>
    <n v="1"/>
    <n v="1"/>
    <n v="0"/>
    <n v="0"/>
    <n v="4"/>
    <x v="1"/>
    <n v="0"/>
    <n v="1"/>
    <n v="6261"/>
    <n v="6261"/>
    <n v="3"/>
    <x v="1"/>
    <n v="0"/>
    <n v="18"/>
    <n v="3"/>
    <n v="1"/>
    <n v="1"/>
    <n v="9"/>
    <n v="9"/>
    <n v="3"/>
    <n v="1"/>
    <n v="7"/>
    <n v="7"/>
    <n v="7"/>
    <n v="1"/>
    <n v="1"/>
    <n v="7"/>
    <n v="7"/>
    <n v="14"/>
  </r>
  <r>
    <n v="27"/>
    <n v="27"/>
    <x v="1"/>
    <n v="0"/>
    <s v="Travel_Frequently"/>
    <n v="1"/>
    <n v="0"/>
    <x v="1"/>
    <n v="1"/>
    <n v="0"/>
    <n v="1"/>
    <n v="1"/>
    <n v="1"/>
    <s v="Technical Degree"/>
    <n v="0"/>
    <n v="0"/>
    <n v="0"/>
    <n v="0"/>
    <n v="1"/>
    <x v="1"/>
    <s v="Male"/>
    <n v="0"/>
    <n v="60"/>
    <n v="2"/>
    <n v="2"/>
    <s v="Manufacturing Director"/>
    <n v="0"/>
    <n v="0"/>
    <n v="0"/>
    <n v="0"/>
    <n v="1"/>
    <n v="1"/>
    <n v="0"/>
    <n v="0"/>
    <n v="1"/>
    <x v="1"/>
    <n v="0"/>
    <n v="1"/>
    <n v="4298"/>
    <n v="4298"/>
    <n v="5"/>
    <x v="1"/>
    <n v="0"/>
    <n v="19"/>
    <n v="3"/>
    <n v="3"/>
    <n v="1"/>
    <n v="6"/>
    <n v="6"/>
    <n v="1"/>
    <n v="3"/>
    <n v="2"/>
    <n v="2"/>
    <n v="2"/>
    <n v="2"/>
    <n v="2"/>
    <n v="0"/>
    <n v="0"/>
    <n v="0"/>
  </r>
  <r>
    <n v="49"/>
    <n v="49"/>
    <x v="1"/>
    <n v="0"/>
    <s v="Non-Travel"/>
    <n v="0"/>
    <n v="0"/>
    <x v="1"/>
    <n v="1"/>
    <n v="0"/>
    <n v="18"/>
    <n v="18"/>
    <n v="4"/>
    <s v="Life Sciences"/>
    <n v="1"/>
    <n v="0"/>
    <n v="0"/>
    <n v="0"/>
    <n v="0"/>
    <x v="2"/>
    <s v="Male"/>
    <n v="0"/>
    <n v="92"/>
    <n v="3"/>
    <n v="2"/>
    <s v="Manufacturing Director"/>
    <n v="0"/>
    <n v="0"/>
    <n v="0"/>
    <n v="0"/>
    <n v="1"/>
    <n v="1"/>
    <n v="0"/>
    <n v="0"/>
    <n v="4"/>
    <x v="2"/>
    <n v="0"/>
    <n v="0"/>
    <n v="6804"/>
    <n v="6804"/>
    <n v="1"/>
    <x v="0"/>
    <n v="1"/>
    <n v="15"/>
    <n v="3"/>
    <n v="1"/>
    <n v="2"/>
    <n v="7"/>
    <n v="7"/>
    <n v="0"/>
    <n v="3"/>
    <n v="7"/>
    <n v="7"/>
    <n v="7"/>
    <n v="1"/>
    <n v="1"/>
    <n v="7"/>
    <n v="7"/>
    <n v="14"/>
  </r>
  <r>
    <n v="34"/>
    <n v="34"/>
    <x v="1"/>
    <n v="0"/>
    <s v="Travel_Frequently"/>
    <n v="1"/>
    <n v="0"/>
    <x v="1"/>
    <n v="1"/>
    <n v="0"/>
    <n v="10"/>
    <n v="10"/>
    <n v="4"/>
    <s v="Medical"/>
    <n v="0"/>
    <n v="0"/>
    <n v="1"/>
    <n v="0"/>
    <n v="0"/>
    <x v="2"/>
    <s v="Male"/>
    <n v="0"/>
    <n v="43"/>
    <n v="3"/>
    <n v="1"/>
    <s v="Research Scientist"/>
    <n v="0"/>
    <n v="0"/>
    <n v="0"/>
    <n v="0"/>
    <n v="0"/>
    <n v="0"/>
    <n v="0"/>
    <n v="1"/>
    <n v="3"/>
    <x v="2"/>
    <n v="0"/>
    <n v="0"/>
    <n v="3815"/>
    <n v="3815"/>
    <n v="1"/>
    <x v="0"/>
    <n v="1"/>
    <n v="17"/>
    <n v="3"/>
    <n v="4"/>
    <n v="1"/>
    <n v="5"/>
    <n v="5"/>
    <n v="4"/>
    <n v="4"/>
    <n v="5"/>
    <n v="5"/>
    <n v="3"/>
    <n v="2"/>
    <n v="2"/>
    <n v="0"/>
    <n v="0"/>
    <n v="0"/>
  </r>
  <r>
    <n v="40"/>
    <n v="40"/>
    <x v="1"/>
    <n v="0"/>
    <s v="Travel_Rarely"/>
    <n v="0"/>
    <n v="1"/>
    <x v="1"/>
    <n v="1"/>
    <n v="0"/>
    <n v="19"/>
    <n v="19"/>
    <n v="2"/>
    <s v="Medical"/>
    <n v="0"/>
    <n v="0"/>
    <n v="1"/>
    <n v="0"/>
    <n v="0"/>
    <x v="1"/>
    <s v="Male"/>
    <n v="0"/>
    <n v="99"/>
    <n v="3"/>
    <n v="2"/>
    <s v="Laboratory Technician"/>
    <n v="0"/>
    <n v="0"/>
    <n v="1"/>
    <n v="0"/>
    <n v="0"/>
    <n v="0"/>
    <n v="0"/>
    <n v="0"/>
    <n v="4"/>
    <x v="1"/>
    <n v="0"/>
    <n v="1"/>
    <n v="2741"/>
    <n v="2741"/>
    <n v="8"/>
    <x v="0"/>
    <n v="1"/>
    <n v="15"/>
    <n v="3"/>
    <n v="3"/>
    <n v="1"/>
    <n v="15"/>
    <n v="15"/>
    <n v="2"/>
    <n v="4"/>
    <n v="7"/>
    <n v="7"/>
    <n v="2"/>
    <n v="3"/>
    <n v="3"/>
    <n v="7"/>
    <n v="7"/>
    <n v="14"/>
  </r>
  <r>
    <n v="38"/>
    <n v="38"/>
    <x v="0"/>
    <n v="1"/>
    <s v="Travel_Rarely"/>
    <n v="0"/>
    <n v="1"/>
    <x v="1"/>
    <n v="1"/>
    <n v="0"/>
    <n v="29"/>
    <n v="29"/>
    <n v="1"/>
    <s v="Medical"/>
    <n v="0"/>
    <n v="0"/>
    <n v="1"/>
    <n v="0"/>
    <n v="0"/>
    <x v="0"/>
    <s v="Male"/>
    <n v="0"/>
    <n v="70"/>
    <n v="3"/>
    <n v="2"/>
    <s v="Healthcare Representative"/>
    <n v="1"/>
    <n v="0"/>
    <n v="0"/>
    <n v="0"/>
    <n v="0"/>
    <n v="0"/>
    <n v="0"/>
    <n v="0"/>
    <n v="1"/>
    <x v="1"/>
    <n v="0"/>
    <n v="1"/>
    <n v="6673"/>
    <n v="6673"/>
    <n v="7"/>
    <x v="0"/>
    <n v="1"/>
    <n v="19"/>
    <n v="3"/>
    <n v="2"/>
    <n v="0"/>
    <n v="17"/>
    <n v="17"/>
    <n v="2"/>
    <n v="3"/>
    <n v="1"/>
    <n v="1"/>
    <n v="0"/>
    <n v="0"/>
    <n v="0"/>
    <n v="0"/>
    <n v="0"/>
    <n v="0"/>
  </r>
  <r>
    <n v="29"/>
    <n v="29"/>
    <x v="0"/>
    <n v="1"/>
    <s v="Travel_Rarely"/>
    <n v="0"/>
    <n v="1"/>
    <x v="0"/>
    <n v="0"/>
    <n v="1"/>
    <n v="27"/>
    <n v="27"/>
    <n v="3"/>
    <s v="Marketing"/>
    <n v="0"/>
    <n v="0"/>
    <n v="0"/>
    <n v="1"/>
    <n v="0"/>
    <x v="0"/>
    <s v="Female"/>
    <n v="1"/>
    <n v="35"/>
    <n v="3"/>
    <n v="3"/>
    <s v="Sales Executive"/>
    <n v="0"/>
    <n v="1"/>
    <n v="0"/>
    <n v="0"/>
    <n v="0"/>
    <n v="0"/>
    <n v="0"/>
    <n v="0"/>
    <n v="4"/>
    <x v="1"/>
    <n v="0"/>
    <n v="1"/>
    <n v="7639"/>
    <n v="7639"/>
    <n v="1"/>
    <x v="1"/>
    <n v="0"/>
    <n v="22"/>
    <n v="4"/>
    <n v="4"/>
    <n v="3"/>
    <n v="10"/>
    <n v="10"/>
    <n v="3"/>
    <n v="2"/>
    <n v="10"/>
    <n v="10"/>
    <n v="4"/>
    <n v="1"/>
    <n v="1"/>
    <n v="9"/>
    <n v="9"/>
    <n v="27"/>
  </r>
  <r>
    <n v="22"/>
    <n v="22"/>
    <x v="1"/>
    <n v="0"/>
    <s v="Travel_Rarely"/>
    <n v="0"/>
    <n v="1"/>
    <x v="1"/>
    <n v="1"/>
    <n v="0"/>
    <n v="5"/>
    <n v="5"/>
    <n v="3"/>
    <s v="Life Sciences"/>
    <n v="1"/>
    <n v="0"/>
    <n v="0"/>
    <n v="0"/>
    <n v="0"/>
    <x v="2"/>
    <s v="Male"/>
    <n v="0"/>
    <n v="60"/>
    <n v="4"/>
    <n v="1"/>
    <s v="Research Scientist"/>
    <n v="0"/>
    <n v="0"/>
    <n v="0"/>
    <n v="0"/>
    <n v="0"/>
    <n v="0"/>
    <n v="0"/>
    <n v="1"/>
    <n v="2"/>
    <x v="2"/>
    <n v="0"/>
    <n v="0"/>
    <n v="2328"/>
    <n v="2328"/>
    <n v="1"/>
    <x v="0"/>
    <n v="1"/>
    <n v="16"/>
    <n v="3"/>
    <n v="1"/>
    <n v="1"/>
    <n v="4"/>
    <n v="4"/>
    <n v="2"/>
    <n v="2"/>
    <n v="4"/>
    <n v="4"/>
    <n v="2"/>
    <n v="2"/>
    <n v="2"/>
    <n v="2"/>
    <n v="2"/>
    <n v="2"/>
  </r>
  <r>
    <n v="36"/>
    <n v="36"/>
    <x v="1"/>
    <n v="0"/>
    <s v="Travel_Frequently"/>
    <n v="1"/>
    <n v="0"/>
    <x v="1"/>
    <n v="1"/>
    <n v="0"/>
    <n v="18"/>
    <n v="18"/>
    <n v="1"/>
    <s v="Medical"/>
    <n v="0"/>
    <n v="0"/>
    <n v="1"/>
    <n v="0"/>
    <n v="0"/>
    <x v="0"/>
    <s v="Female"/>
    <n v="1"/>
    <n v="73"/>
    <n v="3"/>
    <n v="1"/>
    <s v="Laboratory Technician"/>
    <n v="0"/>
    <n v="0"/>
    <n v="1"/>
    <n v="0"/>
    <n v="0"/>
    <n v="0"/>
    <n v="0"/>
    <n v="0"/>
    <n v="4"/>
    <x v="0"/>
    <n v="1"/>
    <n v="0"/>
    <n v="2153"/>
    <n v="2153"/>
    <n v="1"/>
    <x v="1"/>
    <n v="0"/>
    <n v="13"/>
    <n v="3"/>
    <n v="1"/>
    <n v="0"/>
    <n v="8"/>
    <n v="8"/>
    <n v="2"/>
    <n v="3"/>
    <n v="8"/>
    <n v="8"/>
    <n v="1"/>
    <n v="1"/>
    <n v="1"/>
    <n v="7"/>
    <n v="7"/>
    <n v="7"/>
  </r>
  <r>
    <n v="40"/>
    <n v="40"/>
    <x v="1"/>
    <n v="0"/>
    <s v="Non-Travel"/>
    <n v="0"/>
    <n v="0"/>
    <x v="1"/>
    <n v="1"/>
    <n v="0"/>
    <n v="9"/>
    <n v="9"/>
    <n v="5"/>
    <s v="Life Sciences"/>
    <n v="1"/>
    <n v="0"/>
    <n v="0"/>
    <n v="0"/>
    <n v="0"/>
    <x v="2"/>
    <s v="Male"/>
    <n v="0"/>
    <n v="63"/>
    <n v="2"/>
    <n v="2"/>
    <s v="Healthcare Representative"/>
    <n v="1"/>
    <n v="0"/>
    <n v="0"/>
    <n v="0"/>
    <n v="0"/>
    <n v="0"/>
    <n v="0"/>
    <n v="0"/>
    <n v="4"/>
    <x v="1"/>
    <n v="0"/>
    <n v="1"/>
    <n v="4876"/>
    <n v="4876"/>
    <n v="9"/>
    <x v="1"/>
    <n v="0"/>
    <n v="14"/>
    <n v="3"/>
    <n v="4"/>
    <n v="1"/>
    <n v="5"/>
    <n v="5"/>
    <n v="5"/>
    <n v="1"/>
    <n v="3"/>
    <n v="3"/>
    <n v="2"/>
    <n v="0"/>
    <n v="0"/>
    <n v="2"/>
    <n v="2"/>
    <n v="4"/>
  </r>
  <r>
    <n v="46"/>
    <n v="46"/>
    <x v="1"/>
    <n v="0"/>
    <s v="Travel_Rarely"/>
    <n v="0"/>
    <n v="1"/>
    <x v="1"/>
    <n v="1"/>
    <n v="0"/>
    <n v="1"/>
    <n v="1"/>
    <n v="4"/>
    <s v="Medical"/>
    <n v="0"/>
    <n v="0"/>
    <n v="1"/>
    <n v="0"/>
    <n v="0"/>
    <x v="2"/>
    <s v="Male"/>
    <n v="0"/>
    <n v="97"/>
    <n v="3"/>
    <n v="3"/>
    <s v="Healthcare Representative"/>
    <n v="1"/>
    <n v="0"/>
    <n v="0"/>
    <n v="0"/>
    <n v="0"/>
    <n v="0"/>
    <n v="0"/>
    <n v="0"/>
    <n v="1"/>
    <x v="2"/>
    <n v="0"/>
    <n v="0"/>
    <n v="9396"/>
    <n v="9396"/>
    <n v="7"/>
    <x v="1"/>
    <n v="0"/>
    <n v="16"/>
    <n v="3"/>
    <n v="3"/>
    <n v="1"/>
    <n v="17"/>
    <n v="17"/>
    <n v="3"/>
    <n v="3"/>
    <n v="4"/>
    <n v="4"/>
    <n v="2"/>
    <n v="0"/>
    <n v="0"/>
    <n v="3"/>
    <n v="3"/>
    <n v="9"/>
  </r>
  <r>
    <n v="32"/>
    <n v="32"/>
    <x v="0"/>
    <n v="1"/>
    <s v="Travel_Rarely"/>
    <n v="0"/>
    <n v="1"/>
    <x v="0"/>
    <n v="0"/>
    <n v="1"/>
    <n v="4"/>
    <n v="4"/>
    <n v="4"/>
    <s v="Medical"/>
    <n v="0"/>
    <n v="0"/>
    <n v="1"/>
    <n v="0"/>
    <n v="0"/>
    <x v="2"/>
    <s v="Male"/>
    <n v="0"/>
    <n v="32"/>
    <n v="1"/>
    <n v="3"/>
    <s v="Sales Executive"/>
    <n v="0"/>
    <n v="1"/>
    <n v="0"/>
    <n v="0"/>
    <n v="0"/>
    <n v="0"/>
    <n v="0"/>
    <n v="0"/>
    <n v="4"/>
    <x v="1"/>
    <n v="0"/>
    <n v="1"/>
    <n v="10400"/>
    <n v="10400"/>
    <n v="1"/>
    <x v="1"/>
    <n v="0"/>
    <n v="11"/>
    <n v="3"/>
    <n v="3"/>
    <n v="0"/>
    <n v="14"/>
    <n v="14"/>
    <n v="2"/>
    <n v="2"/>
    <n v="14"/>
    <n v="14"/>
    <n v="8"/>
    <n v="9"/>
    <n v="9"/>
    <n v="8"/>
    <n v="8"/>
    <n v="24"/>
  </r>
  <r>
    <n v="30"/>
    <n v="30"/>
    <x v="1"/>
    <n v="0"/>
    <s v="Non-Travel"/>
    <n v="0"/>
    <n v="0"/>
    <x v="1"/>
    <n v="1"/>
    <n v="0"/>
    <n v="1"/>
    <n v="1"/>
    <n v="1"/>
    <s v="Life Sciences"/>
    <n v="1"/>
    <n v="0"/>
    <n v="0"/>
    <n v="0"/>
    <n v="0"/>
    <x v="1"/>
    <s v="Male"/>
    <n v="0"/>
    <n v="88"/>
    <n v="2"/>
    <n v="3"/>
    <s v="Manufacturing Director"/>
    <n v="0"/>
    <n v="0"/>
    <n v="0"/>
    <n v="0"/>
    <n v="1"/>
    <n v="1"/>
    <n v="0"/>
    <n v="0"/>
    <n v="3"/>
    <x v="0"/>
    <n v="1"/>
    <n v="0"/>
    <n v="8474"/>
    <n v="8474"/>
    <n v="1"/>
    <x v="1"/>
    <n v="0"/>
    <n v="22"/>
    <n v="4"/>
    <n v="3"/>
    <n v="0"/>
    <n v="12"/>
    <n v="12"/>
    <n v="2"/>
    <n v="3"/>
    <n v="11"/>
    <n v="11"/>
    <n v="8"/>
    <n v="5"/>
    <n v="5"/>
    <n v="8"/>
    <n v="8"/>
    <n v="24"/>
  </r>
  <r>
    <n v="27"/>
    <n v="27"/>
    <x v="1"/>
    <n v="0"/>
    <s v="Travel_Frequently"/>
    <n v="1"/>
    <n v="0"/>
    <x v="0"/>
    <n v="0"/>
    <n v="1"/>
    <n v="20"/>
    <n v="20"/>
    <n v="3"/>
    <s v="Life Sciences"/>
    <n v="1"/>
    <n v="0"/>
    <n v="0"/>
    <n v="0"/>
    <n v="0"/>
    <x v="2"/>
    <s v="Female"/>
    <n v="1"/>
    <n v="90"/>
    <n v="3"/>
    <n v="2"/>
    <s v="Sales Executive"/>
    <n v="0"/>
    <n v="1"/>
    <n v="0"/>
    <n v="0"/>
    <n v="0"/>
    <n v="0"/>
    <n v="0"/>
    <n v="0"/>
    <n v="3"/>
    <x v="0"/>
    <n v="1"/>
    <n v="0"/>
    <n v="9981"/>
    <n v="9981"/>
    <n v="1"/>
    <x v="1"/>
    <n v="0"/>
    <n v="14"/>
    <n v="3"/>
    <n v="4"/>
    <n v="0"/>
    <n v="7"/>
    <n v="7"/>
    <n v="2"/>
    <n v="3"/>
    <n v="7"/>
    <n v="7"/>
    <n v="7"/>
    <n v="0"/>
    <n v="0"/>
    <n v="7"/>
    <n v="7"/>
    <n v="14"/>
  </r>
  <r>
    <n v="51"/>
    <n v="51"/>
    <x v="1"/>
    <n v="0"/>
    <s v="Travel_Rarely"/>
    <n v="0"/>
    <n v="1"/>
    <x v="1"/>
    <n v="1"/>
    <n v="0"/>
    <n v="8"/>
    <n v="8"/>
    <n v="4"/>
    <s v="Life Sciences"/>
    <n v="1"/>
    <n v="0"/>
    <n v="0"/>
    <n v="0"/>
    <n v="0"/>
    <x v="0"/>
    <s v="Male"/>
    <n v="0"/>
    <n v="81"/>
    <n v="2"/>
    <n v="3"/>
    <s v="Research Director"/>
    <n v="0"/>
    <n v="0"/>
    <n v="0"/>
    <n v="0"/>
    <n v="0"/>
    <n v="0"/>
    <n v="0"/>
    <n v="0"/>
    <n v="2"/>
    <x v="1"/>
    <n v="0"/>
    <n v="1"/>
    <n v="12490"/>
    <n v="12490"/>
    <n v="5"/>
    <x v="1"/>
    <n v="0"/>
    <n v="16"/>
    <n v="3"/>
    <n v="4"/>
    <n v="2"/>
    <n v="16"/>
    <n v="16"/>
    <n v="5"/>
    <n v="1"/>
    <n v="10"/>
    <n v="10"/>
    <n v="9"/>
    <n v="4"/>
    <n v="4"/>
    <n v="7"/>
    <n v="7"/>
    <n v="21"/>
  </r>
  <r>
    <n v="30"/>
    <n v="30"/>
    <x v="0"/>
    <n v="1"/>
    <s v="Travel_Rarely"/>
    <n v="0"/>
    <n v="1"/>
    <x v="1"/>
    <n v="1"/>
    <n v="0"/>
    <n v="3"/>
    <n v="3"/>
    <n v="3"/>
    <s v="Technical Degree"/>
    <n v="0"/>
    <n v="0"/>
    <n v="0"/>
    <n v="0"/>
    <n v="1"/>
    <x v="2"/>
    <s v="Female"/>
    <n v="1"/>
    <n v="88"/>
    <n v="3"/>
    <n v="1"/>
    <s v="Research Scientist"/>
    <n v="0"/>
    <n v="0"/>
    <n v="0"/>
    <n v="0"/>
    <n v="0"/>
    <n v="0"/>
    <n v="0"/>
    <n v="1"/>
    <n v="1"/>
    <x v="0"/>
    <n v="1"/>
    <n v="0"/>
    <n v="2657"/>
    <n v="2657"/>
    <n v="5"/>
    <x v="0"/>
    <n v="1"/>
    <n v="11"/>
    <n v="3"/>
    <n v="3"/>
    <n v="0"/>
    <n v="8"/>
    <n v="8"/>
    <n v="5"/>
    <n v="3"/>
    <n v="5"/>
    <n v="5"/>
    <n v="2"/>
    <n v="0"/>
    <n v="0"/>
    <n v="4"/>
    <n v="4"/>
    <n v="4"/>
  </r>
  <r>
    <n v="41"/>
    <n v="41"/>
    <x v="1"/>
    <n v="0"/>
    <s v="Travel_Rarely"/>
    <n v="0"/>
    <n v="1"/>
    <x v="0"/>
    <n v="0"/>
    <n v="1"/>
    <n v="6"/>
    <n v="6"/>
    <n v="3"/>
    <s v="Life Sciences"/>
    <n v="1"/>
    <n v="0"/>
    <n v="0"/>
    <n v="0"/>
    <n v="0"/>
    <x v="2"/>
    <s v="Female"/>
    <n v="1"/>
    <n v="75"/>
    <n v="3"/>
    <n v="3"/>
    <s v="Manager"/>
    <n v="0"/>
    <n v="0"/>
    <n v="0"/>
    <n v="1"/>
    <n v="0"/>
    <n v="0"/>
    <n v="0"/>
    <n v="0"/>
    <n v="4"/>
    <x v="0"/>
    <n v="1"/>
    <n v="0"/>
    <n v="13591"/>
    <n v="13591"/>
    <n v="3"/>
    <x v="0"/>
    <n v="1"/>
    <n v="18"/>
    <n v="3"/>
    <n v="3"/>
    <n v="0"/>
    <n v="16"/>
    <n v="16"/>
    <n v="3"/>
    <n v="3"/>
    <n v="1"/>
    <n v="1"/>
    <n v="0"/>
    <n v="0"/>
    <n v="0"/>
    <n v="0"/>
    <n v="0"/>
    <n v="0"/>
  </r>
  <r>
    <n v="30"/>
    <n v="30"/>
    <x v="0"/>
    <n v="1"/>
    <s v="Travel_Frequently"/>
    <n v="1"/>
    <n v="0"/>
    <x v="0"/>
    <n v="0"/>
    <n v="1"/>
    <n v="26"/>
    <n v="26"/>
    <n v="4"/>
    <s v="Marketing"/>
    <n v="0"/>
    <n v="0"/>
    <n v="0"/>
    <n v="1"/>
    <n v="0"/>
    <x v="1"/>
    <s v="Female"/>
    <n v="1"/>
    <n v="52"/>
    <n v="2"/>
    <n v="2"/>
    <s v="Sales Executive"/>
    <n v="0"/>
    <n v="1"/>
    <n v="0"/>
    <n v="0"/>
    <n v="0"/>
    <n v="0"/>
    <n v="0"/>
    <n v="0"/>
    <n v="1"/>
    <x v="0"/>
    <n v="1"/>
    <n v="0"/>
    <n v="6696"/>
    <n v="6696"/>
    <n v="5"/>
    <x v="1"/>
    <n v="0"/>
    <n v="15"/>
    <n v="3"/>
    <n v="3"/>
    <n v="0"/>
    <n v="9"/>
    <n v="9"/>
    <n v="5"/>
    <n v="2"/>
    <n v="6"/>
    <n v="6"/>
    <n v="3"/>
    <n v="0"/>
    <n v="0"/>
    <n v="1"/>
    <n v="1"/>
    <n v="2"/>
  </r>
  <r>
    <n v="29"/>
    <n v="29"/>
    <x v="0"/>
    <n v="1"/>
    <s v="Travel_Rarely"/>
    <n v="0"/>
    <n v="1"/>
    <x v="1"/>
    <n v="1"/>
    <n v="0"/>
    <n v="1"/>
    <n v="1"/>
    <n v="3"/>
    <s v="Technical Degree"/>
    <n v="0"/>
    <n v="0"/>
    <n v="0"/>
    <n v="0"/>
    <n v="1"/>
    <x v="1"/>
    <s v="Male"/>
    <n v="0"/>
    <n v="85"/>
    <n v="3"/>
    <n v="1"/>
    <s v="Research Scientist"/>
    <n v="0"/>
    <n v="0"/>
    <n v="0"/>
    <n v="0"/>
    <n v="0"/>
    <n v="0"/>
    <n v="0"/>
    <n v="1"/>
    <n v="3"/>
    <x v="0"/>
    <n v="1"/>
    <n v="0"/>
    <n v="2058"/>
    <n v="2058"/>
    <n v="0"/>
    <x v="1"/>
    <n v="0"/>
    <n v="14"/>
    <n v="3"/>
    <n v="4"/>
    <n v="0"/>
    <n v="7"/>
    <n v="7"/>
    <n v="1"/>
    <n v="2"/>
    <n v="6"/>
    <n v="6"/>
    <n v="2"/>
    <n v="1"/>
    <n v="1"/>
    <n v="5"/>
    <n v="5"/>
    <n v="5"/>
  </r>
  <r>
    <n v="45"/>
    <n v="45"/>
    <x v="1"/>
    <n v="0"/>
    <s v="Non-Travel"/>
    <n v="0"/>
    <n v="0"/>
    <x v="0"/>
    <n v="0"/>
    <n v="1"/>
    <n v="6"/>
    <n v="6"/>
    <n v="3"/>
    <s v="Medical"/>
    <n v="0"/>
    <n v="0"/>
    <n v="1"/>
    <n v="0"/>
    <n v="0"/>
    <x v="2"/>
    <s v="Female"/>
    <n v="1"/>
    <n v="57"/>
    <n v="2"/>
    <n v="3"/>
    <s v="Sales Executive"/>
    <n v="0"/>
    <n v="1"/>
    <n v="0"/>
    <n v="0"/>
    <n v="0"/>
    <n v="0"/>
    <n v="0"/>
    <n v="0"/>
    <n v="4"/>
    <x v="0"/>
    <n v="1"/>
    <n v="0"/>
    <n v="8865"/>
    <n v="8865"/>
    <n v="6"/>
    <x v="1"/>
    <n v="0"/>
    <n v="12"/>
    <n v="3"/>
    <n v="4"/>
    <n v="0"/>
    <n v="23"/>
    <n v="23"/>
    <n v="2"/>
    <n v="3"/>
    <n v="19"/>
    <n v="19"/>
    <n v="7"/>
    <n v="12"/>
    <n v="12"/>
    <n v="8"/>
    <n v="8"/>
    <n v="24"/>
  </r>
  <r>
    <n v="54"/>
    <n v="54"/>
    <x v="1"/>
    <n v="0"/>
    <s v="Travel_Rarely"/>
    <n v="0"/>
    <n v="1"/>
    <x v="0"/>
    <n v="0"/>
    <n v="1"/>
    <n v="3"/>
    <n v="3"/>
    <n v="3"/>
    <s v="Marketing"/>
    <n v="0"/>
    <n v="0"/>
    <n v="0"/>
    <n v="1"/>
    <n v="0"/>
    <x v="2"/>
    <s v="Female"/>
    <n v="1"/>
    <n v="52"/>
    <n v="3"/>
    <n v="2"/>
    <s v="Sales Executive"/>
    <n v="0"/>
    <n v="1"/>
    <n v="0"/>
    <n v="0"/>
    <n v="0"/>
    <n v="0"/>
    <n v="0"/>
    <n v="0"/>
    <n v="1"/>
    <x v="1"/>
    <n v="0"/>
    <n v="1"/>
    <n v="5940"/>
    <n v="5940"/>
    <n v="2"/>
    <x v="1"/>
    <n v="0"/>
    <n v="14"/>
    <n v="3"/>
    <n v="4"/>
    <n v="1"/>
    <n v="16"/>
    <n v="16"/>
    <n v="4"/>
    <n v="3"/>
    <n v="6"/>
    <n v="6"/>
    <n v="2"/>
    <n v="0"/>
    <n v="0"/>
    <n v="5"/>
    <n v="5"/>
    <n v="10"/>
  </r>
  <r>
    <n v="36"/>
    <n v="36"/>
    <x v="1"/>
    <n v="0"/>
    <s v="Travel_Rarely"/>
    <n v="0"/>
    <n v="1"/>
    <x v="1"/>
    <n v="1"/>
    <n v="0"/>
    <n v="5"/>
    <n v="5"/>
    <n v="2"/>
    <s v="Life Sciences"/>
    <n v="1"/>
    <n v="0"/>
    <n v="0"/>
    <n v="0"/>
    <n v="0"/>
    <x v="2"/>
    <s v="Male"/>
    <n v="0"/>
    <n v="62"/>
    <n v="3"/>
    <n v="2"/>
    <s v="Laboratory Technician"/>
    <n v="0"/>
    <n v="0"/>
    <n v="1"/>
    <n v="0"/>
    <n v="0"/>
    <n v="0"/>
    <n v="0"/>
    <n v="0"/>
    <n v="2"/>
    <x v="0"/>
    <n v="1"/>
    <n v="0"/>
    <n v="5914"/>
    <n v="5914"/>
    <n v="8"/>
    <x v="1"/>
    <n v="0"/>
    <n v="16"/>
    <n v="3"/>
    <n v="4"/>
    <n v="0"/>
    <n v="16"/>
    <n v="16"/>
    <n v="3"/>
    <n v="4"/>
    <n v="13"/>
    <n v="13"/>
    <n v="11"/>
    <n v="3"/>
    <n v="3"/>
    <n v="7"/>
    <n v="7"/>
    <n v="14"/>
  </r>
  <r>
    <n v="33"/>
    <n v="33"/>
    <x v="1"/>
    <n v="0"/>
    <s v="Travel_Rarely"/>
    <n v="0"/>
    <n v="1"/>
    <x v="1"/>
    <n v="1"/>
    <n v="0"/>
    <n v="4"/>
    <n v="4"/>
    <n v="4"/>
    <s v="Medical"/>
    <n v="0"/>
    <n v="0"/>
    <n v="1"/>
    <n v="0"/>
    <n v="0"/>
    <x v="1"/>
    <s v="Female"/>
    <n v="1"/>
    <n v="47"/>
    <n v="2"/>
    <n v="1"/>
    <s v="Research Scientist"/>
    <n v="0"/>
    <n v="0"/>
    <n v="0"/>
    <n v="0"/>
    <n v="0"/>
    <n v="0"/>
    <n v="0"/>
    <n v="1"/>
    <n v="2"/>
    <x v="1"/>
    <n v="0"/>
    <n v="1"/>
    <n v="2622"/>
    <n v="2622"/>
    <n v="6"/>
    <x v="1"/>
    <n v="0"/>
    <n v="21"/>
    <n v="4"/>
    <n v="4"/>
    <n v="0"/>
    <n v="7"/>
    <n v="7"/>
    <n v="3"/>
    <n v="3"/>
    <n v="3"/>
    <n v="3"/>
    <n v="2"/>
    <n v="1"/>
    <n v="1"/>
    <n v="1"/>
    <n v="1"/>
    <n v="1"/>
  </r>
  <r>
    <n v="37"/>
    <n v="37"/>
    <x v="1"/>
    <n v="0"/>
    <s v="Travel_Frequently"/>
    <n v="1"/>
    <n v="0"/>
    <x v="1"/>
    <n v="1"/>
    <n v="0"/>
    <n v="11"/>
    <n v="11"/>
    <n v="3"/>
    <s v="Other"/>
    <n v="0"/>
    <n v="1"/>
    <n v="0"/>
    <n v="0"/>
    <n v="0"/>
    <x v="0"/>
    <s v="Male"/>
    <n v="0"/>
    <n v="47"/>
    <n v="3"/>
    <n v="3"/>
    <s v="Research Director"/>
    <n v="0"/>
    <n v="0"/>
    <n v="0"/>
    <n v="0"/>
    <n v="0"/>
    <n v="0"/>
    <n v="0"/>
    <n v="0"/>
    <n v="4"/>
    <x v="2"/>
    <n v="0"/>
    <n v="0"/>
    <n v="12185"/>
    <n v="12185"/>
    <n v="1"/>
    <x v="0"/>
    <n v="1"/>
    <n v="14"/>
    <n v="3"/>
    <n v="3"/>
    <n v="3"/>
    <n v="10"/>
    <n v="10"/>
    <n v="1"/>
    <n v="3"/>
    <n v="10"/>
    <n v="10"/>
    <n v="8"/>
    <n v="0"/>
    <n v="0"/>
    <n v="7"/>
    <n v="7"/>
    <n v="21"/>
  </r>
  <r>
    <n v="38"/>
    <n v="38"/>
    <x v="1"/>
    <n v="0"/>
    <s v="Travel_Rarely"/>
    <n v="0"/>
    <n v="1"/>
    <x v="0"/>
    <n v="0"/>
    <n v="1"/>
    <n v="3"/>
    <n v="3"/>
    <n v="3"/>
    <s v="Life Sciences"/>
    <n v="1"/>
    <n v="0"/>
    <n v="0"/>
    <n v="0"/>
    <n v="0"/>
    <x v="3"/>
    <s v="Male"/>
    <n v="0"/>
    <n v="76"/>
    <n v="3"/>
    <n v="3"/>
    <s v="Sales Executive"/>
    <n v="0"/>
    <n v="1"/>
    <n v="0"/>
    <n v="0"/>
    <n v="0"/>
    <n v="0"/>
    <n v="0"/>
    <n v="0"/>
    <n v="3"/>
    <x v="2"/>
    <n v="0"/>
    <n v="0"/>
    <n v="10609"/>
    <n v="10609"/>
    <n v="0"/>
    <x v="1"/>
    <n v="0"/>
    <n v="12"/>
    <n v="3"/>
    <n v="3"/>
    <n v="2"/>
    <n v="17"/>
    <n v="17"/>
    <n v="6"/>
    <n v="2"/>
    <n v="16"/>
    <n v="16"/>
    <n v="10"/>
    <n v="5"/>
    <n v="5"/>
    <n v="13"/>
    <n v="13"/>
    <n v="39"/>
  </r>
  <r>
    <n v="31"/>
    <n v="31"/>
    <x v="1"/>
    <n v="0"/>
    <s v="Non-Travel"/>
    <n v="0"/>
    <n v="0"/>
    <x v="1"/>
    <n v="1"/>
    <n v="0"/>
    <n v="1"/>
    <n v="1"/>
    <n v="4"/>
    <s v="Medical"/>
    <n v="0"/>
    <n v="0"/>
    <n v="1"/>
    <n v="0"/>
    <n v="0"/>
    <x v="1"/>
    <s v="Male"/>
    <n v="0"/>
    <n v="90"/>
    <n v="1"/>
    <n v="2"/>
    <s v="Manufacturing Director"/>
    <n v="0"/>
    <n v="0"/>
    <n v="0"/>
    <n v="0"/>
    <n v="1"/>
    <n v="1"/>
    <n v="0"/>
    <n v="0"/>
    <n v="3"/>
    <x v="1"/>
    <n v="0"/>
    <n v="1"/>
    <n v="4345"/>
    <n v="4345"/>
    <n v="0"/>
    <x v="1"/>
    <n v="0"/>
    <n v="12"/>
    <n v="3"/>
    <n v="4"/>
    <n v="1"/>
    <n v="6"/>
    <n v="6"/>
    <n v="2"/>
    <n v="3"/>
    <n v="5"/>
    <n v="5"/>
    <n v="4"/>
    <n v="1"/>
    <n v="1"/>
    <n v="4"/>
    <n v="4"/>
    <n v="8"/>
  </r>
  <r>
    <n v="59"/>
    <n v="58.309999999999945"/>
    <x v="1"/>
    <n v="0"/>
    <s v="Travel_Rarely"/>
    <n v="0"/>
    <n v="1"/>
    <x v="1"/>
    <n v="1"/>
    <n v="0"/>
    <n v="3"/>
    <n v="3"/>
    <n v="3"/>
    <s v="Life Sciences"/>
    <n v="1"/>
    <n v="0"/>
    <n v="0"/>
    <n v="0"/>
    <n v="0"/>
    <x v="1"/>
    <s v="Male"/>
    <n v="0"/>
    <n v="70"/>
    <n v="2"/>
    <n v="1"/>
    <s v="Research Scientist"/>
    <n v="0"/>
    <n v="0"/>
    <n v="0"/>
    <n v="0"/>
    <n v="0"/>
    <n v="0"/>
    <n v="0"/>
    <n v="1"/>
    <n v="4"/>
    <x v="1"/>
    <n v="0"/>
    <n v="1"/>
    <n v="2177"/>
    <n v="2177"/>
    <n v="3"/>
    <x v="1"/>
    <n v="0"/>
    <n v="17"/>
    <n v="3"/>
    <n v="1"/>
    <n v="1"/>
    <n v="7"/>
    <n v="7"/>
    <n v="6"/>
    <n v="3"/>
    <n v="1"/>
    <n v="1"/>
    <n v="0"/>
    <n v="0"/>
    <n v="0"/>
    <n v="0"/>
    <n v="0"/>
    <n v="0"/>
  </r>
  <r>
    <n v="37"/>
    <n v="37"/>
    <x v="1"/>
    <n v="0"/>
    <s v="Travel_Frequently"/>
    <n v="1"/>
    <n v="0"/>
    <x v="0"/>
    <n v="0"/>
    <n v="1"/>
    <n v="4"/>
    <n v="4"/>
    <n v="4"/>
    <s v="Marketing"/>
    <n v="0"/>
    <n v="0"/>
    <n v="0"/>
    <n v="1"/>
    <n v="0"/>
    <x v="3"/>
    <s v="Male"/>
    <n v="0"/>
    <n v="41"/>
    <n v="3"/>
    <n v="1"/>
    <s v="Sales Representative"/>
    <n v="0"/>
    <n v="0"/>
    <n v="0"/>
    <n v="0"/>
    <n v="0"/>
    <n v="0"/>
    <n v="1"/>
    <n v="0"/>
    <n v="4"/>
    <x v="2"/>
    <n v="0"/>
    <n v="0"/>
    <n v="2793"/>
    <n v="2793"/>
    <n v="4"/>
    <x v="1"/>
    <n v="0"/>
    <n v="17"/>
    <n v="3"/>
    <n v="3"/>
    <n v="1"/>
    <n v="13"/>
    <n v="13"/>
    <n v="2"/>
    <n v="3"/>
    <n v="9"/>
    <n v="9"/>
    <n v="8"/>
    <n v="5"/>
    <n v="5"/>
    <n v="8"/>
    <n v="8"/>
    <n v="8"/>
  </r>
  <r>
    <n v="29"/>
    <n v="29"/>
    <x v="1"/>
    <n v="0"/>
    <s v="Travel_Frequently"/>
    <n v="1"/>
    <n v="0"/>
    <x v="0"/>
    <n v="0"/>
    <n v="1"/>
    <n v="1"/>
    <n v="1"/>
    <n v="1"/>
    <s v="Medical"/>
    <n v="0"/>
    <n v="0"/>
    <n v="1"/>
    <n v="0"/>
    <n v="0"/>
    <x v="0"/>
    <s v="Female"/>
    <n v="1"/>
    <n v="42"/>
    <n v="3"/>
    <n v="3"/>
    <s v="Sales Executive"/>
    <n v="0"/>
    <n v="1"/>
    <n v="0"/>
    <n v="0"/>
    <n v="0"/>
    <n v="0"/>
    <n v="0"/>
    <n v="0"/>
    <n v="4"/>
    <x v="1"/>
    <n v="0"/>
    <n v="1"/>
    <n v="7918"/>
    <n v="7918"/>
    <n v="1"/>
    <x v="1"/>
    <n v="0"/>
    <n v="14"/>
    <n v="3"/>
    <n v="4"/>
    <n v="1"/>
    <n v="11"/>
    <n v="11"/>
    <n v="5"/>
    <n v="3"/>
    <n v="11"/>
    <n v="11"/>
    <n v="10"/>
    <n v="4"/>
    <n v="4"/>
    <n v="1"/>
    <n v="1"/>
    <n v="3"/>
  </r>
  <r>
    <n v="35"/>
    <n v="35"/>
    <x v="1"/>
    <n v="0"/>
    <s v="Travel_Frequently"/>
    <n v="1"/>
    <n v="0"/>
    <x v="0"/>
    <n v="0"/>
    <n v="1"/>
    <n v="1"/>
    <n v="1"/>
    <n v="3"/>
    <s v="Marketing"/>
    <n v="0"/>
    <n v="0"/>
    <n v="0"/>
    <n v="1"/>
    <n v="0"/>
    <x v="1"/>
    <s v="Female"/>
    <n v="1"/>
    <n v="92"/>
    <n v="3"/>
    <n v="3"/>
    <s v="Sales Executive"/>
    <n v="0"/>
    <n v="1"/>
    <n v="0"/>
    <n v="0"/>
    <n v="0"/>
    <n v="0"/>
    <n v="0"/>
    <n v="0"/>
    <n v="3"/>
    <x v="0"/>
    <n v="1"/>
    <n v="0"/>
    <n v="8789"/>
    <n v="8789"/>
    <n v="1"/>
    <x v="1"/>
    <n v="0"/>
    <n v="14"/>
    <n v="3"/>
    <n v="1"/>
    <n v="0"/>
    <n v="10"/>
    <n v="10"/>
    <n v="3"/>
    <n v="4"/>
    <n v="10"/>
    <n v="10"/>
    <n v="7"/>
    <n v="0"/>
    <n v="0"/>
    <n v="8"/>
    <n v="8"/>
    <n v="24"/>
  </r>
  <r>
    <n v="29"/>
    <n v="29"/>
    <x v="0"/>
    <n v="1"/>
    <s v="Travel_Rarely"/>
    <n v="0"/>
    <n v="1"/>
    <x v="1"/>
    <n v="1"/>
    <n v="0"/>
    <n v="18"/>
    <n v="18"/>
    <n v="1"/>
    <s v="Medical"/>
    <n v="0"/>
    <n v="0"/>
    <n v="1"/>
    <n v="0"/>
    <n v="0"/>
    <x v="1"/>
    <s v="Male"/>
    <n v="0"/>
    <n v="86"/>
    <n v="2"/>
    <n v="1"/>
    <s v="Research Scientist"/>
    <n v="0"/>
    <n v="0"/>
    <n v="0"/>
    <n v="0"/>
    <n v="0"/>
    <n v="0"/>
    <n v="0"/>
    <n v="1"/>
    <n v="4"/>
    <x v="0"/>
    <n v="1"/>
    <n v="0"/>
    <n v="2389"/>
    <n v="2389"/>
    <n v="1"/>
    <x v="0"/>
    <n v="1"/>
    <n v="13"/>
    <n v="3"/>
    <n v="3"/>
    <n v="0"/>
    <n v="4"/>
    <n v="4"/>
    <n v="3"/>
    <n v="2"/>
    <n v="4"/>
    <n v="4"/>
    <n v="3"/>
    <n v="0"/>
    <n v="0"/>
    <n v="1"/>
    <n v="1"/>
    <n v="1"/>
  </r>
  <r>
    <n v="52"/>
    <n v="52"/>
    <x v="1"/>
    <n v="0"/>
    <s v="Travel_Rarely"/>
    <n v="0"/>
    <n v="1"/>
    <x v="1"/>
    <n v="1"/>
    <n v="0"/>
    <n v="2"/>
    <n v="2"/>
    <n v="3"/>
    <s v="Life Sciences"/>
    <n v="1"/>
    <n v="0"/>
    <n v="0"/>
    <n v="0"/>
    <n v="0"/>
    <x v="1"/>
    <s v="Female"/>
    <n v="1"/>
    <n v="89"/>
    <n v="2"/>
    <n v="1"/>
    <s v="Laboratory Technician"/>
    <n v="0"/>
    <n v="0"/>
    <n v="1"/>
    <n v="0"/>
    <n v="0"/>
    <n v="0"/>
    <n v="0"/>
    <n v="0"/>
    <n v="4"/>
    <x v="0"/>
    <n v="1"/>
    <n v="0"/>
    <n v="3212"/>
    <n v="3212"/>
    <n v="7"/>
    <x v="1"/>
    <n v="0"/>
    <n v="15"/>
    <n v="3"/>
    <n v="2"/>
    <n v="0"/>
    <n v="6"/>
    <n v="6"/>
    <n v="3"/>
    <n v="2"/>
    <n v="2"/>
    <n v="2"/>
    <n v="2"/>
    <n v="2"/>
    <n v="2"/>
    <n v="2"/>
    <n v="2"/>
    <n v="2"/>
  </r>
  <r>
    <n v="42"/>
    <n v="42"/>
    <x v="1"/>
    <n v="0"/>
    <s v="Travel_Rarely"/>
    <n v="0"/>
    <n v="1"/>
    <x v="1"/>
    <n v="1"/>
    <n v="0"/>
    <n v="4"/>
    <n v="4"/>
    <n v="2"/>
    <s v="Technical Degree"/>
    <n v="0"/>
    <n v="0"/>
    <n v="0"/>
    <n v="0"/>
    <n v="1"/>
    <x v="1"/>
    <s v="Male"/>
    <n v="0"/>
    <n v="58"/>
    <n v="3"/>
    <n v="5"/>
    <s v="Manager"/>
    <n v="0"/>
    <n v="0"/>
    <n v="0"/>
    <n v="1"/>
    <n v="0"/>
    <n v="0"/>
    <n v="0"/>
    <n v="0"/>
    <n v="4"/>
    <x v="1"/>
    <n v="0"/>
    <n v="1"/>
    <n v="19232"/>
    <n v="19232"/>
    <n v="1"/>
    <x v="1"/>
    <n v="0"/>
    <n v="11"/>
    <n v="3"/>
    <n v="4"/>
    <n v="0"/>
    <n v="22"/>
    <n v="22"/>
    <n v="3"/>
    <n v="3"/>
    <n v="22"/>
    <n v="22"/>
    <n v="17"/>
    <n v="11"/>
    <n v="11"/>
    <n v="15"/>
    <n v="14"/>
    <n v="70"/>
  </r>
  <r>
    <n v="59"/>
    <n v="58.309999999999945"/>
    <x v="1"/>
    <n v="0"/>
    <s v="Travel_Rarely"/>
    <n v="0"/>
    <n v="1"/>
    <x v="2"/>
    <n v="0"/>
    <n v="0"/>
    <n v="6"/>
    <n v="6"/>
    <n v="2"/>
    <s v="Medical"/>
    <n v="0"/>
    <n v="0"/>
    <n v="1"/>
    <n v="0"/>
    <n v="0"/>
    <x v="0"/>
    <s v="Male"/>
    <n v="0"/>
    <n v="52"/>
    <n v="3"/>
    <n v="1"/>
    <s v="Human Resources"/>
    <n v="0"/>
    <n v="0"/>
    <n v="0"/>
    <n v="0"/>
    <n v="0"/>
    <n v="0"/>
    <n v="0"/>
    <n v="0"/>
    <n v="3"/>
    <x v="1"/>
    <n v="0"/>
    <n v="1"/>
    <n v="2267"/>
    <n v="2267"/>
    <n v="8"/>
    <x v="1"/>
    <n v="0"/>
    <n v="17"/>
    <n v="3"/>
    <n v="4"/>
    <n v="0"/>
    <n v="7"/>
    <n v="7"/>
    <n v="2"/>
    <n v="2"/>
    <n v="2"/>
    <n v="2"/>
    <n v="2"/>
    <n v="2"/>
    <n v="2"/>
    <n v="2"/>
    <n v="2"/>
    <n v="2"/>
  </r>
  <r>
    <n v="50"/>
    <n v="50"/>
    <x v="1"/>
    <n v="0"/>
    <s v="Travel_Rarely"/>
    <n v="0"/>
    <n v="1"/>
    <x v="0"/>
    <n v="0"/>
    <n v="1"/>
    <n v="1"/>
    <n v="1"/>
    <n v="4"/>
    <s v="Medical"/>
    <n v="0"/>
    <n v="0"/>
    <n v="1"/>
    <n v="0"/>
    <n v="0"/>
    <x v="2"/>
    <s v="Female"/>
    <n v="1"/>
    <n v="68"/>
    <n v="3"/>
    <n v="5"/>
    <s v="Manager"/>
    <n v="0"/>
    <n v="0"/>
    <n v="0"/>
    <n v="1"/>
    <n v="0"/>
    <n v="0"/>
    <n v="0"/>
    <n v="0"/>
    <n v="4"/>
    <x v="2"/>
    <n v="0"/>
    <n v="0"/>
    <n v="19517"/>
    <n v="19517"/>
    <n v="3"/>
    <x v="1"/>
    <n v="0"/>
    <n v="11"/>
    <n v="3"/>
    <n v="3"/>
    <n v="1"/>
    <n v="32"/>
    <n v="32"/>
    <n v="3"/>
    <n v="2"/>
    <n v="7"/>
    <n v="7"/>
    <n v="0"/>
    <n v="0"/>
    <n v="0"/>
    <n v="6"/>
    <n v="6"/>
    <n v="30"/>
  </r>
  <r>
    <n v="33"/>
    <n v="33"/>
    <x v="0"/>
    <n v="1"/>
    <s v="Travel_Rarely"/>
    <n v="0"/>
    <n v="1"/>
    <x v="1"/>
    <n v="1"/>
    <n v="0"/>
    <n v="14"/>
    <n v="14"/>
    <n v="3"/>
    <s v="Medical"/>
    <n v="0"/>
    <n v="0"/>
    <n v="1"/>
    <n v="0"/>
    <n v="0"/>
    <x v="1"/>
    <s v="Male"/>
    <n v="0"/>
    <n v="58"/>
    <n v="3"/>
    <n v="1"/>
    <s v="Laboratory Technician"/>
    <n v="0"/>
    <n v="0"/>
    <n v="1"/>
    <n v="0"/>
    <n v="0"/>
    <n v="0"/>
    <n v="0"/>
    <n v="0"/>
    <n v="4"/>
    <x v="1"/>
    <n v="0"/>
    <n v="1"/>
    <n v="2436"/>
    <n v="2436"/>
    <n v="5"/>
    <x v="0"/>
    <n v="1"/>
    <n v="13"/>
    <n v="3"/>
    <n v="3"/>
    <n v="1"/>
    <n v="8"/>
    <n v="8"/>
    <n v="2"/>
    <n v="1"/>
    <n v="5"/>
    <n v="5"/>
    <n v="4"/>
    <n v="0"/>
    <n v="0"/>
    <n v="4"/>
    <n v="4"/>
    <n v="4"/>
  </r>
  <r>
    <n v="43"/>
    <n v="43"/>
    <x v="1"/>
    <n v="0"/>
    <s v="Travel_Rarely"/>
    <n v="0"/>
    <n v="1"/>
    <x v="0"/>
    <n v="0"/>
    <n v="1"/>
    <n v="16"/>
    <n v="16"/>
    <n v="3"/>
    <s v="Marketing"/>
    <n v="0"/>
    <n v="0"/>
    <n v="0"/>
    <n v="1"/>
    <n v="0"/>
    <x v="2"/>
    <s v="Female"/>
    <n v="1"/>
    <n v="80"/>
    <n v="3"/>
    <n v="4"/>
    <s v="Manager"/>
    <n v="0"/>
    <n v="0"/>
    <n v="0"/>
    <n v="1"/>
    <n v="0"/>
    <n v="0"/>
    <n v="0"/>
    <n v="0"/>
    <n v="4"/>
    <x v="1"/>
    <n v="0"/>
    <n v="1"/>
    <n v="16064"/>
    <n v="16064"/>
    <n v="5"/>
    <x v="0"/>
    <n v="1"/>
    <n v="22"/>
    <n v="4"/>
    <n v="3"/>
    <n v="1"/>
    <n v="22"/>
    <n v="22"/>
    <n v="3"/>
    <n v="3"/>
    <n v="17"/>
    <n v="17"/>
    <n v="13"/>
    <n v="1"/>
    <n v="1"/>
    <n v="9"/>
    <n v="9"/>
    <n v="36"/>
  </r>
  <r>
    <n v="33"/>
    <n v="33"/>
    <x v="0"/>
    <n v="1"/>
    <s v="Travel_Rarely"/>
    <n v="0"/>
    <n v="1"/>
    <x v="1"/>
    <n v="1"/>
    <n v="0"/>
    <n v="2"/>
    <n v="2"/>
    <n v="2"/>
    <s v="Life Sciences"/>
    <n v="1"/>
    <n v="0"/>
    <n v="0"/>
    <n v="0"/>
    <n v="0"/>
    <x v="3"/>
    <s v="Female"/>
    <n v="1"/>
    <n v="39"/>
    <n v="3"/>
    <n v="1"/>
    <s v="Laboratory Technician"/>
    <n v="0"/>
    <n v="0"/>
    <n v="1"/>
    <n v="0"/>
    <n v="0"/>
    <n v="0"/>
    <n v="0"/>
    <n v="0"/>
    <n v="1"/>
    <x v="1"/>
    <n v="0"/>
    <n v="1"/>
    <n v="2707"/>
    <n v="2707"/>
    <n v="7"/>
    <x v="1"/>
    <n v="0"/>
    <n v="20"/>
    <n v="4"/>
    <n v="1"/>
    <n v="0"/>
    <n v="13"/>
    <n v="13"/>
    <n v="3"/>
    <n v="4"/>
    <n v="9"/>
    <n v="9"/>
    <n v="7"/>
    <n v="1"/>
    <n v="1"/>
    <n v="7"/>
    <n v="7"/>
    <n v="7"/>
  </r>
  <r>
    <n v="52"/>
    <n v="52"/>
    <x v="1"/>
    <n v="0"/>
    <s v="Non-Travel"/>
    <n v="0"/>
    <n v="0"/>
    <x v="0"/>
    <n v="0"/>
    <n v="1"/>
    <n v="2"/>
    <n v="2"/>
    <n v="4"/>
    <s v="Life Sciences"/>
    <n v="1"/>
    <n v="0"/>
    <n v="0"/>
    <n v="0"/>
    <n v="0"/>
    <x v="3"/>
    <s v="Male"/>
    <n v="0"/>
    <n v="79"/>
    <n v="2"/>
    <n v="5"/>
    <s v="Manager"/>
    <n v="0"/>
    <n v="0"/>
    <n v="0"/>
    <n v="1"/>
    <n v="0"/>
    <n v="0"/>
    <n v="0"/>
    <n v="0"/>
    <n v="3"/>
    <x v="0"/>
    <n v="1"/>
    <n v="0"/>
    <n v="19068"/>
    <n v="19068"/>
    <n v="1"/>
    <x v="0"/>
    <n v="1"/>
    <n v="18"/>
    <n v="3"/>
    <n v="4"/>
    <n v="0"/>
    <n v="33"/>
    <n v="33"/>
    <n v="2"/>
    <n v="4"/>
    <n v="33"/>
    <n v="31"/>
    <n v="7"/>
    <n v="15"/>
    <n v="14"/>
    <n v="12"/>
    <n v="12"/>
    <n v="60"/>
  </r>
  <r>
    <n v="32"/>
    <n v="32"/>
    <x v="1"/>
    <n v="0"/>
    <s v="Travel_Rarely"/>
    <n v="0"/>
    <n v="1"/>
    <x v="0"/>
    <n v="0"/>
    <n v="1"/>
    <n v="4"/>
    <n v="4"/>
    <n v="2"/>
    <s v="Life Sciences"/>
    <n v="1"/>
    <n v="0"/>
    <n v="0"/>
    <n v="0"/>
    <n v="0"/>
    <x v="1"/>
    <s v="Female"/>
    <n v="1"/>
    <n v="56"/>
    <n v="3"/>
    <n v="1"/>
    <s v="Sales Representative"/>
    <n v="0"/>
    <n v="0"/>
    <n v="0"/>
    <n v="0"/>
    <n v="0"/>
    <n v="0"/>
    <n v="1"/>
    <n v="0"/>
    <n v="2"/>
    <x v="1"/>
    <n v="0"/>
    <n v="1"/>
    <n v="3931"/>
    <n v="3931"/>
    <n v="2"/>
    <x v="1"/>
    <n v="0"/>
    <n v="11"/>
    <n v="3"/>
    <n v="1"/>
    <n v="1"/>
    <n v="6"/>
    <n v="6"/>
    <n v="5"/>
    <n v="3"/>
    <n v="4"/>
    <n v="4"/>
    <n v="3"/>
    <n v="1"/>
    <n v="1"/>
    <n v="2"/>
    <n v="2"/>
    <n v="2"/>
  </r>
  <r>
    <n v="32"/>
    <n v="32"/>
    <x v="0"/>
    <n v="1"/>
    <s v="Travel_Rarely"/>
    <n v="0"/>
    <n v="1"/>
    <x v="1"/>
    <n v="1"/>
    <n v="0"/>
    <n v="1"/>
    <n v="1"/>
    <n v="3"/>
    <s v="Life Sciences"/>
    <n v="1"/>
    <n v="0"/>
    <n v="0"/>
    <n v="0"/>
    <n v="0"/>
    <x v="2"/>
    <s v="Male"/>
    <n v="0"/>
    <n v="62"/>
    <n v="2"/>
    <n v="1"/>
    <s v="Laboratory Technician"/>
    <n v="0"/>
    <n v="0"/>
    <n v="1"/>
    <n v="0"/>
    <n v="0"/>
    <n v="0"/>
    <n v="0"/>
    <n v="0"/>
    <n v="3"/>
    <x v="0"/>
    <n v="1"/>
    <n v="0"/>
    <n v="3730"/>
    <n v="3730"/>
    <n v="0"/>
    <x v="0"/>
    <n v="1"/>
    <n v="14"/>
    <n v="3"/>
    <n v="4"/>
    <n v="0"/>
    <n v="4"/>
    <n v="4"/>
    <n v="2"/>
    <n v="1"/>
    <n v="3"/>
    <n v="3"/>
    <n v="2"/>
    <n v="1"/>
    <n v="1"/>
    <n v="2"/>
    <n v="2"/>
    <n v="2"/>
  </r>
  <r>
    <n v="39"/>
    <n v="39"/>
    <x v="1"/>
    <n v="0"/>
    <s v="Travel_Rarely"/>
    <n v="0"/>
    <n v="1"/>
    <x v="1"/>
    <n v="1"/>
    <n v="0"/>
    <n v="1"/>
    <n v="1"/>
    <n v="4"/>
    <s v="Medical"/>
    <n v="0"/>
    <n v="0"/>
    <n v="1"/>
    <n v="0"/>
    <n v="0"/>
    <x v="1"/>
    <s v="Female"/>
    <n v="1"/>
    <n v="96"/>
    <n v="3"/>
    <n v="1"/>
    <s v="Laboratory Technician"/>
    <n v="0"/>
    <n v="0"/>
    <n v="1"/>
    <n v="0"/>
    <n v="0"/>
    <n v="0"/>
    <n v="0"/>
    <n v="0"/>
    <n v="3"/>
    <x v="2"/>
    <n v="0"/>
    <n v="0"/>
    <n v="2232"/>
    <n v="2232"/>
    <n v="7"/>
    <x v="1"/>
    <n v="0"/>
    <n v="14"/>
    <n v="3"/>
    <n v="3"/>
    <n v="3"/>
    <n v="7"/>
    <n v="7"/>
    <n v="1"/>
    <n v="3"/>
    <n v="3"/>
    <n v="3"/>
    <n v="2"/>
    <n v="1"/>
    <n v="1"/>
    <n v="2"/>
    <n v="2"/>
    <n v="2"/>
  </r>
  <r>
    <n v="32"/>
    <n v="32"/>
    <x v="1"/>
    <n v="0"/>
    <s v="Non-Travel"/>
    <n v="0"/>
    <n v="0"/>
    <x v="0"/>
    <n v="0"/>
    <n v="1"/>
    <n v="26"/>
    <n v="26"/>
    <n v="4"/>
    <s v="Marketing"/>
    <n v="0"/>
    <n v="0"/>
    <n v="0"/>
    <n v="1"/>
    <n v="0"/>
    <x v="1"/>
    <s v="Male"/>
    <n v="0"/>
    <n v="100"/>
    <n v="3"/>
    <n v="2"/>
    <s v="Sales Executive"/>
    <n v="0"/>
    <n v="1"/>
    <n v="0"/>
    <n v="0"/>
    <n v="0"/>
    <n v="0"/>
    <n v="0"/>
    <n v="0"/>
    <n v="4"/>
    <x v="1"/>
    <n v="0"/>
    <n v="1"/>
    <n v="4465"/>
    <n v="4465"/>
    <n v="0"/>
    <x v="1"/>
    <n v="0"/>
    <n v="18"/>
    <n v="3"/>
    <n v="1"/>
    <n v="0"/>
    <n v="4"/>
    <n v="4"/>
    <n v="2"/>
    <n v="3"/>
    <n v="3"/>
    <n v="3"/>
    <n v="2"/>
    <n v="2"/>
    <n v="2"/>
    <n v="2"/>
    <n v="2"/>
    <n v="4"/>
  </r>
  <r>
    <n v="41"/>
    <n v="41"/>
    <x v="1"/>
    <n v="0"/>
    <s v="Travel_Rarely"/>
    <n v="0"/>
    <n v="1"/>
    <x v="1"/>
    <n v="1"/>
    <n v="0"/>
    <n v="19"/>
    <n v="19"/>
    <n v="2"/>
    <s v="Life Sciences"/>
    <n v="1"/>
    <n v="0"/>
    <n v="0"/>
    <n v="0"/>
    <n v="0"/>
    <x v="1"/>
    <s v="Male"/>
    <n v="0"/>
    <n v="36"/>
    <n v="3"/>
    <n v="2"/>
    <s v="Research Scientist"/>
    <n v="0"/>
    <n v="0"/>
    <n v="0"/>
    <n v="0"/>
    <n v="0"/>
    <n v="0"/>
    <n v="0"/>
    <n v="1"/>
    <n v="1"/>
    <x v="2"/>
    <n v="0"/>
    <n v="0"/>
    <n v="3072"/>
    <n v="3072"/>
    <n v="2"/>
    <x v="1"/>
    <n v="0"/>
    <n v="16"/>
    <n v="3"/>
    <n v="1"/>
    <n v="2"/>
    <n v="17"/>
    <n v="17"/>
    <n v="2"/>
    <n v="2"/>
    <n v="1"/>
    <n v="1"/>
    <n v="0"/>
    <n v="0"/>
    <n v="0"/>
    <n v="0"/>
    <n v="0"/>
    <n v="0"/>
  </r>
  <r>
    <n v="40"/>
    <n v="40"/>
    <x v="1"/>
    <n v="0"/>
    <s v="Travel_Rarely"/>
    <n v="0"/>
    <n v="1"/>
    <x v="1"/>
    <n v="1"/>
    <n v="0"/>
    <n v="24"/>
    <n v="24"/>
    <n v="2"/>
    <s v="Technical Degree"/>
    <n v="0"/>
    <n v="0"/>
    <n v="0"/>
    <n v="0"/>
    <n v="1"/>
    <x v="3"/>
    <s v="Male"/>
    <n v="0"/>
    <n v="62"/>
    <n v="3"/>
    <n v="2"/>
    <s v="Research Scientist"/>
    <n v="0"/>
    <n v="0"/>
    <n v="0"/>
    <n v="0"/>
    <n v="0"/>
    <n v="0"/>
    <n v="0"/>
    <n v="1"/>
    <n v="4"/>
    <x v="2"/>
    <n v="0"/>
    <n v="0"/>
    <n v="3319"/>
    <n v="3319"/>
    <n v="1"/>
    <x v="1"/>
    <n v="0"/>
    <n v="17"/>
    <n v="3"/>
    <n v="1"/>
    <n v="2"/>
    <n v="9"/>
    <n v="9"/>
    <n v="3"/>
    <n v="3"/>
    <n v="9"/>
    <n v="9"/>
    <n v="8"/>
    <n v="4"/>
    <n v="4"/>
    <n v="7"/>
    <n v="7"/>
    <n v="14"/>
  </r>
  <r>
    <n v="45"/>
    <n v="45"/>
    <x v="1"/>
    <n v="0"/>
    <s v="Travel_Rarely"/>
    <n v="0"/>
    <n v="1"/>
    <x v="1"/>
    <n v="1"/>
    <n v="0"/>
    <n v="1"/>
    <n v="1"/>
    <n v="3"/>
    <s v="Other"/>
    <n v="0"/>
    <n v="1"/>
    <n v="0"/>
    <n v="0"/>
    <n v="0"/>
    <x v="1"/>
    <s v="Male"/>
    <n v="0"/>
    <n v="70"/>
    <n v="4"/>
    <n v="5"/>
    <s v="Manager"/>
    <n v="0"/>
    <n v="0"/>
    <n v="0"/>
    <n v="1"/>
    <n v="0"/>
    <n v="0"/>
    <n v="0"/>
    <n v="0"/>
    <n v="4"/>
    <x v="1"/>
    <n v="0"/>
    <n v="1"/>
    <n v="19202"/>
    <n v="19202"/>
    <n v="0"/>
    <x v="1"/>
    <n v="0"/>
    <n v="11"/>
    <n v="3"/>
    <n v="3"/>
    <n v="1"/>
    <n v="25"/>
    <n v="25"/>
    <n v="2"/>
    <n v="3"/>
    <n v="24"/>
    <n v="24"/>
    <n v="0"/>
    <n v="1"/>
    <n v="1"/>
    <n v="7"/>
    <n v="7"/>
    <n v="35"/>
  </r>
  <r>
    <n v="31"/>
    <n v="31"/>
    <x v="1"/>
    <n v="0"/>
    <s v="Travel_Frequently"/>
    <n v="1"/>
    <n v="0"/>
    <x v="1"/>
    <n v="1"/>
    <n v="0"/>
    <n v="3"/>
    <n v="3"/>
    <n v="4"/>
    <s v="Medical"/>
    <n v="0"/>
    <n v="0"/>
    <n v="1"/>
    <n v="0"/>
    <n v="0"/>
    <x v="0"/>
    <s v="Male"/>
    <n v="0"/>
    <n v="73"/>
    <n v="3"/>
    <n v="3"/>
    <s v="Research Director"/>
    <n v="0"/>
    <n v="0"/>
    <n v="0"/>
    <n v="0"/>
    <n v="0"/>
    <n v="0"/>
    <n v="0"/>
    <n v="0"/>
    <n v="3"/>
    <x v="2"/>
    <n v="0"/>
    <n v="0"/>
    <n v="13675"/>
    <n v="13675"/>
    <n v="9"/>
    <x v="1"/>
    <n v="0"/>
    <n v="12"/>
    <n v="3"/>
    <n v="1"/>
    <n v="1"/>
    <n v="9"/>
    <n v="9"/>
    <n v="3"/>
    <n v="3"/>
    <n v="2"/>
    <n v="2"/>
    <n v="2"/>
    <n v="2"/>
    <n v="2"/>
    <n v="2"/>
    <n v="2"/>
    <n v="6"/>
  </r>
  <r>
    <n v="33"/>
    <n v="33"/>
    <x v="1"/>
    <n v="0"/>
    <s v="Travel_Rarely"/>
    <n v="0"/>
    <n v="1"/>
    <x v="1"/>
    <n v="1"/>
    <n v="0"/>
    <n v="5"/>
    <n v="5"/>
    <n v="4"/>
    <s v="Life Sciences"/>
    <n v="1"/>
    <n v="0"/>
    <n v="0"/>
    <n v="0"/>
    <n v="0"/>
    <x v="1"/>
    <s v="Female"/>
    <n v="1"/>
    <n v="63"/>
    <n v="2"/>
    <n v="1"/>
    <s v="Research Scientist"/>
    <n v="0"/>
    <n v="0"/>
    <n v="0"/>
    <n v="0"/>
    <n v="0"/>
    <n v="0"/>
    <n v="0"/>
    <n v="1"/>
    <n v="4"/>
    <x v="1"/>
    <n v="0"/>
    <n v="1"/>
    <n v="2911"/>
    <n v="2911"/>
    <n v="1"/>
    <x v="1"/>
    <n v="0"/>
    <n v="13"/>
    <n v="3"/>
    <n v="3"/>
    <n v="1"/>
    <n v="2"/>
    <n v="2"/>
    <n v="2"/>
    <n v="2"/>
    <n v="2"/>
    <n v="2"/>
    <n v="2"/>
    <n v="0"/>
    <n v="0"/>
    <n v="2"/>
    <n v="2"/>
    <n v="2"/>
  </r>
  <r>
    <n v="34"/>
    <n v="34"/>
    <x v="1"/>
    <n v="0"/>
    <s v="Travel_Rarely"/>
    <n v="0"/>
    <n v="1"/>
    <x v="1"/>
    <n v="1"/>
    <n v="0"/>
    <n v="2"/>
    <n v="2"/>
    <n v="4"/>
    <s v="Life Sciences"/>
    <n v="1"/>
    <n v="0"/>
    <n v="0"/>
    <n v="0"/>
    <n v="0"/>
    <x v="2"/>
    <s v="Male"/>
    <n v="0"/>
    <n v="84"/>
    <n v="2"/>
    <n v="2"/>
    <s v="Manufacturing Director"/>
    <n v="0"/>
    <n v="0"/>
    <n v="0"/>
    <n v="0"/>
    <n v="1"/>
    <n v="1"/>
    <n v="0"/>
    <n v="0"/>
    <n v="1"/>
    <x v="1"/>
    <n v="0"/>
    <n v="1"/>
    <n v="5957"/>
    <n v="5957"/>
    <n v="6"/>
    <x v="1"/>
    <n v="0"/>
    <n v="13"/>
    <n v="3"/>
    <n v="2"/>
    <n v="1"/>
    <n v="13"/>
    <n v="13"/>
    <n v="3"/>
    <n v="3"/>
    <n v="11"/>
    <n v="11"/>
    <n v="9"/>
    <n v="5"/>
    <n v="5"/>
    <n v="9"/>
    <n v="9"/>
    <n v="18"/>
  </r>
  <r>
    <n v="37"/>
    <n v="37"/>
    <x v="1"/>
    <n v="0"/>
    <s v="Travel_Rarely"/>
    <n v="0"/>
    <n v="1"/>
    <x v="1"/>
    <n v="1"/>
    <n v="0"/>
    <n v="1"/>
    <n v="1"/>
    <n v="2"/>
    <s v="Medical"/>
    <n v="0"/>
    <n v="0"/>
    <n v="1"/>
    <n v="0"/>
    <n v="0"/>
    <x v="1"/>
    <s v="Female"/>
    <n v="1"/>
    <n v="83"/>
    <n v="2"/>
    <n v="1"/>
    <s v="Research Scientist"/>
    <n v="0"/>
    <n v="0"/>
    <n v="0"/>
    <n v="0"/>
    <n v="0"/>
    <n v="0"/>
    <n v="0"/>
    <n v="1"/>
    <n v="1"/>
    <x v="1"/>
    <n v="0"/>
    <n v="1"/>
    <n v="3920"/>
    <n v="3920"/>
    <n v="2"/>
    <x v="1"/>
    <n v="0"/>
    <n v="14"/>
    <n v="3"/>
    <n v="1"/>
    <n v="1"/>
    <n v="17"/>
    <n v="17"/>
    <n v="2"/>
    <n v="2"/>
    <n v="3"/>
    <n v="3"/>
    <n v="1"/>
    <n v="0"/>
    <n v="0"/>
    <n v="2"/>
    <n v="2"/>
    <n v="2"/>
  </r>
  <r>
    <n v="45"/>
    <n v="45"/>
    <x v="1"/>
    <n v="0"/>
    <s v="Travel_Frequently"/>
    <n v="1"/>
    <n v="0"/>
    <x v="1"/>
    <n v="1"/>
    <n v="0"/>
    <n v="7"/>
    <n v="7"/>
    <n v="4"/>
    <s v="Life Sciences"/>
    <n v="1"/>
    <n v="0"/>
    <n v="0"/>
    <n v="0"/>
    <n v="0"/>
    <x v="3"/>
    <s v="Male"/>
    <n v="0"/>
    <n v="77"/>
    <n v="4"/>
    <n v="2"/>
    <s v="Manufacturing Director"/>
    <n v="0"/>
    <n v="0"/>
    <n v="0"/>
    <n v="0"/>
    <n v="1"/>
    <n v="1"/>
    <n v="0"/>
    <n v="0"/>
    <n v="3"/>
    <x v="1"/>
    <n v="0"/>
    <n v="1"/>
    <n v="6434"/>
    <n v="6434"/>
    <n v="4"/>
    <x v="1"/>
    <n v="0"/>
    <n v="17"/>
    <n v="3"/>
    <n v="4"/>
    <n v="1"/>
    <n v="9"/>
    <n v="9"/>
    <n v="1"/>
    <n v="3"/>
    <n v="3"/>
    <n v="3"/>
    <n v="2"/>
    <n v="0"/>
    <n v="0"/>
    <n v="2"/>
    <n v="2"/>
    <n v="4"/>
  </r>
  <r>
    <n v="37"/>
    <n v="37"/>
    <x v="0"/>
    <n v="1"/>
    <s v="Travel_Frequently"/>
    <n v="1"/>
    <n v="0"/>
    <x v="1"/>
    <n v="1"/>
    <n v="0"/>
    <n v="10"/>
    <n v="10"/>
    <n v="3"/>
    <s v="Medical"/>
    <n v="0"/>
    <n v="0"/>
    <n v="1"/>
    <n v="0"/>
    <n v="0"/>
    <x v="3"/>
    <s v="Male"/>
    <n v="0"/>
    <n v="61"/>
    <n v="3"/>
    <n v="3"/>
    <s v="Manufacturing Director"/>
    <n v="0"/>
    <n v="0"/>
    <n v="0"/>
    <n v="0"/>
    <n v="1"/>
    <n v="1"/>
    <n v="0"/>
    <n v="0"/>
    <n v="3"/>
    <x v="2"/>
    <n v="0"/>
    <n v="0"/>
    <n v="10048"/>
    <n v="10048"/>
    <n v="6"/>
    <x v="1"/>
    <n v="0"/>
    <n v="11"/>
    <n v="3"/>
    <n v="2"/>
    <n v="2"/>
    <n v="17"/>
    <n v="17"/>
    <n v="5"/>
    <n v="3"/>
    <n v="1"/>
    <n v="1"/>
    <n v="0"/>
    <n v="0"/>
    <n v="0"/>
    <n v="0"/>
    <n v="0"/>
    <n v="0"/>
  </r>
  <r>
    <n v="39"/>
    <n v="39"/>
    <x v="1"/>
    <n v="0"/>
    <s v="Travel_Frequently"/>
    <n v="1"/>
    <n v="0"/>
    <x v="1"/>
    <n v="1"/>
    <n v="0"/>
    <n v="2"/>
    <n v="2"/>
    <n v="4"/>
    <s v="Technical Degree"/>
    <n v="0"/>
    <n v="0"/>
    <n v="0"/>
    <n v="0"/>
    <n v="1"/>
    <x v="1"/>
    <s v="Female"/>
    <n v="1"/>
    <n v="64"/>
    <n v="3"/>
    <n v="3"/>
    <s v="Healthcare Representative"/>
    <n v="1"/>
    <n v="0"/>
    <n v="0"/>
    <n v="0"/>
    <n v="0"/>
    <n v="0"/>
    <n v="0"/>
    <n v="0"/>
    <n v="3"/>
    <x v="0"/>
    <n v="1"/>
    <n v="0"/>
    <n v="10938"/>
    <n v="10938"/>
    <n v="0"/>
    <x v="1"/>
    <n v="0"/>
    <n v="25"/>
    <n v="4"/>
    <n v="4"/>
    <n v="0"/>
    <n v="20"/>
    <n v="20"/>
    <n v="1"/>
    <n v="3"/>
    <n v="19"/>
    <n v="19"/>
    <n v="6"/>
    <n v="11"/>
    <n v="11"/>
    <n v="8"/>
    <n v="8"/>
    <n v="24"/>
  </r>
  <r>
    <n v="29"/>
    <n v="29"/>
    <x v="1"/>
    <n v="0"/>
    <s v="Travel_Rarely"/>
    <n v="0"/>
    <n v="1"/>
    <x v="1"/>
    <n v="1"/>
    <n v="0"/>
    <n v="15"/>
    <n v="15"/>
    <n v="3"/>
    <s v="Life Sciences"/>
    <n v="1"/>
    <n v="0"/>
    <n v="0"/>
    <n v="0"/>
    <n v="0"/>
    <x v="1"/>
    <s v="Male"/>
    <n v="0"/>
    <n v="60"/>
    <n v="3"/>
    <n v="1"/>
    <s v="Research Scientist"/>
    <n v="0"/>
    <n v="0"/>
    <n v="0"/>
    <n v="0"/>
    <n v="0"/>
    <n v="0"/>
    <n v="0"/>
    <n v="1"/>
    <n v="4"/>
    <x v="0"/>
    <n v="1"/>
    <n v="0"/>
    <n v="2340"/>
    <n v="2340"/>
    <n v="1"/>
    <x v="1"/>
    <n v="0"/>
    <n v="19"/>
    <n v="3"/>
    <n v="1"/>
    <n v="0"/>
    <n v="6"/>
    <n v="6"/>
    <n v="1"/>
    <n v="3"/>
    <n v="6"/>
    <n v="6"/>
    <n v="5"/>
    <n v="1"/>
    <n v="1"/>
    <n v="5"/>
    <n v="5"/>
    <n v="5"/>
  </r>
  <r>
    <n v="42"/>
    <n v="42"/>
    <x v="1"/>
    <n v="0"/>
    <s v="Travel_Rarely"/>
    <n v="0"/>
    <n v="1"/>
    <x v="1"/>
    <n v="1"/>
    <n v="0"/>
    <n v="17"/>
    <n v="17"/>
    <n v="2"/>
    <s v="Life Sciences"/>
    <n v="1"/>
    <n v="0"/>
    <n v="0"/>
    <n v="0"/>
    <n v="0"/>
    <x v="2"/>
    <s v="Female"/>
    <n v="1"/>
    <n v="82"/>
    <n v="4"/>
    <n v="2"/>
    <s v="Research Scientist"/>
    <n v="0"/>
    <n v="0"/>
    <n v="0"/>
    <n v="0"/>
    <n v="0"/>
    <n v="0"/>
    <n v="0"/>
    <n v="1"/>
    <n v="1"/>
    <x v="0"/>
    <n v="1"/>
    <n v="0"/>
    <n v="6545"/>
    <n v="6545"/>
    <n v="3"/>
    <x v="0"/>
    <n v="1"/>
    <n v="13"/>
    <n v="3"/>
    <n v="3"/>
    <n v="0"/>
    <n v="10"/>
    <n v="10"/>
    <n v="1"/>
    <n v="3"/>
    <n v="3"/>
    <n v="3"/>
    <n v="2"/>
    <n v="0"/>
    <n v="0"/>
    <n v="2"/>
    <n v="2"/>
    <n v="4"/>
  </r>
  <r>
    <n v="29"/>
    <n v="29"/>
    <x v="1"/>
    <n v="0"/>
    <s v="Travel_Rarely"/>
    <n v="0"/>
    <n v="1"/>
    <x v="0"/>
    <n v="0"/>
    <n v="1"/>
    <n v="20"/>
    <n v="20"/>
    <n v="2"/>
    <s v="Marketing"/>
    <n v="0"/>
    <n v="0"/>
    <n v="0"/>
    <n v="1"/>
    <n v="0"/>
    <x v="2"/>
    <s v="Male"/>
    <n v="0"/>
    <n v="45"/>
    <n v="3"/>
    <n v="2"/>
    <s v="Sales Executive"/>
    <n v="0"/>
    <n v="1"/>
    <n v="0"/>
    <n v="0"/>
    <n v="0"/>
    <n v="0"/>
    <n v="0"/>
    <n v="0"/>
    <n v="4"/>
    <x v="2"/>
    <n v="0"/>
    <n v="0"/>
    <n v="6931"/>
    <n v="6931"/>
    <n v="2"/>
    <x v="1"/>
    <n v="0"/>
    <n v="14"/>
    <n v="3"/>
    <n v="4"/>
    <n v="1"/>
    <n v="10"/>
    <n v="10"/>
    <n v="2"/>
    <n v="3"/>
    <n v="3"/>
    <n v="3"/>
    <n v="2"/>
    <n v="0"/>
    <n v="0"/>
    <n v="2"/>
    <n v="2"/>
    <n v="4"/>
  </r>
  <r>
    <n v="25"/>
    <n v="25"/>
    <x v="1"/>
    <n v="0"/>
    <s v="Travel_Rarely"/>
    <n v="0"/>
    <n v="1"/>
    <x v="1"/>
    <n v="1"/>
    <n v="0"/>
    <n v="1"/>
    <n v="1"/>
    <n v="3"/>
    <s v="Life Sciences"/>
    <n v="1"/>
    <n v="0"/>
    <n v="0"/>
    <n v="0"/>
    <n v="0"/>
    <x v="3"/>
    <s v="Female"/>
    <n v="1"/>
    <n v="62"/>
    <n v="3"/>
    <n v="2"/>
    <s v="Manufacturing Director"/>
    <n v="0"/>
    <n v="0"/>
    <n v="0"/>
    <n v="0"/>
    <n v="1"/>
    <n v="1"/>
    <n v="0"/>
    <n v="0"/>
    <n v="3"/>
    <x v="1"/>
    <n v="0"/>
    <n v="1"/>
    <n v="4898"/>
    <n v="4898"/>
    <n v="0"/>
    <x v="1"/>
    <n v="0"/>
    <n v="12"/>
    <n v="3"/>
    <n v="4"/>
    <n v="2"/>
    <n v="5"/>
    <n v="5"/>
    <n v="3"/>
    <n v="3"/>
    <n v="4"/>
    <n v="4"/>
    <n v="2"/>
    <n v="1"/>
    <n v="1"/>
    <n v="2"/>
    <n v="2"/>
    <n v="4"/>
  </r>
  <r>
    <n v="42"/>
    <n v="42"/>
    <x v="1"/>
    <n v="0"/>
    <s v="Travel_Rarely"/>
    <n v="0"/>
    <n v="1"/>
    <x v="1"/>
    <n v="1"/>
    <n v="0"/>
    <n v="2"/>
    <n v="2"/>
    <n v="3"/>
    <s v="Medical"/>
    <n v="0"/>
    <n v="0"/>
    <n v="1"/>
    <n v="0"/>
    <n v="0"/>
    <x v="2"/>
    <s v="Female"/>
    <n v="1"/>
    <n v="56"/>
    <n v="2"/>
    <n v="1"/>
    <s v="Laboratory Technician"/>
    <n v="0"/>
    <n v="0"/>
    <n v="1"/>
    <n v="0"/>
    <n v="0"/>
    <n v="0"/>
    <n v="0"/>
    <n v="0"/>
    <n v="1"/>
    <x v="2"/>
    <n v="0"/>
    <n v="0"/>
    <n v="2593"/>
    <n v="2593"/>
    <n v="0"/>
    <x v="0"/>
    <n v="1"/>
    <n v="11"/>
    <n v="3"/>
    <n v="3"/>
    <n v="1"/>
    <n v="10"/>
    <n v="10"/>
    <n v="4"/>
    <n v="3"/>
    <n v="9"/>
    <n v="9"/>
    <n v="6"/>
    <n v="7"/>
    <n v="7"/>
    <n v="8"/>
    <n v="8"/>
    <n v="8"/>
  </r>
  <r>
    <n v="40"/>
    <n v="40"/>
    <x v="1"/>
    <n v="0"/>
    <s v="Travel_Rarely"/>
    <n v="0"/>
    <n v="1"/>
    <x v="1"/>
    <n v="1"/>
    <n v="0"/>
    <n v="2"/>
    <n v="2"/>
    <n v="2"/>
    <s v="Medical"/>
    <n v="0"/>
    <n v="0"/>
    <n v="1"/>
    <n v="0"/>
    <n v="0"/>
    <x v="3"/>
    <s v="Male"/>
    <n v="0"/>
    <n v="49"/>
    <n v="3"/>
    <n v="5"/>
    <s v="Research Director"/>
    <n v="0"/>
    <n v="0"/>
    <n v="0"/>
    <n v="0"/>
    <n v="0"/>
    <n v="0"/>
    <n v="0"/>
    <n v="0"/>
    <n v="3"/>
    <x v="2"/>
    <n v="0"/>
    <n v="0"/>
    <n v="19436"/>
    <n v="19436"/>
    <n v="0"/>
    <x v="1"/>
    <n v="0"/>
    <n v="19"/>
    <n v="3"/>
    <n v="4"/>
    <n v="1"/>
    <n v="22"/>
    <n v="22"/>
    <n v="5"/>
    <n v="3"/>
    <n v="21"/>
    <n v="21"/>
    <n v="7"/>
    <n v="3"/>
    <n v="3"/>
    <n v="9"/>
    <n v="9"/>
    <n v="45"/>
  </r>
  <r>
    <n v="51"/>
    <n v="51"/>
    <x v="1"/>
    <n v="0"/>
    <s v="Travel_Rarely"/>
    <n v="0"/>
    <n v="1"/>
    <x v="1"/>
    <n v="1"/>
    <n v="0"/>
    <n v="1"/>
    <n v="1"/>
    <n v="3"/>
    <s v="Life Sciences"/>
    <n v="1"/>
    <n v="0"/>
    <n v="0"/>
    <n v="0"/>
    <n v="0"/>
    <x v="1"/>
    <s v="Male"/>
    <n v="0"/>
    <n v="96"/>
    <n v="3"/>
    <n v="1"/>
    <s v="Research Scientist"/>
    <n v="0"/>
    <n v="0"/>
    <n v="0"/>
    <n v="0"/>
    <n v="0"/>
    <n v="0"/>
    <n v="0"/>
    <n v="1"/>
    <n v="4"/>
    <x v="1"/>
    <n v="0"/>
    <n v="1"/>
    <n v="2723"/>
    <n v="2723"/>
    <n v="1"/>
    <x v="1"/>
    <n v="0"/>
    <n v="11"/>
    <n v="3"/>
    <n v="2"/>
    <n v="0"/>
    <n v="1"/>
    <n v="1"/>
    <n v="0"/>
    <n v="2"/>
    <n v="1"/>
    <n v="1"/>
    <n v="0"/>
    <n v="0"/>
    <n v="0"/>
    <n v="0"/>
    <n v="0"/>
    <n v="0"/>
  </r>
  <r>
    <n v="31"/>
    <n v="31"/>
    <x v="0"/>
    <n v="1"/>
    <s v="Travel_Frequently"/>
    <n v="1"/>
    <n v="0"/>
    <x v="1"/>
    <n v="1"/>
    <n v="0"/>
    <n v="29"/>
    <n v="29"/>
    <n v="2"/>
    <s v="Medical"/>
    <n v="0"/>
    <n v="0"/>
    <n v="1"/>
    <n v="0"/>
    <n v="0"/>
    <x v="1"/>
    <s v="Male"/>
    <n v="0"/>
    <n v="71"/>
    <n v="2"/>
    <n v="1"/>
    <s v="Laboratory Technician"/>
    <n v="0"/>
    <n v="0"/>
    <n v="1"/>
    <n v="0"/>
    <n v="0"/>
    <n v="0"/>
    <n v="0"/>
    <n v="0"/>
    <n v="2"/>
    <x v="0"/>
    <n v="1"/>
    <n v="0"/>
    <n v="3479"/>
    <n v="3479"/>
    <n v="0"/>
    <x v="1"/>
    <n v="0"/>
    <n v="11"/>
    <n v="3"/>
    <n v="2"/>
    <n v="0"/>
    <n v="6"/>
    <n v="6"/>
    <n v="2"/>
    <n v="4"/>
    <n v="5"/>
    <n v="5"/>
    <n v="4"/>
    <n v="1"/>
    <n v="1"/>
    <n v="4"/>
    <n v="4"/>
    <n v="4"/>
  </r>
  <r>
    <n v="32"/>
    <n v="32"/>
    <x v="1"/>
    <n v="0"/>
    <s v="Travel_Frequently"/>
    <n v="1"/>
    <n v="0"/>
    <x v="1"/>
    <n v="1"/>
    <n v="0"/>
    <n v="7"/>
    <n v="7"/>
    <n v="3"/>
    <s v="Life Sciences"/>
    <n v="1"/>
    <n v="0"/>
    <n v="0"/>
    <n v="0"/>
    <n v="0"/>
    <x v="0"/>
    <s v="Male"/>
    <n v="0"/>
    <n v="100"/>
    <n v="4"/>
    <n v="1"/>
    <s v="Laboratory Technician"/>
    <n v="0"/>
    <n v="0"/>
    <n v="1"/>
    <n v="0"/>
    <n v="0"/>
    <n v="0"/>
    <n v="0"/>
    <n v="0"/>
    <n v="2"/>
    <x v="1"/>
    <n v="0"/>
    <n v="1"/>
    <n v="2794"/>
    <n v="2794"/>
    <n v="1"/>
    <x v="1"/>
    <n v="0"/>
    <n v="20"/>
    <n v="4"/>
    <n v="3"/>
    <n v="0"/>
    <n v="5"/>
    <n v="5"/>
    <n v="3"/>
    <n v="1"/>
    <n v="5"/>
    <n v="5"/>
    <n v="1"/>
    <n v="0"/>
    <n v="0"/>
    <n v="3"/>
    <n v="3"/>
    <n v="3"/>
  </r>
  <r>
    <n v="38"/>
    <n v="38"/>
    <x v="1"/>
    <n v="0"/>
    <s v="Non-Travel"/>
    <n v="0"/>
    <n v="0"/>
    <x v="0"/>
    <n v="0"/>
    <n v="1"/>
    <n v="2"/>
    <n v="2"/>
    <n v="2"/>
    <s v="Life Sciences"/>
    <n v="1"/>
    <n v="0"/>
    <n v="0"/>
    <n v="0"/>
    <n v="0"/>
    <x v="2"/>
    <s v="Male"/>
    <n v="0"/>
    <n v="39"/>
    <n v="2"/>
    <n v="2"/>
    <s v="Sales Executive"/>
    <n v="0"/>
    <n v="1"/>
    <n v="0"/>
    <n v="0"/>
    <n v="0"/>
    <n v="0"/>
    <n v="0"/>
    <n v="0"/>
    <n v="4"/>
    <x v="1"/>
    <n v="0"/>
    <n v="1"/>
    <n v="5249"/>
    <n v="5249"/>
    <n v="3"/>
    <x v="1"/>
    <n v="0"/>
    <n v="18"/>
    <n v="3"/>
    <n v="4"/>
    <n v="1"/>
    <n v="13"/>
    <n v="13"/>
    <n v="0"/>
    <n v="3"/>
    <n v="8"/>
    <n v="8"/>
    <n v="7"/>
    <n v="7"/>
    <n v="7"/>
    <n v="5"/>
    <n v="5"/>
    <n v="10"/>
  </r>
  <r>
    <n v="32"/>
    <n v="32"/>
    <x v="1"/>
    <n v="0"/>
    <s v="Travel_Rarely"/>
    <n v="0"/>
    <n v="1"/>
    <x v="1"/>
    <n v="1"/>
    <n v="0"/>
    <n v="2"/>
    <n v="2"/>
    <n v="1"/>
    <s v="Technical Degree"/>
    <n v="0"/>
    <n v="0"/>
    <n v="0"/>
    <n v="0"/>
    <n v="1"/>
    <x v="2"/>
    <s v="Male"/>
    <n v="0"/>
    <n v="84"/>
    <n v="2"/>
    <n v="2"/>
    <s v="Laboratory Technician"/>
    <n v="0"/>
    <n v="0"/>
    <n v="1"/>
    <n v="0"/>
    <n v="0"/>
    <n v="0"/>
    <n v="0"/>
    <n v="0"/>
    <n v="1"/>
    <x v="0"/>
    <n v="1"/>
    <n v="0"/>
    <n v="2176"/>
    <n v="2176"/>
    <n v="4"/>
    <x v="1"/>
    <n v="0"/>
    <n v="13"/>
    <n v="3"/>
    <n v="4"/>
    <n v="0"/>
    <n v="9"/>
    <n v="9"/>
    <n v="5"/>
    <n v="3"/>
    <n v="6"/>
    <n v="6"/>
    <n v="2"/>
    <n v="0"/>
    <n v="0"/>
    <n v="4"/>
    <n v="4"/>
    <n v="8"/>
  </r>
  <r>
    <n v="46"/>
    <n v="46"/>
    <x v="1"/>
    <n v="0"/>
    <s v="Travel_Rarely"/>
    <n v="0"/>
    <n v="1"/>
    <x v="0"/>
    <n v="0"/>
    <n v="1"/>
    <n v="2"/>
    <n v="2"/>
    <n v="3"/>
    <s v="Technical Degree"/>
    <n v="0"/>
    <n v="0"/>
    <n v="0"/>
    <n v="0"/>
    <n v="1"/>
    <x v="1"/>
    <s v="Female"/>
    <n v="1"/>
    <n v="75"/>
    <n v="1"/>
    <n v="4"/>
    <s v="Manager"/>
    <n v="0"/>
    <n v="0"/>
    <n v="0"/>
    <n v="1"/>
    <n v="0"/>
    <n v="0"/>
    <n v="0"/>
    <n v="0"/>
    <n v="2"/>
    <x v="1"/>
    <n v="0"/>
    <n v="1"/>
    <n v="16872"/>
    <n v="16872"/>
    <n v="3"/>
    <x v="0"/>
    <n v="1"/>
    <n v="12"/>
    <n v="3"/>
    <n v="2"/>
    <n v="1"/>
    <n v="28"/>
    <n v="28"/>
    <n v="2"/>
    <n v="2"/>
    <n v="7"/>
    <n v="7"/>
    <n v="7"/>
    <n v="7"/>
    <n v="7"/>
    <n v="7"/>
    <n v="7"/>
    <n v="28"/>
  </r>
  <r>
    <n v="28"/>
    <n v="28"/>
    <x v="0"/>
    <n v="1"/>
    <s v="Travel_Rarely"/>
    <n v="0"/>
    <n v="1"/>
    <x v="1"/>
    <n v="1"/>
    <n v="0"/>
    <n v="2"/>
    <n v="2"/>
    <n v="4"/>
    <s v="Life Sciences"/>
    <n v="1"/>
    <n v="0"/>
    <n v="0"/>
    <n v="0"/>
    <n v="0"/>
    <x v="3"/>
    <s v="Male"/>
    <n v="0"/>
    <n v="79"/>
    <n v="3"/>
    <n v="1"/>
    <s v="Laboratory Technician"/>
    <n v="0"/>
    <n v="0"/>
    <n v="1"/>
    <n v="0"/>
    <n v="0"/>
    <n v="0"/>
    <n v="0"/>
    <n v="0"/>
    <n v="3"/>
    <x v="0"/>
    <n v="1"/>
    <n v="0"/>
    <n v="3485"/>
    <n v="3485"/>
    <n v="2"/>
    <x v="1"/>
    <n v="0"/>
    <n v="11"/>
    <n v="3"/>
    <n v="3"/>
    <n v="0"/>
    <n v="5"/>
    <n v="5"/>
    <n v="5"/>
    <n v="1"/>
    <n v="0"/>
    <n v="0"/>
    <n v="0"/>
    <n v="0"/>
    <n v="0"/>
    <n v="0"/>
    <n v="0"/>
    <n v="0"/>
  </r>
  <r>
    <n v="29"/>
    <n v="29"/>
    <x v="1"/>
    <n v="0"/>
    <s v="Travel_Rarely"/>
    <n v="0"/>
    <n v="1"/>
    <x v="0"/>
    <n v="0"/>
    <n v="1"/>
    <n v="2"/>
    <n v="2"/>
    <n v="3"/>
    <s v="Medical"/>
    <n v="0"/>
    <n v="0"/>
    <n v="1"/>
    <n v="0"/>
    <n v="0"/>
    <x v="3"/>
    <s v="Male"/>
    <n v="0"/>
    <n v="78"/>
    <n v="2"/>
    <n v="2"/>
    <s v="Sales Executive"/>
    <n v="0"/>
    <n v="1"/>
    <n v="0"/>
    <n v="0"/>
    <n v="0"/>
    <n v="0"/>
    <n v="0"/>
    <n v="0"/>
    <n v="2"/>
    <x v="1"/>
    <n v="0"/>
    <n v="1"/>
    <n v="6644"/>
    <n v="6644"/>
    <n v="2"/>
    <x v="1"/>
    <n v="0"/>
    <n v="19"/>
    <n v="3"/>
    <n v="2"/>
    <n v="2"/>
    <n v="10"/>
    <n v="10"/>
    <n v="2"/>
    <n v="3"/>
    <n v="0"/>
    <n v="0"/>
    <n v="0"/>
    <n v="0"/>
    <n v="0"/>
    <n v="0"/>
    <n v="0"/>
    <n v="0"/>
  </r>
  <r>
    <n v="31"/>
    <n v="31"/>
    <x v="1"/>
    <n v="0"/>
    <s v="Travel_Rarely"/>
    <n v="0"/>
    <n v="1"/>
    <x v="1"/>
    <n v="1"/>
    <n v="0"/>
    <n v="23"/>
    <n v="23"/>
    <n v="3"/>
    <s v="Medical"/>
    <n v="0"/>
    <n v="0"/>
    <n v="1"/>
    <n v="0"/>
    <n v="0"/>
    <x v="0"/>
    <s v="Male"/>
    <n v="0"/>
    <n v="64"/>
    <n v="2"/>
    <n v="2"/>
    <s v="Healthcare Representative"/>
    <n v="1"/>
    <n v="0"/>
    <n v="0"/>
    <n v="0"/>
    <n v="0"/>
    <n v="0"/>
    <n v="0"/>
    <n v="0"/>
    <n v="4"/>
    <x v="1"/>
    <n v="0"/>
    <n v="1"/>
    <n v="5582"/>
    <n v="5582"/>
    <n v="0"/>
    <x v="1"/>
    <n v="0"/>
    <n v="21"/>
    <n v="4"/>
    <n v="2"/>
    <n v="1"/>
    <n v="10"/>
    <n v="10"/>
    <n v="2"/>
    <n v="3"/>
    <n v="9"/>
    <n v="9"/>
    <n v="0"/>
    <n v="7"/>
    <n v="7"/>
    <n v="8"/>
    <n v="8"/>
    <n v="16"/>
  </r>
  <r>
    <n v="25"/>
    <n v="25"/>
    <x v="1"/>
    <n v="0"/>
    <s v="Non-Travel"/>
    <n v="0"/>
    <n v="0"/>
    <x v="1"/>
    <n v="1"/>
    <n v="0"/>
    <n v="5"/>
    <n v="5"/>
    <n v="2"/>
    <s v="Life Sciences"/>
    <n v="1"/>
    <n v="0"/>
    <n v="0"/>
    <n v="0"/>
    <n v="0"/>
    <x v="0"/>
    <s v="Male"/>
    <n v="0"/>
    <n v="85"/>
    <n v="4"/>
    <n v="2"/>
    <s v="Healthcare Representative"/>
    <n v="1"/>
    <n v="0"/>
    <n v="0"/>
    <n v="0"/>
    <n v="0"/>
    <n v="0"/>
    <n v="0"/>
    <n v="0"/>
    <n v="1"/>
    <x v="2"/>
    <n v="0"/>
    <n v="0"/>
    <n v="4000"/>
    <n v="4000"/>
    <n v="1"/>
    <x v="1"/>
    <n v="0"/>
    <n v="12"/>
    <n v="3"/>
    <n v="4"/>
    <n v="2"/>
    <n v="6"/>
    <n v="6"/>
    <n v="2"/>
    <n v="3"/>
    <n v="6"/>
    <n v="6"/>
    <n v="3"/>
    <n v="1"/>
    <n v="1"/>
    <n v="5"/>
    <n v="5"/>
    <n v="10"/>
  </r>
  <r>
    <n v="45"/>
    <n v="45"/>
    <x v="1"/>
    <n v="0"/>
    <s v="Travel_Rarely"/>
    <n v="0"/>
    <n v="1"/>
    <x v="1"/>
    <n v="1"/>
    <n v="0"/>
    <n v="20"/>
    <n v="20"/>
    <n v="2"/>
    <s v="Medical"/>
    <n v="0"/>
    <n v="0"/>
    <n v="1"/>
    <n v="0"/>
    <n v="0"/>
    <x v="1"/>
    <s v="Male"/>
    <n v="0"/>
    <n v="79"/>
    <n v="3"/>
    <n v="4"/>
    <s v="Healthcare Representative"/>
    <n v="1"/>
    <n v="0"/>
    <n v="0"/>
    <n v="0"/>
    <n v="0"/>
    <n v="0"/>
    <n v="0"/>
    <n v="0"/>
    <n v="4"/>
    <x v="1"/>
    <n v="0"/>
    <n v="1"/>
    <n v="13496"/>
    <n v="13496"/>
    <n v="0"/>
    <x v="0"/>
    <n v="1"/>
    <n v="14"/>
    <n v="3"/>
    <n v="2"/>
    <n v="0"/>
    <n v="21"/>
    <n v="21"/>
    <n v="2"/>
    <n v="3"/>
    <n v="20"/>
    <n v="20"/>
    <n v="7"/>
    <n v="4"/>
    <n v="4"/>
    <n v="10"/>
    <n v="10"/>
    <n v="40"/>
  </r>
  <r>
    <n v="36"/>
    <n v="36"/>
    <x v="1"/>
    <n v="0"/>
    <s v="Travel_Rarely"/>
    <n v="0"/>
    <n v="1"/>
    <x v="1"/>
    <n v="1"/>
    <n v="0"/>
    <n v="6"/>
    <n v="6"/>
    <n v="3"/>
    <s v="Life Sciences"/>
    <n v="1"/>
    <n v="0"/>
    <n v="0"/>
    <n v="0"/>
    <n v="0"/>
    <x v="2"/>
    <s v="Male"/>
    <n v="0"/>
    <n v="47"/>
    <n v="3"/>
    <n v="1"/>
    <s v="Laboratory Technician"/>
    <n v="0"/>
    <n v="0"/>
    <n v="1"/>
    <n v="0"/>
    <n v="0"/>
    <n v="0"/>
    <n v="0"/>
    <n v="0"/>
    <n v="4"/>
    <x v="1"/>
    <n v="0"/>
    <n v="1"/>
    <n v="3210"/>
    <n v="3210"/>
    <n v="0"/>
    <x v="1"/>
    <n v="0"/>
    <n v="11"/>
    <n v="3"/>
    <n v="3"/>
    <n v="1"/>
    <n v="16"/>
    <n v="16"/>
    <n v="4"/>
    <n v="3"/>
    <n v="15"/>
    <n v="15"/>
    <n v="13"/>
    <n v="10"/>
    <n v="10"/>
    <n v="11"/>
    <n v="11"/>
    <n v="11"/>
  </r>
  <r>
    <n v="55"/>
    <n v="55"/>
    <x v="1"/>
    <n v="0"/>
    <s v="Travel_Rarely"/>
    <n v="0"/>
    <n v="1"/>
    <x v="1"/>
    <n v="1"/>
    <n v="0"/>
    <n v="1"/>
    <n v="1"/>
    <n v="3"/>
    <s v="Medical"/>
    <n v="0"/>
    <n v="0"/>
    <n v="1"/>
    <n v="0"/>
    <n v="0"/>
    <x v="2"/>
    <s v="Male"/>
    <n v="0"/>
    <n v="81"/>
    <n v="3"/>
    <n v="5"/>
    <s v="Manager"/>
    <n v="0"/>
    <n v="0"/>
    <n v="0"/>
    <n v="1"/>
    <n v="0"/>
    <n v="0"/>
    <n v="0"/>
    <n v="0"/>
    <n v="1"/>
    <x v="0"/>
    <n v="1"/>
    <n v="0"/>
    <n v="19045"/>
    <n v="19045"/>
    <n v="0"/>
    <x v="0"/>
    <n v="1"/>
    <n v="14"/>
    <n v="3"/>
    <n v="3"/>
    <n v="0"/>
    <n v="37"/>
    <n v="35"/>
    <n v="2"/>
    <n v="3"/>
    <n v="36"/>
    <n v="31"/>
    <n v="10"/>
    <n v="4"/>
    <n v="4"/>
    <n v="13"/>
    <n v="13"/>
    <n v="65"/>
  </r>
  <r>
    <n v="47"/>
    <n v="47"/>
    <x v="0"/>
    <n v="1"/>
    <s v="Non-Travel"/>
    <n v="0"/>
    <n v="0"/>
    <x v="1"/>
    <n v="1"/>
    <n v="0"/>
    <n v="29"/>
    <n v="29"/>
    <n v="4"/>
    <s v="Life Sciences"/>
    <n v="1"/>
    <n v="0"/>
    <n v="0"/>
    <n v="0"/>
    <n v="0"/>
    <x v="3"/>
    <s v="Male"/>
    <n v="0"/>
    <n v="88"/>
    <n v="3"/>
    <n v="3"/>
    <s v="Manager"/>
    <n v="0"/>
    <n v="0"/>
    <n v="0"/>
    <n v="1"/>
    <n v="0"/>
    <n v="0"/>
    <n v="0"/>
    <n v="0"/>
    <n v="2"/>
    <x v="1"/>
    <n v="0"/>
    <n v="1"/>
    <n v="11849"/>
    <n v="11849"/>
    <n v="1"/>
    <x v="0"/>
    <n v="1"/>
    <n v="12"/>
    <n v="3"/>
    <n v="4"/>
    <n v="1"/>
    <n v="10"/>
    <n v="10"/>
    <n v="2"/>
    <n v="2"/>
    <n v="10"/>
    <n v="10"/>
    <n v="7"/>
    <n v="9"/>
    <n v="9"/>
    <n v="9"/>
    <n v="9"/>
    <n v="27"/>
  </r>
  <r>
    <n v="28"/>
    <n v="28"/>
    <x v="1"/>
    <n v="0"/>
    <s v="Travel_Rarely"/>
    <n v="0"/>
    <n v="1"/>
    <x v="1"/>
    <n v="1"/>
    <n v="0"/>
    <n v="9"/>
    <n v="9"/>
    <n v="3"/>
    <s v="Medical"/>
    <n v="0"/>
    <n v="0"/>
    <n v="1"/>
    <n v="0"/>
    <n v="0"/>
    <x v="2"/>
    <s v="Male"/>
    <n v="0"/>
    <n v="94"/>
    <n v="3"/>
    <n v="1"/>
    <s v="Research Scientist"/>
    <n v="0"/>
    <n v="0"/>
    <n v="0"/>
    <n v="0"/>
    <n v="0"/>
    <n v="0"/>
    <n v="0"/>
    <n v="1"/>
    <n v="4"/>
    <x v="1"/>
    <n v="0"/>
    <n v="1"/>
    <n v="2070"/>
    <n v="2070"/>
    <n v="1"/>
    <x v="1"/>
    <n v="0"/>
    <n v="23"/>
    <n v="4"/>
    <n v="4"/>
    <n v="1"/>
    <n v="5"/>
    <n v="5"/>
    <n v="3"/>
    <n v="2"/>
    <n v="5"/>
    <n v="5"/>
    <n v="2"/>
    <n v="0"/>
    <n v="0"/>
    <n v="4"/>
    <n v="4"/>
    <n v="4"/>
  </r>
  <r>
    <n v="37"/>
    <n v="37"/>
    <x v="1"/>
    <n v="0"/>
    <s v="Travel_Rarely"/>
    <n v="0"/>
    <n v="1"/>
    <x v="0"/>
    <n v="0"/>
    <n v="1"/>
    <n v="6"/>
    <n v="6"/>
    <n v="4"/>
    <s v="Medical"/>
    <n v="0"/>
    <n v="0"/>
    <n v="1"/>
    <n v="0"/>
    <n v="0"/>
    <x v="1"/>
    <s v="Male"/>
    <n v="0"/>
    <n v="98"/>
    <n v="3"/>
    <n v="2"/>
    <s v="Sales Executive"/>
    <n v="0"/>
    <n v="1"/>
    <n v="0"/>
    <n v="0"/>
    <n v="0"/>
    <n v="0"/>
    <n v="0"/>
    <n v="0"/>
    <n v="4"/>
    <x v="1"/>
    <n v="0"/>
    <n v="1"/>
    <n v="6502"/>
    <n v="6502"/>
    <n v="4"/>
    <x v="1"/>
    <n v="0"/>
    <n v="14"/>
    <n v="3"/>
    <n v="2"/>
    <n v="1"/>
    <n v="7"/>
    <n v="7"/>
    <n v="5"/>
    <n v="4"/>
    <n v="5"/>
    <n v="5"/>
    <n v="4"/>
    <n v="0"/>
    <n v="0"/>
    <n v="1"/>
    <n v="1"/>
    <n v="2"/>
  </r>
  <r>
    <n v="21"/>
    <n v="21"/>
    <x v="1"/>
    <n v="0"/>
    <s v="Travel_Rarely"/>
    <n v="0"/>
    <n v="1"/>
    <x v="1"/>
    <n v="1"/>
    <n v="0"/>
    <n v="3"/>
    <n v="3"/>
    <n v="2"/>
    <s v="Medical"/>
    <n v="0"/>
    <n v="0"/>
    <n v="1"/>
    <n v="0"/>
    <n v="0"/>
    <x v="2"/>
    <s v="Male"/>
    <n v="0"/>
    <n v="100"/>
    <n v="2"/>
    <n v="1"/>
    <s v="Research Scientist"/>
    <n v="0"/>
    <n v="0"/>
    <n v="0"/>
    <n v="0"/>
    <n v="0"/>
    <n v="0"/>
    <n v="0"/>
    <n v="1"/>
    <n v="3"/>
    <x v="0"/>
    <n v="1"/>
    <n v="0"/>
    <n v="3230"/>
    <n v="3230"/>
    <n v="1"/>
    <x v="1"/>
    <n v="0"/>
    <n v="17"/>
    <n v="3"/>
    <n v="1"/>
    <n v="0"/>
    <n v="3"/>
    <n v="3"/>
    <n v="4"/>
    <n v="4"/>
    <n v="3"/>
    <n v="3"/>
    <n v="2"/>
    <n v="1"/>
    <n v="1"/>
    <n v="0"/>
    <n v="0"/>
    <n v="0"/>
  </r>
  <r>
    <n v="37"/>
    <n v="37"/>
    <x v="1"/>
    <n v="0"/>
    <s v="Non-Travel"/>
    <n v="0"/>
    <n v="0"/>
    <x v="1"/>
    <n v="1"/>
    <n v="0"/>
    <n v="1"/>
    <n v="1"/>
    <n v="4"/>
    <s v="Medical"/>
    <n v="0"/>
    <n v="0"/>
    <n v="1"/>
    <n v="0"/>
    <n v="0"/>
    <x v="3"/>
    <s v="Female"/>
    <n v="1"/>
    <n v="80"/>
    <n v="3"/>
    <n v="3"/>
    <s v="Research Director"/>
    <n v="0"/>
    <n v="0"/>
    <n v="0"/>
    <n v="0"/>
    <n v="0"/>
    <n v="0"/>
    <n v="0"/>
    <n v="0"/>
    <n v="4"/>
    <x v="2"/>
    <n v="0"/>
    <n v="0"/>
    <n v="13603"/>
    <n v="13603"/>
    <n v="2"/>
    <x v="0"/>
    <n v="1"/>
    <n v="18"/>
    <n v="3"/>
    <n v="1"/>
    <n v="2"/>
    <n v="15"/>
    <n v="15"/>
    <n v="2"/>
    <n v="3"/>
    <n v="5"/>
    <n v="5"/>
    <n v="2"/>
    <n v="0"/>
    <n v="0"/>
    <n v="2"/>
    <n v="2"/>
    <n v="6"/>
  </r>
  <r>
    <n v="35"/>
    <n v="35"/>
    <x v="1"/>
    <n v="0"/>
    <s v="Travel_Rarely"/>
    <n v="0"/>
    <n v="1"/>
    <x v="1"/>
    <n v="1"/>
    <n v="0"/>
    <n v="22"/>
    <n v="22"/>
    <n v="3"/>
    <s v="Life Sciences"/>
    <n v="1"/>
    <n v="0"/>
    <n v="0"/>
    <n v="0"/>
    <n v="0"/>
    <x v="0"/>
    <s v="Female"/>
    <n v="1"/>
    <n v="71"/>
    <n v="4"/>
    <n v="3"/>
    <s v="Manager"/>
    <n v="0"/>
    <n v="0"/>
    <n v="0"/>
    <n v="1"/>
    <n v="0"/>
    <n v="0"/>
    <n v="0"/>
    <n v="0"/>
    <n v="2"/>
    <x v="2"/>
    <n v="0"/>
    <n v="0"/>
    <n v="11996"/>
    <n v="11996"/>
    <n v="7"/>
    <x v="1"/>
    <n v="0"/>
    <n v="18"/>
    <n v="3"/>
    <n v="2"/>
    <n v="1"/>
    <n v="10"/>
    <n v="10"/>
    <n v="6"/>
    <n v="2"/>
    <n v="7"/>
    <n v="7"/>
    <n v="7"/>
    <n v="6"/>
    <n v="6"/>
    <n v="2"/>
    <n v="2"/>
    <n v="6"/>
  </r>
  <r>
    <n v="38"/>
    <n v="38"/>
    <x v="1"/>
    <n v="0"/>
    <s v="Travel_Rarely"/>
    <n v="0"/>
    <n v="1"/>
    <x v="0"/>
    <n v="0"/>
    <n v="1"/>
    <n v="7"/>
    <n v="7"/>
    <n v="2"/>
    <s v="Medical"/>
    <n v="0"/>
    <n v="0"/>
    <n v="1"/>
    <n v="0"/>
    <n v="0"/>
    <x v="3"/>
    <s v="Female"/>
    <n v="1"/>
    <n v="44"/>
    <n v="4"/>
    <n v="2"/>
    <s v="Sales Executive"/>
    <n v="0"/>
    <n v="1"/>
    <n v="0"/>
    <n v="0"/>
    <n v="0"/>
    <n v="0"/>
    <n v="0"/>
    <n v="0"/>
    <n v="1"/>
    <x v="2"/>
    <n v="0"/>
    <n v="0"/>
    <n v="5605"/>
    <n v="5605"/>
    <n v="1"/>
    <x v="0"/>
    <n v="1"/>
    <n v="24"/>
    <n v="4"/>
    <n v="3"/>
    <n v="1"/>
    <n v="8"/>
    <n v="8"/>
    <n v="3"/>
    <n v="3"/>
    <n v="8"/>
    <n v="8"/>
    <n v="0"/>
    <n v="7"/>
    <n v="7"/>
    <n v="7"/>
    <n v="7"/>
    <n v="14"/>
  </r>
  <r>
    <n v="26"/>
    <n v="26"/>
    <x v="1"/>
    <n v="0"/>
    <s v="Travel_Frequently"/>
    <n v="1"/>
    <n v="0"/>
    <x v="1"/>
    <n v="1"/>
    <n v="0"/>
    <n v="1"/>
    <n v="1"/>
    <n v="3"/>
    <s v="Life Sciences"/>
    <n v="1"/>
    <n v="0"/>
    <n v="0"/>
    <n v="0"/>
    <n v="0"/>
    <x v="1"/>
    <s v="Female"/>
    <n v="1"/>
    <n v="84"/>
    <n v="3"/>
    <n v="2"/>
    <s v="Manufacturing Director"/>
    <n v="0"/>
    <n v="0"/>
    <n v="0"/>
    <n v="0"/>
    <n v="1"/>
    <n v="1"/>
    <n v="0"/>
    <n v="0"/>
    <n v="2"/>
    <x v="2"/>
    <n v="0"/>
    <n v="0"/>
    <n v="6397"/>
    <n v="6397"/>
    <n v="1"/>
    <x v="1"/>
    <n v="0"/>
    <n v="20"/>
    <n v="4"/>
    <n v="1"/>
    <n v="1"/>
    <n v="6"/>
    <n v="6"/>
    <n v="6"/>
    <n v="1"/>
    <n v="6"/>
    <n v="6"/>
    <n v="5"/>
    <n v="1"/>
    <n v="1"/>
    <n v="4"/>
    <n v="4"/>
    <n v="8"/>
  </r>
  <r>
    <n v="50"/>
    <n v="50"/>
    <x v="1"/>
    <n v="0"/>
    <s v="Travel_Rarely"/>
    <n v="0"/>
    <n v="1"/>
    <x v="1"/>
    <n v="1"/>
    <n v="0"/>
    <n v="4"/>
    <n v="4"/>
    <n v="1"/>
    <s v="Life Sciences"/>
    <n v="1"/>
    <n v="0"/>
    <n v="0"/>
    <n v="0"/>
    <n v="0"/>
    <x v="3"/>
    <s v="Male"/>
    <n v="0"/>
    <n v="96"/>
    <n v="3"/>
    <n v="5"/>
    <s v="Research Director"/>
    <n v="0"/>
    <n v="0"/>
    <n v="0"/>
    <n v="0"/>
    <n v="0"/>
    <n v="0"/>
    <n v="0"/>
    <n v="0"/>
    <n v="2"/>
    <x v="2"/>
    <n v="0"/>
    <n v="0"/>
    <n v="19144"/>
    <n v="19144"/>
    <n v="3"/>
    <x v="1"/>
    <n v="0"/>
    <n v="14"/>
    <n v="3"/>
    <n v="1"/>
    <n v="2"/>
    <n v="28"/>
    <n v="28"/>
    <n v="4"/>
    <n v="2"/>
    <n v="10"/>
    <n v="10"/>
    <n v="4"/>
    <n v="1"/>
    <n v="1"/>
    <n v="6"/>
    <n v="6"/>
    <n v="30"/>
  </r>
  <r>
    <n v="53"/>
    <n v="53"/>
    <x v="1"/>
    <n v="0"/>
    <s v="Travel_Rarely"/>
    <n v="0"/>
    <n v="1"/>
    <x v="1"/>
    <n v="1"/>
    <n v="0"/>
    <n v="3"/>
    <n v="3"/>
    <n v="4"/>
    <s v="Medical"/>
    <n v="0"/>
    <n v="0"/>
    <n v="1"/>
    <n v="0"/>
    <n v="0"/>
    <x v="1"/>
    <s v="Male"/>
    <n v="0"/>
    <n v="45"/>
    <n v="3"/>
    <n v="4"/>
    <s v="Research Director"/>
    <n v="0"/>
    <n v="0"/>
    <n v="0"/>
    <n v="0"/>
    <n v="0"/>
    <n v="0"/>
    <n v="0"/>
    <n v="0"/>
    <n v="3"/>
    <x v="1"/>
    <n v="0"/>
    <n v="1"/>
    <n v="17584"/>
    <n v="17584"/>
    <n v="3"/>
    <x v="0"/>
    <n v="1"/>
    <n v="16"/>
    <n v="3"/>
    <n v="4"/>
    <n v="3"/>
    <n v="21"/>
    <n v="21"/>
    <n v="5"/>
    <n v="2"/>
    <n v="5"/>
    <n v="5"/>
    <n v="3"/>
    <n v="1"/>
    <n v="1"/>
    <n v="3"/>
    <n v="3"/>
    <n v="12"/>
  </r>
  <r>
    <n v="42"/>
    <n v="42"/>
    <x v="1"/>
    <n v="0"/>
    <s v="Travel_Rarely"/>
    <n v="0"/>
    <n v="1"/>
    <x v="0"/>
    <n v="0"/>
    <n v="1"/>
    <n v="1"/>
    <n v="1"/>
    <n v="1"/>
    <s v="Life Sciences"/>
    <n v="1"/>
    <n v="0"/>
    <n v="0"/>
    <n v="0"/>
    <n v="0"/>
    <x v="0"/>
    <s v="Male"/>
    <n v="0"/>
    <n v="99"/>
    <n v="3"/>
    <n v="2"/>
    <s v="Sales Executive"/>
    <n v="0"/>
    <n v="1"/>
    <n v="0"/>
    <n v="0"/>
    <n v="0"/>
    <n v="0"/>
    <n v="0"/>
    <n v="0"/>
    <n v="3"/>
    <x v="1"/>
    <n v="0"/>
    <n v="1"/>
    <n v="4907"/>
    <n v="4907"/>
    <n v="1"/>
    <x v="1"/>
    <n v="0"/>
    <n v="25"/>
    <n v="4"/>
    <n v="3"/>
    <n v="0"/>
    <n v="20"/>
    <n v="20"/>
    <n v="3"/>
    <n v="3"/>
    <n v="20"/>
    <n v="20"/>
    <n v="16"/>
    <n v="11"/>
    <n v="11"/>
    <n v="6"/>
    <n v="6"/>
    <n v="12"/>
  </r>
  <r>
    <n v="29"/>
    <n v="29"/>
    <x v="1"/>
    <n v="0"/>
    <s v="Travel_Frequently"/>
    <n v="1"/>
    <n v="0"/>
    <x v="0"/>
    <n v="0"/>
    <n v="1"/>
    <n v="2"/>
    <n v="2"/>
    <n v="2"/>
    <s v="Life Sciences"/>
    <n v="1"/>
    <n v="0"/>
    <n v="0"/>
    <n v="0"/>
    <n v="0"/>
    <x v="0"/>
    <s v="Male"/>
    <n v="0"/>
    <n v="44"/>
    <n v="3"/>
    <n v="2"/>
    <s v="Sales Executive"/>
    <n v="0"/>
    <n v="1"/>
    <n v="0"/>
    <n v="0"/>
    <n v="0"/>
    <n v="0"/>
    <n v="0"/>
    <n v="0"/>
    <n v="4"/>
    <x v="0"/>
    <n v="1"/>
    <n v="0"/>
    <n v="4554"/>
    <n v="4554"/>
    <n v="1"/>
    <x v="1"/>
    <n v="0"/>
    <n v="18"/>
    <n v="3"/>
    <n v="1"/>
    <n v="0"/>
    <n v="10"/>
    <n v="10"/>
    <n v="3"/>
    <n v="2"/>
    <n v="10"/>
    <n v="10"/>
    <n v="7"/>
    <n v="0"/>
    <n v="0"/>
    <n v="9"/>
    <n v="9"/>
    <n v="18"/>
  </r>
  <r>
    <n v="55"/>
    <n v="55"/>
    <x v="1"/>
    <n v="0"/>
    <s v="Travel_Rarely"/>
    <n v="0"/>
    <n v="1"/>
    <x v="1"/>
    <n v="1"/>
    <n v="0"/>
    <n v="20"/>
    <n v="20"/>
    <n v="2"/>
    <s v="Technical Degree"/>
    <n v="0"/>
    <n v="0"/>
    <n v="0"/>
    <n v="0"/>
    <n v="1"/>
    <x v="0"/>
    <s v="Male"/>
    <n v="0"/>
    <n v="37"/>
    <n v="3"/>
    <n v="2"/>
    <s v="Laboratory Technician"/>
    <n v="0"/>
    <n v="0"/>
    <n v="1"/>
    <n v="0"/>
    <n v="0"/>
    <n v="0"/>
    <n v="0"/>
    <n v="0"/>
    <n v="4"/>
    <x v="1"/>
    <n v="0"/>
    <n v="1"/>
    <n v="5415"/>
    <n v="5415"/>
    <n v="3"/>
    <x v="0"/>
    <n v="1"/>
    <n v="19"/>
    <n v="3"/>
    <n v="4"/>
    <n v="1"/>
    <n v="12"/>
    <n v="12"/>
    <n v="4"/>
    <n v="3"/>
    <n v="10"/>
    <n v="10"/>
    <n v="7"/>
    <n v="0"/>
    <n v="0"/>
    <n v="8"/>
    <n v="8"/>
    <n v="16"/>
  </r>
  <r>
    <n v="26"/>
    <n v="26"/>
    <x v="1"/>
    <n v="0"/>
    <s v="Travel_Frequently"/>
    <n v="1"/>
    <n v="0"/>
    <x v="1"/>
    <n v="1"/>
    <n v="0"/>
    <n v="11"/>
    <n v="11"/>
    <n v="2"/>
    <s v="Medical"/>
    <n v="0"/>
    <n v="0"/>
    <n v="1"/>
    <n v="0"/>
    <n v="0"/>
    <x v="3"/>
    <s v="Male"/>
    <n v="0"/>
    <n v="60"/>
    <n v="3"/>
    <n v="2"/>
    <s v="Healthcare Representative"/>
    <n v="1"/>
    <n v="0"/>
    <n v="0"/>
    <n v="0"/>
    <n v="0"/>
    <n v="0"/>
    <n v="0"/>
    <n v="0"/>
    <n v="1"/>
    <x v="1"/>
    <n v="0"/>
    <n v="1"/>
    <n v="4741"/>
    <n v="4741"/>
    <n v="1"/>
    <x v="0"/>
    <n v="1"/>
    <n v="13"/>
    <n v="3"/>
    <n v="3"/>
    <n v="1"/>
    <n v="5"/>
    <n v="5"/>
    <n v="3"/>
    <n v="3"/>
    <n v="5"/>
    <n v="5"/>
    <n v="3"/>
    <n v="3"/>
    <n v="3"/>
    <n v="3"/>
    <n v="3"/>
    <n v="6"/>
  </r>
  <r>
    <n v="37"/>
    <n v="37"/>
    <x v="1"/>
    <n v="0"/>
    <s v="Travel_Rarely"/>
    <n v="0"/>
    <n v="1"/>
    <x v="1"/>
    <n v="1"/>
    <n v="0"/>
    <n v="1"/>
    <n v="1"/>
    <n v="3"/>
    <s v="Life Sciences"/>
    <n v="1"/>
    <n v="0"/>
    <n v="0"/>
    <n v="0"/>
    <n v="0"/>
    <x v="2"/>
    <s v="Female"/>
    <n v="1"/>
    <n v="42"/>
    <n v="3"/>
    <n v="1"/>
    <s v="Research Scientist"/>
    <n v="0"/>
    <n v="0"/>
    <n v="0"/>
    <n v="0"/>
    <n v="0"/>
    <n v="0"/>
    <n v="0"/>
    <n v="1"/>
    <n v="4"/>
    <x v="0"/>
    <n v="1"/>
    <n v="0"/>
    <n v="2115"/>
    <n v="2115"/>
    <n v="1"/>
    <x v="1"/>
    <n v="0"/>
    <n v="12"/>
    <n v="3"/>
    <n v="2"/>
    <n v="0"/>
    <n v="17"/>
    <n v="17"/>
    <n v="3"/>
    <n v="3"/>
    <n v="17"/>
    <n v="17"/>
    <n v="12"/>
    <n v="5"/>
    <n v="5"/>
    <n v="7"/>
    <n v="7"/>
    <n v="7"/>
  </r>
  <r>
    <n v="44"/>
    <n v="44"/>
    <x v="0"/>
    <n v="1"/>
    <s v="Travel_Frequently"/>
    <n v="1"/>
    <n v="0"/>
    <x v="1"/>
    <n v="1"/>
    <n v="0"/>
    <n v="24"/>
    <n v="24"/>
    <n v="3"/>
    <s v="Life Sciences"/>
    <n v="1"/>
    <n v="0"/>
    <n v="0"/>
    <n v="0"/>
    <n v="0"/>
    <x v="2"/>
    <s v="Male"/>
    <n v="0"/>
    <n v="43"/>
    <n v="3"/>
    <n v="1"/>
    <s v="Laboratory Technician"/>
    <n v="0"/>
    <n v="0"/>
    <n v="1"/>
    <n v="0"/>
    <n v="0"/>
    <n v="0"/>
    <n v="0"/>
    <n v="0"/>
    <n v="3"/>
    <x v="2"/>
    <n v="0"/>
    <n v="0"/>
    <n v="3161"/>
    <n v="3161"/>
    <n v="3"/>
    <x v="0"/>
    <n v="1"/>
    <n v="22"/>
    <n v="4"/>
    <n v="4"/>
    <n v="1"/>
    <n v="19"/>
    <n v="19"/>
    <n v="0"/>
    <n v="1"/>
    <n v="1"/>
    <n v="1"/>
    <n v="0"/>
    <n v="0"/>
    <n v="0"/>
    <n v="0"/>
    <n v="0"/>
    <n v="0"/>
  </r>
  <r>
    <n v="38"/>
    <n v="38"/>
    <x v="1"/>
    <n v="0"/>
    <s v="Travel_Rarely"/>
    <n v="0"/>
    <n v="1"/>
    <x v="1"/>
    <n v="1"/>
    <n v="0"/>
    <n v="23"/>
    <n v="23"/>
    <n v="4"/>
    <s v="Life Sciences"/>
    <n v="1"/>
    <n v="0"/>
    <n v="0"/>
    <n v="0"/>
    <n v="0"/>
    <x v="2"/>
    <s v="Male"/>
    <n v="0"/>
    <n v="82"/>
    <n v="3"/>
    <n v="2"/>
    <s v="Healthcare Representative"/>
    <n v="1"/>
    <n v="0"/>
    <n v="0"/>
    <n v="0"/>
    <n v="0"/>
    <n v="0"/>
    <n v="0"/>
    <n v="0"/>
    <n v="4"/>
    <x v="2"/>
    <n v="0"/>
    <n v="0"/>
    <n v="5745"/>
    <n v="5745"/>
    <n v="9"/>
    <x v="1"/>
    <n v="0"/>
    <n v="14"/>
    <n v="3"/>
    <n v="2"/>
    <n v="1"/>
    <n v="10"/>
    <n v="10"/>
    <n v="2"/>
    <n v="3"/>
    <n v="2"/>
    <n v="2"/>
    <n v="2"/>
    <n v="1"/>
    <n v="1"/>
    <n v="2"/>
    <n v="2"/>
    <n v="4"/>
  </r>
  <r>
    <n v="26"/>
    <n v="26"/>
    <x v="0"/>
    <n v="1"/>
    <s v="Travel_Rarely"/>
    <n v="0"/>
    <n v="1"/>
    <x v="1"/>
    <n v="1"/>
    <n v="0"/>
    <n v="16"/>
    <n v="16"/>
    <n v="4"/>
    <s v="Medical"/>
    <n v="0"/>
    <n v="0"/>
    <n v="1"/>
    <n v="0"/>
    <n v="0"/>
    <x v="3"/>
    <s v="Male"/>
    <n v="0"/>
    <n v="45"/>
    <n v="3"/>
    <n v="1"/>
    <s v="Laboratory Technician"/>
    <n v="0"/>
    <n v="0"/>
    <n v="1"/>
    <n v="0"/>
    <n v="0"/>
    <n v="0"/>
    <n v="0"/>
    <n v="0"/>
    <n v="2"/>
    <x v="2"/>
    <n v="0"/>
    <n v="0"/>
    <n v="2373"/>
    <n v="2373"/>
    <n v="2"/>
    <x v="0"/>
    <n v="1"/>
    <n v="13"/>
    <n v="3"/>
    <n v="4"/>
    <n v="1"/>
    <n v="5"/>
    <n v="5"/>
    <n v="2"/>
    <n v="3"/>
    <n v="3"/>
    <n v="3"/>
    <n v="2"/>
    <n v="0"/>
    <n v="0"/>
    <n v="2"/>
    <n v="2"/>
    <n v="2"/>
  </r>
  <r>
    <n v="28"/>
    <n v="28"/>
    <x v="1"/>
    <n v="0"/>
    <s v="Travel_Rarely"/>
    <n v="0"/>
    <n v="1"/>
    <x v="1"/>
    <n v="1"/>
    <n v="0"/>
    <n v="8"/>
    <n v="8"/>
    <n v="2"/>
    <s v="Life Sciences"/>
    <n v="1"/>
    <n v="0"/>
    <n v="0"/>
    <n v="0"/>
    <n v="0"/>
    <x v="2"/>
    <s v="Female"/>
    <n v="1"/>
    <n v="66"/>
    <n v="3"/>
    <n v="1"/>
    <s v="Research Scientist"/>
    <n v="0"/>
    <n v="0"/>
    <n v="0"/>
    <n v="0"/>
    <n v="0"/>
    <n v="0"/>
    <n v="0"/>
    <n v="1"/>
    <n v="4"/>
    <x v="0"/>
    <n v="1"/>
    <n v="0"/>
    <n v="3310"/>
    <n v="3310"/>
    <n v="1"/>
    <x v="1"/>
    <n v="0"/>
    <n v="21"/>
    <n v="4"/>
    <n v="4"/>
    <n v="0"/>
    <n v="5"/>
    <n v="5"/>
    <n v="3"/>
    <n v="3"/>
    <n v="5"/>
    <n v="5"/>
    <n v="3"/>
    <n v="0"/>
    <n v="0"/>
    <n v="2"/>
    <n v="2"/>
    <n v="2"/>
  </r>
  <r>
    <n v="49"/>
    <n v="49"/>
    <x v="1"/>
    <n v="0"/>
    <s v="Travel_Frequently"/>
    <n v="1"/>
    <n v="0"/>
    <x v="1"/>
    <n v="1"/>
    <n v="0"/>
    <n v="10"/>
    <n v="10"/>
    <n v="4"/>
    <s v="Life Sciences"/>
    <n v="1"/>
    <n v="0"/>
    <n v="0"/>
    <n v="0"/>
    <n v="0"/>
    <x v="1"/>
    <s v="Female"/>
    <n v="1"/>
    <n v="35"/>
    <n v="3"/>
    <n v="5"/>
    <s v="Research Director"/>
    <n v="0"/>
    <n v="0"/>
    <n v="0"/>
    <n v="0"/>
    <n v="0"/>
    <n v="0"/>
    <n v="0"/>
    <n v="0"/>
    <n v="1"/>
    <x v="0"/>
    <n v="1"/>
    <n v="0"/>
    <n v="18665"/>
    <n v="18665"/>
    <n v="9"/>
    <x v="0"/>
    <n v="1"/>
    <n v="11"/>
    <n v="3"/>
    <n v="4"/>
    <n v="0"/>
    <n v="22"/>
    <n v="22"/>
    <n v="4"/>
    <n v="3"/>
    <n v="3"/>
    <n v="3"/>
    <n v="2"/>
    <n v="1"/>
    <n v="1"/>
    <n v="2"/>
    <n v="2"/>
    <n v="10"/>
  </r>
  <r>
    <n v="36"/>
    <n v="36"/>
    <x v="1"/>
    <n v="0"/>
    <s v="Travel_Rarely"/>
    <n v="0"/>
    <n v="1"/>
    <x v="1"/>
    <n v="1"/>
    <n v="0"/>
    <n v="3"/>
    <n v="3"/>
    <n v="3"/>
    <s v="Technical Degree"/>
    <n v="0"/>
    <n v="0"/>
    <n v="0"/>
    <n v="0"/>
    <n v="1"/>
    <x v="1"/>
    <s v="Male"/>
    <n v="0"/>
    <n v="30"/>
    <n v="3"/>
    <n v="2"/>
    <s v="Research Scientist"/>
    <n v="0"/>
    <n v="0"/>
    <n v="0"/>
    <n v="0"/>
    <n v="0"/>
    <n v="0"/>
    <n v="0"/>
    <n v="1"/>
    <n v="2"/>
    <x v="0"/>
    <n v="1"/>
    <n v="0"/>
    <n v="4485"/>
    <n v="4485"/>
    <n v="4"/>
    <x v="1"/>
    <n v="0"/>
    <n v="12"/>
    <n v="3"/>
    <n v="4"/>
    <n v="0"/>
    <n v="10"/>
    <n v="10"/>
    <n v="2"/>
    <n v="3"/>
    <n v="8"/>
    <n v="8"/>
    <n v="0"/>
    <n v="7"/>
    <n v="7"/>
    <n v="7"/>
    <n v="7"/>
    <n v="14"/>
  </r>
  <r>
    <n v="31"/>
    <n v="31"/>
    <x v="1"/>
    <n v="0"/>
    <s v="Travel_Frequently"/>
    <n v="1"/>
    <n v="0"/>
    <x v="0"/>
    <n v="0"/>
    <n v="1"/>
    <n v="5"/>
    <n v="5"/>
    <n v="3"/>
    <s v="Marketing"/>
    <n v="0"/>
    <n v="0"/>
    <n v="0"/>
    <n v="1"/>
    <n v="0"/>
    <x v="2"/>
    <s v="Female"/>
    <n v="1"/>
    <n v="84"/>
    <n v="3"/>
    <n v="1"/>
    <s v="Sales Representative"/>
    <n v="0"/>
    <n v="0"/>
    <n v="0"/>
    <n v="0"/>
    <n v="0"/>
    <n v="0"/>
    <n v="1"/>
    <n v="0"/>
    <n v="2"/>
    <x v="2"/>
    <n v="0"/>
    <n v="0"/>
    <n v="2789"/>
    <n v="2789"/>
    <n v="1"/>
    <x v="1"/>
    <n v="0"/>
    <n v="11"/>
    <n v="3"/>
    <n v="3"/>
    <n v="1"/>
    <n v="2"/>
    <n v="2"/>
    <n v="5"/>
    <n v="2"/>
    <n v="2"/>
    <n v="2"/>
    <n v="2"/>
    <n v="2"/>
    <n v="2"/>
    <n v="2"/>
    <n v="2"/>
    <n v="2"/>
  </r>
  <r>
    <n v="26"/>
    <n v="26"/>
    <x v="0"/>
    <n v="1"/>
    <s v="Travel_Rarely"/>
    <n v="0"/>
    <n v="1"/>
    <x v="0"/>
    <n v="0"/>
    <n v="1"/>
    <n v="4"/>
    <n v="4"/>
    <n v="4"/>
    <s v="Marketing"/>
    <n v="0"/>
    <n v="0"/>
    <n v="0"/>
    <n v="1"/>
    <n v="0"/>
    <x v="2"/>
    <s v="Male"/>
    <n v="0"/>
    <n v="48"/>
    <n v="2"/>
    <n v="2"/>
    <s v="Sales Executive"/>
    <n v="0"/>
    <n v="1"/>
    <n v="0"/>
    <n v="0"/>
    <n v="0"/>
    <n v="0"/>
    <n v="0"/>
    <n v="0"/>
    <n v="4"/>
    <x v="0"/>
    <n v="1"/>
    <n v="0"/>
    <n v="5828"/>
    <n v="5828"/>
    <n v="1"/>
    <x v="0"/>
    <n v="1"/>
    <n v="12"/>
    <n v="3"/>
    <n v="2"/>
    <n v="0"/>
    <n v="8"/>
    <n v="8"/>
    <n v="0"/>
    <n v="3"/>
    <n v="8"/>
    <n v="8"/>
    <n v="7"/>
    <n v="7"/>
    <n v="7"/>
    <n v="4"/>
    <n v="4"/>
    <n v="8"/>
  </r>
  <r>
    <n v="37"/>
    <n v="37"/>
    <x v="1"/>
    <n v="0"/>
    <s v="Travel_Frequently"/>
    <n v="1"/>
    <n v="0"/>
    <x v="1"/>
    <n v="1"/>
    <n v="0"/>
    <n v="9"/>
    <n v="9"/>
    <n v="3"/>
    <s v="Medical"/>
    <n v="0"/>
    <n v="0"/>
    <n v="1"/>
    <n v="0"/>
    <n v="0"/>
    <x v="0"/>
    <s v="Male"/>
    <n v="0"/>
    <n v="53"/>
    <n v="3"/>
    <n v="1"/>
    <s v="Research Scientist"/>
    <n v="0"/>
    <n v="0"/>
    <n v="0"/>
    <n v="0"/>
    <n v="0"/>
    <n v="0"/>
    <n v="0"/>
    <n v="1"/>
    <n v="4"/>
    <x v="1"/>
    <n v="0"/>
    <n v="1"/>
    <n v="2326"/>
    <n v="2326"/>
    <n v="1"/>
    <x v="0"/>
    <n v="1"/>
    <n v="12"/>
    <n v="3"/>
    <n v="3"/>
    <n v="3"/>
    <n v="4"/>
    <n v="4"/>
    <n v="3"/>
    <n v="2"/>
    <n v="4"/>
    <n v="4"/>
    <n v="2"/>
    <n v="1"/>
    <n v="1"/>
    <n v="2"/>
    <n v="2"/>
    <n v="2"/>
  </r>
  <r>
    <n v="42"/>
    <n v="42"/>
    <x v="1"/>
    <n v="0"/>
    <s v="Travel_Frequently"/>
    <n v="1"/>
    <n v="0"/>
    <x v="0"/>
    <n v="0"/>
    <n v="1"/>
    <n v="26"/>
    <n v="26"/>
    <n v="3"/>
    <s v="Marketing"/>
    <n v="0"/>
    <n v="0"/>
    <n v="0"/>
    <n v="1"/>
    <n v="0"/>
    <x v="1"/>
    <s v="Female"/>
    <n v="1"/>
    <n v="77"/>
    <n v="3"/>
    <n v="4"/>
    <s v="Sales Executive"/>
    <n v="0"/>
    <n v="1"/>
    <n v="0"/>
    <n v="0"/>
    <n v="0"/>
    <n v="0"/>
    <n v="0"/>
    <n v="0"/>
    <n v="2"/>
    <x v="1"/>
    <n v="0"/>
    <n v="1"/>
    <n v="13525"/>
    <n v="13525"/>
    <n v="5"/>
    <x v="1"/>
    <n v="0"/>
    <n v="14"/>
    <n v="3"/>
    <n v="4"/>
    <n v="1"/>
    <n v="23"/>
    <n v="23"/>
    <n v="2"/>
    <n v="4"/>
    <n v="20"/>
    <n v="20"/>
    <n v="4"/>
    <n v="4"/>
    <n v="4"/>
    <n v="8"/>
    <n v="8"/>
    <n v="32"/>
  </r>
  <r>
    <n v="18"/>
    <n v="19"/>
    <x v="0"/>
    <n v="1"/>
    <s v="Travel_Rarely"/>
    <n v="0"/>
    <n v="1"/>
    <x v="1"/>
    <n v="1"/>
    <n v="0"/>
    <n v="3"/>
    <n v="3"/>
    <n v="3"/>
    <s v="Life Sciences"/>
    <n v="1"/>
    <n v="0"/>
    <n v="0"/>
    <n v="0"/>
    <n v="0"/>
    <x v="1"/>
    <s v="Male"/>
    <n v="0"/>
    <n v="54"/>
    <n v="3"/>
    <n v="1"/>
    <s v="Laboratory Technician"/>
    <n v="0"/>
    <n v="0"/>
    <n v="1"/>
    <n v="0"/>
    <n v="0"/>
    <n v="0"/>
    <n v="0"/>
    <n v="0"/>
    <n v="3"/>
    <x v="0"/>
    <n v="1"/>
    <n v="0"/>
    <n v="1420"/>
    <n v="1420"/>
    <n v="1"/>
    <x v="1"/>
    <n v="0"/>
    <n v="13"/>
    <n v="3"/>
    <n v="3"/>
    <n v="0"/>
    <n v="0"/>
    <n v="1"/>
    <n v="2"/>
    <n v="3"/>
    <n v="0"/>
    <n v="0"/>
    <n v="0"/>
    <n v="0"/>
    <n v="0"/>
    <n v="0"/>
    <n v="0"/>
    <n v="0"/>
  </r>
  <r>
    <n v="35"/>
    <n v="35"/>
    <x v="1"/>
    <n v="0"/>
    <s v="Travel_Rarely"/>
    <n v="0"/>
    <n v="1"/>
    <x v="0"/>
    <n v="0"/>
    <n v="1"/>
    <n v="16"/>
    <n v="16"/>
    <n v="3"/>
    <s v="Marketing"/>
    <n v="0"/>
    <n v="0"/>
    <n v="0"/>
    <n v="1"/>
    <n v="0"/>
    <x v="1"/>
    <s v="Male"/>
    <n v="0"/>
    <n v="96"/>
    <n v="3"/>
    <n v="3"/>
    <s v="Sales Executive"/>
    <n v="0"/>
    <n v="1"/>
    <n v="0"/>
    <n v="0"/>
    <n v="0"/>
    <n v="0"/>
    <n v="0"/>
    <n v="0"/>
    <n v="2"/>
    <x v="1"/>
    <n v="0"/>
    <n v="1"/>
    <n v="8020"/>
    <n v="8020"/>
    <n v="0"/>
    <x v="1"/>
    <n v="0"/>
    <n v="15"/>
    <n v="3"/>
    <n v="3"/>
    <n v="2"/>
    <n v="12"/>
    <n v="12"/>
    <n v="3"/>
    <n v="2"/>
    <n v="11"/>
    <n v="11"/>
    <n v="9"/>
    <n v="6"/>
    <n v="6"/>
    <n v="9"/>
    <n v="9"/>
    <n v="27"/>
  </r>
  <r>
    <n v="36"/>
    <n v="36"/>
    <x v="1"/>
    <n v="0"/>
    <s v="Travel_Frequently"/>
    <n v="1"/>
    <n v="0"/>
    <x v="1"/>
    <n v="1"/>
    <n v="0"/>
    <n v="18"/>
    <n v="18"/>
    <n v="4"/>
    <s v="Life Sciences"/>
    <n v="1"/>
    <n v="0"/>
    <n v="0"/>
    <n v="0"/>
    <n v="0"/>
    <x v="1"/>
    <s v="Male"/>
    <n v="0"/>
    <n v="81"/>
    <n v="4"/>
    <n v="1"/>
    <s v="Laboratory Technician"/>
    <n v="0"/>
    <n v="0"/>
    <n v="1"/>
    <n v="0"/>
    <n v="0"/>
    <n v="0"/>
    <n v="0"/>
    <n v="0"/>
    <n v="4"/>
    <x v="1"/>
    <n v="0"/>
    <n v="1"/>
    <n v="3688"/>
    <n v="3688"/>
    <n v="4"/>
    <x v="1"/>
    <n v="0"/>
    <n v="18"/>
    <n v="3"/>
    <n v="4"/>
    <n v="2"/>
    <n v="4"/>
    <n v="4"/>
    <n v="2"/>
    <n v="3"/>
    <n v="1"/>
    <n v="1"/>
    <n v="0"/>
    <n v="0"/>
    <n v="0"/>
    <n v="0"/>
    <n v="0"/>
    <n v="0"/>
  </r>
  <r>
    <n v="51"/>
    <n v="51"/>
    <x v="1"/>
    <n v="0"/>
    <s v="Travel_Rarely"/>
    <n v="0"/>
    <n v="1"/>
    <x v="1"/>
    <n v="1"/>
    <n v="0"/>
    <n v="2"/>
    <n v="2"/>
    <n v="3"/>
    <s v="Medical"/>
    <n v="0"/>
    <n v="0"/>
    <n v="1"/>
    <n v="0"/>
    <n v="0"/>
    <x v="2"/>
    <s v="Male"/>
    <n v="0"/>
    <n v="84"/>
    <n v="1"/>
    <n v="2"/>
    <s v="Manufacturing Director"/>
    <n v="0"/>
    <n v="0"/>
    <n v="0"/>
    <n v="0"/>
    <n v="1"/>
    <n v="1"/>
    <n v="0"/>
    <n v="0"/>
    <n v="2"/>
    <x v="2"/>
    <n v="0"/>
    <n v="0"/>
    <n v="5482"/>
    <n v="5482"/>
    <n v="5"/>
    <x v="1"/>
    <n v="0"/>
    <n v="18"/>
    <n v="3"/>
    <n v="4"/>
    <n v="1"/>
    <n v="13"/>
    <n v="13"/>
    <n v="3"/>
    <n v="3"/>
    <n v="4"/>
    <n v="4"/>
    <n v="1"/>
    <n v="1"/>
    <n v="1"/>
    <n v="2"/>
    <n v="2"/>
    <n v="4"/>
  </r>
  <r>
    <n v="41"/>
    <n v="41"/>
    <x v="1"/>
    <n v="0"/>
    <s v="Travel_Rarely"/>
    <n v="0"/>
    <n v="1"/>
    <x v="0"/>
    <n v="0"/>
    <n v="1"/>
    <n v="2"/>
    <n v="2"/>
    <n v="4"/>
    <s v="Life Sciences"/>
    <n v="1"/>
    <n v="0"/>
    <n v="0"/>
    <n v="0"/>
    <n v="0"/>
    <x v="2"/>
    <s v="Male"/>
    <n v="0"/>
    <n v="88"/>
    <n v="3"/>
    <n v="4"/>
    <s v="Manager"/>
    <n v="0"/>
    <n v="0"/>
    <n v="0"/>
    <n v="1"/>
    <n v="0"/>
    <n v="0"/>
    <n v="0"/>
    <n v="0"/>
    <n v="2"/>
    <x v="0"/>
    <n v="1"/>
    <n v="0"/>
    <n v="16015"/>
    <n v="16015"/>
    <n v="1"/>
    <x v="1"/>
    <n v="0"/>
    <n v="19"/>
    <n v="3"/>
    <n v="2"/>
    <n v="0"/>
    <n v="22"/>
    <n v="22"/>
    <n v="2"/>
    <n v="3"/>
    <n v="22"/>
    <n v="22"/>
    <n v="10"/>
    <n v="0"/>
    <n v="0"/>
    <n v="4"/>
    <n v="4"/>
    <n v="16"/>
  </r>
  <r>
    <n v="18"/>
    <n v="19"/>
    <x v="1"/>
    <n v="0"/>
    <s v="Travel_Rarely"/>
    <n v="0"/>
    <n v="1"/>
    <x v="0"/>
    <n v="0"/>
    <n v="1"/>
    <n v="10"/>
    <n v="10"/>
    <n v="3"/>
    <s v="Medical"/>
    <n v="0"/>
    <n v="0"/>
    <n v="1"/>
    <n v="0"/>
    <n v="0"/>
    <x v="2"/>
    <s v="Female"/>
    <n v="1"/>
    <n v="69"/>
    <n v="2"/>
    <n v="1"/>
    <s v="Sales Representative"/>
    <n v="0"/>
    <n v="0"/>
    <n v="0"/>
    <n v="0"/>
    <n v="0"/>
    <n v="0"/>
    <n v="1"/>
    <n v="0"/>
    <n v="3"/>
    <x v="0"/>
    <n v="1"/>
    <n v="0"/>
    <n v="1200"/>
    <n v="1382.46"/>
    <n v="1"/>
    <x v="1"/>
    <n v="0"/>
    <n v="12"/>
    <n v="3"/>
    <n v="1"/>
    <n v="0"/>
    <n v="0"/>
    <n v="1"/>
    <n v="2"/>
    <n v="3"/>
    <n v="0"/>
    <n v="0"/>
    <n v="0"/>
    <n v="0"/>
    <n v="0"/>
    <n v="0"/>
    <n v="0"/>
    <n v="0"/>
  </r>
  <r>
    <n v="28"/>
    <n v="28"/>
    <x v="1"/>
    <n v="0"/>
    <s v="Travel_Rarely"/>
    <n v="0"/>
    <n v="1"/>
    <x v="1"/>
    <n v="1"/>
    <n v="0"/>
    <n v="16"/>
    <n v="16"/>
    <n v="2"/>
    <s v="Medical"/>
    <n v="0"/>
    <n v="0"/>
    <n v="1"/>
    <n v="0"/>
    <n v="0"/>
    <x v="0"/>
    <s v="Male"/>
    <n v="0"/>
    <n v="68"/>
    <n v="4"/>
    <n v="2"/>
    <s v="Healthcare Representative"/>
    <n v="1"/>
    <n v="0"/>
    <n v="0"/>
    <n v="0"/>
    <n v="0"/>
    <n v="0"/>
    <n v="0"/>
    <n v="0"/>
    <n v="1"/>
    <x v="0"/>
    <n v="1"/>
    <n v="0"/>
    <n v="5661"/>
    <n v="5661"/>
    <n v="0"/>
    <x v="1"/>
    <n v="0"/>
    <n v="19"/>
    <n v="3"/>
    <n v="3"/>
    <n v="0"/>
    <n v="9"/>
    <n v="9"/>
    <n v="2"/>
    <n v="3"/>
    <n v="8"/>
    <n v="8"/>
    <n v="3"/>
    <n v="0"/>
    <n v="0"/>
    <n v="7"/>
    <n v="7"/>
    <n v="14"/>
  </r>
  <r>
    <n v="31"/>
    <n v="31"/>
    <x v="1"/>
    <n v="0"/>
    <s v="Travel_Rarely"/>
    <n v="0"/>
    <n v="1"/>
    <x v="0"/>
    <n v="0"/>
    <n v="1"/>
    <n v="7"/>
    <n v="7"/>
    <n v="3"/>
    <s v="Technical Degree"/>
    <n v="0"/>
    <n v="0"/>
    <n v="0"/>
    <n v="0"/>
    <n v="1"/>
    <x v="0"/>
    <s v="Male"/>
    <n v="0"/>
    <n v="100"/>
    <n v="4"/>
    <n v="2"/>
    <s v="Sales Executive"/>
    <n v="0"/>
    <n v="1"/>
    <n v="0"/>
    <n v="0"/>
    <n v="0"/>
    <n v="0"/>
    <n v="0"/>
    <n v="0"/>
    <n v="4"/>
    <x v="1"/>
    <n v="0"/>
    <n v="1"/>
    <n v="6929"/>
    <n v="6929"/>
    <n v="4"/>
    <x v="1"/>
    <n v="0"/>
    <n v="11"/>
    <n v="3"/>
    <n v="2"/>
    <n v="1"/>
    <n v="10"/>
    <n v="10"/>
    <n v="3"/>
    <n v="2"/>
    <n v="8"/>
    <n v="8"/>
    <n v="7"/>
    <n v="7"/>
    <n v="7"/>
    <n v="7"/>
    <n v="7"/>
    <n v="14"/>
  </r>
  <r>
    <n v="39"/>
    <n v="39"/>
    <x v="1"/>
    <n v="0"/>
    <s v="Travel_Rarely"/>
    <n v="0"/>
    <n v="1"/>
    <x v="1"/>
    <n v="1"/>
    <n v="0"/>
    <n v="1"/>
    <n v="1"/>
    <n v="3"/>
    <s v="Medical"/>
    <n v="0"/>
    <n v="0"/>
    <n v="1"/>
    <n v="0"/>
    <n v="0"/>
    <x v="1"/>
    <s v="Male"/>
    <n v="0"/>
    <n v="48"/>
    <n v="4"/>
    <n v="3"/>
    <s v="Healthcare Representative"/>
    <n v="1"/>
    <n v="0"/>
    <n v="0"/>
    <n v="0"/>
    <n v="0"/>
    <n v="0"/>
    <n v="0"/>
    <n v="0"/>
    <n v="4"/>
    <x v="2"/>
    <n v="0"/>
    <n v="0"/>
    <n v="9613"/>
    <n v="9613"/>
    <n v="0"/>
    <x v="1"/>
    <n v="0"/>
    <n v="17"/>
    <n v="3"/>
    <n v="1"/>
    <n v="3"/>
    <n v="19"/>
    <n v="19"/>
    <n v="5"/>
    <n v="2"/>
    <n v="18"/>
    <n v="18"/>
    <n v="10"/>
    <n v="3"/>
    <n v="3"/>
    <n v="7"/>
    <n v="7"/>
    <n v="21"/>
  </r>
  <r>
    <n v="36"/>
    <n v="36"/>
    <x v="1"/>
    <n v="0"/>
    <s v="Non-Travel"/>
    <n v="0"/>
    <n v="0"/>
    <x v="1"/>
    <n v="1"/>
    <n v="0"/>
    <n v="24"/>
    <n v="24"/>
    <n v="4"/>
    <s v="Life Sciences"/>
    <n v="1"/>
    <n v="0"/>
    <n v="0"/>
    <n v="0"/>
    <n v="0"/>
    <x v="0"/>
    <s v="Female"/>
    <n v="1"/>
    <n v="47"/>
    <n v="3"/>
    <n v="2"/>
    <s v="Laboratory Technician"/>
    <n v="0"/>
    <n v="0"/>
    <n v="1"/>
    <n v="0"/>
    <n v="0"/>
    <n v="0"/>
    <n v="0"/>
    <n v="0"/>
    <n v="2"/>
    <x v="1"/>
    <n v="0"/>
    <n v="1"/>
    <n v="5674"/>
    <n v="5674"/>
    <n v="7"/>
    <x v="1"/>
    <n v="0"/>
    <n v="15"/>
    <n v="3"/>
    <n v="3"/>
    <n v="1"/>
    <n v="11"/>
    <n v="11"/>
    <n v="3"/>
    <n v="3"/>
    <n v="9"/>
    <n v="9"/>
    <n v="8"/>
    <n v="0"/>
    <n v="0"/>
    <n v="8"/>
    <n v="8"/>
    <n v="16"/>
  </r>
  <r>
    <n v="32"/>
    <n v="32"/>
    <x v="1"/>
    <n v="0"/>
    <s v="Travel_Rarely"/>
    <n v="0"/>
    <n v="1"/>
    <x v="0"/>
    <n v="0"/>
    <n v="1"/>
    <n v="7"/>
    <n v="7"/>
    <n v="3"/>
    <s v="Life Sciences"/>
    <n v="1"/>
    <n v="0"/>
    <n v="0"/>
    <n v="0"/>
    <n v="0"/>
    <x v="2"/>
    <s v="Male"/>
    <n v="0"/>
    <n v="91"/>
    <n v="2"/>
    <n v="2"/>
    <s v="Sales Executive"/>
    <n v="0"/>
    <n v="1"/>
    <n v="0"/>
    <n v="0"/>
    <n v="0"/>
    <n v="0"/>
    <n v="0"/>
    <n v="0"/>
    <n v="3"/>
    <x v="1"/>
    <n v="0"/>
    <n v="1"/>
    <n v="5484"/>
    <n v="5484"/>
    <n v="1"/>
    <x v="1"/>
    <n v="0"/>
    <n v="14"/>
    <n v="3"/>
    <n v="3"/>
    <n v="1"/>
    <n v="13"/>
    <n v="13"/>
    <n v="3"/>
    <n v="2"/>
    <n v="13"/>
    <n v="13"/>
    <n v="8"/>
    <n v="4"/>
    <n v="4"/>
    <n v="8"/>
    <n v="8"/>
    <n v="16"/>
  </r>
  <r>
    <n v="38"/>
    <n v="38"/>
    <x v="1"/>
    <n v="0"/>
    <s v="Travel_Rarely"/>
    <n v="0"/>
    <n v="1"/>
    <x v="1"/>
    <n v="1"/>
    <n v="0"/>
    <n v="25"/>
    <n v="25"/>
    <n v="2"/>
    <s v="Life Sciences"/>
    <n v="1"/>
    <n v="0"/>
    <n v="0"/>
    <n v="0"/>
    <n v="0"/>
    <x v="3"/>
    <s v="Female"/>
    <n v="1"/>
    <n v="81"/>
    <n v="2"/>
    <n v="3"/>
    <s v="Research Director"/>
    <n v="0"/>
    <n v="0"/>
    <n v="0"/>
    <n v="0"/>
    <n v="0"/>
    <n v="0"/>
    <n v="0"/>
    <n v="0"/>
    <n v="2"/>
    <x v="1"/>
    <n v="0"/>
    <n v="1"/>
    <n v="12061"/>
    <n v="12061"/>
    <n v="3"/>
    <x v="1"/>
    <n v="0"/>
    <n v="17"/>
    <n v="3"/>
    <n v="3"/>
    <n v="1"/>
    <n v="19"/>
    <n v="19"/>
    <n v="2"/>
    <n v="3"/>
    <n v="10"/>
    <n v="10"/>
    <n v="8"/>
    <n v="0"/>
    <n v="0"/>
    <n v="1"/>
    <n v="1"/>
    <n v="3"/>
  </r>
  <r>
    <n v="58"/>
    <n v="58"/>
    <x v="1"/>
    <n v="0"/>
    <s v="Non-Travel"/>
    <n v="0"/>
    <n v="0"/>
    <x v="1"/>
    <n v="1"/>
    <n v="0"/>
    <n v="1"/>
    <n v="1"/>
    <n v="4"/>
    <s v="Life Sciences"/>
    <n v="1"/>
    <n v="0"/>
    <n v="0"/>
    <n v="0"/>
    <n v="0"/>
    <x v="2"/>
    <s v="Male"/>
    <n v="0"/>
    <n v="32"/>
    <n v="1"/>
    <n v="2"/>
    <s v="Healthcare Representative"/>
    <n v="1"/>
    <n v="0"/>
    <n v="0"/>
    <n v="0"/>
    <n v="0"/>
    <n v="0"/>
    <n v="0"/>
    <n v="0"/>
    <n v="3"/>
    <x v="2"/>
    <n v="0"/>
    <n v="0"/>
    <n v="5660"/>
    <n v="5660"/>
    <n v="2"/>
    <x v="0"/>
    <n v="1"/>
    <n v="13"/>
    <n v="3"/>
    <n v="4"/>
    <n v="1"/>
    <n v="12"/>
    <n v="12"/>
    <n v="2"/>
    <n v="3"/>
    <n v="5"/>
    <n v="5"/>
    <n v="3"/>
    <n v="1"/>
    <n v="1"/>
    <n v="2"/>
    <n v="2"/>
    <n v="4"/>
  </r>
  <r>
    <n v="31"/>
    <n v="31"/>
    <x v="1"/>
    <n v="0"/>
    <s v="Travel_Rarely"/>
    <n v="0"/>
    <n v="1"/>
    <x v="1"/>
    <n v="1"/>
    <n v="0"/>
    <n v="5"/>
    <n v="5"/>
    <n v="4"/>
    <s v="Technical Degree"/>
    <n v="0"/>
    <n v="0"/>
    <n v="0"/>
    <n v="0"/>
    <n v="1"/>
    <x v="1"/>
    <s v="Male"/>
    <n v="0"/>
    <n v="86"/>
    <n v="3"/>
    <n v="1"/>
    <s v="Research Scientist"/>
    <n v="0"/>
    <n v="0"/>
    <n v="0"/>
    <n v="0"/>
    <n v="0"/>
    <n v="0"/>
    <n v="0"/>
    <n v="1"/>
    <n v="4"/>
    <x v="1"/>
    <n v="0"/>
    <n v="1"/>
    <n v="4821"/>
    <n v="4821"/>
    <n v="0"/>
    <x v="0"/>
    <n v="1"/>
    <n v="12"/>
    <n v="3"/>
    <n v="3"/>
    <n v="1"/>
    <n v="6"/>
    <n v="6"/>
    <n v="4"/>
    <n v="3"/>
    <n v="5"/>
    <n v="5"/>
    <n v="2"/>
    <n v="0"/>
    <n v="0"/>
    <n v="3"/>
    <n v="3"/>
    <n v="3"/>
  </r>
  <r>
    <n v="31"/>
    <n v="31"/>
    <x v="1"/>
    <n v="0"/>
    <s v="Travel_Rarely"/>
    <n v="0"/>
    <n v="1"/>
    <x v="2"/>
    <n v="0"/>
    <n v="0"/>
    <n v="2"/>
    <n v="2"/>
    <n v="3"/>
    <s v="Human Resources"/>
    <n v="0"/>
    <n v="0"/>
    <n v="0"/>
    <n v="0"/>
    <n v="0"/>
    <x v="3"/>
    <s v="Male"/>
    <n v="0"/>
    <n v="62"/>
    <n v="2"/>
    <n v="2"/>
    <s v="Human Resources"/>
    <n v="0"/>
    <n v="0"/>
    <n v="0"/>
    <n v="0"/>
    <n v="0"/>
    <n v="0"/>
    <n v="0"/>
    <n v="0"/>
    <n v="1"/>
    <x v="1"/>
    <n v="0"/>
    <n v="1"/>
    <n v="6410"/>
    <n v="6410"/>
    <n v="3"/>
    <x v="1"/>
    <n v="0"/>
    <n v="12"/>
    <n v="3"/>
    <n v="4"/>
    <n v="0"/>
    <n v="9"/>
    <n v="9"/>
    <n v="1"/>
    <n v="3"/>
    <n v="2"/>
    <n v="2"/>
    <n v="2"/>
    <n v="1"/>
    <n v="1"/>
    <n v="0"/>
    <n v="0"/>
    <n v="0"/>
  </r>
  <r>
    <n v="45"/>
    <n v="45"/>
    <x v="1"/>
    <n v="0"/>
    <s v="Travel_Frequently"/>
    <n v="1"/>
    <n v="0"/>
    <x v="1"/>
    <n v="1"/>
    <n v="0"/>
    <n v="7"/>
    <n v="7"/>
    <n v="3"/>
    <s v="Life Sciences"/>
    <n v="1"/>
    <n v="0"/>
    <n v="0"/>
    <n v="0"/>
    <n v="0"/>
    <x v="3"/>
    <s v="Male"/>
    <n v="0"/>
    <n v="97"/>
    <n v="3"/>
    <n v="3"/>
    <s v="Laboratory Technician"/>
    <n v="0"/>
    <n v="0"/>
    <n v="1"/>
    <n v="0"/>
    <n v="0"/>
    <n v="0"/>
    <n v="0"/>
    <n v="0"/>
    <n v="1"/>
    <x v="2"/>
    <n v="0"/>
    <n v="0"/>
    <n v="5210"/>
    <n v="5210"/>
    <n v="1"/>
    <x v="1"/>
    <n v="0"/>
    <n v="18"/>
    <n v="3"/>
    <n v="1"/>
    <n v="1"/>
    <n v="24"/>
    <n v="24"/>
    <n v="2"/>
    <n v="3"/>
    <n v="24"/>
    <n v="24"/>
    <n v="9"/>
    <n v="9"/>
    <n v="9"/>
    <n v="11"/>
    <n v="11"/>
    <n v="33"/>
  </r>
  <r>
    <n v="31"/>
    <n v="31"/>
    <x v="1"/>
    <n v="0"/>
    <s v="Travel_Rarely"/>
    <n v="0"/>
    <n v="1"/>
    <x v="1"/>
    <n v="1"/>
    <n v="0"/>
    <n v="2"/>
    <n v="2"/>
    <n v="4"/>
    <s v="Life Sciences"/>
    <n v="1"/>
    <n v="0"/>
    <n v="0"/>
    <n v="0"/>
    <n v="0"/>
    <x v="1"/>
    <s v="Male"/>
    <n v="0"/>
    <n v="32"/>
    <n v="3"/>
    <n v="1"/>
    <s v="Research Scientist"/>
    <n v="0"/>
    <n v="0"/>
    <n v="0"/>
    <n v="0"/>
    <n v="0"/>
    <n v="0"/>
    <n v="0"/>
    <n v="1"/>
    <n v="4"/>
    <x v="2"/>
    <n v="0"/>
    <n v="0"/>
    <n v="2695"/>
    <n v="2695"/>
    <n v="0"/>
    <x v="0"/>
    <n v="1"/>
    <n v="18"/>
    <n v="3"/>
    <n v="2"/>
    <n v="1"/>
    <n v="3"/>
    <n v="3"/>
    <n v="2"/>
    <n v="1"/>
    <n v="2"/>
    <n v="2"/>
    <n v="2"/>
    <n v="2"/>
    <n v="2"/>
    <n v="2"/>
    <n v="2"/>
    <n v="2"/>
  </r>
  <r>
    <n v="33"/>
    <n v="33"/>
    <x v="1"/>
    <n v="0"/>
    <s v="Travel_Frequently"/>
    <n v="1"/>
    <n v="0"/>
    <x v="1"/>
    <n v="1"/>
    <n v="0"/>
    <n v="5"/>
    <n v="5"/>
    <n v="4"/>
    <s v="Life Sciences"/>
    <n v="1"/>
    <n v="0"/>
    <n v="0"/>
    <n v="0"/>
    <n v="0"/>
    <x v="2"/>
    <s v="Female"/>
    <n v="1"/>
    <n v="74"/>
    <n v="3"/>
    <n v="3"/>
    <s v="Manager"/>
    <n v="0"/>
    <n v="0"/>
    <n v="0"/>
    <n v="1"/>
    <n v="0"/>
    <n v="0"/>
    <n v="0"/>
    <n v="0"/>
    <n v="2"/>
    <x v="1"/>
    <n v="0"/>
    <n v="1"/>
    <n v="11878"/>
    <n v="11878"/>
    <n v="6"/>
    <x v="1"/>
    <n v="0"/>
    <n v="11"/>
    <n v="3"/>
    <n v="2"/>
    <n v="2"/>
    <n v="12"/>
    <n v="12"/>
    <n v="2"/>
    <n v="3"/>
    <n v="10"/>
    <n v="10"/>
    <n v="6"/>
    <n v="8"/>
    <n v="8"/>
    <n v="8"/>
    <n v="8"/>
    <n v="24"/>
  </r>
  <r>
    <n v="39"/>
    <n v="39"/>
    <x v="1"/>
    <n v="0"/>
    <s v="Travel_Rarely"/>
    <n v="0"/>
    <n v="1"/>
    <x v="1"/>
    <n v="1"/>
    <n v="0"/>
    <n v="10"/>
    <n v="10"/>
    <n v="1"/>
    <s v="Medical"/>
    <n v="0"/>
    <n v="0"/>
    <n v="1"/>
    <n v="0"/>
    <n v="0"/>
    <x v="1"/>
    <s v="Male"/>
    <n v="0"/>
    <n v="99"/>
    <n v="3"/>
    <n v="4"/>
    <s v="Manager"/>
    <n v="0"/>
    <n v="0"/>
    <n v="0"/>
    <n v="1"/>
    <n v="0"/>
    <n v="0"/>
    <n v="0"/>
    <n v="0"/>
    <n v="1"/>
    <x v="1"/>
    <n v="0"/>
    <n v="1"/>
    <n v="17068"/>
    <n v="17068"/>
    <n v="1"/>
    <x v="0"/>
    <n v="1"/>
    <n v="14"/>
    <n v="3"/>
    <n v="4"/>
    <n v="0"/>
    <n v="21"/>
    <n v="21"/>
    <n v="3"/>
    <n v="3"/>
    <n v="21"/>
    <n v="21"/>
    <n v="9"/>
    <n v="11"/>
    <n v="11"/>
    <n v="10"/>
    <n v="10"/>
    <n v="40"/>
  </r>
  <r>
    <n v="43"/>
    <n v="43"/>
    <x v="1"/>
    <n v="0"/>
    <s v="Travel_Frequently"/>
    <n v="1"/>
    <n v="0"/>
    <x v="1"/>
    <n v="1"/>
    <n v="0"/>
    <n v="10"/>
    <n v="10"/>
    <n v="4"/>
    <s v="Life Sciences"/>
    <n v="1"/>
    <n v="0"/>
    <n v="0"/>
    <n v="0"/>
    <n v="0"/>
    <x v="1"/>
    <s v="Female"/>
    <n v="1"/>
    <n v="33"/>
    <n v="3"/>
    <n v="1"/>
    <s v="Laboratory Technician"/>
    <n v="0"/>
    <n v="0"/>
    <n v="1"/>
    <n v="0"/>
    <n v="0"/>
    <n v="0"/>
    <n v="0"/>
    <n v="0"/>
    <n v="4"/>
    <x v="0"/>
    <n v="1"/>
    <n v="0"/>
    <n v="2455"/>
    <n v="2455"/>
    <n v="0"/>
    <x v="1"/>
    <n v="0"/>
    <n v="19"/>
    <n v="3"/>
    <n v="1"/>
    <n v="0"/>
    <n v="9"/>
    <n v="9"/>
    <n v="5"/>
    <n v="3"/>
    <n v="8"/>
    <n v="8"/>
    <n v="7"/>
    <n v="1"/>
    <n v="1"/>
    <n v="7"/>
    <n v="7"/>
    <n v="7"/>
  </r>
  <r>
    <n v="49"/>
    <n v="49"/>
    <x v="1"/>
    <n v="0"/>
    <s v="Travel_Rarely"/>
    <n v="0"/>
    <n v="1"/>
    <x v="1"/>
    <n v="1"/>
    <n v="0"/>
    <n v="1"/>
    <n v="1"/>
    <n v="2"/>
    <s v="Technical Degree"/>
    <n v="0"/>
    <n v="0"/>
    <n v="0"/>
    <n v="0"/>
    <n v="1"/>
    <x v="1"/>
    <s v="Female"/>
    <n v="1"/>
    <n v="90"/>
    <n v="2"/>
    <n v="4"/>
    <s v="Healthcare Representative"/>
    <n v="1"/>
    <n v="0"/>
    <n v="0"/>
    <n v="0"/>
    <n v="0"/>
    <n v="0"/>
    <n v="0"/>
    <n v="0"/>
    <n v="3"/>
    <x v="0"/>
    <n v="1"/>
    <n v="0"/>
    <n v="13964"/>
    <n v="13964"/>
    <n v="7"/>
    <x v="0"/>
    <n v="1"/>
    <n v="12"/>
    <n v="3"/>
    <n v="4"/>
    <n v="0"/>
    <n v="25"/>
    <n v="25"/>
    <n v="2"/>
    <n v="3"/>
    <n v="7"/>
    <n v="7"/>
    <n v="1"/>
    <n v="0"/>
    <n v="0"/>
    <n v="7"/>
    <n v="7"/>
    <n v="28"/>
  </r>
  <r>
    <n v="52"/>
    <n v="52"/>
    <x v="0"/>
    <n v="1"/>
    <s v="Travel_Rarely"/>
    <n v="0"/>
    <n v="1"/>
    <x v="1"/>
    <n v="1"/>
    <n v="0"/>
    <n v="8"/>
    <n v="8"/>
    <n v="4"/>
    <s v="Medical"/>
    <n v="0"/>
    <n v="0"/>
    <n v="1"/>
    <n v="0"/>
    <n v="0"/>
    <x v="1"/>
    <s v="Male"/>
    <n v="0"/>
    <n v="85"/>
    <n v="2"/>
    <n v="2"/>
    <s v="Research Scientist"/>
    <n v="0"/>
    <n v="0"/>
    <n v="0"/>
    <n v="0"/>
    <n v="0"/>
    <n v="0"/>
    <n v="0"/>
    <n v="1"/>
    <n v="2"/>
    <x v="1"/>
    <n v="0"/>
    <n v="1"/>
    <n v="4941"/>
    <n v="4941"/>
    <n v="2"/>
    <x v="1"/>
    <n v="0"/>
    <n v="15"/>
    <n v="3"/>
    <n v="1"/>
    <n v="0"/>
    <n v="11"/>
    <n v="11"/>
    <n v="3"/>
    <n v="2"/>
    <n v="8"/>
    <n v="8"/>
    <n v="2"/>
    <n v="7"/>
    <n v="7"/>
    <n v="7"/>
    <n v="7"/>
    <n v="14"/>
  </r>
  <r>
    <n v="27"/>
    <n v="27"/>
    <x v="1"/>
    <n v="0"/>
    <s v="Travel_Rarely"/>
    <n v="0"/>
    <n v="1"/>
    <x v="1"/>
    <n v="1"/>
    <n v="0"/>
    <n v="5"/>
    <n v="5"/>
    <n v="3"/>
    <s v="Life Sciences"/>
    <n v="1"/>
    <n v="0"/>
    <n v="0"/>
    <n v="0"/>
    <n v="0"/>
    <x v="1"/>
    <s v="Female"/>
    <n v="1"/>
    <n v="85"/>
    <n v="3"/>
    <n v="1"/>
    <s v="Research Scientist"/>
    <n v="0"/>
    <n v="0"/>
    <n v="0"/>
    <n v="0"/>
    <n v="0"/>
    <n v="0"/>
    <n v="0"/>
    <n v="1"/>
    <n v="2"/>
    <x v="0"/>
    <n v="1"/>
    <n v="0"/>
    <n v="2478"/>
    <n v="2478"/>
    <n v="1"/>
    <x v="0"/>
    <n v="1"/>
    <n v="12"/>
    <n v="3"/>
    <n v="2"/>
    <n v="0"/>
    <n v="4"/>
    <n v="4"/>
    <n v="2"/>
    <n v="2"/>
    <n v="4"/>
    <n v="4"/>
    <n v="3"/>
    <n v="1"/>
    <n v="1"/>
    <n v="2"/>
    <n v="2"/>
    <n v="2"/>
  </r>
  <r>
    <n v="32"/>
    <n v="32"/>
    <x v="1"/>
    <n v="0"/>
    <s v="Travel_Rarely"/>
    <n v="0"/>
    <n v="1"/>
    <x v="0"/>
    <n v="0"/>
    <n v="1"/>
    <n v="8"/>
    <n v="8"/>
    <n v="2"/>
    <s v="Technical Degree"/>
    <n v="0"/>
    <n v="0"/>
    <n v="0"/>
    <n v="0"/>
    <n v="1"/>
    <x v="1"/>
    <s v="Female"/>
    <n v="1"/>
    <n v="65"/>
    <n v="2"/>
    <n v="2"/>
    <s v="Sales Executive"/>
    <n v="0"/>
    <n v="1"/>
    <n v="0"/>
    <n v="0"/>
    <n v="0"/>
    <n v="0"/>
    <n v="0"/>
    <n v="0"/>
    <n v="2"/>
    <x v="1"/>
    <n v="0"/>
    <n v="1"/>
    <n v="5228"/>
    <n v="5228"/>
    <n v="1"/>
    <x v="0"/>
    <n v="1"/>
    <n v="11"/>
    <n v="3"/>
    <n v="4"/>
    <n v="0"/>
    <n v="13"/>
    <n v="13"/>
    <n v="2"/>
    <n v="3"/>
    <n v="13"/>
    <n v="13"/>
    <n v="12"/>
    <n v="11"/>
    <n v="11"/>
    <n v="9"/>
    <n v="9"/>
    <n v="18"/>
  </r>
  <r>
    <n v="27"/>
    <n v="27"/>
    <x v="1"/>
    <n v="0"/>
    <s v="Travel_Rarely"/>
    <n v="0"/>
    <n v="1"/>
    <x v="0"/>
    <n v="0"/>
    <n v="1"/>
    <n v="2"/>
    <n v="2"/>
    <n v="3"/>
    <s v="Life Sciences"/>
    <n v="1"/>
    <n v="0"/>
    <n v="0"/>
    <n v="0"/>
    <n v="0"/>
    <x v="2"/>
    <s v="Male"/>
    <n v="0"/>
    <n v="74"/>
    <n v="3"/>
    <n v="2"/>
    <s v="Sales Executive"/>
    <n v="0"/>
    <n v="1"/>
    <n v="0"/>
    <n v="0"/>
    <n v="0"/>
    <n v="0"/>
    <n v="0"/>
    <n v="0"/>
    <n v="3"/>
    <x v="0"/>
    <n v="1"/>
    <n v="0"/>
    <n v="4478"/>
    <n v="4478"/>
    <n v="1"/>
    <x v="0"/>
    <n v="1"/>
    <n v="11"/>
    <n v="3"/>
    <n v="1"/>
    <n v="0"/>
    <n v="5"/>
    <n v="5"/>
    <n v="3"/>
    <n v="3"/>
    <n v="5"/>
    <n v="5"/>
    <n v="4"/>
    <n v="0"/>
    <n v="0"/>
    <n v="4"/>
    <n v="4"/>
    <n v="8"/>
  </r>
  <r>
    <n v="31"/>
    <n v="31"/>
    <x v="1"/>
    <n v="0"/>
    <s v="Travel_Rarely"/>
    <n v="0"/>
    <n v="1"/>
    <x v="0"/>
    <n v="0"/>
    <n v="1"/>
    <n v="7"/>
    <n v="7"/>
    <n v="3"/>
    <s v="Marketing"/>
    <n v="0"/>
    <n v="0"/>
    <n v="0"/>
    <n v="1"/>
    <n v="0"/>
    <x v="2"/>
    <s v="Male"/>
    <n v="0"/>
    <n v="73"/>
    <n v="3"/>
    <n v="2"/>
    <s v="Sales Executive"/>
    <n v="0"/>
    <n v="1"/>
    <n v="0"/>
    <n v="0"/>
    <n v="0"/>
    <n v="0"/>
    <n v="0"/>
    <n v="0"/>
    <n v="4"/>
    <x v="2"/>
    <n v="0"/>
    <n v="0"/>
    <n v="7547"/>
    <n v="7547"/>
    <n v="4"/>
    <x v="1"/>
    <n v="0"/>
    <n v="12"/>
    <n v="3"/>
    <n v="4"/>
    <n v="3"/>
    <n v="13"/>
    <n v="13"/>
    <n v="3"/>
    <n v="3"/>
    <n v="7"/>
    <n v="7"/>
    <n v="7"/>
    <n v="1"/>
    <n v="1"/>
    <n v="7"/>
    <n v="7"/>
    <n v="14"/>
  </r>
  <r>
    <n v="32"/>
    <n v="32"/>
    <x v="1"/>
    <n v="0"/>
    <s v="Travel_Rarely"/>
    <n v="0"/>
    <n v="1"/>
    <x v="1"/>
    <n v="1"/>
    <n v="0"/>
    <n v="2"/>
    <n v="2"/>
    <n v="4"/>
    <s v="Medical"/>
    <n v="0"/>
    <n v="0"/>
    <n v="1"/>
    <n v="0"/>
    <n v="0"/>
    <x v="3"/>
    <s v="Female"/>
    <n v="1"/>
    <n v="74"/>
    <n v="4"/>
    <n v="2"/>
    <s v="Research Scientist"/>
    <n v="0"/>
    <n v="0"/>
    <n v="0"/>
    <n v="0"/>
    <n v="0"/>
    <n v="0"/>
    <n v="0"/>
    <n v="1"/>
    <n v="4"/>
    <x v="0"/>
    <n v="1"/>
    <n v="0"/>
    <n v="5055"/>
    <n v="5055"/>
    <n v="7"/>
    <x v="1"/>
    <n v="0"/>
    <n v="16"/>
    <n v="3"/>
    <n v="3"/>
    <n v="0"/>
    <n v="10"/>
    <n v="10"/>
    <n v="0"/>
    <n v="2"/>
    <n v="7"/>
    <n v="7"/>
    <n v="7"/>
    <n v="0"/>
    <n v="0"/>
    <n v="7"/>
    <n v="7"/>
    <n v="14"/>
  </r>
  <r>
    <n v="28"/>
    <n v="28"/>
    <x v="0"/>
    <n v="1"/>
    <s v="Travel_Rarely"/>
    <n v="0"/>
    <n v="1"/>
    <x v="1"/>
    <n v="1"/>
    <n v="0"/>
    <n v="2"/>
    <n v="2"/>
    <n v="4"/>
    <s v="Medical"/>
    <n v="0"/>
    <n v="0"/>
    <n v="1"/>
    <n v="0"/>
    <n v="0"/>
    <x v="3"/>
    <s v="Male"/>
    <n v="0"/>
    <n v="84"/>
    <n v="1"/>
    <n v="1"/>
    <s v="Research Scientist"/>
    <n v="0"/>
    <n v="0"/>
    <n v="0"/>
    <n v="0"/>
    <n v="0"/>
    <n v="0"/>
    <n v="0"/>
    <n v="1"/>
    <n v="4"/>
    <x v="1"/>
    <n v="0"/>
    <n v="1"/>
    <n v="3464"/>
    <n v="3464"/>
    <n v="5"/>
    <x v="0"/>
    <n v="1"/>
    <n v="13"/>
    <n v="3"/>
    <n v="4"/>
    <n v="0"/>
    <n v="5"/>
    <n v="5"/>
    <n v="4"/>
    <n v="2"/>
    <n v="3"/>
    <n v="3"/>
    <n v="2"/>
    <n v="2"/>
    <n v="2"/>
    <n v="2"/>
    <n v="2"/>
    <n v="2"/>
  </r>
  <r>
    <n v="30"/>
    <n v="30"/>
    <x v="1"/>
    <n v="0"/>
    <s v="Travel_Rarely"/>
    <n v="0"/>
    <n v="1"/>
    <x v="1"/>
    <n v="1"/>
    <n v="0"/>
    <n v="28"/>
    <n v="28"/>
    <n v="2"/>
    <s v="Medical"/>
    <n v="0"/>
    <n v="0"/>
    <n v="1"/>
    <n v="0"/>
    <n v="0"/>
    <x v="2"/>
    <s v="Female"/>
    <n v="1"/>
    <n v="64"/>
    <n v="3"/>
    <n v="2"/>
    <s v="Research Scientist"/>
    <n v="0"/>
    <n v="0"/>
    <n v="0"/>
    <n v="0"/>
    <n v="0"/>
    <n v="0"/>
    <n v="0"/>
    <n v="1"/>
    <n v="4"/>
    <x v="1"/>
    <n v="0"/>
    <n v="1"/>
    <n v="5775"/>
    <n v="5775"/>
    <n v="1"/>
    <x v="1"/>
    <n v="0"/>
    <n v="13"/>
    <n v="3"/>
    <n v="4"/>
    <n v="2"/>
    <n v="11"/>
    <n v="11"/>
    <n v="2"/>
    <n v="3"/>
    <n v="10"/>
    <n v="10"/>
    <n v="8"/>
    <n v="1"/>
    <n v="1"/>
    <n v="9"/>
    <n v="9"/>
    <n v="18"/>
  </r>
  <r>
    <n v="31"/>
    <n v="31"/>
    <x v="1"/>
    <n v="0"/>
    <s v="Travel_Frequently"/>
    <n v="1"/>
    <n v="0"/>
    <x v="1"/>
    <n v="1"/>
    <n v="0"/>
    <n v="7"/>
    <n v="7"/>
    <n v="2"/>
    <s v="Life Sciences"/>
    <n v="1"/>
    <n v="0"/>
    <n v="0"/>
    <n v="0"/>
    <n v="0"/>
    <x v="1"/>
    <s v="Female"/>
    <n v="1"/>
    <n v="48"/>
    <n v="2"/>
    <n v="3"/>
    <s v="Manufacturing Director"/>
    <n v="0"/>
    <n v="0"/>
    <n v="0"/>
    <n v="0"/>
    <n v="1"/>
    <n v="1"/>
    <n v="0"/>
    <n v="0"/>
    <n v="3"/>
    <x v="1"/>
    <n v="0"/>
    <n v="1"/>
    <n v="8943"/>
    <n v="8943"/>
    <n v="1"/>
    <x v="1"/>
    <n v="0"/>
    <n v="24"/>
    <n v="4"/>
    <n v="1"/>
    <n v="1"/>
    <n v="10"/>
    <n v="10"/>
    <n v="2"/>
    <n v="3"/>
    <n v="10"/>
    <n v="10"/>
    <n v="9"/>
    <n v="8"/>
    <n v="8"/>
    <n v="9"/>
    <n v="9"/>
    <n v="27"/>
  </r>
  <r>
    <n v="39"/>
    <n v="39"/>
    <x v="1"/>
    <n v="0"/>
    <s v="Travel_Frequently"/>
    <n v="1"/>
    <n v="0"/>
    <x v="1"/>
    <n v="1"/>
    <n v="0"/>
    <n v="7"/>
    <n v="7"/>
    <n v="2"/>
    <s v="Medical"/>
    <n v="0"/>
    <n v="0"/>
    <n v="1"/>
    <n v="0"/>
    <n v="0"/>
    <x v="1"/>
    <s v="Male"/>
    <n v="0"/>
    <n v="54"/>
    <n v="2"/>
    <n v="5"/>
    <s v="Manager"/>
    <n v="0"/>
    <n v="0"/>
    <n v="0"/>
    <n v="1"/>
    <n v="0"/>
    <n v="0"/>
    <n v="0"/>
    <n v="0"/>
    <n v="4"/>
    <x v="1"/>
    <n v="0"/>
    <n v="1"/>
    <n v="19272"/>
    <n v="19272"/>
    <n v="1"/>
    <x v="1"/>
    <n v="0"/>
    <n v="15"/>
    <n v="3"/>
    <n v="1"/>
    <n v="1"/>
    <n v="21"/>
    <n v="21"/>
    <n v="2"/>
    <n v="3"/>
    <n v="21"/>
    <n v="21"/>
    <n v="9"/>
    <n v="13"/>
    <n v="13"/>
    <n v="3"/>
    <n v="3"/>
    <n v="15"/>
  </r>
  <r>
    <n v="39"/>
    <n v="39"/>
    <x v="0"/>
    <n v="1"/>
    <s v="Travel_Rarely"/>
    <n v="0"/>
    <n v="1"/>
    <x v="0"/>
    <n v="0"/>
    <n v="1"/>
    <n v="3"/>
    <n v="3"/>
    <n v="2"/>
    <s v="Medical"/>
    <n v="0"/>
    <n v="0"/>
    <n v="1"/>
    <n v="0"/>
    <n v="0"/>
    <x v="2"/>
    <s v="Female"/>
    <n v="1"/>
    <n v="41"/>
    <n v="3"/>
    <n v="2"/>
    <s v="Sales Executive"/>
    <n v="0"/>
    <n v="1"/>
    <n v="0"/>
    <n v="0"/>
    <n v="0"/>
    <n v="0"/>
    <n v="0"/>
    <n v="0"/>
    <n v="3"/>
    <x v="1"/>
    <n v="0"/>
    <n v="1"/>
    <n v="5238"/>
    <n v="5238"/>
    <n v="4"/>
    <x v="0"/>
    <n v="1"/>
    <n v="18"/>
    <n v="3"/>
    <n v="1"/>
    <n v="0"/>
    <n v="12"/>
    <n v="12"/>
    <n v="3"/>
    <n v="2"/>
    <n v="1"/>
    <n v="1"/>
    <n v="0"/>
    <n v="0"/>
    <n v="0"/>
    <n v="0"/>
    <n v="0"/>
    <n v="0"/>
  </r>
  <r>
    <n v="33"/>
    <n v="33"/>
    <x v="1"/>
    <n v="0"/>
    <s v="Travel_Frequently"/>
    <n v="1"/>
    <n v="0"/>
    <x v="0"/>
    <n v="0"/>
    <n v="1"/>
    <n v="10"/>
    <n v="10"/>
    <n v="3"/>
    <s v="Marketing"/>
    <n v="0"/>
    <n v="0"/>
    <n v="0"/>
    <n v="1"/>
    <n v="0"/>
    <x v="0"/>
    <s v="Male"/>
    <n v="0"/>
    <n v="46"/>
    <n v="2"/>
    <n v="2"/>
    <s v="Sales Executive"/>
    <n v="0"/>
    <n v="1"/>
    <n v="0"/>
    <n v="0"/>
    <n v="0"/>
    <n v="0"/>
    <n v="0"/>
    <n v="0"/>
    <n v="4"/>
    <x v="0"/>
    <n v="1"/>
    <n v="0"/>
    <n v="4682"/>
    <n v="4682"/>
    <n v="3"/>
    <x v="1"/>
    <n v="0"/>
    <n v="14"/>
    <n v="3"/>
    <n v="3"/>
    <n v="0"/>
    <n v="9"/>
    <n v="9"/>
    <n v="6"/>
    <n v="2"/>
    <n v="7"/>
    <n v="7"/>
    <n v="7"/>
    <n v="0"/>
    <n v="0"/>
    <n v="1"/>
    <n v="1"/>
    <n v="2"/>
  </r>
  <r>
    <n v="47"/>
    <n v="47"/>
    <x v="1"/>
    <n v="0"/>
    <s v="Travel_Rarely"/>
    <n v="0"/>
    <n v="1"/>
    <x v="1"/>
    <n v="1"/>
    <n v="0"/>
    <n v="5"/>
    <n v="5"/>
    <n v="5"/>
    <s v="Life Sciences"/>
    <n v="1"/>
    <n v="0"/>
    <n v="0"/>
    <n v="0"/>
    <n v="0"/>
    <x v="2"/>
    <s v="Male"/>
    <n v="0"/>
    <n v="42"/>
    <n v="3"/>
    <n v="5"/>
    <s v="Research Director"/>
    <n v="0"/>
    <n v="0"/>
    <n v="0"/>
    <n v="0"/>
    <n v="0"/>
    <n v="0"/>
    <n v="0"/>
    <n v="0"/>
    <n v="3"/>
    <x v="1"/>
    <n v="0"/>
    <n v="1"/>
    <n v="18300"/>
    <n v="18300"/>
    <n v="4"/>
    <x v="1"/>
    <n v="0"/>
    <n v="11"/>
    <n v="3"/>
    <n v="2"/>
    <n v="1"/>
    <n v="21"/>
    <n v="21"/>
    <n v="2"/>
    <n v="3"/>
    <n v="3"/>
    <n v="3"/>
    <n v="2"/>
    <n v="1"/>
    <n v="1"/>
    <n v="1"/>
    <n v="1"/>
    <n v="5"/>
  </r>
  <r>
    <n v="43"/>
    <n v="43"/>
    <x v="1"/>
    <n v="0"/>
    <s v="Travel_Frequently"/>
    <n v="1"/>
    <n v="0"/>
    <x v="1"/>
    <n v="1"/>
    <n v="0"/>
    <n v="10"/>
    <n v="10"/>
    <n v="4"/>
    <s v="Life Sciences"/>
    <n v="1"/>
    <n v="0"/>
    <n v="0"/>
    <n v="0"/>
    <n v="0"/>
    <x v="1"/>
    <s v="Female"/>
    <n v="1"/>
    <n v="82"/>
    <n v="2"/>
    <n v="2"/>
    <s v="Laboratory Technician"/>
    <n v="0"/>
    <n v="0"/>
    <n v="1"/>
    <n v="0"/>
    <n v="0"/>
    <n v="0"/>
    <n v="0"/>
    <n v="0"/>
    <n v="3"/>
    <x v="2"/>
    <n v="0"/>
    <n v="0"/>
    <n v="5257"/>
    <n v="5257"/>
    <n v="1"/>
    <x v="1"/>
    <n v="0"/>
    <n v="11"/>
    <n v="3"/>
    <n v="2"/>
    <n v="1"/>
    <n v="9"/>
    <n v="9"/>
    <n v="3"/>
    <n v="4"/>
    <n v="9"/>
    <n v="9"/>
    <n v="7"/>
    <n v="0"/>
    <n v="0"/>
    <n v="0"/>
    <n v="0"/>
    <n v="0"/>
  </r>
  <r>
    <n v="27"/>
    <n v="27"/>
    <x v="1"/>
    <n v="0"/>
    <s v="Non-Travel"/>
    <n v="0"/>
    <n v="0"/>
    <x v="0"/>
    <n v="0"/>
    <n v="1"/>
    <n v="1"/>
    <n v="1"/>
    <n v="1"/>
    <s v="Marketing"/>
    <n v="0"/>
    <n v="0"/>
    <n v="0"/>
    <n v="1"/>
    <n v="0"/>
    <x v="1"/>
    <s v="Male"/>
    <n v="0"/>
    <n v="73"/>
    <n v="3"/>
    <n v="2"/>
    <s v="Sales Executive"/>
    <n v="0"/>
    <n v="1"/>
    <n v="0"/>
    <n v="0"/>
    <n v="0"/>
    <n v="0"/>
    <n v="0"/>
    <n v="0"/>
    <n v="2"/>
    <x v="1"/>
    <n v="0"/>
    <n v="1"/>
    <n v="6349"/>
    <n v="6349"/>
    <n v="0"/>
    <x v="0"/>
    <n v="1"/>
    <n v="13"/>
    <n v="3"/>
    <n v="4"/>
    <n v="1"/>
    <n v="6"/>
    <n v="6"/>
    <n v="0"/>
    <n v="3"/>
    <n v="5"/>
    <n v="5"/>
    <n v="4"/>
    <n v="1"/>
    <n v="1"/>
    <n v="4"/>
    <n v="4"/>
    <n v="8"/>
  </r>
  <r>
    <n v="54"/>
    <n v="54"/>
    <x v="1"/>
    <n v="0"/>
    <s v="Travel_Frequently"/>
    <n v="1"/>
    <n v="0"/>
    <x v="1"/>
    <n v="1"/>
    <n v="0"/>
    <n v="20"/>
    <n v="20"/>
    <n v="4"/>
    <s v="Life Sciences"/>
    <n v="1"/>
    <n v="0"/>
    <n v="0"/>
    <n v="0"/>
    <n v="0"/>
    <x v="2"/>
    <s v="Female"/>
    <n v="1"/>
    <n v="31"/>
    <n v="3"/>
    <n v="2"/>
    <s v="Research Scientist"/>
    <n v="0"/>
    <n v="0"/>
    <n v="0"/>
    <n v="0"/>
    <n v="0"/>
    <n v="0"/>
    <n v="0"/>
    <n v="1"/>
    <n v="3"/>
    <x v="0"/>
    <n v="1"/>
    <n v="0"/>
    <n v="4869"/>
    <n v="4869"/>
    <n v="3"/>
    <x v="1"/>
    <n v="0"/>
    <n v="12"/>
    <n v="3"/>
    <n v="4"/>
    <n v="0"/>
    <n v="20"/>
    <n v="20"/>
    <n v="4"/>
    <n v="2"/>
    <n v="4"/>
    <n v="4"/>
    <n v="3"/>
    <n v="0"/>
    <n v="0"/>
    <n v="3"/>
    <n v="3"/>
    <n v="6"/>
  </r>
  <r>
    <n v="43"/>
    <n v="43"/>
    <x v="1"/>
    <n v="0"/>
    <s v="Travel_Rarely"/>
    <n v="0"/>
    <n v="1"/>
    <x v="1"/>
    <n v="1"/>
    <n v="0"/>
    <n v="7"/>
    <n v="7"/>
    <n v="3"/>
    <s v="Life Sciences"/>
    <n v="1"/>
    <n v="0"/>
    <n v="0"/>
    <n v="0"/>
    <n v="0"/>
    <x v="1"/>
    <s v="Female"/>
    <n v="1"/>
    <n v="43"/>
    <n v="3"/>
    <n v="3"/>
    <s v="Healthcare Representative"/>
    <n v="1"/>
    <n v="0"/>
    <n v="0"/>
    <n v="0"/>
    <n v="0"/>
    <n v="0"/>
    <n v="0"/>
    <n v="0"/>
    <n v="1"/>
    <x v="1"/>
    <n v="0"/>
    <n v="1"/>
    <n v="9985"/>
    <n v="9985"/>
    <n v="8"/>
    <x v="1"/>
    <n v="0"/>
    <n v="16"/>
    <n v="3"/>
    <n v="1"/>
    <n v="1"/>
    <n v="10"/>
    <n v="10"/>
    <n v="1"/>
    <n v="2"/>
    <n v="1"/>
    <n v="1"/>
    <n v="0"/>
    <n v="0"/>
    <n v="0"/>
    <n v="0"/>
    <n v="0"/>
    <n v="0"/>
  </r>
  <r>
    <n v="45"/>
    <n v="45"/>
    <x v="1"/>
    <n v="0"/>
    <s v="Travel_Rarely"/>
    <n v="0"/>
    <n v="1"/>
    <x v="1"/>
    <n v="1"/>
    <n v="0"/>
    <n v="8"/>
    <n v="8"/>
    <n v="4"/>
    <s v="Other"/>
    <n v="0"/>
    <n v="1"/>
    <n v="0"/>
    <n v="0"/>
    <n v="0"/>
    <x v="2"/>
    <s v="Male"/>
    <n v="0"/>
    <n v="75"/>
    <n v="3"/>
    <n v="2"/>
    <s v="Research Scientist"/>
    <n v="0"/>
    <n v="0"/>
    <n v="0"/>
    <n v="0"/>
    <n v="0"/>
    <n v="0"/>
    <n v="0"/>
    <n v="1"/>
    <n v="4"/>
    <x v="1"/>
    <n v="0"/>
    <n v="1"/>
    <n v="3697"/>
    <n v="3697"/>
    <n v="9"/>
    <x v="1"/>
    <n v="0"/>
    <n v="14"/>
    <n v="3"/>
    <n v="1"/>
    <n v="2"/>
    <n v="12"/>
    <n v="12"/>
    <n v="3"/>
    <n v="3"/>
    <n v="10"/>
    <n v="10"/>
    <n v="9"/>
    <n v="9"/>
    <n v="9"/>
    <n v="8"/>
    <n v="8"/>
    <n v="16"/>
  </r>
  <r>
    <n v="40"/>
    <n v="40"/>
    <x v="1"/>
    <n v="0"/>
    <s v="Travel_Rarely"/>
    <n v="0"/>
    <n v="1"/>
    <x v="0"/>
    <n v="0"/>
    <n v="1"/>
    <n v="1"/>
    <n v="1"/>
    <n v="2"/>
    <s v="Medical"/>
    <n v="0"/>
    <n v="0"/>
    <n v="1"/>
    <n v="0"/>
    <n v="0"/>
    <x v="0"/>
    <s v="Male"/>
    <n v="0"/>
    <n v="57"/>
    <n v="1"/>
    <n v="2"/>
    <s v="Sales Executive"/>
    <n v="0"/>
    <n v="1"/>
    <n v="0"/>
    <n v="0"/>
    <n v="0"/>
    <n v="0"/>
    <n v="0"/>
    <n v="0"/>
    <n v="4"/>
    <x v="1"/>
    <n v="0"/>
    <n v="1"/>
    <n v="7457"/>
    <n v="7457"/>
    <n v="2"/>
    <x v="0"/>
    <n v="1"/>
    <n v="22"/>
    <n v="4"/>
    <n v="3"/>
    <n v="3"/>
    <n v="6"/>
    <n v="6"/>
    <n v="2"/>
    <n v="2"/>
    <n v="4"/>
    <n v="4"/>
    <n v="3"/>
    <n v="0"/>
    <n v="0"/>
    <n v="2"/>
    <n v="2"/>
    <n v="4"/>
  </r>
  <r>
    <n v="29"/>
    <n v="29"/>
    <x v="0"/>
    <n v="1"/>
    <s v="Travel_Rarely"/>
    <n v="0"/>
    <n v="1"/>
    <x v="1"/>
    <n v="1"/>
    <n v="0"/>
    <n v="8"/>
    <n v="8"/>
    <n v="4"/>
    <s v="Other"/>
    <n v="0"/>
    <n v="1"/>
    <n v="0"/>
    <n v="0"/>
    <n v="0"/>
    <x v="0"/>
    <s v="Male"/>
    <n v="0"/>
    <n v="77"/>
    <n v="1"/>
    <n v="1"/>
    <s v="Laboratory Technician"/>
    <n v="0"/>
    <n v="0"/>
    <n v="1"/>
    <n v="0"/>
    <n v="0"/>
    <n v="0"/>
    <n v="0"/>
    <n v="0"/>
    <n v="1"/>
    <x v="1"/>
    <n v="0"/>
    <n v="1"/>
    <n v="2119"/>
    <n v="2119"/>
    <n v="1"/>
    <x v="0"/>
    <n v="1"/>
    <n v="11"/>
    <n v="3"/>
    <n v="4"/>
    <n v="0"/>
    <n v="7"/>
    <n v="7"/>
    <n v="4"/>
    <n v="2"/>
    <n v="7"/>
    <n v="7"/>
    <n v="7"/>
    <n v="0"/>
    <n v="0"/>
    <n v="7"/>
    <n v="7"/>
    <n v="7"/>
  </r>
  <r>
    <n v="29"/>
    <n v="29"/>
    <x v="1"/>
    <n v="0"/>
    <s v="Travel_Rarely"/>
    <n v="0"/>
    <n v="1"/>
    <x v="1"/>
    <n v="1"/>
    <n v="0"/>
    <n v="9"/>
    <n v="9"/>
    <n v="5"/>
    <s v="Other"/>
    <n v="0"/>
    <n v="1"/>
    <n v="0"/>
    <n v="0"/>
    <n v="0"/>
    <x v="0"/>
    <s v="Male"/>
    <n v="0"/>
    <n v="30"/>
    <n v="2"/>
    <n v="1"/>
    <s v="Laboratory Technician"/>
    <n v="0"/>
    <n v="0"/>
    <n v="1"/>
    <n v="0"/>
    <n v="0"/>
    <n v="0"/>
    <n v="0"/>
    <n v="0"/>
    <n v="4"/>
    <x v="0"/>
    <n v="1"/>
    <n v="0"/>
    <n v="3983"/>
    <n v="3983"/>
    <n v="0"/>
    <x v="1"/>
    <n v="0"/>
    <n v="17"/>
    <n v="3"/>
    <n v="3"/>
    <n v="0"/>
    <n v="4"/>
    <n v="4"/>
    <n v="2"/>
    <n v="3"/>
    <n v="3"/>
    <n v="3"/>
    <n v="2"/>
    <n v="2"/>
    <n v="2"/>
    <n v="2"/>
    <n v="2"/>
    <n v="2"/>
  </r>
  <r>
    <n v="30"/>
    <n v="30"/>
    <x v="1"/>
    <n v="0"/>
    <s v="Travel_Rarely"/>
    <n v="0"/>
    <n v="1"/>
    <x v="0"/>
    <n v="0"/>
    <n v="1"/>
    <n v="5"/>
    <n v="5"/>
    <n v="3"/>
    <s v="Marketing"/>
    <n v="0"/>
    <n v="0"/>
    <n v="0"/>
    <n v="1"/>
    <n v="0"/>
    <x v="2"/>
    <s v="Female"/>
    <n v="1"/>
    <n v="30"/>
    <n v="2"/>
    <n v="2"/>
    <s v="Sales Executive"/>
    <n v="0"/>
    <n v="1"/>
    <n v="0"/>
    <n v="0"/>
    <n v="0"/>
    <n v="0"/>
    <n v="0"/>
    <n v="0"/>
    <n v="3"/>
    <x v="2"/>
    <n v="0"/>
    <n v="0"/>
    <n v="6118"/>
    <n v="6118"/>
    <n v="1"/>
    <x v="1"/>
    <n v="0"/>
    <n v="13"/>
    <n v="3"/>
    <n v="3"/>
    <n v="3"/>
    <n v="10"/>
    <n v="10"/>
    <n v="2"/>
    <n v="3"/>
    <n v="10"/>
    <n v="10"/>
    <n v="9"/>
    <n v="1"/>
    <n v="1"/>
    <n v="2"/>
    <n v="2"/>
    <n v="4"/>
  </r>
  <r>
    <n v="27"/>
    <n v="27"/>
    <x v="1"/>
    <n v="0"/>
    <s v="Travel_Rarely"/>
    <n v="0"/>
    <n v="1"/>
    <x v="0"/>
    <n v="0"/>
    <n v="1"/>
    <n v="8"/>
    <n v="8"/>
    <n v="4"/>
    <s v="Marketing"/>
    <n v="0"/>
    <n v="0"/>
    <n v="0"/>
    <n v="1"/>
    <n v="0"/>
    <x v="0"/>
    <s v="Female"/>
    <n v="1"/>
    <n v="56"/>
    <n v="3"/>
    <n v="2"/>
    <s v="Sales Executive"/>
    <n v="0"/>
    <n v="1"/>
    <n v="0"/>
    <n v="0"/>
    <n v="0"/>
    <n v="0"/>
    <n v="0"/>
    <n v="0"/>
    <n v="2"/>
    <x v="1"/>
    <n v="0"/>
    <n v="1"/>
    <n v="6214"/>
    <n v="6214"/>
    <n v="1"/>
    <x v="1"/>
    <n v="0"/>
    <n v="18"/>
    <n v="3"/>
    <n v="1"/>
    <n v="1"/>
    <n v="8"/>
    <n v="8"/>
    <n v="3"/>
    <n v="3"/>
    <n v="8"/>
    <n v="8"/>
    <n v="7"/>
    <n v="0"/>
    <n v="0"/>
    <n v="7"/>
    <n v="7"/>
    <n v="14"/>
  </r>
  <r>
    <n v="37"/>
    <n v="37"/>
    <x v="1"/>
    <n v="0"/>
    <s v="Travel_Rarely"/>
    <n v="0"/>
    <n v="1"/>
    <x v="1"/>
    <n v="1"/>
    <n v="0"/>
    <n v="5"/>
    <n v="5"/>
    <n v="2"/>
    <s v="Medical"/>
    <n v="0"/>
    <n v="0"/>
    <n v="1"/>
    <n v="0"/>
    <n v="0"/>
    <x v="2"/>
    <s v="Male"/>
    <n v="0"/>
    <n v="61"/>
    <n v="3"/>
    <n v="2"/>
    <s v="Manufacturing Director"/>
    <n v="0"/>
    <n v="0"/>
    <n v="0"/>
    <n v="0"/>
    <n v="1"/>
    <n v="1"/>
    <n v="0"/>
    <n v="0"/>
    <n v="4"/>
    <x v="2"/>
    <n v="0"/>
    <n v="0"/>
    <n v="6347"/>
    <n v="6347"/>
    <n v="7"/>
    <x v="1"/>
    <n v="0"/>
    <n v="16"/>
    <n v="3"/>
    <n v="3"/>
    <n v="2"/>
    <n v="8"/>
    <n v="8"/>
    <n v="2"/>
    <n v="2"/>
    <n v="6"/>
    <n v="6"/>
    <n v="2"/>
    <n v="0"/>
    <n v="0"/>
    <n v="4"/>
    <n v="4"/>
    <n v="8"/>
  </r>
  <r>
    <n v="38"/>
    <n v="38"/>
    <x v="1"/>
    <n v="0"/>
    <s v="Travel_Rarely"/>
    <n v="0"/>
    <n v="1"/>
    <x v="1"/>
    <n v="1"/>
    <n v="0"/>
    <n v="15"/>
    <n v="15"/>
    <n v="2"/>
    <s v="Life Sciences"/>
    <n v="1"/>
    <n v="0"/>
    <n v="0"/>
    <n v="0"/>
    <n v="0"/>
    <x v="1"/>
    <s v="Male"/>
    <n v="0"/>
    <n v="92"/>
    <n v="2"/>
    <n v="3"/>
    <s v="Research Director"/>
    <n v="0"/>
    <n v="0"/>
    <n v="0"/>
    <n v="0"/>
    <n v="0"/>
    <n v="0"/>
    <n v="0"/>
    <n v="0"/>
    <n v="4"/>
    <x v="2"/>
    <n v="0"/>
    <n v="0"/>
    <n v="11510"/>
    <n v="11510"/>
    <n v="0"/>
    <x v="0"/>
    <n v="1"/>
    <n v="14"/>
    <n v="3"/>
    <n v="2"/>
    <n v="1"/>
    <n v="12"/>
    <n v="12"/>
    <n v="3"/>
    <n v="3"/>
    <n v="11"/>
    <n v="11"/>
    <n v="10"/>
    <n v="2"/>
    <n v="2"/>
    <n v="9"/>
    <n v="9"/>
    <n v="27"/>
  </r>
  <r>
    <n v="31"/>
    <n v="31"/>
    <x v="1"/>
    <n v="0"/>
    <s v="Travel_Rarely"/>
    <n v="0"/>
    <n v="1"/>
    <x v="1"/>
    <n v="1"/>
    <n v="0"/>
    <n v="7"/>
    <n v="7"/>
    <n v="4"/>
    <s v="Medical"/>
    <n v="0"/>
    <n v="0"/>
    <n v="1"/>
    <n v="0"/>
    <n v="0"/>
    <x v="1"/>
    <s v="Female"/>
    <n v="1"/>
    <n v="39"/>
    <n v="3"/>
    <n v="3"/>
    <s v="Manufacturing Director"/>
    <n v="0"/>
    <n v="0"/>
    <n v="0"/>
    <n v="0"/>
    <n v="1"/>
    <n v="1"/>
    <n v="0"/>
    <n v="0"/>
    <n v="4"/>
    <x v="0"/>
    <n v="1"/>
    <n v="0"/>
    <n v="7143"/>
    <n v="7143"/>
    <n v="1"/>
    <x v="0"/>
    <n v="1"/>
    <n v="14"/>
    <n v="3"/>
    <n v="3"/>
    <n v="0"/>
    <n v="11"/>
    <n v="11"/>
    <n v="2"/>
    <n v="2"/>
    <n v="11"/>
    <n v="11"/>
    <n v="9"/>
    <n v="4"/>
    <n v="4"/>
    <n v="10"/>
    <n v="10"/>
    <n v="30"/>
  </r>
  <r>
    <n v="29"/>
    <n v="29"/>
    <x v="1"/>
    <n v="0"/>
    <s v="Travel_Rarely"/>
    <n v="0"/>
    <n v="1"/>
    <x v="0"/>
    <n v="0"/>
    <n v="1"/>
    <n v="10"/>
    <n v="10"/>
    <n v="1"/>
    <s v="Marketing"/>
    <n v="0"/>
    <n v="0"/>
    <n v="0"/>
    <n v="1"/>
    <n v="0"/>
    <x v="2"/>
    <s v="Female"/>
    <n v="1"/>
    <n v="39"/>
    <n v="2"/>
    <n v="2"/>
    <s v="Sales Executive"/>
    <n v="0"/>
    <n v="1"/>
    <n v="0"/>
    <n v="0"/>
    <n v="0"/>
    <n v="0"/>
    <n v="0"/>
    <n v="0"/>
    <n v="2"/>
    <x v="2"/>
    <n v="0"/>
    <n v="0"/>
    <n v="8268"/>
    <n v="8268"/>
    <n v="1"/>
    <x v="0"/>
    <n v="1"/>
    <n v="14"/>
    <n v="3"/>
    <n v="1"/>
    <n v="2"/>
    <n v="7"/>
    <n v="7"/>
    <n v="2"/>
    <n v="3"/>
    <n v="7"/>
    <n v="7"/>
    <n v="7"/>
    <n v="1"/>
    <n v="1"/>
    <n v="7"/>
    <n v="7"/>
    <n v="14"/>
  </r>
  <r>
    <n v="35"/>
    <n v="35"/>
    <x v="1"/>
    <n v="0"/>
    <s v="Travel_Rarely"/>
    <n v="0"/>
    <n v="1"/>
    <x v="1"/>
    <n v="1"/>
    <n v="0"/>
    <n v="5"/>
    <n v="5"/>
    <n v="4"/>
    <s v="Technical Degree"/>
    <n v="0"/>
    <n v="0"/>
    <n v="0"/>
    <n v="0"/>
    <n v="1"/>
    <x v="1"/>
    <s v="Male"/>
    <n v="0"/>
    <n v="62"/>
    <n v="3"/>
    <n v="3"/>
    <s v="Manufacturing Director"/>
    <n v="0"/>
    <n v="0"/>
    <n v="0"/>
    <n v="0"/>
    <n v="1"/>
    <n v="1"/>
    <n v="0"/>
    <n v="0"/>
    <n v="2"/>
    <x v="0"/>
    <n v="1"/>
    <n v="0"/>
    <n v="8095"/>
    <n v="8095"/>
    <n v="0"/>
    <x v="1"/>
    <n v="0"/>
    <n v="13"/>
    <n v="3"/>
    <n v="4"/>
    <n v="0"/>
    <n v="17"/>
    <n v="17"/>
    <n v="5"/>
    <n v="3"/>
    <n v="16"/>
    <n v="16"/>
    <n v="6"/>
    <n v="0"/>
    <n v="0"/>
    <n v="13"/>
    <n v="13"/>
    <n v="39"/>
  </r>
  <r>
    <n v="23"/>
    <n v="23"/>
    <x v="1"/>
    <n v="0"/>
    <s v="Travel_Rarely"/>
    <n v="0"/>
    <n v="1"/>
    <x v="1"/>
    <n v="1"/>
    <n v="0"/>
    <n v="26"/>
    <n v="26"/>
    <n v="1"/>
    <s v="Life Sciences"/>
    <n v="1"/>
    <n v="0"/>
    <n v="0"/>
    <n v="0"/>
    <n v="0"/>
    <x v="1"/>
    <s v="Male"/>
    <n v="0"/>
    <n v="83"/>
    <n v="3"/>
    <n v="1"/>
    <s v="Research Scientist"/>
    <n v="0"/>
    <n v="0"/>
    <n v="0"/>
    <n v="0"/>
    <n v="0"/>
    <n v="0"/>
    <n v="0"/>
    <n v="1"/>
    <n v="4"/>
    <x v="2"/>
    <n v="0"/>
    <n v="0"/>
    <n v="2904"/>
    <n v="2904"/>
    <n v="1"/>
    <x v="1"/>
    <n v="0"/>
    <n v="12"/>
    <n v="3"/>
    <n v="3"/>
    <n v="2"/>
    <n v="4"/>
    <n v="4"/>
    <n v="2"/>
    <n v="2"/>
    <n v="4"/>
    <n v="4"/>
    <n v="2"/>
    <n v="0"/>
    <n v="0"/>
    <n v="2"/>
    <n v="2"/>
    <n v="2"/>
  </r>
  <r>
    <n v="41"/>
    <n v="41"/>
    <x v="1"/>
    <n v="0"/>
    <s v="Travel_Rarely"/>
    <n v="0"/>
    <n v="1"/>
    <x v="1"/>
    <n v="1"/>
    <n v="0"/>
    <n v="6"/>
    <n v="6"/>
    <n v="3"/>
    <s v="Medical"/>
    <n v="0"/>
    <n v="0"/>
    <n v="1"/>
    <n v="0"/>
    <n v="0"/>
    <x v="2"/>
    <s v="Male"/>
    <n v="0"/>
    <n v="95"/>
    <n v="2"/>
    <n v="2"/>
    <s v="Manufacturing Director"/>
    <n v="0"/>
    <n v="0"/>
    <n v="0"/>
    <n v="0"/>
    <n v="1"/>
    <n v="1"/>
    <n v="0"/>
    <n v="0"/>
    <n v="2"/>
    <x v="0"/>
    <n v="1"/>
    <n v="0"/>
    <n v="6032"/>
    <n v="6032"/>
    <n v="6"/>
    <x v="0"/>
    <n v="1"/>
    <n v="15"/>
    <n v="3"/>
    <n v="4"/>
    <n v="0"/>
    <n v="8"/>
    <n v="8"/>
    <n v="3"/>
    <n v="3"/>
    <n v="5"/>
    <n v="5"/>
    <n v="4"/>
    <n v="1"/>
    <n v="1"/>
    <n v="2"/>
    <n v="2"/>
    <n v="4"/>
  </r>
  <r>
    <n v="47"/>
    <n v="47"/>
    <x v="1"/>
    <n v="0"/>
    <s v="Travel_Frequently"/>
    <n v="1"/>
    <n v="0"/>
    <x v="0"/>
    <n v="0"/>
    <n v="1"/>
    <n v="4"/>
    <n v="4"/>
    <n v="1"/>
    <s v="Medical"/>
    <n v="0"/>
    <n v="0"/>
    <n v="1"/>
    <n v="0"/>
    <n v="0"/>
    <x v="0"/>
    <s v="Male"/>
    <n v="0"/>
    <n v="99"/>
    <n v="3"/>
    <n v="2"/>
    <s v="Sales Representative"/>
    <n v="0"/>
    <n v="0"/>
    <n v="0"/>
    <n v="0"/>
    <n v="0"/>
    <n v="0"/>
    <n v="1"/>
    <n v="0"/>
    <n v="3"/>
    <x v="0"/>
    <n v="1"/>
    <n v="0"/>
    <n v="2976"/>
    <n v="2976"/>
    <n v="3"/>
    <x v="1"/>
    <n v="0"/>
    <n v="19"/>
    <n v="3"/>
    <n v="1"/>
    <n v="0"/>
    <n v="5"/>
    <n v="5"/>
    <n v="3"/>
    <n v="3"/>
    <n v="0"/>
    <n v="0"/>
    <n v="0"/>
    <n v="0"/>
    <n v="0"/>
    <n v="0"/>
    <n v="0"/>
    <n v="0"/>
  </r>
  <r>
    <n v="42"/>
    <n v="42"/>
    <x v="1"/>
    <n v="0"/>
    <s v="Travel_Rarely"/>
    <n v="0"/>
    <n v="1"/>
    <x v="1"/>
    <n v="1"/>
    <n v="0"/>
    <n v="23"/>
    <n v="23"/>
    <n v="5"/>
    <s v="Life Sciences"/>
    <n v="1"/>
    <n v="0"/>
    <n v="0"/>
    <n v="0"/>
    <n v="0"/>
    <x v="3"/>
    <s v="Female"/>
    <n v="1"/>
    <n v="44"/>
    <n v="3"/>
    <n v="4"/>
    <s v="Research Director"/>
    <n v="0"/>
    <n v="0"/>
    <n v="0"/>
    <n v="0"/>
    <n v="0"/>
    <n v="0"/>
    <n v="0"/>
    <n v="0"/>
    <n v="4"/>
    <x v="0"/>
    <n v="1"/>
    <n v="0"/>
    <n v="15992"/>
    <n v="15992"/>
    <n v="2"/>
    <x v="1"/>
    <n v="0"/>
    <n v="14"/>
    <n v="3"/>
    <n v="2"/>
    <n v="0"/>
    <n v="16"/>
    <n v="16"/>
    <n v="2"/>
    <n v="3"/>
    <n v="1"/>
    <n v="1"/>
    <n v="0"/>
    <n v="0"/>
    <n v="0"/>
    <n v="0"/>
    <n v="0"/>
    <n v="0"/>
  </r>
  <r>
    <n v="29"/>
    <n v="29"/>
    <x v="1"/>
    <n v="0"/>
    <s v="Non-Travel"/>
    <n v="0"/>
    <n v="0"/>
    <x v="0"/>
    <n v="0"/>
    <n v="1"/>
    <n v="2"/>
    <n v="2"/>
    <n v="3"/>
    <s v="Life Sciences"/>
    <n v="1"/>
    <n v="0"/>
    <n v="0"/>
    <n v="0"/>
    <n v="0"/>
    <x v="2"/>
    <s v="Male"/>
    <n v="0"/>
    <n v="61"/>
    <n v="3"/>
    <n v="2"/>
    <s v="Sales Executive"/>
    <n v="0"/>
    <n v="1"/>
    <n v="0"/>
    <n v="0"/>
    <n v="0"/>
    <n v="0"/>
    <n v="0"/>
    <n v="0"/>
    <n v="3"/>
    <x v="1"/>
    <n v="0"/>
    <n v="1"/>
    <n v="4649"/>
    <n v="4649"/>
    <n v="1"/>
    <x v="1"/>
    <n v="0"/>
    <n v="14"/>
    <n v="3"/>
    <n v="1"/>
    <n v="1"/>
    <n v="4"/>
    <n v="4"/>
    <n v="3"/>
    <n v="2"/>
    <n v="4"/>
    <n v="4"/>
    <n v="3"/>
    <n v="0"/>
    <n v="0"/>
    <n v="2"/>
    <n v="2"/>
    <n v="4"/>
  </r>
  <r>
    <n v="42"/>
    <n v="42"/>
    <x v="1"/>
    <n v="0"/>
    <s v="Travel_Rarely"/>
    <n v="0"/>
    <n v="1"/>
    <x v="2"/>
    <n v="0"/>
    <n v="0"/>
    <n v="2"/>
    <n v="2"/>
    <n v="1"/>
    <s v="Technical Degree"/>
    <n v="0"/>
    <n v="0"/>
    <n v="0"/>
    <n v="0"/>
    <n v="1"/>
    <x v="1"/>
    <s v="Male"/>
    <n v="0"/>
    <n v="52"/>
    <n v="3"/>
    <n v="1"/>
    <s v="Human Resources"/>
    <n v="0"/>
    <n v="0"/>
    <n v="0"/>
    <n v="0"/>
    <n v="0"/>
    <n v="0"/>
    <n v="0"/>
    <n v="0"/>
    <n v="3"/>
    <x v="2"/>
    <n v="0"/>
    <n v="0"/>
    <n v="2696"/>
    <n v="2696"/>
    <n v="0"/>
    <x v="0"/>
    <n v="1"/>
    <n v="11"/>
    <n v="3"/>
    <n v="3"/>
    <n v="1"/>
    <n v="4"/>
    <n v="4"/>
    <n v="5"/>
    <n v="3"/>
    <n v="3"/>
    <n v="3"/>
    <n v="2"/>
    <n v="1"/>
    <n v="1"/>
    <n v="0"/>
    <n v="0"/>
    <n v="0"/>
  </r>
  <r>
    <n v="32"/>
    <n v="32"/>
    <x v="1"/>
    <n v="0"/>
    <s v="Travel_Rarely"/>
    <n v="0"/>
    <n v="1"/>
    <x v="1"/>
    <n v="1"/>
    <n v="0"/>
    <n v="2"/>
    <n v="2"/>
    <n v="3"/>
    <s v="Medical"/>
    <n v="0"/>
    <n v="0"/>
    <n v="1"/>
    <n v="0"/>
    <n v="0"/>
    <x v="1"/>
    <s v="Female"/>
    <n v="1"/>
    <n v="75"/>
    <n v="3"/>
    <n v="1"/>
    <s v="Laboratory Technician"/>
    <n v="0"/>
    <n v="0"/>
    <n v="1"/>
    <n v="0"/>
    <n v="0"/>
    <n v="0"/>
    <n v="0"/>
    <n v="0"/>
    <n v="2"/>
    <x v="1"/>
    <n v="0"/>
    <n v="1"/>
    <n v="2370"/>
    <n v="2370"/>
    <n v="1"/>
    <x v="1"/>
    <n v="0"/>
    <n v="13"/>
    <n v="3"/>
    <n v="3"/>
    <n v="1"/>
    <n v="8"/>
    <n v="8"/>
    <n v="4"/>
    <n v="3"/>
    <n v="8"/>
    <n v="8"/>
    <n v="0"/>
    <n v="0"/>
    <n v="0"/>
    <n v="7"/>
    <n v="7"/>
    <n v="7"/>
  </r>
  <r>
    <n v="48"/>
    <n v="48"/>
    <x v="1"/>
    <n v="0"/>
    <s v="Travel_Rarely"/>
    <n v="0"/>
    <n v="1"/>
    <x v="0"/>
    <n v="0"/>
    <n v="1"/>
    <n v="29"/>
    <n v="29"/>
    <n v="1"/>
    <s v="Medical"/>
    <n v="0"/>
    <n v="0"/>
    <n v="1"/>
    <n v="0"/>
    <n v="0"/>
    <x v="3"/>
    <s v="Female"/>
    <n v="1"/>
    <n v="91"/>
    <n v="3"/>
    <n v="3"/>
    <s v="Manager"/>
    <n v="0"/>
    <n v="0"/>
    <n v="0"/>
    <n v="1"/>
    <n v="0"/>
    <n v="0"/>
    <n v="0"/>
    <n v="0"/>
    <n v="3"/>
    <x v="1"/>
    <n v="0"/>
    <n v="1"/>
    <n v="12504"/>
    <n v="12504"/>
    <n v="3"/>
    <x v="1"/>
    <n v="0"/>
    <n v="21"/>
    <n v="4"/>
    <n v="2"/>
    <n v="1"/>
    <n v="15"/>
    <n v="15"/>
    <n v="3"/>
    <n v="1"/>
    <n v="0"/>
    <n v="0"/>
    <n v="0"/>
    <n v="0"/>
    <n v="0"/>
    <n v="0"/>
    <n v="0"/>
    <n v="0"/>
  </r>
  <r>
    <n v="37"/>
    <n v="37"/>
    <x v="1"/>
    <n v="0"/>
    <s v="Travel_Rarely"/>
    <n v="0"/>
    <n v="1"/>
    <x v="1"/>
    <n v="1"/>
    <n v="0"/>
    <n v="6"/>
    <n v="6"/>
    <n v="3"/>
    <s v="Medical"/>
    <n v="0"/>
    <n v="0"/>
    <n v="1"/>
    <n v="0"/>
    <n v="0"/>
    <x v="1"/>
    <s v="Male"/>
    <n v="0"/>
    <n v="51"/>
    <n v="4"/>
    <n v="2"/>
    <s v="Research Scientist"/>
    <n v="0"/>
    <n v="0"/>
    <n v="0"/>
    <n v="0"/>
    <n v="0"/>
    <n v="0"/>
    <n v="0"/>
    <n v="1"/>
    <n v="1"/>
    <x v="2"/>
    <n v="0"/>
    <n v="0"/>
    <n v="5974"/>
    <n v="5974"/>
    <n v="4"/>
    <x v="0"/>
    <n v="1"/>
    <n v="13"/>
    <n v="3"/>
    <n v="1"/>
    <n v="2"/>
    <n v="13"/>
    <n v="13"/>
    <n v="2"/>
    <n v="3"/>
    <n v="7"/>
    <n v="7"/>
    <n v="7"/>
    <n v="6"/>
    <n v="6"/>
    <n v="7"/>
    <n v="7"/>
    <n v="14"/>
  </r>
  <r>
    <n v="30"/>
    <n v="30"/>
    <x v="1"/>
    <n v="0"/>
    <s v="Non-Travel"/>
    <n v="0"/>
    <n v="0"/>
    <x v="0"/>
    <n v="0"/>
    <n v="1"/>
    <n v="25"/>
    <n v="25"/>
    <n v="2"/>
    <s v="Technical Degree"/>
    <n v="0"/>
    <n v="0"/>
    <n v="0"/>
    <n v="0"/>
    <n v="1"/>
    <x v="2"/>
    <s v="Female"/>
    <n v="1"/>
    <n v="85"/>
    <n v="3"/>
    <n v="2"/>
    <s v="Sales Executive"/>
    <n v="0"/>
    <n v="1"/>
    <n v="0"/>
    <n v="0"/>
    <n v="0"/>
    <n v="0"/>
    <n v="0"/>
    <n v="0"/>
    <n v="3"/>
    <x v="1"/>
    <n v="0"/>
    <n v="1"/>
    <n v="4736"/>
    <n v="4736"/>
    <n v="7"/>
    <x v="0"/>
    <n v="1"/>
    <n v="12"/>
    <n v="3"/>
    <n v="2"/>
    <n v="1"/>
    <n v="4"/>
    <n v="4"/>
    <n v="2"/>
    <n v="4"/>
    <n v="2"/>
    <n v="2"/>
    <n v="2"/>
    <n v="2"/>
    <n v="2"/>
    <n v="2"/>
    <n v="2"/>
    <n v="4"/>
  </r>
  <r>
    <n v="26"/>
    <n v="26"/>
    <x v="1"/>
    <n v="0"/>
    <s v="Travel_Rarely"/>
    <n v="0"/>
    <n v="1"/>
    <x v="0"/>
    <n v="0"/>
    <n v="1"/>
    <n v="1"/>
    <n v="1"/>
    <n v="3"/>
    <s v="Life Sciences"/>
    <n v="1"/>
    <n v="0"/>
    <n v="0"/>
    <n v="0"/>
    <n v="0"/>
    <x v="1"/>
    <s v="Male"/>
    <n v="0"/>
    <n v="57"/>
    <n v="3"/>
    <n v="2"/>
    <s v="Sales Executive"/>
    <n v="0"/>
    <n v="1"/>
    <n v="0"/>
    <n v="0"/>
    <n v="0"/>
    <n v="0"/>
    <n v="0"/>
    <n v="0"/>
    <n v="3"/>
    <x v="1"/>
    <n v="0"/>
    <n v="1"/>
    <n v="5296"/>
    <n v="5296"/>
    <n v="1"/>
    <x v="1"/>
    <n v="0"/>
    <n v="17"/>
    <n v="3"/>
    <n v="2"/>
    <n v="1"/>
    <n v="8"/>
    <n v="8"/>
    <n v="3"/>
    <n v="3"/>
    <n v="8"/>
    <n v="8"/>
    <n v="7"/>
    <n v="7"/>
    <n v="7"/>
    <n v="7"/>
    <n v="7"/>
    <n v="14"/>
  </r>
  <r>
    <n v="42"/>
    <n v="42"/>
    <x v="1"/>
    <n v="0"/>
    <s v="Travel_Rarely"/>
    <n v="0"/>
    <n v="1"/>
    <x v="1"/>
    <n v="1"/>
    <n v="0"/>
    <n v="2"/>
    <n v="2"/>
    <n v="4"/>
    <s v="Other"/>
    <n v="0"/>
    <n v="1"/>
    <n v="0"/>
    <n v="0"/>
    <n v="0"/>
    <x v="3"/>
    <s v="Male"/>
    <n v="0"/>
    <n v="98"/>
    <n v="2"/>
    <n v="2"/>
    <s v="Healthcare Representative"/>
    <n v="1"/>
    <n v="0"/>
    <n v="0"/>
    <n v="0"/>
    <n v="0"/>
    <n v="0"/>
    <n v="0"/>
    <n v="0"/>
    <n v="4"/>
    <x v="0"/>
    <n v="1"/>
    <n v="0"/>
    <n v="6781"/>
    <n v="6781"/>
    <n v="3"/>
    <x v="1"/>
    <n v="0"/>
    <n v="23"/>
    <n v="4"/>
    <n v="2"/>
    <n v="0"/>
    <n v="14"/>
    <n v="14"/>
    <n v="6"/>
    <n v="3"/>
    <n v="1"/>
    <n v="1"/>
    <n v="0"/>
    <n v="0"/>
    <n v="0"/>
    <n v="0"/>
    <n v="0"/>
    <n v="0"/>
  </r>
  <r>
    <n v="21"/>
    <n v="21"/>
    <x v="0"/>
    <n v="1"/>
    <s v="Travel_Frequently"/>
    <n v="1"/>
    <n v="0"/>
    <x v="0"/>
    <n v="0"/>
    <n v="1"/>
    <n v="1"/>
    <n v="1"/>
    <n v="1"/>
    <s v="Technical Degree"/>
    <n v="0"/>
    <n v="0"/>
    <n v="0"/>
    <n v="0"/>
    <n v="1"/>
    <x v="3"/>
    <s v="Female"/>
    <n v="1"/>
    <n v="99"/>
    <n v="2"/>
    <n v="1"/>
    <s v="Sales Representative"/>
    <n v="0"/>
    <n v="0"/>
    <n v="0"/>
    <n v="0"/>
    <n v="0"/>
    <n v="0"/>
    <n v="1"/>
    <n v="0"/>
    <n v="2"/>
    <x v="0"/>
    <n v="1"/>
    <n v="0"/>
    <n v="2174"/>
    <n v="2174"/>
    <n v="1"/>
    <x v="0"/>
    <n v="1"/>
    <n v="11"/>
    <n v="3"/>
    <n v="3"/>
    <n v="0"/>
    <n v="3"/>
    <n v="3"/>
    <n v="3"/>
    <n v="3"/>
    <n v="3"/>
    <n v="3"/>
    <n v="2"/>
    <n v="1"/>
    <n v="1"/>
    <n v="2"/>
    <n v="2"/>
    <n v="2"/>
  </r>
  <r>
    <n v="36"/>
    <n v="36"/>
    <x v="1"/>
    <n v="0"/>
    <s v="Non-Travel"/>
    <n v="0"/>
    <n v="0"/>
    <x v="0"/>
    <n v="0"/>
    <n v="1"/>
    <n v="1"/>
    <n v="1"/>
    <n v="5"/>
    <s v="Medical"/>
    <n v="0"/>
    <n v="0"/>
    <n v="1"/>
    <n v="0"/>
    <n v="0"/>
    <x v="2"/>
    <s v="Female"/>
    <n v="1"/>
    <n v="45"/>
    <n v="3"/>
    <n v="2"/>
    <s v="Sales Executive"/>
    <n v="0"/>
    <n v="1"/>
    <n v="0"/>
    <n v="0"/>
    <n v="0"/>
    <n v="0"/>
    <n v="0"/>
    <n v="0"/>
    <n v="4"/>
    <x v="0"/>
    <n v="1"/>
    <n v="0"/>
    <n v="6653"/>
    <n v="6653"/>
    <n v="4"/>
    <x v="1"/>
    <n v="0"/>
    <n v="15"/>
    <n v="3"/>
    <n v="2"/>
    <n v="0"/>
    <n v="7"/>
    <n v="7"/>
    <n v="6"/>
    <n v="3"/>
    <n v="1"/>
    <n v="1"/>
    <n v="0"/>
    <n v="0"/>
    <n v="0"/>
    <n v="0"/>
    <n v="0"/>
    <n v="0"/>
  </r>
  <r>
    <n v="36"/>
    <n v="36"/>
    <x v="1"/>
    <n v="0"/>
    <s v="Travel_Frequently"/>
    <n v="1"/>
    <n v="0"/>
    <x v="0"/>
    <n v="0"/>
    <n v="1"/>
    <n v="3"/>
    <n v="3"/>
    <n v="4"/>
    <s v="Medical"/>
    <n v="0"/>
    <n v="0"/>
    <n v="1"/>
    <n v="0"/>
    <n v="0"/>
    <x v="3"/>
    <s v="Male"/>
    <n v="0"/>
    <n v="48"/>
    <n v="2"/>
    <n v="3"/>
    <s v="Sales Executive"/>
    <n v="0"/>
    <n v="1"/>
    <n v="0"/>
    <n v="0"/>
    <n v="0"/>
    <n v="0"/>
    <n v="0"/>
    <n v="0"/>
    <n v="4"/>
    <x v="1"/>
    <n v="0"/>
    <n v="1"/>
    <n v="9699"/>
    <n v="9699"/>
    <n v="4"/>
    <x v="1"/>
    <n v="0"/>
    <n v="11"/>
    <n v="3"/>
    <n v="1"/>
    <n v="1"/>
    <n v="16"/>
    <n v="16"/>
    <n v="2"/>
    <n v="3"/>
    <n v="13"/>
    <n v="13"/>
    <n v="9"/>
    <n v="1"/>
    <n v="1"/>
    <n v="12"/>
    <n v="12"/>
    <n v="36"/>
  </r>
  <r>
    <n v="57"/>
    <n v="57"/>
    <x v="1"/>
    <n v="0"/>
    <s v="Travel_Rarely"/>
    <n v="0"/>
    <n v="1"/>
    <x v="1"/>
    <n v="1"/>
    <n v="0"/>
    <n v="1"/>
    <n v="1"/>
    <n v="4"/>
    <s v="Medical"/>
    <n v="0"/>
    <n v="0"/>
    <n v="1"/>
    <n v="0"/>
    <n v="0"/>
    <x v="2"/>
    <s v="Male"/>
    <n v="0"/>
    <n v="88"/>
    <n v="3"/>
    <n v="2"/>
    <s v="Healthcare Representative"/>
    <n v="1"/>
    <n v="0"/>
    <n v="0"/>
    <n v="0"/>
    <n v="0"/>
    <n v="0"/>
    <n v="0"/>
    <n v="0"/>
    <n v="3"/>
    <x v="1"/>
    <n v="0"/>
    <n v="1"/>
    <n v="6755"/>
    <n v="6755"/>
    <n v="2"/>
    <x v="1"/>
    <n v="0"/>
    <n v="11"/>
    <n v="3"/>
    <n v="3"/>
    <n v="0"/>
    <n v="15"/>
    <n v="15"/>
    <n v="2"/>
    <n v="3"/>
    <n v="3"/>
    <n v="3"/>
    <n v="2"/>
    <n v="1"/>
    <n v="1"/>
    <n v="2"/>
    <n v="2"/>
    <n v="4"/>
  </r>
  <r>
    <n v="40"/>
    <n v="40"/>
    <x v="1"/>
    <n v="0"/>
    <s v="Travel_Rarely"/>
    <n v="0"/>
    <n v="1"/>
    <x v="1"/>
    <n v="1"/>
    <n v="0"/>
    <n v="10"/>
    <n v="10"/>
    <n v="4"/>
    <s v="Life Sciences"/>
    <n v="1"/>
    <n v="0"/>
    <n v="0"/>
    <n v="0"/>
    <n v="0"/>
    <x v="2"/>
    <s v="Female"/>
    <n v="1"/>
    <n v="46"/>
    <n v="4"/>
    <n v="1"/>
    <s v="Laboratory Technician"/>
    <n v="0"/>
    <n v="0"/>
    <n v="1"/>
    <n v="0"/>
    <n v="0"/>
    <n v="0"/>
    <n v="0"/>
    <n v="0"/>
    <n v="3"/>
    <x v="1"/>
    <n v="0"/>
    <n v="1"/>
    <n v="2213"/>
    <n v="2213"/>
    <n v="3"/>
    <x v="0"/>
    <n v="1"/>
    <n v="13"/>
    <n v="3"/>
    <n v="3"/>
    <n v="1"/>
    <n v="10"/>
    <n v="10"/>
    <n v="3"/>
    <n v="3"/>
    <n v="7"/>
    <n v="7"/>
    <n v="7"/>
    <n v="1"/>
    <n v="1"/>
    <n v="7"/>
    <n v="7"/>
    <n v="7"/>
  </r>
  <r>
    <n v="21"/>
    <n v="21"/>
    <x v="1"/>
    <n v="0"/>
    <s v="Non-Travel"/>
    <n v="0"/>
    <n v="0"/>
    <x v="0"/>
    <n v="0"/>
    <n v="1"/>
    <n v="9"/>
    <n v="9"/>
    <n v="2"/>
    <s v="Medical"/>
    <n v="0"/>
    <n v="0"/>
    <n v="1"/>
    <n v="0"/>
    <n v="0"/>
    <x v="3"/>
    <s v="Male"/>
    <n v="0"/>
    <n v="39"/>
    <n v="3"/>
    <n v="1"/>
    <s v="Sales Representative"/>
    <n v="0"/>
    <n v="0"/>
    <n v="0"/>
    <n v="0"/>
    <n v="0"/>
    <n v="0"/>
    <n v="1"/>
    <n v="0"/>
    <n v="4"/>
    <x v="0"/>
    <n v="1"/>
    <n v="0"/>
    <n v="2610"/>
    <n v="2610"/>
    <n v="1"/>
    <x v="1"/>
    <n v="0"/>
    <n v="24"/>
    <n v="4"/>
    <n v="3"/>
    <n v="0"/>
    <n v="3"/>
    <n v="3"/>
    <n v="3"/>
    <n v="2"/>
    <n v="3"/>
    <n v="3"/>
    <n v="2"/>
    <n v="2"/>
    <n v="2"/>
    <n v="2"/>
    <n v="2"/>
    <n v="2"/>
  </r>
  <r>
    <n v="33"/>
    <n v="33"/>
    <x v="0"/>
    <n v="1"/>
    <s v="Travel_Rarely"/>
    <n v="0"/>
    <n v="1"/>
    <x v="0"/>
    <n v="0"/>
    <n v="1"/>
    <n v="5"/>
    <n v="5"/>
    <n v="3"/>
    <s v="Marketing"/>
    <n v="0"/>
    <n v="0"/>
    <n v="0"/>
    <n v="1"/>
    <n v="0"/>
    <x v="2"/>
    <s v="Female"/>
    <n v="1"/>
    <n v="34"/>
    <n v="3"/>
    <n v="1"/>
    <s v="Sales Representative"/>
    <n v="0"/>
    <n v="0"/>
    <n v="0"/>
    <n v="0"/>
    <n v="0"/>
    <n v="0"/>
    <n v="1"/>
    <n v="0"/>
    <n v="3"/>
    <x v="0"/>
    <n v="1"/>
    <n v="0"/>
    <n v="2851"/>
    <n v="2851"/>
    <n v="1"/>
    <x v="0"/>
    <n v="1"/>
    <n v="13"/>
    <n v="3"/>
    <n v="2"/>
    <n v="0"/>
    <n v="1"/>
    <n v="1"/>
    <n v="2"/>
    <n v="3"/>
    <n v="1"/>
    <n v="1"/>
    <n v="0"/>
    <n v="0"/>
    <n v="0"/>
    <n v="0"/>
    <n v="0"/>
    <n v="0"/>
  </r>
  <r>
    <n v="37"/>
    <n v="37"/>
    <x v="1"/>
    <n v="0"/>
    <s v="Travel_Rarely"/>
    <n v="0"/>
    <n v="1"/>
    <x v="1"/>
    <n v="1"/>
    <n v="0"/>
    <n v="10"/>
    <n v="10"/>
    <n v="3"/>
    <s v="Medical"/>
    <n v="0"/>
    <n v="0"/>
    <n v="1"/>
    <n v="0"/>
    <n v="0"/>
    <x v="1"/>
    <s v="Female"/>
    <n v="1"/>
    <n v="98"/>
    <n v="3"/>
    <n v="1"/>
    <s v="Laboratory Technician"/>
    <n v="0"/>
    <n v="0"/>
    <n v="1"/>
    <n v="0"/>
    <n v="0"/>
    <n v="0"/>
    <n v="0"/>
    <n v="0"/>
    <n v="1"/>
    <x v="1"/>
    <n v="0"/>
    <n v="1"/>
    <n v="3452"/>
    <n v="3452"/>
    <n v="6"/>
    <x v="1"/>
    <n v="0"/>
    <n v="20"/>
    <n v="4"/>
    <n v="2"/>
    <n v="1"/>
    <n v="17"/>
    <n v="17"/>
    <n v="3"/>
    <n v="3"/>
    <n v="5"/>
    <n v="5"/>
    <n v="4"/>
    <n v="0"/>
    <n v="0"/>
    <n v="3"/>
    <n v="3"/>
    <n v="3"/>
  </r>
  <r>
    <n v="46"/>
    <n v="46"/>
    <x v="1"/>
    <n v="0"/>
    <s v="Non-Travel"/>
    <n v="0"/>
    <n v="0"/>
    <x v="1"/>
    <n v="1"/>
    <n v="0"/>
    <n v="7"/>
    <n v="7"/>
    <n v="4"/>
    <s v="Medical"/>
    <n v="0"/>
    <n v="0"/>
    <n v="1"/>
    <n v="0"/>
    <n v="0"/>
    <x v="1"/>
    <s v="Female"/>
    <n v="1"/>
    <n v="30"/>
    <n v="3"/>
    <n v="2"/>
    <s v="Manufacturing Director"/>
    <n v="0"/>
    <n v="0"/>
    <n v="0"/>
    <n v="0"/>
    <n v="1"/>
    <n v="1"/>
    <n v="0"/>
    <n v="0"/>
    <n v="3"/>
    <x v="1"/>
    <n v="0"/>
    <n v="1"/>
    <n v="5258"/>
    <n v="5258"/>
    <n v="2"/>
    <x v="1"/>
    <n v="0"/>
    <n v="14"/>
    <n v="3"/>
    <n v="3"/>
    <n v="0"/>
    <n v="7"/>
    <n v="7"/>
    <n v="2"/>
    <n v="4"/>
    <n v="1"/>
    <n v="1"/>
    <n v="0"/>
    <n v="0"/>
    <n v="0"/>
    <n v="0"/>
    <n v="0"/>
    <n v="0"/>
  </r>
  <r>
    <n v="41"/>
    <n v="41"/>
    <x v="0"/>
    <n v="1"/>
    <s v="Travel_Frequently"/>
    <n v="1"/>
    <n v="0"/>
    <x v="0"/>
    <n v="0"/>
    <n v="1"/>
    <n v="4"/>
    <n v="4"/>
    <n v="3"/>
    <s v="Marketing"/>
    <n v="0"/>
    <n v="0"/>
    <n v="0"/>
    <n v="1"/>
    <n v="0"/>
    <x v="3"/>
    <s v="Male"/>
    <n v="0"/>
    <n v="56"/>
    <n v="3"/>
    <n v="2"/>
    <s v="Sales Executive"/>
    <n v="0"/>
    <n v="1"/>
    <n v="0"/>
    <n v="0"/>
    <n v="0"/>
    <n v="0"/>
    <n v="0"/>
    <n v="0"/>
    <n v="2"/>
    <x v="0"/>
    <n v="1"/>
    <n v="0"/>
    <n v="9355"/>
    <n v="9355"/>
    <n v="1"/>
    <x v="1"/>
    <n v="0"/>
    <n v="18"/>
    <n v="3"/>
    <n v="3"/>
    <n v="0"/>
    <n v="8"/>
    <n v="8"/>
    <n v="5"/>
    <n v="3"/>
    <n v="8"/>
    <n v="8"/>
    <n v="7"/>
    <n v="7"/>
    <n v="7"/>
    <n v="7"/>
    <n v="7"/>
    <n v="14"/>
  </r>
  <r>
    <n v="50"/>
    <n v="50"/>
    <x v="1"/>
    <n v="0"/>
    <s v="Travel_Rarely"/>
    <n v="0"/>
    <n v="1"/>
    <x v="1"/>
    <n v="1"/>
    <n v="0"/>
    <n v="10"/>
    <n v="10"/>
    <n v="3"/>
    <s v="Technical Degree"/>
    <n v="0"/>
    <n v="0"/>
    <n v="0"/>
    <n v="0"/>
    <n v="1"/>
    <x v="2"/>
    <s v="Male"/>
    <n v="0"/>
    <n v="100"/>
    <n v="2"/>
    <n v="3"/>
    <s v="Healthcare Representative"/>
    <n v="1"/>
    <n v="0"/>
    <n v="0"/>
    <n v="0"/>
    <n v="0"/>
    <n v="0"/>
    <n v="0"/>
    <n v="0"/>
    <n v="4"/>
    <x v="0"/>
    <n v="1"/>
    <n v="0"/>
    <n v="10496"/>
    <n v="10496"/>
    <n v="6"/>
    <x v="1"/>
    <n v="0"/>
    <n v="15"/>
    <n v="3"/>
    <n v="4"/>
    <n v="0"/>
    <n v="20"/>
    <n v="20"/>
    <n v="2"/>
    <n v="3"/>
    <n v="4"/>
    <n v="4"/>
    <n v="3"/>
    <n v="1"/>
    <n v="1"/>
    <n v="3"/>
    <n v="3"/>
    <n v="9"/>
  </r>
  <r>
    <n v="40"/>
    <n v="40"/>
    <x v="0"/>
    <n v="1"/>
    <s v="Travel_Rarely"/>
    <n v="0"/>
    <n v="1"/>
    <x v="0"/>
    <n v="0"/>
    <n v="1"/>
    <n v="22"/>
    <n v="22"/>
    <n v="2"/>
    <s v="Marketing"/>
    <n v="0"/>
    <n v="0"/>
    <n v="0"/>
    <n v="1"/>
    <n v="0"/>
    <x v="1"/>
    <s v="Male"/>
    <n v="0"/>
    <n v="68"/>
    <n v="2"/>
    <n v="2"/>
    <s v="Sales Executive"/>
    <n v="0"/>
    <n v="1"/>
    <n v="0"/>
    <n v="0"/>
    <n v="0"/>
    <n v="0"/>
    <n v="0"/>
    <n v="0"/>
    <n v="3"/>
    <x v="1"/>
    <n v="0"/>
    <n v="1"/>
    <n v="6380"/>
    <n v="6380"/>
    <n v="2"/>
    <x v="0"/>
    <n v="1"/>
    <n v="12"/>
    <n v="3"/>
    <n v="1"/>
    <n v="2"/>
    <n v="8"/>
    <n v="8"/>
    <n v="6"/>
    <n v="3"/>
    <n v="6"/>
    <n v="6"/>
    <n v="4"/>
    <n v="1"/>
    <n v="1"/>
    <n v="0"/>
    <n v="0"/>
    <n v="0"/>
  </r>
  <r>
    <n v="31"/>
    <n v="31"/>
    <x v="1"/>
    <n v="0"/>
    <s v="Travel_Rarely"/>
    <n v="0"/>
    <n v="1"/>
    <x v="1"/>
    <n v="1"/>
    <n v="0"/>
    <n v="9"/>
    <n v="9"/>
    <n v="4"/>
    <s v="Life Sciences"/>
    <n v="1"/>
    <n v="0"/>
    <n v="0"/>
    <n v="0"/>
    <n v="0"/>
    <x v="1"/>
    <s v="Male"/>
    <n v="0"/>
    <n v="42"/>
    <n v="2"/>
    <n v="1"/>
    <s v="Research Scientist"/>
    <n v="0"/>
    <n v="0"/>
    <n v="0"/>
    <n v="0"/>
    <n v="0"/>
    <n v="0"/>
    <n v="0"/>
    <n v="1"/>
    <n v="2"/>
    <x v="0"/>
    <n v="1"/>
    <n v="0"/>
    <n v="2657"/>
    <n v="2657"/>
    <n v="0"/>
    <x v="0"/>
    <n v="1"/>
    <n v="16"/>
    <n v="3"/>
    <n v="4"/>
    <n v="0"/>
    <n v="3"/>
    <n v="3"/>
    <n v="5"/>
    <n v="3"/>
    <n v="2"/>
    <n v="2"/>
    <n v="2"/>
    <n v="2"/>
    <n v="2"/>
    <n v="2"/>
    <n v="2"/>
    <n v="2"/>
  </r>
  <r>
    <n v="21"/>
    <n v="21"/>
    <x v="0"/>
    <n v="1"/>
    <s v="Travel_Rarely"/>
    <n v="0"/>
    <n v="1"/>
    <x v="0"/>
    <n v="0"/>
    <n v="1"/>
    <n v="12"/>
    <n v="12"/>
    <n v="3"/>
    <s v="Life Sciences"/>
    <n v="1"/>
    <n v="0"/>
    <n v="0"/>
    <n v="0"/>
    <n v="0"/>
    <x v="1"/>
    <s v="Female"/>
    <n v="1"/>
    <n v="90"/>
    <n v="4"/>
    <n v="1"/>
    <s v="Sales Representative"/>
    <n v="0"/>
    <n v="0"/>
    <n v="0"/>
    <n v="0"/>
    <n v="0"/>
    <n v="0"/>
    <n v="1"/>
    <n v="0"/>
    <n v="2"/>
    <x v="0"/>
    <n v="1"/>
    <n v="0"/>
    <n v="2716"/>
    <n v="2716"/>
    <n v="1"/>
    <x v="1"/>
    <n v="0"/>
    <n v="15"/>
    <n v="3"/>
    <n v="4"/>
    <n v="0"/>
    <n v="1"/>
    <n v="1"/>
    <n v="0"/>
    <n v="3"/>
    <n v="1"/>
    <n v="1"/>
    <n v="0"/>
    <n v="0"/>
    <n v="0"/>
    <n v="0"/>
    <n v="0"/>
    <n v="0"/>
  </r>
  <r>
    <n v="29"/>
    <n v="29"/>
    <x v="1"/>
    <n v="0"/>
    <s v="Travel_Rarely"/>
    <n v="0"/>
    <n v="1"/>
    <x v="1"/>
    <n v="1"/>
    <n v="0"/>
    <n v="23"/>
    <n v="23"/>
    <n v="3"/>
    <s v="Life Sciences"/>
    <n v="1"/>
    <n v="0"/>
    <n v="0"/>
    <n v="0"/>
    <n v="0"/>
    <x v="2"/>
    <s v="Male"/>
    <n v="0"/>
    <n v="54"/>
    <n v="3"/>
    <n v="1"/>
    <s v="Research Scientist"/>
    <n v="0"/>
    <n v="0"/>
    <n v="0"/>
    <n v="0"/>
    <n v="0"/>
    <n v="0"/>
    <n v="0"/>
    <n v="1"/>
    <n v="4"/>
    <x v="0"/>
    <n v="1"/>
    <n v="0"/>
    <n v="2201"/>
    <n v="2201"/>
    <n v="9"/>
    <x v="1"/>
    <n v="0"/>
    <n v="16"/>
    <n v="3"/>
    <n v="4"/>
    <n v="0"/>
    <n v="6"/>
    <n v="6"/>
    <n v="4"/>
    <n v="3"/>
    <n v="3"/>
    <n v="3"/>
    <n v="2"/>
    <n v="1"/>
    <n v="1"/>
    <n v="2"/>
    <n v="2"/>
    <n v="2"/>
  </r>
  <r>
    <n v="35"/>
    <n v="35"/>
    <x v="1"/>
    <n v="0"/>
    <s v="Travel_Rarely"/>
    <n v="0"/>
    <n v="1"/>
    <x v="1"/>
    <n v="1"/>
    <n v="0"/>
    <n v="9"/>
    <n v="9"/>
    <n v="4"/>
    <s v="Life Sciences"/>
    <n v="1"/>
    <n v="0"/>
    <n v="0"/>
    <n v="0"/>
    <n v="0"/>
    <x v="1"/>
    <s v="Male"/>
    <n v="0"/>
    <n v="97"/>
    <n v="2"/>
    <n v="2"/>
    <s v="Healthcare Representative"/>
    <n v="1"/>
    <n v="0"/>
    <n v="0"/>
    <n v="0"/>
    <n v="0"/>
    <n v="0"/>
    <n v="0"/>
    <n v="0"/>
    <n v="2"/>
    <x v="0"/>
    <n v="1"/>
    <n v="0"/>
    <n v="6540"/>
    <n v="6540"/>
    <n v="9"/>
    <x v="1"/>
    <n v="0"/>
    <n v="19"/>
    <n v="3"/>
    <n v="3"/>
    <n v="0"/>
    <n v="10"/>
    <n v="10"/>
    <n v="5"/>
    <n v="3"/>
    <n v="1"/>
    <n v="1"/>
    <n v="1"/>
    <n v="0"/>
    <n v="0"/>
    <n v="0"/>
    <n v="0"/>
    <n v="0"/>
  </r>
  <r>
    <n v="27"/>
    <n v="27"/>
    <x v="1"/>
    <n v="0"/>
    <s v="Travel_Rarely"/>
    <n v="0"/>
    <n v="1"/>
    <x v="1"/>
    <n v="1"/>
    <n v="0"/>
    <n v="1"/>
    <n v="1"/>
    <n v="2"/>
    <s v="Medical"/>
    <n v="0"/>
    <n v="0"/>
    <n v="1"/>
    <n v="0"/>
    <n v="0"/>
    <x v="2"/>
    <s v="Male"/>
    <n v="0"/>
    <n v="82"/>
    <n v="3"/>
    <n v="1"/>
    <s v="Laboratory Technician"/>
    <n v="0"/>
    <n v="0"/>
    <n v="1"/>
    <n v="0"/>
    <n v="0"/>
    <n v="0"/>
    <n v="0"/>
    <n v="0"/>
    <n v="2"/>
    <x v="2"/>
    <n v="0"/>
    <n v="0"/>
    <n v="3816"/>
    <n v="3816"/>
    <n v="1"/>
    <x v="1"/>
    <n v="0"/>
    <n v="11"/>
    <n v="3"/>
    <n v="2"/>
    <n v="1"/>
    <n v="5"/>
    <n v="5"/>
    <n v="2"/>
    <n v="3"/>
    <n v="5"/>
    <n v="5"/>
    <n v="2"/>
    <n v="0"/>
    <n v="0"/>
    <n v="4"/>
    <n v="4"/>
    <n v="4"/>
  </r>
  <r>
    <n v="28"/>
    <n v="28"/>
    <x v="1"/>
    <n v="0"/>
    <s v="Travel_Rarely"/>
    <n v="0"/>
    <n v="1"/>
    <x v="0"/>
    <n v="0"/>
    <n v="1"/>
    <n v="9"/>
    <n v="9"/>
    <n v="4"/>
    <s v="Life Sciences"/>
    <n v="1"/>
    <n v="0"/>
    <n v="0"/>
    <n v="0"/>
    <n v="0"/>
    <x v="0"/>
    <s v="Male"/>
    <n v="0"/>
    <n v="92"/>
    <n v="3"/>
    <n v="2"/>
    <s v="Sales Executive"/>
    <n v="0"/>
    <n v="1"/>
    <n v="0"/>
    <n v="0"/>
    <n v="0"/>
    <n v="0"/>
    <n v="0"/>
    <n v="0"/>
    <n v="4"/>
    <x v="0"/>
    <n v="1"/>
    <n v="0"/>
    <n v="5253"/>
    <n v="5253"/>
    <n v="1"/>
    <x v="1"/>
    <n v="0"/>
    <n v="16"/>
    <n v="3"/>
    <n v="4"/>
    <n v="0"/>
    <n v="7"/>
    <n v="7"/>
    <n v="1"/>
    <n v="3"/>
    <n v="7"/>
    <n v="7"/>
    <n v="5"/>
    <n v="0"/>
    <n v="0"/>
    <n v="7"/>
    <n v="7"/>
    <n v="14"/>
  </r>
  <r>
    <n v="49"/>
    <n v="49"/>
    <x v="1"/>
    <n v="0"/>
    <s v="Travel_Rarely"/>
    <n v="0"/>
    <n v="1"/>
    <x v="1"/>
    <n v="1"/>
    <n v="0"/>
    <n v="7"/>
    <n v="7"/>
    <n v="3"/>
    <s v="Other"/>
    <n v="0"/>
    <n v="1"/>
    <n v="0"/>
    <n v="0"/>
    <n v="0"/>
    <x v="0"/>
    <s v="Male"/>
    <n v="0"/>
    <n v="31"/>
    <n v="2"/>
    <n v="3"/>
    <s v="Healthcare Representative"/>
    <n v="1"/>
    <n v="0"/>
    <n v="0"/>
    <n v="0"/>
    <n v="0"/>
    <n v="0"/>
    <n v="0"/>
    <n v="0"/>
    <n v="3"/>
    <x v="0"/>
    <n v="1"/>
    <n v="0"/>
    <n v="10965"/>
    <n v="10965"/>
    <n v="8"/>
    <x v="1"/>
    <n v="0"/>
    <n v="24"/>
    <n v="4"/>
    <n v="3"/>
    <n v="0"/>
    <n v="26"/>
    <n v="26"/>
    <n v="2"/>
    <n v="3"/>
    <n v="5"/>
    <n v="5"/>
    <n v="2"/>
    <n v="0"/>
    <n v="0"/>
    <n v="0"/>
    <n v="0"/>
    <n v="0"/>
  </r>
  <r>
    <n v="51"/>
    <n v="51"/>
    <x v="1"/>
    <n v="0"/>
    <s v="Travel_Rarely"/>
    <n v="0"/>
    <n v="1"/>
    <x v="0"/>
    <n v="0"/>
    <n v="1"/>
    <n v="14"/>
    <n v="14"/>
    <n v="2"/>
    <s v="Life Sciences"/>
    <n v="1"/>
    <n v="0"/>
    <n v="0"/>
    <n v="0"/>
    <n v="0"/>
    <x v="1"/>
    <s v="Female"/>
    <n v="1"/>
    <n v="87"/>
    <n v="3"/>
    <n v="2"/>
    <s v="Sales Executive"/>
    <n v="0"/>
    <n v="1"/>
    <n v="0"/>
    <n v="0"/>
    <n v="0"/>
    <n v="0"/>
    <n v="0"/>
    <n v="0"/>
    <n v="4"/>
    <x v="1"/>
    <n v="0"/>
    <n v="1"/>
    <n v="4936"/>
    <n v="4936"/>
    <n v="4"/>
    <x v="1"/>
    <n v="0"/>
    <n v="11"/>
    <n v="3"/>
    <n v="3"/>
    <n v="1"/>
    <n v="18"/>
    <n v="18"/>
    <n v="2"/>
    <n v="2"/>
    <n v="7"/>
    <n v="7"/>
    <n v="7"/>
    <n v="0"/>
    <n v="0"/>
    <n v="7"/>
    <n v="7"/>
    <n v="14"/>
  </r>
  <r>
    <n v="36"/>
    <n v="36"/>
    <x v="1"/>
    <n v="0"/>
    <s v="Travel_Rarely"/>
    <n v="0"/>
    <n v="1"/>
    <x v="1"/>
    <n v="1"/>
    <n v="0"/>
    <n v="2"/>
    <n v="2"/>
    <n v="3"/>
    <s v="Life Sciences"/>
    <n v="1"/>
    <n v="0"/>
    <n v="0"/>
    <n v="0"/>
    <n v="0"/>
    <x v="2"/>
    <s v="Female"/>
    <n v="1"/>
    <n v="96"/>
    <n v="3"/>
    <n v="1"/>
    <s v="Research Scientist"/>
    <n v="0"/>
    <n v="0"/>
    <n v="0"/>
    <n v="0"/>
    <n v="0"/>
    <n v="0"/>
    <n v="0"/>
    <n v="1"/>
    <n v="3"/>
    <x v="1"/>
    <n v="0"/>
    <n v="1"/>
    <n v="2543"/>
    <n v="2543"/>
    <n v="4"/>
    <x v="1"/>
    <n v="0"/>
    <n v="13"/>
    <n v="3"/>
    <n v="2"/>
    <n v="1"/>
    <n v="6"/>
    <n v="6"/>
    <n v="3"/>
    <n v="3"/>
    <n v="2"/>
    <n v="2"/>
    <n v="2"/>
    <n v="2"/>
    <n v="2"/>
    <n v="2"/>
    <n v="2"/>
    <n v="2"/>
  </r>
  <r>
    <n v="34"/>
    <n v="34"/>
    <x v="0"/>
    <n v="1"/>
    <s v="Non-Travel"/>
    <n v="0"/>
    <n v="0"/>
    <x v="0"/>
    <n v="0"/>
    <n v="1"/>
    <n v="19"/>
    <n v="19"/>
    <n v="3"/>
    <s v="Marketing"/>
    <n v="0"/>
    <n v="0"/>
    <n v="0"/>
    <n v="1"/>
    <n v="0"/>
    <x v="3"/>
    <s v="Male"/>
    <n v="0"/>
    <n v="67"/>
    <n v="4"/>
    <n v="2"/>
    <s v="Sales Executive"/>
    <n v="0"/>
    <n v="1"/>
    <n v="0"/>
    <n v="0"/>
    <n v="0"/>
    <n v="0"/>
    <n v="0"/>
    <n v="0"/>
    <n v="4"/>
    <x v="0"/>
    <n v="1"/>
    <n v="0"/>
    <n v="5304"/>
    <n v="5304"/>
    <n v="8"/>
    <x v="0"/>
    <n v="1"/>
    <n v="13"/>
    <n v="3"/>
    <n v="2"/>
    <n v="0"/>
    <n v="9"/>
    <n v="9"/>
    <n v="3"/>
    <n v="2"/>
    <n v="5"/>
    <n v="5"/>
    <n v="2"/>
    <n v="0"/>
    <n v="0"/>
    <n v="4"/>
    <n v="4"/>
    <n v="8"/>
  </r>
  <r>
    <n v="55"/>
    <n v="55"/>
    <x v="1"/>
    <n v="0"/>
    <s v="Travel_Rarely"/>
    <n v="0"/>
    <n v="1"/>
    <x v="1"/>
    <n v="1"/>
    <n v="0"/>
    <n v="2"/>
    <n v="2"/>
    <n v="3"/>
    <s v="Life Sciences"/>
    <n v="1"/>
    <n v="0"/>
    <n v="0"/>
    <n v="0"/>
    <n v="0"/>
    <x v="1"/>
    <s v="Female"/>
    <n v="1"/>
    <n v="97"/>
    <n v="3"/>
    <n v="4"/>
    <s v="Manager"/>
    <n v="0"/>
    <n v="0"/>
    <n v="0"/>
    <n v="1"/>
    <n v="0"/>
    <n v="0"/>
    <n v="0"/>
    <n v="0"/>
    <n v="4"/>
    <x v="0"/>
    <n v="1"/>
    <n v="0"/>
    <n v="16659"/>
    <n v="16659"/>
    <n v="2"/>
    <x v="0"/>
    <n v="1"/>
    <n v="13"/>
    <n v="3"/>
    <n v="3"/>
    <n v="0"/>
    <n v="30"/>
    <n v="30"/>
    <n v="2"/>
    <n v="3"/>
    <n v="5"/>
    <n v="5"/>
    <n v="4"/>
    <n v="1"/>
    <n v="1"/>
    <n v="2"/>
    <n v="2"/>
    <n v="8"/>
  </r>
  <r>
    <n v="24"/>
    <n v="24"/>
    <x v="1"/>
    <n v="0"/>
    <s v="Travel_Rarely"/>
    <n v="0"/>
    <n v="1"/>
    <x v="0"/>
    <n v="0"/>
    <n v="1"/>
    <n v="10"/>
    <n v="10"/>
    <n v="4"/>
    <s v="Marketing"/>
    <n v="0"/>
    <n v="0"/>
    <n v="0"/>
    <n v="1"/>
    <n v="0"/>
    <x v="2"/>
    <s v="Female"/>
    <n v="1"/>
    <n v="77"/>
    <n v="3"/>
    <n v="2"/>
    <s v="Sales Executive"/>
    <n v="0"/>
    <n v="1"/>
    <n v="0"/>
    <n v="0"/>
    <n v="0"/>
    <n v="0"/>
    <n v="0"/>
    <n v="0"/>
    <n v="3"/>
    <x v="2"/>
    <n v="0"/>
    <n v="0"/>
    <n v="4260"/>
    <n v="4260"/>
    <n v="1"/>
    <x v="0"/>
    <n v="1"/>
    <n v="12"/>
    <n v="3"/>
    <n v="4"/>
    <n v="1"/>
    <n v="5"/>
    <n v="5"/>
    <n v="2"/>
    <n v="4"/>
    <n v="5"/>
    <n v="5"/>
    <n v="2"/>
    <n v="0"/>
    <n v="0"/>
    <n v="3"/>
    <n v="3"/>
    <n v="6"/>
  </r>
  <r>
    <n v="30"/>
    <n v="30"/>
    <x v="1"/>
    <n v="0"/>
    <s v="Travel_Rarely"/>
    <n v="0"/>
    <n v="1"/>
    <x v="0"/>
    <n v="0"/>
    <n v="1"/>
    <n v="2"/>
    <n v="2"/>
    <n v="1"/>
    <s v="Technical Degree"/>
    <n v="0"/>
    <n v="0"/>
    <n v="0"/>
    <n v="0"/>
    <n v="1"/>
    <x v="1"/>
    <s v="Male"/>
    <n v="0"/>
    <n v="72"/>
    <n v="3"/>
    <n v="1"/>
    <s v="Sales Representative"/>
    <n v="0"/>
    <n v="0"/>
    <n v="0"/>
    <n v="0"/>
    <n v="0"/>
    <n v="0"/>
    <n v="1"/>
    <n v="0"/>
    <n v="2"/>
    <x v="1"/>
    <n v="0"/>
    <n v="1"/>
    <n v="2476"/>
    <n v="2476"/>
    <n v="1"/>
    <x v="1"/>
    <n v="0"/>
    <n v="18"/>
    <n v="3"/>
    <n v="1"/>
    <n v="1"/>
    <n v="1"/>
    <n v="1"/>
    <n v="3"/>
    <n v="3"/>
    <n v="1"/>
    <n v="1"/>
    <n v="0"/>
    <n v="0"/>
    <n v="0"/>
    <n v="0"/>
    <n v="0"/>
    <n v="0"/>
  </r>
  <r>
    <n v="26"/>
    <n v="26"/>
    <x v="0"/>
    <n v="1"/>
    <s v="Travel_Frequently"/>
    <n v="1"/>
    <n v="0"/>
    <x v="1"/>
    <n v="1"/>
    <n v="0"/>
    <n v="3"/>
    <n v="3"/>
    <n v="1"/>
    <s v="Technical Degree"/>
    <n v="0"/>
    <n v="0"/>
    <n v="0"/>
    <n v="0"/>
    <n v="1"/>
    <x v="1"/>
    <s v="Male"/>
    <n v="0"/>
    <n v="73"/>
    <n v="3"/>
    <n v="1"/>
    <s v="Research Scientist"/>
    <n v="0"/>
    <n v="0"/>
    <n v="0"/>
    <n v="0"/>
    <n v="0"/>
    <n v="0"/>
    <n v="0"/>
    <n v="1"/>
    <n v="1"/>
    <x v="0"/>
    <n v="1"/>
    <n v="0"/>
    <n v="3102"/>
    <n v="3102"/>
    <n v="0"/>
    <x v="1"/>
    <n v="0"/>
    <n v="22"/>
    <n v="4"/>
    <n v="3"/>
    <n v="0"/>
    <n v="7"/>
    <n v="7"/>
    <n v="2"/>
    <n v="3"/>
    <n v="6"/>
    <n v="6"/>
    <n v="4"/>
    <n v="0"/>
    <n v="0"/>
    <n v="4"/>
    <n v="4"/>
    <n v="4"/>
  </r>
  <r>
    <n v="22"/>
    <n v="22"/>
    <x v="1"/>
    <n v="0"/>
    <s v="Travel_Rarely"/>
    <n v="0"/>
    <n v="1"/>
    <x v="1"/>
    <n v="1"/>
    <n v="0"/>
    <n v="11"/>
    <n v="11"/>
    <n v="3"/>
    <s v="Medical"/>
    <n v="0"/>
    <n v="0"/>
    <n v="1"/>
    <n v="0"/>
    <n v="0"/>
    <x v="3"/>
    <s v="Female"/>
    <n v="1"/>
    <n v="43"/>
    <n v="3"/>
    <n v="1"/>
    <s v="Research Scientist"/>
    <n v="0"/>
    <n v="0"/>
    <n v="0"/>
    <n v="0"/>
    <n v="0"/>
    <n v="0"/>
    <n v="0"/>
    <n v="1"/>
    <n v="2"/>
    <x v="1"/>
    <n v="0"/>
    <n v="1"/>
    <n v="2244"/>
    <n v="2244"/>
    <n v="1"/>
    <x v="1"/>
    <n v="0"/>
    <n v="13"/>
    <n v="3"/>
    <n v="4"/>
    <n v="1"/>
    <n v="2"/>
    <n v="2"/>
    <n v="1"/>
    <n v="3"/>
    <n v="2"/>
    <n v="2"/>
    <n v="1"/>
    <n v="1"/>
    <n v="1"/>
    <n v="2"/>
    <n v="2"/>
    <n v="2"/>
  </r>
  <r>
    <n v="36"/>
    <n v="36"/>
    <x v="1"/>
    <n v="0"/>
    <s v="Travel_Rarely"/>
    <n v="0"/>
    <n v="1"/>
    <x v="0"/>
    <n v="0"/>
    <n v="1"/>
    <n v="2"/>
    <n v="2"/>
    <n v="2"/>
    <s v="Medical"/>
    <n v="0"/>
    <n v="0"/>
    <n v="1"/>
    <n v="0"/>
    <n v="0"/>
    <x v="0"/>
    <s v="Male"/>
    <n v="0"/>
    <n v="61"/>
    <n v="2"/>
    <n v="3"/>
    <s v="Sales Executive"/>
    <n v="0"/>
    <n v="1"/>
    <n v="0"/>
    <n v="0"/>
    <n v="0"/>
    <n v="0"/>
    <n v="0"/>
    <n v="0"/>
    <n v="3"/>
    <x v="1"/>
    <n v="0"/>
    <n v="1"/>
    <n v="7596"/>
    <n v="7596"/>
    <n v="1"/>
    <x v="1"/>
    <n v="0"/>
    <n v="13"/>
    <n v="3"/>
    <n v="2"/>
    <n v="2"/>
    <n v="10"/>
    <n v="10"/>
    <n v="2"/>
    <n v="3"/>
    <n v="10"/>
    <n v="10"/>
    <n v="9"/>
    <n v="9"/>
    <n v="9"/>
    <n v="0"/>
    <n v="0"/>
    <n v="0"/>
  </r>
  <r>
    <n v="30"/>
    <n v="30"/>
    <x v="0"/>
    <n v="1"/>
    <s v="Travel_Frequently"/>
    <n v="1"/>
    <n v="0"/>
    <x v="1"/>
    <n v="1"/>
    <n v="0"/>
    <n v="4"/>
    <n v="4"/>
    <n v="3"/>
    <s v="Technical Degree"/>
    <n v="0"/>
    <n v="0"/>
    <n v="0"/>
    <n v="0"/>
    <n v="1"/>
    <x v="1"/>
    <s v="Male"/>
    <n v="0"/>
    <n v="40"/>
    <n v="3"/>
    <n v="1"/>
    <s v="Research Scientist"/>
    <n v="0"/>
    <n v="0"/>
    <n v="0"/>
    <n v="0"/>
    <n v="0"/>
    <n v="0"/>
    <n v="0"/>
    <n v="1"/>
    <n v="4"/>
    <x v="0"/>
    <n v="1"/>
    <n v="0"/>
    <n v="2285"/>
    <n v="2285"/>
    <n v="9"/>
    <x v="0"/>
    <n v="1"/>
    <n v="23"/>
    <n v="4"/>
    <n v="3"/>
    <n v="0"/>
    <n v="3"/>
    <n v="3"/>
    <n v="4"/>
    <n v="3"/>
    <n v="1"/>
    <n v="1"/>
    <n v="0"/>
    <n v="0"/>
    <n v="0"/>
    <n v="0"/>
    <n v="0"/>
    <n v="0"/>
  </r>
  <r>
    <n v="37"/>
    <n v="37"/>
    <x v="1"/>
    <n v="0"/>
    <s v="Travel_Rarely"/>
    <n v="0"/>
    <n v="1"/>
    <x v="1"/>
    <n v="1"/>
    <n v="0"/>
    <n v="14"/>
    <n v="14"/>
    <n v="3"/>
    <s v="Life Sciences"/>
    <n v="1"/>
    <n v="0"/>
    <n v="0"/>
    <n v="0"/>
    <n v="0"/>
    <x v="2"/>
    <s v="Female"/>
    <n v="1"/>
    <n v="95"/>
    <n v="3"/>
    <n v="1"/>
    <s v="Laboratory Technician"/>
    <n v="0"/>
    <n v="0"/>
    <n v="1"/>
    <n v="0"/>
    <n v="0"/>
    <n v="0"/>
    <n v="0"/>
    <n v="0"/>
    <n v="1"/>
    <x v="2"/>
    <n v="0"/>
    <n v="0"/>
    <n v="3034"/>
    <n v="3034"/>
    <n v="1"/>
    <x v="1"/>
    <n v="0"/>
    <n v="12"/>
    <n v="3"/>
    <n v="3"/>
    <n v="1"/>
    <n v="18"/>
    <n v="18"/>
    <n v="2"/>
    <n v="2"/>
    <n v="18"/>
    <n v="18"/>
    <n v="7"/>
    <n v="12"/>
    <n v="12"/>
    <n v="17"/>
    <n v="14"/>
    <n v="14"/>
  </r>
  <r>
    <n v="40"/>
    <n v="40"/>
    <x v="1"/>
    <n v="0"/>
    <s v="Travel_Rarely"/>
    <n v="0"/>
    <n v="1"/>
    <x v="0"/>
    <n v="0"/>
    <n v="1"/>
    <n v="2"/>
    <n v="2"/>
    <n v="2"/>
    <s v="Marketing"/>
    <n v="0"/>
    <n v="0"/>
    <n v="0"/>
    <n v="1"/>
    <n v="0"/>
    <x v="2"/>
    <s v="Female"/>
    <n v="1"/>
    <n v="46"/>
    <n v="3"/>
    <n v="2"/>
    <s v="Sales Executive"/>
    <n v="0"/>
    <n v="1"/>
    <n v="0"/>
    <n v="0"/>
    <n v="0"/>
    <n v="0"/>
    <n v="0"/>
    <n v="0"/>
    <n v="2"/>
    <x v="2"/>
    <n v="0"/>
    <n v="0"/>
    <n v="5715"/>
    <n v="5715"/>
    <n v="7"/>
    <x v="1"/>
    <n v="0"/>
    <n v="12"/>
    <n v="3"/>
    <n v="3"/>
    <n v="2"/>
    <n v="8"/>
    <n v="8"/>
    <n v="5"/>
    <n v="3"/>
    <n v="5"/>
    <n v="5"/>
    <n v="4"/>
    <n v="1"/>
    <n v="1"/>
    <n v="3"/>
    <n v="3"/>
    <n v="6"/>
  </r>
  <r>
    <n v="42"/>
    <n v="42"/>
    <x v="1"/>
    <n v="0"/>
    <s v="Travel_Rarely"/>
    <n v="0"/>
    <n v="1"/>
    <x v="1"/>
    <n v="1"/>
    <n v="0"/>
    <n v="1"/>
    <n v="1"/>
    <n v="4"/>
    <s v="Life Sciences"/>
    <n v="1"/>
    <n v="0"/>
    <n v="0"/>
    <n v="0"/>
    <n v="0"/>
    <x v="0"/>
    <s v="Female"/>
    <n v="1"/>
    <n v="95"/>
    <n v="3"/>
    <n v="1"/>
    <s v="Laboratory Technician"/>
    <n v="0"/>
    <n v="0"/>
    <n v="1"/>
    <n v="0"/>
    <n v="0"/>
    <n v="0"/>
    <n v="0"/>
    <n v="0"/>
    <n v="1"/>
    <x v="2"/>
    <n v="0"/>
    <n v="0"/>
    <n v="2576"/>
    <n v="2576"/>
    <n v="3"/>
    <x v="1"/>
    <n v="0"/>
    <n v="16"/>
    <n v="3"/>
    <n v="2"/>
    <n v="1"/>
    <n v="8"/>
    <n v="8"/>
    <n v="5"/>
    <n v="3"/>
    <n v="5"/>
    <n v="5"/>
    <n v="2"/>
    <n v="1"/>
    <n v="1"/>
    <n v="2"/>
    <n v="2"/>
    <n v="2"/>
  </r>
  <r>
    <n v="37"/>
    <n v="37"/>
    <x v="1"/>
    <n v="0"/>
    <s v="Travel_Rarely"/>
    <n v="0"/>
    <n v="1"/>
    <x v="1"/>
    <n v="1"/>
    <n v="0"/>
    <n v="10"/>
    <n v="10"/>
    <n v="4"/>
    <s v="Life Sciences"/>
    <n v="1"/>
    <n v="0"/>
    <n v="0"/>
    <n v="0"/>
    <n v="0"/>
    <x v="1"/>
    <s v="Male"/>
    <n v="0"/>
    <n v="49"/>
    <n v="3"/>
    <n v="2"/>
    <s v="Manufacturing Director"/>
    <n v="0"/>
    <n v="0"/>
    <n v="0"/>
    <n v="0"/>
    <n v="1"/>
    <n v="1"/>
    <n v="0"/>
    <n v="0"/>
    <n v="2"/>
    <x v="0"/>
    <n v="1"/>
    <n v="0"/>
    <n v="4197"/>
    <n v="4197"/>
    <n v="2"/>
    <x v="0"/>
    <n v="1"/>
    <n v="12"/>
    <n v="3"/>
    <n v="4"/>
    <n v="0"/>
    <n v="18"/>
    <n v="18"/>
    <n v="2"/>
    <n v="2"/>
    <n v="1"/>
    <n v="1"/>
    <n v="0"/>
    <n v="0"/>
    <n v="0"/>
    <n v="1"/>
    <n v="1"/>
    <n v="2"/>
  </r>
  <r>
    <n v="43"/>
    <n v="43"/>
    <x v="1"/>
    <n v="0"/>
    <s v="Travel_Rarely"/>
    <n v="0"/>
    <n v="1"/>
    <x v="1"/>
    <n v="1"/>
    <n v="0"/>
    <n v="12"/>
    <n v="12"/>
    <n v="3"/>
    <s v="Life Sciences"/>
    <n v="1"/>
    <n v="0"/>
    <n v="0"/>
    <n v="0"/>
    <n v="0"/>
    <x v="3"/>
    <s v="Male"/>
    <n v="0"/>
    <n v="59"/>
    <n v="2"/>
    <n v="4"/>
    <s v="Research Director"/>
    <n v="0"/>
    <n v="0"/>
    <n v="0"/>
    <n v="0"/>
    <n v="0"/>
    <n v="0"/>
    <n v="0"/>
    <n v="0"/>
    <n v="2"/>
    <x v="2"/>
    <n v="0"/>
    <n v="0"/>
    <n v="14336"/>
    <n v="14336"/>
    <n v="1"/>
    <x v="1"/>
    <n v="0"/>
    <n v="11"/>
    <n v="3"/>
    <n v="3"/>
    <n v="1"/>
    <n v="25"/>
    <n v="25"/>
    <n v="3"/>
    <n v="3"/>
    <n v="25"/>
    <n v="25"/>
    <n v="10"/>
    <n v="3"/>
    <n v="3"/>
    <n v="9"/>
    <n v="9"/>
    <n v="36"/>
  </r>
  <r>
    <n v="40"/>
    <n v="40"/>
    <x v="1"/>
    <n v="0"/>
    <s v="Travel_Rarely"/>
    <n v="0"/>
    <n v="1"/>
    <x v="1"/>
    <n v="1"/>
    <n v="0"/>
    <n v="2"/>
    <n v="2"/>
    <n v="3"/>
    <s v="Medical"/>
    <n v="0"/>
    <n v="0"/>
    <n v="1"/>
    <n v="0"/>
    <n v="0"/>
    <x v="0"/>
    <s v="Female"/>
    <n v="1"/>
    <n v="78"/>
    <n v="2"/>
    <n v="2"/>
    <s v="Laboratory Technician"/>
    <n v="0"/>
    <n v="0"/>
    <n v="1"/>
    <n v="0"/>
    <n v="0"/>
    <n v="0"/>
    <n v="0"/>
    <n v="0"/>
    <n v="3"/>
    <x v="1"/>
    <n v="0"/>
    <n v="1"/>
    <n v="3448"/>
    <n v="3448"/>
    <n v="6"/>
    <x v="1"/>
    <n v="0"/>
    <n v="22"/>
    <n v="4"/>
    <n v="2"/>
    <n v="1"/>
    <n v="20"/>
    <n v="20"/>
    <n v="3"/>
    <n v="3"/>
    <n v="1"/>
    <n v="1"/>
    <n v="0"/>
    <n v="0"/>
    <n v="0"/>
    <n v="0"/>
    <n v="0"/>
    <n v="0"/>
  </r>
  <r>
    <n v="54"/>
    <n v="54"/>
    <x v="1"/>
    <n v="0"/>
    <s v="Travel_Rarely"/>
    <n v="0"/>
    <n v="1"/>
    <x v="1"/>
    <n v="1"/>
    <n v="0"/>
    <n v="5"/>
    <n v="5"/>
    <n v="2"/>
    <s v="Medical"/>
    <n v="0"/>
    <n v="0"/>
    <n v="1"/>
    <n v="0"/>
    <n v="0"/>
    <x v="3"/>
    <s v="Male"/>
    <n v="0"/>
    <n v="86"/>
    <n v="3"/>
    <n v="5"/>
    <s v="Research Director"/>
    <n v="0"/>
    <n v="0"/>
    <n v="0"/>
    <n v="0"/>
    <n v="0"/>
    <n v="0"/>
    <n v="0"/>
    <n v="0"/>
    <n v="1"/>
    <x v="1"/>
    <n v="0"/>
    <n v="1"/>
    <n v="19406"/>
    <n v="19406"/>
    <n v="4"/>
    <x v="1"/>
    <n v="0"/>
    <n v="11"/>
    <n v="3"/>
    <n v="3"/>
    <n v="1"/>
    <n v="24"/>
    <n v="24"/>
    <n v="4"/>
    <n v="2"/>
    <n v="4"/>
    <n v="4"/>
    <n v="2"/>
    <n v="1"/>
    <n v="1"/>
    <n v="2"/>
    <n v="2"/>
    <n v="10"/>
  </r>
  <r>
    <n v="34"/>
    <n v="34"/>
    <x v="1"/>
    <n v="0"/>
    <s v="Non-Travel"/>
    <n v="0"/>
    <n v="0"/>
    <x v="0"/>
    <n v="0"/>
    <n v="1"/>
    <n v="4"/>
    <n v="4"/>
    <n v="4"/>
    <s v="Marketing"/>
    <n v="0"/>
    <n v="0"/>
    <n v="0"/>
    <n v="1"/>
    <n v="0"/>
    <x v="1"/>
    <s v="Female"/>
    <n v="1"/>
    <n v="72"/>
    <n v="3"/>
    <n v="2"/>
    <s v="Sales Executive"/>
    <n v="0"/>
    <n v="1"/>
    <n v="0"/>
    <n v="0"/>
    <n v="0"/>
    <n v="0"/>
    <n v="0"/>
    <n v="0"/>
    <n v="3"/>
    <x v="1"/>
    <n v="0"/>
    <n v="1"/>
    <n v="6538"/>
    <n v="6538"/>
    <n v="9"/>
    <x v="1"/>
    <n v="0"/>
    <n v="15"/>
    <n v="3"/>
    <n v="1"/>
    <n v="1"/>
    <n v="6"/>
    <n v="6"/>
    <n v="3"/>
    <n v="3"/>
    <n v="3"/>
    <n v="3"/>
    <n v="2"/>
    <n v="1"/>
    <n v="1"/>
    <n v="2"/>
    <n v="2"/>
    <n v="4"/>
  </r>
  <r>
    <n v="31"/>
    <n v="31"/>
    <x v="1"/>
    <n v="0"/>
    <s v="Travel_Rarely"/>
    <n v="0"/>
    <n v="1"/>
    <x v="1"/>
    <n v="1"/>
    <n v="0"/>
    <n v="7"/>
    <n v="7"/>
    <n v="2"/>
    <s v="Medical"/>
    <n v="0"/>
    <n v="0"/>
    <n v="1"/>
    <n v="0"/>
    <n v="0"/>
    <x v="0"/>
    <s v="Female"/>
    <n v="1"/>
    <n v="31"/>
    <n v="3"/>
    <n v="2"/>
    <s v="Manufacturing Director"/>
    <n v="0"/>
    <n v="0"/>
    <n v="0"/>
    <n v="0"/>
    <n v="1"/>
    <n v="1"/>
    <n v="0"/>
    <n v="0"/>
    <n v="1"/>
    <x v="1"/>
    <n v="0"/>
    <n v="1"/>
    <n v="4306"/>
    <n v="4306"/>
    <n v="1"/>
    <x v="1"/>
    <n v="0"/>
    <n v="12"/>
    <n v="3"/>
    <n v="2"/>
    <n v="1"/>
    <n v="13"/>
    <n v="13"/>
    <n v="5"/>
    <n v="1"/>
    <n v="13"/>
    <n v="13"/>
    <n v="10"/>
    <n v="3"/>
    <n v="3"/>
    <n v="12"/>
    <n v="12"/>
    <n v="24"/>
  </r>
  <r>
    <n v="43"/>
    <n v="43"/>
    <x v="1"/>
    <n v="0"/>
    <s v="Travel_Frequently"/>
    <n v="1"/>
    <n v="0"/>
    <x v="1"/>
    <n v="1"/>
    <n v="0"/>
    <n v="21"/>
    <n v="21"/>
    <n v="3"/>
    <s v="Medical"/>
    <n v="0"/>
    <n v="0"/>
    <n v="1"/>
    <n v="0"/>
    <n v="0"/>
    <x v="2"/>
    <s v="Male"/>
    <n v="0"/>
    <n v="61"/>
    <n v="3"/>
    <n v="1"/>
    <s v="Laboratory Technician"/>
    <n v="0"/>
    <n v="0"/>
    <n v="1"/>
    <n v="0"/>
    <n v="0"/>
    <n v="0"/>
    <n v="0"/>
    <n v="0"/>
    <n v="4"/>
    <x v="1"/>
    <n v="0"/>
    <n v="1"/>
    <n v="2258"/>
    <n v="2258"/>
    <n v="7"/>
    <x v="1"/>
    <n v="0"/>
    <n v="20"/>
    <n v="4"/>
    <n v="1"/>
    <n v="1"/>
    <n v="8"/>
    <n v="8"/>
    <n v="1"/>
    <n v="3"/>
    <n v="3"/>
    <n v="3"/>
    <n v="2"/>
    <n v="1"/>
    <n v="1"/>
    <n v="2"/>
    <n v="2"/>
    <n v="2"/>
  </r>
  <r>
    <n v="43"/>
    <n v="43"/>
    <x v="1"/>
    <n v="0"/>
    <s v="Travel_Rarely"/>
    <n v="0"/>
    <n v="1"/>
    <x v="1"/>
    <n v="1"/>
    <n v="0"/>
    <n v="8"/>
    <n v="8"/>
    <n v="4"/>
    <s v="Other"/>
    <n v="0"/>
    <n v="1"/>
    <n v="0"/>
    <n v="0"/>
    <n v="0"/>
    <x v="1"/>
    <s v="Female"/>
    <n v="1"/>
    <n v="74"/>
    <n v="3"/>
    <n v="2"/>
    <s v="Healthcare Representative"/>
    <n v="1"/>
    <n v="0"/>
    <n v="0"/>
    <n v="0"/>
    <n v="0"/>
    <n v="0"/>
    <n v="0"/>
    <n v="0"/>
    <n v="3"/>
    <x v="2"/>
    <n v="0"/>
    <n v="0"/>
    <n v="4522"/>
    <n v="4522"/>
    <n v="4"/>
    <x v="0"/>
    <n v="1"/>
    <n v="14"/>
    <n v="3"/>
    <n v="4"/>
    <n v="0"/>
    <n v="8"/>
    <n v="8"/>
    <n v="3"/>
    <n v="3"/>
    <n v="5"/>
    <n v="5"/>
    <n v="2"/>
    <n v="0"/>
    <n v="0"/>
    <n v="2"/>
    <n v="2"/>
    <n v="4"/>
  </r>
  <r>
    <n v="25"/>
    <n v="25"/>
    <x v="1"/>
    <n v="0"/>
    <s v="Travel_Rarely"/>
    <n v="0"/>
    <n v="1"/>
    <x v="0"/>
    <n v="0"/>
    <n v="1"/>
    <n v="4"/>
    <n v="4"/>
    <n v="2"/>
    <s v="Life Sciences"/>
    <n v="1"/>
    <n v="0"/>
    <n v="0"/>
    <n v="0"/>
    <n v="0"/>
    <x v="0"/>
    <s v="Female"/>
    <n v="1"/>
    <n v="99"/>
    <n v="2"/>
    <n v="2"/>
    <s v="Sales Executive"/>
    <n v="0"/>
    <n v="1"/>
    <n v="0"/>
    <n v="0"/>
    <n v="0"/>
    <n v="0"/>
    <n v="0"/>
    <n v="0"/>
    <n v="4"/>
    <x v="0"/>
    <n v="1"/>
    <n v="0"/>
    <n v="4487"/>
    <n v="4487"/>
    <n v="1"/>
    <x v="0"/>
    <n v="1"/>
    <n v="11"/>
    <n v="3"/>
    <n v="2"/>
    <n v="0"/>
    <n v="5"/>
    <n v="5"/>
    <n v="3"/>
    <n v="3"/>
    <n v="5"/>
    <n v="5"/>
    <n v="4"/>
    <n v="1"/>
    <n v="1"/>
    <n v="3"/>
    <n v="3"/>
    <n v="6"/>
  </r>
  <r>
    <n v="37"/>
    <n v="37"/>
    <x v="1"/>
    <n v="0"/>
    <s v="Non-Travel"/>
    <n v="0"/>
    <n v="0"/>
    <x v="1"/>
    <n v="1"/>
    <n v="0"/>
    <n v="25"/>
    <n v="25"/>
    <n v="5"/>
    <s v="Medical"/>
    <n v="0"/>
    <n v="0"/>
    <n v="1"/>
    <n v="0"/>
    <n v="0"/>
    <x v="0"/>
    <s v="Female"/>
    <n v="1"/>
    <n v="72"/>
    <n v="3"/>
    <n v="2"/>
    <s v="Research Scientist"/>
    <n v="0"/>
    <n v="0"/>
    <n v="0"/>
    <n v="0"/>
    <n v="0"/>
    <n v="0"/>
    <n v="0"/>
    <n v="1"/>
    <n v="3"/>
    <x v="1"/>
    <n v="0"/>
    <n v="1"/>
    <n v="4449"/>
    <n v="4449"/>
    <n v="3"/>
    <x v="0"/>
    <n v="1"/>
    <n v="15"/>
    <n v="3"/>
    <n v="1"/>
    <n v="2"/>
    <n v="15"/>
    <n v="15"/>
    <n v="2"/>
    <n v="3"/>
    <n v="13"/>
    <n v="13"/>
    <n v="11"/>
    <n v="10"/>
    <n v="10"/>
    <n v="7"/>
    <n v="7"/>
    <n v="14"/>
  </r>
  <r>
    <n v="31"/>
    <n v="31"/>
    <x v="1"/>
    <n v="0"/>
    <s v="Travel_Rarely"/>
    <n v="0"/>
    <n v="1"/>
    <x v="1"/>
    <n v="1"/>
    <n v="0"/>
    <n v="1"/>
    <n v="1"/>
    <n v="2"/>
    <s v="Life Sciences"/>
    <n v="1"/>
    <n v="0"/>
    <n v="0"/>
    <n v="0"/>
    <n v="0"/>
    <x v="2"/>
    <s v="Male"/>
    <n v="0"/>
    <n v="98"/>
    <n v="2"/>
    <n v="1"/>
    <s v="Laboratory Technician"/>
    <n v="0"/>
    <n v="0"/>
    <n v="1"/>
    <n v="0"/>
    <n v="0"/>
    <n v="0"/>
    <n v="0"/>
    <n v="0"/>
    <n v="1"/>
    <x v="1"/>
    <n v="0"/>
    <n v="1"/>
    <n v="2218"/>
    <n v="2218"/>
    <n v="1"/>
    <x v="1"/>
    <n v="0"/>
    <n v="12"/>
    <n v="3"/>
    <n v="3"/>
    <n v="1"/>
    <n v="4"/>
    <n v="4"/>
    <n v="3"/>
    <n v="3"/>
    <n v="4"/>
    <n v="4"/>
    <n v="2"/>
    <n v="3"/>
    <n v="3"/>
    <n v="2"/>
    <n v="2"/>
    <n v="2"/>
  </r>
  <r>
    <n v="39"/>
    <n v="39"/>
    <x v="1"/>
    <n v="0"/>
    <s v="Travel_Frequently"/>
    <n v="1"/>
    <n v="0"/>
    <x v="1"/>
    <n v="1"/>
    <n v="0"/>
    <n v="1"/>
    <n v="1"/>
    <n v="1"/>
    <s v="Life Sciences"/>
    <n v="1"/>
    <n v="0"/>
    <n v="0"/>
    <n v="0"/>
    <n v="0"/>
    <x v="0"/>
    <s v="Male"/>
    <n v="0"/>
    <n v="52"/>
    <n v="3"/>
    <n v="5"/>
    <s v="Manager"/>
    <n v="0"/>
    <n v="0"/>
    <n v="0"/>
    <n v="1"/>
    <n v="0"/>
    <n v="0"/>
    <n v="0"/>
    <n v="0"/>
    <n v="3"/>
    <x v="2"/>
    <n v="0"/>
    <n v="0"/>
    <n v="19197"/>
    <n v="19197"/>
    <n v="1"/>
    <x v="0"/>
    <n v="1"/>
    <n v="14"/>
    <n v="3"/>
    <n v="3"/>
    <n v="1"/>
    <n v="21"/>
    <n v="21"/>
    <n v="3"/>
    <n v="3"/>
    <n v="21"/>
    <n v="21"/>
    <n v="8"/>
    <n v="1"/>
    <n v="1"/>
    <n v="6"/>
    <n v="6"/>
    <n v="30"/>
  </r>
  <r>
    <n v="56"/>
    <n v="56"/>
    <x v="1"/>
    <n v="0"/>
    <s v="Travel_Frequently"/>
    <n v="1"/>
    <n v="0"/>
    <x v="0"/>
    <n v="0"/>
    <n v="1"/>
    <n v="6"/>
    <n v="6"/>
    <n v="3"/>
    <s v="Life Sciences"/>
    <n v="1"/>
    <n v="0"/>
    <n v="0"/>
    <n v="0"/>
    <n v="0"/>
    <x v="1"/>
    <s v="Female"/>
    <n v="1"/>
    <n v="86"/>
    <n v="4"/>
    <n v="4"/>
    <s v="Sales Executive"/>
    <n v="0"/>
    <n v="1"/>
    <n v="0"/>
    <n v="0"/>
    <n v="0"/>
    <n v="0"/>
    <n v="0"/>
    <n v="0"/>
    <n v="1"/>
    <x v="1"/>
    <n v="0"/>
    <n v="1"/>
    <n v="13212"/>
    <n v="13212"/>
    <n v="9"/>
    <x v="1"/>
    <n v="0"/>
    <n v="11"/>
    <n v="3"/>
    <n v="4"/>
    <n v="3"/>
    <n v="36"/>
    <n v="35"/>
    <n v="0"/>
    <n v="2"/>
    <n v="7"/>
    <n v="7"/>
    <n v="7"/>
    <n v="7"/>
    <n v="7"/>
    <n v="7"/>
    <n v="7"/>
    <n v="28"/>
  </r>
  <r>
    <n v="30"/>
    <n v="30"/>
    <x v="1"/>
    <n v="0"/>
    <s v="Travel_Rarely"/>
    <n v="0"/>
    <n v="1"/>
    <x v="0"/>
    <n v="0"/>
    <n v="1"/>
    <n v="12"/>
    <n v="12"/>
    <n v="3"/>
    <s v="Technical Degree"/>
    <n v="0"/>
    <n v="0"/>
    <n v="0"/>
    <n v="0"/>
    <n v="1"/>
    <x v="0"/>
    <s v="Female"/>
    <n v="1"/>
    <n v="83"/>
    <n v="3"/>
    <n v="2"/>
    <s v="Sales Executive"/>
    <n v="0"/>
    <n v="1"/>
    <n v="0"/>
    <n v="0"/>
    <n v="0"/>
    <n v="0"/>
    <n v="0"/>
    <n v="0"/>
    <n v="3"/>
    <x v="0"/>
    <n v="1"/>
    <n v="0"/>
    <n v="6577"/>
    <n v="6577"/>
    <n v="0"/>
    <x v="1"/>
    <n v="0"/>
    <n v="11"/>
    <n v="3"/>
    <n v="2"/>
    <n v="0"/>
    <n v="6"/>
    <n v="6"/>
    <n v="6"/>
    <n v="3"/>
    <n v="5"/>
    <n v="5"/>
    <n v="4"/>
    <n v="4"/>
    <n v="4"/>
    <n v="4"/>
    <n v="4"/>
    <n v="8"/>
  </r>
  <r>
    <n v="41"/>
    <n v="41"/>
    <x v="1"/>
    <n v="0"/>
    <s v="Travel_Rarely"/>
    <n v="0"/>
    <n v="1"/>
    <x v="0"/>
    <n v="0"/>
    <n v="1"/>
    <n v="1"/>
    <n v="1"/>
    <n v="3"/>
    <s v="Marketing"/>
    <n v="0"/>
    <n v="0"/>
    <n v="0"/>
    <n v="1"/>
    <n v="0"/>
    <x v="0"/>
    <s v="Male"/>
    <n v="0"/>
    <n v="49"/>
    <n v="4"/>
    <n v="3"/>
    <s v="Sales Executive"/>
    <n v="0"/>
    <n v="1"/>
    <n v="0"/>
    <n v="0"/>
    <n v="0"/>
    <n v="0"/>
    <n v="0"/>
    <n v="0"/>
    <n v="1"/>
    <x v="1"/>
    <n v="0"/>
    <n v="1"/>
    <n v="8392"/>
    <n v="8392"/>
    <n v="1"/>
    <x v="1"/>
    <n v="0"/>
    <n v="16"/>
    <n v="3"/>
    <n v="3"/>
    <n v="1"/>
    <n v="10"/>
    <n v="10"/>
    <n v="2"/>
    <n v="3"/>
    <n v="10"/>
    <n v="10"/>
    <n v="7"/>
    <n v="0"/>
    <n v="0"/>
    <n v="7"/>
    <n v="7"/>
    <n v="21"/>
  </r>
  <r>
    <n v="28"/>
    <n v="28"/>
    <x v="1"/>
    <n v="0"/>
    <s v="Travel_Rarely"/>
    <n v="0"/>
    <n v="1"/>
    <x v="1"/>
    <n v="1"/>
    <n v="0"/>
    <n v="17"/>
    <n v="17"/>
    <n v="2"/>
    <s v="Medical"/>
    <n v="0"/>
    <n v="0"/>
    <n v="1"/>
    <n v="0"/>
    <n v="0"/>
    <x v="1"/>
    <s v="Male"/>
    <n v="0"/>
    <n v="79"/>
    <n v="3"/>
    <n v="2"/>
    <s v="Laboratory Technician"/>
    <n v="0"/>
    <n v="0"/>
    <n v="1"/>
    <n v="0"/>
    <n v="0"/>
    <n v="0"/>
    <n v="0"/>
    <n v="0"/>
    <n v="1"/>
    <x v="2"/>
    <n v="0"/>
    <n v="0"/>
    <n v="4558"/>
    <n v="4558"/>
    <n v="1"/>
    <x v="1"/>
    <n v="0"/>
    <n v="12"/>
    <n v="3"/>
    <n v="4"/>
    <n v="1"/>
    <n v="10"/>
    <n v="10"/>
    <n v="2"/>
    <n v="3"/>
    <n v="10"/>
    <n v="10"/>
    <n v="0"/>
    <n v="1"/>
    <n v="1"/>
    <n v="8"/>
    <n v="8"/>
    <n v="16"/>
  </r>
  <r>
    <n v="25"/>
    <n v="25"/>
    <x v="0"/>
    <n v="1"/>
    <s v="Travel_Rarely"/>
    <n v="0"/>
    <n v="1"/>
    <x v="1"/>
    <n v="1"/>
    <n v="0"/>
    <n v="3"/>
    <n v="3"/>
    <n v="3"/>
    <s v="Medical"/>
    <n v="0"/>
    <n v="0"/>
    <n v="1"/>
    <n v="0"/>
    <n v="0"/>
    <x v="3"/>
    <s v="Male"/>
    <n v="0"/>
    <n v="91"/>
    <n v="3"/>
    <n v="1"/>
    <s v="Laboratory Technician"/>
    <n v="0"/>
    <n v="0"/>
    <n v="1"/>
    <n v="0"/>
    <n v="0"/>
    <n v="0"/>
    <n v="0"/>
    <n v="0"/>
    <n v="1"/>
    <x v="1"/>
    <n v="0"/>
    <n v="1"/>
    <n v="4031"/>
    <n v="4031"/>
    <n v="5"/>
    <x v="1"/>
    <n v="0"/>
    <n v="13"/>
    <n v="3"/>
    <n v="3"/>
    <n v="1"/>
    <n v="6"/>
    <n v="6"/>
    <n v="5"/>
    <n v="3"/>
    <n v="2"/>
    <n v="2"/>
    <n v="2"/>
    <n v="0"/>
    <n v="0"/>
    <n v="2"/>
    <n v="2"/>
    <n v="2"/>
  </r>
  <r>
    <n v="52"/>
    <n v="52"/>
    <x v="1"/>
    <n v="0"/>
    <s v="Travel_Rarely"/>
    <n v="0"/>
    <n v="1"/>
    <x v="1"/>
    <n v="1"/>
    <n v="0"/>
    <n v="3"/>
    <n v="3"/>
    <n v="3"/>
    <s v="Medical"/>
    <n v="0"/>
    <n v="0"/>
    <n v="1"/>
    <n v="0"/>
    <n v="0"/>
    <x v="2"/>
    <s v="Male"/>
    <n v="0"/>
    <n v="39"/>
    <n v="2"/>
    <n v="3"/>
    <s v="Manufacturing Director"/>
    <n v="0"/>
    <n v="0"/>
    <n v="0"/>
    <n v="0"/>
    <n v="1"/>
    <n v="1"/>
    <n v="0"/>
    <n v="0"/>
    <n v="3"/>
    <x v="1"/>
    <n v="0"/>
    <n v="1"/>
    <n v="7969"/>
    <n v="7969"/>
    <n v="2"/>
    <x v="0"/>
    <n v="1"/>
    <n v="14"/>
    <n v="3"/>
    <n v="3"/>
    <n v="0"/>
    <n v="28"/>
    <n v="28"/>
    <n v="4"/>
    <n v="3"/>
    <n v="5"/>
    <n v="5"/>
    <n v="4"/>
    <n v="0"/>
    <n v="0"/>
    <n v="4"/>
    <n v="4"/>
    <n v="12"/>
  </r>
  <r>
    <n v="45"/>
    <n v="45"/>
    <x v="1"/>
    <n v="0"/>
    <s v="Travel_Rarely"/>
    <n v="0"/>
    <n v="1"/>
    <x v="1"/>
    <n v="1"/>
    <n v="0"/>
    <n v="10"/>
    <n v="10"/>
    <n v="2"/>
    <s v="Life Sciences"/>
    <n v="1"/>
    <n v="0"/>
    <n v="0"/>
    <n v="0"/>
    <n v="0"/>
    <x v="3"/>
    <s v="Male"/>
    <n v="0"/>
    <n v="69"/>
    <n v="3"/>
    <n v="1"/>
    <s v="Research Scientist"/>
    <n v="0"/>
    <n v="0"/>
    <n v="0"/>
    <n v="0"/>
    <n v="0"/>
    <n v="0"/>
    <n v="0"/>
    <n v="1"/>
    <n v="4"/>
    <x v="1"/>
    <n v="0"/>
    <n v="1"/>
    <n v="2654"/>
    <n v="2654"/>
    <n v="3"/>
    <x v="1"/>
    <n v="0"/>
    <n v="21"/>
    <n v="4"/>
    <n v="4"/>
    <n v="2"/>
    <n v="8"/>
    <n v="8"/>
    <n v="3"/>
    <n v="2"/>
    <n v="2"/>
    <n v="2"/>
    <n v="2"/>
    <n v="0"/>
    <n v="0"/>
    <n v="2"/>
    <n v="2"/>
    <n v="2"/>
  </r>
  <r>
    <n v="52"/>
    <n v="52"/>
    <x v="1"/>
    <n v="0"/>
    <s v="Travel_Rarely"/>
    <n v="0"/>
    <n v="1"/>
    <x v="1"/>
    <n v="1"/>
    <n v="0"/>
    <n v="4"/>
    <n v="4"/>
    <n v="2"/>
    <s v="Life Sciences"/>
    <n v="1"/>
    <n v="0"/>
    <n v="0"/>
    <n v="0"/>
    <n v="0"/>
    <x v="2"/>
    <s v="Female"/>
    <n v="1"/>
    <n v="30"/>
    <n v="3"/>
    <n v="4"/>
    <s v="Manager"/>
    <n v="0"/>
    <n v="0"/>
    <n v="0"/>
    <n v="1"/>
    <n v="0"/>
    <n v="0"/>
    <n v="0"/>
    <n v="0"/>
    <n v="4"/>
    <x v="1"/>
    <n v="0"/>
    <n v="1"/>
    <n v="16555"/>
    <n v="16555"/>
    <n v="2"/>
    <x v="1"/>
    <n v="0"/>
    <n v="13"/>
    <n v="3"/>
    <n v="4"/>
    <n v="0"/>
    <n v="31"/>
    <n v="31"/>
    <n v="2"/>
    <n v="1"/>
    <n v="5"/>
    <n v="5"/>
    <n v="2"/>
    <n v="1"/>
    <n v="1"/>
    <n v="4"/>
    <n v="4"/>
    <n v="16"/>
  </r>
  <r>
    <n v="42"/>
    <n v="42"/>
    <x v="1"/>
    <n v="0"/>
    <s v="Travel_Frequently"/>
    <n v="1"/>
    <n v="0"/>
    <x v="1"/>
    <n v="1"/>
    <n v="0"/>
    <n v="29"/>
    <n v="29"/>
    <n v="2"/>
    <s v="Life Sciences"/>
    <n v="1"/>
    <n v="0"/>
    <n v="0"/>
    <n v="0"/>
    <n v="0"/>
    <x v="3"/>
    <s v="Female"/>
    <n v="1"/>
    <n v="92"/>
    <n v="3"/>
    <n v="2"/>
    <s v="Research Scientist"/>
    <n v="0"/>
    <n v="0"/>
    <n v="0"/>
    <n v="0"/>
    <n v="0"/>
    <n v="0"/>
    <n v="0"/>
    <n v="1"/>
    <n v="3"/>
    <x v="2"/>
    <n v="0"/>
    <n v="0"/>
    <n v="4556"/>
    <n v="4556"/>
    <n v="2"/>
    <x v="1"/>
    <n v="0"/>
    <n v="11"/>
    <n v="3"/>
    <n v="2"/>
    <n v="1"/>
    <n v="19"/>
    <n v="19"/>
    <n v="3"/>
    <n v="3"/>
    <n v="5"/>
    <n v="5"/>
    <n v="4"/>
    <n v="0"/>
    <n v="0"/>
    <n v="2"/>
    <n v="2"/>
    <n v="4"/>
  </r>
  <r>
    <n v="30"/>
    <n v="30"/>
    <x v="1"/>
    <n v="0"/>
    <s v="Travel_Rarely"/>
    <n v="0"/>
    <n v="1"/>
    <x v="1"/>
    <n v="1"/>
    <n v="0"/>
    <n v="2"/>
    <n v="2"/>
    <n v="3"/>
    <s v="Life Sciences"/>
    <n v="1"/>
    <n v="0"/>
    <n v="0"/>
    <n v="0"/>
    <n v="0"/>
    <x v="1"/>
    <s v="Female"/>
    <n v="1"/>
    <n v="43"/>
    <n v="1"/>
    <n v="2"/>
    <s v="Manufacturing Director"/>
    <n v="0"/>
    <n v="0"/>
    <n v="0"/>
    <n v="0"/>
    <n v="1"/>
    <n v="1"/>
    <n v="0"/>
    <n v="0"/>
    <n v="4"/>
    <x v="0"/>
    <n v="1"/>
    <n v="0"/>
    <n v="6091"/>
    <n v="6091"/>
    <n v="2"/>
    <x v="1"/>
    <n v="0"/>
    <n v="20"/>
    <n v="4"/>
    <n v="3"/>
    <n v="0"/>
    <n v="11"/>
    <n v="11"/>
    <n v="2"/>
    <n v="3"/>
    <n v="5"/>
    <n v="5"/>
    <n v="4"/>
    <n v="0"/>
    <n v="0"/>
    <n v="2"/>
    <n v="2"/>
    <n v="4"/>
  </r>
  <r>
    <n v="60"/>
    <n v="58.309999999999945"/>
    <x v="1"/>
    <n v="0"/>
    <s v="Travel_Rarely"/>
    <n v="0"/>
    <n v="1"/>
    <x v="1"/>
    <n v="1"/>
    <n v="0"/>
    <n v="7"/>
    <n v="7"/>
    <n v="3"/>
    <s v="Life Sciences"/>
    <n v="1"/>
    <n v="0"/>
    <n v="0"/>
    <n v="0"/>
    <n v="0"/>
    <x v="3"/>
    <s v="Female"/>
    <n v="1"/>
    <n v="41"/>
    <n v="3"/>
    <n v="5"/>
    <s v="Manager"/>
    <n v="0"/>
    <n v="0"/>
    <n v="0"/>
    <n v="1"/>
    <n v="0"/>
    <n v="0"/>
    <n v="0"/>
    <n v="0"/>
    <n v="1"/>
    <x v="1"/>
    <n v="0"/>
    <n v="1"/>
    <n v="19566"/>
    <n v="19566"/>
    <n v="5"/>
    <x v="1"/>
    <n v="0"/>
    <n v="11"/>
    <n v="3"/>
    <n v="4"/>
    <n v="0"/>
    <n v="33"/>
    <n v="33"/>
    <n v="5"/>
    <n v="1"/>
    <n v="29"/>
    <n v="29"/>
    <n v="8"/>
    <n v="11"/>
    <n v="11"/>
    <n v="10"/>
    <n v="10"/>
    <n v="50"/>
  </r>
  <r>
    <n v="46"/>
    <n v="46"/>
    <x v="1"/>
    <n v="0"/>
    <s v="Travel_Rarely"/>
    <n v="0"/>
    <n v="1"/>
    <x v="1"/>
    <n v="1"/>
    <n v="0"/>
    <n v="18"/>
    <n v="18"/>
    <n v="3"/>
    <s v="Medical"/>
    <n v="0"/>
    <n v="0"/>
    <n v="1"/>
    <n v="0"/>
    <n v="0"/>
    <x v="1"/>
    <s v="Female"/>
    <n v="1"/>
    <n v="87"/>
    <n v="3"/>
    <n v="2"/>
    <s v="Manufacturing Director"/>
    <n v="0"/>
    <n v="0"/>
    <n v="0"/>
    <n v="0"/>
    <n v="1"/>
    <n v="1"/>
    <n v="0"/>
    <n v="0"/>
    <n v="3"/>
    <x v="2"/>
    <n v="0"/>
    <n v="0"/>
    <n v="4810"/>
    <n v="4810"/>
    <n v="2"/>
    <x v="1"/>
    <n v="0"/>
    <n v="14"/>
    <n v="3"/>
    <n v="3"/>
    <n v="1"/>
    <n v="19"/>
    <n v="19"/>
    <n v="5"/>
    <n v="2"/>
    <n v="10"/>
    <n v="10"/>
    <n v="7"/>
    <n v="0"/>
    <n v="0"/>
    <n v="8"/>
    <n v="8"/>
    <n v="16"/>
  </r>
  <r>
    <n v="42"/>
    <n v="42"/>
    <x v="1"/>
    <n v="0"/>
    <s v="Travel_Frequently"/>
    <n v="1"/>
    <n v="0"/>
    <x v="1"/>
    <n v="1"/>
    <n v="0"/>
    <n v="28"/>
    <n v="28"/>
    <n v="4"/>
    <s v="Technical Degree"/>
    <n v="0"/>
    <n v="0"/>
    <n v="0"/>
    <n v="0"/>
    <n v="1"/>
    <x v="2"/>
    <s v="Female"/>
    <n v="1"/>
    <n v="88"/>
    <n v="2"/>
    <n v="2"/>
    <s v="Healthcare Representative"/>
    <n v="1"/>
    <n v="0"/>
    <n v="0"/>
    <n v="0"/>
    <n v="0"/>
    <n v="0"/>
    <n v="0"/>
    <n v="0"/>
    <n v="4"/>
    <x v="1"/>
    <n v="0"/>
    <n v="1"/>
    <n v="4523"/>
    <n v="4523"/>
    <n v="0"/>
    <x v="1"/>
    <n v="0"/>
    <n v="11"/>
    <n v="3"/>
    <n v="4"/>
    <n v="3"/>
    <n v="7"/>
    <n v="7"/>
    <n v="4"/>
    <n v="4"/>
    <n v="6"/>
    <n v="6"/>
    <n v="5"/>
    <n v="0"/>
    <n v="0"/>
    <n v="4"/>
    <n v="4"/>
    <n v="8"/>
  </r>
  <r>
    <n v="24"/>
    <n v="24"/>
    <x v="0"/>
    <n v="1"/>
    <s v="Travel_Rarely"/>
    <n v="0"/>
    <n v="1"/>
    <x v="0"/>
    <n v="0"/>
    <n v="1"/>
    <n v="1"/>
    <n v="1"/>
    <n v="1"/>
    <s v="Technical Degree"/>
    <n v="0"/>
    <n v="0"/>
    <n v="0"/>
    <n v="0"/>
    <n v="1"/>
    <x v="3"/>
    <s v="Female"/>
    <n v="1"/>
    <n v="62"/>
    <n v="3"/>
    <n v="1"/>
    <s v="Sales Representative"/>
    <n v="0"/>
    <n v="0"/>
    <n v="0"/>
    <n v="0"/>
    <n v="0"/>
    <n v="0"/>
    <n v="1"/>
    <n v="0"/>
    <n v="2"/>
    <x v="0"/>
    <n v="1"/>
    <n v="0"/>
    <n v="3202"/>
    <n v="3202"/>
    <n v="1"/>
    <x v="0"/>
    <n v="1"/>
    <n v="16"/>
    <n v="3"/>
    <n v="2"/>
    <n v="0"/>
    <n v="6"/>
    <n v="6"/>
    <n v="4"/>
    <n v="3"/>
    <n v="5"/>
    <n v="5"/>
    <n v="3"/>
    <n v="1"/>
    <n v="1"/>
    <n v="4"/>
    <n v="4"/>
    <n v="4"/>
  </r>
  <r>
    <n v="34"/>
    <n v="34"/>
    <x v="0"/>
    <n v="1"/>
    <s v="Travel_Frequently"/>
    <n v="1"/>
    <n v="0"/>
    <x v="0"/>
    <n v="0"/>
    <n v="1"/>
    <n v="6"/>
    <n v="6"/>
    <n v="2"/>
    <s v="Marketing"/>
    <n v="0"/>
    <n v="0"/>
    <n v="0"/>
    <n v="1"/>
    <n v="0"/>
    <x v="2"/>
    <s v="Female"/>
    <n v="1"/>
    <n v="33"/>
    <n v="1"/>
    <n v="1"/>
    <s v="Sales Representative"/>
    <n v="0"/>
    <n v="0"/>
    <n v="0"/>
    <n v="0"/>
    <n v="0"/>
    <n v="0"/>
    <n v="1"/>
    <n v="0"/>
    <n v="3"/>
    <x v="2"/>
    <n v="0"/>
    <n v="0"/>
    <n v="2351"/>
    <n v="2351"/>
    <n v="0"/>
    <x v="1"/>
    <n v="0"/>
    <n v="16"/>
    <n v="3"/>
    <n v="4"/>
    <n v="1"/>
    <n v="3"/>
    <n v="3"/>
    <n v="3"/>
    <n v="2"/>
    <n v="2"/>
    <n v="2"/>
    <n v="2"/>
    <n v="1"/>
    <n v="1"/>
    <n v="0"/>
    <n v="0"/>
    <n v="0"/>
  </r>
  <r>
    <n v="38"/>
    <n v="38"/>
    <x v="1"/>
    <n v="0"/>
    <s v="Travel_Frequently"/>
    <n v="1"/>
    <n v="0"/>
    <x v="1"/>
    <n v="1"/>
    <n v="0"/>
    <n v="2"/>
    <n v="2"/>
    <n v="2"/>
    <s v="Life Sciences"/>
    <n v="1"/>
    <n v="0"/>
    <n v="0"/>
    <n v="0"/>
    <n v="0"/>
    <x v="2"/>
    <s v="Male"/>
    <n v="0"/>
    <n v="42"/>
    <n v="3"/>
    <n v="1"/>
    <s v="Laboratory Technician"/>
    <n v="0"/>
    <n v="0"/>
    <n v="1"/>
    <n v="0"/>
    <n v="0"/>
    <n v="0"/>
    <n v="0"/>
    <n v="0"/>
    <n v="4"/>
    <x v="1"/>
    <n v="0"/>
    <n v="1"/>
    <n v="1702"/>
    <n v="1702"/>
    <n v="1"/>
    <x v="0"/>
    <n v="1"/>
    <n v="23"/>
    <n v="4"/>
    <n v="3"/>
    <n v="1"/>
    <n v="1"/>
    <n v="1"/>
    <n v="3"/>
    <n v="3"/>
    <n v="1"/>
    <n v="1"/>
    <n v="0"/>
    <n v="0"/>
    <n v="0"/>
    <n v="0"/>
    <n v="0"/>
    <n v="0"/>
  </r>
  <r>
    <n v="40"/>
    <n v="40"/>
    <x v="1"/>
    <n v="0"/>
    <s v="Travel_Rarely"/>
    <n v="0"/>
    <n v="1"/>
    <x v="0"/>
    <n v="0"/>
    <n v="1"/>
    <n v="2"/>
    <n v="2"/>
    <n v="4"/>
    <s v="Life Sciences"/>
    <n v="1"/>
    <n v="0"/>
    <n v="0"/>
    <n v="0"/>
    <n v="0"/>
    <x v="1"/>
    <s v="Female"/>
    <n v="1"/>
    <n v="79"/>
    <n v="3"/>
    <n v="5"/>
    <s v="Manager"/>
    <n v="0"/>
    <n v="0"/>
    <n v="0"/>
    <n v="1"/>
    <n v="0"/>
    <n v="0"/>
    <n v="0"/>
    <n v="0"/>
    <n v="3"/>
    <x v="1"/>
    <n v="0"/>
    <n v="1"/>
    <n v="18041"/>
    <n v="18041"/>
    <n v="0"/>
    <x v="1"/>
    <n v="0"/>
    <n v="14"/>
    <n v="3"/>
    <n v="4"/>
    <n v="0"/>
    <n v="21"/>
    <n v="21"/>
    <n v="2"/>
    <n v="3"/>
    <n v="20"/>
    <n v="20"/>
    <n v="15"/>
    <n v="1"/>
    <n v="1"/>
    <n v="12"/>
    <n v="12"/>
    <n v="60"/>
  </r>
  <r>
    <n v="26"/>
    <n v="26"/>
    <x v="1"/>
    <n v="0"/>
    <s v="Travel_Rarely"/>
    <n v="0"/>
    <n v="1"/>
    <x v="1"/>
    <n v="1"/>
    <n v="0"/>
    <n v="23"/>
    <n v="23"/>
    <n v="3"/>
    <s v="Life Sciences"/>
    <n v="1"/>
    <n v="0"/>
    <n v="0"/>
    <n v="0"/>
    <n v="0"/>
    <x v="3"/>
    <s v="Female"/>
    <n v="1"/>
    <n v="90"/>
    <n v="3"/>
    <n v="1"/>
    <s v="Research Scientist"/>
    <n v="0"/>
    <n v="0"/>
    <n v="0"/>
    <n v="0"/>
    <n v="0"/>
    <n v="0"/>
    <n v="0"/>
    <n v="1"/>
    <n v="4"/>
    <x v="2"/>
    <n v="0"/>
    <n v="0"/>
    <n v="2886"/>
    <n v="2886"/>
    <n v="1"/>
    <x v="1"/>
    <n v="0"/>
    <n v="22"/>
    <n v="4"/>
    <n v="2"/>
    <n v="2"/>
    <n v="3"/>
    <n v="3"/>
    <n v="3"/>
    <n v="1"/>
    <n v="3"/>
    <n v="3"/>
    <n v="2"/>
    <n v="0"/>
    <n v="0"/>
    <n v="2"/>
    <n v="2"/>
    <n v="2"/>
  </r>
  <r>
    <n v="30"/>
    <n v="30"/>
    <x v="1"/>
    <n v="0"/>
    <s v="Non-Travel"/>
    <n v="0"/>
    <n v="0"/>
    <x v="1"/>
    <n v="1"/>
    <n v="0"/>
    <n v="3"/>
    <n v="3"/>
    <n v="3"/>
    <s v="Life Sciences"/>
    <n v="1"/>
    <n v="0"/>
    <n v="0"/>
    <n v="0"/>
    <n v="0"/>
    <x v="1"/>
    <s v="Male"/>
    <n v="0"/>
    <n v="53"/>
    <n v="3"/>
    <n v="1"/>
    <s v="Laboratory Technician"/>
    <n v="0"/>
    <n v="0"/>
    <n v="1"/>
    <n v="0"/>
    <n v="0"/>
    <n v="0"/>
    <n v="0"/>
    <n v="0"/>
    <n v="4"/>
    <x v="1"/>
    <n v="0"/>
    <n v="1"/>
    <n v="2097"/>
    <n v="2097"/>
    <n v="4"/>
    <x v="1"/>
    <n v="0"/>
    <n v="15"/>
    <n v="3"/>
    <n v="3"/>
    <n v="1"/>
    <n v="9"/>
    <n v="9"/>
    <n v="3"/>
    <n v="1"/>
    <n v="5"/>
    <n v="5"/>
    <n v="3"/>
    <n v="1"/>
    <n v="1"/>
    <n v="4"/>
    <n v="4"/>
    <n v="4"/>
  </r>
  <r>
    <n v="29"/>
    <n v="29"/>
    <x v="1"/>
    <n v="0"/>
    <s v="Travel_Rarely"/>
    <n v="0"/>
    <n v="1"/>
    <x v="1"/>
    <n v="1"/>
    <n v="0"/>
    <n v="3"/>
    <n v="3"/>
    <n v="4"/>
    <s v="Medical"/>
    <n v="0"/>
    <n v="0"/>
    <n v="1"/>
    <n v="0"/>
    <n v="0"/>
    <x v="0"/>
    <s v="Male"/>
    <n v="0"/>
    <n v="93"/>
    <n v="2"/>
    <n v="3"/>
    <s v="Research Director"/>
    <n v="0"/>
    <n v="0"/>
    <n v="0"/>
    <n v="0"/>
    <n v="0"/>
    <n v="0"/>
    <n v="0"/>
    <n v="0"/>
    <n v="3"/>
    <x v="1"/>
    <n v="0"/>
    <n v="1"/>
    <n v="11935"/>
    <n v="11935"/>
    <n v="1"/>
    <x v="1"/>
    <n v="0"/>
    <n v="18"/>
    <n v="3"/>
    <n v="3"/>
    <n v="0"/>
    <n v="10"/>
    <n v="10"/>
    <n v="2"/>
    <n v="3"/>
    <n v="10"/>
    <n v="10"/>
    <n v="2"/>
    <n v="0"/>
    <n v="0"/>
    <n v="7"/>
    <n v="7"/>
    <n v="21"/>
  </r>
  <r>
    <n v="29"/>
    <n v="29"/>
    <x v="0"/>
    <n v="1"/>
    <s v="Travel_Rarely"/>
    <n v="0"/>
    <n v="1"/>
    <x v="1"/>
    <n v="1"/>
    <n v="0"/>
    <n v="25"/>
    <n v="25"/>
    <n v="5"/>
    <s v="Technical Degree"/>
    <n v="0"/>
    <n v="0"/>
    <n v="0"/>
    <n v="0"/>
    <n v="1"/>
    <x v="1"/>
    <s v="Female"/>
    <n v="1"/>
    <n v="71"/>
    <n v="2"/>
    <n v="1"/>
    <s v="Research Scientist"/>
    <n v="0"/>
    <n v="0"/>
    <n v="0"/>
    <n v="0"/>
    <n v="0"/>
    <n v="0"/>
    <n v="0"/>
    <n v="1"/>
    <n v="2"/>
    <x v="1"/>
    <n v="0"/>
    <n v="1"/>
    <n v="2546"/>
    <n v="2546"/>
    <n v="5"/>
    <x v="1"/>
    <n v="0"/>
    <n v="16"/>
    <n v="3"/>
    <n v="2"/>
    <n v="0"/>
    <n v="6"/>
    <n v="6"/>
    <n v="2"/>
    <n v="4"/>
    <n v="2"/>
    <n v="2"/>
    <n v="2"/>
    <n v="1"/>
    <n v="1"/>
    <n v="1"/>
    <n v="1"/>
    <n v="1"/>
  </r>
  <r>
    <n v="19"/>
    <n v="19"/>
    <x v="0"/>
    <n v="1"/>
    <s v="Travel_Rarely"/>
    <n v="0"/>
    <n v="1"/>
    <x v="2"/>
    <n v="0"/>
    <n v="0"/>
    <n v="2"/>
    <n v="2"/>
    <n v="2"/>
    <s v="Technical Degree"/>
    <n v="0"/>
    <n v="0"/>
    <n v="0"/>
    <n v="0"/>
    <n v="1"/>
    <x v="3"/>
    <s v="Male"/>
    <n v="0"/>
    <n v="52"/>
    <n v="2"/>
    <n v="1"/>
    <s v="Human Resources"/>
    <n v="0"/>
    <n v="0"/>
    <n v="0"/>
    <n v="0"/>
    <n v="0"/>
    <n v="0"/>
    <n v="0"/>
    <n v="0"/>
    <n v="4"/>
    <x v="0"/>
    <n v="1"/>
    <n v="0"/>
    <n v="2564"/>
    <n v="2564"/>
    <n v="1"/>
    <x v="1"/>
    <n v="0"/>
    <n v="12"/>
    <n v="3"/>
    <n v="3"/>
    <n v="0"/>
    <n v="1"/>
    <n v="1"/>
    <n v="3"/>
    <n v="4"/>
    <n v="1"/>
    <n v="1"/>
    <n v="0"/>
    <n v="0"/>
    <n v="0"/>
    <n v="0"/>
    <n v="0"/>
    <n v="0"/>
  </r>
  <r>
    <n v="30"/>
    <n v="30"/>
    <x v="1"/>
    <n v="0"/>
    <s v="Non-Travel"/>
    <n v="0"/>
    <n v="0"/>
    <x v="0"/>
    <n v="0"/>
    <n v="1"/>
    <n v="22"/>
    <n v="22"/>
    <n v="4"/>
    <s v="Other"/>
    <n v="0"/>
    <n v="1"/>
    <n v="0"/>
    <n v="0"/>
    <n v="0"/>
    <x v="1"/>
    <s v="Female"/>
    <n v="1"/>
    <n v="69"/>
    <n v="3"/>
    <n v="3"/>
    <s v="Sales Executive"/>
    <n v="0"/>
    <n v="1"/>
    <n v="0"/>
    <n v="0"/>
    <n v="0"/>
    <n v="0"/>
    <n v="0"/>
    <n v="0"/>
    <n v="1"/>
    <x v="1"/>
    <n v="0"/>
    <n v="1"/>
    <n v="8412"/>
    <n v="8412"/>
    <n v="0"/>
    <x v="1"/>
    <n v="0"/>
    <n v="11"/>
    <n v="3"/>
    <n v="3"/>
    <n v="0"/>
    <n v="10"/>
    <n v="10"/>
    <n v="3"/>
    <n v="3"/>
    <n v="9"/>
    <n v="9"/>
    <n v="8"/>
    <n v="7"/>
    <n v="7"/>
    <n v="8"/>
    <n v="8"/>
    <n v="24"/>
  </r>
  <r>
    <n v="57"/>
    <n v="57"/>
    <x v="1"/>
    <n v="0"/>
    <s v="Travel_Rarely"/>
    <n v="0"/>
    <n v="1"/>
    <x v="0"/>
    <n v="0"/>
    <n v="1"/>
    <n v="29"/>
    <n v="29"/>
    <n v="3"/>
    <s v="Marketing"/>
    <n v="0"/>
    <n v="0"/>
    <n v="0"/>
    <n v="1"/>
    <n v="0"/>
    <x v="3"/>
    <s v="Male"/>
    <n v="0"/>
    <n v="56"/>
    <n v="2"/>
    <n v="4"/>
    <s v="Manager"/>
    <n v="0"/>
    <n v="0"/>
    <n v="0"/>
    <n v="1"/>
    <n v="0"/>
    <n v="0"/>
    <n v="0"/>
    <n v="0"/>
    <n v="4"/>
    <x v="2"/>
    <n v="0"/>
    <n v="0"/>
    <n v="14118"/>
    <n v="14118"/>
    <n v="3"/>
    <x v="1"/>
    <n v="0"/>
    <n v="12"/>
    <n v="3"/>
    <n v="3"/>
    <n v="1"/>
    <n v="32"/>
    <n v="32"/>
    <n v="3"/>
    <n v="2"/>
    <n v="1"/>
    <n v="1"/>
    <n v="0"/>
    <n v="0"/>
    <n v="0"/>
    <n v="0"/>
    <n v="0"/>
    <n v="0"/>
  </r>
  <r>
    <n v="50"/>
    <n v="50"/>
    <x v="1"/>
    <n v="0"/>
    <s v="Travel_Rarely"/>
    <n v="0"/>
    <n v="1"/>
    <x v="1"/>
    <n v="1"/>
    <n v="0"/>
    <n v="29"/>
    <n v="29"/>
    <n v="4"/>
    <s v="Life Sciences"/>
    <n v="1"/>
    <n v="0"/>
    <n v="0"/>
    <n v="0"/>
    <n v="0"/>
    <x v="0"/>
    <s v="Male"/>
    <n v="0"/>
    <n v="88"/>
    <n v="2"/>
    <n v="4"/>
    <s v="Manager"/>
    <n v="0"/>
    <n v="0"/>
    <n v="0"/>
    <n v="1"/>
    <n v="0"/>
    <n v="0"/>
    <n v="0"/>
    <n v="0"/>
    <n v="3"/>
    <x v="1"/>
    <n v="0"/>
    <n v="1"/>
    <n v="17046"/>
    <n v="17046"/>
    <n v="0"/>
    <x v="1"/>
    <n v="0"/>
    <n v="15"/>
    <n v="3"/>
    <n v="2"/>
    <n v="1"/>
    <n v="28"/>
    <n v="28"/>
    <n v="2"/>
    <n v="3"/>
    <n v="27"/>
    <n v="27"/>
    <n v="10"/>
    <n v="15"/>
    <n v="14"/>
    <n v="7"/>
    <n v="7"/>
    <n v="28"/>
  </r>
  <r>
    <n v="30"/>
    <n v="30"/>
    <x v="1"/>
    <n v="0"/>
    <s v="Non-Travel"/>
    <n v="0"/>
    <n v="0"/>
    <x v="1"/>
    <n v="1"/>
    <n v="0"/>
    <n v="2"/>
    <n v="2"/>
    <n v="3"/>
    <s v="Medical"/>
    <n v="0"/>
    <n v="0"/>
    <n v="1"/>
    <n v="0"/>
    <n v="0"/>
    <x v="1"/>
    <s v="Female"/>
    <n v="1"/>
    <n v="49"/>
    <n v="3"/>
    <n v="1"/>
    <s v="Laboratory Technician"/>
    <n v="0"/>
    <n v="0"/>
    <n v="1"/>
    <n v="0"/>
    <n v="0"/>
    <n v="0"/>
    <n v="0"/>
    <n v="0"/>
    <n v="4"/>
    <x v="0"/>
    <n v="1"/>
    <n v="0"/>
    <n v="2564"/>
    <n v="2564"/>
    <n v="0"/>
    <x v="1"/>
    <n v="0"/>
    <n v="14"/>
    <n v="3"/>
    <n v="3"/>
    <n v="0"/>
    <n v="12"/>
    <n v="12"/>
    <n v="2"/>
    <n v="2"/>
    <n v="11"/>
    <n v="11"/>
    <n v="7"/>
    <n v="6"/>
    <n v="6"/>
    <n v="7"/>
    <n v="7"/>
    <n v="7"/>
  </r>
  <r>
    <n v="60"/>
    <n v="58.309999999999945"/>
    <x v="1"/>
    <n v="0"/>
    <s v="Travel_Frequently"/>
    <n v="1"/>
    <n v="0"/>
    <x v="0"/>
    <n v="0"/>
    <n v="1"/>
    <n v="28"/>
    <n v="28"/>
    <n v="3"/>
    <s v="Marketing"/>
    <n v="0"/>
    <n v="0"/>
    <n v="0"/>
    <n v="1"/>
    <n v="0"/>
    <x v="1"/>
    <s v="Female"/>
    <n v="1"/>
    <n v="80"/>
    <n v="2"/>
    <n v="3"/>
    <s v="Sales Executive"/>
    <n v="0"/>
    <n v="1"/>
    <n v="0"/>
    <n v="0"/>
    <n v="0"/>
    <n v="0"/>
    <n v="0"/>
    <n v="0"/>
    <n v="1"/>
    <x v="1"/>
    <n v="0"/>
    <n v="1"/>
    <n v="10266"/>
    <n v="10266"/>
    <n v="4"/>
    <x v="1"/>
    <n v="0"/>
    <n v="19"/>
    <n v="3"/>
    <n v="4"/>
    <n v="0"/>
    <n v="22"/>
    <n v="22"/>
    <n v="5"/>
    <n v="4"/>
    <n v="18"/>
    <n v="18"/>
    <n v="13"/>
    <n v="13"/>
    <n v="13"/>
    <n v="11"/>
    <n v="11"/>
    <n v="33"/>
  </r>
  <r>
    <n v="47"/>
    <n v="47"/>
    <x v="1"/>
    <n v="0"/>
    <s v="Travel_Rarely"/>
    <n v="0"/>
    <n v="1"/>
    <x v="1"/>
    <n v="1"/>
    <n v="0"/>
    <n v="2"/>
    <n v="2"/>
    <n v="2"/>
    <s v="Medical"/>
    <n v="0"/>
    <n v="0"/>
    <n v="1"/>
    <n v="0"/>
    <n v="0"/>
    <x v="3"/>
    <s v="Female"/>
    <n v="1"/>
    <n v="65"/>
    <n v="3"/>
    <n v="2"/>
    <s v="Manufacturing Director"/>
    <n v="0"/>
    <n v="0"/>
    <n v="0"/>
    <n v="0"/>
    <n v="1"/>
    <n v="1"/>
    <n v="0"/>
    <n v="0"/>
    <n v="4"/>
    <x v="2"/>
    <n v="0"/>
    <n v="0"/>
    <n v="5070"/>
    <n v="5070"/>
    <n v="5"/>
    <x v="1"/>
    <n v="0"/>
    <n v="13"/>
    <n v="3"/>
    <n v="3"/>
    <n v="3"/>
    <n v="20"/>
    <n v="20"/>
    <n v="2"/>
    <n v="3"/>
    <n v="5"/>
    <n v="5"/>
    <n v="0"/>
    <n v="0"/>
    <n v="0"/>
    <n v="4"/>
    <n v="4"/>
    <n v="8"/>
  </r>
  <r>
    <n v="46"/>
    <n v="46"/>
    <x v="1"/>
    <n v="0"/>
    <s v="Travel_Rarely"/>
    <n v="0"/>
    <n v="1"/>
    <x v="1"/>
    <n v="1"/>
    <n v="0"/>
    <n v="2"/>
    <n v="2"/>
    <n v="3"/>
    <s v="Life Sciences"/>
    <n v="1"/>
    <n v="0"/>
    <n v="0"/>
    <n v="0"/>
    <n v="0"/>
    <x v="3"/>
    <s v="Male"/>
    <n v="0"/>
    <n v="51"/>
    <n v="3"/>
    <n v="4"/>
    <s v="Research Director"/>
    <n v="0"/>
    <n v="0"/>
    <n v="0"/>
    <n v="0"/>
    <n v="0"/>
    <n v="0"/>
    <n v="0"/>
    <n v="0"/>
    <n v="3"/>
    <x v="1"/>
    <n v="0"/>
    <n v="1"/>
    <n v="17861"/>
    <n v="17861"/>
    <n v="6"/>
    <x v="1"/>
    <n v="0"/>
    <n v="13"/>
    <n v="3"/>
    <n v="3"/>
    <n v="0"/>
    <n v="26"/>
    <n v="26"/>
    <n v="2"/>
    <n v="1"/>
    <n v="3"/>
    <n v="3"/>
    <n v="2"/>
    <n v="0"/>
    <n v="0"/>
    <n v="1"/>
    <n v="1"/>
    <n v="4"/>
  </r>
  <r>
    <n v="35"/>
    <n v="35"/>
    <x v="1"/>
    <n v="0"/>
    <s v="Travel_Rarely"/>
    <n v="0"/>
    <n v="1"/>
    <x v="1"/>
    <n v="1"/>
    <n v="0"/>
    <n v="22"/>
    <n v="22"/>
    <n v="3"/>
    <s v="Life Sciences"/>
    <n v="1"/>
    <n v="0"/>
    <n v="0"/>
    <n v="0"/>
    <n v="0"/>
    <x v="2"/>
    <s v="Male"/>
    <n v="0"/>
    <n v="46"/>
    <n v="1"/>
    <n v="1"/>
    <s v="Laboratory Technician"/>
    <n v="0"/>
    <n v="0"/>
    <n v="1"/>
    <n v="0"/>
    <n v="0"/>
    <n v="0"/>
    <n v="0"/>
    <n v="0"/>
    <n v="3"/>
    <x v="0"/>
    <n v="1"/>
    <n v="0"/>
    <n v="4230"/>
    <n v="4230"/>
    <n v="0"/>
    <x v="1"/>
    <n v="0"/>
    <n v="15"/>
    <n v="3"/>
    <n v="3"/>
    <n v="0"/>
    <n v="6"/>
    <n v="6"/>
    <n v="2"/>
    <n v="3"/>
    <n v="5"/>
    <n v="5"/>
    <n v="4"/>
    <n v="4"/>
    <n v="4"/>
    <n v="3"/>
    <n v="3"/>
    <n v="3"/>
  </r>
  <r>
    <n v="54"/>
    <n v="54"/>
    <x v="1"/>
    <n v="0"/>
    <s v="Travel_Rarely"/>
    <n v="0"/>
    <n v="1"/>
    <x v="1"/>
    <n v="1"/>
    <n v="0"/>
    <n v="8"/>
    <n v="8"/>
    <n v="4"/>
    <s v="Life Sciences"/>
    <n v="1"/>
    <n v="0"/>
    <n v="0"/>
    <n v="0"/>
    <n v="0"/>
    <x v="1"/>
    <s v="Female"/>
    <n v="1"/>
    <n v="42"/>
    <n v="3"/>
    <n v="2"/>
    <s v="Laboratory Technician"/>
    <n v="0"/>
    <n v="0"/>
    <n v="1"/>
    <n v="0"/>
    <n v="0"/>
    <n v="0"/>
    <n v="0"/>
    <n v="0"/>
    <n v="3"/>
    <x v="0"/>
    <n v="1"/>
    <n v="0"/>
    <n v="3780"/>
    <n v="3780"/>
    <n v="7"/>
    <x v="1"/>
    <n v="0"/>
    <n v="11"/>
    <n v="3"/>
    <n v="3"/>
    <n v="0"/>
    <n v="19"/>
    <n v="19"/>
    <n v="3"/>
    <n v="3"/>
    <n v="1"/>
    <n v="1"/>
    <n v="0"/>
    <n v="0"/>
    <n v="0"/>
    <n v="0"/>
    <n v="0"/>
    <n v="0"/>
  </r>
  <r>
    <n v="34"/>
    <n v="34"/>
    <x v="1"/>
    <n v="0"/>
    <s v="Travel_Rarely"/>
    <n v="0"/>
    <n v="1"/>
    <x v="1"/>
    <n v="1"/>
    <n v="0"/>
    <n v="2"/>
    <n v="2"/>
    <n v="4"/>
    <s v="Life Sciences"/>
    <n v="1"/>
    <n v="0"/>
    <n v="0"/>
    <n v="0"/>
    <n v="0"/>
    <x v="2"/>
    <s v="Male"/>
    <n v="0"/>
    <n v="62"/>
    <n v="2"/>
    <n v="1"/>
    <s v="Research Scientist"/>
    <n v="0"/>
    <n v="0"/>
    <n v="0"/>
    <n v="0"/>
    <n v="0"/>
    <n v="0"/>
    <n v="0"/>
    <n v="1"/>
    <n v="3"/>
    <x v="2"/>
    <n v="0"/>
    <n v="0"/>
    <n v="2768"/>
    <n v="2768"/>
    <n v="3"/>
    <x v="1"/>
    <n v="0"/>
    <n v="12"/>
    <n v="3"/>
    <n v="3"/>
    <n v="1"/>
    <n v="14"/>
    <n v="14"/>
    <n v="3"/>
    <n v="3"/>
    <n v="7"/>
    <n v="7"/>
    <n v="3"/>
    <n v="5"/>
    <n v="5"/>
    <n v="7"/>
    <n v="7"/>
    <n v="7"/>
  </r>
  <r>
    <n v="46"/>
    <n v="46"/>
    <x v="1"/>
    <n v="0"/>
    <s v="Travel_Rarely"/>
    <n v="0"/>
    <n v="1"/>
    <x v="0"/>
    <n v="0"/>
    <n v="1"/>
    <n v="10"/>
    <n v="10"/>
    <n v="3"/>
    <s v="Marketing"/>
    <n v="0"/>
    <n v="0"/>
    <n v="0"/>
    <n v="1"/>
    <n v="0"/>
    <x v="1"/>
    <s v="Female"/>
    <n v="1"/>
    <n v="94"/>
    <n v="2"/>
    <n v="3"/>
    <s v="Sales Executive"/>
    <n v="0"/>
    <n v="1"/>
    <n v="0"/>
    <n v="0"/>
    <n v="0"/>
    <n v="0"/>
    <n v="0"/>
    <n v="0"/>
    <n v="4"/>
    <x v="1"/>
    <n v="0"/>
    <n v="1"/>
    <n v="9071"/>
    <n v="9071"/>
    <n v="2"/>
    <x v="0"/>
    <n v="1"/>
    <n v="19"/>
    <n v="3"/>
    <n v="3"/>
    <n v="1"/>
    <n v="15"/>
    <n v="15"/>
    <n v="3"/>
    <n v="3"/>
    <n v="3"/>
    <n v="3"/>
    <n v="2"/>
    <n v="1"/>
    <n v="1"/>
    <n v="2"/>
    <n v="2"/>
    <n v="6"/>
  </r>
  <r>
    <n v="31"/>
    <n v="31"/>
    <x v="1"/>
    <n v="0"/>
    <s v="Travel_Rarely"/>
    <n v="0"/>
    <n v="1"/>
    <x v="1"/>
    <n v="1"/>
    <n v="0"/>
    <n v="9"/>
    <n v="9"/>
    <n v="1"/>
    <s v="Life Sciences"/>
    <n v="1"/>
    <n v="0"/>
    <n v="0"/>
    <n v="0"/>
    <n v="0"/>
    <x v="1"/>
    <s v="Male"/>
    <n v="0"/>
    <n v="33"/>
    <n v="3"/>
    <n v="3"/>
    <s v="Manufacturing Director"/>
    <n v="0"/>
    <n v="0"/>
    <n v="0"/>
    <n v="0"/>
    <n v="1"/>
    <n v="1"/>
    <n v="0"/>
    <n v="0"/>
    <n v="2"/>
    <x v="2"/>
    <n v="0"/>
    <n v="0"/>
    <n v="10648"/>
    <n v="10648"/>
    <n v="1"/>
    <x v="1"/>
    <n v="0"/>
    <n v="25"/>
    <n v="4"/>
    <n v="4"/>
    <n v="1"/>
    <n v="13"/>
    <n v="13"/>
    <n v="6"/>
    <n v="4"/>
    <n v="13"/>
    <n v="13"/>
    <n v="8"/>
    <n v="0"/>
    <n v="0"/>
    <n v="8"/>
    <n v="8"/>
    <n v="24"/>
  </r>
  <r>
    <n v="33"/>
    <n v="33"/>
    <x v="0"/>
    <n v="1"/>
    <s v="Travel_Rarely"/>
    <n v="0"/>
    <n v="1"/>
    <x v="1"/>
    <n v="1"/>
    <n v="0"/>
    <n v="15"/>
    <n v="15"/>
    <n v="1"/>
    <s v="Medical"/>
    <n v="0"/>
    <n v="0"/>
    <n v="1"/>
    <n v="0"/>
    <n v="0"/>
    <x v="0"/>
    <s v="Male"/>
    <n v="0"/>
    <n v="56"/>
    <n v="3"/>
    <n v="3"/>
    <s v="Manager"/>
    <n v="0"/>
    <n v="0"/>
    <n v="0"/>
    <n v="1"/>
    <n v="0"/>
    <n v="0"/>
    <n v="0"/>
    <n v="0"/>
    <n v="3"/>
    <x v="1"/>
    <n v="0"/>
    <n v="1"/>
    <n v="13610"/>
    <n v="13610"/>
    <n v="7"/>
    <x v="0"/>
    <n v="1"/>
    <n v="12"/>
    <n v="3"/>
    <n v="4"/>
    <n v="0"/>
    <n v="15"/>
    <n v="15"/>
    <n v="2"/>
    <n v="4"/>
    <n v="7"/>
    <n v="7"/>
    <n v="6"/>
    <n v="7"/>
    <n v="7"/>
    <n v="7"/>
    <n v="7"/>
    <n v="21"/>
  </r>
  <r>
    <n v="33"/>
    <n v="33"/>
    <x v="0"/>
    <n v="1"/>
    <s v="Travel_Rarely"/>
    <n v="0"/>
    <n v="1"/>
    <x v="1"/>
    <n v="1"/>
    <n v="0"/>
    <n v="10"/>
    <n v="10"/>
    <n v="1"/>
    <s v="Medical"/>
    <n v="0"/>
    <n v="0"/>
    <n v="1"/>
    <n v="0"/>
    <n v="0"/>
    <x v="3"/>
    <s v="Male"/>
    <n v="0"/>
    <n v="38"/>
    <n v="1"/>
    <n v="1"/>
    <s v="Laboratory Technician"/>
    <n v="0"/>
    <n v="0"/>
    <n v="1"/>
    <n v="0"/>
    <n v="0"/>
    <n v="0"/>
    <n v="0"/>
    <n v="0"/>
    <n v="4"/>
    <x v="2"/>
    <n v="0"/>
    <n v="0"/>
    <n v="3408"/>
    <n v="3408"/>
    <n v="7"/>
    <x v="1"/>
    <n v="0"/>
    <n v="13"/>
    <n v="3"/>
    <n v="1"/>
    <n v="3"/>
    <n v="8"/>
    <n v="8"/>
    <n v="2"/>
    <n v="3"/>
    <n v="4"/>
    <n v="4"/>
    <n v="3"/>
    <n v="1"/>
    <n v="1"/>
    <n v="3"/>
    <n v="3"/>
    <n v="3"/>
  </r>
  <r>
    <n v="30"/>
    <n v="30"/>
    <x v="1"/>
    <n v="0"/>
    <s v="Travel_Rarely"/>
    <n v="0"/>
    <n v="1"/>
    <x v="0"/>
    <n v="0"/>
    <n v="1"/>
    <n v="7"/>
    <n v="7"/>
    <n v="1"/>
    <s v="Marketing"/>
    <n v="0"/>
    <n v="0"/>
    <n v="0"/>
    <n v="1"/>
    <n v="0"/>
    <x v="2"/>
    <s v="Male"/>
    <n v="0"/>
    <n v="57"/>
    <n v="3"/>
    <n v="1"/>
    <s v="Sales Representative"/>
    <n v="0"/>
    <n v="0"/>
    <n v="0"/>
    <n v="0"/>
    <n v="0"/>
    <n v="0"/>
    <n v="1"/>
    <n v="0"/>
    <n v="2"/>
    <x v="0"/>
    <n v="1"/>
    <n v="0"/>
    <n v="2983"/>
    <n v="2983"/>
    <n v="0"/>
    <x v="1"/>
    <n v="0"/>
    <n v="14"/>
    <n v="3"/>
    <n v="1"/>
    <n v="0"/>
    <n v="4"/>
    <n v="4"/>
    <n v="3"/>
    <n v="3"/>
    <n v="3"/>
    <n v="3"/>
    <n v="2"/>
    <n v="1"/>
    <n v="1"/>
    <n v="2"/>
    <n v="2"/>
    <n v="2"/>
  </r>
  <r>
    <n v="35"/>
    <n v="35"/>
    <x v="1"/>
    <n v="0"/>
    <s v="Travel_Rarely"/>
    <n v="0"/>
    <n v="1"/>
    <x v="1"/>
    <n v="1"/>
    <n v="0"/>
    <n v="16"/>
    <n v="16"/>
    <n v="3"/>
    <s v="Life Sciences"/>
    <n v="1"/>
    <n v="0"/>
    <n v="0"/>
    <n v="0"/>
    <n v="0"/>
    <x v="2"/>
    <s v="Male"/>
    <n v="0"/>
    <n v="72"/>
    <n v="3"/>
    <n v="3"/>
    <s v="Healthcare Representative"/>
    <n v="1"/>
    <n v="0"/>
    <n v="0"/>
    <n v="0"/>
    <n v="0"/>
    <n v="0"/>
    <n v="0"/>
    <n v="0"/>
    <n v="3"/>
    <x v="1"/>
    <n v="0"/>
    <n v="1"/>
    <n v="7632"/>
    <n v="7632"/>
    <n v="4"/>
    <x v="0"/>
    <n v="1"/>
    <n v="12"/>
    <n v="3"/>
    <n v="3"/>
    <n v="0"/>
    <n v="10"/>
    <n v="10"/>
    <n v="2"/>
    <n v="3"/>
    <n v="8"/>
    <n v="8"/>
    <n v="7"/>
    <n v="0"/>
    <n v="0"/>
    <n v="0"/>
    <n v="0"/>
    <n v="0"/>
  </r>
  <r>
    <n v="31"/>
    <n v="31"/>
    <x v="0"/>
    <n v="1"/>
    <s v="Travel_Frequently"/>
    <n v="1"/>
    <n v="0"/>
    <x v="1"/>
    <n v="1"/>
    <n v="0"/>
    <n v="20"/>
    <n v="20"/>
    <n v="3"/>
    <s v="Life Sciences"/>
    <n v="1"/>
    <n v="0"/>
    <n v="0"/>
    <n v="0"/>
    <n v="0"/>
    <x v="3"/>
    <s v="Male"/>
    <n v="0"/>
    <n v="66"/>
    <n v="3"/>
    <n v="3"/>
    <s v="Healthcare Representative"/>
    <n v="1"/>
    <n v="0"/>
    <n v="0"/>
    <n v="0"/>
    <n v="0"/>
    <n v="0"/>
    <n v="0"/>
    <n v="0"/>
    <n v="3"/>
    <x v="1"/>
    <n v="0"/>
    <n v="1"/>
    <n v="9824"/>
    <n v="9824"/>
    <n v="3"/>
    <x v="1"/>
    <n v="0"/>
    <n v="12"/>
    <n v="3"/>
    <n v="1"/>
    <n v="0"/>
    <n v="12"/>
    <n v="12"/>
    <n v="2"/>
    <n v="3"/>
    <n v="1"/>
    <n v="1"/>
    <n v="0"/>
    <n v="0"/>
    <n v="0"/>
    <n v="0"/>
    <n v="0"/>
    <n v="0"/>
  </r>
  <r>
    <n v="34"/>
    <n v="34"/>
    <x v="0"/>
    <n v="1"/>
    <s v="Travel_Frequently"/>
    <n v="1"/>
    <n v="0"/>
    <x v="2"/>
    <n v="0"/>
    <n v="0"/>
    <n v="23"/>
    <n v="23"/>
    <n v="3"/>
    <s v="Human Resources"/>
    <n v="0"/>
    <n v="0"/>
    <n v="0"/>
    <n v="0"/>
    <n v="0"/>
    <x v="0"/>
    <s v="Female"/>
    <n v="1"/>
    <n v="43"/>
    <n v="3"/>
    <n v="3"/>
    <s v="Human Resources"/>
    <n v="0"/>
    <n v="0"/>
    <n v="0"/>
    <n v="0"/>
    <n v="0"/>
    <n v="0"/>
    <n v="0"/>
    <n v="0"/>
    <n v="1"/>
    <x v="2"/>
    <n v="0"/>
    <n v="0"/>
    <n v="9950"/>
    <n v="9950"/>
    <n v="9"/>
    <x v="0"/>
    <n v="1"/>
    <n v="15"/>
    <n v="3"/>
    <n v="3"/>
    <n v="3"/>
    <n v="11"/>
    <n v="11"/>
    <n v="2"/>
    <n v="3"/>
    <n v="3"/>
    <n v="3"/>
    <n v="2"/>
    <n v="0"/>
    <n v="0"/>
    <n v="2"/>
    <n v="2"/>
    <n v="6"/>
  </r>
  <r>
    <n v="42"/>
    <n v="42"/>
    <x v="1"/>
    <n v="0"/>
    <s v="Travel_Frequently"/>
    <n v="1"/>
    <n v="0"/>
    <x v="1"/>
    <n v="1"/>
    <n v="0"/>
    <n v="5"/>
    <n v="5"/>
    <n v="2"/>
    <s v="Other"/>
    <n v="0"/>
    <n v="1"/>
    <n v="0"/>
    <n v="0"/>
    <n v="0"/>
    <x v="0"/>
    <s v="Male"/>
    <n v="0"/>
    <n v="97"/>
    <n v="3"/>
    <n v="1"/>
    <s v="Laboratory Technician"/>
    <n v="0"/>
    <n v="0"/>
    <n v="1"/>
    <n v="0"/>
    <n v="0"/>
    <n v="0"/>
    <n v="0"/>
    <n v="0"/>
    <n v="3"/>
    <x v="1"/>
    <n v="0"/>
    <n v="1"/>
    <n v="2093"/>
    <n v="2093"/>
    <n v="4"/>
    <x v="1"/>
    <n v="0"/>
    <n v="17"/>
    <n v="3"/>
    <n v="4"/>
    <n v="1"/>
    <n v="8"/>
    <n v="8"/>
    <n v="4"/>
    <n v="3"/>
    <n v="2"/>
    <n v="2"/>
    <n v="2"/>
    <n v="2"/>
    <n v="2"/>
    <n v="0"/>
    <n v="0"/>
    <n v="0"/>
  </r>
  <r>
    <n v="36"/>
    <n v="36"/>
    <x v="1"/>
    <n v="0"/>
    <s v="Non-Travel"/>
    <n v="0"/>
    <n v="0"/>
    <x v="0"/>
    <n v="0"/>
    <n v="1"/>
    <n v="10"/>
    <n v="10"/>
    <n v="4"/>
    <s v="Medical"/>
    <n v="0"/>
    <n v="0"/>
    <n v="1"/>
    <n v="0"/>
    <n v="0"/>
    <x v="0"/>
    <s v="Male"/>
    <n v="0"/>
    <n v="32"/>
    <n v="3"/>
    <n v="3"/>
    <s v="Sales Executive"/>
    <n v="0"/>
    <n v="1"/>
    <n v="0"/>
    <n v="0"/>
    <n v="0"/>
    <n v="0"/>
    <n v="0"/>
    <n v="0"/>
    <n v="4"/>
    <x v="0"/>
    <n v="1"/>
    <n v="0"/>
    <n v="9980"/>
    <n v="9980"/>
    <n v="1"/>
    <x v="1"/>
    <n v="0"/>
    <n v="14"/>
    <n v="3"/>
    <n v="4"/>
    <n v="0"/>
    <n v="10"/>
    <n v="10"/>
    <n v="3"/>
    <n v="2"/>
    <n v="10"/>
    <n v="10"/>
    <n v="3"/>
    <n v="9"/>
    <n v="9"/>
    <n v="7"/>
    <n v="7"/>
    <n v="21"/>
  </r>
  <r>
    <n v="22"/>
    <n v="22"/>
    <x v="0"/>
    <n v="1"/>
    <s v="Travel_Frequently"/>
    <n v="1"/>
    <n v="0"/>
    <x v="1"/>
    <n v="1"/>
    <n v="0"/>
    <n v="4"/>
    <n v="4"/>
    <n v="1"/>
    <s v="Technical Degree"/>
    <n v="0"/>
    <n v="0"/>
    <n v="0"/>
    <n v="0"/>
    <n v="1"/>
    <x v="1"/>
    <s v="Male"/>
    <n v="0"/>
    <n v="99"/>
    <n v="2"/>
    <n v="1"/>
    <s v="Laboratory Technician"/>
    <n v="0"/>
    <n v="0"/>
    <n v="1"/>
    <n v="0"/>
    <n v="0"/>
    <n v="0"/>
    <n v="0"/>
    <n v="0"/>
    <n v="3"/>
    <x v="0"/>
    <n v="1"/>
    <n v="0"/>
    <n v="3894"/>
    <n v="3894"/>
    <n v="5"/>
    <x v="1"/>
    <n v="0"/>
    <n v="16"/>
    <n v="3"/>
    <n v="3"/>
    <n v="0"/>
    <n v="4"/>
    <n v="4"/>
    <n v="3"/>
    <n v="3"/>
    <n v="2"/>
    <n v="2"/>
    <n v="2"/>
    <n v="1"/>
    <n v="1"/>
    <n v="2"/>
    <n v="2"/>
    <n v="2"/>
  </r>
  <r>
    <n v="48"/>
    <n v="48"/>
    <x v="1"/>
    <n v="0"/>
    <s v="Travel_Rarely"/>
    <n v="0"/>
    <n v="1"/>
    <x v="0"/>
    <n v="0"/>
    <n v="1"/>
    <n v="2"/>
    <n v="2"/>
    <n v="5"/>
    <s v="Marketing"/>
    <n v="0"/>
    <n v="0"/>
    <n v="0"/>
    <n v="1"/>
    <n v="0"/>
    <x v="0"/>
    <s v="Female"/>
    <n v="1"/>
    <n v="37"/>
    <n v="3"/>
    <n v="2"/>
    <s v="Sales Executive"/>
    <n v="0"/>
    <n v="1"/>
    <n v="0"/>
    <n v="0"/>
    <n v="0"/>
    <n v="0"/>
    <n v="0"/>
    <n v="0"/>
    <n v="4"/>
    <x v="1"/>
    <n v="0"/>
    <n v="1"/>
    <n v="4051"/>
    <n v="4051"/>
    <n v="2"/>
    <x v="1"/>
    <n v="0"/>
    <n v="14"/>
    <n v="3"/>
    <n v="1"/>
    <n v="1"/>
    <n v="14"/>
    <n v="14"/>
    <n v="2"/>
    <n v="3"/>
    <n v="9"/>
    <n v="9"/>
    <n v="7"/>
    <n v="6"/>
    <n v="6"/>
    <n v="7"/>
    <n v="7"/>
    <n v="14"/>
  </r>
  <r>
    <n v="55"/>
    <n v="55"/>
    <x v="1"/>
    <n v="0"/>
    <s v="Travel_Rarely"/>
    <n v="0"/>
    <n v="1"/>
    <x v="0"/>
    <n v="0"/>
    <n v="1"/>
    <n v="18"/>
    <n v="18"/>
    <n v="5"/>
    <s v="Life Sciences"/>
    <n v="1"/>
    <n v="0"/>
    <n v="0"/>
    <n v="0"/>
    <n v="0"/>
    <x v="3"/>
    <s v="Female"/>
    <n v="1"/>
    <n v="83"/>
    <n v="3"/>
    <n v="4"/>
    <s v="Manager"/>
    <n v="0"/>
    <n v="0"/>
    <n v="0"/>
    <n v="1"/>
    <n v="0"/>
    <n v="0"/>
    <n v="0"/>
    <n v="0"/>
    <n v="2"/>
    <x v="0"/>
    <n v="1"/>
    <n v="0"/>
    <n v="16835"/>
    <n v="16835"/>
    <n v="3"/>
    <x v="1"/>
    <n v="0"/>
    <n v="23"/>
    <n v="4"/>
    <n v="4"/>
    <n v="0"/>
    <n v="37"/>
    <n v="35"/>
    <n v="2"/>
    <n v="3"/>
    <n v="10"/>
    <n v="10"/>
    <n v="9"/>
    <n v="7"/>
    <n v="7"/>
    <n v="7"/>
    <n v="7"/>
    <n v="28"/>
  </r>
  <r>
    <n v="41"/>
    <n v="41"/>
    <x v="1"/>
    <n v="0"/>
    <s v="Non-Travel"/>
    <n v="0"/>
    <n v="0"/>
    <x v="0"/>
    <n v="0"/>
    <n v="1"/>
    <n v="10"/>
    <n v="10"/>
    <n v="2"/>
    <s v="Life Sciences"/>
    <n v="1"/>
    <n v="0"/>
    <n v="0"/>
    <n v="0"/>
    <n v="0"/>
    <x v="2"/>
    <s v="Male"/>
    <n v="0"/>
    <n v="56"/>
    <n v="3"/>
    <n v="2"/>
    <s v="Sales Executive"/>
    <n v="0"/>
    <n v="1"/>
    <n v="0"/>
    <n v="0"/>
    <n v="0"/>
    <n v="0"/>
    <n v="0"/>
    <n v="0"/>
    <n v="4"/>
    <x v="0"/>
    <n v="1"/>
    <n v="0"/>
    <n v="6230"/>
    <n v="6230"/>
    <n v="7"/>
    <x v="1"/>
    <n v="0"/>
    <n v="14"/>
    <n v="3"/>
    <n v="4"/>
    <n v="0"/>
    <n v="16"/>
    <n v="16"/>
    <n v="3"/>
    <n v="3"/>
    <n v="14"/>
    <n v="14"/>
    <n v="3"/>
    <n v="1"/>
    <n v="1"/>
    <n v="10"/>
    <n v="10"/>
    <n v="20"/>
  </r>
  <r>
    <n v="35"/>
    <n v="35"/>
    <x v="1"/>
    <n v="0"/>
    <s v="Travel_Rarely"/>
    <n v="0"/>
    <n v="1"/>
    <x v="0"/>
    <n v="0"/>
    <n v="1"/>
    <n v="1"/>
    <n v="1"/>
    <n v="3"/>
    <s v="Marketing"/>
    <n v="0"/>
    <n v="0"/>
    <n v="0"/>
    <n v="1"/>
    <n v="0"/>
    <x v="0"/>
    <s v="Male"/>
    <n v="0"/>
    <n v="85"/>
    <n v="3"/>
    <n v="2"/>
    <s v="Sales Executive"/>
    <n v="0"/>
    <n v="1"/>
    <n v="0"/>
    <n v="0"/>
    <n v="0"/>
    <n v="0"/>
    <n v="0"/>
    <n v="0"/>
    <n v="3"/>
    <x v="1"/>
    <n v="0"/>
    <n v="1"/>
    <n v="4717"/>
    <n v="4717"/>
    <n v="9"/>
    <x v="1"/>
    <n v="0"/>
    <n v="11"/>
    <n v="3"/>
    <n v="3"/>
    <n v="0"/>
    <n v="15"/>
    <n v="15"/>
    <n v="2"/>
    <n v="3"/>
    <n v="11"/>
    <n v="11"/>
    <n v="9"/>
    <n v="6"/>
    <n v="6"/>
    <n v="9"/>
    <n v="9"/>
    <n v="18"/>
  </r>
  <r>
    <n v="40"/>
    <n v="40"/>
    <x v="1"/>
    <n v="0"/>
    <s v="Travel_Rarely"/>
    <n v="0"/>
    <n v="1"/>
    <x v="1"/>
    <n v="1"/>
    <n v="0"/>
    <n v="6"/>
    <n v="6"/>
    <n v="3"/>
    <s v="Life Sciences"/>
    <n v="1"/>
    <n v="0"/>
    <n v="0"/>
    <n v="0"/>
    <n v="0"/>
    <x v="0"/>
    <s v="Female"/>
    <n v="1"/>
    <n v="75"/>
    <n v="3"/>
    <n v="4"/>
    <s v="Manufacturing Director"/>
    <n v="0"/>
    <n v="0"/>
    <n v="0"/>
    <n v="0"/>
    <n v="1"/>
    <n v="1"/>
    <n v="0"/>
    <n v="0"/>
    <n v="3"/>
    <x v="0"/>
    <n v="1"/>
    <n v="0"/>
    <n v="13237"/>
    <n v="13237"/>
    <n v="7"/>
    <x v="1"/>
    <n v="0"/>
    <n v="15"/>
    <n v="3"/>
    <n v="3"/>
    <n v="0"/>
    <n v="22"/>
    <n v="22"/>
    <n v="3"/>
    <n v="3"/>
    <n v="20"/>
    <n v="20"/>
    <n v="6"/>
    <n v="5"/>
    <n v="5"/>
    <n v="13"/>
    <n v="13"/>
    <n v="52"/>
  </r>
  <r>
    <n v="39"/>
    <n v="39"/>
    <x v="1"/>
    <n v="0"/>
    <s v="Travel_Frequently"/>
    <n v="1"/>
    <n v="0"/>
    <x v="1"/>
    <n v="1"/>
    <n v="0"/>
    <n v="8"/>
    <n v="8"/>
    <n v="1"/>
    <s v="Life Sciences"/>
    <n v="1"/>
    <n v="0"/>
    <n v="0"/>
    <n v="0"/>
    <n v="0"/>
    <x v="1"/>
    <s v="Female"/>
    <n v="1"/>
    <n v="48"/>
    <n v="3"/>
    <n v="1"/>
    <s v="Laboratory Technician"/>
    <n v="0"/>
    <n v="0"/>
    <n v="1"/>
    <n v="0"/>
    <n v="0"/>
    <n v="0"/>
    <n v="0"/>
    <n v="0"/>
    <n v="3"/>
    <x v="1"/>
    <n v="0"/>
    <n v="1"/>
    <n v="3755"/>
    <n v="3755"/>
    <n v="1"/>
    <x v="1"/>
    <n v="0"/>
    <n v="11"/>
    <n v="3"/>
    <n v="1"/>
    <n v="1"/>
    <n v="8"/>
    <n v="8"/>
    <n v="3"/>
    <n v="3"/>
    <n v="8"/>
    <n v="8"/>
    <n v="3"/>
    <n v="0"/>
    <n v="0"/>
    <n v="7"/>
    <n v="7"/>
    <n v="7"/>
  </r>
  <r>
    <n v="31"/>
    <n v="31"/>
    <x v="1"/>
    <n v="0"/>
    <s v="Travel_Rarely"/>
    <n v="0"/>
    <n v="1"/>
    <x v="0"/>
    <n v="0"/>
    <n v="1"/>
    <n v="2"/>
    <n v="2"/>
    <n v="1"/>
    <s v="Life Sciences"/>
    <n v="1"/>
    <n v="0"/>
    <n v="0"/>
    <n v="0"/>
    <n v="0"/>
    <x v="0"/>
    <s v="Male"/>
    <n v="0"/>
    <n v="77"/>
    <n v="3"/>
    <n v="2"/>
    <s v="Sales Executive"/>
    <n v="0"/>
    <n v="1"/>
    <n v="0"/>
    <n v="0"/>
    <n v="0"/>
    <n v="0"/>
    <n v="0"/>
    <n v="0"/>
    <n v="4"/>
    <x v="0"/>
    <n v="1"/>
    <n v="0"/>
    <n v="6582"/>
    <n v="6582"/>
    <n v="4"/>
    <x v="0"/>
    <n v="1"/>
    <n v="13"/>
    <n v="3"/>
    <n v="3"/>
    <n v="0"/>
    <n v="10"/>
    <n v="10"/>
    <n v="2"/>
    <n v="4"/>
    <n v="6"/>
    <n v="6"/>
    <n v="5"/>
    <n v="0"/>
    <n v="0"/>
    <n v="5"/>
    <n v="5"/>
    <n v="10"/>
  </r>
  <r>
    <n v="42"/>
    <n v="42"/>
    <x v="1"/>
    <n v="0"/>
    <s v="Travel_Rarely"/>
    <n v="0"/>
    <n v="1"/>
    <x v="1"/>
    <n v="1"/>
    <n v="0"/>
    <n v="24"/>
    <n v="24"/>
    <n v="3"/>
    <s v="Medical"/>
    <n v="0"/>
    <n v="0"/>
    <n v="1"/>
    <n v="0"/>
    <n v="0"/>
    <x v="2"/>
    <s v="Male"/>
    <n v="0"/>
    <n v="56"/>
    <n v="3"/>
    <n v="3"/>
    <s v="Manufacturing Director"/>
    <n v="0"/>
    <n v="0"/>
    <n v="0"/>
    <n v="0"/>
    <n v="1"/>
    <n v="1"/>
    <n v="0"/>
    <n v="0"/>
    <n v="1"/>
    <x v="1"/>
    <n v="0"/>
    <n v="1"/>
    <n v="7406"/>
    <n v="7406"/>
    <n v="1"/>
    <x v="0"/>
    <n v="1"/>
    <n v="21"/>
    <n v="4"/>
    <n v="4"/>
    <n v="1"/>
    <n v="10"/>
    <n v="10"/>
    <n v="5"/>
    <n v="2"/>
    <n v="10"/>
    <n v="10"/>
    <n v="9"/>
    <n v="5"/>
    <n v="5"/>
    <n v="8"/>
    <n v="8"/>
    <n v="24"/>
  </r>
  <r>
    <n v="45"/>
    <n v="45"/>
    <x v="1"/>
    <n v="0"/>
    <s v="Travel_Rarely"/>
    <n v="0"/>
    <n v="1"/>
    <x v="0"/>
    <n v="0"/>
    <n v="1"/>
    <n v="2"/>
    <n v="2"/>
    <n v="3"/>
    <s v="Other"/>
    <n v="0"/>
    <n v="1"/>
    <n v="0"/>
    <n v="0"/>
    <n v="0"/>
    <x v="2"/>
    <s v="Male"/>
    <n v="0"/>
    <n v="61"/>
    <n v="3"/>
    <n v="2"/>
    <s v="Sales Executive"/>
    <n v="0"/>
    <n v="1"/>
    <n v="0"/>
    <n v="0"/>
    <n v="0"/>
    <n v="0"/>
    <n v="0"/>
    <n v="0"/>
    <n v="2"/>
    <x v="1"/>
    <n v="0"/>
    <n v="1"/>
    <n v="4805"/>
    <n v="4805"/>
    <n v="0"/>
    <x v="1"/>
    <n v="0"/>
    <n v="19"/>
    <n v="3"/>
    <n v="2"/>
    <n v="1"/>
    <n v="9"/>
    <n v="9"/>
    <n v="3"/>
    <n v="4"/>
    <n v="8"/>
    <n v="8"/>
    <n v="7"/>
    <n v="3"/>
    <n v="3"/>
    <n v="7"/>
    <n v="7"/>
    <n v="14"/>
  </r>
  <r>
    <n v="26"/>
    <n v="26"/>
    <x v="0"/>
    <n v="1"/>
    <s v="Travel_Frequently"/>
    <n v="1"/>
    <n v="0"/>
    <x v="2"/>
    <n v="0"/>
    <n v="0"/>
    <n v="17"/>
    <n v="17"/>
    <n v="4"/>
    <s v="Life Sciences"/>
    <n v="1"/>
    <n v="0"/>
    <n v="0"/>
    <n v="0"/>
    <n v="0"/>
    <x v="0"/>
    <s v="Female"/>
    <n v="1"/>
    <n v="58"/>
    <n v="3"/>
    <n v="1"/>
    <s v="Human Resources"/>
    <n v="0"/>
    <n v="0"/>
    <n v="0"/>
    <n v="0"/>
    <n v="0"/>
    <n v="0"/>
    <n v="0"/>
    <n v="0"/>
    <n v="3"/>
    <x v="2"/>
    <n v="0"/>
    <n v="0"/>
    <n v="2741"/>
    <n v="2741"/>
    <n v="0"/>
    <x v="0"/>
    <n v="1"/>
    <n v="11"/>
    <n v="3"/>
    <n v="2"/>
    <n v="1"/>
    <n v="8"/>
    <n v="8"/>
    <n v="2"/>
    <n v="2"/>
    <n v="7"/>
    <n v="7"/>
    <n v="7"/>
    <n v="1"/>
    <n v="1"/>
    <n v="0"/>
    <n v="0"/>
    <n v="0"/>
  </r>
  <r>
    <n v="29"/>
    <n v="29"/>
    <x v="1"/>
    <n v="0"/>
    <s v="Travel_Rarely"/>
    <n v="0"/>
    <n v="1"/>
    <x v="1"/>
    <n v="1"/>
    <n v="0"/>
    <n v="19"/>
    <n v="19"/>
    <n v="3"/>
    <s v="Technical Degree"/>
    <n v="0"/>
    <n v="0"/>
    <n v="0"/>
    <n v="0"/>
    <n v="1"/>
    <x v="2"/>
    <s v="Male"/>
    <n v="0"/>
    <n v="34"/>
    <n v="3"/>
    <n v="2"/>
    <s v="Manufacturing Director"/>
    <n v="0"/>
    <n v="0"/>
    <n v="0"/>
    <n v="0"/>
    <n v="1"/>
    <n v="1"/>
    <n v="0"/>
    <n v="0"/>
    <n v="4"/>
    <x v="2"/>
    <n v="0"/>
    <n v="0"/>
    <n v="4262"/>
    <n v="4262"/>
    <n v="4"/>
    <x v="1"/>
    <n v="0"/>
    <n v="12"/>
    <n v="3"/>
    <n v="2"/>
    <n v="2"/>
    <n v="8"/>
    <n v="8"/>
    <n v="2"/>
    <n v="4"/>
    <n v="3"/>
    <n v="3"/>
    <n v="2"/>
    <n v="1"/>
    <n v="1"/>
    <n v="2"/>
    <n v="2"/>
    <n v="4"/>
  </r>
  <r>
    <n v="33"/>
    <n v="33"/>
    <x v="1"/>
    <n v="0"/>
    <s v="Travel_Rarely"/>
    <n v="0"/>
    <n v="1"/>
    <x v="1"/>
    <n v="1"/>
    <n v="0"/>
    <n v="1"/>
    <n v="1"/>
    <n v="5"/>
    <s v="Medical"/>
    <n v="0"/>
    <n v="0"/>
    <n v="1"/>
    <n v="0"/>
    <n v="0"/>
    <x v="3"/>
    <s v="Female"/>
    <n v="1"/>
    <n v="95"/>
    <n v="4"/>
    <n v="4"/>
    <s v="Research Director"/>
    <n v="0"/>
    <n v="0"/>
    <n v="0"/>
    <n v="0"/>
    <n v="0"/>
    <n v="0"/>
    <n v="0"/>
    <n v="0"/>
    <n v="3"/>
    <x v="2"/>
    <n v="0"/>
    <n v="0"/>
    <n v="16184"/>
    <n v="16184"/>
    <n v="4"/>
    <x v="1"/>
    <n v="0"/>
    <n v="19"/>
    <n v="3"/>
    <n v="3"/>
    <n v="1"/>
    <n v="10"/>
    <n v="10"/>
    <n v="2"/>
    <n v="3"/>
    <n v="6"/>
    <n v="6"/>
    <n v="1"/>
    <n v="0"/>
    <n v="0"/>
    <n v="5"/>
    <n v="5"/>
    <n v="20"/>
  </r>
  <r>
    <n v="31"/>
    <n v="31"/>
    <x v="1"/>
    <n v="0"/>
    <s v="Travel_Rarely"/>
    <n v="0"/>
    <n v="1"/>
    <x v="0"/>
    <n v="0"/>
    <n v="1"/>
    <n v="7"/>
    <n v="7"/>
    <n v="3"/>
    <s v="Life Sciences"/>
    <n v="1"/>
    <n v="0"/>
    <n v="0"/>
    <n v="0"/>
    <n v="0"/>
    <x v="1"/>
    <s v="Male"/>
    <n v="0"/>
    <n v="44"/>
    <n v="2"/>
    <n v="3"/>
    <s v="Manager"/>
    <n v="0"/>
    <n v="0"/>
    <n v="0"/>
    <n v="1"/>
    <n v="0"/>
    <n v="0"/>
    <n v="0"/>
    <n v="0"/>
    <n v="4"/>
    <x v="2"/>
    <n v="0"/>
    <n v="0"/>
    <n v="11557"/>
    <n v="11557"/>
    <n v="9"/>
    <x v="1"/>
    <n v="0"/>
    <n v="21"/>
    <n v="4"/>
    <n v="3"/>
    <n v="1"/>
    <n v="10"/>
    <n v="10"/>
    <n v="3"/>
    <n v="2"/>
    <n v="5"/>
    <n v="5"/>
    <n v="4"/>
    <n v="0"/>
    <n v="0"/>
    <n v="1"/>
    <n v="1"/>
    <n v="3"/>
  </r>
  <r>
    <n v="18"/>
    <n v="19"/>
    <x v="0"/>
    <n v="1"/>
    <s v="Travel_Frequently"/>
    <n v="1"/>
    <n v="0"/>
    <x v="0"/>
    <n v="0"/>
    <n v="1"/>
    <n v="5"/>
    <n v="5"/>
    <n v="3"/>
    <s v="Marketing"/>
    <n v="0"/>
    <n v="0"/>
    <n v="0"/>
    <n v="1"/>
    <n v="0"/>
    <x v="0"/>
    <s v="Male"/>
    <n v="0"/>
    <n v="69"/>
    <n v="3"/>
    <n v="1"/>
    <s v="Sales Representative"/>
    <n v="0"/>
    <n v="0"/>
    <n v="0"/>
    <n v="0"/>
    <n v="0"/>
    <n v="0"/>
    <n v="1"/>
    <n v="0"/>
    <n v="2"/>
    <x v="0"/>
    <n v="1"/>
    <n v="0"/>
    <n v="1878"/>
    <n v="1878"/>
    <n v="1"/>
    <x v="0"/>
    <n v="1"/>
    <n v="14"/>
    <n v="3"/>
    <n v="4"/>
    <n v="0"/>
    <n v="0"/>
    <n v="1"/>
    <n v="3"/>
    <n v="3"/>
    <n v="0"/>
    <n v="0"/>
    <n v="0"/>
    <n v="0"/>
    <n v="0"/>
    <n v="0"/>
    <n v="0"/>
    <n v="0"/>
  </r>
  <r>
    <n v="40"/>
    <n v="40"/>
    <x v="1"/>
    <n v="0"/>
    <s v="Non-Travel"/>
    <n v="0"/>
    <n v="0"/>
    <x v="0"/>
    <n v="0"/>
    <n v="1"/>
    <n v="28"/>
    <n v="28"/>
    <n v="3"/>
    <s v="Other"/>
    <n v="0"/>
    <n v="1"/>
    <n v="0"/>
    <n v="0"/>
    <n v="0"/>
    <x v="1"/>
    <s v="Male"/>
    <n v="0"/>
    <n v="58"/>
    <n v="1"/>
    <n v="3"/>
    <s v="Sales Executive"/>
    <n v="0"/>
    <n v="1"/>
    <n v="0"/>
    <n v="0"/>
    <n v="0"/>
    <n v="0"/>
    <n v="0"/>
    <n v="0"/>
    <n v="1"/>
    <x v="2"/>
    <n v="0"/>
    <n v="0"/>
    <n v="10932"/>
    <n v="10932"/>
    <n v="3"/>
    <x v="1"/>
    <n v="0"/>
    <n v="15"/>
    <n v="3"/>
    <n v="3"/>
    <n v="1"/>
    <n v="20"/>
    <n v="20"/>
    <n v="2"/>
    <n v="3"/>
    <n v="1"/>
    <n v="1"/>
    <n v="0"/>
    <n v="0"/>
    <n v="0"/>
    <n v="1"/>
    <n v="1"/>
    <n v="3"/>
  </r>
  <r>
    <n v="41"/>
    <n v="41"/>
    <x v="1"/>
    <n v="0"/>
    <s v="Non-Travel"/>
    <n v="0"/>
    <n v="0"/>
    <x v="1"/>
    <n v="1"/>
    <n v="0"/>
    <n v="2"/>
    <n v="2"/>
    <n v="4"/>
    <s v="Other"/>
    <n v="0"/>
    <n v="1"/>
    <n v="0"/>
    <n v="0"/>
    <n v="0"/>
    <x v="3"/>
    <s v="Female"/>
    <n v="1"/>
    <n v="62"/>
    <n v="2"/>
    <n v="2"/>
    <s v="Healthcare Representative"/>
    <n v="1"/>
    <n v="0"/>
    <n v="0"/>
    <n v="0"/>
    <n v="0"/>
    <n v="0"/>
    <n v="0"/>
    <n v="0"/>
    <n v="3"/>
    <x v="0"/>
    <n v="1"/>
    <n v="0"/>
    <n v="6811"/>
    <n v="6811"/>
    <n v="2"/>
    <x v="0"/>
    <n v="1"/>
    <n v="17"/>
    <n v="3"/>
    <n v="1"/>
    <n v="0"/>
    <n v="10"/>
    <n v="10"/>
    <n v="3"/>
    <n v="3"/>
    <n v="8"/>
    <n v="8"/>
    <n v="7"/>
    <n v="0"/>
    <n v="0"/>
    <n v="7"/>
    <n v="7"/>
    <n v="14"/>
  </r>
  <r>
    <n v="26"/>
    <n v="26"/>
    <x v="1"/>
    <n v="0"/>
    <s v="Travel_Rarely"/>
    <n v="0"/>
    <n v="1"/>
    <x v="0"/>
    <n v="0"/>
    <n v="1"/>
    <n v="29"/>
    <n v="29"/>
    <n v="2"/>
    <s v="Medical"/>
    <n v="0"/>
    <n v="0"/>
    <n v="1"/>
    <n v="0"/>
    <n v="0"/>
    <x v="3"/>
    <s v="Male"/>
    <n v="0"/>
    <n v="45"/>
    <n v="3"/>
    <n v="2"/>
    <s v="Sales Executive"/>
    <n v="0"/>
    <n v="1"/>
    <n v="0"/>
    <n v="0"/>
    <n v="0"/>
    <n v="0"/>
    <n v="0"/>
    <n v="0"/>
    <n v="3"/>
    <x v="2"/>
    <n v="0"/>
    <n v="0"/>
    <n v="4306"/>
    <n v="4306"/>
    <n v="5"/>
    <x v="1"/>
    <n v="0"/>
    <n v="12"/>
    <n v="3"/>
    <n v="1"/>
    <n v="2"/>
    <n v="8"/>
    <n v="8"/>
    <n v="5"/>
    <n v="3"/>
    <n v="0"/>
    <n v="0"/>
    <n v="0"/>
    <n v="0"/>
    <n v="0"/>
    <n v="0"/>
    <n v="0"/>
    <n v="0"/>
  </r>
  <r>
    <n v="35"/>
    <n v="35"/>
    <x v="1"/>
    <n v="0"/>
    <s v="Travel_Rarely"/>
    <n v="0"/>
    <n v="1"/>
    <x v="0"/>
    <n v="0"/>
    <n v="1"/>
    <n v="1"/>
    <n v="1"/>
    <n v="3"/>
    <s v="Medical"/>
    <n v="0"/>
    <n v="0"/>
    <n v="1"/>
    <n v="0"/>
    <n v="0"/>
    <x v="3"/>
    <s v="Female"/>
    <n v="1"/>
    <n v="80"/>
    <n v="3"/>
    <n v="2"/>
    <s v="Sales Executive"/>
    <n v="0"/>
    <n v="1"/>
    <n v="0"/>
    <n v="0"/>
    <n v="0"/>
    <n v="0"/>
    <n v="0"/>
    <n v="0"/>
    <n v="3"/>
    <x v="0"/>
    <n v="1"/>
    <n v="0"/>
    <n v="4859"/>
    <n v="4859"/>
    <n v="1"/>
    <x v="1"/>
    <n v="0"/>
    <n v="16"/>
    <n v="3"/>
    <n v="4"/>
    <n v="0"/>
    <n v="5"/>
    <n v="5"/>
    <n v="3"/>
    <n v="3"/>
    <n v="5"/>
    <n v="5"/>
    <n v="4"/>
    <n v="0"/>
    <n v="0"/>
    <n v="3"/>
    <n v="3"/>
    <n v="6"/>
  </r>
  <r>
    <n v="34"/>
    <n v="34"/>
    <x v="1"/>
    <n v="0"/>
    <s v="Travel_Rarely"/>
    <n v="0"/>
    <n v="1"/>
    <x v="0"/>
    <n v="0"/>
    <n v="1"/>
    <n v="21"/>
    <n v="21"/>
    <n v="4"/>
    <s v="Life Sciences"/>
    <n v="1"/>
    <n v="0"/>
    <n v="0"/>
    <n v="0"/>
    <n v="0"/>
    <x v="2"/>
    <s v="Male"/>
    <n v="0"/>
    <n v="74"/>
    <n v="4"/>
    <n v="2"/>
    <s v="Sales Executive"/>
    <n v="0"/>
    <n v="1"/>
    <n v="0"/>
    <n v="0"/>
    <n v="0"/>
    <n v="0"/>
    <n v="0"/>
    <n v="0"/>
    <n v="4"/>
    <x v="0"/>
    <n v="1"/>
    <n v="0"/>
    <n v="5337"/>
    <n v="5337"/>
    <n v="1"/>
    <x v="1"/>
    <n v="0"/>
    <n v="12"/>
    <n v="3"/>
    <n v="4"/>
    <n v="0"/>
    <n v="10"/>
    <n v="10"/>
    <n v="3"/>
    <n v="3"/>
    <n v="10"/>
    <n v="10"/>
    <n v="7"/>
    <n v="5"/>
    <n v="5"/>
    <n v="7"/>
    <n v="7"/>
    <n v="14"/>
  </r>
  <r>
    <n v="26"/>
    <n v="26"/>
    <x v="0"/>
    <n v="1"/>
    <s v="Travel_Rarely"/>
    <n v="0"/>
    <n v="1"/>
    <x v="1"/>
    <n v="1"/>
    <n v="0"/>
    <n v="24"/>
    <n v="24"/>
    <n v="3"/>
    <s v="Technical Degree"/>
    <n v="0"/>
    <n v="0"/>
    <n v="0"/>
    <n v="0"/>
    <n v="1"/>
    <x v="1"/>
    <s v="Male"/>
    <n v="0"/>
    <n v="66"/>
    <n v="1"/>
    <n v="1"/>
    <s v="Laboratory Technician"/>
    <n v="0"/>
    <n v="0"/>
    <n v="1"/>
    <n v="0"/>
    <n v="0"/>
    <n v="0"/>
    <n v="0"/>
    <n v="0"/>
    <n v="4"/>
    <x v="0"/>
    <n v="1"/>
    <n v="0"/>
    <n v="2340"/>
    <n v="2340"/>
    <n v="1"/>
    <x v="0"/>
    <n v="1"/>
    <n v="18"/>
    <n v="3"/>
    <n v="2"/>
    <n v="0"/>
    <n v="1"/>
    <n v="1"/>
    <n v="3"/>
    <n v="1"/>
    <n v="1"/>
    <n v="1"/>
    <n v="0"/>
    <n v="0"/>
    <n v="0"/>
    <n v="0"/>
    <n v="0"/>
    <n v="0"/>
  </r>
  <r>
    <n v="37"/>
    <n v="37"/>
    <x v="1"/>
    <n v="0"/>
    <s v="Travel_Rarely"/>
    <n v="0"/>
    <n v="1"/>
    <x v="1"/>
    <n v="1"/>
    <n v="0"/>
    <n v="1"/>
    <n v="1"/>
    <n v="3"/>
    <s v="Technical Degree"/>
    <n v="0"/>
    <n v="0"/>
    <n v="0"/>
    <n v="0"/>
    <n v="1"/>
    <x v="0"/>
    <s v="Female"/>
    <n v="1"/>
    <n v="59"/>
    <n v="3"/>
    <n v="3"/>
    <s v="Manufacturing Director"/>
    <n v="0"/>
    <n v="0"/>
    <n v="0"/>
    <n v="0"/>
    <n v="1"/>
    <n v="1"/>
    <n v="0"/>
    <n v="0"/>
    <n v="4"/>
    <x v="0"/>
    <n v="1"/>
    <n v="0"/>
    <n v="7491"/>
    <n v="7491"/>
    <n v="4"/>
    <x v="1"/>
    <n v="0"/>
    <n v="17"/>
    <n v="3"/>
    <n v="4"/>
    <n v="0"/>
    <n v="12"/>
    <n v="12"/>
    <n v="3"/>
    <n v="4"/>
    <n v="6"/>
    <n v="6"/>
    <n v="5"/>
    <n v="1"/>
    <n v="1"/>
    <n v="2"/>
    <n v="2"/>
    <n v="6"/>
  </r>
  <r>
    <n v="46"/>
    <n v="46"/>
    <x v="1"/>
    <n v="0"/>
    <s v="Travel_Frequently"/>
    <n v="1"/>
    <n v="0"/>
    <x v="1"/>
    <n v="1"/>
    <n v="0"/>
    <n v="18"/>
    <n v="18"/>
    <n v="1"/>
    <s v="Medical"/>
    <n v="0"/>
    <n v="0"/>
    <n v="1"/>
    <n v="0"/>
    <n v="0"/>
    <x v="3"/>
    <s v="Female"/>
    <n v="1"/>
    <n v="86"/>
    <n v="3"/>
    <n v="3"/>
    <s v="Healthcare Representative"/>
    <n v="1"/>
    <n v="0"/>
    <n v="0"/>
    <n v="0"/>
    <n v="0"/>
    <n v="0"/>
    <n v="0"/>
    <n v="0"/>
    <n v="3"/>
    <x v="1"/>
    <n v="0"/>
    <n v="1"/>
    <n v="10527"/>
    <n v="10527"/>
    <n v="5"/>
    <x v="1"/>
    <n v="0"/>
    <n v="11"/>
    <n v="3"/>
    <n v="4"/>
    <n v="0"/>
    <n v="28"/>
    <n v="28"/>
    <n v="3"/>
    <n v="2"/>
    <n v="2"/>
    <n v="2"/>
    <n v="2"/>
    <n v="1"/>
    <n v="1"/>
    <n v="2"/>
    <n v="2"/>
    <n v="6"/>
  </r>
  <r>
    <n v="41"/>
    <n v="41"/>
    <x v="1"/>
    <n v="0"/>
    <s v="Travel_Rarely"/>
    <n v="0"/>
    <n v="1"/>
    <x v="0"/>
    <n v="0"/>
    <n v="1"/>
    <n v="2"/>
    <n v="2"/>
    <n v="5"/>
    <s v="Life Sciences"/>
    <n v="1"/>
    <n v="0"/>
    <n v="0"/>
    <n v="0"/>
    <n v="0"/>
    <x v="0"/>
    <s v="Female"/>
    <n v="1"/>
    <n v="91"/>
    <n v="3"/>
    <n v="4"/>
    <s v="Manager"/>
    <n v="0"/>
    <n v="0"/>
    <n v="0"/>
    <n v="1"/>
    <n v="0"/>
    <n v="0"/>
    <n v="0"/>
    <n v="0"/>
    <n v="1"/>
    <x v="1"/>
    <n v="0"/>
    <n v="1"/>
    <n v="16595"/>
    <n v="16595"/>
    <n v="7"/>
    <x v="1"/>
    <n v="0"/>
    <n v="16"/>
    <n v="3"/>
    <n v="2"/>
    <n v="1"/>
    <n v="22"/>
    <n v="22"/>
    <n v="2"/>
    <n v="3"/>
    <n v="18"/>
    <n v="18"/>
    <n v="16"/>
    <n v="11"/>
    <n v="11"/>
    <n v="8"/>
    <n v="8"/>
    <n v="32"/>
  </r>
  <r>
    <n v="37"/>
    <n v="37"/>
    <x v="1"/>
    <n v="0"/>
    <s v="Non-Travel"/>
    <n v="0"/>
    <n v="0"/>
    <x v="0"/>
    <n v="0"/>
    <n v="1"/>
    <n v="9"/>
    <n v="9"/>
    <n v="4"/>
    <s v="Medical"/>
    <n v="0"/>
    <n v="0"/>
    <n v="1"/>
    <n v="0"/>
    <n v="0"/>
    <x v="3"/>
    <s v="Male"/>
    <n v="0"/>
    <n v="69"/>
    <n v="3"/>
    <n v="3"/>
    <s v="Sales Executive"/>
    <n v="0"/>
    <n v="1"/>
    <n v="0"/>
    <n v="0"/>
    <n v="0"/>
    <n v="0"/>
    <n v="0"/>
    <n v="0"/>
    <n v="2"/>
    <x v="2"/>
    <n v="0"/>
    <n v="0"/>
    <n v="8834"/>
    <n v="8834"/>
    <n v="1"/>
    <x v="1"/>
    <n v="0"/>
    <n v="13"/>
    <n v="3"/>
    <n v="4"/>
    <n v="1"/>
    <n v="9"/>
    <n v="9"/>
    <n v="6"/>
    <n v="3"/>
    <n v="9"/>
    <n v="9"/>
    <n v="5"/>
    <n v="7"/>
    <n v="7"/>
    <n v="7"/>
    <n v="7"/>
    <n v="21"/>
  </r>
  <r>
    <n v="52"/>
    <n v="52"/>
    <x v="1"/>
    <n v="0"/>
    <s v="Travel_Rarely"/>
    <n v="0"/>
    <n v="1"/>
    <x v="1"/>
    <n v="1"/>
    <n v="0"/>
    <n v="6"/>
    <n v="6"/>
    <n v="2"/>
    <s v="Technical Degree"/>
    <n v="0"/>
    <n v="0"/>
    <n v="0"/>
    <n v="0"/>
    <n v="1"/>
    <x v="2"/>
    <s v="Male"/>
    <n v="0"/>
    <n v="78"/>
    <n v="3"/>
    <n v="2"/>
    <s v="Research Scientist"/>
    <n v="0"/>
    <n v="0"/>
    <n v="0"/>
    <n v="0"/>
    <n v="0"/>
    <n v="0"/>
    <n v="0"/>
    <n v="1"/>
    <n v="1"/>
    <x v="2"/>
    <n v="0"/>
    <n v="0"/>
    <n v="5577"/>
    <n v="5577"/>
    <n v="3"/>
    <x v="0"/>
    <n v="1"/>
    <n v="12"/>
    <n v="3"/>
    <n v="2"/>
    <n v="2"/>
    <n v="18"/>
    <n v="18"/>
    <n v="3"/>
    <n v="3"/>
    <n v="10"/>
    <n v="10"/>
    <n v="9"/>
    <n v="6"/>
    <n v="6"/>
    <n v="9"/>
    <n v="9"/>
    <n v="18"/>
  </r>
  <r>
    <n v="32"/>
    <n v="32"/>
    <x v="0"/>
    <n v="1"/>
    <s v="Non-Travel"/>
    <n v="0"/>
    <n v="0"/>
    <x v="0"/>
    <n v="0"/>
    <n v="1"/>
    <n v="11"/>
    <n v="11"/>
    <n v="4"/>
    <s v="Other"/>
    <n v="0"/>
    <n v="1"/>
    <n v="0"/>
    <n v="0"/>
    <n v="0"/>
    <x v="2"/>
    <s v="Male"/>
    <n v="0"/>
    <n v="60"/>
    <n v="4"/>
    <n v="2"/>
    <s v="Sales Executive"/>
    <n v="0"/>
    <n v="1"/>
    <n v="0"/>
    <n v="0"/>
    <n v="0"/>
    <n v="0"/>
    <n v="0"/>
    <n v="0"/>
    <n v="3"/>
    <x v="1"/>
    <n v="0"/>
    <n v="1"/>
    <n v="4707"/>
    <n v="4707"/>
    <n v="8"/>
    <x v="1"/>
    <n v="0"/>
    <n v="12"/>
    <n v="3"/>
    <n v="4"/>
    <n v="0"/>
    <n v="6"/>
    <n v="6"/>
    <n v="2"/>
    <n v="3"/>
    <n v="4"/>
    <n v="4"/>
    <n v="2"/>
    <n v="1"/>
    <n v="1"/>
    <n v="2"/>
    <n v="2"/>
    <n v="4"/>
  </r>
  <r>
    <n v="24"/>
    <n v="24"/>
    <x v="1"/>
    <n v="0"/>
    <s v="Travel_Frequently"/>
    <n v="1"/>
    <n v="0"/>
    <x v="0"/>
    <n v="0"/>
    <n v="1"/>
    <n v="24"/>
    <n v="24"/>
    <n v="3"/>
    <s v="Medical"/>
    <n v="0"/>
    <n v="0"/>
    <n v="1"/>
    <n v="0"/>
    <n v="0"/>
    <x v="2"/>
    <s v="Male"/>
    <n v="0"/>
    <n v="38"/>
    <n v="3"/>
    <n v="1"/>
    <s v="Sales Representative"/>
    <n v="0"/>
    <n v="0"/>
    <n v="0"/>
    <n v="0"/>
    <n v="0"/>
    <n v="0"/>
    <n v="1"/>
    <n v="0"/>
    <n v="4"/>
    <x v="1"/>
    <n v="0"/>
    <n v="1"/>
    <n v="2400"/>
    <n v="2400"/>
    <n v="0"/>
    <x v="1"/>
    <n v="0"/>
    <n v="13"/>
    <n v="3"/>
    <n v="3"/>
    <n v="2"/>
    <n v="3"/>
    <n v="3"/>
    <n v="3"/>
    <n v="3"/>
    <n v="2"/>
    <n v="2"/>
    <n v="2"/>
    <n v="2"/>
    <n v="2"/>
    <n v="1"/>
    <n v="1"/>
    <n v="1"/>
  </r>
  <r>
    <n v="38"/>
    <n v="38"/>
    <x v="1"/>
    <n v="0"/>
    <s v="Travel_Rarely"/>
    <n v="0"/>
    <n v="1"/>
    <x v="1"/>
    <n v="1"/>
    <n v="0"/>
    <n v="10"/>
    <n v="10"/>
    <n v="3"/>
    <s v="Medical"/>
    <n v="0"/>
    <n v="0"/>
    <n v="1"/>
    <n v="0"/>
    <n v="0"/>
    <x v="1"/>
    <s v="Female"/>
    <n v="1"/>
    <n v="76"/>
    <n v="3"/>
    <n v="2"/>
    <s v="Healthcare Representative"/>
    <n v="1"/>
    <n v="0"/>
    <n v="0"/>
    <n v="0"/>
    <n v="0"/>
    <n v="0"/>
    <n v="0"/>
    <n v="0"/>
    <n v="3"/>
    <x v="1"/>
    <n v="0"/>
    <n v="1"/>
    <n v="9824"/>
    <n v="9824"/>
    <n v="3"/>
    <x v="1"/>
    <n v="0"/>
    <n v="19"/>
    <n v="3"/>
    <n v="3"/>
    <n v="1"/>
    <n v="18"/>
    <n v="18"/>
    <n v="4"/>
    <n v="3"/>
    <n v="1"/>
    <n v="1"/>
    <n v="0"/>
    <n v="0"/>
    <n v="0"/>
    <n v="0"/>
    <n v="0"/>
    <n v="0"/>
  </r>
  <r>
    <n v="37"/>
    <n v="37"/>
    <x v="1"/>
    <n v="0"/>
    <s v="Travel_Rarely"/>
    <n v="0"/>
    <n v="1"/>
    <x v="1"/>
    <n v="1"/>
    <n v="0"/>
    <n v="1"/>
    <n v="1"/>
    <n v="4"/>
    <s v="Life Sciences"/>
    <n v="1"/>
    <n v="0"/>
    <n v="0"/>
    <n v="0"/>
    <n v="0"/>
    <x v="0"/>
    <s v="Female"/>
    <n v="1"/>
    <n v="65"/>
    <n v="3"/>
    <n v="2"/>
    <s v="Manufacturing Director"/>
    <n v="0"/>
    <n v="0"/>
    <n v="0"/>
    <n v="0"/>
    <n v="1"/>
    <n v="1"/>
    <n v="0"/>
    <n v="0"/>
    <n v="2"/>
    <x v="1"/>
    <n v="0"/>
    <n v="1"/>
    <n v="6447"/>
    <n v="6447"/>
    <n v="6"/>
    <x v="1"/>
    <n v="0"/>
    <n v="12"/>
    <n v="3"/>
    <n v="2"/>
    <n v="1"/>
    <n v="8"/>
    <n v="8"/>
    <n v="2"/>
    <n v="2"/>
    <n v="6"/>
    <n v="6"/>
    <n v="5"/>
    <n v="4"/>
    <n v="4"/>
    <n v="3"/>
    <n v="3"/>
    <n v="6"/>
  </r>
  <r>
    <n v="49"/>
    <n v="49"/>
    <x v="1"/>
    <n v="0"/>
    <s v="Travel_Rarely"/>
    <n v="0"/>
    <n v="1"/>
    <x v="1"/>
    <n v="1"/>
    <n v="0"/>
    <n v="18"/>
    <n v="18"/>
    <n v="4"/>
    <s v="Life Sciences"/>
    <n v="1"/>
    <n v="0"/>
    <n v="0"/>
    <n v="0"/>
    <n v="0"/>
    <x v="2"/>
    <s v="Male"/>
    <n v="0"/>
    <n v="58"/>
    <n v="2"/>
    <n v="5"/>
    <s v="Research Director"/>
    <n v="0"/>
    <n v="0"/>
    <n v="0"/>
    <n v="0"/>
    <n v="0"/>
    <n v="0"/>
    <n v="0"/>
    <n v="0"/>
    <n v="3"/>
    <x v="2"/>
    <n v="0"/>
    <n v="0"/>
    <n v="19502"/>
    <n v="19502"/>
    <n v="1"/>
    <x v="0"/>
    <n v="1"/>
    <n v="17"/>
    <n v="3"/>
    <n v="3"/>
    <n v="1"/>
    <n v="31"/>
    <n v="31"/>
    <n v="5"/>
    <n v="3"/>
    <n v="31"/>
    <n v="31"/>
    <n v="9"/>
    <n v="0"/>
    <n v="0"/>
    <n v="9"/>
    <n v="9"/>
    <n v="45"/>
  </r>
  <r>
    <n v="24"/>
    <n v="24"/>
    <x v="1"/>
    <n v="0"/>
    <s v="Travel_Rarely"/>
    <n v="0"/>
    <n v="1"/>
    <x v="1"/>
    <n v="1"/>
    <n v="0"/>
    <n v="23"/>
    <n v="23"/>
    <n v="3"/>
    <s v="Medical"/>
    <n v="0"/>
    <n v="0"/>
    <n v="1"/>
    <n v="0"/>
    <n v="0"/>
    <x v="0"/>
    <s v="Male"/>
    <n v="0"/>
    <n v="89"/>
    <n v="4"/>
    <n v="1"/>
    <s v="Research Scientist"/>
    <n v="0"/>
    <n v="0"/>
    <n v="0"/>
    <n v="0"/>
    <n v="0"/>
    <n v="0"/>
    <n v="0"/>
    <n v="1"/>
    <n v="4"/>
    <x v="1"/>
    <n v="0"/>
    <n v="1"/>
    <n v="2725"/>
    <n v="2725"/>
    <n v="1"/>
    <x v="0"/>
    <n v="1"/>
    <n v="11"/>
    <n v="3"/>
    <n v="2"/>
    <n v="2"/>
    <n v="6"/>
    <n v="6"/>
    <n v="3"/>
    <n v="3"/>
    <n v="6"/>
    <n v="6"/>
    <n v="5"/>
    <n v="1"/>
    <n v="1"/>
    <n v="4"/>
    <n v="4"/>
    <n v="4"/>
  </r>
  <r>
    <n v="26"/>
    <n v="26"/>
    <x v="1"/>
    <n v="0"/>
    <s v="Travel_Rarely"/>
    <n v="0"/>
    <n v="1"/>
    <x v="0"/>
    <n v="0"/>
    <n v="1"/>
    <n v="28"/>
    <n v="28"/>
    <n v="2"/>
    <s v="Marketing"/>
    <n v="0"/>
    <n v="0"/>
    <n v="0"/>
    <n v="1"/>
    <n v="0"/>
    <x v="3"/>
    <s v="Male"/>
    <n v="0"/>
    <n v="66"/>
    <n v="3"/>
    <n v="2"/>
    <s v="Sales Executive"/>
    <n v="0"/>
    <n v="1"/>
    <n v="0"/>
    <n v="0"/>
    <n v="0"/>
    <n v="0"/>
    <n v="0"/>
    <n v="0"/>
    <n v="2"/>
    <x v="1"/>
    <n v="0"/>
    <n v="1"/>
    <n v="6272"/>
    <n v="6272"/>
    <n v="1"/>
    <x v="1"/>
    <n v="0"/>
    <n v="20"/>
    <n v="4"/>
    <n v="4"/>
    <n v="2"/>
    <n v="6"/>
    <n v="6"/>
    <n v="5"/>
    <n v="4"/>
    <n v="5"/>
    <n v="5"/>
    <n v="3"/>
    <n v="1"/>
    <n v="1"/>
    <n v="4"/>
    <n v="4"/>
    <n v="8"/>
  </r>
  <r>
    <n v="24"/>
    <n v="24"/>
    <x v="1"/>
    <n v="0"/>
    <s v="Travel_Rarely"/>
    <n v="0"/>
    <n v="1"/>
    <x v="1"/>
    <n v="1"/>
    <n v="0"/>
    <n v="17"/>
    <n v="17"/>
    <n v="2"/>
    <s v="Other"/>
    <n v="0"/>
    <n v="1"/>
    <n v="0"/>
    <n v="0"/>
    <n v="0"/>
    <x v="2"/>
    <s v="Male"/>
    <n v="0"/>
    <n v="94"/>
    <n v="2"/>
    <n v="1"/>
    <s v="Laboratory Technician"/>
    <n v="0"/>
    <n v="0"/>
    <n v="1"/>
    <n v="0"/>
    <n v="0"/>
    <n v="0"/>
    <n v="0"/>
    <n v="0"/>
    <n v="2"/>
    <x v="1"/>
    <n v="0"/>
    <n v="1"/>
    <n v="2127"/>
    <n v="2127"/>
    <n v="1"/>
    <x v="1"/>
    <n v="0"/>
    <n v="21"/>
    <n v="4"/>
    <n v="4"/>
    <n v="1"/>
    <n v="1"/>
    <n v="1"/>
    <n v="2"/>
    <n v="3"/>
    <n v="1"/>
    <n v="1"/>
    <n v="0"/>
    <n v="0"/>
    <n v="0"/>
    <n v="0"/>
    <n v="0"/>
    <n v="0"/>
  </r>
  <r>
    <n v="50"/>
    <n v="50"/>
    <x v="1"/>
    <n v="0"/>
    <s v="Travel_Frequently"/>
    <n v="1"/>
    <n v="0"/>
    <x v="2"/>
    <n v="0"/>
    <n v="0"/>
    <n v="3"/>
    <n v="3"/>
    <n v="3"/>
    <s v="Medical"/>
    <n v="0"/>
    <n v="0"/>
    <n v="1"/>
    <n v="0"/>
    <n v="0"/>
    <x v="3"/>
    <s v="Male"/>
    <n v="0"/>
    <n v="99"/>
    <n v="3"/>
    <n v="5"/>
    <s v="Manager"/>
    <n v="0"/>
    <n v="0"/>
    <n v="0"/>
    <n v="1"/>
    <n v="0"/>
    <n v="0"/>
    <n v="0"/>
    <n v="0"/>
    <n v="2"/>
    <x v="1"/>
    <n v="0"/>
    <n v="1"/>
    <n v="18200"/>
    <n v="18200"/>
    <n v="1"/>
    <x v="1"/>
    <n v="0"/>
    <n v="11"/>
    <n v="3"/>
    <n v="3"/>
    <n v="1"/>
    <n v="32"/>
    <n v="32"/>
    <n v="2"/>
    <n v="3"/>
    <n v="32"/>
    <n v="31"/>
    <n v="5"/>
    <n v="10"/>
    <n v="10"/>
    <n v="7"/>
    <n v="7"/>
    <n v="35"/>
  </r>
  <r>
    <n v="25"/>
    <n v="25"/>
    <x v="1"/>
    <n v="0"/>
    <s v="Travel_Rarely"/>
    <n v="0"/>
    <n v="1"/>
    <x v="0"/>
    <n v="0"/>
    <n v="1"/>
    <n v="13"/>
    <n v="13"/>
    <n v="1"/>
    <s v="Medical"/>
    <n v="0"/>
    <n v="0"/>
    <n v="1"/>
    <n v="0"/>
    <n v="0"/>
    <x v="0"/>
    <s v="Male"/>
    <n v="0"/>
    <n v="40"/>
    <n v="3"/>
    <n v="1"/>
    <s v="Sales Representative"/>
    <n v="0"/>
    <n v="0"/>
    <n v="0"/>
    <n v="0"/>
    <n v="0"/>
    <n v="0"/>
    <n v="1"/>
    <n v="0"/>
    <n v="3"/>
    <x v="1"/>
    <n v="0"/>
    <n v="1"/>
    <n v="2096"/>
    <n v="2096"/>
    <n v="1"/>
    <x v="1"/>
    <n v="0"/>
    <n v="11"/>
    <n v="3"/>
    <n v="3"/>
    <n v="0"/>
    <n v="7"/>
    <n v="7"/>
    <n v="1"/>
    <n v="3"/>
    <n v="7"/>
    <n v="7"/>
    <n v="4"/>
    <n v="0"/>
    <n v="0"/>
    <n v="6"/>
    <n v="6"/>
    <n v="6"/>
  </r>
  <r>
    <n v="24"/>
    <n v="24"/>
    <x v="0"/>
    <n v="1"/>
    <s v="Travel_Frequently"/>
    <n v="1"/>
    <n v="0"/>
    <x v="1"/>
    <n v="1"/>
    <n v="0"/>
    <n v="7"/>
    <n v="7"/>
    <n v="3"/>
    <s v="Life Sciences"/>
    <n v="1"/>
    <n v="0"/>
    <n v="0"/>
    <n v="0"/>
    <n v="0"/>
    <x v="3"/>
    <s v="Female"/>
    <n v="1"/>
    <n v="55"/>
    <n v="3"/>
    <n v="1"/>
    <s v="Laboratory Technician"/>
    <n v="0"/>
    <n v="0"/>
    <n v="1"/>
    <n v="0"/>
    <n v="0"/>
    <n v="0"/>
    <n v="0"/>
    <n v="0"/>
    <n v="3"/>
    <x v="1"/>
    <n v="0"/>
    <n v="1"/>
    <n v="2886"/>
    <n v="2886"/>
    <n v="1"/>
    <x v="0"/>
    <n v="1"/>
    <n v="16"/>
    <n v="3"/>
    <n v="4"/>
    <n v="1"/>
    <n v="6"/>
    <n v="6"/>
    <n v="4"/>
    <n v="3"/>
    <n v="6"/>
    <n v="6"/>
    <n v="3"/>
    <n v="1"/>
    <n v="1"/>
    <n v="2"/>
    <n v="2"/>
    <n v="2"/>
  </r>
  <r>
    <n v="30"/>
    <n v="30"/>
    <x v="0"/>
    <n v="1"/>
    <s v="Travel_Frequently"/>
    <n v="1"/>
    <n v="0"/>
    <x v="0"/>
    <n v="0"/>
    <n v="1"/>
    <n v="12"/>
    <n v="12"/>
    <n v="4"/>
    <s v="Life Sciences"/>
    <n v="1"/>
    <n v="0"/>
    <n v="0"/>
    <n v="0"/>
    <n v="0"/>
    <x v="0"/>
    <s v="Male"/>
    <n v="0"/>
    <n v="74"/>
    <n v="2"/>
    <n v="1"/>
    <s v="Sales Representative"/>
    <n v="0"/>
    <n v="0"/>
    <n v="0"/>
    <n v="0"/>
    <n v="0"/>
    <n v="0"/>
    <n v="1"/>
    <n v="0"/>
    <n v="1"/>
    <x v="1"/>
    <n v="0"/>
    <n v="1"/>
    <n v="2033"/>
    <n v="2033"/>
    <n v="1"/>
    <x v="1"/>
    <n v="0"/>
    <n v="18"/>
    <n v="3"/>
    <n v="3"/>
    <n v="1"/>
    <n v="1"/>
    <n v="1"/>
    <n v="2"/>
    <n v="4"/>
    <n v="1"/>
    <n v="1"/>
    <n v="0"/>
    <n v="0"/>
    <n v="0"/>
    <n v="0"/>
    <n v="0"/>
    <n v="0"/>
  </r>
  <r>
    <n v="34"/>
    <n v="34"/>
    <x v="1"/>
    <n v="0"/>
    <s v="Travel_Rarely"/>
    <n v="0"/>
    <n v="1"/>
    <x v="1"/>
    <n v="1"/>
    <n v="0"/>
    <n v="1"/>
    <n v="1"/>
    <n v="2"/>
    <s v="Life Sciences"/>
    <n v="1"/>
    <n v="0"/>
    <n v="0"/>
    <n v="0"/>
    <n v="0"/>
    <x v="0"/>
    <s v="Male"/>
    <n v="0"/>
    <n v="83"/>
    <n v="2"/>
    <n v="1"/>
    <s v="Research Scientist"/>
    <n v="0"/>
    <n v="0"/>
    <n v="0"/>
    <n v="0"/>
    <n v="0"/>
    <n v="0"/>
    <n v="0"/>
    <n v="1"/>
    <n v="4"/>
    <x v="1"/>
    <n v="0"/>
    <n v="1"/>
    <n v="3622"/>
    <n v="3622"/>
    <n v="1"/>
    <x v="0"/>
    <n v="1"/>
    <n v="13"/>
    <n v="3"/>
    <n v="4"/>
    <n v="1"/>
    <n v="6"/>
    <n v="6"/>
    <n v="3"/>
    <n v="3"/>
    <n v="6"/>
    <n v="6"/>
    <n v="5"/>
    <n v="1"/>
    <n v="1"/>
    <n v="3"/>
    <n v="3"/>
    <n v="3"/>
  </r>
  <r>
    <n v="31"/>
    <n v="31"/>
    <x v="0"/>
    <n v="1"/>
    <s v="Travel_Rarely"/>
    <n v="0"/>
    <n v="1"/>
    <x v="0"/>
    <n v="0"/>
    <n v="1"/>
    <n v="13"/>
    <n v="13"/>
    <n v="4"/>
    <s v="Medical"/>
    <n v="0"/>
    <n v="0"/>
    <n v="1"/>
    <n v="0"/>
    <n v="0"/>
    <x v="0"/>
    <s v="Male"/>
    <n v="0"/>
    <n v="46"/>
    <n v="3"/>
    <n v="2"/>
    <s v="Sales Executive"/>
    <n v="0"/>
    <n v="1"/>
    <n v="0"/>
    <n v="0"/>
    <n v="0"/>
    <n v="0"/>
    <n v="0"/>
    <n v="0"/>
    <n v="1"/>
    <x v="2"/>
    <n v="0"/>
    <n v="0"/>
    <n v="4233"/>
    <n v="4233"/>
    <n v="2"/>
    <x v="1"/>
    <n v="0"/>
    <n v="17"/>
    <n v="3"/>
    <n v="3"/>
    <n v="0"/>
    <n v="9"/>
    <n v="9"/>
    <n v="2"/>
    <n v="1"/>
    <n v="3"/>
    <n v="3"/>
    <n v="1"/>
    <n v="1"/>
    <n v="1"/>
    <n v="2"/>
    <n v="2"/>
    <n v="4"/>
  </r>
  <r>
    <n v="35"/>
    <n v="35"/>
    <x v="1"/>
    <n v="0"/>
    <s v="Travel_Rarely"/>
    <n v="0"/>
    <n v="1"/>
    <x v="1"/>
    <n v="1"/>
    <n v="0"/>
    <n v="25"/>
    <n v="25"/>
    <n v="2"/>
    <s v="Other"/>
    <n v="0"/>
    <n v="1"/>
    <n v="0"/>
    <n v="0"/>
    <n v="0"/>
    <x v="3"/>
    <s v="Male"/>
    <n v="0"/>
    <n v="54"/>
    <n v="2"/>
    <n v="2"/>
    <s v="Laboratory Technician"/>
    <n v="0"/>
    <n v="0"/>
    <n v="1"/>
    <n v="0"/>
    <n v="0"/>
    <n v="0"/>
    <n v="0"/>
    <n v="0"/>
    <n v="4"/>
    <x v="0"/>
    <n v="1"/>
    <n v="0"/>
    <n v="3681"/>
    <n v="3681"/>
    <n v="4"/>
    <x v="1"/>
    <n v="0"/>
    <n v="14"/>
    <n v="3"/>
    <n v="4"/>
    <n v="0"/>
    <n v="9"/>
    <n v="9"/>
    <n v="3"/>
    <n v="3"/>
    <n v="3"/>
    <n v="3"/>
    <n v="2"/>
    <n v="0"/>
    <n v="0"/>
    <n v="2"/>
    <n v="2"/>
    <n v="4"/>
  </r>
  <r>
    <n v="31"/>
    <n v="31"/>
    <x v="1"/>
    <n v="0"/>
    <s v="Travel_Rarely"/>
    <n v="0"/>
    <n v="1"/>
    <x v="0"/>
    <n v="0"/>
    <n v="1"/>
    <n v="6"/>
    <n v="6"/>
    <n v="4"/>
    <s v="Medical"/>
    <n v="0"/>
    <n v="0"/>
    <n v="1"/>
    <n v="0"/>
    <n v="0"/>
    <x v="3"/>
    <s v="Male"/>
    <n v="0"/>
    <n v="66"/>
    <n v="4"/>
    <n v="2"/>
    <s v="Sales Executive"/>
    <n v="0"/>
    <n v="1"/>
    <n v="0"/>
    <n v="0"/>
    <n v="0"/>
    <n v="0"/>
    <n v="0"/>
    <n v="0"/>
    <n v="4"/>
    <x v="2"/>
    <n v="0"/>
    <n v="0"/>
    <n v="5460"/>
    <n v="5460"/>
    <n v="4"/>
    <x v="1"/>
    <n v="0"/>
    <n v="22"/>
    <n v="4"/>
    <n v="4"/>
    <n v="2"/>
    <n v="13"/>
    <n v="13"/>
    <n v="4"/>
    <n v="4"/>
    <n v="7"/>
    <n v="7"/>
    <n v="7"/>
    <n v="5"/>
    <n v="5"/>
    <n v="7"/>
    <n v="7"/>
    <n v="14"/>
  </r>
  <r>
    <n v="27"/>
    <n v="27"/>
    <x v="1"/>
    <n v="0"/>
    <s v="Travel_Rarely"/>
    <n v="0"/>
    <n v="1"/>
    <x v="1"/>
    <n v="1"/>
    <n v="0"/>
    <n v="6"/>
    <n v="6"/>
    <n v="4"/>
    <s v="Medical"/>
    <n v="0"/>
    <n v="0"/>
    <n v="1"/>
    <n v="0"/>
    <n v="0"/>
    <x v="3"/>
    <s v="Female"/>
    <n v="1"/>
    <n v="66"/>
    <n v="2"/>
    <n v="1"/>
    <s v="Research Scientist"/>
    <n v="0"/>
    <n v="0"/>
    <n v="0"/>
    <n v="0"/>
    <n v="0"/>
    <n v="0"/>
    <n v="0"/>
    <n v="1"/>
    <n v="3"/>
    <x v="2"/>
    <n v="0"/>
    <n v="0"/>
    <n v="2187"/>
    <n v="2187"/>
    <n v="0"/>
    <x v="1"/>
    <n v="0"/>
    <n v="12"/>
    <n v="3"/>
    <n v="3"/>
    <n v="2"/>
    <n v="6"/>
    <n v="6"/>
    <n v="5"/>
    <n v="2"/>
    <n v="5"/>
    <n v="5"/>
    <n v="3"/>
    <n v="0"/>
    <n v="0"/>
    <n v="3"/>
    <n v="3"/>
    <n v="3"/>
  </r>
  <r>
    <n v="37"/>
    <n v="37"/>
    <x v="1"/>
    <n v="0"/>
    <s v="Travel_Rarely"/>
    <n v="0"/>
    <n v="1"/>
    <x v="0"/>
    <n v="0"/>
    <n v="1"/>
    <n v="2"/>
    <n v="2"/>
    <n v="3"/>
    <s v="Marketing"/>
    <n v="0"/>
    <n v="0"/>
    <n v="0"/>
    <n v="1"/>
    <n v="0"/>
    <x v="2"/>
    <s v="Male"/>
    <n v="0"/>
    <n v="75"/>
    <n v="3"/>
    <n v="2"/>
    <s v="Sales Executive"/>
    <n v="0"/>
    <n v="1"/>
    <n v="0"/>
    <n v="0"/>
    <n v="0"/>
    <n v="0"/>
    <n v="0"/>
    <n v="0"/>
    <n v="3"/>
    <x v="1"/>
    <n v="0"/>
    <n v="1"/>
    <n v="9602"/>
    <n v="9602"/>
    <n v="4"/>
    <x v="0"/>
    <n v="1"/>
    <n v="11"/>
    <n v="3"/>
    <n v="3"/>
    <n v="1"/>
    <n v="17"/>
    <n v="17"/>
    <n v="3"/>
    <n v="2"/>
    <n v="3"/>
    <n v="3"/>
    <n v="0"/>
    <n v="1"/>
    <n v="1"/>
    <n v="0"/>
    <n v="0"/>
    <n v="0"/>
  </r>
  <r>
    <n v="20"/>
    <n v="20"/>
    <x v="1"/>
    <n v="0"/>
    <s v="Travel_Rarely"/>
    <n v="0"/>
    <n v="1"/>
    <x v="1"/>
    <n v="1"/>
    <n v="0"/>
    <n v="1"/>
    <n v="1"/>
    <n v="3"/>
    <s v="Life Sciences"/>
    <n v="1"/>
    <n v="0"/>
    <n v="0"/>
    <n v="0"/>
    <n v="0"/>
    <x v="2"/>
    <s v="Female"/>
    <n v="1"/>
    <n v="83"/>
    <n v="2"/>
    <n v="1"/>
    <s v="Research Scientist"/>
    <n v="0"/>
    <n v="0"/>
    <n v="0"/>
    <n v="0"/>
    <n v="0"/>
    <n v="0"/>
    <n v="0"/>
    <n v="1"/>
    <n v="2"/>
    <x v="0"/>
    <n v="1"/>
    <n v="0"/>
    <n v="2836"/>
    <n v="2836"/>
    <n v="1"/>
    <x v="1"/>
    <n v="0"/>
    <n v="13"/>
    <n v="3"/>
    <n v="4"/>
    <n v="0"/>
    <n v="1"/>
    <n v="1"/>
    <n v="0"/>
    <n v="4"/>
    <n v="1"/>
    <n v="1"/>
    <n v="0"/>
    <n v="0"/>
    <n v="0"/>
    <n v="0"/>
    <n v="0"/>
    <n v="0"/>
  </r>
  <r>
    <n v="42"/>
    <n v="42"/>
    <x v="1"/>
    <n v="0"/>
    <s v="Travel_Rarely"/>
    <n v="0"/>
    <n v="1"/>
    <x v="1"/>
    <n v="1"/>
    <n v="0"/>
    <n v="2"/>
    <n v="2"/>
    <n v="4"/>
    <s v="Life Sciences"/>
    <n v="1"/>
    <n v="0"/>
    <n v="0"/>
    <n v="0"/>
    <n v="0"/>
    <x v="1"/>
    <s v="Female"/>
    <n v="1"/>
    <n v="81"/>
    <n v="3"/>
    <n v="2"/>
    <s v="Healthcare Representative"/>
    <n v="1"/>
    <n v="0"/>
    <n v="0"/>
    <n v="0"/>
    <n v="0"/>
    <n v="0"/>
    <n v="0"/>
    <n v="0"/>
    <n v="4"/>
    <x v="1"/>
    <n v="0"/>
    <n v="1"/>
    <n v="4089"/>
    <n v="4089"/>
    <n v="1"/>
    <x v="1"/>
    <n v="0"/>
    <n v="13"/>
    <n v="3"/>
    <n v="2"/>
    <n v="2"/>
    <n v="10"/>
    <n v="10"/>
    <n v="4"/>
    <n v="3"/>
    <n v="10"/>
    <n v="10"/>
    <n v="2"/>
    <n v="2"/>
    <n v="2"/>
    <n v="2"/>
    <n v="2"/>
    <n v="4"/>
  </r>
  <r>
    <n v="43"/>
    <n v="43"/>
    <x v="1"/>
    <n v="0"/>
    <s v="Travel_Rarely"/>
    <n v="0"/>
    <n v="1"/>
    <x v="1"/>
    <n v="1"/>
    <n v="0"/>
    <n v="6"/>
    <n v="6"/>
    <n v="4"/>
    <s v="Other"/>
    <n v="0"/>
    <n v="1"/>
    <n v="0"/>
    <n v="0"/>
    <n v="0"/>
    <x v="0"/>
    <s v="Male"/>
    <n v="0"/>
    <n v="50"/>
    <n v="2"/>
    <n v="4"/>
    <s v="Research Director"/>
    <n v="0"/>
    <n v="0"/>
    <n v="0"/>
    <n v="0"/>
    <n v="0"/>
    <n v="0"/>
    <n v="0"/>
    <n v="0"/>
    <n v="4"/>
    <x v="2"/>
    <n v="0"/>
    <n v="0"/>
    <n v="16627"/>
    <n v="16627"/>
    <n v="4"/>
    <x v="0"/>
    <n v="1"/>
    <n v="14"/>
    <n v="3"/>
    <n v="3"/>
    <n v="1"/>
    <n v="21"/>
    <n v="21"/>
    <n v="3"/>
    <n v="2"/>
    <n v="1"/>
    <n v="1"/>
    <n v="0"/>
    <n v="0"/>
    <n v="0"/>
    <n v="0"/>
    <n v="0"/>
    <n v="0"/>
  </r>
  <r>
    <n v="38"/>
    <n v="38"/>
    <x v="1"/>
    <n v="0"/>
    <s v="Travel_Rarely"/>
    <n v="0"/>
    <n v="1"/>
    <x v="1"/>
    <n v="1"/>
    <n v="0"/>
    <n v="1"/>
    <n v="1"/>
    <n v="1"/>
    <s v="Life Sciences"/>
    <n v="1"/>
    <n v="0"/>
    <n v="0"/>
    <n v="0"/>
    <n v="0"/>
    <x v="1"/>
    <s v="Female"/>
    <n v="1"/>
    <n v="43"/>
    <n v="3"/>
    <n v="1"/>
    <s v="Research Scientist"/>
    <n v="0"/>
    <n v="0"/>
    <n v="0"/>
    <n v="0"/>
    <n v="0"/>
    <n v="0"/>
    <n v="0"/>
    <n v="1"/>
    <n v="1"/>
    <x v="0"/>
    <n v="1"/>
    <n v="0"/>
    <n v="2619"/>
    <n v="2619"/>
    <n v="3"/>
    <x v="1"/>
    <n v="0"/>
    <n v="17"/>
    <n v="3"/>
    <n v="4"/>
    <n v="0"/>
    <n v="8"/>
    <n v="8"/>
    <n v="3"/>
    <n v="2"/>
    <n v="0"/>
    <n v="0"/>
    <n v="0"/>
    <n v="0"/>
    <n v="0"/>
    <n v="0"/>
    <n v="0"/>
    <n v="0"/>
  </r>
  <r>
    <n v="43"/>
    <n v="43"/>
    <x v="1"/>
    <n v="0"/>
    <s v="Travel_Frequently"/>
    <n v="1"/>
    <n v="0"/>
    <x v="1"/>
    <n v="1"/>
    <n v="0"/>
    <n v="9"/>
    <n v="9"/>
    <n v="5"/>
    <s v="Medical"/>
    <n v="0"/>
    <n v="0"/>
    <n v="1"/>
    <n v="0"/>
    <n v="0"/>
    <x v="2"/>
    <s v="Male"/>
    <n v="0"/>
    <n v="72"/>
    <n v="3"/>
    <n v="2"/>
    <s v="Laboratory Technician"/>
    <n v="0"/>
    <n v="0"/>
    <n v="1"/>
    <n v="0"/>
    <n v="0"/>
    <n v="0"/>
    <n v="0"/>
    <n v="0"/>
    <n v="3"/>
    <x v="2"/>
    <n v="0"/>
    <n v="0"/>
    <n v="5679"/>
    <n v="5679"/>
    <n v="3"/>
    <x v="0"/>
    <n v="1"/>
    <n v="13"/>
    <n v="3"/>
    <n v="2"/>
    <n v="1"/>
    <n v="10"/>
    <n v="10"/>
    <n v="3"/>
    <n v="3"/>
    <n v="8"/>
    <n v="8"/>
    <n v="7"/>
    <n v="4"/>
    <n v="4"/>
    <n v="7"/>
    <n v="7"/>
    <n v="14"/>
  </r>
  <r>
    <n v="48"/>
    <n v="48"/>
    <x v="1"/>
    <n v="0"/>
    <s v="Travel_Rarely"/>
    <n v="0"/>
    <n v="1"/>
    <x v="1"/>
    <n v="1"/>
    <n v="0"/>
    <n v="1"/>
    <n v="1"/>
    <n v="4"/>
    <s v="Life Sciences"/>
    <n v="1"/>
    <n v="0"/>
    <n v="0"/>
    <n v="0"/>
    <n v="0"/>
    <x v="2"/>
    <s v="Female"/>
    <n v="1"/>
    <n v="40"/>
    <n v="2"/>
    <n v="4"/>
    <s v="Manager"/>
    <n v="0"/>
    <n v="0"/>
    <n v="0"/>
    <n v="1"/>
    <n v="0"/>
    <n v="0"/>
    <n v="0"/>
    <n v="0"/>
    <n v="1"/>
    <x v="1"/>
    <n v="0"/>
    <n v="1"/>
    <n v="15402"/>
    <n v="15402"/>
    <n v="7"/>
    <x v="1"/>
    <n v="0"/>
    <n v="11"/>
    <n v="3"/>
    <n v="1"/>
    <n v="1"/>
    <n v="21"/>
    <n v="21"/>
    <n v="3"/>
    <n v="1"/>
    <n v="3"/>
    <n v="3"/>
    <n v="2"/>
    <n v="0"/>
    <n v="0"/>
    <n v="2"/>
    <n v="2"/>
    <n v="8"/>
  </r>
  <r>
    <n v="44"/>
    <n v="44"/>
    <x v="1"/>
    <n v="0"/>
    <s v="Travel_Rarely"/>
    <n v="0"/>
    <n v="1"/>
    <x v="2"/>
    <n v="0"/>
    <n v="0"/>
    <n v="1"/>
    <n v="1"/>
    <n v="4"/>
    <s v="Life Sciences"/>
    <n v="1"/>
    <n v="0"/>
    <n v="0"/>
    <n v="0"/>
    <n v="0"/>
    <x v="3"/>
    <s v="Female"/>
    <n v="1"/>
    <n v="50"/>
    <n v="2"/>
    <n v="2"/>
    <s v="Human Resources"/>
    <n v="0"/>
    <n v="0"/>
    <n v="0"/>
    <n v="0"/>
    <n v="0"/>
    <n v="0"/>
    <n v="0"/>
    <n v="0"/>
    <n v="3"/>
    <x v="0"/>
    <n v="1"/>
    <n v="0"/>
    <n v="5985"/>
    <n v="5985"/>
    <n v="4"/>
    <x v="1"/>
    <n v="0"/>
    <n v="11"/>
    <n v="3"/>
    <n v="2"/>
    <n v="0"/>
    <n v="10"/>
    <n v="10"/>
    <n v="1"/>
    <n v="4"/>
    <n v="2"/>
    <n v="2"/>
    <n v="2"/>
    <n v="0"/>
    <n v="0"/>
    <n v="2"/>
    <n v="2"/>
    <n v="4"/>
  </r>
  <r>
    <n v="34"/>
    <n v="34"/>
    <x v="1"/>
    <n v="0"/>
    <s v="Travel_Rarely"/>
    <n v="0"/>
    <n v="1"/>
    <x v="0"/>
    <n v="0"/>
    <n v="1"/>
    <n v="14"/>
    <n v="14"/>
    <n v="3"/>
    <s v="Technical Degree"/>
    <n v="0"/>
    <n v="0"/>
    <n v="0"/>
    <n v="0"/>
    <n v="1"/>
    <x v="1"/>
    <s v="Female"/>
    <n v="1"/>
    <n v="31"/>
    <n v="3"/>
    <n v="1"/>
    <s v="Sales Representative"/>
    <n v="0"/>
    <n v="0"/>
    <n v="0"/>
    <n v="0"/>
    <n v="0"/>
    <n v="0"/>
    <n v="1"/>
    <n v="0"/>
    <n v="3"/>
    <x v="2"/>
    <n v="0"/>
    <n v="0"/>
    <n v="2579"/>
    <n v="2579"/>
    <n v="1"/>
    <x v="0"/>
    <n v="1"/>
    <n v="18"/>
    <n v="3"/>
    <n v="4"/>
    <n v="2"/>
    <n v="8"/>
    <n v="8"/>
    <n v="3"/>
    <n v="3"/>
    <n v="8"/>
    <n v="8"/>
    <n v="2"/>
    <n v="0"/>
    <n v="0"/>
    <n v="6"/>
    <n v="6"/>
    <n v="6"/>
  </r>
  <r>
    <n v="27"/>
    <n v="27"/>
    <x v="0"/>
    <n v="1"/>
    <s v="Travel_Rarely"/>
    <n v="0"/>
    <n v="1"/>
    <x v="0"/>
    <n v="0"/>
    <n v="1"/>
    <n v="2"/>
    <n v="2"/>
    <n v="1"/>
    <s v="Marketing"/>
    <n v="0"/>
    <n v="0"/>
    <n v="0"/>
    <n v="1"/>
    <n v="0"/>
    <x v="1"/>
    <s v="Male"/>
    <n v="0"/>
    <n v="85"/>
    <n v="3"/>
    <n v="1"/>
    <s v="Sales Representative"/>
    <n v="0"/>
    <n v="0"/>
    <n v="0"/>
    <n v="0"/>
    <n v="0"/>
    <n v="0"/>
    <n v="1"/>
    <n v="0"/>
    <n v="1"/>
    <x v="2"/>
    <n v="0"/>
    <n v="0"/>
    <n v="3041"/>
    <n v="3041"/>
    <n v="0"/>
    <x v="1"/>
    <n v="0"/>
    <n v="11"/>
    <n v="3"/>
    <n v="2"/>
    <n v="1"/>
    <n v="5"/>
    <n v="5"/>
    <n v="3"/>
    <n v="3"/>
    <n v="4"/>
    <n v="4"/>
    <n v="3"/>
    <n v="0"/>
    <n v="0"/>
    <n v="2"/>
    <n v="2"/>
    <n v="2"/>
  </r>
  <r>
    <n v="21"/>
    <n v="21"/>
    <x v="1"/>
    <n v="0"/>
    <s v="Travel_Rarely"/>
    <n v="0"/>
    <n v="1"/>
    <x v="0"/>
    <n v="0"/>
    <n v="1"/>
    <n v="22"/>
    <n v="22"/>
    <n v="1"/>
    <s v="Technical Degree"/>
    <n v="0"/>
    <n v="0"/>
    <n v="0"/>
    <n v="0"/>
    <n v="1"/>
    <x v="1"/>
    <s v="Male"/>
    <n v="0"/>
    <n v="49"/>
    <n v="3"/>
    <n v="1"/>
    <s v="Sales Representative"/>
    <n v="0"/>
    <n v="0"/>
    <n v="0"/>
    <n v="0"/>
    <n v="0"/>
    <n v="0"/>
    <n v="1"/>
    <n v="0"/>
    <n v="3"/>
    <x v="0"/>
    <n v="1"/>
    <n v="0"/>
    <n v="3447"/>
    <n v="3447"/>
    <n v="1"/>
    <x v="1"/>
    <n v="0"/>
    <n v="11"/>
    <n v="3"/>
    <n v="3"/>
    <n v="0"/>
    <n v="3"/>
    <n v="3"/>
    <n v="2"/>
    <n v="3"/>
    <n v="3"/>
    <n v="3"/>
    <n v="2"/>
    <n v="1"/>
    <n v="1"/>
    <n v="2"/>
    <n v="2"/>
    <n v="2"/>
  </r>
  <r>
    <n v="44"/>
    <n v="44"/>
    <x v="1"/>
    <n v="0"/>
    <s v="Travel_Rarely"/>
    <n v="0"/>
    <n v="1"/>
    <x v="1"/>
    <n v="1"/>
    <n v="0"/>
    <n v="3"/>
    <n v="3"/>
    <n v="4"/>
    <s v="Other"/>
    <n v="0"/>
    <n v="1"/>
    <n v="0"/>
    <n v="0"/>
    <n v="0"/>
    <x v="2"/>
    <s v="Male"/>
    <n v="0"/>
    <n v="35"/>
    <n v="3"/>
    <n v="5"/>
    <s v="Manager"/>
    <n v="0"/>
    <n v="0"/>
    <n v="0"/>
    <n v="1"/>
    <n v="0"/>
    <n v="0"/>
    <n v="0"/>
    <n v="0"/>
    <n v="4"/>
    <x v="1"/>
    <n v="0"/>
    <n v="1"/>
    <n v="19513"/>
    <n v="19513"/>
    <n v="4"/>
    <x v="0"/>
    <n v="1"/>
    <n v="12"/>
    <n v="3"/>
    <n v="1"/>
    <n v="1"/>
    <n v="26"/>
    <n v="26"/>
    <n v="2"/>
    <n v="4"/>
    <n v="2"/>
    <n v="2"/>
    <n v="2"/>
    <n v="0"/>
    <n v="0"/>
    <n v="1"/>
    <n v="1"/>
    <n v="5"/>
  </r>
  <r>
    <n v="22"/>
    <n v="22"/>
    <x v="1"/>
    <n v="0"/>
    <s v="Travel_Rarely"/>
    <n v="0"/>
    <n v="1"/>
    <x v="1"/>
    <n v="1"/>
    <n v="0"/>
    <n v="6"/>
    <n v="6"/>
    <n v="1"/>
    <s v="Medical"/>
    <n v="0"/>
    <n v="0"/>
    <n v="1"/>
    <n v="0"/>
    <n v="0"/>
    <x v="3"/>
    <s v="Male"/>
    <n v="0"/>
    <n v="69"/>
    <n v="3"/>
    <n v="1"/>
    <s v="Research Scientist"/>
    <n v="0"/>
    <n v="0"/>
    <n v="0"/>
    <n v="0"/>
    <n v="0"/>
    <n v="0"/>
    <n v="0"/>
    <n v="1"/>
    <n v="3"/>
    <x v="1"/>
    <n v="0"/>
    <n v="1"/>
    <n v="2773"/>
    <n v="2773"/>
    <n v="0"/>
    <x v="1"/>
    <n v="0"/>
    <n v="20"/>
    <n v="4"/>
    <n v="4"/>
    <n v="0"/>
    <n v="3"/>
    <n v="3"/>
    <n v="3"/>
    <n v="3"/>
    <n v="2"/>
    <n v="2"/>
    <n v="2"/>
    <n v="2"/>
    <n v="2"/>
    <n v="2"/>
    <n v="2"/>
    <n v="2"/>
  </r>
  <r>
    <n v="33"/>
    <n v="33"/>
    <x v="1"/>
    <n v="0"/>
    <s v="Travel_Rarely"/>
    <n v="0"/>
    <n v="1"/>
    <x v="0"/>
    <n v="0"/>
    <n v="1"/>
    <n v="8"/>
    <n v="8"/>
    <n v="4"/>
    <s v="Marketing"/>
    <n v="0"/>
    <n v="0"/>
    <n v="0"/>
    <n v="1"/>
    <n v="0"/>
    <x v="1"/>
    <s v="Male"/>
    <n v="0"/>
    <n v="39"/>
    <n v="3"/>
    <n v="2"/>
    <s v="Sales Executive"/>
    <n v="0"/>
    <n v="1"/>
    <n v="0"/>
    <n v="0"/>
    <n v="0"/>
    <n v="0"/>
    <n v="0"/>
    <n v="0"/>
    <n v="3"/>
    <x v="2"/>
    <n v="0"/>
    <n v="0"/>
    <n v="7104"/>
    <n v="7104"/>
    <n v="0"/>
    <x v="1"/>
    <n v="0"/>
    <n v="12"/>
    <n v="3"/>
    <n v="4"/>
    <n v="0"/>
    <n v="6"/>
    <n v="6"/>
    <n v="3"/>
    <n v="3"/>
    <n v="5"/>
    <n v="5"/>
    <n v="0"/>
    <n v="1"/>
    <n v="1"/>
    <n v="2"/>
    <n v="2"/>
    <n v="4"/>
  </r>
  <r>
    <n v="32"/>
    <n v="32"/>
    <x v="1"/>
    <n v="0"/>
    <s v="Travel_Rarely"/>
    <n v="0"/>
    <n v="1"/>
    <x v="1"/>
    <n v="1"/>
    <n v="0"/>
    <n v="9"/>
    <n v="9"/>
    <n v="4"/>
    <s v="Life Sciences"/>
    <n v="1"/>
    <n v="0"/>
    <n v="0"/>
    <n v="0"/>
    <n v="0"/>
    <x v="3"/>
    <s v="Female"/>
    <n v="1"/>
    <n v="92"/>
    <n v="3"/>
    <n v="2"/>
    <s v="Research Scientist"/>
    <n v="0"/>
    <n v="0"/>
    <n v="0"/>
    <n v="0"/>
    <n v="0"/>
    <n v="0"/>
    <n v="0"/>
    <n v="1"/>
    <n v="4"/>
    <x v="1"/>
    <n v="0"/>
    <n v="1"/>
    <n v="6322"/>
    <n v="6322"/>
    <n v="1"/>
    <x v="0"/>
    <n v="1"/>
    <n v="12"/>
    <n v="3"/>
    <n v="4"/>
    <n v="1"/>
    <n v="6"/>
    <n v="6"/>
    <n v="2"/>
    <n v="2"/>
    <n v="6"/>
    <n v="6"/>
    <n v="4"/>
    <n v="0"/>
    <n v="0"/>
    <n v="5"/>
    <n v="5"/>
    <n v="10"/>
  </r>
  <r>
    <n v="30"/>
    <n v="30"/>
    <x v="1"/>
    <n v="0"/>
    <s v="Travel_Frequently"/>
    <n v="1"/>
    <n v="0"/>
    <x v="1"/>
    <n v="1"/>
    <n v="0"/>
    <n v="3"/>
    <n v="3"/>
    <n v="3"/>
    <s v="Medical"/>
    <n v="0"/>
    <n v="0"/>
    <n v="1"/>
    <n v="0"/>
    <n v="0"/>
    <x v="1"/>
    <s v="Female"/>
    <n v="1"/>
    <n v="71"/>
    <n v="3"/>
    <n v="1"/>
    <s v="Research Scientist"/>
    <n v="0"/>
    <n v="0"/>
    <n v="0"/>
    <n v="0"/>
    <n v="0"/>
    <n v="0"/>
    <n v="0"/>
    <n v="1"/>
    <n v="3"/>
    <x v="2"/>
    <n v="0"/>
    <n v="0"/>
    <n v="2083"/>
    <n v="2083"/>
    <n v="1"/>
    <x v="1"/>
    <n v="0"/>
    <n v="20"/>
    <n v="4"/>
    <n v="3"/>
    <n v="1"/>
    <n v="1"/>
    <n v="1"/>
    <n v="2"/>
    <n v="3"/>
    <n v="1"/>
    <n v="1"/>
    <n v="0"/>
    <n v="0"/>
    <n v="0"/>
    <n v="0"/>
    <n v="0"/>
    <n v="0"/>
  </r>
  <r>
    <n v="53"/>
    <n v="53"/>
    <x v="1"/>
    <n v="0"/>
    <s v="Travel_Rarely"/>
    <n v="0"/>
    <n v="1"/>
    <x v="0"/>
    <n v="0"/>
    <n v="1"/>
    <n v="1"/>
    <n v="1"/>
    <n v="1"/>
    <s v="Medical"/>
    <n v="0"/>
    <n v="0"/>
    <n v="1"/>
    <n v="0"/>
    <n v="0"/>
    <x v="2"/>
    <s v="Female"/>
    <n v="1"/>
    <n v="34"/>
    <n v="3"/>
    <n v="2"/>
    <s v="Sales Executive"/>
    <n v="0"/>
    <n v="1"/>
    <n v="0"/>
    <n v="0"/>
    <n v="0"/>
    <n v="0"/>
    <n v="0"/>
    <n v="0"/>
    <n v="1"/>
    <x v="0"/>
    <n v="1"/>
    <n v="0"/>
    <n v="8381"/>
    <n v="8381"/>
    <n v="7"/>
    <x v="1"/>
    <n v="0"/>
    <n v="20"/>
    <n v="4"/>
    <n v="4"/>
    <n v="0"/>
    <n v="18"/>
    <n v="18"/>
    <n v="2"/>
    <n v="4"/>
    <n v="14"/>
    <n v="14"/>
    <n v="7"/>
    <n v="8"/>
    <n v="8"/>
    <n v="10"/>
    <n v="10"/>
    <n v="20"/>
  </r>
  <r>
    <n v="34"/>
    <n v="34"/>
    <x v="1"/>
    <n v="0"/>
    <s v="Travel_Rarely"/>
    <n v="0"/>
    <n v="1"/>
    <x v="1"/>
    <n v="1"/>
    <n v="0"/>
    <n v="1"/>
    <n v="1"/>
    <n v="5"/>
    <s v="Life Sciences"/>
    <n v="1"/>
    <n v="0"/>
    <n v="0"/>
    <n v="0"/>
    <n v="0"/>
    <x v="0"/>
    <s v="Male"/>
    <n v="0"/>
    <n v="42"/>
    <n v="3"/>
    <n v="1"/>
    <s v="Research Scientist"/>
    <n v="0"/>
    <n v="0"/>
    <n v="0"/>
    <n v="0"/>
    <n v="0"/>
    <n v="0"/>
    <n v="0"/>
    <n v="1"/>
    <n v="4"/>
    <x v="1"/>
    <n v="0"/>
    <n v="1"/>
    <n v="2691"/>
    <n v="2691"/>
    <n v="1"/>
    <x v="1"/>
    <n v="0"/>
    <n v="12"/>
    <n v="3"/>
    <n v="4"/>
    <n v="1"/>
    <n v="10"/>
    <n v="10"/>
    <n v="4"/>
    <n v="2"/>
    <n v="10"/>
    <n v="10"/>
    <n v="9"/>
    <n v="8"/>
    <n v="8"/>
    <n v="8"/>
    <n v="8"/>
    <n v="8"/>
  </r>
  <r>
    <n v="45"/>
    <n v="45"/>
    <x v="0"/>
    <n v="1"/>
    <s v="Travel_Frequently"/>
    <n v="1"/>
    <n v="0"/>
    <x v="0"/>
    <n v="0"/>
    <n v="1"/>
    <n v="26"/>
    <n v="26"/>
    <n v="4"/>
    <s v="Life Sciences"/>
    <n v="1"/>
    <n v="0"/>
    <n v="0"/>
    <n v="0"/>
    <n v="0"/>
    <x v="3"/>
    <s v="Female"/>
    <n v="1"/>
    <n v="100"/>
    <n v="3"/>
    <n v="2"/>
    <s v="Sales Executive"/>
    <n v="0"/>
    <n v="1"/>
    <n v="0"/>
    <n v="0"/>
    <n v="0"/>
    <n v="0"/>
    <n v="0"/>
    <n v="0"/>
    <n v="1"/>
    <x v="1"/>
    <n v="0"/>
    <n v="1"/>
    <n v="4286"/>
    <n v="4286"/>
    <n v="2"/>
    <x v="1"/>
    <n v="0"/>
    <n v="14"/>
    <n v="3"/>
    <n v="4"/>
    <n v="2"/>
    <n v="5"/>
    <n v="5"/>
    <n v="4"/>
    <n v="3"/>
    <n v="1"/>
    <n v="1"/>
    <n v="1"/>
    <n v="0"/>
    <n v="0"/>
    <n v="0"/>
    <n v="0"/>
    <n v="0"/>
  </r>
  <r>
    <n v="26"/>
    <n v="26"/>
    <x v="1"/>
    <n v="0"/>
    <s v="Travel_Rarely"/>
    <n v="0"/>
    <n v="1"/>
    <x v="1"/>
    <n v="1"/>
    <n v="0"/>
    <n v="6"/>
    <n v="6"/>
    <n v="3"/>
    <s v="Life Sciences"/>
    <n v="1"/>
    <n v="0"/>
    <n v="0"/>
    <n v="0"/>
    <n v="0"/>
    <x v="1"/>
    <s v="Female"/>
    <n v="1"/>
    <n v="71"/>
    <n v="3"/>
    <n v="1"/>
    <s v="Laboratory Technician"/>
    <n v="0"/>
    <n v="0"/>
    <n v="1"/>
    <n v="0"/>
    <n v="0"/>
    <n v="0"/>
    <n v="0"/>
    <n v="0"/>
    <n v="4"/>
    <x v="1"/>
    <n v="0"/>
    <n v="1"/>
    <n v="2659"/>
    <n v="2659"/>
    <n v="1"/>
    <x v="0"/>
    <n v="1"/>
    <n v="13"/>
    <n v="3"/>
    <n v="3"/>
    <n v="1"/>
    <n v="3"/>
    <n v="3"/>
    <n v="2"/>
    <n v="3"/>
    <n v="3"/>
    <n v="3"/>
    <n v="2"/>
    <n v="0"/>
    <n v="0"/>
    <n v="2"/>
    <n v="2"/>
    <n v="2"/>
  </r>
  <r>
    <n v="37"/>
    <n v="37"/>
    <x v="1"/>
    <n v="0"/>
    <s v="Travel_Rarely"/>
    <n v="0"/>
    <n v="1"/>
    <x v="1"/>
    <n v="1"/>
    <n v="0"/>
    <n v="3"/>
    <n v="3"/>
    <n v="3"/>
    <s v="Other"/>
    <n v="0"/>
    <n v="1"/>
    <n v="0"/>
    <n v="0"/>
    <n v="0"/>
    <x v="1"/>
    <s v="Male"/>
    <n v="0"/>
    <n v="36"/>
    <n v="3"/>
    <n v="3"/>
    <s v="Manufacturing Director"/>
    <n v="0"/>
    <n v="0"/>
    <n v="0"/>
    <n v="0"/>
    <n v="1"/>
    <n v="1"/>
    <n v="0"/>
    <n v="0"/>
    <n v="3"/>
    <x v="1"/>
    <n v="0"/>
    <n v="1"/>
    <n v="9434"/>
    <n v="9434"/>
    <n v="1"/>
    <x v="1"/>
    <n v="0"/>
    <n v="15"/>
    <n v="3"/>
    <n v="3"/>
    <n v="1"/>
    <n v="10"/>
    <n v="10"/>
    <n v="2"/>
    <n v="3"/>
    <n v="10"/>
    <n v="10"/>
    <n v="7"/>
    <n v="7"/>
    <n v="7"/>
    <n v="8"/>
    <n v="8"/>
    <n v="24"/>
  </r>
  <r>
    <n v="29"/>
    <n v="29"/>
    <x v="1"/>
    <n v="0"/>
    <s v="Travel_Rarely"/>
    <n v="0"/>
    <n v="1"/>
    <x v="0"/>
    <n v="0"/>
    <n v="1"/>
    <n v="3"/>
    <n v="3"/>
    <n v="2"/>
    <s v="Medical"/>
    <n v="0"/>
    <n v="0"/>
    <n v="1"/>
    <n v="0"/>
    <n v="0"/>
    <x v="0"/>
    <s v="Female"/>
    <n v="1"/>
    <n v="62"/>
    <n v="3"/>
    <n v="2"/>
    <s v="Sales Executive"/>
    <n v="0"/>
    <n v="1"/>
    <n v="0"/>
    <n v="0"/>
    <n v="0"/>
    <n v="0"/>
    <n v="0"/>
    <n v="0"/>
    <n v="3"/>
    <x v="1"/>
    <n v="0"/>
    <n v="1"/>
    <n v="5561"/>
    <n v="5561"/>
    <n v="1"/>
    <x v="1"/>
    <n v="0"/>
    <n v="14"/>
    <n v="3"/>
    <n v="1"/>
    <n v="1"/>
    <n v="6"/>
    <n v="6"/>
    <n v="5"/>
    <n v="2"/>
    <n v="6"/>
    <n v="6"/>
    <n v="0"/>
    <n v="1"/>
    <n v="1"/>
    <n v="2"/>
    <n v="2"/>
    <n v="4"/>
  </r>
  <r>
    <n v="35"/>
    <n v="35"/>
    <x v="1"/>
    <n v="0"/>
    <s v="Travel_Rarely"/>
    <n v="0"/>
    <n v="1"/>
    <x v="1"/>
    <n v="1"/>
    <n v="0"/>
    <n v="6"/>
    <n v="6"/>
    <n v="4"/>
    <s v="Life Sciences"/>
    <n v="1"/>
    <n v="0"/>
    <n v="0"/>
    <n v="0"/>
    <n v="0"/>
    <x v="0"/>
    <s v="Male"/>
    <n v="0"/>
    <n v="82"/>
    <n v="1"/>
    <n v="2"/>
    <s v="Research Scientist"/>
    <n v="0"/>
    <n v="0"/>
    <n v="0"/>
    <n v="0"/>
    <n v="0"/>
    <n v="0"/>
    <n v="0"/>
    <n v="1"/>
    <n v="4"/>
    <x v="0"/>
    <n v="1"/>
    <n v="0"/>
    <n v="6646"/>
    <n v="6646"/>
    <n v="1"/>
    <x v="1"/>
    <n v="0"/>
    <n v="13"/>
    <n v="3"/>
    <n v="2"/>
    <n v="0"/>
    <n v="17"/>
    <n v="17"/>
    <n v="3"/>
    <n v="3"/>
    <n v="17"/>
    <n v="17"/>
    <n v="11"/>
    <n v="11"/>
    <n v="11"/>
    <n v="8"/>
    <n v="8"/>
    <n v="16"/>
  </r>
  <r>
    <n v="33"/>
    <n v="33"/>
    <x v="1"/>
    <n v="0"/>
    <s v="Travel_Frequently"/>
    <n v="1"/>
    <n v="0"/>
    <x v="1"/>
    <n v="1"/>
    <n v="0"/>
    <n v="6"/>
    <n v="6"/>
    <n v="3"/>
    <s v="Life Sciences"/>
    <n v="1"/>
    <n v="0"/>
    <n v="0"/>
    <n v="0"/>
    <n v="0"/>
    <x v="1"/>
    <s v="Male"/>
    <n v="0"/>
    <n v="30"/>
    <n v="3"/>
    <n v="2"/>
    <s v="Healthcare Representative"/>
    <n v="1"/>
    <n v="0"/>
    <n v="0"/>
    <n v="0"/>
    <n v="0"/>
    <n v="0"/>
    <n v="0"/>
    <n v="0"/>
    <n v="4"/>
    <x v="2"/>
    <n v="0"/>
    <n v="0"/>
    <n v="7725"/>
    <n v="7725"/>
    <n v="3"/>
    <x v="1"/>
    <n v="0"/>
    <n v="23"/>
    <n v="4"/>
    <n v="3"/>
    <n v="1"/>
    <n v="15"/>
    <n v="15"/>
    <n v="2"/>
    <n v="1"/>
    <n v="13"/>
    <n v="13"/>
    <n v="11"/>
    <n v="4"/>
    <n v="4"/>
    <n v="7"/>
    <n v="7"/>
    <n v="14"/>
  </r>
  <r>
    <n v="54"/>
    <n v="54"/>
    <x v="1"/>
    <n v="0"/>
    <s v="Travel_Rarely"/>
    <n v="0"/>
    <n v="1"/>
    <x v="2"/>
    <n v="0"/>
    <n v="0"/>
    <n v="19"/>
    <n v="19"/>
    <n v="4"/>
    <s v="Medical"/>
    <n v="0"/>
    <n v="0"/>
    <n v="1"/>
    <n v="0"/>
    <n v="0"/>
    <x v="1"/>
    <s v="Male"/>
    <n v="0"/>
    <n v="88"/>
    <n v="3"/>
    <n v="3"/>
    <s v="Human Resources"/>
    <n v="0"/>
    <n v="0"/>
    <n v="0"/>
    <n v="0"/>
    <n v="0"/>
    <n v="0"/>
    <n v="0"/>
    <n v="0"/>
    <n v="2"/>
    <x v="1"/>
    <n v="0"/>
    <n v="1"/>
    <n v="10725"/>
    <n v="10725"/>
    <n v="2"/>
    <x v="1"/>
    <n v="0"/>
    <n v="15"/>
    <n v="3"/>
    <n v="3"/>
    <n v="1"/>
    <n v="16"/>
    <n v="16"/>
    <n v="1"/>
    <n v="4"/>
    <n v="9"/>
    <n v="9"/>
    <n v="7"/>
    <n v="7"/>
    <n v="7"/>
    <n v="1"/>
    <n v="1"/>
    <n v="3"/>
  </r>
  <r>
    <n v="36"/>
    <n v="36"/>
    <x v="1"/>
    <n v="0"/>
    <s v="Travel_Rarely"/>
    <n v="0"/>
    <n v="1"/>
    <x v="1"/>
    <n v="1"/>
    <n v="0"/>
    <n v="9"/>
    <n v="9"/>
    <n v="2"/>
    <s v="Medical"/>
    <n v="0"/>
    <n v="0"/>
    <n v="1"/>
    <n v="0"/>
    <n v="0"/>
    <x v="0"/>
    <s v="Male"/>
    <n v="0"/>
    <n v="48"/>
    <n v="2"/>
    <n v="2"/>
    <s v="Manufacturing Director"/>
    <n v="0"/>
    <n v="0"/>
    <n v="0"/>
    <n v="0"/>
    <n v="1"/>
    <n v="1"/>
    <n v="0"/>
    <n v="0"/>
    <n v="2"/>
    <x v="2"/>
    <n v="0"/>
    <n v="0"/>
    <n v="8847"/>
    <n v="8847"/>
    <n v="2"/>
    <x v="0"/>
    <n v="1"/>
    <n v="11"/>
    <n v="3"/>
    <n v="3"/>
    <n v="1"/>
    <n v="13"/>
    <n v="13"/>
    <n v="2"/>
    <n v="3"/>
    <n v="3"/>
    <n v="3"/>
    <n v="2"/>
    <n v="0"/>
    <n v="0"/>
    <n v="2"/>
    <n v="2"/>
    <n v="4"/>
  </r>
  <r>
    <n v="27"/>
    <n v="27"/>
    <x v="1"/>
    <n v="0"/>
    <s v="Travel_Rarely"/>
    <n v="0"/>
    <n v="1"/>
    <x v="1"/>
    <n v="1"/>
    <n v="0"/>
    <n v="3"/>
    <n v="3"/>
    <n v="4"/>
    <s v="Medical"/>
    <n v="0"/>
    <n v="0"/>
    <n v="1"/>
    <n v="0"/>
    <n v="0"/>
    <x v="3"/>
    <s v="Male"/>
    <n v="0"/>
    <n v="54"/>
    <n v="2"/>
    <n v="1"/>
    <s v="Research Scientist"/>
    <n v="0"/>
    <n v="0"/>
    <n v="0"/>
    <n v="0"/>
    <n v="0"/>
    <n v="0"/>
    <n v="0"/>
    <n v="1"/>
    <n v="4"/>
    <x v="0"/>
    <n v="1"/>
    <n v="0"/>
    <n v="2045"/>
    <n v="2045"/>
    <n v="0"/>
    <x v="1"/>
    <n v="0"/>
    <n v="13"/>
    <n v="3"/>
    <n v="4"/>
    <n v="0"/>
    <n v="5"/>
    <n v="5"/>
    <n v="0"/>
    <n v="3"/>
    <n v="4"/>
    <n v="4"/>
    <n v="2"/>
    <n v="1"/>
    <n v="1"/>
    <n v="1"/>
    <n v="1"/>
    <n v="1"/>
  </r>
  <r>
    <n v="20"/>
    <n v="20"/>
    <x v="0"/>
    <n v="1"/>
    <s v="Travel_Rarely"/>
    <n v="0"/>
    <n v="1"/>
    <x v="1"/>
    <n v="1"/>
    <n v="0"/>
    <n v="10"/>
    <n v="10"/>
    <n v="1"/>
    <s v="Medical"/>
    <n v="0"/>
    <n v="0"/>
    <n v="1"/>
    <n v="0"/>
    <n v="0"/>
    <x v="2"/>
    <s v="Male"/>
    <n v="0"/>
    <n v="32"/>
    <n v="3"/>
    <n v="1"/>
    <s v="Research Scientist"/>
    <n v="0"/>
    <n v="0"/>
    <n v="0"/>
    <n v="0"/>
    <n v="0"/>
    <n v="0"/>
    <n v="0"/>
    <n v="1"/>
    <n v="3"/>
    <x v="0"/>
    <n v="1"/>
    <n v="0"/>
    <n v="1009"/>
    <n v="1382.46"/>
    <n v="1"/>
    <x v="0"/>
    <n v="1"/>
    <n v="11"/>
    <n v="3"/>
    <n v="4"/>
    <n v="0"/>
    <n v="1"/>
    <n v="1"/>
    <n v="5"/>
    <n v="3"/>
    <n v="1"/>
    <n v="1"/>
    <n v="0"/>
    <n v="1"/>
    <n v="1"/>
    <n v="1"/>
    <n v="1"/>
    <n v="1"/>
  </r>
  <r>
    <n v="33"/>
    <n v="33"/>
    <x v="0"/>
    <n v="1"/>
    <s v="Travel_Frequently"/>
    <n v="1"/>
    <n v="0"/>
    <x v="1"/>
    <n v="1"/>
    <n v="0"/>
    <n v="3"/>
    <n v="3"/>
    <n v="3"/>
    <s v="Life Sciences"/>
    <n v="1"/>
    <n v="0"/>
    <n v="0"/>
    <n v="0"/>
    <n v="0"/>
    <x v="3"/>
    <s v="Male"/>
    <n v="0"/>
    <n v="70"/>
    <n v="3"/>
    <n v="1"/>
    <s v="Research Scientist"/>
    <n v="0"/>
    <n v="0"/>
    <n v="0"/>
    <n v="0"/>
    <n v="0"/>
    <n v="0"/>
    <n v="0"/>
    <n v="1"/>
    <n v="1"/>
    <x v="0"/>
    <n v="1"/>
    <n v="0"/>
    <n v="3348"/>
    <n v="3348"/>
    <n v="1"/>
    <x v="0"/>
    <n v="1"/>
    <n v="11"/>
    <n v="3"/>
    <n v="1"/>
    <n v="0"/>
    <n v="10"/>
    <n v="10"/>
    <n v="3"/>
    <n v="3"/>
    <n v="10"/>
    <n v="10"/>
    <n v="8"/>
    <n v="9"/>
    <n v="9"/>
    <n v="7"/>
    <n v="7"/>
    <n v="7"/>
  </r>
  <r>
    <n v="35"/>
    <n v="35"/>
    <x v="1"/>
    <n v="0"/>
    <s v="Non-Travel"/>
    <n v="0"/>
    <n v="0"/>
    <x v="1"/>
    <n v="1"/>
    <n v="0"/>
    <n v="3"/>
    <n v="3"/>
    <n v="3"/>
    <s v="Life Sciences"/>
    <n v="1"/>
    <n v="0"/>
    <n v="0"/>
    <n v="0"/>
    <n v="0"/>
    <x v="1"/>
    <s v="Male"/>
    <n v="0"/>
    <n v="41"/>
    <n v="2"/>
    <n v="1"/>
    <s v="Laboratory Technician"/>
    <n v="0"/>
    <n v="0"/>
    <n v="1"/>
    <n v="0"/>
    <n v="0"/>
    <n v="0"/>
    <n v="0"/>
    <n v="0"/>
    <n v="3"/>
    <x v="1"/>
    <n v="0"/>
    <n v="1"/>
    <n v="1281"/>
    <n v="1382.46"/>
    <n v="1"/>
    <x v="1"/>
    <n v="0"/>
    <n v="18"/>
    <n v="3"/>
    <n v="3"/>
    <n v="2"/>
    <n v="1"/>
    <n v="1"/>
    <n v="3"/>
    <n v="3"/>
    <n v="1"/>
    <n v="1"/>
    <n v="0"/>
    <n v="0"/>
    <n v="0"/>
    <n v="0"/>
    <n v="0"/>
    <n v="0"/>
  </r>
  <r>
    <n v="23"/>
    <n v="23"/>
    <x v="1"/>
    <n v="0"/>
    <s v="Travel_Rarely"/>
    <n v="0"/>
    <n v="1"/>
    <x v="1"/>
    <n v="1"/>
    <n v="0"/>
    <n v="4"/>
    <n v="4"/>
    <n v="3"/>
    <s v="Medical"/>
    <n v="0"/>
    <n v="0"/>
    <n v="1"/>
    <n v="0"/>
    <n v="0"/>
    <x v="3"/>
    <s v="Male"/>
    <n v="0"/>
    <n v="58"/>
    <n v="4"/>
    <n v="1"/>
    <s v="Research Scientist"/>
    <n v="0"/>
    <n v="0"/>
    <n v="0"/>
    <n v="0"/>
    <n v="0"/>
    <n v="0"/>
    <n v="0"/>
    <n v="1"/>
    <n v="1"/>
    <x v="1"/>
    <n v="0"/>
    <n v="1"/>
    <n v="2819"/>
    <n v="2819"/>
    <n v="2"/>
    <x v="1"/>
    <n v="0"/>
    <n v="16"/>
    <n v="3"/>
    <n v="1"/>
    <n v="1"/>
    <n v="5"/>
    <n v="5"/>
    <n v="3"/>
    <n v="4"/>
    <n v="3"/>
    <n v="3"/>
    <n v="2"/>
    <n v="0"/>
    <n v="0"/>
    <n v="2"/>
    <n v="2"/>
    <n v="2"/>
  </r>
  <r>
    <n v="25"/>
    <n v="25"/>
    <x v="1"/>
    <n v="0"/>
    <s v="Travel_Rarely"/>
    <n v="0"/>
    <n v="1"/>
    <x v="0"/>
    <n v="0"/>
    <n v="1"/>
    <n v="8"/>
    <n v="8"/>
    <n v="3"/>
    <s v="Life Sciences"/>
    <n v="1"/>
    <n v="0"/>
    <n v="0"/>
    <n v="0"/>
    <n v="0"/>
    <x v="2"/>
    <s v="Male"/>
    <n v="0"/>
    <n v="57"/>
    <n v="4"/>
    <n v="2"/>
    <s v="Sales Executive"/>
    <n v="0"/>
    <n v="1"/>
    <n v="0"/>
    <n v="0"/>
    <n v="0"/>
    <n v="0"/>
    <n v="0"/>
    <n v="0"/>
    <n v="2"/>
    <x v="1"/>
    <n v="0"/>
    <n v="1"/>
    <n v="4851"/>
    <n v="4851"/>
    <n v="0"/>
    <x v="1"/>
    <n v="0"/>
    <n v="22"/>
    <n v="4"/>
    <n v="3"/>
    <n v="1"/>
    <n v="4"/>
    <n v="4"/>
    <n v="4"/>
    <n v="3"/>
    <n v="3"/>
    <n v="3"/>
    <n v="2"/>
    <n v="1"/>
    <n v="1"/>
    <n v="2"/>
    <n v="2"/>
    <n v="4"/>
  </r>
  <r>
    <n v="38"/>
    <n v="38"/>
    <x v="1"/>
    <n v="0"/>
    <s v="Travel_Rarely"/>
    <n v="0"/>
    <n v="1"/>
    <x v="0"/>
    <n v="0"/>
    <n v="1"/>
    <n v="7"/>
    <n v="7"/>
    <n v="4"/>
    <s v="Marketing"/>
    <n v="0"/>
    <n v="0"/>
    <n v="0"/>
    <n v="1"/>
    <n v="0"/>
    <x v="2"/>
    <s v="Female"/>
    <n v="1"/>
    <n v="46"/>
    <n v="2"/>
    <n v="2"/>
    <s v="Sales Executive"/>
    <n v="0"/>
    <n v="1"/>
    <n v="0"/>
    <n v="0"/>
    <n v="0"/>
    <n v="0"/>
    <n v="0"/>
    <n v="0"/>
    <n v="4"/>
    <x v="0"/>
    <n v="1"/>
    <n v="0"/>
    <n v="4028"/>
    <n v="4028"/>
    <n v="0"/>
    <x v="1"/>
    <n v="0"/>
    <n v="20"/>
    <n v="4"/>
    <n v="1"/>
    <n v="0"/>
    <n v="8"/>
    <n v="8"/>
    <n v="2"/>
    <n v="3"/>
    <n v="7"/>
    <n v="7"/>
    <n v="7"/>
    <n v="0"/>
    <n v="0"/>
    <n v="5"/>
    <n v="5"/>
    <n v="10"/>
  </r>
  <r>
    <n v="29"/>
    <n v="29"/>
    <x v="1"/>
    <n v="0"/>
    <s v="Travel_Frequently"/>
    <n v="1"/>
    <n v="0"/>
    <x v="1"/>
    <n v="1"/>
    <n v="0"/>
    <n v="1"/>
    <n v="1"/>
    <n v="4"/>
    <s v="Life Sciences"/>
    <n v="1"/>
    <n v="0"/>
    <n v="0"/>
    <n v="0"/>
    <n v="0"/>
    <x v="0"/>
    <s v="Male"/>
    <n v="0"/>
    <n v="76"/>
    <n v="1"/>
    <n v="1"/>
    <s v="Research Scientist"/>
    <n v="0"/>
    <n v="0"/>
    <n v="0"/>
    <n v="0"/>
    <n v="0"/>
    <n v="0"/>
    <n v="0"/>
    <n v="1"/>
    <n v="4"/>
    <x v="2"/>
    <n v="0"/>
    <n v="0"/>
    <n v="2720"/>
    <n v="2720"/>
    <n v="1"/>
    <x v="1"/>
    <n v="0"/>
    <n v="18"/>
    <n v="3"/>
    <n v="4"/>
    <n v="1"/>
    <n v="10"/>
    <n v="10"/>
    <n v="5"/>
    <n v="3"/>
    <n v="10"/>
    <n v="10"/>
    <n v="7"/>
    <n v="2"/>
    <n v="2"/>
    <n v="8"/>
    <n v="8"/>
    <n v="8"/>
  </r>
  <r>
    <n v="48"/>
    <n v="48"/>
    <x v="1"/>
    <n v="0"/>
    <s v="Travel_Rarely"/>
    <n v="0"/>
    <n v="1"/>
    <x v="0"/>
    <n v="0"/>
    <n v="1"/>
    <n v="2"/>
    <n v="2"/>
    <n v="1"/>
    <s v="Marketing"/>
    <n v="0"/>
    <n v="0"/>
    <n v="0"/>
    <n v="1"/>
    <n v="0"/>
    <x v="0"/>
    <s v="Male"/>
    <n v="0"/>
    <n v="56"/>
    <n v="4"/>
    <n v="2"/>
    <s v="Sales Executive"/>
    <n v="0"/>
    <n v="1"/>
    <n v="0"/>
    <n v="0"/>
    <n v="0"/>
    <n v="0"/>
    <n v="0"/>
    <n v="0"/>
    <n v="2"/>
    <x v="1"/>
    <n v="0"/>
    <n v="1"/>
    <n v="8120"/>
    <n v="8120"/>
    <n v="3"/>
    <x v="1"/>
    <n v="0"/>
    <n v="12"/>
    <n v="3"/>
    <n v="4"/>
    <n v="0"/>
    <n v="12"/>
    <n v="12"/>
    <n v="3"/>
    <n v="3"/>
    <n v="2"/>
    <n v="2"/>
    <n v="2"/>
    <n v="2"/>
    <n v="2"/>
    <n v="2"/>
    <n v="2"/>
    <n v="4"/>
  </r>
  <r>
    <n v="27"/>
    <n v="27"/>
    <x v="1"/>
    <n v="0"/>
    <s v="Travel_Frequently"/>
    <n v="1"/>
    <n v="0"/>
    <x v="0"/>
    <n v="0"/>
    <n v="1"/>
    <n v="3"/>
    <n v="3"/>
    <n v="1"/>
    <s v="Medical"/>
    <n v="0"/>
    <n v="0"/>
    <n v="1"/>
    <n v="0"/>
    <n v="0"/>
    <x v="2"/>
    <s v="Female"/>
    <n v="1"/>
    <n v="71"/>
    <n v="4"/>
    <n v="2"/>
    <s v="Sales Executive"/>
    <n v="0"/>
    <n v="1"/>
    <n v="0"/>
    <n v="0"/>
    <n v="0"/>
    <n v="0"/>
    <n v="0"/>
    <n v="0"/>
    <n v="4"/>
    <x v="2"/>
    <n v="0"/>
    <n v="0"/>
    <n v="4647"/>
    <n v="4647"/>
    <n v="1"/>
    <x v="0"/>
    <n v="1"/>
    <n v="20"/>
    <n v="4"/>
    <n v="2"/>
    <n v="2"/>
    <n v="6"/>
    <n v="6"/>
    <n v="3"/>
    <n v="3"/>
    <n v="6"/>
    <n v="6"/>
    <n v="5"/>
    <n v="0"/>
    <n v="0"/>
    <n v="4"/>
    <n v="4"/>
    <n v="8"/>
  </r>
  <r>
    <n v="37"/>
    <n v="37"/>
    <x v="1"/>
    <n v="0"/>
    <s v="Travel_Rarely"/>
    <n v="0"/>
    <n v="1"/>
    <x v="1"/>
    <n v="1"/>
    <n v="0"/>
    <n v="10"/>
    <n v="10"/>
    <n v="2"/>
    <s v="Life Sciences"/>
    <n v="1"/>
    <n v="0"/>
    <n v="0"/>
    <n v="0"/>
    <n v="0"/>
    <x v="2"/>
    <s v="Male"/>
    <n v="0"/>
    <n v="80"/>
    <n v="4"/>
    <n v="1"/>
    <s v="Research Scientist"/>
    <n v="0"/>
    <n v="0"/>
    <n v="0"/>
    <n v="0"/>
    <n v="0"/>
    <n v="0"/>
    <n v="0"/>
    <n v="1"/>
    <n v="4"/>
    <x v="0"/>
    <n v="1"/>
    <n v="0"/>
    <n v="4680"/>
    <n v="4680"/>
    <n v="3"/>
    <x v="1"/>
    <n v="0"/>
    <n v="17"/>
    <n v="3"/>
    <n v="1"/>
    <n v="0"/>
    <n v="4"/>
    <n v="4"/>
    <n v="2"/>
    <n v="3"/>
    <n v="1"/>
    <n v="1"/>
    <n v="0"/>
    <n v="0"/>
    <n v="0"/>
    <n v="0"/>
    <n v="0"/>
    <n v="0"/>
  </r>
  <r>
    <n v="50"/>
    <n v="50"/>
    <x v="1"/>
    <n v="0"/>
    <s v="Travel_Rarely"/>
    <n v="0"/>
    <n v="1"/>
    <x v="1"/>
    <n v="1"/>
    <n v="0"/>
    <n v="28"/>
    <n v="28"/>
    <n v="1"/>
    <s v="Medical"/>
    <n v="0"/>
    <n v="0"/>
    <n v="1"/>
    <n v="0"/>
    <n v="0"/>
    <x v="2"/>
    <s v="Male"/>
    <n v="0"/>
    <n v="74"/>
    <n v="4"/>
    <n v="1"/>
    <s v="Laboratory Technician"/>
    <n v="0"/>
    <n v="0"/>
    <n v="1"/>
    <n v="0"/>
    <n v="0"/>
    <n v="0"/>
    <n v="0"/>
    <n v="0"/>
    <n v="3"/>
    <x v="1"/>
    <n v="0"/>
    <n v="1"/>
    <n v="3221"/>
    <n v="3221"/>
    <n v="1"/>
    <x v="0"/>
    <n v="1"/>
    <n v="11"/>
    <n v="3"/>
    <n v="3"/>
    <n v="3"/>
    <n v="20"/>
    <n v="20"/>
    <n v="3"/>
    <n v="3"/>
    <n v="20"/>
    <n v="20"/>
    <n v="8"/>
    <n v="3"/>
    <n v="3"/>
    <n v="8"/>
    <n v="8"/>
    <n v="8"/>
  </r>
  <r>
    <n v="34"/>
    <n v="34"/>
    <x v="1"/>
    <n v="0"/>
    <s v="Travel_Rarely"/>
    <n v="0"/>
    <n v="1"/>
    <x v="1"/>
    <n v="1"/>
    <n v="0"/>
    <n v="9"/>
    <n v="9"/>
    <n v="3"/>
    <s v="Medical"/>
    <n v="0"/>
    <n v="0"/>
    <n v="1"/>
    <n v="0"/>
    <n v="0"/>
    <x v="2"/>
    <s v="Female"/>
    <n v="1"/>
    <n v="46"/>
    <n v="2"/>
    <n v="3"/>
    <s v="Healthcare Representative"/>
    <n v="1"/>
    <n v="0"/>
    <n v="0"/>
    <n v="0"/>
    <n v="0"/>
    <n v="0"/>
    <n v="0"/>
    <n v="0"/>
    <n v="2"/>
    <x v="0"/>
    <n v="1"/>
    <n v="0"/>
    <n v="8621"/>
    <n v="8621"/>
    <n v="1"/>
    <x v="1"/>
    <n v="0"/>
    <n v="14"/>
    <n v="3"/>
    <n v="2"/>
    <n v="0"/>
    <n v="9"/>
    <n v="9"/>
    <n v="3"/>
    <n v="4"/>
    <n v="8"/>
    <n v="8"/>
    <n v="7"/>
    <n v="7"/>
    <n v="7"/>
    <n v="7"/>
    <n v="7"/>
    <n v="21"/>
  </r>
  <r>
    <n v="24"/>
    <n v="24"/>
    <x v="0"/>
    <n v="1"/>
    <s v="Travel_Rarely"/>
    <n v="0"/>
    <n v="1"/>
    <x v="0"/>
    <n v="0"/>
    <n v="1"/>
    <n v="3"/>
    <n v="3"/>
    <n v="2"/>
    <s v="Life Sciences"/>
    <n v="1"/>
    <n v="0"/>
    <n v="0"/>
    <n v="0"/>
    <n v="0"/>
    <x v="3"/>
    <s v="Female"/>
    <n v="1"/>
    <n v="65"/>
    <n v="3"/>
    <n v="2"/>
    <s v="Sales Executive"/>
    <n v="0"/>
    <n v="1"/>
    <n v="0"/>
    <n v="0"/>
    <n v="0"/>
    <n v="0"/>
    <n v="0"/>
    <n v="0"/>
    <n v="3"/>
    <x v="0"/>
    <n v="1"/>
    <n v="0"/>
    <n v="4577"/>
    <n v="4577"/>
    <n v="9"/>
    <x v="1"/>
    <n v="0"/>
    <n v="14"/>
    <n v="3"/>
    <n v="1"/>
    <n v="0"/>
    <n v="4"/>
    <n v="4"/>
    <n v="3"/>
    <n v="3"/>
    <n v="2"/>
    <n v="2"/>
    <n v="2"/>
    <n v="2"/>
    <n v="2"/>
    <n v="0"/>
    <n v="0"/>
    <n v="0"/>
  </r>
  <r>
    <n v="39"/>
    <n v="39"/>
    <x v="1"/>
    <n v="0"/>
    <s v="Travel_Rarely"/>
    <n v="0"/>
    <n v="1"/>
    <x v="1"/>
    <n v="1"/>
    <n v="0"/>
    <n v="2"/>
    <n v="2"/>
    <n v="4"/>
    <s v="Technical Degree"/>
    <n v="0"/>
    <n v="0"/>
    <n v="0"/>
    <n v="0"/>
    <n v="1"/>
    <x v="2"/>
    <s v="Female"/>
    <n v="1"/>
    <n v="80"/>
    <n v="2"/>
    <n v="2"/>
    <s v="Healthcare Representative"/>
    <n v="1"/>
    <n v="0"/>
    <n v="0"/>
    <n v="0"/>
    <n v="0"/>
    <n v="0"/>
    <n v="0"/>
    <n v="0"/>
    <n v="3"/>
    <x v="0"/>
    <n v="1"/>
    <n v="0"/>
    <n v="4553"/>
    <n v="4553"/>
    <n v="1"/>
    <x v="1"/>
    <n v="0"/>
    <n v="11"/>
    <n v="3"/>
    <n v="1"/>
    <n v="0"/>
    <n v="20"/>
    <n v="20"/>
    <n v="4"/>
    <n v="3"/>
    <n v="20"/>
    <n v="20"/>
    <n v="7"/>
    <n v="11"/>
    <n v="11"/>
    <n v="10"/>
    <n v="10"/>
    <n v="20"/>
  </r>
  <r>
    <n v="32"/>
    <n v="32"/>
    <x v="1"/>
    <n v="0"/>
    <s v="Travel_Rarely"/>
    <n v="0"/>
    <n v="1"/>
    <x v="0"/>
    <n v="0"/>
    <n v="1"/>
    <n v="10"/>
    <n v="10"/>
    <n v="3"/>
    <s v="Marketing"/>
    <n v="0"/>
    <n v="0"/>
    <n v="0"/>
    <n v="1"/>
    <n v="0"/>
    <x v="2"/>
    <s v="Male"/>
    <n v="0"/>
    <n v="55"/>
    <n v="3"/>
    <n v="2"/>
    <s v="Sales Executive"/>
    <n v="0"/>
    <n v="1"/>
    <n v="0"/>
    <n v="0"/>
    <n v="0"/>
    <n v="0"/>
    <n v="0"/>
    <n v="0"/>
    <n v="4"/>
    <x v="0"/>
    <n v="1"/>
    <n v="0"/>
    <n v="5396"/>
    <n v="5396"/>
    <n v="1"/>
    <x v="1"/>
    <n v="0"/>
    <n v="12"/>
    <n v="3"/>
    <n v="4"/>
    <n v="0"/>
    <n v="10"/>
    <n v="10"/>
    <n v="2"/>
    <n v="2"/>
    <n v="10"/>
    <n v="10"/>
    <n v="7"/>
    <n v="0"/>
    <n v="0"/>
    <n v="8"/>
    <n v="8"/>
    <n v="16"/>
  </r>
  <r>
    <n v="50"/>
    <n v="50"/>
    <x v="0"/>
    <n v="1"/>
    <s v="Travel_Frequently"/>
    <n v="1"/>
    <n v="0"/>
    <x v="0"/>
    <n v="0"/>
    <n v="1"/>
    <n v="8"/>
    <n v="8"/>
    <n v="2"/>
    <s v="Technical Degree"/>
    <n v="0"/>
    <n v="0"/>
    <n v="0"/>
    <n v="0"/>
    <n v="1"/>
    <x v="0"/>
    <s v="Male"/>
    <n v="0"/>
    <n v="50"/>
    <n v="3"/>
    <n v="2"/>
    <s v="Sales Executive"/>
    <n v="0"/>
    <n v="1"/>
    <n v="0"/>
    <n v="0"/>
    <n v="0"/>
    <n v="0"/>
    <n v="0"/>
    <n v="0"/>
    <n v="3"/>
    <x v="1"/>
    <n v="0"/>
    <n v="1"/>
    <n v="6796"/>
    <n v="6796"/>
    <n v="3"/>
    <x v="0"/>
    <n v="1"/>
    <n v="14"/>
    <n v="3"/>
    <n v="1"/>
    <n v="1"/>
    <n v="18"/>
    <n v="18"/>
    <n v="4"/>
    <n v="3"/>
    <n v="4"/>
    <n v="4"/>
    <n v="3"/>
    <n v="1"/>
    <n v="1"/>
    <n v="3"/>
    <n v="3"/>
    <n v="6"/>
  </r>
  <r>
    <n v="38"/>
    <n v="38"/>
    <x v="1"/>
    <n v="0"/>
    <s v="Travel_Rarely"/>
    <n v="0"/>
    <n v="1"/>
    <x v="1"/>
    <n v="1"/>
    <n v="0"/>
    <n v="1"/>
    <n v="1"/>
    <n v="4"/>
    <s v="Life Sciences"/>
    <n v="1"/>
    <n v="0"/>
    <n v="0"/>
    <n v="0"/>
    <n v="0"/>
    <x v="0"/>
    <s v="Female"/>
    <n v="1"/>
    <n v="33"/>
    <n v="4"/>
    <n v="2"/>
    <s v="Healthcare Representative"/>
    <n v="1"/>
    <n v="0"/>
    <n v="0"/>
    <n v="0"/>
    <n v="0"/>
    <n v="0"/>
    <n v="0"/>
    <n v="0"/>
    <n v="4"/>
    <x v="0"/>
    <n v="1"/>
    <n v="0"/>
    <n v="7625"/>
    <n v="7625"/>
    <n v="0"/>
    <x v="1"/>
    <n v="0"/>
    <n v="13"/>
    <n v="3"/>
    <n v="3"/>
    <n v="0"/>
    <n v="10"/>
    <n v="10"/>
    <n v="4"/>
    <n v="2"/>
    <n v="9"/>
    <n v="9"/>
    <n v="7"/>
    <n v="1"/>
    <n v="1"/>
    <n v="8"/>
    <n v="8"/>
    <n v="16"/>
  </r>
  <r>
    <n v="27"/>
    <n v="27"/>
    <x v="1"/>
    <n v="0"/>
    <s v="Travel_Rarely"/>
    <n v="0"/>
    <n v="1"/>
    <x v="1"/>
    <n v="1"/>
    <n v="0"/>
    <n v="1"/>
    <n v="1"/>
    <n v="2"/>
    <s v="Life Sciences"/>
    <n v="1"/>
    <n v="0"/>
    <n v="0"/>
    <n v="0"/>
    <n v="0"/>
    <x v="1"/>
    <s v="Female"/>
    <n v="1"/>
    <n v="68"/>
    <n v="3"/>
    <n v="3"/>
    <s v="Manufacturing Director"/>
    <n v="0"/>
    <n v="0"/>
    <n v="0"/>
    <n v="0"/>
    <n v="1"/>
    <n v="1"/>
    <n v="0"/>
    <n v="0"/>
    <n v="1"/>
    <x v="1"/>
    <n v="0"/>
    <n v="1"/>
    <n v="7412"/>
    <n v="7412"/>
    <n v="1"/>
    <x v="1"/>
    <n v="0"/>
    <n v="11"/>
    <n v="3"/>
    <n v="4"/>
    <n v="0"/>
    <n v="9"/>
    <n v="9"/>
    <n v="3"/>
    <n v="3"/>
    <n v="9"/>
    <n v="9"/>
    <n v="7"/>
    <n v="0"/>
    <n v="0"/>
    <n v="7"/>
    <n v="7"/>
    <n v="21"/>
  </r>
  <r>
    <n v="32"/>
    <n v="32"/>
    <x v="1"/>
    <n v="0"/>
    <s v="Travel_Rarely"/>
    <n v="0"/>
    <n v="1"/>
    <x v="1"/>
    <n v="1"/>
    <n v="0"/>
    <n v="3"/>
    <n v="3"/>
    <n v="2"/>
    <s v="Life Sciences"/>
    <n v="1"/>
    <n v="0"/>
    <n v="0"/>
    <n v="0"/>
    <n v="0"/>
    <x v="1"/>
    <s v="Female"/>
    <n v="1"/>
    <n v="39"/>
    <n v="3"/>
    <n v="3"/>
    <s v="Research Director"/>
    <n v="0"/>
    <n v="0"/>
    <n v="0"/>
    <n v="0"/>
    <n v="0"/>
    <n v="0"/>
    <n v="0"/>
    <n v="0"/>
    <n v="4"/>
    <x v="0"/>
    <n v="1"/>
    <n v="0"/>
    <n v="11159"/>
    <n v="11159"/>
    <n v="3"/>
    <x v="1"/>
    <n v="0"/>
    <n v="15"/>
    <n v="3"/>
    <n v="4"/>
    <n v="0"/>
    <n v="10"/>
    <n v="10"/>
    <n v="6"/>
    <n v="3"/>
    <n v="7"/>
    <n v="7"/>
    <n v="7"/>
    <n v="7"/>
    <n v="7"/>
    <n v="7"/>
    <n v="7"/>
    <n v="21"/>
  </r>
  <r>
    <n v="47"/>
    <n v="47"/>
    <x v="1"/>
    <n v="0"/>
    <s v="Travel_Rarely"/>
    <n v="0"/>
    <n v="1"/>
    <x v="0"/>
    <n v="0"/>
    <n v="1"/>
    <n v="14"/>
    <n v="14"/>
    <n v="4"/>
    <s v="Marketing"/>
    <n v="0"/>
    <n v="0"/>
    <n v="0"/>
    <n v="1"/>
    <n v="0"/>
    <x v="2"/>
    <s v="Male"/>
    <n v="0"/>
    <n v="42"/>
    <n v="3"/>
    <n v="2"/>
    <s v="Sales Executive"/>
    <n v="0"/>
    <n v="1"/>
    <n v="0"/>
    <n v="0"/>
    <n v="0"/>
    <n v="0"/>
    <n v="0"/>
    <n v="0"/>
    <n v="1"/>
    <x v="0"/>
    <n v="1"/>
    <n v="0"/>
    <n v="4960"/>
    <n v="4960"/>
    <n v="2"/>
    <x v="1"/>
    <n v="0"/>
    <n v="12"/>
    <n v="3"/>
    <n v="4"/>
    <n v="0"/>
    <n v="20"/>
    <n v="20"/>
    <n v="2"/>
    <n v="3"/>
    <n v="7"/>
    <n v="7"/>
    <n v="7"/>
    <n v="1"/>
    <n v="1"/>
    <n v="7"/>
    <n v="7"/>
    <n v="14"/>
  </r>
  <r>
    <n v="40"/>
    <n v="40"/>
    <x v="1"/>
    <n v="0"/>
    <s v="Travel_Frequently"/>
    <n v="1"/>
    <n v="0"/>
    <x v="0"/>
    <n v="0"/>
    <n v="1"/>
    <n v="5"/>
    <n v="5"/>
    <n v="4"/>
    <s v="Life Sciences"/>
    <n v="1"/>
    <n v="0"/>
    <n v="0"/>
    <n v="0"/>
    <n v="0"/>
    <x v="2"/>
    <s v="Male"/>
    <n v="0"/>
    <n v="48"/>
    <n v="2"/>
    <n v="3"/>
    <s v="Sales Executive"/>
    <n v="0"/>
    <n v="1"/>
    <n v="0"/>
    <n v="0"/>
    <n v="0"/>
    <n v="0"/>
    <n v="0"/>
    <n v="0"/>
    <n v="1"/>
    <x v="1"/>
    <n v="0"/>
    <n v="1"/>
    <n v="10475"/>
    <n v="10475"/>
    <n v="5"/>
    <x v="0"/>
    <n v="1"/>
    <n v="21"/>
    <n v="4"/>
    <n v="3"/>
    <n v="1"/>
    <n v="20"/>
    <n v="20"/>
    <n v="2"/>
    <n v="3"/>
    <n v="18"/>
    <n v="18"/>
    <n v="13"/>
    <n v="1"/>
    <n v="1"/>
    <n v="12"/>
    <n v="12"/>
    <n v="36"/>
  </r>
  <r>
    <n v="53"/>
    <n v="53"/>
    <x v="1"/>
    <n v="0"/>
    <s v="Travel_Rarely"/>
    <n v="0"/>
    <n v="1"/>
    <x v="1"/>
    <n v="1"/>
    <n v="0"/>
    <n v="7"/>
    <n v="7"/>
    <n v="3"/>
    <s v="Life Sciences"/>
    <n v="1"/>
    <n v="0"/>
    <n v="0"/>
    <n v="0"/>
    <n v="0"/>
    <x v="1"/>
    <s v="Male"/>
    <n v="0"/>
    <n v="59"/>
    <n v="4"/>
    <n v="4"/>
    <s v="Research Director"/>
    <n v="0"/>
    <n v="0"/>
    <n v="0"/>
    <n v="0"/>
    <n v="0"/>
    <n v="0"/>
    <n v="0"/>
    <n v="0"/>
    <n v="3"/>
    <x v="1"/>
    <n v="0"/>
    <n v="1"/>
    <n v="14814"/>
    <n v="14814"/>
    <n v="3"/>
    <x v="1"/>
    <n v="0"/>
    <n v="19"/>
    <n v="3"/>
    <n v="3"/>
    <n v="0"/>
    <n v="32"/>
    <n v="32"/>
    <n v="3"/>
    <n v="3"/>
    <n v="5"/>
    <n v="5"/>
    <n v="1"/>
    <n v="1"/>
    <n v="1"/>
    <n v="3"/>
    <n v="3"/>
    <n v="12"/>
  </r>
  <r>
    <n v="41"/>
    <n v="41"/>
    <x v="1"/>
    <n v="0"/>
    <s v="Travel_Rarely"/>
    <n v="0"/>
    <n v="1"/>
    <x v="2"/>
    <n v="0"/>
    <n v="0"/>
    <n v="10"/>
    <n v="10"/>
    <n v="4"/>
    <s v="Human Resources"/>
    <n v="0"/>
    <n v="0"/>
    <n v="0"/>
    <n v="0"/>
    <n v="0"/>
    <x v="0"/>
    <s v="Male"/>
    <n v="0"/>
    <n v="73"/>
    <n v="2"/>
    <n v="5"/>
    <s v="Manager"/>
    <n v="0"/>
    <n v="0"/>
    <n v="0"/>
    <n v="1"/>
    <n v="0"/>
    <n v="0"/>
    <n v="0"/>
    <n v="0"/>
    <n v="4"/>
    <x v="2"/>
    <n v="0"/>
    <n v="0"/>
    <n v="19141"/>
    <n v="19141"/>
    <n v="3"/>
    <x v="1"/>
    <n v="0"/>
    <n v="15"/>
    <n v="3"/>
    <n v="2"/>
    <n v="3"/>
    <n v="23"/>
    <n v="23"/>
    <n v="2"/>
    <n v="2"/>
    <n v="21"/>
    <n v="21"/>
    <n v="6"/>
    <n v="12"/>
    <n v="12"/>
    <n v="6"/>
    <n v="6"/>
    <n v="30"/>
  </r>
  <r>
    <n v="60"/>
    <n v="58.309999999999945"/>
    <x v="1"/>
    <n v="0"/>
    <s v="Travel_Rarely"/>
    <n v="0"/>
    <n v="1"/>
    <x v="0"/>
    <n v="0"/>
    <n v="1"/>
    <n v="16"/>
    <n v="16"/>
    <n v="4"/>
    <s v="Marketing"/>
    <n v="0"/>
    <n v="0"/>
    <n v="0"/>
    <n v="1"/>
    <n v="0"/>
    <x v="3"/>
    <s v="Male"/>
    <n v="0"/>
    <n v="84"/>
    <n v="3"/>
    <n v="2"/>
    <s v="Sales Executive"/>
    <n v="0"/>
    <n v="1"/>
    <n v="0"/>
    <n v="0"/>
    <n v="0"/>
    <n v="0"/>
    <n v="0"/>
    <n v="0"/>
    <n v="1"/>
    <x v="0"/>
    <n v="1"/>
    <n v="0"/>
    <n v="5405"/>
    <n v="5405"/>
    <n v="8"/>
    <x v="1"/>
    <n v="0"/>
    <n v="14"/>
    <n v="3"/>
    <n v="4"/>
    <n v="0"/>
    <n v="10"/>
    <n v="10"/>
    <n v="1"/>
    <n v="3"/>
    <n v="2"/>
    <n v="2"/>
    <n v="2"/>
    <n v="2"/>
    <n v="2"/>
    <n v="2"/>
    <n v="2"/>
    <n v="4"/>
  </r>
  <r>
    <n v="27"/>
    <n v="27"/>
    <x v="1"/>
    <n v="0"/>
    <s v="Travel_Frequently"/>
    <n v="1"/>
    <n v="0"/>
    <x v="1"/>
    <n v="1"/>
    <n v="0"/>
    <n v="10"/>
    <n v="10"/>
    <n v="2"/>
    <s v="Life Sciences"/>
    <n v="1"/>
    <n v="0"/>
    <n v="0"/>
    <n v="0"/>
    <n v="0"/>
    <x v="2"/>
    <s v="Male"/>
    <n v="0"/>
    <n v="32"/>
    <n v="3"/>
    <n v="3"/>
    <s v="Manufacturing Director"/>
    <n v="0"/>
    <n v="0"/>
    <n v="0"/>
    <n v="0"/>
    <n v="1"/>
    <n v="1"/>
    <n v="0"/>
    <n v="0"/>
    <n v="1"/>
    <x v="2"/>
    <n v="0"/>
    <n v="0"/>
    <n v="8793"/>
    <n v="8793"/>
    <n v="1"/>
    <x v="1"/>
    <n v="0"/>
    <n v="21"/>
    <n v="4"/>
    <n v="3"/>
    <n v="2"/>
    <n v="9"/>
    <n v="9"/>
    <n v="4"/>
    <n v="2"/>
    <n v="9"/>
    <n v="9"/>
    <n v="7"/>
    <n v="1"/>
    <n v="1"/>
    <n v="7"/>
    <n v="7"/>
    <n v="21"/>
  </r>
  <r>
    <n v="41"/>
    <n v="41"/>
    <x v="1"/>
    <n v="0"/>
    <s v="Travel_Rarely"/>
    <n v="0"/>
    <n v="1"/>
    <x v="2"/>
    <n v="0"/>
    <n v="0"/>
    <n v="1"/>
    <n v="1"/>
    <n v="3"/>
    <s v="Human Resources"/>
    <n v="0"/>
    <n v="0"/>
    <n v="0"/>
    <n v="0"/>
    <n v="0"/>
    <x v="2"/>
    <s v="Male"/>
    <n v="0"/>
    <n v="59"/>
    <n v="2"/>
    <n v="5"/>
    <s v="Manager"/>
    <n v="0"/>
    <n v="0"/>
    <n v="0"/>
    <n v="1"/>
    <n v="0"/>
    <n v="0"/>
    <n v="0"/>
    <n v="0"/>
    <n v="3"/>
    <x v="1"/>
    <n v="0"/>
    <n v="1"/>
    <n v="19189"/>
    <n v="19189"/>
    <n v="1"/>
    <x v="1"/>
    <n v="0"/>
    <n v="12"/>
    <n v="3"/>
    <n v="2"/>
    <n v="1"/>
    <n v="22"/>
    <n v="22"/>
    <n v="3"/>
    <n v="3"/>
    <n v="22"/>
    <n v="22"/>
    <n v="7"/>
    <n v="2"/>
    <n v="2"/>
    <n v="10"/>
    <n v="10"/>
    <n v="50"/>
  </r>
  <r>
    <n v="50"/>
    <n v="50"/>
    <x v="1"/>
    <n v="0"/>
    <s v="Travel_Rarely"/>
    <n v="0"/>
    <n v="1"/>
    <x v="0"/>
    <n v="0"/>
    <n v="1"/>
    <n v="8"/>
    <n v="8"/>
    <n v="4"/>
    <s v="Marketing"/>
    <n v="0"/>
    <n v="0"/>
    <n v="0"/>
    <n v="1"/>
    <n v="0"/>
    <x v="2"/>
    <s v="Male"/>
    <n v="0"/>
    <n v="54"/>
    <n v="3"/>
    <n v="1"/>
    <s v="Sales Representative"/>
    <n v="0"/>
    <n v="0"/>
    <n v="0"/>
    <n v="0"/>
    <n v="0"/>
    <n v="0"/>
    <n v="1"/>
    <n v="0"/>
    <n v="2"/>
    <x v="1"/>
    <n v="0"/>
    <n v="1"/>
    <n v="3875"/>
    <n v="3875"/>
    <n v="7"/>
    <x v="1"/>
    <n v="0"/>
    <n v="15"/>
    <n v="3"/>
    <n v="4"/>
    <n v="1"/>
    <n v="4"/>
    <n v="4"/>
    <n v="2"/>
    <n v="3"/>
    <n v="2"/>
    <n v="2"/>
    <n v="2"/>
    <n v="2"/>
    <n v="2"/>
    <n v="2"/>
    <n v="2"/>
    <n v="2"/>
  </r>
  <r>
    <n v="28"/>
    <n v="28"/>
    <x v="0"/>
    <n v="1"/>
    <s v="Travel_Rarely"/>
    <n v="0"/>
    <n v="1"/>
    <x v="1"/>
    <n v="1"/>
    <n v="0"/>
    <n v="1"/>
    <n v="1"/>
    <n v="2"/>
    <s v="Life Sciences"/>
    <n v="1"/>
    <n v="0"/>
    <n v="0"/>
    <n v="0"/>
    <n v="0"/>
    <x v="3"/>
    <s v="Female"/>
    <n v="1"/>
    <n v="67"/>
    <n v="1"/>
    <n v="1"/>
    <s v="Research Scientist"/>
    <n v="0"/>
    <n v="0"/>
    <n v="0"/>
    <n v="0"/>
    <n v="0"/>
    <n v="0"/>
    <n v="0"/>
    <n v="1"/>
    <n v="2"/>
    <x v="0"/>
    <n v="1"/>
    <n v="0"/>
    <n v="2216"/>
    <n v="2216"/>
    <n v="7"/>
    <x v="0"/>
    <n v="1"/>
    <n v="13"/>
    <n v="3"/>
    <n v="4"/>
    <n v="0"/>
    <n v="10"/>
    <n v="10"/>
    <n v="4"/>
    <n v="3"/>
    <n v="7"/>
    <n v="7"/>
    <n v="7"/>
    <n v="3"/>
    <n v="3"/>
    <n v="7"/>
    <n v="7"/>
    <n v="7"/>
  </r>
  <r>
    <n v="36"/>
    <n v="36"/>
    <x v="1"/>
    <n v="0"/>
    <s v="Non-Travel"/>
    <n v="0"/>
    <n v="0"/>
    <x v="1"/>
    <n v="1"/>
    <n v="0"/>
    <n v="8"/>
    <n v="8"/>
    <n v="3"/>
    <s v="Life Sciences"/>
    <n v="1"/>
    <n v="0"/>
    <n v="0"/>
    <n v="0"/>
    <n v="0"/>
    <x v="3"/>
    <s v="Female"/>
    <n v="1"/>
    <n v="63"/>
    <n v="4"/>
    <n v="3"/>
    <s v="Research Director"/>
    <n v="0"/>
    <n v="0"/>
    <n v="0"/>
    <n v="0"/>
    <n v="0"/>
    <n v="0"/>
    <n v="0"/>
    <n v="0"/>
    <n v="1"/>
    <x v="1"/>
    <n v="0"/>
    <n v="1"/>
    <n v="11713"/>
    <n v="11713"/>
    <n v="9"/>
    <x v="1"/>
    <n v="0"/>
    <n v="14"/>
    <n v="3"/>
    <n v="1"/>
    <n v="1"/>
    <n v="10"/>
    <n v="10"/>
    <n v="2"/>
    <n v="3"/>
    <n v="8"/>
    <n v="8"/>
    <n v="7"/>
    <n v="0"/>
    <n v="0"/>
    <n v="5"/>
    <n v="5"/>
    <n v="15"/>
  </r>
  <r>
    <n v="38"/>
    <n v="38"/>
    <x v="1"/>
    <n v="0"/>
    <s v="Travel_Rarely"/>
    <n v="0"/>
    <n v="1"/>
    <x v="1"/>
    <n v="1"/>
    <n v="0"/>
    <n v="1"/>
    <n v="1"/>
    <n v="3"/>
    <s v="Life Sciences"/>
    <n v="1"/>
    <n v="0"/>
    <n v="0"/>
    <n v="0"/>
    <n v="0"/>
    <x v="1"/>
    <s v="Female"/>
    <n v="1"/>
    <n v="81"/>
    <n v="3"/>
    <n v="3"/>
    <s v="Manufacturing Director"/>
    <n v="0"/>
    <n v="0"/>
    <n v="0"/>
    <n v="0"/>
    <n v="1"/>
    <n v="1"/>
    <n v="0"/>
    <n v="0"/>
    <n v="3"/>
    <x v="0"/>
    <n v="1"/>
    <n v="0"/>
    <n v="7861"/>
    <n v="7861"/>
    <n v="4"/>
    <x v="0"/>
    <n v="1"/>
    <n v="14"/>
    <n v="3"/>
    <n v="4"/>
    <n v="0"/>
    <n v="10"/>
    <n v="10"/>
    <n v="4"/>
    <n v="4"/>
    <n v="1"/>
    <n v="1"/>
    <n v="0"/>
    <n v="0"/>
    <n v="0"/>
    <n v="0"/>
    <n v="0"/>
    <n v="0"/>
  </r>
  <r>
    <n v="44"/>
    <n v="44"/>
    <x v="1"/>
    <n v="0"/>
    <s v="Non-Travel"/>
    <n v="0"/>
    <n v="0"/>
    <x v="1"/>
    <n v="1"/>
    <n v="0"/>
    <n v="24"/>
    <n v="24"/>
    <n v="3"/>
    <s v="Medical"/>
    <n v="0"/>
    <n v="0"/>
    <n v="1"/>
    <n v="0"/>
    <n v="0"/>
    <x v="3"/>
    <s v="Male"/>
    <n v="0"/>
    <n v="49"/>
    <n v="1"/>
    <n v="1"/>
    <s v="Laboratory Technician"/>
    <n v="0"/>
    <n v="0"/>
    <n v="1"/>
    <n v="0"/>
    <n v="0"/>
    <n v="0"/>
    <n v="0"/>
    <n v="0"/>
    <n v="3"/>
    <x v="0"/>
    <n v="1"/>
    <n v="0"/>
    <n v="3708"/>
    <n v="3708"/>
    <n v="2"/>
    <x v="1"/>
    <n v="0"/>
    <n v="14"/>
    <n v="3"/>
    <n v="3"/>
    <n v="0"/>
    <n v="9"/>
    <n v="9"/>
    <n v="5"/>
    <n v="3"/>
    <n v="5"/>
    <n v="5"/>
    <n v="2"/>
    <n v="1"/>
    <n v="1"/>
    <n v="4"/>
    <n v="4"/>
    <n v="4"/>
  </r>
  <r>
    <n v="47"/>
    <n v="47"/>
    <x v="1"/>
    <n v="0"/>
    <s v="Travel_Frequently"/>
    <n v="1"/>
    <n v="0"/>
    <x v="0"/>
    <n v="0"/>
    <n v="1"/>
    <n v="3"/>
    <n v="3"/>
    <n v="3"/>
    <s v="Medical"/>
    <n v="0"/>
    <n v="0"/>
    <n v="1"/>
    <n v="0"/>
    <n v="0"/>
    <x v="2"/>
    <s v="Female"/>
    <n v="1"/>
    <n v="49"/>
    <n v="3"/>
    <n v="4"/>
    <s v="Sales Executive"/>
    <n v="0"/>
    <n v="1"/>
    <n v="0"/>
    <n v="0"/>
    <n v="0"/>
    <n v="0"/>
    <n v="0"/>
    <n v="0"/>
    <n v="3"/>
    <x v="2"/>
    <n v="0"/>
    <n v="0"/>
    <n v="13770"/>
    <n v="13770"/>
    <n v="9"/>
    <x v="0"/>
    <n v="1"/>
    <n v="12"/>
    <n v="3"/>
    <n v="4"/>
    <n v="2"/>
    <n v="28"/>
    <n v="28"/>
    <n v="2"/>
    <n v="2"/>
    <n v="22"/>
    <n v="22"/>
    <n v="2"/>
    <n v="11"/>
    <n v="11"/>
    <n v="13"/>
    <n v="13"/>
    <n v="52"/>
  </r>
  <r>
    <n v="30"/>
    <n v="30"/>
    <x v="1"/>
    <n v="0"/>
    <s v="Travel_Rarely"/>
    <n v="0"/>
    <n v="1"/>
    <x v="0"/>
    <n v="0"/>
    <n v="1"/>
    <n v="27"/>
    <n v="27"/>
    <n v="5"/>
    <s v="Marketing"/>
    <n v="0"/>
    <n v="0"/>
    <n v="0"/>
    <n v="1"/>
    <n v="0"/>
    <x v="1"/>
    <s v="Male"/>
    <n v="0"/>
    <n v="99"/>
    <n v="3"/>
    <n v="2"/>
    <s v="Sales Executive"/>
    <n v="0"/>
    <n v="1"/>
    <n v="0"/>
    <n v="0"/>
    <n v="0"/>
    <n v="0"/>
    <n v="0"/>
    <n v="0"/>
    <n v="4"/>
    <x v="2"/>
    <n v="0"/>
    <n v="0"/>
    <n v="5304"/>
    <n v="5304"/>
    <n v="7"/>
    <x v="1"/>
    <n v="0"/>
    <n v="23"/>
    <n v="4"/>
    <n v="4"/>
    <n v="1"/>
    <n v="10"/>
    <n v="10"/>
    <n v="2"/>
    <n v="2"/>
    <n v="8"/>
    <n v="8"/>
    <n v="7"/>
    <n v="7"/>
    <n v="7"/>
    <n v="7"/>
    <n v="7"/>
    <n v="14"/>
  </r>
  <r>
    <n v="29"/>
    <n v="29"/>
    <x v="1"/>
    <n v="0"/>
    <s v="Travel_Rarely"/>
    <n v="0"/>
    <n v="1"/>
    <x v="0"/>
    <n v="0"/>
    <n v="1"/>
    <n v="10"/>
    <n v="10"/>
    <n v="3"/>
    <s v="Life Sciences"/>
    <n v="1"/>
    <n v="0"/>
    <n v="0"/>
    <n v="0"/>
    <n v="0"/>
    <x v="1"/>
    <s v="Male"/>
    <n v="0"/>
    <n v="99"/>
    <n v="3"/>
    <n v="1"/>
    <s v="Sales Representative"/>
    <n v="0"/>
    <n v="0"/>
    <n v="0"/>
    <n v="0"/>
    <n v="0"/>
    <n v="0"/>
    <n v="1"/>
    <n v="0"/>
    <n v="3"/>
    <x v="0"/>
    <n v="1"/>
    <n v="0"/>
    <n v="2642"/>
    <n v="2642"/>
    <n v="1"/>
    <x v="1"/>
    <n v="0"/>
    <n v="11"/>
    <n v="3"/>
    <n v="3"/>
    <n v="0"/>
    <n v="1"/>
    <n v="1"/>
    <n v="6"/>
    <n v="3"/>
    <n v="1"/>
    <n v="1"/>
    <n v="0"/>
    <n v="0"/>
    <n v="0"/>
    <n v="0"/>
    <n v="0"/>
    <n v="0"/>
  </r>
  <r>
    <n v="42"/>
    <n v="42"/>
    <x v="0"/>
    <n v="1"/>
    <s v="Travel_Frequently"/>
    <n v="1"/>
    <n v="0"/>
    <x v="1"/>
    <n v="1"/>
    <n v="0"/>
    <n v="19"/>
    <n v="19"/>
    <n v="3"/>
    <s v="Medical"/>
    <n v="0"/>
    <n v="0"/>
    <n v="1"/>
    <n v="0"/>
    <n v="0"/>
    <x v="1"/>
    <s v="Male"/>
    <n v="0"/>
    <n v="57"/>
    <n v="4"/>
    <n v="1"/>
    <s v="Research Scientist"/>
    <n v="0"/>
    <n v="0"/>
    <n v="0"/>
    <n v="0"/>
    <n v="0"/>
    <n v="0"/>
    <n v="0"/>
    <n v="1"/>
    <n v="3"/>
    <x v="2"/>
    <n v="0"/>
    <n v="0"/>
    <n v="2759"/>
    <n v="2759"/>
    <n v="6"/>
    <x v="0"/>
    <n v="1"/>
    <n v="12"/>
    <n v="3"/>
    <n v="4"/>
    <n v="0"/>
    <n v="7"/>
    <n v="7"/>
    <n v="2"/>
    <n v="3"/>
    <n v="2"/>
    <n v="2"/>
    <n v="2"/>
    <n v="2"/>
    <n v="2"/>
    <n v="2"/>
    <n v="2"/>
    <n v="2"/>
  </r>
  <r>
    <n v="43"/>
    <n v="43"/>
    <x v="1"/>
    <n v="0"/>
    <s v="Travel_Frequently"/>
    <n v="1"/>
    <n v="0"/>
    <x v="0"/>
    <n v="0"/>
    <n v="1"/>
    <n v="15"/>
    <n v="15"/>
    <n v="3"/>
    <s v="Life Sciences"/>
    <n v="1"/>
    <n v="0"/>
    <n v="0"/>
    <n v="0"/>
    <n v="0"/>
    <x v="2"/>
    <s v="Male"/>
    <n v="0"/>
    <n v="47"/>
    <n v="2"/>
    <n v="2"/>
    <s v="Sales Executive"/>
    <n v="0"/>
    <n v="1"/>
    <n v="0"/>
    <n v="0"/>
    <n v="0"/>
    <n v="0"/>
    <n v="0"/>
    <n v="0"/>
    <n v="4"/>
    <x v="1"/>
    <n v="0"/>
    <n v="1"/>
    <n v="6804"/>
    <n v="6804"/>
    <n v="3"/>
    <x v="1"/>
    <n v="0"/>
    <n v="18"/>
    <n v="3"/>
    <n v="3"/>
    <n v="1"/>
    <n v="7"/>
    <n v="7"/>
    <n v="5"/>
    <n v="3"/>
    <n v="2"/>
    <n v="2"/>
    <n v="2"/>
    <n v="2"/>
    <n v="2"/>
    <n v="2"/>
    <n v="2"/>
    <n v="4"/>
  </r>
  <r>
    <n v="34"/>
    <n v="34"/>
    <x v="1"/>
    <n v="0"/>
    <s v="Travel_Rarely"/>
    <n v="0"/>
    <n v="1"/>
    <x v="1"/>
    <n v="1"/>
    <n v="0"/>
    <n v="8"/>
    <n v="8"/>
    <n v="2"/>
    <s v="Medical"/>
    <n v="0"/>
    <n v="0"/>
    <n v="1"/>
    <n v="0"/>
    <n v="0"/>
    <x v="0"/>
    <s v="Female"/>
    <n v="1"/>
    <n v="96"/>
    <n v="3"/>
    <n v="2"/>
    <s v="Healthcare Representative"/>
    <n v="1"/>
    <n v="0"/>
    <n v="0"/>
    <n v="0"/>
    <n v="0"/>
    <n v="0"/>
    <n v="0"/>
    <n v="0"/>
    <n v="3"/>
    <x v="0"/>
    <n v="1"/>
    <n v="0"/>
    <n v="6142"/>
    <n v="6142"/>
    <n v="3"/>
    <x v="1"/>
    <n v="0"/>
    <n v="11"/>
    <n v="3"/>
    <n v="4"/>
    <n v="0"/>
    <n v="10"/>
    <n v="10"/>
    <n v="2"/>
    <n v="3"/>
    <n v="5"/>
    <n v="5"/>
    <n v="1"/>
    <n v="4"/>
    <n v="4"/>
    <n v="3"/>
    <n v="3"/>
    <n v="6"/>
  </r>
  <r>
    <n v="23"/>
    <n v="23"/>
    <x v="1"/>
    <n v="0"/>
    <s v="Travel_Rarely"/>
    <n v="0"/>
    <n v="1"/>
    <x v="1"/>
    <n v="1"/>
    <n v="0"/>
    <n v="9"/>
    <n v="9"/>
    <n v="1"/>
    <s v="Medical"/>
    <n v="0"/>
    <n v="0"/>
    <n v="1"/>
    <n v="0"/>
    <n v="0"/>
    <x v="0"/>
    <s v="Male"/>
    <n v="0"/>
    <n v="37"/>
    <n v="3"/>
    <n v="1"/>
    <s v="Laboratory Technician"/>
    <n v="0"/>
    <n v="0"/>
    <n v="1"/>
    <n v="0"/>
    <n v="0"/>
    <n v="0"/>
    <n v="0"/>
    <n v="0"/>
    <n v="1"/>
    <x v="1"/>
    <n v="0"/>
    <n v="1"/>
    <n v="2500"/>
    <n v="2500"/>
    <n v="1"/>
    <x v="1"/>
    <n v="0"/>
    <n v="14"/>
    <n v="3"/>
    <n v="4"/>
    <n v="1"/>
    <n v="5"/>
    <n v="5"/>
    <n v="2"/>
    <n v="4"/>
    <n v="4"/>
    <n v="4"/>
    <n v="3"/>
    <n v="0"/>
    <n v="0"/>
    <n v="2"/>
    <n v="2"/>
    <n v="2"/>
  </r>
  <r>
    <n v="39"/>
    <n v="39"/>
    <x v="1"/>
    <n v="0"/>
    <s v="Travel_Rarely"/>
    <n v="0"/>
    <n v="1"/>
    <x v="2"/>
    <n v="0"/>
    <n v="0"/>
    <n v="3"/>
    <n v="3"/>
    <n v="3"/>
    <s v="Human Resources"/>
    <n v="0"/>
    <n v="0"/>
    <n v="0"/>
    <n v="0"/>
    <n v="0"/>
    <x v="1"/>
    <s v="Female"/>
    <n v="1"/>
    <n v="44"/>
    <n v="4"/>
    <n v="2"/>
    <s v="Human Resources"/>
    <n v="0"/>
    <n v="0"/>
    <n v="0"/>
    <n v="0"/>
    <n v="0"/>
    <n v="0"/>
    <n v="0"/>
    <n v="0"/>
    <n v="2"/>
    <x v="1"/>
    <n v="0"/>
    <n v="1"/>
    <n v="6389"/>
    <n v="6389"/>
    <n v="9"/>
    <x v="1"/>
    <n v="0"/>
    <n v="15"/>
    <n v="3"/>
    <n v="3"/>
    <n v="1"/>
    <n v="12"/>
    <n v="12"/>
    <n v="3"/>
    <n v="1"/>
    <n v="8"/>
    <n v="8"/>
    <n v="3"/>
    <n v="3"/>
    <n v="3"/>
    <n v="6"/>
    <n v="6"/>
    <n v="12"/>
  </r>
  <r>
    <n v="56"/>
    <n v="56"/>
    <x v="1"/>
    <n v="0"/>
    <s v="Travel_Rarely"/>
    <n v="0"/>
    <n v="1"/>
    <x v="1"/>
    <n v="1"/>
    <n v="0"/>
    <n v="9"/>
    <n v="9"/>
    <n v="3"/>
    <s v="Medical"/>
    <n v="0"/>
    <n v="0"/>
    <n v="1"/>
    <n v="0"/>
    <n v="0"/>
    <x v="1"/>
    <s v="Male"/>
    <n v="0"/>
    <n v="81"/>
    <n v="3"/>
    <n v="4"/>
    <s v="Healthcare Representative"/>
    <n v="1"/>
    <n v="0"/>
    <n v="0"/>
    <n v="0"/>
    <n v="0"/>
    <n v="0"/>
    <n v="0"/>
    <n v="0"/>
    <n v="4"/>
    <x v="1"/>
    <n v="0"/>
    <n v="1"/>
    <n v="11103"/>
    <n v="11103"/>
    <n v="7"/>
    <x v="1"/>
    <n v="0"/>
    <n v="11"/>
    <n v="3"/>
    <n v="3"/>
    <n v="0"/>
    <n v="30"/>
    <n v="30"/>
    <n v="1"/>
    <n v="2"/>
    <n v="10"/>
    <n v="10"/>
    <n v="7"/>
    <n v="1"/>
    <n v="1"/>
    <n v="1"/>
    <n v="1"/>
    <n v="4"/>
  </r>
  <r>
    <n v="40"/>
    <n v="40"/>
    <x v="1"/>
    <n v="0"/>
    <s v="Travel_Rarely"/>
    <n v="0"/>
    <n v="1"/>
    <x v="1"/>
    <n v="1"/>
    <n v="0"/>
    <n v="2"/>
    <n v="2"/>
    <n v="1"/>
    <s v="Medical"/>
    <n v="0"/>
    <n v="0"/>
    <n v="1"/>
    <n v="0"/>
    <n v="0"/>
    <x v="2"/>
    <s v="Female"/>
    <n v="1"/>
    <n v="86"/>
    <n v="2"/>
    <n v="1"/>
    <s v="Research Scientist"/>
    <n v="0"/>
    <n v="0"/>
    <n v="0"/>
    <n v="0"/>
    <n v="0"/>
    <n v="0"/>
    <n v="0"/>
    <n v="1"/>
    <n v="4"/>
    <x v="0"/>
    <n v="1"/>
    <n v="0"/>
    <n v="2342"/>
    <n v="2342"/>
    <n v="0"/>
    <x v="0"/>
    <n v="1"/>
    <n v="20"/>
    <n v="4"/>
    <n v="4"/>
    <n v="0"/>
    <n v="5"/>
    <n v="5"/>
    <n v="2"/>
    <n v="2"/>
    <n v="4"/>
    <n v="4"/>
    <n v="2"/>
    <n v="2"/>
    <n v="2"/>
    <n v="3"/>
    <n v="3"/>
    <n v="3"/>
  </r>
  <r>
    <n v="27"/>
    <n v="27"/>
    <x v="1"/>
    <n v="0"/>
    <s v="Travel_Rarely"/>
    <n v="0"/>
    <n v="1"/>
    <x v="1"/>
    <n v="1"/>
    <n v="0"/>
    <n v="7"/>
    <n v="7"/>
    <n v="3"/>
    <s v="Medical"/>
    <n v="0"/>
    <n v="0"/>
    <n v="1"/>
    <n v="0"/>
    <n v="0"/>
    <x v="2"/>
    <s v="Female"/>
    <n v="1"/>
    <n v="55"/>
    <n v="2"/>
    <n v="2"/>
    <s v="Healthcare Representative"/>
    <n v="1"/>
    <n v="0"/>
    <n v="0"/>
    <n v="0"/>
    <n v="0"/>
    <n v="0"/>
    <n v="0"/>
    <n v="0"/>
    <n v="1"/>
    <x v="0"/>
    <n v="1"/>
    <n v="0"/>
    <n v="6811"/>
    <n v="6811"/>
    <n v="8"/>
    <x v="1"/>
    <n v="0"/>
    <n v="19"/>
    <n v="3"/>
    <n v="1"/>
    <n v="0"/>
    <n v="9"/>
    <n v="9"/>
    <n v="2"/>
    <n v="1"/>
    <n v="7"/>
    <n v="7"/>
    <n v="6"/>
    <n v="0"/>
    <n v="0"/>
    <n v="7"/>
    <n v="7"/>
    <n v="14"/>
  </r>
  <r>
    <n v="29"/>
    <n v="29"/>
    <x v="1"/>
    <n v="0"/>
    <s v="Travel_Rarely"/>
    <n v="0"/>
    <n v="1"/>
    <x v="0"/>
    <n v="0"/>
    <n v="1"/>
    <n v="10"/>
    <n v="10"/>
    <n v="3"/>
    <s v="Marketing"/>
    <n v="0"/>
    <n v="0"/>
    <n v="0"/>
    <n v="1"/>
    <n v="0"/>
    <x v="2"/>
    <s v="Male"/>
    <n v="0"/>
    <n v="83"/>
    <n v="3"/>
    <n v="1"/>
    <s v="Sales Representative"/>
    <n v="0"/>
    <n v="0"/>
    <n v="0"/>
    <n v="0"/>
    <n v="0"/>
    <n v="0"/>
    <n v="1"/>
    <n v="0"/>
    <n v="2"/>
    <x v="2"/>
    <n v="0"/>
    <n v="0"/>
    <n v="2297"/>
    <n v="2297"/>
    <n v="1"/>
    <x v="1"/>
    <n v="0"/>
    <n v="14"/>
    <n v="3"/>
    <n v="4"/>
    <n v="2"/>
    <n v="2"/>
    <n v="2"/>
    <n v="2"/>
    <n v="3"/>
    <n v="2"/>
    <n v="2"/>
    <n v="2"/>
    <n v="2"/>
    <n v="2"/>
    <n v="2"/>
    <n v="2"/>
    <n v="2"/>
  </r>
  <r>
    <n v="53"/>
    <n v="53"/>
    <x v="1"/>
    <n v="0"/>
    <s v="Travel_Rarely"/>
    <n v="0"/>
    <n v="1"/>
    <x v="1"/>
    <n v="1"/>
    <n v="0"/>
    <n v="6"/>
    <n v="6"/>
    <n v="3"/>
    <s v="Life Sciences"/>
    <n v="1"/>
    <n v="0"/>
    <n v="0"/>
    <n v="0"/>
    <n v="0"/>
    <x v="2"/>
    <s v="Male"/>
    <n v="0"/>
    <n v="86"/>
    <n v="3"/>
    <n v="2"/>
    <s v="Laboratory Technician"/>
    <n v="0"/>
    <n v="0"/>
    <n v="1"/>
    <n v="0"/>
    <n v="0"/>
    <n v="0"/>
    <n v="0"/>
    <n v="0"/>
    <n v="4"/>
    <x v="0"/>
    <n v="1"/>
    <n v="0"/>
    <n v="2450"/>
    <n v="2450"/>
    <n v="2"/>
    <x v="1"/>
    <n v="0"/>
    <n v="17"/>
    <n v="3"/>
    <n v="4"/>
    <n v="0"/>
    <n v="19"/>
    <n v="19"/>
    <n v="4"/>
    <n v="3"/>
    <n v="2"/>
    <n v="2"/>
    <n v="2"/>
    <n v="2"/>
    <n v="2"/>
    <n v="2"/>
    <n v="2"/>
    <n v="4"/>
  </r>
  <r>
    <n v="35"/>
    <n v="35"/>
    <x v="1"/>
    <n v="0"/>
    <s v="Non-Travel"/>
    <n v="0"/>
    <n v="0"/>
    <x v="1"/>
    <n v="1"/>
    <n v="0"/>
    <n v="2"/>
    <n v="2"/>
    <n v="4"/>
    <s v="Life Sciences"/>
    <n v="1"/>
    <n v="0"/>
    <n v="0"/>
    <n v="0"/>
    <n v="0"/>
    <x v="2"/>
    <s v="Female"/>
    <n v="1"/>
    <n v="61"/>
    <n v="3"/>
    <n v="2"/>
    <s v="Healthcare Representative"/>
    <n v="1"/>
    <n v="0"/>
    <n v="0"/>
    <n v="0"/>
    <n v="0"/>
    <n v="0"/>
    <n v="0"/>
    <n v="0"/>
    <n v="1"/>
    <x v="2"/>
    <n v="0"/>
    <n v="0"/>
    <n v="5093"/>
    <n v="5093"/>
    <n v="2"/>
    <x v="1"/>
    <n v="0"/>
    <n v="11"/>
    <n v="3"/>
    <n v="1"/>
    <n v="1"/>
    <n v="16"/>
    <n v="16"/>
    <n v="2"/>
    <n v="4"/>
    <n v="1"/>
    <n v="1"/>
    <n v="0"/>
    <n v="0"/>
    <n v="0"/>
    <n v="0"/>
    <n v="0"/>
    <n v="0"/>
  </r>
  <r>
    <n v="32"/>
    <n v="32"/>
    <x v="1"/>
    <n v="0"/>
    <s v="Travel_Frequently"/>
    <n v="1"/>
    <n v="0"/>
    <x v="1"/>
    <n v="1"/>
    <n v="0"/>
    <n v="24"/>
    <n v="24"/>
    <n v="4"/>
    <s v="Life Sciences"/>
    <n v="1"/>
    <n v="0"/>
    <n v="0"/>
    <n v="0"/>
    <n v="0"/>
    <x v="3"/>
    <s v="Male"/>
    <n v="0"/>
    <n v="80"/>
    <n v="3"/>
    <n v="2"/>
    <s v="Laboratory Technician"/>
    <n v="0"/>
    <n v="0"/>
    <n v="1"/>
    <n v="0"/>
    <n v="0"/>
    <n v="0"/>
    <n v="0"/>
    <n v="0"/>
    <n v="4"/>
    <x v="1"/>
    <n v="0"/>
    <n v="1"/>
    <n v="5309"/>
    <n v="5309"/>
    <n v="1"/>
    <x v="1"/>
    <n v="0"/>
    <n v="15"/>
    <n v="3"/>
    <n v="4"/>
    <n v="2"/>
    <n v="10"/>
    <n v="10"/>
    <n v="2"/>
    <n v="3"/>
    <n v="10"/>
    <n v="10"/>
    <n v="8"/>
    <n v="4"/>
    <n v="4"/>
    <n v="7"/>
    <n v="7"/>
    <n v="14"/>
  </r>
  <r>
    <n v="38"/>
    <n v="38"/>
    <x v="1"/>
    <n v="0"/>
    <s v="Travel_Rarely"/>
    <n v="0"/>
    <n v="1"/>
    <x v="1"/>
    <n v="1"/>
    <n v="0"/>
    <n v="2"/>
    <n v="2"/>
    <n v="5"/>
    <s v="Medical"/>
    <n v="0"/>
    <n v="0"/>
    <n v="1"/>
    <n v="0"/>
    <n v="0"/>
    <x v="2"/>
    <s v="Male"/>
    <n v="0"/>
    <n v="92"/>
    <n v="3"/>
    <n v="1"/>
    <s v="Research Scientist"/>
    <n v="0"/>
    <n v="0"/>
    <n v="0"/>
    <n v="0"/>
    <n v="0"/>
    <n v="0"/>
    <n v="0"/>
    <n v="1"/>
    <n v="3"/>
    <x v="1"/>
    <n v="0"/>
    <n v="1"/>
    <n v="3057"/>
    <n v="3057"/>
    <n v="6"/>
    <x v="0"/>
    <n v="1"/>
    <n v="13"/>
    <n v="3"/>
    <n v="2"/>
    <n v="1"/>
    <n v="6"/>
    <n v="6"/>
    <n v="0"/>
    <n v="1"/>
    <n v="1"/>
    <n v="1"/>
    <n v="0"/>
    <n v="0"/>
    <n v="0"/>
    <n v="1"/>
    <n v="1"/>
    <n v="1"/>
  </r>
  <r>
    <n v="34"/>
    <n v="34"/>
    <x v="1"/>
    <n v="0"/>
    <s v="Travel_Rarely"/>
    <n v="0"/>
    <n v="1"/>
    <x v="1"/>
    <n v="1"/>
    <n v="0"/>
    <n v="8"/>
    <n v="8"/>
    <n v="5"/>
    <s v="Life Sciences"/>
    <n v="1"/>
    <n v="0"/>
    <n v="0"/>
    <n v="0"/>
    <n v="0"/>
    <x v="0"/>
    <s v="Female"/>
    <n v="1"/>
    <n v="32"/>
    <n v="3"/>
    <n v="2"/>
    <s v="Manufacturing Director"/>
    <n v="0"/>
    <n v="0"/>
    <n v="0"/>
    <n v="0"/>
    <n v="1"/>
    <n v="1"/>
    <n v="0"/>
    <n v="0"/>
    <n v="1"/>
    <x v="2"/>
    <n v="0"/>
    <n v="0"/>
    <n v="5121"/>
    <n v="5121"/>
    <n v="3"/>
    <x v="1"/>
    <n v="0"/>
    <n v="14"/>
    <n v="3"/>
    <n v="3"/>
    <n v="1"/>
    <n v="7"/>
    <n v="7"/>
    <n v="3"/>
    <n v="3"/>
    <n v="0"/>
    <n v="0"/>
    <n v="0"/>
    <n v="0"/>
    <n v="0"/>
    <n v="0"/>
    <n v="0"/>
    <n v="0"/>
  </r>
  <r>
    <n v="52"/>
    <n v="52"/>
    <x v="1"/>
    <n v="0"/>
    <s v="Travel_Rarely"/>
    <n v="0"/>
    <n v="1"/>
    <x v="0"/>
    <n v="0"/>
    <n v="1"/>
    <n v="3"/>
    <n v="3"/>
    <n v="4"/>
    <s v="Marketing"/>
    <n v="0"/>
    <n v="0"/>
    <n v="0"/>
    <n v="1"/>
    <n v="0"/>
    <x v="1"/>
    <s v="Male"/>
    <n v="0"/>
    <n v="31"/>
    <n v="2"/>
    <n v="4"/>
    <s v="Manager"/>
    <n v="0"/>
    <n v="0"/>
    <n v="0"/>
    <n v="1"/>
    <n v="0"/>
    <n v="0"/>
    <n v="0"/>
    <n v="0"/>
    <n v="1"/>
    <x v="1"/>
    <n v="0"/>
    <n v="1"/>
    <n v="16856"/>
    <n v="16856"/>
    <n v="1"/>
    <x v="1"/>
    <n v="0"/>
    <n v="11"/>
    <n v="3"/>
    <n v="1"/>
    <n v="0"/>
    <n v="34"/>
    <n v="34"/>
    <n v="3"/>
    <n v="4"/>
    <n v="34"/>
    <n v="31"/>
    <n v="6"/>
    <n v="1"/>
    <n v="1"/>
    <n v="16"/>
    <n v="14"/>
    <n v="56"/>
  </r>
  <r>
    <n v="33"/>
    <n v="33"/>
    <x v="0"/>
    <n v="1"/>
    <s v="Travel_Rarely"/>
    <n v="0"/>
    <n v="1"/>
    <x v="1"/>
    <n v="1"/>
    <n v="0"/>
    <n v="1"/>
    <n v="1"/>
    <n v="4"/>
    <s v="Other"/>
    <n v="0"/>
    <n v="1"/>
    <n v="0"/>
    <n v="0"/>
    <n v="0"/>
    <x v="2"/>
    <s v="Male"/>
    <n v="0"/>
    <n v="63"/>
    <n v="3"/>
    <n v="1"/>
    <s v="Research Scientist"/>
    <n v="0"/>
    <n v="0"/>
    <n v="0"/>
    <n v="0"/>
    <n v="0"/>
    <n v="0"/>
    <n v="0"/>
    <n v="1"/>
    <n v="4"/>
    <x v="0"/>
    <n v="1"/>
    <n v="0"/>
    <n v="2686"/>
    <n v="2686"/>
    <n v="1"/>
    <x v="0"/>
    <n v="1"/>
    <n v="13"/>
    <n v="3"/>
    <n v="3"/>
    <n v="0"/>
    <n v="10"/>
    <n v="10"/>
    <n v="2"/>
    <n v="2"/>
    <n v="10"/>
    <n v="10"/>
    <n v="9"/>
    <n v="7"/>
    <n v="7"/>
    <n v="8"/>
    <n v="8"/>
    <n v="8"/>
  </r>
  <r>
    <n v="25"/>
    <n v="25"/>
    <x v="1"/>
    <n v="0"/>
    <s v="Travel_Rarely"/>
    <n v="0"/>
    <n v="1"/>
    <x v="0"/>
    <n v="0"/>
    <n v="1"/>
    <n v="26"/>
    <n v="26"/>
    <n v="1"/>
    <s v="Medical"/>
    <n v="0"/>
    <n v="0"/>
    <n v="1"/>
    <n v="0"/>
    <n v="0"/>
    <x v="1"/>
    <s v="Female"/>
    <n v="1"/>
    <n v="32"/>
    <n v="3"/>
    <n v="2"/>
    <s v="Sales Executive"/>
    <n v="0"/>
    <n v="1"/>
    <n v="0"/>
    <n v="0"/>
    <n v="0"/>
    <n v="0"/>
    <n v="0"/>
    <n v="0"/>
    <n v="4"/>
    <x v="0"/>
    <n v="1"/>
    <n v="0"/>
    <n v="6180"/>
    <n v="6180"/>
    <n v="1"/>
    <x v="1"/>
    <n v="0"/>
    <n v="23"/>
    <n v="4"/>
    <n v="2"/>
    <n v="0"/>
    <n v="6"/>
    <n v="6"/>
    <n v="5"/>
    <n v="2"/>
    <n v="6"/>
    <n v="6"/>
    <n v="5"/>
    <n v="1"/>
    <n v="1"/>
    <n v="4"/>
    <n v="4"/>
    <n v="8"/>
  </r>
  <r>
    <n v="45"/>
    <n v="45"/>
    <x v="1"/>
    <n v="0"/>
    <s v="Travel_Rarely"/>
    <n v="0"/>
    <n v="1"/>
    <x v="0"/>
    <n v="0"/>
    <n v="1"/>
    <n v="2"/>
    <n v="2"/>
    <n v="2"/>
    <s v="Technical Degree"/>
    <n v="0"/>
    <n v="0"/>
    <n v="0"/>
    <n v="0"/>
    <n v="1"/>
    <x v="0"/>
    <s v="Male"/>
    <n v="0"/>
    <n v="46"/>
    <n v="1"/>
    <n v="2"/>
    <s v="Sales Representative"/>
    <n v="0"/>
    <n v="0"/>
    <n v="0"/>
    <n v="0"/>
    <n v="0"/>
    <n v="0"/>
    <n v="1"/>
    <n v="0"/>
    <n v="3"/>
    <x v="0"/>
    <n v="1"/>
    <n v="0"/>
    <n v="6632"/>
    <n v="6632"/>
    <n v="0"/>
    <x v="1"/>
    <n v="0"/>
    <n v="13"/>
    <n v="3"/>
    <n v="1"/>
    <n v="0"/>
    <n v="9"/>
    <n v="9"/>
    <n v="3"/>
    <n v="3"/>
    <n v="8"/>
    <n v="8"/>
    <n v="7"/>
    <n v="3"/>
    <n v="3"/>
    <n v="1"/>
    <n v="1"/>
    <n v="2"/>
  </r>
  <r>
    <n v="23"/>
    <n v="23"/>
    <x v="1"/>
    <n v="0"/>
    <s v="Travel_Rarely"/>
    <n v="0"/>
    <n v="1"/>
    <x v="1"/>
    <n v="1"/>
    <n v="0"/>
    <n v="10"/>
    <n v="10"/>
    <n v="1"/>
    <s v="Medical"/>
    <n v="0"/>
    <n v="0"/>
    <n v="1"/>
    <n v="0"/>
    <n v="0"/>
    <x v="3"/>
    <s v="Male"/>
    <n v="0"/>
    <n v="79"/>
    <n v="4"/>
    <n v="1"/>
    <s v="Research Scientist"/>
    <n v="0"/>
    <n v="0"/>
    <n v="0"/>
    <n v="0"/>
    <n v="0"/>
    <n v="0"/>
    <n v="0"/>
    <n v="1"/>
    <n v="3"/>
    <x v="0"/>
    <n v="1"/>
    <n v="0"/>
    <n v="3505"/>
    <n v="3505"/>
    <n v="1"/>
    <x v="1"/>
    <n v="0"/>
    <n v="18"/>
    <n v="3"/>
    <n v="4"/>
    <n v="0"/>
    <n v="2"/>
    <n v="2"/>
    <n v="3"/>
    <n v="3"/>
    <n v="2"/>
    <n v="2"/>
    <n v="2"/>
    <n v="0"/>
    <n v="0"/>
    <n v="2"/>
    <n v="2"/>
    <n v="2"/>
  </r>
  <r>
    <n v="47"/>
    <n v="47"/>
    <x v="0"/>
    <n v="1"/>
    <s v="Travel_Frequently"/>
    <n v="1"/>
    <n v="0"/>
    <x v="0"/>
    <n v="0"/>
    <n v="1"/>
    <n v="27"/>
    <n v="27"/>
    <n v="2"/>
    <s v="Life Sciences"/>
    <n v="1"/>
    <n v="0"/>
    <n v="0"/>
    <n v="0"/>
    <n v="0"/>
    <x v="0"/>
    <s v="Female"/>
    <n v="1"/>
    <n v="77"/>
    <n v="4"/>
    <n v="2"/>
    <s v="Sales Executive"/>
    <n v="0"/>
    <n v="1"/>
    <n v="0"/>
    <n v="0"/>
    <n v="0"/>
    <n v="0"/>
    <n v="0"/>
    <n v="0"/>
    <n v="3"/>
    <x v="0"/>
    <n v="1"/>
    <n v="0"/>
    <n v="6397"/>
    <n v="6397"/>
    <n v="4"/>
    <x v="0"/>
    <n v="1"/>
    <n v="12"/>
    <n v="3"/>
    <n v="4"/>
    <n v="0"/>
    <n v="8"/>
    <n v="8"/>
    <n v="2"/>
    <n v="3"/>
    <n v="5"/>
    <n v="5"/>
    <n v="4"/>
    <n v="1"/>
    <n v="1"/>
    <n v="3"/>
    <n v="3"/>
    <n v="6"/>
  </r>
  <r>
    <n v="34"/>
    <n v="34"/>
    <x v="1"/>
    <n v="0"/>
    <s v="Travel_Rarely"/>
    <n v="0"/>
    <n v="1"/>
    <x v="0"/>
    <n v="0"/>
    <n v="1"/>
    <n v="2"/>
    <n v="2"/>
    <n v="3"/>
    <s v="Other"/>
    <n v="0"/>
    <n v="1"/>
    <n v="0"/>
    <n v="0"/>
    <n v="0"/>
    <x v="2"/>
    <s v="Male"/>
    <n v="0"/>
    <n v="60"/>
    <n v="3"/>
    <n v="2"/>
    <s v="Sales Executive"/>
    <n v="0"/>
    <n v="1"/>
    <n v="0"/>
    <n v="0"/>
    <n v="0"/>
    <n v="0"/>
    <n v="0"/>
    <n v="0"/>
    <n v="4"/>
    <x v="0"/>
    <n v="1"/>
    <n v="0"/>
    <n v="6274"/>
    <n v="6274"/>
    <n v="1"/>
    <x v="1"/>
    <n v="0"/>
    <n v="22"/>
    <n v="4"/>
    <n v="3"/>
    <n v="0"/>
    <n v="6"/>
    <n v="6"/>
    <n v="5"/>
    <n v="3"/>
    <n v="6"/>
    <n v="6"/>
    <n v="5"/>
    <n v="1"/>
    <n v="1"/>
    <n v="4"/>
    <n v="4"/>
    <n v="8"/>
  </r>
  <r>
    <n v="55"/>
    <n v="55"/>
    <x v="0"/>
    <n v="1"/>
    <s v="Travel_Rarely"/>
    <n v="0"/>
    <n v="1"/>
    <x v="1"/>
    <n v="1"/>
    <n v="0"/>
    <n v="2"/>
    <n v="2"/>
    <n v="3"/>
    <s v="Medical"/>
    <n v="0"/>
    <n v="0"/>
    <n v="1"/>
    <n v="0"/>
    <n v="0"/>
    <x v="2"/>
    <s v="Male"/>
    <n v="0"/>
    <n v="78"/>
    <n v="3"/>
    <n v="5"/>
    <s v="Manager"/>
    <n v="0"/>
    <n v="0"/>
    <n v="0"/>
    <n v="1"/>
    <n v="0"/>
    <n v="0"/>
    <n v="0"/>
    <n v="0"/>
    <n v="1"/>
    <x v="1"/>
    <n v="0"/>
    <n v="1"/>
    <n v="19859"/>
    <n v="19626.310000000001"/>
    <n v="5"/>
    <x v="0"/>
    <n v="1"/>
    <n v="13"/>
    <n v="3"/>
    <n v="4"/>
    <n v="1"/>
    <n v="24"/>
    <n v="24"/>
    <n v="2"/>
    <n v="3"/>
    <n v="5"/>
    <n v="5"/>
    <n v="2"/>
    <n v="1"/>
    <n v="1"/>
    <n v="4"/>
    <n v="4"/>
    <n v="20"/>
  </r>
  <r>
    <n v="36"/>
    <n v="36"/>
    <x v="1"/>
    <n v="0"/>
    <s v="Non-Travel"/>
    <n v="0"/>
    <n v="0"/>
    <x v="0"/>
    <n v="0"/>
    <n v="1"/>
    <n v="8"/>
    <n v="8"/>
    <n v="4"/>
    <s v="Life Sciences"/>
    <n v="1"/>
    <n v="0"/>
    <n v="0"/>
    <n v="0"/>
    <n v="0"/>
    <x v="3"/>
    <s v="Male"/>
    <n v="0"/>
    <n v="76"/>
    <n v="2"/>
    <n v="3"/>
    <s v="Sales Executive"/>
    <n v="0"/>
    <n v="1"/>
    <n v="0"/>
    <n v="0"/>
    <n v="0"/>
    <n v="0"/>
    <n v="0"/>
    <n v="0"/>
    <n v="1"/>
    <x v="0"/>
    <n v="1"/>
    <n v="0"/>
    <n v="7587"/>
    <n v="7587"/>
    <n v="1"/>
    <x v="1"/>
    <n v="0"/>
    <n v="15"/>
    <n v="3"/>
    <n v="2"/>
    <n v="0"/>
    <n v="10"/>
    <n v="10"/>
    <n v="1"/>
    <n v="3"/>
    <n v="10"/>
    <n v="10"/>
    <n v="7"/>
    <n v="0"/>
    <n v="0"/>
    <n v="9"/>
    <n v="9"/>
    <n v="27"/>
  </r>
  <r>
    <n v="52"/>
    <n v="52"/>
    <x v="1"/>
    <n v="0"/>
    <s v="Non-Travel"/>
    <n v="0"/>
    <n v="0"/>
    <x v="1"/>
    <n v="1"/>
    <n v="0"/>
    <n v="19"/>
    <n v="19"/>
    <n v="4"/>
    <s v="Medical"/>
    <n v="0"/>
    <n v="0"/>
    <n v="1"/>
    <n v="0"/>
    <n v="0"/>
    <x v="2"/>
    <s v="Male"/>
    <n v="0"/>
    <n v="41"/>
    <n v="3"/>
    <n v="1"/>
    <s v="Research Scientist"/>
    <n v="0"/>
    <n v="0"/>
    <n v="0"/>
    <n v="0"/>
    <n v="0"/>
    <n v="0"/>
    <n v="0"/>
    <n v="1"/>
    <n v="4"/>
    <x v="1"/>
    <n v="0"/>
    <n v="1"/>
    <n v="4258"/>
    <n v="4258"/>
    <n v="0"/>
    <x v="1"/>
    <n v="0"/>
    <n v="18"/>
    <n v="3"/>
    <n v="1"/>
    <n v="1"/>
    <n v="5"/>
    <n v="5"/>
    <n v="3"/>
    <n v="3"/>
    <n v="4"/>
    <n v="4"/>
    <n v="3"/>
    <n v="1"/>
    <n v="1"/>
    <n v="2"/>
    <n v="2"/>
    <n v="2"/>
  </r>
  <r>
    <n v="26"/>
    <n v="26"/>
    <x v="1"/>
    <n v="0"/>
    <s v="Travel_Frequently"/>
    <n v="1"/>
    <n v="0"/>
    <x v="1"/>
    <n v="1"/>
    <n v="0"/>
    <n v="1"/>
    <n v="1"/>
    <n v="2"/>
    <s v="Life Sciences"/>
    <n v="1"/>
    <n v="0"/>
    <n v="0"/>
    <n v="0"/>
    <n v="0"/>
    <x v="3"/>
    <s v="Female"/>
    <n v="1"/>
    <n v="71"/>
    <n v="1"/>
    <n v="1"/>
    <s v="Laboratory Technician"/>
    <n v="0"/>
    <n v="0"/>
    <n v="1"/>
    <n v="0"/>
    <n v="0"/>
    <n v="0"/>
    <n v="0"/>
    <n v="0"/>
    <n v="4"/>
    <x v="2"/>
    <n v="0"/>
    <n v="0"/>
    <n v="4364"/>
    <n v="4364"/>
    <n v="3"/>
    <x v="1"/>
    <n v="0"/>
    <n v="14"/>
    <n v="3"/>
    <n v="1"/>
    <n v="1"/>
    <n v="5"/>
    <n v="5"/>
    <n v="2"/>
    <n v="3"/>
    <n v="2"/>
    <n v="2"/>
    <n v="2"/>
    <n v="2"/>
    <n v="2"/>
    <n v="0"/>
    <n v="0"/>
    <n v="0"/>
  </r>
  <r>
    <n v="29"/>
    <n v="29"/>
    <x v="1"/>
    <n v="0"/>
    <s v="Travel_Rarely"/>
    <n v="0"/>
    <n v="1"/>
    <x v="1"/>
    <n v="1"/>
    <n v="0"/>
    <n v="27"/>
    <n v="27"/>
    <n v="3"/>
    <s v="Medical"/>
    <n v="0"/>
    <n v="0"/>
    <n v="1"/>
    <n v="0"/>
    <n v="0"/>
    <x v="0"/>
    <s v="Female"/>
    <n v="1"/>
    <n v="66"/>
    <n v="3"/>
    <n v="2"/>
    <s v="Healthcare Representative"/>
    <n v="1"/>
    <n v="0"/>
    <n v="0"/>
    <n v="0"/>
    <n v="0"/>
    <n v="0"/>
    <n v="0"/>
    <n v="0"/>
    <n v="3"/>
    <x v="1"/>
    <n v="0"/>
    <n v="1"/>
    <n v="4335"/>
    <n v="4335"/>
    <n v="4"/>
    <x v="1"/>
    <n v="0"/>
    <n v="12"/>
    <n v="3"/>
    <n v="1"/>
    <n v="1"/>
    <n v="11"/>
    <n v="11"/>
    <n v="3"/>
    <n v="2"/>
    <n v="8"/>
    <n v="8"/>
    <n v="7"/>
    <n v="1"/>
    <n v="1"/>
    <n v="1"/>
    <n v="1"/>
    <n v="2"/>
  </r>
  <r>
    <n v="26"/>
    <n v="26"/>
    <x v="0"/>
    <n v="1"/>
    <s v="Travel_Rarely"/>
    <n v="0"/>
    <n v="1"/>
    <x v="0"/>
    <n v="0"/>
    <n v="1"/>
    <n v="8"/>
    <n v="8"/>
    <n v="3"/>
    <s v="Technical Degree"/>
    <n v="0"/>
    <n v="0"/>
    <n v="0"/>
    <n v="0"/>
    <n v="1"/>
    <x v="2"/>
    <s v="Male"/>
    <n v="0"/>
    <n v="38"/>
    <n v="2"/>
    <n v="2"/>
    <s v="Sales Executive"/>
    <n v="0"/>
    <n v="1"/>
    <n v="0"/>
    <n v="0"/>
    <n v="0"/>
    <n v="0"/>
    <n v="0"/>
    <n v="0"/>
    <n v="1"/>
    <x v="0"/>
    <n v="1"/>
    <n v="0"/>
    <n v="5326"/>
    <n v="5326"/>
    <n v="6"/>
    <x v="1"/>
    <n v="0"/>
    <n v="17"/>
    <n v="3"/>
    <n v="3"/>
    <n v="0"/>
    <n v="6"/>
    <n v="6"/>
    <n v="2"/>
    <n v="2"/>
    <n v="4"/>
    <n v="4"/>
    <n v="3"/>
    <n v="1"/>
    <n v="1"/>
    <n v="2"/>
    <n v="2"/>
    <n v="4"/>
  </r>
  <r>
    <n v="34"/>
    <n v="34"/>
    <x v="1"/>
    <n v="0"/>
    <s v="Travel_Rarely"/>
    <n v="0"/>
    <n v="1"/>
    <x v="1"/>
    <n v="1"/>
    <n v="0"/>
    <n v="1"/>
    <n v="1"/>
    <n v="4"/>
    <s v="Life Sciences"/>
    <n v="1"/>
    <n v="0"/>
    <n v="0"/>
    <n v="0"/>
    <n v="0"/>
    <x v="0"/>
    <s v="Female"/>
    <n v="1"/>
    <n v="72"/>
    <n v="4"/>
    <n v="1"/>
    <s v="Research Scientist"/>
    <n v="0"/>
    <n v="0"/>
    <n v="0"/>
    <n v="0"/>
    <n v="0"/>
    <n v="0"/>
    <n v="0"/>
    <n v="1"/>
    <n v="4"/>
    <x v="0"/>
    <n v="1"/>
    <n v="0"/>
    <n v="3280"/>
    <n v="3280"/>
    <n v="2"/>
    <x v="1"/>
    <n v="0"/>
    <n v="16"/>
    <n v="3"/>
    <n v="3"/>
    <n v="0"/>
    <n v="10"/>
    <n v="10"/>
    <n v="2"/>
    <n v="3"/>
    <n v="4"/>
    <n v="4"/>
    <n v="2"/>
    <n v="1"/>
    <n v="1"/>
    <n v="3"/>
    <n v="3"/>
    <n v="3"/>
  </r>
  <r>
    <n v="54"/>
    <n v="54"/>
    <x v="1"/>
    <n v="0"/>
    <s v="Travel_Rarely"/>
    <n v="0"/>
    <n v="1"/>
    <x v="1"/>
    <n v="1"/>
    <n v="0"/>
    <n v="19"/>
    <n v="19"/>
    <n v="4"/>
    <s v="Medical"/>
    <n v="0"/>
    <n v="0"/>
    <n v="1"/>
    <n v="0"/>
    <n v="0"/>
    <x v="2"/>
    <s v="Female"/>
    <n v="1"/>
    <n v="95"/>
    <n v="3"/>
    <n v="2"/>
    <s v="Manufacturing Director"/>
    <n v="0"/>
    <n v="0"/>
    <n v="0"/>
    <n v="0"/>
    <n v="1"/>
    <n v="1"/>
    <n v="0"/>
    <n v="0"/>
    <n v="1"/>
    <x v="2"/>
    <n v="0"/>
    <n v="0"/>
    <n v="5485"/>
    <n v="5485"/>
    <n v="9"/>
    <x v="0"/>
    <n v="1"/>
    <n v="11"/>
    <n v="3"/>
    <n v="2"/>
    <n v="2"/>
    <n v="9"/>
    <n v="9"/>
    <n v="4"/>
    <n v="3"/>
    <n v="5"/>
    <n v="5"/>
    <n v="3"/>
    <n v="1"/>
    <n v="1"/>
    <n v="4"/>
    <n v="4"/>
    <n v="8"/>
  </r>
  <r>
    <n v="27"/>
    <n v="27"/>
    <x v="1"/>
    <n v="0"/>
    <s v="Travel_Frequently"/>
    <n v="1"/>
    <n v="0"/>
    <x v="0"/>
    <n v="0"/>
    <n v="1"/>
    <n v="8"/>
    <n v="8"/>
    <n v="1"/>
    <s v="Marketing"/>
    <n v="0"/>
    <n v="0"/>
    <n v="0"/>
    <n v="1"/>
    <n v="0"/>
    <x v="1"/>
    <s v="Male"/>
    <n v="0"/>
    <n v="84"/>
    <n v="3"/>
    <n v="2"/>
    <s v="Sales Executive"/>
    <n v="0"/>
    <n v="1"/>
    <n v="0"/>
    <n v="0"/>
    <n v="0"/>
    <n v="0"/>
    <n v="0"/>
    <n v="0"/>
    <n v="4"/>
    <x v="1"/>
    <n v="0"/>
    <n v="1"/>
    <n v="4342"/>
    <n v="4342"/>
    <n v="0"/>
    <x v="1"/>
    <n v="0"/>
    <n v="19"/>
    <n v="3"/>
    <n v="2"/>
    <n v="1"/>
    <n v="5"/>
    <n v="5"/>
    <n v="3"/>
    <n v="3"/>
    <n v="4"/>
    <n v="4"/>
    <n v="2"/>
    <n v="1"/>
    <n v="1"/>
    <n v="1"/>
    <n v="1"/>
    <n v="2"/>
  </r>
  <r>
    <n v="37"/>
    <n v="37"/>
    <x v="1"/>
    <n v="0"/>
    <s v="Travel_Rarely"/>
    <n v="0"/>
    <n v="1"/>
    <x v="1"/>
    <n v="1"/>
    <n v="0"/>
    <n v="10"/>
    <n v="10"/>
    <n v="1"/>
    <s v="Life Sciences"/>
    <n v="1"/>
    <n v="0"/>
    <n v="0"/>
    <n v="0"/>
    <n v="0"/>
    <x v="2"/>
    <s v="Female"/>
    <n v="1"/>
    <n v="82"/>
    <n v="3"/>
    <n v="1"/>
    <s v="Research Scientist"/>
    <n v="0"/>
    <n v="0"/>
    <n v="0"/>
    <n v="0"/>
    <n v="0"/>
    <n v="0"/>
    <n v="0"/>
    <n v="1"/>
    <n v="1"/>
    <x v="2"/>
    <n v="0"/>
    <n v="0"/>
    <n v="2782"/>
    <n v="2782"/>
    <n v="0"/>
    <x v="0"/>
    <n v="1"/>
    <n v="13"/>
    <n v="3"/>
    <n v="2"/>
    <n v="2"/>
    <n v="6"/>
    <n v="6"/>
    <n v="3"/>
    <n v="2"/>
    <n v="5"/>
    <n v="5"/>
    <n v="3"/>
    <n v="4"/>
    <n v="4"/>
    <n v="3"/>
    <n v="3"/>
    <n v="3"/>
  </r>
  <r>
    <n v="38"/>
    <n v="38"/>
    <x v="1"/>
    <n v="0"/>
    <s v="Travel_Frequently"/>
    <n v="1"/>
    <n v="0"/>
    <x v="1"/>
    <n v="1"/>
    <n v="0"/>
    <n v="2"/>
    <n v="2"/>
    <n v="4"/>
    <s v="Life Sciences"/>
    <n v="1"/>
    <n v="0"/>
    <n v="0"/>
    <n v="0"/>
    <n v="0"/>
    <x v="3"/>
    <s v="Female"/>
    <n v="1"/>
    <n v="75"/>
    <n v="4"/>
    <n v="2"/>
    <s v="Manufacturing Director"/>
    <n v="0"/>
    <n v="0"/>
    <n v="0"/>
    <n v="0"/>
    <n v="1"/>
    <n v="1"/>
    <n v="0"/>
    <n v="0"/>
    <n v="1"/>
    <x v="0"/>
    <n v="1"/>
    <n v="0"/>
    <n v="5980"/>
    <n v="5980"/>
    <n v="6"/>
    <x v="0"/>
    <n v="1"/>
    <n v="12"/>
    <n v="3"/>
    <n v="4"/>
    <n v="0"/>
    <n v="17"/>
    <n v="17"/>
    <n v="2"/>
    <n v="3"/>
    <n v="15"/>
    <n v="15"/>
    <n v="7"/>
    <n v="4"/>
    <n v="4"/>
    <n v="12"/>
    <n v="12"/>
    <n v="24"/>
  </r>
  <r>
    <n v="34"/>
    <n v="34"/>
    <x v="1"/>
    <n v="0"/>
    <s v="Travel_Rarely"/>
    <n v="0"/>
    <n v="1"/>
    <x v="1"/>
    <n v="1"/>
    <n v="0"/>
    <n v="2"/>
    <n v="2"/>
    <n v="4"/>
    <s v="Medical"/>
    <n v="0"/>
    <n v="0"/>
    <n v="1"/>
    <n v="0"/>
    <n v="0"/>
    <x v="1"/>
    <s v="Female"/>
    <n v="1"/>
    <n v="86"/>
    <n v="2"/>
    <n v="1"/>
    <s v="Research Scientist"/>
    <n v="0"/>
    <n v="0"/>
    <n v="0"/>
    <n v="0"/>
    <n v="0"/>
    <n v="0"/>
    <n v="0"/>
    <n v="1"/>
    <n v="1"/>
    <x v="0"/>
    <n v="1"/>
    <n v="0"/>
    <n v="4381"/>
    <n v="4381"/>
    <n v="1"/>
    <x v="1"/>
    <n v="0"/>
    <n v="11"/>
    <n v="3"/>
    <n v="3"/>
    <n v="0"/>
    <n v="6"/>
    <n v="6"/>
    <n v="3"/>
    <n v="3"/>
    <n v="6"/>
    <n v="6"/>
    <n v="5"/>
    <n v="1"/>
    <n v="1"/>
    <n v="3"/>
    <n v="3"/>
    <n v="3"/>
  </r>
  <r>
    <n v="35"/>
    <n v="35"/>
    <x v="1"/>
    <n v="0"/>
    <s v="Travel_Rarely"/>
    <n v="0"/>
    <n v="1"/>
    <x v="0"/>
    <n v="0"/>
    <n v="1"/>
    <n v="8"/>
    <n v="8"/>
    <n v="4"/>
    <s v="Life Sciences"/>
    <n v="1"/>
    <n v="0"/>
    <n v="0"/>
    <n v="0"/>
    <n v="0"/>
    <x v="3"/>
    <s v="Female"/>
    <n v="1"/>
    <n v="72"/>
    <n v="3"/>
    <n v="1"/>
    <s v="Sales Representative"/>
    <n v="0"/>
    <n v="0"/>
    <n v="0"/>
    <n v="0"/>
    <n v="0"/>
    <n v="0"/>
    <n v="1"/>
    <n v="0"/>
    <n v="4"/>
    <x v="1"/>
    <n v="0"/>
    <n v="1"/>
    <n v="2572"/>
    <n v="2572"/>
    <n v="1"/>
    <x v="1"/>
    <n v="0"/>
    <n v="16"/>
    <n v="3"/>
    <n v="2"/>
    <n v="1"/>
    <n v="3"/>
    <n v="3"/>
    <n v="1"/>
    <n v="2"/>
    <n v="3"/>
    <n v="3"/>
    <n v="2"/>
    <n v="0"/>
    <n v="0"/>
    <n v="2"/>
    <n v="2"/>
    <n v="2"/>
  </r>
  <r>
    <n v="30"/>
    <n v="30"/>
    <x v="1"/>
    <n v="0"/>
    <s v="Travel_Rarely"/>
    <n v="0"/>
    <n v="1"/>
    <x v="1"/>
    <n v="1"/>
    <n v="0"/>
    <n v="1"/>
    <n v="1"/>
    <n v="3"/>
    <s v="Life Sciences"/>
    <n v="1"/>
    <n v="0"/>
    <n v="0"/>
    <n v="0"/>
    <n v="0"/>
    <x v="2"/>
    <s v="Male"/>
    <n v="0"/>
    <n v="38"/>
    <n v="1"/>
    <n v="1"/>
    <s v="Laboratory Technician"/>
    <n v="0"/>
    <n v="0"/>
    <n v="1"/>
    <n v="0"/>
    <n v="0"/>
    <n v="0"/>
    <n v="0"/>
    <n v="0"/>
    <n v="3"/>
    <x v="1"/>
    <n v="0"/>
    <n v="1"/>
    <n v="3833"/>
    <n v="3833"/>
    <n v="3"/>
    <x v="1"/>
    <n v="0"/>
    <n v="21"/>
    <n v="4"/>
    <n v="3"/>
    <n v="2"/>
    <n v="7"/>
    <n v="7"/>
    <n v="2"/>
    <n v="3"/>
    <n v="2"/>
    <n v="2"/>
    <n v="2"/>
    <n v="0"/>
    <n v="0"/>
    <n v="2"/>
    <n v="2"/>
    <n v="2"/>
  </r>
  <r>
    <n v="40"/>
    <n v="40"/>
    <x v="1"/>
    <n v="0"/>
    <s v="Travel_Frequently"/>
    <n v="1"/>
    <n v="0"/>
    <x v="1"/>
    <n v="1"/>
    <n v="0"/>
    <n v="2"/>
    <n v="2"/>
    <n v="2"/>
    <s v="Medical"/>
    <n v="0"/>
    <n v="0"/>
    <n v="1"/>
    <n v="0"/>
    <n v="0"/>
    <x v="1"/>
    <s v="Female"/>
    <n v="1"/>
    <n v="38"/>
    <n v="4"/>
    <n v="2"/>
    <s v="Healthcare Representative"/>
    <n v="1"/>
    <n v="0"/>
    <n v="0"/>
    <n v="0"/>
    <n v="0"/>
    <n v="0"/>
    <n v="0"/>
    <n v="0"/>
    <n v="2"/>
    <x v="1"/>
    <n v="0"/>
    <n v="1"/>
    <n v="4244"/>
    <n v="4244"/>
    <n v="1"/>
    <x v="1"/>
    <n v="0"/>
    <n v="24"/>
    <n v="4"/>
    <n v="4"/>
    <n v="1"/>
    <n v="8"/>
    <n v="8"/>
    <n v="2"/>
    <n v="3"/>
    <n v="8"/>
    <n v="8"/>
    <n v="7"/>
    <n v="3"/>
    <n v="3"/>
    <n v="7"/>
    <n v="7"/>
    <n v="14"/>
  </r>
  <r>
    <n v="34"/>
    <n v="34"/>
    <x v="1"/>
    <n v="0"/>
    <s v="Travel_Rarely"/>
    <n v="0"/>
    <n v="1"/>
    <x v="0"/>
    <n v="0"/>
    <n v="1"/>
    <n v="8"/>
    <n v="8"/>
    <n v="2"/>
    <s v="Life Sciences"/>
    <n v="1"/>
    <n v="0"/>
    <n v="0"/>
    <n v="0"/>
    <n v="0"/>
    <x v="1"/>
    <s v="Female"/>
    <n v="1"/>
    <n v="93"/>
    <n v="3"/>
    <n v="2"/>
    <s v="Sales Executive"/>
    <n v="0"/>
    <n v="1"/>
    <n v="0"/>
    <n v="0"/>
    <n v="0"/>
    <n v="0"/>
    <n v="0"/>
    <n v="0"/>
    <n v="1"/>
    <x v="1"/>
    <n v="0"/>
    <n v="1"/>
    <n v="6500"/>
    <n v="6500"/>
    <n v="5"/>
    <x v="1"/>
    <n v="0"/>
    <n v="17"/>
    <n v="3"/>
    <n v="2"/>
    <n v="1"/>
    <n v="6"/>
    <n v="6"/>
    <n v="1"/>
    <n v="3"/>
    <n v="3"/>
    <n v="3"/>
    <n v="2"/>
    <n v="1"/>
    <n v="1"/>
    <n v="2"/>
    <n v="2"/>
    <n v="4"/>
  </r>
  <r>
    <n v="42"/>
    <n v="42"/>
    <x v="1"/>
    <n v="0"/>
    <s v="Travel_Frequently"/>
    <n v="1"/>
    <n v="0"/>
    <x v="1"/>
    <n v="1"/>
    <n v="0"/>
    <n v="8"/>
    <n v="8"/>
    <n v="3"/>
    <s v="Life Sciences"/>
    <n v="1"/>
    <n v="0"/>
    <n v="0"/>
    <n v="0"/>
    <n v="0"/>
    <x v="0"/>
    <s v="Male"/>
    <n v="0"/>
    <n v="66"/>
    <n v="3"/>
    <n v="5"/>
    <s v="Manager"/>
    <n v="0"/>
    <n v="0"/>
    <n v="0"/>
    <n v="1"/>
    <n v="0"/>
    <n v="0"/>
    <n v="0"/>
    <n v="0"/>
    <n v="4"/>
    <x v="2"/>
    <n v="0"/>
    <n v="0"/>
    <n v="18430"/>
    <n v="18430"/>
    <n v="1"/>
    <x v="1"/>
    <n v="0"/>
    <n v="13"/>
    <n v="3"/>
    <n v="2"/>
    <n v="1"/>
    <n v="24"/>
    <n v="24"/>
    <n v="4"/>
    <n v="2"/>
    <n v="24"/>
    <n v="24"/>
    <n v="7"/>
    <n v="14"/>
    <n v="14"/>
    <n v="9"/>
    <n v="9"/>
    <n v="45"/>
  </r>
  <r>
    <n v="23"/>
    <n v="23"/>
    <x v="0"/>
    <n v="1"/>
    <s v="Travel_Rarely"/>
    <n v="0"/>
    <n v="1"/>
    <x v="1"/>
    <n v="1"/>
    <n v="0"/>
    <n v="6"/>
    <n v="6"/>
    <n v="3"/>
    <s v="Life Sciences"/>
    <n v="1"/>
    <n v="0"/>
    <n v="0"/>
    <n v="0"/>
    <n v="0"/>
    <x v="1"/>
    <s v="Male"/>
    <n v="0"/>
    <n v="63"/>
    <n v="4"/>
    <n v="1"/>
    <s v="Laboratory Technician"/>
    <n v="0"/>
    <n v="0"/>
    <n v="1"/>
    <n v="0"/>
    <n v="0"/>
    <n v="0"/>
    <n v="0"/>
    <n v="0"/>
    <n v="1"/>
    <x v="1"/>
    <n v="0"/>
    <n v="1"/>
    <n v="1601"/>
    <n v="1601"/>
    <n v="1"/>
    <x v="0"/>
    <n v="1"/>
    <n v="21"/>
    <n v="4"/>
    <n v="3"/>
    <n v="2"/>
    <n v="1"/>
    <n v="1"/>
    <n v="2"/>
    <n v="3"/>
    <n v="0"/>
    <n v="0"/>
    <n v="0"/>
    <n v="0"/>
    <n v="0"/>
    <n v="0"/>
    <n v="0"/>
    <n v="0"/>
  </r>
  <r>
    <n v="24"/>
    <n v="24"/>
    <x v="1"/>
    <n v="0"/>
    <s v="Non-Travel"/>
    <n v="0"/>
    <n v="0"/>
    <x v="1"/>
    <n v="1"/>
    <n v="0"/>
    <n v="9"/>
    <n v="9"/>
    <n v="3"/>
    <s v="Life Sciences"/>
    <n v="1"/>
    <n v="0"/>
    <n v="0"/>
    <n v="0"/>
    <n v="0"/>
    <x v="1"/>
    <s v="Male"/>
    <n v="0"/>
    <n v="60"/>
    <n v="2"/>
    <n v="1"/>
    <s v="Laboratory Technician"/>
    <n v="0"/>
    <n v="0"/>
    <n v="1"/>
    <n v="0"/>
    <n v="0"/>
    <n v="0"/>
    <n v="0"/>
    <n v="0"/>
    <n v="2"/>
    <x v="2"/>
    <n v="0"/>
    <n v="0"/>
    <n v="2694"/>
    <n v="2694"/>
    <n v="1"/>
    <x v="1"/>
    <n v="0"/>
    <n v="11"/>
    <n v="3"/>
    <n v="3"/>
    <n v="3"/>
    <n v="1"/>
    <n v="1"/>
    <n v="4"/>
    <n v="3"/>
    <n v="1"/>
    <n v="1"/>
    <n v="0"/>
    <n v="0"/>
    <n v="0"/>
    <n v="0"/>
    <n v="0"/>
    <n v="0"/>
  </r>
  <r>
    <n v="52"/>
    <n v="52"/>
    <x v="1"/>
    <n v="0"/>
    <s v="Travel_Rarely"/>
    <n v="0"/>
    <n v="1"/>
    <x v="1"/>
    <n v="1"/>
    <n v="0"/>
    <n v="11"/>
    <n v="11"/>
    <n v="4"/>
    <s v="Life Sciences"/>
    <n v="1"/>
    <n v="0"/>
    <n v="0"/>
    <n v="0"/>
    <n v="0"/>
    <x v="2"/>
    <s v="Female"/>
    <n v="1"/>
    <n v="82"/>
    <n v="3"/>
    <n v="2"/>
    <s v="Laboratory Technician"/>
    <n v="0"/>
    <n v="0"/>
    <n v="1"/>
    <n v="0"/>
    <n v="0"/>
    <n v="0"/>
    <n v="0"/>
    <n v="0"/>
    <n v="3"/>
    <x v="1"/>
    <n v="0"/>
    <n v="1"/>
    <n v="3149"/>
    <n v="3149"/>
    <n v="8"/>
    <x v="1"/>
    <n v="0"/>
    <n v="20"/>
    <n v="4"/>
    <n v="2"/>
    <n v="1"/>
    <n v="9"/>
    <n v="9"/>
    <n v="3"/>
    <n v="3"/>
    <n v="5"/>
    <n v="5"/>
    <n v="2"/>
    <n v="1"/>
    <n v="1"/>
    <n v="4"/>
    <n v="4"/>
    <n v="8"/>
  </r>
  <r>
    <n v="50"/>
    <n v="50"/>
    <x v="1"/>
    <n v="0"/>
    <s v="Travel_Rarely"/>
    <n v="0"/>
    <n v="1"/>
    <x v="1"/>
    <n v="1"/>
    <n v="0"/>
    <n v="2"/>
    <n v="2"/>
    <n v="3"/>
    <s v="Medical"/>
    <n v="0"/>
    <n v="0"/>
    <n v="1"/>
    <n v="0"/>
    <n v="0"/>
    <x v="1"/>
    <s v="Male"/>
    <n v="0"/>
    <n v="64"/>
    <n v="3"/>
    <n v="4"/>
    <s v="Research Director"/>
    <n v="0"/>
    <n v="0"/>
    <n v="0"/>
    <n v="0"/>
    <n v="0"/>
    <n v="0"/>
    <n v="0"/>
    <n v="0"/>
    <n v="3"/>
    <x v="1"/>
    <n v="0"/>
    <n v="1"/>
    <n v="17639"/>
    <n v="17639"/>
    <n v="5"/>
    <x v="1"/>
    <n v="0"/>
    <n v="16"/>
    <n v="3"/>
    <n v="4"/>
    <n v="0"/>
    <n v="30"/>
    <n v="30"/>
    <n v="3"/>
    <n v="3"/>
    <n v="4"/>
    <n v="4"/>
    <n v="3"/>
    <n v="0"/>
    <n v="0"/>
    <n v="3"/>
    <n v="3"/>
    <n v="12"/>
  </r>
  <r>
    <n v="29"/>
    <n v="29"/>
    <x v="0"/>
    <n v="1"/>
    <s v="Travel_Rarely"/>
    <n v="0"/>
    <n v="1"/>
    <x v="1"/>
    <n v="1"/>
    <n v="0"/>
    <n v="1"/>
    <n v="1"/>
    <n v="2"/>
    <s v="Life Sciences"/>
    <n v="1"/>
    <n v="0"/>
    <n v="0"/>
    <n v="0"/>
    <n v="0"/>
    <x v="0"/>
    <s v="Female"/>
    <n v="1"/>
    <n v="36"/>
    <n v="2"/>
    <n v="1"/>
    <s v="Laboratory Technician"/>
    <n v="0"/>
    <n v="0"/>
    <n v="1"/>
    <n v="0"/>
    <n v="0"/>
    <n v="0"/>
    <n v="0"/>
    <n v="0"/>
    <n v="1"/>
    <x v="1"/>
    <n v="0"/>
    <n v="1"/>
    <n v="2319"/>
    <n v="2319"/>
    <n v="1"/>
    <x v="0"/>
    <n v="1"/>
    <n v="11"/>
    <n v="3"/>
    <n v="4"/>
    <n v="1"/>
    <n v="1"/>
    <n v="1"/>
    <n v="1"/>
    <n v="3"/>
    <n v="1"/>
    <n v="1"/>
    <n v="0"/>
    <n v="0"/>
    <n v="0"/>
    <n v="0"/>
    <n v="0"/>
    <n v="0"/>
  </r>
  <r>
    <n v="33"/>
    <n v="33"/>
    <x v="1"/>
    <n v="0"/>
    <s v="Travel_Rarely"/>
    <n v="0"/>
    <n v="1"/>
    <x v="1"/>
    <n v="1"/>
    <n v="0"/>
    <n v="7"/>
    <n v="7"/>
    <n v="3"/>
    <s v="Medical"/>
    <n v="0"/>
    <n v="0"/>
    <n v="1"/>
    <n v="0"/>
    <n v="0"/>
    <x v="1"/>
    <s v="Male"/>
    <n v="0"/>
    <n v="49"/>
    <n v="3"/>
    <n v="3"/>
    <s v="Research Director"/>
    <n v="0"/>
    <n v="0"/>
    <n v="0"/>
    <n v="0"/>
    <n v="0"/>
    <n v="0"/>
    <n v="0"/>
    <n v="0"/>
    <n v="3"/>
    <x v="1"/>
    <n v="0"/>
    <n v="1"/>
    <n v="11691"/>
    <n v="11691"/>
    <n v="0"/>
    <x v="1"/>
    <n v="0"/>
    <n v="11"/>
    <n v="3"/>
    <n v="4"/>
    <n v="0"/>
    <n v="14"/>
    <n v="14"/>
    <n v="3"/>
    <n v="4"/>
    <n v="13"/>
    <n v="13"/>
    <n v="9"/>
    <n v="3"/>
    <n v="3"/>
    <n v="7"/>
    <n v="7"/>
    <n v="21"/>
  </r>
  <r>
    <n v="33"/>
    <n v="33"/>
    <x v="0"/>
    <n v="1"/>
    <s v="Travel_Rarely"/>
    <n v="0"/>
    <n v="1"/>
    <x v="0"/>
    <n v="0"/>
    <n v="1"/>
    <n v="16"/>
    <n v="16"/>
    <n v="3"/>
    <s v="Marketing"/>
    <n v="0"/>
    <n v="0"/>
    <n v="0"/>
    <n v="1"/>
    <n v="0"/>
    <x v="3"/>
    <s v="Female"/>
    <n v="1"/>
    <n v="69"/>
    <n v="3"/>
    <n v="2"/>
    <s v="Sales Executive"/>
    <n v="0"/>
    <n v="1"/>
    <n v="0"/>
    <n v="0"/>
    <n v="0"/>
    <n v="0"/>
    <n v="0"/>
    <n v="0"/>
    <n v="1"/>
    <x v="0"/>
    <n v="1"/>
    <n v="0"/>
    <n v="5324"/>
    <n v="5324"/>
    <n v="5"/>
    <x v="1"/>
    <n v="0"/>
    <n v="15"/>
    <n v="3"/>
    <n v="3"/>
    <n v="0"/>
    <n v="6"/>
    <n v="6"/>
    <n v="3"/>
    <n v="3"/>
    <n v="3"/>
    <n v="3"/>
    <n v="2"/>
    <n v="0"/>
    <n v="0"/>
    <n v="2"/>
    <n v="2"/>
    <n v="4"/>
  </r>
  <r>
    <n v="47"/>
    <n v="47"/>
    <x v="1"/>
    <n v="0"/>
    <s v="Travel_Rarely"/>
    <n v="0"/>
    <n v="1"/>
    <x v="1"/>
    <n v="1"/>
    <n v="0"/>
    <n v="2"/>
    <n v="2"/>
    <n v="2"/>
    <s v="Other"/>
    <n v="0"/>
    <n v="1"/>
    <n v="0"/>
    <n v="0"/>
    <n v="0"/>
    <x v="1"/>
    <s v="Female"/>
    <n v="1"/>
    <n v="33"/>
    <n v="3"/>
    <n v="4"/>
    <s v="Manager"/>
    <n v="0"/>
    <n v="0"/>
    <n v="0"/>
    <n v="1"/>
    <n v="0"/>
    <n v="0"/>
    <n v="0"/>
    <n v="0"/>
    <n v="4"/>
    <x v="1"/>
    <n v="0"/>
    <n v="1"/>
    <n v="16752"/>
    <n v="16752"/>
    <n v="1"/>
    <x v="0"/>
    <n v="1"/>
    <n v="11"/>
    <n v="3"/>
    <n v="3"/>
    <n v="1"/>
    <n v="26"/>
    <n v="26"/>
    <n v="3"/>
    <n v="2"/>
    <n v="26"/>
    <n v="26"/>
    <n v="14"/>
    <n v="3"/>
    <n v="3"/>
    <n v="0"/>
    <n v="0"/>
    <n v="0"/>
  </r>
  <r>
    <n v="36"/>
    <n v="36"/>
    <x v="1"/>
    <n v="0"/>
    <s v="Travel_Rarely"/>
    <n v="0"/>
    <n v="1"/>
    <x v="1"/>
    <n v="1"/>
    <n v="0"/>
    <n v="1"/>
    <n v="1"/>
    <n v="3"/>
    <s v="Other"/>
    <n v="0"/>
    <n v="1"/>
    <n v="0"/>
    <n v="0"/>
    <n v="0"/>
    <x v="1"/>
    <s v="Female"/>
    <n v="1"/>
    <n v="35"/>
    <n v="3"/>
    <n v="2"/>
    <s v="Manufacturing Director"/>
    <n v="0"/>
    <n v="0"/>
    <n v="0"/>
    <n v="0"/>
    <n v="1"/>
    <n v="1"/>
    <n v="0"/>
    <n v="0"/>
    <n v="2"/>
    <x v="1"/>
    <n v="0"/>
    <n v="1"/>
    <n v="5228"/>
    <n v="5228"/>
    <n v="0"/>
    <x v="1"/>
    <n v="0"/>
    <n v="15"/>
    <n v="3"/>
    <n v="1"/>
    <n v="1"/>
    <n v="10"/>
    <n v="10"/>
    <n v="2"/>
    <n v="3"/>
    <n v="9"/>
    <n v="9"/>
    <n v="7"/>
    <n v="0"/>
    <n v="0"/>
    <n v="5"/>
    <n v="5"/>
    <n v="10"/>
  </r>
  <r>
    <n v="29"/>
    <n v="29"/>
    <x v="1"/>
    <n v="0"/>
    <s v="Travel_Rarely"/>
    <n v="0"/>
    <n v="1"/>
    <x v="1"/>
    <n v="1"/>
    <n v="0"/>
    <n v="23"/>
    <n v="23"/>
    <n v="2"/>
    <s v="Life Sciences"/>
    <n v="1"/>
    <n v="0"/>
    <n v="0"/>
    <n v="0"/>
    <n v="0"/>
    <x v="1"/>
    <s v="Male"/>
    <n v="0"/>
    <n v="81"/>
    <n v="4"/>
    <n v="1"/>
    <s v="Research Scientist"/>
    <n v="0"/>
    <n v="0"/>
    <n v="0"/>
    <n v="0"/>
    <n v="0"/>
    <n v="0"/>
    <n v="0"/>
    <n v="1"/>
    <n v="3"/>
    <x v="1"/>
    <n v="0"/>
    <n v="1"/>
    <n v="2700"/>
    <n v="2700"/>
    <n v="1"/>
    <x v="1"/>
    <n v="0"/>
    <n v="24"/>
    <n v="4"/>
    <n v="3"/>
    <n v="1"/>
    <n v="10"/>
    <n v="10"/>
    <n v="3"/>
    <n v="3"/>
    <n v="10"/>
    <n v="10"/>
    <n v="7"/>
    <n v="0"/>
    <n v="0"/>
    <n v="7"/>
    <n v="7"/>
    <n v="7"/>
  </r>
  <r>
    <n v="58"/>
    <n v="58"/>
    <x v="0"/>
    <n v="1"/>
    <s v="Travel_Rarely"/>
    <n v="0"/>
    <n v="1"/>
    <x v="1"/>
    <n v="1"/>
    <n v="0"/>
    <n v="2"/>
    <n v="2"/>
    <n v="4"/>
    <s v="Life Sciences"/>
    <n v="1"/>
    <n v="0"/>
    <n v="0"/>
    <n v="0"/>
    <n v="0"/>
    <x v="2"/>
    <s v="Male"/>
    <n v="0"/>
    <n v="31"/>
    <n v="3"/>
    <n v="5"/>
    <s v="Research Director"/>
    <n v="0"/>
    <n v="0"/>
    <n v="0"/>
    <n v="0"/>
    <n v="0"/>
    <n v="0"/>
    <n v="0"/>
    <n v="0"/>
    <n v="2"/>
    <x v="0"/>
    <n v="1"/>
    <n v="0"/>
    <n v="19246"/>
    <n v="19246"/>
    <n v="7"/>
    <x v="0"/>
    <n v="1"/>
    <n v="12"/>
    <n v="3"/>
    <n v="4"/>
    <n v="0"/>
    <n v="40"/>
    <n v="35"/>
    <n v="2"/>
    <n v="3"/>
    <n v="31"/>
    <n v="31"/>
    <n v="15"/>
    <n v="13"/>
    <n v="13"/>
    <n v="8"/>
    <n v="8"/>
    <n v="40"/>
  </r>
  <r>
    <n v="35"/>
    <n v="35"/>
    <x v="1"/>
    <n v="0"/>
    <s v="Travel_Rarely"/>
    <n v="0"/>
    <n v="1"/>
    <x v="1"/>
    <n v="1"/>
    <n v="0"/>
    <n v="1"/>
    <n v="1"/>
    <n v="4"/>
    <s v="Life Sciences"/>
    <n v="1"/>
    <n v="0"/>
    <n v="0"/>
    <n v="0"/>
    <n v="0"/>
    <x v="2"/>
    <s v="Female"/>
    <n v="1"/>
    <n v="40"/>
    <n v="4"/>
    <n v="1"/>
    <s v="Research Scientist"/>
    <n v="0"/>
    <n v="0"/>
    <n v="0"/>
    <n v="0"/>
    <n v="0"/>
    <n v="0"/>
    <n v="0"/>
    <n v="1"/>
    <n v="3"/>
    <x v="0"/>
    <n v="1"/>
    <n v="0"/>
    <n v="2506"/>
    <n v="2506"/>
    <n v="3"/>
    <x v="1"/>
    <n v="0"/>
    <n v="13"/>
    <n v="3"/>
    <n v="3"/>
    <n v="0"/>
    <n v="7"/>
    <n v="7"/>
    <n v="0"/>
    <n v="3"/>
    <n v="2"/>
    <n v="2"/>
    <n v="2"/>
    <n v="2"/>
    <n v="2"/>
    <n v="2"/>
    <n v="2"/>
    <n v="2"/>
  </r>
  <r>
    <n v="42"/>
    <n v="42"/>
    <x v="1"/>
    <n v="0"/>
    <s v="Travel_Rarely"/>
    <n v="0"/>
    <n v="1"/>
    <x v="1"/>
    <n v="1"/>
    <n v="0"/>
    <n v="1"/>
    <n v="1"/>
    <n v="2"/>
    <s v="Life Sciences"/>
    <n v="1"/>
    <n v="0"/>
    <n v="0"/>
    <n v="0"/>
    <n v="0"/>
    <x v="2"/>
    <s v="Female"/>
    <n v="1"/>
    <n v="43"/>
    <n v="2"/>
    <n v="2"/>
    <s v="Manufacturing Director"/>
    <n v="0"/>
    <n v="0"/>
    <n v="0"/>
    <n v="0"/>
    <n v="1"/>
    <n v="1"/>
    <n v="0"/>
    <n v="0"/>
    <n v="4"/>
    <x v="1"/>
    <n v="0"/>
    <n v="1"/>
    <n v="6062"/>
    <n v="6062"/>
    <n v="9"/>
    <x v="0"/>
    <n v="1"/>
    <n v="13"/>
    <n v="3"/>
    <n v="4"/>
    <n v="1"/>
    <n v="8"/>
    <n v="8"/>
    <n v="4"/>
    <n v="3"/>
    <n v="4"/>
    <n v="4"/>
    <n v="3"/>
    <n v="0"/>
    <n v="0"/>
    <n v="2"/>
    <n v="2"/>
    <n v="4"/>
  </r>
  <r>
    <n v="28"/>
    <n v="28"/>
    <x v="0"/>
    <n v="1"/>
    <s v="Travel_Rarely"/>
    <n v="0"/>
    <n v="1"/>
    <x v="1"/>
    <n v="1"/>
    <n v="0"/>
    <n v="2"/>
    <n v="2"/>
    <n v="4"/>
    <s v="Medical"/>
    <n v="0"/>
    <n v="0"/>
    <n v="1"/>
    <n v="0"/>
    <n v="0"/>
    <x v="1"/>
    <s v="Male"/>
    <n v="0"/>
    <n v="46"/>
    <n v="3"/>
    <n v="1"/>
    <s v="Research Scientist"/>
    <n v="0"/>
    <n v="0"/>
    <n v="0"/>
    <n v="0"/>
    <n v="0"/>
    <n v="0"/>
    <n v="0"/>
    <n v="1"/>
    <n v="3"/>
    <x v="0"/>
    <n v="1"/>
    <n v="0"/>
    <n v="4382"/>
    <n v="4382"/>
    <n v="6"/>
    <x v="1"/>
    <n v="0"/>
    <n v="17"/>
    <n v="3"/>
    <n v="4"/>
    <n v="0"/>
    <n v="5"/>
    <n v="5"/>
    <n v="3"/>
    <n v="2"/>
    <n v="2"/>
    <n v="2"/>
    <n v="2"/>
    <n v="2"/>
    <n v="2"/>
    <n v="1"/>
    <n v="1"/>
    <n v="1"/>
  </r>
  <r>
    <n v="36"/>
    <n v="36"/>
    <x v="1"/>
    <n v="0"/>
    <s v="Travel_Rarely"/>
    <n v="0"/>
    <n v="1"/>
    <x v="2"/>
    <n v="0"/>
    <n v="0"/>
    <n v="13"/>
    <n v="13"/>
    <n v="3"/>
    <s v="Human Resources"/>
    <n v="0"/>
    <n v="0"/>
    <n v="0"/>
    <n v="0"/>
    <n v="0"/>
    <x v="1"/>
    <s v="Male"/>
    <n v="0"/>
    <n v="36"/>
    <n v="3"/>
    <n v="1"/>
    <s v="Human Resources"/>
    <n v="0"/>
    <n v="0"/>
    <n v="0"/>
    <n v="0"/>
    <n v="0"/>
    <n v="0"/>
    <n v="0"/>
    <n v="0"/>
    <n v="2"/>
    <x v="1"/>
    <n v="0"/>
    <n v="1"/>
    <n v="2143"/>
    <n v="2143"/>
    <n v="4"/>
    <x v="1"/>
    <n v="0"/>
    <n v="13"/>
    <n v="3"/>
    <n v="2"/>
    <n v="1"/>
    <n v="8"/>
    <n v="8"/>
    <n v="2"/>
    <n v="3"/>
    <n v="5"/>
    <n v="5"/>
    <n v="2"/>
    <n v="0"/>
    <n v="0"/>
    <n v="4"/>
    <n v="4"/>
    <n v="4"/>
  </r>
  <r>
    <n v="32"/>
    <n v="32"/>
    <x v="1"/>
    <n v="0"/>
    <s v="Travel_Rarely"/>
    <n v="0"/>
    <n v="1"/>
    <x v="1"/>
    <n v="1"/>
    <n v="0"/>
    <n v="4"/>
    <n v="4"/>
    <n v="3"/>
    <s v="Life Sciences"/>
    <n v="1"/>
    <n v="0"/>
    <n v="0"/>
    <n v="0"/>
    <n v="0"/>
    <x v="1"/>
    <s v="Female"/>
    <n v="1"/>
    <n v="98"/>
    <n v="2"/>
    <n v="2"/>
    <s v="Manufacturing Director"/>
    <n v="0"/>
    <n v="0"/>
    <n v="0"/>
    <n v="0"/>
    <n v="1"/>
    <n v="1"/>
    <n v="0"/>
    <n v="0"/>
    <n v="3"/>
    <x v="1"/>
    <n v="0"/>
    <n v="1"/>
    <n v="6162"/>
    <n v="6162"/>
    <n v="1"/>
    <x v="1"/>
    <n v="0"/>
    <n v="12"/>
    <n v="3"/>
    <n v="3"/>
    <n v="1"/>
    <n v="14"/>
    <n v="14"/>
    <n v="3"/>
    <n v="3"/>
    <n v="14"/>
    <n v="14"/>
    <n v="13"/>
    <n v="6"/>
    <n v="6"/>
    <n v="8"/>
    <n v="8"/>
    <n v="16"/>
  </r>
  <r>
    <n v="40"/>
    <n v="40"/>
    <x v="1"/>
    <n v="0"/>
    <s v="Travel_Frequently"/>
    <n v="1"/>
    <n v="0"/>
    <x v="1"/>
    <n v="1"/>
    <n v="0"/>
    <n v="16"/>
    <n v="16"/>
    <n v="4"/>
    <s v="Medical"/>
    <n v="0"/>
    <n v="0"/>
    <n v="1"/>
    <n v="0"/>
    <n v="0"/>
    <x v="3"/>
    <s v="Male"/>
    <n v="0"/>
    <n v="51"/>
    <n v="2"/>
    <n v="2"/>
    <s v="Laboratory Technician"/>
    <n v="0"/>
    <n v="0"/>
    <n v="1"/>
    <n v="0"/>
    <n v="0"/>
    <n v="0"/>
    <n v="0"/>
    <n v="0"/>
    <n v="3"/>
    <x v="0"/>
    <n v="1"/>
    <n v="0"/>
    <n v="5094"/>
    <n v="5094"/>
    <n v="6"/>
    <x v="1"/>
    <n v="0"/>
    <n v="14"/>
    <n v="3"/>
    <n v="4"/>
    <n v="0"/>
    <n v="10"/>
    <n v="10"/>
    <n v="6"/>
    <n v="3"/>
    <n v="1"/>
    <n v="1"/>
    <n v="0"/>
    <n v="0"/>
    <n v="0"/>
    <n v="0"/>
    <n v="0"/>
    <n v="0"/>
  </r>
  <r>
    <n v="30"/>
    <n v="30"/>
    <x v="1"/>
    <n v="0"/>
    <s v="Travel_Rarely"/>
    <n v="0"/>
    <n v="1"/>
    <x v="1"/>
    <n v="1"/>
    <n v="0"/>
    <n v="2"/>
    <n v="2"/>
    <n v="3"/>
    <s v="Medical"/>
    <n v="0"/>
    <n v="0"/>
    <n v="1"/>
    <n v="0"/>
    <n v="0"/>
    <x v="1"/>
    <s v="Female"/>
    <n v="1"/>
    <n v="52"/>
    <n v="2"/>
    <n v="2"/>
    <s v="Manufacturing Director"/>
    <n v="0"/>
    <n v="0"/>
    <n v="0"/>
    <n v="0"/>
    <n v="1"/>
    <n v="1"/>
    <n v="0"/>
    <n v="0"/>
    <n v="4"/>
    <x v="0"/>
    <n v="1"/>
    <n v="0"/>
    <n v="6877"/>
    <n v="6877"/>
    <n v="5"/>
    <x v="0"/>
    <n v="1"/>
    <n v="24"/>
    <n v="4"/>
    <n v="2"/>
    <n v="0"/>
    <n v="12"/>
    <n v="12"/>
    <n v="4"/>
    <n v="2"/>
    <n v="0"/>
    <n v="0"/>
    <n v="0"/>
    <n v="0"/>
    <n v="0"/>
    <n v="0"/>
    <n v="0"/>
    <n v="0"/>
  </r>
  <r>
    <n v="45"/>
    <n v="45"/>
    <x v="1"/>
    <n v="0"/>
    <s v="Travel_Rarely"/>
    <n v="0"/>
    <n v="1"/>
    <x v="1"/>
    <n v="1"/>
    <n v="0"/>
    <n v="2"/>
    <n v="2"/>
    <n v="3"/>
    <s v="Life Sciences"/>
    <n v="1"/>
    <n v="0"/>
    <n v="0"/>
    <n v="0"/>
    <n v="0"/>
    <x v="0"/>
    <s v="Female"/>
    <n v="1"/>
    <n v="95"/>
    <n v="2"/>
    <n v="1"/>
    <s v="Research Scientist"/>
    <n v="0"/>
    <n v="0"/>
    <n v="0"/>
    <n v="0"/>
    <n v="0"/>
    <n v="0"/>
    <n v="0"/>
    <n v="1"/>
    <n v="3"/>
    <x v="0"/>
    <n v="1"/>
    <n v="0"/>
    <n v="2274"/>
    <n v="2274"/>
    <n v="1"/>
    <x v="1"/>
    <n v="0"/>
    <n v="14"/>
    <n v="3"/>
    <n v="4"/>
    <n v="0"/>
    <n v="1"/>
    <n v="1"/>
    <n v="3"/>
    <n v="3"/>
    <n v="1"/>
    <n v="1"/>
    <n v="0"/>
    <n v="0"/>
    <n v="0"/>
    <n v="0"/>
    <n v="0"/>
    <n v="0"/>
  </r>
  <r>
    <n v="42"/>
    <n v="42"/>
    <x v="1"/>
    <n v="0"/>
    <s v="Travel_Rarely"/>
    <n v="0"/>
    <n v="1"/>
    <x v="1"/>
    <n v="1"/>
    <n v="0"/>
    <n v="29"/>
    <n v="29"/>
    <n v="3"/>
    <s v="Life Sciences"/>
    <n v="1"/>
    <n v="0"/>
    <n v="0"/>
    <n v="0"/>
    <n v="0"/>
    <x v="0"/>
    <s v="Male"/>
    <n v="0"/>
    <n v="98"/>
    <n v="3"/>
    <n v="2"/>
    <s v="Manufacturing Director"/>
    <n v="0"/>
    <n v="0"/>
    <n v="0"/>
    <n v="0"/>
    <n v="1"/>
    <n v="1"/>
    <n v="0"/>
    <n v="0"/>
    <n v="2"/>
    <x v="1"/>
    <n v="0"/>
    <n v="1"/>
    <n v="4434"/>
    <n v="4434"/>
    <n v="1"/>
    <x v="1"/>
    <n v="0"/>
    <n v="13"/>
    <n v="3"/>
    <n v="4"/>
    <n v="1"/>
    <n v="10"/>
    <n v="10"/>
    <n v="3"/>
    <n v="2"/>
    <n v="9"/>
    <n v="9"/>
    <n v="8"/>
    <n v="7"/>
    <n v="7"/>
    <n v="8"/>
    <n v="8"/>
    <n v="16"/>
  </r>
  <r>
    <n v="38"/>
    <n v="38"/>
    <x v="1"/>
    <n v="0"/>
    <s v="Travel_Frequently"/>
    <n v="1"/>
    <n v="0"/>
    <x v="1"/>
    <n v="1"/>
    <n v="0"/>
    <n v="12"/>
    <n v="12"/>
    <n v="3"/>
    <s v="Life Sciences"/>
    <n v="1"/>
    <n v="0"/>
    <n v="0"/>
    <n v="0"/>
    <n v="0"/>
    <x v="3"/>
    <s v="Male"/>
    <n v="0"/>
    <n v="45"/>
    <n v="2"/>
    <n v="2"/>
    <s v="Healthcare Representative"/>
    <n v="1"/>
    <n v="0"/>
    <n v="0"/>
    <n v="0"/>
    <n v="0"/>
    <n v="0"/>
    <n v="0"/>
    <n v="0"/>
    <n v="1"/>
    <x v="2"/>
    <n v="0"/>
    <n v="0"/>
    <n v="6288"/>
    <n v="6288"/>
    <n v="2"/>
    <x v="1"/>
    <n v="0"/>
    <n v="15"/>
    <n v="3"/>
    <n v="3"/>
    <n v="1"/>
    <n v="13"/>
    <n v="13"/>
    <n v="3"/>
    <n v="2"/>
    <n v="4"/>
    <n v="4"/>
    <n v="3"/>
    <n v="1"/>
    <n v="1"/>
    <n v="2"/>
    <n v="2"/>
    <n v="4"/>
  </r>
  <r>
    <n v="34"/>
    <n v="34"/>
    <x v="1"/>
    <n v="0"/>
    <s v="Travel_Frequently"/>
    <n v="1"/>
    <n v="0"/>
    <x v="1"/>
    <n v="1"/>
    <n v="0"/>
    <n v="16"/>
    <n v="16"/>
    <n v="4"/>
    <s v="Life Sciences"/>
    <n v="1"/>
    <n v="0"/>
    <n v="0"/>
    <n v="0"/>
    <n v="0"/>
    <x v="1"/>
    <s v="Female"/>
    <n v="1"/>
    <n v="100"/>
    <n v="2"/>
    <n v="1"/>
    <s v="Research Scientist"/>
    <n v="0"/>
    <n v="0"/>
    <n v="0"/>
    <n v="0"/>
    <n v="0"/>
    <n v="0"/>
    <n v="0"/>
    <n v="1"/>
    <n v="4"/>
    <x v="0"/>
    <n v="1"/>
    <n v="0"/>
    <n v="2553"/>
    <n v="2553"/>
    <n v="1"/>
    <x v="1"/>
    <n v="0"/>
    <n v="16"/>
    <n v="3"/>
    <n v="3"/>
    <n v="0"/>
    <n v="6"/>
    <n v="6"/>
    <n v="3"/>
    <n v="3"/>
    <n v="5"/>
    <n v="5"/>
    <n v="2"/>
    <n v="1"/>
    <n v="1"/>
    <n v="3"/>
    <n v="3"/>
    <n v="3"/>
  </r>
  <r>
    <n v="49"/>
    <n v="49"/>
    <x v="0"/>
    <n v="1"/>
    <s v="Travel_Rarely"/>
    <n v="0"/>
    <n v="1"/>
    <x v="0"/>
    <n v="0"/>
    <n v="1"/>
    <n v="11"/>
    <n v="11"/>
    <n v="3"/>
    <s v="Marketing"/>
    <n v="0"/>
    <n v="0"/>
    <n v="0"/>
    <n v="1"/>
    <n v="0"/>
    <x v="1"/>
    <s v="Female"/>
    <n v="1"/>
    <n v="43"/>
    <n v="3"/>
    <n v="3"/>
    <s v="Sales Executive"/>
    <n v="0"/>
    <n v="1"/>
    <n v="0"/>
    <n v="0"/>
    <n v="0"/>
    <n v="0"/>
    <n v="0"/>
    <n v="0"/>
    <n v="4"/>
    <x v="1"/>
    <n v="0"/>
    <n v="1"/>
    <n v="7654"/>
    <n v="7654"/>
    <n v="1"/>
    <x v="1"/>
    <n v="0"/>
    <n v="18"/>
    <n v="3"/>
    <n v="1"/>
    <n v="2"/>
    <n v="9"/>
    <n v="9"/>
    <n v="3"/>
    <n v="4"/>
    <n v="9"/>
    <n v="9"/>
    <n v="8"/>
    <n v="7"/>
    <n v="7"/>
    <n v="7"/>
    <n v="7"/>
    <n v="21"/>
  </r>
  <r>
    <n v="55"/>
    <n v="55"/>
    <x v="0"/>
    <n v="1"/>
    <s v="Travel_Rarely"/>
    <n v="0"/>
    <n v="1"/>
    <x v="0"/>
    <n v="0"/>
    <n v="1"/>
    <n v="2"/>
    <n v="2"/>
    <n v="1"/>
    <s v="Medical"/>
    <n v="0"/>
    <n v="0"/>
    <n v="1"/>
    <n v="0"/>
    <n v="0"/>
    <x v="1"/>
    <s v="Male"/>
    <n v="0"/>
    <n v="37"/>
    <n v="3"/>
    <n v="2"/>
    <s v="Sales Executive"/>
    <n v="0"/>
    <n v="1"/>
    <n v="0"/>
    <n v="0"/>
    <n v="0"/>
    <n v="0"/>
    <n v="0"/>
    <n v="0"/>
    <n v="4"/>
    <x v="0"/>
    <n v="1"/>
    <n v="0"/>
    <n v="5160"/>
    <n v="5160"/>
    <n v="4"/>
    <x v="1"/>
    <n v="0"/>
    <n v="16"/>
    <n v="3"/>
    <n v="3"/>
    <n v="0"/>
    <n v="12"/>
    <n v="12"/>
    <n v="3"/>
    <n v="2"/>
    <n v="9"/>
    <n v="9"/>
    <n v="7"/>
    <n v="7"/>
    <n v="7"/>
    <n v="3"/>
    <n v="3"/>
    <n v="6"/>
  </r>
  <r>
    <n v="43"/>
    <n v="43"/>
    <x v="1"/>
    <n v="0"/>
    <s v="Travel_Rarely"/>
    <n v="0"/>
    <n v="1"/>
    <x v="1"/>
    <n v="1"/>
    <n v="0"/>
    <n v="14"/>
    <n v="14"/>
    <n v="2"/>
    <s v="Life Sciences"/>
    <n v="1"/>
    <n v="0"/>
    <n v="0"/>
    <n v="0"/>
    <n v="0"/>
    <x v="0"/>
    <s v="Male"/>
    <n v="0"/>
    <n v="94"/>
    <n v="3"/>
    <n v="4"/>
    <s v="Research Director"/>
    <n v="0"/>
    <n v="0"/>
    <n v="0"/>
    <n v="0"/>
    <n v="0"/>
    <n v="0"/>
    <n v="0"/>
    <n v="0"/>
    <n v="1"/>
    <x v="1"/>
    <n v="0"/>
    <n v="1"/>
    <n v="17159"/>
    <n v="17159"/>
    <n v="6"/>
    <x v="1"/>
    <n v="0"/>
    <n v="24"/>
    <n v="4"/>
    <n v="3"/>
    <n v="1"/>
    <n v="22"/>
    <n v="22"/>
    <n v="3"/>
    <n v="3"/>
    <n v="4"/>
    <n v="4"/>
    <n v="1"/>
    <n v="1"/>
    <n v="1"/>
    <n v="0"/>
    <n v="0"/>
    <n v="0"/>
  </r>
  <r>
    <n v="27"/>
    <n v="27"/>
    <x v="1"/>
    <n v="0"/>
    <s v="Travel_Rarely"/>
    <n v="0"/>
    <n v="1"/>
    <x v="1"/>
    <n v="1"/>
    <n v="0"/>
    <n v="5"/>
    <n v="5"/>
    <n v="1"/>
    <s v="Technical Degree"/>
    <n v="0"/>
    <n v="0"/>
    <n v="0"/>
    <n v="0"/>
    <n v="1"/>
    <x v="1"/>
    <s v="Male"/>
    <n v="0"/>
    <n v="42"/>
    <n v="2"/>
    <n v="3"/>
    <s v="Research Director"/>
    <n v="0"/>
    <n v="0"/>
    <n v="0"/>
    <n v="0"/>
    <n v="0"/>
    <n v="0"/>
    <n v="0"/>
    <n v="0"/>
    <n v="4"/>
    <x v="2"/>
    <n v="0"/>
    <n v="0"/>
    <n v="12808"/>
    <n v="12808"/>
    <n v="1"/>
    <x v="0"/>
    <n v="1"/>
    <n v="16"/>
    <n v="3"/>
    <n v="2"/>
    <n v="1"/>
    <n v="9"/>
    <n v="9"/>
    <n v="3"/>
    <n v="3"/>
    <n v="9"/>
    <n v="9"/>
    <n v="8"/>
    <n v="0"/>
    <n v="0"/>
    <n v="8"/>
    <n v="8"/>
    <n v="24"/>
  </r>
  <r>
    <n v="35"/>
    <n v="35"/>
    <x v="1"/>
    <n v="0"/>
    <s v="Travel_Rarely"/>
    <n v="0"/>
    <n v="1"/>
    <x v="1"/>
    <n v="1"/>
    <n v="0"/>
    <n v="7"/>
    <n v="7"/>
    <n v="3"/>
    <s v="Other"/>
    <n v="0"/>
    <n v="1"/>
    <n v="0"/>
    <n v="0"/>
    <n v="0"/>
    <x v="1"/>
    <s v="Male"/>
    <n v="0"/>
    <n v="59"/>
    <n v="3"/>
    <n v="3"/>
    <s v="Manufacturing Director"/>
    <n v="0"/>
    <n v="0"/>
    <n v="0"/>
    <n v="0"/>
    <n v="1"/>
    <n v="1"/>
    <n v="0"/>
    <n v="0"/>
    <n v="3"/>
    <x v="0"/>
    <n v="1"/>
    <n v="0"/>
    <n v="10221"/>
    <n v="10221"/>
    <n v="3"/>
    <x v="1"/>
    <n v="0"/>
    <n v="21"/>
    <n v="4"/>
    <n v="2"/>
    <n v="0"/>
    <n v="17"/>
    <n v="17"/>
    <n v="3"/>
    <n v="4"/>
    <n v="8"/>
    <n v="8"/>
    <n v="5"/>
    <n v="1"/>
    <n v="1"/>
    <n v="6"/>
    <n v="6"/>
    <n v="18"/>
  </r>
  <r>
    <n v="28"/>
    <n v="28"/>
    <x v="1"/>
    <n v="0"/>
    <s v="Travel_Rarely"/>
    <n v="0"/>
    <n v="1"/>
    <x v="0"/>
    <n v="0"/>
    <n v="1"/>
    <n v="2"/>
    <n v="2"/>
    <n v="4"/>
    <s v="Marketing"/>
    <n v="0"/>
    <n v="0"/>
    <n v="0"/>
    <n v="1"/>
    <n v="0"/>
    <x v="0"/>
    <s v="Female"/>
    <n v="1"/>
    <n v="81"/>
    <n v="3"/>
    <n v="2"/>
    <s v="Sales Executive"/>
    <n v="0"/>
    <n v="1"/>
    <n v="0"/>
    <n v="0"/>
    <n v="0"/>
    <n v="0"/>
    <n v="0"/>
    <n v="0"/>
    <n v="2"/>
    <x v="1"/>
    <n v="0"/>
    <n v="1"/>
    <n v="4779"/>
    <n v="4779"/>
    <n v="1"/>
    <x v="0"/>
    <n v="1"/>
    <n v="20"/>
    <n v="4"/>
    <n v="1"/>
    <n v="0"/>
    <n v="8"/>
    <n v="8"/>
    <n v="2"/>
    <n v="3"/>
    <n v="8"/>
    <n v="8"/>
    <n v="7"/>
    <n v="7"/>
    <n v="7"/>
    <n v="5"/>
    <n v="5"/>
    <n v="10"/>
  </r>
  <r>
    <n v="34"/>
    <n v="34"/>
    <x v="1"/>
    <n v="0"/>
    <s v="Travel_Rarely"/>
    <n v="0"/>
    <n v="1"/>
    <x v="2"/>
    <n v="0"/>
    <n v="0"/>
    <n v="3"/>
    <n v="3"/>
    <n v="2"/>
    <s v="Human Resources"/>
    <n v="0"/>
    <n v="0"/>
    <n v="0"/>
    <n v="0"/>
    <n v="0"/>
    <x v="1"/>
    <s v="Male"/>
    <n v="0"/>
    <n v="88"/>
    <n v="3"/>
    <n v="1"/>
    <s v="Human Resources"/>
    <n v="0"/>
    <n v="0"/>
    <n v="0"/>
    <n v="0"/>
    <n v="0"/>
    <n v="0"/>
    <n v="0"/>
    <n v="0"/>
    <n v="4"/>
    <x v="1"/>
    <n v="0"/>
    <n v="1"/>
    <n v="3737"/>
    <n v="3737"/>
    <n v="0"/>
    <x v="1"/>
    <n v="0"/>
    <n v="19"/>
    <n v="3"/>
    <n v="3"/>
    <n v="1"/>
    <n v="4"/>
    <n v="4"/>
    <n v="1"/>
    <n v="1"/>
    <n v="3"/>
    <n v="3"/>
    <n v="2"/>
    <n v="0"/>
    <n v="0"/>
    <n v="2"/>
    <n v="2"/>
    <n v="2"/>
  </r>
  <r>
    <n v="26"/>
    <n v="26"/>
    <x v="0"/>
    <n v="1"/>
    <s v="Travel_Frequently"/>
    <n v="1"/>
    <n v="0"/>
    <x v="1"/>
    <n v="1"/>
    <n v="0"/>
    <n v="5"/>
    <n v="5"/>
    <n v="2"/>
    <s v="Medical"/>
    <n v="0"/>
    <n v="0"/>
    <n v="1"/>
    <n v="0"/>
    <n v="0"/>
    <x v="1"/>
    <s v="Female"/>
    <n v="1"/>
    <n v="88"/>
    <n v="2"/>
    <n v="1"/>
    <s v="Research Scientist"/>
    <n v="0"/>
    <n v="0"/>
    <n v="0"/>
    <n v="0"/>
    <n v="0"/>
    <n v="0"/>
    <n v="0"/>
    <n v="1"/>
    <n v="3"/>
    <x v="1"/>
    <n v="0"/>
    <n v="1"/>
    <n v="2366"/>
    <n v="2366"/>
    <n v="1"/>
    <x v="0"/>
    <n v="1"/>
    <n v="14"/>
    <n v="3"/>
    <n v="1"/>
    <n v="1"/>
    <n v="8"/>
    <n v="8"/>
    <n v="2"/>
    <n v="3"/>
    <n v="8"/>
    <n v="8"/>
    <n v="7"/>
    <n v="1"/>
    <n v="1"/>
    <n v="7"/>
    <n v="7"/>
    <n v="7"/>
  </r>
  <r>
    <n v="27"/>
    <n v="27"/>
    <x v="1"/>
    <n v="0"/>
    <s v="Non-Travel"/>
    <n v="0"/>
    <n v="0"/>
    <x v="1"/>
    <n v="1"/>
    <n v="0"/>
    <n v="3"/>
    <n v="3"/>
    <n v="3"/>
    <s v="Medical"/>
    <n v="0"/>
    <n v="0"/>
    <n v="1"/>
    <n v="0"/>
    <n v="0"/>
    <x v="2"/>
    <s v="Male"/>
    <n v="0"/>
    <n v="50"/>
    <n v="3"/>
    <n v="1"/>
    <s v="Research Scientist"/>
    <n v="0"/>
    <n v="0"/>
    <n v="0"/>
    <n v="0"/>
    <n v="0"/>
    <n v="0"/>
    <n v="0"/>
    <n v="1"/>
    <n v="4"/>
    <x v="1"/>
    <n v="0"/>
    <n v="1"/>
    <n v="1706"/>
    <n v="1706"/>
    <n v="1"/>
    <x v="1"/>
    <n v="0"/>
    <n v="11"/>
    <n v="3"/>
    <n v="3"/>
    <n v="3"/>
    <n v="0"/>
    <n v="1"/>
    <n v="6"/>
    <n v="2"/>
    <n v="0"/>
    <n v="0"/>
    <n v="0"/>
    <n v="0"/>
    <n v="0"/>
    <n v="0"/>
    <n v="0"/>
    <n v="0"/>
  </r>
  <r>
    <n v="51"/>
    <n v="51"/>
    <x v="1"/>
    <n v="0"/>
    <s v="Travel_Rarely"/>
    <n v="0"/>
    <n v="1"/>
    <x v="0"/>
    <n v="0"/>
    <n v="1"/>
    <n v="26"/>
    <n v="26"/>
    <n v="4"/>
    <s v="Marketing"/>
    <n v="0"/>
    <n v="0"/>
    <n v="0"/>
    <n v="1"/>
    <n v="0"/>
    <x v="3"/>
    <s v="Female"/>
    <n v="1"/>
    <n v="66"/>
    <n v="3"/>
    <n v="4"/>
    <s v="Manager"/>
    <n v="0"/>
    <n v="0"/>
    <n v="0"/>
    <n v="1"/>
    <n v="0"/>
    <n v="0"/>
    <n v="0"/>
    <n v="0"/>
    <n v="3"/>
    <x v="1"/>
    <n v="0"/>
    <n v="1"/>
    <n v="16307"/>
    <n v="16307"/>
    <n v="2"/>
    <x v="1"/>
    <n v="0"/>
    <n v="14"/>
    <n v="3"/>
    <n v="3"/>
    <n v="1"/>
    <n v="29"/>
    <n v="29"/>
    <n v="2"/>
    <n v="2"/>
    <n v="20"/>
    <n v="20"/>
    <n v="6"/>
    <n v="4"/>
    <n v="4"/>
    <n v="17"/>
    <n v="14"/>
    <n v="56"/>
  </r>
  <r>
    <n v="44"/>
    <n v="44"/>
    <x v="1"/>
    <n v="0"/>
    <s v="Travel_Rarely"/>
    <n v="0"/>
    <n v="1"/>
    <x v="1"/>
    <n v="1"/>
    <n v="0"/>
    <n v="4"/>
    <n v="4"/>
    <n v="3"/>
    <s v="Medical"/>
    <n v="0"/>
    <n v="0"/>
    <n v="1"/>
    <n v="0"/>
    <n v="0"/>
    <x v="2"/>
    <s v="Male"/>
    <n v="0"/>
    <n v="50"/>
    <n v="3"/>
    <n v="2"/>
    <s v="Healthcare Representative"/>
    <n v="1"/>
    <n v="0"/>
    <n v="0"/>
    <n v="0"/>
    <n v="0"/>
    <n v="0"/>
    <n v="0"/>
    <n v="0"/>
    <n v="2"/>
    <x v="0"/>
    <n v="1"/>
    <n v="0"/>
    <n v="5933"/>
    <n v="5933"/>
    <n v="9"/>
    <x v="1"/>
    <n v="0"/>
    <n v="12"/>
    <n v="3"/>
    <n v="4"/>
    <n v="0"/>
    <n v="10"/>
    <n v="10"/>
    <n v="2"/>
    <n v="2"/>
    <n v="5"/>
    <n v="5"/>
    <n v="2"/>
    <n v="2"/>
    <n v="2"/>
    <n v="3"/>
    <n v="3"/>
    <n v="6"/>
  </r>
  <r>
    <n v="25"/>
    <n v="25"/>
    <x v="1"/>
    <n v="0"/>
    <s v="Travel_Rarely"/>
    <n v="0"/>
    <n v="1"/>
    <x v="1"/>
    <n v="1"/>
    <n v="0"/>
    <n v="2"/>
    <n v="2"/>
    <n v="1"/>
    <s v="Medical"/>
    <n v="0"/>
    <n v="0"/>
    <n v="1"/>
    <n v="0"/>
    <n v="0"/>
    <x v="3"/>
    <s v="Male"/>
    <n v="0"/>
    <n v="65"/>
    <n v="4"/>
    <n v="1"/>
    <s v="Research Scientist"/>
    <n v="0"/>
    <n v="0"/>
    <n v="0"/>
    <n v="0"/>
    <n v="0"/>
    <n v="0"/>
    <n v="0"/>
    <n v="1"/>
    <n v="1"/>
    <x v="0"/>
    <n v="1"/>
    <n v="0"/>
    <n v="3424"/>
    <n v="3424"/>
    <n v="7"/>
    <x v="1"/>
    <n v="0"/>
    <n v="13"/>
    <n v="3"/>
    <n v="3"/>
    <n v="0"/>
    <n v="6"/>
    <n v="6"/>
    <n v="3"/>
    <n v="2"/>
    <n v="4"/>
    <n v="4"/>
    <n v="3"/>
    <n v="0"/>
    <n v="0"/>
    <n v="1"/>
    <n v="1"/>
    <n v="1"/>
  </r>
  <r>
    <n v="33"/>
    <n v="33"/>
    <x v="1"/>
    <n v="0"/>
    <s v="Travel_Rarely"/>
    <n v="0"/>
    <n v="1"/>
    <x v="0"/>
    <n v="0"/>
    <n v="1"/>
    <n v="1"/>
    <n v="1"/>
    <n v="3"/>
    <s v="Medical"/>
    <n v="0"/>
    <n v="0"/>
    <n v="1"/>
    <n v="0"/>
    <n v="0"/>
    <x v="3"/>
    <s v="Male"/>
    <n v="0"/>
    <n v="48"/>
    <n v="4"/>
    <n v="2"/>
    <s v="Sales Executive"/>
    <n v="0"/>
    <n v="1"/>
    <n v="0"/>
    <n v="0"/>
    <n v="0"/>
    <n v="0"/>
    <n v="0"/>
    <n v="0"/>
    <n v="1"/>
    <x v="2"/>
    <n v="0"/>
    <n v="0"/>
    <n v="4037"/>
    <n v="4037"/>
    <n v="1"/>
    <x v="1"/>
    <n v="0"/>
    <n v="22"/>
    <n v="4"/>
    <n v="1"/>
    <n v="1"/>
    <n v="9"/>
    <n v="9"/>
    <n v="5"/>
    <n v="3"/>
    <n v="9"/>
    <n v="9"/>
    <n v="8"/>
    <n v="0"/>
    <n v="0"/>
    <n v="8"/>
    <n v="8"/>
    <n v="16"/>
  </r>
  <r>
    <n v="35"/>
    <n v="35"/>
    <x v="1"/>
    <n v="0"/>
    <s v="Travel_Rarely"/>
    <n v="0"/>
    <n v="1"/>
    <x v="1"/>
    <n v="1"/>
    <n v="0"/>
    <n v="27"/>
    <n v="27"/>
    <n v="1"/>
    <s v="Medical"/>
    <n v="0"/>
    <n v="0"/>
    <n v="1"/>
    <n v="0"/>
    <n v="0"/>
    <x v="1"/>
    <s v="Female"/>
    <n v="1"/>
    <n v="53"/>
    <n v="2"/>
    <n v="1"/>
    <s v="Research Scientist"/>
    <n v="0"/>
    <n v="0"/>
    <n v="0"/>
    <n v="0"/>
    <n v="0"/>
    <n v="0"/>
    <n v="0"/>
    <n v="1"/>
    <n v="1"/>
    <x v="0"/>
    <n v="1"/>
    <n v="0"/>
    <n v="2559"/>
    <n v="2559"/>
    <n v="1"/>
    <x v="1"/>
    <n v="0"/>
    <n v="11"/>
    <n v="3"/>
    <n v="4"/>
    <n v="0"/>
    <n v="6"/>
    <n v="6"/>
    <n v="3"/>
    <n v="2"/>
    <n v="6"/>
    <n v="6"/>
    <n v="5"/>
    <n v="1"/>
    <n v="1"/>
    <n v="1"/>
    <n v="1"/>
    <n v="1"/>
  </r>
  <r>
    <n v="36"/>
    <n v="36"/>
    <x v="1"/>
    <n v="0"/>
    <s v="Travel_Rarely"/>
    <n v="0"/>
    <n v="1"/>
    <x v="0"/>
    <n v="0"/>
    <n v="1"/>
    <n v="1"/>
    <n v="1"/>
    <n v="2"/>
    <s v="Life Sciences"/>
    <n v="1"/>
    <n v="0"/>
    <n v="0"/>
    <n v="0"/>
    <n v="0"/>
    <x v="0"/>
    <s v="Male"/>
    <n v="0"/>
    <n v="56"/>
    <n v="3"/>
    <n v="2"/>
    <s v="Sales Executive"/>
    <n v="0"/>
    <n v="1"/>
    <n v="0"/>
    <n v="0"/>
    <n v="0"/>
    <n v="0"/>
    <n v="0"/>
    <n v="0"/>
    <n v="4"/>
    <x v="1"/>
    <n v="0"/>
    <n v="1"/>
    <n v="6201"/>
    <n v="6201"/>
    <n v="1"/>
    <x v="0"/>
    <n v="1"/>
    <n v="14"/>
    <n v="3"/>
    <n v="4"/>
    <n v="1"/>
    <n v="18"/>
    <n v="18"/>
    <n v="1"/>
    <n v="2"/>
    <n v="18"/>
    <n v="18"/>
    <n v="14"/>
    <n v="4"/>
    <n v="4"/>
    <n v="11"/>
    <n v="11"/>
    <n v="22"/>
  </r>
  <r>
    <n v="32"/>
    <n v="32"/>
    <x v="1"/>
    <n v="0"/>
    <s v="Travel_Rarely"/>
    <n v="0"/>
    <n v="1"/>
    <x v="0"/>
    <n v="0"/>
    <n v="1"/>
    <n v="13"/>
    <n v="13"/>
    <n v="4"/>
    <s v="Life Sciences"/>
    <n v="1"/>
    <n v="0"/>
    <n v="0"/>
    <n v="0"/>
    <n v="0"/>
    <x v="0"/>
    <s v="Male"/>
    <n v="0"/>
    <n v="73"/>
    <n v="3"/>
    <n v="2"/>
    <s v="Sales Executive"/>
    <n v="0"/>
    <n v="1"/>
    <n v="0"/>
    <n v="0"/>
    <n v="0"/>
    <n v="0"/>
    <n v="0"/>
    <n v="0"/>
    <n v="4"/>
    <x v="2"/>
    <n v="0"/>
    <n v="0"/>
    <n v="4403"/>
    <n v="4403"/>
    <n v="2"/>
    <x v="1"/>
    <n v="0"/>
    <n v="11"/>
    <n v="3"/>
    <n v="3"/>
    <n v="1"/>
    <n v="8"/>
    <n v="8"/>
    <n v="3"/>
    <n v="2"/>
    <n v="5"/>
    <n v="5"/>
    <n v="2"/>
    <n v="0"/>
    <n v="0"/>
    <n v="3"/>
    <n v="3"/>
    <n v="6"/>
  </r>
  <r>
    <n v="30"/>
    <n v="30"/>
    <x v="1"/>
    <n v="0"/>
    <s v="Travel_Frequently"/>
    <n v="1"/>
    <n v="0"/>
    <x v="1"/>
    <n v="1"/>
    <n v="0"/>
    <n v="5"/>
    <n v="5"/>
    <n v="4"/>
    <s v="Life Sciences"/>
    <n v="1"/>
    <n v="0"/>
    <n v="0"/>
    <n v="0"/>
    <n v="0"/>
    <x v="0"/>
    <s v="Male"/>
    <n v="0"/>
    <n v="75"/>
    <n v="2"/>
    <n v="1"/>
    <s v="Research Scientist"/>
    <n v="0"/>
    <n v="0"/>
    <n v="0"/>
    <n v="0"/>
    <n v="0"/>
    <n v="0"/>
    <n v="0"/>
    <n v="1"/>
    <n v="4"/>
    <x v="2"/>
    <n v="0"/>
    <n v="0"/>
    <n v="3761"/>
    <n v="3761"/>
    <n v="9"/>
    <x v="1"/>
    <n v="0"/>
    <n v="12"/>
    <n v="3"/>
    <n v="2"/>
    <n v="1"/>
    <n v="10"/>
    <n v="10"/>
    <n v="3"/>
    <n v="2"/>
    <n v="5"/>
    <n v="5"/>
    <n v="4"/>
    <n v="0"/>
    <n v="0"/>
    <n v="3"/>
    <n v="3"/>
    <n v="3"/>
  </r>
  <r>
    <n v="53"/>
    <n v="53"/>
    <x v="1"/>
    <n v="0"/>
    <s v="Travel_Rarely"/>
    <n v="0"/>
    <n v="1"/>
    <x v="0"/>
    <n v="0"/>
    <n v="1"/>
    <n v="7"/>
    <n v="7"/>
    <n v="2"/>
    <s v="Marketing"/>
    <n v="0"/>
    <n v="0"/>
    <n v="0"/>
    <n v="1"/>
    <n v="0"/>
    <x v="3"/>
    <s v="Female"/>
    <n v="1"/>
    <n v="78"/>
    <n v="2"/>
    <n v="3"/>
    <s v="Sales Executive"/>
    <n v="0"/>
    <n v="1"/>
    <n v="0"/>
    <n v="0"/>
    <n v="0"/>
    <n v="0"/>
    <n v="0"/>
    <n v="0"/>
    <n v="4"/>
    <x v="1"/>
    <n v="0"/>
    <n v="1"/>
    <n v="10934"/>
    <n v="10934"/>
    <n v="7"/>
    <x v="0"/>
    <n v="1"/>
    <n v="18"/>
    <n v="3"/>
    <n v="4"/>
    <n v="1"/>
    <n v="35"/>
    <n v="35"/>
    <n v="3"/>
    <n v="3"/>
    <n v="5"/>
    <n v="5"/>
    <n v="2"/>
    <n v="0"/>
    <n v="0"/>
    <n v="4"/>
    <n v="4"/>
    <n v="12"/>
  </r>
  <r>
    <n v="45"/>
    <n v="45"/>
    <x v="1"/>
    <n v="0"/>
    <s v="Travel_Rarely"/>
    <n v="0"/>
    <n v="1"/>
    <x v="0"/>
    <n v="0"/>
    <n v="1"/>
    <n v="9"/>
    <n v="9"/>
    <n v="3"/>
    <s v="Marketing"/>
    <n v="0"/>
    <n v="0"/>
    <n v="0"/>
    <n v="1"/>
    <n v="0"/>
    <x v="2"/>
    <s v="Male"/>
    <n v="0"/>
    <n v="74"/>
    <n v="3"/>
    <n v="3"/>
    <s v="Sales Executive"/>
    <n v="0"/>
    <n v="1"/>
    <n v="0"/>
    <n v="0"/>
    <n v="0"/>
    <n v="0"/>
    <n v="0"/>
    <n v="0"/>
    <n v="1"/>
    <x v="2"/>
    <n v="0"/>
    <n v="0"/>
    <n v="10761"/>
    <n v="10761"/>
    <n v="4"/>
    <x v="0"/>
    <n v="1"/>
    <n v="12"/>
    <n v="3"/>
    <n v="3"/>
    <n v="1"/>
    <n v="18"/>
    <n v="18"/>
    <n v="2"/>
    <n v="3"/>
    <n v="5"/>
    <n v="5"/>
    <n v="4"/>
    <n v="0"/>
    <n v="0"/>
    <n v="2"/>
    <n v="2"/>
    <n v="6"/>
  </r>
  <r>
    <n v="32"/>
    <n v="32"/>
    <x v="1"/>
    <n v="0"/>
    <s v="Travel_Rarely"/>
    <n v="0"/>
    <n v="1"/>
    <x v="1"/>
    <n v="1"/>
    <n v="0"/>
    <n v="8"/>
    <n v="8"/>
    <n v="2"/>
    <s v="Medical"/>
    <n v="0"/>
    <n v="0"/>
    <n v="1"/>
    <n v="0"/>
    <n v="0"/>
    <x v="1"/>
    <s v="Female"/>
    <n v="1"/>
    <n v="91"/>
    <n v="4"/>
    <n v="2"/>
    <s v="Research Scientist"/>
    <n v="0"/>
    <n v="0"/>
    <n v="0"/>
    <n v="0"/>
    <n v="0"/>
    <n v="0"/>
    <n v="0"/>
    <n v="1"/>
    <n v="3"/>
    <x v="1"/>
    <n v="0"/>
    <n v="1"/>
    <n v="5175"/>
    <n v="5175"/>
    <n v="5"/>
    <x v="1"/>
    <n v="0"/>
    <n v="12"/>
    <n v="3"/>
    <n v="3"/>
    <n v="1"/>
    <n v="9"/>
    <n v="9"/>
    <n v="3"/>
    <n v="2"/>
    <n v="5"/>
    <n v="5"/>
    <n v="3"/>
    <n v="1"/>
    <n v="1"/>
    <n v="3"/>
    <n v="3"/>
    <n v="6"/>
  </r>
  <r>
    <n v="52"/>
    <n v="52"/>
    <x v="1"/>
    <n v="0"/>
    <s v="Travel_Frequently"/>
    <n v="1"/>
    <n v="0"/>
    <x v="1"/>
    <n v="1"/>
    <n v="0"/>
    <n v="25"/>
    <n v="25"/>
    <n v="4"/>
    <s v="Medical"/>
    <n v="0"/>
    <n v="0"/>
    <n v="1"/>
    <n v="0"/>
    <n v="0"/>
    <x v="1"/>
    <s v="Female"/>
    <n v="1"/>
    <n v="81"/>
    <n v="2"/>
    <n v="4"/>
    <s v="Manufacturing Director"/>
    <n v="0"/>
    <n v="0"/>
    <n v="0"/>
    <n v="0"/>
    <n v="1"/>
    <n v="1"/>
    <n v="0"/>
    <n v="0"/>
    <n v="4"/>
    <x v="1"/>
    <n v="0"/>
    <n v="1"/>
    <n v="13826"/>
    <n v="13826"/>
    <n v="3"/>
    <x v="1"/>
    <n v="0"/>
    <n v="22"/>
    <n v="4"/>
    <n v="3"/>
    <n v="0"/>
    <n v="31"/>
    <n v="31"/>
    <n v="3"/>
    <n v="3"/>
    <n v="9"/>
    <n v="9"/>
    <n v="8"/>
    <n v="0"/>
    <n v="0"/>
    <n v="0"/>
    <n v="0"/>
    <n v="0"/>
  </r>
  <r>
    <n v="37"/>
    <n v="37"/>
    <x v="1"/>
    <n v="0"/>
    <s v="Travel_Rarely"/>
    <n v="0"/>
    <n v="1"/>
    <x v="0"/>
    <n v="0"/>
    <n v="1"/>
    <n v="16"/>
    <n v="16"/>
    <n v="4"/>
    <s v="Marketing"/>
    <n v="0"/>
    <n v="0"/>
    <n v="0"/>
    <n v="1"/>
    <n v="0"/>
    <x v="2"/>
    <s v="Male"/>
    <n v="0"/>
    <n v="66"/>
    <n v="2"/>
    <n v="2"/>
    <s v="Sales Executive"/>
    <n v="0"/>
    <n v="1"/>
    <n v="0"/>
    <n v="0"/>
    <n v="0"/>
    <n v="0"/>
    <n v="0"/>
    <n v="0"/>
    <n v="3"/>
    <x v="2"/>
    <n v="0"/>
    <n v="0"/>
    <n v="6334"/>
    <n v="6334"/>
    <n v="4"/>
    <x v="1"/>
    <n v="0"/>
    <n v="19"/>
    <n v="3"/>
    <n v="4"/>
    <n v="2"/>
    <n v="9"/>
    <n v="9"/>
    <n v="2"/>
    <n v="3"/>
    <n v="1"/>
    <n v="1"/>
    <n v="0"/>
    <n v="0"/>
    <n v="0"/>
    <n v="0"/>
    <n v="0"/>
    <n v="0"/>
  </r>
  <r>
    <n v="28"/>
    <n v="28"/>
    <x v="1"/>
    <n v="0"/>
    <s v="Travel_Rarely"/>
    <n v="0"/>
    <n v="1"/>
    <x v="2"/>
    <n v="0"/>
    <n v="0"/>
    <n v="8"/>
    <n v="8"/>
    <n v="2"/>
    <s v="Medical"/>
    <n v="0"/>
    <n v="0"/>
    <n v="1"/>
    <n v="0"/>
    <n v="0"/>
    <x v="0"/>
    <s v="Male"/>
    <n v="0"/>
    <n v="63"/>
    <n v="2"/>
    <n v="1"/>
    <s v="Human Resources"/>
    <n v="0"/>
    <n v="0"/>
    <n v="0"/>
    <n v="0"/>
    <n v="0"/>
    <n v="0"/>
    <n v="0"/>
    <n v="0"/>
    <n v="4"/>
    <x v="2"/>
    <n v="0"/>
    <n v="0"/>
    <n v="4936"/>
    <n v="4936"/>
    <n v="1"/>
    <x v="1"/>
    <n v="0"/>
    <n v="13"/>
    <n v="3"/>
    <n v="4"/>
    <n v="1"/>
    <n v="6"/>
    <n v="6"/>
    <n v="6"/>
    <n v="3"/>
    <n v="5"/>
    <n v="5"/>
    <n v="1"/>
    <n v="0"/>
    <n v="0"/>
    <n v="4"/>
    <n v="4"/>
    <n v="4"/>
  </r>
  <r>
    <n v="22"/>
    <n v="22"/>
    <x v="1"/>
    <n v="0"/>
    <s v="Travel_Rarely"/>
    <n v="0"/>
    <n v="1"/>
    <x v="1"/>
    <n v="1"/>
    <n v="0"/>
    <n v="1"/>
    <n v="1"/>
    <n v="2"/>
    <s v="Life Sciences"/>
    <n v="1"/>
    <n v="0"/>
    <n v="0"/>
    <n v="0"/>
    <n v="0"/>
    <x v="2"/>
    <s v="Male"/>
    <n v="0"/>
    <n v="33"/>
    <n v="2"/>
    <n v="2"/>
    <s v="Manufacturing Director"/>
    <n v="0"/>
    <n v="0"/>
    <n v="0"/>
    <n v="0"/>
    <n v="1"/>
    <n v="1"/>
    <n v="0"/>
    <n v="0"/>
    <n v="4"/>
    <x v="1"/>
    <n v="0"/>
    <n v="1"/>
    <n v="4775"/>
    <n v="4775"/>
    <n v="6"/>
    <x v="1"/>
    <n v="0"/>
    <n v="22"/>
    <n v="4"/>
    <n v="1"/>
    <n v="2"/>
    <n v="4"/>
    <n v="4"/>
    <n v="2"/>
    <n v="1"/>
    <n v="2"/>
    <n v="2"/>
    <n v="2"/>
    <n v="2"/>
    <n v="2"/>
    <n v="2"/>
    <n v="2"/>
    <n v="4"/>
  </r>
  <r>
    <n v="44"/>
    <n v="44"/>
    <x v="1"/>
    <n v="0"/>
    <s v="Travel_Rarely"/>
    <n v="0"/>
    <n v="1"/>
    <x v="1"/>
    <n v="1"/>
    <n v="0"/>
    <n v="8"/>
    <n v="8"/>
    <n v="4"/>
    <s v="Life Sciences"/>
    <n v="1"/>
    <n v="0"/>
    <n v="0"/>
    <n v="0"/>
    <n v="0"/>
    <x v="3"/>
    <s v="Male"/>
    <n v="0"/>
    <n v="62"/>
    <n v="4"/>
    <n v="1"/>
    <s v="Laboratory Technician"/>
    <n v="0"/>
    <n v="0"/>
    <n v="1"/>
    <n v="0"/>
    <n v="0"/>
    <n v="0"/>
    <n v="0"/>
    <n v="0"/>
    <n v="4"/>
    <x v="1"/>
    <n v="0"/>
    <n v="1"/>
    <n v="2818"/>
    <n v="2818"/>
    <n v="2"/>
    <x v="0"/>
    <n v="1"/>
    <n v="24"/>
    <n v="4"/>
    <n v="3"/>
    <n v="1"/>
    <n v="10"/>
    <n v="10"/>
    <n v="2"/>
    <n v="2"/>
    <n v="3"/>
    <n v="3"/>
    <n v="2"/>
    <n v="0"/>
    <n v="0"/>
    <n v="2"/>
    <n v="2"/>
    <n v="2"/>
  </r>
  <r>
    <n v="42"/>
    <n v="42"/>
    <x v="1"/>
    <n v="0"/>
    <s v="Travel_Frequently"/>
    <n v="1"/>
    <n v="0"/>
    <x v="1"/>
    <n v="1"/>
    <n v="0"/>
    <n v="2"/>
    <n v="2"/>
    <n v="1"/>
    <s v="Medical"/>
    <n v="0"/>
    <n v="0"/>
    <n v="1"/>
    <n v="0"/>
    <n v="0"/>
    <x v="0"/>
    <s v="Male"/>
    <n v="0"/>
    <n v="35"/>
    <n v="3"/>
    <n v="1"/>
    <s v="Research Scientist"/>
    <n v="0"/>
    <n v="0"/>
    <n v="0"/>
    <n v="0"/>
    <n v="0"/>
    <n v="0"/>
    <n v="0"/>
    <n v="1"/>
    <n v="4"/>
    <x v="0"/>
    <n v="1"/>
    <n v="0"/>
    <n v="2515"/>
    <n v="2515"/>
    <n v="5"/>
    <x v="0"/>
    <n v="1"/>
    <n v="14"/>
    <n v="3"/>
    <n v="4"/>
    <n v="0"/>
    <n v="8"/>
    <n v="8"/>
    <n v="2"/>
    <n v="3"/>
    <n v="2"/>
    <n v="2"/>
    <n v="1"/>
    <n v="2"/>
    <n v="2"/>
    <n v="2"/>
    <n v="2"/>
    <n v="2"/>
  </r>
  <r>
    <n v="36"/>
    <n v="36"/>
    <x v="1"/>
    <n v="0"/>
    <s v="Travel_Rarely"/>
    <n v="0"/>
    <n v="1"/>
    <x v="2"/>
    <n v="0"/>
    <n v="0"/>
    <n v="8"/>
    <n v="8"/>
    <n v="3"/>
    <s v="Life Sciences"/>
    <n v="1"/>
    <n v="0"/>
    <n v="0"/>
    <n v="0"/>
    <n v="0"/>
    <x v="3"/>
    <s v="Male"/>
    <n v="0"/>
    <n v="77"/>
    <n v="2"/>
    <n v="1"/>
    <s v="Human Resources"/>
    <n v="0"/>
    <n v="0"/>
    <n v="0"/>
    <n v="0"/>
    <n v="0"/>
    <n v="0"/>
    <n v="0"/>
    <n v="0"/>
    <n v="1"/>
    <x v="1"/>
    <n v="0"/>
    <n v="1"/>
    <n v="2342"/>
    <n v="2342"/>
    <n v="0"/>
    <x v="1"/>
    <n v="0"/>
    <n v="21"/>
    <n v="4"/>
    <n v="3"/>
    <n v="0"/>
    <n v="6"/>
    <n v="6"/>
    <n v="3"/>
    <n v="3"/>
    <n v="5"/>
    <n v="5"/>
    <n v="4"/>
    <n v="0"/>
    <n v="0"/>
    <n v="3"/>
    <n v="3"/>
    <n v="3"/>
  </r>
  <r>
    <n v="25"/>
    <n v="25"/>
    <x v="1"/>
    <n v="0"/>
    <s v="Travel_Rarely"/>
    <n v="0"/>
    <n v="1"/>
    <x v="0"/>
    <n v="0"/>
    <n v="1"/>
    <n v="3"/>
    <n v="3"/>
    <n v="1"/>
    <s v="Other"/>
    <n v="0"/>
    <n v="1"/>
    <n v="0"/>
    <n v="0"/>
    <n v="0"/>
    <x v="1"/>
    <s v="Male"/>
    <n v="0"/>
    <n v="98"/>
    <n v="3"/>
    <n v="2"/>
    <s v="Sales Executive"/>
    <n v="0"/>
    <n v="1"/>
    <n v="0"/>
    <n v="0"/>
    <n v="0"/>
    <n v="0"/>
    <n v="0"/>
    <n v="0"/>
    <n v="1"/>
    <x v="1"/>
    <n v="0"/>
    <n v="1"/>
    <n v="4194"/>
    <n v="4194"/>
    <n v="1"/>
    <x v="0"/>
    <n v="1"/>
    <n v="18"/>
    <n v="3"/>
    <n v="4"/>
    <n v="0"/>
    <n v="5"/>
    <n v="5"/>
    <n v="3"/>
    <n v="3"/>
    <n v="5"/>
    <n v="5"/>
    <n v="3"/>
    <n v="0"/>
    <n v="0"/>
    <n v="3"/>
    <n v="3"/>
    <n v="6"/>
  </r>
  <r>
    <n v="35"/>
    <n v="35"/>
    <x v="1"/>
    <n v="0"/>
    <s v="Travel_Rarely"/>
    <n v="0"/>
    <n v="1"/>
    <x v="1"/>
    <n v="1"/>
    <n v="0"/>
    <n v="9"/>
    <n v="9"/>
    <n v="3"/>
    <s v="Life Sciences"/>
    <n v="1"/>
    <n v="0"/>
    <n v="0"/>
    <n v="0"/>
    <n v="0"/>
    <x v="2"/>
    <s v="Female"/>
    <n v="1"/>
    <n v="66"/>
    <n v="2"/>
    <n v="3"/>
    <s v="Manufacturing Director"/>
    <n v="0"/>
    <n v="0"/>
    <n v="0"/>
    <n v="0"/>
    <n v="1"/>
    <n v="1"/>
    <n v="0"/>
    <n v="0"/>
    <n v="3"/>
    <x v="1"/>
    <n v="0"/>
    <n v="1"/>
    <n v="10685"/>
    <n v="10685"/>
    <n v="1"/>
    <x v="0"/>
    <n v="1"/>
    <n v="20"/>
    <n v="4"/>
    <n v="2"/>
    <n v="1"/>
    <n v="17"/>
    <n v="17"/>
    <n v="2"/>
    <n v="3"/>
    <n v="17"/>
    <n v="17"/>
    <n v="14"/>
    <n v="5"/>
    <n v="5"/>
    <n v="15"/>
    <n v="14"/>
    <n v="42"/>
  </r>
  <r>
    <n v="35"/>
    <n v="35"/>
    <x v="0"/>
    <n v="1"/>
    <s v="Travel_Frequently"/>
    <n v="1"/>
    <n v="0"/>
    <x v="1"/>
    <n v="1"/>
    <n v="0"/>
    <n v="25"/>
    <n v="25"/>
    <n v="4"/>
    <s v="Life Sciences"/>
    <n v="1"/>
    <n v="0"/>
    <n v="0"/>
    <n v="0"/>
    <n v="0"/>
    <x v="2"/>
    <s v="Female"/>
    <n v="1"/>
    <n v="96"/>
    <n v="3"/>
    <n v="1"/>
    <s v="Research Scientist"/>
    <n v="0"/>
    <n v="0"/>
    <n v="0"/>
    <n v="0"/>
    <n v="0"/>
    <n v="0"/>
    <n v="0"/>
    <n v="1"/>
    <n v="2"/>
    <x v="2"/>
    <n v="0"/>
    <n v="0"/>
    <n v="2022"/>
    <n v="2022"/>
    <n v="1"/>
    <x v="0"/>
    <n v="1"/>
    <n v="19"/>
    <n v="3"/>
    <n v="1"/>
    <n v="1"/>
    <n v="10"/>
    <n v="10"/>
    <n v="3"/>
    <n v="2"/>
    <n v="10"/>
    <n v="10"/>
    <n v="2"/>
    <n v="7"/>
    <n v="7"/>
    <n v="8"/>
    <n v="8"/>
    <n v="8"/>
  </r>
  <r>
    <n v="32"/>
    <n v="32"/>
    <x v="1"/>
    <n v="0"/>
    <s v="Non-Travel"/>
    <n v="0"/>
    <n v="0"/>
    <x v="1"/>
    <n v="1"/>
    <n v="0"/>
    <n v="1"/>
    <n v="1"/>
    <n v="3"/>
    <s v="Life Sciences"/>
    <n v="1"/>
    <n v="0"/>
    <n v="0"/>
    <n v="0"/>
    <n v="0"/>
    <x v="2"/>
    <s v="Male"/>
    <n v="0"/>
    <n v="61"/>
    <n v="3"/>
    <n v="1"/>
    <s v="Laboratory Technician"/>
    <n v="0"/>
    <n v="0"/>
    <n v="1"/>
    <n v="0"/>
    <n v="0"/>
    <n v="0"/>
    <n v="0"/>
    <n v="0"/>
    <n v="4"/>
    <x v="2"/>
    <n v="0"/>
    <n v="0"/>
    <n v="2314"/>
    <n v="2314"/>
    <n v="0"/>
    <x v="1"/>
    <n v="0"/>
    <n v="12"/>
    <n v="3"/>
    <n v="2"/>
    <n v="1"/>
    <n v="4"/>
    <n v="4"/>
    <n v="2"/>
    <n v="3"/>
    <n v="3"/>
    <n v="3"/>
    <n v="0"/>
    <n v="0"/>
    <n v="0"/>
    <n v="2"/>
    <n v="2"/>
    <n v="2"/>
  </r>
  <r>
    <n v="25"/>
    <n v="25"/>
    <x v="1"/>
    <n v="0"/>
    <s v="Travel_Rarely"/>
    <n v="0"/>
    <n v="1"/>
    <x v="0"/>
    <n v="0"/>
    <n v="1"/>
    <n v="4"/>
    <n v="4"/>
    <n v="1"/>
    <s v="Marketing"/>
    <n v="0"/>
    <n v="0"/>
    <n v="0"/>
    <n v="1"/>
    <n v="0"/>
    <x v="1"/>
    <s v="Male"/>
    <n v="0"/>
    <n v="87"/>
    <n v="2"/>
    <n v="2"/>
    <s v="Sales Executive"/>
    <n v="0"/>
    <n v="1"/>
    <n v="0"/>
    <n v="0"/>
    <n v="0"/>
    <n v="0"/>
    <n v="0"/>
    <n v="0"/>
    <n v="1"/>
    <x v="1"/>
    <n v="0"/>
    <n v="1"/>
    <n v="4256"/>
    <n v="4256"/>
    <n v="1"/>
    <x v="1"/>
    <n v="0"/>
    <n v="12"/>
    <n v="3"/>
    <n v="1"/>
    <n v="0"/>
    <n v="5"/>
    <n v="5"/>
    <n v="1"/>
    <n v="4"/>
    <n v="5"/>
    <n v="5"/>
    <n v="2"/>
    <n v="0"/>
    <n v="0"/>
    <n v="3"/>
    <n v="3"/>
    <n v="6"/>
  </r>
  <r>
    <n v="49"/>
    <n v="49"/>
    <x v="1"/>
    <n v="0"/>
    <s v="Travel_Rarely"/>
    <n v="0"/>
    <n v="1"/>
    <x v="1"/>
    <n v="1"/>
    <n v="0"/>
    <n v="1"/>
    <n v="1"/>
    <n v="3"/>
    <s v="Technical Degree"/>
    <n v="0"/>
    <n v="0"/>
    <n v="0"/>
    <n v="0"/>
    <n v="1"/>
    <x v="1"/>
    <s v="Female"/>
    <n v="1"/>
    <n v="36"/>
    <n v="3"/>
    <n v="1"/>
    <s v="Research Scientist"/>
    <n v="0"/>
    <n v="0"/>
    <n v="0"/>
    <n v="0"/>
    <n v="0"/>
    <n v="0"/>
    <n v="0"/>
    <n v="1"/>
    <n v="1"/>
    <x v="1"/>
    <n v="0"/>
    <n v="1"/>
    <n v="3580"/>
    <n v="3580"/>
    <n v="2"/>
    <x v="1"/>
    <n v="0"/>
    <n v="16"/>
    <n v="3"/>
    <n v="2"/>
    <n v="1"/>
    <n v="7"/>
    <n v="7"/>
    <n v="2"/>
    <n v="3"/>
    <n v="4"/>
    <n v="4"/>
    <n v="2"/>
    <n v="0"/>
    <n v="0"/>
    <n v="2"/>
    <n v="2"/>
    <n v="2"/>
  </r>
  <r>
    <n v="24"/>
    <n v="24"/>
    <x v="1"/>
    <n v="0"/>
    <s v="Non-Travel"/>
    <n v="0"/>
    <n v="0"/>
    <x v="1"/>
    <n v="1"/>
    <n v="0"/>
    <n v="4"/>
    <n v="4"/>
    <n v="1"/>
    <s v="Life Sciences"/>
    <n v="1"/>
    <n v="0"/>
    <n v="0"/>
    <n v="0"/>
    <n v="0"/>
    <x v="3"/>
    <s v="Male"/>
    <n v="0"/>
    <n v="46"/>
    <n v="2"/>
    <n v="1"/>
    <s v="Laboratory Technician"/>
    <n v="0"/>
    <n v="0"/>
    <n v="1"/>
    <n v="0"/>
    <n v="0"/>
    <n v="0"/>
    <n v="0"/>
    <n v="0"/>
    <n v="4"/>
    <x v="1"/>
    <n v="0"/>
    <n v="1"/>
    <n v="3162"/>
    <n v="3162"/>
    <n v="0"/>
    <x v="1"/>
    <n v="0"/>
    <n v="17"/>
    <n v="3"/>
    <n v="4"/>
    <n v="0"/>
    <n v="6"/>
    <n v="6"/>
    <n v="2"/>
    <n v="2"/>
    <n v="5"/>
    <n v="5"/>
    <n v="2"/>
    <n v="3"/>
    <n v="3"/>
    <n v="4"/>
    <n v="4"/>
    <n v="4"/>
  </r>
  <r>
    <n v="32"/>
    <n v="32"/>
    <x v="1"/>
    <n v="0"/>
    <s v="Travel_Frequently"/>
    <n v="1"/>
    <n v="0"/>
    <x v="0"/>
    <n v="0"/>
    <n v="1"/>
    <n v="5"/>
    <n v="5"/>
    <n v="2"/>
    <s v="Life Sciences"/>
    <n v="1"/>
    <n v="0"/>
    <n v="0"/>
    <n v="0"/>
    <n v="0"/>
    <x v="0"/>
    <s v="Male"/>
    <n v="0"/>
    <n v="48"/>
    <n v="3"/>
    <n v="2"/>
    <s v="Sales Executive"/>
    <n v="0"/>
    <n v="1"/>
    <n v="0"/>
    <n v="0"/>
    <n v="0"/>
    <n v="0"/>
    <n v="0"/>
    <n v="0"/>
    <n v="2"/>
    <x v="1"/>
    <n v="0"/>
    <n v="1"/>
    <n v="6524"/>
    <n v="6524"/>
    <n v="1"/>
    <x v="1"/>
    <n v="0"/>
    <n v="14"/>
    <n v="3"/>
    <n v="4"/>
    <n v="1"/>
    <n v="10"/>
    <n v="10"/>
    <n v="3"/>
    <n v="3"/>
    <n v="10"/>
    <n v="10"/>
    <n v="8"/>
    <n v="5"/>
    <n v="5"/>
    <n v="3"/>
    <n v="3"/>
    <n v="6"/>
  </r>
  <r>
    <n v="38"/>
    <n v="38"/>
    <x v="1"/>
    <n v="0"/>
    <s v="Travel_Rarely"/>
    <n v="0"/>
    <n v="1"/>
    <x v="0"/>
    <n v="0"/>
    <n v="1"/>
    <n v="9"/>
    <n v="9"/>
    <n v="3"/>
    <s v="Marketing"/>
    <n v="0"/>
    <n v="0"/>
    <n v="0"/>
    <n v="1"/>
    <n v="0"/>
    <x v="0"/>
    <s v="Male"/>
    <n v="0"/>
    <n v="98"/>
    <n v="2"/>
    <n v="1"/>
    <s v="Sales Representative"/>
    <n v="0"/>
    <n v="0"/>
    <n v="0"/>
    <n v="0"/>
    <n v="0"/>
    <n v="0"/>
    <n v="1"/>
    <n v="0"/>
    <n v="2"/>
    <x v="1"/>
    <n v="0"/>
    <n v="1"/>
    <n v="2899"/>
    <n v="2899"/>
    <n v="0"/>
    <x v="1"/>
    <n v="0"/>
    <n v="19"/>
    <n v="3"/>
    <n v="4"/>
    <n v="1"/>
    <n v="3"/>
    <n v="3"/>
    <n v="3"/>
    <n v="3"/>
    <n v="2"/>
    <n v="2"/>
    <n v="2"/>
    <n v="1"/>
    <n v="1"/>
    <n v="2"/>
    <n v="2"/>
    <n v="2"/>
  </r>
  <r>
    <n v="42"/>
    <n v="42"/>
    <x v="1"/>
    <n v="0"/>
    <s v="Travel_Rarely"/>
    <n v="0"/>
    <n v="1"/>
    <x v="1"/>
    <n v="1"/>
    <n v="0"/>
    <n v="3"/>
    <n v="3"/>
    <n v="3"/>
    <s v="Life Sciences"/>
    <n v="1"/>
    <n v="0"/>
    <n v="0"/>
    <n v="0"/>
    <n v="0"/>
    <x v="1"/>
    <s v="Female"/>
    <n v="1"/>
    <n v="95"/>
    <n v="4"/>
    <n v="2"/>
    <s v="Laboratory Technician"/>
    <n v="0"/>
    <n v="0"/>
    <n v="1"/>
    <n v="0"/>
    <n v="0"/>
    <n v="0"/>
    <n v="0"/>
    <n v="0"/>
    <n v="4"/>
    <x v="1"/>
    <n v="0"/>
    <n v="1"/>
    <n v="5231"/>
    <n v="5231"/>
    <n v="2"/>
    <x v="0"/>
    <n v="1"/>
    <n v="13"/>
    <n v="3"/>
    <n v="2"/>
    <n v="1"/>
    <n v="17"/>
    <n v="17"/>
    <n v="1"/>
    <n v="2"/>
    <n v="5"/>
    <n v="5"/>
    <n v="3"/>
    <n v="1"/>
    <n v="1"/>
    <n v="3"/>
    <n v="3"/>
    <n v="6"/>
  </r>
  <r>
    <n v="31"/>
    <n v="31"/>
    <x v="1"/>
    <n v="0"/>
    <s v="Travel_Rarely"/>
    <n v="0"/>
    <n v="1"/>
    <x v="1"/>
    <n v="1"/>
    <n v="0"/>
    <n v="11"/>
    <n v="11"/>
    <n v="4"/>
    <s v="Life Sciences"/>
    <n v="1"/>
    <n v="0"/>
    <n v="0"/>
    <n v="0"/>
    <n v="0"/>
    <x v="2"/>
    <s v="Male"/>
    <n v="0"/>
    <n v="48"/>
    <n v="3"/>
    <n v="1"/>
    <s v="Research Scientist"/>
    <n v="0"/>
    <n v="0"/>
    <n v="0"/>
    <n v="0"/>
    <n v="0"/>
    <n v="0"/>
    <n v="0"/>
    <n v="1"/>
    <n v="4"/>
    <x v="1"/>
    <n v="0"/>
    <n v="1"/>
    <n v="2356"/>
    <n v="2356"/>
    <n v="3"/>
    <x v="0"/>
    <n v="1"/>
    <n v="19"/>
    <n v="3"/>
    <n v="2"/>
    <n v="1"/>
    <n v="8"/>
    <n v="8"/>
    <n v="2"/>
    <n v="3"/>
    <n v="6"/>
    <n v="6"/>
    <n v="4"/>
    <n v="0"/>
    <n v="0"/>
    <n v="2"/>
    <n v="2"/>
    <n v="2"/>
  </r>
  <r>
    <n v="29"/>
    <n v="29"/>
    <x v="0"/>
    <n v="1"/>
    <s v="Travel_Rarely"/>
    <n v="0"/>
    <n v="1"/>
    <x v="0"/>
    <n v="0"/>
    <n v="1"/>
    <n v="1"/>
    <n v="1"/>
    <n v="3"/>
    <s v="Medical"/>
    <n v="0"/>
    <n v="0"/>
    <n v="1"/>
    <n v="0"/>
    <n v="0"/>
    <x v="0"/>
    <s v="Female"/>
    <n v="1"/>
    <n v="48"/>
    <n v="2"/>
    <n v="1"/>
    <s v="Sales Representative"/>
    <n v="0"/>
    <n v="0"/>
    <n v="0"/>
    <n v="0"/>
    <n v="0"/>
    <n v="0"/>
    <n v="1"/>
    <n v="0"/>
    <n v="3"/>
    <x v="2"/>
    <n v="0"/>
    <n v="0"/>
    <n v="2800"/>
    <n v="2800"/>
    <n v="6"/>
    <x v="0"/>
    <n v="1"/>
    <n v="19"/>
    <n v="3"/>
    <n v="3"/>
    <n v="3"/>
    <n v="5"/>
    <n v="5"/>
    <n v="3"/>
    <n v="3"/>
    <n v="3"/>
    <n v="3"/>
    <n v="2"/>
    <n v="0"/>
    <n v="0"/>
    <n v="2"/>
    <n v="2"/>
    <n v="2"/>
  </r>
  <r>
    <n v="53"/>
    <n v="53"/>
    <x v="1"/>
    <n v="0"/>
    <s v="Travel_Rarely"/>
    <n v="0"/>
    <n v="1"/>
    <x v="0"/>
    <n v="0"/>
    <n v="1"/>
    <n v="8"/>
    <n v="8"/>
    <n v="3"/>
    <s v="Marketing"/>
    <n v="0"/>
    <n v="0"/>
    <n v="0"/>
    <n v="1"/>
    <n v="0"/>
    <x v="3"/>
    <s v="Male"/>
    <n v="0"/>
    <n v="73"/>
    <n v="3"/>
    <n v="4"/>
    <s v="Sales Executive"/>
    <n v="0"/>
    <n v="1"/>
    <n v="0"/>
    <n v="0"/>
    <n v="0"/>
    <n v="0"/>
    <n v="0"/>
    <n v="0"/>
    <n v="4"/>
    <x v="1"/>
    <n v="0"/>
    <n v="1"/>
    <n v="11836"/>
    <n v="11836"/>
    <n v="5"/>
    <x v="1"/>
    <n v="0"/>
    <n v="14"/>
    <n v="3"/>
    <n v="3"/>
    <n v="1"/>
    <n v="28"/>
    <n v="28"/>
    <n v="3"/>
    <n v="3"/>
    <n v="2"/>
    <n v="2"/>
    <n v="0"/>
    <n v="2"/>
    <n v="2"/>
    <n v="2"/>
    <n v="2"/>
    <n v="8"/>
  </r>
  <r>
    <n v="35"/>
    <n v="35"/>
    <x v="1"/>
    <n v="0"/>
    <s v="Travel_Rarely"/>
    <n v="0"/>
    <n v="1"/>
    <x v="1"/>
    <n v="1"/>
    <n v="0"/>
    <n v="25"/>
    <n v="25"/>
    <n v="3"/>
    <s v="Technical Degree"/>
    <n v="0"/>
    <n v="0"/>
    <n v="0"/>
    <n v="0"/>
    <n v="1"/>
    <x v="2"/>
    <s v="Male"/>
    <n v="0"/>
    <n v="78"/>
    <n v="2"/>
    <n v="3"/>
    <s v="Manufacturing Director"/>
    <n v="0"/>
    <n v="0"/>
    <n v="0"/>
    <n v="0"/>
    <n v="1"/>
    <n v="1"/>
    <n v="0"/>
    <n v="0"/>
    <n v="2"/>
    <x v="1"/>
    <n v="0"/>
    <n v="1"/>
    <n v="10903"/>
    <n v="10903"/>
    <n v="3"/>
    <x v="1"/>
    <n v="0"/>
    <n v="16"/>
    <n v="3"/>
    <n v="1"/>
    <n v="0"/>
    <n v="16"/>
    <n v="16"/>
    <n v="2"/>
    <n v="3"/>
    <n v="13"/>
    <n v="13"/>
    <n v="10"/>
    <n v="4"/>
    <n v="4"/>
    <n v="8"/>
    <n v="8"/>
    <n v="24"/>
  </r>
  <r>
    <n v="37"/>
    <n v="37"/>
    <x v="1"/>
    <n v="0"/>
    <s v="Travel_Frequently"/>
    <n v="1"/>
    <n v="0"/>
    <x v="0"/>
    <n v="0"/>
    <n v="1"/>
    <n v="21"/>
    <n v="21"/>
    <n v="2"/>
    <s v="Medical"/>
    <n v="0"/>
    <n v="0"/>
    <n v="1"/>
    <n v="0"/>
    <n v="0"/>
    <x v="1"/>
    <s v="Female"/>
    <n v="1"/>
    <n v="54"/>
    <n v="3"/>
    <n v="1"/>
    <s v="Sales Representative"/>
    <n v="0"/>
    <n v="0"/>
    <n v="0"/>
    <n v="0"/>
    <n v="0"/>
    <n v="0"/>
    <n v="1"/>
    <n v="0"/>
    <n v="4"/>
    <x v="1"/>
    <n v="0"/>
    <n v="1"/>
    <n v="2973"/>
    <n v="2973"/>
    <n v="5"/>
    <x v="1"/>
    <n v="0"/>
    <n v="15"/>
    <n v="3"/>
    <n v="2"/>
    <n v="1"/>
    <n v="10"/>
    <n v="10"/>
    <n v="3"/>
    <n v="3"/>
    <n v="5"/>
    <n v="5"/>
    <n v="4"/>
    <n v="0"/>
    <n v="0"/>
    <n v="0"/>
    <n v="0"/>
    <n v="0"/>
  </r>
  <r>
    <n v="53"/>
    <n v="53"/>
    <x v="1"/>
    <n v="0"/>
    <s v="Travel_Rarely"/>
    <n v="0"/>
    <n v="1"/>
    <x v="1"/>
    <n v="1"/>
    <n v="0"/>
    <n v="23"/>
    <n v="23"/>
    <n v="4"/>
    <s v="Life Sciences"/>
    <n v="1"/>
    <n v="0"/>
    <n v="0"/>
    <n v="0"/>
    <n v="0"/>
    <x v="2"/>
    <s v="Female"/>
    <n v="1"/>
    <n v="72"/>
    <n v="3"/>
    <n v="4"/>
    <s v="Research Director"/>
    <n v="0"/>
    <n v="0"/>
    <n v="0"/>
    <n v="0"/>
    <n v="0"/>
    <n v="0"/>
    <n v="0"/>
    <n v="0"/>
    <n v="4"/>
    <x v="0"/>
    <n v="1"/>
    <n v="0"/>
    <n v="14275"/>
    <n v="14275"/>
    <n v="6"/>
    <x v="1"/>
    <n v="0"/>
    <n v="18"/>
    <n v="3"/>
    <n v="3"/>
    <n v="0"/>
    <n v="33"/>
    <n v="33"/>
    <n v="0"/>
    <n v="3"/>
    <n v="12"/>
    <n v="12"/>
    <n v="9"/>
    <n v="3"/>
    <n v="3"/>
    <n v="8"/>
    <n v="8"/>
    <n v="32"/>
  </r>
  <r>
    <n v="43"/>
    <n v="43"/>
    <x v="1"/>
    <n v="0"/>
    <s v="Travel_Frequently"/>
    <n v="1"/>
    <n v="0"/>
    <x v="1"/>
    <n v="1"/>
    <n v="0"/>
    <n v="1"/>
    <n v="1"/>
    <n v="3"/>
    <s v="Life Sciences"/>
    <n v="1"/>
    <n v="0"/>
    <n v="0"/>
    <n v="0"/>
    <n v="0"/>
    <x v="2"/>
    <s v="Female"/>
    <n v="1"/>
    <n v="33"/>
    <n v="3"/>
    <n v="2"/>
    <s v="Healthcare Representative"/>
    <n v="1"/>
    <n v="0"/>
    <n v="0"/>
    <n v="0"/>
    <n v="0"/>
    <n v="0"/>
    <n v="0"/>
    <n v="0"/>
    <n v="4"/>
    <x v="1"/>
    <n v="0"/>
    <n v="1"/>
    <n v="5562"/>
    <n v="5562"/>
    <n v="4"/>
    <x v="1"/>
    <n v="0"/>
    <n v="13"/>
    <n v="3"/>
    <n v="2"/>
    <n v="1"/>
    <n v="12"/>
    <n v="12"/>
    <n v="2"/>
    <n v="2"/>
    <n v="5"/>
    <n v="5"/>
    <n v="2"/>
    <n v="2"/>
    <n v="2"/>
    <n v="2"/>
    <n v="2"/>
    <n v="4"/>
  </r>
  <r>
    <n v="47"/>
    <n v="47"/>
    <x v="1"/>
    <n v="0"/>
    <s v="Travel_Rarely"/>
    <n v="0"/>
    <n v="1"/>
    <x v="0"/>
    <n v="0"/>
    <n v="1"/>
    <n v="2"/>
    <n v="2"/>
    <n v="2"/>
    <s v="Marketing"/>
    <n v="0"/>
    <n v="0"/>
    <n v="0"/>
    <n v="1"/>
    <n v="0"/>
    <x v="1"/>
    <s v="Female"/>
    <n v="1"/>
    <n v="35"/>
    <n v="3"/>
    <n v="2"/>
    <s v="Sales Executive"/>
    <n v="0"/>
    <n v="1"/>
    <n v="0"/>
    <n v="0"/>
    <n v="0"/>
    <n v="0"/>
    <n v="0"/>
    <n v="0"/>
    <n v="4"/>
    <x v="1"/>
    <n v="0"/>
    <n v="1"/>
    <n v="4537"/>
    <n v="4537"/>
    <n v="0"/>
    <x v="0"/>
    <n v="1"/>
    <n v="22"/>
    <n v="4"/>
    <n v="1"/>
    <n v="1"/>
    <n v="8"/>
    <n v="8"/>
    <n v="2"/>
    <n v="3"/>
    <n v="7"/>
    <n v="7"/>
    <n v="6"/>
    <n v="7"/>
    <n v="7"/>
    <n v="7"/>
    <n v="7"/>
    <n v="14"/>
  </r>
  <r>
    <n v="37"/>
    <n v="37"/>
    <x v="1"/>
    <n v="0"/>
    <s v="Non-Travel"/>
    <n v="0"/>
    <n v="0"/>
    <x v="0"/>
    <n v="0"/>
    <n v="1"/>
    <n v="19"/>
    <n v="19"/>
    <n v="2"/>
    <s v="Medical"/>
    <n v="0"/>
    <n v="0"/>
    <n v="1"/>
    <n v="0"/>
    <n v="0"/>
    <x v="3"/>
    <s v="Male"/>
    <n v="0"/>
    <n v="32"/>
    <n v="3"/>
    <n v="3"/>
    <s v="Sales Executive"/>
    <n v="0"/>
    <n v="1"/>
    <n v="0"/>
    <n v="0"/>
    <n v="0"/>
    <n v="0"/>
    <n v="0"/>
    <n v="0"/>
    <n v="2"/>
    <x v="0"/>
    <n v="1"/>
    <n v="0"/>
    <n v="7642"/>
    <n v="7642"/>
    <n v="1"/>
    <x v="0"/>
    <n v="1"/>
    <n v="13"/>
    <n v="3"/>
    <n v="4"/>
    <n v="0"/>
    <n v="10"/>
    <n v="10"/>
    <n v="2"/>
    <n v="3"/>
    <n v="10"/>
    <n v="10"/>
    <n v="0"/>
    <n v="0"/>
    <n v="0"/>
    <n v="9"/>
    <n v="9"/>
    <n v="27"/>
  </r>
  <r>
    <n v="50"/>
    <n v="50"/>
    <x v="1"/>
    <n v="0"/>
    <s v="Non-Travel"/>
    <n v="0"/>
    <n v="0"/>
    <x v="1"/>
    <n v="1"/>
    <n v="0"/>
    <n v="2"/>
    <n v="2"/>
    <n v="4"/>
    <s v="Life Sciences"/>
    <n v="1"/>
    <n v="0"/>
    <n v="0"/>
    <n v="0"/>
    <n v="0"/>
    <x v="3"/>
    <s v="Male"/>
    <n v="0"/>
    <n v="98"/>
    <n v="3"/>
    <n v="4"/>
    <s v="Manager"/>
    <n v="0"/>
    <n v="0"/>
    <n v="0"/>
    <n v="1"/>
    <n v="0"/>
    <n v="0"/>
    <n v="0"/>
    <n v="0"/>
    <n v="1"/>
    <x v="2"/>
    <n v="0"/>
    <n v="0"/>
    <n v="17924"/>
    <n v="17924"/>
    <n v="1"/>
    <x v="1"/>
    <n v="0"/>
    <n v="11"/>
    <n v="3"/>
    <n v="4"/>
    <n v="1"/>
    <n v="31"/>
    <n v="31"/>
    <n v="3"/>
    <n v="3"/>
    <n v="31"/>
    <n v="31"/>
    <n v="6"/>
    <n v="14"/>
    <n v="14"/>
    <n v="7"/>
    <n v="7"/>
    <n v="28"/>
  </r>
  <r>
    <n v="39"/>
    <n v="39"/>
    <x v="1"/>
    <n v="0"/>
    <s v="Travel_Rarely"/>
    <n v="0"/>
    <n v="1"/>
    <x v="2"/>
    <n v="0"/>
    <n v="0"/>
    <n v="2"/>
    <n v="2"/>
    <n v="3"/>
    <s v="Life Sciences"/>
    <n v="1"/>
    <n v="0"/>
    <n v="0"/>
    <n v="0"/>
    <n v="0"/>
    <x v="2"/>
    <s v="Female"/>
    <n v="1"/>
    <n v="42"/>
    <n v="2"/>
    <n v="2"/>
    <s v="Human Resources"/>
    <n v="0"/>
    <n v="0"/>
    <n v="0"/>
    <n v="0"/>
    <n v="0"/>
    <n v="0"/>
    <n v="0"/>
    <n v="0"/>
    <n v="4"/>
    <x v="1"/>
    <n v="0"/>
    <n v="1"/>
    <n v="5204"/>
    <n v="5204"/>
    <n v="8"/>
    <x v="1"/>
    <n v="0"/>
    <n v="11"/>
    <n v="3"/>
    <n v="3"/>
    <n v="2"/>
    <n v="13"/>
    <n v="13"/>
    <n v="2"/>
    <n v="3"/>
    <n v="5"/>
    <n v="5"/>
    <n v="4"/>
    <n v="0"/>
    <n v="0"/>
    <n v="4"/>
    <n v="4"/>
    <n v="8"/>
  </r>
  <r>
    <n v="33"/>
    <n v="33"/>
    <x v="1"/>
    <n v="0"/>
    <s v="Travel_Rarely"/>
    <n v="0"/>
    <n v="1"/>
    <x v="2"/>
    <n v="0"/>
    <n v="0"/>
    <n v="3"/>
    <n v="3"/>
    <n v="2"/>
    <s v="Human Resources"/>
    <n v="0"/>
    <n v="0"/>
    <n v="0"/>
    <n v="0"/>
    <n v="0"/>
    <x v="2"/>
    <s v="Male"/>
    <n v="0"/>
    <n v="57"/>
    <n v="3"/>
    <n v="1"/>
    <s v="Human Resources"/>
    <n v="0"/>
    <n v="0"/>
    <n v="0"/>
    <n v="0"/>
    <n v="0"/>
    <n v="0"/>
    <n v="0"/>
    <n v="0"/>
    <n v="2"/>
    <x v="2"/>
    <n v="0"/>
    <n v="0"/>
    <n v="2277"/>
    <n v="2277"/>
    <n v="3"/>
    <x v="0"/>
    <n v="1"/>
    <n v="11"/>
    <n v="3"/>
    <n v="3"/>
    <n v="1"/>
    <n v="7"/>
    <n v="7"/>
    <n v="4"/>
    <n v="4"/>
    <n v="4"/>
    <n v="4"/>
    <n v="3"/>
    <n v="0"/>
    <n v="0"/>
    <n v="3"/>
    <n v="3"/>
    <n v="3"/>
  </r>
  <r>
    <n v="32"/>
    <n v="32"/>
    <x v="0"/>
    <n v="1"/>
    <s v="Travel_Rarely"/>
    <n v="0"/>
    <n v="1"/>
    <x v="1"/>
    <n v="1"/>
    <n v="0"/>
    <n v="25"/>
    <n v="25"/>
    <n v="4"/>
    <s v="Life Sciences"/>
    <n v="1"/>
    <n v="0"/>
    <n v="0"/>
    <n v="0"/>
    <n v="0"/>
    <x v="3"/>
    <s v="Male"/>
    <n v="0"/>
    <n v="87"/>
    <n v="3"/>
    <n v="1"/>
    <s v="Laboratory Technician"/>
    <n v="0"/>
    <n v="0"/>
    <n v="1"/>
    <n v="0"/>
    <n v="0"/>
    <n v="0"/>
    <n v="0"/>
    <n v="0"/>
    <n v="4"/>
    <x v="0"/>
    <n v="1"/>
    <n v="0"/>
    <n v="2795"/>
    <n v="2795"/>
    <n v="1"/>
    <x v="0"/>
    <n v="1"/>
    <n v="24"/>
    <n v="4"/>
    <n v="3"/>
    <n v="0"/>
    <n v="1"/>
    <n v="1"/>
    <n v="2"/>
    <n v="1"/>
    <n v="1"/>
    <n v="1"/>
    <n v="0"/>
    <n v="0"/>
    <n v="0"/>
    <n v="1"/>
    <n v="1"/>
    <n v="1"/>
  </r>
  <r>
    <n v="29"/>
    <n v="29"/>
    <x v="1"/>
    <n v="0"/>
    <s v="Travel_Rarely"/>
    <n v="0"/>
    <n v="1"/>
    <x v="1"/>
    <n v="1"/>
    <n v="0"/>
    <n v="7"/>
    <n v="7"/>
    <n v="1"/>
    <s v="Medical"/>
    <n v="0"/>
    <n v="0"/>
    <n v="1"/>
    <n v="0"/>
    <n v="0"/>
    <x v="3"/>
    <s v="Female"/>
    <n v="1"/>
    <n v="62"/>
    <n v="2"/>
    <n v="1"/>
    <s v="Laboratory Technician"/>
    <n v="0"/>
    <n v="0"/>
    <n v="1"/>
    <n v="0"/>
    <n v="0"/>
    <n v="0"/>
    <n v="0"/>
    <n v="0"/>
    <n v="4"/>
    <x v="2"/>
    <n v="0"/>
    <n v="0"/>
    <n v="2532"/>
    <n v="2532"/>
    <n v="6"/>
    <x v="1"/>
    <n v="0"/>
    <n v="14"/>
    <n v="3"/>
    <n v="3"/>
    <n v="3"/>
    <n v="8"/>
    <n v="8"/>
    <n v="5"/>
    <n v="3"/>
    <n v="4"/>
    <n v="4"/>
    <n v="3"/>
    <n v="0"/>
    <n v="0"/>
    <n v="3"/>
    <n v="3"/>
    <n v="3"/>
  </r>
  <r>
    <n v="44"/>
    <n v="44"/>
    <x v="1"/>
    <n v="0"/>
    <s v="Travel_Rarely"/>
    <n v="0"/>
    <n v="1"/>
    <x v="1"/>
    <n v="1"/>
    <n v="0"/>
    <n v="9"/>
    <n v="9"/>
    <n v="2"/>
    <s v="Life Sciences"/>
    <n v="1"/>
    <n v="0"/>
    <n v="0"/>
    <n v="0"/>
    <n v="0"/>
    <x v="0"/>
    <s v="Male"/>
    <n v="0"/>
    <n v="61"/>
    <n v="3"/>
    <n v="1"/>
    <s v="Research Scientist"/>
    <n v="0"/>
    <n v="0"/>
    <n v="0"/>
    <n v="0"/>
    <n v="0"/>
    <n v="0"/>
    <n v="0"/>
    <n v="1"/>
    <n v="1"/>
    <x v="1"/>
    <n v="0"/>
    <n v="1"/>
    <n v="2559"/>
    <n v="2559"/>
    <n v="1"/>
    <x v="0"/>
    <n v="1"/>
    <n v="13"/>
    <n v="3"/>
    <n v="4"/>
    <n v="0"/>
    <n v="8"/>
    <n v="8"/>
    <n v="0"/>
    <n v="3"/>
    <n v="8"/>
    <n v="8"/>
    <n v="7"/>
    <n v="7"/>
    <n v="7"/>
    <n v="1"/>
    <n v="1"/>
    <n v="1"/>
  </r>
  <r>
    <n v="28"/>
    <n v="28"/>
    <x v="1"/>
    <n v="0"/>
    <s v="Travel_Rarely"/>
    <n v="0"/>
    <n v="1"/>
    <x v="0"/>
    <n v="0"/>
    <n v="1"/>
    <n v="5"/>
    <n v="5"/>
    <n v="4"/>
    <s v="Medical"/>
    <n v="0"/>
    <n v="0"/>
    <n v="1"/>
    <n v="0"/>
    <n v="0"/>
    <x v="3"/>
    <s v="Male"/>
    <n v="0"/>
    <n v="98"/>
    <n v="3"/>
    <n v="2"/>
    <s v="Sales Executive"/>
    <n v="0"/>
    <n v="1"/>
    <n v="0"/>
    <n v="0"/>
    <n v="0"/>
    <n v="0"/>
    <n v="0"/>
    <n v="0"/>
    <n v="4"/>
    <x v="0"/>
    <n v="1"/>
    <n v="0"/>
    <n v="4908"/>
    <n v="4908"/>
    <n v="1"/>
    <x v="1"/>
    <n v="0"/>
    <n v="14"/>
    <n v="3"/>
    <n v="2"/>
    <n v="0"/>
    <n v="4"/>
    <n v="4"/>
    <n v="3"/>
    <n v="3"/>
    <n v="4"/>
    <n v="4"/>
    <n v="2"/>
    <n v="0"/>
    <n v="0"/>
    <n v="2"/>
    <n v="2"/>
    <n v="4"/>
  </r>
  <r>
    <n v="58"/>
    <n v="58"/>
    <x v="0"/>
    <n v="1"/>
    <s v="Travel_Frequently"/>
    <n v="1"/>
    <n v="0"/>
    <x v="1"/>
    <n v="1"/>
    <n v="0"/>
    <n v="2"/>
    <n v="2"/>
    <n v="1"/>
    <s v="Life Sciences"/>
    <n v="1"/>
    <n v="0"/>
    <n v="0"/>
    <n v="0"/>
    <n v="0"/>
    <x v="2"/>
    <s v="Male"/>
    <n v="0"/>
    <n v="57"/>
    <n v="2"/>
    <n v="1"/>
    <s v="Laboratory Technician"/>
    <n v="0"/>
    <n v="0"/>
    <n v="1"/>
    <n v="0"/>
    <n v="0"/>
    <n v="0"/>
    <n v="0"/>
    <n v="0"/>
    <n v="4"/>
    <x v="2"/>
    <n v="0"/>
    <n v="0"/>
    <n v="2380"/>
    <n v="2380"/>
    <n v="9"/>
    <x v="0"/>
    <n v="1"/>
    <n v="14"/>
    <n v="3"/>
    <n v="4"/>
    <n v="1"/>
    <n v="3"/>
    <n v="3"/>
    <n v="3"/>
    <n v="2"/>
    <n v="1"/>
    <n v="1"/>
    <n v="0"/>
    <n v="0"/>
    <n v="0"/>
    <n v="0"/>
    <n v="0"/>
    <n v="0"/>
  </r>
  <r>
    <n v="43"/>
    <n v="43"/>
    <x v="1"/>
    <n v="0"/>
    <s v="Travel_Rarely"/>
    <n v="0"/>
    <n v="1"/>
    <x v="1"/>
    <n v="1"/>
    <n v="0"/>
    <n v="8"/>
    <n v="8"/>
    <n v="3"/>
    <s v="Life Sciences"/>
    <n v="1"/>
    <n v="0"/>
    <n v="0"/>
    <n v="0"/>
    <n v="0"/>
    <x v="3"/>
    <s v="Female"/>
    <n v="1"/>
    <n v="55"/>
    <n v="3"/>
    <n v="2"/>
    <s v="Manufacturing Director"/>
    <n v="0"/>
    <n v="0"/>
    <n v="0"/>
    <n v="0"/>
    <n v="1"/>
    <n v="1"/>
    <n v="0"/>
    <n v="0"/>
    <n v="2"/>
    <x v="2"/>
    <n v="0"/>
    <n v="0"/>
    <n v="4765"/>
    <n v="4765"/>
    <n v="4"/>
    <x v="1"/>
    <n v="0"/>
    <n v="21"/>
    <n v="4"/>
    <n v="3"/>
    <n v="1"/>
    <n v="4"/>
    <n v="4"/>
    <n v="2"/>
    <n v="4"/>
    <n v="1"/>
    <n v="1"/>
    <n v="0"/>
    <n v="0"/>
    <n v="0"/>
    <n v="0"/>
    <n v="0"/>
    <n v="0"/>
  </r>
  <r>
    <n v="20"/>
    <n v="20"/>
    <x v="0"/>
    <n v="1"/>
    <s v="Travel_Rarely"/>
    <n v="0"/>
    <n v="1"/>
    <x v="0"/>
    <n v="0"/>
    <n v="1"/>
    <n v="2"/>
    <n v="2"/>
    <n v="3"/>
    <s v="Medical"/>
    <n v="0"/>
    <n v="0"/>
    <n v="1"/>
    <n v="0"/>
    <n v="0"/>
    <x v="1"/>
    <s v="Female"/>
    <n v="1"/>
    <n v="49"/>
    <n v="2"/>
    <n v="1"/>
    <s v="Sales Representative"/>
    <n v="0"/>
    <n v="0"/>
    <n v="0"/>
    <n v="0"/>
    <n v="0"/>
    <n v="0"/>
    <n v="1"/>
    <n v="0"/>
    <n v="3"/>
    <x v="0"/>
    <n v="1"/>
    <n v="0"/>
    <n v="2044"/>
    <n v="2044"/>
    <n v="1"/>
    <x v="1"/>
    <n v="0"/>
    <n v="13"/>
    <n v="3"/>
    <n v="4"/>
    <n v="0"/>
    <n v="2"/>
    <n v="2"/>
    <n v="3"/>
    <n v="2"/>
    <n v="2"/>
    <n v="2"/>
    <n v="2"/>
    <n v="0"/>
    <n v="0"/>
    <n v="2"/>
    <n v="2"/>
    <n v="2"/>
  </r>
  <r>
    <n v="21"/>
    <n v="21"/>
    <x v="0"/>
    <n v="1"/>
    <s v="Travel_Rarely"/>
    <n v="0"/>
    <n v="1"/>
    <x v="1"/>
    <n v="1"/>
    <n v="0"/>
    <n v="18"/>
    <n v="18"/>
    <n v="1"/>
    <s v="Other"/>
    <n v="0"/>
    <n v="1"/>
    <n v="0"/>
    <n v="0"/>
    <n v="0"/>
    <x v="2"/>
    <s v="Female"/>
    <n v="1"/>
    <n v="65"/>
    <n v="3"/>
    <n v="1"/>
    <s v="Research Scientist"/>
    <n v="0"/>
    <n v="0"/>
    <n v="0"/>
    <n v="0"/>
    <n v="0"/>
    <n v="0"/>
    <n v="0"/>
    <n v="1"/>
    <n v="4"/>
    <x v="0"/>
    <n v="1"/>
    <n v="0"/>
    <n v="2693"/>
    <n v="2693"/>
    <n v="1"/>
    <x v="1"/>
    <n v="0"/>
    <n v="19"/>
    <n v="3"/>
    <n v="1"/>
    <n v="0"/>
    <n v="1"/>
    <n v="1"/>
    <n v="3"/>
    <n v="2"/>
    <n v="1"/>
    <n v="1"/>
    <n v="0"/>
    <n v="0"/>
    <n v="0"/>
    <n v="0"/>
    <n v="0"/>
    <n v="0"/>
  </r>
  <r>
    <n v="36"/>
    <n v="36"/>
    <x v="1"/>
    <n v="0"/>
    <s v="Travel_Rarely"/>
    <n v="0"/>
    <n v="1"/>
    <x v="1"/>
    <n v="1"/>
    <n v="0"/>
    <n v="14"/>
    <n v="14"/>
    <n v="1"/>
    <s v="Life Sciences"/>
    <n v="1"/>
    <n v="0"/>
    <n v="0"/>
    <n v="0"/>
    <n v="0"/>
    <x v="1"/>
    <s v="Male"/>
    <n v="0"/>
    <n v="68"/>
    <n v="3"/>
    <n v="2"/>
    <s v="Healthcare Representative"/>
    <n v="1"/>
    <n v="0"/>
    <n v="0"/>
    <n v="0"/>
    <n v="0"/>
    <n v="0"/>
    <n v="0"/>
    <n v="0"/>
    <n v="4"/>
    <x v="1"/>
    <n v="0"/>
    <n v="1"/>
    <n v="6586"/>
    <n v="6586"/>
    <n v="0"/>
    <x v="0"/>
    <n v="1"/>
    <n v="17"/>
    <n v="3"/>
    <n v="1"/>
    <n v="1"/>
    <n v="17"/>
    <n v="17"/>
    <n v="2"/>
    <n v="2"/>
    <n v="16"/>
    <n v="16"/>
    <n v="8"/>
    <n v="4"/>
    <n v="4"/>
    <n v="11"/>
    <n v="11"/>
    <n v="22"/>
  </r>
  <r>
    <n v="47"/>
    <n v="47"/>
    <x v="1"/>
    <n v="0"/>
    <s v="Travel_Rarely"/>
    <n v="0"/>
    <n v="1"/>
    <x v="0"/>
    <n v="0"/>
    <n v="1"/>
    <n v="2"/>
    <n v="2"/>
    <n v="4"/>
    <s v="Life Sciences"/>
    <n v="1"/>
    <n v="0"/>
    <n v="0"/>
    <n v="0"/>
    <n v="0"/>
    <x v="2"/>
    <s v="Female"/>
    <n v="1"/>
    <n v="65"/>
    <n v="2"/>
    <n v="1"/>
    <s v="Sales Representative"/>
    <n v="0"/>
    <n v="0"/>
    <n v="0"/>
    <n v="0"/>
    <n v="0"/>
    <n v="0"/>
    <n v="1"/>
    <n v="0"/>
    <n v="4"/>
    <x v="0"/>
    <n v="1"/>
    <n v="0"/>
    <n v="3294"/>
    <n v="3294"/>
    <n v="1"/>
    <x v="0"/>
    <n v="1"/>
    <n v="18"/>
    <n v="3"/>
    <n v="1"/>
    <n v="0"/>
    <n v="3"/>
    <n v="3"/>
    <n v="3"/>
    <n v="2"/>
    <n v="3"/>
    <n v="3"/>
    <n v="2"/>
    <n v="1"/>
    <n v="1"/>
    <n v="2"/>
    <n v="2"/>
    <n v="2"/>
  </r>
  <r>
    <n v="22"/>
    <n v="22"/>
    <x v="0"/>
    <n v="1"/>
    <s v="Travel_Rarely"/>
    <n v="0"/>
    <n v="1"/>
    <x v="1"/>
    <n v="1"/>
    <n v="0"/>
    <n v="3"/>
    <n v="3"/>
    <n v="1"/>
    <s v="Life Sciences"/>
    <n v="1"/>
    <n v="0"/>
    <n v="0"/>
    <n v="0"/>
    <n v="0"/>
    <x v="0"/>
    <s v="Female"/>
    <n v="1"/>
    <n v="34"/>
    <n v="3"/>
    <n v="2"/>
    <s v="Manufacturing Director"/>
    <n v="0"/>
    <n v="0"/>
    <n v="0"/>
    <n v="0"/>
    <n v="1"/>
    <n v="1"/>
    <n v="0"/>
    <n v="0"/>
    <n v="3"/>
    <x v="1"/>
    <n v="0"/>
    <n v="1"/>
    <n v="4171"/>
    <n v="4171"/>
    <n v="0"/>
    <x v="0"/>
    <n v="1"/>
    <n v="19"/>
    <n v="3"/>
    <n v="1"/>
    <n v="1"/>
    <n v="4"/>
    <n v="4"/>
    <n v="3"/>
    <n v="4"/>
    <n v="3"/>
    <n v="3"/>
    <n v="2"/>
    <n v="0"/>
    <n v="0"/>
    <n v="2"/>
    <n v="2"/>
    <n v="4"/>
  </r>
  <r>
    <n v="41"/>
    <n v="41"/>
    <x v="0"/>
    <n v="1"/>
    <s v="Travel_Rarely"/>
    <n v="0"/>
    <n v="1"/>
    <x v="1"/>
    <n v="1"/>
    <n v="0"/>
    <n v="2"/>
    <n v="2"/>
    <n v="4"/>
    <s v="Life Sciences"/>
    <n v="1"/>
    <n v="0"/>
    <n v="0"/>
    <n v="0"/>
    <n v="0"/>
    <x v="0"/>
    <s v="Female"/>
    <n v="1"/>
    <n v="57"/>
    <n v="1"/>
    <n v="1"/>
    <s v="Laboratory Technician"/>
    <n v="0"/>
    <n v="0"/>
    <n v="1"/>
    <n v="0"/>
    <n v="0"/>
    <n v="0"/>
    <n v="0"/>
    <n v="0"/>
    <n v="4"/>
    <x v="2"/>
    <n v="0"/>
    <n v="0"/>
    <n v="2778"/>
    <n v="2778"/>
    <n v="4"/>
    <x v="0"/>
    <n v="1"/>
    <n v="13"/>
    <n v="3"/>
    <n v="3"/>
    <n v="1"/>
    <n v="10"/>
    <n v="10"/>
    <n v="1"/>
    <n v="2"/>
    <n v="7"/>
    <n v="7"/>
    <n v="7"/>
    <n v="1"/>
    <n v="1"/>
    <n v="0"/>
    <n v="0"/>
    <n v="0"/>
  </r>
  <r>
    <n v="28"/>
    <n v="28"/>
    <x v="1"/>
    <n v="0"/>
    <s v="Travel_Rarely"/>
    <n v="0"/>
    <n v="1"/>
    <x v="1"/>
    <n v="1"/>
    <n v="0"/>
    <n v="9"/>
    <n v="9"/>
    <n v="3"/>
    <s v="Medical"/>
    <n v="0"/>
    <n v="0"/>
    <n v="1"/>
    <n v="0"/>
    <n v="0"/>
    <x v="1"/>
    <s v="Female"/>
    <n v="1"/>
    <n v="77"/>
    <n v="3"/>
    <n v="1"/>
    <s v="Research Scientist"/>
    <n v="0"/>
    <n v="0"/>
    <n v="0"/>
    <n v="0"/>
    <n v="0"/>
    <n v="0"/>
    <n v="0"/>
    <n v="1"/>
    <n v="3"/>
    <x v="2"/>
    <n v="0"/>
    <n v="0"/>
    <n v="2377"/>
    <n v="2377"/>
    <n v="5"/>
    <x v="1"/>
    <n v="0"/>
    <n v="18"/>
    <n v="3"/>
    <n v="2"/>
    <n v="1"/>
    <n v="6"/>
    <n v="6"/>
    <n v="2"/>
    <n v="3"/>
    <n v="2"/>
    <n v="2"/>
    <n v="2"/>
    <n v="2"/>
    <n v="2"/>
    <n v="2"/>
    <n v="2"/>
    <n v="2"/>
  </r>
  <r>
    <n v="39"/>
    <n v="39"/>
    <x v="0"/>
    <n v="1"/>
    <s v="Travel_Rarely"/>
    <n v="0"/>
    <n v="1"/>
    <x v="1"/>
    <n v="1"/>
    <n v="0"/>
    <n v="6"/>
    <n v="6"/>
    <n v="3"/>
    <s v="Medical"/>
    <n v="0"/>
    <n v="0"/>
    <n v="1"/>
    <n v="0"/>
    <n v="0"/>
    <x v="2"/>
    <s v="Male"/>
    <n v="0"/>
    <n v="70"/>
    <n v="3"/>
    <n v="1"/>
    <s v="Laboratory Technician"/>
    <n v="0"/>
    <n v="0"/>
    <n v="1"/>
    <n v="0"/>
    <n v="0"/>
    <n v="0"/>
    <n v="0"/>
    <n v="0"/>
    <n v="1"/>
    <x v="1"/>
    <n v="0"/>
    <n v="1"/>
    <n v="2404"/>
    <n v="2404"/>
    <n v="7"/>
    <x v="0"/>
    <n v="1"/>
    <n v="21"/>
    <n v="4"/>
    <n v="4"/>
    <n v="0"/>
    <n v="8"/>
    <n v="8"/>
    <n v="2"/>
    <n v="1"/>
    <n v="2"/>
    <n v="2"/>
    <n v="2"/>
    <n v="2"/>
    <n v="2"/>
    <n v="2"/>
    <n v="2"/>
    <n v="2"/>
  </r>
  <r>
    <n v="27"/>
    <n v="27"/>
    <x v="1"/>
    <n v="0"/>
    <s v="Travel_Rarely"/>
    <n v="0"/>
    <n v="1"/>
    <x v="1"/>
    <n v="1"/>
    <n v="0"/>
    <n v="4"/>
    <n v="4"/>
    <n v="3"/>
    <s v="Life Sciences"/>
    <n v="1"/>
    <n v="0"/>
    <n v="0"/>
    <n v="0"/>
    <n v="0"/>
    <x v="0"/>
    <s v="Female"/>
    <n v="1"/>
    <n v="76"/>
    <n v="3"/>
    <n v="1"/>
    <s v="Research Scientist"/>
    <n v="0"/>
    <n v="0"/>
    <n v="0"/>
    <n v="0"/>
    <n v="0"/>
    <n v="0"/>
    <n v="0"/>
    <n v="1"/>
    <n v="3"/>
    <x v="0"/>
    <n v="1"/>
    <n v="0"/>
    <n v="2318"/>
    <n v="2318"/>
    <n v="1"/>
    <x v="1"/>
    <n v="0"/>
    <n v="19"/>
    <n v="3"/>
    <n v="3"/>
    <n v="0"/>
    <n v="1"/>
    <n v="1"/>
    <n v="2"/>
    <n v="3"/>
    <n v="1"/>
    <n v="1"/>
    <n v="1"/>
    <n v="0"/>
    <n v="0"/>
    <n v="0"/>
    <n v="0"/>
    <n v="0"/>
  </r>
  <r>
    <n v="34"/>
    <n v="34"/>
    <x v="1"/>
    <n v="0"/>
    <s v="Travel_Rarely"/>
    <n v="0"/>
    <n v="1"/>
    <x v="1"/>
    <n v="1"/>
    <n v="0"/>
    <n v="10"/>
    <n v="10"/>
    <n v="3"/>
    <s v="Life Sciences"/>
    <n v="1"/>
    <n v="0"/>
    <n v="0"/>
    <n v="0"/>
    <n v="0"/>
    <x v="0"/>
    <s v="Male"/>
    <n v="0"/>
    <n v="83"/>
    <n v="3"/>
    <n v="1"/>
    <s v="Laboratory Technician"/>
    <n v="0"/>
    <n v="0"/>
    <n v="1"/>
    <n v="0"/>
    <n v="0"/>
    <n v="0"/>
    <n v="0"/>
    <n v="0"/>
    <n v="2"/>
    <x v="2"/>
    <n v="0"/>
    <n v="0"/>
    <n v="2008"/>
    <n v="2008"/>
    <n v="1"/>
    <x v="1"/>
    <n v="0"/>
    <n v="14"/>
    <n v="3"/>
    <n v="2"/>
    <n v="2"/>
    <n v="1"/>
    <n v="1"/>
    <n v="3"/>
    <n v="3"/>
    <n v="1"/>
    <n v="1"/>
    <n v="0"/>
    <n v="1"/>
    <n v="1"/>
    <n v="0"/>
    <n v="0"/>
    <n v="0"/>
  </r>
  <r>
    <n v="42"/>
    <n v="42"/>
    <x v="1"/>
    <n v="0"/>
    <s v="Travel_Rarely"/>
    <n v="0"/>
    <n v="1"/>
    <x v="0"/>
    <n v="0"/>
    <n v="1"/>
    <n v="14"/>
    <n v="14"/>
    <n v="2"/>
    <s v="Medical"/>
    <n v="0"/>
    <n v="0"/>
    <n v="1"/>
    <n v="0"/>
    <n v="0"/>
    <x v="1"/>
    <s v="Female"/>
    <n v="1"/>
    <n v="68"/>
    <n v="2"/>
    <n v="2"/>
    <s v="Sales Executive"/>
    <n v="0"/>
    <n v="1"/>
    <n v="0"/>
    <n v="0"/>
    <n v="0"/>
    <n v="0"/>
    <n v="0"/>
    <n v="0"/>
    <n v="3"/>
    <x v="0"/>
    <n v="1"/>
    <n v="0"/>
    <n v="6244"/>
    <n v="6244"/>
    <n v="7"/>
    <x v="1"/>
    <n v="0"/>
    <n v="17"/>
    <n v="3"/>
    <n v="1"/>
    <n v="0"/>
    <n v="10"/>
    <n v="10"/>
    <n v="6"/>
    <n v="3"/>
    <n v="5"/>
    <n v="5"/>
    <n v="4"/>
    <n v="0"/>
    <n v="0"/>
    <n v="3"/>
    <n v="3"/>
    <n v="6"/>
  </r>
  <r>
    <n v="33"/>
    <n v="33"/>
    <x v="1"/>
    <n v="0"/>
    <s v="Travel_Rarely"/>
    <n v="0"/>
    <n v="1"/>
    <x v="1"/>
    <n v="1"/>
    <n v="0"/>
    <n v="1"/>
    <n v="1"/>
    <n v="4"/>
    <s v="Other"/>
    <n v="0"/>
    <n v="1"/>
    <n v="0"/>
    <n v="0"/>
    <n v="0"/>
    <x v="1"/>
    <s v="Male"/>
    <n v="0"/>
    <n v="100"/>
    <n v="2"/>
    <n v="1"/>
    <s v="Research Scientist"/>
    <n v="0"/>
    <n v="0"/>
    <n v="0"/>
    <n v="0"/>
    <n v="0"/>
    <n v="0"/>
    <n v="0"/>
    <n v="1"/>
    <n v="1"/>
    <x v="0"/>
    <n v="1"/>
    <n v="0"/>
    <n v="2799"/>
    <n v="2799"/>
    <n v="3"/>
    <x v="0"/>
    <n v="1"/>
    <n v="11"/>
    <n v="3"/>
    <n v="2"/>
    <n v="0"/>
    <n v="6"/>
    <n v="6"/>
    <n v="1"/>
    <n v="3"/>
    <n v="3"/>
    <n v="3"/>
    <n v="2"/>
    <n v="0"/>
    <n v="0"/>
    <n v="2"/>
    <n v="2"/>
    <n v="2"/>
  </r>
  <r>
    <n v="58"/>
    <n v="58"/>
    <x v="1"/>
    <n v="0"/>
    <s v="Travel_Rarely"/>
    <n v="0"/>
    <n v="1"/>
    <x v="1"/>
    <n v="1"/>
    <n v="0"/>
    <n v="5"/>
    <n v="5"/>
    <n v="3"/>
    <s v="Technical Degree"/>
    <n v="0"/>
    <n v="0"/>
    <n v="0"/>
    <n v="0"/>
    <n v="1"/>
    <x v="1"/>
    <s v="Female"/>
    <n v="1"/>
    <n v="37"/>
    <n v="2"/>
    <n v="3"/>
    <s v="Healthcare Representative"/>
    <n v="1"/>
    <n v="0"/>
    <n v="0"/>
    <n v="0"/>
    <n v="0"/>
    <n v="0"/>
    <n v="0"/>
    <n v="0"/>
    <n v="2"/>
    <x v="2"/>
    <n v="0"/>
    <n v="0"/>
    <n v="10552"/>
    <n v="10552"/>
    <n v="2"/>
    <x v="0"/>
    <n v="1"/>
    <n v="13"/>
    <n v="3"/>
    <n v="4"/>
    <n v="1"/>
    <n v="24"/>
    <n v="24"/>
    <n v="3"/>
    <n v="3"/>
    <n v="6"/>
    <n v="6"/>
    <n v="0"/>
    <n v="0"/>
    <n v="0"/>
    <n v="4"/>
    <n v="4"/>
    <n v="12"/>
  </r>
  <r>
    <n v="31"/>
    <n v="31"/>
    <x v="1"/>
    <n v="0"/>
    <s v="Travel_Rarely"/>
    <n v="0"/>
    <n v="1"/>
    <x v="0"/>
    <n v="0"/>
    <n v="1"/>
    <n v="7"/>
    <n v="7"/>
    <n v="4"/>
    <s v="Life Sciences"/>
    <n v="1"/>
    <n v="0"/>
    <n v="0"/>
    <n v="0"/>
    <n v="0"/>
    <x v="0"/>
    <s v="Male"/>
    <n v="0"/>
    <n v="41"/>
    <n v="2"/>
    <n v="1"/>
    <s v="Sales Representative"/>
    <n v="0"/>
    <n v="0"/>
    <n v="0"/>
    <n v="0"/>
    <n v="0"/>
    <n v="0"/>
    <n v="1"/>
    <n v="0"/>
    <n v="3"/>
    <x v="1"/>
    <n v="0"/>
    <n v="1"/>
    <n v="2329"/>
    <n v="2329"/>
    <n v="3"/>
    <x v="1"/>
    <n v="0"/>
    <n v="15"/>
    <n v="3"/>
    <n v="2"/>
    <n v="0"/>
    <n v="13"/>
    <n v="13"/>
    <n v="2"/>
    <n v="4"/>
    <n v="7"/>
    <n v="7"/>
    <n v="7"/>
    <n v="5"/>
    <n v="5"/>
    <n v="2"/>
    <n v="2"/>
    <n v="2"/>
  </r>
  <r>
    <n v="35"/>
    <n v="35"/>
    <x v="1"/>
    <n v="0"/>
    <s v="Travel_Rarely"/>
    <n v="0"/>
    <n v="1"/>
    <x v="1"/>
    <n v="1"/>
    <n v="0"/>
    <n v="21"/>
    <n v="21"/>
    <n v="1"/>
    <s v="Life Sciences"/>
    <n v="1"/>
    <n v="0"/>
    <n v="0"/>
    <n v="0"/>
    <n v="0"/>
    <x v="2"/>
    <s v="Female"/>
    <n v="1"/>
    <n v="51"/>
    <n v="3"/>
    <n v="2"/>
    <s v="Healthcare Representative"/>
    <n v="1"/>
    <n v="0"/>
    <n v="0"/>
    <n v="0"/>
    <n v="0"/>
    <n v="0"/>
    <n v="0"/>
    <n v="0"/>
    <n v="4"/>
    <x v="1"/>
    <n v="0"/>
    <n v="1"/>
    <n v="4014"/>
    <n v="4014"/>
    <n v="1"/>
    <x v="0"/>
    <n v="1"/>
    <n v="25"/>
    <n v="4"/>
    <n v="4"/>
    <n v="1"/>
    <n v="10"/>
    <n v="10"/>
    <n v="2"/>
    <n v="1"/>
    <n v="10"/>
    <n v="10"/>
    <n v="6"/>
    <n v="0"/>
    <n v="0"/>
    <n v="7"/>
    <n v="7"/>
    <n v="14"/>
  </r>
  <r>
    <n v="49"/>
    <n v="49"/>
    <x v="1"/>
    <n v="0"/>
    <s v="Travel_Rarely"/>
    <n v="0"/>
    <n v="1"/>
    <x v="1"/>
    <n v="1"/>
    <n v="0"/>
    <n v="8"/>
    <n v="8"/>
    <n v="2"/>
    <s v="Other"/>
    <n v="0"/>
    <n v="1"/>
    <n v="0"/>
    <n v="0"/>
    <n v="0"/>
    <x v="3"/>
    <s v="Female"/>
    <n v="1"/>
    <n v="51"/>
    <n v="3"/>
    <n v="3"/>
    <s v="Laboratory Technician"/>
    <n v="0"/>
    <n v="0"/>
    <n v="1"/>
    <n v="0"/>
    <n v="0"/>
    <n v="0"/>
    <n v="0"/>
    <n v="0"/>
    <n v="2"/>
    <x v="1"/>
    <n v="0"/>
    <n v="1"/>
    <n v="7403"/>
    <n v="7403"/>
    <n v="4"/>
    <x v="1"/>
    <n v="0"/>
    <n v="11"/>
    <n v="3"/>
    <n v="3"/>
    <n v="1"/>
    <n v="29"/>
    <n v="29"/>
    <n v="3"/>
    <n v="2"/>
    <n v="26"/>
    <n v="26"/>
    <n v="9"/>
    <n v="1"/>
    <n v="1"/>
    <n v="7"/>
    <n v="7"/>
    <n v="21"/>
  </r>
  <r>
    <n v="48"/>
    <n v="48"/>
    <x v="1"/>
    <n v="0"/>
    <s v="Travel_Rarely"/>
    <n v="0"/>
    <n v="1"/>
    <x v="1"/>
    <n v="1"/>
    <n v="0"/>
    <n v="20"/>
    <n v="20"/>
    <n v="4"/>
    <s v="Medical"/>
    <n v="0"/>
    <n v="0"/>
    <n v="1"/>
    <n v="0"/>
    <n v="0"/>
    <x v="2"/>
    <s v="Male"/>
    <n v="0"/>
    <n v="51"/>
    <n v="3"/>
    <n v="1"/>
    <s v="Research Scientist"/>
    <n v="0"/>
    <n v="0"/>
    <n v="0"/>
    <n v="0"/>
    <n v="0"/>
    <n v="0"/>
    <n v="0"/>
    <n v="1"/>
    <n v="3"/>
    <x v="1"/>
    <n v="0"/>
    <n v="1"/>
    <n v="2259"/>
    <n v="2259"/>
    <n v="4"/>
    <x v="1"/>
    <n v="0"/>
    <n v="17"/>
    <n v="3"/>
    <n v="1"/>
    <n v="2"/>
    <n v="13"/>
    <n v="13"/>
    <n v="2"/>
    <n v="2"/>
    <n v="0"/>
    <n v="0"/>
    <n v="0"/>
    <n v="0"/>
    <n v="0"/>
    <n v="0"/>
    <n v="0"/>
    <n v="0"/>
  </r>
  <r>
    <n v="31"/>
    <n v="31"/>
    <x v="1"/>
    <n v="0"/>
    <s v="Non-Travel"/>
    <n v="0"/>
    <n v="0"/>
    <x v="0"/>
    <n v="0"/>
    <n v="1"/>
    <n v="20"/>
    <n v="20"/>
    <n v="2"/>
    <s v="Marketing"/>
    <n v="0"/>
    <n v="0"/>
    <n v="0"/>
    <n v="1"/>
    <n v="0"/>
    <x v="2"/>
    <s v="Female"/>
    <n v="1"/>
    <n v="45"/>
    <n v="3"/>
    <n v="2"/>
    <s v="Sales Executive"/>
    <n v="0"/>
    <n v="1"/>
    <n v="0"/>
    <n v="0"/>
    <n v="0"/>
    <n v="0"/>
    <n v="0"/>
    <n v="0"/>
    <n v="3"/>
    <x v="1"/>
    <n v="0"/>
    <n v="1"/>
    <n v="6932"/>
    <n v="6932"/>
    <n v="1"/>
    <x v="1"/>
    <n v="0"/>
    <n v="13"/>
    <n v="3"/>
    <n v="4"/>
    <n v="1"/>
    <n v="9"/>
    <n v="9"/>
    <n v="2"/>
    <n v="2"/>
    <n v="9"/>
    <n v="9"/>
    <n v="8"/>
    <n v="0"/>
    <n v="0"/>
    <n v="0"/>
    <n v="0"/>
    <n v="0"/>
  </r>
  <r>
    <n v="36"/>
    <n v="36"/>
    <x v="1"/>
    <n v="0"/>
    <s v="Travel_Rarely"/>
    <n v="0"/>
    <n v="1"/>
    <x v="1"/>
    <n v="1"/>
    <n v="0"/>
    <n v="7"/>
    <n v="7"/>
    <n v="4"/>
    <s v="Other"/>
    <n v="0"/>
    <n v="1"/>
    <n v="0"/>
    <n v="0"/>
    <n v="0"/>
    <x v="0"/>
    <s v="Male"/>
    <n v="0"/>
    <n v="65"/>
    <n v="3"/>
    <n v="1"/>
    <s v="Research Scientist"/>
    <n v="0"/>
    <n v="0"/>
    <n v="0"/>
    <n v="0"/>
    <n v="0"/>
    <n v="0"/>
    <n v="0"/>
    <n v="1"/>
    <n v="4"/>
    <x v="0"/>
    <n v="1"/>
    <n v="0"/>
    <n v="4678"/>
    <n v="4678"/>
    <n v="2"/>
    <x v="1"/>
    <n v="0"/>
    <n v="18"/>
    <n v="3"/>
    <n v="3"/>
    <n v="0"/>
    <n v="8"/>
    <n v="8"/>
    <n v="6"/>
    <n v="3"/>
    <n v="6"/>
    <n v="6"/>
    <n v="2"/>
    <n v="0"/>
    <n v="0"/>
    <n v="1"/>
    <n v="1"/>
    <n v="1"/>
  </r>
  <r>
    <n v="38"/>
    <n v="38"/>
    <x v="1"/>
    <n v="0"/>
    <s v="Travel_Rarely"/>
    <n v="0"/>
    <n v="1"/>
    <x v="1"/>
    <n v="1"/>
    <n v="0"/>
    <n v="1"/>
    <n v="1"/>
    <n v="3"/>
    <s v="Technical Degree"/>
    <n v="0"/>
    <n v="0"/>
    <n v="0"/>
    <n v="0"/>
    <n v="1"/>
    <x v="2"/>
    <s v="Female"/>
    <n v="1"/>
    <n v="80"/>
    <n v="3"/>
    <n v="3"/>
    <s v="Research Director"/>
    <n v="0"/>
    <n v="0"/>
    <n v="0"/>
    <n v="0"/>
    <n v="0"/>
    <n v="0"/>
    <n v="0"/>
    <n v="0"/>
    <n v="1"/>
    <x v="1"/>
    <n v="0"/>
    <n v="1"/>
    <n v="13582"/>
    <n v="13582"/>
    <n v="1"/>
    <x v="1"/>
    <n v="0"/>
    <n v="13"/>
    <n v="3"/>
    <n v="2"/>
    <n v="1"/>
    <n v="15"/>
    <n v="15"/>
    <n v="3"/>
    <n v="3"/>
    <n v="15"/>
    <n v="15"/>
    <n v="12"/>
    <n v="5"/>
    <n v="5"/>
    <n v="11"/>
    <n v="11"/>
    <n v="33"/>
  </r>
  <r>
    <n v="32"/>
    <n v="32"/>
    <x v="1"/>
    <n v="0"/>
    <s v="Non-Travel"/>
    <n v="0"/>
    <n v="0"/>
    <x v="1"/>
    <n v="1"/>
    <n v="0"/>
    <n v="1"/>
    <n v="1"/>
    <n v="3"/>
    <s v="Life Sciences"/>
    <n v="1"/>
    <n v="0"/>
    <n v="0"/>
    <n v="0"/>
    <n v="0"/>
    <x v="1"/>
    <s v="Female"/>
    <n v="1"/>
    <n v="70"/>
    <n v="2"/>
    <n v="1"/>
    <s v="Laboratory Technician"/>
    <n v="0"/>
    <n v="0"/>
    <n v="1"/>
    <n v="0"/>
    <n v="0"/>
    <n v="0"/>
    <n v="0"/>
    <n v="0"/>
    <n v="2"/>
    <x v="1"/>
    <n v="0"/>
    <n v="1"/>
    <n v="2332"/>
    <n v="2332"/>
    <n v="6"/>
    <x v="1"/>
    <n v="0"/>
    <n v="20"/>
    <n v="4"/>
    <n v="3"/>
    <n v="0"/>
    <n v="5"/>
    <n v="5"/>
    <n v="3"/>
    <n v="3"/>
    <n v="3"/>
    <n v="3"/>
    <n v="0"/>
    <n v="0"/>
    <n v="0"/>
    <n v="2"/>
    <n v="2"/>
    <n v="2"/>
  </r>
  <r>
    <n v="25"/>
    <n v="25"/>
    <x v="0"/>
    <n v="1"/>
    <s v="Travel_Rarely"/>
    <n v="0"/>
    <n v="1"/>
    <x v="0"/>
    <n v="0"/>
    <n v="1"/>
    <n v="19"/>
    <n v="19"/>
    <n v="2"/>
    <s v="Marketing"/>
    <n v="0"/>
    <n v="0"/>
    <n v="0"/>
    <n v="1"/>
    <n v="0"/>
    <x v="1"/>
    <s v="Male"/>
    <n v="0"/>
    <n v="36"/>
    <n v="2"/>
    <n v="1"/>
    <s v="Sales Representative"/>
    <n v="0"/>
    <n v="0"/>
    <n v="0"/>
    <n v="0"/>
    <n v="0"/>
    <n v="0"/>
    <n v="1"/>
    <n v="0"/>
    <n v="2"/>
    <x v="1"/>
    <n v="0"/>
    <n v="1"/>
    <n v="2413"/>
    <n v="2413"/>
    <n v="1"/>
    <x v="0"/>
    <n v="1"/>
    <n v="18"/>
    <n v="3"/>
    <n v="3"/>
    <n v="3"/>
    <n v="1"/>
    <n v="1"/>
    <n v="2"/>
    <n v="3"/>
    <n v="1"/>
    <n v="1"/>
    <n v="0"/>
    <n v="0"/>
    <n v="0"/>
    <n v="0"/>
    <n v="0"/>
    <n v="0"/>
  </r>
  <r>
    <n v="40"/>
    <n v="40"/>
    <x v="1"/>
    <n v="0"/>
    <s v="Travel_Rarely"/>
    <n v="0"/>
    <n v="1"/>
    <x v="0"/>
    <n v="0"/>
    <n v="1"/>
    <n v="10"/>
    <n v="10"/>
    <n v="4"/>
    <s v="Marketing"/>
    <n v="0"/>
    <n v="0"/>
    <n v="0"/>
    <n v="1"/>
    <n v="0"/>
    <x v="3"/>
    <s v="Male"/>
    <n v="0"/>
    <n v="67"/>
    <n v="2"/>
    <n v="3"/>
    <s v="Sales Executive"/>
    <n v="0"/>
    <n v="1"/>
    <n v="0"/>
    <n v="0"/>
    <n v="0"/>
    <n v="0"/>
    <n v="0"/>
    <n v="0"/>
    <n v="2"/>
    <x v="2"/>
    <n v="0"/>
    <n v="0"/>
    <n v="9705"/>
    <n v="9705"/>
    <n v="2"/>
    <x v="1"/>
    <n v="0"/>
    <n v="12"/>
    <n v="3"/>
    <n v="2"/>
    <n v="1"/>
    <n v="11"/>
    <n v="11"/>
    <n v="2"/>
    <n v="2"/>
    <n v="1"/>
    <n v="1"/>
    <n v="0"/>
    <n v="0"/>
    <n v="0"/>
    <n v="0"/>
    <n v="0"/>
    <n v="0"/>
  </r>
  <r>
    <n v="26"/>
    <n v="26"/>
    <x v="1"/>
    <n v="0"/>
    <s v="Travel_Frequently"/>
    <n v="1"/>
    <n v="0"/>
    <x v="0"/>
    <n v="0"/>
    <n v="1"/>
    <n v="1"/>
    <n v="1"/>
    <n v="3"/>
    <s v="Medical"/>
    <n v="0"/>
    <n v="0"/>
    <n v="1"/>
    <n v="0"/>
    <n v="0"/>
    <x v="1"/>
    <s v="Male"/>
    <n v="0"/>
    <n v="52"/>
    <n v="2"/>
    <n v="2"/>
    <s v="Sales Executive"/>
    <n v="0"/>
    <n v="1"/>
    <n v="0"/>
    <n v="0"/>
    <n v="0"/>
    <n v="0"/>
    <n v="0"/>
    <n v="0"/>
    <n v="1"/>
    <x v="0"/>
    <n v="1"/>
    <n v="0"/>
    <n v="4294"/>
    <n v="4294"/>
    <n v="1"/>
    <x v="1"/>
    <n v="0"/>
    <n v="12"/>
    <n v="3"/>
    <n v="2"/>
    <n v="0"/>
    <n v="7"/>
    <n v="7"/>
    <n v="2"/>
    <n v="3"/>
    <n v="7"/>
    <n v="7"/>
    <n v="7"/>
    <n v="0"/>
    <n v="0"/>
    <n v="7"/>
    <n v="7"/>
    <n v="14"/>
  </r>
  <r>
    <n v="41"/>
    <n v="41"/>
    <x v="1"/>
    <n v="0"/>
    <s v="Travel_Rarely"/>
    <n v="0"/>
    <n v="1"/>
    <x v="1"/>
    <n v="1"/>
    <n v="0"/>
    <n v="6"/>
    <n v="6"/>
    <n v="3"/>
    <s v="Medical"/>
    <n v="0"/>
    <n v="0"/>
    <n v="1"/>
    <n v="0"/>
    <n v="0"/>
    <x v="2"/>
    <s v="Male"/>
    <n v="0"/>
    <n v="59"/>
    <n v="3"/>
    <n v="1"/>
    <s v="Laboratory Technician"/>
    <n v="0"/>
    <n v="0"/>
    <n v="1"/>
    <n v="0"/>
    <n v="0"/>
    <n v="0"/>
    <n v="0"/>
    <n v="0"/>
    <n v="1"/>
    <x v="0"/>
    <n v="1"/>
    <n v="0"/>
    <n v="4721"/>
    <n v="4721"/>
    <n v="2"/>
    <x v="0"/>
    <n v="1"/>
    <n v="13"/>
    <n v="3"/>
    <n v="3"/>
    <n v="0"/>
    <n v="20"/>
    <n v="20"/>
    <n v="3"/>
    <n v="3"/>
    <n v="18"/>
    <n v="18"/>
    <n v="13"/>
    <n v="2"/>
    <n v="2"/>
    <n v="17"/>
    <n v="14"/>
    <n v="14"/>
  </r>
  <r>
    <n v="36"/>
    <n v="36"/>
    <x v="1"/>
    <n v="0"/>
    <s v="Travel_Rarely"/>
    <n v="0"/>
    <n v="1"/>
    <x v="1"/>
    <n v="1"/>
    <n v="0"/>
    <n v="2"/>
    <n v="2"/>
    <n v="4"/>
    <s v="Medical"/>
    <n v="0"/>
    <n v="0"/>
    <n v="1"/>
    <n v="0"/>
    <n v="0"/>
    <x v="1"/>
    <s v="Male"/>
    <n v="0"/>
    <n v="79"/>
    <n v="3"/>
    <n v="1"/>
    <s v="Laboratory Technician"/>
    <n v="0"/>
    <n v="0"/>
    <n v="1"/>
    <n v="0"/>
    <n v="0"/>
    <n v="0"/>
    <n v="0"/>
    <n v="0"/>
    <n v="3"/>
    <x v="0"/>
    <n v="1"/>
    <n v="0"/>
    <n v="2519"/>
    <n v="2519"/>
    <n v="4"/>
    <x v="1"/>
    <n v="0"/>
    <n v="21"/>
    <n v="4"/>
    <n v="3"/>
    <n v="0"/>
    <n v="16"/>
    <n v="16"/>
    <n v="6"/>
    <n v="3"/>
    <n v="11"/>
    <n v="11"/>
    <n v="8"/>
    <n v="3"/>
    <n v="3"/>
    <n v="9"/>
    <n v="9"/>
    <n v="9"/>
  </r>
  <r>
    <n v="19"/>
    <n v="19"/>
    <x v="0"/>
    <n v="1"/>
    <s v="Travel_Rarely"/>
    <n v="0"/>
    <n v="1"/>
    <x v="0"/>
    <n v="0"/>
    <n v="1"/>
    <n v="21"/>
    <n v="21"/>
    <n v="3"/>
    <s v="Other"/>
    <n v="0"/>
    <n v="1"/>
    <n v="0"/>
    <n v="0"/>
    <n v="0"/>
    <x v="2"/>
    <s v="Male"/>
    <n v="0"/>
    <n v="37"/>
    <n v="2"/>
    <n v="1"/>
    <s v="Sales Representative"/>
    <n v="0"/>
    <n v="0"/>
    <n v="0"/>
    <n v="0"/>
    <n v="0"/>
    <n v="0"/>
    <n v="1"/>
    <n v="0"/>
    <n v="2"/>
    <x v="0"/>
    <n v="1"/>
    <n v="0"/>
    <n v="2121"/>
    <n v="2121"/>
    <n v="1"/>
    <x v="0"/>
    <n v="1"/>
    <n v="13"/>
    <n v="3"/>
    <n v="2"/>
    <n v="0"/>
    <n v="1"/>
    <n v="1"/>
    <n v="3"/>
    <n v="4"/>
    <n v="1"/>
    <n v="1"/>
    <n v="0"/>
    <n v="0"/>
    <n v="0"/>
    <n v="0"/>
    <n v="0"/>
    <n v="0"/>
  </r>
  <r>
    <n v="20"/>
    <n v="20"/>
    <x v="0"/>
    <n v="1"/>
    <s v="Travel_Rarely"/>
    <n v="0"/>
    <n v="1"/>
    <x v="1"/>
    <n v="1"/>
    <n v="0"/>
    <n v="4"/>
    <n v="4"/>
    <n v="3"/>
    <s v="Technical Degree"/>
    <n v="0"/>
    <n v="0"/>
    <n v="0"/>
    <n v="0"/>
    <n v="1"/>
    <x v="3"/>
    <s v="Male"/>
    <n v="0"/>
    <n v="84"/>
    <n v="3"/>
    <n v="1"/>
    <s v="Laboratory Technician"/>
    <n v="0"/>
    <n v="0"/>
    <n v="1"/>
    <n v="0"/>
    <n v="0"/>
    <n v="0"/>
    <n v="0"/>
    <n v="0"/>
    <n v="1"/>
    <x v="0"/>
    <n v="1"/>
    <n v="0"/>
    <n v="2973"/>
    <n v="2973"/>
    <n v="1"/>
    <x v="1"/>
    <n v="0"/>
    <n v="19"/>
    <n v="3"/>
    <n v="2"/>
    <n v="0"/>
    <n v="1"/>
    <n v="1"/>
    <n v="2"/>
    <n v="3"/>
    <n v="1"/>
    <n v="1"/>
    <n v="0"/>
    <n v="0"/>
    <n v="0"/>
    <n v="0"/>
    <n v="0"/>
    <n v="0"/>
  </r>
  <r>
    <n v="31"/>
    <n v="31"/>
    <x v="1"/>
    <n v="0"/>
    <s v="Travel_Rarely"/>
    <n v="0"/>
    <n v="1"/>
    <x v="1"/>
    <n v="1"/>
    <n v="0"/>
    <n v="12"/>
    <n v="12"/>
    <n v="3"/>
    <s v="Medical"/>
    <n v="0"/>
    <n v="0"/>
    <n v="1"/>
    <n v="0"/>
    <n v="0"/>
    <x v="2"/>
    <s v="Female"/>
    <n v="1"/>
    <n v="41"/>
    <n v="3"/>
    <n v="2"/>
    <s v="Healthcare Representative"/>
    <n v="1"/>
    <n v="0"/>
    <n v="0"/>
    <n v="0"/>
    <n v="0"/>
    <n v="0"/>
    <n v="0"/>
    <n v="0"/>
    <n v="4"/>
    <x v="1"/>
    <n v="0"/>
    <n v="1"/>
    <n v="5855"/>
    <n v="5855"/>
    <n v="0"/>
    <x v="0"/>
    <n v="1"/>
    <n v="11"/>
    <n v="3"/>
    <n v="3"/>
    <n v="2"/>
    <n v="10"/>
    <n v="10"/>
    <n v="2"/>
    <n v="1"/>
    <n v="9"/>
    <n v="9"/>
    <n v="7"/>
    <n v="8"/>
    <n v="8"/>
    <n v="5"/>
    <n v="5"/>
    <n v="10"/>
  </r>
  <r>
    <n v="40"/>
    <n v="40"/>
    <x v="1"/>
    <n v="0"/>
    <s v="Travel_Frequently"/>
    <n v="1"/>
    <n v="0"/>
    <x v="1"/>
    <n v="1"/>
    <n v="0"/>
    <n v="9"/>
    <n v="9"/>
    <n v="4"/>
    <s v="Medical"/>
    <n v="0"/>
    <n v="0"/>
    <n v="1"/>
    <n v="0"/>
    <n v="0"/>
    <x v="2"/>
    <s v="Male"/>
    <n v="0"/>
    <n v="35"/>
    <n v="3"/>
    <n v="1"/>
    <s v="Research Scientist"/>
    <n v="0"/>
    <n v="0"/>
    <n v="0"/>
    <n v="0"/>
    <n v="0"/>
    <n v="0"/>
    <n v="0"/>
    <n v="1"/>
    <n v="2"/>
    <x v="2"/>
    <n v="0"/>
    <n v="0"/>
    <n v="3617"/>
    <n v="3617"/>
    <n v="8"/>
    <x v="0"/>
    <n v="1"/>
    <n v="14"/>
    <n v="3"/>
    <n v="4"/>
    <n v="1"/>
    <n v="3"/>
    <n v="3"/>
    <n v="2"/>
    <n v="3"/>
    <n v="1"/>
    <n v="1"/>
    <n v="1"/>
    <n v="0"/>
    <n v="0"/>
    <n v="0"/>
    <n v="0"/>
    <n v="0"/>
  </r>
  <r>
    <n v="32"/>
    <n v="32"/>
    <x v="1"/>
    <n v="0"/>
    <s v="Travel_Rarely"/>
    <n v="0"/>
    <n v="1"/>
    <x v="1"/>
    <n v="1"/>
    <n v="0"/>
    <n v="3"/>
    <n v="3"/>
    <n v="4"/>
    <s v="Medical"/>
    <n v="0"/>
    <n v="0"/>
    <n v="1"/>
    <n v="0"/>
    <n v="0"/>
    <x v="1"/>
    <s v="Female"/>
    <n v="1"/>
    <n v="93"/>
    <n v="3"/>
    <n v="2"/>
    <s v="Manufacturing Director"/>
    <n v="0"/>
    <n v="0"/>
    <n v="0"/>
    <n v="0"/>
    <n v="1"/>
    <n v="1"/>
    <n v="0"/>
    <n v="0"/>
    <n v="1"/>
    <x v="1"/>
    <n v="0"/>
    <n v="1"/>
    <n v="6725"/>
    <n v="6725"/>
    <n v="1"/>
    <x v="1"/>
    <n v="0"/>
    <n v="12"/>
    <n v="3"/>
    <n v="3"/>
    <n v="1"/>
    <n v="8"/>
    <n v="8"/>
    <n v="2"/>
    <n v="4"/>
    <n v="8"/>
    <n v="8"/>
    <n v="7"/>
    <n v="6"/>
    <n v="6"/>
    <n v="3"/>
    <n v="3"/>
    <n v="6"/>
  </r>
  <r>
    <n v="36"/>
    <n v="36"/>
    <x v="0"/>
    <n v="1"/>
    <s v="Travel_Rarely"/>
    <n v="0"/>
    <n v="1"/>
    <x v="0"/>
    <n v="0"/>
    <n v="1"/>
    <n v="3"/>
    <n v="3"/>
    <n v="1"/>
    <s v="Life Sciences"/>
    <n v="1"/>
    <n v="0"/>
    <n v="0"/>
    <n v="0"/>
    <n v="0"/>
    <x v="1"/>
    <s v="Male"/>
    <n v="0"/>
    <n v="51"/>
    <n v="2"/>
    <n v="3"/>
    <s v="Sales Executive"/>
    <n v="0"/>
    <n v="1"/>
    <n v="0"/>
    <n v="0"/>
    <n v="0"/>
    <n v="0"/>
    <n v="0"/>
    <n v="0"/>
    <n v="4"/>
    <x v="1"/>
    <n v="0"/>
    <n v="1"/>
    <n v="10325"/>
    <n v="10325"/>
    <n v="1"/>
    <x v="0"/>
    <n v="1"/>
    <n v="11"/>
    <n v="3"/>
    <n v="1"/>
    <n v="1"/>
    <n v="16"/>
    <n v="16"/>
    <n v="6"/>
    <n v="3"/>
    <n v="16"/>
    <n v="16"/>
    <n v="7"/>
    <n v="3"/>
    <n v="3"/>
    <n v="7"/>
    <n v="7"/>
    <n v="21"/>
  </r>
  <r>
    <n v="33"/>
    <n v="33"/>
    <x v="1"/>
    <n v="0"/>
    <s v="Travel_Rarely"/>
    <n v="0"/>
    <n v="1"/>
    <x v="1"/>
    <n v="1"/>
    <n v="0"/>
    <n v="1"/>
    <n v="1"/>
    <n v="3"/>
    <s v="Life Sciences"/>
    <n v="1"/>
    <n v="0"/>
    <n v="0"/>
    <n v="0"/>
    <n v="0"/>
    <x v="0"/>
    <s v="Female"/>
    <n v="1"/>
    <n v="42"/>
    <n v="2"/>
    <n v="2"/>
    <s v="Healthcare Representative"/>
    <n v="1"/>
    <n v="0"/>
    <n v="0"/>
    <n v="0"/>
    <n v="0"/>
    <n v="0"/>
    <n v="0"/>
    <n v="0"/>
    <n v="4"/>
    <x v="0"/>
    <n v="1"/>
    <n v="0"/>
    <n v="6949"/>
    <n v="6949"/>
    <n v="0"/>
    <x v="1"/>
    <n v="0"/>
    <n v="14"/>
    <n v="3"/>
    <n v="1"/>
    <n v="0"/>
    <n v="6"/>
    <n v="6"/>
    <n v="3"/>
    <n v="3"/>
    <n v="5"/>
    <n v="5"/>
    <n v="0"/>
    <n v="1"/>
    <n v="1"/>
    <n v="4"/>
    <n v="4"/>
    <n v="8"/>
  </r>
  <r>
    <n v="37"/>
    <n v="37"/>
    <x v="0"/>
    <n v="1"/>
    <s v="Travel_Rarely"/>
    <n v="0"/>
    <n v="1"/>
    <x v="0"/>
    <n v="0"/>
    <n v="1"/>
    <n v="1"/>
    <n v="1"/>
    <n v="4"/>
    <s v="Life Sciences"/>
    <n v="1"/>
    <n v="0"/>
    <n v="0"/>
    <n v="0"/>
    <n v="0"/>
    <x v="3"/>
    <s v="Male"/>
    <n v="0"/>
    <n v="46"/>
    <n v="2"/>
    <n v="3"/>
    <s v="Sales Executive"/>
    <n v="0"/>
    <n v="1"/>
    <n v="0"/>
    <n v="0"/>
    <n v="0"/>
    <n v="0"/>
    <n v="0"/>
    <n v="0"/>
    <n v="3"/>
    <x v="1"/>
    <n v="0"/>
    <n v="1"/>
    <n v="10609"/>
    <n v="10609"/>
    <n v="5"/>
    <x v="1"/>
    <n v="0"/>
    <n v="11"/>
    <n v="3"/>
    <n v="3"/>
    <n v="0"/>
    <n v="17"/>
    <n v="17"/>
    <n v="2"/>
    <n v="1"/>
    <n v="14"/>
    <n v="14"/>
    <n v="1"/>
    <n v="11"/>
    <n v="11"/>
    <n v="7"/>
    <n v="7"/>
    <n v="21"/>
  </r>
  <r>
    <n v="45"/>
    <n v="45"/>
    <x v="1"/>
    <n v="0"/>
    <s v="Non-Travel"/>
    <n v="0"/>
    <n v="0"/>
    <x v="1"/>
    <n v="1"/>
    <n v="0"/>
    <n v="4"/>
    <n v="4"/>
    <n v="2"/>
    <s v="Life Sciences"/>
    <n v="1"/>
    <n v="0"/>
    <n v="0"/>
    <n v="0"/>
    <n v="0"/>
    <x v="1"/>
    <s v="Male"/>
    <n v="0"/>
    <n v="57"/>
    <n v="3"/>
    <n v="2"/>
    <s v="Laboratory Technician"/>
    <n v="0"/>
    <n v="0"/>
    <n v="1"/>
    <n v="0"/>
    <n v="0"/>
    <n v="0"/>
    <n v="0"/>
    <n v="0"/>
    <n v="2"/>
    <x v="1"/>
    <n v="0"/>
    <n v="1"/>
    <n v="4447"/>
    <n v="4447"/>
    <n v="1"/>
    <x v="1"/>
    <n v="0"/>
    <n v="12"/>
    <n v="3"/>
    <n v="2"/>
    <n v="0"/>
    <n v="9"/>
    <n v="9"/>
    <n v="5"/>
    <n v="2"/>
    <n v="9"/>
    <n v="9"/>
    <n v="7"/>
    <n v="0"/>
    <n v="0"/>
    <n v="8"/>
    <n v="8"/>
    <n v="16"/>
  </r>
  <r>
    <n v="29"/>
    <n v="29"/>
    <x v="1"/>
    <n v="0"/>
    <s v="Travel_Frequently"/>
    <n v="1"/>
    <n v="0"/>
    <x v="0"/>
    <n v="0"/>
    <n v="1"/>
    <n v="20"/>
    <n v="20"/>
    <n v="3"/>
    <s v="Technical Degree"/>
    <n v="0"/>
    <n v="0"/>
    <n v="0"/>
    <n v="0"/>
    <n v="1"/>
    <x v="1"/>
    <s v="Female"/>
    <n v="1"/>
    <n v="84"/>
    <n v="3"/>
    <n v="1"/>
    <s v="Sales Representative"/>
    <n v="0"/>
    <n v="0"/>
    <n v="0"/>
    <n v="0"/>
    <n v="0"/>
    <n v="0"/>
    <n v="1"/>
    <n v="0"/>
    <n v="4"/>
    <x v="1"/>
    <n v="0"/>
    <n v="1"/>
    <n v="2157"/>
    <n v="2157"/>
    <n v="1"/>
    <x v="1"/>
    <n v="0"/>
    <n v="15"/>
    <n v="3"/>
    <n v="2"/>
    <n v="1"/>
    <n v="3"/>
    <n v="3"/>
    <n v="5"/>
    <n v="3"/>
    <n v="3"/>
    <n v="3"/>
    <n v="1"/>
    <n v="0"/>
    <n v="0"/>
    <n v="2"/>
    <n v="2"/>
    <n v="2"/>
  </r>
  <r>
    <n v="35"/>
    <n v="35"/>
    <x v="1"/>
    <n v="0"/>
    <s v="Travel_Rarely"/>
    <n v="0"/>
    <n v="1"/>
    <x v="0"/>
    <n v="0"/>
    <n v="1"/>
    <n v="18"/>
    <n v="18"/>
    <n v="3"/>
    <s v="Medical"/>
    <n v="0"/>
    <n v="0"/>
    <n v="1"/>
    <n v="0"/>
    <n v="0"/>
    <x v="1"/>
    <s v="Female"/>
    <n v="1"/>
    <n v="86"/>
    <n v="3"/>
    <n v="2"/>
    <s v="Sales Executive"/>
    <n v="0"/>
    <n v="1"/>
    <n v="0"/>
    <n v="0"/>
    <n v="0"/>
    <n v="0"/>
    <n v="0"/>
    <n v="0"/>
    <n v="3"/>
    <x v="1"/>
    <n v="0"/>
    <n v="1"/>
    <n v="4601"/>
    <n v="4601"/>
    <n v="1"/>
    <x v="1"/>
    <n v="0"/>
    <n v="16"/>
    <n v="3"/>
    <n v="2"/>
    <n v="0"/>
    <n v="5"/>
    <n v="5"/>
    <n v="3"/>
    <n v="3"/>
    <n v="5"/>
    <n v="5"/>
    <n v="2"/>
    <n v="1"/>
    <n v="1"/>
    <n v="0"/>
    <n v="0"/>
    <n v="0"/>
  </r>
  <r>
    <n v="52"/>
    <n v="52"/>
    <x v="1"/>
    <n v="0"/>
    <s v="Travel_Rarely"/>
    <n v="0"/>
    <n v="1"/>
    <x v="1"/>
    <n v="1"/>
    <n v="0"/>
    <n v="1"/>
    <n v="1"/>
    <n v="2"/>
    <s v="Life Sciences"/>
    <n v="1"/>
    <n v="0"/>
    <n v="0"/>
    <n v="0"/>
    <n v="0"/>
    <x v="2"/>
    <s v="Male"/>
    <n v="0"/>
    <n v="70"/>
    <n v="3"/>
    <n v="4"/>
    <s v="Manager"/>
    <n v="0"/>
    <n v="0"/>
    <n v="0"/>
    <n v="1"/>
    <n v="0"/>
    <n v="0"/>
    <n v="0"/>
    <n v="0"/>
    <n v="4"/>
    <x v="1"/>
    <n v="0"/>
    <n v="1"/>
    <n v="17099"/>
    <n v="17099"/>
    <n v="2"/>
    <x v="1"/>
    <n v="0"/>
    <n v="15"/>
    <n v="3"/>
    <n v="2"/>
    <n v="1"/>
    <n v="26"/>
    <n v="26"/>
    <n v="2"/>
    <n v="2"/>
    <n v="9"/>
    <n v="9"/>
    <n v="8"/>
    <n v="7"/>
    <n v="7"/>
    <n v="8"/>
    <n v="8"/>
    <n v="32"/>
  </r>
  <r>
    <n v="58"/>
    <n v="58"/>
    <x v="0"/>
    <n v="1"/>
    <s v="Travel_Rarely"/>
    <n v="0"/>
    <n v="1"/>
    <x v="1"/>
    <n v="1"/>
    <n v="0"/>
    <n v="2"/>
    <n v="2"/>
    <n v="3"/>
    <s v="Technical Degree"/>
    <n v="0"/>
    <n v="0"/>
    <n v="0"/>
    <n v="0"/>
    <n v="1"/>
    <x v="2"/>
    <s v="Male"/>
    <n v="0"/>
    <n v="51"/>
    <n v="3"/>
    <n v="1"/>
    <s v="Research Scientist"/>
    <n v="0"/>
    <n v="0"/>
    <n v="0"/>
    <n v="0"/>
    <n v="0"/>
    <n v="0"/>
    <n v="0"/>
    <n v="1"/>
    <n v="3"/>
    <x v="0"/>
    <n v="1"/>
    <n v="0"/>
    <n v="2479"/>
    <n v="2479"/>
    <n v="4"/>
    <x v="1"/>
    <n v="0"/>
    <n v="24"/>
    <n v="4"/>
    <n v="1"/>
    <n v="0"/>
    <n v="7"/>
    <n v="7"/>
    <n v="4"/>
    <n v="3"/>
    <n v="1"/>
    <n v="1"/>
    <n v="0"/>
    <n v="0"/>
    <n v="0"/>
    <n v="0"/>
    <n v="0"/>
    <n v="0"/>
  </r>
  <r>
    <n v="53"/>
    <n v="53"/>
    <x v="1"/>
    <n v="0"/>
    <s v="Travel_Rarely"/>
    <n v="0"/>
    <n v="1"/>
    <x v="0"/>
    <n v="0"/>
    <n v="1"/>
    <n v="2"/>
    <n v="2"/>
    <n v="2"/>
    <s v="Medical"/>
    <n v="0"/>
    <n v="0"/>
    <n v="1"/>
    <n v="0"/>
    <n v="0"/>
    <x v="1"/>
    <s v="Male"/>
    <n v="0"/>
    <n v="45"/>
    <n v="3"/>
    <n v="4"/>
    <s v="Manager"/>
    <n v="0"/>
    <n v="0"/>
    <n v="0"/>
    <n v="1"/>
    <n v="0"/>
    <n v="0"/>
    <n v="0"/>
    <n v="0"/>
    <n v="3"/>
    <x v="2"/>
    <n v="0"/>
    <n v="0"/>
    <n v="14852"/>
    <n v="14852"/>
    <n v="6"/>
    <x v="1"/>
    <n v="0"/>
    <n v="13"/>
    <n v="3"/>
    <n v="3"/>
    <n v="1"/>
    <n v="22"/>
    <n v="22"/>
    <n v="3"/>
    <n v="4"/>
    <n v="17"/>
    <n v="17"/>
    <n v="13"/>
    <n v="15"/>
    <n v="14"/>
    <n v="2"/>
    <n v="2"/>
    <n v="8"/>
  </r>
  <r>
    <n v="30"/>
    <n v="30"/>
    <x v="1"/>
    <n v="0"/>
    <s v="Travel_Rarely"/>
    <n v="0"/>
    <n v="1"/>
    <x v="0"/>
    <n v="0"/>
    <n v="1"/>
    <n v="8"/>
    <n v="8"/>
    <n v="2"/>
    <s v="Other"/>
    <n v="0"/>
    <n v="1"/>
    <n v="0"/>
    <n v="0"/>
    <n v="0"/>
    <x v="1"/>
    <s v="Male"/>
    <n v="0"/>
    <n v="62"/>
    <n v="3"/>
    <n v="3"/>
    <s v="Sales Executive"/>
    <n v="0"/>
    <n v="1"/>
    <n v="0"/>
    <n v="0"/>
    <n v="0"/>
    <n v="0"/>
    <n v="0"/>
    <n v="0"/>
    <n v="3"/>
    <x v="2"/>
    <n v="0"/>
    <n v="0"/>
    <n v="7264"/>
    <n v="7264"/>
    <n v="5"/>
    <x v="1"/>
    <n v="0"/>
    <n v="11"/>
    <n v="3"/>
    <n v="1"/>
    <n v="1"/>
    <n v="10"/>
    <n v="10"/>
    <n v="2"/>
    <n v="4"/>
    <n v="8"/>
    <n v="8"/>
    <n v="4"/>
    <n v="7"/>
    <n v="7"/>
    <n v="7"/>
    <n v="7"/>
    <n v="21"/>
  </r>
  <r>
    <n v="38"/>
    <n v="38"/>
    <x v="1"/>
    <n v="0"/>
    <s v="Non-Travel"/>
    <n v="0"/>
    <n v="0"/>
    <x v="0"/>
    <n v="0"/>
    <n v="1"/>
    <n v="10"/>
    <n v="10"/>
    <n v="3"/>
    <s v="Technical Degree"/>
    <n v="0"/>
    <n v="0"/>
    <n v="0"/>
    <n v="0"/>
    <n v="1"/>
    <x v="1"/>
    <s v="Female"/>
    <n v="1"/>
    <n v="85"/>
    <n v="3"/>
    <n v="2"/>
    <s v="Sales Executive"/>
    <n v="0"/>
    <n v="1"/>
    <n v="0"/>
    <n v="0"/>
    <n v="0"/>
    <n v="0"/>
    <n v="0"/>
    <n v="0"/>
    <n v="4"/>
    <x v="0"/>
    <n v="1"/>
    <n v="0"/>
    <n v="5666"/>
    <n v="5666"/>
    <n v="1"/>
    <x v="0"/>
    <n v="1"/>
    <n v="13"/>
    <n v="3"/>
    <n v="2"/>
    <n v="0"/>
    <n v="6"/>
    <n v="6"/>
    <n v="1"/>
    <n v="3"/>
    <n v="5"/>
    <n v="5"/>
    <n v="3"/>
    <n v="1"/>
    <n v="1"/>
    <n v="3"/>
    <n v="3"/>
    <n v="6"/>
  </r>
  <r>
    <n v="35"/>
    <n v="35"/>
    <x v="1"/>
    <n v="0"/>
    <s v="Travel_Rarely"/>
    <n v="0"/>
    <n v="1"/>
    <x v="0"/>
    <n v="0"/>
    <n v="1"/>
    <n v="3"/>
    <n v="3"/>
    <n v="4"/>
    <s v="Life Sciences"/>
    <n v="1"/>
    <n v="0"/>
    <n v="0"/>
    <n v="0"/>
    <n v="0"/>
    <x v="2"/>
    <s v="Male"/>
    <n v="0"/>
    <n v="92"/>
    <n v="3"/>
    <n v="3"/>
    <s v="Sales Executive"/>
    <n v="0"/>
    <n v="1"/>
    <n v="0"/>
    <n v="0"/>
    <n v="0"/>
    <n v="0"/>
    <n v="0"/>
    <n v="0"/>
    <n v="4"/>
    <x v="2"/>
    <n v="0"/>
    <n v="0"/>
    <n v="7823"/>
    <n v="7823"/>
    <n v="6"/>
    <x v="1"/>
    <n v="0"/>
    <n v="13"/>
    <n v="3"/>
    <n v="2"/>
    <n v="1"/>
    <n v="12"/>
    <n v="12"/>
    <n v="2"/>
    <n v="3"/>
    <n v="10"/>
    <n v="10"/>
    <n v="9"/>
    <n v="0"/>
    <n v="0"/>
    <n v="8"/>
    <n v="8"/>
    <n v="24"/>
  </r>
  <r>
    <n v="39"/>
    <n v="39"/>
    <x v="1"/>
    <n v="0"/>
    <s v="Travel_Rarely"/>
    <n v="0"/>
    <n v="1"/>
    <x v="0"/>
    <n v="0"/>
    <n v="1"/>
    <n v="2"/>
    <n v="2"/>
    <n v="5"/>
    <s v="Life Sciences"/>
    <n v="1"/>
    <n v="0"/>
    <n v="0"/>
    <n v="0"/>
    <n v="0"/>
    <x v="3"/>
    <s v="Male"/>
    <n v="0"/>
    <n v="41"/>
    <n v="4"/>
    <n v="3"/>
    <s v="Sales Executive"/>
    <n v="0"/>
    <n v="1"/>
    <n v="0"/>
    <n v="0"/>
    <n v="0"/>
    <n v="0"/>
    <n v="0"/>
    <n v="0"/>
    <n v="3"/>
    <x v="0"/>
    <n v="1"/>
    <n v="0"/>
    <n v="7880"/>
    <n v="7880"/>
    <n v="0"/>
    <x v="1"/>
    <n v="0"/>
    <n v="18"/>
    <n v="3"/>
    <n v="4"/>
    <n v="0"/>
    <n v="9"/>
    <n v="9"/>
    <n v="3"/>
    <n v="3"/>
    <n v="8"/>
    <n v="8"/>
    <n v="7"/>
    <n v="0"/>
    <n v="0"/>
    <n v="7"/>
    <n v="7"/>
    <n v="21"/>
  </r>
  <r>
    <n v="40"/>
    <n v="40"/>
    <x v="0"/>
    <n v="1"/>
    <s v="Non-Travel"/>
    <n v="0"/>
    <n v="0"/>
    <x v="0"/>
    <n v="0"/>
    <n v="1"/>
    <n v="24"/>
    <n v="24"/>
    <n v="3"/>
    <s v="Life Sciences"/>
    <n v="1"/>
    <n v="0"/>
    <n v="0"/>
    <n v="0"/>
    <n v="0"/>
    <x v="0"/>
    <s v="Female"/>
    <n v="1"/>
    <n v="100"/>
    <n v="4"/>
    <n v="4"/>
    <s v="Sales Executive"/>
    <n v="0"/>
    <n v="1"/>
    <n v="0"/>
    <n v="0"/>
    <n v="0"/>
    <n v="0"/>
    <n v="0"/>
    <n v="0"/>
    <n v="2"/>
    <x v="0"/>
    <n v="1"/>
    <n v="0"/>
    <n v="13194"/>
    <n v="13194"/>
    <n v="4"/>
    <x v="0"/>
    <n v="1"/>
    <n v="16"/>
    <n v="3"/>
    <n v="4"/>
    <n v="0"/>
    <n v="22"/>
    <n v="22"/>
    <n v="2"/>
    <n v="2"/>
    <n v="1"/>
    <n v="1"/>
    <n v="0"/>
    <n v="0"/>
    <n v="0"/>
    <n v="0"/>
    <n v="0"/>
    <n v="0"/>
  </r>
  <r>
    <n v="47"/>
    <n v="47"/>
    <x v="1"/>
    <n v="0"/>
    <s v="Travel_Frequently"/>
    <n v="1"/>
    <n v="0"/>
    <x v="1"/>
    <n v="1"/>
    <n v="0"/>
    <n v="16"/>
    <n v="16"/>
    <n v="4"/>
    <s v="Medical"/>
    <n v="0"/>
    <n v="0"/>
    <n v="1"/>
    <n v="0"/>
    <n v="0"/>
    <x v="1"/>
    <s v="Male"/>
    <n v="0"/>
    <n v="64"/>
    <n v="4"/>
    <n v="2"/>
    <s v="Manufacturing Director"/>
    <n v="0"/>
    <n v="0"/>
    <n v="0"/>
    <n v="0"/>
    <n v="1"/>
    <n v="1"/>
    <n v="0"/>
    <n v="0"/>
    <n v="3"/>
    <x v="2"/>
    <n v="0"/>
    <n v="0"/>
    <n v="5067"/>
    <n v="5067"/>
    <n v="1"/>
    <x v="0"/>
    <n v="1"/>
    <n v="19"/>
    <n v="3"/>
    <n v="3"/>
    <n v="0"/>
    <n v="20"/>
    <n v="20"/>
    <n v="3"/>
    <n v="4"/>
    <n v="19"/>
    <n v="19"/>
    <n v="10"/>
    <n v="2"/>
    <n v="2"/>
    <n v="7"/>
    <n v="7"/>
    <n v="14"/>
  </r>
  <r>
    <n v="36"/>
    <n v="36"/>
    <x v="1"/>
    <n v="0"/>
    <s v="Non-Travel"/>
    <n v="0"/>
    <n v="0"/>
    <x v="0"/>
    <n v="0"/>
    <n v="1"/>
    <n v="8"/>
    <n v="8"/>
    <n v="4"/>
    <s v="Technical Degree"/>
    <n v="0"/>
    <n v="0"/>
    <n v="0"/>
    <n v="0"/>
    <n v="1"/>
    <x v="3"/>
    <s v="Male"/>
    <n v="0"/>
    <n v="84"/>
    <n v="3"/>
    <n v="2"/>
    <s v="Sales Executive"/>
    <n v="0"/>
    <n v="1"/>
    <n v="0"/>
    <n v="0"/>
    <n v="0"/>
    <n v="0"/>
    <n v="0"/>
    <n v="0"/>
    <n v="4"/>
    <x v="2"/>
    <n v="0"/>
    <n v="0"/>
    <n v="5079"/>
    <n v="5079"/>
    <n v="4"/>
    <x v="1"/>
    <n v="0"/>
    <n v="13"/>
    <n v="3"/>
    <n v="4"/>
    <n v="2"/>
    <n v="12"/>
    <n v="12"/>
    <n v="3"/>
    <n v="3"/>
    <n v="7"/>
    <n v="7"/>
    <n v="7"/>
    <n v="0"/>
    <n v="0"/>
    <n v="7"/>
    <n v="7"/>
    <n v="14"/>
  </r>
  <r>
    <n v="31"/>
    <n v="31"/>
    <x v="0"/>
    <n v="1"/>
    <s v="Non-Travel"/>
    <n v="0"/>
    <n v="0"/>
    <x v="1"/>
    <n v="1"/>
    <n v="0"/>
    <n v="9"/>
    <n v="9"/>
    <n v="2"/>
    <s v="Medical"/>
    <n v="0"/>
    <n v="0"/>
    <n v="1"/>
    <n v="0"/>
    <n v="0"/>
    <x v="1"/>
    <s v="Male"/>
    <n v="0"/>
    <n v="46"/>
    <n v="2"/>
    <n v="1"/>
    <s v="Research Scientist"/>
    <n v="0"/>
    <n v="0"/>
    <n v="0"/>
    <n v="0"/>
    <n v="0"/>
    <n v="0"/>
    <n v="0"/>
    <n v="1"/>
    <n v="1"/>
    <x v="0"/>
    <n v="1"/>
    <n v="0"/>
    <n v="2321"/>
    <n v="2321"/>
    <n v="0"/>
    <x v="0"/>
    <n v="1"/>
    <n v="22"/>
    <n v="4"/>
    <n v="1"/>
    <n v="0"/>
    <n v="4"/>
    <n v="4"/>
    <n v="0"/>
    <n v="3"/>
    <n v="3"/>
    <n v="3"/>
    <n v="2"/>
    <n v="1"/>
    <n v="1"/>
    <n v="2"/>
    <n v="2"/>
    <n v="2"/>
  </r>
  <r>
    <n v="33"/>
    <n v="33"/>
    <x v="1"/>
    <n v="0"/>
    <s v="Non-Travel"/>
    <n v="0"/>
    <n v="0"/>
    <x v="0"/>
    <n v="0"/>
    <n v="1"/>
    <n v="17"/>
    <n v="17"/>
    <n v="3"/>
    <s v="Life Sciences"/>
    <n v="1"/>
    <n v="0"/>
    <n v="0"/>
    <n v="0"/>
    <n v="0"/>
    <x v="2"/>
    <s v="Male"/>
    <n v="0"/>
    <n v="38"/>
    <n v="3"/>
    <n v="4"/>
    <s v="Manager"/>
    <n v="0"/>
    <n v="0"/>
    <n v="0"/>
    <n v="1"/>
    <n v="0"/>
    <n v="0"/>
    <n v="0"/>
    <n v="0"/>
    <n v="3"/>
    <x v="0"/>
    <n v="1"/>
    <n v="0"/>
    <n v="17444"/>
    <n v="17444"/>
    <n v="1"/>
    <x v="1"/>
    <n v="0"/>
    <n v="11"/>
    <n v="3"/>
    <n v="4"/>
    <n v="0"/>
    <n v="10"/>
    <n v="10"/>
    <n v="2"/>
    <n v="3"/>
    <n v="10"/>
    <n v="10"/>
    <n v="8"/>
    <n v="6"/>
    <n v="6"/>
    <n v="0"/>
    <n v="0"/>
    <n v="0"/>
  </r>
  <r>
    <n v="29"/>
    <n v="29"/>
    <x v="0"/>
    <n v="1"/>
    <s v="Travel_Rarely"/>
    <n v="0"/>
    <n v="1"/>
    <x v="1"/>
    <n v="1"/>
    <n v="0"/>
    <n v="10"/>
    <n v="10"/>
    <n v="3"/>
    <s v="Life Sciences"/>
    <n v="1"/>
    <n v="0"/>
    <n v="0"/>
    <n v="0"/>
    <n v="0"/>
    <x v="2"/>
    <s v="Female"/>
    <n v="1"/>
    <n v="92"/>
    <n v="2"/>
    <n v="1"/>
    <s v="Research Scientist"/>
    <n v="0"/>
    <n v="0"/>
    <n v="0"/>
    <n v="0"/>
    <n v="0"/>
    <n v="0"/>
    <n v="0"/>
    <n v="1"/>
    <n v="1"/>
    <x v="0"/>
    <n v="1"/>
    <n v="0"/>
    <n v="2404"/>
    <n v="2404"/>
    <n v="6"/>
    <x v="0"/>
    <n v="1"/>
    <n v="20"/>
    <n v="4"/>
    <n v="3"/>
    <n v="0"/>
    <n v="3"/>
    <n v="3"/>
    <n v="5"/>
    <n v="3"/>
    <n v="0"/>
    <n v="0"/>
    <n v="0"/>
    <n v="0"/>
    <n v="0"/>
    <n v="0"/>
    <n v="0"/>
    <n v="0"/>
  </r>
  <r>
    <n v="33"/>
    <n v="33"/>
    <x v="1"/>
    <n v="0"/>
    <s v="Travel_Rarely"/>
    <n v="0"/>
    <n v="1"/>
    <x v="1"/>
    <n v="1"/>
    <n v="0"/>
    <n v="13"/>
    <n v="13"/>
    <n v="1"/>
    <s v="Life Sciences"/>
    <n v="1"/>
    <n v="0"/>
    <n v="0"/>
    <n v="0"/>
    <n v="0"/>
    <x v="0"/>
    <s v="Female"/>
    <n v="1"/>
    <n v="53"/>
    <n v="3"/>
    <n v="1"/>
    <s v="Research Scientist"/>
    <n v="0"/>
    <n v="0"/>
    <n v="0"/>
    <n v="0"/>
    <n v="0"/>
    <n v="0"/>
    <n v="0"/>
    <n v="1"/>
    <n v="4"/>
    <x v="0"/>
    <n v="1"/>
    <n v="0"/>
    <n v="3452"/>
    <n v="3452"/>
    <n v="3"/>
    <x v="1"/>
    <n v="0"/>
    <n v="18"/>
    <n v="3"/>
    <n v="1"/>
    <n v="0"/>
    <n v="5"/>
    <n v="5"/>
    <n v="4"/>
    <n v="3"/>
    <n v="3"/>
    <n v="3"/>
    <n v="2"/>
    <n v="0"/>
    <n v="0"/>
    <n v="2"/>
    <n v="2"/>
    <n v="2"/>
  </r>
  <r>
    <n v="45"/>
    <n v="45"/>
    <x v="1"/>
    <n v="0"/>
    <s v="Travel_Rarely"/>
    <n v="0"/>
    <n v="1"/>
    <x v="1"/>
    <n v="1"/>
    <n v="0"/>
    <n v="1"/>
    <n v="1"/>
    <n v="4"/>
    <s v="Medical"/>
    <n v="0"/>
    <n v="0"/>
    <n v="1"/>
    <n v="0"/>
    <n v="0"/>
    <x v="2"/>
    <s v="Female"/>
    <n v="1"/>
    <n v="91"/>
    <n v="3"/>
    <n v="1"/>
    <s v="Laboratory Technician"/>
    <n v="0"/>
    <n v="0"/>
    <n v="1"/>
    <n v="0"/>
    <n v="0"/>
    <n v="0"/>
    <n v="0"/>
    <n v="0"/>
    <n v="4"/>
    <x v="2"/>
    <n v="0"/>
    <n v="0"/>
    <n v="2270"/>
    <n v="2270"/>
    <n v="3"/>
    <x v="1"/>
    <n v="0"/>
    <n v="14"/>
    <n v="3"/>
    <n v="4"/>
    <n v="2"/>
    <n v="8"/>
    <n v="8"/>
    <n v="2"/>
    <n v="3"/>
    <n v="5"/>
    <n v="5"/>
    <n v="3"/>
    <n v="0"/>
    <n v="0"/>
    <n v="2"/>
    <n v="2"/>
    <n v="2"/>
  </r>
  <r>
    <n v="50"/>
    <n v="50"/>
    <x v="1"/>
    <n v="0"/>
    <s v="Travel_Rarely"/>
    <n v="0"/>
    <n v="1"/>
    <x v="1"/>
    <n v="1"/>
    <n v="0"/>
    <n v="1"/>
    <n v="1"/>
    <n v="2"/>
    <s v="Medical"/>
    <n v="0"/>
    <n v="0"/>
    <n v="1"/>
    <n v="0"/>
    <n v="0"/>
    <x v="2"/>
    <s v="Male"/>
    <n v="0"/>
    <n v="66"/>
    <n v="3"/>
    <n v="4"/>
    <s v="Research Director"/>
    <n v="0"/>
    <n v="0"/>
    <n v="0"/>
    <n v="0"/>
    <n v="0"/>
    <n v="0"/>
    <n v="0"/>
    <n v="0"/>
    <n v="4"/>
    <x v="2"/>
    <n v="0"/>
    <n v="0"/>
    <n v="17399"/>
    <n v="17399"/>
    <n v="9"/>
    <x v="1"/>
    <n v="0"/>
    <n v="22"/>
    <n v="4"/>
    <n v="3"/>
    <n v="1"/>
    <n v="32"/>
    <n v="32"/>
    <n v="1"/>
    <n v="2"/>
    <n v="5"/>
    <n v="5"/>
    <n v="4"/>
    <n v="1"/>
    <n v="1"/>
    <n v="3"/>
    <n v="3"/>
    <n v="12"/>
  </r>
  <r>
    <n v="33"/>
    <n v="33"/>
    <x v="1"/>
    <n v="0"/>
    <s v="Travel_Frequently"/>
    <n v="1"/>
    <n v="0"/>
    <x v="1"/>
    <n v="1"/>
    <n v="0"/>
    <n v="1"/>
    <n v="1"/>
    <n v="4"/>
    <s v="Other"/>
    <n v="0"/>
    <n v="1"/>
    <n v="0"/>
    <n v="0"/>
    <n v="0"/>
    <x v="1"/>
    <s v="Female"/>
    <n v="1"/>
    <n v="84"/>
    <n v="4"/>
    <n v="2"/>
    <s v="Healthcare Representative"/>
    <n v="1"/>
    <n v="0"/>
    <n v="0"/>
    <n v="0"/>
    <n v="0"/>
    <n v="0"/>
    <n v="0"/>
    <n v="0"/>
    <n v="2"/>
    <x v="1"/>
    <n v="0"/>
    <n v="1"/>
    <n v="5488"/>
    <n v="5488"/>
    <n v="1"/>
    <x v="0"/>
    <n v="1"/>
    <n v="13"/>
    <n v="3"/>
    <n v="1"/>
    <n v="1"/>
    <n v="6"/>
    <n v="6"/>
    <n v="2"/>
    <n v="3"/>
    <n v="6"/>
    <n v="6"/>
    <n v="5"/>
    <n v="1"/>
    <n v="1"/>
    <n v="2"/>
    <n v="2"/>
    <n v="4"/>
  </r>
  <r>
    <n v="41"/>
    <n v="41"/>
    <x v="1"/>
    <n v="0"/>
    <s v="Travel_Frequently"/>
    <n v="1"/>
    <n v="0"/>
    <x v="1"/>
    <n v="1"/>
    <n v="0"/>
    <n v="9"/>
    <n v="9"/>
    <n v="3"/>
    <s v="Medical"/>
    <n v="0"/>
    <n v="0"/>
    <n v="1"/>
    <n v="0"/>
    <n v="0"/>
    <x v="3"/>
    <s v="Male"/>
    <n v="0"/>
    <n v="64"/>
    <n v="3"/>
    <n v="5"/>
    <s v="Research Director"/>
    <n v="0"/>
    <n v="0"/>
    <n v="0"/>
    <n v="0"/>
    <n v="0"/>
    <n v="0"/>
    <n v="0"/>
    <n v="0"/>
    <n v="3"/>
    <x v="2"/>
    <n v="0"/>
    <n v="0"/>
    <n v="19419"/>
    <n v="19419"/>
    <n v="2"/>
    <x v="1"/>
    <n v="0"/>
    <n v="17"/>
    <n v="3"/>
    <n v="2"/>
    <n v="1"/>
    <n v="21"/>
    <n v="21"/>
    <n v="2"/>
    <n v="4"/>
    <n v="18"/>
    <n v="18"/>
    <n v="16"/>
    <n v="0"/>
    <n v="0"/>
    <n v="11"/>
    <n v="11"/>
    <n v="55"/>
  </r>
  <r>
    <n v="27"/>
    <n v="27"/>
    <x v="1"/>
    <n v="0"/>
    <s v="Travel_Rarely"/>
    <n v="0"/>
    <n v="1"/>
    <x v="1"/>
    <n v="1"/>
    <n v="0"/>
    <n v="16"/>
    <n v="16"/>
    <n v="4"/>
    <s v="Technical Degree"/>
    <n v="0"/>
    <n v="0"/>
    <n v="0"/>
    <n v="0"/>
    <n v="1"/>
    <x v="1"/>
    <s v="Female"/>
    <n v="1"/>
    <n v="37"/>
    <n v="3"/>
    <n v="1"/>
    <s v="Laboratory Technician"/>
    <n v="0"/>
    <n v="0"/>
    <n v="1"/>
    <n v="0"/>
    <n v="0"/>
    <n v="0"/>
    <n v="0"/>
    <n v="0"/>
    <n v="2"/>
    <x v="1"/>
    <n v="0"/>
    <n v="1"/>
    <n v="2811"/>
    <n v="2811"/>
    <n v="9"/>
    <x v="1"/>
    <n v="0"/>
    <n v="14"/>
    <n v="3"/>
    <n v="2"/>
    <n v="1"/>
    <n v="4"/>
    <n v="4"/>
    <n v="2"/>
    <n v="3"/>
    <n v="2"/>
    <n v="2"/>
    <n v="2"/>
    <n v="2"/>
    <n v="2"/>
    <n v="2"/>
    <n v="2"/>
    <n v="2"/>
  </r>
  <r>
    <n v="45"/>
    <n v="45"/>
    <x v="1"/>
    <n v="0"/>
    <s v="Non-Travel"/>
    <n v="0"/>
    <n v="0"/>
    <x v="1"/>
    <n v="1"/>
    <n v="0"/>
    <n v="23"/>
    <n v="23"/>
    <n v="2"/>
    <s v="Life Sciences"/>
    <n v="1"/>
    <n v="0"/>
    <n v="0"/>
    <n v="0"/>
    <n v="0"/>
    <x v="2"/>
    <s v="Male"/>
    <n v="0"/>
    <n v="42"/>
    <n v="3"/>
    <n v="2"/>
    <s v="Laboratory Technician"/>
    <n v="0"/>
    <n v="0"/>
    <n v="1"/>
    <n v="0"/>
    <n v="0"/>
    <n v="0"/>
    <n v="0"/>
    <n v="0"/>
    <n v="1"/>
    <x v="1"/>
    <n v="0"/>
    <n v="1"/>
    <n v="3633"/>
    <n v="3633"/>
    <n v="1"/>
    <x v="0"/>
    <n v="1"/>
    <n v="15"/>
    <n v="3"/>
    <n v="3"/>
    <n v="1"/>
    <n v="9"/>
    <n v="9"/>
    <n v="2"/>
    <n v="3"/>
    <n v="9"/>
    <n v="9"/>
    <n v="8"/>
    <n v="0"/>
    <n v="0"/>
    <n v="8"/>
    <n v="8"/>
    <n v="16"/>
  </r>
  <r>
    <n v="47"/>
    <n v="47"/>
    <x v="1"/>
    <n v="0"/>
    <s v="Travel_Rarely"/>
    <n v="0"/>
    <n v="1"/>
    <x v="0"/>
    <n v="0"/>
    <n v="1"/>
    <n v="4"/>
    <n v="4"/>
    <n v="2"/>
    <s v="Life Sciences"/>
    <n v="1"/>
    <n v="0"/>
    <n v="0"/>
    <n v="0"/>
    <n v="0"/>
    <x v="2"/>
    <s v="Female"/>
    <n v="1"/>
    <n v="83"/>
    <n v="3"/>
    <n v="2"/>
    <s v="Sales Executive"/>
    <n v="0"/>
    <n v="1"/>
    <n v="0"/>
    <n v="0"/>
    <n v="0"/>
    <n v="0"/>
    <n v="0"/>
    <n v="0"/>
    <n v="4"/>
    <x v="0"/>
    <n v="1"/>
    <n v="0"/>
    <n v="4163"/>
    <n v="4163"/>
    <n v="1"/>
    <x v="0"/>
    <n v="1"/>
    <n v="17"/>
    <n v="3"/>
    <n v="3"/>
    <n v="0"/>
    <n v="9"/>
    <n v="9"/>
    <n v="0"/>
    <n v="3"/>
    <n v="9"/>
    <n v="9"/>
    <n v="0"/>
    <n v="0"/>
    <n v="0"/>
    <n v="7"/>
    <n v="7"/>
    <n v="14"/>
  </r>
  <r>
    <n v="30"/>
    <n v="30"/>
    <x v="0"/>
    <n v="1"/>
    <s v="Travel_Rarely"/>
    <n v="0"/>
    <n v="1"/>
    <x v="1"/>
    <n v="1"/>
    <n v="0"/>
    <n v="22"/>
    <n v="22"/>
    <n v="3"/>
    <s v="Life Sciences"/>
    <n v="1"/>
    <n v="0"/>
    <n v="0"/>
    <n v="0"/>
    <n v="0"/>
    <x v="3"/>
    <s v="Female"/>
    <n v="1"/>
    <n v="48"/>
    <n v="3"/>
    <n v="1"/>
    <s v="Research Scientist"/>
    <n v="0"/>
    <n v="0"/>
    <n v="0"/>
    <n v="0"/>
    <n v="0"/>
    <n v="0"/>
    <n v="0"/>
    <n v="1"/>
    <n v="3"/>
    <x v="1"/>
    <n v="0"/>
    <n v="1"/>
    <n v="2132"/>
    <n v="2132"/>
    <n v="4"/>
    <x v="0"/>
    <n v="1"/>
    <n v="11"/>
    <n v="3"/>
    <n v="2"/>
    <n v="0"/>
    <n v="7"/>
    <n v="7"/>
    <n v="2"/>
    <n v="3"/>
    <n v="5"/>
    <n v="5"/>
    <n v="2"/>
    <n v="0"/>
    <n v="0"/>
    <n v="1"/>
    <n v="1"/>
    <n v="1"/>
  </r>
  <r>
    <n v="50"/>
    <n v="50"/>
    <x v="1"/>
    <n v="0"/>
    <s v="Travel_Rarely"/>
    <n v="0"/>
    <n v="1"/>
    <x v="1"/>
    <n v="1"/>
    <n v="0"/>
    <n v="24"/>
    <n v="24"/>
    <n v="3"/>
    <s v="Life Sciences"/>
    <n v="1"/>
    <n v="0"/>
    <n v="0"/>
    <n v="0"/>
    <n v="0"/>
    <x v="2"/>
    <s v="Male"/>
    <n v="0"/>
    <n v="95"/>
    <n v="3"/>
    <n v="4"/>
    <s v="Manufacturing Director"/>
    <n v="0"/>
    <n v="0"/>
    <n v="0"/>
    <n v="0"/>
    <n v="1"/>
    <n v="1"/>
    <n v="0"/>
    <n v="0"/>
    <n v="3"/>
    <x v="1"/>
    <n v="0"/>
    <n v="1"/>
    <n v="13973"/>
    <n v="13973"/>
    <n v="3"/>
    <x v="0"/>
    <n v="1"/>
    <n v="18"/>
    <n v="3"/>
    <n v="4"/>
    <n v="1"/>
    <n v="22"/>
    <n v="22"/>
    <n v="2"/>
    <n v="3"/>
    <n v="12"/>
    <n v="12"/>
    <n v="11"/>
    <n v="1"/>
    <n v="1"/>
    <n v="5"/>
    <n v="5"/>
    <n v="20"/>
  </r>
  <r>
    <n v="38"/>
    <n v="38"/>
    <x v="1"/>
    <n v="0"/>
    <s v="Travel_Frequently"/>
    <n v="1"/>
    <n v="0"/>
    <x v="1"/>
    <n v="1"/>
    <n v="0"/>
    <n v="10"/>
    <n v="10"/>
    <n v="1"/>
    <s v="Medical"/>
    <n v="0"/>
    <n v="0"/>
    <n v="1"/>
    <n v="0"/>
    <n v="0"/>
    <x v="1"/>
    <s v="Male"/>
    <n v="0"/>
    <n v="66"/>
    <n v="3"/>
    <n v="1"/>
    <s v="Research Scientist"/>
    <n v="0"/>
    <n v="0"/>
    <n v="0"/>
    <n v="0"/>
    <n v="0"/>
    <n v="0"/>
    <n v="0"/>
    <n v="1"/>
    <n v="3"/>
    <x v="1"/>
    <n v="0"/>
    <n v="1"/>
    <n v="2684"/>
    <n v="2684"/>
    <n v="0"/>
    <x v="1"/>
    <n v="0"/>
    <n v="17"/>
    <n v="3"/>
    <n v="2"/>
    <n v="1"/>
    <n v="3"/>
    <n v="3"/>
    <n v="0"/>
    <n v="2"/>
    <n v="2"/>
    <n v="2"/>
    <n v="1"/>
    <n v="0"/>
    <n v="0"/>
    <n v="2"/>
    <n v="2"/>
    <n v="2"/>
  </r>
  <r>
    <n v="46"/>
    <n v="46"/>
    <x v="1"/>
    <n v="0"/>
    <s v="Travel_Rarely"/>
    <n v="0"/>
    <n v="1"/>
    <x v="1"/>
    <n v="1"/>
    <n v="0"/>
    <n v="7"/>
    <n v="7"/>
    <n v="2"/>
    <s v="Medical"/>
    <n v="0"/>
    <n v="0"/>
    <n v="1"/>
    <n v="0"/>
    <n v="0"/>
    <x v="2"/>
    <s v="Male"/>
    <n v="0"/>
    <n v="75"/>
    <n v="3"/>
    <n v="3"/>
    <s v="Manufacturing Director"/>
    <n v="0"/>
    <n v="0"/>
    <n v="0"/>
    <n v="0"/>
    <n v="1"/>
    <n v="1"/>
    <n v="0"/>
    <n v="0"/>
    <n v="3"/>
    <x v="2"/>
    <n v="0"/>
    <n v="0"/>
    <n v="10845"/>
    <n v="10845"/>
    <n v="6"/>
    <x v="1"/>
    <n v="0"/>
    <n v="13"/>
    <n v="3"/>
    <n v="2"/>
    <n v="1"/>
    <n v="13"/>
    <n v="13"/>
    <n v="3"/>
    <n v="3"/>
    <n v="8"/>
    <n v="8"/>
    <n v="7"/>
    <n v="0"/>
    <n v="0"/>
    <n v="7"/>
    <n v="7"/>
    <n v="21"/>
  </r>
  <r>
    <n v="24"/>
    <n v="24"/>
    <x v="1"/>
    <n v="0"/>
    <s v="Travel_Rarely"/>
    <n v="0"/>
    <n v="1"/>
    <x v="1"/>
    <n v="1"/>
    <n v="0"/>
    <n v="17"/>
    <n v="17"/>
    <n v="1"/>
    <s v="Medical"/>
    <n v="0"/>
    <n v="0"/>
    <n v="1"/>
    <n v="0"/>
    <n v="0"/>
    <x v="2"/>
    <s v="Female"/>
    <n v="1"/>
    <n v="41"/>
    <n v="2"/>
    <n v="2"/>
    <s v="Manufacturing Director"/>
    <n v="0"/>
    <n v="0"/>
    <n v="0"/>
    <n v="0"/>
    <n v="1"/>
    <n v="1"/>
    <n v="0"/>
    <n v="0"/>
    <n v="3"/>
    <x v="2"/>
    <n v="0"/>
    <n v="0"/>
    <n v="4377"/>
    <n v="4377"/>
    <n v="1"/>
    <x v="1"/>
    <n v="0"/>
    <n v="15"/>
    <n v="3"/>
    <n v="2"/>
    <n v="2"/>
    <n v="5"/>
    <n v="5"/>
    <n v="6"/>
    <n v="3"/>
    <n v="4"/>
    <n v="4"/>
    <n v="2"/>
    <n v="3"/>
    <n v="3"/>
    <n v="2"/>
    <n v="2"/>
    <n v="4"/>
  </r>
  <r>
    <n v="35"/>
    <n v="35"/>
    <x v="0"/>
    <n v="1"/>
    <s v="Travel_Rarely"/>
    <n v="0"/>
    <n v="1"/>
    <x v="1"/>
    <n v="1"/>
    <n v="0"/>
    <n v="14"/>
    <n v="14"/>
    <n v="4"/>
    <s v="Other"/>
    <n v="0"/>
    <n v="1"/>
    <n v="0"/>
    <n v="0"/>
    <n v="0"/>
    <x v="1"/>
    <s v="Male"/>
    <n v="0"/>
    <n v="39"/>
    <n v="2"/>
    <n v="1"/>
    <s v="Laboratory Technician"/>
    <n v="0"/>
    <n v="0"/>
    <n v="1"/>
    <n v="0"/>
    <n v="0"/>
    <n v="0"/>
    <n v="0"/>
    <n v="0"/>
    <n v="2"/>
    <x v="2"/>
    <n v="0"/>
    <n v="0"/>
    <n v="3743"/>
    <n v="3743"/>
    <n v="1"/>
    <x v="0"/>
    <n v="1"/>
    <n v="24"/>
    <n v="4"/>
    <n v="4"/>
    <n v="1"/>
    <n v="5"/>
    <n v="5"/>
    <n v="2"/>
    <n v="1"/>
    <n v="4"/>
    <n v="4"/>
    <n v="2"/>
    <n v="0"/>
    <n v="0"/>
    <n v="2"/>
    <n v="2"/>
    <n v="2"/>
  </r>
  <r>
    <n v="31"/>
    <n v="31"/>
    <x v="1"/>
    <n v="0"/>
    <s v="Travel_Frequently"/>
    <n v="1"/>
    <n v="0"/>
    <x v="1"/>
    <n v="1"/>
    <n v="0"/>
    <n v="1"/>
    <n v="1"/>
    <n v="1"/>
    <s v="Life Sciences"/>
    <n v="1"/>
    <n v="0"/>
    <n v="0"/>
    <n v="0"/>
    <n v="0"/>
    <x v="1"/>
    <s v="Female"/>
    <n v="1"/>
    <n v="96"/>
    <n v="3"/>
    <n v="2"/>
    <s v="Manufacturing Director"/>
    <n v="0"/>
    <n v="0"/>
    <n v="0"/>
    <n v="0"/>
    <n v="1"/>
    <n v="1"/>
    <n v="0"/>
    <n v="0"/>
    <n v="1"/>
    <x v="1"/>
    <n v="0"/>
    <n v="1"/>
    <n v="4148"/>
    <n v="4148"/>
    <n v="1"/>
    <x v="1"/>
    <n v="0"/>
    <n v="12"/>
    <n v="3"/>
    <n v="3"/>
    <n v="1"/>
    <n v="4"/>
    <n v="4"/>
    <n v="1"/>
    <n v="3"/>
    <n v="4"/>
    <n v="4"/>
    <n v="3"/>
    <n v="0"/>
    <n v="0"/>
    <n v="3"/>
    <n v="3"/>
    <n v="6"/>
  </r>
  <r>
    <n v="18"/>
    <n v="19"/>
    <x v="1"/>
    <n v="0"/>
    <s v="Non-Travel"/>
    <n v="0"/>
    <n v="0"/>
    <x v="1"/>
    <n v="1"/>
    <n v="0"/>
    <n v="5"/>
    <n v="5"/>
    <n v="2"/>
    <s v="Life Sciences"/>
    <n v="1"/>
    <n v="0"/>
    <n v="0"/>
    <n v="0"/>
    <n v="0"/>
    <x v="0"/>
    <s v="Male"/>
    <n v="0"/>
    <n v="73"/>
    <n v="3"/>
    <n v="1"/>
    <s v="Research Scientist"/>
    <n v="0"/>
    <n v="0"/>
    <n v="0"/>
    <n v="0"/>
    <n v="0"/>
    <n v="0"/>
    <n v="0"/>
    <n v="1"/>
    <n v="4"/>
    <x v="0"/>
    <n v="1"/>
    <n v="0"/>
    <n v="1051"/>
    <n v="1382.46"/>
    <n v="1"/>
    <x v="1"/>
    <n v="0"/>
    <n v="15"/>
    <n v="3"/>
    <n v="4"/>
    <n v="0"/>
    <n v="0"/>
    <n v="1"/>
    <n v="2"/>
    <n v="3"/>
    <n v="0"/>
    <n v="0"/>
    <n v="0"/>
    <n v="0"/>
    <n v="0"/>
    <n v="0"/>
    <n v="0"/>
    <n v="0"/>
  </r>
  <r>
    <n v="54"/>
    <n v="54"/>
    <x v="1"/>
    <n v="0"/>
    <s v="Travel_Rarely"/>
    <n v="0"/>
    <n v="1"/>
    <x v="1"/>
    <n v="1"/>
    <n v="0"/>
    <n v="17"/>
    <n v="17"/>
    <n v="3"/>
    <s v="Technical Degree"/>
    <n v="0"/>
    <n v="0"/>
    <n v="0"/>
    <n v="0"/>
    <n v="1"/>
    <x v="1"/>
    <s v="Female"/>
    <n v="1"/>
    <n v="56"/>
    <n v="3"/>
    <n v="3"/>
    <s v="Manufacturing Director"/>
    <n v="0"/>
    <n v="0"/>
    <n v="0"/>
    <n v="0"/>
    <n v="1"/>
    <n v="1"/>
    <n v="0"/>
    <n v="0"/>
    <n v="3"/>
    <x v="1"/>
    <n v="0"/>
    <n v="1"/>
    <n v="10739"/>
    <n v="10739"/>
    <n v="8"/>
    <x v="1"/>
    <n v="0"/>
    <n v="11"/>
    <n v="3"/>
    <n v="3"/>
    <n v="1"/>
    <n v="22"/>
    <n v="22"/>
    <n v="2"/>
    <n v="3"/>
    <n v="10"/>
    <n v="10"/>
    <n v="7"/>
    <n v="0"/>
    <n v="0"/>
    <n v="8"/>
    <n v="8"/>
    <n v="24"/>
  </r>
  <r>
    <n v="35"/>
    <n v="35"/>
    <x v="1"/>
    <n v="0"/>
    <s v="Travel_Rarely"/>
    <n v="0"/>
    <n v="1"/>
    <x v="1"/>
    <n v="1"/>
    <n v="0"/>
    <n v="25"/>
    <n v="25"/>
    <n v="4"/>
    <s v="Medical"/>
    <n v="0"/>
    <n v="0"/>
    <n v="1"/>
    <n v="0"/>
    <n v="0"/>
    <x v="1"/>
    <s v="Female"/>
    <n v="1"/>
    <n v="57"/>
    <n v="3"/>
    <n v="3"/>
    <s v="Healthcare Representative"/>
    <n v="1"/>
    <n v="0"/>
    <n v="0"/>
    <n v="0"/>
    <n v="0"/>
    <n v="0"/>
    <n v="0"/>
    <n v="0"/>
    <n v="3"/>
    <x v="2"/>
    <n v="0"/>
    <n v="0"/>
    <n v="10388"/>
    <n v="10388"/>
    <n v="1"/>
    <x v="0"/>
    <n v="1"/>
    <n v="11"/>
    <n v="3"/>
    <n v="3"/>
    <n v="1"/>
    <n v="16"/>
    <n v="16"/>
    <n v="3"/>
    <n v="2"/>
    <n v="16"/>
    <n v="16"/>
    <n v="10"/>
    <n v="10"/>
    <n v="10"/>
    <n v="1"/>
    <n v="1"/>
    <n v="3"/>
  </r>
  <r>
    <n v="30"/>
    <n v="30"/>
    <x v="1"/>
    <n v="0"/>
    <s v="Travel_Rarely"/>
    <n v="0"/>
    <n v="1"/>
    <x v="1"/>
    <n v="1"/>
    <n v="0"/>
    <n v="8"/>
    <n v="8"/>
    <n v="2"/>
    <s v="Life Sciences"/>
    <n v="1"/>
    <n v="0"/>
    <n v="0"/>
    <n v="0"/>
    <n v="0"/>
    <x v="0"/>
    <s v="Female"/>
    <n v="1"/>
    <n v="73"/>
    <n v="4"/>
    <n v="3"/>
    <s v="Research Director"/>
    <n v="0"/>
    <n v="0"/>
    <n v="0"/>
    <n v="0"/>
    <n v="0"/>
    <n v="0"/>
    <n v="0"/>
    <n v="0"/>
    <n v="1"/>
    <x v="1"/>
    <n v="0"/>
    <n v="1"/>
    <n v="11416"/>
    <n v="11416"/>
    <n v="0"/>
    <x v="0"/>
    <n v="1"/>
    <n v="12"/>
    <n v="3"/>
    <n v="3"/>
    <n v="3"/>
    <n v="9"/>
    <n v="9"/>
    <n v="4"/>
    <n v="2"/>
    <n v="8"/>
    <n v="8"/>
    <n v="7"/>
    <n v="1"/>
    <n v="1"/>
    <n v="7"/>
    <n v="7"/>
    <n v="21"/>
  </r>
  <r>
    <n v="20"/>
    <n v="20"/>
    <x v="0"/>
    <n v="1"/>
    <s v="Travel_Rarely"/>
    <n v="0"/>
    <n v="1"/>
    <x v="1"/>
    <n v="1"/>
    <n v="0"/>
    <n v="11"/>
    <n v="11"/>
    <n v="3"/>
    <s v="Medical"/>
    <n v="0"/>
    <n v="0"/>
    <n v="1"/>
    <n v="0"/>
    <n v="0"/>
    <x v="2"/>
    <s v="Female"/>
    <n v="1"/>
    <n v="98"/>
    <n v="2"/>
    <n v="1"/>
    <s v="Research Scientist"/>
    <n v="0"/>
    <n v="0"/>
    <n v="0"/>
    <n v="0"/>
    <n v="0"/>
    <n v="0"/>
    <n v="0"/>
    <n v="1"/>
    <n v="1"/>
    <x v="0"/>
    <n v="1"/>
    <n v="0"/>
    <n v="2600"/>
    <n v="2600"/>
    <n v="1"/>
    <x v="0"/>
    <n v="1"/>
    <n v="15"/>
    <n v="3"/>
    <n v="1"/>
    <n v="0"/>
    <n v="1"/>
    <n v="1"/>
    <n v="2"/>
    <n v="3"/>
    <n v="1"/>
    <n v="1"/>
    <n v="0"/>
    <n v="0"/>
    <n v="0"/>
    <n v="0"/>
    <n v="0"/>
    <n v="0"/>
  </r>
  <r>
    <n v="30"/>
    <n v="30"/>
    <x v="0"/>
    <n v="1"/>
    <s v="Travel_Frequently"/>
    <n v="1"/>
    <n v="0"/>
    <x v="1"/>
    <n v="1"/>
    <n v="0"/>
    <n v="5"/>
    <n v="5"/>
    <n v="3"/>
    <s v="Medical"/>
    <n v="0"/>
    <n v="0"/>
    <n v="1"/>
    <n v="0"/>
    <n v="0"/>
    <x v="0"/>
    <s v="Female"/>
    <n v="1"/>
    <n v="60"/>
    <n v="3"/>
    <n v="1"/>
    <s v="Laboratory Technician"/>
    <n v="0"/>
    <n v="0"/>
    <n v="1"/>
    <n v="0"/>
    <n v="0"/>
    <n v="0"/>
    <n v="0"/>
    <n v="0"/>
    <n v="2"/>
    <x v="0"/>
    <n v="1"/>
    <n v="0"/>
    <n v="2422"/>
    <n v="2422"/>
    <n v="0"/>
    <x v="1"/>
    <n v="0"/>
    <n v="17"/>
    <n v="3"/>
    <n v="1"/>
    <n v="0"/>
    <n v="4"/>
    <n v="4"/>
    <n v="3"/>
    <n v="3"/>
    <n v="3"/>
    <n v="3"/>
    <n v="2"/>
    <n v="1"/>
    <n v="1"/>
    <n v="2"/>
    <n v="2"/>
    <n v="2"/>
  </r>
  <r>
    <n v="26"/>
    <n v="26"/>
    <x v="1"/>
    <n v="0"/>
    <s v="Travel_Rarely"/>
    <n v="0"/>
    <n v="1"/>
    <x v="1"/>
    <n v="1"/>
    <n v="0"/>
    <n v="2"/>
    <n v="2"/>
    <n v="2"/>
    <s v="Medical"/>
    <n v="0"/>
    <n v="0"/>
    <n v="1"/>
    <n v="0"/>
    <n v="0"/>
    <x v="2"/>
    <s v="Male"/>
    <n v="0"/>
    <n v="32"/>
    <n v="4"/>
    <n v="2"/>
    <s v="Manufacturing Director"/>
    <n v="0"/>
    <n v="0"/>
    <n v="0"/>
    <n v="0"/>
    <n v="1"/>
    <n v="1"/>
    <n v="0"/>
    <n v="0"/>
    <n v="4"/>
    <x v="1"/>
    <n v="0"/>
    <n v="1"/>
    <n v="5472"/>
    <n v="5472"/>
    <n v="1"/>
    <x v="1"/>
    <n v="0"/>
    <n v="12"/>
    <n v="3"/>
    <n v="2"/>
    <n v="0"/>
    <n v="8"/>
    <n v="8"/>
    <n v="2"/>
    <n v="3"/>
    <n v="8"/>
    <n v="8"/>
    <n v="7"/>
    <n v="1"/>
    <n v="1"/>
    <n v="3"/>
    <n v="3"/>
    <n v="6"/>
  </r>
  <r>
    <n v="22"/>
    <n v="22"/>
    <x v="1"/>
    <n v="0"/>
    <s v="Travel_Rarely"/>
    <n v="0"/>
    <n v="1"/>
    <x v="1"/>
    <n v="1"/>
    <n v="0"/>
    <n v="8"/>
    <n v="8"/>
    <n v="1"/>
    <s v="Life Sciences"/>
    <n v="1"/>
    <n v="0"/>
    <n v="0"/>
    <n v="0"/>
    <n v="0"/>
    <x v="0"/>
    <s v="Male"/>
    <n v="0"/>
    <n v="94"/>
    <n v="1"/>
    <n v="1"/>
    <s v="Laboratory Technician"/>
    <n v="0"/>
    <n v="0"/>
    <n v="1"/>
    <n v="0"/>
    <n v="0"/>
    <n v="0"/>
    <n v="0"/>
    <n v="0"/>
    <n v="1"/>
    <x v="1"/>
    <n v="0"/>
    <n v="1"/>
    <n v="2451"/>
    <n v="2451"/>
    <n v="1"/>
    <x v="1"/>
    <n v="0"/>
    <n v="15"/>
    <n v="3"/>
    <n v="1"/>
    <n v="1"/>
    <n v="4"/>
    <n v="4"/>
    <n v="3"/>
    <n v="2"/>
    <n v="4"/>
    <n v="4"/>
    <n v="3"/>
    <n v="1"/>
    <n v="1"/>
    <n v="1"/>
    <n v="1"/>
    <n v="1"/>
  </r>
  <r>
    <n v="48"/>
    <n v="48"/>
    <x v="1"/>
    <n v="0"/>
    <s v="Travel_Rarely"/>
    <n v="0"/>
    <n v="1"/>
    <x v="1"/>
    <n v="1"/>
    <n v="0"/>
    <n v="6"/>
    <n v="6"/>
    <n v="3"/>
    <s v="Life Sciences"/>
    <n v="1"/>
    <n v="0"/>
    <n v="0"/>
    <n v="0"/>
    <n v="0"/>
    <x v="3"/>
    <s v="Male"/>
    <n v="0"/>
    <n v="97"/>
    <n v="2"/>
    <n v="2"/>
    <s v="Healthcare Representative"/>
    <n v="1"/>
    <n v="0"/>
    <n v="0"/>
    <n v="0"/>
    <n v="0"/>
    <n v="0"/>
    <n v="0"/>
    <n v="0"/>
    <n v="3"/>
    <x v="0"/>
    <n v="1"/>
    <n v="0"/>
    <n v="4240"/>
    <n v="4240"/>
    <n v="2"/>
    <x v="1"/>
    <n v="0"/>
    <n v="13"/>
    <n v="3"/>
    <n v="4"/>
    <n v="0"/>
    <n v="19"/>
    <n v="19"/>
    <n v="0"/>
    <n v="3"/>
    <n v="2"/>
    <n v="2"/>
    <n v="2"/>
    <n v="2"/>
    <n v="2"/>
    <n v="2"/>
    <n v="2"/>
    <n v="4"/>
  </r>
  <r>
    <n v="48"/>
    <n v="48"/>
    <x v="1"/>
    <n v="0"/>
    <s v="Travel_Rarely"/>
    <n v="0"/>
    <n v="1"/>
    <x v="1"/>
    <n v="1"/>
    <n v="0"/>
    <n v="4"/>
    <n v="4"/>
    <n v="4"/>
    <s v="Life Sciences"/>
    <n v="1"/>
    <n v="0"/>
    <n v="0"/>
    <n v="0"/>
    <n v="0"/>
    <x v="1"/>
    <s v="Male"/>
    <n v="0"/>
    <n v="78"/>
    <n v="2"/>
    <n v="3"/>
    <s v="Healthcare Representative"/>
    <n v="1"/>
    <n v="0"/>
    <n v="0"/>
    <n v="0"/>
    <n v="0"/>
    <n v="0"/>
    <n v="0"/>
    <n v="0"/>
    <n v="3"/>
    <x v="0"/>
    <n v="1"/>
    <n v="0"/>
    <n v="10999"/>
    <n v="10999"/>
    <n v="7"/>
    <x v="1"/>
    <n v="0"/>
    <n v="14"/>
    <n v="3"/>
    <n v="2"/>
    <n v="0"/>
    <n v="27"/>
    <n v="27"/>
    <n v="3"/>
    <n v="3"/>
    <n v="15"/>
    <n v="15"/>
    <n v="11"/>
    <n v="4"/>
    <n v="4"/>
    <n v="8"/>
    <n v="8"/>
    <n v="24"/>
  </r>
  <r>
    <n v="41"/>
    <n v="41"/>
    <x v="1"/>
    <n v="0"/>
    <s v="Travel_Rarely"/>
    <n v="0"/>
    <n v="1"/>
    <x v="1"/>
    <n v="1"/>
    <n v="0"/>
    <n v="7"/>
    <n v="7"/>
    <n v="2"/>
    <s v="Medical"/>
    <n v="0"/>
    <n v="0"/>
    <n v="1"/>
    <n v="0"/>
    <n v="0"/>
    <x v="2"/>
    <s v="Female"/>
    <n v="1"/>
    <n v="42"/>
    <n v="3"/>
    <n v="2"/>
    <s v="Manufacturing Director"/>
    <n v="0"/>
    <n v="0"/>
    <n v="0"/>
    <n v="0"/>
    <n v="1"/>
    <n v="1"/>
    <n v="0"/>
    <n v="0"/>
    <n v="3"/>
    <x v="0"/>
    <n v="1"/>
    <n v="0"/>
    <n v="5003"/>
    <n v="5003"/>
    <n v="6"/>
    <x v="1"/>
    <n v="0"/>
    <n v="14"/>
    <n v="3"/>
    <n v="2"/>
    <n v="0"/>
    <n v="8"/>
    <n v="8"/>
    <n v="6"/>
    <n v="3"/>
    <n v="2"/>
    <n v="2"/>
    <n v="2"/>
    <n v="2"/>
    <n v="2"/>
    <n v="1"/>
    <n v="1"/>
    <n v="2"/>
  </r>
  <r>
    <n v="39"/>
    <n v="39"/>
    <x v="1"/>
    <n v="0"/>
    <s v="Travel_Rarely"/>
    <n v="0"/>
    <n v="1"/>
    <x v="1"/>
    <n v="1"/>
    <n v="0"/>
    <n v="1"/>
    <n v="1"/>
    <n v="1"/>
    <s v="Life Sciences"/>
    <n v="1"/>
    <n v="0"/>
    <n v="0"/>
    <n v="0"/>
    <n v="0"/>
    <x v="2"/>
    <s v="Female"/>
    <n v="1"/>
    <n v="65"/>
    <n v="2"/>
    <n v="4"/>
    <s v="Manufacturing Director"/>
    <n v="0"/>
    <n v="0"/>
    <n v="0"/>
    <n v="0"/>
    <n v="1"/>
    <n v="1"/>
    <n v="0"/>
    <n v="0"/>
    <n v="4"/>
    <x v="1"/>
    <n v="0"/>
    <n v="1"/>
    <n v="12742"/>
    <n v="12742"/>
    <n v="1"/>
    <x v="1"/>
    <n v="0"/>
    <n v="16"/>
    <n v="3"/>
    <n v="3"/>
    <n v="1"/>
    <n v="21"/>
    <n v="21"/>
    <n v="3"/>
    <n v="3"/>
    <n v="21"/>
    <n v="21"/>
    <n v="6"/>
    <n v="11"/>
    <n v="11"/>
    <n v="8"/>
    <n v="8"/>
    <n v="32"/>
  </r>
  <r>
    <n v="27"/>
    <n v="27"/>
    <x v="1"/>
    <n v="0"/>
    <s v="Travel_Rarely"/>
    <n v="0"/>
    <n v="1"/>
    <x v="1"/>
    <n v="1"/>
    <n v="0"/>
    <n v="2"/>
    <n v="2"/>
    <n v="4"/>
    <s v="Life Sciences"/>
    <n v="1"/>
    <n v="0"/>
    <n v="0"/>
    <n v="0"/>
    <n v="0"/>
    <x v="3"/>
    <s v="Female"/>
    <n v="1"/>
    <n v="47"/>
    <n v="3"/>
    <n v="2"/>
    <s v="Manufacturing Director"/>
    <n v="0"/>
    <n v="0"/>
    <n v="0"/>
    <n v="0"/>
    <n v="1"/>
    <n v="1"/>
    <n v="0"/>
    <n v="0"/>
    <n v="4"/>
    <x v="1"/>
    <n v="0"/>
    <n v="1"/>
    <n v="4227"/>
    <n v="4227"/>
    <n v="0"/>
    <x v="1"/>
    <n v="0"/>
    <n v="18"/>
    <n v="3"/>
    <n v="2"/>
    <n v="1"/>
    <n v="4"/>
    <n v="4"/>
    <n v="2"/>
    <n v="3"/>
    <n v="3"/>
    <n v="3"/>
    <n v="2"/>
    <n v="2"/>
    <n v="2"/>
    <n v="2"/>
    <n v="2"/>
    <n v="4"/>
  </r>
  <r>
    <n v="35"/>
    <n v="35"/>
    <x v="1"/>
    <n v="0"/>
    <s v="Travel_Rarely"/>
    <n v="0"/>
    <n v="1"/>
    <x v="1"/>
    <n v="1"/>
    <n v="0"/>
    <n v="10"/>
    <n v="10"/>
    <n v="3"/>
    <s v="Other"/>
    <n v="0"/>
    <n v="1"/>
    <n v="0"/>
    <n v="0"/>
    <n v="0"/>
    <x v="0"/>
    <s v="Male"/>
    <n v="0"/>
    <n v="45"/>
    <n v="3"/>
    <n v="1"/>
    <s v="Laboratory Technician"/>
    <n v="0"/>
    <n v="0"/>
    <n v="1"/>
    <n v="0"/>
    <n v="0"/>
    <n v="0"/>
    <n v="0"/>
    <n v="0"/>
    <n v="4"/>
    <x v="2"/>
    <n v="0"/>
    <n v="0"/>
    <n v="3917"/>
    <n v="3917"/>
    <n v="1"/>
    <x v="1"/>
    <n v="0"/>
    <n v="20"/>
    <n v="4"/>
    <n v="1"/>
    <n v="1"/>
    <n v="3"/>
    <n v="3"/>
    <n v="4"/>
    <n v="2"/>
    <n v="3"/>
    <n v="3"/>
    <n v="2"/>
    <n v="1"/>
    <n v="1"/>
    <n v="2"/>
    <n v="2"/>
    <n v="2"/>
  </r>
  <r>
    <n v="42"/>
    <n v="42"/>
    <x v="1"/>
    <n v="0"/>
    <s v="Travel_Rarely"/>
    <n v="0"/>
    <n v="1"/>
    <x v="0"/>
    <n v="0"/>
    <n v="1"/>
    <n v="5"/>
    <n v="5"/>
    <n v="2"/>
    <s v="Marketing"/>
    <n v="0"/>
    <n v="0"/>
    <n v="0"/>
    <n v="1"/>
    <n v="0"/>
    <x v="2"/>
    <s v="Male"/>
    <n v="0"/>
    <n v="90"/>
    <n v="3"/>
    <n v="5"/>
    <s v="Manager"/>
    <n v="0"/>
    <n v="0"/>
    <n v="0"/>
    <n v="1"/>
    <n v="0"/>
    <n v="0"/>
    <n v="0"/>
    <n v="0"/>
    <n v="3"/>
    <x v="1"/>
    <n v="0"/>
    <n v="1"/>
    <n v="18303"/>
    <n v="18303"/>
    <n v="6"/>
    <x v="1"/>
    <n v="0"/>
    <n v="13"/>
    <n v="3"/>
    <n v="2"/>
    <n v="0"/>
    <n v="21"/>
    <n v="21"/>
    <n v="3"/>
    <n v="4"/>
    <n v="1"/>
    <n v="1"/>
    <n v="0"/>
    <n v="0"/>
    <n v="0"/>
    <n v="0"/>
    <n v="0"/>
    <n v="0"/>
  </r>
  <r>
    <n v="50"/>
    <n v="50"/>
    <x v="1"/>
    <n v="0"/>
    <s v="Travel_Rarely"/>
    <n v="0"/>
    <n v="1"/>
    <x v="1"/>
    <n v="1"/>
    <n v="0"/>
    <n v="9"/>
    <n v="9"/>
    <n v="3"/>
    <s v="Life Sciences"/>
    <n v="1"/>
    <n v="0"/>
    <n v="0"/>
    <n v="0"/>
    <n v="0"/>
    <x v="3"/>
    <s v="Male"/>
    <n v="0"/>
    <n v="64"/>
    <n v="3"/>
    <n v="1"/>
    <s v="Laboratory Technician"/>
    <n v="0"/>
    <n v="0"/>
    <n v="1"/>
    <n v="0"/>
    <n v="0"/>
    <n v="0"/>
    <n v="0"/>
    <n v="0"/>
    <n v="4"/>
    <x v="1"/>
    <n v="0"/>
    <n v="1"/>
    <n v="2380"/>
    <n v="2380"/>
    <n v="4"/>
    <x v="1"/>
    <n v="0"/>
    <n v="18"/>
    <n v="3"/>
    <n v="2"/>
    <n v="0"/>
    <n v="8"/>
    <n v="8"/>
    <n v="5"/>
    <n v="3"/>
    <n v="1"/>
    <n v="1"/>
    <n v="0"/>
    <n v="0"/>
    <n v="0"/>
    <n v="0"/>
    <n v="0"/>
    <n v="0"/>
  </r>
  <r>
    <n v="59"/>
    <n v="58.309999999999945"/>
    <x v="1"/>
    <n v="0"/>
    <s v="Travel_Rarely"/>
    <n v="0"/>
    <n v="1"/>
    <x v="1"/>
    <n v="1"/>
    <n v="0"/>
    <n v="2"/>
    <n v="2"/>
    <n v="3"/>
    <s v="Life Sciences"/>
    <n v="1"/>
    <n v="0"/>
    <n v="0"/>
    <n v="0"/>
    <n v="0"/>
    <x v="1"/>
    <s v="Female"/>
    <n v="1"/>
    <n v="69"/>
    <n v="2"/>
    <n v="4"/>
    <s v="Manufacturing Director"/>
    <n v="0"/>
    <n v="0"/>
    <n v="0"/>
    <n v="0"/>
    <n v="1"/>
    <n v="1"/>
    <n v="0"/>
    <n v="0"/>
    <n v="4"/>
    <x v="0"/>
    <n v="1"/>
    <n v="0"/>
    <n v="13726"/>
    <n v="13726"/>
    <n v="3"/>
    <x v="0"/>
    <n v="1"/>
    <n v="13"/>
    <n v="3"/>
    <n v="1"/>
    <n v="0"/>
    <n v="30"/>
    <n v="30"/>
    <n v="4"/>
    <n v="3"/>
    <n v="5"/>
    <n v="5"/>
    <n v="3"/>
    <n v="4"/>
    <n v="4"/>
    <n v="3"/>
    <n v="3"/>
    <n v="12"/>
  </r>
  <r>
    <n v="37"/>
    <n v="37"/>
    <x v="0"/>
    <n v="1"/>
    <s v="Travel_Rarely"/>
    <n v="0"/>
    <n v="1"/>
    <x v="1"/>
    <n v="1"/>
    <n v="0"/>
    <n v="11"/>
    <n v="11"/>
    <n v="2"/>
    <s v="Medical"/>
    <n v="0"/>
    <n v="0"/>
    <n v="1"/>
    <n v="0"/>
    <n v="0"/>
    <x v="3"/>
    <s v="Female"/>
    <n v="1"/>
    <n v="61"/>
    <n v="1"/>
    <n v="2"/>
    <s v="Healthcare Representative"/>
    <n v="1"/>
    <n v="0"/>
    <n v="0"/>
    <n v="0"/>
    <n v="0"/>
    <n v="0"/>
    <n v="0"/>
    <n v="0"/>
    <n v="2"/>
    <x v="1"/>
    <n v="0"/>
    <n v="1"/>
    <n v="4777"/>
    <n v="4777"/>
    <n v="5"/>
    <x v="1"/>
    <n v="0"/>
    <n v="15"/>
    <n v="3"/>
    <n v="1"/>
    <n v="0"/>
    <n v="15"/>
    <n v="15"/>
    <n v="2"/>
    <n v="1"/>
    <n v="1"/>
    <n v="1"/>
    <n v="0"/>
    <n v="0"/>
    <n v="0"/>
    <n v="0"/>
    <n v="0"/>
    <n v="0"/>
  </r>
  <r>
    <n v="55"/>
    <n v="55"/>
    <x v="1"/>
    <n v="0"/>
    <s v="Travel_Frequently"/>
    <n v="1"/>
    <n v="0"/>
    <x v="1"/>
    <n v="1"/>
    <n v="0"/>
    <n v="18"/>
    <n v="18"/>
    <n v="4"/>
    <s v="Medical"/>
    <n v="0"/>
    <n v="0"/>
    <n v="1"/>
    <n v="0"/>
    <n v="0"/>
    <x v="1"/>
    <s v="Male"/>
    <n v="0"/>
    <n v="62"/>
    <n v="3"/>
    <n v="2"/>
    <s v="Healthcare Representative"/>
    <n v="1"/>
    <n v="0"/>
    <n v="0"/>
    <n v="0"/>
    <n v="0"/>
    <n v="0"/>
    <n v="0"/>
    <n v="0"/>
    <n v="2"/>
    <x v="1"/>
    <n v="0"/>
    <n v="1"/>
    <n v="6385"/>
    <n v="6385"/>
    <n v="3"/>
    <x v="0"/>
    <n v="1"/>
    <n v="14"/>
    <n v="3"/>
    <n v="4"/>
    <n v="2"/>
    <n v="17"/>
    <n v="17"/>
    <n v="3"/>
    <n v="3"/>
    <n v="8"/>
    <n v="8"/>
    <n v="7"/>
    <n v="6"/>
    <n v="6"/>
    <n v="7"/>
    <n v="7"/>
    <n v="14"/>
  </r>
  <r>
    <n v="41"/>
    <n v="41"/>
    <x v="1"/>
    <n v="0"/>
    <s v="Non-Travel"/>
    <n v="0"/>
    <n v="0"/>
    <x v="1"/>
    <n v="1"/>
    <n v="0"/>
    <n v="7"/>
    <n v="7"/>
    <n v="1"/>
    <s v="Life Sciences"/>
    <n v="1"/>
    <n v="0"/>
    <n v="0"/>
    <n v="0"/>
    <n v="0"/>
    <x v="0"/>
    <s v="Female"/>
    <n v="1"/>
    <n v="55"/>
    <n v="1"/>
    <n v="5"/>
    <s v="Research Director"/>
    <n v="0"/>
    <n v="0"/>
    <n v="0"/>
    <n v="0"/>
    <n v="0"/>
    <n v="0"/>
    <n v="0"/>
    <n v="0"/>
    <n v="3"/>
    <x v="2"/>
    <n v="0"/>
    <n v="0"/>
    <n v="19973"/>
    <n v="19626.310000000001"/>
    <n v="1"/>
    <x v="1"/>
    <n v="0"/>
    <n v="22"/>
    <n v="4"/>
    <n v="2"/>
    <n v="2"/>
    <n v="21"/>
    <n v="21"/>
    <n v="3"/>
    <n v="3"/>
    <n v="21"/>
    <n v="21"/>
    <n v="16"/>
    <n v="5"/>
    <n v="5"/>
    <n v="10"/>
    <n v="10"/>
    <n v="50"/>
  </r>
  <r>
    <n v="38"/>
    <n v="38"/>
    <x v="1"/>
    <n v="0"/>
    <s v="Travel_Rarely"/>
    <n v="0"/>
    <n v="1"/>
    <x v="0"/>
    <n v="0"/>
    <n v="1"/>
    <n v="3"/>
    <n v="3"/>
    <n v="4"/>
    <s v="Life Sciences"/>
    <n v="1"/>
    <n v="0"/>
    <n v="0"/>
    <n v="0"/>
    <n v="0"/>
    <x v="0"/>
    <s v="Male"/>
    <n v="0"/>
    <n v="42"/>
    <n v="3"/>
    <n v="2"/>
    <s v="Sales Executive"/>
    <n v="0"/>
    <n v="1"/>
    <n v="0"/>
    <n v="0"/>
    <n v="0"/>
    <n v="0"/>
    <n v="0"/>
    <n v="0"/>
    <n v="4"/>
    <x v="0"/>
    <n v="1"/>
    <n v="0"/>
    <n v="6861"/>
    <n v="6861"/>
    <n v="8"/>
    <x v="0"/>
    <n v="1"/>
    <n v="12"/>
    <n v="3"/>
    <n v="3"/>
    <n v="0"/>
    <n v="19"/>
    <n v="19"/>
    <n v="1"/>
    <n v="3"/>
    <n v="1"/>
    <n v="1"/>
    <n v="0"/>
    <n v="0"/>
    <n v="0"/>
    <n v="0"/>
    <n v="0"/>
    <n v="0"/>
  </r>
  <r>
    <n v="26"/>
    <n v="26"/>
    <x v="0"/>
    <n v="1"/>
    <s v="Non-Travel"/>
    <n v="0"/>
    <n v="0"/>
    <x v="0"/>
    <n v="0"/>
    <n v="1"/>
    <n v="29"/>
    <n v="29"/>
    <n v="2"/>
    <s v="Medical"/>
    <n v="0"/>
    <n v="0"/>
    <n v="1"/>
    <n v="0"/>
    <n v="0"/>
    <x v="0"/>
    <s v="Male"/>
    <n v="0"/>
    <n v="79"/>
    <n v="1"/>
    <n v="2"/>
    <s v="Sales Executive"/>
    <n v="0"/>
    <n v="1"/>
    <n v="0"/>
    <n v="0"/>
    <n v="0"/>
    <n v="0"/>
    <n v="0"/>
    <n v="0"/>
    <n v="1"/>
    <x v="0"/>
    <n v="1"/>
    <n v="0"/>
    <n v="4969"/>
    <n v="4969"/>
    <n v="8"/>
    <x v="1"/>
    <n v="0"/>
    <n v="18"/>
    <n v="3"/>
    <n v="4"/>
    <n v="0"/>
    <n v="7"/>
    <n v="7"/>
    <n v="6"/>
    <n v="3"/>
    <n v="2"/>
    <n v="2"/>
    <n v="2"/>
    <n v="2"/>
    <n v="2"/>
    <n v="2"/>
    <n v="2"/>
    <n v="4"/>
  </r>
  <r>
    <n v="52"/>
    <n v="52"/>
    <x v="0"/>
    <n v="1"/>
    <s v="Travel_Rarely"/>
    <n v="0"/>
    <n v="1"/>
    <x v="0"/>
    <n v="0"/>
    <n v="1"/>
    <n v="2"/>
    <n v="2"/>
    <n v="1"/>
    <s v="Marketing"/>
    <n v="0"/>
    <n v="0"/>
    <n v="0"/>
    <n v="1"/>
    <n v="0"/>
    <x v="3"/>
    <s v="Female"/>
    <n v="1"/>
    <n v="57"/>
    <n v="1"/>
    <n v="5"/>
    <s v="Manager"/>
    <n v="0"/>
    <n v="0"/>
    <n v="0"/>
    <n v="1"/>
    <n v="0"/>
    <n v="0"/>
    <n v="0"/>
    <n v="0"/>
    <n v="4"/>
    <x v="1"/>
    <n v="0"/>
    <n v="1"/>
    <n v="19845"/>
    <n v="19626.310000000001"/>
    <n v="1"/>
    <x v="1"/>
    <n v="0"/>
    <n v="15"/>
    <n v="3"/>
    <n v="4"/>
    <n v="1"/>
    <n v="33"/>
    <n v="33"/>
    <n v="3"/>
    <n v="3"/>
    <n v="32"/>
    <n v="31"/>
    <n v="14"/>
    <n v="6"/>
    <n v="6"/>
    <n v="9"/>
    <n v="9"/>
    <n v="45"/>
  </r>
  <r>
    <n v="44"/>
    <n v="44"/>
    <x v="1"/>
    <n v="0"/>
    <s v="Travel_Rarely"/>
    <n v="0"/>
    <n v="1"/>
    <x v="0"/>
    <n v="0"/>
    <n v="1"/>
    <n v="28"/>
    <n v="28"/>
    <n v="3"/>
    <s v="Medical"/>
    <n v="0"/>
    <n v="0"/>
    <n v="1"/>
    <n v="0"/>
    <n v="0"/>
    <x v="2"/>
    <s v="Female"/>
    <n v="1"/>
    <n v="53"/>
    <n v="4"/>
    <n v="4"/>
    <s v="Sales Executive"/>
    <n v="0"/>
    <n v="1"/>
    <n v="0"/>
    <n v="0"/>
    <n v="0"/>
    <n v="0"/>
    <n v="0"/>
    <n v="0"/>
    <n v="4"/>
    <x v="1"/>
    <n v="0"/>
    <n v="1"/>
    <n v="13320"/>
    <n v="13320"/>
    <n v="3"/>
    <x v="0"/>
    <n v="1"/>
    <n v="18"/>
    <n v="3"/>
    <n v="3"/>
    <n v="1"/>
    <n v="23"/>
    <n v="23"/>
    <n v="2"/>
    <n v="3"/>
    <n v="12"/>
    <n v="12"/>
    <n v="11"/>
    <n v="11"/>
    <n v="11"/>
    <n v="11"/>
    <n v="11"/>
    <n v="44"/>
  </r>
  <r>
    <n v="50"/>
    <n v="50"/>
    <x v="1"/>
    <n v="0"/>
    <s v="Non-Travel"/>
    <n v="0"/>
    <n v="0"/>
    <x v="0"/>
    <n v="0"/>
    <n v="1"/>
    <n v="1"/>
    <n v="1"/>
    <n v="3"/>
    <s v="Life Sciences"/>
    <n v="1"/>
    <n v="0"/>
    <n v="0"/>
    <n v="0"/>
    <n v="0"/>
    <x v="2"/>
    <s v="Female"/>
    <n v="1"/>
    <n v="95"/>
    <n v="3"/>
    <n v="2"/>
    <s v="Sales Executive"/>
    <n v="0"/>
    <n v="1"/>
    <n v="0"/>
    <n v="0"/>
    <n v="0"/>
    <n v="0"/>
    <n v="0"/>
    <n v="0"/>
    <n v="3"/>
    <x v="1"/>
    <n v="0"/>
    <n v="1"/>
    <n v="6347"/>
    <n v="6347"/>
    <n v="0"/>
    <x v="1"/>
    <n v="0"/>
    <n v="12"/>
    <n v="3"/>
    <n v="1"/>
    <n v="1"/>
    <n v="19"/>
    <n v="19"/>
    <n v="3"/>
    <n v="3"/>
    <n v="18"/>
    <n v="18"/>
    <n v="7"/>
    <n v="0"/>
    <n v="0"/>
    <n v="13"/>
    <n v="13"/>
    <n v="26"/>
  </r>
  <r>
    <n v="36"/>
    <n v="36"/>
    <x v="0"/>
    <n v="1"/>
    <s v="Travel_Rarely"/>
    <n v="0"/>
    <n v="1"/>
    <x v="1"/>
    <n v="1"/>
    <n v="0"/>
    <n v="16"/>
    <n v="16"/>
    <n v="4"/>
    <s v="Life Sciences"/>
    <n v="1"/>
    <n v="0"/>
    <n v="0"/>
    <n v="0"/>
    <n v="0"/>
    <x v="1"/>
    <s v="Female"/>
    <n v="1"/>
    <n v="43"/>
    <n v="4"/>
    <n v="1"/>
    <s v="Laboratory Technician"/>
    <n v="0"/>
    <n v="0"/>
    <n v="1"/>
    <n v="0"/>
    <n v="0"/>
    <n v="0"/>
    <n v="0"/>
    <n v="0"/>
    <n v="1"/>
    <x v="0"/>
    <n v="1"/>
    <n v="0"/>
    <n v="2743"/>
    <n v="2743"/>
    <n v="1"/>
    <x v="1"/>
    <n v="0"/>
    <n v="16"/>
    <n v="3"/>
    <n v="3"/>
    <n v="0"/>
    <n v="18"/>
    <n v="18"/>
    <n v="1"/>
    <n v="3"/>
    <n v="17"/>
    <n v="17"/>
    <n v="13"/>
    <n v="15"/>
    <n v="14"/>
    <n v="14"/>
    <n v="14"/>
    <n v="14"/>
  </r>
  <r>
    <n v="39"/>
    <n v="39"/>
    <x v="1"/>
    <n v="0"/>
    <s v="Travel_Frequently"/>
    <n v="1"/>
    <n v="0"/>
    <x v="1"/>
    <n v="1"/>
    <n v="0"/>
    <n v="22"/>
    <n v="22"/>
    <n v="3"/>
    <s v="Medical"/>
    <n v="0"/>
    <n v="0"/>
    <n v="1"/>
    <n v="0"/>
    <n v="0"/>
    <x v="2"/>
    <s v="Female"/>
    <n v="1"/>
    <n v="82"/>
    <n v="3"/>
    <n v="3"/>
    <s v="Manufacturing Director"/>
    <n v="0"/>
    <n v="0"/>
    <n v="0"/>
    <n v="0"/>
    <n v="1"/>
    <n v="1"/>
    <n v="0"/>
    <n v="0"/>
    <n v="1"/>
    <x v="0"/>
    <n v="1"/>
    <n v="0"/>
    <n v="10880"/>
    <n v="10880"/>
    <n v="1"/>
    <x v="0"/>
    <n v="1"/>
    <n v="13"/>
    <n v="3"/>
    <n v="3"/>
    <n v="0"/>
    <n v="21"/>
    <n v="21"/>
    <n v="2"/>
    <n v="3"/>
    <n v="21"/>
    <n v="21"/>
    <n v="6"/>
    <n v="2"/>
    <n v="2"/>
    <n v="8"/>
    <n v="8"/>
    <n v="24"/>
  </r>
  <r>
    <n v="33"/>
    <n v="33"/>
    <x v="1"/>
    <n v="0"/>
    <s v="Non-Travel"/>
    <n v="0"/>
    <n v="0"/>
    <x v="0"/>
    <n v="0"/>
    <n v="1"/>
    <n v="8"/>
    <n v="8"/>
    <n v="1"/>
    <s v="Life Sciences"/>
    <n v="1"/>
    <n v="0"/>
    <n v="0"/>
    <n v="0"/>
    <n v="0"/>
    <x v="0"/>
    <s v="Female"/>
    <n v="1"/>
    <n v="88"/>
    <n v="2"/>
    <n v="1"/>
    <s v="Sales Representative"/>
    <n v="0"/>
    <n v="0"/>
    <n v="0"/>
    <n v="0"/>
    <n v="0"/>
    <n v="0"/>
    <n v="1"/>
    <n v="0"/>
    <n v="4"/>
    <x v="0"/>
    <n v="1"/>
    <n v="0"/>
    <n v="2342"/>
    <n v="2342"/>
    <n v="0"/>
    <x v="1"/>
    <n v="0"/>
    <n v="19"/>
    <n v="3"/>
    <n v="4"/>
    <n v="0"/>
    <n v="3"/>
    <n v="3"/>
    <n v="2"/>
    <n v="2"/>
    <n v="2"/>
    <n v="2"/>
    <n v="2"/>
    <n v="2"/>
    <n v="2"/>
    <n v="2"/>
    <n v="2"/>
    <n v="2"/>
  </r>
  <r>
    <n v="45"/>
    <n v="45"/>
    <x v="1"/>
    <n v="0"/>
    <s v="Travel_Rarely"/>
    <n v="0"/>
    <n v="1"/>
    <x v="0"/>
    <n v="0"/>
    <n v="1"/>
    <n v="11"/>
    <n v="11"/>
    <n v="2"/>
    <s v="Life Sciences"/>
    <n v="1"/>
    <n v="0"/>
    <n v="0"/>
    <n v="0"/>
    <n v="0"/>
    <x v="2"/>
    <s v="Female"/>
    <n v="1"/>
    <n v="90"/>
    <n v="3"/>
    <n v="4"/>
    <s v="Manager"/>
    <n v="0"/>
    <n v="0"/>
    <n v="0"/>
    <n v="1"/>
    <n v="0"/>
    <n v="0"/>
    <n v="0"/>
    <n v="0"/>
    <n v="4"/>
    <x v="1"/>
    <n v="0"/>
    <n v="1"/>
    <n v="17650"/>
    <n v="17650"/>
    <n v="3"/>
    <x v="1"/>
    <n v="0"/>
    <n v="13"/>
    <n v="3"/>
    <n v="2"/>
    <n v="1"/>
    <n v="26"/>
    <n v="26"/>
    <n v="4"/>
    <n v="4"/>
    <n v="9"/>
    <n v="9"/>
    <n v="3"/>
    <n v="1"/>
    <n v="1"/>
    <n v="1"/>
    <n v="1"/>
    <n v="4"/>
  </r>
  <r>
    <n v="32"/>
    <n v="32"/>
    <x v="1"/>
    <n v="0"/>
    <s v="Non-Travel"/>
    <n v="0"/>
    <n v="0"/>
    <x v="1"/>
    <n v="1"/>
    <n v="0"/>
    <n v="29"/>
    <n v="29"/>
    <n v="4"/>
    <s v="Medical"/>
    <n v="0"/>
    <n v="0"/>
    <n v="1"/>
    <n v="0"/>
    <n v="0"/>
    <x v="2"/>
    <s v="Female"/>
    <n v="1"/>
    <n v="69"/>
    <n v="3"/>
    <n v="1"/>
    <s v="Laboratory Technician"/>
    <n v="0"/>
    <n v="0"/>
    <n v="1"/>
    <n v="0"/>
    <n v="0"/>
    <n v="0"/>
    <n v="0"/>
    <n v="0"/>
    <n v="3"/>
    <x v="0"/>
    <n v="1"/>
    <n v="0"/>
    <n v="4025"/>
    <n v="4025"/>
    <n v="9"/>
    <x v="1"/>
    <n v="0"/>
    <n v="12"/>
    <n v="3"/>
    <n v="2"/>
    <n v="0"/>
    <n v="10"/>
    <n v="10"/>
    <n v="2"/>
    <n v="3"/>
    <n v="8"/>
    <n v="8"/>
    <n v="7"/>
    <n v="7"/>
    <n v="7"/>
    <n v="7"/>
    <n v="7"/>
    <n v="7"/>
  </r>
  <r>
    <n v="34"/>
    <n v="34"/>
    <x v="1"/>
    <n v="0"/>
    <s v="Travel_Rarely"/>
    <n v="0"/>
    <n v="1"/>
    <x v="0"/>
    <n v="0"/>
    <n v="1"/>
    <n v="1"/>
    <n v="1"/>
    <n v="4"/>
    <s v="Marketing"/>
    <n v="0"/>
    <n v="0"/>
    <n v="0"/>
    <n v="1"/>
    <n v="0"/>
    <x v="0"/>
    <s v="Male"/>
    <n v="0"/>
    <n v="75"/>
    <n v="4"/>
    <n v="2"/>
    <s v="Sales Executive"/>
    <n v="0"/>
    <n v="1"/>
    <n v="0"/>
    <n v="0"/>
    <n v="0"/>
    <n v="0"/>
    <n v="0"/>
    <n v="0"/>
    <n v="4"/>
    <x v="2"/>
    <n v="0"/>
    <n v="0"/>
    <n v="9725"/>
    <n v="9725"/>
    <n v="0"/>
    <x v="1"/>
    <n v="0"/>
    <n v="11"/>
    <n v="3"/>
    <n v="4"/>
    <n v="1"/>
    <n v="16"/>
    <n v="16"/>
    <n v="2"/>
    <n v="2"/>
    <n v="15"/>
    <n v="15"/>
    <n v="1"/>
    <n v="0"/>
    <n v="0"/>
    <n v="9"/>
    <n v="9"/>
    <n v="18"/>
  </r>
  <r>
    <n v="59"/>
    <n v="58.309999999999945"/>
    <x v="1"/>
    <n v="0"/>
    <s v="Travel_Rarely"/>
    <n v="0"/>
    <n v="1"/>
    <x v="0"/>
    <n v="0"/>
    <n v="1"/>
    <n v="1"/>
    <n v="1"/>
    <n v="2"/>
    <s v="Technical Degree"/>
    <n v="0"/>
    <n v="0"/>
    <n v="0"/>
    <n v="0"/>
    <n v="1"/>
    <x v="0"/>
    <s v="Male"/>
    <n v="0"/>
    <n v="66"/>
    <n v="3"/>
    <n v="3"/>
    <s v="Manager"/>
    <n v="0"/>
    <n v="0"/>
    <n v="0"/>
    <n v="1"/>
    <n v="0"/>
    <n v="0"/>
    <n v="0"/>
    <n v="0"/>
    <n v="4"/>
    <x v="1"/>
    <n v="0"/>
    <n v="1"/>
    <n v="11904"/>
    <n v="11904"/>
    <n v="3"/>
    <x v="0"/>
    <n v="1"/>
    <n v="14"/>
    <n v="3"/>
    <n v="3"/>
    <n v="1"/>
    <n v="14"/>
    <n v="14"/>
    <n v="1"/>
    <n v="1"/>
    <n v="6"/>
    <n v="6"/>
    <n v="4"/>
    <n v="0"/>
    <n v="0"/>
    <n v="4"/>
    <n v="4"/>
    <n v="12"/>
  </r>
  <r>
    <n v="45"/>
    <n v="45"/>
    <x v="1"/>
    <n v="0"/>
    <s v="Travel_Rarely"/>
    <n v="0"/>
    <n v="1"/>
    <x v="2"/>
    <n v="0"/>
    <n v="0"/>
    <n v="24"/>
    <n v="24"/>
    <n v="4"/>
    <s v="Medical"/>
    <n v="0"/>
    <n v="0"/>
    <n v="1"/>
    <n v="0"/>
    <n v="0"/>
    <x v="0"/>
    <s v="Male"/>
    <n v="0"/>
    <n v="36"/>
    <n v="3"/>
    <n v="1"/>
    <s v="Human Resources"/>
    <n v="0"/>
    <n v="0"/>
    <n v="0"/>
    <n v="0"/>
    <n v="0"/>
    <n v="0"/>
    <n v="0"/>
    <n v="0"/>
    <n v="2"/>
    <x v="0"/>
    <n v="1"/>
    <n v="0"/>
    <n v="2177"/>
    <n v="2177"/>
    <n v="1"/>
    <x v="1"/>
    <n v="0"/>
    <n v="16"/>
    <n v="3"/>
    <n v="1"/>
    <n v="0"/>
    <n v="6"/>
    <n v="6"/>
    <n v="3"/>
    <n v="3"/>
    <n v="6"/>
    <n v="6"/>
    <n v="3"/>
    <n v="0"/>
    <n v="0"/>
    <n v="4"/>
    <n v="4"/>
    <n v="4"/>
  </r>
  <r>
    <n v="53"/>
    <n v="53"/>
    <x v="1"/>
    <n v="0"/>
    <s v="Travel_Frequently"/>
    <n v="1"/>
    <n v="0"/>
    <x v="0"/>
    <n v="0"/>
    <n v="1"/>
    <n v="2"/>
    <n v="2"/>
    <n v="3"/>
    <s v="Marketing"/>
    <n v="0"/>
    <n v="0"/>
    <n v="0"/>
    <n v="1"/>
    <n v="0"/>
    <x v="1"/>
    <s v="Female"/>
    <n v="1"/>
    <n v="38"/>
    <n v="2"/>
    <n v="3"/>
    <s v="Sales Executive"/>
    <n v="0"/>
    <n v="1"/>
    <n v="0"/>
    <n v="0"/>
    <n v="0"/>
    <n v="0"/>
    <n v="0"/>
    <n v="0"/>
    <n v="2"/>
    <x v="1"/>
    <n v="0"/>
    <n v="1"/>
    <n v="7525"/>
    <n v="7525"/>
    <n v="2"/>
    <x v="1"/>
    <n v="0"/>
    <n v="12"/>
    <n v="3"/>
    <n v="1"/>
    <n v="1"/>
    <n v="30"/>
    <n v="30"/>
    <n v="2"/>
    <n v="3"/>
    <n v="15"/>
    <n v="15"/>
    <n v="7"/>
    <n v="6"/>
    <n v="6"/>
    <n v="12"/>
    <n v="12"/>
    <n v="36"/>
  </r>
  <r>
    <n v="36"/>
    <n v="36"/>
    <x v="0"/>
    <n v="1"/>
    <s v="Travel_Rarely"/>
    <n v="0"/>
    <n v="1"/>
    <x v="1"/>
    <n v="1"/>
    <n v="0"/>
    <n v="15"/>
    <n v="15"/>
    <n v="3"/>
    <s v="Other"/>
    <n v="0"/>
    <n v="1"/>
    <n v="0"/>
    <n v="0"/>
    <n v="0"/>
    <x v="3"/>
    <s v="Male"/>
    <n v="0"/>
    <n v="81"/>
    <n v="3"/>
    <n v="2"/>
    <s v="Laboratory Technician"/>
    <n v="0"/>
    <n v="0"/>
    <n v="1"/>
    <n v="0"/>
    <n v="0"/>
    <n v="0"/>
    <n v="0"/>
    <n v="0"/>
    <n v="3"/>
    <x v="2"/>
    <n v="0"/>
    <n v="0"/>
    <n v="4834"/>
    <n v="4834"/>
    <n v="7"/>
    <x v="1"/>
    <n v="0"/>
    <n v="14"/>
    <n v="3"/>
    <n v="2"/>
    <n v="1"/>
    <n v="9"/>
    <n v="9"/>
    <n v="3"/>
    <n v="2"/>
    <n v="1"/>
    <n v="1"/>
    <n v="0"/>
    <n v="0"/>
    <n v="0"/>
    <n v="0"/>
    <n v="0"/>
    <n v="0"/>
  </r>
  <r>
    <n v="26"/>
    <n v="26"/>
    <x v="0"/>
    <n v="1"/>
    <s v="Travel_Frequently"/>
    <n v="1"/>
    <n v="0"/>
    <x v="1"/>
    <n v="1"/>
    <n v="0"/>
    <n v="2"/>
    <n v="2"/>
    <n v="3"/>
    <s v="Life Sciences"/>
    <n v="1"/>
    <n v="0"/>
    <n v="0"/>
    <n v="0"/>
    <n v="0"/>
    <x v="3"/>
    <s v="Male"/>
    <n v="0"/>
    <n v="57"/>
    <n v="3"/>
    <n v="1"/>
    <s v="Research Scientist"/>
    <n v="0"/>
    <n v="0"/>
    <n v="0"/>
    <n v="0"/>
    <n v="0"/>
    <n v="0"/>
    <n v="0"/>
    <n v="1"/>
    <n v="1"/>
    <x v="1"/>
    <n v="0"/>
    <n v="1"/>
    <n v="2042"/>
    <n v="2042"/>
    <n v="6"/>
    <x v="0"/>
    <n v="1"/>
    <n v="14"/>
    <n v="3"/>
    <n v="2"/>
    <n v="1"/>
    <n v="6"/>
    <n v="6"/>
    <n v="2"/>
    <n v="3"/>
    <n v="3"/>
    <n v="3"/>
    <n v="2"/>
    <n v="1"/>
    <n v="1"/>
    <n v="2"/>
    <n v="2"/>
    <n v="2"/>
  </r>
  <r>
    <n v="34"/>
    <n v="34"/>
    <x v="1"/>
    <n v="0"/>
    <s v="Travel_Rarely"/>
    <n v="0"/>
    <n v="1"/>
    <x v="0"/>
    <n v="0"/>
    <n v="1"/>
    <n v="10"/>
    <n v="10"/>
    <n v="4"/>
    <s v="Life Sciences"/>
    <n v="1"/>
    <n v="0"/>
    <n v="0"/>
    <n v="0"/>
    <n v="0"/>
    <x v="1"/>
    <s v="Female"/>
    <n v="1"/>
    <n v="87"/>
    <n v="3"/>
    <n v="1"/>
    <s v="Sales Representative"/>
    <n v="0"/>
    <n v="0"/>
    <n v="0"/>
    <n v="0"/>
    <n v="0"/>
    <n v="0"/>
    <n v="1"/>
    <n v="0"/>
    <n v="3"/>
    <x v="1"/>
    <n v="0"/>
    <n v="1"/>
    <n v="2220"/>
    <n v="2220"/>
    <n v="1"/>
    <x v="0"/>
    <n v="1"/>
    <n v="19"/>
    <n v="3"/>
    <n v="4"/>
    <n v="1"/>
    <n v="1"/>
    <n v="1"/>
    <n v="2"/>
    <n v="3"/>
    <n v="1"/>
    <n v="1"/>
    <n v="1"/>
    <n v="0"/>
    <n v="0"/>
    <n v="0"/>
    <n v="0"/>
    <n v="0"/>
  </r>
  <r>
    <n v="28"/>
    <n v="28"/>
    <x v="1"/>
    <n v="0"/>
    <s v="Travel_Rarely"/>
    <n v="0"/>
    <n v="1"/>
    <x v="0"/>
    <n v="0"/>
    <n v="1"/>
    <n v="10"/>
    <n v="10"/>
    <n v="1"/>
    <s v="Medical"/>
    <n v="0"/>
    <n v="0"/>
    <n v="1"/>
    <n v="0"/>
    <n v="0"/>
    <x v="2"/>
    <s v="Male"/>
    <n v="0"/>
    <n v="74"/>
    <n v="3"/>
    <n v="1"/>
    <s v="Sales Representative"/>
    <n v="0"/>
    <n v="0"/>
    <n v="0"/>
    <n v="0"/>
    <n v="0"/>
    <n v="0"/>
    <n v="1"/>
    <n v="0"/>
    <n v="2"/>
    <x v="1"/>
    <n v="0"/>
    <n v="1"/>
    <n v="1052"/>
    <n v="1382.46"/>
    <n v="1"/>
    <x v="1"/>
    <n v="0"/>
    <n v="22"/>
    <n v="4"/>
    <n v="2"/>
    <n v="0"/>
    <n v="1"/>
    <n v="1"/>
    <n v="5"/>
    <n v="3"/>
    <n v="1"/>
    <n v="1"/>
    <n v="0"/>
    <n v="0"/>
    <n v="0"/>
    <n v="0"/>
    <n v="0"/>
    <n v="0"/>
  </r>
  <r>
    <n v="38"/>
    <n v="38"/>
    <x v="1"/>
    <n v="0"/>
    <s v="Travel_Frequently"/>
    <n v="1"/>
    <n v="0"/>
    <x v="1"/>
    <n v="1"/>
    <n v="0"/>
    <n v="3"/>
    <n v="3"/>
    <n v="4"/>
    <s v="Other"/>
    <n v="0"/>
    <n v="1"/>
    <n v="0"/>
    <n v="0"/>
    <n v="0"/>
    <x v="1"/>
    <s v="Male"/>
    <n v="0"/>
    <n v="44"/>
    <n v="3"/>
    <n v="1"/>
    <s v="Research Scientist"/>
    <n v="0"/>
    <n v="0"/>
    <n v="0"/>
    <n v="0"/>
    <n v="0"/>
    <n v="0"/>
    <n v="0"/>
    <n v="1"/>
    <n v="3"/>
    <x v="1"/>
    <n v="0"/>
    <n v="1"/>
    <n v="2821"/>
    <n v="2821"/>
    <n v="3"/>
    <x v="1"/>
    <n v="0"/>
    <n v="16"/>
    <n v="3"/>
    <n v="1"/>
    <n v="1"/>
    <n v="8"/>
    <n v="8"/>
    <n v="2"/>
    <n v="3"/>
    <n v="2"/>
    <n v="2"/>
    <n v="2"/>
    <n v="2"/>
    <n v="2"/>
    <n v="2"/>
    <n v="2"/>
    <n v="2"/>
  </r>
  <r>
    <n v="50"/>
    <n v="50"/>
    <x v="1"/>
    <n v="0"/>
    <s v="Travel_Rarely"/>
    <n v="0"/>
    <n v="1"/>
    <x v="1"/>
    <n v="1"/>
    <n v="0"/>
    <n v="2"/>
    <n v="2"/>
    <n v="4"/>
    <s v="Medical"/>
    <n v="0"/>
    <n v="0"/>
    <n v="1"/>
    <n v="0"/>
    <n v="0"/>
    <x v="0"/>
    <s v="Male"/>
    <n v="0"/>
    <n v="62"/>
    <n v="3"/>
    <n v="5"/>
    <s v="Research Director"/>
    <n v="0"/>
    <n v="0"/>
    <n v="0"/>
    <n v="0"/>
    <n v="0"/>
    <n v="0"/>
    <n v="0"/>
    <n v="0"/>
    <n v="3"/>
    <x v="1"/>
    <n v="0"/>
    <n v="1"/>
    <n v="19237"/>
    <n v="19237"/>
    <n v="2"/>
    <x v="0"/>
    <n v="1"/>
    <n v="11"/>
    <n v="3"/>
    <n v="4"/>
    <n v="1"/>
    <n v="29"/>
    <n v="29"/>
    <n v="2"/>
    <n v="2"/>
    <n v="8"/>
    <n v="8"/>
    <n v="1"/>
    <n v="7"/>
    <n v="7"/>
    <n v="7"/>
    <n v="7"/>
    <n v="35"/>
  </r>
  <r>
    <n v="37"/>
    <n v="37"/>
    <x v="1"/>
    <n v="0"/>
    <s v="Travel_Rarely"/>
    <n v="0"/>
    <n v="1"/>
    <x v="1"/>
    <n v="1"/>
    <n v="0"/>
    <n v="3"/>
    <n v="3"/>
    <n v="3"/>
    <s v="Other"/>
    <n v="0"/>
    <n v="1"/>
    <n v="0"/>
    <n v="0"/>
    <n v="0"/>
    <x v="2"/>
    <s v="Female"/>
    <n v="1"/>
    <n v="35"/>
    <n v="3"/>
    <n v="2"/>
    <s v="Healthcare Representative"/>
    <n v="1"/>
    <n v="0"/>
    <n v="0"/>
    <n v="0"/>
    <n v="0"/>
    <n v="0"/>
    <n v="0"/>
    <n v="0"/>
    <n v="2"/>
    <x v="0"/>
    <n v="1"/>
    <n v="0"/>
    <n v="4107"/>
    <n v="4107"/>
    <n v="3"/>
    <x v="1"/>
    <n v="0"/>
    <n v="15"/>
    <n v="3"/>
    <n v="1"/>
    <n v="0"/>
    <n v="8"/>
    <n v="8"/>
    <n v="3"/>
    <n v="2"/>
    <n v="4"/>
    <n v="4"/>
    <n v="3"/>
    <n v="0"/>
    <n v="0"/>
    <n v="1"/>
    <n v="1"/>
    <n v="2"/>
  </r>
  <r>
    <n v="40"/>
    <n v="40"/>
    <x v="1"/>
    <n v="0"/>
    <s v="Travel_Rarely"/>
    <n v="0"/>
    <n v="1"/>
    <x v="0"/>
    <n v="0"/>
    <n v="1"/>
    <n v="26"/>
    <n v="26"/>
    <n v="3"/>
    <s v="Marketing"/>
    <n v="0"/>
    <n v="0"/>
    <n v="0"/>
    <n v="1"/>
    <n v="0"/>
    <x v="1"/>
    <s v="Male"/>
    <n v="0"/>
    <n v="74"/>
    <n v="3"/>
    <n v="2"/>
    <s v="Sales Executive"/>
    <n v="0"/>
    <n v="1"/>
    <n v="0"/>
    <n v="0"/>
    <n v="0"/>
    <n v="0"/>
    <n v="0"/>
    <n v="0"/>
    <n v="1"/>
    <x v="1"/>
    <n v="0"/>
    <n v="1"/>
    <n v="8396"/>
    <n v="8396"/>
    <n v="1"/>
    <x v="1"/>
    <n v="0"/>
    <n v="14"/>
    <n v="3"/>
    <n v="2"/>
    <n v="1"/>
    <n v="8"/>
    <n v="8"/>
    <n v="3"/>
    <n v="2"/>
    <n v="7"/>
    <n v="7"/>
    <n v="7"/>
    <n v="7"/>
    <n v="7"/>
    <n v="5"/>
    <n v="5"/>
    <n v="10"/>
  </r>
  <r>
    <n v="26"/>
    <n v="26"/>
    <x v="1"/>
    <n v="0"/>
    <s v="Travel_Frequently"/>
    <n v="1"/>
    <n v="0"/>
    <x v="1"/>
    <n v="1"/>
    <n v="0"/>
    <n v="1"/>
    <n v="1"/>
    <n v="1"/>
    <s v="Medical"/>
    <n v="0"/>
    <n v="0"/>
    <n v="1"/>
    <n v="0"/>
    <n v="0"/>
    <x v="3"/>
    <s v="Female"/>
    <n v="1"/>
    <n v="66"/>
    <n v="2"/>
    <n v="1"/>
    <s v="Research Scientist"/>
    <n v="0"/>
    <n v="0"/>
    <n v="0"/>
    <n v="0"/>
    <n v="0"/>
    <n v="0"/>
    <n v="0"/>
    <n v="1"/>
    <n v="3"/>
    <x v="2"/>
    <n v="0"/>
    <n v="0"/>
    <n v="2007"/>
    <n v="2007"/>
    <n v="1"/>
    <x v="1"/>
    <n v="0"/>
    <n v="13"/>
    <n v="3"/>
    <n v="3"/>
    <n v="2"/>
    <n v="5"/>
    <n v="5"/>
    <n v="5"/>
    <n v="3"/>
    <n v="5"/>
    <n v="5"/>
    <n v="3"/>
    <n v="1"/>
    <n v="1"/>
    <n v="3"/>
    <n v="3"/>
    <n v="3"/>
  </r>
  <r>
    <n v="46"/>
    <n v="46"/>
    <x v="1"/>
    <n v="0"/>
    <s v="Travel_Rarely"/>
    <n v="0"/>
    <n v="1"/>
    <x v="1"/>
    <n v="1"/>
    <n v="0"/>
    <n v="1"/>
    <n v="1"/>
    <n v="4"/>
    <s v="Medical"/>
    <n v="0"/>
    <n v="0"/>
    <n v="1"/>
    <n v="0"/>
    <n v="0"/>
    <x v="2"/>
    <s v="Male"/>
    <n v="0"/>
    <n v="40"/>
    <n v="3"/>
    <n v="5"/>
    <s v="Research Director"/>
    <n v="0"/>
    <n v="0"/>
    <n v="0"/>
    <n v="0"/>
    <n v="0"/>
    <n v="0"/>
    <n v="0"/>
    <n v="0"/>
    <n v="4"/>
    <x v="2"/>
    <n v="0"/>
    <n v="0"/>
    <n v="19627"/>
    <n v="19626.310000000001"/>
    <n v="9"/>
    <x v="1"/>
    <n v="0"/>
    <n v="17"/>
    <n v="3"/>
    <n v="4"/>
    <n v="2"/>
    <n v="23"/>
    <n v="23"/>
    <n v="0"/>
    <n v="3"/>
    <n v="2"/>
    <n v="2"/>
    <n v="2"/>
    <n v="2"/>
    <n v="2"/>
    <n v="2"/>
    <n v="2"/>
    <n v="10"/>
  </r>
  <r>
    <n v="54"/>
    <n v="54"/>
    <x v="1"/>
    <n v="0"/>
    <s v="Travel_Rarely"/>
    <n v="0"/>
    <n v="1"/>
    <x v="0"/>
    <n v="0"/>
    <n v="1"/>
    <n v="2"/>
    <n v="2"/>
    <n v="4"/>
    <s v="Life Sciences"/>
    <n v="1"/>
    <n v="0"/>
    <n v="0"/>
    <n v="0"/>
    <n v="0"/>
    <x v="1"/>
    <s v="Female"/>
    <n v="1"/>
    <n v="41"/>
    <n v="2"/>
    <n v="3"/>
    <s v="Sales Executive"/>
    <n v="0"/>
    <n v="1"/>
    <n v="0"/>
    <n v="0"/>
    <n v="0"/>
    <n v="0"/>
    <n v="0"/>
    <n v="0"/>
    <n v="3"/>
    <x v="1"/>
    <n v="0"/>
    <n v="1"/>
    <n v="10686"/>
    <n v="10686"/>
    <n v="6"/>
    <x v="1"/>
    <n v="0"/>
    <n v="11"/>
    <n v="3"/>
    <n v="2"/>
    <n v="1"/>
    <n v="13"/>
    <n v="13"/>
    <n v="4"/>
    <n v="3"/>
    <n v="9"/>
    <n v="9"/>
    <n v="4"/>
    <n v="7"/>
    <n v="7"/>
    <n v="0"/>
    <n v="0"/>
    <n v="0"/>
  </r>
  <r>
    <n v="56"/>
    <n v="56"/>
    <x v="1"/>
    <n v="0"/>
    <s v="Travel_Frequently"/>
    <n v="1"/>
    <n v="0"/>
    <x v="1"/>
    <n v="1"/>
    <n v="0"/>
    <n v="9"/>
    <n v="9"/>
    <n v="3"/>
    <s v="Medical"/>
    <n v="0"/>
    <n v="0"/>
    <n v="1"/>
    <n v="0"/>
    <n v="0"/>
    <x v="3"/>
    <s v="Female"/>
    <n v="1"/>
    <n v="63"/>
    <n v="3"/>
    <n v="1"/>
    <s v="Research Scientist"/>
    <n v="0"/>
    <n v="0"/>
    <n v="0"/>
    <n v="0"/>
    <n v="0"/>
    <n v="0"/>
    <n v="0"/>
    <n v="1"/>
    <n v="3"/>
    <x v="1"/>
    <n v="0"/>
    <n v="1"/>
    <n v="2942"/>
    <n v="2942"/>
    <n v="2"/>
    <x v="1"/>
    <n v="0"/>
    <n v="19"/>
    <n v="3"/>
    <n v="2"/>
    <n v="1"/>
    <n v="18"/>
    <n v="18"/>
    <n v="4"/>
    <n v="3"/>
    <n v="5"/>
    <n v="5"/>
    <n v="4"/>
    <n v="0"/>
    <n v="0"/>
    <n v="3"/>
    <n v="3"/>
    <n v="3"/>
  </r>
  <r>
    <n v="36"/>
    <n v="36"/>
    <x v="1"/>
    <n v="0"/>
    <s v="Travel_Rarely"/>
    <n v="0"/>
    <n v="1"/>
    <x v="1"/>
    <n v="1"/>
    <n v="0"/>
    <n v="12"/>
    <n v="12"/>
    <n v="5"/>
    <s v="Medical"/>
    <n v="0"/>
    <n v="0"/>
    <n v="1"/>
    <n v="0"/>
    <n v="0"/>
    <x v="2"/>
    <s v="Female"/>
    <n v="1"/>
    <n v="51"/>
    <n v="2"/>
    <n v="3"/>
    <s v="Manufacturing Director"/>
    <n v="0"/>
    <n v="0"/>
    <n v="0"/>
    <n v="0"/>
    <n v="1"/>
    <n v="1"/>
    <n v="0"/>
    <n v="0"/>
    <n v="4"/>
    <x v="0"/>
    <n v="1"/>
    <n v="0"/>
    <n v="8858"/>
    <n v="8858"/>
    <n v="0"/>
    <x v="1"/>
    <n v="0"/>
    <n v="11"/>
    <n v="3"/>
    <n v="2"/>
    <n v="0"/>
    <n v="15"/>
    <n v="15"/>
    <n v="2"/>
    <n v="2"/>
    <n v="14"/>
    <n v="14"/>
    <n v="8"/>
    <n v="7"/>
    <n v="7"/>
    <n v="8"/>
    <n v="8"/>
    <n v="24"/>
  </r>
  <r>
    <n v="55"/>
    <n v="55"/>
    <x v="1"/>
    <n v="0"/>
    <s v="Non-Travel"/>
    <n v="0"/>
    <n v="0"/>
    <x v="1"/>
    <n v="1"/>
    <n v="0"/>
    <n v="2"/>
    <n v="2"/>
    <n v="1"/>
    <s v="Medical"/>
    <n v="0"/>
    <n v="0"/>
    <n v="1"/>
    <n v="0"/>
    <n v="0"/>
    <x v="1"/>
    <s v="Male"/>
    <n v="0"/>
    <n v="40"/>
    <n v="2"/>
    <n v="4"/>
    <s v="Manager"/>
    <n v="0"/>
    <n v="0"/>
    <n v="0"/>
    <n v="1"/>
    <n v="0"/>
    <n v="0"/>
    <n v="0"/>
    <n v="0"/>
    <n v="1"/>
    <x v="0"/>
    <n v="1"/>
    <n v="0"/>
    <n v="16756"/>
    <n v="16756"/>
    <n v="7"/>
    <x v="1"/>
    <n v="0"/>
    <n v="15"/>
    <n v="3"/>
    <n v="2"/>
    <n v="0"/>
    <n v="31"/>
    <n v="31"/>
    <n v="3"/>
    <n v="4"/>
    <n v="9"/>
    <n v="9"/>
    <n v="7"/>
    <n v="6"/>
    <n v="6"/>
    <n v="2"/>
    <n v="2"/>
    <n v="8"/>
  </r>
  <r>
    <n v="43"/>
    <n v="43"/>
    <x v="1"/>
    <n v="0"/>
    <s v="Travel_Rarely"/>
    <n v="0"/>
    <n v="1"/>
    <x v="0"/>
    <n v="0"/>
    <n v="1"/>
    <n v="25"/>
    <n v="25"/>
    <n v="3"/>
    <s v="Medical"/>
    <n v="0"/>
    <n v="0"/>
    <n v="1"/>
    <n v="0"/>
    <n v="0"/>
    <x v="1"/>
    <s v="Male"/>
    <n v="0"/>
    <n v="79"/>
    <n v="2"/>
    <n v="3"/>
    <s v="Sales Executive"/>
    <n v="0"/>
    <n v="1"/>
    <n v="0"/>
    <n v="0"/>
    <n v="0"/>
    <n v="0"/>
    <n v="0"/>
    <n v="0"/>
    <n v="4"/>
    <x v="2"/>
    <n v="0"/>
    <n v="0"/>
    <n v="10798"/>
    <n v="10798"/>
    <n v="5"/>
    <x v="1"/>
    <n v="0"/>
    <n v="13"/>
    <n v="3"/>
    <n v="3"/>
    <n v="1"/>
    <n v="18"/>
    <n v="18"/>
    <n v="5"/>
    <n v="3"/>
    <n v="1"/>
    <n v="1"/>
    <n v="0"/>
    <n v="0"/>
    <n v="0"/>
    <n v="0"/>
    <n v="0"/>
    <n v="0"/>
  </r>
  <r>
    <n v="20"/>
    <n v="20"/>
    <x v="0"/>
    <n v="1"/>
    <s v="Travel_Frequently"/>
    <n v="1"/>
    <n v="0"/>
    <x v="0"/>
    <n v="0"/>
    <n v="1"/>
    <n v="9"/>
    <n v="9"/>
    <n v="3"/>
    <s v="Marketing"/>
    <n v="0"/>
    <n v="0"/>
    <n v="0"/>
    <n v="1"/>
    <n v="0"/>
    <x v="2"/>
    <s v="Female"/>
    <n v="1"/>
    <n v="54"/>
    <n v="3"/>
    <n v="1"/>
    <s v="Sales Representative"/>
    <n v="0"/>
    <n v="0"/>
    <n v="0"/>
    <n v="0"/>
    <n v="0"/>
    <n v="0"/>
    <n v="1"/>
    <n v="0"/>
    <n v="4"/>
    <x v="0"/>
    <n v="1"/>
    <n v="0"/>
    <n v="2323"/>
    <n v="2323"/>
    <n v="1"/>
    <x v="0"/>
    <n v="1"/>
    <n v="14"/>
    <n v="3"/>
    <n v="2"/>
    <n v="0"/>
    <n v="2"/>
    <n v="2"/>
    <n v="3"/>
    <n v="3"/>
    <n v="2"/>
    <n v="2"/>
    <n v="2"/>
    <n v="0"/>
    <n v="0"/>
    <n v="2"/>
    <n v="2"/>
    <n v="2"/>
  </r>
  <r>
    <n v="21"/>
    <n v="21"/>
    <x v="0"/>
    <n v="1"/>
    <s v="Travel_Rarely"/>
    <n v="0"/>
    <n v="1"/>
    <x v="1"/>
    <n v="1"/>
    <n v="0"/>
    <n v="10"/>
    <n v="10"/>
    <n v="3"/>
    <s v="Life Sciences"/>
    <n v="1"/>
    <n v="0"/>
    <n v="0"/>
    <n v="0"/>
    <n v="0"/>
    <x v="1"/>
    <s v="Female"/>
    <n v="1"/>
    <n v="36"/>
    <n v="2"/>
    <n v="1"/>
    <s v="Laboratory Technician"/>
    <n v="0"/>
    <n v="0"/>
    <n v="1"/>
    <n v="0"/>
    <n v="0"/>
    <n v="0"/>
    <n v="0"/>
    <n v="0"/>
    <n v="1"/>
    <x v="0"/>
    <n v="1"/>
    <n v="0"/>
    <n v="1416"/>
    <n v="1416"/>
    <n v="1"/>
    <x v="1"/>
    <n v="0"/>
    <n v="13"/>
    <n v="3"/>
    <n v="1"/>
    <n v="0"/>
    <n v="1"/>
    <n v="1"/>
    <n v="6"/>
    <n v="2"/>
    <n v="1"/>
    <n v="1"/>
    <n v="0"/>
    <n v="1"/>
    <n v="1"/>
    <n v="0"/>
    <n v="0"/>
    <n v="0"/>
  </r>
  <r>
    <n v="46"/>
    <n v="46"/>
    <x v="1"/>
    <n v="0"/>
    <s v="Travel_Rarely"/>
    <n v="0"/>
    <n v="1"/>
    <x v="1"/>
    <n v="1"/>
    <n v="0"/>
    <n v="8"/>
    <n v="8"/>
    <n v="4"/>
    <s v="Life Sciences"/>
    <n v="1"/>
    <n v="0"/>
    <n v="0"/>
    <n v="0"/>
    <n v="0"/>
    <x v="2"/>
    <s v="Female"/>
    <n v="1"/>
    <n v="74"/>
    <n v="2"/>
    <n v="2"/>
    <s v="Research Scientist"/>
    <n v="0"/>
    <n v="0"/>
    <n v="0"/>
    <n v="0"/>
    <n v="0"/>
    <n v="0"/>
    <n v="0"/>
    <n v="1"/>
    <n v="1"/>
    <x v="2"/>
    <n v="0"/>
    <n v="0"/>
    <n v="4615"/>
    <n v="4615"/>
    <n v="8"/>
    <x v="0"/>
    <n v="1"/>
    <n v="23"/>
    <n v="4"/>
    <n v="1"/>
    <n v="3"/>
    <n v="19"/>
    <n v="19"/>
    <n v="2"/>
    <n v="3"/>
    <n v="16"/>
    <n v="16"/>
    <n v="13"/>
    <n v="1"/>
    <n v="1"/>
    <n v="7"/>
    <n v="7"/>
    <n v="14"/>
  </r>
  <r>
    <n v="51"/>
    <n v="51"/>
    <x v="0"/>
    <n v="1"/>
    <s v="Travel_Rarely"/>
    <n v="0"/>
    <n v="1"/>
    <x v="1"/>
    <n v="1"/>
    <n v="0"/>
    <n v="4"/>
    <n v="4"/>
    <n v="4"/>
    <s v="Life Sciences"/>
    <n v="1"/>
    <n v="0"/>
    <n v="0"/>
    <n v="0"/>
    <n v="0"/>
    <x v="3"/>
    <s v="Male"/>
    <n v="0"/>
    <n v="34"/>
    <n v="3"/>
    <n v="1"/>
    <s v="Research Scientist"/>
    <n v="0"/>
    <n v="0"/>
    <n v="0"/>
    <n v="0"/>
    <n v="0"/>
    <n v="0"/>
    <n v="0"/>
    <n v="1"/>
    <n v="3"/>
    <x v="1"/>
    <n v="0"/>
    <n v="1"/>
    <n v="2461"/>
    <n v="2461"/>
    <n v="9"/>
    <x v="0"/>
    <n v="1"/>
    <n v="12"/>
    <n v="3"/>
    <n v="3"/>
    <n v="3"/>
    <n v="18"/>
    <n v="18"/>
    <n v="2"/>
    <n v="4"/>
    <n v="10"/>
    <n v="10"/>
    <n v="0"/>
    <n v="2"/>
    <n v="2"/>
    <n v="7"/>
    <n v="7"/>
    <n v="7"/>
  </r>
  <r>
    <n v="28"/>
    <n v="28"/>
    <x v="0"/>
    <n v="1"/>
    <s v="Non-Travel"/>
    <n v="0"/>
    <n v="0"/>
    <x v="1"/>
    <n v="1"/>
    <n v="0"/>
    <n v="24"/>
    <n v="24"/>
    <n v="2"/>
    <s v="Technical Degree"/>
    <n v="0"/>
    <n v="0"/>
    <n v="0"/>
    <n v="0"/>
    <n v="1"/>
    <x v="0"/>
    <s v="Male"/>
    <n v="0"/>
    <n v="72"/>
    <n v="2"/>
    <n v="3"/>
    <s v="Healthcare Representative"/>
    <n v="1"/>
    <n v="0"/>
    <n v="0"/>
    <n v="0"/>
    <n v="0"/>
    <n v="0"/>
    <n v="0"/>
    <n v="0"/>
    <n v="1"/>
    <x v="0"/>
    <n v="1"/>
    <n v="0"/>
    <n v="8722"/>
    <n v="8722"/>
    <n v="1"/>
    <x v="1"/>
    <n v="0"/>
    <n v="12"/>
    <n v="3"/>
    <n v="1"/>
    <n v="0"/>
    <n v="10"/>
    <n v="10"/>
    <n v="2"/>
    <n v="2"/>
    <n v="10"/>
    <n v="10"/>
    <n v="7"/>
    <n v="1"/>
    <n v="1"/>
    <n v="9"/>
    <n v="9"/>
    <n v="27"/>
  </r>
  <r>
    <n v="26"/>
    <n v="26"/>
    <x v="1"/>
    <n v="0"/>
    <s v="Travel_Rarely"/>
    <n v="0"/>
    <n v="1"/>
    <x v="1"/>
    <n v="1"/>
    <n v="0"/>
    <n v="1"/>
    <n v="1"/>
    <n v="2"/>
    <s v="Medical"/>
    <n v="0"/>
    <n v="0"/>
    <n v="1"/>
    <n v="0"/>
    <n v="0"/>
    <x v="3"/>
    <s v="Male"/>
    <n v="0"/>
    <n v="59"/>
    <n v="2"/>
    <n v="1"/>
    <s v="Laboratory Technician"/>
    <n v="0"/>
    <n v="0"/>
    <n v="1"/>
    <n v="0"/>
    <n v="0"/>
    <n v="0"/>
    <n v="0"/>
    <n v="0"/>
    <n v="1"/>
    <x v="1"/>
    <n v="0"/>
    <n v="1"/>
    <n v="3955"/>
    <n v="3955"/>
    <n v="1"/>
    <x v="1"/>
    <n v="0"/>
    <n v="16"/>
    <n v="3"/>
    <n v="1"/>
    <n v="2"/>
    <n v="6"/>
    <n v="6"/>
    <n v="2"/>
    <n v="3"/>
    <n v="5"/>
    <n v="5"/>
    <n v="3"/>
    <n v="1"/>
    <n v="1"/>
    <n v="3"/>
    <n v="3"/>
    <n v="3"/>
  </r>
  <r>
    <n v="30"/>
    <n v="30"/>
    <x v="1"/>
    <n v="0"/>
    <s v="Travel_Rarely"/>
    <n v="0"/>
    <n v="1"/>
    <x v="1"/>
    <n v="1"/>
    <n v="0"/>
    <n v="20"/>
    <n v="20"/>
    <n v="3"/>
    <s v="Other"/>
    <n v="0"/>
    <n v="1"/>
    <n v="0"/>
    <n v="0"/>
    <n v="0"/>
    <x v="1"/>
    <s v="Male"/>
    <n v="0"/>
    <n v="85"/>
    <n v="3"/>
    <n v="2"/>
    <s v="Manufacturing Director"/>
    <n v="0"/>
    <n v="0"/>
    <n v="0"/>
    <n v="0"/>
    <n v="1"/>
    <n v="1"/>
    <n v="0"/>
    <n v="0"/>
    <n v="1"/>
    <x v="1"/>
    <n v="0"/>
    <n v="1"/>
    <n v="9957"/>
    <n v="9957"/>
    <n v="0"/>
    <x v="1"/>
    <n v="0"/>
    <n v="15"/>
    <n v="3"/>
    <n v="3"/>
    <n v="1"/>
    <n v="7"/>
    <n v="7"/>
    <n v="1"/>
    <n v="2"/>
    <n v="6"/>
    <n v="6"/>
    <n v="2"/>
    <n v="0"/>
    <n v="0"/>
    <n v="2"/>
    <n v="2"/>
    <n v="4"/>
  </r>
  <r>
    <n v="41"/>
    <n v="41"/>
    <x v="1"/>
    <n v="0"/>
    <s v="Travel_Rarely"/>
    <n v="0"/>
    <n v="1"/>
    <x v="1"/>
    <n v="1"/>
    <n v="0"/>
    <n v="7"/>
    <n v="7"/>
    <n v="2"/>
    <s v="Technical Degree"/>
    <n v="0"/>
    <n v="0"/>
    <n v="0"/>
    <n v="0"/>
    <n v="1"/>
    <x v="0"/>
    <s v="Female"/>
    <n v="1"/>
    <n v="43"/>
    <n v="4"/>
    <n v="1"/>
    <s v="Research Scientist"/>
    <n v="0"/>
    <n v="0"/>
    <n v="0"/>
    <n v="0"/>
    <n v="0"/>
    <n v="0"/>
    <n v="0"/>
    <n v="1"/>
    <n v="3"/>
    <x v="1"/>
    <n v="0"/>
    <n v="1"/>
    <n v="3376"/>
    <n v="3376"/>
    <n v="1"/>
    <x v="1"/>
    <n v="0"/>
    <n v="13"/>
    <n v="3"/>
    <n v="3"/>
    <n v="0"/>
    <n v="10"/>
    <n v="10"/>
    <n v="3"/>
    <n v="3"/>
    <n v="10"/>
    <n v="10"/>
    <n v="6"/>
    <n v="0"/>
    <n v="0"/>
    <n v="8"/>
    <n v="8"/>
    <n v="8"/>
  </r>
  <r>
    <n v="38"/>
    <n v="38"/>
    <x v="1"/>
    <n v="0"/>
    <s v="Travel_Rarely"/>
    <n v="0"/>
    <n v="1"/>
    <x v="1"/>
    <n v="1"/>
    <n v="0"/>
    <n v="17"/>
    <n v="17"/>
    <n v="1"/>
    <s v="Life Sciences"/>
    <n v="1"/>
    <n v="0"/>
    <n v="0"/>
    <n v="0"/>
    <n v="0"/>
    <x v="1"/>
    <s v="Female"/>
    <n v="1"/>
    <n v="65"/>
    <n v="2"/>
    <n v="3"/>
    <s v="Healthcare Representative"/>
    <n v="1"/>
    <n v="0"/>
    <n v="0"/>
    <n v="0"/>
    <n v="0"/>
    <n v="0"/>
    <n v="0"/>
    <n v="0"/>
    <n v="3"/>
    <x v="1"/>
    <n v="0"/>
    <n v="1"/>
    <n v="8823"/>
    <n v="8823"/>
    <n v="0"/>
    <x v="1"/>
    <n v="0"/>
    <n v="18"/>
    <n v="3"/>
    <n v="1"/>
    <n v="1"/>
    <n v="20"/>
    <n v="20"/>
    <n v="4"/>
    <n v="2"/>
    <n v="19"/>
    <n v="19"/>
    <n v="9"/>
    <n v="1"/>
    <n v="1"/>
    <n v="9"/>
    <n v="9"/>
    <n v="27"/>
  </r>
  <r>
    <n v="40"/>
    <n v="40"/>
    <x v="1"/>
    <n v="0"/>
    <s v="Travel_Rarely"/>
    <n v="0"/>
    <n v="1"/>
    <x v="1"/>
    <n v="1"/>
    <n v="0"/>
    <n v="20"/>
    <n v="20"/>
    <n v="4"/>
    <s v="Technical Degree"/>
    <n v="0"/>
    <n v="0"/>
    <n v="0"/>
    <n v="0"/>
    <n v="1"/>
    <x v="3"/>
    <s v="Male"/>
    <n v="0"/>
    <n v="61"/>
    <n v="3"/>
    <n v="3"/>
    <s v="Healthcare Representative"/>
    <n v="1"/>
    <n v="0"/>
    <n v="0"/>
    <n v="0"/>
    <n v="0"/>
    <n v="0"/>
    <n v="0"/>
    <n v="0"/>
    <n v="4"/>
    <x v="1"/>
    <n v="0"/>
    <n v="1"/>
    <n v="10322"/>
    <n v="10322"/>
    <n v="4"/>
    <x v="1"/>
    <n v="0"/>
    <n v="20"/>
    <n v="4"/>
    <n v="4"/>
    <n v="1"/>
    <n v="14"/>
    <n v="14"/>
    <n v="6"/>
    <n v="3"/>
    <n v="11"/>
    <n v="11"/>
    <n v="10"/>
    <n v="11"/>
    <n v="11"/>
    <n v="1"/>
    <n v="1"/>
    <n v="3"/>
  </r>
  <r>
    <n v="27"/>
    <n v="27"/>
    <x v="1"/>
    <n v="0"/>
    <s v="Non-Travel"/>
    <n v="0"/>
    <n v="0"/>
    <x v="1"/>
    <n v="1"/>
    <n v="0"/>
    <n v="8"/>
    <n v="8"/>
    <n v="5"/>
    <s v="Life Sciences"/>
    <n v="1"/>
    <n v="0"/>
    <n v="0"/>
    <n v="0"/>
    <n v="0"/>
    <x v="3"/>
    <s v="Male"/>
    <n v="0"/>
    <n v="87"/>
    <n v="1"/>
    <n v="1"/>
    <s v="Laboratory Technician"/>
    <n v="0"/>
    <n v="0"/>
    <n v="1"/>
    <n v="0"/>
    <n v="0"/>
    <n v="0"/>
    <n v="0"/>
    <n v="0"/>
    <n v="3"/>
    <x v="1"/>
    <n v="0"/>
    <n v="1"/>
    <n v="4621"/>
    <n v="4621"/>
    <n v="1"/>
    <x v="1"/>
    <n v="0"/>
    <n v="19"/>
    <n v="3"/>
    <n v="4"/>
    <n v="3"/>
    <n v="3"/>
    <n v="3"/>
    <n v="4"/>
    <n v="3"/>
    <n v="3"/>
    <n v="3"/>
    <n v="2"/>
    <n v="1"/>
    <n v="1"/>
    <n v="2"/>
    <n v="2"/>
    <n v="2"/>
  </r>
  <r>
    <n v="55"/>
    <n v="55"/>
    <x v="1"/>
    <n v="0"/>
    <s v="Travel_Frequently"/>
    <n v="1"/>
    <n v="0"/>
    <x v="1"/>
    <n v="1"/>
    <n v="0"/>
    <n v="2"/>
    <n v="2"/>
    <n v="1"/>
    <s v="Life Sciences"/>
    <n v="1"/>
    <n v="0"/>
    <n v="0"/>
    <n v="0"/>
    <n v="0"/>
    <x v="2"/>
    <s v="Male"/>
    <n v="0"/>
    <n v="65"/>
    <n v="3"/>
    <n v="3"/>
    <s v="Manufacturing Director"/>
    <n v="0"/>
    <n v="0"/>
    <n v="0"/>
    <n v="0"/>
    <n v="1"/>
    <n v="1"/>
    <n v="0"/>
    <n v="0"/>
    <n v="2"/>
    <x v="1"/>
    <n v="0"/>
    <n v="1"/>
    <n v="10976"/>
    <n v="10976"/>
    <n v="3"/>
    <x v="1"/>
    <n v="0"/>
    <n v="18"/>
    <n v="3"/>
    <n v="2"/>
    <n v="1"/>
    <n v="23"/>
    <n v="23"/>
    <n v="4"/>
    <n v="3"/>
    <n v="3"/>
    <n v="3"/>
    <n v="2"/>
    <n v="1"/>
    <n v="1"/>
    <n v="2"/>
    <n v="2"/>
    <n v="6"/>
  </r>
  <r>
    <n v="28"/>
    <n v="28"/>
    <x v="1"/>
    <n v="0"/>
    <s v="Travel_Rarely"/>
    <n v="0"/>
    <n v="1"/>
    <x v="1"/>
    <n v="1"/>
    <n v="0"/>
    <n v="10"/>
    <n v="10"/>
    <n v="3"/>
    <s v="Other"/>
    <n v="0"/>
    <n v="1"/>
    <n v="0"/>
    <n v="0"/>
    <n v="0"/>
    <x v="1"/>
    <s v="Female"/>
    <n v="1"/>
    <n v="59"/>
    <n v="3"/>
    <n v="2"/>
    <s v="Research Scientist"/>
    <n v="0"/>
    <n v="0"/>
    <n v="0"/>
    <n v="0"/>
    <n v="0"/>
    <n v="0"/>
    <n v="0"/>
    <n v="1"/>
    <n v="3"/>
    <x v="0"/>
    <n v="1"/>
    <n v="0"/>
    <n v="3660"/>
    <n v="3660"/>
    <n v="3"/>
    <x v="1"/>
    <n v="0"/>
    <n v="13"/>
    <n v="3"/>
    <n v="4"/>
    <n v="0"/>
    <n v="10"/>
    <n v="10"/>
    <n v="4"/>
    <n v="4"/>
    <n v="8"/>
    <n v="8"/>
    <n v="7"/>
    <n v="1"/>
    <n v="1"/>
    <n v="7"/>
    <n v="7"/>
    <n v="14"/>
  </r>
  <r>
    <n v="44"/>
    <n v="44"/>
    <x v="0"/>
    <n v="1"/>
    <s v="Travel_Rarely"/>
    <n v="0"/>
    <n v="1"/>
    <x v="2"/>
    <n v="0"/>
    <n v="0"/>
    <n v="1"/>
    <n v="1"/>
    <n v="2"/>
    <s v="Medical"/>
    <n v="0"/>
    <n v="0"/>
    <n v="1"/>
    <n v="0"/>
    <n v="0"/>
    <x v="0"/>
    <s v="Male"/>
    <n v="0"/>
    <n v="91"/>
    <n v="2"/>
    <n v="3"/>
    <s v="Human Resources"/>
    <n v="0"/>
    <n v="0"/>
    <n v="0"/>
    <n v="0"/>
    <n v="0"/>
    <n v="0"/>
    <n v="0"/>
    <n v="0"/>
    <n v="1"/>
    <x v="1"/>
    <n v="0"/>
    <n v="1"/>
    <n v="10482"/>
    <n v="10482"/>
    <n v="9"/>
    <x v="1"/>
    <n v="0"/>
    <n v="14"/>
    <n v="3"/>
    <n v="4"/>
    <n v="1"/>
    <n v="24"/>
    <n v="24"/>
    <n v="1"/>
    <n v="3"/>
    <n v="20"/>
    <n v="20"/>
    <n v="6"/>
    <n v="3"/>
    <n v="3"/>
    <n v="6"/>
    <n v="6"/>
    <n v="18"/>
  </r>
  <r>
    <n v="33"/>
    <n v="33"/>
    <x v="1"/>
    <n v="0"/>
    <s v="Travel_Rarely"/>
    <n v="0"/>
    <n v="1"/>
    <x v="1"/>
    <n v="1"/>
    <n v="0"/>
    <n v="5"/>
    <n v="5"/>
    <n v="3"/>
    <s v="Life Sciences"/>
    <n v="1"/>
    <n v="0"/>
    <n v="0"/>
    <n v="0"/>
    <n v="0"/>
    <x v="2"/>
    <s v="Male"/>
    <n v="0"/>
    <n v="34"/>
    <n v="2"/>
    <n v="3"/>
    <s v="Healthcare Representative"/>
    <n v="1"/>
    <n v="0"/>
    <n v="0"/>
    <n v="0"/>
    <n v="0"/>
    <n v="0"/>
    <n v="0"/>
    <n v="0"/>
    <n v="4"/>
    <x v="2"/>
    <n v="0"/>
    <n v="0"/>
    <n v="7119"/>
    <n v="7119"/>
    <n v="4"/>
    <x v="1"/>
    <n v="0"/>
    <n v="15"/>
    <n v="3"/>
    <n v="3"/>
    <n v="1"/>
    <n v="9"/>
    <n v="9"/>
    <n v="2"/>
    <n v="3"/>
    <n v="3"/>
    <n v="3"/>
    <n v="2"/>
    <n v="1"/>
    <n v="1"/>
    <n v="2"/>
    <n v="2"/>
    <n v="6"/>
  </r>
  <r>
    <n v="35"/>
    <n v="35"/>
    <x v="0"/>
    <n v="1"/>
    <s v="Travel_Rarely"/>
    <n v="0"/>
    <n v="1"/>
    <x v="0"/>
    <n v="0"/>
    <n v="1"/>
    <n v="4"/>
    <n v="4"/>
    <n v="3"/>
    <s v="Technical Degree"/>
    <n v="0"/>
    <n v="0"/>
    <n v="0"/>
    <n v="0"/>
    <n v="1"/>
    <x v="2"/>
    <s v="Male"/>
    <n v="0"/>
    <n v="86"/>
    <n v="3"/>
    <n v="3"/>
    <s v="Sales Executive"/>
    <n v="0"/>
    <n v="1"/>
    <n v="0"/>
    <n v="0"/>
    <n v="0"/>
    <n v="0"/>
    <n v="0"/>
    <n v="0"/>
    <n v="1"/>
    <x v="0"/>
    <n v="1"/>
    <n v="0"/>
    <n v="9582"/>
    <n v="9582"/>
    <n v="0"/>
    <x v="0"/>
    <n v="1"/>
    <n v="22"/>
    <n v="4"/>
    <n v="1"/>
    <n v="0"/>
    <n v="9"/>
    <n v="9"/>
    <n v="2"/>
    <n v="3"/>
    <n v="8"/>
    <n v="8"/>
    <n v="7"/>
    <n v="4"/>
    <n v="4"/>
    <n v="7"/>
    <n v="7"/>
    <n v="21"/>
  </r>
  <r>
    <n v="33"/>
    <n v="33"/>
    <x v="0"/>
    <n v="1"/>
    <s v="Travel_Frequently"/>
    <n v="1"/>
    <n v="0"/>
    <x v="1"/>
    <n v="1"/>
    <n v="0"/>
    <n v="29"/>
    <n v="29"/>
    <n v="4"/>
    <s v="Medical"/>
    <n v="0"/>
    <n v="0"/>
    <n v="1"/>
    <n v="0"/>
    <n v="0"/>
    <x v="3"/>
    <s v="Female"/>
    <n v="1"/>
    <n v="54"/>
    <n v="2"/>
    <n v="2"/>
    <s v="Research Scientist"/>
    <n v="0"/>
    <n v="0"/>
    <n v="0"/>
    <n v="0"/>
    <n v="0"/>
    <n v="0"/>
    <n v="0"/>
    <n v="1"/>
    <n v="3"/>
    <x v="0"/>
    <n v="1"/>
    <n v="0"/>
    <n v="4508"/>
    <n v="4508"/>
    <n v="1"/>
    <x v="1"/>
    <n v="0"/>
    <n v="22"/>
    <n v="4"/>
    <n v="2"/>
    <n v="0"/>
    <n v="14"/>
    <n v="14"/>
    <n v="4"/>
    <n v="3"/>
    <n v="13"/>
    <n v="13"/>
    <n v="7"/>
    <n v="3"/>
    <n v="3"/>
    <n v="8"/>
    <n v="8"/>
    <n v="16"/>
  </r>
  <r>
    <n v="28"/>
    <n v="28"/>
    <x v="1"/>
    <n v="0"/>
    <s v="Travel_Rarely"/>
    <n v="0"/>
    <n v="1"/>
    <x v="1"/>
    <n v="1"/>
    <n v="0"/>
    <n v="15"/>
    <n v="15"/>
    <n v="2"/>
    <s v="Life Sciences"/>
    <n v="1"/>
    <n v="0"/>
    <n v="0"/>
    <n v="0"/>
    <n v="0"/>
    <x v="3"/>
    <s v="Male"/>
    <n v="0"/>
    <n v="50"/>
    <n v="3"/>
    <n v="1"/>
    <s v="Laboratory Technician"/>
    <n v="0"/>
    <n v="0"/>
    <n v="1"/>
    <n v="0"/>
    <n v="0"/>
    <n v="0"/>
    <n v="0"/>
    <n v="0"/>
    <n v="3"/>
    <x v="2"/>
    <n v="0"/>
    <n v="0"/>
    <n v="2207"/>
    <n v="2207"/>
    <n v="1"/>
    <x v="1"/>
    <n v="0"/>
    <n v="16"/>
    <n v="3"/>
    <n v="4"/>
    <n v="1"/>
    <n v="4"/>
    <n v="4"/>
    <n v="5"/>
    <n v="2"/>
    <n v="4"/>
    <n v="4"/>
    <n v="2"/>
    <n v="2"/>
    <n v="2"/>
    <n v="2"/>
    <n v="2"/>
    <n v="2"/>
  </r>
  <r>
    <n v="34"/>
    <n v="34"/>
    <x v="1"/>
    <n v="0"/>
    <s v="Travel_Frequently"/>
    <n v="1"/>
    <n v="0"/>
    <x v="1"/>
    <n v="1"/>
    <n v="0"/>
    <n v="3"/>
    <n v="3"/>
    <n v="1"/>
    <s v="Life Sciences"/>
    <n v="1"/>
    <n v="0"/>
    <n v="0"/>
    <n v="0"/>
    <n v="0"/>
    <x v="3"/>
    <s v="Male"/>
    <n v="0"/>
    <n v="45"/>
    <n v="3"/>
    <n v="2"/>
    <s v="Healthcare Representative"/>
    <n v="1"/>
    <n v="0"/>
    <n v="0"/>
    <n v="0"/>
    <n v="0"/>
    <n v="0"/>
    <n v="0"/>
    <n v="0"/>
    <n v="4"/>
    <x v="0"/>
    <n v="1"/>
    <n v="0"/>
    <n v="7756"/>
    <n v="7756"/>
    <n v="0"/>
    <x v="1"/>
    <n v="0"/>
    <n v="17"/>
    <n v="3"/>
    <n v="3"/>
    <n v="0"/>
    <n v="7"/>
    <n v="7"/>
    <n v="1"/>
    <n v="2"/>
    <n v="6"/>
    <n v="6"/>
    <n v="2"/>
    <n v="0"/>
    <n v="0"/>
    <n v="4"/>
    <n v="4"/>
    <n v="8"/>
  </r>
  <r>
    <n v="37"/>
    <n v="37"/>
    <x v="1"/>
    <n v="0"/>
    <s v="Travel_Rarely"/>
    <n v="0"/>
    <n v="1"/>
    <x v="0"/>
    <n v="0"/>
    <n v="1"/>
    <n v="10"/>
    <n v="10"/>
    <n v="4"/>
    <s v="Life Sciences"/>
    <n v="1"/>
    <n v="0"/>
    <n v="0"/>
    <n v="0"/>
    <n v="0"/>
    <x v="2"/>
    <s v="Female"/>
    <n v="1"/>
    <n v="88"/>
    <n v="2"/>
    <n v="2"/>
    <s v="Sales Executive"/>
    <n v="0"/>
    <n v="1"/>
    <n v="0"/>
    <n v="0"/>
    <n v="0"/>
    <n v="0"/>
    <n v="0"/>
    <n v="0"/>
    <n v="4"/>
    <x v="2"/>
    <n v="0"/>
    <n v="0"/>
    <n v="6694"/>
    <n v="6694"/>
    <n v="2"/>
    <x v="0"/>
    <n v="1"/>
    <n v="14"/>
    <n v="3"/>
    <n v="3"/>
    <n v="3"/>
    <n v="8"/>
    <n v="8"/>
    <n v="5"/>
    <n v="3"/>
    <n v="1"/>
    <n v="1"/>
    <n v="0"/>
    <n v="0"/>
    <n v="0"/>
    <n v="0"/>
    <n v="0"/>
    <n v="0"/>
  </r>
  <r>
    <n v="25"/>
    <n v="25"/>
    <x v="0"/>
    <n v="1"/>
    <s v="Travel_Rarely"/>
    <n v="0"/>
    <n v="1"/>
    <x v="1"/>
    <n v="1"/>
    <n v="0"/>
    <n v="4"/>
    <n v="4"/>
    <n v="1"/>
    <s v="Technical Degree"/>
    <n v="0"/>
    <n v="0"/>
    <n v="0"/>
    <n v="0"/>
    <n v="1"/>
    <x v="2"/>
    <s v="Male"/>
    <n v="0"/>
    <n v="32"/>
    <n v="3"/>
    <n v="1"/>
    <s v="Laboratory Technician"/>
    <n v="0"/>
    <n v="0"/>
    <n v="1"/>
    <n v="0"/>
    <n v="0"/>
    <n v="0"/>
    <n v="0"/>
    <n v="0"/>
    <n v="4"/>
    <x v="1"/>
    <n v="0"/>
    <n v="1"/>
    <n v="3691"/>
    <n v="3691"/>
    <n v="1"/>
    <x v="0"/>
    <n v="1"/>
    <n v="15"/>
    <n v="3"/>
    <n v="2"/>
    <n v="1"/>
    <n v="7"/>
    <n v="7"/>
    <n v="3"/>
    <n v="4"/>
    <n v="7"/>
    <n v="7"/>
    <n v="7"/>
    <n v="5"/>
    <n v="5"/>
    <n v="6"/>
    <n v="6"/>
    <n v="6"/>
  </r>
  <r>
    <n v="26"/>
    <n v="26"/>
    <x v="0"/>
    <n v="1"/>
    <s v="Travel_Rarely"/>
    <n v="0"/>
    <n v="1"/>
    <x v="1"/>
    <n v="1"/>
    <n v="0"/>
    <n v="21"/>
    <n v="21"/>
    <n v="3"/>
    <s v="Medical"/>
    <n v="0"/>
    <n v="0"/>
    <n v="1"/>
    <n v="0"/>
    <n v="0"/>
    <x v="3"/>
    <s v="Male"/>
    <n v="0"/>
    <n v="37"/>
    <n v="3"/>
    <n v="1"/>
    <s v="Laboratory Technician"/>
    <n v="0"/>
    <n v="0"/>
    <n v="1"/>
    <n v="0"/>
    <n v="0"/>
    <n v="0"/>
    <n v="0"/>
    <n v="0"/>
    <n v="3"/>
    <x v="2"/>
    <n v="0"/>
    <n v="0"/>
    <n v="2377"/>
    <n v="2377"/>
    <n v="1"/>
    <x v="1"/>
    <n v="0"/>
    <n v="20"/>
    <n v="4"/>
    <n v="3"/>
    <n v="1"/>
    <n v="1"/>
    <n v="1"/>
    <n v="0"/>
    <n v="2"/>
    <n v="1"/>
    <n v="1"/>
    <n v="1"/>
    <n v="0"/>
    <n v="0"/>
    <n v="0"/>
    <n v="0"/>
    <n v="0"/>
  </r>
  <r>
    <n v="33"/>
    <n v="33"/>
    <x v="0"/>
    <n v="1"/>
    <s v="Travel_Rarely"/>
    <n v="0"/>
    <n v="1"/>
    <x v="1"/>
    <n v="1"/>
    <n v="0"/>
    <n v="25"/>
    <n v="25"/>
    <n v="3"/>
    <s v="Medical"/>
    <n v="0"/>
    <n v="0"/>
    <n v="1"/>
    <n v="0"/>
    <n v="0"/>
    <x v="3"/>
    <s v="Male"/>
    <n v="0"/>
    <n v="55"/>
    <n v="2"/>
    <n v="1"/>
    <s v="Research Scientist"/>
    <n v="0"/>
    <n v="0"/>
    <n v="0"/>
    <n v="0"/>
    <n v="0"/>
    <n v="0"/>
    <n v="0"/>
    <n v="1"/>
    <n v="2"/>
    <x v="0"/>
    <n v="1"/>
    <n v="0"/>
    <n v="2313"/>
    <n v="2313"/>
    <n v="4"/>
    <x v="0"/>
    <n v="1"/>
    <n v="20"/>
    <n v="4"/>
    <n v="2"/>
    <n v="0"/>
    <n v="5"/>
    <n v="5"/>
    <n v="0"/>
    <n v="3"/>
    <n v="2"/>
    <n v="2"/>
    <n v="2"/>
    <n v="2"/>
    <n v="2"/>
    <n v="2"/>
    <n v="2"/>
    <n v="2"/>
  </r>
  <r>
    <n v="42"/>
    <n v="42"/>
    <x v="1"/>
    <n v="0"/>
    <s v="Travel_Rarely"/>
    <n v="0"/>
    <n v="1"/>
    <x v="1"/>
    <n v="1"/>
    <n v="0"/>
    <n v="2"/>
    <n v="2"/>
    <n v="2"/>
    <s v="Medical"/>
    <n v="0"/>
    <n v="0"/>
    <n v="1"/>
    <n v="0"/>
    <n v="0"/>
    <x v="2"/>
    <s v="Male"/>
    <n v="0"/>
    <n v="35"/>
    <n v="3"/>
    <n v="4"/>
    <s v="Manager"/>
    <n v="0"/>
    <n v="0"/>
    <n v="0"/>
    <n v="1"/>
    <n v="0"/>
    <n v="0"/>
    <n v="0"/>
    <n v="0"/>
    <n v="1"/>
    <x v="1"/>
    <n v="0"/>
    <n v="1"/>
    <n v="17665"/>
    <n v="17665"/>
    <n v="0"/>
    <x v="1"/>
    <n v="0"/>
    <n v="17"/>
    <n v="3"/>
    <n v="4"/>
    <n v="1"/>
    <n v="23"/>
    <n v="23"/>
    <n v="3"/>
    <n v="3"/>
    <n v="22"/>
    <n v="22"/>
    <n v="6"/>
    <n v="13"/>
    <n v="13"/>
    <n v="7"/>
    <n v="7"/>
    <n v="28"/>
  </r>
  <r>
    <n v="28"/>
    <n v="28"/>
    <x v="0"/>
    <n v="1"/>
    <s v="Travel_Frequently"/>
    <n v="1"/>
    <n v="0"/>
    <x v="1"/>
    <n v="1"/>
    <n v="0"/>
    <n v="1"/>
    <n v="1"/>
    <n v="3"/>
    <s v="Medical"/>
    <n v="0"/>
    <n v="0"/>
    <n v="1"/>
    <n v="0"/>
    <n v="0"/>
    <x v="3"/>
    <s v="Male"/>
    <n v="0"/>
    <n v="45"/>
    <n v="2"/>
    <n v="1"/>
    <s v="Laboratory Technician"/>
    <n v="0"/>
    <n v="0"/>
    <n v="1"/>
    <n v="0"/>
    <n v="0"/>
    <n v="0"/>
    <n v="0"/>
    <n v="0"/>
    <n v="2"/>
    <x v="2"/>
    <n v="0"/>
    <n v="0"/>
    <n v="2596"/>
    <n v="2596"/>
    <n v="1"/>
    <x v="1"/>
    <n v="0"/>
    <n v="15"/>
    <n v="3"/>
    <n v="1"/>
    <n v="2"/>
    <n v="1"/>
    <n v="1"/>
    <n v="2"/>
    <n v="3"/>
    <n v="1"/>
    <n v="1"/>
    <n v="0"/>
    <n v="0"/>
    <n v="0"/>
    <n v="0"/>
    <n v="0"/>
    <n v="0"/>
  </r>
  <r>
    <n v="50"/>
    <n v="50"/>
    <x v="0"/>
    <n v="1"/>
    <s v="Travel_Frequently"/>
    <n v="1"/>
    <n v="0"/>
    <x v="0"/>
    <n v="0"/>
    <n v="1"/>
    <n v="1"/>
    <n v="1"/>
    <n v="4"/>
    <s v="Other"/>
    <n v="0"/>
    <n v="1"/>
    <n v="0"/>
    <n v="0"/>
    <n v="0"/>
    <x v="2"/>
    <s v="Male"/>
    <n v="0"/>
    <n v="81"/>
    <n v="3"/>
    <n v="2"/>
    <s v="Sales Executive"/>
    <n v="0"/>
    <n v="1"/>
    <n v="0"/>
    <n v="0"/>
    <n v="0"/>
    <n v="0"/>
    <n v="0"/>
    <n v="0"/>
    <n v="3"/>
    <x v="0"/>
    <n v="1"/>
    <n v="0"/>
    <n v="4728"/>
    <n v="4728"/>
    <n v="3"/>
    <x v="0"/>
    <n v="1"/>
    <n v="14"/>
    <n v="3"/>
    <n v="4"/>
    <n v="0"/>
    <n v="5"/>
    <n v="5"/>
    <n v="4"/>
    <n v="3"/>
    <n v="0"/>
    <n v="0"/>
    <n v="0"/>
    <n v="0"/>
    <n v="0"/>
    <n v="0"/>
    <n v="0"/>
    <n v="0"/>
  </r>
  <r>
    <n v="33"/>
    <n v="33"/>
    <x v="1"/>
    <n v="0"/>
    <s v="Travel_Frequently"/>
    <n v="1"/>
    <n v="0"/>
    <x v="0"/>
    <n v="0"/>
    <n v="1"/>
    <n v="7"/>
    <n v="7"/>
    <n v="3"/>
    <s v="Life Sciences"/>
    <n v="1"/>
    <n v="0"/>
    <n v="0"/>
    <n v="0"/>
    <n v="0"/>
    <x v="2"/>
    <s v="Female"/>
    <n v="1"/>
    <n v="30"/>
    <n v="3"/>
    <n v="2"/>
    <s v="Sales Executive"/>
    <n v="0"/>
    <n v="1"/>
    <n v="0"/>
    <n v="0"/>
    <n v="0"/>
    <n v="0"/>
    <n v="0"/>
    <n v="0"/>
    <n v="2"/>
    <x v="1"/>
    <n v="0"/>
    <n v="1"/>
    <n v="4302"/>
    <n v="4302"/>
    <n v="0"/>
    <x v="1"/>
    <n v="0"/>
    <n v="17"/>
    <n v="3"/>
    <n v="3"/>
    <n v="1"/>
    <n v="4"/>
    <n v="4"/>
    <n v="3"/>
    <n v="3"/>
    <n v="3"/>
    <n v="3"/>
    <n v="2"/>
    <n v="0"/>
    <n v="0"/>
    <n v="2"/>
    <n v="2"/>
    <n v="4"/>
  </r>
  <r>
    <n v="34"/>
    <n v="34"/>
    <x v="1"/>
    <n v="0"/>
    <s v="Non-Travel"/>
    <n v="0"/>
    <n v="0"/>
    <x v="1"/>
    <n v="1"/>
    <n v="0"/>
    <n v="3"/>
    <n v="3"/>
    <n v="4"/>
    <s v="Life Sciences"/>
    <n v="1"/>
    <n v="0"/>
    <n v="0"/>
    <n v="0"/>
    <n v="0"/>
    <x v="1"/>
    <s v="Male"/>
    <n v="0"/>
    <n v="40"/>
    <n v="2"/>
    <n v="1"/>
    <s v="Research Scientist"/>
    <n v="0"/>
    <n v="0"/>
    <n v="0"/>
    <n v="0"/>
    <n v="0"/>
    <n v="0"/>
    <n v="0"/>
    <n v="1"/>
    <n v="4"/>
    <x v="1"/>
    <n v="0"/>
    <n v="1"/>
    <n v="2979"/>
    <n v="2979"/>
    <n v="3"/>
    <x v="1"/>
    <n v="0"/>
    <n v="17"/>
    <n v="3"/>
    <n v="4"/>
    <n v="3"/>
    <n v="6"/>
    <n v="6"/>
    <n v="2"/>
    <n v="3"/>
    <n v="0"/>
    <n v="0"/>
    <n v="0"/>
    <n v="0"/>
    <n v="0"/>
    <n v="0"/>
    <n v="0"/>
    <n v="0"/>
  </r>
  <r>
    <n v="48"/>
    <n v="48"/>
    <x v="1"/>
    <n v="0"/>
    <s v="Non-Travel"/>
    <n v="0"/>
    <n v="0"/>
    <x v="1"/>
    <n v="1"/>
    <n v="0"/>
    <n v="1"/>
    <n v="1"/>
    <n v="4"/>
    <s v="Medical"/>
    <n v="0"/>
    <n v="0"/>
    <n v="1"/>
    <n v="0"/>
    <n v="0"/>
    <x v="3"/>
    <s v="Male"/>
    <n v="0"/>
    <n v="35"/>
    <n v="4"/>
    <n v="4"/>
    <s v="Manager"/>
    <n v="0"/>
    <n v="0"/>
    <n v="0"/>
    <n v="1"/>
    <n v="0"/>
    <n v="0"/>
    <n v="0"/>
    <n v="0"/>
    <n v="4"/>
    <x v="0"/>
    <n v="1"/>
    <n v="0"/>
    <n v="16885"/>
    <n v="16885"/>
    <n v="2"/>
    <x v="1"/>
    <n v="0"/>
    <n v="22"/>
    <n v="4"/>
    <n v="3"/>
    <n v="0"/>
    <n v="27"/>
    <n v="27"/>
    <n v="3"/>
    <n v="2"/>
    <n v="5"/>
    <n v="5"/>
    <n v="4"/>
    <n v="2"/>
    <n v="2"/>
    <n v="1"/>
    <n v="1"/>
    <n v="4"/>
  </r>
  <r>
    <n v="45"/>
    <n v="45"/>
    <x v="1"/>
    <n v="0"/>
    <s v="Non-Travel"/>
    <n v="0"/>
    <n v="0"/>
    <x v="0"/>
    <n v="0"/>
    <n v="1"/>
    <n v="9"/>
    <n v="9"/>
    <n v="4"/>
    <s v="Life Sciences"/>
    <n v="1"/>
    <n v="0"/>
    <n v="0"/>
    <n v="0"/>
    <n v="0"/>
    <x v="0"/>
    <s v="Female"/>
    <n v="1"/>
    <n v="65"/>
    <n v="2"/>
    <n v="2"/>
    <s v="Sales Executive"/>
    <n v="0"/>
    <n v="1"/>
    <n v="0"/>
    <n v="0"/>
    <n v="0"/>
    <n v="0"/>
    <n v="0"/>
    <n v="0"/>
    <n v="3"/>
    <x v="1"/>
    <n v="0"/>
    <n v="1"/>
    <n v="5593"/>
    <n v="5593"/>
    <n v="1"/>
    <x v="1"/>
    <n v="0"/>
    <n v="13"/>
    <n v="3"/>
    <n v="4"/>
    <n v="1"/>
    <n v="15"/>
    <n v="15"/>
    <n v="2"/>
    <n v="3"/>
    <n v="15"/>
    <n v="15"/>
    <n v="10"/>
    <n v="4"/>
    <n v="4"/>
    <n v="12"/>
    <n v="12"/>
    <n v="24"/>
  </r>
  <r>
    <n v="52"/>
    <n v="52"/>
    <x v="1"/>
    <n v="0"/>
    <s v="Travel_Rarely"/>
    <n v="0"/>
    <n v="1"/>
    <x v="1"/>
    <n v="1"/>
    <n v="0"/>
    <n v="7"/>
    <n v="7"/>
    <n v="4"/>
    <s v="Life Sciences"/>
    <n v="1"/>
    <n v="0"/>
    <n v="0"/>
    <n v="0"/>
    <n v="0"/>
    <x v="0"/>
    <s v="Male"/>
    <n v="0"/>
    <n v="87"/>
    <n v="3"/>
    <n v="3"/>
    <s v="Healthcare Representative"/>
    <n v="1"/>
    <n v="0"/>
    <n v="0"/>
    <n v="0"/>
    <n v="0"/>
    <n v="0"/>
    <n v="0"/>
    <n v="0"/>
    <n v="2"/>
    <x v="0"/>
    <n v="1"/>
    <n v="0"/>
    <n v="10445"/>
    <n v="10445"/>
    <n v="7"/>
    <x v="1"/>
    <n v="0"/>
    <n v="19"/>
    <n v="3"/>
    <n v="4"/>
    <n v="0"/>
    <n v="18"/>
    <n v="18"/>
    <n v="4"/>
    <n v="3"/>
    <n v="8"/>
    <n v="8"/>
    <n v="6"/>
    <n v="4"/>
    <n v="4"/>
    <n v="0"/>
    <n v="0"/>
    <n v="0"/>
  </r>
  <r>
    <n v="38"/>
    <n v="38"/>
    <x v="1"/>
    <n v="0"/>
    <s v="Travel_Rarely"/>
    <n v="0"/>
    <n v="1"/>
    <x v="0"/>
    <n v="0"/>
    <n v="1"/>
    <n v="10"/>
    <n v="10"/>
    <n v="4"/>
    <s v="Marketing"/>
    <n v="0"/>
    <n v="0"/>
    <n v="0"/>
    <n v="1"/>
    <n v="0"/>
    <x v="1"/>
    <s v="Male"/>
    <n v="0"/>
    <n v="73"/>
    <n v="2"/>
    <n v="3"/>
    <s v="Sales Executive"/>
    <n v="0"/>
    <n v="1"/>
    <n v="0"/>
    <n v="0"/>
    <n v="0"/>
    <n v="0"/>
    <n v="0"/>
    <n v="0"/>
    <n v="3"/>
    <x v="2"/>
    <n v="0"/>
    <n v="0"/>
    <n v="8740"/>
    <n v="8740"/>
    <n v="0"/>
    <x v="0"/>
    <n v="1"/>
    <n v="14"/>
    <n v="3"/>
    <n v="2"/>
    <n v="2"/>
    <n v="9"/>
    <n v="9"/>
    <n v="2"/>
    <n v="3"/>
    <n v="8"/>
    <n v="8"/>
    <n v="7"/>
    <n v="2"/>
    <n v="2"/>
    <n v="7"/>
    <n v="7"/>
    <n v="21"/>
  </r>
  <r>
    <n v="29"/>
    <n v="29"/>
    <x v="1"/>
    <n v="0"/>
    <s v="Travel_Rarely"/>
    <n v="0"/>
    <n v="1"/>
    <x v="1"/>
    <n v="1"/>
    <n v="0"/>
    <n v="28"/>
    <n v="28"/>
    <n v="4"/>
    <s v="Life Sciences"/>
    <n v="1"/>
    <n v="0"/>
    <n v="0"/>
    <n v="0"/>
    <n v="0"/>
    <x v="1"/>
    <s v="Female"/>
    <n v="1"/>
    <n v="93"/>
    <n v="3"/>
    <n v="1"/>
    <s v="Research Scientist"/>
    <n v="0"/>
    <n v="0"/>
    <n v="0"/>
    <n v="0"/>
    <n v="0"/>
    <n v="0"/>
    <n v="0"/>
    <n v="1"/>
    <n v="4"/>
    <x v="2"/>
    <n v="0"/>
    <n v="0"/>
    <n v="2514"/>
    <n v="2514"/>
    <n v="4"/>
    <x v="1"/>
    <n v="0"/>
    <n v="22"/>
    <n v="4"/>
    <n v="1"/>
    <n v="1"/>
    <n v="11"/>
    <n v="11"/>
    <n v="1"/>
    <n v="3"/>
    <n v="7"/>
    <n v="7"/>
    <n v="5"/>
    <n v="1"/>
    <n v="1"/>
    <n v="7"/>
    <n v="7"/>
    <n v="7"/>
  </r>
  <r>
    <n v="28"/>
    <n v="28"/>
    <x v="1"/>
    <n v="0"/>
    <s v="Travel_Rarely"/>
    <n v="0"/>
    <n v="1"/>
    <x v="1"/>
    <n v="1"/>
    <n v="0"/>
    <n v="3"/>
    <n v="3"/>
    <n v="3"/>
    <s v="Medical"/>
    <n v="0"/>
    <n v="0"/>
    <n v="1"/>
    <n v="0"/>
    <n v="0"/>
    <x v="2"/>
    <s v="Female"/>
    <n v="1"/>
    <n v="93"/>
    <n v="3"/>
    <n v="3"/>
    <s v="Manufacturing Director"/>
    <n v="0"/>
    <n v="0"/>
    <n v="0"/>
    <n v="0"/>
    <n v="1"/>
    <n v="1"/>
    <n v="0"/>
    <n v="0"/>
    <n v="2"/>
    <x v="2"/>
    <n v="0"/>
    <n v="0"/>
    <n v="7655"/>
    <n v="7655"/>
    <n v="0"/>
    <x v="1"/>
    <n v="0"/>
    <n v="17"/>
    <n v="3"/>
    <n v="2"/>
    <n v="3"/>
    <n v="10"/>
    <n v="10"/>
    <n v="3"/>
    <n v="2"/>
    <n v="9"/>
    <n v="9"/>
    <n v="7"/>
    <n v="1"/>
    <n v="1"/>
    <n v="7"/>
    <n v="7"/>
    <n v="21"/>
  </r>
  <r>
    <n v="46"/>
    <n v="46"/>
    <x v="1"/>
    <n v="0"/>
    <s v="Travel_Rarely"/>
    <n v="0"/>
    <n v="1"/>
    <x v="0"/>
    <n v="0"/>
    <n v="1"/>
    <n v="3"/>
    <n v="3"/>
    <n v="1"/>
    <s v="Marketing"/>
    <n v="0"/>
    <n v="0"/>
    <n v="0"/>
    <n v="1"/>
    <n v="0"/>
    <x v="3"/>
    <s v="Male"/>
    <n v="0"/>
    <n v="52"/>
    <n v="3"/>
    <n v="4"/>
    <s v="Manager"/>
    <n v="0"/>
    <n v="0"/>
    <n v="0"/>
    <n v="1"/>
    <n v="0"/>
    <n v="0"/>
    <n v="0"/>
    <n v="0"/>
    <n v="3"/>
    <x v="1"/>
    <n v="0"/>
    <n v="1"/>
    <n v="17465"/>
    <n v="17465"/>
    <n v="3"/>
    <x v="1"/>
    <n v="0"/>
    <n v="12"/>
    <n v="3"/>
    <n v="4"/>
    <n v="1"/>
    <n v="23"/>
    <n v="23"/>
    <n v="3"/>
    <n v="3"/>
    <n v="12"/>
    <n v="12"/>
    <n v="9"/>
    <n v="4"/>
    <n v="4"/>
    <n v="9"/>
    <n v="9"/>
    <n v="36"/>
  </r>
  <r>
    <n v="38"/>
    <n v="38"/>
    <x v="1"/>
    <n v="0"/>
    <s v="Travel_Rarely"/>
    <n v="0"/>
    <n v="1"/>
    <x v="0"/>
    <n v="0"/>
    <n v="1"/>
    <n v="2"/>
    <n v="2"/>
    <n v="2"/>
    <s v="Marketing"/>
    <n v="0"/>
    <n v="0"/>
    <n v="0"/>
    <n v="1"/>
    <n v="0"/>
    <x v="2"/>
    <s v="Male"/>
    <n v="0"/>
    <n v="32"/>
    <n v="3"/>
    <n v="3"/>
    <s v="Sales Executive"/>
    <n v="0"/>
    <n v="1"/>
    <n v="0"/>
    <n v="0"/>
    <n v="0"/>
    <n v="0"/>
    <n v="0"/>
    <n v="0"/>
    <n v="2"/>
    <x v="0"/>
    <n v="1"/>
    <n v="0"/>
    <n v="7351"/>
    <n v="7351"/>
    <n v="7"/>
    <x v="1"/>
    <n v="0"/>
    <n v="16"/>
    <n v="3"/>
    <n v="3"/>
    <n v="0"/>
    <n v="10"/>
    <n v="10"/>
    <n v="2"/>
    <n v="3"/>
    <n v="1"/>
    <n v="1"/>
    <n v="0"/>
    <n v="0"/>
    <n v="0"/>
    <n v="0"/>
    <n v="0"/>
    <n v="0"/>
  </r>
  <r>
    <n v="43"/>
    <n v="43"/>
    <x v="1"/>
    <n v="0"/>
    <s v="Travel_Frequently"/>
    <n v="1"/>
    <n v="0"/>
    <x v="1"/>
    <n v="1"/>
    <n v="0"/>
    <n v="27"/>
    <n v="27"/>
    <n v="3"/>
    <s v="Life Sciences"/>
    <n v="1"/>
    <n v="0"/>
    <n v="0"/>
    <n v="0"/>
    <n v="0"/>
    <x v="1"/>
    <s v="Female"/>
    <n v="1"/>
    <n v="83"/>
    <n v="3"/>
    <n v="3"/>
    <s v="Manufacturing Director"/>
    <n v="0"/>
    <n v="0"/>
    <n v="0"/>
    <n v="0"/>
    <n v="1"/>
    <n v="1"/>
    <n v="0"/>
    <n v="0"/>
    <n v="1"/>
    <x v="1"/>
    <n v="0"/>
    <n v="1"/>
    <n v="10820"/>
    <n v="10820"/>
    <n v="8"/>
    <x v="1"/>
    <n v="0"/>
    <n v="11"/>
    <n v="3"/>
    <n v="3"/>
    <n v="1"/>
    <n v="18"/>
    <n v="18"/>
    <n v="1"/>
    <n v="3"/>
    <n v="8"/>
    <n v="8"/>
    <n v="7"/>
    <n v="0"/>
    <n v="0"/>
    <n v="1"/>
    <n v="1"/>
    <n v="3"/>
  </r>
  <r>
    <n v="39"/>
    <n v="39"/>
    <x v="0"/>
    <n v="1"/>
    <s v="Travel_Frequently"/>
    <n v="1"/>
    <n v="0"/>
    <x v="1"/>
    <n v="1"/>
    <n v="0"/>
    <n v="2"/>
    <n v="2"/>
    <n v="3"/>
    <s v="Life Sciences"/>
    <n v="1"/>
    <n v="0"/>
    <n v="0"/>
    <n v="0"/>
    <n v="0"/>
    <x v="3"/>
    <s v="Male"/>
    <n v="0"/>
    <n v="84"/>
    <n v="3"/>
    <n v="4"/>
    <s v="Healthcare Representative"/>
    <n v="1"/>
    <n v="0"/>
    <n v="0"/>
    <n v="0"/>
    <n v="0"/>
    <n v="0"/>
    <n v="0"/>
    <n v="0"/>
    <n v="4"/>
    <x v="2"/>
    <n v="0"/>
    <n v="0"/>
    <n v="12169"/>
    <n v="12169"/>
    <n v="7"/>
    <x v="1"/>
    <n v="0"/>
    <n v="11"/>
    <n v="3"/>
    <n v="4"/>
    <n v="3"/>
    <n v="21"/>
    <n v="21"/>
    <n v="4"/>
    <n v="3"/>
    <n v="18"/>
    <n v="18"/>
    <n v="7"/>
    <n v="11"/>
    <n v="11"/>
    <n v="5"/>
    <n v="5"/>
    <n v="20"/>
  </r>
  <r>
    <n v="40"/>
    <n v="40"/>
    <x v="1"/>
    <n v="0"/>
    <s v="Travel_Rarely"/>
    <n v="0"/>
    <n v="1"/>
    <x v="1"/>
    <n v="1"/>
    <n v="0"/>
    <n v="14"/>
    <n v="14"/>
    <n v="3"/>
    <s v="Medical"/>
    <n v="0"/>
    <n v="0"/>
    <n v="1"/>
    <n v="0"/>
    <n v="0"/>
    <x v="1"/>
    <s v="Male"/>
    <n v="0"/>
    <n v="44"/>
    <n v="2"/>
    <n v="5"/>
    <s v="Research Director"/>
    <n v="0"/>
    <n v="0"/>
    <n v="0"/>
    <n v="0"/>
    <n v="0"/>
    <n v="0"/>
    <n v="0"/>
    <n v="0"/>
    <n v="3"/>
    <x v="0"/>
    <n v="1"/>
    <n v="0"/>
    <n v="19626"/>
    <n v="19626"/>
    <n v="1"/>
    <x v="1"/>
    <n v="0"/>
    <n v="14"/>
    <n v="3"/>
    <n v="1"/>
    <n v="0"/>
    <n v="21"/>
    <n v="21"/>
    <n v="2"/>
    <n v="4"/>
    <n v="20"/>
    <n v="20"/>
    <n v="7"/>
    <n v="4"/>
    <n v="4"/>
    <n v="9"/>
    <n v="9"/>
    <n v="45"/>
  </r>
  <r>
    <n v="21"/>
    <n v="21"/>
    <x v="1"/>
    <n v="0"/>
    <s v="Travel_Rarely"/>
    <n v="0"/>
    <n v="1"/>
    <x v="1"/>
    <n v="1"/>
    <n v="0"/>
    <n v="1"/>
    <n v="1"/>
    <n v="1"/>
    <s v="Technical Degree"/>
    <n v="0"/>
    <n v="0"/>
    <n v="0"/>
    <n v="0"/>
    <n v="1"/>
    <x v="2"/>
    <s v="Female"/>
    <n v="1"/>
    <n v="70"/>
    <n v="2"/>
    <n v="1"/>
    <s v="Research Scientist"/>
    <n v="0"/>
    <n v="0"/>
    <n v="0"/>
    <n v="0"/>
    <n v="0"/>
    <n v="0"/>
    <n v="0"/>
    <n v="1"/>
    <n v="2"/>
    <x v="0"/>
    <n v="1"/>
    <n v="0"/>
    <n v="2070"/>
    <n v="2070"/>
    <n v="1"/>
    <x v="0"/>
    <n v="1"/>
    <n v="11"/>
    <n v="3"/>
    <n v="3"/>
    <n v="0"/>
    <n v="2"/>
    <n v="2"/>
    <n v="6"/>
    <n v="4"/>
    <n v="2"/>
    <n v="2"/>
    <n v="2"/>
    <n v="2"/>
    <n v="2"/>
    <n v="2"/>
    <n v="2"/>
    <n v="2"/>
  </r>
  <r>
    <n v="39"/>
    <n v="39"/>
    <x v="1"/>
    <n v="0"/>
    <s v="Non-Travel"/>
    <n v="0"/>
    <n v="0"/>
    <x v="1"/>
    <n v="1"/>
    <n v="0"/>
    <n v="9"/>
    <n v="9"/>
    <n v="3"/>
    <s v="Life Sciences"/>
    <n v="1"/>
    <n v="0"/>
    <n v="0"/>
    <n v="0"/>
    <n v="0"/>
    <x v="1"/>
    <s v="Male"/>
    <n v="0"/>
    <n v="70"/>
    <n v="3"/>
    <n v="2"/>
    <s v="Laboratory Technician"/>
    <n v="0"/>
    <n v="0"/>
    <n v="1"/>
    <n v="0"/>
    <n v="0"/>
    <n v="0"/>
    <n v="0"/>
    <n v="0"/>
    <n v="2"/>
    <x v="0"/>
    <n v="1"/>
    <n v="0"/>
    <n v="6782"/>
    <n v="6782"/>
    <n v="9"/>
    <x v="1"/>
    <n v="0"/>
    <n v="15"/>
    <n v="3"/>
    <n v="3"/>
    <n v="0"/>
    <n v="9"/>
    <n v="9"/>
    <n v="2"/>
    <n v="2"/>
    <n v="5"/>
    <n v="5"/>
    <n v="4"/>
    <n v="0"/>
    <n v="0"/>
    <n v="3"/>
    <n v="3"/>
    <n v="6"/>
  </r>
  <r>
    <n v="36"/>
    <n v="36"/>
    <x v="1"/>
    <n v="0"/>
    <s v="Non-Travel"/>
    <n v="0"/>
    <n v="0"/>
    <x v="1"/>
    <n v="1"/>
    <n v="0"/>
    <n v="18"/>
    <n v="18"/>
    <n v="4"/>
    <s v="Life Sciences"/>
    <n v="1"/>
    <n v="0"/>
    <n v="0"/>
    <n v="0"/>
    <n v="0"/>
    <x v="3"/>
    <s v="Male"/>
    <n v="0"/>
    <n v="78"/>
    <n v="3"/>
    <n v="2"/>
    <s v="Manufacturing Director"/>
    <n v="0"/>
    <n v="0"/>
    <n v="0"/>
    <n v="0"/>
    <n v="1"/>
    <n v="1"/>
    <n v="0"/>
    <n v="0"/>
    <n v="4"/>
    <x v="0"/>
    <n v="1"/>
    <n v="0"/>
    <n v="7779"/>
    <n v="7779"/>
    <n v="2"/>
    <x v="1"/>
    <n v="0"/>
    <n v="20"/>
    <n v="4"/>
    <n v="1"/>
    <n v="0"/>
    <n v="18"/>
    <n v="18"/>
    <n v="0"/>
    <n v="3"/>
    <n v="11"/>
    <n v="11"/>
    <n v="9"/>
    <n v="0"/>
    <n v="0"/>
    <n v="9"/>
    <n v="9"/>
    <n v="18"/>
  </r>
  <r>
    <n v="31"/>
    <n v="31"/>
    <x v="1"/>
    <n v="0"/>
    <s v="Travel_Frequently"/>
    <n v="1"/>
    <n v="0"/>
    <x v="0"/>
    <n v="0"/>
    <n v="1"/>
    <n v="20"/>
    <n v="20"/>
    <n v="3"/>
    <s v="Life Sciences"/>
    <n v="1"/>
    <n v="0"/>
    <n v="0"/>
    <n v="0"/>
    <n v="0"/>
    <x v="1"/>
    <s v="Male"/>
    <n v="0"/>
    <n v="67"/>
    <n v="4"/>
    <n v="1"/>
    <s v="Sales Representative"/>
    <n v="0"/>
    <n v="0"/>
    <n v="0"/>
    <n v="0"/>
    <n v="0"/>
    <n v="0"/>
    <n v="1"/>
    <n v="0"/>
    <n v="4"/>
    <x v="1"/>
    <n v="0"/>
    <n v="1"/>
    <n v="2791"/>
    <n v="2791"/>
    <n v="0"/>
    <x v="1"/>
    <n v="0"/>
    <n v="12"/>
    <n v="3"/>
    <n v="1"/>
    <n v="1"/>
    <n v="3"/>
    <n v="3"/>
    <n v="4"/>
    <n v="3"/>
    <n v="2"/>
    <n v="2"/>
    <n v="2"/>
    <n v="2"/>
    <n v="2"/>
    <n v="2"/>
    <n v="2"/>
    <n v="2"/>
  </r>
  <r>
    <n v="28"/>
    <n v="28"/>
    <x v="1"/>
    <n v="0"/>
    <s v="Travel_Rarely"/>
    <n v="0"/>
    <n v="1"/>
    <x v="1"/>
    <n v="1"/>
    <n v="0"/>
    <n v="2"/>
    <n v="2"/>
    <n v="1"/>
    <s v="Life Sciences"/>
    <n v="1"/>
    <n v="0"/>
    <n v="0"/>
    <n v="0"/>
    <n v="0"/>
    <x v="3"/>
    <s v="Male"/>
    <n v="0"/>
    <n v="67"/>
    <n v="2"/>
    <n v="1"/>
    <s v="Research Scientist"/>
    <n v="0"/>
    <n v="0"/>
    <n v="0"/>
    <n v="0"/>
    <n v="0"/>
    <n v="0"/>
    <n v="0"/>
    <n v="1"/>
    <n v="2"/>
    <x v="1"/>
    <n v="0"/>
    <n v="1"/>
    <n v="3201"/>
    <n v="3201"/>
    <n v="0"/>
    <x v="1"/>
    <n v="0"/>
    <n v="17"/>
    <n v="3"/>
    <n v="1"/>
    <n v="0"/>
    <n v="6"/>
    <n v="6"/>
    <n v="2"/>
    <n v="1"/>
    <n v="5"/>
    <n v="5"/>
    <n v="3"/>
    <n v="0"/>
    <n v="0"/>
    <n v="4"/>
    <n v="4"/>
    <n v="4"/>
  </r>
  <r>
    <n v="35"/>
    <n v="35"/>
    <x v="1"/>
    <n v="0"/>
    <s v="Travel_Frequently"/>
    <n v="1"/>
    <n v="0"/>
    <x v="0"/>
    <n v="0"/>
    <n v="1"/>
    <n v="11"/>
    <n v="11"/>
    <n v="2"/>
    <s v="Marketing"/>
    <n v="0"/>
    <n v="0"/>
    <n v="0"/>
    <n v="1"/>
    <n v="0"/>
    <x v="2"/>
    <s v="Male"/>
    <n v="0"/>
    <n v="54"/>
    <n v="3"/>
    <n v="2"/>
    <s v="Sales Executive"/>
    <n v="0"/>
    <n v="1"/>
    <n v="0"/>
    <n v="0"/>
    <n v="0"/>
    <n v="0"/>
    <n v="0"/>
    <n v="0"/>
    <n v="4"/>
    <x v="2"/>
    <n v="0"/>
    <n v="0"/>
    <n v="4968"/>
    <n v="4968"/>
    <n v="1"/>
    <x v="1"/>
    <n v="0"/>
    <n v="11"/>
    <n v="3"/>
    <n v="4"/>
    <n v="1"/>
    <n v="5"/>
    <n v="5"/>
    <n v="3"/>
    <n v="3"/>
    <n v="5"/>
    <n v="5"/>
    <n v="2"/>
    <n v="0"/>
    <n v="0"/>
    <n v="2"/>
    <n v="2"/>
    <n v="4"/>
  </r>
  <r>
    <n v="49"/>
    <n v="49"/>
    <x v="1"/>
    <n v="0"/>
    <s v="Travel_Rarely"/>
    <n v="0"/>
    <n v="1"/>
    <x v="0"/>
    <n v="0"/>
    <n v="1"/>
    <n v="8"/>
    <n v="8"/>
    <n v="4"/>
    <s v="Technical Degree"/>
    <n v="0"/>
    <n v="0"/>
    <n v="0"/>
    <n v="0"/>
    <n v="1"/>
    <x v="2"/>
    <s v="Male"/>
    <n v="0"/>
    <n v="56"/>
    <n v="2"/>
    <n v="4"/>
    <s v="Sales Executive"/>
    <n v="0"/>
    <n v="1"/>
    <n v="0"/>
    <n v="0"/>
    <n v="0"/>
    <n v="0"/>
    <n v="0"/>
    <n v="0"/>
    <n v="2"/>
    <x v="1"/>
    <n v="0"/>
    <n v="1"/>
    <n v="13120"/>
    <n v="13120"/>
    <n v="6"/>
    <x v="1"/>
    <n v="0"/>
    <n v="17"/>
    <n v="3"/>
    <n v="2"/>
    <n v="1"/>
    <n v="22"/>
    <n v="22"/>
    <n v="3"/>
    <n v="3"/>
    <n v="9"/>
    <n v="9"/>
    <n v="8"/>
    <n v="2"/>
    <n v="2"/>
    <n v="3"/>
    <n v="3"/>
    <n v="12"/>
  </r>
  <r>
    <n v="34"/>
    <n v="34"/>
    <x v="1"/>
    <n v="0"/>
    <s v="Travel_Frequently"/>
    <n v="1"/>
    <n v="0"/>
    <x v="1"/>
    <n v="1"/>
    <n v="0"/>
    <n v="2"/>
    <n v="2"/>
    <n v="2"/>
    <s v="Life Sciences"/>
    <n v="1"/>
    <n v="0"/>
    <n v="0"/>
    <n v="0"/>
    <n v="0"/>
    <x v="2"/>
    <s v="Male"/>
    <n v="0"/>
    <n v="95"/>
    <n v="3"/>
    <n v="2"/>
    <s v="Manufacturing Director"/>
    <n v="0"/>
    <n v="0"/>
    <n v="0"/>
    <n v="0"/>
    <n v="1"/>
    <n v="1"/>
    <n v="0"/>
    <n v="0"/>
    <n v="3"/>
    <x v="0"/>
    <n v="1"/>
    <n v="0"/>
    <n v="4033"/>
    <n v="4033"/>
    <n v="2"/>
    <x v="1"/>
    <n v="0"/>
    <n v="11"/>
    <n v="3"/>
    <n v="4"/>
    <n v="0"/>
    <n v="5"/>
    <n v="5"/>
    <n v="3"/>
    <n v="2"/>
    <n v="3"/>
    <n v="3"/>
    <n v="2"/>
    <n v="0"/>
    <n v="0"/>
    <n v="2"/>
    <n v="2"/>
    <n v="4"/>
  </r>
  <r>
    <n v="29"/>
    <n v="29"/>
    <x v="1"/>
    <n v="0"/>
    <s v="Travel_Frequently"/>
    <n v="1"/>
    <n v="0"/>
    <x v="1"/>
    <n v="1"/>
    <n v="0"/>
    <n v="10"/>
    <n v="10"/>
    <n v="3"/>
    <s v="Life Sciences"/>
    <n v="1"/>
    <n v="0"/>
    <n v="0"/>
    <n v="0"/>
    <n v="0"/>
    <x v="2"/>
    <s v="Female"/>
    <n v="1"/>
    <n v="61"/>
    <n v="3"/>
    <n v="1"/>
    <s v="Research Scientist"/>
    <n v="0"/>
    <n v="0"/>
    <n v="0"/>
    <n v="0"/>
    <n v="0"/>
    <n v="0"/>
    <n v="0"/>
    <n v="1"/>
    <n v="2"/>
    <x v="2"/>
    <n v="0"/>
    <n v="0"/>
    <n v="3291"/>
    <n v="3291"/>
    <n v="0"/>
    <x v="1"/>
    <n v="0"/>
    <n v="14"/>
    <n v="3"/>
    <n v="4"/>
    <n v="2"/>
    <n v="8"/>
    <n v="8"/>
    <n v="2"/>
    <n v="2"/>
    <n v="7"/>
    <n v="7"/>
    <n v="5"/>
    <n v="1"/>
    <n v="1"/>
    <n v="1"/>
    <n v="1"/>
    <n v="1"/>
  </r>
  <r>
    <n v="42"/>
    <n v="42"/>
    <x v="1"/>
    <n v="0"/>
    <s v="Travel_Rarely"/>
    <n v="0"/>
    <n v="1"/>
    <x v="1"/>
    <n v="1"/>
    <n v="0"/>
    <n v="29"/>
    <n v="29"/>
    <n v="3"/>
    <s v="Medical"/>
    <n v="0"/>
    <n v="0"/>
    <n v="1"/>
    <n v="0"/>
    <n v="0"/>
    <x v="0"/>
    <s v="Male"/>
    <n v="0"/>
    <n v="56"/>
    <n v="1"/>
    <n v="2"/>
    <s v="Laboratory Technician"/>
    <n v="0"/>
    <n v="0"/>
    <n v="1"/>
    <n v="0"/>
    <n v="0"/>
    <n v="0"/>
    <n v="0"/>
    <n v="0"/>
    <n v="4"/>
    <x v="0"/>
    <n v="1"/>
    <n v="0"/>
    <n v="4272"/>
    <n v="4272"/>
    <n v="4"/>
    <x v="1"/>
    <n v="0"/>
    <n v="19"/>
    <n v="3"/>
    <n v="1"/>
    <n v="0"/>
    <n v="16"/>
    <n v="16"/>
    <n v="3"/>
    <n v="3"/>
    <n v="1"/>
    <n v="1"/>
    <n v="0"/>
    <n v="0"/>
    <n v="0"/>
    <n v="0"/>
    <n v="0"/>
    <n v="0"/>
  </r>
  <r>
    <n v="29"/>
    <n v="29"/>
    <x v="1"/>
    <n v="0"/>
    <s v="Travel_Rarely"/>
    <n v="0"/>
    <n v="1"/>
    <x v="1"/>
    <n v="1"/>
    <n v="0"/>
    <n v="8"/>
    <n v="8"/>
    <n v="1"/>
    <s v="Medical"/>
    <n v="0"/>
    <n v="0"/>
    <n v="1"/>
    <n v="0"/>
    <n v="0"/>
    <x v="0"/>
    <s v="Male"/>
    <n v="0"/>
    <n v="79"/>
    <n v="2"/>
    <n v="2"/>
    <s v="Manufacturing Director"/>
    <n v="0"/>
    <n v="0"/>
    <n v="0"/>
    <n v="0"/>
    <n v="1"/>
    <n v="1"/>
    <n v="0"/>
    <n v="0"/>
    <n v="4"/>
    <x v="1"/>
    <n v="0"/>
    <n v="1"/>
    <n v="5056"/>
    <n v="5056"/>
    <n v="1"/>
    <x v="0"/>
    <n v="1"/>
    <n v="15"/>
    <n v="3"/>
    <n v="3"/>
    <n v="1"/>
    <n v="10"/>
    <n v="10"/>
    <n v="2"/>
    <n v="2"/>
    <n v="10"/>
    <n v="10"/>
    <n v="7"/>
    <n v="1"/>
    <n v="1"/>
    <n v="2"/>
    <n v="2"/>
    <n v="4"/>
  </r>
  <r>
    <n v="38"/>
    <n v="38"/>
    <x v="1"/>
    <n v="0"/>
    <s v="Travel_Rarely"/>
    <n v="0"/>
    <n v="1"/>
    <x v="2"/>
    <n v="0"/>
    <n v="0"/>
    <n v="1"/>
    <n v="1"/>
    <n v="3"/>
    <s v="Human Resources"/>
    <n v="0"/>
    <n v="0"/>
    <n v="0"/>
    <n v="0"/>
    <n v="0"/>
    <x v="1"/>
    <s v="Male"/>
    <n v="0"/>
    <n v="37"/>
    <n v="4"/>
    <n v="1"/>
    <s v="Human Resources"/>
    <n v="0"/>
    <n v="0"/>
    <n v="0"/>
    <n v="0"/>
    <n v="0"/>
    <n v="0"/>
    <n v="0"/>
    <n v="0"/>
    <n v="3"/>
    <x v="1"/>
    <n v="0"/>
    <n v="1"/>
    <n v="2844"/>
    <n v="2844"/>
    <n v="1"/>
    <x v="1"/>
    <n v="0"/>
    <n v="13"/>
    <n v="3"/>
    <n v="4"/>
    <n v="1"/>
    <n v="7"/>
    <n v="7"/>
    <n v="2"/>
    <n v="4"/>
    <n v="7"/>
    <n v="7"/>
    <n v="6"/>
    <n v="5"/>
    <n v="5"/>
    <n v="0"/>
    <n v="0"/>
    <n v="0"/>
  </r>
  <r>
    <n v="28"/>
    <n v="28"/>
    <x v="1"/>
    <n v="0"/>
    <s v="Travel_Frequently"/>
    <n v="1"/>
    <n v="0"/>
    <x v="1"/>
    <n v="1"/>
    <n v="0"/>
    <n v="6"/>
    <n v="6"/>
    <n v="3"/>
    <s v="Life Sciences"/>
    <n v="1"/>
    <n v="0"/>
    <n v="0"/>
    <n v="0"/>
    <n v="0"/>
    <x v="1"/>
    <s v="Male"/>
    <n v="0"/>
    <n v="39"/>
    <n v="2"/>
    <n v="1"/>
    <s v="Research Scientist"/>
    <n v="0"/>
    <n v="0"/>
    <n v="0"/>
    <n v="0"/>
    <n v="0"/>
    <n v="0"/>
    <n v="0"/>
    <n v="1"/>
    <n v="3"/>
    <x v="2"/>
    <n v="0"/>
    <n v="0"/>
    <n v="2703"/>
    <n v="2703"/>
    <n v="1"/>
    <x v="0"/>
    <n v="1"/>
    <n v="14"/>
    <n v="3"/>
    <n v="4"/>
    <n v="1"/>
    <n v="3"/>
    <n v="3"/>
    <n v="2"/>
    <n v="3"/>
    <n v="3"/>
    <n v="3"/>
    <n v="1"/>
    <n v="0"/>
    <n v="0"/>
    <n v="2"/>
    <n v="2"/>
    <n v="2"/>
  </r>
  <r>
    <n v="18"/>
    <n v="19"/>
    <x v="0"/>
    <n v="1"/>
    <s v="Non-Travel"/>
    <n v="0"/>
    <n v="0"/>
    <x v="1"/>
    <n v="1"/>
    <n v="0"/>
    <n v="8"/>
    <n v="8"/>
    <n v="1"/>
    <s v="Medical"/>
    <n v="0"/>
    <n v="0"/>
    <n v="1"/>
    <n v="0"/>
    <n v="0"/>
    <x v="1"/>
    <s v="Male"/>
    <n v="0"/>
    <n v="80"/>
    <n v="3"/>
    <n v="1"/>
    <s v="Laboratory Technician"/>
    <n v="0"/>
    <n v="0"/>
    <n v="1"/>
    <n v="0"/>
    <n v="0"/>
    <n v="0"/>
    <n v="0"/>
    <n v="0"/>
    <n v="3"/>
    <x v="0"/>
    <n v="1"/>
    <n v="0"/>
    <n v="1904"/>
    <n v="1904"/>
    <n v="1"/>
    <x v="1"/>
    <n v="0"/>
    <n v="12"/>
    <n v="3"/>
    <n v="4"/>
    <n v="0"/>
    <n v="0"/>
    <n v="1"/>
    <n v="0"/>
    <n v="3"/>
    <n v="0"/>
    <n v="0"/>
    <n v="0"/>
    <n v="0"/>
    <n v="0"/>
    <n v="0"/>
    <n v="0"/>
    <n v="0"/>
  </r>
  <r>
    <n v="33"/>
    <n v="33"/>
    <x v="0"/>
    <n v="1"/>
    <s v="Travel_Rarely"/>
    <n v="0"/>
    <n v="1"/>
    <x v="0"/>
    <n v="0"/>
    <n v="1"/>
    <n v="9"/>
    <n v="9"/>
    <n v="4"/>
    <s v="Marketing"/>
    <n v="0"/>
    <n v="0"/>
    <n v="0"/>
    <n v="1"/>
    <n v="0"/>
    <x v="3"/>
    <s v="Female"/>
    <n v="1"/>
    <n v="77"/>
    <n v="3"/>
    <n v="2"/>
    <s v="Sales Executive"/>
    <n v="0"/>
    <n v="1"/>
    <n v="0"/>
    <n v="0"/>
    <n v="0"/>
    <n v="0"/>
    <n v="0"/>
    <n v="0"/>
    <n v="1"/>
    <x v="0"/>
    <n v="1"/>
    <n v="0"/>
    <n v="8224"/>
    <n v="8224"/>
    <n v="0"/>
    <x v="0"/>
    <n v="1"/>
    <n v="17"/>
    <n v="3"/>
    <n v="1"/>
    <n v="0"/>
    <n v="6"/>
    <n v="6"/>
    <n v="3"/>
    <n v="3"/>
    <n v="5"/>
    <n v="5"/>
    <n v="2"/>
    <n v="0"/>
    <n v="0"/>
    <n v="3"/>
    <n v="3"/>
    <n v="6"/>
  </r>
  <r>
    <n v="41"/>
    <n v="41"/>
    <x v="1"/>
    <n v="0"/>
    <s v="Travel_Rarely"/>
    <n v="0"/>
    <n v="1"/>
    <x v="1"/>
    <n v="1"/>
    <n v="0"/>
    <n v="12"/>
    <n v="12"/>
    <n v="4"/>
    <s v="Life Sciences"/>
    <n v="1"/>
    <n v="0"/>
    <n v="0"/>
    <n v="0"/>
    <n v="0"/>
    <x v="0"/>
    <s v="Male"/>
    <n v="0"/>
    <n v="46"/>
    <n v="3"/>
    <n v="1"/>
    <s v="Laboratory Technician"/>
    <n v="0"/>
    <n v="0"/>
    <n v="1"/>
    <n v="0"/>
    <n v="0"/>
    <n v="0"/>
    <n v="0"/>
    <n v="0"/>
    <n v="4"/>
    <x v="1"/>
    <n v="0"/>
    <n v="1"/>
    <n v="4766"/>
    <n v="4766"/>
    <n v="3"/>
    <x v="0"/>
    <n v="1"/>
    <n v="11"/>
    <n v="3"/>
    <n v="1"/>
    <n v="1"/>
    <n v="6"/>
    <n v="6"/>
    <n v="4"/>
    <n v="3"/>
    <n v="1"/>
    <n v="1"/>
    <n v="0"/>
    <n v="0"/>
    <n v="0"/>
    <n v="0"/>
    <n v="0"/>
    <n v="0"/>
  </r>
  <r>
    <n v="31"/>
    <n v="31"/>
    <x v="0"/>
    <n v="1"/>
    <s v="Travel_Frequently"/>
    <n v="1"/>
    <n v="0"/>
    <x v="1"/>
    <n v="1"/>
    <n v="0"/>
    <n v="15"/>
    <n v="15"/>
    <n v="3"/>
    <s v="Medical"/>
    <n v="0"/>
    <n v="0"/>
    <n v="1"/>
    <n v="0"/>
    <n v="0"/>
    <x v="1"/>
    <s v="Male"/>
    <n v="0"/>
    <n v="72"/>
    <n v="3"/>
    <n v="1"/>
    <s v="Laboratory Technician"/>
    <n v="0"/>
    <n v="0"/>
    <n v="1"/>
    <n v="0"/>
    <n v="0"/>
    <n v="0"/>
    <n v="0"/>
    <n v="0"/>
    <n v="3"/>
    <x v="1"/>
    <n v="0"/>
    <n v="1"/>
    <n v="2610"/>
    <n v="2610"/>
    <n v="1"/>
    <x v="1"/>
    <n v="0"/>
    <n v="12"/>
    <n v="3"/>
    <n v="3"/>
    <n v="1"/>
    <n v="2"/>
    <n v="2"/>
    <n v="5"/>
    <n v="2"/>
    <n v="2"/>
    <n v="2"/>
    <n v="2"/>
    <n v="2"/>
    <n v="2"/>
    <n v="2"/>
    <n v="2"/>
    <n v="2"/>
  </r>
  <r>
    <n v="37"/>
    <n v="37"/>
    <x v="1"/>
    <n v="0"/>
    <s v="Travel_Rarely"/>
    <n v="0"/>
    <n v="1"/>
    <x v="1"/>
    <n v="1"/>
    <n v="0"/>
    <n v="25"/>
    <n v="25"/>
    <n v="2"/>
    <s v="Medical"/>
    <n v="0"/>
    <n v="0"/>
    <n v="1"/>
    <n v="0"/>
    <n v="0"/>
    <x v="1"/>
    <s v="Female"/>
    <n v="1"/>
    <n v="52"/>
    <n v="2"/>
    <n v="2"/>
    <s v="Healthcare Representative"/>
    <n v="1"/>
    <n v="0"/>
    <n v="0"/>
    <n v="0"/>
    <n v="0"/>
    <n v="0"/>
    <n v="0"/>
    <n v="0"/>
    <n v="4"/>
    <x v="2"/>
    <n v="0"/>
    <n v="0"/>
    <n v="5731"/>
    <n v="5731"/>
    <n v="7"/>
    <x v="1"/>
    <n v="0"/>
    <n v="13"/>
    <n v="3"/>
    <n v="3"/>
    <n v="2"/>
    <n v="9"/>
    <n v="9"/>
    <n v="2"/>
    <n v="3"/>
    <n v="6"/>
    <n v="6"/>
    <n v="2"/>
    <n v="1"/>
    <n v="1"/>
    <n v="3"/>
    <n v="3"/>
    <n v="6"/>
  </r>
  <r>
    <n v="27"/>
    <n v="27"/>
    <x v="1"/>
    <n v="0"/>
    <s v="Travel_Rarely"/>
    <n v="0"/>
    <n v="1"/>
    <x v="1"/>
    <n v="1"/>
    <n v="0"/>
    <n v="6"/>
    <n v="6"/>
    <n v="3"/>
    <s v="Life Sciences"/>
    <n v="1"/>
    <n v="0"/>
    <n v="0"/>
    <n v="0"/>
    <n v="0"/>
    <x v="2"/>
    <s v="Male"/>
    <n v="0"/>
    <n v="55"/>
    <n v="2"/>
    <n v="1"/>
    <s v="Research Scientist"/>
    <n v="0"/>
    <n v="0"/>
    <n v="0"/>
    <n v="0"/>
    <n v="0"/>
    <n v="0"/>
    <n v="0"/>
    <n v="1"/>
    <n v="3"/>
    <x v="1"/>
    <n v="0"/>
    <n v="1"/>
    <n v="2539"/>
    <n v="2539"/>
    <n v="1"/>
    <x v="1"/>
    <n v="0"/>
    <n v="13"/>
    <n v="3"/>
    <n v="3"/>
    <n v="1"/>
    <n v="4"/>
    <n v="4"/>
    <n v="0"/>
    <n v="3"/>
    <n v="4"/>
    <n v="4"/>
    <n v="2"/>
    <n v="2"/>
    <n v="2"/>
    <n v="2"/>
    <n v="2"/>
    <n v="2"/>
  </r>
  <r>
    <n v="34"/>
    <n v="34"/>
    <x v="1"/>
    <n v="0"/>
    <s v="Travel_Rarely"/>
    <n v="0"/>
    <n v="1"/>
    <x v="0"/>
    <n v="0"/>
    <n v="1"/>
    <n v="9"/>
    <n v="9"/>
    <n v="1"/>
    <s v="Life Sciences"/>
    <n v="1"/>
    <n v="0"/>
    <n v="0"/>
    <n v="0"/>
    <n v="0"/>
    <x v="0"/>
    <s v="Female"/>
    <n v="1"/>
    <n v="70"/>
    <n v="3"/>
    <n v="2"/>
    <s v="Sales Executive"/>
    <n v="0"/>
    <n v="1"/>
    <n v="0"/>
    <n v="0"/>
    <n v="0"/>
    <n v="0"/>
    <n v="0"/>
    <n v="0"/>
    <n v="3"/>
    <x v="1"/>
    <n v="0"/>
    <n v="1"/>
    <n v="5714"/>
    <n v="5714"/>
    <n v="1"/>
    <x v="1"/>
    <n v="0"/>
    <n v="20"/>
    <n v="4"/>
    <n v="1"/>
    <n v="0"/>
    <n v="6"/>
    <n v="6"/>
    <n v="3"/>
    <n v="2"/>
    <n v="6"/>
    <n v="6"/>
    <n v="5"/>
    <n v="1"/>
    <n v="1"/>
    <n v="3"/>
    <n v="3"/>
    <n v="6"/>
  </r>
  <r>
    <n v="35"/>
    <n v="35"/>
    <x v="1"/>
    <n v="0"/>
    <s v="Travel_Rarely"/>
    <n v="0"/>
    <n v="1"/>
    <x v="2"/>
    <n v="0"/>
    <n v="0"/>
    <n v="8"/>
    <n v="8"/>
    <n v="4"/>
    <s v="Technical Degree"/>
    <n v="0"/>
    <n v="0"/>
    <n v="0"/>
    <n v="0"/>
    <n v="1"/>
    <x v="1"/>
    <s v="Male"/>
    <n v="0"/>
    <n v="100"/>
    <n v="3"/>
    <n v="1"/>
    <s v="Human Resources"/>
    <n v="0"/>
    <n v="0"/>
    <n v="0"/>
    <n v="0"/>
    <n v="0"/>
    <n v="0"/>
    <n v="0"/>
    <n v="0"/>
    <n v="3"/>
    <x v="0"/>
    <n v="1"/>
    <n v="0"/>
    <n v="4323"/>
    <n v="4323"/>
    <n v="1"/>
    <x v="1"/>
    <n v="0"/>
    <n v="17"/>
    <n v="3"/>
    <n v="2"/>
    <n v="0"/>
    <n v="6"/>
    <n v="6"/>
    <n v="2"/>
    <n v="1"/>
    <n v="5"/>
    <n v="5"/>
    <n v="4"/>
    <n v="1"/>
    <n v="1"/>
    <n v="4"/>
    <n v="4"/>
    <n v="4"/>
  </r>
  <r>
    <n v="29"/>
    <n v="29"/>
    <x v="0"/>
    <n v="1"/>
    <s v="Travel_Rarely"/>
    <n v="0"/>
    <n v="1"/>
    <x v="0"/>
    <n v="0"/>
    <n v="1"/>
    <n v="23"/>
    <n v="23"/>
    <n v="1"/>
    <s v="Life Sciences"/>
    <n v="1"/>
    <n v="0"/>
    <n v="0"/>
    <n v="0"/>
    <n v="0"/>
    <x v="2"/>
    <s v="Female"/>
    <n v="1"/>
    <n v="45"/>
    <n v="2"/>
    <n v="3"/>
    <s v="Sales Executive"/>
    <n v="0"/>
    <n v="1"/>
    <n v="0"/>
    <n v="0"/>
    <n v="0"/>
    <n v="0"/>
    <n v="0"/>
    <n v="0"/>
    <n v="1"/>
    <x v="1"/>
    <n v="0"/>
    <n v="1"/>
    <n v="7336"/>
    <n v="7336"/>
    <n v="1"/>
    <x v="1"/>
    <n v="0"/>
    <n v="13"/>
    <n v="3"/>
    <n v="1"/>
    <n v="1"/>
    <n v="11"/>
    <n v="11"/>
    <n v="3"/>
    <n v="1"/>
    <n v="11"/>
    <n v="11"/>
    <n v="8"/>
    <n v="3"/>
    <n v="3"/>
    <n v="10"/>
    <n v="10"/>
    <n v="30"/>
  </r>
  <r>
    <n v="40"/>
    <n v="40"/>
    <x v="1"/>
    <n v="0"/>
    <s v="Travel_Frequently"/>
    <n v="1"/>
    <n v="0"/>
    <x v="1"/>
    <n v="1"/>
    <n v="0"/>
    <n v="9"/>
    <n v="9"/>
    <n v="4"/>
    <s v="Medical"/>
    <n v="0"/>
    <n v="0"/>
    <n v="1"/>
    <n v="0"/>
    <n v="0"/>
    <x v="0"/>
    <s v="Female"/>
    <n v="1"/>
    <n v="88"/>
    <n v="3"/>
    <n v="3"/>
    <s v="Research Director"/>
    <n v="0"/>
    <n v="0"/>
    <n v="0"/>
    <n v="0"/>
    <n v="0"/>
    <n v="0"/>
    <n v="0"/>
    <n v="0"/>
    <n v="3"/>
    <x v="0"/>
    <n v="1"/>
    <n v="0"/>
    <n v="13499"/>
    <n v="13499"/>
    <n v="9"/>
    <x v="1"/>
    <n v="0"/>
    <n v="17"/>
    <n v="3"/>
    <n v="3"/>
    <n v="0"/>
    <n v="20"/>
    <n v="20"/>
    <n v="3"/>
    <n v="2"/>
    <n v="18"/>
    <n v="18"/>
    <n v="7"/>
    <n v="2"/>
    <n v="2"/>
    <n v="13"/>
    <n v="13"/>
    <n v="39"/>
  </r>
  <r>
    <n v="42"/>
    <n v="42"/>
    <x v="0"/>
    <n v="1"/>
    <s v="Travel_Frequently"/>
    <n v="1"/>
    <n v="0"/>
    <x v="0"/>
    <n v="0"/>
    <n v="1"/>
    <n v="12"/>
    <n v="12"/>
    <n v="3"/>
    <s v="Life Sciences"/>
    <n v="1"/>
    <n v="0"/>
    <n v="0"/>
    <n v="0"/>
    <n v="0"/>
    <x v="1"/>
    <s v="Male"/>
    <n v="0"/>
    <n v="44"/>
    <n v="3"/>
    <n v="4"/>
    <s v="Sales Executive"/>
    <n v="0"/>
    <n v="1"/>
    <n v="0"/>
    <n v="0"/>
    <n v="0"/>
    <n v="0"/>
    <n v="0"/>
    <n v="0"/>
    <n v="1"/>
    <x v="0"/>
    <n v="1"/>
    <n v="0"/>
    <n v="13758"/>
    <n v="13758"/>
    <n v="0"/>
    <x v="0"/>
    <n v="1"/>
    <n v="12"/>
    <n v="3"/>
    <n v="2"/>
    <n v="0"/>
    <n v="22"/>
    <n v="22"/>
    <n v="2"/>
    <n v="2"/>
    <n v="21"/>
    <n v="21"/>
    <n v="9"/>
    <n v="13"/>
    <n v="13"/>
    <n v="14"/>
    <n v="14"/>
    <n v="56"/>
  </r>
  <r>
    <n v="42"/>
    <n v="42"/>
    <x v="1"/>
    <n v="0"/>
    <s v="Travel_Rarely"/>
    <n v="0"/>
    <n v="1"/>
    <x v="0"/>
    <n v="0"/>
    <n v="1"/>
    <n v="4"/>
    <n v="4"/>
    <n v="4"/>
    <s v="Marketing"/>
    <n v="0"/>
    <n v="0"/>
    <n v="0"/>
    <n v="1"/>
    <n v="0"/>
    <x v="0"/>
    <s v="Male"/>
    <n v="0"/>
    <n v="45"/>
    <n v="3"/>
    <n v="2"/>
    <s v="Sales Executive"/>
    <n v="0"/>
    <n v="1"/>
    <n v="0"/>
    <n v="0"/>
    <n v="0"/>
    <n v="0"/>
    <n v="0"/>
    <n v="0"/>
    <n v="1"/>
    <x v="0"/>
    <n v="1"/>
    <n v="0"/>
    <n v="5155"/>
    <n v="5155"/>
    <n v="7"/>
    <x v="1"/>
    <n v="0"/>
    <n v="13"/>
    <n v="3"/>
    <n v="4"/>
    <n v="0"/>
    <n v="9"/>
    <n v="9"/>
    <n v="3"/>
    <n v="4"/>
    <n v="6"/>
    <n v="6"/>
    <n v="4"/>
    <n v="1"/>
    <n v="1"/>
    <n v="5"/>
    <n v="5"/>
    <n v="10"/>
  </r>
  <r>
    <n v="35"/>
    <n v="35"/>
    <x v="1"/>
    <n v="0"/>
    <s v="Travel_Rarely"/>
    <n v="0"/>
    <n v="1"/>
    <x v="1"/>
    <n v="1"/>
    <n v="0"/>
    <n v="1"/>
    <n v="1"/>
    <n v="4"/>
    <s v="Medical"/>
    <n v="0"/>
    <n v="0"/>
    <n v="1"/>
    <n v="0"/>
    <n v="0"/>
    <x v="2"/>
    <s v="Male"/>
    <n v="0"/>
    <n v="58"/>
    <n v="2"/>
    <n v="1"/>
    <s v="Laboratory Technician"/>
    <n v="0"/>
    <n v="0"/>
    <n v="1"/>
    <n v="0"/>
    <n v="0"/>
    <n v="0"/>
    <n v="0"/>
    <n v="0"/>
    <n v="3"/>
    <x v="1"/>
    <n v="0"/>
    <n v="1"/>
    <n v="2258"/>
    <n v="2258"/>
    <n v="6"/>
    <x v="1"/>
    <n v="0"/>
    <n v="12"/>
    <n v="3"/>
    <n v="2"/>
    <n v="1"/>
    <n v="10"/>
    <n v="10"/>
    <n v="2"/>
    <n v="3"/>
    <n v="8"/>
    <n v="8"/>
    <n v="0"/>
    <n v="1"/>
    <n v="1"/>
    <n v="7"/>
    <n v="7"/>
    <n v="7"/>
  </r>
  <r>
    <n v="24"/>
    <n v="24"/>
    <x v="1"/>
    <n v="0"/>
    <s v="Travel_Rarely"/>
    <n v="0"/>
    <n v="1"/>
    <x v="1"/>
    <n v="1"/>
    <n v="0"/>
    <n v="24"/>
    <n v="24"/>
    <n v="3"/>
    <s v="Medical"/>
    <n v="0"/>
    <n v="0"/>
    <n v="1"/>
    <n v="0"/>
    <n v="0"/>
    <x v="2"/>
    <s v="Male"/>
    <n v="0"/>
    <n v="49"/>
    <n v="3"/>
    <n v="1"/>
    <s v="Laboratory Technician"/>
    <n v="0"/>
    <n v="0"/>
    <n v="1"/>
    <n v="0"/>
    <n v="0"/>
    <n v="0"/>
    <n v="0"/>
    <n v="0"/>
    <n v="2"/>
    <x v="0"/>
    <n v="1"/>
    <n v="0"/>
    <n v="3597"/>
    <n v="3597"/>
    <n v="8"/>
    <x v="1"/>
    <n v="0"/>
    <n v="22"/>
    <n v="4"/>
    <n v="4"/>
    <n v="0"/>
    <n v="6"/>
    <n v="6"/>
    <n v="2"/>
    <n v="3"/>
    <n v="4"/>
    <n v="4"/>
    <n v="3"/>
    <n v="1"/>
    <n v="1"/>
    <n v="2"/>
    <n v="2"/>
    <n v="2"/>
  </r>
  <r>
    <n v="28"/>
    <n v="28"/>
    <x v="0"/>
    <n v="1"/>
    <s v="Travel_Rarely"/>
    <n v="0"/>
    <n v="1"/>
    <x v="1"/>
    <n v="1"/>
    <n v="0"/>
    <n v="12"/>
    <n v="12"/>
    <n v="1"/>
    <s v="Life Sciences"/>
    <n v="1"/>
    <n v="0"/>
    <n v="0"/>
    <n v="0"/>
    <n v="0"/>
    <x v="1"/>
    <s v="Female"/>
    <n v="1"/>
    <n v="79"/>
    <n v="3"/>
    <n v="1"/>
    <s v="Laboratory Technician"/>
    <n v="0"/>
    <n v="0"/>
    <n v="1"/>
    <n v="0"/>
    <n v="0"/>
    <n v="0"/>
    <n v="0"/>
    <n v="0"/>
    <n v="4"/>
    <x v="1"/>
    <n v="0"/>
    <n v="1"/>
    <n v="2515"/>
    <n v="2515"/>
    <n v="1"/>
    <x v="0"/>
    <n v="1"/>
    <n v="11"/>
    <n v="3"/>
    <n v="4"/>
    <n v="0"/>
    <n v="1"/>
    <n v="1"/>
    <n v="4"/>
    <n v="2"/>
    <n v="1"/>
    <n v="1"/>
    <n v="1"/>
    <n v="0"/>
    <n v="0"/>
    <n v="0"/>
    <n v="0"/>
    <n v="0"/>
  </r>
  <r>
    <n v="26"/>
    <n v="26"/>
    <x v="1"/>
    <n v="0"/>
    <s v="Travel_Rarely"/>
    <n v="0"/>
    <n v="1"/>
    <x v="1"/>
    <n v="1"/>
    <n v="0"/>
    <n v="3"/>
    <n v="3"/>
    <n v="4"/>
    <s v="Medical"/>
    <n v="0"/>
    <n v="0"/>
    <n v="1"/>
    <n v="0"/>
    <n v="0"/>
    <x v="3"/>
    <s v="Male"/>
    <n v="0"/>
    <n v="82"/>
    <n v="4"/>
    <n v="1"/>
    <s v="Laboratory Technician"/>
    <n v="0"/>
    <n v="0"/>
    <n v="1"/>
    <n v="0"/>
    <n v="0"/>
    <n v="0"/>
    <n v="0"/>
    <n v="0"/>
    <n v="4"/>
    <x v="1"/>
    <n v="0"/>
    <n v="1"/>
    <n v="4420"/>
    <n v="4420"/>
    <n v="1"/>
    <x v="1"/>
    <n v="0"/>
    <n v="22"/>
    <n v="4"/>
    <n v="2"/>
    <n v="1"/>
    <n v="8"/>
    <n v="8"/>
    <n v="2"/>
    <n v="3"/>
    <n v="8"/>
    <n v="8"/>
    <n v="7"/>
    <n v="0"/>
    <n v="0"/>
    <n v="7"/>
    <n v="7"/>
    <n v="7"/>
  </r>
  <r>
    <n v="30"/>
    <n v="30"/>
    <x v="1"/>
    <n v="0"/>
    <s v="Travel_Rarely"/>
    <n v="0"/>
    <n v="1"/>
    <x v="0"/>
    <n v="0"/>
    <n v="1"/>
    <n v="10"/>
    <n v="10"/>
    <n v="3"/>
    <s v="Marketing"/>
    <n v="0"/>
    <n v="0"/>
    <n v="0"/>
    <n v="1"/>
    <n v="0"/>
    <x v="1"/>
    <s v="Male"/>
    <n v="0"/>
    <n v="72"/>
    <n v="2"/>
    <n v="2"/>
    <s v="Sales Executive"/>
    <n v="0"/>
    <n v="1"/>
    <n v="0"/>
    <n v="0"/>
    <n v="0"/>
    <n v="0"/>
    <n v="0"/>
    <n v="0"/>
    <n v="3"/>
    <x v="1"/>
    <n v="0"/>
    <n v="1"/>
    <n v="6578"/>
    <n v="6578"/>
    <n v="1"/>
    <x v="1"/>
    <n v="0"/>
    <n v="18"/>
    <n v="3"/>
    <n v="1"/>
    <n v="1"/>
    <n v="10"/>
    <n v="10"/>
    <n v="3"/>
    <n v="3"/>
    <n v="10"/>
    <n v="10"/>
    <n v="3"/>
    <n v="1"/>
    <n v="1"/>
    <n v="4"/>
    <n v="4"/>
    <n v="8"/>
  </r>
  <r>
    <n v="40"/>
    <n v="40"/>
    <x v="1"/>
    <n v="0"/>
    <s v="Travel_Frequently"/>
    <n v="1"/>
    <n v="0"/>
    <x v="1"/>
    <n v="1"/>
    <n v="0"/>
    <n v="26"/>
    <n v="26"/>
    <n v="2"/>
    <s v="Medical"/>
    <n v="0"/>
    <n v="0"/>
    <n v="1"/>
    <n v="0"/>
    <n v="0"/>
    <x v="1"/>
    <s v="Female"/>
    <n v="1"/>
    <n v="92"/>
    <n v="2"/>
    <n v="2"/>
    <s v="Research Scientist"/>
    <n v="0"/>
    <n v="0"/>
    <n v="0"/>
    <n v="0"/>
    <n v="0"/>
    <n v="0"/>
    <n v="0"/>
    <n v="1"/>
    <n v="4"/>
    <x v="1"/>
    <n v="0"/>
    <n v="1"/>
    <n v="4422"/>
    <n v="4422"/>
    <n v="3"/>
    <x v="0"/>
    <n v="1"/>
    <n v="13"/>
    <n v="3"/>
    <n v="4"/>
    <n v="1"/>
    <n v="16"/>
    <n v="16"/>
    <n v="3"/>
    <n v="1"/>
    <n v="1"/>
    <n v="1"/>
    <n v="1"/>
    <n v="0"/>
    <n v="0"/>
    <n v="0"/>
    <n v="0"/>
    <n v="0"/>
  </r>
  <r>
    <n v="35"/>
    <n v="35"/>
    <x v="1"/>
    <n v="0"/>
    <s v="Travel_Rarely"/>
    <n v="0"/>
    <n v="1"/>
    <x v="1"/>
    <n v="1"/>
    <n v="0"/>
    <n v="2"/>
    <n v="2"/>
    <n v="3"/>
    <s v="Life Sciences"/>
    <n v="1"/>
    <n v="0"/>
    <n v="0"/>
    <n v="0"/>
    <n v="0"/>
    <x v="1"/>
    <s v="Male"/>
    <n v="0"/>
    <n v="44"/>
    <n v="2"/>
    <n v="3"/>
    <s v="Manufacturing Director"/>
    <n v="0"/>
    <n v="0"/>
    <n v="0"/>
    <n v="0"/>
    <n v="1"/>
    <n v="1"/>
    <n v="0"/>
    <n v="0"/>
    <n v="2"/>
    <x v="2"/>
    <n v="0"/>
    <n v="0"/>
    <n v="10274"/>
    <n v="10274"/>
    <n v="2"/>
    <x v="1"/>
    <n v="0"/>
    <n v="18"/>
    <n v="3"/>
    <n v="2"/>
    <n v="1"/>
    <n v="15"/>
    <n v="15"/>
    <n v="2"/>
    <n v="4"/>
    <n v="7"/>
    <n v="7"/>
    <n v="7"/>
    <n v="6"/>
    <n v="6"/>
    <n v="4"/>
    <n v="4"/>
    <n v="12"/>
  </r>
  <r>
    <n v="34"/>
    <n v="34"/>
    <x v="1"/>
    <n v="0"/>
    <s v="Travel_Frequently"/>
    <n v="1"/>
    <n v="0"/>
    <x v="1"/>
    <n v="1"/>
    <n v="0"/>
    <n v="1"/>
    <n v="1"/>
    <n v="3"/>
    <s v="Medical"/>
    <n v="0"/>
    <n v="0"/>
    <n v="1"/>
    <n v="0"/>
    <n v="0"/>
    <x v="2"/>
    <s v="Male"/>
    <n v="0"/>
    <n v="97"/>
    <n v="2"/>
    <n v="2"/>
    <s v="Healthcare Representative"/>
    <n v="1"/>
    <n v="0"/>
    <n v="0"/>
    <n v="0"/>
    <n v="0"/>
    <n v="0"/>
    <n v="0"/>
    <n v="0"/>
    <n v="1"/>
    <x v="0"/>
    <n v="1"/>
    <n v="0"/>
    <n v="5343"/>
    <n v="5343"/>
    <n v="0"/>
    <x v="1"/>
    <n v="0"/>
    <n v="20"/>
    <n v="4"/>
    <n v="3"/>
    <n v="0"/>
    <n v="14"/>
    <n v="14"/>
    <n v="3"/>
    <n v="3"/>
    <n v="13"/>
    <n v="13"/>
    <n v="9"/>
    <n v="4"/>
    <n v="4"/>
    <n v="9"/>
    <n v="9"/>
    <n v="18"/>
  </r>
  <r>
    <n v="35"/>
    <n v="35"/>
    <x v="1"/>
    <n v="0"/>
    <s v="Travel_Frequently"/>
    <n v="1"/>
    <n v="0"/>
    <x v="1"/>
    <n v="1"/>
    <n v="0"/>
    <n v="4"/>
    <n v="4"/>
    <n v="4"/>
    <s v="Other"/>
    <n v="0"/>
    <n v="1"/>
    <n v="0"/>
    <n v="0"/>
    <n v="0"/>
    <x v="2"/>
    <s v="Male"/>
    <n v="0"/>
    <n v="47"/>
    <n v="2"/>
    <n v="1"/>
    <s v="Laboratory Technician"/>
    <n v="0"/>
    <n v="0"/>
    <n v="1"/>
    <n v="0"/>
    <n v="0"/>
    <n v="0"/>
    <n v="0"/>
    <n v="0"/>
    <n v="4"/>
    <x v="1"/>
    <n v="0"/>
    <n v="1"/>
    <n v="2376"/>
    <n v="2376"/>
    <n v="1"/>
    <x v="1"/>
    <n v="0"/>
    <n v="13"/>
    <n v="3"/>
    <n v="2"/>
    <n v="1"/>
    <n v="2"/>
    <n v="2"/>
    <n v="2"/>
    <n v="4"/>
    <n v="2"/>
    <n v="2"/>
    <n v="2"/>
    <n v="2"/>
    <n v="2"/>
    <n v="2"/>
    <n v="2"/>
    <n v="2"/>
  </r>
  <r>
    <n v="43"/>
    <n v="43"/>
    <x v="0"/>
    <n v="1"/>
    <s v="Travel_Rarely"/>
    <n v="0"/>
    <n v="1"/>
    <x v="0"/>
    <n v="0"/>
    <n v="1"/>
    <n v="9"/>
    <n v="9"/>
    <n v="3"/>
    <s v="Marketing"/>
    <n v="0"/>
    <n v="0"/>
    <n v="0"/>
    <n v="1"/>
    <n v="0"/>
    <x v="3"/>
    <s v="Female"/>
    <n v="1"/>
    <n v="85"/>
    <n v="1"/>
    <n v="2"/>
    <s v="Sales Executive"/>
    <n v="0"/>
    <n v="1"/>
    <n v="0"/>
    <n v="0"/>
    <n v="0"/>
    <n v="0"/>
    <n v="0"/>
    <n v="0"/>
    <n v="3"/>
    <x v="0"/>
    <n v="1"/>
    <n v="0"/>
    <n v="5346"/>
    <n v="5346"/>
    <n v="8"/>
    <x v="1"/>
    <n v="0"/>
    <n v="13"/>
    <n v="3"/>
    <n v="2"/>
    <n v="0"/>
    <n v="7"/>
    <n v="7"/>
    <n v="2"/>
    <n v="2"/>
    <n v="4"/>
    <n v="4"/>
    <n v="3"/>
    <n v="1"/>
    <n v="1"/>
    <n v="3"/>
    <n v="3"/>
    <n v="6"/>
  </r>
  <r>
    <n v="32"/>
    <n v="32"/>
    <x v="1"/>
    <n v="0"/>
    <s v="Non-Travel"/>
    <n v="0"/>
    <n v="0"/>
    <x v="0"/>
    <n v="0"/>
    <n v="1"/>
    <n v="2"/>
    <n v="2"/>
    <n v="1"/>
    <s v="Life Sciences"/>
    <n v="1"/>
    <n v="0"/>
    <n v="0"/>
    <n v="0"/>
    <n v="0"/>
    <x v="1"/>
    <s v="Female"/>
    <n v="1"/>
    <n v="76"/>
    <n v="3"/>
    <n v="1"/>
    <s v="Sales Representative"/>
    <n v="0"/>
    <n v="0"/>
    <n v="0"/>
    <n v="0"/>
    <n v="0"/>
    <n v="0"/>
    <n v="1"/>
    <n v="0"/>
    <n v="1"/>
    <x v="2"/>
    <n v="0"/>
    <n v="0"/>
    <n v="2827"/>
    <n v="2827"/>
    <n v="1"/>
    <x v="1"/>
    <n v="0"/>
    <n v="12"/>
    <n v="3"/>
    <n v="3"/>
    <n v="3"/>
    <n v="1"/>
    <n v="1"/>
    <n v="3"/>
    <n v="3"/>
    <n v="1"/>
    <n v="1"/>
    <n v="0"/>
    <n v="0"/>
    <n v="0"/>
    <n v="0"/>
    <n v="0"/>
    <n v="0"/>
  </r>
  <r>
    <n v="56"/>
    <n v="56"/>
    <x v="1"/>
    <n v="0"/>
    <s v="Travel_Rarely"/>
    <n v="0"/>
    <n v="1"/>
    <x v="1"/>
    <n v="1"/>
    <n v="0"/>
    <n v="4"/>
    <n v="4"/>
    <n v="4"/>
    <s v="Technical Degree"/>
    <n v="0"/>
    <n v="0"/>
    <n v="0"/>
    <n v="0"/>
    <n v="1"/>
    <x v="2"/>
    <s v="Female"/>
    <n v="1"/>
    <n v="92"/>
    <n v="3"/>
    <n v="5"/>
    <s v="Manager"/>
    <n v="0"/>
    <n v="0"/>
    <n v="0"/>
    <n v="1"/>
    <n v="0"/>
    <n v="0"/>
    <n v="0"/>
    <n v="0"/>
    <n v="1"/>
    <x v="2"/>
    <n v="0"/>
    <n v="0"/>
    <n v="19943"/>
    <n v="19626.310000000001"/>
    <n v="4"/>
    <x v="1"/>
    <n v="0"/>
    <n v="13"/>
    <n v="3"/>
    <n v="4"/>
    <n v="1"/>
    <n v="28"/>
    <n v="28"/>
    <n v="2"/>
    <n v="3"/>
    <n v="5"/>
    <n v="5"/>
    <n v="2"/>
    <n v="4"/>
    <n v="4"/>
    <n v="2"/>
    <n v="2"/>
    <n v="10"/>
  </r>
  <r>
    <n v="29"/>
    <n v="29"/>
    <x v="1"/>
    <n v="0"/>
    <s v="Travel_Rarely"/>
    <n v="0"/>
    <n v="1"/>
    <x v="1"/>
    <n v="1"/>
    <n v="0"/>
    <n v="6"/>
    <n v="6"/>
    <n v="1"/>
    <s v="Medical"/>
    <n v="0"/>
    <n v="0"/>
    <n v="1"/>
    <n v="0"/>
    <n v="0"/>
    <x v="0"/>
    <s v="Female"/>
    <n v="1"/>
    <n v="54"/>
    <n v="3"/>
    <n v="1"/>
    <s v="Laboratory Technician"/>
    <n v="0"/>
    <n v="0"/>
    <n v="1"/>
    <n v="0"/>
    <n v="0"/>
    <n v="0"/>
    <n v="0"/>
    <n v="0"/>
    <n v="4"/>
    <x v="1"/>
    <n v="0"/>
    <n v="1"/>
    <n v="3131"/>
    <n v="3131"/>
    <n v="1"/>
    <x v="1"/>
    <n v="0"/>
    <n v="13"/>
    <n v="3"/>
    <n v="1"/>
    <n v="1"/>
    <n v="10"/>
    <n v="10"/>
    <n v="5"/>
    <n v="3"/>
    <n v="10"/>
    <n v="10"/>
    <n v="8"/>
    <n v="0"/>
    <n v="0"/>
    <n v="8"/>
    <n v="8"/>
    <n v="8"/>
  </r>
  <r>
    <n v="19"/>
    <n v="19"/>
    <x v="1"/>
    <n v="0"/>
    <s v="Travel_Rarely"/>
    <n v="0"/>
    <n v="1"/>
    <x v="1"/>
    <n v="1"/>
    <n v="0"/>
    <n v="9"/>
    <n v="9"/>
    <n v="2"/>
    <s v="Life Sciences"/>
    <n v="1"/>
    <n v="0"/>
    <n v="0"/>
    <n v="0"/>
    <n v="0"/>
    <x v="1"/>
    <s v="Male"/>
    <n v="0"/>
    <n v="54"/>
    <n v="3"/>
    <n v="1"/>
    <s v="Research Scientist"/>
    <n v="0"/>
    <n v="0"/>
    <n v="0"/>
    <n v="0"/>
    <n v="0"/>
    <n v="0"/>
    <n v="0"/>
    <n v="1"/>
    <n v="1"/>
    <x v="0"/>
    <n v="1"/>
    <n v="0"/>
    <n v="2552"/>
    <n v="2552"/>
    <n v="1"/>
    <x v="1"/>
    <n v="0"/>
    <n v="25"/>
    <n v="4"/>
    <n v="3"/>
    <n v="0"/>
    <n v="1"/>
    <n v="1"/>
    <n v="4"/>
    <n v="3"/>
    <n v="1"/>
    <n v="1"/>
    <n v="1"/>
    <n v="0"/>
    <n v="0"/>
    <n v="0"/>
    <n v="0"/>
    <n v="0"/>
  </r>
  <r>
    <n v="45"/>
    <n v="45"/>
    <x v="1"/>
    <n v="0"/>
    <s v="Travel_Rarely"/>
    <n v="0"/>
    <n v="1"/>
    <x v="1"/>
    <n v="1"/>
    <n v="0"/>
    <n v="7"/>
    <n v="7"/>
    <n v="3"/>
    <s v="Medical"/>
    <n v="0"/>
    <n v="0"/>
    <n v="1"/>
    <n v="0"/>
    <n v="0"/>
    <x v="3"/>
    <s v="Female"/>
    <n v="1"/>
    <n v="83"/>
    <n v="3"/>
    <n v="1"/>
    <s v="Research Scientist"/>
    <n v="0"/>
    <n v="0"/>
    <n v="0"/>
    <n v="0"/>
    <n v="0"/>
    <n v="0"/>
    <n v="0"/>
    <n v="1"/>
    <n v="3"/>
    <x v="1"/>
    <n v="0"/>
    <n v="1"/>
    <n v="4477"/>
    <n v="4477"/>
    <n v="4"/>
    <x v="0"/>
    <n v="1"/>
    <n v="19"/>
    <n v="3"/>
    <n v="3"/>
    <n v="1"/>
    <n v="7"/>
    <n v="7"/>
    <n v="2"/>
    <n v="2"/>
    <n v="3"/>
    <n v="3"/>
    <n v="2"/>
    <n v="0"/>
    <n v="0"/>
    <n v="2"/>
    <n v="2"/>
    <n v="2"/>
  </r>
  <r>
    <n v="37"/>
    <n v="37"/>
    <x v="1"/>
    <n v="0"/>
    <s v="Travel_Rarely"/>
    <n v="0"/>
    <n v="1"/>
    <x v="1"/>
    <n v="1"/>
    <n v="0"/>
    <n v="1"/>
    <n v="1"/>
    <n v="3"/>
    <s v="Life Sciences"/>
    <n v="1"/>
    <n v="0"/>
    <n v="0"/>
    <n v="0"/>
    <n v="0"/>
    <x v="2"/>
    <s v="Female"/>
    <n v="1"/>
    <n v="56"/>
    <n v="2"/>
    <n v="2"/>
    <s v="Manufacturing Director"/>
    <n v="0"/>
    <n v="0"/>
    <n v="0"/>
    <n v="0"/>
    <n v="1"/>
    <n v="1"/>
    <n v="0"/>
    <n v="0"/>
    <n v="4"/>
    <x v="1"/>
    <n v="0"/>
    <n v="1"/>
    <n v="6474"/>
    <n v="6474"/>
    <n v="1"/>
    <x v="1"/>
    <n v="0"/>
    <n v="13"/>
    <n v="3"/>
    <n v="2"/>
    <n v="1"/>
    <n v="14"/>
    <n v="14"/>
    <n v="2"/>
    <n v="2"/>
    <n v="14"/>
    <n v="14"/>
    <n v="8"/>
    <n v="3"/>
    <n v="3"/>
    <n v="11"/>
    <n v="11"/>
    <n v="22"/>
  </r>
  <r>
    <n v="20"/>
    <n v="20"/>
    <x v="1"/>
    <n v="0"/>
    <s v="Travel_Rarely"/>
    <n v="0"/>
    <n v="1"/>
    <x v="1"/>
    <n v="1"/>
    <n v="0"/>
    <n v="3"/>
    <n v="3"/>
    <n v="3"/>
    <s v="Life Sciences"/>
    <n v="1"/>
    <n v="0"/>
    <n v="0"/>
    <n v="0"/>
    <n v="0"/>
    <x v="3"/>
    <s v="Male"/>
    <n v="0"/>
    <n v="87"/>
    <n v="2"/>
    <n v="1"/>
    <s v="Laboratory Technician"/>
    <n v="0"/>
    <n v="0"/>
    <n v="1"/>
    <n v="0"/>
    <n v="0"/>
    <n v="0"/>
    <n v="0"/>
    <n v="0"/>
    <n v="3"/>
    <x v="0"/>
    <n v="1"/>
    <n v="0"/>
    <n v="3033"/>
    <n v="3033"/>
    <n v="1"/>
    <x v="1"/>
    <n v="0"/>
    <n v="12"/>
    <n v="3"/>
    <n v="1"/>
    <n v="0"/>
    <n v="2"/>
    <n v="2"/>
    <n v="2"/>
    <n v="2"/>
    <n v="2"/>
    <n v="2"/>
    <n v="2"/>
    <n v="1"/>
    <n v="1"/>
    <n v="2"/>
    <n v="2"/>
    <n v="2"/>
  </r>
  <r>
    <n v="44"/>
    <n v="44"/>
    <x v="0"/>
    <n v="1"/>
    <s v="Travel_Rarely"/>
    <n v="0"/>
    <n v="1"/>
    <x v="1"/>
    <n v="1"/>
    <n v="0"/>
    <n v="10"/>
    <n v="10"/>
    <n v="4"/>
    <s v="Life Sciences"/>
    <n v="1"/>
    <n v="0"/>
    <n v="0"/>
    <n v="0"/>
    <n v="0"/>
    <x v="1"/>
    <s v="Male"/>
    <n v="0"/>
    <n v="96"/>
    <n v="3"/>
    <n v="1"/>
    <s v="Research Scientist"/>
    <n v="0"/>
    <n v="0"/>
    <n v="0"/>
    <n v="0"/>
    <n v="0"/>
    <n v="0"/>
    <n v="0"/>
    <n v="1"/>
    <n v="3"/>
    <x v="0"/>
    <n v="1"/>
    <n v="0"/>
    <n v="2936"/>
    <n v="2936"/>
    <n v="1"/>
    <x v="0"/>
    <n v="1"/>
    <n v="11"/>
    <n v="3"/>
    <n v="3"/>
    <n v="0"/>
    <n v="6"/>
    <n v="6"/>
    <n v="4"/>
    <n v="3"/>
    <n v="6"/>
    <n v="6"/>
    <n v="4"/>
    <n v="0"/>
    <n v="0"/>
    <n v="2"/>
    <n v="2"/>
    <n v="2"/>
  </r>
  <r>
    <n v="53"/>
    <n v="53"/>
    <x v="1"/>
    <n v="0"/>
    <s v="Travel_Rarely"/>
    <n v="0"/>
    <n v="1"/>
    <x v="1"/>
    <n v="1"/>
    <n v="0"/>
    <n v="7"/>
    <n v="7"/>
    <n v="2"/>
    <s v="Medical"/>
    <n v="0"/>
    <n v="0"/>
    <n v="1"/>
    <n v="0"/>
    <n v="0"/>
    <x v="2"/>
    <s v="Female"/>
    <n v="1"/>
    <n v="50"/>
    <n v="3"/>
    <n v="5"/>
    <s v="Manager"/>
    <n v="0"/>
    <n v="0"/>
    <n v="0"/>
    <n v="1"/>
    <n v="0"/>
    <n v="0"/>
    <n v="0"/>
    <n v="0"/>
    <n v="3"/>
    <x v="2"/>
    <n v="0"/>
    <n v="0"/>
    <n v="18606"/>
    <n v="18606"/>
    <n v="3"/>
    <x v="1"/>
    <n v="0"/>
    <n v="18"/>
    <n v="3"/>
    <n v="2"/>
    <n v="1"/>
    <n v="26"/>
    <n v="26"/>
    <n v="6"/>
    <n v="3"/>
    <n v="7"/>
    <n v="7"/>
    <n v="7"/>
    <n v="4"/>
    <n v="4"/>
    <n v="7"/>
    <n v="7"/>
    <n v="35"/>
  </r>
  <r>
    <n v="29"/>
    <n v="29"/>
    <x v="1"/>
    <n v="0"/>
    <s v="Travel_Rarely"/>
    <n v="0"/>
    <n v="1"/>
    <x v="1"/>
    <n v="1"/>
    <n v="0"/>
    <n v="15"/>
    <n v="15"/>
    <n v="1"/>
    <s v="Life Sciences"/>
    <n v="1"/>
    <n v="0"/>
    <n v="0"/>
    <n v="0"/>
    <n v="0"/>
    <x v="0"/>
    <s v="Female"/>
    <n v="1"/>
    <n v="69"/>
    <n v="1"/>
    <n v="1"/>
    <s v="Research Scientist"/>
    <n v="0"/>
    <n v="0"/>
    <n v="0"/>
    <n v="0"/>
    <n v="0"/>
    <n v="0"/>
    <n v="0"/>
    <n v="1"/>
    <n v="4"/>
    <x v="1"/>
    <n v="0"/>
    <n v="1"/>
    <n v="2168"/>
    <n v="2168"/>
    <n v="0"/>
    <x v="0"/>
    <n v="1"/>
    <n v="18"/>
    <n v="3"/>
    <n v="1"/>
    <n v="1"/>
    <n v="6"/>
    <n v="6"/>
    <n v="2"/>
    <n v="2"/>
    <n v="5"/>
    <n v="5"/>
    <n v="4"/>
    <n v="1"/>
    <n v="1"/>
    <n v="3"/>
    <n v="3"/>
    <n v="3"/>
  </r>
  <r>
    <n v="22"/>
    <n v="22"/>
    <x v="0"/>
    <n v="1"/>
    <s v="Travel_Frequently"/>
    <n v="1"/>
    <n v="0"/>
    <x v="1"/>
    <n v="1"/>
    <n v="0"/>
    <n v="3"/>
    <n v="3"/>
    <n v="4"/>
    <s v="Life Sciences"/>
    <n v="1"/>
    <n v="0"/>
    <n v="0"/>
    <n v="0"/>
    <n v="0"/>
    <x v="1"/>
    <s v="Male"/>
    <n v="0"/>
    <n v="48"/>
    <n v="2"/>
    <n v="1"/>
    <s v="Research Scientist"/>
    <n v="0"/>
    <n v="0"/>
    <n v="0"/>
    <n v="0"/>
    <n v="0"/>
    <n v="0"/>
    <n v="0"/>
    <n v="1"/>
    <n v="4"/>
    <x v="1"/>
    <n v="0"/>
    <n v="1"/>
    <n v="2853"/>
    <n v="2853"/>
    <n v="0"/>
    <x v="0"/>
    <n v="1"/>
    <n v="11"/>
    <n v="3"/>
    <n v="2"/>
    <n v="1"/>
    <n v="1"/>
    <n v="1"/>
    <n v="5"/>
    <n v="3"/>
    <n v="0"/>
    <n v="0"/>
    <n v="0"/>
    <n v="0"/>
    <n v="0"/>
    <n v="0"/>
    <n v="0"/>
    <n v="0"/>
  </r>
  <r>
    <n v="46"/>
    <n v="46"/>
    <x v="1"/>
    <n v="0"/>
    <s v="Travel_Rarely"/>
    <n v="0"/>
    <n v="1"/>
    <x v="0"/>
    <n v="0"/>
    <n v="1"/>
    <n v="2"/>
    <n v="2"/>
    <n v="3"/>
    <s v="Marketing"/>
    <n v="0"/>
    <n v="0"/>
    <n v="0"/>
    <n v="1"/>
    <n v="0"/>
    <x v="1"/>
    <s v="Female"/>
    <n v="1"/>
    <n v="69"/>
    <n v="3"/>
    <n v="4"/>
    <s v="Manager"/>
    <n v="0"/>
    <n v="0"/>
    <n v="0"/>
    <n v="1"/>
    <n v="0"/>
    <n v="0"/>
    <n v="0"/>
    <n v="0"/>
    <n v="1"/>
    <x v="1"/>
    <n v="0"/>
    <n v="1"/>
    <n v="17048"/>
    <n v="17048"/>
    <n v="8"/>
    <x v="1"/>
    <n v="0"/>
    <n v="23"/>
    <n v="4"/>
    <n v="1"/>
    <n v="0"/>
    <n v="28"/>
    <n v="28"/>
    <n v="2"/>
    <n v="3"/>
    <n v="26"/>
    <n v="26"/>
    <n v="15"/>
    <n v="15"/>
    <n v="14"/>
    <n v="9"/>
    <n v="9"/>
    <n v="36"/>
  </r>
  <r>
    <n v="44"/>
    <n v="44"/>
    <x v="1"/>
    <n v="0"/>
    <s v="Non-Travel"/>
    <n v="0"/>
    <n v="0"/>
    <x v="1"/>
    <n v="1"/>
    <n v="0"/>
    <n v="17"/>
    <n v="17"/>
    <n v="3"/>
    <s v="Life Sciences"/>
    <n v="1"/>
    <n v="0"/>
    <n v="0"/>
    <n v="0"/>
    <n v="0"/>
    <x v="2"/>
    <s v="Male"/>
    <n v="0"/>
    <n v="74"/>
    <n v="1"/>
    <n v="1"/>
    <s v="Research Scientist"/>
    <n v="0"/>
    <n v="0"/>
    <n v="0"/>
    <n v="0"/>
    <n v="0"/>
    <n v="0"/>
    <n v="0"/>
    <n v="1"/>
    <n v="3"/>
    <x v="0"/>
    <n v="1"/>
    <n v="0"/>
    <n v="2290"/>
    <n v="2290"/>
    <n v="2"/>
    <x v="1"/>
    <n v="0"/>
    <n v="13"/>
    <n v="3"/>
    <n v="4"/>
    <n v="0"/>
    <n v="6"/>
    <n v="6"/>
    <n v="3"/>
    <n v="3"/>
    <n v="0"/>
    <n v="0"/>
    <n v="0"/>
    <n v="0"/>
    <n v="0"/>
    <n v="0"/>
    <n v="0"/>
    <n v="0"/>
  </r>
  <r>
    <n v="33"/>
    <n v="33"/>
    <x v="1"/>
    <n v="0"/>
    <s v="Travel_Rarely"/>
    <n v="0"/>
    <n v="1"/>
    <x v="2"/>
    <n v="0"/>
    <n v="0"/>
    <n v="2"/>
    <n v="2"/>
    <n v="3"/>
    <s v="Human Resources"/>
    <n v="0"/>
    <n v="0"/>
    <n v="0"/>
    <n v="0"/>
    <n v="0"/>
    <x v="0"/>
    <s v="Male"/>
    <n v="0"/>
    <n v="99"/>
    <n v="3"/>
    <n v="1"/>
    <s v="Human Resources"/>
    <n v="0"/>
    <n v="0"/>
    <n v="0"/>
    <n v="0"/>
    <n v="0"/>
    <n v="0"/>
    <n v="0"/>
    <n v="0"/>
    <n v="3"/>
    <x v="1"/>
    <n v="0"/>
    <n v="1"/>
    <n v="3600"/>
    <n v="3600"/>
    <n v="1"/>
    <x v="1"/>
    <n v="0"/>
    <n v="13"/>
    <n v="3"/>
    <n v="4"/>
    <n v="1"/>
    <n v="5"/>
    <n v="5"/>
    <n v="2"/>
    <n v="3"/>
    <n v="5"/>
    <n v="5"/>
    <n v="4"/>
    <n v="1"/>
    <n v="1"/>
    <n v="4"/>
    <n v="4"/>
    <n v="4"/>
  </r>
  <r>
    <n v="41"/>
    <n v="41"/>
    <x v="0"/>
    <n v="1"/>
    <s v="Non-Travel"/>
    <n v="0"/>
    <n v="0"/>
    <x v="1"/>
    <n v="1"/>
    <n v="0"/>
    <n v="5"/>
    <n v="5"/>
    <n v="2"/>
    <s v="Life Sciences"/>
    <n v="1"/>
    <n v="0"/>
    <n v="0"/>
    <n v="0"/>
    <n v="0"/>
    <x v="3"/>
    <s v="Male"/>
    <n v="0"/>
    <n v="95"/>
    <n v="2"/>
    <n v="1"/>
    <s v="Research Scientist"/>
    <n v="0"/>
    <n v="0"/>
    <n v="0"/>
    <n v="0"/>
    <n v="0"/>
    <n v="0"/>
    <n v="0"/>
    <n v="1"/>
    <n v="1"/>
    <x v="2"/>
    <n v="0"/>
    <n v="0"/>
    <n v="2107"/>
    <n v="2107"/>
    <n v="6"/>
    <x v="1"/>
    <n v="0"/>
    <n v="17"/>
    <n v="3"/>
    <n v="1"/>
    <n v="1"/>
    <n v="5"/>
    <n v="5"/>
    <n v="2"/>
    <n v="1"/>
    <n v="1"/>
    <n v="1"/>
    <n v="0"/>
    <n v="0"/>
    <n v="0"/>
    <n v="0"/>
    <n v="0"/>
    <n v="0"/>
  </r>
  <r>
    <n v="30"/>
    <n v="30"/>
    <x v="1"/>
    <n v="0"/>
    <s v="Travel_Rarely"/>
    <n v="0"/>
    <n v="1"/>
    <x v="0"/>
    <n v="0"/>
    <n v="1"/>
    <n v="29"/>
    <n v="29"/>
    <n v="4"/>
    <s v="Life Sciences"/>
    <n v="1"/>
    <n v="0"/>
    <n v="0"/>
    <n v="0"/>
    <n v="0"/>
    <x v="1"/>
    <s v="Male"/>
    <n v="0"/>
    <n v="61"/>
    <n v="3"/>
    <n v="2"/>
    <s v="Sales Executive"/>
    <n v="0"/>
    <n v="1"/>
    <n v="0"/>
    <n v="0"/>
    <n v="0"/>
    <n v="0"/>
    <n v="0"/>
    <n v="0"/>
    <n v="1"/>
    <x v="2"/>
    <n v="0"/>
    <n v="0"/>
    <n v="4115"/>
    <n v="4115"/>
    <n v="8"/>
    <x v="1"/>
    <n v="0"/>
    <n v="19"/>
    <n v="3"/>
    <n v="3"/>
    <n v="3"/>
    <n v="8"/>
    <n v="8"/>
    <n v="3"/>
    <n v="3"/>
    <n v="4"/>
    <n v="4"/>
    <n v="3"/>
    <n v="0"/>
    <n v="0"/>
    <n v="3"/>
    <n v="3"/>
    <n v="6"/>
  </r>
  <r>
    <n v="40"/>
    <n v="40"/>
    <x v="1"/>
    <n v="0"/>
    <s v="Travel_Frequently"/>
    <n v="1"/>
    <n v="0"/>
    <x v="0"/>
    <n v="0"/>
    <n v="1"/>
    <n v="2"/>
    <n v="2"/>
    <n v="4"/>
    <s v="Medical"/>
    <n v="0"/>
    <n v="0"/>
    <n v="1"/>
    <n v="0"/>
    <n v="0"/>
    <x v="0"/>
    <s v="Male"/>
    <n v="0"/>
    <n v="62"/>
    <n v="3"/>
    <n v="2"/>
    <s v="Sales Executive"/>
    <n v="0"/>
    <n v="1"/>
    <n v="0"/>
    <n v="0"/>
    <n v="0"/>
    <n v="0"/>
    <n v="0"/>
    <n v="0"/>
    <n v="2"/>
    <x v="1"/>
    <n v="0"/>
    <n v="1"/>
    <n v="4327"/>
    <n v="4327"/>
    <n v="5"/>
    <x v="1"/>
    <n v="0"/>
    <n v="12"/>
    <n v="3"/>
    <n v="4"/>
    <n v="3"/>
    <n v="5"/>
    <n v="5"/>
    <n v="2"/>
    <n v="3"/>
    <n v="0"/>
    <n v="0"/>
    <n v="0"/>
    <n v="0"/>
    <n v="0"/>
    <n v="0"/>
    <n v="0"/>
    <n v="0"/>
  </r>
  <r>
    <n v="50"/>
    <n v="50"/>
    <x v="1"/>
    <n v="0"/>
    <s v="Travel_Frequently"/>
    <n v="1"/>
    <n v="0"/>
    <x v="1"/>
    <n v="1"/>
    <n v="0"/>
    <n v="2"/>
    <n v="2"/>
    <n v="3"/>
    <s v="Medical"/>
    <n v="0"/>
    <n v="0"/>
    <n v="1"/>
    <n v="0"/>
    <n v="0"/>
    <x v="2"/>
    <s v="Female"/>
    <n v="1"/>
    <n v="30"/>
    <n v="3"/>
    <n v="4"/>
    <s v="Manager"/>
    <n v="0"/>
    <n v="0"/>
    <n v="0"/>
    <n v="1"/>
    <n v="0"/>
    <n v="0"/>
    <n v="0"/>
    <n v="0"/>
    <n v="1"/>
    <x v="1"/>
    <n v="0"/>
    <n v="1"/>
    <n v="17856"/>
    <n v="17856"/>
    <n v="2"/>
    <x v="1"/>
    <n v="0"/>
    <n v="22"/>
    <n v="4"/>
    <n v="3"/>
    <n v="1"/>
    <n v="32"/>
    <n v="32"/>
    <n v="3"/>
    <n v="3"/>
    <n v="2"/>
    <n v="2"/>
    <n v="2"/>
    <n v="2"/>
    <n v="2"/>
    <n v="2"/>
    <n v="2"/>
    <n v="8"/>
  </r>
  <r>
    <n v="28"/>
    <n v="28"/>
    <x v="1"/>
    <n v="0"/>
    <s v="Travel_Rarely"/>
    <n v="0"/>
    <n v="1"/>
    <x v="1"/>
    <n v="1"/>
    <n v="0"/>
    <n v="19"/>
    <n v="19"/>
    <n v="4"/>
    <s v="Medical"/>
    <n v="0"/>
    <n v="0"/>
    <n v="1"/>
    <n v="0"/>
    <n v="0"/>
    <x v="2"/>
    <s v="Male"/>
    <n v="0"/>
    <n v="78"/>
    <n v="2"/>
    <n v="1"/>
    <s v="Laboratory Technician"/>
    <n v="0"/>
    <n v="0"/>
    <n v="1"/>
    <n v="0"/>
    <n v="0"/>
    <n v="0"/>
    <n v="0"/>
    <n v="0"/>
    <n v="1"/>
    <x v="1"/>
    <n v="0"/>
    <n v="1"/>
    <n v="3196"/>
    <n v="3196"/>
    <n v="1"/>
    <x v="1"/>
    <n v="0"/>
    <n v="12"/>
    <n v="3"/>
    <n v="3"/>
    <n v="3"/>
    <n v="6"/>
    <n v="6"/>
    <n v="2"/>
    <n v="3"/>
    <n v="6"/>
    <n v="6"/>
    <n v="5"/>
    <n v="3"/>
    <n v="3"/>
    <n v="3"/>
    <n v="3"/>
    <n v="3"/>
  </r>
  <r>
    <n v="46"/>
    <n v="46"/>
    <x v="1"/>
    <n v="0"/>
    <s v="Travel_Rarely"/>
    <n v="0"/>
    <n v="1"/>
    <x v="1"/>
    <n v="1"/>
    <n v="0"/>
    <n v="15"/>
    <n v="15"/>
    <n v="2"/>
    <s v="Life Sciences"/>
    <n v="1"/>
    <n v="0"/>
    <n v="0"/>
    <n v="0"/>
    <n v="0"/>
    <x v="2"/>
    <s v="Male"/>
    <n v="0"/>
    <n v="52"/>
    <n v="3"/>
    <n v="5"/>
    <s v="Research Director"/>
    <n v="0"/>
    <n v="0"/>
    <n v="0"/>
    <n v="0"/>
    <n v="0"/>
    <n v="0"/>
    <n v="0"/>
    <n v="0"/>
    <n v="2"/>
    <x v="1"/>
    <n v="0"/>
    <n v="1"/>
    <n v="19081"/>
    <n v="19081"/>
    <n v="5"/>
    <x v="1"/>
    <n v="0"/>
    <n v="11"/>
    <n v="3"/>
    <n v="1"/>
    <n v="1"/>
    <n v="25"/>
    <n v="25"/>
    <n v="2"/>
    <n v="3"/>
    <n v="4"/>
    <n v="4"/>
    <n v="2"/>
    <n v="0"/>
    <n v="0"/>
    <n v="3"/>
    <n v="3"/>
    <n v="15"/>
  </r>
  <r>
    <n v="35"/>
    <n v="35"/>
    <x v="1"/>
    <n v="0"/>
    <s v="Travel_Rarely"/>
    <n v="0"/>
    <n v="1"/>
    <x v="0"/>
    <n v="0"/>
    <n v="1"/>
    <n v="17"/>
    <n v="17"/>
    <n v="4"/>
    <s v="Life Sciences"/>
    <n v="1"/>
    <n v="0"/>
    <n v="0"/>
    <n v="0"/>
    <n v="0"/>
    <x v="1"/>
    <s v="Male"/>
    <n v="0"/>
    <n v="94"/>
    <n v="3"/>
    <n v="2"/>
    <s v="Sales Executive"/>
    <n v="0"/>
    <n v="1"/>
    <n v="0"/>
    <n v="0"/>
    <n v="0"/>
    <n v="0"/>
    <n v="0"/>
    <n v="0"/>
    <n v="1"/>
    <x v="1"/>
    <n v="0"/>
    <n v="1"/>
    <n v="8966"/>
    <n v="8966"/>
    <n v="3"/>
    <x v="0"/>
    <n v="1"/>
    <n v="15"/>
    <n v="3"/>
    <n v="4"/>
    <n v="3"/>
    <n v="15"/>
    <n v="15"/>
    <n v="2"/>
    <n v="3"/>
    <n v="7"/>
    <n v="7"/>
    <n v="7"/>
    <n v="1"/>
    <n v="1"/>
    <n v="7"/>
    <n v="7"/>
    <n v="14"/>
  </r>
  <r>
    <n v="24"/>
    <n v="24"/>
    <x v="0"/>
    <n v="1"/>
    <s v="Travel_Rarely"/>
    <n v="0"/>
    <n v="1"/>
    <x v="1"/>
    <n v="1"/>
    <n v="0"/>
    <n v="17"/>
    <n v="17"/>
    <n v="2"/>
    <s v="Life Sciences"/>
    <n v="1"/>
    <n v="0"/>
    <n v="0"/>
    <n v="0"/>
    <n v="0"/>
    <x v="2"/>
    <s v="Female"/>
    <n v="1"/>
    <n v="97"/>
    <n v="3"/>
    <n v="1"/>
    <s v="Laboratory Technician"/>
    <n v="0"/>
    <n v="0"/>
    <n v="1"/>
    <n v="0"/>
    <n v="0"/>
    <n v="0"/>
    <n v="0"/>
    <n v="0"/>
    <n v="2"/>
    <x v="1"/>
    <n v="0"/>
    <n v="1"/>
    <n v="2210"/>
    <n v="2210"/>
    <n v="1"/>
    <x v="1"/>
    <n v="0"/>
    <n v="13"/>
    <n v="3"/>
    <n v="1"/>
    <n v="1"/>
    <n v="1"/>
    <n v="1"/>
    <n v="3"/>
    <n v="1"/>
    <n v="1"/>
    <n v="1"/>
    <n v="0"/>
    <n v="0"/>
    <n v="0"/>
    <n v="0"/>
    <n v="0"/>
    <n v="0"/>
  </r>
  <r>
    <n v="33"/>
    <n v="33"/>
    <x v="1"/>
    <n v="0"/>
    <s v="Travel_Frequently"/>
    <n v="1"/>
    <n v="0"/>
    <x v="0"/>
    <n v="0"/>
    <n v="1"/>
    <n v="25"/>
    <n v="25"/>
    <n v="3"/>
    <s v="Medical"/>
    <n v="0"/>
    <n v="0"/>
    <n v="1"/>
    <n v="0"/>
    <n v="0"/>
    <x v="0"/>
    <s v="Female"/>
    <n v="1"/>
    <n v="82"/>
    <n v="3"/>
    <n v="2"/>
    <s v="Sales Executive"/>
    <n v="0"/>
    <n v="1"/>
    <n v="0"/>
    <n v="0"/>
    <n v="0"/>
    <n v="0"/>
    <n v="0"/>
    <n v="0"/>
    <n v="3"/>
    <x v="1"/>
    <n v="0"/>
    <n v="1"/>
    <n v="4539"/>
    <n v="4539"/>
    <n v="1"/>
    <x v="1"/>
    <n v="0"/>
    <n v="12"/>
    <n v="3"/>
    <n v="1"/>
    <n v="1"/>
    <n v="10"/>
    <n v="10"/>
    <n v="3"/>
    <n v="2"/>
    <n v="10"/>
    <n v="10"/>
    <n v="7"/>
    <n v="0"/>
    <n v="0"/>
    <n v="1"/>
    <n v="1"/>
    <n v="2"/>
  </r>
  <r>
    <n v="36"/>
    <n v="36"/>
    <x v="1"/>
    <n v="0"/>
    <s v="Travel_Rarely"/>
    <n v="0"/>
    <n v="1"/>
    <x v="1"/>
    <n v="1"/>
    <n v="0"/>
    <n v="6"/>
    <n v="6"/>
    <n v="4"/>
    <s v="Life Sciences"/>
    <n v="1"/>
    <n v="0"/>
    <n v="0"/>
    <n v="0"/>
    <n v="0"/>
    <x v="1"/>
    <s v="Male"/>
    <n v="0"/>
    <n v="60"/>
    <n v="1"/>
    <n v="1"/>
    <s v="Laboratory Technician"/>
    <n v="0"/>
    <n v="0"/>
    <n v="1"/>
    <n v="0"/>
    <n v="0"/>
    <n v="0"/>
    <n v="0"/>
    <n v="0"/>
    <n v="3"/>
    <x v="2"/>
    <n v="0"/>
    <n v="0"/>
    <n v="2741"/>
    <n v="2741"/>
    <n v="1"/>
    <x v="1"/>
    <n v="0"/>
    <n v="14"/>
    <n v="3"/>
    <n v="3"/>
    <n v="1"/>
    <n v="7"/>
    <n v="7"/>
    <n v="4"/>
    <n v="3"/>
    <n v="7"/>
    <n v="7"/>
    <n v="7"/>
    <n v="1"/>
    <n v="1"/>
    <n v="7"/>
    <n v="7"/>
    <n v="7"/>
  </r>
  <r>
    <n v="30"/>
    <n v="30"/>
    <x v="1"/>
    <n v="0"/>
    <s v="Travel_Rarely"/>
    <n v="0"/>
    <n v="1"/>
    <x v="1"/>
    <n v="1"/>
    <n v="0"/>
    <n v="7"/>
    <n v="7"/>
    <n v="4"/>
    <s v="Life Sciences"/>
    <n v="1"/>
    <n v="0"/>
    <n v="0"/>
    <n v="0"/>
    <n v="0"/>
    <x v="1"/>
    <s v="Male"/>
    <n v="0"/>
    <n v="49"/>
    <n v="3"/>
    <n v="2"/>
    <s v="Laboratory Technician"/>
    <n v="0"/>
    <n v="0"/>
    <n v="1"/>
    <n v="0"/>
    <n v="0"/>
    <n v="0"/>
    <n v="0"/>
    <n v="0"/>
    <n v="3"/>
    <x v="2"/>
    <n v="0"/>
    <n v="0"/>
    <n v="3491"/>
    <n v="3491"/>
    <n v="1"/>
    <x v="1"/>
    <n v="0"/>
    <n v="13"/>
    <n v="3"/>
    <n v="1"/>
    <n v="3"/>
    <n v="10"/>
    <n v="10"/>
    <n v="4"/>
    <n v="2"/>
    <n v="10"/>
    <n v="10"/>
    <n v="7"/>
    <n v="8"/>
    <n v="8"/>
    <n v="9"/>
    <n v="9"/>
    <n v="18"/>
  </r>
  <r>
    <n v="44"/>
    <n v="44"/>
    <x v="1"/>
    <n v="0"/>
    <s v="Travel_Rarely"/>
    <n v="0"/>
    <n v="1"/>
    <x v="1"/>
    <n v="1"/>
    <n v="0"/>
    <n v="29"/>
    <n v="29"/>
    <n v="4"/>
    <s v="Other"/>
    <n v="0"/>
    <n v="1"/>
    <n v="0"/>
    <n v="0"/>
    <n v="0"/>
    <x v="2"/>
    <s v="Male"/>
    <n v="0"/>
    <n v="32"/>
    <n v="3"/>
    <n v="2"/>
    <s v="Research Scientist"/>
    <n v="0"/>
    <n v="0"/>
    <n v="0"/>
    <n v="0"/>
    <n v="0"/>
    <n v="0"/>
    <n v="0"/>
    <n v="1"/>
    <n v="4"/>
    <x v="0"/>
    <n v="1"/>
    <n v="0"/>
    <n v="4541"/>
    <n v="4541"/>
    <n v="1"/>
    <x v="1"/>
    <n v="0"/>
    <n v="25"/>
    <n v="4"/>
    <n v="2"/>
    <n v="0"/>
    <n v="20"/>
    <n v="20"/>
    <n v="3"/>
    <n v="3"/>
    <n v="20"/>
    <n v="20"/>
    <n v="11"/>
    <n v="13"/>
    <n v="13"/>
    <n v="17"/>
    <n v="14"/>
    <n v="28"/>
  </r>
  <r>
    <n v="20"/>
    <n v="20"/>
    <x v="1"/>
    <n v="0"/>
    <s v="Travel_Rarely"/>
    <n v="0"/>
    <n v="1"/>
    <x v="0"/>
    <n v="0"/>
    <n v="1"/>
    <n v="21"/>
    <n v="21"/>
    <n v="3"/>
    <s v="Marketing"/>
    <n v="0"/>
    <n v="0"/>
    <n v="0"/>
    <n v="1"/>
    <n v="0"/>
    <x v="1"/>
    <s v="Male"/>
    <n v="0"/>
    <n v="43"/>
    <n v="4"/>
    <n v="1"/>
    <s v="Sales Representative"/>
    <n v="0"/>
    <n v="0"/>
    <n v="0"/>
    <n v="0"/>
    <n v="0"/>
    <n v="0"/>
    <n v="1"/>
    <n v="0"/>
    <n v="4"/>
    <x v="0"/>
    <n v="1"/>
    <n v="0"/>
    <n v="2678"/>
    <n v="2678"/>
    <n v="1"/>
    <x v="1"/>
    <n v="0"/>
    <n v="17"/>
    <n v="3"/>
    <n v="4"/>
    <n v="0"/>
    <n v="2"/>
    <n v="2"/>
    <n v="2"/>
    <n v="3"/>
    <n v="2"/>
    <n v="2"/>
    <n v="1"/>
    <n v="2"/>
    <n v="2"/>
    <n v="2"/>
    <n v="2"/>
    <n v="2"/>
  </r>
  <r>
    <n v="46"/>
    <n v="46"/>
    <x v="1"/>
    <n v="0"/>
    <s v="Travel_Rarely"/>
    <n v="0"/>
    <n v="1"/>
    <x v="1"/>
    <n v="1"/>
    <n v="0"/>
    <n v="2"/>
    <n v="2"/>
    <n v="4"/>
    <s v="Technical Degree"/>
    <n v="0"/>
    <n v="0"/>
    <n v="0"/>
    <n v="0"/>
    <n v="1"/>
    <x v="2"/>
    <s v="Male"/>
    <n v="0"/>
    <n v="60"/>
    <n v="3"/>
    <n v="2"/>
    <s v="Manufacturing Director"/>
    <n v="0"/>
    <n v="0"/>
    <n v="0"/>
    <n v="0"/>
    <n v="1"/>
    <n v="1"/>
    <n v="0"/>
    <n v="0"/>
    <n v="4"/>
    <x v="2"/>
    <n v="0"/>
    <n v="0"/>
    <n v="7379"/>
    <n v="7379"/>
    <n v="2"/>
    <x v="1"/>
    <n v="0"/>
    <n v="11"/>
    <n v="3"/>
    <n v="3"/>
    <n v="1"/>
    <n v="12"/>
    <n v="12"/>
    <n v="3"/>
    <n v="2"/>
    <n v="6"/>
    <n v="6"/>
    <n v="3"/>
    <n v="1"/>
    <n v="1"/>
    <n v="4"/>
    <n v="4"/>
    <n v="8"/>
  </r>
  <r>
    <n v="42"/>
    <n v="42"/>
    <x v="1"/>
    <n v="0"/>
    <s v="Non-Travel"/>
    <n v="0"/>
    <n v="0"/>
    <x v="2"/>
    <n v="0"/>
    <n v="0"/>
    <n v="2"/>
    <n v="2"/>
    <n v="5"/>
    <s v="Medical"/>
    <n v="0"/>
    <n v="0"/>
    <n v="1"/>
    <n v="0"/>
    <n v="0"/>
    <x v="2"/>
    <s v="Male"/>
    <n v="0"/>
    <n v="79"/>
    <n v="4"/>
    <n v="2"/>
    <s v="Human Resources"/>
    <n v="0"/>
    <n v="0"/>
    <n v="0"/>
    <n v="0"/>
    <n v="0"/>
    <n v="0"/>
    <n v="0"/>
    <n v="0"/>
    <n v="1"/>
    <x v="1"/>
    <n v="0"/>
    <n v="1"/>
    <n v="6272"/>
    <n v="6272"/>
    <n v="7"/>
    <x v="1"/>
    <n v="0"/>
    <n v="16"/>
    <n v="3"/>
    <n v="1"/>
    <n v="1"/>
    <n v="10"/>
    <n v="10"/>
    <n v="3"/>
    <n v="4"/>
    <n v="4"/>
    <n v="4"/>
    <n v="3"/>
    <n v="0"/>
    <n v="0"/>
    <n v="3"/>
    <n v="3"/>
    <n v="6"/>
  </r>
  <r>
    <n v="60"/>
    <n v="58.309999999999945"/>
    <x v="1"/>
    <n v="0"/>
    <s v="Travel_Rarely"/>
    <n v="0"/>
    <n v="1"/>
    <x v="0"/>
    <n v="0"/>
    <n v="1"/>
    <n v="7"/>
    <n v="7"/>
    <n v="4"/>
    <s v="Marketing"/>
    <n v="0"/>
    <n v="0"/>
    <n v="0"/>
    <n v="1"/>
    <n v="0"/>
    <x v="0"/>
    <s v="Male"/>
    <n v="0"/>
    <n v="52"/>
    <n v="4"/>
    <n v="2"/>
    <s v="Sales Executive"/>
    <n v="0"/>
    <n v="1"/>
    <n v="0"/>
    <n v="0"/>
    <n v="0"/>
    <n v="0"/>
    <n v="0"/>
    <n v="0"/>
    <n v="4"/>
    <x v="2"/>
    <n v="0"/>
    <n v="0"/>
    <n v="5220"/>
    <n v="5220"/>
    <n v="0"/>
    <x v="0"/>
    <n v="1"/>
    <n v="18"/>
    <n v="3"/>
    <n v="2"/>
    <n v="1"/>
    <n v="12"/>
    <n v="12"/>
    <n v="3"/>
    <n v="3"/>
    <n v="11"/>
    <n v="11"/>
    <n v="7"/>
    <n v="1"/>
    <n v="1"/>
    <n v="9"/>
    <n v="9"/>
    <n v="18"/>
  </r>
  <r>
    <n v="32"/>
    <n v="32"/>
    <x v="1"/>
    <n v="0"/>
    <s v="Travel_Frequently"/>
    <n v="1"/>
    <n v="0"/>
    <x v="1"/>
    <n v="1"/>
    <n v="0"/>
    <n v="13"/>
    <n v="13"/>
    <n v="3"/>
    <s v="Other"/>
    <n v="0"/>
    <n v="1"/>
    <n v="0"/>
    <n v="0"/>
    <n v="0"/>
    <x v="1"/>
    <s v="Female"/>
    <n v="1"/>
    <n v="77"/>
    <n v="2"/>
    <n v="1"/>
    <s v="Laboratory Technician"/>
    <n v="0"/>
    <n v="0"/>
    <n v="1"/>
    <n v="0"/>
    <n v="0"/>
    <n v="0"/>
    <n v="0"/>
    <n v="0"/>
    <n v="2"/>
    <x v="1"/>
    <n v="0"/>
    <n v="1"/>
    <n v="2743"/>
    <n v="2743"/>
    <n v="1"/>
    <x v="1"/>
    <n v="0"/>
    <n v="20"/>
    <n v="4"/>
    <n v="3"/>
    <n v="1"/>
    <n v="2"/>
    <n v="2"/>
    <n v="2"/>
    <n v="3"/>
    <n v="2"/>
    <n v="2"/>
    <n v="2"/>
    <n v="2"/>
    <n v="2"/>
    <n v="2"/>
    <n v="2"/>
    <n v="2"/>
  </r>
  <r>
    <n v="32"/>
    <n v="32"/>
    <x v="1"/>
    <n v="0"/>
    <s v="Travel_Frequently"/>
    <n v="1"/>
    <n v="0"/>
    <x v="1"/>
    <n v="1"/>
    <n v="0"/>
    <n v="2"/>
    <n v="2"/>
    <n v="2"/>
    <s v="Life Sciences"/>
    <n v="1"/>
    <n v="0"/>
    <n v="0"/>
    <n v="0"/>
    <n v="0"/>
    <x v="2"/>
    <s v="Female"/>
    <n v="1"/>
    <n v="38"/>
    <n v="3"/>
    <n v="2"/>
    <s v="Research Scientist"/>
    <n v="0"/>
    <n v="0"/>
    <n v="0"/>
    <n v="0"/>
    <n v="0"/>
    <n v="0"/>
    <n v="0"/>
    <n v="1"/>
    <n v="3"/>
    <x v="0"/>
    <n v="1"/>
    <n v="0"/>
    <n v="4998"/>
    <n v="4998"/>
    <n v="4"/>
    <x v="0"/>
    <n v="1"/>
    <n v="14"/>
    <n v="3"/>
    <n v="4"/>
    <n v="0"/>
    <n v="10"/>
    <n v="10"/>
    <n v="2"/>
    <n v="3"/>
    <n v="8"/>
    <n v="8"/>
    <n v="7"/>
    <n v="0"/>
    <n v="0"/>
    <n v="7"/>
    <n v="7"/>
    <n v="14"/>
  </r>
  <r>
    <n v="36"/>
    <n v="36"/>
    <x v="1"/>
    <n v="0"/>
    <s v="Travel_Rarely"/>
    <n v="0"/>
    <n v="1"/>
    <x v="1"/>
    <n v="1"/>
    <n v="0"/>
    <n v="1"/>
    <n v="1"/>
    <n v="3"/>
    <s v="Technical Degree"/>
    <n v="0"/>
    <n v="0"/>
    <n v="0"/>
    <n v="0"/>
    <n v="1"/>
    <x v="1"/>
    <s v="Female"/>
    <n v="1"/>
    <n v="77"/>
    <n v="1"/>
    <n v="3"/>
    <s v="Manufacturing Director"/>
    <n v="0"/>
    <n v="0"/>
    <n v="0"/>
    <n v="0"/>
    <n v="1"/>
    <n v="1"/>
    <n v="0"/>
    <n v="0"/>
    <n v="1"/>
    <x v="2"/>
    <n v="0"/>
    <n v="0"/>
    <n v="10252"/>
    <n v="10252"/>
    <n v="2"/>
    <x v="0"/>
    <n v="1"/>
    <n v="21"/>
    <n v="4"/>
    <n v="3"/>
    <n v="1"/>
    <n v="17"/>
    <n v="17"/>
    <n v="2"/>
    <n v="3"/>
    <n v="7"/>
    <n v="7"/>
    <n v="7"/>
    <n v="7"/>
    <n v="7"/>
    <n v="7"/>
    <n v="7"/>
    <n v="21"/>
  </r>
  <r>
    <n v="33"/>
    <n v="33"/>
    <x v="1"/>
    <n v="0"/>
    <s v="Travel_Rarely"/>
    <n v="0"/>
    <n v="1"/>
    <x v="1"/>
    <n v="1"/>
    <n v="0"/>
    <n v="9"/>
    <n v="9"/>
    <n v="3"/>
    <s v="Medical"/>
    <n v="0"/>
    <n v="0"/>
    <n v="1"/>
    <n v="0"/>
    <n v="0"/>
    <x v="3"/>
    <s v="Male"/>
    <n v="0"/>
    <n v="60"/>
    <n v="3"/>
    <n v="1"/>
    <s v="Research Scientist"/>
    <n v="0"/>
    <n v="0"/>
    <n v="0"/>
    <n v="0"/>
    <n v="0"/>
    <n v="0"/>
    <n v="0"/>
    <n v="1"/>
    <n v="4"/>
    <x v="1"/>
    <n v="0"/>
    <n v="1"/>
    <n v="2781"/>
    <n v="2781"/>
    <n v="0"/>
    <x v="1"/>
    <n v="0"/>
    <n v="13"/>
    <n v="3"/>
    <n v="2"/>
    <n v="1"/>
    <n v="15"/>
    <n v="15"/>
    <n v="5"/>
    <n v="3"/>
    <n v="14"/>
    <n v="14"/>
    <n v="10"/>
    <n v="4"/>
    <n v="4"/>
    <n v="10"/>
    <n v="10"/>
    <n v="10"/>
  </r>
  <r>
    <n v="40"/>
    <n v="40"/>
    <x v="1"/>
    <n v="0"/>
    <s v="Travel_Rarely"/>
    <n v="0"/>
    <n v="1"/>
    <x v="0"/>
    <n v="0"/>
    <n v="1"/>
    <n v="10"/>
    <n v="10"/>
    <n v="3"/>
    <s v="Technical Degree"/>
    <n v="0"/>
    <n v="0"/>
    <n v="0"/>
    <n v="0"/>
    <n v="1"/>
    <x v="0"/>
    <s v="Female"/>
    <n v="1"/>
    <n v="84"/>
    <n v="2"/>
    <n v="2"/>
    <s v="Sales Executive"/>
    <n v="0"/>
    <n v="1"/>
    <n v="0"/>
    <n v="0"/>
    <n v="0"/>
    <n v="0"/>
    <n v="0"/>
    <n v="0"/>
    <n v="2"/>
    <x v="2"/>
    <n v="0"/>
    <n v="0"/>
    <n v="6852"/>
    <n v="6852"/>
    <n v="7"/>
    <x v="1"/>
    <n v="0"/>
    <n v="12"/>
    <n v="3"/>
    <n v="2"/>
    <n v="1"/>
    <n v="7"/>
    <n v="7"/>
    <n v="2"/>
    <n v="4"/>
    <n v="5"/>
    <n v="5"/>
    <n v="1"/>
    <n v="1"/>
    <n v="1"/>
    <n v="3"/>
    <n v="3"/>
    <n v="6"/>
  </r>
  <r>
    <n v="25"/>
    <n v="25"/>
    <x v="1"/>
    <n v="0"/>
    <s v="Travel_Rarely"/>
    <n v="0"/>
    <n v="1"/>
    <x v="0"/>
    <n v="0"/>
    <n v="1"/>
    <n v="10"/>
    <n v="10"/>
    <n v="4"/>
    <s v="Life Sciences"/>
    <n v="1"/>
    <n v="0"/>
    <n v="0"/>
    <n v="0"/>
    <n v="0"/>
    <x v="1"/>
    <s v="Male"/>
    <n v="0"/>
    <n v="57"/>
    <n v="3"/>
    <n v="2"/>
    <s v="Sales Executive"/>
    <n v="0"/>
    <n v="1"/>
    <n v="0"/>
    <n v="0"/>
    <n v="0"/>
    <n v="0"/>
    <n v="0"/>
    <n v="0"/>
    <n v="4"/>
    <x v="0"/>
    <n v="1"/>
    <n v="0"/>
    <n v="4950"/>
    <n v="4950"/>
    <n v="0"/>
    <x v="1"/>
    <n v="0"/>
    <n v="14"/>
    <n v="3"/>
    <n v="2"/>
    <n v="0"/>
    <n v="5"/>
    <n v="5"/>
    <n v="4"/>
    <n v="3"/>
    <n v="4"/>
    <n v="4"/>
    <n v="3"/>
    <n v="1"/>
    <n v="1"/>
    <n v="1"/>
    <n v="1"/>
    <n v="2"/>
  </r>
  <r>
    <n v="30"/>
    <n v="30"/>
    <x v="1"/>
    <n v="0"/>
    <s v="Travel_Rarely"/>
    <n v="0"/>
    <n v="1"/>
    <x v="1"/>
    <n v="1"/>
    <n v="0"/>
    <n v="1"/>
    <n v="1"/>
    <n v="3"/>
    <s v="Medical"/>
    <n v="0"/>
    <n v="0"/>
    <n v="1"/>
    <n v="0"/>
    <n v="0"/>
    <x v="2"/>
    <s v="Male"/>
    <n v="0"/>
    <n v="63"/>
    <n v="3"/>
    <n v="1"/>
    <s v="Research Scientist"/>
    <n v="0"/>
    <n v="0"/>
    <n v="0"/>
    <n v="0"/>
    <n v="0"/>
    <n v="0"/>
    <n v="0"/>
    <n v="1"/>
    <n v="2"/>
    <x v="1"/>
    <n v="0"/>
    <n v="1"/>
    <n v="3579"/>
    <n v="3579"/>
    <n v="0"/>
    <x v="0"/>
    <n v="1"/>
    <n v="21"/>
    <n v="4"/>
    <n v="1"/>
    <n v="1"/>
    <n v="12"/>
    <n v="12"/>
    <n v="2"/>
    <n v="3"/>
    <n v="11"/>
    <n v="11"/>
    <n v="9"/>
    <n v="5"/>
    <n v="5"/>
    <n v="7"/>
    <n v="7"/>
    <n v="7"/>
  </r>
  <r>
    <n v="42"/>
    <n v="42"/>
    <x v="1"/>
    <n v="0"/>
    <s v="Travel_Frequently"/>
    <n v="1"/>
    <n v="0"/>
    <x v="1"/>
    <n v="1"/>
    <n v="0"/>
    <n v="26"/>
    <n v="26"/>
    <n v="5"/>
    <s v="Medical"/>
    <n v="0"/>
    <n v="0"/>
    <n v="1"/>
    <n v="0"/>
    <n v="0"/>
    <x v="3"/>
    <s v="Female"/>
    <n v="1"/>
    <n v="60"/>
    <n v="3"/>
    <n v="3"/>
    <s v="Research Director"/>
    <n v="0"/>
    <n v="0"/>
    <n v="0"/>
    <n v="0"/>
    <n v="0"/>
    <n v="0"/>
    <n v="0"/>
    <n v="0"/>
    <n v="1"/>
    <x v="1"/>
    <n v="0"/>
    <n v="1"/>
    <n v="13191"/>
    <n v="13191"/>
    <n v="3"/>
    <x v="0"/>
    <n v="1"/>
    <n v="17"/>
    <n v="3"/>
    <n v="3"/>
    <n v="0"/>
    <n v="20"/>
    <n v="20"/>
    <n v="6"/>
    <n v="3"/>
    <n v="1"/>
    <n v="1"/>
    <n v="0"/>
    <n v="0"/>
    <n v="0"/>
    <n v="0"/>
    <n v="0"/>
    <n v="0"/>
  </r>
  <r>
    <n v="35"/>
    <n v="35"/>
    <x v="1"/>
    <n v="0"/>
    <s v="Non-Travel"/>
    <n v="0"/>
    <n v="0"/>
    <x v="0"/>
    <n v="0"/>
    <n v="1"/>
    <n v="8"/>
    <n v="8"/>
    <n v="2"/>
    <s v="Marketing"/>
    <n v="0"/>
    <n v="0"/>
    <n v="0"/>
    <n v="1"/>
    <n v="0"/>
    <x v="1"/>
    <s v="Female"/>
    <n v="1"/>
    <n v="78"/>
    <n v="2"/>
    <n v="3"/>
    <s v="Sales Executive"/>
    <n v="0"/>
    <n v="1"/>
    <n v="0"/>
    <n v="0"/>
    <n v="0"/>
    <n v="0"/>
    <n v="0"/>
    <n v="0"/>
    <n v="4"/>
    <x v="1"/>
    <n v="0"/>
    <n v="1"/>
    <n v="10377"/>
    <n v="10377"/>
    <n v="4"/>
    <x v="0"/>
    <n v="1"/>
    <n v="11"/>
    <n v="3"/>
    <n v="2"/>
    <n v="1"/>
    <n v="16"/>
    <n v="16"/>
    <n v="6"/>
    <n v="2"/>
    <n v="13"/>
    <n v="13"/>
    <n v="2"/>
    <n v="4"/>
    <n v="4"/>
    <n v="12"/>
    <n v="12"/>
    <n v="36"/>
  </r>
  <r>
    <n v="27"/>
    <n v="27"/>
    <x v="1"/>
    <n v="0"/>
    <s v="Travel_Rarely"/>
    <n v="0"/>
    <n v="1"/>
    <x v="1"/>
    <n v="1"/>
    <n v="0"/>
    <n v="14"/>
    <n v="14"/>
    <n v="3"/>
    <s v="Life Sciences"/>
    <n v="1"/>
    <n v="0"/>
    <n v="0"/>
    <n v="0"/>
    <n v="0"/>
    <x v="3"/>
    <s v="Male"/>
    <n v="0"/>
    <n v="42"/>
    <n v="3"/>
    <n v="1"/>
    <s v="Research Scientist"/>
    <n v="0"/>
    <n v="0"/>
    <n v="0"/>
    <n v="0"/>
    <n v="0"/>
    <n v="0"/>
    <n v="0"/>
    <n v="1"/>
    <n v="1"/>
    <x v="1"/>
    <n v="0"/>
    <n v="1"/>
    <n v="2235"/>
    <n v="2235"/>
    <n v="1"/>
    <x v="0"/>
    <n v="1"/>
    <n v="14"/>
    <n v="3"/>
    <n v="4"/>
    <n v="2"/>
    <n v="9"/>
    <n v="9"/>
    <n v="3"/>
    <n v="2"/>
    <n v="9"/>
    <n v="9"/>
    <n v="7"/>
    <n v="6"/>
    <n v="6"/>
    <n v="8"/>
    <n v="8"/>
    <n v="8"/>
  </r>
  <r>
    <n v="54"/>
    <n v="54"/>
    <x v="1"/>
    <n v="0"/>
    <s v="Travel_Frequently"/>
    <n v="1"/>
    <n v="0"/>
    <x v="1"/>
    <n v="1"/>
    <n v="0"/>
    <n v="1"/>
    <n v="1"/>
    <n v="4"/>
    <s v="Life Sciences"/>
    <n v="1"/>
    <n v="0"/>
    <n v="0"/>
    <n v="0"/>
    <n v="0"/>
    <x v="2"/>
    <s v="Female"/>
    <n v="1"/>
    <n v="53"/>
    <n v="3"/>
    <n v="3"/>
    <s v="Manufacturing Director"/>
    <n v="0"/>
    <n v="0"/>
    <n v="0"/>
    <n v="0"/>
    <n v="1"/>
    <n v="1"/>
    <n v="0"/>
    <n v="0"/>
    <n v="3"/>
    <x v="2"/>
    <n v="0"/>
    <n v="0"/>
    <n v="10502"/>
    <n v="10502"/>
    <n v="7"/>
    <x v="1"/>
    <n v="0"/>
    <n v="17"/>
    <n v="3"/>
    <n v="1"/>
    <n v="1"/>
    <n v="33"/>
    <n v="33"/>
    <n v="2"/>
    <n v="1"/>
    <n v="5"/>
    <n v="5"/>
    <n v="4"/>
    <n v="1"/>
    <n v="1"/>
    <n v="4"/>
    <n v="4"/>
    <n v="12"/>
  </r>
  <r>
    <n v="44"/>
    <n v="44"/>
    <x v="1"/>
    <n v="0"/>
    <s v="Travel_Rarely"/>
    <n v="0"/>
    <n v="1"/>
    <x v="1"/>
    <n v="1"/>
    <n v="0"/>
    <n v="2"/>
    <n v="2"/>
    <n v="1"/>
    <s v="Life Sciences"/>
    <n v="1"/>
    <n v="0"/>
    <n v="0"/>
    <n v="0"/>
    <n v="0"/>
    <x v="3"/>
    <s v="Female"/>
    <n v="1"/>
    <n v="72"/>
    <n v="4"/>
    <n v="1"/>
    <s v="Research Scientist"/>
    <n v="0"/>
    <n v="0"/>
    <n v="0"/>
    <n v="0"/>
    <n v="0"/>
    <n v="0"/>
    <n v="0"/>
    <n v="1"/>
    <n v="4"/>
    <x v="1"/>
    <n v="0"/>
    <n v="1"/>
    <n v="2011"/>
    <n v="2011"/>
    <n v="1"/>
    <x v="1"/>
    <n v="0"/>
    <n v="13"/>
    <n v="3"/>
    <n v="4"/>
    <n v="1"/>
    <n v="10"/>
    <n v="10"/>
    <n v="5"/>
    <n v="3"/>
    <n v="10"/>
    <n v="10"/>
    <n v="5"/>
    <n v="7"/>
    <n v="7"/>
    <n v="7"/>
    <n v="7"/>
    <n v="7"/>
  </r>
  <r>
    <n v="19"/>
    <n v="19"/>
    <x v="0"/>
    <n v="1"/>
    <s v="Non-Travel"/>
    <n v="0"/>
    <n v="0"/>
    <x v="1"/>
    <n v="1"/>
    <n v="0"/>
    <n v="10"/>
    <n v="10"/>
    <n v="3"/>
    <s v="Medical"/>
    <n v="0"/>
    <n v="0"/>
    <n v="1"/>
    <n v="0"/>
    <n v="0"/>
    <x v="3"/>
    <s v="Female"/>
    <n v="1"/>
    <n v="96"/>
    <n v="2"/>
    <n v="1"/>
    <s v="Research Scientist"/>
    <n v="0"/>
    <n v="0"/>
    <n v="0"/>
    <n v="0"/>
    <n v="0"/>
    <n v="0"/>
    <n v="0"/>
    <n v="1"/>
    <n v="2"/>
    <x v="0"/>
    <n v="1"/>
    <n v="0"/>
    <n v="1859"/>
    <n v="1859"/>
    <n v="1"/>
    <x v="0"/>
    <n v="1"/>
    <n v="25"/>
    <n v="4"/>
    <n v="2"/>
    <n v="0"/>
    <n v="1"/>
    <n v="1"/>
    <n v="2"/>
    <n v="4"/>
    <n v="1"/>
    <n v="1"/>
    <n v="1"/>
    <n v="0"/>
    <n v="0"/>
    <n v="0"/>
    <n v="0"/>
    <n v="0"/>
  </r>
  <r>
    <n v="29"/>
    <n v="29"/>
    <x v="1"/>
    <n v="0"/>
    <s v="Travel_Rarely"/>
    <n v="0"/>
    <n v="1"/>
    <x v="1"/>
    <n v="1"/>
    <n v="0"/>
    <n v="1"/>
    <n v="1"/>
    <n v="3"/>
    <s v="Life Sciences"/>
    <n v="1"/>
    <n v="0"/>
    <n v="0"/>
    <n v="0"/>
    <n v="0"/>
    <x v="3"/>
    <s v="Female"/>
    <n v="1"/>
    <n v="97"/>
    <n v="3"/>
    <n v="1"/>
    <s v="Research Scientist"/>
    <n v="0"/>
    <n v="0"/>
    <n v="0"/>
    <n v="0"/>
    <n v="0"/>
    <n v="0"/>
    <n v="0"/>
    <n v="1"/>
    <n v="4"/>
    <x v="2"/>
    <n v="0"/>
    <n v="0"/>
    <n v="3760"/>
    <n v="3760"/>
    <n v="1"/>
    <x v="1"/>
    <n v="0"/>
    <n v="15"/>
    <n v="3"/>
    <n v="1"/>
    <n v="3"/>
    <n v="3"/>
    <n v="3"/>
    <n v="5"/>
    <n v="3"/>
    <n v="3"/>
    <n v="3"/>
    <n v="2"/>
    <n v="1"/>
    <n v="1"/>
    <n v="2"/>
    <n v="2"/>
    <n v="2"/>
  </r>
  <r>
    <n v="54"/>
    <n v="54"/>
    <x v="1"/>
    <n v="0"/>
    <s v="Travel_Rarely"/>
    <n v="0"/>
    <n v="1"/>
    <x v="1"/>
    <n v="1"/>
    <n v="0"/>
    <n v="3"/>
    <n v="3"/>
    <n v="3"/>
    <s v="Life Sciences"/>
    <n v="1"/>
    <n v="0"/>
    <n v="0"/>
    <n v="0"/>
    <n v="0"/>
    <x v="2"/>
    <s v="Male"/>
    <n v="0"/>
    <n v="85"/>
    <n v="3"/>
    <n v="4"/>
    <s v="Research Director"/>
    <n v="0"/>
    <n v="0"/>
    <n v="0"/>
    <n v="0"/>
    <n v="0"/>
    <n v="0"/>
    <n v="0"/>
    <n v="0"/>
    <n v="4"/>
    <x v="1"/>
    <n v="0"/>
    <n v="1"/>
    <n v="17779"/>
    <n v="17779"/>
    <n v="3"/>
    <x v="1"/>
    <n v="0"/>
    <n v="14"/>
    <n v="3"/>
    <n v="1"/>
    <n v="0"/>
    <n v="36"/>
    <n v="35"/>
    <n v="2"/>
    <n v="3"/>
    <n v="10"/>
    <n v="10"/>
    <n v="9"/>
    <n v="0"/>
    <n v="0"/>
    <n v="9"/>
    <n v="9"/>
    <n v="36"/>
  </r>
  <r>
    <n v="31"/>
    <n v="31"/>
    <x v="1"/>
    <n v="0"/>
    <s v="Travel_Rarely"/>
    <n v="0"/>
    <n v="1"/>
    <x v="1"/>
    <n v="1"/>
    <n v="0"/>
    <n v="11"/>
    <n v="11"/>
    <n v="2"/>
    <s v="Medical"/>
    <n v="0"/>
    <n v="0"/>
    <n v="1"/>
    <n v="0"/>
    <n v="0"/>
    <x v="1"/>
    <s v="Male"/>
    <n v="0"/>
    <n v="80"/>
    <n v="3"/>
    <n v="2"/>
    <s v="Healthcare Representative"/>
    <n v="1"/>
    <n v="0"/>
    <n v="0"/>
    <n v="0"/>
    <n v="0"/>
    <n v="0"/>
    <n v="0"/>
    <n v="0"/>
    <n v="1"/>
    <x v="1"/>
    <n v="0"/>
    <n v="1"/>
    <n v="6833"/>
    <n v="6833"/>
    <n v="1"/>
    <x v="0"/>
    <n v="1"/>
    <n v="12"/>
    <n v="3"/>
    <n v="4"/>
    <n v="0"/>
    <n v="6"/>
    <n v="6"/>
    <n v="2"/>
    <n v="2"/>
    <n v="6"/>
    <n v="6"/>
    <n v="5"/>
    <n v="0"/>
    <n v="0"/>
    <n v="1"/>
    <n v="1"/>
    <n v="2"/>
  </r>
  <r>
    <n v="31"/>
    <n v="31"/>
    <x v="1"/>
    <n v="0"/>
    <s v="Travel_Rarely"/>
    <n v="0"/>
    <n v="1"/>
    <x v="1"/>
    <n v="1"/>
    <n v="0"/>
    <n v="24"/>
    <n v="24"/>
    <n v="3"/>
    <s v="Medical"/>
    <n v="0"/>
    <n v="0"/>
    <n v="1"/>
    <n v="0"/>
    <n v="0"/>
    <x v="1"/>
    <s v="Female"/>
    <n v="1"/>
    <n v="96"/>
    <n v="2"/>
    <n v="2"/>
    <s v="Healthcare Representative"/>
    <n v="1"/>
    <n v="0"/>
    <n v="0"/>
    <n v="0"/>
    <n v="0"/>
    <n v="0"/>
    <n v="0"/>
    <n v="0"/>
    <n v="1"/>
    <x v="0"/>
    <n v="1"/>
    <n v="0"/>
    <n v="6812"/>
    <n v="6812"/>
    <n v="1"/>
    <x v="1"/>
    <n v="0"/>
    <n v="19"/>
    <n v="3"/>
    <n v="2"/>
    <n v="0"/>
    <n v="10"/>
    <n v="10"/>
    <n v="2"/>
    <n v="3"/>
    <n v="10"/>
    <n v="10"/>
    <n v="9"/>
    <n v="1"/>
    <n v="1"/>
    <n v="8"/>
    <n v="8"/>
    <n v="16"/>
  </r>
  <r>
    <n v="59"/>
    <n v="58.309999999999945"/>
    <x v="1"/>
    <n v="0"/>
    <s v="Travel_Rarely"/>
    <n v="0"/>
    <n v="1"/>
    <x v="0"/>
    <n v="0"/>
    <n v="1"/>
    <n v="3"/>
    <n v="3"/>
    <n v="3"/>
    <s v="Life Sciences"/>
    <n v="1"/>
    <n v="0"/>
    <n v="0"/>
    <n v="0"/>
    <n v="0"/>
    <x v="1"/>
    <s v="Female"/>
    <n v="1"/>
    <n v="48"/>
    <n v="2"/>
    <n v="2"/>
    <s v="Sales Executive"/>
    <n v="0"/>
    <n v="1"/>
    <n v="0"/>
    <n v="0"/>
    <n v="0"/>
    <n v="0"/>
    <n v="0"/>
    <n v="0"/>
    <n v="4"/>
    <x v="0"/>
    <n v="1"/>
    <n v="0"/>
    <n v="5171"/>
    <n v="5171"/>
    <n v="5"/>
    <x v="1"/>
    <n v="0"/>
    <n v="17"/>
    <n v="3"/>
    <n v="4"/>
    <n v="0"/>
    <n v="13"/>
    <n v="13"/>
    <n v="2"/>
    <n v="3"/>
    <n v="6"/>
    <n v="6"/>
    <n v="1"/>
    <n v="0"/>
    <n v="0"/>
    <n v="5"/>
    <n v="5"/>
    <n v="10"/>
  </r>
  <r>
    <n v="43"/>
    <n v="43"/>
    <x v="1"/>
    <n v="0"/>
    <s v="Travel_Rarely"/>
    <n v="0"/>
    <n v="1"/>
    <x v="1"/>
    <n v="1"/>
    <n v="0"/>
    <n v="3"/>
    <n v="3"/>
    <n v="3"/>
    <s v="Life Sciences"/>
    <n v="1"/>
    <n v="0"/>
    <n v="0"/>
    <n v="0"/>
    <n v="0"/>
    <x v="1"/>
    <s v="Male"/>
    <n v="0"/>
    <n v="96"/>
    <n v="1"/>
    <n v="5"/>
    <s v="Research Director"/>
    <n v="0"/>
    <n v="0"/>
    <n v="0"/>
    <n v="0"/>
    <n v="0"/>
    <n v="0"/>
    <n v="0"/>
    <n v="0"/>
    <n v="4"/>
    <x v="1"/>
    <n v="0"/>
    <n v="1"/>
    <n v="19740"/>
    <n v="19626.310000000001"/>
    <n v="3"/>
    <x v="1"/>
    <n v="0"/>
    <n v="14"/>
    <n v="3"/>
    <n v="2"/>
    <n v="1"/>
    <n v="25"/>
    <n v="25"/>
    <n v="2"/>
    <n v="3"/>
    <n v="8"/>
    <n v="8"/>
    <n v="7"/>
    <n v="0"/>
    <n v="0"/>
    <n v="7"/>
    <n v="7"/>
    <n v="35"/>
  </r>
  <r>
    <n v="49"/>
    <n v="49"/>
    <x v="1"/>
    <n v="0"/>
    <s v="Travel_Rarely"/>
    <n v="0"/>
    <n v="1"/>
    <x v="1"/>
    <n v="1"/>
    <n v="0"/>
    <n v="4"/>
    <n v="4"/>
    <n v="2"/>
    <s v="Medical"/>
    <n v="0"/>
    <n v="0"/>
    <n v="1"/>
    <n v="0"/>
    <n v="0"/>
    <x v="3"/>
    <s v="Male"/>
    <n v="0"/>
    <n v="85"/>
    <n v="2"/>
    <n v="5"/>
    <s v="Manager"/>
    <n v="0"/>
    <n v="0"/>
    <n v="0"/>
    <n v="1"/>
    <n v="0"/>
    <n v="0"/>
    <n v="0"/>
    <n v="0"/>
    <n v="3"/>
    <x v="1"/>
    <n v="0"/>
    <n v="1"/>
    <n v="18711"/>
    <n v="18711"/>
    <n v="2"/>
    <x v="1"/>
    <n v="0"/>
    <n v="13"/>
    <n v="3"/>
    <n v="3"/>
    <n v="1"/>
    <n v="23"/>
    <n v="23"/>
    <n v="2"/>
    <n v="4"/>
    <n v="1"/>
    <n v="1"/>
    <n v="0"/>
    <n v="0"/>
    <n v="0"/>
    <n v="0"/>
    <n v="0"/>
    <n v="0"/>
  </r>
  <r>
    <n v="36"/>
    <n v="36"/>
    <x v="1"/>
    <n v="0"/>
    <s v="Travel_Frequently"/>
    <n v="1"/>
    <n v="0"/>
    <x v="1"/>
    <n v="1"/>
    <n v="0"/>
    <n v="3"/>
    <n v="3"/>
    <n v="3"/>
    <s v="Technical Degree"/>
    <n v="0"/>
    <n v="0"/>
    <n v="0"/>
    <n v="0"/>
    <n v="1"/>
    <x v="1"/>
    <s v="Male"/>
    <n v="0"/>
    <n v="46"/>
    <n v="3"/>
    <n v="1"/>
    <s v="Research Scientist"/>
    <n v="0"/>
    <n v="0"/>
    <n v="0"/>
    <n v="0"/>
    <n v="0"/>
    <n v="0"/>
    <n v="0"/>
    <n v="1"/>
    <n v="2"/>
    <x v="1"/>
    <n v="0"/>
    <n v="1"/>
    <n v="3692"/>
    <n v="3692"/>
    <n v="1"/>
    <x v="1"/>
    <n v="0"/>
    <n v="12"/>
    <n v="3"/>
    <n v="3"/>
    <n v="0"/>
    <n v="12"/>
    <n v="12"/>
    <n v="2"/>
    <n v="2"/>
    <n v="11"/>
    <n v="11"/>
    <n v="10"/>
    <n v="0"/>
    <n v="0"/>
    <n v="7"/>
    <n v="7"/>
    <n v="7"/>
  </r>
  <r>
    <n v="48"/>
    <n v="48"/>
    <x v="1"/>
    <n v="0"/>
    <s v="Travel_Rarely"/>
    <n v="0"/>
    <n v="1"/>
    <x v="1"/>
    <n v="1"/>
    <n v="0"/>
    <n v="2"/>
    <n v="2"/>
    <n v="2"/>
    <s v="Technical Degree"/>
    <n v="0"/>
    <n v="0"/>
    <n v="0"/>
    <n v="0"/>
    <n v="1"/>
    <x v="2"/>
    <s v="Male"/>
    <n v="0"/>
    <n v="76"/>
    <n v="4"/>
    <n v="1"/>
    <s v="Laboratory Technician"/>
    <n v="0"/>
    <n v="0"/>
    <n v="1"/>
    <n v="0"/>
    <n v="0"/>
    <n v="0"/>
    <n v="0"/>
    <n v="0"/>
    <n v="2"/>
    <x v="0"/>
    <n v="1"/>
    <n v="0"/>
    <n v="2559"/>
    <n v="2559"/>
    <n v="5"/>
    <x v="1"/>
    <n v="0"/>
    <n v="11"/>
    <n v="3"/>
    <n v="3"/>
    <n v="0"/>
    <n v="7"/>
    <n v="7"/>
    <n v="4"/>
    <n v="2"/>
    <n v="1"/>
    <n v="1"/>
    <n v="0"/>
    <n v="0"/>
    <n v="0"/>
    <n v="0"/>
    <n v="0"/>
    <n v="0"/>
  </r>
  <r>
    <n v="27"/>
    <n v="27"/>
    <x v="1"/>
    <n v="0"/>
    <s v="Travel_Rarely"/>
    <n v="0"/>
    <n v="1"/>
    <x v="1"/>
    <n v="1"/>
    <n v="0"/>
    <n v="4"/>
    <n v="4"/>
    <n v="2"/>
    <s v="Life Sciences"/>
    <n v="1"/>
    <n v="0"/>
    <n v="0"/>
    <n v="0"/>
    <n v="0"/>
    <x v="3"/>
    <s v="Male"/>
    <n v="0"/>
    <n v="76"/>
    <n v="3"/>
    <n v="1"/>
    <s v="Research Scientist"/>
    <n v="0"/>
    <n v="0"/>
    <n v="0"/>
    <n v="0"/>
    <n v="0"/>
    <n v="0"/>
    <n v="0"/>
    <n v="1"/>
    <n v="3"/>
    <x v="2"/>
    <n v="0"/>
    <n v="0"/>
    <n v="2517"/>
    <n v="2517"/>
    <n v="1"/>
    <x v="1"/>
    <n v="0"/>
    <n v="11"/>
    <n v="3"/>
    <n v="2"/>
    <n v="3"/>
    <n v="5"/>
    <n v="5"/>
    <n v="2"/>
    <n v="3"/>
    <n v="5"/>
    <n v="5"/>
    <n v="3"/>
    <n v="0"/>
    <n v="0"/>
    <n v="3"/>
    <n v="3"/>
    <n v="3"/>
  </r>
  <r>
    <n v="29"/>
    <n v="29"/>
    <x v="1"/>
    <n v="0"/>
    <s v="Travel_Rarely"/>
    <n v="0"/>
    <n v="1"/>
    <x v="1"/>
    <n v="1"/>
    <n v="0"/>
    <n v="7"/>
    <n v="7"/>
    <n v="3"/>
    <s v="Life Sciences"/>
    <n v="1"/>
    <n v="0"/>
    <n v="0"/>
    <n v="0"/>
    <n v="0"/>
    <x v="1"/>
    <s v="Male"/>
    <n v="0"/>
    <n v="82"/>
    <n v="3"/>
    <n v="2"/>
    <s v="Healthcare Representative"/>
    <n v="1"/>
    <n v="0"/>
    <n v="0"/>
    <n v="0"/>
    <n v="0"/>
    <n v="0"/>
    <n v="0"/>
    <n v="0"/>
    <n v="4"/>
    <x v="2"/>
    <n v="0"/>
    <n v="0"/>
    <n v="6623"/>
    <n v="6623"/>
    <n v="1"/>
    <x v="0"/>
    <n v="1"/>
    <n v="11"/>
    <n v="3"/>
    <n v="2"/>
    <n v="2"/>
    <n v="6"/>
    <n v="6"/>
    <n v="2"/>
    <n v="3"/>
    <n v="6"/>
    <n v="6"/>
    <n v="0"/>
    <n v="1"/>
    <n v="1"/>
    <n v="0"/>
    <n v="0"/>
    <n v="0"/>
  </r>
  <r>
    <n v="48"/>
    <n v="48"/>
    <x v="1"/>
    <n v="0"/>
    <s v="Travel_Rarely"/>
    <n v="0"/>
    <n v="1"/>
    <x v="1"/>
    <n v="1"/>
    <n v="0"/>
    <n v="1"/>
    <n v="1"/>
    <n v="3"/>
    <s v="Life Sciences"/>
    <n v="1"/>
    <n v="0"/>
    <n v="0"/>
    <n v="0"/>
    <n v="0"/>
    <x v="2"/>
    <s v="Male"/>
    <n v="0"/>
    <n v="76"/>
    <n v="2"/>
    <n v="5"/>
    <s v="Research Director"/>
    <n v="0"/>
    <n v="0"/>
    <n v="0"/>
    <n v="0"/>
    <n v="0"/>
    <n v="0"/>
    <n v="0"/>
    <n v="0"/>
    <n v="4"/>
    <x v="0"/>
    <n v="1"/>
    <n v="0"/>
    <n v="18265"/>
    <n v="18265"/>
    <n v="6"/>
    <x v="1"/>
    <n v="0"/>
    <n v="12"/>
    <n v="3"/>
    <n v="3"/>
    <n v="0"/>
    <n v="25"/>
    <n v="25"/>
    <n v="3"/>
    <n v="4"/>
    <n v="1"/>
    <n v="1"/>
    <n v="0"/>
    <n v="0"/>
    <n v="0"/>
    <n v="0"/>
    <n v="0"/>
    <n v="0"/>
  </r>
  <r>
    <n v="29"/>
    <n v="29"/>
    <x v="1"/>
    <n v="0"/>
    <s v="Travel_Rarely"/>
    <n v="0"/>
    <n v="1"/>
    <x v="1"/>
    <n v="1"/>
    <n v="0"/>
    <n v="1"/>
    <n v="1"/>
    <n v="3"/>
    <s v="Life Sciences"/>
    <n v="1"/>
    <n v="0"/>
    <n v="0"/>
    <n v="0"/>
    <n v="0"/>
    <x v="2"/>
    <s v="Female"/>
    <n v="1"/>
    <n v="87"/>
    <n v="2"/>
    <n v="4"/>
    <s v="Research Director"/>
    <n v="0"/>
    <n v="0"/>
    <n v="0"/>
    <n v="0"/>
    <n v="0"/>
    <n v="0"/>
    <n v="0"/>
    <n v="0"/>
    <n v="4"/>
    <x v="2"/>
    <n v="0"/>
    <n v="0"/>
    <n v="16124"/>
    <n v="16124"/>
    <n v="3"/>
    <x v="1"/>
    <n v="0"/>
    <n v="14"/>
    <n v="3"/>
    <n v="2"/>
    <n v="2"/>
    <n v="9"/>
    <n v="9"/>
    <n v="2"/>
    <n v="2"/>
    <n v="7"/>
    <n v="7"/>
    <n v="7"/>
    <n v="1"/>
    <n v="1"/>
    <n v="7"/>
    <n v="7"/>
    <n v="28"/>
  </r>
  <r>
    <n v="34"/>
    <n v="34"/>
    <x v="1"/>
    <n v="0"/>
    <s v="Travel_Rarely"/>
    <n v="0"/>
    <n v="1"/>
    <x v="1"/>
    <n v="1"/>
    <n v="0"/>
    <n v="20"/>
    <n v="20"/>
    <n v="3"/>
    <s v="Technical Degree"/>
    <n v="0"/>
    <n v="0"/>
    <n v="0"/>
    <n v="0"/>
    <n v="1"/>
    <x v="1"/>
    <s v="Female"/>
    <n v="1"/>
    <n v="89"/>
    <n v="4"/>
    <n v="1"/>
    <s v="Research Scientist"/>
    <n v="0"/>
    <n v="0"/>
    <n v="0"/>
    <n v="0"/>
    <n v="0"/>
    <n v="0"/>
    <n v="0"/>
    <n v="1"/>
    <n v="3"/>
    <x v="1"/>
    <n v="0"/>
    <n v="1"/>
    <n v="2585"/>
    <n v="2585"/>
    <n v="0"/>
    <x v="1"/>
    <n v="0"/>
    <n v="17"/>
    <n v="3"/>
    <n v="4"/>
    <n v="0"/>
    <n v="2"/>
    <n v="2"/>
    <n v="5"/>
    <n v="2"/>
    <n v="1"/>
    <n v="1"/>
    <n v="0"/>
    <n v="0"/>
    <n v="0"/>
    <n v="0"/>
    <n v="0"/>
    <n v="0"/>
  </r>
  <r>
    <n v="44"/>
    <n v="44"/>
    <x v="1"/>
    <n v="0"/>
    <s v="Travel_Rarely"/>
    <n v="0"/>
    <n v="1"/>
    <x v="0"/>
    <n v="0"/>
    <n v="1"/>
    <n v="5"/>
    <n v="5"/>
    <n v="3"/>
    <s v="Marketing"/>
    <n v="0"/>
    <n v="0"/>
    <n v="0"/>
    <n v="1"/>
    <n v="0"/>
    <x v="0"/>
    <s v="Male"/>
    <n v="0"/>
    <n v="88"/>
    <n v="3"/>
    <n v="5"/>
    <s v="Manager"/>
    <n v="0"/>
    <n v="0"/>
    <n v="0"/>
    <n v="1"/>
    <n v="0"/>
    <n v="0"/>
    <n v="0"/>
    <n v="0"/>
    <n v="2"/>
    <x v="1"/>
    <n v="0"/>
    <n v="1"/>
    <n v="18213"/>
    <n v="18213"/>
    <n v="7"/>
    <x v="1"/>
    <n v="0"/>
    <n v="11"/>
    <n v="3"/>
    <n v="3"/>
    <n v="1"/>
    <n v="26"/>
    <n v="26"/>
    <n v="5"/>
    <n v="3"/>
    <n v="22"/>
    <n v="22"/>
    <n v="9"/>
    <n v="3"/>
    <n v="3"/>
    <n v="10"/>
    <n v="10"/>
    <n v="50"/>
  </r>
  <r>
    <n v="33"/>
    <n v="33"/>
    <x v="1"/>
    <n v="0"/>
    <s v="Travel_Rarely"/>
    <n v="0"/>
    <n v="1"/>
    <x v="0"/>
    <n v="0"/>
    <n v="1"/>
    <n v="10"/>
    <n v="10"/>
    <n v="5"/>
    <s v="Marketing"/>
    <n v="0"/>
    <n v="0"/>
    <n v="0"/>
    <n v="1"/>
    <n v="0"/>
    <x v="2"/>
    <s v="Male"/>
    <n v="0"/>
    <n v="82"/>
    <n v="4"/>
    <n v="3"/>
    <s v="Sales Executive"/>
    <n v="0"/>
    <n v="1"/>
    <n v="0"/>
    <n v="0"/>
    <n v="0"/>
    <n v="0"/>
    <n v="0"/>
    <n v="0"/>
    <n v="3"/>
    <x v="2"/>
    <n v="0"/>
    <n v="0"/>
    <n v="8380"/>
    <n v="8380"/>
    <n v="0"/>
    <x v="0"/>
    <n v="1"/>
    <n v="14"/>
    <n v="3"/>
    <n v="4"/>
    <n v="2"/>
    <n v="10"/>
    <n v="10"/>
    <n v="3"/>
    <n v="3"/>
    <n v="9"/>
    <n v="9"/>
    <n v="8"/>
    <n v="0"/>
    <n v="0"/>
    <n v="8"/>
    <n v="8"/>
    <n v="24"/>
  </r>
  <r>
    <n v="19"/>
    <n v="19"/>
    <x v="1"/>
    <n v="0"/>
    <s v="Travel_Rarely"/>
    <n v="0"/>
    <n v="1"/>
    <x v="1"/>
    <n v="1"/>
    <n v="0"/>
    <n v="25"/>
    <n v="25"/>
    <n v="3"/>
    <s v="Life Sciences"/>
    <n v="1"/>
    <n v="0"/>
    <n v="0"/>
    <n v="0"/>
    <n v="0"/>
    <x v="0"/>
    <s v="Female"/>
    <n v="1"/>
    <n v="57"/>
    <n v="4"/>
    <n v="1"/>
    <s v="Research Scientist"/>
    <n v="0"/>
    <n v="0"/>
    <n v="0"/>
    <n v="0"/>
    <n v="0"/>
    <n v="0"/>
    <n v="0"/>
    <n v="1"/>
    <n v="4"/>
    <x v="0"/>
    <n v="1"/>
    <n v="0"/>
    <n v="2994"/>
    <n v="2994"/>
    <n v="1"/>
    <x v="0"/>
    <n v="1"/>
    <n v="12"/>
    <n v="3"/>
    <n v="4"/>
    <n v="0"/>
    <n v="1"/>
    <n v="1"/>
    <n v="2"/>
    <n v="3"/>
    <n v="1"/>
    <n v="1"/>
    <n v="0"/>
    <n v="0"/>
    <n v="0"/>
    <n v="1"/>
    <n v="1"/>
    <n v="1"/>
  </r>
  <r>
    <n v="23"/>
    <n v="23"/>
    <x v="1"/>
    <n v="0"/>
    <s v="Travel_Rarely"/>
    <n v="0"/>
    <n v="1"/>
    <x v="1"/>
    <n v="1"/>
    <n v="0"/>
    <n v="1"/>
    <n v="1"/>
    <n v="2"/>
    <s v="Life Sciences"/>
    <n v="1"/>
    <n v="0"/>
    <n v="0"/>
    <n v="0"/>
    <n v="0"/>
    <x v="2"/>
    <s v="Male"/>
    <n v="0"/>
    <n v="47"/>
    <n v="3"/>
    <n v="1"/>
    <s v="Research Scientist"/>
    <n v="0"/>
    <n v="0"/>
    <n v="0"/>
    <n v="0"/>
    <n v="0"/>
    <n v="0"/>
    <n v="0"/>
    <n v="1"/>
    <n v="3"/>
    <x v="1"/>
    <n v="0"/>
    <n v="1"/>
    <n v="1223"/>
    <n v="1382.46"/>
    <n v="1"/>
    <x v="1"/>
    <n v="0"/>
    <n v="22"/>
    <n v="4"/>
    <n v="4"/>
    <n v="1"/>
    <n v="1"/>
    <n v="1"/>
    <n v="2"/>
    <n v="3"/>
    <n v="1"/>
    <n v="1"/>
    <n v="0"/>
    <n v="0"/>
    <n v="0"/>
    <n v="1"/>
    <n v="1"/>
    <n v="1"/>
  </r>
  <r>
    <n v="25"/>
    <n v="25"/>
    <x v="0"/>
    <n v="1"/>
    <s v="Travel_Frequently"/>
    <n v="1"/>
    <n v="0"/>
    <x v="0"/>
    <n v="0"/>
    <n v="1"/>
    <n v="24"/>
    <n v="24"/>
    <n v="1"/>
    <s v="Life Sciences"/>
    <n v="1"/>
    <n v="0"/>
    <n v="0"/>
    <n v="0"/>
    <n v="0"/>
    <x v="1"/>
    <s v="Male"/>
    <n v="0"/>
    <n v="73"/>
    <n v="1"/>
    <n v="1"/>
    <s v="Sales Representative"/>
    <n v="0"/>
    <n v="0"/>
    <n v="0"/>
    <n v="0"/>
    <n v="0"/>
    <n v="0"/>
    <n v="1"/>
    <n v="0"/>
    <n v="4"/>
    <x v="0"/>
    <n v="1"/>
    <n v="0"/>
    <n v="1118"/>
    <n v="1382.46"/>
    <n v="1"/>
    <x v="0"/>
    <n v="1"/>
    <n v="14"/>
    <n v="3"/>
    <n v="4"/>
    <n v="0"/>
    <n v="1"/>
    <n v="1"/>
    <n v="4"/>
    <n v="3"/>
    <n v="1"/>
    <n v="1"/>
    <n v="0"/>
    <n v="1"/>
    <n v="1"/>
    <n v="0"/>
    <n v="0"/>
    <n v="0"/>
  </r>
  <r>
    <n v="26"/>
    <n v="26"/>
    <x v="1"/>
    <n v="0"/>
    <s v="Travel_Rarely"/>
    <n v="0"/>
    <n v="1"/>
    <x v="1"/>
    <n v="1"/>
    <n v="0"/>
    <n v="4"/>
    <n v="4"/>
    <n v="2"/>
    <s v="Life Sciences"/>
    <n v="1"/>
    <n v="0"/>
    <n v="0"/>
    <n v="0"/>
    <n v="0"/>
    <x v="1"/>
    <s v="Male"/>
    <n v="0"/>
    <n v="53"/>
    <n v="3"/>
    <n v="1"/>
    <s v="Research Scientist"/>
    <n v="0"/>
    <n v="0"/>
    <n v="0"/>
    <n v="0"/>
    <n v="0"/>
    <n v="0"/>
    <n v="0"/>
    <n v="1"/>
    <n v="4"/>
    <x v="0"/>
    <n v="1"/>
    <n v="0"/>
    <n v="2875"/>
    <n v="2875"/>
    <n v="1"/>
    <x v="0"/>
    <n v="1"/>
    <n v="20"/>
    <n v="4"/>
    <n v="2"/>
    <n v="0"/>
    <n v="8"/>
    <n v="8"/>
    <n v="2"/>
    <n v="2"/>
    <n v="8"/>
    <n v="8"/>
    <n v="5"/>
    <n v="2"/>
    <n v="2"/>
    <n v="2"/>
    <n v="2"/>
    <n v="2"/>
  </r>
  <r>
    <n v="45"/>
    <n v="45"/>
    <x v="0"/>
    <n v="1"/>
    <s v="Travel_Rarely"/>
    <n v="0"/>
    <n v="1"/>
    <x v="0"/>
    <n v="0"/>
    <n v="1"/>
    <n v="2"/>
    <n v="2"/>
    <n v="3"/>
    <s v="Marketing"/>
    <n v="0"/>
    <n v="0"/>
    <n v="0"/>
    <n v="1"/>
    <n v="0"/>
    <x v="3"/>
    <s v="Female"/>
    <n v="1"/>
    <n v="94"/>
    <n v="1"/>
    <n v="5"/>
    <s v="Manager"/>
    <n v="0"/>
    <n v="0"/>
    <n v="0"/>
    <n v="1"/>
    <n v="0"/>
    <n v="0"/>
    <n v="0"/>
    <n v="0"/>
    <n v="2"/>
    <x v="0"/>
    <n v="1"/>
    <n v="0"/>
    <n v="18824"/>
    <n v="18824"/>
    <n v="2"/>
    <x v="0"/>
    <n v="1"/>
    <n v="16"/>
    <n v="3"/>
    <n v="1"/>
    <n v="0"/>
    <n v="26"/>
    <n v="26"/>
    <n v="2"/>
    <n v="3"/>
    <n v="24"/>
    <n v="24"/>
    <n v="10"/>
    <n v="1"/>
    <n v="1"/>
    <n v="11"/>
    <n v="11"/>
    <n v="55"/>
  </r>
  <r>
    <n v="55"/>
    <n v="55"/>
    <x v="1"/>
    <n v="0"/>
    <s v="Non-Travel"/>
    <n v="0"/>
    <n v="0"/>
    <x v="1"/>
    <n v="1"/>
    <n v="0"/>
    <n v="8"/>
    <n v="8"/>
    <n v="1"/>
    <s v="Medical"/>
    <n v="0"/>
    <n v="0"/>
    <n v="1"/>
    <n v="0"/>
    <n v="0"/>
    <x v="2"/>
    <s v="Male"/>
    <n v="0"/>
    <n v="37"/>
    <n v="2"/>
    <n v="4"/>
    <s v="Healthcare Representative"/>
    <n v="1"/>
    <n v="0"/>
    <n v="0"/>
    <n v="0"/>
    <n v="0"/>
    <n v="0"/>
    <n v="0"/>
    <n v="0"/>
    <n v="2"/>
    <x v="2"/>
    <n v="0"/>
    <n v="0"/>
    <n v="13577"/>
    <n v="13577"/>
    <n v="1"/>
    <x v="0"/>
    <n v="1"/>
    <n v="15"/>
    <n v="3"/>
    <n v="4"/>
    <n v="1"/>
    <n v="34"/>
    <n v="34"/>
    <n v="3"/>
    <n v="3"/>
    <n v="33"/>
    <n v="31"/>
    <n v="9"/>
    <n v="15"/>
    <n v="14"/>
    <n v="0"/>
    <n v="0"/>
    <n v="0"/>
  </r>
  <r>
    <n v="21"/>
    <n v="21"/>
    <x v="0"/>
    <n v="1"/>
    <s v="Travel_Frequently"/>
    <n v="1"/>
    <n v="0"/>
    <x v="1"/>
    <n v="1"/>
    <n v="0"/>
    <n v="10"/>
    <n v="10"/>
    <n v="2"/>
    <s v="Life Sciences"/>
    <n v="1"/>
    <n v="0"/>
    <n v="0"/>
    <n v="0"/>
    <n v="0"/>
    <x v="3"/>
    <s v="Female"/>
    <n v="1"/>
    <n v="45"/>
    <n v="2"/>
    <n v="1"/>
    <s v="Laboratory Technician"/>
    <n v="0"/>
    <n v="0"/>
    <n v="1"/>
    <n v="0"/>
    <n v="0"/>
    <n v="0"/>
    <n v="0"/>
    <n v="0"/>
    <n v="3"/>
    <x v="0"/>
    <n v="1"/>
    <n v="0"/>
    <n v="2625"/>
    <n v="2625"/>
    <n v="1"/>
    <x v="1"/>
    <n v="0"/>
    <n v="20"/>
    <n v="4"/>
    <n v="3"/>
    <n v="0"/>
    <n v="2"/>
    <n v="2"/>
    <n v="2"/>
    <n v="1"/>
    <n v="2"/>
    <n v="2"/>
    <n v="2"/>
    <n v="2"/>
    <n v="2"/>
    <n v="2"/>
    <n v="2"/>
    <n v="2"/>
  </r>
  <r>
    <n v="46"/>
    <n v="46"/>
    <x v="1"/>
    <n v="0"/>
    <s v="Travel_Rarely"/>
    <n v="0"/>
    <n v="1"/>
    <x v="0"/>
    <n v="0"/>
    <n v="1"/>
    <n v="4"/>
    <n v="4"/>
    <n v="2"/>
    <s v="Marketing"/>
    <n v="0"/>
    <n v="0"/>
    <n v="0"/>
    <n v="1"/>
    <n v="0"/>
    <x v="2"/>
    <s v="Female"/>
    <n v="1"/>
    <n v="33"/>
    <n v="2"/>
    <n v="5"/>
    <s v="Manager"/>
    <n v="0"/>
    <n v="0"/>
    <n v="0"/>
    <n v="1"/>
    <n v="0"/>
    <n v="0"/>
    <n v="0"/>
    <n v="0"/>
    <n v="2"/>
    <x v="1"/>
    <n v="0"/>
    <n v="1"/>
    <n v="18789"/>
    <n v="18789"/>
    <n v="2"/>
    <x v="1"/>
    <n v="0"/>
    <n v="14"/>
    <n v="3"/>
    <n v="3"/>
    <n v="1"/>
    <n v="26"/>
    <n v="26"/>
    <n v="2"/>
    <n v="3"/>
    <n v="11"/>
    <n v="11"/>
    <n v="4"/>
    <n v="0"/>
    <n v="0"/>
    <n v="8"/>
    <n v="8"/>
    <n v="40"/>
  </r>
  <r>
    <n v="34"/>
    <n v="34"/>
    <x v="1"/>
    <n v="0"/>
    <s v="Travel_Rarely"/>
    <n v="0"/>
    <n v="1"/>
    <x v="0"/>
    <n v="0"/>
    <n v="1"/>
    <n v="2"/>
    <n v="2"/>
    <n v="3"/>
    <s v="Marketing"/>
    <n v="0"/>
    <n v="0"/>
    <n v="0"/>
    <n v="1"/>
    <n v="0"/>
    <x v="1"/>
    <s v="Female"/>
    <n v="1"/>
    <n v="86"/>
    <n v="3"/>
    <n v="2"/>
    <s v="Sales Executive"/>
    <n v="0"/>
    <n v="1"/>
    <n v="0"/>
    <n v="0"/>
    <n v="0"/>
    <n v="0"/>
    <n v="0"/>
    <n v="0"/>
    <n v="1"/>
    <x v="0"/>
    <n v="1"/>
    <n v="0"/>
    <n v="4538"/>
    <n v="4538"/>
    <n v="0"/>
    <x v="0"/>
    <n v="1"/>
    <n v="12"/>
    <n v="3"/>
    <n v="4"/>
    <n v="0"/>
    <n v="4"/>
    <n v="4"/>
    <n v="3"/>
    <n v="3"/>
    <n v="3"/>
    <n v="3"/>
    <n v="2"/>
    <n v="0"/>
    <n v="0"/>
    <n v="2"/>
    <n v="2"/>
    <n v="4"/>
  </r>
  <r>
    <n v="51"/>
    <n v="51"/>
    <x v="1"/>
    <n v="0"/>
    <s v="Travel_Frequently"/>
    <n v="1"/>
    <n v="0"/>
    <x v="0"/>
    <n v="0"/>
    <n v="1"/>
    <n v="9"/>
    <n v="9"/>
    <n v="3"/>
    <s v="Life Sciences"/>
    <n v="1"/>
    <n v="0"/>
    <n v="0"/>
    <n v="0"/>
    <n v="0"/>
    <x v="2"/>
    <s v="Male"/>
    <n v="0"/>
    <n v="83"/>
    <n v="3"/>
    <n v="5"/>
    <s v="Manager"/>
    <n v="0"/>
    <n v="0"/>
    <n v="0"/>
    <n v="1"/>
    <n v="0"/>
    <n v="0"/>
    <n v="0"/>
    <n v="0"/>
    <n v="2"/>
    <x v="2"/>
    <n v="0"/>
    <n v="0"/>
    <n v="19847"/>
    <n v="19626.310000000001"/>
    <n v="4"/>
    <x v="0"/>
    <n v="1"/>
    <n v="24"/>
    <n v="4"/>
    <n v="1"/>
    <n v="1"/>
    <n v="31"/>
    <n v="31"/>
    <n v="5"/>
    <n v="2"/>
    <n v="29"/>
    <n v="29"/>
    <n v="10"/>
    <n v="11"/>
    <n v="11"/>
    <n v="10"/>
    <n v="10"/>
    <n v="50"/>
  </r>
  <r>
    <n v="59"/>
    <n v="58.309999999999945"/>
    <x v="1"/>
    <n v="0"/>
    <s v="Travel_Rarely"/>
    <n v="0"/>
    <n v="1"/>
    <x v="1"/>
    <n v="1"/>
    <n v="0"/>
    <n v="18"/>
    <n v="18"/>
    <n v="4"/>
    <s v="Medical"/>
    <n v="0"/>
    <n v="0"/>
    <n v="1"/>
    <n v="0"/>
    <n v="0"/>
    <x v="2"/>
    <s v="Male"/>
    <n v="0"/>
    <n v="67"/>
    <n v="3"/>
    <n v="3"/>
    <s v="Manufacturing Director"/>
    <n v="0"/>
    <n v="0"/>
    <n v="0"/>
    <n v="0"/>
    <n v="1"/>
    <n v="1"/>
    <n v="0"/>
    <n v="0"/>
    <n v="4"/>
    <x v="0"/>
    <n v="1"/>
    <n v="0"/>
    <n v="10512"/>
    <n v="10512"/>
    <n v="6"/>
    <x v="1"/>
    <n v="0"/>
    <n v="12"/>
    <n v="3"/>
    <n v="4"/>
    <n v="0"/>
    <n v="25"/>
    <n v="25"/>
    <n v="6"/>
    <n v="2"/>
    <n v="9"/>
    <n v="9"/>
    <n v="7"/>
    <n v="5"/>
    <n v="5"/>
    <n v="4"/>
    <n v="4"/>
    <n v="12"/>
  </r>
  <r>
    <n v="34"/>
    <n v="34"/>
    <x v="1"/>
    <n v="0"/>
    <s v="Travel_Frequently"/>
    <n v="1"/>
    <n v="0"/>
    <x v="1"/>
    <n v="1"/>
    <n v="0"/>
    <n v="19"/>
    <n v="19"/>
    <n v="3"/>
    <s v="Medical"/>
    <n v="0"/>
    <n v="0"/>
    <n v="1"/>
    <n v="0"/>
    <n v="0"/>
    <x v="1"/>
    <s v="Female"/>
    <n v="1"/>
    <n v="46"/>
    <n v="3"/>
    <n v="2"/>
    <s v="Laboratory Technician"/>
    <n v="0"/>
    <n v="0"/>
    <n v="1"/>
    <n v="0"/>
    <n v="0"/>
    <n v="0"/>
    <n v="0"/>
    <n v="0"/>
    <n v="2"/>
    <x v="2"/>
    <n v="0"/>
    <n v="0"/>
    <n v="4444"/>
    <n v="4444"/>
    <n v="4"/>
    <x v="1"/>
    <n v="0"/>
    <n v="13"/>
    <n v="3"/>
    <n v="3"/>
    <n v="2"/>
    <n v="15"/>
    <n v="15"/>
    <n v="2"/>
    <n v="4"/>
    <n v="11"/>
    <n v="11"/>
    <n v="8"/>
    <n v="5"/>
    <n v="5"/>
    <n v="10"/>
    <n v="10"/>
    <n v="20"/>
  </r>
  <r>
    <n v="28"/>
    <n v="28"/>
    <x v="1"/>
    <n v="0"/>
    <s v="Travel_Frequently"/>
    <n v="1"/>
    <n v="0"/>
    <x v="1"/>
    <n v="1"/>
    <n v="0"/>
    <n v="1"/>
    <n v="1"/>
    <n v="4"/>
    <s v="Medical"/>
    <n v="0"/>
    <n v="0"/>
    <n v="1"/>
    <n v="0"/>
    <n v="0"/>
    <x v="2"/>
    <s v="Male"/>
    <n v="0"/>
    <n v="44"/>
    <n v="3"/>
    <n v="1"/>
    <s v="Laboratory Technician"/>
    <n v="0"/>
    <n v="0"/>
    <n v="1"/>
    <n v="0"/>
    <n v="0"/>
    <n v="0"/>
    <n v="0"/>
    <n v="0"/>
    <n v="3"/>
    <x v="0"/>
    <n v="1"/>
    <n v="0"/>
    <n v="2154"/>
    <n v="2154"/>
    <n v="0"/>
    <x v="0"/>
    <n v="1"/>
    <n v="11"/>
    <n v="3"/>
    <n v="3"/>
    <n v="0"/>
    <n v="5"/>
    <n v="5"/>
    <n v="2"/>
    <n v="2"/>
    <n v="4"/>
    <n v="4"/>
    <n v="2"/>
    <n v="0"/>
    <n v="0"/>
    <n v="2"/>
    <n v="2"/>
    <n v="2"/>
  </r>
  <r>
    <n v="44"/>
    <n v="44"/>
    <x v="1"/>
    <n v="0"/>
    <s v="Travel_Rarely"/>
    <n v="0"/>
    <n v="1"/>
    <x v="1"/>
    <n v="1"/>
    <n v="0"/>
    <n v="4"/>
    <n v="4"/>
    <n v="2"/>
    <s v="Life Sciences"/>
    <n v="1"/>
    <n v="0"/>
    <n v="0"/>
    <n v="0"/>
    <n v="0"/>
    <x v="1"/>
    <s v="Male"/>
    <n v="0"/>
    <n v="92"/>
    <n v="4"/>
    <n v="5"/>
    <s v="Manager"/>
    <n v="0"/>
    <n v="0"/>
    <n v="0"/>
    <n v="1"/>
    <n v="0"/>
    <n v="0"/>
    <n v="0"/>
    <n v="0"/>
    <n v="1"/>
    <x v="2"/>
    <n v="0"/>
    <n v="0"/>
    <n v="19190"/>
    <n v="19190"/>
    <n v="1"/>
    <x v="1"/>
    <n v="0"/>
    <n v="14"/>
    <n v="3"/>
    <n v="4"/>
    <n v="2"/>
    <n v="26"/>
    <n v="26"/>
    <n v="4"/>
    <n v="2"/>
    <n v="25"/>
    <n v="25"/>
    <n v="9"/>
    <n v="14"/>
    <n v="14"/>
    <n v="13"/>
    <n v="13"/>
    <n v="65"/>
  </r>
  <r>
    <n v="34"/>
    <n v="34"/>
    <x v="1"/>
    <n v="0"/>
    <s v="Travel_Frequently"/>
    <n v="1"/>
    <n v="0"/>
    <x v="2"/>
    <n v="0"/>
    <n v="0"/>
    <n v="11"/>
    <n v="11"/>
    <n v="3"/>
    <s v="Life Sciences"/>
    <n v="1"/>
    <n v="0"/>
    <n v="0"/>
    <n v="0"/>
    <n v="0"/>
    <x v="1"/>
    <s v="Male"/>
    <n v="0"/>
    <n v="56"/>
    <n v="2"/>
    <n v="2"/>
    <s v="Human Resources"/>
    <n v="0"/>
    <n v="0"/>
    <n v="0"/>
    <n v="0"/>
    <n v="0"/>
    <n v="0"/>
    <n v="0"/>
    <n v="0"/>
    <n v="2"/>
    <x v="1"/>
    <n v="0"/>
    <n v="1"/>
    <n v="4490"/>
    <n v="4490"/>
    <n v="4"/>
    <x v="1"/>
    <n v="0"/>
    <n v="11"/>
    <n v="3"/>
    <n v="4"/>
    <n v="2"/>
    <n v="14"/>
    <n v="14"/>
    <n v="5"/>
    <n v="4"/>
    <n v="10"/>
    <n v="10"/>
    <n v="9"/>
    <n v="1"/>
    <n v="1"/>
    <n v="8"/>
    <n v="8"/>
    <n v="16"/>
  </r>
  <r>
    <n v="35"/>
    <n v="35"/>
    <x v="1"/>
    <n v="0"/>
    <s v="Travel_Rarely"/>
    <n v="0"/>
    <n v="1"/>
    <x v="1"/>
    <n v="1"/>
    <n v="0"/>
    <n v="6"/>
    <n v="6"/>
    <n v="1"/>
    <s v="Life Sciences"/>
    <n v="1"/>
    <n v="0"/>
    <n v="0"/>
    <n v="0"/>
    <n v="0"/>
    <x v="1"/>
    <s v="Male"/>
    <n v="0"/>
    <n v="66"/>
    <n v="3"/>
    <n v="1"/>
    <s v="Research Scientist"/>
    <n v="0"/>
    <n v="0"/>
    <n v="0"/>
    <n v="0"/>
    <n v="0"/>
    <n v="0"/>
    <n v="0"/>
    <n v="1"/>
    <n v="3"/>
    <x v="1"/>
    <n v="0"/>
    <n v="1"/>
    <n v="3506"/>
    <n v="3506"/>
    <n v="0"/>
    <x v="0"/>
    <n v="1"/>
    <n v="14"/>
    <n v="3"/>
    <n v="4"/>
    <n v="0"/>
    <n v="4"/>
    <n v="4"/>
    <n v="3"/>
    <n v="3"/>
    <n v="3"/>
    <n v="3"/>
    <n v="2"/>
    <n v="2"/>
    <n v="2"/>
    <n v="2"/>
    <n v="2"/>
    <n v="2"/>
  </r>
  <r>
    <n v="42"/>
    <n v="42"/>
    <x v="1"/>
    <n v="0"/>
    <s v="Travel_Rarely"/>
    <n v="0"/>
    <n v="1"/>
    <x v="1"/>
    <n v="1"/>
    <n v="0"/>
    <n v="7"/>
    <n v="7"/>
    <n v="4"/>
    <s v="Medical"/>
    <n v="0"/>
    <n v="0"/>
    <n v="1"/>
    <n v="0"/>
    <n v="0"/>
    <x v="0"/>
    <s v="Female"/>
    <n v="1"/>
    <n v="78"/>
    <n v="4"/>
    <n v="2"/>
    <s v="Research Scientist"/>
    <n v="0"/>
    <n v="0"/>
    <n v="0"/>
    <n v="0"/>
    <n v="0"/>
    <n v="0"/>
    <n v="0"/>
    <n v="1"/>
    <n v="2"/>
    <x v="1"/>
    <n v="0"/>
    <n v="1"/>
    <n v="2372"/>
    <n v="2372"/>
    <n v="6"/>
    <x v="0"/>
    <n v="1"/>
    <n v="16"/>
    <n v="3"/>
    <n v="4"/>
    <n v="0"/>
    <n v="18"/>
    <n v="18"/>
    <n v="2"/>
    <n v="3"/>
    <n v="1"/>
    <n v="1"/>
    <n v="0"/>
    <n v="0"/>
    <n v="0"/>
    <n v="0"/>
    <n v="0"/>
    <n v="0"/>
  </r>
  <r>
    <n v="43"/>
    <n v="43"/>
    <x v="1"/>
    <n v="0"/>
    <s v="Travel_Rarely"/>
    <n v="0"/>
    <n v="1"/>
    <x v="0"/>
    <n v="0"/>
    <n v="1"/>
    <n v="4"/>
    <n v="4"/>
    <n v="4"/>
    <s v="Marketing"/>
    <n v="0"/>
    <n v="0"/>
    <n v="0"/>
    <n v="1"/>
    <n v="0"/>
    <x v="2"/>
    <s v="Female"/>
    <n v="1"/>
    <n v="56"/>
    <n v="2"/>
    <n v="3"/>
    <s v="Sales Executive"/>
    <n v="0"/>
    <n v="1"/>
    <n v="0"/>
    <n v="0"/>
    <n v="0"/>
    <n v="0"/>
    <n v="0"/>
    <n v="0"/>
    <n v="4"/>
    <x v="0"/>
    <n v="1"/>
    <n v="0"/>
    <n v="10231"/>
    <n v="10231"/>
    <n v="3"/>
    <x v="1"/>
    <n v="0"/>
    <n v="14"/>
    <n v="3"/>
    <n v="4"/>
    <n v="0"/>
    <n v="23"/>
    <n v="23"/>
    <n v="3"/>
    <n v="4"/>
    <n v="21"/>
    <n v="21"/>
    <n v="7"/>
    <n v="15"/>
    <n v="14"/>
    <n v="17"/>
    <n v="14"/>
    <n v="42"/>
  </r>
  <r>
    <n v="36"/>
    <n v="36"/>
    <x v="1"/>
    <n v="0"/>
    <s v="Travel_Rarely"/>
    <n v="0"/>
    <n v="1"/>
    <x v="1"/>
    <n v="1"/>
    <n v="0"/>
    <n v="2"/>
    <n v="2"/>
    <n v="4"/>
    <s v="Life Sciences"/>
    <n v="1"/>
    <n v="0"/>
    <n v="0"/>
    <n v="0"/>
    <n v="0"/>
    <x v="1"/>
    <s v="Female"/>
    <n v="1"/>
    <n v="53"/>
    <n v="3"/>
    <n v="2"/>
    <s v="Manufacturing Director"/>
    <n v="0"/>
    <n v="0"/>
    <n v="0"/>
    <n v="0"/>
    <n v="1"/>
    <n v="1"/>
    <n v="0"/>
    <n v="0"/>
    <n v="2"/>
    <x v="0"/>
    <n v="1"/>
    <n v="0"/>
    <n v="5410"/>
    <n v="5410"/>
    <n v="9"/>
    <x v="0"/>
    <n v="1"/>
    <n v="11"/>
    <n v="3"/>
    <n v="4"/>
    <n v="0"/>
    <n v="18"/>
    <n v="18"/>
    <n v="2"/>
    <n v="3"/>
    <n v="16"/>
    <n v="16"/>
    <n v="14"/>
    <n v="5"/>
    <n v="5"/>
    <n v="12"/>
    <n v="12"/>
    <n v="24"/>
  </r>
  <r>
    <n v="44"/>
    <n v="44"/>
    <x v="0"/>
    <n v="1"/>
    <s v="Travel_Rarely"/>
    <n v="0"/>
    <n v="1"/>
    <x v="1"/>
    <n v="1"/>
    <n v="0"/>
    <n v="15"/>
    <n v="15"/>
    <n v="3"/>
    <s v="Medical"/>
    <n v="0"/>
    <n v="0"/>
    <n v="1"/>
    <n v="0"/>
    <n v="0"/>
    <x v="3"/>
    <s v="Female"/>
    <n v="1"/>
    <n v="73"/>
    <n v="3"/>
    <n v="3"/>
    <s v="Healthcare Representative"/>
    <n v="1"/>
    <n v="0"/>
    <n v="0"/>
    <n v="0"/>
    <n v="0"/>
    <n v="0"/>
    <n v="0"/>
    <n v="0"/>
    <n v="4"/>
    <x v="1"/>
    <n v="0"/>
    <n v="1"/>
    <n v="7978"/>
    <n v="7978"/>
    <n v="1"/>
    <x v="1"/>
    <n v="0"/>
    <n v="11"/>
    <n v="3"/>
    <n v="4"/>
    <n v="1"/>
    <n v="10"/>
    <n v="10"/>
    <n v="2"/>
    <n v="3"/>
    <n v="10"/>
    <n v="10"/>
    <n v="7"/>
    <n v="0"/>
    <n v="0"/>
    <n v="5"/>
    <n v="5"/>
    <n v="15"/>
  </r>
  <r>
    <n v="28"/>
    <n v="28"/>
    <x v="1"/>
    <n v="0"/>
    <s v="Travel_Frequently"/>
    <n v="1"/>
    <n v="0"/>
    <x v="1"/>
    <n v="1"/>
    <n v="0"/>
    <n v="2"/>
    <n v="2"/>
    <n v="3"/>
    <s v="Life Sciences"/>
    <n v="1"/>
    <n v="0"/>
    <n v="0"/>
    <n v="0"/>
    <n v="0"/>
    <x v="2"/>
    <s v="Male"/>
    <n v="0"/>
    <n v="52"/>
    <n v="2"/>
    <n v="1"/>
    <s v="Laboratory Technician"/>
    <n v="0"/>
    <n v="0"/>
    <n v="1"/>
    <n v="0"/>
    <n v="0"/>
    <n v="0"/>
    <n v="0"/>
    <n v="0"/>
    <n v="4"/>
    <x v="1"/>
    <n v="0"/>
    <n v="1"/>
    <n v="3867"/>
    <n v="3867"/>
    <n v="1"/>
    <x v="0"/>
    <n v="1"/>
    <n v="12"/>
    <n v="3"/>
    <n v="2"/>
    <n v="1"/>
    <n v="2"/>
    <n v="2"/>
    <n v="2"/>
    <n v="3"/>
    <n v="2"/>
    <n v="2"/>
    <n v="2"/>
    <n v="2"/>
    <n v="2"/>
    <n v="2"/>
    <n v="2"/>
    <n v="2"/>
  </r>
  <r>
    <n v="51"/>
    <n v="51"/>
    <x v="1"/>
    <n v="0"/>
    <s v="Travel_Frequently"/>
    <n v="1"/>
    <n v="0"/>
    <x v="1"/>
    <n v="1"/>
    <n v="0"/>
    <n v="6"/>
    <n v="6"/>
    <n v="2"/>
    <s v="Medical"/>
    <n v="0"/>
    <n v="0"/>
    <n v="1"/>
    <n v="0"/>
    <n v="0"/>
    <x v="0"/>
    <s v="Female"/>
    <n v="1"/>
    <n v="40"/>
    <n v="2"/>
    <n v="1"/>
    <s v="Laboratory Technician"/>
    <n v="0"/>
    <n v="0"/>
    <n v="1"/>
    <n v="0"/>
    <n v="0"/>
    <n v="0"/>
    <n v="0"/>
    <n v="0"/>
    <n v="3"/>
    <x v="0"/>
    <n v="1"/>
    <n v="0"/>
    <n v="2838"/>
    <n v="2838"/>
    <n v="0"/>
    <x v="1"/>
    <n v="0"/>
    <n v="14"/>
    <n v="3"/>
    <n v="2"/>
    <n v="0"/>
    <n v="8"/>
    <n v="8"/>
    <n v="6"/>
    <n v="2"/>
    <n v="7"/>
    <n v="7"/>
    <n v="0"/>
    <n v="7"/>
    <n v="7"/>
    <n v="7"/>
    <n v="7"/>
    <n v="7"/>
  </r>
  <r>
    <n v="30"/>
    <n v="30"/>
    <x v="1"/>
    <n v="0"/>
    <s v="Non-Travel"/>
    <n v="0"/>
    <n v="0"/>
    <x v="1"/>
    <n v="1"/>
    <n v="0"/>
    <n v="9"/>
    <n v="9"/>
    <n v="2"/>
    <s v="Medical"/>
    <n v="0"/>
    <n v="0"/>
    <n v="1"/>
    <n v="0"/>
    <n v="0"/>
    <x v="1"/>
    <s v="Female"/>
    <n v="1"/>
    <n v="72"/>
    <n v="3"/>
    <n v="2"/>
    <s v="Manufacturing Director"/>
    <n v="0"/>
    <n v="0"/>
    <n v="0"/>
    <n v="0"/>
    <n v="1"/>
    <n v="1"/>
    <n v="0"/>
    <n v="0"/>
    <n v="3"/>
    <x v="0"/>
    <n v="1"/>
    <n v="0"/>
    <n v="4695"/>
    <n v="4695"/>
    <n v="7"/>
    <x v="0"/>
    <n v="1"/>
    <n v="18"/>
    <n v="3"/>
    <n v="3"/>
    <n v="0"/>
    <n v="10"/>
    <n v="10"/>
    <n v="3"/>
    <n v="3"/>
    <n v="8"/>
    <n v="8"/>
    <n v="4"/>
    <n v="1"/>
    <n v="1"/>
    <n v="7"/>
    <n v="7"/>
    <n v="14"/>
  </r>
  <r>
    <n v="29"/>
    <n v="29"/>
    <x v="0"/>
    <n v="1"/>
    <s v="Travel_Rarely"/>
    <n v="0"/>
    <n v="1"/>
    <x v="1"/>
    <n v="1"/>
    <n v="0"/>
    <n v="7"/>
    <n v="7"/>
    <n v="3"/>
    <s v="Technical Degree"/>
    <n v="0"/>
    <n v="0"/>
    <n v="0"/>
    <n v="0"/>
    <n v="1"/>
    <x v="0"/>
    <s v="Female"/>
    <n v="1"/>
    <n v="39"/>
    <n v="3"/>
    <n v="1"/>
    <s v="Laboratory Technician"/>
    <n v="0"/>
    <n v="0"/>
    <n v="1"/>
    <n v="0"/>
    <n v="0"/>
    <n v="0"/>
    <n v="0"/>
    <n v="0"/>
    <n v="3"/>
    <x v="2"/>
    <n v="0"/>
    <n v="0"/>
    <n v="3339"/>
    <n v="3339"/>
    <n v="3"/>
    <x v="0"/>
    <n v="1"/>
    <n v="13"/>
    <n v="3"/>
    <n v="1"/>
    <n v="2"/>
    <n v="10"/>
    <n v="10"/>
    <n v="2"/>
    <n v="3"/>
    <n v="7"/>
    <n v="7"/>
    <n v="7"/>
    <n v="7"/>
    <n v="7"/>
    <n v="7"/>
    <n v="7"/>
    <n v="7"/>
  </r>
  <r>
    <n v="28"/>
    <n v="28"/>
    <x v="1"/>
    <n v="0"/>
    <s v="Travel_Rarely"/>
    <n v="0"/>
    <n v="1"/>
    <x v="1"/>
    <n v="1"/>
    <n v="0"/>
    <n v="1"/>
    <n v="1"/>
    <n v="3"/>
    <s v="Technical Degree"/>
    <n v="0"/>
    <n v="0"/>
    <n v="0"/>
    <n v="0"/>
    <n v="1"/>
    <x v="2"/>
    <s v="Male"/>
    <n v="0"/>
    <n v="84"/>
    <n v="3"/>
    <n v="1"/>
    <s v="Research Scientist"/>
    <n v="0"/>
    <n v="0"/>
    <n v="0"/>
    <n v="0"/>
    <n v="0"/>
    <n v="0"/>
    <n v="0"/>
    <n v="1"/>
    <n v="1"/>
    <x v="0"/>
    <n v="1"/>
    <n v="0"/>
    <n v="2080"/>
    <n v="2080"/>
    <n v="2"/>
    <x v="1"/>
    <n v="0"/>
    <n v="11"/>
    <n v="3"/>
    <n v="2"/>
    <n v="0"/>
    <n v="5"/>
    <n v="5"/>
    <n v="2"/>
    <n v="2"/>
    <n v="3"/>
    <n v="3"/>
    <n v="2"/>
    <n v="1"/>
    <n v="1"/>
    <n v="2"/>
    <n v="2"/>
    <n v="2"/>
  </r>
  <r>
    <n v="25"/>
    <n v="25"/>
    <x v="1"/>
    <n v="0"/>
    <s v="Travel_Rarely"/>
    <n v="0"/>
    <n v="1"/>
    <x v="1"/>
    <n v="1"/>
    <n v="0"/>
    <n v="1"/>
    <n v="1"/>
    <n v="3"/>
    <s v="Medical"/>
    <n v="0"/>
    <n v="0"/>
    <n v="1"/>
    <n v="0"/>
    <n v="0"/>
    <x v="2"/>
    <s v="Female"/>
    <n v="1"/>
    <n v="40"/>
    <n v="3"/>
    <n v="1"/>
    <s v="Research Scientist"/>
    <n v="0"/>
    <n v="0"/>
    <n v="0"/>
    <n v="0"/>
    <n v="0"/>
    <n v="0"/>
    <n v="0"/>
    <n v="1"/>
    <n v="2"/>
    <x v="0"/>
    <n v="1"/>
    <n v="0"/>
    <n v="2096"/>
    <n v="2096"/>
    <n v="1"/>
    <x v="1"/>
    <n v="0"/>
    <n v="18"/>
    <n v="3"/>
    <n v="4"/>
    <n v="0"/>
    <n v="2"/>
    <n v="2"/>
    <n v="3"/>
    <n v="2"/>
    <n v="2"/>
    <n v="2"/>
    <n v="2"/>
    <n v="2"/>
    <n v="2"/>
    <n v="1"/>
    <n v="1"/>
    <n v="1"/>
  </r>
  <r>
    <n v="32"/>
    <n v="32"/>
    <x v="1"/>
    <n v="0"/>
    <s v="Travel_Rarely"/>
    <n v="0"/>
    <n v="1"/>
    <x v="0"/>
    <n v="0"/>
    <n v="1"/>
    <n v="8"/>
    <n v="8"/>
    <n v="3"/>
    <s v="Medical"/>
    <n v="0"/>
    <n v="0"/>
    <n v="1"/>
    <n v="0"/>
    <n v="0"/>
    <x v="1"/>
    <s v="Male"/>
    <n v="0"/>
    <n v="56"/>
    <n v="4"/>
    <n v="2"/>
    <s v="Sales Executive"/>
    <n v="0"/>
    <n v="1"/>
    <n v="0"/>
    <n v="0"/>
    <n v="0"/>
    <n v="0"/>
    <n v="0"/>
    <n v="0"/>
    <n v="4"/>
    <x v="1"/>
    <n v="0"/>
    <n v="1"/>
    <n v="6209"/>
    <n v="6209"/>
    <n v="1"/>
    <x v="1"/>
    <n v="0"/>
    <n v="15"/>
    <n v="3"/>
    <n v="3"/>
    <n v="2"/>
    <n v="10"/>
    <n v="10"/>
    <n v="4"/>
    <n v="4"/>
    <n v="10"/>
    <n v="10"/>
    <n v="7"/>
    <n v="0"/>
    <n v="0"/>
    <n v="8"/>
    <n v="8"/>
    <n v="16"/>
  </r>
  <r>
    <n v="45"/>
    <n v="45"/>
    <x v="1"/>
    <n v="0"/>
    <s v="Travel_Frequently"/>
    <n v="1"/>
    <n v="0"/>
    <x v="1"/>
    <n v="1"/>
    <n v="0"/>
    <n v="25"/>
    <n v="25"/>
    <n v="3"/>
    <s v="Medical"/>
    <n v="0"/>
    <n v="0"/>
    <n v="1"/>
    <n v="0"/>
    <n v="0"/>
    <x v="0"/>
    <s v="Female"/>
    <n v="1"/>
    <n v="83"/>
    <n v="3"/>
    <n v="5"/>
    <s v="Manager"/>
    <n v="0"/>
    <n v="0"/>
    <n v="0"/>
    <n v="1"/>
    <n v="0"/>
    <n v="0"/>
    <n v="0"/>
    <n v="0"/>
    <n v="2"/>
    <x v="0"/>
    <n v="1"/>
    <n v="0"/>
    <n v="18061"/>
    <n v="18061"/>
    <n v="3"/>
    <x v="1"/>
    <n v="0"/>
    <n v="22"/>
    <n v="4"/>
    <n v="3"/>
    <n v="0"/>
    <n v="22"/>
    <n v="22"/>
    <n v="4"/>
    <n v="3"/>
    <n v="0"/>
    <n v="0"/>
    <n v="0"/>
    <n v="0"/>
    <n v="0"/>
    <n v="0"/>
    <n v="0"/>
    <n v="0"/>
  </r>
  <r>
    <n v="39"/>
    <n v="39"/>
    <x v="1"/>
    <n v="0"/>
    <s v="Travel_Rarely"/>
    <n v="0"/>
    <n v="1"/>
    <x v="1"/>
    <n v="1"/>
    <n v="0"/>
    <n v="13"/>
    <n v="13"/>
    <n v="4"/>
    <s v="Medical"/>
    <n v="0"/>
    <n v="0"/>
    <n v="1"/>
    <n v="0"/>
    <n v="0"/>
    <x v="1"/>
    <s v="Female"/>
    <n v="1"/>
    <n v="94"/>
    <n v="2"/>
    <n v="4"/>
    <s v="Manager"/>
    <n v="0"/>
    <n v="0"/>
    <n v="0"/>
    <n v="1"/>
    <n v="0"/>
    <n v="0"/>
    <n v="0"/>
    <n v="0"/>
    <n v="2"/>
    <x v="2"/>
    <n v="0"/>
    <n v="0"/>
    <n v="17123"/>
    <n v="17123"/>
    <n v="6"/>
    <x v="0"/>
    <n v="1"/>
    <n v="13"/>
    <n v="3"/>
    <n v="4"/>
    <n v="2"/>
    <n v="21"/>
    <n v="21"/>
    <n v="4"/>
    <n v="3"/>
    <n v="19"/>
    <n v="19"/>
    <n v="9"/>
    <n v="15"/>
    <n v="14"/>
    <n v="2"/>
    <n v="2"/>
    <n v="8"/>
  </r>
  <r>
    <n v="58"/>
    <n v="58"/>
    <x v="1"/>
    <n v="0"/>
    <s v="Travel_Rarely"/>
    <n v="0"/>
    <n v="1"/>
    <x v="1"/>
    <n v="1"/>
    <n v="0"/>
    <n v="23"/>
    <n v="23"/>
    <n v="4"/>
    <s v="Life Sciences"/>
    <n v="1"/>
    <n v="0"/>
    <n v="0"/>
    <n v="0"/>
    <n v="0"/>
    <x v="3"/>
    <s v="Male"/>
    <n v="0"/>
    <n v="88"/>
    <n v="3"/>
    <n v="1"/>
    <s v="Research Scientist"/>
    <n v="0"/>
    <n v="0"/>
    <n v="0"/>
    <n v="0"/>
    <n v="0"/>
    <n v="0"/>
    <n v="0"/>
    <n v="1"/>
    <n v="3"/>
    <x v="2"/>
    <n v="0"/>
    <n v="0"/>
    <n v="2372"/>
    <n v="2372"/>
    <n v="1"/>
    <x v="1"/>
    <n v="0"/>
    <n v="12"/>
    <n v="3"/>
    <n v="4"/>
    <n v="2"/>
    <n v="2"/>
    <n v="2"/>
    <n v="3"/>
    <n v="3"/>
    <n v="2"/>
    <n v="2"/>
    <n v="2"/>
    <n v="2"/>
    <n v="2"/>
    <n v="2"/>
    <n v="2"/>
    <n v="2"/>
  </r>
  <r>
    <n v="32"/>
    <n v="32"/>
    <x v="0"/>
    <n v="1"/>
    <s v="Travel_Rarely"/>
    <n v="0"/>
    <n v="1"/>
    <x v="1"/>
    <n v="1"/>
    <n v="0"/>
    <n v="7"/>
    <n v="7"/>
    <n v="2"/>
    <s v="Life Sciences"/>
    <n v="1"/>
    <n v="0"/>
    <n v="0"/>
    <n v="0"/>
    <n v="0"/>
    <x v="2"/>
    <s v="Male"/>
    <n v="0"/>
    <n v="79"/>
    <n v="3"/>
    <n v="2"/>
    <s v="Laboratory Technician"/>
    <n v="0"/>
    <n v="0"/>
    <n v="1"/>
    <n v="0"/>
    <n v="0"/>
    <n v="0"/>
    <n v="0"/>
    <n v="0"/>
    <n v="3"/>
    <x v="1"/>
    <n v="0"/>
    <n v="1"/>
    <n v="4883"/>
    <n v="4883"/>
    <n v="1"/>
    <x v="1"/>
    <n v="0"/>
    <n v="18"/>
    <n v="3"/>
    <n v="1"/>
    <n v="1"/>
    <n v="10"/>
    <n v="10"/>
    <n v="3"/>
    <n v="3"/>
    <n v="10"/>
    <n v="10"/>
    <n v="4"/>
    <n v="1"/>
    <n v="1"/>
    <n v="1"/>
    <n v="1"/>
    <n v="2"/>
  </r>
  <r>
    <n v="39"/>
    <n v="39"/>
    <x v="0"/>
    <n v="1"/>
    <s v="Travel_Rarely"/>
    <n v="0"/>
    <n v="1"/>
    <x v="1"/>
    <n v="1"/>
    <n v="0"/>
    <n v="23"/>
    <n v="23"/>
    <n v="3"/>
    <s v="Medical"/>
    <n v="0"/>
    <n v="0"/>
    <n v="1"/>
    <n v="0"/>
    <n v="0"/>
    <x v="1"/>
    <s v="Male"/>
    <n v="0"/>
    <n v="93"/>
    <n v="3"/>
    <n v="1"/>
    <s v="Research Scientist"/>
    <n v="0"/>
    <n v="0"/>
    <n v="0"/>
    <n v="0"/>
    <n v="0"/>
    <n v="0"/>
    <n v="0"/>
    <n v="1"/>
    <n v="1"/>
    <x v="0"/>
    <n v="1"/>
    <n v="0"/>
    <n v="3904"/>
    <n v="3904"/>
    <n v="0"/>
    <x v="1"/>
    <n v="0"/>
    <n v="13"/>
    <n v="3"/>
    <n v="1"/>
    <n v="0"/>
    <n v="6"/>
    <n v="6"/>
    <n v="2"/>
    <n v="3"/>
    <n v="5"/>
    <n v="5"/>
    <n v="2"/>
    <n v="0"/>
    <n v="0"/>
    <n v="3"/>
    <n v="3"/>
    <n v="3"/>
  </r>
  <r>
    <n v="30"/>
    <n v="30"/>
    <x v="1"/>
    <n v="0"/>
    <s v="Travel_Rarely"/>
    <n v="0"/>
    <n v="1"/>
    <x v="1"/>
    <n v="1"/>
    <n v="0"/>
    <n v="6"/>
    <n v="6"/>
    <n v="3"/>
    <s v="Technical Degree"/>
    <n v="0"/>
    <n v="0"/>
    <n v="0"/>
    <n v="0"/>
    <n v="1"/>
    <x v="3"/>
    <s v="Female"/>
    <n v="1"/>
    <n v="48"/>
    <n v="2"/>
    <n v="2"/>
    <s v="Laboratory Technician"/>
    <n v="0"/>
    <n v="0"/>
    <n v="1"/>
    <n v="0"/>
    <n v="0"/>
    <n v="0"/>
    <n v="0"/>
    <n v="0"/>
    <n v="4"/>
    <x v="1"/>
    <n v="0"/>
    <n v="1"/>
    <n v="4627"/>
    <n v="4627"/>
    <n v="0"/>
    <x v="1"/>
    <n v="0"/>
    <n v="12"/>
    <n v="3"/>
    <n v="1"/>
    <n v="1"/>
    <n v="10"/>
    <n v="10"/>
    <n v="6"/>
    <n v="3"/>
    <n v="9"/>
    <n v="9"/>
    <n v="2"/>
    <n v="6"/>
    <n v="6"/>
    <n v="7"/>
    <n v="7"/>
    <n v="14"/>
  </r>
  <r>
    <n v="36"/>
    <n v="36"/>
    <x v="1"/>
    <n v="0"/>
    <s v="Travel_Rarely"/>
    <n v="0"/>
    <n v="1"/>
    <x v="1"/>
    <n v="1"/>
    <n v="0"/>
    <n v="10"/>
    <n v="10"/>
    <n v="4"/>
    <s v="Technical Degree"/>
    <n v="0"/>
    <n v="0"/>
    <n v="0"/>
    <n v="0"/>
    <n v="1"/>
    <x v="2"/>
    <s v="Female"/>
    <n v="1"/>
    <n v="63"/>
    <n v="3"/>
    <n v="3"/>
    <s v="Healthcare Representative"/>
    <n v="1"/>
    <n v="0"/>
    <n v="0"/>
    <n v="0"/>
    <n v="0"/>
    <n v="0"/>
    <n v="0"/>
    <n v="0"/>
    <n v="3"/>
    <x v="1"/>
    <n v="0"/>
    <n v="1"/>
    <n v="7094"/>
    <n v="7094"/>
    <n v="3"/>
    <x v="1"/>
    <n v="0"/>
    <n v="12"/>
    <n v="3"/>
    <n v="1"/>
    <n v="0"/>
    <n v="10"/>
    <n v="10"/>
    <n v="0"/>
    <n v="3"/>
    <n v="7"/>
    <n v="7"/>
    <n v="7"/>
    <n v="1"/>
    <n v="1"/>
    <n v="7"/>
    <n v="7"/>
    <n v="21"/>
  </r>
  <r>
    <n v="46"/>
    <n v="46"/>
    <x v="1"/>
    <n v="0"/>
    <s v="Travel_Rarely"/>
    <n v="0"/>
    <n v="1"/>
    <x v="2"/>
    <n v="0"/>
    <n v="0"/>
    <n v="1"/>
    <n v="1"/>
    <n v="2"/>
    <s v="Life Sciences"/>
    <n v="1"/>
    <n v="0"/>
    <n v="0"/>
    <n v="0"/>
    <n v="0"/>
    <x v="2"/>
    <s v="Female"/>
    <n v="1"/>
    <n v="44"/>
    <n v="3"/>
    <n v="1"/>
    <s v="Human Resources"/>
    <n v="0"/>
    <n v="0"/>
    <n v="0"/>
    <n v="0"/>
    <n v="0"/>
    <n v="0"/>
    <n v="0"/>
    <n v="0"/>
    <n v="1"/>
    <x v="0"/>
    <n v="1"/>
    <n v="0"/>
    <n v="3423"/>
    <n v="3423"/>
    <n v="6"/>
    <x v="1"/>
    <n v="0"/>
    <n v="12"/>
    <n v="3"/>
    <n v="3"/>
    <n v="0"/>
    <n v="10"/>
    <n v="10"/>
    <n v="3"/>
    <n v="4"/>
    <n v="7"/>
    <n v="7"/>
    <n v="6"/>
    <n v="5"/>
    <n v="5"/>
    <n v="7"/>
    <n v="7"/>
    <n v="7"/>
  </r>
  <r>
    <n v="28"/>
    <n v="28"/>
    <x v="1"/>
    <n v="0"/>
    <s v="Non-Travel"/>
    <n v="0"/>
    <n v="0"/>
    <x v="1"/>
    <n v="1"/>
    <n v="0"/>
    <n v="1"/>
    <n v="1"/>
    <n v="3"/>
    <s v="Life Sciences"/>
    <n v="1"/>
    <n v="0"/>
    <n v="0"/>
    <n v="0"/>
    <n v="0"/>
    <x v="1"/>
    <s v="Female"/>
    <n v="1"/>
    <n v="55"/>
    <n v="1"/>
    <n v="2"/>
    <s v="Laboratory Technician"/>
    <n v="0"/>
    <n v="0"/>
    <n v="1"/>
    <n v="0"/>
    <n v="0"/>
    <n v="0"/>
    <n v="0"/>
    <n v="0"/>
    <n v="4"/>
    <x v="1"/>
    <n v="0"/>
    <n v="1"/>
    <n v="6674"/>
    <n v="6674"/>
    <n v="0"/>
    <x v="1"/>
    <n v="0"/>
    <n v="11"/>
    <n v="3"/>
    <n v="1"/>
    <n v="3"/>
    <n v="10"/>
    <n v="10"/>
    <n v="6"/>
    <n v="3"/>
    <n v="9"/>
    <n v="9"/>
    <n v="8"/>
    <n v="7"/>
    <n v="7"/>
    <n v="5"/>
    <n v="5"/>
    <n v="10"/>
  </r>
  <r>
    <n v="50"/>
    <n v="50"/>
    <x v="1"/>
    <n v="0"/>
    <s v="Travel_Rarely"/>
    <n v="0"/>
    <n v="1"/>
    <x v="1"/>
    <n v="1"/>
    <n v="0"/>
    <n v="28"/>
    <n v="28"/>
    <n v="3"/>
    <s v="Life Sciences"/>
    <n v="1"/>
    <n v="0"/>
    <n v="0"/>
    <n v="0"/>
    <n v="0"/>
    <x v="2"/>
    <s v="Female"/>
    <n v="1"/>
    <n v="43"/>
    <n v="3"/>
    <n v="4"/>
    <s v="Research Director"/>
    <n v="0"/>
    <n v="0"/>
    <n v="0"/>
    <n v="0"/>
    <n v="0"/>
    <n v="0"/>
    <n v="0"/>
    <n v="0"/>
    <n v="1"/>
    <x v="1"/>
    <n v="0"/>
    <n v="1"/>
    <n v="16880"/>
    <n v="16880"/>
    <n v="4"/>
    <x v="0"/>
    <n v="1"/>
    <n v="11"/>
    <n v="3"/>
    <n v="2"/>
    <n v="0"/>
    <n v="25"/>
    <n v="25"/>
    <n v="2"/>
    <n v="3"/>
    <n v="3"/>
    <n v="3"/>
    <n v="2"/>
    <n v="1"/>
    <n v="1"/>
    <n v="2"/>
    <n v="2"/>
    <n v="8"/>
  </r>
  <r>
    <n v="40"/>
    <n v="40"/>
    <x v="0"/>
    <n v="1"/>
    <s v="Travel_Rarely"/>
    <n v="0"/>
    <n v="1"/>
    <x v="0"/>
    <n v="0"/>
    <n v="1"/>
    <n v="25"/>
    <n v="25"/>
    <n v="4"/>
    <s v="Marketing"/>
    <n v="0"/>
    <n v="0"/>
    <n v="0"/>
    <n v="1"/>
    <n v="0"/>
    <x v="2"/>
    <s v="Male"/>
    <n v="0"/>
    <n v="57"/>
    <n v="2"/>
    <n v="3"/>
    <s v="Sales Executive"/>
    <n v="0"/>
    <n v="1"/>
    <n v="0"/>
    <n v="0"/>
    <n v="0"/>
    <n v="0"/>
    <n v="0"/>
    <n v="0"/>
    <n v="2"/>
    <x v="0"/>
    <n v="1"/>
    <n v="0"/>
    <n v="9094"/>
    <n v="9094"/>
    <n v="2"/>
    <x v="0"/>
    <n v="1"/>
    <n v="12"/>
    <n v="3"/>
    <n v="3"/>
    <n v="0"/>
    <n v="9"/>
    <n v="9"/>
    <n v="2"/>
    <n v="3"/>
    <n v="5"/>
    <n v="5"/>
    <n v="4"/>
    <n v="1"/>
    <n v="1"/>
    <n v="0"/>
    <n v="0"/>
    <n v="0"/>
  </r>
  <r>
    <n v="52"/>
    <n v="52"/>
    <x v="0"/>
    <n v="1"/>
    <s v="Travel_Rarely"/>
    <n v="0"/>
    <n v="1"/>
    <x v="0"/>
    <n v="0"/>
    <n v="1"/>
    <n v="5"/>
    <n v="5"/>
    <n v="3"/>
    <s v="Life Sciences"/>
    <n v="1"/>
    <n v="0"/>
    <n v="0"/>
    <n v="0"/>
    <n v="0"/>
    <x v="0"/>
    <s v="Male"/>
    <n v="0"/>
    <n v="64"/>
    <n v="3"/>
    <n v="3"/>
    <s v="Sales Executive"/>
    <n v="0"/>
    <n v="1"/>
    <n v="0"/>
    <n v="0"/>
    <n v="0"/>
    <n v="0"/>
    <n v="0"/>
    <n v="0"/>
    <n v="2"/>
    <x v="0"/>
    <n v="1"/>
    <n v="0"/>
    <n v="8446"/>
    <n v="8446"/>
    <n v="9"/>
    <x v="0"/>
    <n v="1"/>
    <n v="19"/>
    <n v="3"/>
    <n v="3"/>
    <n v="0"/>
    <n v="10"/>
    <n v="10"/>
    <n v="2"/>
    <n v="2"/>
    <n v="8"/>
    <n v="8"/>
    <n v="7"/>
    <n v="7"/>
    <n v="7"/>
    <n v="7"/>
    <n v="7"/>
    <n v="21"/>
  </r>
  <r>
    <n v="30"/>
    <n v="30"/>
    <x v="1"/>
    <n v="0"/>
    <s v="Travel_Rarely"/>
    <n v="0"/>
    <n v="1"/>
    <x v="1"/>
    <n v="1"/>
    <n v="0"/>
    <n v="17"/>
    <n v="17"/>
    <n v="4"/>
    <s v="Medical"/>
    <n v="0"/>
    <n v="0"/>
    <n v="1"/>
    <n v="0"/>
    <n v="0"/>
    <x v="0"/>
    <s v="Female"/>
    <n v="1"/>
    <n v="95"/>
    <n v="3"/>
    <n v="3"/>
    <s v="Manager"/>
    <n v="0"/>
    <n v="0"/>
    <n v="0"/>
    <n v="1"/>
    <n v="0"/>
    <n v="0"/>
    <n v="0"/>
    <n v="0"/>
    <n v="1"/>
    <x v="1"/>
    <n v="0"/>
    <n v="1"/>
    <n v="11916"/>
    <n v="11916"/>
    <n v="1"/>
    <x v="0"/>
    <n v="1"/>
    <n v="23"/>
    <n v="4"/>
    <n v="4"/>
    <n v="2"/>
    <n v="9"/>
    <n v="9"/>
    <n v="2"/>
    <n v="3"/>
    <n v="9"/>
    <n v="9"/>
    <n v="1"/>
    <n v="0"/>
    <n v="0"/>
    <n v="8"/>
    <n v="8"/>
    <n v="24"/>
  </r>
  <r>
    <n v="39"/>
    <n v="39"/>
    <x v="1"/>
    <n v="0"/>
    <s v="Travel_Rarely"/>
    <n v="0"/>
    <n v="1"/>
    <x v="1"/>
    <n v="1"/>
    <n v="0"/>
    <n v="18"/>
    <n v="18"/>
    <n v="2"/>
    <s v="Life Sciences"/>
    <n v="1"/>
    <n v="0"/>
    <n v="0"/>
    <n v="0"/>
    <n v="0"/>
    <x v="3"/>
    <s v="Male"/>
    <n v="0"/>
    <n v="32"/>
    <n v="3"/>
    <n v="2"/>
    <s v="Manufacturing Director"/>
    <n v="0"/>
    <n v="0"/>
    <n v="0"/>
    <n v="0"/>
    <n v="1"/>
    <n v="1"/>
    <n v="0"/>
    <n v="0"/>
    <n v="3"/>
    <x v="0"/>
    <n v="1"/>
    <n v="0"/>
    <n v="4534"/>
    <n v="4534"/>
    <n v="0"/>
    <x v="1"/>
    <n v="0"/>
    <n v="11"/>
    <n v="3"/>
    <n v="1"/>
    <n v="0"/>
    <n v="9"/>
    <n v="9"/>
    <n v="6"/>
    <n v="3"/>
    <n v="8"/>
    <n v="8"/>
    <n v="7"/>
    <n v="1"/>
    <n v="1"/>
    <n v="7"/>
    <n v="7"/>
    <n v="14"/>
  </r>
  <r>
    <n v="31"/>
    <n v="31"/>
    <x v="1"/>
    <n v="0"/>
    <s v="Non-Travel"/>
    <n v="0"/>
    <n v="0"/>
    <x v="0"/>
    <n v="0"/>
    <n v="1"/>
    <n v="2"/>
    <n v="2"/>
    <n v="4"/>
    <s v="Life Sciences"/>
    <n v="1"/>
    <n v="0"/>
    <n v="0"/>
    <n v="0"/>
    <n v="0"/>
    <x v="2"/>
    <s v="Female"/>
    <n v="1"/>
    <n v="57"/>
    <n v="3"/>
    <n v="3"/>
    <s v="Sales Executive"/>
    <n v="0"/>
    <n v="1"/>
    <n v="0"/>
    <n v="0"/>
    <n v="0"/>
    <n v="0"/>
    <n v="0"/>
    <n v="0"/>
    <n v="3"/>
    <x v="2"/>
    <n v="0"/>
    <n v="0"/>
    <n v="9852"/>
    <n v="9852"/>
    <n v="1"/>
    <x v="0"/>
    <n v="1"/>
    <n v="19"/>
    <n v="3"/>
    <n v="1"/>
    <n v="1"/>
    <n v="10"/>
    <n v="10"/>
    <n v="5"/>
    <n v="2"/>
    <n v="10"/>
    <n v="10"/>
    <n v="8"/>
    <n v="9"/>
    <n v="9"/>
    <n v="6"/>
    <n v="6"/>
    <n v="18"/>
  </r>
  <r>
    <n v="41"/>
    <n v="41"/>
    <x v="1"/>
    <n v="0"/>
    <s v="Non-Travel"/>
    <n v="0"/>
    <n v="0"/>
    <x v="0"/>
    <n v="0"/>
    <n v="1"/>
    <n v="10"/>
    <n v="10"/>
    <n v="2"/>
    <s v="Medical"/>
    <n v="0"/>
    <n v="0"/>
    <n v="1"/>
    <n v="0"/>
    <n v="0"/>
    <x v="1"/>
    <s v="Male"/>
    <n v="0"/>
    <n v="40"/>
    <n v="1"/>
    <n v="2"/>
    <s v="Sales Executive"/>
    <n v="0"/>
    <n v="1"/>
    <n v="0"/>
    <n v="0"/>
    <n v="0"/>
    <n v="0"/>
    <n v="0"/>
    <n v="0"/>
    <n v="2"/>
    <x v="0"/>
    <n v="1"/>
    <n v="0"/>
    <n v="6151"/>
    <n v="6151"/>
    <n v="1"/>
    <x v="1"/>
    <n v="0"/>
    <n v="13"/>
    <n v="3"/>
    <n v="1"/>
    <n v="0"/>
    <n v="19"/>
    <n v="19"/>
    <n v="4"/>
    <n v="3"/>
    <n v="19"/>
    <n v="19"/>
    <n v="2"/>
    <n v="11"/>
    <n v="11"/>
    <n v="9"/>
    <n v="9"/>
    <n v="18"/>
  </r>
  <r>
    <n v="31"/>
    <n v="31"/>
    <x v="0"/>
    <n v="1"/>
    <s v="Travel_Frequently"/>
    <n v="1"/>
    <n v="0"/>
    <x v="0"/>
    <n v="0"/>
    <n v="1"/>
    <n v="1"/>
    <n v="1"/>
    <n v="3"/>
    <s v="Life Sciences"/>
    <n v="1"/>
    <n v="0"/>
    <n v="0"/>
    <n v="0"/>
    <n v="0"/>
    <x v="2"/>
    <s v="Female"/>
    <n v="1"/>
    <n v="54"/>
    <n v="3"/>
    <n v="1"/>
    <s v="Sales Representative"/>
    <n v="0"/>
    <n v="0"/>
    <n v="0"/>
    <n v="0"/>
    <n v="0"/>
    <n v="0"/>
    <n v="1"/>
    <n v="0"/>
    <n v="2"/>
    <x v="0"/>
    <n v="1"/>
    <n v="0"/>
    <n v="2302"/>
    <n v="2302"/>
    <n v="1"/>
    <x v="0"/>
    <n v="1"/>
    <n v="11"/>
    <n v="3"/>
    <n v="1"/>
    <n v="0"/>
    <n v="3"/>
    <n v="3"/>
    <n v="2"/>
    <n v="4"/>
    <n v="3"/>
    <n v="3"/>
    <n v="2"/>
    <n v="2"/>
    <n v="2"/>
    <n v="2"/>
    <n v="2"/>
    <n v="2"/>
  </r>
  <r>
    <n v="44"/>
    <n v="44"/>
    <x v="0"/>
    <n v="1"/>
    <s v="Travel_Rarely"/>
    <n v="0"/>
    <n v="1"/>
    <x v="1"/>
    <n v="1"/>
    <n v="0"/>
    <n v="3"/>
    <n v="3"/>
    <n v="3"/>
    <s v="Life Sciences"/>
    <n v="1"/>
    <n v="0"/>
    <n v="0"/>
    <n v="0"/>
    <n v="0"/>
    <x v="3"/>
    <s v="Male"/>
    <n v="0"/>
    <n v="89"/>
    <n v="3"/>
    <n v="1"/>
    <s v="Laboratory Technician"/>
    <n v="0"/>
    <n v="0"/>
    <n v="1"/>
    <n v="0"/>
    <n v="0"/>
    <n v="0"/>
    <n v="0"/>
    <n v="0"/>
    <n v="1"/>
    <x v="1"/>
    <n v="0"/>
    <n v="1"/>
    <n v="2362"/>
    <n v="2362"/>
    <n v="4"/>
    <x v="1"/>
    <n v="0"/>
    <n v="12"/>
    <n v="3"/>
    <n v="3"/>
    <n v="0"/>
    <n v="10"/>
    <n v="10"/>
    <n v="4"/>
    <n v="4"/>
    <n v="3"/>
    <n v="3"/>
    <n v="2"/>
    <n v="1"/>
    <n v="1"/>
    <n v="2"/>
    <n v="2"/>
    <n v="2"/>
  </r>
  <r>
    <n v="42"/>
    <n v="42"/>
    <x v="1"/>
    <n v="0"/>
    <s v="Non-Travel"/>
    <n v="0"/>
    <n v="0"/>
    <x v="1"/>
    <n v="1"/>
    <n v="0"/>
    <n v="2"/>
    <n v="2"/>
    <n v="1"/>
    <s v="Life Sciences"/>
    <n v="1"/>
    <n v="0"/>
    <n v="0"/>
    <n v="0"/>
    <n v="0"/>
    <x v="1"/>
    <s v="Male"/>
    <n v="0"/>
    <n v="37"/>
    <n v="3"/>
    <n v="4"/>
    <s v="Manager"/>
    <n v="0"/>
    <n v="0"/>
    <n v="0"/>
    <n v="1"/>
    <n v="0"/>
    <n v="0"/>
    <n v="0"/>
    <n v="0"/>
    <n v="3"/>
    <x v="1"/>
    <n v="0"/>
    <n v="1"/>
    <n v="17861"/>
    <n v="17861"/>
    <n v="0"/>
    <x v="0"/>
    <n v="1"/>
    <n v="13"/>
    <n v="3"/>
    <n v="4"/>
    <n v="0"/>
    <n v="21"/>
    <n v="21"/>
    <n v="3"/>
    <n v="2"/>
    <n v="20"/>
    <n v="20"/>
    <n v="8"/>
    <n v="2"/>
    <n v="2"/>
    <n v="10"/>
    <n v="10"/>
    <n v="40"/>
  </r>
  <r>
    <n v="55"/>
    <n v="55"/>
    <x v="1"/>
    <n v="0"/>
    <s v="Travel_Rarely"/>
    <n v="0"/>
    <n v="1"/>
    <x v="1"/>
    <n v="1"/>
    <n v="0"/>
    <n v="2"/>
    <n v="2"/>
    <n v="2"/>
    <s v="Medical"/>
    <n v="0"/>
    <n v="0"/>
    <n v="1"/>
    <n v="0"/>
    <n v="0"/>
    <x v="2"/>
    <s v="Female"/>
    <n v="1"/>
    <n v="58"/>
    <n v="1"/>
    <n v="5"/>
    <s v="Manager"/>
    <n v="0"/>
    <n v="0"/>
    <n v="0"/>
    <n v="1"/>
    <n v="0"/>
    <n v="0"/>
    <n v="0"/>
    <n v="0"/>
    <n v="3"/>
    <x v="1"/>
    <n v="0"/>
    <n v="1"/>
    <n v="19187"/>
    <n v="19187"/>
    <n v="4"/>
    <x v="1"/>
    <n v="0"/>
    <n v="14"/>
    <n v="3"/>
    <n v="4"/>
    <n v="1"/>
    <n v="23"/>
    <n v="23"/>
    <n v="5"/>
    <n v="3"/>
    <n v="19"/>
    <n v="19"/>
    <n v="9"/>
    <n v="9"/>
    <n v="9"/>
    <n v="11"/>
    <n v="11"/>
    <n v="55"/>
  </r>
  <r>
    <n v="56"/>
    <n v="56"/>
    <x v="1"/>
    <n v="0"/>
    <s v="Travel_Rarely"/>
    <n v="0"/>
    <n v="1"/>
    <x v="2"/>
    <n v="0"/>
    <n v="0"/>
    <n v="8"/>
    <n v="8"/>
    <n v="4"/>
    <s v="Life Sciences"/>
    <n v="1"/>
    <n v="0"/>
    <n v="0"/>
    <n v="0"/>
    <n v="0"/>
    <x v="2"/>
    <s v="Male"/>
    <n v="0"/>
    <n v="99"/>
    <n v="3"/>
    <n v="5"/>
    <s v="Manager"/>
    <n v="0"/>
    <n v="0"/>
    <n v="0"/>
    <n v="1"/>
    <n v="0"/>
    <n v="0"/>
    <n v="0"/>
    <n v="0"/>
    <n v="2"/>
    <x v="0"/>
    <n v="1"/>
    <n v="0"/>
    <n v="19717"/>
    <n v="19626.310000000001"/>
    <n v="6"/>
    <x v="1"/>
    <n v="0"/>
    <n v="14"/>
    <n v="3"/>
    <n v="1"/>
    <n v="0"/>
    <n v="36"/>
    <n v="35"/>
    <n v="4"/>
    <n v="3"/>
    <n v="7"/>
    <n v="7"/>
    <n v="3"/>
    <n v="7"/>
    <n v="7"/>
    <n v="7"/>
    <n v="7"/>
    <n v="35"/>
  </r>
  <r>
    <n v="40"/>
    <n v="40"/>
    <x v="1"/>
    <n v="0"/>
    <s v="Non-Travel"/>
    <n v="0"/>
    <n v="0"/>
    <x v="1"/>
    <n v="1"/>
    <n v="0"/>
    <n v="16"/>
    <n v="16"/>
    <n v="2"/>
    <s v="Life Sciences"/>
    <n v="1"/>
    <n v="0"/>
    <n v="0"/>
    <n v="0"/>
    <n v="0"/>
    <x v="1"/>
    <s v="Male"/>
    <n v="0"/>
    <n v="74"/>
    <n v="3"/>
    <n v="1"/>
    <s v="Research Scientist"/>
    <n v="0"/>
    <n v="0"/>
    <n v="0"/>
    <n v="0"/>
    <n v="0"/>
    <n v="0"/>
    <n v="0"/>
    <n v="1"/>
    <n v="3"/>
    <x v="2"/>
    <n v="0"/>
    <n v="0"/>
    <n v="3544"/>
    <n v="3544"/>
    <n v="9"/>
    <x v="1"/>
    <n v="0"/>
    <n v="16"/>
    <n v="3"/>
    <n v="2"/>
    <n v="1"/>
    <n v="6"/>
    <n v="6"/>
    <n v="0"/>
    <n v="3"/>
    <n v="4"/>
    <n v="4"/>
    <n v="2"/>
    <n v="0"/>
    <n v="0"/>
    <n v="0"/>
    <n v="0"/>
    <n v="0"/>
  </r>
  <r>
    <n v="34"/>
    <n v="34"/>
    <x v="1"/>
    <n v="0"/>
    <s v="Travel_Rarely"/>
    <n v="0"/>
    <n v="1"/>
    <x v="1"/>
    <n v="1"/>
    <n v="0"/>
    <n v="9"/>
    <n v="9"/>
    <n v="3"/>
    <s v="Life Sciences"/>
    <n v="1"/>
    <n v="0"/>
    <n v="0"/>
    <n v="0"/>
    <n v="0"/>
    <x v="2"/>
    <s v="Male"/>
    <n v="0"/>
    <n v="86"/>
    <n v="3"/>
    <n v="3"/>
    <s v="Healthcare Representative"/>
    <n v="1"/>
    <n v="0"/>
    <n v="0"/>
    <n v="0"/>
    <n v="0"/>
    <n v="0"/>
    <n v="0"/>
    <n v="0"/>
    <n v="4"/>
    <x v="2"/>
    <n v="0"/>
    <n v="0"/>
    <n v="8500"/>
    <n v="8500"/>
    <n v="0"/>
    <x v="1"/>
    <n v="0"/>
    <n v="11"/>
    <n v="3"/>
    <n v="4"/>
    <n v="1"/>
    <n v="10"/>
    <n v="10"/>
    <n v="0"/>
    <n v="2"/>
    <n v="9"/>
    <n v="9"/>
    <n v="7"/>
    <n v="1"/>
    <n v="1"/>
    <n v="6"/>
    <n v="6"/>
    <n v="18"/>
  </r>
  <r>
    <n v="40"/>
    <n v="40"/>
    <x v="1"/>
    <n v="0"/>
    <s v="Travel_Rarely"/>
    <n v="0"/>
    <n v="1"/>
    <x v="1"/>
    <n v="1"/>
    <n v="0"/>
    <n v="2"/>
    <n v="2"/>
    <n v="3"/>
    <s v="Life Sciences"/>
    <n v="1"/>
    <n v="0"/>
    <n v="0"/>
    <n v="0"/>
    <n v="0"/>
    <x v="1"/>
    <s v="Male"/>
    <n v="0"/>
    <n v="98"/>
    <n v="3"/>
    <n v="2"/>
    <s v="Research Scientist"/>
    <n v="0"/>
    <n v="0"/>
    <n v="0"/>
    <n v="0"/>
    <n v="0"/>
    <n v="0"/>
    <n v="0"/>
    <n v="1"/>
    <n v="4"/>
    <x v="0"/>
    <n v="1"/>
    <n v="0"/>
    <n v="4661"/>
    <n v="4661"/>
    <n v="1"/>
    <x v="1"/>
    <n v="0"/>
    <n v="13"/>
    <n v="3"/>
    <n v="3"/>
    <n v="0"/>
    <n v="9"/>
    <n v="9"/>
    <n v="4"/>
    <n v="3"/>
    <n v="9"/>
    <n v="9"/>
    <n v="8"/>
    <n v="8"/>
    <n v="8"/>
    <n v="8"/>
    <n v="8"/>
    <n v="16"/>
  </r>
  <r>
    <n v="41"/>
    <n v="41"/>
    <x v="1"/>
    <n v="0"/>
    <s v="Travel_Frequently"/>
    <n v="1"/>
    <n v="0"/>
    <x v="0"/>
    <n v="0"/>
    <n v="1"/>
    <n v="1"/>
    <n v="1"/>
    <n v="3"/>
    <s v="Marketing"/>
    <n v="0"/>
    <n v="0"/>
    <n v="0"/>
    <n v="1"/>
    <n v="0"/>
    <x v="1"/>
    <s v="Female"/>
    <n v="1"/>
    <n v="66"/>
    <n v="3"/>
    <n v="2"/>
    <s v="Sales Executive"/>
    <n v="0"/>
    <n v="1"/>
    <n v="0"/>
    <n v="0"/>
    <n v="0"/>
    <n v="0"/>
    <n v="0"/>
    <n v="0"/>
    <n v="1"/>
    <x v="2"/>
    <n v="0"/>
    <n v="0"/>
    <n v="4103"/>
    <n v="4103"/>
    <n v="0"/>
    <x v="1"/>
    <n v="0"/>
    <n v="17"/>
    <n v="3"/>
    <n v="4"/>
    <n v="1"/>
    <n v="10"/>
    <n v="10"/>
    <n v="2"/>
    <n v="3"/>
    <n v="9"/>
    <n v="9"/>
    <n v="3"/>
    <n v="1"/>
    <n v="1"/>
    <n v="7"/>
    <n v="7"/>
    <n v="14"/>
  </r>
  <r>
    <n v="35"/>
    <n v="35"/>
    <x v="1"/>
    <n v="0"/>
    <s v="Travel_Frequently"/>
    <n v="1"/>
    <n v="0"/>
    <x v="1"/>
    <n v="1"/>
    <n v="0"/>
    <n v="4"/>
    <n v="4"/>
    <n v="4"/>
    <s v="Life Sciences"/>
    <n v="1"/>
    <n v="0"/>
    <n v="0"/>
    <n v="0"/>
    <n v="0"/>
    <x v="1"/>
    <s v="Male"/>
    <n v="0"/>
    <n v="87"/>
    <n v="3"/>
    <n v="2"/>
    <s v="Research Scientist"/>
    <n v="0"/>
    <n v="0"/>
    <n v="0"/>
    <n v="0"/>
    <n v="0"/>
    <n v="0"/>
    <n v="0"/>
    <n v="1"/>
    <n v="3"/>
    <x v="0"/>
    <n v="1"/>
    <n v="0"/>
    <n v="4249"/>
    <n v="4249"/>
    <n v="1"/>
    <x v="0"/>
    <n v="1"/>
    <n v="11"/>
    <n v="3"/>
    <n v="2"/>
    <n v="0"/>
    <n v="9"/>
    <n v="9"/>
    <n v="3"/>
    <n v="3"/>
    <n v="9"/>
    <n v="9"/>
    <n v="6"/>
    <n v="1"/>
    <n v="1"/>
    <n v="1"/>
    <n v="1"/>
    <n v="2"/>
  </r>
  <r>
    <n v="51"/>
    <n v="51"/>
    <x v="1"/>
    <n v="0"/>
    <s v="Travel_Rarely"/>
    <n v="0"/>
    <n v="1"/>
    <x v="2"/>
    <n v="0"/>
    <n v="0"/>
    <n v="5"/>
    <n v="5"/>
    <n v="3"/>
    <s v="Life Sciences"/>
    <n v="1"/>
    <n v="0"/>
    <n v="0"/>
    <n v="0"/>
    <n v="0"/>
    <x v="1"/>
    <s v="Male"/>
    <n v="0"/>
    <n v="84"/>
    <n v="3"/>
    <n v="4"/>
    <s v="Manager"/>
    <n v="0"/>
    <n v="0"/>
    <n v="0"/>
    <n v="1"/>
    <n v="0"/>
    <n v="0"/>
    <n v="0"/>
    <n v="0"/>
    <n v="2"/>
    <x v="2"/>
    <n v="0"/>
    <n v="0"/>
    <n v="14026"/>
    <n v="14026"/>
    <n v="1"/>
    <x v="0"/>
    <n v="1"/>
    <n v="11"/>
    <n v="3"/>
    <n v="2"/>
    <n v="1"/>
    <n v="33"/>
    <n v="33"/>
    <n v="2"/>
    <n v="3"/>
    <n v="33"/>
    <n v="31"/>
    <n v="9"/>
    <n v="0"/>
    <n v="0"/>
    <n v="10"/>
    <n v="10"/>
    <n v="40"/>
  </r>
  <r>
    <n v="38"/>
    <n v="38"/>
    <x v="1"/>
    <n v="0"/>
    <s v="Travel_Rarely"/>
    <n v="0"/>
    <n v="1"/>
    <x v="0"/>
    <n v="0"/>
    <n v="1"/>
    <n v="2"/>
    <n v="2"/>
    <n v="2"/>
    <s v="Life Sciences"/>
    <n v="1"/>
    <n v="0"/>
    <n v="0"/>
    <n v="0"/>
    <n v="0"/>
    <x v="0"/>
    <s v="Female"/>
    <n v="1"/>
    <n v="31"/>
    <n v="3"/>
    <n v="2"/>
    <s v="Sales Executive"/>
    <n v="0"/>
    <n v="1"/>
    <n v="0"/>
    <n v="0"/>
    <n v="0"/>
    <n v="0"/>
    <n v="0"/>
    <n v="0"/>
    <n v="1"/>
    <x v="2"/>
    <n v="0"/>
    <n v="0"/>
    <n v="6893"/>
    <n v="6893"/>
    <n v="3"/>
    <x v="1"/>
    <n v="0"/>
    <n v="15"/>
    <n v="3"/>
    <n v="4"/>
    <n v="1"/>
    <n v="11"/>
    <n v="11"/>
    <n v="3"/>
    <n v="3"/>
    <n v="7"/>
    <n v="7"/>
    <n v="7"/>
    <n v="1"/>
    <n v="1"/>
    <n v="7"/>
    <n v="7"/>
    <n v="14"/>
  </r>
  <r>
    <n v="34"/>
    <n v="34"/>
    <x v="1"/>
    <n v="0"/>
    <s v="Travel_Rarely"/>
    <n v="0"/>
    <n v="1"/>
    <x v="0"/>
    <n v="0"/>
    <n v="1"/>
    <n v="15"/>
    <n v="15"/>
    <n v="2"/>
    <s v="Medical"/>
    <n v="0"/>
    <n v="0"/>
    <n v="1"/>
    <n v="0"/>
    <n v="0"/>
    <x v="1"/>
    <s v="Female"/>
    <n v="1"/>
    <n v="66"/>
    <n v="3"/>
    <n v="2"/>
    <s v="Sales Executive"/>
    <n v="0"/>
    <n v="1"/>
    <n v="0"/>
    <n v="0"/>
    <n v="0"/>
    <n v="0"/>
    <n v="0"/>
    <n v="0"/>
    <n v="1"/>
    <x v="0"/>
    <n v="1"/>
    <n v="0"/>
    <n v="6125"/>
    <n v="6125"/>
    <n v="1"/>
    <x v="1"/>
    <n v="0"/>
    <n v="12"/>
    <n v="3"/>
    <n v="4"/>
    <n v="0"/>
    <n v="10"/>
    <n v="10"/>
    <n v="6"/>
    <n v="4"/>
    <n v="10"/>
    <n v="10"/>
    <n v="8"/>
    <n v="9"/>
    <n v="9"/>
    <n v="6"/>
    <n v="6"/>
    <n v="12"/>
  </r>
  <r>
    <n v="25"/>
    <n v="25"/>
    <x v="1"/>
    <n v="0"/>
    <s v="Travel_Rarely"/>
    <n v="0"/>
    <n v="1"/>
    <x v="1"/>
    <n v="1"/>
    <n v="0"/>
    <n v="19"/>
    <n v="19"/>
    <n v="1"/>
    <s v="Medical"/>
    <n v="0"/>
    <n v="0"/>
    <n v="1"/>
    <n v="0"/>
    <n v="0"/>
    <x v="2"/>
    <s v="Male"/>
    <n v="0"/>
    <n v="67"/>
    <n v="3"/>
    <n v="1"/>
    <s v="Laboratory Technician"/>
    <n v="0"/>
    <n v="0"/>
    <n v="1"/>
    <n v="0"/>
    <n v="0"/>
    <n v="0"/>
    <n v="0"/>
    <n v="0"/>
    <n v="4"/>
    <x v="1"/>
    <n v="0"/>
    <n v="1"/>
    <n v="3669"/>
    <n v="3669"/>
    <n v="3"/>
    <x v="1"/>
    <n v="0"/>
    <n v="11"/>
    <n v="3"/>
    <n v="3"/>
    <n v="3"/>
    <n v="7"/>
    <n v="7"/>
    <n v="6"/>
    <n v="2"/>
    <n v="3"/>
    <n v="3"/>
    <n v="2"/>
    <n v="1"/>
    <n v="1"/>
    <n v="2"/>
    <n v="2"/>
    <n v="2"/>
  </r>
  <r>
    <n v="58"/>
    <n v="58"/>
    <x v="0"/>
    <n v="1"/>
    <s v="Travel_Rarely"/>
    <n v="0"/>
    <n v="1"/>
    <x v="1"/>
    <n v="1"/>
    <n v="0"/>
    <n v="7"/>
    <n v="7"/>
    <n v="4"/>
    <s v="Medical"/>
    <n v="0"/>
    <n v="0"/>
    <n v="1"/>
    <n v="0"/>
    <n v="0"/>
    <x v="1"/>
    <s v="Female"/>
    <n v="1"/>
    <n v="53"/>
    <n v="2"/>
    <n v="3"/>
    <s v="Manufacturing Director"/>
    <n v="0"/>
    <n v="0"/>
    <n v="0"/>
    <n v="0"/>
    <n v="1"/>
    <n v="1"/>
    <n v="0"/>
    <n v="0"/>
    <n v="1"/>
    <x v="1"/>
    <n v="0"/>
    <n v="1"/>
    <n v="10008"/>
    <n v="10008"/>
    <n v="7"/>
    <x v="0"/>
    <n v="1"/>
    <n v="14"/>
    <n v="3"/>
    <n v="4"/>
    <n v="0"/>
    <n v="31"/>
    <n v="31"/>
    <n v="0"/>
    <n v="2"/>
    <n v="10"/>
    <n v="10"/>
    <n v="9"/>
    <n v="5"/>
    <n v="5"/>
    <n v="9"/>
    <n v="9"/>
    <n v="27"/>
  </r>
  <r>
    <n v="40"/>
    <n v="40"/>
    <x v="1"/>
    <n v="0"/>
    <s v="Travel_Rarely"/>
    <n v="0"/>
    <n v="1"/>
    <x v="1"/>
    <n v="1"/>
    <n v="0"/>
    <n v="1"/>
    <n v="1"/>
    <n v="4"/>
    <s v="Life Sciences"/>
    <n v="1"/>
    <n v="0"/>
    <n v="0"/>
    <n v="0"/>
    <n v="0"/>
    <x v="0"/>
    <s v="Male"/>
    <n v="0"/>
    <n v="88"/>
    <n v="3"/>
    <n v="1"/>
    <s v="Laboratory Technician"/>
    <n v="0"/>
    <n v="0"/>
    <n v="1"/>
    <n v="0"/>
    <n v="0"/>
    <n v="0"/>
    <n v="0"/>
    <n v="0"/>
    <n v="2"/>
    <x v="1"/>
    <n v="0"/>
    <n v="1"/>
    <n v="2387"/>
    <n v="2387"/>
    <n v="3"/>
    <x v="1"/>
    <n v="0"/>
    <n v="22"/>
    <n v="4"/>
    <n v="3"/>
    <n v="1"/>
    <n v="7"/>
    <n v="7"/>
    <n v="3"/>
    <n v="3"/>
    <n v="4"/>
    <n v="4"/>
    <n v="2"/>
    <n v="0"/>
    <n v="0"/>
    <n v="3"/>
    <n v="3"/>
    <n v="3"/>
  </r>
  <r>
    <n v="36"/>
    <n v="36"/>
    <x v="1"/>
    <n v="0"/>
    <s v="Travel_Frequently"/>
    <n v="1"/>
    <n v="0"/>
    <x v="0"/>
    <n v="0"/>
    <n v="1"/>
    <n v="7"/>
    <n v="7"/>
    <n v="3"/>
    <s v="Marketing"/>
    <n v="0"/>
    <n v="0"/>
    <n v="0"/>
    <n v="1"/>
    <n v="0"/>
    <x v="3"/>
    <s v="Female"/>
    <n v="1"/>
    <n v="83"/>
    <n v="4"/>
    <n v="2"/>
    <s v="Sales Executive"/>
    <n v="0"/>
    <n v="1"/>
    <n v="0"/>
    <n v="0"/>
    <n v="0"/>
    <n v="0"/>
    <n v="0"/>
    <n v="0"/>
    <n v="1"/>
    <x v="1"/>
    <n v="0"/>
    <n v="1"/>
    <n v="4639"/>
    <n v="4639"/>
    <n v="2"/>
    <x v="1"/>
    <n v="0"/>
    <n v="16"/>
    <n v="3"/>
    <n v="4"/>
    <n v="1"/>
    <n v="17"/>
    <n v="17"/>
    <n v="2"/>
    <n v="2"/>
    <n v="15"/>
    <n v="15"/>
    <n v="7"/>
    <n v="6"/>
    <n v="6"/>
    <n v="13"/>
    <n v="13"/>
    <n v="26"/>
  </r>
  <r>
    <n v="48"/>
    <n v="48"/>
    <x v="1"/>
    <n v="0"/>
    <s v="Travel_Rarely"/>
    <n v="0"/>
    <n v="1"/>
    <x v="1"/>
    <n v="1"/>
    <n v="0"/>
    <n v="4"/>
    <n v="4"/>
    <n v="3"/>
    <s v="Life Sciences"/>
    <n v="1"/>
    <n v="0"/>
    <n v="0"/>
    <n v="0"/>
    <n v="0"/>
    <x v="2"/>
    <s v="Male"/>
    <n v="0"/>
    <n v="54"/>
    <n v="3"/>
    <n v="3"/>
    <s v="Manufacturing Director"/>
    <n v="0"/>
    <n v="0"/>
    <n v="0"/>
    <n v="0"/>
    <n v="1"/>
    <n v="1"/>
    <n v="0"/>
    <n v="0"/>
    <n v="4"/>
    <x v="0"/>
    <n v="1"/>
    <n v="0"/>
    <n v="7898"/>
    <n v="7898"/>
    <n v="1"/>
    <x v="1"/>
    <n v="0"/>
    <n v="11"/>
    <n v="3"/>
    <n v="3"/>
    <n v="0"/>
    <n v="11"/>
    <n v="11"/>
    <n v="2"/>
    <n v="3"/>
    <n v="10"/>
    <n v="10"/>
    <n v="9"/>
    <n v="0"/>
    <n v="0"/>
    <n v="8"/>
    <n v="8"/>
    <n v="24"/>
  </r>
  <r>
    <n v="27"/>
    <n v="27"/>
    <x v="1"/>
    <n v="0"/>
    <s v="Travel_Rarely"/>
    <n v="0"/>
    <n v="1"/>
    <x v="0"/>
    <n v="0"/>
    <n v="1"/>
    <n v="11"/>
    <n v="11"/>
    <n v="3"/>
    <s v="Medical"/>
    <n v="0"/>
    <n v="0"/>
    <n v="1"/>
    <n v="0"/>
    <n v="0"/>
    <x v="1"/>
    <s v="Female"/>
    <n v="1"/>
    <n v="98"/>
    <n v="4"/>
    <n v="1"/>
    <s v="Sales Representative"/>
    <n v="0"/>
    <n v="0"/>
    <n v="0"/>
    <n v="0"/>
    <n v="0"/>
    <n v="0"/>
    <n v="1"/>
    <n v="0"/>
    <n v="4"/>
    <x v="1"/>
    <n v="0"/>
    <n v="1"/>
    <n v="2534"/>
    <n v="2534"/>
    <n v="8"/>
    <x v="1"/>
    <n v="0"/>
    <n v="14"/>
    <n v="3"/>
    <n v="2"/>
    <n v="1"/>
    <n v="5"/>
    <n v="5"/>
    <n v="4"/>
    <n v="3"/>
    <n v="1"/>
    <n v="1"/>
    <n v="0"/>
    <n v="0"/>
    <n v="0"/>
    <n v="0"/>
    <n v="0"/>
    <n v="0"/>
  </r>
  <r>
    <n v="51"/>
    <n v="51"/>
    <x v="1"/>
    <n v="0"/>
    <s v="Travel_Rarely"/>
    <n v="0"/>
    <n v="1"/>
    <x v="1"/>
    <n v="1"/>
    <n v="0"/>
    <n v="11"/>
    <n v="11"/>
    <n v="2"/>
    <s v="Technical Degree"/>
    <n v="0"/>
    <n v="0"/>
    <n v="0"/>
    <n v="0"/>
    <n v="1"/>
    <x v="2"/>
    <s v="Female"/>
    <n v="1"/>
    <n v="82"/>
    <n v="2"/>
    <n v="4"/>
    <s v="Manufacturing Director"/>
    <n v="0"/>
    <n v="0"/>
    <n v="0"/>
    <n v="0"/>
    <n v="1"/>
    <n v="1"/>
    <n v="0"/>
    <n v="0"/>
    <n v="2"/>
    <x v="0"/>
    <n v="1"/>
    <n v="0"/>
    <n v="13142"/>
    <n v="13142"/>
    <n v="3"/>
    <x v="1"/>
    <n v="0"/>
    <n v="16"/>
    <n v="3"/>
    <n v="2"/>
    <n v="0"/>
    <n v="29"/>
    <n v="29"/>
    <n v="1"/>
    <n v="2"/>
    <n v="5"/>
    <n v="5"/>
    <n v="2"/>
    <n v="0"/>
    <n v="0"/>
    <n v="3"/>
    <n v="3"/>
    <n v="12"/>
  </r>
  <r>
    <n v="18"/>
    <n v="19"/>
    <x v="1"/>
    <n v="0"/>
    <s v="Non-Travel"/>
    <n v="0"/>
    <n v="0"/>
    <x v="1"/>
    <n v="1"/>
    <n v="0"/>
    <n v="1"/>
    <n v="1"/>
    <n v="3"/>
    <s v="Life Sciences"/>
    <n v="1"/>
    <n v="0"/>
    <n v="0"/>
    <n v="0"/>
    <n v="0"/>
    <x v="2"/>
    <s v="Female"/>
    <n v="1"/>
    <n v="97"/>
    <n v="3"/>
    <n v="1"/>
    <s v="Laboratory Technician"/>
    <n v="0"/>
    <n v="0"/>
    <n v="1"/>
    <n v="0"/>
    <n v="0"/>
    <n v="0"/>
    <n v="0"/>
    <n v="0"/>
    <n v="4"/>
    <x v="0"/>
    <n v="1"/>
    <n v="0"/>
    <n v="1611"/>
    <n v="1611"/>
    <n v="1"/>
    <x v="1"/>
    <n v="0"/>
    <n v="15"/>
    <n v="3"/>
    <n v="3"/>
    <n v="0"/>
    <n v="0"/>
    <n v="1"/>
    <n v="5"/>
    <n v="4"/>
    <n v="0"/>
    <n v="0"/>
    <n v="0"/>
    <n v="0"/>
    <n v="0"/>
    <n v="0"/>
    <n v="0"/>
    <n v="0"/>
  </r>
  <r>
    <n v="35"/>
    <n v="35"/>
    <x v="1"/>
    <n v="0"/>
    <s v="Travel_Rarely"/>
    <n v="0"/>
    <n v="1"/>
    <x v="1"/>
    <n v="1"/>
    <n v="0"/>
    <n v="1"/>
    <n v="1"/>
    <n v="3"/>
    <s v="Medical"/>
    <n v="0"/>
    <n v="0"/>
    <n v="1"/>
    <n v="0"/>
    <n v="0"/>
    <x v="2"/>
    <s v="Female"/>
    <n v="1"/>
    <n v="60"/>
    <n v="2"/>
    <n v="2"/>
    <s v="Laboratory Technician"/>
    <n v="0"/>
    <n v="0"/>
    <n v="1"/>
    <n v="0"/>
    <n v="0"/>
    <n v="0"/>
    <n v="0"/>
    <n v="0"/>
    <n v="4"/>
    <x v="1"/>
    <n v="0"/>
    <n v="1"/>
    <n v="5363"/>
    <n v="5363"/>
    <n v="0"/>
    <x v="1"/>
    <n v="0"/>
    <n v="12"/>
    <n v="3"/>
    <n v="2"/>
    <n v="1"/>
    <n v="10"/>
    <n v="10"/>
    <n v="0"/>
    <n v="3"/>
    <n v="9"/>
    <n v="9"/>
    <n v="7"/>
    <n v="0"/>
    <n v="0"/>
    <n v="0"/>
    <n v="0"/>
    <n v="0"/>
  </r>
  <r>
    <n v="27"/>
    <n v="27"/>
    <x v="1"/>
    <n v="0"/>
    <s v="Travel_Frequently"/>
    <n v="1"/>
    <n v="0"/>
    <x v="0"/>
    <n v="0"/>
    <n v="1"/>
    <n v="2"/>
    <n v="2"/>
    <n v="1"/>
    <s v="Life Sciences"/>
    <n v="1"/>
    <n v="0"/>
    <n v="0"/>
    <n v="0"/>
    <n v="0"/>
    <x v="2"/>
    <s v="Male"/>
    <n v="0"/>
    <n v="43"/>
    <n v="1"/>
    <n v="2"/>
    <s v="Sales Executive"/>
    <n v="0"/>
    <n v="1"/>
    <n v="0"/>
    <n v="0"/>
    <n v="0"/>
    <n v="0"/>
    <n v="0"/>
    <n v="0"/>
    <n v="4"/>
    <x v="0"/>
    <n v="1"/>
    <n v="0"/>
    <n v="5071"/>
    <n v="5071"/>
    <n v="3"/>
    <x v="1"/>
    <n v="0"/>
    <n v="20"/>
    <n v="4"/>
    <n v="2"/>
    <n v="0"/>
    <n v="8"/>
    <n v="8"/>
    <n v="3"/>
    <n v="3"/>
    <n v="6"/>
    <n v="6"/>
    <n v="2"/>
    <n v="0"/>
    <n v="0"/>
    <n v="0"/>
    <n v="0"/>
    <n v="0"/>
  </r>
  <r>
    <n v="55"/>
    <n v="55"/>
    <x v="0"/>
    <n v="1"/>
    <s v="Travel_Rarely"/>
    <n v="0"/>
    <n v="1"/>
    <x v="0"/>
    <n v="0"/>
    <n v="1"/>
    <n v="13"/>
    <n v="13"/>
    <n v="4"/>
    <s v="Marketing"/>
    <n v="0"/>
    <n v="0"/>
    <n v="0"/>
    <n v="1"/>
    <n v="0"/>
    <x v="3"/>
    <s v="Male"/>
    <n v="0"/>
    <n v="85"/>
    <n v="4"/>
    <n v="4"/>
    <s v="Sales Executive"/>
    <n v="0"/>
    <n v="1"/>
    <n v="0"/>
    <n v="0"/>
    <n v="0"/>
    <n v="0"/>
    <n v="0"/>
    <n v="0"/>
    <n v="3"/>
    <x v="0"/>
    <n v="1"/>
    <n v="0"/>
    <n v="13695"/>
    <n v="13695"/>
    <n v="6"/>
    <x v="0"/>
    <n v="1"/>
    <n v="17"/>
    <n v="3"/>
    <n v="3"/>
    <n v="0"/>
    <n v="24"/>
    <n v="24"/>
    <n v="2"/>
    <n v="2"/>
    <n v="19"/>
    <n v="19"/>
    <n v="7"/>
    <n v="3"/>
    <n v="3"/>
    <n v="8"/>
    <n v="8"/>
    <n v="32"/>
  </r>
  <r>
    <n v="56"/>
    <n v="56"/>
    <x v="1"/>
    <n v="0"/>
    <s v="Travel_Rarely"/>
    <n v="0"/>
    <n v="1"/>
    <x v="1"/>
    <n v="1"/>
    <n v="0"/>
    <n v="23"/>
    <n v="23"/>
    <n v="3"/>
    <s v="Life Sciences"/>
    <n v="1"/>
    <n v="0"/>
    <n v="0"/>
    <n v="0"/>
    <n v="0"/>
    <x v="2"/>
    <s v="Male"/>
    <n v="0"/>
    <n v="68"/>
    <n v="3"/>
    <n v="4"/>
    <s v="Manufacturing Director"/>
    <n v="0"/>
    <n v="0"/>
    <n v="0"/>
    <n v="0"/>
    <n v="1"/>
    <n v="1"/>
    <n v="0"/>
    <n v="0"/>
    <n v="2"/>
    <x v="1"/>
    <n v="0"/>
    <n v="1"/>
    <n v="13402"/>
    <n v="13402"/>
    <n v="4"/>
    <x v="0"/>
    <n v="1"/>
    <n v="12"/>
    <n v="3"/>
    <n v="1"/>
    <n v="1"/>
    <n v="33"/>
    <n v="33"/>
    <n v="0"/>
    <n v="3"/>
    <n v="19"/>
    <n v="19"/>
    <n v="16"/>
    <n v="15"/>
    <n v="14"/>
    <n v="9"/>
    <n v="9"/>
    <n v="36"/>
  </r>
  <r>
    <n v="34"/>
    <n v="34"/>
    <x v="1"/>
    <n v="0"/>
    <s v="Non-Travel"/>
    <n v="0"/>
    <n v="0"/>
    <x v="1"/>
    <n v="1"/>
    <n v="0"/>
    <n v="26"/>
    <n v="26"/>
    <n v="1"/>
    <s v="Technical Degree"/>
    <n v="0"/>
    <n v="0"/>
    <n v="0"/>
    <n v="0"/>
    <n v="1"/>
    <x v="3"/>
    <s v="Female"/>
    <n v="1"/>
    <n v="92"/>
    <n v="2"/>
    <n v="1"/>
    <s v="Research Scientist"/>
    <n v="0"/>
    <n v="0"/>
    <n v="0"/>
    <n v="0"/>
    <n v="0"/>
    <n v="0"/>
    <n v="0"/>
    <n v="1"/>
    <n v="3"/>
    <x v="2"/>
    <n v="0"/>
    <n v="0"/>
    <n v="2029"/>
    <n v="2029"/>
    <n v="1"/>
    <x v="1"/>
    <n v="0"/>
    <n v="20"/>
    <n v="4"/>
    <n v="3"/>
    <n v="3"/>
    <n v="5"/>
    <n v="5"/>
    <n v="2"/>
    <n v="3"/>
    <n v="5"/>
    <n v="5"/>
    <n v="4"/>
    <n v="0"/>
    <n v="0"/>
    <n v="0"/>
    <n v="0"/>
    <n v="0"/>
  </r>
  <r>
    <n v="40"/>
    <n v="40"/>
    <x v="1"/>
    <n v="0"/>
    <s v="Travel_Rarely"/>
    <n v="0"/>
    <n v="1"/>
    <x v="1"/>
    <n v="1"/>
    <n v="0"/>
    <n v="2"/>
    <n v="2"/>
    <n v="1"/>
    <s v="Medical"/>
    <n v="0"/>
    <n v="0"/>
    <n v="1"/>
    <n v="0"/>
    <n v="0"/>
    <x v="0"/>
    <s v="Female"/>
    <n v="1"/>
    <n v="89"/>
    <n v="4"/>
    <n v="2"/>
    <s v="Healthcare Representative"/>
    <n v="1"/>
    <n v="0"/>
    <n v="0"/>
    <n v="0"/>
    <n v="0"/>
    <n v="0"/>
    <n v="0"/>
    <n v="0"/>
    <n v="3"/>
    <x v="2"/>
    <n v="0"/>
    <n v="0"/>
    <n v="6377"/>
    <n v="6377"/>
    <n v="5"/>
    <x v="1"/>
    <n v="0"/>
    <n v="20"/>
    <n v="4"/>
    <n v="2"/>
    <n v="3"/>
    <n v="15"/>
    <n v="15"/>
    <n v="0"/>
    <n v="3"/>
    <n v="12"/>
    <n v="12"/>
    <n v="11"/>
    <n v="11"/>
    <n v="11"/>
    <n v="8"/>
    <n v="8"/>
    <n v="16"/>
  </r>
  <r>
    <n v="34"/>
    <n v="34"/>
    <x v="1"/>
    <n v="0"/>
    <s v="Travel_Rarely"/>
    <n v="0"/>
    <n v="1"/>
    <x v="1"/>
    <n v="1"/>
    <n v="0"/>
    <n v="29"/>
    <n v="29"/>
    <n v="3"/>
    <s v="Medical"/>
    <n v="0"/>
    <n v="0"/>
    <n v="1"/>
    <n v="0"/>
    <n v="0"/>
    <x v="0"/>
    <s v="Male"/>
    <n v="0"/>
    <n v="86"/>
    <n v="3"/>
    <n v="2"/>
    <s v="Laboratory Technician"/>
    <n v="0"/>
    <n v="0"/>
    <n v="1"/>
    <n v="0"/>
    <n v="0"/>
    <n v="0"/>
    <n v="0"/>
    <n v="0"/>
    <n v="3"/>
    <x v="1"/>
    <n v="0"/>
    <n v="1"/>
    <n v="5429"/>
    <n v="5429"/>
    <n v="4"/>
    <x v="1"/>
    <n v="0"/>
    <n v="13"/>
    <n v="3"/>
    <n v="1"/>
    <n v="2"/>
    <n v="10"/>
    <n v="10"/>
    <n v="1"/>
    <n v="3"/>
    <n v="8"/>
    <n v="8"/>
    <n v="7"/>
    <n v="7"/>
    <n v="7"/>
    <n v="7"/>
    <n v="7"/>
    <n v="14"/>
  </r>
  <r>
    <n v="31"/>
    <n v="31"/>
    <x v="0"/>
    <n v="1"/>
    <s v="Travel_Frequently"/>
    <n v="1"/>
    <n v="0"/>
    <x v="0"/>
    <n v="0"/>
    <n v="1"/>
    <n v="2"/>
    <n v="2"/>
    <n v="3"/>
    <s v="Life Sciences"/>
    <n v="1"/>
    <n v="0"/>
    <n v="0"/>
    <n v="0"/>
    <n v="0"/>
    <x v="1"/>
    <s v="Female"/>
    <n v="1"/>
    <n v="90"/>
    <n v="2"/>
    <n v="1"/>
    <s v="Sales Representative"/>
    <n v="0"/>
    <n v="0"/>
    <n v="0"/>
    <n v="0"/>
    <n v="0"/>
    <n v="0"/>
    <n v="1"/>
    <n v="0"/>
    <n v="4"/>
    <x v="0"/>
    <n v="1"/>
    <n v="0"/>
    <n v="2785"/>
    <n v="2785"/>
    <n v="7"/>
    <x v="1"/>
    <n v="0"/>
    <n v="14"/>
    <n v="3"/>
    <n v="3"/>
    <n v="0"/>
    <n v="3"/>
    <n v="3"/>
    <n v="3"/>
    <n v="4"/>
    <n v="1"/>
    <n v="1"/>
    <n v="0"/>
    <n v="0"/>
    <n v="0"/>
    <n v="0"/>
    <n v="0"/>
    <n v="0"/>
  </r>
  <r>
    <n v="35"/>
    <n v="35"/>
    <x v="0"/>
    <n v="1"/>
    <s v="Travel_Frequently"/>
    <n v="1"/>
    <n v="0"/>
    <x v="0"/>
    <n v="0"/>
    <n v="1"/>
    <n v="18"/>
    <n v="18"/>
    <n v="4"/>
    <s v="Marketing"/>
    <n v="0"/>
    <n v="0"/>
    <n v="0"/>
    <n v="1"/>
    <n v="0"/>
    <x v="2"/>
    <s v="Female"/>
    <n v="1"/>
    <n v="67"/>
    <n v="3"/>
    <n v="2"/>
    <s v="Sales Executive"/>
    <n v="0"/>
    <n v="1"/>
    <n v="0"/>
    <n v="0"/>
    <n v="0"/>
    <n v="0"/>
    <n v="0"/>
    <n v="0"/>
    <n v="3"/>
    <x v="1"/>
    <n v="0"/>
    <n v="1"/>
    <n v="4614"/>
    <n v="4614"/>
    <n v="0"/>
    <x v="0"/>
    <n v="1"/>
    <n v="18"/>
    <n v="3"/>
    <n v="3"/>
    <n v="1"/>
    <n v="5"/>
    <n v="5"/>
    <n v="0"/>
    <n v="2"/>
    <n v="4"/>
    <n v="4"/>
    <n v="2"/>
    <n v="3"/>
    <n v="3"/>
    <n v="2"/>
    <n v="2"/>
    <n v="4"/>
  </r>
  <r>
    <n v="38"/>
    <n v="38"/>
    <x v="1"/>
    <n v="0"/>
    <s v="Travel_Frequently"/>
    <n v="1"/>
    <n v="0"/>
    <x v="1"/>
    <n v="1"/>
    <n v="0"/>
    <n v="7"/>
    <n v="7"/>
    <n v="3"/>
    <s v="Life Sciences"/>
    <n v="1"/>
    <n v="0"/>
    <n v="0"/>
    <n v="0"/>
    <n v="0"/>
    <x v="2"/>
    <s v="Male"/>
    <n v="0"/>
    <n v="57"/>
    <n v="4"/>
    <n v="1"/>
    <s v="Research Scientist"/>
    <n v="0"/>
    <n v="0"/>
    <n v="0"/>
    <n v="0"/>
    <n v="0"/>
    <n v="0"/>
    <n v="0"/>
    <n v="1"/>
    <n v="3"/>
    <x v="2"/>
    <n v="0"/>
    <n v="0"/>
    <n v="2610"/>
    <n v="2610"/>
    <n v="1"/>
    <x v="1"/>
    <n v="0"/>
    <n v="11"/>
    <n v="3"/>
    <n v="4"/>
    <n v="3"/>
    <n v="4"/>
    <n v="4"/>
    <n v="2"/>
    <n v="3"/>
    <n v="4"/>
    <n v="4"/>
    <n v="2"/>
    <n v="0"/>
    <n v="0"/>
    <n v="3"/>
    <n v="3"/>
    <n v="3"/>
  </r>
  <r>
    <n v="34"/>
    <n v="34"/>
    <x v="1"/>
    <n v="0"/>
    <s v="Travel_Rarely"/>
    <n v="0"/>
    <n v="1"/>
    <x v="1"/>
    <n v="1"/>
    <n v="0"/>
    <n v="2"/>
    <n v="2"/>
    <n v="4"/>
    <s v="Technical Degree"/>
    <n v="0"/>
    <n v="0"/>
    <n v="0"/>
    <n v="0"/>
    <n v="1"/>
    <x v="1"/>
    <s v="Female"/>
    <n v="1"/>
    <n v="98"/>
    <n v="3"/>
    <n v="2"/>
    <s v="Healthcare Representative"/>
    <n v="1"/>
    <n v="0"/>
    <n v="0"/>
    <n v="0"/>
    <n v="0"/>
    <n v="0"/>
    <n v="0"/>
    <n v="0"/>
    <n v="4"/>
    <x v="0"/>
    <n v="1"/>
    <n v="0"/>
    <n v="6687"/>
    <n v="6687"/>
    <n v="1"/>
    <x v="1"/>
    <n v="0"/>
    <n v="11"/>
    <n v="3"/>
    <n v="4"/>
    <n v="0"/>
    <n v="14"/>
    <n v="14"/>
    <n v="2"/>
    <n v="4"/>
    <n v="14"/>
    <n v="14"/>
    <n v="11"/>
    <n v="4"/>
    <n v="4"/>
    <n v="11"/>
    <n v="11"/>
    <n v="22"/>
  </r>
  <r>
    <n v="28"/>
    <n v="28"/>
    <x v="1"/>
    <n v="0"/>
    <s v="Travel_Rarely"/>
    <n v="0"/>
    <n v="1"/>
    <x v="0"/>
    <n v="0"/>
    <n v="1"/>
    <n v="26"/>
    <n v="26"/>
    <n v="3"/>
    <s v="Life Sciences"/>
    <n v="1"/>
    <n v="0"/>
    <n v="0"/>
    <n v="0"/>
    <n v="0"/>
    <x v="1"/>
    <s v="Male"/>
    <n v="0"/>
    <n v="48"/>
    <n v="2"/>
    <n v="2"/>
    <s v="Sales Executive"/>
    <n v="0"/>
    <n v="1"/>
    <n v="0"/>
    <n v="0"/>
    <n v="0"/>
    <n v="0"/>
    <n v="0"/>
    <n v="0"/>
    <n v="1"/>
    <x v="1"/>
    <n v="0"/>
    <n v="1"/>
    <n v="4724"/>
    <n v="4724"/>
    <n v="1"/>
    <x v="1"/>
    <n v="0"/>
    <n v="11"/>
    <n v="3"/>
    <n v="3"/>
    <n v="1"/>
    <n v="5"/>
    <n v="5"/>
    <n v="0"/>
    <n v="3"/>
    <n v="5"/>
    <n v="5"/>
    <n v="3"/>
    <n v="0"/>
    <n v="0"/>
    <n v="4"/>
    <n v="4"/>
    <n v="8"/>
  </r>
  <r>
    <n v="31"/>
    <n v="31"/>
    <x v="0"/>
    <n v="1"/>
    <s v="Travel_Rarely"/>
    <n v="0"/>
    <n v="1"/>
    <x v="1"/>
    <n v="1"/>
    <n v="0"/>
    <n v="22"/>
    <n v="22"/>
    <n v="4"/>
    <s v="Medical"/>
    <n v="0"/>
    <n v="0"/>
    <n v="1"/>
    <n v="0"/>
    <n v="0"/>
    <x v="2"/>
    <s v="Male"/>
    <n v="0"/>
    <n v="98"/>
    <n v="3"/>
    <n v="2"/>
    <s v="Manufacturing Director"/>
    <n v="0"/>
    <n v="0"/>
    <n v="0"/>
    <n v="0"/>
    <n v="1"/>
    <n v="1"/>
    <n v="0"/>
    <n v="0"/>
    <n v="3"/>
    <x v="1"/>
    <n v="0"/>
    <n v="1"/>
    <n v="6179"/>
    <n v="6179"/>
    <n v="1"/>
    <x v="0"/>
    <n v="1"/>
    <n v="15"/>
    <n v="3"/>
    <n v="4"/>
    <n v="2"/>
    <n v="10"/>
    <n v="10"/>
    <n v="3"/>
    <n v="2"/>
    <n v="10"/>
    <n v="10"/>
    <n v="2"/>
    <n v="6"/>
    <n v="6"/>
    <n v="7"/>
    <n v="7"/>
    <n v="14"/>
  </r>
  <r>
    <n v="39"/>
    <n v="39"/>
    <x v="1"/>
    <n v="0"/>
    <s v="Travel_Rarely"/>
    <n v="0"/>
    <n v="1"/>
    <x v="0"/>
    <n v="0"/>
    <n v="1"/>
    <n v="21"/>
    <n v="21"/>
    <n v="4"/>
    <s v="Life Sciences"/>
    <n v="1"/>
    <n v="0"/>
    <n v="0"/>
    <n v="0"/>
    <n v="0"/>
    <x v="3"/>
    <s v="Male"/>
    <n v="0"/>
    <n v="44"/>
    <n v="2"/>
    <n v="2"/>
    <s v="Sales Executive"/>
    <n v="0"/>
    <n v="1"/>
    <n v="0"/>
    <n v="0"/>
    <n v="0"/>
    <n v="0"/>
    <n v="0"/>
    <n v="0"/>
    <n v="4"/>
    <x v="1"/>
    <n v="0"/>
    <n v="1"/>
    <n v="6120"/>
    <n v="6120"/>
    <n v="3"/>
    <x v="0"/>
    <n v="1"/>
    <n v="12"/>
    <n v="3"/>
    <n v="4"/>
    <n v="2"/>
    <n v="8"/>
    <n v="8"/>
    <n v="2"/>
    <n v="4"/>
    <n v="5"/>
    <n v="5"/>
    <n v="4"/>
    <n v="1"/>
    <n v="1"/>
    <n v="4"/>
    <n v="4"/>
    <n v="8"/>
  </r>
  <r>
    <n v="51"/>
    <n v="51"/>
    <x v="1"/>
    <n v="0"/>
    <s v="Travel_Frequently"/>
    <n v="1"/>
    <n v="0"/>
    <x v="0"/>
    <n v="0"/>
    <n v="1"/>
    <n v="2"/>
    <n v="2"/>
    <n v="3"/>
    <s v="Marketing"/>
    <n v="0"/>
    <n v="0"/>
    <n v="0"/>
    <n v="1"/>
    <n v="0"/>
    <x v="0"/>
    <s v="Male"/>
    <n v="0"/>
    <n v="52"/>
    <n v="3"/>
    <n v="3"/>
    <s v="Sales Executive"/>
    <n v="0"/>
    <n v="1"/>
    <n v="0"/>
    <n v="0"/>
    <n v="0"/>
    <n v="0"/>
    <n v="0"/>
    <n v="0"/>
    <n v="2"/>
    <x v="1"/>
    <n v="0"/>
    <n v="1"/>
    <n v="10596"/>
    <n v="10596"/>
    <n v="2"/>
    <x v="1"/>
    <n v="0"/>
    <n v="11"/>
    <n v="3"/>
    <n v="2"/>
    <n v="0"/>
    <n v="14"/>
    <n v="14"/>
    <n v="5"/>
    <n v="3"/>
    <n v="4"/>
    <n v="4"/>
    <n v="2"/>
    <n v="3"/>
    <n v="3"/>
    <n v="2"/>
    <n v="2"/>
    <n v="6"/>
  </r>
  <r>
    <n v="41"/>
    <n v="41"/>
    <x v="1"/>
    <n v="0"/>
    <s v="Travel_Frequently"/>
    <n v="1"/>
    <n v="0"/>
    <x v="1"/>
    <n v="1"/>
    <n v="0"/>
    <n v="22"/>
    <n v="22"/>
    <n v="3"/>
    <s v="Life Sciences"/>
    <n v="1"/>
    <n v="0"/>
    <n v="0"/>
    <n v="0"/>
    <n v="0"/>
    <x v="2"/>
    <s v="Female"/>
    <n v="1"/>
    <n v="75"/>
    <n v="3"/>
    <n v="2"/>
    <s v="Research Scientist"/>
    <n v="0"/>
    <n v="0"/>
    <n v="0"/>
    <n v="0"/>
    <n v="0"/>
    <n v="0"/>
    <n v="0"/>
    <n v="1"/>
    <n v="4"/>
    <x v="2"/>
    <n v="0"/>
    <n v="0"/>
    <n v="5467"/>
    <n v="5467"/>
    <n v="3"/>
    <x v="0"/>
    <n v="1"/>
    <n v="14"/>
    <n v="3"/>
    <n v="1"/>
    <n v="2"/>
    <n v="12"/>
    <n v="12"/>
    <n v="4"/>
    <n v="2"/>
    <n v="6"/>
    <n v="6"/>
    <n v="2"/>
    <n v="3"/>
    <n v="3"/>
    <n v="3"/>
    <n v="3"/>
    <n v="6"/>
  </r>
  <r>
    <n v="37"/>
    <n v="37"/>
    <x v="1"/>
    <n v="0"/>
    <s v="Travel_Rarely"/>
    <n v="0"/>
    <n v="1"/>
    <x v="1"/>
    <n v="1"/>
    <n v="0"/>
    <n v="4"/>
    <n v="4"/>
    <n v="1"/>
    <s v="Life Sciences"/>
    <n v="1"/>
    <n v="0"/>
    <n v="0"/>
    <n v="0"/>
    <n v="0"/>
    <x v="1"/>
    <s v="Male"/>
    <n v="0"/>
    <n v="54"/>
    <n v="3"/>
    <n v="1"/>
    <s v="Research Scientist"/>
    <n v="0"/>
    <n v="0"/>
    <n v="0"/>
    <n v="0"/>
    <n v="0"/>
    <n v="0"/>
    <n v="0"/>
    <n v="1"/>
    <n v="3"/>
    <x v="1"/>
    <n v="0"/>
    <n v="1"/>
    <n v="2996"/>
    <n v="2996"/>
    <n v="7"/>
    <x v="0"/>
    <n v="1"/>
    <n v="15"/>
    <n v="3"/>
    <n v="4"/>
    <n v="0"/>
    <n v="8"/>
    <n v="8"/>
    <n v="2"/>
    <n v="3"/>
    <n v="6"/>
    <n v="6"/>
    <n v="4"/>
    <n v="1"/>
    <n v="1"/>
    <n v="3"/>
    <n v="3"/>
    <n v="3"/>
  </r>
  <r>
    <n v="33"/>
    <n v="33"/>
    <x v="1"/>
    <n v="0"/>
    <s v="Travel_Frequently"/>
    <n v="1"/>
    <n v="0"/>
    <x v="0"/>
    <n v="0"/>
    <n v="1"/>
    <n v="5"/>
    <n v="5"/>
    <n v="1"/>
    <s v="Life Sciences"/>
    <n v="1"/>
    <n v="0"/>
    <n v="0"/>
    <n v="0"/>
    <n v="0"/>
    <x v="0"/>
    <s v="Male"/>
    <n v="0"/>
    <n v="61"/>
    <n v="3"/>
    <n v="2"/>
    <s v="Sales Executive"/>
    <n v="0"/>
    <n v="1"/>
    <n v="0"/>
    <n v="0"/>
    <n v="0"/>
    <n v="0"/>
    <n v="0"/>
    <n v="0"/>
    <n v="4"/>
    <x v="1"/>
    <n v="0"/>
    <n v="1"/>
    <n v="9998"/>
    <n v="9998"/>
    <n v="6"/>
    <x v="1"/>
    <n v="0"/>
    <n v="13"/>
    <n v="3"/>
    <n v="1"/>
    <n v="0"/>
    <n v="8"/>
    <n v="8"/>
    <n v="2"/>
    <n v="4"/>
    <n v="5"/>
    <n v="5"/>
    <n v="4"/>
    <n v="1"/>
    <n v="1"/>
    <n v="2"/>
    <n v="2"/>
    <n v="4"/>
  </r>
  <r>
    <n v="32"/>
    <n v="32"/>
    <x v="1"/>
    <n v="0"/>
    <s v="Travel_Rarely"/>
    <n v="0"/>
    <n v="1"/>
    <x v="0"/>
    <n v="0"/>
    <n v="1"/>
    <n v="2"/>
    <n v="2"/>
    <n v="1"/>
    <s v="Marketing"/>
    <n v="0"/>
    <n v="0"/>
    <n v="0"/>
    <n v="1"/>
    <n v="0"/>
    <x v="1"/>
    <s v="Male"/>
    <n v="0"/>
    <n v="36"/>
    <n v="3"/>
    <n v="2"/>
    <s v="Sales Executive"/>
    <n v="0"/>
    <n v="1"/>
    <n v="0"/>
    <n v="0"/>
    <n v="0"/>
    <n v="0"/>
    <n v="0"/>
    <n v="0"/>
    <n v="2"/>
    <x v="1"/>
    <n v="0"/>
    <n v="1"/>
    <n v="4078"/>
    <n v="4078"/>
    <n v="0"/>
    <x v="0"/>
    <n v="1"/>
    <n v="13"/>
    <n v="3"/>
    <n v="1"/>
    <n v="3"/>
    <n v="4"/>
    <n v="4"/>
    <n v="3"/>
    <n v="2"/>
    <n v="3"/>
    <n v="3"/>
    <n v="2"/>
    <n v="1"/>
    <n v="1"/>
    <n v="2"/>
    <n v="2"/>
    <n v="4"/>
  </r>
  <r>
    <n v="39"/>
    <n v="39"/>
    <x v="1"/>
    <n v="0"/>
    <s v="Non-Travel"/>
    <n v="0"/>
    <n v="0"/>
    <x v="1"/>
    <n v="1"/>
    <n v="0"/>
    <n v="25"/>
    <n v="25"/>
    <n v="2"/>
    <s v="Life Sciences"/>
    <n v="1"/>
    <n v="0"/>
    <n v="0"/>
    <n v="0"/>
    <n v="0"/>
    <x v="1"/>
    <s v="Male"/>
    <n v="0"/>
    <n v="71"/>
    <n v="3"/>
    <n v="3"/>
    <s v="Healthcare Representative"/>
    <n v="1"/>
    <n v="0"/>
    <n v="0"/>
    <n v="0"/>
    <n v="0"/>
    <n v="0"/>
    <n v="0"/>
    <n v="0"/>
    <n v="3"/>
    <x v="1"/>
    <n v="0"/>
    <n v="1"/>
    <n v="10920"/>
    <n v="10920"/>
    <n v="3"/>
    <x v="1"/>
    <n v="0"/>
    <n v="21"/>
    <n v="4"/>
    <n v="2"/>
    <n v="1"/>
    <n v="13"/>
    <n v="13"/>
    <n v="2"/>
    <n v="3"/>
    <n v="6"/>
    <n v="6"/>
    <n v="4"/>
    <n v="0"/>
    <n v="0"/>
    <n v="5"/>
    <n v="5"/>
    <n v="15"/>
  </r>
  <r>
    <n v="25"/>
    <n v="25"/>
    <x v="1"/>
    <n v="0"/>
    <s v="Travel_Rarely"/>
    <n v="0"/>
    <n v="1"/>
    <x v="0"/>
    <n v="0"/>
    <n v="1"/>
    <n v="18"/>
    <n v="18"/>
    <n v="1"/>
    <s v="Life Sciences"/>
    <n v="1"/>
    <n v="0"/>
    <n v="0"/>
    <n v="0"/>
    <n v="0"/>
    <x v="3"/>
    <s v="Male"/>
    <n v="0"/>
    <n v="93"/>
    <n v="4"/>
    <n v="2"/>
    <s v="Sales Executive"/>
    <n v="0"/>
    <n v="1"/>
    <n v="0"/>
    <n v="0"/>
    <n v="0"/>
    <n v="0"/>
    <n v="0"/>
    <n v="0"/>
    <n v="3"/>
    <x v="1"/>
    <n v="0"/>
    <n v="1"/>
    <n v="6232"/>
    <n v="6232"/>
    <n v="2"/>
    <x v="1"/>
    <n v="0"/>
    <n v="11"/>
    <n v="3"/>
    <n v="2"/>
    <n v="0"/>
    <n v="6"/>
    <n v="6"/>
    <n v="3"/>
    <n v="2"/>
    <n v="3"/>
    <n v="3"/>
    <n v="2"/>
    <n v="1"/>
    <n v="1"/>
    <n v="2"/>
    <n v="2"/>
    <n v="4"/>
  </r>
  <r>
    <n v="52"/>
    <n v="52"/>
    <x v="1"/>
    <n v="0"/>
    <s v="Travel_Frequently"/>
    <n v="1"/>
    <n v="0"/>
    <x v="1"/>
    <n v="1"/>
    <n v="0"/>
    <n v="28"/>
    <n v="28"/>
    <n v="2"/>
    <s v="Medical"/>
    <n v="0"/>
    <n v="0"/>
    <n v="1"/>
    <n v="0"/>
    <n v="0"/>
    <x v="2"/>
    <s v="Female"/>
    <n v="1"/>
    <n v="59"/>
    <n v="4"/>
    <n v="4"/>
    <s v="Manufacturing Director"/>
    <n v="0"/>
    <n v="0"/>
    <n v="0"/>
    <n v="0"/>
    <n v="1"/>
    <n v="1"/>
    <n v="0"/>
    <n v="0"/>
    <n v="3"/>
    <x v="1"/>
    <n v="0"/>
    <n v="1"/>
    <n v="13247"/>
    <n v="13247"/>
    <n v="2"/>
    <x v="0"/>
    <n v="1"/>
    <n v="11"/>
    <n v="3"/>
    <n v="2"/>
    <n v="1"/>
    <n v="24"/>
    <n v="24"/>
    <n v="3"/>
    <n v="2"/>
    <n v="5"/>
    <n v="5"/>
    <n v="3"/>
    <n v="0"/>
    <n v="0"/>
    <n v="2"/>
    <n v="2"/>
    <n v="8"/>
  </r>
  <r>
    <n v="43"/>
    <n v="43"/>
    <x v="1"/>
    <n v="0"/>
    <s v="Travel_Rarely"/>
    <n v="0"/>
    <n v="1"/>
    <x v="1"/>
    <n v="1"/>
    <n v="0"/>
    <n v="6"/>
    <n v="6"/>
    <n v="3"/>
    <s v="Medical"/>
    <n v="0"/>
    <n v="0"/>
    <n v="1"/>
    <n v="0"/>
    <n v="0"/>
    <x v="3"/>
    <s v="Female"/>
    <n v="1"/>
    <n v="73"/>
    <n v="2"/>
    <n v="2"/>
    <s v="Research Scientist"/>
    <n v="0"/>
    <n v="0"/>
    <n v="0"/>
    <n v="0"/>
    <n v="0"/>
    <n v="0"/>
    <n v="0"/>
    <n v="1"/>
    <n v="3"/>
    <x v="0"/>
    <n v="1"/>
    <n v="0"/>
    <n v="4081"/>
    <n v="4081"/>
    <n v="1"/>
    <x v="0"/>
    <n v="1"/>
    <n v="14"/>
    <n v="3"/>
    <n v="1"/>
    <n v="0"/>
    <n v="20"/>
    <n v="20"/>
    <n v="3"/>
    <n v="1"/>
    <n v="20"/>
    <n v="20"/>
    <n v="7"/>
    <n v="1"/>
    <n v="1"/>
    <n v="8"/>
    <n v="8"/>
    <n v="16"/>
  </r>
  <r>
    <n v="27"/>
    <n v="27"/>
    <x v="1"/>
    <n v="0"/>
    <s v="Travel_Rarely"/>
    <n v="0"/>
    <n v="1"/>
    <x v="0"/>
    <n v="0"/>
    <n v="1"/>
    <n v="10"/>
    <n v="10"/>
    <n v="3"/>
    <s v="Marketing"/>
    <n v="0"/>
    <n v="0"/>
    <n v="0"/>
    <n v="1"/>
    <n v="0"/>
    <x v="2"/>
    <s v="Female"/>
    <n v="1"/>
    <n v="98"/>
    <n v="2"/>
    <n v="2"/>
    <s v="Sales Executive"/>
    <n v="0"/>
    <n v="1"/>
    <n v="0"/>
    <n v="0"/>
    <n v="0"/>
    <n v="0"/>
    <n v="0"/>
    <n v="0"/>
    <n v="4"/>
    <x v="1"/>
    <n v="0"/>
    <n v="1"/>
    <n v="5769"/>
    <n v="5769"/>
    <n v="1"/>
    <x v="0"/>
    <n v="1"/>
    <n v="11"/>
    <n v="3"/>
    <n v="4"/>
    <n v="0"/>
    <n v="6"/>
    <n v="6"/>
    <n v="3"/>
    <n v="3"/>
    <n v="6"/>
    <n v="6"/>
    <n v="2"/>
    <n v="4"/>
    <n v="4"/>
    <n v="4"/>
    <n v="4"/>
    <n v="8"/>
  </r>
  <r>
    <n v="27"/>
    <n v="27"/>
    <x v="0"/>
    <n v="1"/>
    <s v="Travel_Rarely"/>
    <n v="0"/>
    <n v="1"/>
    <x v="1"/>
    <n v="1"/>
    <n v="0"/>
    <n v="17"/>
    <n v="17"/>
    <n v="4"/>
    <s v="Life Sciences"/>
    <n v="1"/>
    <n v="0"/>
    <n v="0"/>
    <n v="0"/>
    <n v="0"/>
    <x v="2"/>
    <s v="Female"/>
    <n v="1"/>
    <n v="51"/>
    <n v="3"/>
    <n v="1"/>
    <s v="Research Scientist"/>
    <n v="0"/>
    <n v="0"/>
    <n v="0"/>
    <n v="0"/>
    <n v="0"/>
    <n v="0"/>
    <n v="0"/>
    <n v="1"/>
    <n v="3"/>
    <x v="0"/>
    <n v="1"/>
    <n v="0"/>
    <n v="2394"/>
    <n v="2394"/>
    <n v="1"/>
    <x v="0"/>
    <n v="1"/>
    <n v="13"/>
    <n v="3"/>
    <n v="4"/>
    <n v="0"/>
    <n v="8"/>
    <n v="8"/>
    <n v="2"/>
    <n v="3"/>
    <n v="8"/>
    <n v="8"/>
    <n v="2"/>
    <n v="7"/>
    <n v="7"/>
    <n v="7"/>
    <n v="7"/>
    <n v="7"/>
  </r>
  <r>
    <n v="26"/>
    <n v="26"/>
    <x v="1"/>
    <n v="0"/>
    <s v="Travel_Rarely"/>
    <n v="0"/>
    <n v="1"/>
    <x v="1"/>
    <n v="1"/>
    <n v="0"/>
    <n v="2"/>
    <n v="2"/>
    <n v="1"/>
    <s v="Medical"/>
    <n v="0"/>
    <n v="0"/>
    <n v="1"/>
    <n v="0"/>
    <n v="0"/>
    <x v="3"/>
    <s v="Male"/>
    <n v="0"/>
    <n v="36"/>
    <n v="2"/>
    <n v="1"/>
    <s v="Research Scientist"/>
    <n v="0"/>
    <n v="0"/>
    <n v="0"/>
    <n v="0"/>
    <n v="0"/>
    <n v="0"/>
    <n v="0"/>
    <n v="1"/>
    <n v="4"/>
    <x v="0"/>
    <n v="1"/>
    <n v="0"/>
    <n v="3904"/>
    <n v="3904"/>
    <n v="0"/>
    <x v="1"/>
    <n v="0"/>
    <n v="12"/>
    <n v="3"/>
    <n v="4"/>
    <n v="0"/>
    <n v="5"/>
    <n v="5"/>
    <n v="2"/>
    <n v="3"/>
    <n v="4"/>
    <n v="4"/>
    <n v="3"/>
    <n v="1"/>
    <n v="1"/>
    <n v="1"/>
    <n v="1"/>
    <n v="1"/>
  </r>
  <r>
    <n v="42"/>
    <n v="42"/>
    <x v="1"/>
    <n v="0"/>
    <s v="Travel_Rarely"/>
    <n v="0"/>
    <n v="1"/>
    <x v="2"/>
    <n v="0"/>
    <n v="0"/>
    <n v="10"/>
    <n v="10"/>
    <n v="3"/>
    <s v="Human Resources"/>
    <n v="0"/>
    <n v="0"/>
    <n v="0"/>
    <n v="0"/>
    <n v="0"/>
    <x v="1"/>
    <s v="Female"/>
    <n v="1"/>
    <n v="31"/>
    <n v="3"/>
    <n v="4"/>
    <s v="Manager"/>
    <n v="0"/>
    <n v="0"/>
    <n v="0"/>
    <n v="1"/>
    <n v="0"/>
    <n v="0"/>
    <n v="0"/>
    <n v="0"/>
    <n v="1"/>
    <x v="1"/>
    <n v="0"/>
    <n v="1"/>
    <n v="16799"/>
    <n v="16799"/>
    <n v="0"/>
    <x v="1"/>
    <n v="0"/>
    <n v="14"/>
    <n v="3"/>
    <n v="3"/>
    <n v="1"/>
    <n v="21"/>
    <n v="21"/>
    <n v="5"/>
    <n v="3"/>
    <n v="20"/>
    <n v="20"/>
    <n v="7"/>
    <n v="0"/>
    <n v="0"/>
    <n v="9"/>
    <n v="9"/>
    <n v="36"/>
  </r>
  <r>
    <n v="52"/>
    <n v="52"/>
    <x v="1"/>
    <n v="0"/>
    <s v="Travel_Rarely"/>
    <n v="0"/>
    <n v="1"/>
    <x v="1"/>
    <n v="1"/>
    <n v="0"/>
    <n v="8"/>
    <n v="8"/>
    <n v="4"/>
    <s v="Other"/>
    <n v="0"/>
    <n v="1"/>
    <n v="0"/>
    <n v="0"/>
    <n v="0"/>
    <x v="1"/>
    <s v="Female"/>
    <n v="1"/>
    <n v="54"/>
    <n v="3"/>
    <n v="1"/>
    <s v="Laboratory Technician"/>
    <n v="0"/>
    <n v="0"/>
    <n v="1"/>
    <n v="0"/>
    <n v="0"/>
    <n v="0"/>
    <n v="0"/>
    <n v="0"/>
    <n v="1"/>
    <x v="1"/>
    <n v="0"/>
    <n v="1"/>
    <n v="2950"/>
    <n v="2950"/>
    <n v="9"/>
    <x v="1"/>
    <n v="0"/>
    <n v="13"/>
    <n v="3"/>
    <n v="3"/>
    <n v="0"/>
    <n v="12"/>
    <n v="12"/>
    <n v="2"/>
    <n v="1"/>
    <n v="5"/>
    <n v="5"/>
    <n v="4"/>
    <n v="0"/>
    <n v="0"/>
    <n v="4"/>
    <n v="4"/>
    <n v="4"/>
  </r>
  <r>
    <n v="37"/>
    <n v="37"/>
    <x v="1"/>
    <n v="0"/>
    <s v="Travel_Rarely"/>
    <n v="0"/>
    <n v="1"/>
    <x v="1"/>
    <n v="1"/>
    <n v="0"/>
    <n v="11"/>
    <n v="11"/>
    <n v="3"/>
    <s v="Medical"/>
    <n v="0"/>
    <n v="0"/>
    <n v="1"/>
    <n v="0"/>
    <n v="0"/>
    <x v="3"/>
    <s v="Female"/>
    <n v="1"/>
    <n v="94"/>
    <n v="3"/>
    <n v="1"/>
    <s v="Laboratory Technician"/>
    <n v="0"/>
    <n v="0"/>
    <n v="1"/>
    <n v="0"/>
    <n v="0"/>
    <n v="0"/>
    <n v="0"/>
    <n v="0"/>
    <n v="3"/>
    <x v="0"/>
    <n v="1"/>
    <n v="0"/>
    <n v="3629"/>
    <n v="3629"/>
    <n v="4"/>
    <x v="1"/>
    <n v="0"/>
    <n v="18"/>
    <n v="3"/>
    <n v="1"/>
    <n v="0"/>
    <n v="8"/>
    <n v="8"/>
    <n v="6"/>
    <n v="3"/>
    <n v="3"/>
    <n v="3"/>
    <n v="2"/>
    <n v="0"/>
    <n v="0"/>
    <n v="2"/>
    <n v="2"/>
    <n v="2"/>
  </r>
  <r>
    <n v="35"/>
    <n v="35"/>
    <x v="1"/>
    <n v="0"/>
    <s v="Travel_Frequently"/>
    <n v="1"/>
    <n v="0"/>
    <x v="1"/>
    <n v="1"/>
    <n v="0"/>
    <n v="18"/>
    <n v="18"/>
    <n v="2"/>
    <s v="Life Sciences"/>
    <n v="1"/>
    <n v="0"/>
    <n v="0"/>
    <n v="0"/>
    <n v="0"/>
    <x v="1"/>
    <s v="Male"/>
    <n v="0"/>
    <n v="60"/>
    <n v="3"/>
    <n v="3"/>
    <s v="Manufacturing Director"/>
    <n v="0"/>
    <n v="0"/>
    <n v="0"/>
    <n v="0"/>
    <n v="1"/>
    <n v="1"/>
    <n v="0"/>
    <n v="0"/>
    <n v="4"/>
    <x v="0"/>
    <n v="1"/>
    <n v="0"/>
    <n v="9362"/>
    <n v="9362"/>
    <n v="2"/>
    <x v="1"/>
    <n v="0"/>
    <n v="11"/>
    <n v="3"/>
    <n v="3"/>
    <n v="0"/>
    <n v="10"/>
    <n v="10"/>
    <n v="2"/>
    <n v="3"/>
    <n v="2"/>
    <n v="2"/>
    <n v="2"/>
    <n v="2"/>
    <n v="2"/>
    <n v="2"/>
    <n v="2"/>
    <n v="6"/>
  </r>
  <r>
    <n v="25"/>
    <n v="25"/>
    <x v="1"/>
    <n v="0"/>
    <s v="Travel_Rarely"/>
    <n v="0"/>
    <n v="1"/>
    <x v="1"/>
    <n v="1"/>
    <n v="0"/>
    <n v="1"/>
    <n v="1"/>
    <n v="3"/>
    <s v="Technical Degree"/>
    <n v="0"/>
    <n v="0"/>
    <n v="0"/>
    <n v="0"/>
    <n v="1"/>
    <x v="3"/>
    <s v="Male"/>
    <n v="0"/>
    <n v="81"/>
    <n v="3"/>
    <n v="1"/>
    <s v="Laboratory Technician"/>
    <n v="0"/>
    <n v="0"/>
    <n v="1"/>
    <n v="0"/>
    <n v="0"/>
    <n v="0"/>
    <n v="0"/>
    <n v="0"/>
    <n v="4"/>
    <x v="1"/>
    <n v="0"/>
    <n v="1"/>
    <n v="3229"/>
    <n v="3229"/>
    <n v="4"/>
    <x v="1"/>
    <n v="0"/>
    <n v="11"/>
    <n v="3"/>
    <n v="2"/>
    <n v="1"/>
    <n v="7"/>
    <n v="7"/>
    <n v="2"/>
    <n v="2"/>
    <n v="3"/>
    <n v="3"/>
    <n v="2"/>
    <n v="0"/>
    <n v="0"/>
    <n v="2"/>
    <n v="2"/>
    <n v="2"/>
  </r>
  <r>
    <n v="26"/>
    <n v="26"/>
    <x v="1"/>
    <n v="0"/>
    <s v="Travel_Rarely"/>
    <n v="0"/>
    <n v="1"/>
    <x v="1"/>
    <n v="1"/>
    <n v="0"/>
    <n v="7"/>
    <n v="7"/>
    <n v="3"/>
    <s v="Other"/>
    <n v="0"/>
    <n v="1"/>
    <n v="0"/>
    <n v="0"/>
    <n v="0"/>
    <x v="1"/>
    <s v="Male"/>
    <n v="0"/>
    <n v="100"/>
    <n v="4"/>
    <n v="1"/>
    <s v="Laboratory Technician"/>
    <n v="0"/>
    <n v="0"/>
    <n v="1"/>
    <n v="0"/>
    <n v="0"/>
    <n v="0"/>
    <n v="0"/>
    <n v="0"/>
    <n v="1"/>
    <x v="0"/>
    <n v="1"/>
    <n v="0"/>
    <n v="3578"/>
    <n v="3578"/>
    <n v="0"/>
    <x v="1"/>
    <n v="0"/>
    <n v="12"/>
    <n v="3"/>
    <n v="4"/>
    <n v="0"/>
    <n v="8"/>
    <n v="8"/>
    <n v="2"/>
    <n v="3"/>
    <n v="7"/>
    <n v="7"/>
    <n v="7"/>
    <n v="0"/>
    <n v="0"/>
    <n v="7"/>
    <n v="7"/>
    <n v="7"/>
  </r>
  <r>
    <n v="29"/>
    <n v="29"/>
    <x v="1"/>
    <n v="0"/>
    <s v="Travel_Rarely"/>
    <n v="0"/>
    <n v="1"/>
    <x v="2"/>
    <n v="0"/>
    <n v="0"/>
    <n v="17"/>
    <n v="17"/>
    <n v="3"/>
    <s v="Other"/>
    <n v="0"/>
    <n v="1"/>
    <n v="0"/>
    <n v="0"/>
    <n v="0"/>
    <x v="0"/>
    <s v="Male"/>
    <n v="0"/>
    <n v="51"/>
    <n v="2"/>
    <n v="3"/>
    <s v="Human Resources"/>
    <n v="0"/>
    <n v="0"/>
    <n v="0"/>
    <n v="0"/>
    <n v="0"/>
    <n v="0"/>
    <n v="0"/>
    <n v="0"/>
    <n v="1"/>
    <x v="0"/>
    <n v="1"/>
    <n v="0"/>
    <n v="7988"/>
    <n v="7988"/>
    <n v="1"/>
    <x v="1"/>
    <n v="0"/>
    <n v="13"/>
    <n v="3"/>
    <n v="1"/>
    <n v="0"/>
    <n v="10"/>
    <n v="10"/>
    <n v="3"/>
    <n v="2"/>
    <n v="10"/>
    <n v="10"/>
    <n v="9"/>
    <n v="0"/>
    <n v="0"/>
    <n v="9"/>
    <n v="9"/>
    <n v="27"/>
  </r>
  <r>
    <n v="49"/>
    <n v="49"/>
    <x v="0"/>
    <n v="1"/>
    <s v="Travel_Frequently"/>
    <n v="1"/>
    <n v="0"/>
    <x v="1"/>
    <n v="1"/>
    <n v="0"/>
    <n v="28"/>
    <n v="28"/>
    <n v="2"/>
    <s v="Life Sciences"/>
    <n v="1"/>
    <n v="0"/>
    <n v="0"/>
    <n v="0"/>
    <n v="0"/>
    <x v="3"/>
    <s v="Male"/>
    <n v="0"/>
    <n v="97"/>
    <n v="2"/>
    <n v="2"/>
    <s v="Laboratory Technician"/>
    <n v="0"/>
    <n v="0"/>
    <n v="1"/>
    <n v="0"/>
    <n v="0"/>
    <n v="0"/>
    <n v="0"/>
    <n v="0"/>
    <n v="1"/>
    <x v="0"/>
    <n v="1"/>
    <n v="0"/>
    <n v="4284"/>
    <n v="4284"/>
    <n v="3"/>
    <x v="1"/>
    <n v="0"/>
    <n v="20"/>
    <n v="4"/>
    <n v="1"/>
    <n v="0"/>
    <n v="20"/>
    <n v="20"/>
    <n v="2"/>
    <n v="3"/>
    <n v="4"/>
    <n v="4"/>
    <n v="3"/>
    <n v="1"/>
    <n v="1"/>
    <n v="3"/>
    <n v="3"/>
    <n v="6"/>
  </r>
  <r>
    <n v="29"/>
    <n v="29"/>
    <x v="0"/>
    <n v="1"/>
    <s v="Travel_Frequently"/>
    <n v="1"/>
    <n v="0"/>
    <x v="1"/>
    <n v="1"/>
    <n v="0"/>
    <n v="14"/>
    <n v="14"/>
    <n v="1"/>
    <s v="Other"/>
    <n v="0"/>
    <n v="1"/>
    <n v="0"/>
    <n v="0"/>
    <n v="0"/>
    <x v="1"/>
    <s v="Female"/>
    <n v="1"/>
    <n v="84"/>
    <n v="3"/>
    <n v="3"/>
    <s v="Healthcare Representative"/>
    <n v="1"/>
    <n v="0"/>
    <n v="0"/>
    <n v="0"/>
    <n v="0"/>
    <n v="0"/>
    <n v="0"/>
    <n v="0"/>
    <n v="4"/>
    <x v="0"/>
    <n v="1"/>
    <n v="0"/>
    <n v="7553"/>
    <n v="7553"/>
    <n v="0"/>
    <x v="0"/>
    <n v="1"/>
    <n v="12"/>
    <n v="3"/>
    <n v="1"/>
    <n v="0"/>
    <n v="9"/>
    <n v="9"/>
    <n v="1"/>
    <n v="3"/>
    <n v="8"/>
    <n v="8"/>
    <n v="7"/>
    <n v="7"/>
    <n v="7"/>
    <n v="7"/>
    <n v="7"/>
    <n v="21"/>
  </r>
  <r>
    <n v="54"/>
    <n v="54"/>
    <x v="1"/>
    <n v="0"/>
    <s v="Travel_Rarely"/>
    <n v="0"/>
    <n v="1"/>
    <x v="1"/>
    <n v="1"/>
    <n v="0"/>
    <n v="1"/>
    <n v="1"/>
    <n v="3"/>
    <s v="Medical"/>
    <n v="0"/>
    <n v="0"/>
    <n v="1"/>
    <n v="0"/>
    <n v="0"/>
    <x v="2"/>
    <s v="Female"/>
    <n v="1"/>
    <n v="54"/>
    <n v="3"/>
    <n v="4"/>
    <s v="Research Director"/>
    <n v="0"/>
    <n v="0"/>
    <n v="0"/>
    <n v="0"/>
    <n v="0"/>
    <n v="0"/>
    <n v="0"/>
    <n v="0"/>
    <n v="4"/>
    <x v="0"/>
    <n v="1"/>
    <n v="0"/>
    <n v="17328"/>
    <n v="17328"/>
    <n v="6"/>
    <x v="1"/>
    <n v="0"/>
    <n v="19"/>
    <n v="3"/>
    <n v="4"/>
    <n v="0"/>
    <n v="29"/>
    <n v="29"/>
    <n v="3"/>
    <n v="2"/>
    <n v="20"/>
    <n v="20"/>
    <n v="7"/>
    <n v="12"/>
    <n v="12"/>
    <n v="7"/>
    <n v="7"/>
    <n v="28"/>
  </r>
  <r>
    <n v="58"/>
    <n v="58"/>
    <x v="1"/>
    <n v="0"/>
    <s v="Travel_Rarely"/>
    <n v="0"/>
    <n v="1"/>
    <x v="1"/>
    <n v="1"/>
    <n v="0"/>
    <n v="1"/>
    <n v="1"/>
    <n v="3"/>
    <s v="Medical"/>
    <n v="0"/>
    <n v="0"/>
    <n v="1"/>
    <n v="0"/>
    <n v="0"/>
    <x v="2"/>
    <s v="Female"/>
    <n v="1"/>
    <n v="76"/>
    <n v="3"/>
    <n v="5"/>
    <s v="Research Director"/>
    <n v="0"/>
    <n v="0"/>
    <n v="0"/>
    <n v="0"/>
    <n v="0"/>
    <n v="0"/>
    <n v="0"/>
    <n v="0"/>
    <n v="1"/>
    <x v="1"/>
    <n v="0"/>
    <n v="1"/>
    <n v="19701"/>
    <n v="19626.310000000001"/>
    <n v="3"/>
    <x v="0"/>
    <n v="1"/>
    <n v="21"/>
    <n v="4"/>
    <n v="3"/>
    <n v="1"/>
    <n v="32"/>
    <n v="32"/>
    <n v="3"/>
    <n v="3"/>
    <n v="9"/>
    <n v="9"/>
    <n v="8"/>
    <n v="1"/>
    <n v="1"/>
    <n v="5"/>
    <n v="5"/>
    <n v="25"/>
  </r>
  <r>
    <n v="55"/>
    <n v="55"/>
    <x v="1"/>
    <n v="0"/>
    <s v="Travel_Rarely"/>
    <n v="0"/>
    <n v="1"/>
    <x v="1"/>
    <n v="1"/>
    <n v="0"/>
    <n v="1"/>
    <n v="1"/>
    <n v="4"/>
    <s v="Medical"/>
    <n v="0"/>
    <n v="0"/>
    <n v="1"/>
    <n v="0"/>
    <n v="0"/>
    <x v="0"/>
    <s v="Male"/>
    <n v="0"/>
    <n v="81"/>
    <n v="4"/>
    <n v="4"/>
    <s v="Research Director"/>
    <n v="0"/>
    <n v="0"/>
    <n v="0"/>
    <n v="0"/>
    <n v="0"/>
    <n v="0"/>
    <n v="0"/>
    <n v="0"/>
    <n v="4"/>
    <x v="2"/>
    <n v="0"/>
    <n v="0"/>
    <n v="14732"/>
    <n v="14732"/>
    <n v="2"/>
    <x v="1"/>
    <n v="0"/>
    <n v="13"/>
    <n v="3"/>
    <n v="4"/>
    <n v="2"/>
    <n v="31"/>
    <n v="31"/>
    <n v="4"/>
    <n v="4"/>
    <n v="7"/>
    <n v="7"/>
    <n v="7"/>
    <n v="0"/>
    <n v="0"/>
    <n v="0"/>
    <n v="0"/>
    <n v="0"/>
  </r>
  <r>
    <n v="36"/>
    <n v="36"/>
    <x v="1"/>
    <n v="0"/>
    <s v="Travel_Rarely"/>
    <n v="0"/>
    <n v="1"/>
    <x v="0"/>
    <n v="0"/>
    <n v="1"/>
    <n v="3"/>
    <n v="3"/>
    <n v="4"/>
    <s v="Marketing"/>
    <n v="0"/>
    <n v="0"/>
    <n v="0"/>
    <n v="1"/>
    <n v="0"/>
    <x v="3"/>
    <s v="Female"/>
    <n v="1"/>
    <n v="99"/>
    <n v="3"/>
    <n v="2"/>
    <s v="Sales Executive"/>
    <n v="0"/>
    <n v="1"/>
    <n v="0"/>
    <n v="0"/>
    <n v="0"/>
    <n v="0"/>
    <n v="0"/>
    <n v="0"/>
    <n v="2"/>
    <x v="0"/>
    <n v="1"/>
    <n v="0"/>
    <n v="9278"/>
    <n v="9278"/>
    <n v="3"/>
    <x v="0"/>
    <n v="1"/>
    <n v="16"/>
    <n v="3"/>
    <n v="4"/>
    <n v="0"/>
    <n v="15"/>
    <n v="15"/>
    <n v="3"/>
    <n v="3"/>
    <n v="5"/>
    <n v="5"/>
    <n v="4"/>
    <n v="0"/>
    <n v="0"/>
    <n v="1"/>
    <n v="1"/>
    <n v="2"/>
  </r>
  <r>
    <n v="31"/>
    <n v="31"/>
    <x v="0"/>
    <n v="1"/>
    <s v="Travel_Frequently"/>
    <n v="1"/>
    <n v="0"/>
    <x v="0"/>
    <n v="0"/>
    <n v="1"/>
    <n v="1"/>
    <n v="1"/>
    <n v="4"/>
    <s v="Life Sciences"/>
    <n v="1"/>
    <n v="0"/>
    <n v="0"/>
    <n v="0"/>
    <n v="0"/>
    <x v="0"/>
    <s v="Female"/>
    <n v="1"/>
    <n v="50"/>
    <n v="1"/>
    <n v="1"/>
    <s v="Sales Representative"/>
    <n v="0"/>
    <n v="0"/>
    <n v="0"/>
    <n v="0"/>
    <n v="0"/>
    <n v="0"/>
    <n v="1"/>
    <n v="0"/>
    <n v="3"/>
    <x v="0"/>
    <n v="1"/>
    <n v="0"/>
    <n v="1359"/>
    <n v="1382.46"/>
    <n v="1"/>
    <x v="1"/>
    <n v="0"/>
    <n v="12"/>
    <n v="3"/>
    <n v="2"/>
    <n v="0"/>
    <n v="1"/>
    <n v="1"/>
    <n v="3"/>
    <n v="3"/>
    <n v="1"/>
    <n v="1"/>
    <n v="0"/>
    <n v="0"/>
    <n v="0"/>
    <n v="0"/>
    <n v="0"/>
    <n v="0"/>
  </r>
  <r>
    <n v="30"/>
    <n v="30"/>
    <x v="1"/>
    <n v="0"/>
    <s v="Travel_Rarely"/>
    <n v="0"/>
    <n v="1"/>
    <x v="0"/>
    <n v="0"/>
    <n v="1"/>
    <n v="7"/>
    <n v="7"/>
    <n v="4"/>
    <s v="Marketing"/>
    <n v="0"/>
    <n v="0"/>
    <n v="0"/>
    <n v="1"/>
    <n v="0"/>
    <x v="2"/>
    <s v="Female"/>
    <n v="1"/>
    <n v="73"/>
    <n v="3"/>
    <n v="2"/>
    <s v="Sales Executive"/>
    <n v="0"/>
    <n v="1"/>
    <n v="0"/>
    <n v="0"/>
    <n v="0"/>
    <n v="0"/>
    <n v="0"/>
    <n v="0"/>
    <n v="1"/>
    <x v="2"/>
    <n v="0"/>
    <n v="0"/>
    <n v="4779"/>
    <n v="4779"/>
    <n v="7"/>
    <x v="1"/>
    <n v="0"/>
    <n v="14"/>
    <n v="3"/>
    <n v="2"/>
    <n v="2"/>
    <n v="8"/>
    <n v="8"/>
    <n v="3"/>
    <n v="3"/>
    <n v="3"/>
    <n v="3"/>
    <n v="2"/>
    <n v="0"/>
    <n v="0"/>
    <n v="2"/>
    <n v="2"/>
    <n v="4"/>
  </r>
  <r>
    <n v="31"/>
    <n v="31"/>
    <x v="1"/>
    <n v="0"/>
    <s v="Travel_Rarely"/>
    <n v="0"/>
    <n v="1"/>
    <x v="1"/>
    <n v="1"/>
    <n v="0"/>
    <n v="8"/>
    <n v="8"/>
    <n v="5"/>
    <s v="Life Sciences"/>
    <n v="1"/>
    <n v="0"/>
    <n v="0"/>
    <n v="0"/>
    <n v="0"/>
    <x v="3"/>
    <s v="Female"/>
    <n v="1"/>
    <n v="93"/>
    <n v="3"/>
    <n v="4"/>
    <s v="Research Director"/>
    <n v="0"/>
    <n v="0"/>
    <n v="0"/>
    <n v="0"/>
    <n v="0"/>
    <n v="0"/>
    <n v="0"/>
    <n v="0"/>
    <n v="2"/>
    <x v="0"/>
    <n v="1"/>
    <n v="0"/>
    <n v="16422"/>
    <n v="16422"/>
    <n v="3"/>
    <x v="1"/>
    <n v="0"/>
    <n v="11"/>
    <n v="3"/>
    <n v="3"/>
    <n v="0"/>
    <n v="9"/>
    <n v="9"/>
    <n v="3"/>
    <n v="4"/>
    <n v="3"/>
    <n v="3"/>
    <n v="2"/>
    <n v="1"/>
    <n v="1"/>
    <n v="0"/>
    <n v="0"/>
    <n v="0"/>
  </r>
  <r>
    <n v="34"/>
    <n v="34"/>
    <x v="1"/>
    <n v="0"/>
    <s v="Travel_Frequently"/>
    <n v="1"/>
    <n v="0"/>
    <x v="1"/>
    <n v="1"/>
    <n v="0"/>
    <n v="1"/>
    <n v="1"/>
    <n v="4"/>
    <s v="Other"/>
    <n v="0"/>
    <n v="1"/>
    <n v="0"/>
    <n v="0"/>
    <n v="0"/>
    <x v="2"/>
    <s v="Male"/>
    <n v="0"/>
    <n v="91"/>
    <n v="3"/>
    <n v="1"/>
    <s v="Research Scientist"/>
    <n v="0"/>
    <n v="0"/>
    <n v="0"/>
    <n v="0"/>
    <n v="0"/>
    <n v="0"/>
    <n v="0"/>
    <n v="1"/>
    <n v="1"/>
    <x v="2"/>
    <n v="0"/>
    <n v="0"/>
    <n v="2996"/>
    <n v="2996"/>
    <n v="5"/>
    <x v="1"/>
    <n v="0"/>
    <n v="14"/>
    <n v="3"/>
    <n v="3"/>
    <n v="2"/>
    <n v="10"/>
    <n v="10"/>
    <n v="2"/>
    <n v="3"/>
    <n v="4"/>
    <n v="4"/>
    <n v="3"/>
    <n v="1"/>
    <n v="1"/>
    <n v="3"/>
    <n v="3"/>
    <n v="3"/>
  </r>
  <r>
    <n v="31"/>
    <n v="31"/>
    <x v="0"/>
    <n v="1"/>
    <s v="Travel_Rarely"/>
    <n v="0"/>
    <n v="1"/>
    <x v="1"/>
    <n v="1"/>
    <n v="0"/>
    <n v="8"/>
    <n v="8"/>
    <n v="3"/>
    <s v="Life Sciences"/>
    <n v="1"/>
    <n v="0"/>
    <n v="0"/>
    <n v="0"/>
    <n v="0"/>
    <x v="3"/>
    <s v="Female"/>
    <n v="1"/>
    <n v="34"/>
    <n v="2"/>
    <n v="1"/>
    <s v="Research Scientist"/>
    <n v="0"/>
    <n v="0"/>
    <n v="0"/>
    <n v="0"/>
    <n v="0"/>
    <n v="0"/>
    <n v="0"/>
    <n v="1"/>
    <n v="2"/>
    <x v="0"/>
    <n v="1"/>
    <n v="0"/>
    <n v="1261"/>
    <n v="1382.46"/>
    <n v="1"/>
    <x v="1"/>
    <n v="0"/>
    <n v="12"/>
    <n v="3"/>
    <n v="3"/>
    <n v="0"/>
    <n v="1"/>
    <n v="1"/>
    <n v="3"/>
    <n v="4"/>
    <n v="1"/>
    <n v="1"/>
    <n v="0"/>
    <n v="0"/>
    <n v="0"/>
    <n v="0"/>
    <n v="0"/>
    <n v="0"/>
  </r>
  <r>
    <n v="27"/>
    <n v="27"/>
    <x v="1"/>
    <n v="0"/>
    <s v="Travel_Rarely"/>
    <n v="0"/>
    <n v="1"/>
    <x v="1"/>
    <n v="1"/>
    <n v="0"/>
    <n v="11"/>
    <n v="11"/>
    <n v="1"/>
    <s v="Life Sciences"/>
    <n v="1"/>
    <n v="0"/>
    <n v="0"/>
    <n v="0"/>
    <n v="0"/>
    <x v="0"/>
    <s v="Male"/>
    <n v="0"/>
    <n v="91"/>
    <n v="3"/>
    <n v="1"/>
    <s v="Laboratory Technician"/>
    <n v="0"/>
    <n v="0"/>
    <n v="1"/>
    <n v="0"/>
    <n v="0"/>
    <n v="0"/>
    <n v="0"/>
    <n v="0"/>
    <n v="1"/>
    <x v="1"/>
    <n v="0"/>
    <n v="1"/>
    <n v="2099"/>
    <n v="2099"/>
    <n v="0"/>
    <x v="1"/>
    <n v="0"/>
    <n v="14"/>
    <n v="3"/>
    <n v="2"/>
    <n v="0"/>
    <n v="6"/>
    <n v="6"/>
    <n v="3"/>
    <n v="4"/>
    <n v="5"/>
    <n v="5"/>
    <n v="0"/>
    <n v="1"/>
    <n v="1"/>
    <n v="4"/>
    <n v="4"/>
    <n v="4"/>
  </r>
  <r>
    <n v="36"/>
    <n v="36"/>
    <x v="1"/>
    <n v="0"/>
    <s v="Travel_Rarely"/>
    <n v="0"/>
    <n v="1"/>
    <x v="1"/>
    <n v="1"/>
    <n v="0"/>
    <n v="4"/>
    <n v="4"/>
    <n v="4"/>
    <s v="Life Sciences"/>
    <n v="1"/>
    <n v="0"/>
    <n v="0"/>
    <n v="0"/>
    <n v="0"/>
    <x v="3"/>
    <s v="Male"/>
    <n v="0"/>
    <n v="37"/>
    <n v="2"/>
    <n v="2"/>
    <s v="Laboratory Technician"/>
    <n v="0"/>
    <n v="0"/>
    <n v="1"/>
    <n v="0"/>
    <n v="0"/>
    <n v="0"/>
    <n v="0"/>
    <n v="0"/>
    <n v="4"/>
    <x v="0"/>
    <n v="1"/>
    <n v="0"/>
    <n v="5810"/>
    <n v="5810"/>
    <n v="1"/>
    <x v="1"/>
    <n v="0"/>
    <n v="16"/>
    <n v="3"/>
    <n v="3"/>
    <n v="0"/>
    <n v="10"/>
    <n v="10"/>
    <n v="2"/>
    <n v="2"/>
    <n v="10"/>
    <n v="10"/>
    <n v="4"/>
    <n v="1"/>
    <n v="1"/>
    <n v="8"/>
    <n v="8"/>
    <n v="16"/>
  </r>
  <r>
    <n v="36"/>
    <n v="36"/>
    <x v="1"/>
    <n v="0"/>
    <s v="Travel_Rarely"/>
    <n v="0"/>
    <n v="1"/>
    <x v="0"/>
    <n v="0"/>
    <n v="1"/>
    <n v="16"/>
    <n v="16"/>
    <n v="4"/>
    <s v="Marketing"/>
    <n v="0"/>
    <n v="0"/>
    <n v="0"/>
    <n v="1"/>
    <n v="0"/>
    <x v="1"/>
    <s v="Female"/>
    <n v="1"/>
    <n v="98"/>
    <n v="2"/>
    <n v="2"/>
    <s v="Sales Executive"/>
    <n v="0"/>
    <n v="1"/>
    <n v="0"/>
    <n v="0"/>
    <n v="0"/>
    <n v="0"/>
    <n v="0"/>
    <n v="0"/>
    <n v="1"/>
    <x v="1"/>
    <n v="0"/>
    <n v="1"/>
    <n v="5647"/>
    <n v="5647"/>
    <n v="4"/>
    <x v="1"/>
    <n v="0"/>
    <n v="13"/>
    <n v="3"/>
    <n v="1"/>
    <n v="2"/>
    <n v="11"/>
    <n v="11"/>
    <n v="3"/>
    <n v="2"/>
    <n v="3"/>
    <n v="3"/>
    <n v="2"/>
    <n v="0"/>
    <n v="0"/>
    <n v="2"/>
    <n v="2"/>
    <n v="4"/>
  </r>
  <r>
    <n v="47"/>
    <n v="47"/>
    <x v="1"/>
    <n v="0"/>
    <s v="Travel_Rarely"/>
    <n v="0"/>
    <n v="1"/>
    <x v="1"/>
    <n v="1"/>
    <n v="0"/>
    <n v="1"/>
    <n v="1"/>
    <n v="3"/>
    <s v="Technical Degree"/>
    <n v="0"/>
    <n v="0"/>
    <n v="0"/>
    <n v="0"/>
    <n v="1"/>
    <x v="3"/>
    <s v="Male"/>
    <n v="0"/>
    <n v="74"/>
    <n v="3"/>
    <n v="1"/>
    <s v="Research Scientist"/>
    <n v="0"/>
    <n v="0"/>
    <n v="0"/>
    <n v="0"/>
    <n v="0"/>
    <n v="0"/>
    <n v="0"/>
    <n v="1"/>
    <n v="4"/>
    <x v="1"/>
    <n v="0"/>
    <n v="1"/>
    <n v="3420"/>
    <n v="3420"/>
    <n v="7"/>
    <x v="1"/>
    <n v="0"/>
    <n v="12"/>
    <n v="3"/>
    <n v="3"/>
    <n v="1"/>
    <n v="17"/>
    <n v="17"/>
    <n v="2"/>
    <n v="2"/>
    <n v="6"/>
    <n v="6"/>
    <n v="5"/>
    <n v="1"/>
    <n v="1"/>
    <n v="2"/>
    <n v="2"/>
    <n v="2"/>
  </r>
  <r>
    <n v="25"/>
    <n v="25"/>
    <x v="0"/>
    <n v="1"/>
    <s v="Travel_Rarely"/>
    <n v="0"/>
    <n v="1"/>
    <x v="0"/>
    <n v="0"/>
    <n v="1"/>
    <n v="9"/>
    <n v="9"/>
    <n v="2"/>
    <s v="Life Sciences"/>
    <n v="1"/>
    <n v="0"/>
    <n v="0"/>
    <n v="0"/>
    <n v="0"/>
    <x v="3"/>
    <s v="Male"/>
    <n v="0"/>
    <n v="68"/>
    <n v="2"/>
    <n v="1"/>
    <s v="Sales Representative"/>
    <n v="0"/>
    <n v="0"/>
    <n v="0"/>
    <n v="0"/>
    <n v="0"/>
    <n v="0"/>
    <n v="1"/>
    <n v="0"/>
    <n v="1"/>
    <x v="1"/>
    <n v="0"/>
    <n v="1"/>
    <n v="4400"/>
    <n v="4400"/>
    <n v="3"/>
    <x v="1"/>
    <n v="0"/>
    <n v="12"/>
    <n v="3"/>
    <n v="1"/>
    <n v="0"/>
    <n v="6"/>
    <n v="6"/>
    <n v="2"/>
    <n v="3"/>
    <n v="3"/>
    <n v="3"/>
    <n v="2"/>
    <n v="2"/>
    <n v="2"/>
    <n v="2"/>
    <n v="2"/>
    <n v="2"/>
  </r>
  <r>
    <n v="37"/>
    <n v="37"/>
    <x v="1"/>
    <n v="0"/>
    <s v="Non-Travel"/>
    <n v="0"/>
    <n v="0"/>
    <x v="1"/>
    <n v="1"/>
    <n v="0"/>
    <n v="5"/>
    <n v="5"/>
    <n v="2"/>
    <s v="Technical Degree"/>
    <n v="0"/>
    <n v="0"/>
    <n v="0"/>
    <n v="0"/>
    <n v="1"/>
    <x v="1"/>
    <s v="Male"/>
    <n v="0"/>
    <n v="84"/>
    <n v="4"/>
    <n v="1"/>
    <s v="Laboratory Technician"/>
    <n v="0"/>
    <n v="0"/>
    <n v="1"/>
    <n v="0"/>
    <n v="0"/>
    <n v="0"/>
    <n v="0"/>
    <n v="0"/>
    <n v="3"/>
    <x v="0"/>
    <n v="1"/>
    <n v="0"/>
    <n v="3500"/>
    <n v="3500"/>
    <n v="0"/>
    <x v="1"/>
    <n v="0"/>
    <n v="14"/>
    <n v="3"/>
    <n v="1"/>
    <n v="0"/>
    <n v="7"/>
    <n v="7"/>
    <n v="2"/>
    <n v="1"/>
    <n v="6"/>
    <n v="6"/>
    <n v="5"/>
    <n v="1"/>
    <n v="1"/>
    <n v="3"/>
    <n v="3"/>
    <n v="3"/>
  </r>
  <r>
    <n v="56"/>
    <n v="56"/>
    <x v="1"/>
    <n v="0"/>
    <s v="Travel_Rarely"/>
    <n v="0"/>
    <n v="1"/>
    <x v="1"/>
    <n v="1"/>
    <n v="0"/>
    <n v="1"/>
    <n v="1"/>
    <n v="2"/>
    <s v="Life Sciences"/>
    <n v="1"/>
    <n v="0"/>
    <n v="0"/>
    <n v="0"/>
    <n v="0"/>
    <x v="3"/>
    <s v="Female"/>
    <n v="1"/>
    <n v="90"/>
    <n v="3"/>
    <n v="1"/>
    <s v="Research Scientist"/>
    <n v="0"/>
    <n v="0"/>
    <n v="0"/>
    <n v="0"/>
    <n v="0"/>
    <n v="0"/>
    <n v="0"/>
    <n v="1"/>
    <n v="1"/>
    <x v="1"/>
    <n v="0"/>
    <n v="1"/>
    <n v="2066"/>
    <n v="2066"/>
    <n v="2"/>
    <x v="1"/>
    <n v="0"/>
    <n v="22"/>
    <n v="4"/>
    <n v="4"/>
    <n v="1"/>
    <n v="5"/>
    <n v="5"/>
    <n v="3"/>
    <n v="4"/>
    <n v="3"/>
    <n v="3"/>
    <n v="2"/>
    <n v="1"/>
    <n v="1"/>
    <n v="0"/>
    <n v="0"/>
    <n v="0"/>
  </r>
  <r>
    <n v="47"/>
    <n v="47"/>
    <x v="1"/>
    <n v="0"/>
    <s v="Travel_Rarely"/>
    <n v="0"/>
    <n v="1"/>
    <x v="1"/>
    <n v="1"/>
    <n v="0"/>
    <n v="2"/>
    <n v="2"/>
    <n v="4"/>
    <s v="Medical"/>
    <n v="0"/>
    <n v="0"/>
    <n v="1"/>
    <n v="0"/>
    <n v="0"/>
    <x v="3"/>
    <s v="Female"/>
    <n v="1"/>
    <n v="82"/>
    <n v="3"/>
    <n v="4"/>
    <s v="Research Director"/>
    <n v="0"/>
    <n v="0"/>
    <n v="0"/>
    <n v="0"/>
    <n v="0"/>
    <n v="0"/>
    <n v="0"/>
    <n v="0"/>
    <n v="3"/>
    <x v="1"/>
    <n v="0"/>
    <n v="1"/>
    <n v="17169"/>
    <n v="17169"/>
    <n v="3"/>
    <x v="1"/>
    <n v="0"/>
    <n v="19"/>
    <n v="3"/>
    <n v="2"/>
    <n v="2"/>
    <n v="26"/>
    <n v="26"/>
    <n v="2"/>
    <n v="4"/>
    <n v="20"/>
    <n v="20"/>
    <n v="17"/>
    <n v="5"/>
    <n v="5"/>
    <n v="6"/>
    <n v="6"/>
    <n v="24"/>
  </r>
  <r>
    <n v="24"/>
    <n v="24"/>
    <x v="1"/>
    <n v="0"/>
    <s v="Travel_Rarely"/>
    <n v="0"/>
    <n v="1"/>
    <x v="0"/>
    <n v="0"/>
    <n v="1"/>
    <n v="4"/>
    <n v="4"/>
    <n v="1"/>
    <s v="Medical"/>
    <n v="0"/>
    <n v="0"/>
    <n v="1"/>
    <n v="0"/>
    <n v="0"/>
    <x v="2"/>
    <s v="Female"/>
    <n v="1"/>
    <n v="42"/>
    <n v="3"/>
    <n v="2"/>
    <s v="Sales Executive"/>
    <n v="0"/>
    <n v="1"/>
    <n v="0"/>
    <n v="0"/>
    <n v="0"/>
    <n v="0"/>
    <n v="0"/>
    <n v="0"/>
    <n v="3"/>
    <x v="1"/>
    <n v="0"/>
    <n v="1"/>
    <n v="4162"/>
    <n v="4162"/>
    <n v="1"/>
    <x v="0"/>
    <n v="1"/>
    <n v="12"/>
    <n v="3"/>
    <n v="3"/>
    <n v="2"/>
    <n v="5"/>
    <n v="5"/>
    <n v="3"/>
    <n v="3"/>
    <n v="5"/>
    <n v="5"/>
    <n v="4"/>
    <n v="0"/>
    <n v="0"/>
    <n v="3"/>
    <n v="3"/>
    <n v="6"/>
  </r>
  <r>
    <n v="32"/>
    <n v="32"/>
    <x v="1"/>
    <n v="0"/>
    <s v="Travel_Rarely"/>
    <n v="0"/>
    <n v="1"/>
    <x v="0"/>
    <n v="0"/>
    <n v="1"/>
    <n v="7"/>
    <n v="7"/>
    <n v="5"/>
    <s v="Marketing"/>
    <n v="0"/>
    <n v="0"/>
    <n v="0"/>
    <n v="1"/>
    <n v="0"/>
    <x v="2"/>
    <s v="Male"/>
    <n v="0"/>
    <n v="97"/>
    <n v="3"/>
    <n v="2"/>
    <s v="Sales Executive"/>
    <n v="0"/>
    <n v="1"/>
    <n v="0"/>
    <n v="0"/>
    <n v="0"/>
    <n v="0"/>
    <n v="0"/>
    <n v="0"/>
    <n v="4"/>
    <x v="1"/>
    <n v="0"/>
    <n v="1"/>
    <n v="9204"/>
    <n v="9204"/>
    <n v="4"/>
    <x v="1"/>
    <n v="0"/>
    <n v="12"/>
    <n v="3"/>
    <n v="3"/>
    <n v="1"/>
    <n v="7"/>
    <n v="7"/>
    <n v="3"/>
    <n v="2"/>
    <n v="4"/>
    <n v="4"/>
    <n v="3"/>
    <n v="0"/>
    <n v="0"/>
    <n v="3"/>
    <n v="3"/>
    <n v="6"/>
  </r>
  <r>
    <n v="34"/>
    <n v="34"/>
    <x v="1"/>
    <n v="0"/>
    <s v="Travel_Rarely"/>
    <n v="0"/>
    <n v="1"/>
    <x v="1"/>
    <n v="1"/>
    <n v="0"/>
    <n v="1"/>
    <n v="1"/>
    <n v="3"/>
    <s v="Life Sciences"/>
    <n v="1"/>
    <n v="0"/>
    <n v="0"/>
    <n v="0"/>
    <n v="0"/>
    <x v="2"/>
    <s v="Female"/>
    <n v="1"/>
    <n v="86"/>
    <n v="2"/>
    <n v="1"/>
    <s v="Laboratory Technician"/>
    <n v="0"/>
    <n v="0"/>
    <n v="1"/>
    <n v="0"/>
    <n v="0"/>
    <n v="0"/>
    <n v="0"/>
    <n v="0"/>
    <n v="2"/>
    <x v="1"/>
    <n v="0"/>
    <n v="1"/>
    <n v="3294"/>
    <n v="3294"/>
    <n v="5"/>
    <x v="1"/>
    <n v="0"/>
    <n v="17"/>
    <n v="3"/>
    <n v="1"/>
    <n v="1"/>
    <n v="7"/>
    <n v="7"/>
    <n v="2"/>
    <n v="2"/>
    <n v="5"/>
    <n v="5"/>
    <n v="4"/>
    <n v="0"/>
    <n v="0"/>
    <n v="2"/>
    <n v="2"/>
    <n v="2"/>
  </r>
  <r>
    <n v="41"/>
    <n v="41"/>
    <x v="1"/>
    <n v="0"/>
    <s v="Travel_Rarely"/>
    <n v="0"/>
    <n v="1"/>
    <x v="1"/>
    <n v="1"/>
    <n v="0"/>
    <n v="5"/>
    <n v="5"/>
    <n v="5"/>
    <s v="Medical"/>
    <n v="0"/>
    <n v="0"/>
    <n v="1"/>
    <n v="0"/>
    <n v="0"/>
    <x v="0"/>
    <s v="Male"/>
    <n v="0"/>
    <n v="90"/>
    <n v="4"/>
    <n v="1"/>
    <s v="Research Scientist"/>
    <n v="0"/>
    <n v="0"/>
    <n v="0"/>
    <n v="0"/>
    <n v="0"/>
    <n v="0"/>
    <n v="0"/>
    <n v="1"/>
    <n v="3"/>
    <x v="1"/>
    <n v="0"/>
    <n v="1"/>
    <n v="2127"/>
    <n v="2127"/>
    <n v="2"/>
    <x v="0"/>
    <n v="1"/>
    <n v="12"/>
    <n v="3"/>
    <n v="1"/>
    <n v="0"/>
    <n v="7"/>
    <n v="7"/>
    <n v="5"/>
    <n v="2"/>
    <n v="4"/>
    <n v="4"/>
    <n v="2"/>
    <n v="0"/>
    <n v="0"/>
    <n v="3"/>
    <n v="3"/>
    <n v="3"/>
  </r>
  <r>
    <n v="40"/>
    <n v="40"/>
    <x v="1"/>
    <n v="0"/>
    <s v="Non-Travel"/>
    <n v="0"/>
    <n v="0"/>
    <x v="1"/>
    <n v="1"/>
    <n v="0"/>
    <n v="9"/>
    <n v="9"/>
    <n v="4"/>
    <s v="Other"/>
    <n v="0"/>
    <n v="1"/>
    <n v="0"/>
    <n v="0"/>
    <n v="0"/>
    <x v="1"/>
    <s v="Male"/>
    <n v="0"/>
    <n v="81"/>
    <n v="3"/>
    <n v="2"/>
    <s v="Laboratory Technician"/>
    <n v="0"/>
    <n v="0"/>
    <n v="1"/>
    <n v="0"/>
    <n v="0"/>
    <n v="0"/>
    <n v="0"/>
    <n v="0"/>
    <n v="3"/>
    <x v="2"/>
    <n v="0"/>
    <n v="0"/>
    <n v="3975"/>
    <n v="3975"/>
    <n v="3"/>
    <x v="1"/>
    <n v="0"/>
    <n v="11"/>
    <n v="3"/>
    <n v="3"/>
    <n v="2"/>
    <n v="11"/>
    <n v="11"/>
    <n v="2"/>
    <n v="4"/>
    <n v="8"/>
    <n v="8"/>
    <n v="7"/>
    <n v="0"/>
    <n v="0"/>
    <n v="7"/>
    <n v="7"/>
    <n v="14"/>
  </r>
  <r>
    <n v="31"/>
    <n v="31"/>
    <x v="1"/>
    <n v="0"/>
    <s v="Travel_Rarely"/>
    <n v="0"/>
    <n v="1"/>
    <x v="0"/>
    <n v="0"/>
    <n v="1"/>
    <n v="8"/>
    <n v="8"/>
    <n v="2"/>
    <s v="Life Sciences"/>
    <n v="1"/>
    <n v="0"/>
    <n v="0"/>
    <n v="0"/>
    <n v="0"/>
    <x v="3"/>
    <s v="Male"/>
    <n v="0"/>
    <n v="31"/>
    <n v="3"/>
    <n v="3"/>
    <s v="Sales Executive"/>
    <n v="0"/>
    <n v="1"/>
    <n v="0"/>
    <n v="0"/>
    <n v="0"/>
    <n v="0"/>
    <n v="0"/>
    <n v="0"/>
    <n v="4"/>
    <x v="2"/>
    <n v="0"/>
    <n v="0"/>
    <n v="10793"/>
    <n v="10793"/>
    <n v="1"/>
    <x v="1"/>
    <n v="0"/>
    <n v="18"/>
    <n v="3"/>
    <n v="1"/>
    <n v="1"/>
    <n v="13"/>
    <n v="13"/>
    <n v="5"/>
    <n v="3"/>
    <n v="13"/>
    <n v="13"/>
    <n v="7"/>
    <n v="9"/>
    <n v="9"/>
    <n v="9"/>
    <n v="9"/>
    <n v="27"/>
  </r>
  <r>
    <n v="46"/>
    <n v="46"/>
    <x v="0"/>
    <n v="1"/>
    <s v="Travel_Rarely"/>
    <n v="0"/>
    <n v="1"/>
    <x v="0"/>
    <n v="0"/>
    <n v="1"/>
    <n v="9"/>
    <n v="9"/>
    <n v="3"/>
    <s v="Marketing"/>
    <n v="0"/>
    <n v="0"/>
    <n v="0"/>
    <n v="1"/>
    <n v="0"/>
    <x v="3"/>
    <s v="Male"/>
    <n v="0"/>
    <n v="52"/>
    <n v="3"/>
    <n v="3"/>
    <s v="Sales Executive"/>
    <n v="0"/>
    <n v="1"/>
    <n v="0"/>
    <n v="0"/>
    <n v="0"/>
    <n v="0"/>
    <n v="0"/>
    <n v="0"/>
    <n v="4"/>
    <x v="2"/>
    <n v="0"/>
    <n v="0"/>
    <n v="10096"/>
    <n v="10096"/>
    <n v="4"/>
    <x v="1"/>
    <n v="0"/>
    <n v="11"/>
    <n v="3"/>
    <n v="1"/>
    <n v="1"/>
    <n v="28"/>
    <n v="28"/>
    <n v="1"/>
    <n v="4"/>
    <n v="7"/>
    <n v="7"/>
    <n v="7"/>
    <n v="4"/>
    <n v="4"/>
    <n v="3"/>
    <n v="3"/>
    <n v="9"/>
  </r>
  <r>
    <n v="39"/>
    <n v="39"/>
    <x v="0"/>
    <n v="1"/>
    <s v="Non-Travel"/>
    <n v="0"/>
    <n v="0"/>
    <x v="1"/>
    <n v="1"/>
    <n v="0"/>
    <n v="2"/>
    <n v="2"/>
    <n v="3"/>
    <s v="Life Sciences"/>
    <n v="1"/>
    <n v="0"/>
    <n v="0"/>
    <n v="0"/>
    <n v="0"/>
    <x v="3"/>
    <s v="Female"/>
    <n v="1"/>
    <n v="54"/>
    <n v="2"/>
    <n v="1"/>
    <s v="Laboratory Technician"/>
    <n v="0"/>
    <n v="0"/>
    <n v="1"/>
    <n v="0"/>
    <n v="0"/>
    <n v="0"/>
    <n v="0"/>
    <n v="0"/>
    <n v="1"/>
    <x v="0"/>
    <n v="1"/>
    <n v="0"/>
    <n v="3646"/>
    <n v="3646"/>
    <n v="2"/>
    <x v="0"/>
    <n v="1"/>
    <n v="23"/>
    <n v="4"/>
    <n v="2"/>
    <n v="0"/>
    <n v="11"/>
    <n v="11"/>
    <n v="2"/>
    <n v="4"/>
    <n v="1"/>
    <n v="1"/>
    <n v="0"/>
    <n v="0"/>
    <n v="0"/>
    <n v="0"/>
    <n v="0"/>
    <n v="0"/>
  </r>
  <r>
    <n v="31"/>
    <n v="31"/>
    <x v="0"/>
    <n v="1"/>
    <s v="Travel_Frequently"/>
    <n v="1"/>
    <n v="0"/>
    <x v="1"/>
    <n v="1"/>
    <n v="0"/>
    <n v="1"/>
    <n v="1"/>
    <n v="5"/>
    <s v="Life Sciences"/>
    <n v="1"/>
    <n v="0"/>
    <n v="0"/>
    <n v="0"/>
    <n v="0"/>
    <x v="1"/>
    <s v="Female"/>
    <n v="1"/>
    <n v="100"/>
    <n v="4"/>
    <n v="3"/>
    <s v="Manufacturing Director"/>
    <n v="0"/>
    <n v="0"/>
    <n v="0"/>
    <n v="0"/>
    <n v="1"/>
    <n v="1"/>
    <n v="0"/>
    <n v="0"/>
    <n v="2"/>
    <x v="0"/>
    <n v="1"/>
    <n v="0"/>
    <n v="7446"/>
    <n v="7446"/>
    <n v="1"/>
    <x v="1"/>
    <n v="0"/>
    <n v="11"/>
    <n v="3"/>
    <n v="1"/>
    <n v="0"/>
    <n v="10"/>
    <n v="10"/>
    <n v="2"/>
    <n v="3"/>
    <n v="10"/>
    <n v="10"/>
    <n v="8"/>
    <n v="4"/>
    <n v="4"/>
    <n v="7"/>
    <n v="7"/>
    <n v="21"/>
  </r>
  <r>
    <n v="45"/>
    <n v="45"/>
    <x v="1"/>
    <n v="0"/>
    <s v="Travel_Rarely"/>
    <n v="0"/>
    <n v="1"/>
    <x v="1"/>
    <n v="1"/>
    <n v="0"/>
    <n v="20"/>
    <n v="20"/>
    <n v="3"/>
    <s v="Medical"/>
    <n v="0"/>
    <n v="0"/>
    <n v="1"/>
    <n v="0"/>
    <n v="0"/>
    <x v="0"/>
    <s v="Male"/>
    <n v="0"/>
    <n v="95"/>
    <n v="1"/>
    <n v="3"/>
    <s v="Healthcare Representative"/>
    <n v="1"/>
    <n v="0"/>
    <n v="0"/>
    <n v="0"/>
    <n v="0"/>
    <n v="0"/>
    <n v="0"/>
    <n v="0"/>
    <n v="1"/>
    <x v="2"/>
    <n v="0"/>
    <n v="0"/>
    <n v="10851"/>
    <n v="10851"/>
    <n v="2"/>
    <x v="0"/>
    <n v="1"/>
    <n v="18"/>
    <n v="3"/>
    <n v="2"/>
    <n v="1"/>
    <n v="24"/>
    <n v="24"/>
    <n v="2"/>
    <n v="3"/>
    <n v="7"/>
    <n v="7"/>
    <n v="7"/>
    <n v="0"/>
    <n v="0"/>
    <n v="7"/>
    <n v="7"/>
    <n v="21"/>
  </r>
  <r>
    <n v="31"/>
    <n v="31"/>
    <x v="1"/>
    <n v="0"/>
    <s v="Travel_Rarely"/>
    <n v="0"/>
    <n v="1"/>
    <x v="2"/>
    <n v="0"/>
    <n v="0"/>
    <n v="8"/>
    <n v="8"/>
    <n v="2"/>
    <s v="Medical"/>
    <n v="0"/>
    <n v="0"/>
    <n v="1"/>
    <n v="0"/>
    <n v="0"/>
    <x v="2"/>
    <s v="Female"/>
    <n v="1"/>
    <n v="96"/>
    <n v="4"/>
    <n v="1"/>
    <s v="Human Resources"/>
    <n v="0"/>
    <n v="0"/>
    <n v="0"/>
    <n v="0"/>
    <n v="0"/>
    <n v="0"/>
    <n v="0"/>
    <n v="0"/>
    <n v="2"/>
    <x v="0"/>
    <n v="1"/>
    <n v="0"/>
    <n v="2109"/>
    <n v="2109"/>
    <n v="9"/>
    <x v="1"/>
    <n v="0"/>
    <n v="18"/>
    <n v="3"/>
    <n v="4"/>
    <n v="0"/>
    <n v="8"/>
    <n v="8"/>
    <n v="3"/>
    <n v="3"/>
    <n v="3"/>
    <n v="3"/>
    <n v="2"/>
    <n v="0"/>
    <n v="0"/>
    <n v="2"/>
    <n v="2"/>
    <n v="2"/>
  </r>
  <r>
    <n v="31"/>
    <n v="31"/>
    <x v="0"/>
    <n v="1"/>
    <s v="Travel_Frequently"/>
    <n v="1"/>
    <n v="0"/>
    <x v="1"/>
    <n v="1"/>
    <n v="0"/>
    <n v="2"/>
    <n v="2"/>
    <n v="3"/>
    <s v="Life Sciences"/>
    <n v="1"/>
    <n v="0"/>
    <n v="0"/>
    <n v="0"/>
    <n v="0"/>
    <x v="0"/>
    <s v="Male"/>
    <n v="0"/>
    <n v="94"/>
    <n v="3"/>
    <n v="1"/>
    <s v="Laboratory Technician"/>
    <n v="0"/>
    <n v="0"/>
    <n v="1"/>
    <n v="0"/>
    <n v="0"/>
    <n v="0"/>
    <n v="0"/>
    <n v="0"/>
    <n v="4"/>
    <x v="1"/>
    <n v="0"/>
    <n v="1"/>
    <n v="3722"/>
    <n v="3722"/>
    <n v="6"/>
    <x v="0"/>
    <n v="1"/>
    <n v="13"/>
    <n v="3"/>
    <n v="3"/>
    <n v="1"/>
    <n v="7"/>
    <n v="7"/>
    <n v="2"/>
    <n v="1"/>
    <n v="2"/>
    <n v="2"/>
    <n v="2"/>
    <n v="2"/>
    <n v="2"/>
    <n v="2"/>
    <n v="2"/>
    <n v="2"/>
  </r>
  <r>
    <n v="45"/>
    <n v="45"/>
    <x v="1"/>
    <n v="0"/>
    <s v="Travel_Rarely"/>
    <n v="0"/>
    <n v="1"/>
    <x v="1"/>
    <n v="1"/>
    <n v="0"/>
    <n v="29"/>
    <n v="29"/>
    <n v="3"/>
    <s v="Technical Degree"/>
    <n v="0"/>
    <n v="0"/>
    <n v="0"/>
    <n v="0"/>
    <n v="1"/>
    <x v="0"/>
    <s v="Male"/>
    <n v="0"/>
    <n v="55"/>
    <n v="3"/>
    <n v="3"/>
    <s v="Manufacturing Director"/>
    <n v="0"/>
    <n v="0"/>
    <n v="0"/>
    <n v="0"/>
    <n v="1"/>
    <n v="1"/>
    <n v="0"/>
    <n v="0"/>
    <n v="4"/>
    <x v="1"/>
    <n v="0"/>
    <n v="1"/>
    <n v="9380"/>
    <n v="9380"/>
    <n v="4"/>
    <x v="0"/>
    <n v="1"/>
    <n v="18"/>
    <n v="3"/>
    <n v="4"/>
    <n v="2"/>
    <n v="10"/>
    <n v="10"/>
    <n v="4"/>
    <n v="4"/>
    <n v="3"/>
    <n v="3"/>
    <n v="1"/>
    <n v="1"/>
    <n v="1"/>
    <n v="2"/>
    <n v="2"/>
    <n v="6"/>
  </r>
  <r>
    <n v="48"/>
    <n v="48"/>
    <x v="1"/>
    <n v="0"/>
    <s v="Travel_Rarely"/>
    <n v="0"/>
    <n v="1"/>
    <x v="0"/>
    <n v="0"/>
    <n v="1"/>
    <n v="7"/>
    <n v="7"/>
    <n v="3"/>
    <s v="Marketing"/>
    <n v="0"/>
    <n v="0"/>
    <n v="0"/>
    <n v="1"/>
    <n v="0"/>
    <x v="1"/>
    <s v="Male"/>
    <n v="0"/>
    <n v="96"/>
    <n v="3"/>
    <n v="2"/>
    <s v="Sales Executive"/>
    <n v="0"/>
    <n v="1"/>
    <n v="0"/>
    <n v="0"/>
    <n v="0"/>
    <n v="0"/>
    <n v="0"/>
    <n v="0"/>
    <n v="1"/>
    <x v="2"/>
    <n v="0"/>
    <n v="0"/>
    <n v="5486"/>
    <n v="5486"/>
    <n v="4"/>
    <x v="1"/>
    <n v="0"/>
    <n v="11"/>
    <n v="3"/>
    <n v="1"/>
    <n v="3"/>
    <n v="15"/>
    <n v="15"/>
    <n v="3"/>
    <n v="3"/>
    <n v="2"/>
    <n v="2"/>
    <n v="2"/>
    <n v="2"/>
    <n v="2"/>
    <n v="2"/>
    <n v="2"/>
    <n v="4"/>
  </r>
  <r>
    <n v="34"/>
    <n v="34"/>
    <x v="0"/>
    <n v="1"/>
    <s v="Travel_Rarely"/>
    <n v="0"/>
    <n v="1"/>
    <x v="2"/>
    <n v="0"/>
    <n v="0"/>
    <n v="9"/>
    <n v="9"/>
    <n v="4"/>
    <s v="Technical Degree"/>
    <n v="0"/>
    <n v="0"/>
    <n v="0"/>
    <n v="0"/>
    <n v="1"/>
    <x v="3"/>
    <s v="Female"/>
    <n v="1"/>
    <n v="52"/>
    <n v="3"/>
    <n v="1"/>
    <s v="Human Resources"/>
    <n v="0"/>
    <n v="0"/>
    <n v="0"/>
    <n v="0"/>
    <n v="0"/>
    <n v="0"/>
    <n v="0"/>
    <n v="0"/>
    <n v="3"/>
    <x v="1"/>
    <n v="0"/>
    <n v="1"/>
    <n v="2742"/>
    <n v="2742"/>
    <n v="1"/>
    <x v="1"/>
    <n v="0"/>
    <n v="15"/>
    <n v="3"/>
    <n v="4"/>
    <n v="0"/>
    <n v="2"/>
    <n v="2"/>
    <n v="0"/>
    <n v="3"/>
    <n v="2"/>
    <n v="2"/>
    <n v="2"/>
    <n v="2"/>
    <n v="2"/>
    <n v="2"/>
    <n v="2"/>
    <n v="2"/>
  </r>
  <r>
    <n v="40"/>
    <n v="40"/>
    <x v="1"/>
    <n v="0"/>
    <s v="Non-Travel"/>
    <n v="0"/>
    <n v="0"/>
    <x v="1"/>
    <n v="1"/>
    <n v="0"/>
    <n v="8"/>
    <n v="8"/>
    <n v="1"/>
    <s v="Medical"/>
    <n v="0"/>
    <n v="0"/>
    <n v="1"/>
    <n v="0"/>
    <n v="0"/>
    <x v="2"/>
    <s v="Male"/>
    <n v="0"/>
    <n v="55"/>
    <n v="2"/>
    <n v="3"/>
    <s v="Research Director"/>
    <n v="0"/>
    <n v="0"/>
    <n v="0"/>
    <n v="0"/>
    <n v="0"/>
    <n v="0"/>
    <n v="0"/>
    <n v="0"/>
    <n v="2"/>
    <x v="2"/>
    <n v="0"/>
    <n v="0"/>
    <n v="13757"/>
    <n v="13757"/>
    <n v="2"/>
    <x v="1"/>
    <n v="0"/>
    <n v="11"/>
    <n v="3"/>
    <n v="3"/>
    <n v="1"/>
    <n v="16"/>
    <n v="16"/>
    <n v="5"/>
    <n v="3"/>
    <n v="9"/>
    <n v="9"/>
    <n v="8"/>
    <n v="4"/>
    <n v="4"/>
    <n v="8"/>
    <n v="8"/>
    <n v="24"/>
  </r>
  <r>
    <n v="28"/>
    <n v="28"/>
    <x v="1"/>
    <n v="0"/>
    <s v="Travel_Rarely"/>
    <n v="0"/>
    <n v="1"/>
    <x v="0"/>
    <n v="0"/>
    <n v="1"/>
    <n v="5"/>
    <n v="5"/>
    <n v="3"/>
    <s v="Medical"/>
    <n v="0"/>
    <n v="0"/>
    <n v="1"/>
    <n v="0"/>
    <n v="0"/>
    <x v="2"/>
    <s v="Male"/>
    <n v="0"/>
    <n v="84"/>
    <n v="3"/>
    <n v="2"/>
    <s v="Sales Executive"/>
    <n v="0"/>
    <n v="1"/>
    <n v="0"/>
    <n v="0"/>
    <n v="0"/>
    <n v="0"/>
    <n v="0"/>
    <n v="0"/>
    <n v="1"/>
    <x v="0"/>
    <n v="1"/>
    <n v="0"/>
    <n v="8463"/>
    <n v="8463"/>
    <n v="0"/>
    <x v="1"/>
    <n v="0"/>
    <n v="18"/>
    <n v="3"/>
    <n v="4"/>
    <n v="0"/>
    <n v="6"/>
    <n v="6"/>
    <n v="4"/>
    <n v="3"/>
    <n v="5"/>
    <n v="5"/>
    <n v="4"/>
    <n v="1"/>
    <n v="1"/>
    <n v="3"/>
    <n v="3"/>
    <n v="6"/>
  </r>
  <r>
    <n v="44"/>
    <n v="44"/>
    <x v="1"/>
    <n v="0"/>
    <s v="Non-Travel"/>
    <n v="0"/>
    <n v="0"/>
    <x v="1"/>
    <n v="1"/>
    <n v="0"/>
    <n v="5"/>
    <n v="5"/>
    <n v="3"/>
    <s v="Life Sciences"/>
    <n v="1"/>
    <n v="0"/>
    <n v="0"/>
    <n v="0"/>
    <n v="0"/>
    <x v="1"/>
    <s v="Male"/>
    <n v="0"/>
    <n v="90"/>
    <n v="2"/>
    <n v="1"/>
    <s v="Laboratory Technician"/>
    <n v="0"/>
    <n v="0"/>
    <n v="1"/>
    <n v="0"/>
    <n v="0"/>
    <n v="0"/>
    <n v="0"/>
    <n v="0"/>
    <n v="3"/>
    <x v="0"/>
    <n v="1"/>
    <n v="0"/>
    <n v="3162"/>
    <n v="3162"/>
    <n v="3"/>
    <x v="1"/>
    <n v="0"/>
    <n v="14"/>
    <n v="3"/>
    <n v="4"/>
    <n v="0"/>
    <n v="7"/>
    <n v="7"/>
    <n v="5"/>
    <n v="3"/>
    <n v="5"/>
    <n v="5"/>
    <n v="2"/>
    <n v="0"/>
    <n v="0"/>
    <n v="3"/>
    <n v="3"/>
    <n v="3"/>
  </r>
  <r>
    <n v="53"/>
    <n v="53"/>
    <x v="1"/>
    <n v="0"/>
    <s v="Travel_Rarely"/>
    <n v="0"/>
    <n v="1"/>
    <x v="1"/>
    <n v="1"/>
    <n v="0"/>
    <n v="2"/>
    <n v="2"/>
    <n v="3"/>
    <s v="Medical"/>
    <n v="0"/>
    <n v="0"/>
    <n v="1"/>
    <n v="0"/>
    <n v="0"/>
    <x v="2"/>
    <s v="Male"/>
    <n v="0"/>
    <n v="39"/>
    <n v="4"/>
    <n v="4"/>
    <s v="Research Director"/>
    <n v="0"/>
    <n v="0"/>
    <n v="0"/>
    <n v="0"/>
    <n v="0"/>
    <n v="0"/>
    <n v="0"/>
    <n v="0"/>
    <n v="2"/>
    <x v="0"/>
    <n v="1"/>
    <n v="0"/>
    <n v="16598"/>
    <n v="16598"/>
    <n v="4"/>
    <x v="1"/>
    <n v="0"/>
    <n v="12"/>
    <n v="3"/>
    <n v="2"/>
    <n v="0"/>
    <n v="35"/>
    <n v="35"/>
    <n v="2"/>
    <n v="2"/>
    <n v="9"/>
    <n v="9"/>
    <n v="8"/>
    <n v="8"/>
    <n v="8"/>
    <n v="8"/>
    <n v="8"/>
    <n v="32"/>
  </r>
  <r>
    <n v="49"/>
    <n v="49"/>
    <x v="1"/>
    <n v="0"/>
    <s v="Travel_Rarely"/>
    <n v="0"/>
    <n v="1"/>
    <x v="1"/>
    <n v="1"/>
    <n v="0"/>
    <n v="5"/>
    <n v="5"/>
    <n v="4"/>
    <s v="Technical Degree"/>
    <n v="0"/>
    <n v="0"/>
    <n v="0"/>
    <n v="0"/>
    <n v="1"/>
    <x v="3"/>
    <s v="Male"/>
    <n v="0"/>
    <n v="96"/>
    <n v="3"/>
    <n v="2"/>
    <s v="Healthcare Representative"/>
    <n v="1"/>
    <n v="0"/>
    <n v="0"/>
    <n v="0"/>
    <n v="0"/>
    <n v="0"/>
    <n v="0"/>
    <n v="0"/>
    <n v="3"/>
    <x v="1"/>
    <n v="0"/>
    <n v="1"/>
    <n v="6651"/>
    <n v="6651"/>
    <n v="2"/>
    <x v="1"/>
    <n v="0"/>
    <n v="14"/>
    <n v="3"/>
    <n v="2"/>
    <n v="1"/>
    <n v="20"/>
    <n v="20"/>
    <n v="0"/>
    <n v="2"/>
    <n v="3"/>
    <n v="3"/>
    <n v="2"/>
    <n v="1"/>
    <n v="1"/>
    <n v="2"/>
    <n v="2"/>
    <n v="4"/>
  </r>
  <r>
    <n v="40"/>
    <n v="40"/>
    <x v="1"/>
    <n v="0"/>
    <s v="Travel_Rarely"/>
    <n v="0"/>
    <n v="1"/>
    <x v="1"/>
    <n v="1"/>
    <n v="0"/>
    <n v="2"/>
    <n v="2"/>
    <n v="3"/>
    <s v="Medical"/>
    <n v="0"/>
    <n v="0"/>
    <n v="1"/>
    <n v="0"/>
    <n v="0"/>
    <x v="1"/>
    <s v="Male"/>
    <n v="0"/>
    <n v="68"/>
    <n v="3"/>
    <n v="1"/>
    <s v="Research Scientist"/>
    <n v="0"/>
    <n v="0"/>
    <n v="0"/>
    <n v="0"/>
    <n v="0"/>
    <n v="0"/>
    <n v="0"/>
    <n v="1"/>
    <n v="3"/>
    <x v="2"/>
    <n v="0"/>
    <n v="0"/>
    <n v="2345"/>
    <n v="2345"/>
    <n v="2"/>
    <x v="1"/>
    <n v="0"/>
    <n v="14"/>
    <n v="3"/>
    <n v="3"/>
    <n v="1"/>
    <n v="8"/>
    <n v="8"/>
    <n v="3"/>
    <n v="4"/>
    <n v="3"/>
    <n v="3"/>
    <n v="1"/>
    <n v="1"/>
    <n v="1"/>
    <n v="2"/>
    <n v="2"/>
    <n v="2"/>
  </r>
  <r>
    <n v="44"/>
    <n v="44"/>
    <x v="1"/>
    <n v="0"/>
    <s v="Travel_Rarely"/>
    <n v="0"/>
    <n v="1"/>
    <x v="1"/>
    <n v="1"/>
    <n v="0"/>
    <n v="20"/>
    <n v="20"/>
    <n v="3"/>
    <s v="Life Sciences"/>
    <n v="1"/>
    <n v="0"/>
    <n v="0"/>
    <n v="0"/>
    <n v="0"/>
    <x v="2"/>
    <s v="Male"/>
    <n v="0"/>
    <n v="49"/>
    <n v="3"/>
    <n v="1"/>
    <s v="Research Scientist"/>
    <n v="0"/>
    <n v="0"/>
    <n v="0"/>
    <n v="0"/>
    <n v="0"/>
    <n v="0"/>
    <n v="0"/>
    <n v="1"/>
    <n v="2"/>
    <x v="0"/>
    <n v="1"/>
    <n v="0"/>
    <n v="3420"/>
    <n v="3420"/>
    <n v="1"/>
    <x v="1"/>
    <n v="0"/>
    <n v="13"/>
    <n v="3"/>
    <n v="3"/>
    <n v="0"/>
    <n v="6"/>
    <n v="6"/>
    <n v="3"/>
    <n v="2"/>
    <n v="5"/>
    <n v="5"/>
    <n v="2"/>
    <n v="1"/>
    <n v="1"/>
    <n v="3"/>
    <n v="3"/>
    <n v="3"/>
  </r>
  <r>
    <n v="33"/>
    <n v="33"/>
    <x v="1"/>
    <n v="0"/>
    <s v="Travel_Frequently"/>
    <n v="1"/>
    <n v="0"/>
    <x v="0"/>
    <n v="0"/>
    <n v="1"/>
    <n v="7"/>
    <n v="7"/>
    <n v="3"/>
    <s v="Medical"/>
    <n v="0"/>
    <n v="0"/>
    <n v="1"/>
    <n v="0"/>
    <n v="0"/>
    <x v="2"/>
    <s v="Male"/>
    <n v="0"/>
    <n v="54"/>
    <n v="3"/>
    <n v="2"/>
    <s v="Sales Executive"/>
    <n v="0"/>
    <n v="1"/>
    <n v="0"/>
    <n v="0"/>
    <n v="0"/>
    <n v="0"/>
    <n v="0"/>
    <n v="0"/>
    <n v="1"/>
    <x v="1"/>
    <n v="0"/>
    <n v="1"/>
    <n v="4373"/>
    <n v="4373"/>
    <n v="0"/>
    <x v="1"/>
    <n v="0"/>
    <n v="14"/>
    <n v="3"/>
    <n v="1"/>
    <n v="2"/>
    <n v="5"/>
    <n v="5"/>
    <n v="2"/>
    <n v="3"/>
    <n v="4"/>
    <n v="4"/>
    <n v="3"/>
    <n v="0"/>
    <n v="0"/>
    <n v="3"/>
    <n v="3"/>
    <n v="6"/>
  </r>
  <r>
    <n v="34"/>
    <n v="34"/>
    <x v="1"/>
    <n v="0"/>
    <s v="Travel_Rarely"/>
    <n v="0"/>
    <n v="1"/>
    <x v="0"/>
    <n v="0"/>
    <n v="1"/>
    <n v="3"/>
    <n v="3"/>
    <n v="3"/>
    <s v="Other"/>
    <n v="0"/>
    <n v="1"/>
    <n v="0"/>
    <n v="0"/>
    <n v="0"/>
    <x v="2"/>
    <s v="Male"/>
    <n v="0"/>
    <n v="81"/>
    <n v="1"/>
    <n v="2"/>
    <s v="Sales Executive"/>
    <n v="0"/>
    <n v="1"/>
    <n v="0"/>
    <n v="0"/>
    <n v="0"/>
    <n v="0"/>
    <n v="0"/>
    <n v="0"/>
    <n v="1"/>
    <x v="0"/>
    <n v="1"/>
    <n v="0"/>
    <n v="4759"/>
    <n v="4759"/>
    <n v="3"/>
    <x v="1"/>
    <n v="0"/>
    <n v="18"/>
    <n v="3"/>
    <n v="4"/>
    <n v="0"/>
    <n v="15"/>
    <n v="15"/>
    <n v="2"/>
    <n v="3"/>
    <n v="13"/>
    <n v="13"/>
    <n v="9"/>
    <n v="3"/>
    <n v="3"/>
    <n v="12"/>
    <n v="12"/>
    <n v="24"/>
  </r>
  <r>
    <n v="30"/>
    <n v="30"/>
    <x v="1"/>
    <n v="0"/>
    <s v="Travel_Rarely"/>
    <n v="0"/>
    <n v="1"/>
    <x v="0"/>
    <n v="0"/>
    <n v="1"/>
    <n v="16"/>
    <n v="16"/>
    <n v="1"/>
    <s v="Life Sciences"/>
    <n v="1"/>
    <n v="0"/>
    <n v="0"/>
    <n v="0"/>
    <n v="0"/>
    <x v="2"/>
    <s v="Male"/>
    <n v="0"/>
    <n v="96"/>
    <n v="3"/>
    <n v="2"/>
    <s v="Sales Executive"/>
    <n v="0"/>
    <n v="1"/>
    <n v="0"/>
    <n v="0"/>
    <n v="0"/>
    <n v="0"/>
    <n v="0"/>
    <n v="0"/>
    <n v="3"/>
    <x v="1"/>
    <n v="0"/>
    <n v="1"/>
    <n v="5301"/>
    <n v="5301"/>
    <n v="8"/>
    <x v="1"/>
    <n v="0"/>
    <n v="15"/>
    <n v="3"/>
    <n v="3"/>
    <n v="2"/>
    <n v="4"/>
    <n v="4"/>
    <n v="2"/>
    <n v="2"/>
    <n v="2"/>
    <n v="2"/>
    <n v="1"/>
    <n v="2"/>
    <n v="2"/>
    <n v="2"/>
    <n v="2"/>
    <n v="4"/>
  </r>
  <r>
    <n v="42"/>
    <n v="42"/>
    <x v="1"/>
    <n v="0"/>
    <s v="Travel_Frequently"/>
    <n v="1"/>
    <n v="0"/>
    <x v="1"/>
    <n v="1"/>
    <n v="0"/>
    <n v="9"/>
    <n v="9"/>
    <n v="2"/>
    <s v="Medical"/>
    <n v="0"/>
    <n v="0"/>
    <n v="1"/>
    <n v="0"/>
    <n v="0"/>
    <x v="3"/>
    <s v="Female"/>
    <n v="1"/>
    <n v="74"/>
    <n v="3"/>
    <n v="1"/>
    <s v="Laboratory Technician"/>
    <n v="0"/>
    <n v="0"/>
    <n v="1"/>
    <n v="0"/>
    <n v="0"/>
    <n v="0"/>
    <n v="0"/>
    <n v="0"/>
    <n v="4"/>
    <x v="0"/>
    <n v="1"/>
    <n v="0"/>
    <n v="3673"/>
    <n v="3673"/>
    <n v="1"/>
    <x v="1"/>
    <n v="0"/>
    <n v="13"/>
    <n v="3"/>
    <n v="3"/>
    <n v="0"/>
    <n v="12"/>
    <n v="12"/>
    <n v="3"/>
    <n v="3"/>
    <n v="12"/>
    <n v="12"/>
    <n v="9"/>
    <n v="5"/>
    <n v="5"/>
    <n v="8"/>
    <n v="8"/>
    <n v="8"/>
  </r>
  <r>
    <n v="44"/>
    <n v="44"/>
    <x v="1"/>
    <n v="0"/>
    <s v="Travel_Frequently"/>
    <n v="1"/>
    <n v="0"/>
    <x v="0"/>
    <n v="0"/>
    <n v="1"/>
    <n v="1"/>
    <n v="1"/>
    <n v="5"/>
    <s v="Marketing"/>
    <n v="0"/>
    <n v="0"/>
    <n v="0"/>
    <n v="1"/>
    <n v="0"/>
    <x v="3"/>
    <s v="Female"/>
    <n v="1"/>
    <n v="79"/>
    <n v="3"/>
    <n v="2"/>
    <s v="Sales Executive"/>
    <n v="0"/>
    <n v="1"/>
    <n v="0"/>
    <n v="0"/>
    <n v="0"/>
    <n v="0"/>
    <n v="0"/>
    <n v="0"/>
    <n v="3"/>
    <x v="1"/>
    <n v="0"/>
    <n v="1"/>
    <n v="4768"/>
    <n v="4768"/>
    <n v="7"/>
    <x v="1"/>
    <n v="0"/>
    <n v="12"/>
    <n v="3"/>
    <n v="3"/>
    <n v="1"/>
    <n v="11"/>
    <n v="11"/>
    <n v="4"/>
    <n v="2"/>
    <n v="1"/>
    <n v="1"/>
    <n v="0"/>
    <n v="0"/>
    <n v="0"/>
    <n v="0"/>
    <n v="0"/>
    <n v="0"/>
  </r>
  <r>
    <n v="30"/>
    <n v="30"/>
    <x v="1"/>
    <n v="0"/>
    <s v="Non-Travel"/>
    <n v="0"/>
    <n v="0"/>
    <x v="1"/>
    <n v="1"/>
    <n v="0"/>
    <n v="7"/>
    <n v="7"/>
    <n v="3"/>
    <s v="Technical Degree"/>
    <n v="0"/>
    <n v="0"/>
    <n v="0"/>
    <n v="0"/>
    <n v="1"/>
    <x v="1"/>
    <s v="Male"/>
    <n v="0"/>
    <n v="64"/>
    <n v="3"/>
    <n v="1"/>
    <s v="Research Scientist"/>
    <n v="0"/>
    <n v="0"/>
    <n v="0"/>
    <n v="0"/>
    <n v="0"/>
    <n v="0"/>
    <n v="0"/>
    <n v="1"/>
    <n v="3"/>
    <x v="2"/>
    <n v="0"/>
    <n v="0"/>
    <n v="1274"/>
    <n v="1382.46"/>
    <n v="1"/>
    <x v="1"/>
    <n v="0"/>
    <n v="13"/>
    <n v="3"/>
    <n v="2"/>
    <n v="2"/>
    <n v="1"/>
    <n v="1"/>
    <n v="2"/>
    <n v="2"/>
    <n v="1"/>
    <n v="1"/>
    <n v="0"/>
    <n v="0"/>
    <n v="0"/>
    <n v="0"/>
    <n v="0"/>
    <n v="0"/>
  </r>
  <r>
    <n v="57"/>
    <n v="57"/>
    <x v="1"/>
    <n v="0"/>
    <s v="Travel_Rarely"/>
    <n v="0"/>
    <n v="1"/>
    <x v="1"/>
    <n v="1"/>
    <n v="0"/>
    <n v="1"/>
    <n v="1"/>
    <n v="2"/>
    <s v="Life Sciences"/>
    <n v="1"/>
    <n v="0"/>
    <n v="0"/>
    <n v="0"/>
    <n v="0"/>
    <x v="0"/>
    <s v="Male"/>
    <n v="0"/>
    <n v="93"/>
    <n v="4"/>
    <n v="2"/>
    <s v="Research Scientist"/>
    <n v="0"/>
    <n v="0"/>
    <n v="0"/>
    <n v="0"/>
    <n v="0"/>
    <n v="0"/>
    <n v="0"/>
    <n v="1"/>
    <n v="3"/>
    <x v="1"/>
    <n v="0"/>
    <n v="1"/>
    <n v="4900"/>
    <n v="4900"/>
    <n v="0"/>
    <x v="1"/>
    <n v="0"/>
    <n v="24"/>
    <n v="4"/>
    <n v="1"/>
    <n v="1"/>
    <n v="13"/>
    <n v="13"/>
    <n v="2"/>
    <n v="2"/>
    <n v="12"/>
    <n v="12"/>
    <n v="9"/>
    <n v="2"/>
    <n v="2"/>
    <n v="8"/>
    <n v="8"/>
    <n v="16"/>
  </r>
  <r>
    <n v="49"/>
    <n v="49"/>
    <x v="1"/>
    <n v="0"/>
    <s v="Travel_Rarely"/>
    <n v="0"/>
    <n v="1"/>
    <x v="1"/>
    <n v="1"/>
    <n v="0"/>
    <n v="7"/>
    <n v="7"/>
    <n v="4"/>
    <s v="Life Sciences"/>
    <n v="1"/>
    <n v="0"/>
    <n v="0"/>
    <n v="0"/>
    <n v="0"/>
    <x v="1"/>
    <s v="Male"/>
    <n v="0"/>
    <n v="35"/>
    <n v="3"/>
    <n v="3"/>
    <s v="Healthcare Representative"/>
    <n v="1"/>
    <n v="0"/>
    <n v="0"/>
    <n v="0"/>
    <n v="0"/>
    <n v="0"/>
    <n v="0"/>
    <n v="0"/>
    <n v="2"/>
    <x v="2"/>
    <n v="0"/>
    <n v="0"/>
    <n v="10466"/>
    <n v="10466"/>
    <n v="3"/>
    <x v="1"/>
    <n v="0"/>
    <n v="14"/>
    <n v="3"/>
    <n v="2"/>
    <n v="2"/>
    <n v="29"/>
    <n v="29"/>
    <n v="3"/>
    <n v="3"/>
    <n v="8"/>
    <n v="8"/>
    <n v="7"/>
    <n v="0"/>
    <n v="0"/>
    <n v="7"/>
    <n v="7"/>
    <n v="21"/>
  </r>
  <r>
    <n v="34"/>
    <n v="34"/>
    <x v="1"/>
    <n v="0"/>
    <s v="Travel_Frequently"/>
    <n v="1"/>
    <n v="0"/>
    <x v="1"/>
    <n v="1"/>
    <n v="0"/>
    <n v="15"/>
    <n v="15"/>
    <n v="3"/>
    <s v="Medical"/>
    <n v="0"/>
    <n v="0"/>
    <n v="1"/>
    <n v="0"/>
    <n v="0"/>
    <x v="0"/>
    <s v="Male"/>
    <n v="0"/>
    <n v="71"/>
    <n v="3"/>
    <n v="4"/>
    <s v="Research Director"/>
    <n v="0"/>
    <n v="0"/>
    <n v="0"/>
    <n v="0"/>
    <n v="0"/>
    <n v="0"/>
    <n v="0"/>
    <n v="0"/>
    <n v="1"/>
    <x v="2"/>
    <n v="0"/>
    <n v="0"/>
    <n v="17007"/>
    <n v="17007"/>
    <n v="7"/>
    <x v="1"/>
    <n v="0"/>
    <n v="14"/>
    <n v="3"/>
    <n v="4"/>
    <n v="2"/>
    <n v="16"/>
    <n v="16"/>
    <n v="3"/>
    <n v="2"/>
    <n v="14"/>
    <n v="14"/>
    <n v="8"/>
    <n v="6"/>
    <n v="6"/>
    <n v="9"/>
    <n v="9"/>
    <n v="36"/>
  </r>
  <r>
    <n v="28"/>
    <n v="28"/>
    <x v="0"/>
    <n v="1"/>
    <s v="Travel_Frequently"/>
    <n v="1"/>
    <n v="0"/>
    <x v="0"/>
    <n v="0"/>
    <n v="1"/>
    <n v="1"/>
    <n v="1"/>
    <n v="3"/>
    <s v="Technical Degree"/>
    <n v="0"/>
    <n v="0"/>
    <n v="0"/>
    <n v="0"/>
    <n v="1"/>
    <x v="3"/>
    <s v="Male"/>
    <n v="0"/>
    <n v="92"/>
    <n v="3"/>
    <n v="1"/>
    <s v="Sales Representative"/>
    <n v="0"/>
    <n v="0"/>
    <n v="0"/>
    <n v="0"/>
    <n v="0"/>
    <n v="0"/>
    <n v="1"/>
    <n v="0"/>
    <n v="3"/>
    <x v="1"/>
    <n v="0"/>
    <n v="1"/>
    <n v="2909"/>
    <n v="2909"/>
    <n v="3"/>
    <x v="1"/>
    <n v="0"/>
    <n v="15"/>
    <n v="3"/>
    <n v="4"/>
    <n v="1"/>
    <n v="5"/>
    <n v="5"/>
    <n v="3"/>
    <n v="4"/>
    <n v="3"/>
    <n v="3"/>
    <n v="2"/>
    <n v="1"/>
    <n v="1"/>
    <n v="2"/>
    <n v="2"/>
    <n v="2"/>
  </r>
  <r>
    <n v="29"/>
    <n v="29"/>
    <x v="0"/>
    <n v="1"/>
    <s v="Travel_Frequently"/>
    <n v="1"/>
    <n v="0"/>
    <x v="0"/>
    <n v="0"/>
    <n v="1"/>
    <n v="13"/>
    <n v="13"/>
    <n v="3"/>
    <s v="Technical Degree"/>
    <n v="0"/>
    <n v="0"/>
    <n v="0"/>
    <n v="0"/>
    <n v="1"/>
    <x v="3"/>
    <s v="Female"/>
    <n v="1"/>
    <n v="51"/>
    <n v="3"/>
    <n v="2"/>
    <s v="Sales Executive"/>
    <n v="0"/>
    <n v="1"/>
    <n v="0"/>
    <n v="0"/>
    <n v="0"/>
    <n v="0"/>
    <n v="0"/>
    <n v="0"/>
    <n v="2"/>
    <x v="0"/>
    <n v="1"/>
    <n v="0"/>
    <n v="5765"/>
    <n v="5765"/>
    <n v="5"/>
    <x v="1"/>
    <n v="0"/>
    <n v="11"/>
    <n v="3"/>
    <n v="1"/>
    <n v="0"/>
    <n v="7"/>
    <n v="7"/>
    <n v="4"/>
    <n v="1"/>
    <n v="5"/>
    <n v="5"/>
    <n v="3"/>
    <n v="0"/>
    <n v="0"/>
    <n v="0"/>
    <n v="0"/>
    <n v="0"/>
  </r>
  <r>
    <n v="34"/>
    <n v="34"/>
    <x v="0"/>
    <n v="1"/>
    <s v="Travel_Rarely"/>
    <n v="0"/>
    <n v="1"/>
    <x v="0"/>
    <n v="0"/>
    <n v="1"/>
    <n v="24"/>
    <n v="24"/>
    <n v="4"/>
    <s v="Medical"/>
    <n v="0"/>
    <n v="0"/>
    <n v="1"/>
    <n v="0"/>
    <n v="0"/>
    <x v="3"/>
    <s v="Female"/>
    <n v="1"/>
    <n v="40"/>
    <n v="2"/>
    <n v="2"/>
    <s v="Sales Executive"/>
    <n v="0"/>
    <n v="1"/>
    <n v="0"/>
    <n v="0"/>
    <n v="0"/>
    <n v="0"/>
    <n v="0"/>
    <n v="0"/>
    <n v="2"/>
    <x v="0"/>
    <n v="1"/>
    <n v="0"/>
    <n v="4599"/>
    <n v="4599"/>
    <n v="0"/>
    <x v="0"/>
    <n v="1"/>
    <n v="23"/>
    <n v="4"/>
    <n v="3"/>
    <n v="0"/>
    <n v="16"/>
    <n v="16"/>
    <n v="2"/>
    <n v="4"/>
    <n v="15"/>
    <n v="15"/>
    <n v="9"/>
    <n v="10"/>
    <n v="10"/>
    <n v="10"/>
    <n v="10"/>
    <n v="20"/>
  </r>
  <r>
    <n v="35"/>
    <n v="35"/>
    <x v="1"/>
    <n v="0"/>
    <s v="Travel_Rarely"/>
    <n v="0"/>
    <n v="1"/>
    <x v="0"/>
    <n v="0"/>
    <n v="1"/>
    <n v="7"/>
    <n v="7"/>
    <n v="1"/>
    <s v="Life Sciences"/>
    <n v="1"/>
    <n v="0"/>
    <n v="0"/>
    <n v="0"/>
    <n v="0"/>
    <x v="2"/>
    <s v="Male"/>
    <n v="0"/>
    <n v="76"/>
    <n v="3"/>
    <n v="1"/>
    <s v="Sales Representative"/>
    <n v="0"/>
    <n v="0"/>
    <n v="0"/>
    <n v="0"/>
    <n v="0"/>
    <n v="0"/>
    <n v="1"/>
    <n v="0"/>
    <n v="3"/>
    <x v="1"/>
    <n v="0"/>
    <n v="1"/>
    <n v="2404"/>
    <n v="2404"/>
    <n v="1"/>
    <x v="1"/>
    <n v="0"/>
    <n v="13"/>
    <n v="3"/>
    <n v="1"/>
    <n v="1"/>
    <n v="1"/>
    <n v="1"/>
    <n v="3"/>
    <n v="3"/>
    <n v="1"/>
    <n v="1"/>
    <n v="0"/>
    <n v="0"/>
    <n v="0"/>
    <n v="0"/>
    <n v="0"/>
    <n v="0"/>
  </r>
  <r>
    <n v="24"/>
    <n v="24"/>
    <x v="0"/>
    <n v="1"/>
    <s v="Travel_Frequently"/>
    <n v="1"/>
    <n v="0"/>
    <x v="1"/>
    <n v="1"/>
    <n v="0"/>
    <n v="9"/>
    <n v="9"/>
    <n v="3"/>
    <s v="Medical"/>
    <n v="0"/>
    <n v="0"/>
    <n v="1"/>
    <n v="0"/>
    <n v="0"/>
    <x v="0"/>
    <s v="Male"/>
    <n v="0"/>
    <n v="89"/>
    <n v="3"/>
    <n v="1"/>
    <s v="Laboratory Technician"/>
    <n v="0"/>
    <n v="0"/>
    <n v="1"/>
    <n v="0"/>
    <n v="0"/>
    <n v="0"/>
    <n v="0"/>
    <n v="0"/>
    <n v="1"/>
    <x v="0"/>
    <n v="1"/>
    <n v="0"/>
    <n v="3172"/>
    <n v="3172"/>
    <n v="2"/>
    <x v="0"/>
    <n v="1"/>
    <n v="11"/>
    <n v="3"/>
    <n v="3"/>
    <n v="0"/>
    <n v="4"/>
    <n v="4"/>
    <n v="2"/>
    <n v="2"/>
    <n v="0"/>
    <n v="0"/>
    <n v="0"/>
    <n v="0"/>
    <n v="0"/>
    <n v="0"/>
    <n v="0"/>
    <n v="0"/>
  </r>
  <r>
    <n v="24"/>
    <n v="24"/>
    <x v="1"/>
    <n v="0"/>
    <s v="Non-Travel"/>
    <n v="0"/>
    <n v="0"/>
    <x v="0"/>
    <n v="0"/>
    <n v="1"/>
    <n v="13"/>
    <n v="13"/>
    <n v="2"/>
    <s v="Life Sciences"/>
    <n v="1"/>
    <n v="0"/>
    <n v="0"/>
    <n v="0"/>
    <n v="0"/>
    <x v="2"/>
    <s v="Female"/>
    <n v="1"/>
    <n v="78"/>
    <n v="3"/>
    <n v="1"/>
    <s v="Sales Representative"/>
    <n v="0"/>
    <n v="0"/>
    <n v="0"/>
    <n v="0"/>
    <n v="0"/>
    <n v="0"/>
    <n v="1"/>
    <n v="0"/>
    <n v="2"/>
    <x v="1"/>
    <n v="0"/>
    <n v="1"/>
    <n v="2033"/>
    <n v="2033"/>
    <n v="1"/>
    <x v="1"/>
    <n v="0"/>
    <n v="13"/>
    <n v="3"/>
    <n v="3"/>
    <n v="1"/>
    <n v="1"/>
    <n v="1"/>
    <n v="2"/>
    <n v="3"/>
    <n v="1"/>
    <n v="1"/>
    <n v="0"/>
    <n v="0"/>
    <n v="0"/>
    <n v="0"/>
    <n v="0"/>
    <n v="0"/>
  </r>
  <r>
    <n v="44"/>
    <n v="44"/>
    <x v="1"/>
    <n v="0"/>
    <s v="Travel_Frequently"/>
    <n v="1"/>
    <n v="0"/>
    <x v="1"/>
    <n v="1"/>
    <n v="0"/>
    <n v="2"/>
    <n v="2"/>
    <n v="1"/>
    <s v="Medical"/>
    <n v="0"/>
    <n v="0"/>
    <n v="1"/>
    <n v="0"/>
    <n v="0"/>
    <x v="0"/>
    <s v="Male"/>
    <n v="0"/>
    <n v="86"/>
    <n v="3"/>
    <n v="3"/>
    <s v="Manufacturing Director"/>
    <n v="0"/>
    <n v="0"/>
    <n v="0"/>
    <n v="0"/>
    <n v="1"/>
    <n v="1"/>
    <n v="0"/>
    <n v="0"/>
    <n v="3"/>
    <x v="0"/>
    <n v="1"/>
    <n v="0"/>
    <n v="10209"/>
    <n v="10209"/>
    <n v="5"/>
    <x v="0"/>
    <n v="1"/>
    <n v="18"/>
    <n v="3"/>
    <n v="2"/>
    <n v="0"/>
    <n v="16"/>
    <n v="16"/>
    <n v="2"/>
    <n v="2"/>
    <n v="2"/>
    <n v="2"/>
    <n v="2"/>
    <n v="2"/>
    <n v="2"/>
    <n v="2"/>
    <n v="2"/>
    <n v="6"/>
  </r>
  <r>
    <n v="29"/>
    <n v="29"/>
    <x v="1"/>
    <n v="0"/>
    <s v="Travel_Rarely"/>
    <n v="0"/>
    <n v="1"/>
    <x v="0"/>
    <n v="0"/>
    <n v="1"/>
    <n v="19"/>
    <n v="19"/>
    <n v="3"/>
    <s v="Life Sciences"/>
    <n v="1"/>
    <n v="0"/>
    <n v="0"/>
    <n v="0"/>
    <n v="0"/>
    <x v="1"/>
    <s v="Male"/>
    <n v="0"/>
    <n v="77"/>
    <n v="2"/>
    <n v="2"/>
    <s v="Sales Executive"/>
    <n v="0"/>
    <n v="1"/>
    <n v="0"/>
    <n v="0"/>
    <n v="0"/>
    <n v="0"/>
    <n v="0"/>
    <n v="0"/>
    <n v="3"/>
    <x v="2"/>
    <n v="0"/>
    <n v="0"/>
    <n v="8620"/>
    <n v="8620"/>
    <n v="1"/>
    <x v="1"/>
    <n v="0"/>
    <n v="14"/>
    <n v="3"/>
    <n v="3"/>
    <n v="2"/>
    <n v="10"/>
    <n v="10"/>
    <n v="3"/>
    <n v="3"/>
    <n v="10"/>
    <n v="10"/>
    <n v="7"/>
    <n v="0"/>
    <n v="0"/>
    <n v="4"/>
    <n v="4"/>
    <n v="8"/>
  </r>
  <r>
    <n v="30"/>
    <n v="30"/>
    <x v="1"/>
    <n v="0"/>
    <s v="Travel_Rarely"/>
    <n v="0"/>
    <n v="1"/>
    <x v="2"/>
    <n v="0"/>
    <n v="0"/>
    <n v="1"/>
    <n v="1"/>
    <n v="3"/>
    <s v="Life Sciences"/>
    <n v="1"/>
    <n v="0"/>
    <n v="0"/>
    <n v="0"/>
    <n v="0"/>
    <x v="1"/>
    <s v="Male"/>
    <n v="0"/>
    <n v="46"/>
    <n v="3"/>
    <n v="1"/>
    <s v="Human Resources"/>
    <n v="0"/>
    <n v="0"/>
    <n v="0"/>
    <n v="0"/>
    <n v="0"/>
    <n v="0"/>
    <n v="0"/>
    <n v="0"/>
    <n v="3"/>
    <x v="2"/>
    <n v="0"/>
    <n v="0"/>
    <n v="2064"/>
    <n v="2064"/>
    <n v="0"/>
    <x v="1"/>
    <n v="0"/>
    <n v="21"/>
    <n v="4"/>
    <n v="1"/>
    <n v="1"/>
    <n v="6"/>
    <n v="6"/>
    <n v="3"/>
    <n v="4"/>
    <n v="5"/>
    <n v="5"/>
    <n v="3"/>
    <n v="1"/>
    <n v="1"/>
    <n v="3"/>
    <n v="3"/>
    <n v="3"/>
  </r>
  <r>
    <n v="55"/>
    <n v="55"/>
    <x v="1"/>
    <n v="0"/>
    <s v="Travel_Rarely"/>
    <n v="0"/>
    <n v="1"/>
    <x v="1"/>
    <n v="1"/>
    <n v="0"/>
    <n v="4"/>
    <n v="4"/>
    <n v="4"/>
    <s v="Life Sciences"/>
    <n v="1"/>
    <n v="0"/>
    <n v="0"/>
    <n v="0"/>
    <n v="0"/>
    <x v="2"/>
    <s v="Male"/>
    <n v="0"/>
    <n v="30"/>
    <n v="3"/>
    <n v="2"/>
    <s v="Healthcare Representative"/>
    <n v="1"/>
    <n v="0"/>
    <n v="0"/>
    <n v="0"/>
    <n v="0"/>
    <n v="0"/>
    <n v="0"/>
    <n v="0"/>
    <n v="3"/>
    <x v="1"/>
    <n v="0"/>
    <n v="1"/>
    <n v="4035"/>
    <n v="4035"/>
    <n v="0"/>
    <x v="0"/>
    <n v="1"/>
    <n v="16"/>
    <n v="3"/>
    <n v="2"/>
    <n v="0"/>
    <n v="4"/>
    <n v="4"/>
    <n v="2"/>
    <n v="3"/>
    <n v="3"/>
    <n v="3"/>
    <n v="2"/>
    <n v="1"/>
    <n v="1"/>
    <n v="2"/>
    <n v="2"/>
    <n v="4"/>
  </r>
  <r>
    <n v="33"/>
    <n v="33"/>
    <x v="1"/>
    <n v="0"/>
    <s v="Travel_Rarely"/>
    <n v="0"/>
    <n v="1"/>
    <x v="1"/>
    <n v="1"/>
    <n v="0"/>
    <n v="4"/>
    <n v="4"/>
    <n v="4"/>
    <s v="Medical"/>
    <n v="0"/>
    <n v="0"/>
    <n v="1"/>
    <n v="0"/>
    <n v="0"/>
    <x v="3"/>
    <s v="Female"/>
    <n v="1"/>
    <n v="82"/>
    <n v="2"/>
    <n v="1"/>
    <s v="Laboratory Technician"/>
    <n v="0"/>
    <n v="0"/>
    <n v="1"/>
    <n v="0"/>
    <n v="0"/>
    <n v="0"/>
    <n v="0"/>
    <n v="0"/>
    <n v="2"/>
    <x v="1"/>
    <n v="0"/>
    <n v="1"/>
    <n v="3838"/>
    <n v="3838"/>
    <n v="8"/>
    <x v="1"/>
    <n v="0"/>
    <n v="11"/>
    <n v="3"/>
    <n v="4"/>
    <n v="0"/>
    <n v="8"/>
    <n v="8"/>
    <n v="5"/>
    <n v="3"/>
    <n v="5"/>
    <n v="5"/>
    <n v="4"/>
    <n v="0"/>
    <n v="0"/>
    <n v="2"/>
    <n v="2"/>
    <n v="2"/>
  </r>
  <r>
    <n v="47"/>
    <n v="47"/>
    <x v="1"/>
    <n v="0"/>
    <s v="Travel_Rarely"/>
    <n v="0"/>
    <n v="1"/>
    <x v="0"/>
    <n v="0"/>
    <n v="1"/>
    <n v="14"/>
    <n v="14"/>
    <n v="3"/>
    <s v="Medical"/>
    <n v="0"/>
    <n v="0"/>
    <n v="1"/>
    <n v="0"/>
    <n v="0"/>
    <x v="1"/>
    <s v="Female"/>
    <n v="1"/>
    <n v="78"/>
    <n v="3"/>
    <n v="2"/>
    <s v="Sales Executive"/>
    <n v="0"/>
    <n v="1"/>
    <n v="0"/>
    <n v="0"/>
    <n v="0"/>
    <n v="0"/>
    <n v="0"/>
    <n v="0"/>
    <n v="3"/>
    <x v="1"/>
    <n v="0"/>
    <n v="1"/>
    <n v="4591"/>
    <n v="4591"/>
    <n v="3"/>
    <x v="0"/>
    <n v="1"/>
    <n v="17"/>
    <n v="3"/>
    <n v="3"/>
    <n v="1"/>
    <n v="11"/>
    <n v="11"/>
    <n v="4"/>
    <n v="2"/>
    <n v="5"/>
    <n v="5"/>
    <n v="4"/>
    <n v="1"/>
    <n v="1"/>
    <n v="2"/>
    <n v="2"/>
    <n v="4"/>
  </r>
  <r>
    <n v="28"/>
    <n v="28"/>
    <x v="0"/>
    <n v="1"/>
    <s v="Travel_Frequently"/>
    <n v="1"/>
    <n v="0"/>
    <x v="1"/>
    <n v="1"/>
    <n v="0"/>
    <n v="2"/>
    <n v="2"/>
    <n v="2"/>
    <s v="Medical"/>
    <n v="0"/>
    <n v="0"/>
    <n v="1"/>
    <n v="0"/>
    <n v="0"/>
    <x v="1"/>
    <s v="Male"/>
    <n v="0"/>
    <n v="38"/>
    <n v="2"/>
    <n v="1"/>
    <s v="Laboratory Technician"/>
    <n v="0"/>
    <n v="0"/>
    <n v="1"/>
    <n v="0"/>
    <n v="0"/>
    <n v="0"/>
    <n v="0"/>
    <n v="0"/>
    <n v="1"/>
    <x v="0"/>
    <n v="1"/>
    <n v="0"/>
    <n v="2561"/>
    <n v="2561"/>
    <n v="7"/>
    <x v="1"/>
    <n v="0"/>
    <n v="11"/>
    <n v="3"/>
    <n v="3"/>
    <n v="0"/>
    <n v="8"/>
    <n v="8"/>
    <n v="2"/>
    <n v="2"/>
    <n v="0"/>
    <n v="0"/>
    <n v="0"/>
    <n v="0"/>
    <n v="0"/>
    <n v="0"/>
    <n v="0"/>
    <n v="0"/>
  </r>
  <r>
    <n v="28"/>
    <n v="28"/>
    <x v="1"/>
    <n v="0"/>
    <s v="Travel_Rarely"/>
    <n v="0"/>
    <n v="1"/>
    <x v="1"/>
    <n v="1"/>
    <n v="0"/>
    <n v="1"/>
    <n v="1"/>
    <n v="3"/>
    <s v="Life Sciences"/>
    <n v="1"/>
    <n v="0"/>
    <n v="0"/>
    <n v="0"/>
    <n v="0"/>
    <x v="3"/>
    <s v="Male"/>
    <n v="0"/>
    <n v="72"/>
    <n v="2"/>
    <n v="1"/>
    <s v="Research Scientist"/>
    <n v="0"/>
    <n v="0"/>
    <n v="0"/>
    <n v="0"/>
    <n v="0"/>
    <n v="0"/>
    <n v="0"/>
    <n v="1"/>
    <n v="3"/>
    <x v="2"/>
    <n v="0"/>
    <n v="0"/>
    <n v="1563"/>
    <n v="1563"/>
    <n v="1"/>
    <x v="1"/>
    <n v="0"/>
    <n v="14"/>
    <n v="3"/>
    <n v="4"/>
    <n v="1"/>
    <n v="1"/>
    <n v="1"/>
    <n v="2"/>
    <n v="1"/>
    <n v="1"/>
    <n v="1"/>
    <n v="0"/>
    <n v="0"/>
    <n v="0"/>
    <n v="0"/>
    <n v="0"/>
    <n v="0"/>
  </r>
  <r>
    <n v="28"/>
    <n v="28"/>
    <x v="1"/>
    <n v="0"/>
    <s v="Travel_Frequently"/>
    <n v="1"/>
    <n v="0"/>
    <x v="0"/>
    <n v="0"/>
    <n v="1"/>
    <n v="7"/>
    <n v="7"/>
    <n v="3"/>
    <s v="Life Sciences"/>
    <n v="1"/>
    <n v="0"/>
    <n v="0"/>
    <n v="0"/>
    <n v="0"/>
    <x v="1"/>
    <s v="Male"/>
    <n v="0"/>
    <n v="55"/>
    <n v="3"/>
    <n v="2"/>
    <s v="Sales Executive"/>
    <n v="0"/>
    <n v="1"/>
    <n v="0"/>
    <n v="0"/>
    <n v="0"/>
    <n v="0"/>
    <n v="0"/>
    <n v="0"/>
    <n v="1"/>
    <x v="0"/>
    <n v="1"/>
    <n v="0"/>
    <n v="4898"/>
    <n v="4898"/>
    <n v="0"/>
    <x v="1"/>
    <n v="0"/>
    <n v="14"/>
    <n v="3"/>
    <n v="4"/>
    <n v="0"/>
    <n v="5"/>
    <n v="5"/>
    <n v="5"/>
    <n v="3"/>
    <n v="4"/>
    <n v="4"/>
    <n v="2"/>
    <n v="1"/>
    <n v="1"/>
    <n v="3"/>
    <n v="3"/>
    <n v="6"/>
  </r>
  <r>
    <n v="49"/>
    <n v="49"/>
    <x v="1"/>
    <n v="0"/>
    <s v="Travel_Rarely"/>
    <n v="0"/>
    <n v="1"/>
    <x v="1"/>
    <n v="1"/>
    <n v="0"/>
    <n v="3"/>
    <n v="3"/>
    <n v="2"/>
    <s v="Medical"/>
    <n v="0"/>
    <n v="0"/>
    <n v="1"/>
    <n v="0"/>
    <n v="0"/>
    <x v="1"/>
    <s v="Female"/>
    <n v="1"/>
    <n v="43"/>
    <n v="2"/>
    <n v="2"/>
    <s v="Laboratory Technician"/>
    <n v="0"/>
    <n v="0"/>
    <n v="1"/>
    <n v="0"/>
    <n v="0"/>
    <n v="0"/>
    <n v="0"/>
    <n v="0"/>
    <n v="1"/>
    <x v="1"/>
    <n v="0"/>
    <n v="1"/>
    <n v="4789"/>
    <n v="4789"/>
    <n v="4"/>
    <x v="1"/>
    <n v="0"/>
    <n v="25"/>
    <n v="4"/>
    <n v="1"/>
    <n v="1"/>
    <n v="10"/>
    <n v="10"/>
    <n v="3"/>
    <n v="3"/>
    <n v="3"/>
    <n v="3"/>
    <n v="2"/>
    <n v="1"/>
    <n v="1"/>
    <n v="2"/>
    <n v="2"/>
    <n v="4"/>
  </r>
  <r>
    <n v="29"/>
    <n v="29"/>
    <x v="1"/>
    <n v="0"/>
    <s v="Travel_Frequently"/>
    <n v="1"/>
    <n v="0"/>
    <x v="1"/>
    <n v="1"/>
    <n v="0"/>
    <n v="2"/>
    <n v="2"/>
    <n v="1"/>
    <s v="Life Sciences"/>
    <n v="1"/>
    <n v="0"/>
    <n v="0"/>
    <n v="0"/>
    <n v="0"/>
    <x v="2"/>
    <s v="Female"/>
    <n v="1"/>
    <n v="97"/>
    <n v="3"/>
    <n v="1"/>
    <s v="Laboratory Technician"/>
    <n v="0"/>
    <n v="0"/>
    <n v="1"/>
    <n v="0"/>
    <n v="0"/>
    <n v="0"/>
    <n v="0"/>
    <n v="0"/>
    <n v="2"/>
    <x v="1"/>
    <n v="0"/>
    <n v="1"/>
    <n v="3180"/>
    <n v="3180"/>
    <n v="0"/>
    <x v="1"/>
    <n v="0"/>
    <n v="13"/>
    <n v="3"/>
    <n v="3"/>
    <n v="3"/>
    <n v="4"/>
    <n v="4"/>
    <n v="3"/>
    <n v="3"/>
    <n v="3"/>
    <n v="3"/>
    <n v="2"/>
    <n v="0"/>
    <n v="0"/>
    <n v="2"/>
    <n v="2"/>
    <n v="2"/>
  </r>
  <r>
    <n v="28"/>
    <n v="28"/>
    <x v="1"/>
    <n v="0"/>
    <s v="Travel_Rarely"/>
    <n v="0"/>
    <n v="1"/>
    <x v="1"/>
    <n v="1"/>
    <n v="0"/>
    <n v="29"/>
    <n v="29"/>
    <n v="1"/>
    <s v="Life Sciences"/>
    <n v="1"/>
    <n v="0"/>
    <n v="0"/>
    <n v="0"/>
    <n v="0"/>
    <x v="1"/>
    <s v="Male"/>
    <n v="0"/>
    <n v="96"/>
    <n v="1"/>
    <n v="2"/>
    <s v="Manufacturing Director"/>
    <n v="0"/>
    <n v="0"/>
    <n v="0"/>
    <n v="0"/>
    <n v="1"/>
    <n v="1"/>
    <n v="0"/>
    <n v="0"/>
    <n v="2"/>
    <x v="1"/>
    <n v="0"/>
    <n v="1"/>
    <n v="6549"/>
    <n v="6549"/>
    <n v="1"/>
    <x v="1"/>
    <n v="0"/>
    <n v="14"/>
    <n v="3"/>
    <n v="2"/>
    <n v="2"/>
    <n v="8"/>
    <n v="8"/>
    <n v="2"/>
    <n v="2"/>
    <n v="8"/>
    <n v="8"/>
    <n v="6"/>
    <n v="1"/>
    <n v="1"/>
    <n v="7"/>
    <n v="7"/>
    <n v="14"/>
  </r>
  <r>
    <n v="33"/>
    <n v="33"/>
    <x v="1"/>
    <n v="0"/>
    <s v="Travel_Rarely"/>
    <n v="0"/>
    <n v="1"/>
    <x v="1"/>
    <n v="1"/>
    <n v="0"/>
    <n v="8"/>
    <n v="8"/>
    <n v="5"/>
    <s v="Life Sciences"/>
    <n v="1"/>
    <n v="0"/>
    <n v="0"/>
    <n v="0"/>
    <n v="0"/>
    <x v="2"/>
    <s v="Male"/>
    <n v="0"/>
    <n v="69"/>
    <n v="3"/>
    <n v="2"/>
    <s v="Healthcare Representative"/>
    <n v="1"/>
    <n v="0"/>
    <n v="0"/>
    <n v="0"/>
    <n v="0"/>
    <n v="0"/>
    <n v="0"/>
    <n v="0"/>
    <n v="3"/>
    <x v="0"/>
    <n v="1"/>
    <n v="0"/>
    <n v="6388"/>
    <n v="6388"/>
    <n v="2"/>
    <x v="0"/>
    <n v="1"/>
    <n v="17"/>
    <n v="3"/>
    <n v="1"/>
    <n v="0"/>
    <n v="14"/>
    <n v="14"/>
    <n v="6"/>
    <n v="3"/>
    <n v="0"/>
    <n v="0"/>
    <n v="0"/>
    <n v="0"/>
    <n v="0"/>
    <n v="0"/>
    <n v="0"/>
    <n v="0"/>
  </r>
  <r>
    <n v="32"/>
    <n v="32"/>
    <x v="1"/>
    <n v="0"/>
    <s v="Travel_Rarely"/>
    <n v="0"/>
    <n v="1"/>
    <x v="1"/>
    <n v="1"/>
    <n v="0"/>
    <n v="10"/>
    <n v="10"/>
    <n v="3"/>
    <s v="Medical"/>
    <n v="0"/>
    <n v="0"/>
    <n v="1"/>
    <n v="0"/>
    <n v="0"/>
    <x v="1"/>
    <s v="Male"/>
    <n v="0"/>
    <n v="64"/>
    <n v="3"/>
    <n v="3"/>
    <s v="Manager"/>
    <n v="0"/>
    <n v="0"/>
    <n v="0"/>
    <n v="1"/>
    <n v="0"/>
    <n v="0"/>
    <n v="0"/>
    <n v="0"/>
    <n v="4"/>
    <x v="0"/>
    <n v="1"/>
    <n v="0"/>
    <n v="11244"/>
    <n v="11244"/>
    <n v="2"/>
    <x v="1"/>
    <n v="0"/>
    <n v="25"/>
    <n v="4"/>
    <n v="2"/>
    <n v="0"/>
    <n v="10"/>
    <n v="10"/>
    <n v="5"/>
    <n v="4"/>
    <n v="5"/>
    <n v="5"/>
    <n v="2"/>
    <n v="0"/>
    <n v="0"/>
    <n v="0"/>
    <n v="0"/>
    <n v="0"/>
  </r>
  <r>
    <n v="54"/>
    <n v="54"/>
    <x v="1"/>
    <n v="0"/>
    <s v="Travel_Frequently"/>
    <n v="1"/>
    <n v="0"/>
    <x v="1"/>
    <n v="1"/>
    <n v="0"/>
    <n v="11"/>
    <n v="11"/>
    <n v="4"/>
    <s v="Medical"/>
    <n v="0"/>
    <n v="0"/>
    <n v="1"/>
    <n v="0"/>
    <n v="0"/>
    <x v="0"/>
    <s v="Female"/>
    <n v="1"/>
    <n v="87"/>
    <n v="3"/>
    <n v="4"/>
    <s v="Manager"/>
    <n v="0"/>
    <n v="0"/>
    <n v="0"/>
    <n v="1"/>
    <n v="0"/>
    <n v="0"/>
    <n v="0"/>
    <n v="0"/>
    <n v="4"/>
    <x v="2"/>
    <n v="0"/>
    <n v="0"/>
    <n v="16032"/>
    <n v="16032"/>
    <n v="3"/>
    <x v="1"/>
    <n v="0"/>
    <n v="20"/>
    <n v="4"/>
    <n v="1"/>
    <n v="1"/>
    <n v="26"/>
    <n v="26"/>
    <n v="2"/>
    <n v="3"/>
    <n v="14"/>
    <n v="14"/>
    <n v="9"/>
    <n v="1"/>
    <n v="1"/>
    <n v="12"/>
    <n v="12"/>
    <n v="48"/>
  </r>
  <r>
    <n v="29"/>
    <n v="29"/>
    <x v="0"/>
    <n v="1"/>
    <s v="Travel_Rarely"/>
    <n v="0"/>
    <n v="1"/>
    <x v="1"/>
    <n v="1"/>
    <n v="0"/>
    <n v="1"/>
    <n v="1"/>
    <n v="4"/>
    <s v="Technical Degree"/>
    <n v="0"/>
    <n v="0"/>
    <n v="0"/>
    <n v="0"/>
    <n v="1"/>
    <x v="3"/>
    <s v="Male"/>
    <n v="0"/>
    <n v="100"/>
    <n v="2"/>
    <n v="1"/>
    <s v="Research Scientist"/>
    <n v="0"/>
    <n v="0"/>
    <n v="0"/>
    <n v="0"/>
    <n v="0"/>
    <n v="0"/>
    <n v="0"/>
    <n v="1"/>
    <n v="1"/>
    <x v="0"/>
    <n v="1"/>
    <n v="0"/>
    <n v="2362"/>
    <n v="2362"/>
    <n v="6"/>
    <x v="1"/>
    <n v="0"/>
    <n v="13"/>
    <n v="3"/>
    <n v="3"/>
    <n v="0"/>
    <n v="11"/>
    <n v="11"/>
    <n v="2"/>
    <n v="1"/>
    <n v="9"/>
    <n v="9"/>
    <n v="7"/>
    <n v="0"/>
    <n v="0"/>
    <n v="7"/>
    <n v="7"/>
    <n v="7"/>
  </r>
  <r>
    <n v="44"/>
    <n v="44"/>
    <x v="1"/>
    <n v="0"/>
    <s v="Travel_Rarely"/>
    <n v="0"/>
    <n v="1"/>
    <x v="1"/>
    <n v="1"/>
    <n v="0"/>
    <n v="28"/>
    <n v="28"/>
    <n v="3"/>
    <s v="Life Sciences"/>
    <n v="1"/>
    <n v="0"/>
    <n v="0"/>
    <n v="0"/>
    <n v="0"/>
    <x v="2"/>
    <s v="Male"/>
    <n v="0"/>
    <n v="32"/>
    <n v="3"/>
    <n v="4"/>
    <s v="Research Director"/>
    <n v="0"/>
    <n v="0"/>
    <n v="0"/>
    <n v="0"/>
    <n v="0"/>
    <n v="0"/>
    <n v="0"/>
    <n v="0"/>
    <n v="1"/>
    <x v="1"/>
    <n v="0"/>
    <n v="1"/>
    <n v="16328"/>
    <n v="16328"/>
    <n v="3"/>
    <x v="1"/>
    <n v="0"/>
    <n v="13"/>
    <n v="3"/>
    <n v="3"/>
    <n v="1"/>
    <n v="24"/>
    <n v="24"/>
    <n v="1"/>
    <n v="4"/>
    <n v="20"/>
    <n v="20"/>
    <n v="6"/>
    <n v="14"/>
    <n v="14"/>
    <n v="17"/>
    <n v="14"/>
    <n v="56"/>
  </r>
  <r>
    <n v="39"/>
    <n v="39"/>
    <x v="1"/>
    <n v="0"/>
    <s v="Travel_Rarely"/>
    <n v="0"/>
    <n v="1"/>
    <x v="1"/>
    <n v="1"/>
    <n v="0"/>
    <n v="6"/>
    <n v="6"/>
    <n v="3"/>
    <s v="Life Sciences"/>
    <n v="1"/>
    <n v="0"/>
    <n v="0"/>
    <n v="0"/>
    <n v="0"/>
    <x v="0"/>
    <s v="Female"/>
    <n v="1"/>
    <n v="32"/>
    <n v="3"/>
    <n v="3"/>
    <s v="Manufacturing Director"/>
    <n v="0"/>
    <n v="0"/>
    <n v="0"/>
    <n v="0"/>
    <n v="1"/>
    <n v="1"/>
    <n v="0"/>
    <n v="0"/>
    <n v="2"/>
    <x v="0"/>
    <n v="1"/>
    <n v="0"/>
    <n v="8376"/>
    <n v="8376"/>
    <n v="4"/>
    <x v="1"/>
    <n v="0"/>
    <n v="18"/>
    <n v="3"/>
    <n v="4"/>
    <n v="0"/>
    <n v="9"/>
    <n v="9"/>
    <n v="3"/>
    <n v="3"/>
    <n v="2"/>
    <n v="2"/>
    <n v="0"/>
    <n v="2"/>
    <n v="2"/>
    <n v="2"/>
    <n v="2"/>
    <n v="6"/>
  </r>
  <r>
    <n v="46"/>
    <n v="46"/>
    <x v="1"/>
    <n v="0"/>
    <s v="Travel_Rarely"/>
    <n v="0"/>
    <n v="1"/>
    <x v="0"/>
    <n v="0"/>
    <n v="1"/>
    <n v="3"/>
    <n v="3"/>
    <n v="3"/>
    <s v="Life Sciences"/>
    <n v="1"/>
    <n v="0"/>
    <n v="0"/>
    <n v="0"/>
    <n v="0"/>
    <x v="1"/>
    <s v="Female"/>
    <n v="1"/>
    <n v="51"/>
    <n v="3"/>
    <n v="4"/>
    <s v="Manager"/>
    <n v="0"/>
    <n v="0"/>
    <n v="0"/>
    <n v="1"/>
    <n v="0"/>
    <n v="0"/>
    <n v="0"/>
    <n v="0"/>
    <n v="2"/>
    <x v="1"/>
    <n v="0"/>
    <n v="1"/>
    <n v="16606"/>
    <n v="16606"/>
    <n v="8"/>
    <x v="1"/>
    <n v="0"/>
    <n v="12"/>
    <n v="3"/>
    <n v="4"/>
    <n v="1"/>
    <n v="23"/>
    <n v="23"/>
    <n v="2"/>
    <n v="4"/>
    <n v="13"/>
    <n v="13"/>
    <n v="12"/>
    <n v="5"/>
    <n v="5"/>
    <n v="1"/>
    <n v="1"/>
    <n v="4"/>
  </r>
  <r>
    <n v="35"/>
    <n v="35"/>
    <x v="1"/>
    <n v="0"/>
    <s v="Travel_Rarely"/>
    <n v="0"/>
    <n v="1"/>
    <x v="1"/>
    <n v="1"/>
    <n v="0"/>
    <n v="16"/>
    <n v="16"/>
    <n v="3"/>
    <s v="Life Sciences"/>
    <n v="1"/>
    <n v="0"/>
    <n v="0"/>
    <n v="0"/>
    <n v="0"/>
    <x v="2"/>
    <s v="Female"/>
    <n v="1"/>
    <n v="91"/>
    <n v="2"/>
    <n v="3"/>
    <s v="Healthcare Representative"/>
    <n v="1"/>
    <n v="0"/>
    <n v="0"/>
    <n v="0"/>
    <n v="0"/>
    <n v="0"/>
    <n v="0"/>
    <n v="0"/>
    <n v="2"/>
    <x v="0"/>
    <n v="1"/>
    <n v="0"/>
    <n v="8606"/>
    <n v="8606"/>
    <n v="1"/>
    <x v="1"/>
    <n v="0"/>
    <n v="19"/>
    <n v="3"/>
    <n v="4"/>
    <n v="0"/>
    <n v="11"/>
    <n v="11"/>
    <n v="3"/>
    <n v="1"/>
    <n v="11"/>
    <n v="11"/>
    <n v="8"/>
    <n v="3"/>
    <n v="3"/>
    <n v="3"/>
    <n v="3"/>
    <n v="9"/>
  </r>
  <r>
    <n v="23"/>
    <n v="23"/>
    <x v="1"/>
    <n v="0"/>
    <s v="Travel_Rarely"/>
    <n v="0"/>
    <n v="1"/>
    <x v="1"/>
    <n v="1"/>
    <n v="0"/>
    <n v="20"/>
    <n v="20"/>
    <n v="1"/>
    <s v="Life Sciences"/>
    <n v="1"/>
    <n v="0"/>
    <n v="0"/>
    <n v="0"/>
    <n v="0"/>
    <x v="3"/>
    <s v="Male"/>
    <n v="0"/>
    <n v="97"/>
    <n v="3"/>
    <n v="2"/>
    <s v="Laboratory Technician"/>
    <n v="0"/>
    <n v="0"/>
    <n v="1"/>
    <n v="0"/>
    <n v="0"/>
    <n v="0"/>
    <n v="0"/>
    <n v="0"/>
    <n v="3"/>
    <x v="0"/>
    <n v="1"/>
    <n v="0"/>
    <n v="2272"/>
    <n v="2272"/>
    <n v="0"/>
    <x v="1"/>
    <n v="0"/>
    <n v="14"/>
    <n v="3"/>
    <n v="2"/>
    <n v="0"/>
    <n v="5"/>
    <n v="5"/>
    <n v="2"/>
    <n v="3"/>
    <n v="4"/>
    <n v="4"/>
    <n v="3"/>
    <n v="1"/>
    <n v="1"/>
    <n v="2"/>
    <n v="2"/>
    <n v="4"/>
  </r>
  <r>
    <n v="40"/>
    <n v="40"/>
    <x v="0"/>
    <n v="1"/>
    <s v="Travel_Rarely"/>
    <n v="0"/>
    <n v="1"/>
    <x v="1"/>
    <n v="1"/>
    <n v="0"/>
    <n v="9"/>
    <n v="9"/>
    <n v="4"/>
    <s v="Life Sciences"/>
    <n v="1"/>
    <n v="0"/>
    <n v="0"/>
    <n v="0"/>
    <n v="0"/>
    <x v="2"/>
    <s v="Male"/>
    <n v="0"/>
    <n v="86"/>
    <n v="3"/>
    <n v="1"/>
    <s v="Laboratory Technician"/>
    <n v="0"/>
    <n v="0"/>
    <n v="1"/>
    <n v="0"/>
    <n v="0"/>
    <n v="0"/>
    <n v="0"/>
    <n v="0"/>
    <n v="1"/>
    <x v="0"/>
    <n v="1"/>
    <n v="0"/>
    <n v="2018"/>
    <n v="2018"/>
    <n v="3"/>
    <x v="1"/>
    <n v="0"/>
    <n v="14"/>
    <n v="3"/>
    <n v="2"/>
    <n v="0"/>
    <n v="15"/>
    <n v="15"/>
    <n v="3"/>
    <n v="1"/>
    <n v="5"/>
    <n v="5"/>
    <n v="4"/>
    <n v="1"/>
    <n v="1"/>
    <n v="0"/>
    <n v="0"/>
    <n v="0"/>
  </r>
  <r>
    <n v="34"/>
    <n v="34"/>
    <x v="1"/>
    <n v="0"/>
    <s v="Travel_Rarely"/>
    <n v="0"/>
    <n v="1"/>
    <x v="0"/>
    <n v="0"/>
    <n v="1"/>
    <n v="1"/>
    <n v="1"/>
    <n v="3"/>
    <s v="Technical Degree"/>
    <n v="0"/>
    <n v="0"/>
    <n v="0"/>
    <n v="0"/>
    <n v="1"/>
    <x v="2"/>
    <s v="Male"/>
    <n v="0"/>
    <n v="64"/>
    <n v="2"/>
    <n v="3"/>
    <s v="Sales Executive"/>
    <n v="0"/>
    <n v="1"/>
    <n v="0"/>
    <n v="0"/>
    <n v="0"/>
    <n v="0"/>
    <n v="0"/>
    <n v="0"/>
    <n v="3"/>
    <x v="1"/>
    <n v="0"/>
    <n v="1"/>
    <n v="7083"/>
    <n v="7083"/>
    <n v="1"/>
    <x v="0"/>
    <n v="1"/>
    <n v="14"/>
    <n v="3"/>
    <n v="4"/>
    <n v="0"/>
    <n v="10"/>
    <n v="10"/>
    <n v="3"/>
    <n v="3"/>
    <n v="10"/>
    <n v="10"/>
    <n v="9"/>
    <n v="8"/>
    <n v="8"/>
    <n v="6"/>
    <n v="6"/>
    <n v="18"/>
  </r>
  <r>
    <n v="31"/>
    <n v="31"/>
    <x v="0"/>
    <n v="1"/>
    <s v="Travel_Frequently"/>
    <n v="1"/>
    <n v="0"/>
    <x v="1"/>
    <n v="1"/>
    <n v="0"/>
    <n v="3"/>
    <n v="3"/>
    <n v="3"/>
    <s v="Life Sciences"/>
    <n v="1"/>
    <n v="0"/>
    <n v="0"/>
    <n v="0"/>
    <n v="0"/>
    <x v="2"/>
    <s v="Female"/>
    <n v="1"/>
    <n v="33"/>
    <n v="3"/>
    <n v="1"/>
    <s v="Research Scientist"/>
    <n v="0"/>
    <n v="0"/>
    <n v="0"/>
    <n v="0"/>
    <n v="0"/>
    <n v="0"/>
    <n v="0"/>
    <n v="1"/>
    <n v="3"/>
    <x v="0"/>
    <n v="1"/>
    <n v="0"/>
    <n v="4084"/>
    <n v="4084"/>
    <n v="1"/>
    <x v="1"/>
    <n v="0"/>
    <n v="12"/>
    <n v="3"/>
    <n v="1"/>
    <n v="0"/>
    <n v="7"/>
    <n v="7"/>
    <n v="2"/>
    <n v="1"/>
    <n v="7"/>
    <n v="7"/>
    <n v="2"/>
    <n v="7"/>
    <n v="7"/>
    <n v="7"/>
    <n v="7"/>
    <n v="7"/>
  </r>
  <r>
    <n v="50"/>
    <n v="50"/>
    <x v="1"/>
    <n v="0"/>
    <s v="Travel_Frequently"/>
    <n v="1"/>
    <n v="0"/>
    <x v="1"/>
    <n v="1"/>
    <n v="0"/>
    <n v="22"/>
    <n v="22"/>
    <n v="5"/>
    <s v="Medical"/>
    <n v="0"/>
    <n v="0"/>
    <n v="1"/>
    <n v="0"/>
    <n v="0"/>
    <x v="1"/>
    <s v="Male"/>
    <n v="0"/>
    <n v="88"/>
    <n v="1"/>
    <n v="4"/>
    <s v="Research Director"/>
    <n v="0"/>
    <n v="0"/>
    <n v="0"/>
    <n v="0"/>
    <n v="0"/>
    <n v="0"/>
    <n v="0"/>
    <n v="0"/>
    <n v="4"/>
    <x v="0"/>
    <n v="1"/>
    <n v="0"/>
    <n v="14411"/>
    <n v="14411"/>
    <n v="1"/>
    <x v="0"/>
    <n v="1"/>
    <n v="13"/>
    <n v="3"/>
    <n v="4"/>
    <n v="0"/>
    <n v="32"/>
    <n v="32"/>
    <n v="2"/>
    <n v="3"/>
    <n v="32"/>
    <n v="31"/>
    <n v="6"/>
    <n v="13"/>
    <n v="13"/>
    <n v="9"/>
    <n v="9"/>
    <n v="36"/>
  </r>
  <r>
    <n v="34"/>
    <n v="34"/>
    <x v="1"/>
    <n v="0"/>
    <s v="Travel_Rarely"/>
    <n v="0"/>
    <n v="1"/>
    <x v="0"/>
    <n v="0"/>
    <n v="1"/>
    <n v="7"/>
    <n v="7"/>
    <n v="2"/>
    <s v="Technical Degree"/>
    <n v="0"/>
    <n v="0"/>
    <n v="0"/>
    <n v="0"/>
    <n v="1"/>
    <x v="0"/>
    <s v="Male"/>
    <n v="0"/>
    <n v="55"/>
    <n v="3"/>
    <n v="1"/>
    <s v="Sales Representative"/>
    <n v="0"/>
    <n v="0"/>
    <n v="0"/>
    <n v="0"/>
    <n v="0"/>
    <n v="0"/>
    <n v="1"/>
    <n v="0"/>
    <n v="3"/>
    <x v="1"/>
    <n v="0"/>
    <n v="1"/>
    <n v="2308"/>
    <n v="2308"/>
    <n v="0"/>
    <x v="0"/>
    <n v="1"/>
    <n v="25"/>
    <n v="4"/>
    <n v="2"/>
    <n v="1"/>
    <n v="12"/>
    <n v="12"/>
    <n v="4"/>
    <n v="3"/>
    <n v="11"/>
    <n v="11"/>
    <n v="10"/>
    <n v="5"/>
    <n v="5"/>
    <n v="7"/>
    <n v="7"/>
    <n v="7"/>
  </r>
  <r>
    <n v="42"/>
    <n v="42"/>
    <x v="1"/>
    <n v="0"/>
    <s v="Travel_Rarely"/>
    <n v="0"/>
    <n v="1"/>
    <x v="1"/>
    <n v="1"/>
    <n v="0"/>
    <n v="2"/>
    <n v="2"/>
    <n v="3"/>
    <s v="Medical"/>
    <n v="0"/>
    <n v="0"/>
    <n v="1"/>
    <n v="0"/>
    <n v="0"/>
    <x v="1"/>
    <s v="Male"/>
    <n v="0"/>
    <n v="68"/>
    <n v="2"/>
    <n v="1"/>
    <s v="Laboratory Technician"/>
    <n v="0"/>
    <n v="0"/>
    <n v="1"/>
    <n v="0"/>
    <n v="0"/>
    <n v="0"/>
    <n v="0"/>
    <n v="0"/>
    <n v="2"/>
    <x v="1"/>
    <n v="0"/>
    <n v="1"/>
    <n v="4841"/>
    <n v="4841"/>
    <n v="4"/>
    <x v="1"/>
    <n v="0"/>
    <n v="14"/>
    <n v="3"/>
    <n v="2"/>
    <n v="1"/>
    <n v="4"/>
    <n v="4"/>
    <n v="3"/>
    <n v="3"/>
    <n v="1"/>
    <n v="1"/>
    <n v="0"/>
    <n v="0"/>
    <n v="0"/>
    <n v="0"/>
    <n v="0"/>
    <n v="0"/>
  </r>
  <r>
    <n v="37"/>
    <n v="37"/>
    <x v="1"/>
    <n v="0"/>
    <s v="Travel_Rarely"/>
    <n v="0"/>
    <n v="1"/>
    <x v="1"/>
    <n v="1"/>
    <n v="0"/>
    <n v="13"/>
    <n v="13"/>
    <n v="3"/>
    <s v="Medical"/>
    <n v="0"/>
    <n v="0"/>
    <n v="1"/>
    <n v="0"/>
    <n v="0"/>
    <x v="3"/>
    <s v="Male"/>
    <n v="0"/>
    <n v="47"/>
    <n v="3"/>
    <n v="2"/>
    <s v="Research Scientist"/>
    <n v="0"/>
    <n v="0"/>
    <n v="0"/>
    <n v="0"/>
    <n v="0"/>
    <n v="0"/>
    <n v="0"/>
    <n v="1"/>
    <n v="4"/>
    <x v="1"/>
    <n v="0"/>
    <n v="1"/>
    <n v="4285"/>
    <n v="4285"/>
    <n v="1"/>
    <x v="1"/>
    <n v="0"/>
    <n v="17"/>
    <n v="3"/>
    <n v="1"/>
    <n v="0"/>
    <n v="10"/>
    <n v="10"/>
    <n v="2"/>
    <n v="3"/>
    <n v="10"/>
    <n v="10"/>
    <n v="8"/>
    <n v="3"/>
    <n v="3"/>
    <n v="7"/>
    <n v="7"/>
    <n v="14"/>
  </r>
  <r>
    <n v="29"/>
    <n v="29"/>
    <x v="1"/>
    <n v="0"/>
    <s v="Travel_Rarely"/>
    <n v="0"/>
    <n v="1"/>
    <x v="1"/>
    <n v="1"/>
    <n v="0"/>
    <n v="8"/>
    <n v="8"/>
    <n v="1"/>
    <s v="Other"/>
    <n v="0"/>
    <n v="1"/>
    <n v="0"/>
    <n v="0"/>
    <n v="0"/>
    <x v="1"/>
    <s v="Female"/>
    <n v="1"/>
    <n v="39"/>
    <n v="1"/>
    <n v="2"/>
    <s v="Healthcare Representative"/>
    <n v="1"/>
    <n v="0"/>
    <n v="0"/>
    <n v="0"/>
    <n v="0"/>
    <n v="0"/>
    <n v="0"/>
    <n v="0"/>
    <n v="1"/>
    <x v="1"/>
    <n v="0"/>
    <n v="1"/>
    <n v="9715"/>
    <n v="9715"/>
    <n v="3"/>
    <x v="1"/>
    <n v="0"/>
    <n v="13"/>
    <n v="3"/>
    <n v="3"/>
    <n v="1"/>
    <n v="9"/>
    <n v="9"/>
    <n v="3"/>
    <n v="3"/>
    <n v="7"/>
    <n v="7"/>
    <n v="7"/>
    <n v="0"/>
    <n v="0"/>
    <n v="7"/>
    <n v="7"/>
    <n v="14"/>
  </r>
  <r>
    <n v="33"/>
    <n v="33"/>
    <x v="1"/>
    <n v="0"/>
    <s v="Travel_Rarely"/>
    <n v="0"/>
    <n v="1"/>
    <x v="1"/>
    <n v="1"/>
    <n v="0"/>
    <n v="25"/>
    <n v="25"/>
    <n v="3"/>
    <s v="Life Sciences"/>
    <n v="1"/>
    <n v="0"/>
    <n v="0"/>
    <n v="0"/>
    <n v="0"/>
    <x v="2"/>
    <s v="Male"/>
    <n v="0"/>
    <n v="44"/>
    <n v="2"/>
    <n v="2"/>
    <s v="Manufacturing Director"/>
    <n v="0"/>
    <n v="0"/>
    <n v="0"/>
    <n v="0"/>
    <n v="1"/>
    <n v="1"/>
    <n v="0"/>
    <n v="0"/>
    <n v="2"/>
    <x v="0"/>
    <n v="1"/>
    <n v="0"/>
    <n v="4320"/>
    <n v="4320"/>
    <n v="1"/>
    <x v="1"/>
    <n v="0"/>
    <n v="13"/>
    <n v="3"/>
    <n v="4"/>
    <n v="0"/>
    <n v="5"/>
    <n v="5"/>
    <n v="2"/>
    <n v="3"/>
    <n v="5"/>
    <n v="5"/>
    <n v="3"/>
    <n v="0"/>
    <n v="0"/>
    <n v="2"/>
    <n v="2"/>
    <n v="4"/>
  </r>
  <r>
    <n v="45"/>
    <n v="45"/>
    <x v="1"/>
    <n v="0"/>
    <s v="Travel_Rarely"/>
    <n v="0"/>
    <n v="1"/>
    <x v="1"/>
    <n v="1"/>
    <n v="0"/>
    <n v="28"/>
    <n v="28"/>
    <n v="3"/>
    <s v="Technical Degree"/>
    <n v="0"/>
    <n v="0"/>
    <n v="0"/>
    <n v="0"/>
    <n v="1"/>
    <x v="2"/>
    <s v="Male"/>
    <n v="0"/>
    <n v="97"/>
    <n v="3"/>
    <n v="1"/>
    <s v="Research Scientist"/>
    <n v="0"/>
    <n v="0"/>
    <n v="0"/>
    <n v="0"/>
    <n v="0"/>
    <n v="0"/>
    <n v="0"/>
    <n v="1"/>
    <n v="4"/>
    <x v="1"/>
    <n v="0"/>
    <n v="1"/>
    <n v="2132"/>
    <n v="2132"/>
    <n v="4"/>
    <x v="1"/>
    <n v="0"/>
    <n v="20"/>
    <n v="4"/>
    <n v="4"/>
    <n v="1"/>
    <n v="8"/>
    <n v="8"/>
    <n v="3"/>
    <n v="3"/>
    <n v="5"/>
    <n v="5"/>
    <n v="4"/>
    <n v="0"/>
    <n v="0"/>
    <n v="3"/>
    <n v="3"/>
    <n v="3"/>
  </r>
  <r>
    <n v="42"/>
    <n v="42"/>
    <x v="1"/>
    <n v="0"/>
    <s v="Travel_Frequently"/>
    <n v="1"/>
    <n v="0"/>
    <x v="1"/>
    <n v="1"/>
    <n v="0"/>
    <n v="2"/>
    <n v="2"/>
    <n v="3"/>
    <s v="Life Sciences"/>
    <n v="1"/>
    <n v="0"/>
    <n v="0"/>
    <n v="0"/>
    <n v="0"/>
    <x v="2"/>
    <s v="Male"/>
    <n v="0"/>
    <n v="40"/>
    <n v="3"/>
    <n v="3"/>
    <s v="Healthcare Representative"/>
    <n v="1"/>
    <n v="0"/>
    <n v="0"/>
    <n v="0"/>
    <n v="0"/>
    <n v="0"/>
    <n v="0"/>
    <n v="0"/>
    <n v="4"/>
    <x v="1"/>
    <n v="0"/>
    <n v="1"/>
    <n v="10124"/>
    <n v="10124"/>
    <n v="2"/>
    <x v="0"/>
    <n v="1"/>
    <n v="14"/>
    <n v="3"/>
    <n v="3"/>
    <n v="1"/>
    <n v="24"/>
    <n v="24"/>
    <n v="3"/>
    <n v="1"/>
    <n v="20"/>
    <n v="20"/>
    <n v="8"/>
    <n v="13"/>
    <n v="13"/>
    <n v="9"/>
    <n v="9"/>
    <n v="27"/>
  </r>
  <r>
    <n v="40"/>
    <n v="40"/>
    <x v="1"/>
    <n v="0"/>
    <s v="Travel_Rarely"/>
    <n v="0"/>
    <n v="1"/>
    <x v="0"/>
    <n v="0"/>
    <n v="1"/>
    <n v="9"/>
    <n v="9"/>
    <n v="2"/>
    <s v="Medical"/>
    <n v="0"/>
    <n v="0"/>
    <n v="1"/>
    <n v="0"/>
    <n v="0"/>
    <x v="3"/>
    <s v="Male"/>
    <n v="0"/>
    <n v="47"/>
    <n v="3"/>
    <n v="2"/>
    <s v="Sales Executive"/>
    <n v="0"/>
    <n v="1"/>
    <n v="0"/>
    <n v="0"/>
    <n v="0"/>
    <n v="0"/>
    <n v="0"/>
    <n v="0"/>
    <n v="1"/>
    <x v="1"/>
    <n v="0"/>
    <n v="1"/>
    <n v="5473"/>
    <n v="5473"/>
    <n v="0"/>
    <x v="1"/>
    <n v="0"/>
    <n v="12"/>
    <n v="3"/>
    <n v="4"/>
    <n v="0"/>
    <n v="9"/>
    <n v="9"/>
    <n v="5"/>
    <n v="4"/>
    <n v="8"/>
    <n v="8"/>
    <n v="4"/>
    <n v="7"/>
    <n v="7"/>
    <n v="1"/>
    <n v="1"/>
    <n v="2"/>
  </r>
  <r>
    <n v="33"/>
    <n v="33"/>
    <x v="1"/>
    <n v="0"/>
    <s v="Travel_Rarely"/>
    <n v="0"/>
    <n v="1"/>
    <x v="1"/>
    <n v="1"/>
    <n v="0"/>
    <n v="28"/>
    <n v="28"/>
    <n v="4"/>
    <s v="Life Sciences"/>
    <n v="1"/>
    <n v="0"/>
    <n v="0"/>
    <n v="0"/>
    <n v="0"/>
    <x v="0"/>
    <s v="Male"/>
    <n v="0"/>
    <n v="79"/>
    <n v="3"/>
    <n v="2"/>
    <s v="Laboratory Technician"/>
    <n v="0"/>
    <n v="0"/>
    <n v="1"/>
    <n v="0"/>
    <n v="0"/>
    <n v="0"/>
    <n v="0"/>
    <n v="0"/>
    <n v="3"/>
    <x v="1"/>
    <n v="0"/>
    <n v="1"/>
    <n v="5207"/>
    <n v="5207"/>
    <n v="1"/>
    <x v="0"/>
    <n v="1"/>
    <n v="12"/>
    <n v="3"/>
    <n v="2"/>
    <n v="1"/>
    <n v="15"/>
    <n v="15"/>
    <n v="3"/>
    <n v="3"/>
    <n v="15"/>
    <n v="15"/>
    <n v="14"/>
    <n v="5"/>
    <n v="5"/>
    <n v="7"/>
    <n v="7"/>
    <n v="14"/>
  </r>
  <r>
    <n v="40"/>
    <n v="40"/>
    <x v="1"/>
    <n v="0"/>
    <s v="Travel_Rarely"/>
    <n v="0"/>
    <n v="1"/>
    <x v="2"/>
    <n v="0"/>
    <n v="0"/>
    <n v="6"/>
    <n v="6"/>
    <n v="2"/>
    <s v="Medical"/>
    <n v="0"/>
    <n v="0"/>
    <n v="1"/>
    <n v="0"/>
    <n v="0"/>
    <x v="1"/>
    <s v="Male"/>
    <n v="0"/>
    <n v="38"/>
    <n v="3"/>
    <n v="4"/>
    <s v="Manager"/>
    <n v="0"/>
    <n v="0"/>
    <n v="0"/>
    <n v="1"/>
    <n v="0"/>
    <n v="0"/>
    <n v="0"/>
    <n v="0"/>
    <n v="4"/>
    <x v="0"/>
    <n v="1"/>
    <n v="0"/>
    <n v="16437"/>
    <n v="16437"/>
    <n v="1"/>
    <x v="0"/>
    <n v="1"/>
    <n v="21"/>
    <n v="4"/>
    <n v="4"/>
    <n v="0"/>
    <n v="21"/>
    <n v="21"/>
    <n v="2"/>
    <n v="3"/>
    <n v="21"/>
    <n v="21"/>
    <n v="7"/>
    <n v="7"/>
    <n v="7"/>
    <n v="7"/>
    <n v="7"/>
    <n v="28"/>
  </r>
  <r>
    <n v="24"/>
    <n v="24"/>
    <x v="1"/>
    <n v="0"/>
    <s v="Travel_Rarely"/>
    <n v="0"/>
    <n v="1"/>
    <x v="1"/>
    <n v="1"/>
    <n v="0"/>
    <n v="21"/>
    <n v="21"/>
    <n v="2"/>
    <s v="Technical Degree"/>
    <n v="0"/>
    <n v="0"/>
    <n v="0"/>
    <n v="0"/>
    <n v="1"/>
    <x v="1"/>
    <s v="Male"/>
    <n v="0"/>
    <n v="57"/>
    <n v="2"/>
    <n v="1"/>
    <s v="Laboratory Technician"/>
    <n v="0"/>
    <n v="0"/>
    <n v="1"/>
    <n v="0"/>
    <n v="0"/>
    <n v="0"/>
    <n v="0"/>
    <n v="0"/>
    <n v="1"/>
    <x v="2"/>
    <n v="0"/>
    <n v="0"/>
    <n v="2296"/>
    <n v="2296"/>
    <n v="0"/>
    <x v="1"/>
    <n v="0"/>
    <n v="14"/>
    <n v="3"/>
    <n v="2"/>
    <n v="3"/>
    <n v="2"/>
    <n v="2"/>
    <n v="3"/>
    <n v="3"/>
    <n v="1"/>
    <n v="1"/>
    <n v="1"/>
    <n v="0"/>
    <n v="0"/>
    <n v="0"/>
    <n v="0"/>
    <n v="0"/>
  </r>
  <r>
    <n v="40"/>
    <n v="40"/>
    <x v="1"/>
    <n v="0"/>
    <s v="Non-Travel"/>
    <n v="0"/>
    <n v="0"/>
    <x v="1"/>
    <n v="1"/>
    <n v="0"/>
    <n v="8"/>
    <n v="8"/>
    <n v="2"/>
    <s v="Life Sciences"/>
    <n v="1"/>
    <n v="0"/>
    <n v="0"/>
    <n v="0"/>
    <n v="0"/>
    <x v="2"/>
    <s v="Male"/>
    <n v="0"/>
    <n v="72"/>
    <n v="3"/>
    <n v="2"/>
    <s v="Healthcare Representative"/>
    <n v="1"/>
    <n v="0"/>
    <n v="0"/>
    <n v="0"/>
    <n v="0"/>
    <n v="0"/>
    <n v="0"/>
    <n v="0"/>
    <n v="4"/>
    <x v="2"/>
    <n v="0"/>
    <n v="0"/>
    <n v="4069"/>
    <n v="4069"/>
    <n v="3"/>
    <x v="0"/>
    <n v="1"/>
    <n v="18"/>
    <n v="3"/>
    <n v="3"/>
    <n v="0"/>
    <n v="8"/>
    <n v="8"/>
    <n v="2"/>
    <n v="3"/>
    <n v="2"/>
    <n v="2"/>
    <n v="2"/>
    <n v="2"/>
    <n v="2"/>
    <n v="2"/>
    <n v="2"/>
    <n v="4"/>
  </r>
  <r>
    <n v="45"/>
    <n v="45"/>
    <x v="1"/>
    <n v="0"/>
    <s v="Travel_Rarely"/>
    <n v="0"/>
    <n v="1"/>
    <x v="1"/>
    <n v="1"/>
    <n v="0"/>
    <n v="1"/>
    <n v="1"/>
    <n v="4"/>
    <s v="Technical Degree"/>
    <n v="0"/>
    <n v="0"/>
    <n v="0"/>
    <n v="0"/>
    <n v="1"/>
    <x v="3"/>
    <s v="Male"/>
    <n v="0"/>
    <n v="66"/>
    <n v="3"/>
    <n v="3"/>
    <s v="Healthcare Representative"/>
    <n v="1"/>
    <n v="0"/>
    <n v="0"/>
    <n v="0"/>
    <n v="0"/>
    <n v="0"/>
    <n v="0"/>
    <n v="0"/>
    <n v="2"/>
    <x v="2"/>
    <n v="0"/>
    <n v="0"/>
    <n v="7441"/>
    <n v="7441"/>
    <n v="1"/>
    <x v="1"/>
    <n v="0"/>
    <n v="12"/>
    <n v="3"/>
    <n v="1"/>
    <n v="3"/>
    <n v="10"/>
    <n v="10"/>
    <n v="4"/>
    <n v="3"/>
    <n v="10"/>
    <n v="10"/>
    <n v="8"/>
    <n v="7"/>
    <n v="7"/>
    <n v="7"/>
    <n v="7"/>
    <n v="21"/>
  </r>
  <r>
    <n v="35"/>
    <n v="35"/>
    <x v="1"/>
    <n v="0"/>
    <s v="Travel_Rarely"/>
    <n v="0"/>
    <n v="1"/>
    <x v="0"/>
    <n v="0"/>
    <n v="1"/>
    <n v="28"/>
    <n v="28"/>
    <n v="4"/>
    <s v="Life Sciences"/>
    <n v="1"/>
    <n v="0"/>
    <n v="0"/>
    <n v="0"/>
    <n v="0"/>
    <x v="0"/>
    <s v="Female"/>
    <n v="1"/>
    <n v="98"/>
    <n v="2"/>
    <n v="1"/>
    <s v="Sales Representative"/>
    <n v="0"/>
    <n v="0"/>
    <n v="0"/>
    <n v="0"/>
    <n v="0"/>
    <n v="0"/>
    <n v="1"/>
    <n v="0"/>
    <n v="3"/>
    <x v="1"/>
    <n v="0"/>
    <n v="1"/>
    <n v="2430"/>
    <n v="2430"/>
    <n v="0"/>
    <x v="1"/>
    <n v="0"/>
    <n v="23"/>
    <n v="4"/>
    <n v="1"/>
    <n v="2"/>
    <n v="6"/>
    <n v="6"/>
    <n v="5"/>
    <n v="3"/>
    <n v="5"/>
    <n v="5"/>
    <n v="3"/>
    <n v="4"/>
    <n v="4"/>
    <n v="2"/>
    <n v="2"/>
    <n v="2"/>
  </r>
  <r>
    <n v="32"/>
    <n v="32"/>
    <x v="1"/>
    <n v="0"/>
    <s v="Travel_Rarely"/>
    <n v="0"/>
    <n v="1"/>
    <x v="1"/>
    <n v="1"/>
    <n v="0"/>
    <n v="5"/>
    <n v="5"/>
    <n v="2"/>
    <s v="Life Sciences"/>
    <n v="1"/>
    <n v="0"/>
    <n v="0"/>
    <n v="0"/>
    <n v="0"/>
    <x v="2"/>
    <s v="Female"/>
    <n v="1"/>
    <n v="67"/>
    <n v="2"/>
    <n v="2"/>
    <s v="Research Scientist"/>
    <n v="0"/>
    <n v="0"/>
    <n v="0"/>
    <n v="0"/>
    <n v="0"/>
    <n v="0"/>
    <n v="0"/>
    <n v="1"/>
    <n v="2"/>
    <x v="1"/>
    <n v="0"/>
    <n v="1"/>
    <n v="5878"/>
    <n v="5878"/>
    <n v="3"/>
    <x v="1"/>
    <n v="0"/>
    <n v="12"/>
    <n v="3"/>
    <n v="1"/>
    <n v="1"/>
    <n v="12"/>
    <n v="12"/>
    <n v="2"/>
    <n v="3"/>
    <n v="7"/>
    <n v="7"/>
    <n v="1"/>
    <n v="2"/>
    <n v="2"/>
    <n v="5"/>
    <n v="5"/>
    <n v="10"/>
  </r>
  <r>
    <n v="36"/>
    <n v="36"/>
    <x v="1"/>
    <n v="0"/>
    <s v="Travel_Rarely"/>
    <n v="0"/>
    <n v="1"/>
    <x v="0"/>
    <n v="0"/>
    <n v="1"/>
    <n v="2"/>
    <n v="2"/>
    <n v="4"/>
    <s v="Life Sciences"/>
    <n v="1"/>
    <n v="0"/>
    <n v="0"/>
    <n v="0"/>
    <n v="0"/>
    <x v="1"/>
    <s v="Male"/>
    <n v="0"/>
    <n v="70"/>
    <n v="3"/>
    <n v="1"/>
    <s v="Sales Representative"/>
    <n v="0"/>
    <n v="0"/>
    <n v="0"/>
    <n v="0"/>
    <n v="0"/>
    <n v="0"/>
    <n v="1"/>
    <n v="0"/>
    <n v="4"/>
    <x v="0"/>
    <n v="1"/>
    <n v="0"/>
    <n v="2644"/>
    <n v="2644"/>
    <n v="3"/>
    <x v="0"/>
    <n v="1"/>
    <n v="21"/>
    <n v="4"/>
    <n v="4"/>
    <n v="0"/>
    <n v="7"/>
    <n v="7"/>
    <n v="3"/>
    <n v="2"/>
    <n v="3"/>
    <n v="3"/>
    <n v="2"/>
    <n v="1"/>
    <n v="1"/>
    <n v="2"/>
    <n v="2"/>
    <n v="2"/>
  </r>
  <r>
    <n v="48"/>
    <n v="48"/>
    <x v="1"/>
    <n v="0"/>
    <s v="Travel_Rarely"/>
    <n v="0"/>
    <n v="1"/>
    <x v="0"/>
    <n v="0"/>
    <n v="1"/>
    <n v="16"/>
    <n v="16"/>
    <n v="4"/>
    <s v="Life Sciences"/>
    <n v="1"/>
    <n v="0"/>
    <n v="0"/>
    <n v="0"/>
    <n v="0"/>
    <x v="1"/>
    <s v="Female"/>
    <n v="1"/>
    <n v="96"/>
    <n v="3"/>
    <n v="2"/>
    <s v="Sales Executive"/>
    <n v="0"/>
    <n v="1"/>
    <n v="0"/>
    <n v="0"/>
    <n v="0"/>
    <n v="0"/>
    <n v="0"/>
    <n v="0"/>
    <n v="3"/>
    <x v="2"/>
    <n v="0"/>
    <n v="0"/>
    <n v="6439"/>
    <n v="6439"/>
    <n v="8"/>
    <x v="1"/>
    <n v="0"/>
    <n v="14"/>
    <n v="3"/>
    <n v="3"/>
    <n v="1"/>
    <n v="18"/>
    <n v="18"/>
    <n v="2"/>
    <n v="3"/>
    <n v="8"/>
    <n v="8"/>
    <n v="7"/>
    <n v="7"/>
    <n v="7"/>
    <n v="7"/>
    <n v="7"/>
    <n v="14"/>
  </r>
  <r>
    <n v="29"/>
    <n v="29"/>
    <x v="1"/>
    <n v="0"/>
    <s v="Travel_Rarely"/>
    <n v="0"/>
    <n v="1"/>
    <x v="1"/>
    <n v="1"/>
    <n v="0"/>
    <n v="9"/>
    <n v="9"/>
    <n v="3"/>
    <s v="Life Sciences"/>
    <n v="1"/>
    <n v="0"/>
    <n v="0"/>
    <n v="0"/>
    <n v="0"/>
    <x v="1"/>
    <s v="Male"/>
    <n v="0"/>
    <n v="91"/>
    <n v="4"/>
    <n v="1"/>
    <s v="Research Scientist"/>
    <n v="0"/>
    <n v="0"/>
    <n v="0"/>
    <n v="0"/>
    <n v="0"/>
    <n v="0"/>
    <n v="0"/>
    <n v="1"/>
    <n v="3"/>
    <x v="1"/>
    <n v="0"/>
    <n v="1"/>
    <n v="2451"/>
    <n v="2451"/>
    <n v="6"/>
    <x v="1"/>
    <n v="0"/>
    <n v="18"/>
    <n v="3"/>
    <n v="1"/>
    <n v="2"/>
    <n v="5"/>
    <n v="5"/>
    <n v="2"/>
    <n v="2"/>
    <n v="1"/>
    <n v="1"/>
    <n v="0"/>
    <n v="0"/>
    <n v="0"/>
    <n v="0"/>
    <n v="0"/>
    <n v="0"/>
  </r>
  <r>
    <n v="33"/>
    <n v="33"/>
    <x v="1"/>
    <n v="0"/>
    <s v="Travel_Rarely"/>
    <n v="0"/>
    <n v="1"/>
    <x v="0"/>
    <n v="0"/>
    <n v="1"/>
    <n v="8"/>
    <n v="8"/>
    <n v="4"/>
    <s v="Life Sciences"/>
    <n v="1"/>
    <n v="0"/>
    <n v="0"/>
    <n v="0"/>
    <n v="0"/>
    <x v="3"/>
    <s v="Male"/>
    <n v="0"/>
    <n v="46"/>
    <n v="3"/>
    <n v="2"/>
    <s v="Sales Executive"/>
    <n v="0"/>
    <n v="1"/>
    <n v="0"/>
    <n v="0"/>
    <n v="0"/>
    <n v="0"/>
    <n v="0"/>
    <n v="0"/>
    <n v="1"/>
    <x v="1"/>
    <n v="0"/>
    <n v="1"/>
    <n v="6392"/>
    <n v="6392"/>
    <n v="2"/>
    <x v="1"/>
    <n v="0"/>
    <n v="13"/>
    <n v="3"/>
    <n v="4"/>
    <n v="1"/>
    <n v="8"/>
    <n v="8"/>
    <n v="6"/>
    <n v="1"/>
    <n v="2"/>
    <n v="2"/>
    <n v="2"/>
    <n v="2"/>
    <n v="2"/>
    <n v="2"/>
    <n v="2"/>
    <n v="4"/>
  </r>
  <r>
    <n v="30"/>
    <n v="30"/>
    <x v="0"/>
    <n v="1"/>
    <s v="Travel_Rarely"/>
    <n v="0"/>
    <n v="1"/>
    <x v="0"/>
    <n v="0"/>
    <n v="1"/>
    <n v="1"/>
    <n v="1"/>
    <n v="3"/>
    <s v="Life Sciences"/>
    <n v="1"/>
    <n v="0"/>
    <n v="0"/>
    <n v="0"/>
    <n v="0"/>
    <x v="0"/>
    <s v="Male"/>
    <n v="0"/>
    <n v="64"/>
    <n v="2"/>
    <n v="2"/>
    <s v="Sales Executive"/>
    <n v="0"/>
    <n v="1"/>
    <n v="0"/>
    <n v="0"/>
    <n v="0"/>
    <n v="0"/>
    <n v="0"/>
    <n v="0"/>
    <n v="1"/>
    <x v="1"/>
    <n v="0"/>
    <n v="1"/>
    <n v="9714"/>
    <n v="9714"/>
    <n v="1"/>
    <x v="1"/>
    <n v="0"/>
    <n v="11"/>
    <n v="3"/>
    <n v="4"/>
    <n v="1"/>
    <n v="10"/>
    <n v="10"/>
    <n v="4"/>
    <n v="3"/>
    <n v="10"/>
    <n v="10"/>
    <n v="8"/>
    <n v="6"/>
    <n v="6"/>
    <n v="7"/>
    <n v="7"/>
    <n v="14"/>
  </r>
  <r>
    <n v="38"/>
    <n v="38"/>
    <x v="1"/>
    <n v="0"/>
    <s v="Travel_Frequently"/>
    <n v="1"/>
    <n v="0"/>
    <x v="2"/>
    <n v="0"/>
    <n v="0"/>
    <n v="10"/>
    <n v="10"/>
    <n v="4"/>
    <s v="Human Resources"/>
    <n v="0"/>
    <n v="0"/>
    <n v="0"/>
    <n v="0"/>
    <n v="0"/>
    <x v="1"/>
    <s v="Male"/>
    <n v="0"/>
    <n v="71"/>
    <n v="3"/>
    <n v="2"/>
    <s v="Human Resources"/>
    <n v="0"/>
    <n v="0"/>
    <n v="0"/>
    <n v="0"/>
    <n v="0"/>
    <n v="0"/>
    <n v="0"/>
    <n v="0"/>
    <n v="3"/>
    <x v="1"/>
    <n v="0"/>
    <n v="1"/>
    <n v="6077"/>
    <n v="6077"/>
    <n v="3"/>
    <x v="1"/>
    <n v="0"/>
    <n v="11"/>
    <n v="3"/>
    <n v="3"/>
    <n v="0"/>
    <n v="10"/>
    <n v="10"/>
    <n v="2"/>
    <n v="3"/>
    <n v="6"/>
    <n v="6"/>
    <n v="3"/>
    <n v="1"/>
    <n v="1"/>
    <n v="2"/>
    <n v="2"/>
    <n v="4"/>
  </r>
  <r>
    <n v="35"/>
    <n v="35"/>
    <x v="1"/>
    <n v="0"/>
    <s v="Travel_Rarely"/>
    <n v="0"/>
    <n v="1"/>
    <x v="1"/>
    <n v="1"/>
    <n v="0"/>
    <n v="1"/>
    <n v="1"/>
    <n v="3"/>
    <s v="Medical"/>
    <n v="0"/>
    <n v="0"/>
    <n v="1"/>
    <n v="0"/>
    <n v="0"/>
    <x v="2"/>
    <s v="Male"/>
    <n v="0"/>
    <n v="68"/>
    <n v="2"/>
    <n v="1"/>
    <s v="Laboratory Technician"/>
    <n v="0"/>
    <n v="0"/>
    <n v="1"/>
    <n v="0"/>
    <n v="0"/>
    <n v="0"/>
    <n v="0"/>
    <n v="0"/>
    <n v="1"/>
    <x v="0"/>
    <n v="1"/>
    <n v="0"/>
    <n v="2450"/>
    <n v="2450"/>
    <n v="1"/>
    <x v="1"/>
    <n v="0"/>
    <n v="19"/>
    <n v="3"/>
    <n v="2"/>
    <n v="0"/>
    <n v="3"/>
    <n v="3"/>
    <n v="3"/>
    <n v="3"/>
    <n v="3"/>
    <n v="3"/>
    <n v="0"/>
    <n v="1"/>
    <n v="1"/>
    <n v="2"/>
    <n v="2"/>
    <n v="2"/>
  </r>
  <r>
    <n v="30"/>
    <n v="30"/>
    <x v="1"/>
    <n v="0"/>
    <s v="Travel_Rarely"/>
    <n v="0"/>
    <n v="1"/>
    <x v="0"/>
    <n v="0"/>
    <n v="1"/>
    <n v="29"/>
    <n v="29"/>
    <n v="4"/>
    <s v="Technical Degree"/>
    <n v="0"/>
    <n v="0"/>
    <n v="0"/>
    <n v="0"/>
    <n v="1"/>
    <x v="1"/>
    <s v="Male"/>
    <n v="0"/>
    <n v="33"/>
    <n v="3"/>
    <n v="3"/>
    <s v="Sales Executive"/>
    <n v="0"/>
    <n v="1"/>
    <n v="0"/>
    <n v="0"/>
    <n v="0"/>
    <n v="0"/>
    <n v="0"/>
    <n v="0"/>
    <n v="2"/>
    <x v="1"/>
    <n v="0"/>
    <n v="1"/>
    <n v="9250"/>
    <n v="9250"/>
    <n v="3"/>
    <x v="1"/>
    <n v="0"/>
    <n v="12"/>
    <n v="3"/>
    <n v="2"/>
    <n v="1"/>
    <n v="9"/>
    <n v="9"/>
    <n v="3"/>
    <n v="3"/>
    <n v="4"/>
    <n v="4"/>
    <n v="2"/>
    <n v="1"/>
    <n v="1"/>
    <n v="3"/>
    <n v="3"/>
    <n v="9"/>
  </r>
  <r>
    <n v="35"/>
    <n v="35"/>
    <x v="0"/>
    <n v="1"/>
    <s v="Travel_Rarely"/>
    <n v="0"/>
    <n v="1"/>
    <x v="1"/>
    <n v="1"/>
    <n v="0"/>
    <n v="2"/>
    <n v="2"/>
    <n v="3"/>
    <s v="Life Sciences"/>
    <n v="1"/>
    <n v="0"/>
    <n v="0"/>
    <n v="0"/>
    <n v="0"/>
    <x v="3"/>
    <s v="Female"/>
    <n v="1"/>
    <n v="69"/>
    <n v="3"/>
    <n v="1"/>
    <s v="Laboratory Technician"/>
    <n v="0"/>
    <n v="0"/>
    <n v="1"/>
    <n v="0"/>
    <n v="0"/>
    <n v="0"/>
    <n v="0"/>
    <n v="0"/>
    <n v="1"/>
    <x v="2"/>
    <n v="0"/>
    <n v="0"/>
    <n v="2074"/>
    <n v="2074"/>
    <n v="1"/>
    <x v="0"/>
    <n v="1"/>
    <n v="12"/>
    <n v="3"/>
    <n v="4"/>
    <n v="1"/>
    <n v="1"/>
    <n v="1"/>
    <n v="2"/>
    <n v="3"/>
    <n v="1"/>
    <n v="1"/>
    <n v="0"/>
    <n v="0"/>
    <n v="0"/>
    <n v="0"/>
    <n v="0"/>
    <n v="0"/>
  </r>
  <r>
    <n v="53"/>
    <n v="53"/>
    <x v="0"/>
    <n v="1"/>
    <s v="Travel_Rarely"/>
    <n v="0"/>
    <n v="1"/>
    <x v="1"/>
    <n v="1"/>
    <n v="0"/>
    <n v="2"/>
    <n v="2"/>
    <n v="5"/>
    <s v="Technical Degree"/>
    <n v="0"/>
    <n v="0"/>
    <n v="0"/>
    <n v="0"/>
    <n v="1"/>
    <x v="1"/>
    <s v="Female"/>
    <n v="1"/>
    <n v="78"/>
    <n v="2"/>
    <n v="3"/>
    <s v="Manufacturing Director"/>
    <n v="0"/>
    <n v="0"/>
    <n v="0"/>
    <n v="0"/>
    <n v="1"/>
    <n v="1"/>
    <n v="0"/>
    <n v="0"/>
    <n v="4"/>
    <x v="1"/>
    <n v="0"/>
    <n v="1"/>
    <n v="10169"/>
    <n v="10169"/>
    <n v="0"/>
    <x v="1"/>
    <n v="0"/>
    <n v="16"/>
    <n v="3"/>
    <n v="2"/>
    <n v="1"/>
    <n v="34"/>
    <n v="34"/>
    <n v="4"/>
    <n v="3"/>
    <n v="33"/>
    <n v="31"/>
    <n v="7"/>
    <n v="1"/>
    <n v="1"/>
    <n v="9"/>
    <n v="9"/>
    <n v="27"/>
  </r>
  <r>
    <n v="38"/>
    <n v="38"/>
    <x v="0"/>
    <n v="1"/>
    <s v="Travel_Rarely"/>
    <n v="0"/>
    <n v="1"/>
    <x v="1"/>
    <n v="1"/>
    <n v="0"/>
    <n v="2"/>
    <n v="2"/>
    <n v="3"/>
    <s v="Medical"/>
    <n v="0"/>
    <n v="0"/>
    <n v="1"/>
    <n v="0"/>
    <n v="0"/>
    <x v="1"/>
    <s v="Male"/>
    <n v="0"/>
    <n v="81"/>
    <n v="3"/>
    <n v="2"/>
    <s v="Manufacturing Director"/>
    <n v="0"/>
    <n v="0"/>
    <n v="0"/>
    <n v="0"/>
    <n v="1"/>
    <n v="1"/>
    <n v="0"/>
    <n v="0"/>
    <n v="2"/>
    <x v="1"/>
    <n v="0"/>
    <n v="1"/>
    <n v="4855"/>
    <n v="4855"/>
    <n v="4"/>
    <x v="1"/>
    <n v="0"/>
    <n v="11"/>
    <n v="3"/>
    <n v="1"/>
    <n v="2"/>
    <n v="7"/>
    <n v="7"/>
    <n v="2"/>
    <n v="3"/>
    <n v="5"/>
    <n v="5"/>
    <n v="2"/>
    <n v="1"/>
    <n v="1"/>
    <n v="4"/>
    <n v="4"/>
    <n v="8"/>
  </r>
  <r>
    <n v="32"/>
    <n v="32"/>
    <x v="1"/>
    <n v="0"/>
    <s v="Non-Travel"/>
    <n v="0"/>
    <n v="0"/>
    <x v="1"/>
    <n v="1"/>
    <n v="0"/>
    <n v="1"/>
    <n v="1"/>
    <n v="4"/>
    <s v="Technical Degree"/>
    <n v="0"/>
    <n v="0"/>
    <n v="0"/>
    <n v="0"/>
    <n v="1"/>
    <x v="2"/>
    <s v="Male"/>
    <n v="0"/>
    <n v="62"/>
    <n v="3"/>
    <n v="2"/>
    <s v="Research Scientist"/>
    <n v="0"/>
    <n v="0"/>
    <n v="0"/>
    <n v="0"/>
    <n v="0"/>
    <n v="0"/>
    <n v="0"/>
    <n v="1"/>
    <n v="1"/>
    <x v="1"/>
    <n v="0"/>
    <n v="1"/>
    <n v="4087"/>
    <n v="4087"/>
    <n v="4"/>
    <x v="1"/>
    <n v="0"/>
    <n v="14"/>
    <n v="3"/>
    <n v="2"/>
    <n v="1"/>
    <n v="9"/>
    <n v="9"/>
    <n v="3"/>
    <n v="2"/>
    <n v="6"/>
    <n v="6"/>
    <n v="5"/>
    <n v="1"/>
    <n v="1"/>
    <n v="2"/>
    <n v="2"/>
    <n v="4"/>
  </r>
  <r>
    <n v="48"/>
    <n v="48"/>
    <x v="1"/>
    <n v="0"/>
    <s v="Travel_Rarely"/>
    <n v="0"/>
    <n v="1"/>
    <x v="1"/>
    <n v="1"/>
    <n v="0"/>
    <n v="15"/>
    <n v="15"/>
    <n v="4"/>
    <s v="Other"/>
    <n v="0"/>
    <n v="1"/>
    <n v="0"/>
    <n v="0"/>
    <n v="0"/>
    <x v="1"/>
    <s v="Female"/>
    <n v="1"/>
    <n v="65"/>
    <n v="3"/>
    <n v="1"/>
    <s v="Research Scientist"/>
    <n v="0"/>
    <n v="0"/>
    <n v="0"/>
    <n v="0"/>
    <n v="0"/>
    <n v="0"/>
    <n v="0"/>
    <n v="1"/>
    <n v="1"/>
    <x v="1"/>
    <n v="0"/>
    <n v="1"/>
    <n v="2367"/>
    <n v="2367"/>
    <n v="8"/>
    <x v="1"/>
    <n v="0"/>
    <n v="12"/>
    <n v="3"/>
    <n v="4"/>
    <n v="1"/>
    <n v="10"/>
    <n v="10"/>
    <n v="3"/>
    <n v="2"/>
    <n v="8"/>
    <n v="8"/>
    <n v="2"/>
    <n v="7"/>
    <n v="7"/>
    <n v="6"/>
    <n v="6"/>
    <n v="6"/>
  </r>
  <r>
    <n v="34"/>
    <n v="34"/>
    <x v="1"/>
    <n v="0"/>
    <s v="Travel_Rarely"/>
    <n v="0"/>
    <n v="1"/>
    <x v="1"/>
    <n v="1"/>
    <n v="0"/>
    <n v="7"/>
    <n v="7"/>
    <n v="4"/>
    <s v="Medical"/>
    <n v="0"/>
    <n v="0"/>
    <n v="1"/>
    <n v="0"/>
    <n v="0"/>
    <x v="3"/>
    <s v="Male"/>
    <n v="0"/>
    <n v="35"/>
    <n v="3"/>
    <n v="1"/>
    <s v="Research Scientist"/>
    <n v="0"/>
    <n v="0"/>
    <n v="0"/>
    <n v="0"/>
    <n v="0"/>
    <n v="0"/>
    <n v="0"/>
    <n v="1"/>
    <n v="4"/>
    <x v="0"/>
    <n v="1"/>
    <n v="0"/>
    <n v="2972"/>
    <n v="2972"/>
    <n v="1"/>
    <x v="1"/>
    <n v="0"/>
    <n v="13"/>
    <n v="3"/>
    <n v="3"/>
    <n v="0"/>
    <n v="1"/>
    <n v="1"/>
    <n v="4"/>
    <n v="1"/>
    <n v="1"/>
    <n v="1"/>
    <n v="0"/>
    <n v="0"/>
    <n v="0"/>
    <n v="0"/>
    <n v="0"/>
    <n v="0"/>
  </r>
  <r>
    <n v="55"/>
    <n v="55"/>
    <x v="1"/>
    <n v="0"/>
    <s v="Travel_Rarely"/>
    <n v="0"/>
    <n v="1"/>
    <x v="0"/>
    <n v="0"/>
    <n v="1"/>
    <n v="26"/>
    <n v="26"/>
    <n v="5"/>
    <s v="Marketing"/>
    <n v="0"/>
    <n v="0"/>
    <n v="0"/>
    <n v="1"/>
    <n v="0"/>
    <x v="1"/>
    <s v="Male"/>
    <n v="0"/>
    <n v="60"/>
    <n v="2"/>
    <n v="5"/>
    <s v="Manager"/>
    <n v="0"/>
    <n v="0"/>
    <n v="0"/>
    <n v="1"/>
    <n v="0"/>
    <n v="0"/>
    <n v="0"/>
    <n v="0"/>
    <n v="4"/>
    <x v="1"/>
    <n v="0"/>
    <n v="1"/>
    <n v="19586"/>
    <n v="19586"/>
    <n v="1"/>
    <x v="1"/>
    <n v="0"/>
    <n v="21"/>
    <n v="4"/>
    <n v="3"/>
    <n v="1"/>
    <n v="36"/>
    <n v="35"/>
    <n v="3"/>
    <n v="3"/>
    <n v="36"/>
    <n v="31"/>
    <n v="6"/>
    <n v="2"/>
    <n v="2"/>
    <n v="13"/>
    <n v="13"/>
    <n v="65"/>
  </r>
  <r>
    <n v="34"/>
    <n v="34"/>
    <x v="1"/>
    <n v="0"/>
    <s v="Travel_Rarely"/>
    <n v="0"/>
    <n v="1"/>
    <x v="1"/>
    <n v="1"/>
    <n v="0"/>
    <n v="1"/>
    <n v="1"/>
    <n v="4"/>
    <s v="Life Sciences"/>
    <n v="1"/>
    <n v="0"/>
    <n v="0"/>
    <n v="0"/>
    <n v="0"/>
    <x v="0"/>
    <s v="Male"/>
    <n v="0"/>
    <n v="45"/>
    <n v="3"/>
    <n v="2"/>
    <s v="Research Scientist"/>
    <n v="0"/>
    <n v="0"/>
    <n v="0"/>
    <n v="0"/>
    <n v="0"/>
    <n v="0"/>
    <n v="0"/>
    <n v="1"/>
    <n v="4"/>
    <x v="1"/>
    <n v="0"/>
    <n v="1"/>
    <n v="5484"/>
    <n v="5484"/>
    <n v="9"/>
    <x v="1"/>
    <n v="0"/>
    <n v="17"/>
    <n v="3"/>
    <n v="2"/>
    <n v="1"/>
    <n v="9"/>
    <n v="9"/>
    <n v="3"/>
    <n v="2"/>
    <n v="2"/>
    <n v="2"/>
    <n v="2"/>
    <n v="2"/>
    <n v="2"/>
    <n v="1"/>
    <n v="1"/>
    <n v="2"/>
  </r>
  <r>
    <n v="26"/>
    <n v="26"/>
    <x v="1"/>
    <n v="0"/>
    <s v="Travel_Rarely"/>
    <n v="0"/>
    <n v="1"/>
    <x v="1"/>
    <n v="1"/>
    <n v="0"/>
    <n v="3"/>
    <n v="3"/>
    <n v="3"/>
    <s v="Life Sciences"/>
    <n v="1"/>
    <n v="0"/>
    <n v="0"/>
    <n v="0"/>
    <n v="0"/>
    <x v="3"/>
    <s v="Female"/>
    <n v="1"/>
    <n v="89"/>
    <n v="3"/>
    <n v="1"/>
    <s v="Research Scientist"/>
    <n v="0"/>
    <n v="0"/>
    <n v="0"/>
    <n v="0"/>
    <n v="0"/>
    <n v="0"/>
    <n v="0"/>
    <n v="1"/>
    <n v="4"/>
    <x v="1"/>
    <n v="0"/>
    <n v="1"/>
    <n v="2061"/>
    <n v="2061"/>
    <n v="1"/>
    <x v="1"/>
    <n v="0"/>
    <n v="21"/>
    <n v="4"/>
    <n v="1"/>
    <n v="0"/>
    <n v="1"/>
    <n v="1"/>
    <n v="5"/>
    <n v="3"/>
    <n v="1"/>
    <n v="1"/>
    <n v="0"/>
    <n v="0"/>
    <n v="0"/>
    <n v="0"/>
    <n v="0"/>
    <n v="0"/>
  </r>
  <r>
    <n v="38"/>
    <n v="38"/>
    <x v="1"/>
    <n v="0"/>
    <s v="Travel_Rarely"/>
    <n v="0"/>
    <n v="1"/>
    <x v="0"/>
    <n v="0"/>
    <n v="1"/>
    <n v="14"/>
    <n v="14"/>
    <n v="3"/>
    <s v="Life Sciences"/>
    <n v="1"/>
    <n v="0"/>
    <n v="0"/>
    <n v="0"/>
    <n v="0"/>
    <x v="1"/>
    <s v="Male"/>
    <n v="0"/>
    <n v="80"/>
    <n v="3"/>
    <n v="2"/>
    <s v="Sales Executive"/>
    <n v="0"/>
    <n v="1"/>
    <n v="0"/>
    <n v="0"/>
    <n v="0"/>
    <n v="0"/>
    <n v="0"/>
    <n v="0"/>
    <n v="2"/>
    <x v="1"/>
    <n v="0"/>
    <n v="1"/>
    <n v="9924"/>
    <n v="9924"/>
    <n v="0"/>
    <x v="1"/>
    <n v="0"/>
    <n v="11"/>
    <n v="3"/>
    <n v="4"/>
    <n v="1"/>
    <n v="10"/>
    <n v="10"/>
    <n v="3"/>
    <n v="3"/>
    <n v="9"/>
    <n v="9"/>
    <n v="8"/>
    <n v="7"/>
    <n v="7"/>
    <n v="7"/>
    <n v="7"/>
    <n v="14"/>
  </r>
  <r>
    <n v="38"/>
    <n v="38"/>
    <x v="1"/>
    <n v="0"/>
    <s v="Travel_Rarely"/>
    <n v="0"/>
    <n v="1"/>
    <x v="0"/>
    <n v="0"/>
    <n v="1"/>
    <n v="16"/>
    <n v="16"/>
    <n v="3"/>
    <s v="Life Sciences"/>
    <n v="1"/>
    <n v="0"/>
    <n v="0"/>
    <n v="0"/>
    <n v="0"/>
    <x v="0"/>
    <s v="Female"/>
    <n v="1"/>
    <n v="90"/>
    <n v="3"/>
    <n v="2"/>
    <s v="Sales Executive"/>
    <n v="0"/>
    <n v="1"/>
    <n v="0"/>
    <n v="0"/>
    <n v="0"/>
    <n v="0"/>
    <n v="0"/>
    <n v="0"/>
    <n v="2"/>
    <x v="0"/>
    <n v="1"/>
    <n v="0"/>
    <n v="4198"/>
    <n v="4198"/>
    <n v="2"/>
    <x v="1"/>
    <n v="0"/>
    <n v="12"/>
    <n v="3"/>
    <n v="2"/>
    <n v="0"/>
    <n v="8"/>
    <n v="8"/>
    <n v="5"/>
    <n v="4"/>
    <n v="3"/>
    <n v="3"/>
    <n v="2"/>
    <n v="1"/>
    <n v="1"/>
    <n v="2"/>
    <n v="2"/>
    <n v="4"/>
  </r>
  <r>
    <n v="36"/>
    <n v="36"/>
    <x v="1"/>
    <n v="0"/>
    <s v="Travel_Rarely"/>
    <n v="0"/>
    <n v="1"/>
    <x v="0"/>
    <n v="0"/>
    <n v="1"/>
    <n v="1"/>
    <n v="1"/>
    <n v="4"/>
    <s v="Life Sciences"/>
    <n v="1"/>
    <n v="0"/>
    <n v="0"/>
    <n v="0"/>
    <n v="0"/>
    <x v="0"/>
    <s v="Female"/>
    <n v="1"/>
    <n v="73"/>
    <n v="3"/>
    <n v="2"/>
    <s v="Sales Executive"/>
    <n v="0"/>
    <n v="1"/>
    <n v="0"/>
    <n v="0"/>
    <n v="0"/>
    <n v="0"/>
    <n v="0"/>
    <n v="0"/>
    <n v="3"/>
    <x v="0"/>
    <n v="1"/>
    <n v="0"/>
    <n v="6815"/>
    <n v="6815"/>
    <n v="6"/>
    <x v="1"/>
    <n v="0"/>
    <n v="13"/>
    <n v="3"/>
    <n v="1"/>
    <n v="0"/>
    <n v="15"/>
    <n v="15"/>
    <n v="5"/>
    <n v="3"/>
    <n v="1"/>
    <n v="1"/>
    <n v="0"/>
    <n v="0"/>
    <n v="0"/>
    <n v="0"/>
    <n v="0"/>
    <n v="0"/>
  </r>
  <r>
    <n v="29"/>
    <n v="29"/>
    <x v="1"/>
    <n v="0"/>
    <s v="Travel_Rarely"/>
    <n v="0"/>
    <n v="1"/>
    <x v="1"/>
    <n v="1"/>
    <n v="0"/>
    <n v="3"/>
    <n v="3"/>
    <n v="1"/>
    <s v="Medical"/>
    <n v="0"/>
    <n v="0"/>
    <n v="1"/>
    <n v="0"/>
    <n v="0"/>
    <x v="0"/>
    <s v="Male"/>
    <n v="0"/>
    <n v="87"/>
    <n v="3"/>
    <n v="1"/>
    <s v="Laboratory Technician"/>
    <n v="0"/>
    <n v="0"/>
    <n v="1"/>
    <n v="0"/>
    <n v="0"/>
    <n v="0"/>
    <n v="0"/>
    <n v="0"/>
    <n v="1"/>
    <x v="0"/>
    <n v="1"/>
    <n v="0"/>
    <n v="4723"/>
    <n v="4723"/>
    <n v="1"/>
    <x v="0"/>
    <n v="1"/>
    <n v="18"/>
    <n v="3"/>
    <n v="4"/>
    <n v="0"/>
    <n v="10"/>
    <n v="10"/>
    <n v="3"/>
    <n v="3"/>
    <n v="10"/>
    <n v="10"/>
    <n v="9"/>
    <n v="1"/>
    <n v="1"/>
    <n v="5"/>
    <n v="5"/>
    <n v="5"/>
  </r>
  <r>
    <n v="35"/>
    <n v="35"/>
    <x v="1"/>
    <n v="0"/>
    <s v="Travel_Rarely"/>
    <n v="0"/>
    <n v="1"/>
    <x v="1"/>
    <n v="1"/>
    <n v="0"/>
    <n v="10"/>
    <n v="10"/>
    <n v="4"/>
    <s v="Medical"/>
    <n v="0"/>
    <n v="0"/>
    <n v="1"/>
    <n v="0"/>
    <n v="0"/>
    <x v="3"/>
    <s v="Female"/>
    <n v="1"/>
    <n v="51"/>
    <n v="3"/>
    <n v="2"/>
    <s v="Healthcare Representative"/>
    <n v="1"/>
    <n v="0"/>
    <n v="0"/>
    <n v="0"/>
    <n v="0"/>
    <n v="0"/>
    <n v="0"/>
    <n v="0"/>
    <n v="3"/>
    <x v="0"/>
    <n v="1"/>
    <n v="0"/>
    <n v="6142"/>
    <n v="6142"/>
    <n v="3"/>
    <x v="0"/>
    <n v="1"/>
    <n v="16"/>
    <n v="3"/>
    <n v="3"/>
    <n v="0"/>
    <n v="10"/>
    <n v="10"/>
    <n v="4"/>
    <n v="3"/>
    <n v="5"/>
    <n v="5"/>
    <n v="2"/>
    <n v="0"/>
    <n v="0"/>
    <n v="4"/>
    <n v="4"/>
    <n v="8"/>
  </r>
  <r>
    <n v="39"/>
    <n v="39"/>
    <x v="1"/>
    <n v="0"/>
    <s v="Travel_Rarely"/>
    <n v="0"/>
    <n v="1"/>
    <x v="0"/>
    <n v="0"/>
    <n v="1"/>
    <n v="6"/>
    <n v="6"/>
    <n v="3"/>
    <s v="Medical"/>
    <n v="0"/>
    <n v="0"/>
    <n v="1"/>
    <n v="0"/>
    <n v="0"/>
    <x v="2"/>
    <s v="Male"/>
    <n v="0"/>
    <n v="38"/>
    <n v="4"/>
    <n v="3"/>
    <s v="Sales Executive"/>
    <n v="0"/>
    <n v="1"/>
    <n v="0"/>
    <n v="0"/>
    <n v="0"/>
    <n v="0"/>
    <n v="0"/>
    <n v="0"/>
    <n v="3"/>
    <x v="1"/>
    <n v="0"/>
    <n v="1"/>
    <n v="8237"/>
    <n v="8237"/>
    <n v="2"/>
    <x v="1"/>
    <n v="0"/>
    <n v="11"/>
    <n v="3"/>
    <n v="1"/>
    <n v="1"/>
    <n v="11"/>
    <n v="11"/>
    <n v="3"/>
    <n v="3"/>
    <n v="7"/>
    <n v="7"/>
    <n v="6"/>
    <n v="7"/>
    <n v="7"/>
    <n v="6"/>
    <n v="6"/>
    <n v="18"/>
  </r>
  <r>
    <n v="29"/>
    <n v="29"/>
    <x v="1"/>
    <n v="0"/>
    <s v="Travel_Frequently"/>
    <n v="1"/>
    <n v="0"/>
    <x v="1"/>
    <n v="1"/>
    <n v="0"/>
    <n v="2"/>
    <n v="2"/>
    <n v="1"/>
    <s v="Life Sciences"/>
    <n v="1"/>
    <n v="0"/>
    <n v="0"/>
    <n v="0"/>
    <n v="0"/>
    <x v="3"/>
    <s v="Male"/>
    <n v="0"/>
    <n v="87"/>
    <n v="3"/>
    <n v="2"/>
    <s v="Healthcare Representative"/>
    <n v="1"/>
    <n v="0"/>
    <n v="0"/>
    <n v="0"/>
    <n v="0"/>
    <n v="0"/>
    <n v="0"/>
    <n v="0"/>
    <n v="4"/>
    <x v="2"/>
    <n v="0"/>
    <n v="0"/>
    <n v="8853"/>
    <n v="8853"/>
    <n v="1"/>
    <x v="1"/>
    <n v="0"/>
    <n v="19"/>
    <n v="3"/>
    <n v="4"/>
    <n v="1"/>
    <n v="6"/>
    <n v="6"/>
    <n v="0"/>
    <n v="4"/>
    <n v="6"/>
    <n v="6"/>
    <n v="4"/>
    <n v="1"/>
    <n v="1"/>
    <n v="3"/>
    <n v="3"/>
    <n v="6"/>
  </r>
  <r>
    <n v="50"/>
    <n v="50"/>
    <x v="1"/>
    <n v="0"/>
    <s v="Travel_Rarely"/>
    <n v="0"/>
    <n v="1"/>
    <x v="0"/>
    <n v="0"/>
    <n v="1"/>
    <n v="9"/>
    <n v="9"/>
    <n v="3"/>
    <s v="Marketing"/>
    <n v="0"/>
    <n v="0"/>
    <n v="0"/>
    <n v="1"/>
    <n v="0"/>
    <x v="1"/>
    <s v="Male"/>
    <n v="0"/>
    <n v="59"/>
    <n v="3"/>
    <n v="5"/>
    <s v="Manager"/>
    <n v="0"/>
    <n v="0"/>
    <n v="0"/>
    <n v="1"/>
    <n v="0"/>
    <n v="0"/>
    <n v="0"/>
    <n v="0"/>
    <n v="3"/>
    <x v="1"/>
    <n v="0"/>
    <n v="1"/>
    <n v="19331"/>
    <n v="19331"/>
    <n v="4"/>
    <x v="0"/>
    <n v="1"/>
    <n v="16"/>
    <n v="3"/>
    <n v="3"/>
    <n v="1"/>
    <n v="27"/>
    <n v="27"/>
    <n v="2"/>
    <n v="3"/>
    <n v="1"/>
    <n v="1"/>
    <n v="0"/>
    <n v="0"/>
    <n v="0"/>
    <n v="0"/>
    <n v="0"/>
    <n v="0"/>
  </r>
  <r>
    <n v="23"/>
    <n v="23"/>
    <x v="1"/>
    <n v="0"/>
    <s v="Travel_Rarely"/>
    <n v="0"/>
    <n v="1"/>
    <x v="1"/>
    <n v="1"/>
    <n v="0"/>
    <n v="10"/>
    <n v="10"/>
    <n v="3"/>
    <s v="Technical Degree"/>
    <n v="0"/>
    <n v="0"/>
    <n v="0"/>
    <n v="0"/>
    <n v="1"/>
    <x v="2"/>
    <s v="Male"/>
    <n v="0"/>
    <n v="45"/>
    <n v="4"/>
    <n v="1"/>
    <s v="Research Scientist"/>
    <n v="0"/>
    <n v="0"/>
    <n v="0"/>
    <n v="0"/>
    <n v="0"/>
    <n v="0"/>
    <n v="0"/>
    <n v="1"/>
    <n v="3"/>
    <x v="1"/>
    <n v="0"/>
    <n v="1"/>
    <n v="2073"/>
    <n v="2073"/>
    <n v="2"/>
    <x v="1"/>
    <n v="0"/>
    <n v="16"/>
    <n v="3"/>
    <n v="4"/>
    <n v="1"/>
    <n v="4"/>
    <n v="4"/>
    <n v="2"/>
    <n v="3"/>
    <n v="2"/>
    <n v="2"/>
    <n v="2"/>
    <n v="2"/>
    <n v="2"/>
    <n v="2"/>
    <n v="2"/>
    <n v="2"/>
  </r>
  <r>
    <n v="36"/>
    <n v="36"/>
    <x v="1"/>
    <n v="0"/>
    <s v="Travel_Frequently"/>
    <n v="1"/>
    <n v="0"/>
    <x v="1"/>
    <n v="1"/>
    <n v="0"/>
    <n v="6"/>
    <n v="6"/>
    <n v="4"/>
    <s v="Life Sciences"/>
    <n v="1"/>
    <n v="0"/>
    <n v="0"/>
    <n v="0"/>
    <n v="0"/>
    <x v="3"/>
    <s v="Male"/>
    <n v="0"/>
    <n v="80"/>
    <n v="4"/>
    <n v="2"/>
    <s v="Laboratory Technician"/>
    <n v="0"/>
    <n v="0"/>
    <n v="1"/>
    <n v="0"/>
    <n v="0"/>
    <n v="0"/>
    <n v="0"/>
    <n v="0"/>
    <n v="1"/>
    <x v="1"/>
    <n v="0"/>
    <n v="1"/>
    <n v="5562"/>
    <n v="5562"/>
    <n v="3"/>
    <x v="0"/>
    <n v="1"/>
    <n v="13"/>
    <n v="3"/>
    <n v="4"/>
    <n v="1"/>
    <n v="9"/>
    <n v="9"/>
    <n v="3"/>
    <n v="3"/>
    <n v="3"/>
    <n v="3"/>
    <n v="2"/>
    <n v="0"/>
    <n v="0"/>
    <n v="2"/>
    <n v="2"/>
    <n v="4"/>
  </r>
  <r>
    <n v="42"/>
    <n v="42"/>
    <x v="1"/>
    <n v="0"/>
    <s v="Travel_Rarely"/>
    <n v="0"/>
    <n v="1"/>
    <x v="1"/>
    <n v="1"/>
    <n v="0"/>
    <n v="9"/>
    <n v="9"/>
    <n v="2"/>
    <s v="Other"/>
    <n v="0"/>
    <n v="1"/>
    <n v="0"/>
    <n v="0"/>
    <n v="0"/>
    <x v="2"/>
    <s v="Male"/>
    <n v="0"/>
    <n v="93"/>
    <n v="2"/>
    <n v="5"/>
    <s v="Manager"/>
    <n v="0"/>
    <n v="0"/>
    <n v="0"/>
    <n v="1"/>
    <n v="0"/>
    <n v="0"/>
    <n v="0"/>
    <n v="0"/>
    <n v="4"/>
    <x v="0"/>
    <n v="1"/>
    <n v="0"/>
    <n v="19613"/>
    <n v="19613"/>
    <n v="8"/>
    <x v="1"/>
    <n v="0"/>
    <n v="22"/>
    <n v="4"/>
    <n v="4"/>
    <n v="0"/>
    <n v="24"/>
    <n v="24"/>
    <n v="2"/>
    <n v="3"/>
    <n v="1"/>
    <n v="1"/>
    <n v="0"/>
    <n v="0"/>
    <n v="0"/>
    <n v="1"/>
    <n v="1"/>
    <n v="5"/>
  </r>
  <r>
    <n v="35"/>
    <n v="35"/>
    <x v="1"/>
    <n v="0"/>
    <s v="Travel_Rarely"/>
    <n v="0"/>
    <n v="1"/>
    <x v="1"/>
    <n v="1"/>
    <n v="0"/>
    <n v="28"/>
    <n v="28"/>
    <n v="3"/>
    <s v="Life Sciences"/>
    <n v="1"/>
    <n v="0"/>
    <n v="0"/>
    <n v="0"/>
    <n v="0"/>
    <x v="0"/>
    <s v="Male"/>
    <n v="0"/>
    <n v="46"/>
    <n v="4"/>
    <n v="2"/>
    <s v="Laboratory Technician"/>
    <n v="0"/>
    <n v="0"/>
    <n v="1"/>
    <n v="0"/>
    <n v="0"/>
    <n v="0"/>
    <n v="0"/>
    <n v="0"/>
    <n v="3"/>
    <x v="1"/>
    <n v="0"/>
    <n v="1"/>
    <n v="3407"/>
    <n v="3407"/>
    <n v="1"/>
    <x v="1"/>
    <n v="0"/>
    <n v="17"/>
    <n v="3"/>
    <n v="4"/>
    <n v="2"/>
    <n v="10"/>
    <n v="10"/>
    <n v="3"/>
    <n v="2"/>
    <n v="10"/>
    <n v="10"/>
    <n v="9"/>
    <n v="6"/>
    <n v="6"/>
    <n v="8"/>
    <n v="8"/>
    <n v="16"/>
  </r>
  <r>
    <n v="34"/>
    <n v="34"/>
    <x v="1"/>
    <n v="0"/>
    <s v="Travel_Frequently"/>
    <n v="1"/>
    <n v="0"/>
    <x v="1"/>
    <n v="1"/>
    <n v="0"/>
    <n v="10"/>
    <n v="10"/>
    <n v="4"/>
    <s v="Technical Degree"/>
    <n v="0"/>
    <n v="0"/>
    <n v="0"/>
    <n v="0"/>
    <n v="1"/>
    <x v="2"/>
    <s v="Male"/>
    <n v="0"/>
    <n v="92"/>
    <n v="2"/>
    <n v="2"/>
    <s v="Healthcare Representative"/>
    <n v="1"/>
    <n v="0"/>
    <n v="0"/>
    <n v="0"/>
    <n v="0"/>
    <n v="0"/>
    <n v="0"/>
    <n v="0"/>
    <n v="3"/>
    <x v="1"/>
    <n v="0"/>
    <n v="1"/>
    <n v="5063"/>
    <n v="5063"/>
    <n v="1"/>
    <x v="1"/>
    <n v="0"/>
    <n v="14"/>
    <n v="3"/>
    <n v="2"/>
    <n v="1"/>
    <n v="8"/>
    <n v="8"/>
    <n v="3"/>
    <n v="2"/>
    <n v="8"/>
    <n v="8"/>
    <n v="2"/>
    <n v="7"/>
    <n v="7"/>
    <n v="7"/>
    <n v="7"/>
    <n v="14"/>
  </r>
  <r>
    <n v="40"/>
    <n v="40"/>
    <x v="1"/>
    <n v="0"/>
    <s v="Travel_Rarely"/>
    <n v="0"/>
    <n v="1"/>
    <x v="0"/>
    <n v="0"/>
    <n v="1"/>
    <n v="14"/>
    <n v="14"/>
    <n v="2"/>
    <s v="Life Sciences"/>
    <n v="1"/>
    <n v="0"/>
    <n v="0"/>
    <n v="0"/>
    <n v="0"/>
    <x v="2"/>
    <s v="Female"/>
    <n v="1"/>
    <n v="84"/>
    <n v="3"/>
    <n v="2"/>
    <s v="Sales Executive"/>
    <n v="0"/>
    <n v="1"/>
    <n v="0"/>
    <n v="0"/>
    <n v="0"/>
    <n v="0"/>
    <n v="0"/>
    <n v="0"/>
    <n v="1"/>
    <x v="1"/>
    <n v="0"/>
    <n v="1"/>
    <n v="4639"/>
    <n v="4639"/>
    <n v="1"/>
    <x v="1"/>
    <n v="0"/>
    <n v="15"/>
    <n v="3"/>
    <n v="3"/>
    <n v="1"/>
    <n v="5"/>
    <n v="5"/>
    <n v="2"/>
    <n v="3"/>
    <n v="5"/>
    <n v="5"/>
    <n v="4"/>
    <n v="1"/>
    <n v="1"/>
    <n v="2"/>
    <n v="2"/>
    <n v="4"/>
  </r>
  <r>
    <n v="43"/>
    <n v="43"/>
    <x v="1"/>
    <n v="0"/>
    <s v="Travel_Rarely"/>
    <n v="0"/>
    <n v="1"/>
    <x v="1"/>
    <n v="1"/>
    <n v="0"/>
    <n v="27"/>
    <n v="27"/>
    <n v="3"/>
    <s v="Technical Degree"/>
    <n v="0"/>
    <n v="0"/>
    <n v="0"/>
    <n v="0"/>
    <n v="1"/>
    <x v="2"/>
    <s v="Male"/>
    <n v="0"/>
    <n v="87"/>
    <n v="4"/>
    <n v="1"/>
    <s v="Laboratory Technician"/>
    <n v="0"/>
    <n v="0"/>
    <n v="1"/>
    <n v="0"/>
    <n v="0"/>
    <n v="0"/>
    <n v="0"/>
    <n v="0"/>
    <n v="2"/>
    <x v="2"/>
    <n v="0"/>
    <n v="0"/>
    <n v="4876"/>
    <n v="4876"/>
    <n v="5"/>
    <x v="1"/>
    <n v="0"/>
    <n v="12"/>
    <n v="3"/>
    <n v="3"/>
    <n v="1"/>
    <n v="8"/>
    <n v="8"/>
    <n v="0"/>
    <n v="3"/>
    <n v="6"/>
    <n v="6"/>
    <n v="4"/>
    <n v="0"/>
    <n v="0"/>
    <n v="2"/>
    <n v="2"/>
    <n v="2"/>
  </r>
  <r>
    <n v="35"/>
    <n v="35"/>
    <x v="1"/>
    <n v="0"/>
    <s v="Travel_Rarely"/>
    <n v="0"/>
    <n v="1"/>
    <x v="1"/>
    <n v="1"/>
    <n v="0"/>
    <n v="7"/>
    <n v="7"/>
    <n v="2"/>
    <s v="Life Sciences"/>
    <n v="1"/>
    <n v="0"/>
    <n v="0"/>
    <n v="0"/>
    <n v="0"/>
    <x v="1"/>
    <s v="Male"/>
    <n v="0"/>
    <n v="63"/>
    <n v="2"/>
    <n v="1"/>
    <s v="Laboratory Technician"/>
    <n v="0"/>
    <n v="0"/>
    <n v="1"/>
    <n v="0"/>
    <n v="0"/>
    <n v="0"/>
    <n v="0"/>
    <n v="0"/>
    <n v="4"/>
    <x v="1"/>
    <n v="0"/>
    <n v="1"/>
    <n v="2690"/>
    <n v="2690"/>
    <n v="1"/>
    <x v="1"/>
    <n v="0"/>
    <n v="18"/>
    <n v="3"/>
    <n v="4"/>
    <n v="1"/>
    <n v="1"/>
    <n v="1"/>
    <n v="5"/>
    <n v="2"/>
    <n v="1"/>
    <n v="1"/>
    <n v="0"/>
    <n v="0"/>
    <n v="0"/>
    <n v="1"/>
    <n v="1"/>
    <n v="1"/>
  </r>
  <r>
    <n v="46"/>
    <n v="46"/>
    <x v="1"/>
    <n v="0"/>
    <s v="Travel_Rarely"/>
    <n v="0"/>
    <n v="1"/>
    <x v="0"/>
    <n v="0"/>
    <n v="1"/>
    <n v="1"/>
    <n v="1"/>
    <n v="4"/>
    <s v="Life Sciences"/>
    <n v="1"/>
    <n v="0"/>
    <n v="0"/>
    <n v="0"/>
    <n v="0"/>
    <x v="2"/>
    <s v="Male"/>
    <n v="0"/>
    <n v="56"/>
    <n v="4"/>
    <n v="4"/>
    <s v="Manager"/>
    <n v="0"/>
    <n v="0"/>
    <n v="0"/>
    <n v="1"/>
    <n v="0"/>
    <n v="0"/>
    <n v="0"/>
    <n v="0"/>
    <n v="1"/>
    <x v="0"/>
    <n v="1"/>
    <n v="0"/>
    <n v="17567"/>
    <n v="17567"/>
    <n v="1"/>
    <x v="1"/>
    <n v="0"/>
    <n v="15"/>
    <n v="3"/>
    <n v="2"/>
    <n v="0"/>
    <n v="27"/>
    <n v="27"/>
    <n v="5"/>
    <n v="1"/>
    <n v="26"/>
    <n v="26"/>
    <n v="0"/>
    <n v="0"/>
    <n v="0"/>
    <n v="12"/>
    <n v="12"/>
    <n v="48"/>
  </r>
  <r>
    <n v="28"/>
    <n v="28"/>
    <x v="0"/>
    <n v="1"/>
    <s v="Travel_Rarely"/>
    <n v="0"/>
    <n v="1"/>
    <x v="1"/>
    <n v="1"/>
    <n v="0"/>
    <n v="24"/>
    <n v="24"/>
    <n v="3"/>
    <s v="Medical"/>
    <n v="0"/>
    <n v="0"/>
    <n v="1"/>
    <n v="0"/>
    <n v="0"/>
    <x v="1"/>
    <s v="Male"/>
    <n v="0"/>
    <n v="51"/>
    <n v="3"/>
    <n v="1"/>
    <s v="Laboratory Technician"/>
    <n v="0"/>
    <n v="0"/>
    <n v="1"/>
    <n v="0"/>
    <n v="0"/>
    <n v="0"/>
    <n v="0"/>
    <n v="0"/>
    <n v="2"/>
    <x v="1"/>
    <n v="0"/>
    <n v="1"/>
    <n v="2408"/>
    <n v="2408"/>
    <n v="1"/>
    <x v="0"/>
    <n v="1"/>
    <n v="17"/>
    <n v="3"/>
    <n v="3"/>
    <n v="3"/>
    <n v="1"/>
    <n v="1"/>
    <n v="3"/>
    <n v="3"/>
    <n v="1"/>
    <n v="1"/>
    <n v="1"/>
    <n v="0"/>
    <n v="0"/>
    <n v="0"/>
    <n v="0"/>
    <n v="0"/>
  </r>
  <r>
    <n v="22"/>
    <n v="22"/>
    <x v="1"/>
    <n v="0"/>
    <s v="Non-Travel"/>
    <n v="0"/>
    <n v="0"/>
    <x v="1"/>
    <n v="1"/>
    <n v="0"/>
    <n v="26"/>
    <n v="26"/>
    <n v="2"/>
    <s v="Other"/>
    <n v="0"/>
    <n v="1"/>
    <n v="0"/>
    <n v="0"/>
    <n v="0"/>
    <x v="0"/>
    <s v="Female"/>
    <n v="1"/>
    <n v="85"/>
    <n v="2"/>
    <n v="1"/>
    <s v="Research Scientist"/>
    <n v="0"/>
    <n v="0"/>
    <n v="0"/>
    <n v="0"/>
    <n v="0"/>
    <n v="0"/>
    <n v="0"/>
    <n v="1"/>
    <n v="3"/>
    <x v="1"/>
    <n v="0"/>
    <n v="1"/>
    <n v="2814"/>
    <n v="2814"/>
    <n v="1"/>
    <x v="0"/>
    <n v="1"/>
    <n v="14"/>
    <n v="3"/>
    <n v="2"/>
    <n v="0"/>
    <n v="4"/>
    <n v="4"/>
    <n v="2"/>
    <n v="2"/>
    <n v="4"/>
    <n v="4"/>
    <n v="2"/>
    <n v="1"/>
    <n v="1"/>
    <n v="3"/>
    <n v="3"/>
    <n v="3"/>
  </r>
  <r>
    <n v="50"/>
    <n v="50"/>
    <x v="1"/>
    <n v="0"/>
    <s v="Travel_Frequently"/>
    <n v="1"/>
    <n v="0"/>
    <x v="1"/>
    <n v="1"/>
    <n v="0"/>
    <n v="20"/>
    <n v="20"/>
    <n v="5"/>
    <s v="Medical"/>
    <n v="0"/>
    <n v="0"/>
    <n v="1"/>
    <n v="0"/>
    <n v="0"/>
    <x v="0"/>
    <s v="Male"/>
    <n v="0"/>
    <n v="41"/>
    <n v="3"/>
    <n v="4"/>
    <s v="Healthcare Representative"/>
    <n v="1"/>
    <n v="0"/>
    <n v="0"/>
    <n v="0"/>
    <n v="0"/>
    <n v="0"/>
    <n v="0"/>
    <n v="0"/>
    <n v="3"/>
    <x v="1"/>
    <n v="0"/>
    <n v="1"/>
    <n v="11245"/>
    <n v="11245"/>
    <n v="2"/>
    <x v="0"/>
    <n v="1"/>
    <n v="15"/>
    <n v="3"/>
    <n v="3"/>
    <n v="1"/>
    <n v="32"/>
    <n v="32"/>
    <n v="3"/>
    <n v="3"/>
    <n v="30"/>
    <n v="30"/>
    <n v="8"/>
    <n v="12"/>
    <n v="12"/>
    <n v="13"/>
    <n v="13"/>
    <n v="52"/>
  </r>
  <r>
    <n v="32"/>
    <n v="32"/>
    <x v="1"/>
    <n v="0"/>
    <s v="Travel_Rarely"/>
    <n v="0"/>
    <n v="1"/>
    <x v="1"/>
    <n v="1"/>
    <n v="0"/>
    <n v="5"/>
    <n v="5"/>
    <n v="4"/>
    <s v="Other"/>
    <n v="0"/>
    <n v="1"/>
    <n v="0"/>
    <n v="0"/>
    <n v="0"/>
    <x v="0"/>
    <s v="Female"/>
    <n v="1"/>
    <n v="35"/>
    <n v="4"/>
    <n v="1"/>
    <s v="Research Scientist"/>
    <n v="0"/>
    <n v="0"/>
    <n v="0"/>
    <n v="0"/>
    <n v="0"/>
    <n v="0"/>
    <n v="0"/>
    <n v="1"/>
    <n v="4"/>
    <x v="1"/>
    <n v="0"/>
    <n v="1"/>
    <n v="3312"/>
    <n v="3312"/>
    <n v="3"/>
    <x v="1"/>
    <n v="0"/>
    <n v="17"/>
    <n v="3"/>
    <n v="4"/>
    <n v="2"/>
    <n v="6"/>
    <n v="6"/>
    <n v="3"/>
    <n v="3"/>
    <n v="3"/>
    <n v="3"/>
    <n v="2"/>
    <n v="0"/>
    <n v="0"/>
    <n v="2"/>
    <n v="2"/>
    <n v="2"/>
  </r>
  <r>
    <n v="44"/>
    <n v="44"/>
    <x v="1"/>
    <n v="0"/>
    <s v="Travel_Rarely"/>
    <n v="0"/>
    <n v="1"/>
    <x v="1"/>
    <n v="1"/>
    <n v="0"/>
    <n v="7"/>
    <n v="7"/>
    <n v="3"/>
    <s v="Medical"/>
    <n v="0"/>
    <n v="0"/>
    <n v="1"/>
    <n v="0"/>
    <n v="0"/>
    <x v="0"/>
    <s v="Female"/>
    <n v="1"/>
    <n v="31"/>
    <n v="3"/>
    <n v="5"/>
    <s v="Research Director"/>
    <n v="0"/>
    <n v="0"/>
    <n v="0"/>
    <n v="0"/>
    <n v="0"/>
    <n v="0"/>
    <n v="0"/>
    <n v="0"/>
    <n v="4"/>
    <x v="2"/>
    <n v="0"/>
    <n v="0"/>
    <n v="19049"/>
    <n v="19049"/>
    <n v="0"/>
    <x v="0"/>
    <n v="1"/>
    <n v="14"/>
    <n v="3"/>
    <n v="4"/>
    <n v="1"/>
    <n v="23"/>
    <n v="23"/>
    <n v="4"/>
    <n v="2"/>
    <n v="22"/>
    <n v="22"/>
    <n v="7"/>
    <n v="1"/>
    <n v="1"/>
    <n v="10"/>
    <n v="10"/>
    <n v="50"/>
  </r>
  <r>
    <n v="30"/>
    <n v="30"/>
    <x v="1"/>
    <n v="0"/>
    <s v="Travel_Rarely"/>
    <n v="0"/>
    <n v="1"/>
    <x v="1"/>
    <n v="1"/>
    <n v="0"/>
    <n v="7"/>
    <n v="7"/>
    <n v="3"/>
    <s v="Medical"/>
    <n v="0"/>
    <n v="0"/>
    <n v="1"/>
    <n v="0"/>
    <n v="0"/>
    <x v="0"/>
    <s v="Male"/>
    <n v="0"/>
    <n v="48"/>
    <n v="2"/>
    <n v="1"/>
    <s v="Research Scientist"/>
    <n v="0"/>
    <n v="0"/>
    <n v="0"/>
    <n v="0"/>
    <n v="0"/>
    <n v="0"/>
    <n v="0"/>
    <n v="1"/>
    <n v="2"/>
    <x v="1"/>
    <n v="0"/>
    <n v="1"/>
    <n v="2141"/>
    <n v="2141"/>
    <n v="1"/>
    <x v="1"/>
    <n v="0"/>
    <n v="12"/>
    <n v="3"/>
    <n v="2"/>
    <n v="1"/>
    <n v="6"/>
    <n v="6"/>
    <n v="3"/>
    <n v="2"/>
    <n v="6"/>
    <n v="6"/>
    <n v="4"/>
    <n v="1"/>
    <n v="1"/>
    <n v="1"/>
    <n v="1"/>
    <n v="1"/>
  </r>
  <r>
    <n v="45"/>
    <n v="45"/>
    <x v="1"/>
    <n v="0"/>
    <s v="Travel_Rarely"/>
    <n v="0"/>
    <n v="1"/>
    <x v="1"/>
    <n v="1"/>
    <n v="0"/>
    <n v="5"/>
    <n v="5"/>
    <n v="5"/>
    <s v="Medical"/>
    <n v="0"/>
    <n v="0"/>
    <n v="1"/>
    <n v="0"/>
    <n v="0"/>
    <x v="1"/>
    <s v="Female"/>
    <n v="1"/>
    <n v="50"/>
    <n v="1"/>
    <n v="2"/>
    <s v="Laboratory Technician"/>
    <n v="0"/>
    <n v="0"/>
    <n v="1"/>
    <n v="0"/>
    <n v="0"/>
    <n v="0"/>
    <n v="0"/>
    <n v="0"/>
    <n v="1"/>
    <x v="0"/>
    <n v="1"/>
    <n v="0"/>
    <n v="5769"/>
    <n v="5769"/>
    <n v="1"/>
    <x v="0"/>
    <n v="1"/>
    <n v="14"/>
    <n v="3"/>
    <n v="1"/>
    <n v="0"/>
    <n v="10"/>
    <n v="10"/>
    <n v="3"/>
    <n v="3"/>
    <n v="10"/>
    <n v="10"/>
    <n v="7"/>
    <n v="1"/>
    <n v="1"/>
    <n v="4"/>
    <n v="4"/>
    <n v="8"/>
  </r>
  <r>
    <n v="45"/>
    <n v="45"/>
    <x v="1"/>
    <n v="0"/>
    <s v="Non-Travel"/>
    <n v="0"/>
    <n v="0"/>
    <x v="0"/>
    <n v="0"/>
    <n v="1"/>
    <n v="26"/>
    <n v="26"/>
    <n v="3"/>
    <s v="Marketing"/>
    <n v="0"/>
    <n v="0"/>
    <n v="0"/>
    <n v="1"/>
    <n v="0"/>
    <x v="3"/>
    <s v="Male"/>
    <n v="0"/>
    <n v="52"/>
    <n v="2"/>
    <n v="2"/>
    <s v="Sales Executive"/>
    <n v="0"/>
    <n v="1"/>
    <n v="0"/>
    <n v="0"/>
    <n v="0"/>
    <n v="0"/>
    <n v="0"/>
    <n v="0"/>
    <n v="1"/>
    <x v="1"/>
    <n v="0"/>
    <n v="1"/>
    <n v="4385"/>
    <n v="4385"/>
    <n v="1"/>
    <x v="1"/>
    <n v="0"/>
    <n v="15"/>
    <n v="3"/>
    <n v="1"/>
    <n v="1"/>
    <n v="10"/>
    <n v="10"/>
    <n v="2"/>
    <n v="3"/>
    <n v="10"/>
    <n v="10"/>
    <n v="7"/>
    <n v="4"/>
    <n v="4"/>
    <n v="5"/>
    <n v="5"/>
    <n v="10"/>
  </r>
  <r>
    <n v="31"/>
    <n v="31"/>
    <x v="1"/>
    <n v="0"/>
    <s v="Travel_Frequently"/>
    <n v="1"/>
    <n v="0"/>
    <x v="0"/>
    <n v="0"/>
    <n v="1"/>
    <n v="2"/>
    <n v="2"/>
    <n v="4"/>
    <s v="Other"/>
    <n v="0"/>
    <n v="1"/>
    <n v="0"/>
    <n v="0"/>
    <n v="0"/>
    <x v="2"/>
    <s v="Male"/>
    <n v="0"/>
    <n v="54"/>
    <n v="3"/>
    <n v="2"/>
    <s v="Sales Executive"/>
    <n v="0"/>
    <n v="1"/>
    <n v="0"/>
    <n v="0"/>
    <n v="0"/>
    <n v="0"/>
    <n v="0"/>
    <n v="0"/>
    <n v="1"/>
    <x v="0"/>
    <n v="1"/>
    <n v="0"/>
    <n v="5332"/>
    <n v="5332"/>
    <n v="7"/>
    <x v="1"/>
    <n v="0"/>
    <n v="13"/>
    <n v="3"/>
    <n v="4"/>
    <n v="0"/>
    <n v="10"/>
    <n v="10"/>
    <n v="3"/>
    <n v="3"/>
    <n v="5"/>
    <n v="5"/>
    <n v="2"/>
    <n v="0"/>
    <n v="0"/>
    <n v="3"/>
    <n v="3"/>
    <n v="6"/>
  </r>
  <r>
    <n v="36"/>
    <n v="36"/>
    <x v="1"/>
    <n v="0"/>
    <s v="Travel_Rarely"/>
    <n v="0"/>
    <n v="1"/>
    <x v="1"/>
    <n v="1"/>
    <n v="0"/>
    <n v="12"/>
    <n v="12"/>
    <n v="4"/>
    <s v="Life Sciences"/>
    <n v="1"/>
    <n v="0"/>
    <n v="0"/>
    <n v="0"/>
    <n v="0"/>
    <x v="1"/>
    <s v="Female"/>
    <n v="1"/>
    <n v="76"/>
    <n v="3"/>
    <n v="2"/>
    <s v="Manufacturing Director"/>
    <n v="0"/>
    <n v="0"/>
    <n v="0"/>
    <n v="0"/>
    <n v="1"/>
    <n v="1"/>
    <n v="0"/>
    <n v="0"/>
    <n v="3"/>
    <x v="1"/>
    <n v="0"/>
    <n v="1"/>
    <n v="4663"/>
    <n v="4663"/>
    <n v="9"/>
    <x v="0"/>
    <n v="1"/>
    <n v="12"/>
    <n v="3"/>
    <n v="2"/>
    <n v="2"/>
    <n v="7"/>
    <n v="7"/>
    <n v="2"/>
    <n v="3"/>
    <n v="3"/>
    <n v="3"/>
    <n v="2"/>
    <n v="1"/>
    <n v="1"/>
    <n v="1"/>
    <n v="1"/>
    <n v="2"/>
  </r>
  <r>
    <n v="34"/>
    <n v="34"/>
    <x v="1"/>
    <n v="0"/>
    <s v="Travel_Frequently"/>
    <n v="1"/>
    <n v="0"/>
    <x v="1"/>
    <n v="1"/>
    <n v="0"/>
    <n v="10"/>
    <n v="10"/>
    <n v="4"/>
    <s v="Life Sciences"/>
    <n v="1"/>
    <n v="0"/>
    <n v="0"/>
    <n v="0"/>
    <n v="0"/>
    <x v="1"/>
    <s v="Male"/>
    <n v="0"/>
    <n v="42"/>
    <n v="4"/>
    <n v="2"/>
    <s v="Manufacturing Director"/>
    <n v="0"/>
    <n v="0"/>
    <n v="0"/>
    <n v="0"/>
    <n v="1"/>
    <n v="1"/>
    <n v="0"/>
    <n v="0"/>
    <n v="4"/>
    <x v="2"/>
    <n v="0"/>
    <n v="0"/>
    <n v="4724"/>
    <n v="4724"/>
    <n v="1"/>
    <x v="1"/>
    <n v="0"/>
    <n v="13"/>
    <n v="3"/>
    <n v="1"/>
    <n v="1"/>
    <n v="9"/>
    <n v="9"/>
    <n v="3"/>
    <n v="3"/>
    <n v="9"/>
    <n v="9"/>
    <n v="7"/>
    <n v="7"/>
    <n v="7"/>
    <n v="2"/>
    <n v="2"/>
    <n v="4"/>
  </r>
  <r>
    <n v="49"/>
    <n v="49"/>
    <x v="1"/>
    <n v="0"/>
    <s v="Travel_Rarely"/>
    <n v="0"/>
    <n v="1"/>
    <x v="1"/>
    <n v="1"/>
    <n v="0"/>
    <n v="25"/>
    <n v="25"/>
    <n v="4"/>
    <s v="Life Sciences"/>
    <n v="1"/>
    <n v="0"/>
    <n v="0"/>
    <n v="0"/>
    <n v="0"/>
    <x v="1"/>
    <s v="Female"/>
    <n v="1"/>
    <n v="84"/>
    <n v="3"/>
    <n v="1"/>
    <s v="Laboratory Technician"/>
    <n v="0"/>
    <n v="0"/>
    <n v="1"/>
    <n v="0"/>
    <n v="0"/>
    <n v="0"/>
    <n v="0"/>
    <n v="0"/>
    <n v="1"/>
    <x v="1"/>
    <n v="0"/>
    <n v="1"/>
    <n v="3211"/>
    <n v="3211"/>
    <n v="1"/>
    <x v="1"/>
    <n v="0"/>
    <n v="14"/>
    <n v="3"/>
    <n v="4"/>
    <n v="1"/>
    <n v="10"/>
    <n v="10"/>
    <n v="3"/>
    <n v="2"/>
    <n v="9"/>
    <n v="9"/>
    <n v="6"/>
    <n v="1"/>
    <n v="1"/>
    <n v="4"/>
    <n v="4"/>
    <n v="4"/>
  </r>
  <r>
    <n v="39"/>
    <n v="39"/>
    <x v="1"/>
    <n v="0"/>
    <s v="Travel_Rarely"/>
    <n v="0"/>
    <n v="1"/>
    <x v="1"/>
    <n v="1"/>
    <n v="0"/>
    <n v="10"/>
    <n v="10"/>
    <n v="5"/>
    <s v="Medical"/>
    <n v="0"/>
    <n v="0"/>
    <n v="1"/>
    <n v="0"/>
    <n v="0"/>
    <x v="0"/>
    <s v="Male"/>
    <n v="0"/>
    <n v="76"/>
    <n v="3"/>
    <n v="2"/>
    <s v="Manufacturing Director"/>
    <n v="0"/>
    <n v="0"/>
    <n v="0"/>
    <n v="0"/>
    <n v="1"/>
    <n v="1"/>
    <n v="0"/>
    <n v="0"/>
    <n v="1"/>
    <x v="1"/>
    <n v="0"/>
    <n v="1"/>
    <n v="5377"/>
    <n v="5377"/>
    <n v="2"/>
    <x v="1"/>
    <n v="0"/>
    <n v="13"/>
    <n v="3"/>
    <n v="4"/>
    <n v="3"/>
    <n v="10"/>
    <n v="10"/>
    <n v="3"/>
    <n v="3"/>
    <n v="7"/>
    <n v="7"/>
    <n v="7"/>
    <n v="7"/>
    <n v="7"/>
    <n v="7"/>
    <n v="7"/>
    <n v="14"/>
  </r>
  <r>
    <n v="27"/>
    <n v="27"/>
    <x v="1"/>
    <n v="0"/>
    <s v="Travel_Rarely"/>
    <n v="0"/>
    <n v="1"/>
    <x v="1"/>
    <n v="1"/>
    <n v="0"/>
    <n v="19"/>
    <n v="19"/>
    <n v="3"/>
    <s v="Other"/>
    <n v="0"/>
    <n v="1"/>
    <n v="0"/>
    <n v="0"/>
    <n v="0"/>
    <x v="2"/>
    <s v="Male"/>
    <n v="0"/>
    <n v="67"/>
    <n v="2"/>
    <n v="1"/>
    <s v="Laboratory Technician"/>
    <n v="0"/>
    <n v="0"/>
    <n v="1"/>
    <n v="0"/>
    <n v="0"/>
    <n v="0"/>
    <n v="0"/>
    <n v="0"/>
    <n v="1"/>
    <x v="2"/>
    <n v="0"/>
    <n v="0"/>
    <n v="4066"/>
    <n v="4066"/>
    <n v="1"/>
    <x v="1"/>
    <n v="0"/>
    <n v="11"/>
    <n v="3"/>
    <n v="1"/>
    <n v="2"/>
    <n v="7"/>
    <n v="7"/>
    <n v="3"/>
    <n v="3"/>
    <n v="7"/>
    <n v="7"/>
    <n v="7"/>
    <n v="0"/>
    <n v="0"/>
    <n v="7"/>
    <n v="7"/>
    <n v="7"/>
  </r>
  <r>
    <n v="35"/>
    <n v="35"/>
    <x v="1"/>
    <n v="0"/>
    <s v="Travel_Rarely"/>
    <n v="0"/>
    <n v="1"/>
    <x v="1"/>
    <n v="1"/>
    <n v="0"/>
    <n v="18"/>
    <n v="18"/>
    <n v="5"/>
    <s v="Life Sciences"/>
    <n v="1"/>
    <n v="0"/>
    <n v="0"/>
    <n v="0"/>
    <n v="0"/>
    <x v="0"/>
    <s v="Male"/>
    <n v="0"/>
    <n v="48"/>
    <n v="4"/>
    <n v="2"/>
    <s v="Research Scientist"/>
    <n v="0"/>
    <n v="0"/>
    <n v="0"/>
    <n v="0"/>
    <n v="0"/>
    <n v="0"/>
    <n v="0"/>
    <n v="1"/>
    <n v="1"/>
    <x v="1"/>
    <n v="0"/>
    <n v="1"/>
    <n v="5208"/>
    <n v="5208"/>
    <n v="1"/>
    <x v="1"/>
    <n v="0"/>
    <n v="11"/>
    <n v="3"/>
    <n v="4"/>
    <n v="0"/>
    <n v="16"/>
    <n v="16"/>
    <n v="2"/>
    <n v="3"/>
    <n v="16"/>
    <n v="16"/>
    <n v="15"/>
    <n v="1"/>
    <n v="1"/>
    <n v="10"/>
    <n v="10"/>
    <n v="20"/>
  </r>
  <r>
    <n v="28"/>
    <n v="28"/>
    <x v="1"/>
    <n v="0"/>
    <s v="Travel_Rarely"/>
    <n v="0"/>
    <n v="1"/>
    <x v="1"/>
    <n v="1"/>
    <n v="0"/>
    <n v="27"/>
    <n v="27"/>
    <n v="3"/>
    <s v="Medical"/>
    <n v="0"/>
    <n v="0"/>
    <n v="1"/>
    <n v="0"/>
    <n v="0"/>
    <x v="0"/>
    <s v="Female"/>
    <n v="1"/>
    <n v="39"/>
    <n v="1"/>
    <n v="2"/>
    <s v="Manufacturing Director"/>
    <n v="0"/>
    <n v="0"/>
    <n v="0"/>
    <n v="0"/>
    <n v="1"/>
    <n v="1"/>
    <n v="0"/>
    <n v="0"/>
    <n v="1"/>
    <x v="2"/>
    <n v="0"/>
    <n v="0"/>
    <n v="4877"/>
    <n v="4877"/>
    <n v="0"/>
    <x v="1"/>
    <n v="0"/>
    <n v="21"/>
    <n v="4"/>
    <n v="2"/>
    <n v="1"/>
    <n v="6"/>
    <n v="6"/>
    <n v="5"/>
    <n v="2"/>
    <n v="5"/>
    <n v="5"/>
    <n v="3"/>
    <n v="0"/>
    <n v="0"/>
    <n v="0"/>
    <n v="0"/>
    <n v="0"/>
  </r>
  <r>
    <n v="21"/>
    <n v="21"/>
    <x v="1"/>
    <n v="0"/>
    <s v="Travel_Rarely"/>
    <n v="0"/>
    <n v="1"/>
    <x v="1"/>
    <n v="1"/>
    <n v="0"/>
    <n v="5"/>
    <n v="5"/>
    <n v="1"/>
    <s v="Medical"/>
    <n v="0"/>
    <n v="0"/>
    <n v="1"/>
    <n v="0"/>
    <n v="0"/>
    <x v="1"/>
    <s v="Male"/>
    <n v="0"/>
    <n v="97"/>
    <n v="3"/>
    <n v="1"/>
    <s v="Research Scientist"/>
    <n v="0"/>
    <n v="0"/>
    <n v="0"/>
    <n v="0"/>
    <n v="0"/>
    <n v="0"/>
    <n v="0"/>
    <n v="1"/>
    <n v="4"/>
    <x v="0"/>
    <n v="1"/>
    <n v="0"/>
    <n v="3117"/>
    <n v="3117"/>
    <n v="1"/>
    <x v="1"/>
    <n v="0"/>
    <n v="18"/>
    <n v="3"/>
    <n v="3"/>
    <n v="0"/>
    <n v="3"/>
    <n v="3"/>
    <n v="2"/>
    <n v="3"/>
    <n v="2"/>
    <n v="2"/>
    <n v="2"/>
    <n v="2"/>
    <n v="2"/>
    <n v="2"/>
    <n v="2"/>
    <n v="2"/>
  </r>
  <r>
    <n v="18"/>
    <n v="19"/>
    <x v="0"/>
    <n v="1"/>
    <s v="Travel_Frequently"/>
    <n v="1"/>
    <n v="0"/>
    <x v="0"/>
    <n v="0"/>
    <n v="1"/>
    <n v="3"/>
    <n v="3"/>
    <n v="2"/>
    <s v="Medical"/>
    <n v="0"/>
    <n v="0"/>
    <n v="1"/>
    <n v="0"/>
    <n v="0"/>
    <x v="0"/>
    <s v="Female"/>
    <n v="1"/>
    <n v="70"/>
    <n v="3"/>
    <n v="1"/>
    <s v="Sales Representative"/>
    <n v="0"/>
    <n v="0"/>
    <n v="0"/>
    <n v="0"/>
    <n v="0"/>
    <n v="0"/>
    <n v="1"/>
    <n v="0"/>
    <n v="4"/>
    <x v="0"/>
    <n v="1"/>
    <n v="0"/>
    <n v="1569"/>
    <n v="1569"/>
    <n v="1"/>
    <x v="0"/>
    <n v="1"/>
    <n v="12"/>
    <n v="3"/>
    <n v="3"/>
    <n v="0"/>
    <n v="0"/>
    <n v="1"/>
    <n v="2"/>
    <n v="4"/>
    <n v="0"/>
    <n v="0"/>
    <n v="0"/>
    <n v="0"/>
    <n v="0"/>
    <n v="0"/>
    <n v="0"/>
    <n v="0"/>
  </r>
  <r>
    <n v="47"/>
    <n v="47"/>
    <x v="1"/>
    <n v="0"/>
    <s v="Travel_Rarely"/>
    <n v="0"/>
    <n v="1"/>
    <x v="2"/>
    <n v="0"/>
    <n v="0"/>
    <n v="26"/>
    <n v="26"/>
    <n v="4"/>
    <s v="Life Sciences"/>
    <n v="1"/>
    <n v="0"/>
    <n v="0"/>
    <n v="0"/>
    <n v="0"/>
    <x v="2"/>
    <s v="Female"/>
    <n v="1"/>
    <n v="98"/>
    <n v="3"/>
    <n v="5"/>
    <s v="Manager"/>
    <n v="0"/>
    <n v="0"/>
    <n v="0"/>
    <n v="1"/>
    <n v="0"/>
    <n v="0"/>
    <n v="0"/>
    <n v="0"/>
    <n v="3"/>
    <x v="1"/>
    <n v="0"/>
    <n v="1"/>
    <n v="19658"/>
    <n v="19626.310000000001"/>
    <n v="3"/>
    <x v="1"/>
    <n v="0"/>
    <n v="11"/>
    <n v="3"/>
    <n v="3"/>
    <n v="1"/>
    <n v="27"/>
    <n v="27"/>
    <n v="2"/>
    <n v="3"/>
    <n v="5"/>
    <n v="5"/>
    <n v="2"/>
    <n v="1"/>
    <n v="1"/>
    <n v="0"/>
    <n v="0"/>
    <n v="0"/>
  </r>
  <r>
    <n v="39"/>
    <n v="39"/>
    <x v="1"/>
    <n v="0"/>
    <s v="Travel_Rarely"/>
    <n v="0"/>
    <n v="1"/>
    <x v="1"/>
    <n v="1"/>
    <n v="0"/>
    <n v="3"/>
    <n v="3"/>
    <n v="2"/>
    <s v="Medical"/>
    <n v="0"/>
    <n v="0"/>
    <n v="1"/>
    <n v="0"/>
    <n v="0"/>
    <x v="1"/>
    <s v="Male"/>
    <n v="0"/>
    <n v="76"/>
    <n v="2"/>
    <n v="2"/>
    <s v="Laboratory Technician"/>
    <n v="0"/>
    <n v="0"/>
    <n v="1"/>
    <n v="0"/>
    <n v="0"/>
    <n v="0"/>
    <n v="0"/>
    <n v="0"/>
    <n v="3"/>
    <x v="2"/>
    <n v="0"/>
    <n v="0"/>
    <n v="3069"/>
    <n v="3069"/>
    <n v="0"/>
    <x v="1"/>
    <n v="0"/>
    <n v="15"/>
    <n v="3"/>
    <n v="4"/>
    <n v="1"/>
    <n v="11"/>
    <n v="11"/>
    <n v="3"/>
    <n v="3"/>
    <n v="10"/>
    <n v="10"/>
    <n v="8"/>
    <n v="0"/>
    <n v="0"/>
    <n v="7"/>
    <n v="7"/>
    <n v="14"/>
  </r>
  <r>
    <n v="40"/>
    <n v="40"/>
    <x v="1"/>
    <n v="0"/>
    <s v="Travel_Rarely"/>
    <n v="0"/>
    <n v="1"/>
    <x v="1"/>
    <n v="1"/>
    <n v="0"/>
    <n v="15"/>
    <n v="15"/>
    <n v="3"/>
    <s v="Life Sciences"/>
    <n v="1"/>
    <n v="0"/>
    <n v="0"/>
    <n v="0"/>
    <n v="0"/>
    <x v="3"/>
    <s v="Female"/>
    <n v="1"/>
    <n v="80"/>
    <n v="2"/>
    <n v="3"/>
    <s v="Manufacturing Director"/>
    <n v="0"/>
    <n v="0"/>
    <n v="0"/>
    <n v="0"/>
    <n v="1"/>
    <n v="1"/>
    <n v="0"/>
    <n v="0"/>
    <n v="3"/>
    <x v="1"/>
    <n v="0"/>
    <n v="1"/>
    <n v="10435"/>
    <n v="10435"/>
    <n v="1"/>
    <x v="1"/>
    <n v="0"/>
    <n v="13"/>
    <n v="3"/>
    <n v="4"/>
    <n v="2"/>
    <n v="18"/>
    <n v="18"/>
    <n v="2"/>
    <n v="3"/>
    <n v="18"/>
    <n v="18"/>
    <n v="15"/>
    <n v="14"/>
    <n v="14"/>
    <n v="12"/>
    <n v="12"/>
    <n v="36"/>
  </r>
  <r>
    <n v="35"/>
    <n v="35"/>
    <x v="1"/>
    <n v="0"/>
    <s v="Non-Travel"/>
    <n v="0"/>
    <n v="0"/>
    <x v="1"/>
    <n v="1"/>
    <n v="0"/>
    <n v="8"/>
    <n v="8"/>
    <n v="4"/>
    <s v="Life Sciences"/>
    <n v="1"/>
    <n v="0"/>
    <n v="0"/>
    <n v="0"/>
    <n v="0"/>
    <x v="1"/>
    <s v="Female"/>
    <n v="1"/>
    <n v="52"/>
    <n v="3"/>
    <n v="2"/>
    <s v="Healthcare Representative"/>
    <n v="1"/>
    <n v="0"/>
    <n v="0"/>
    <n v="0"/>
    <n v="0"/>
    <n v="0"/>
    <n v="0"/>
    <n v="0"/>
    <n v="3"/>
    <x v="1"/>
    <n v="0"/>
    <n v="1"/>
    <n v="4148"/>
    <n v="4148"/>
    <n v="1"/>
    <x v="1"/>
    <n v="0"/>
    <n v="12"/>
    <n v="3"/>
    <n v="4"/>
    <n v="1"/>
    <n v="15"/>
    <n v="15"/>
    <n v="5"/>
    <n v="3"/>
    <n v="14"/>
    <n v="14"/>
    <n v="11"/>
    <n v="2"/>
    <n v="2"/>
    <n v="9"/>
    <n v="9"/>
    <n v="18"/>
  </r>
  <r>
    <n v="37"/>
    <n v="37"/>
    <x v="1"/>
    <n v="0"/>
    <s v="Travel_Rarely"/>
    <n v="0"/>
    <n v="1"/>
    <x v="1"/>
    <n v="1"/>
    <n v="0"/>
    <n v="19"/>
    <n v="19"/>
    <n v="3"/>
    <s v="Life Sciences"/>
    <n v="1"/>
    <n v="0"/>
    <n v="0"/>
    <n v="0"/>
    <n v="0"/>
    <x v="1"/>
    <s v="Male"/>
    <n v="0"/>
    <n v="85"/>
    <n v="3"/>
    <n v="2"/>
    <s v="Manufacturing Director"/>
    <n v="0"/>
    <n v="0"/>
    <n v="0"/>
    <n v="0"/>
    <n v="1"/>
    <n v="1"/>
    <n v="0"/>
    <n v="0"/>
    <n v="3"/>
    <x v="1"/>
    <n v="0"/>
    <n v="1"/>
    <n v="5768"/>
    <n v="5768"/>
    <n v="3"/>
    <x v="1"/>
    <n v="0"/>
    <n v="17"/>
    <n v="3"/>
    <n v="1"/>
    <n v="3"/>
    <n v="9"/>
    <n v="9"/>
    <n v="2"/>
    <n v="2"/>
    <n v="4"/>
    <n v="4"/>
    <n v="3"/>
    <n v="0"/>
    <n v="0"/>
    <n v="2"/>
    <n v="2"/>
    <n v="4"/>
  </r>
  <r>
    <n v="39"/>
    <n v="39"/>
    <x v="1"/>
    <n v="0"/>
    <s v="Travel_Frequently"/>
    <n v="1"/>
    <n v="0"/>
    <x v="1"/>
    <n v="1"/>
    <n v="0"/>
    <n v="4"/>
    <n v="4"/>
    <n v="3"/>
    <s v="Medical"/>
    <n v="0"/>
    <n v="0"/>
    <n v="1"/>
    <n v="0"/>
    <n v="0"/>
    <x v="3"/>
    <s v="Female"/>
    <n v="1"/>
    <n v="81"/>
    <n v="3"/>
    <n v="2"/>
    <s v="Manufacturing Director"/>
    <n v="0"/>
    <n v="0"/>
    <n v="0"/>
    <n v="0"/>
    <n v="1"/>
    <n v="1"/>
    <n v="0"/>
    <n v="0"/>
    <n v="3"/>
    <x v="0"/>
    <n v="1"/>
    <n v="0"/>
    <n v="5042"/>
    <n v="5042"/>
    <n v="0"/>
    <x v="1"/>
    <n v="0"/>
    <n v="13"/>
    <n v="3"/>
    <n v="4"/>
    <n v="0"/>
    <n v="10"/>
    <n v="10"/>
    <n v="2"/>
    <n v="1"/>
    <n v="9"/>
    <n v="9"/>
    <n v="2"/>
    <n v="3"/>
    <n v="3"/>
    <n v="8"/>
    <n v="8"/>
    <n v="16"/>
  </r>
  <r>
    <n v="45"/>
    <n v="45"/>
    <x v="1"/>
    <n v="0"/>
    <s v="Travel_Rarely"/>
    <n v="0"/>
    <n v="1"/>
    <x v="1"/>
    <n v="1"/>
    <n v="0"/>
    <n v="2"/>
    <n v="2"/>
    <n v="2"/>
    <s v="Other"/>
    <n v="0"/>
    <n v="1"/>
    <n v="0"/>
    <n v="0"/>
    <n v="0"/>
    <x v="2"/>
    <s v="Female"/>
    <n v="1"/>
    <n v="59"/>
    <n v="2"/>
    <n v="2"/>
    <s v="Manufacturing Director"/>
    <n v="0"/>
    <n v="0"/>
    <n v="0"/>
    <n v="0"/>
    <n v="1"/>
    <n v="1"/>
    <n v="0"/>
    <n v="0"/>
    <n v="4"/>
    <x v="2"/>
    <n v="0"/>
    <n v="0"/>
    <n v="5770"/>
    <n v="5770"/>
    <n v="1"/>
    <x v="1"/>
    <n v="0"/>
    <n v="19"/>
    <n v="3"/>
    <n v="1"/>
    <n v="2"/>
    <n v="10"/>
    <n v="10"/>
    <n v="3"/>
    <n v="3"/>
    <n v="10"/>
    <n v="10"/>
    <n v="7"/>
    <n v="3"/>
    <n v="3"/>
    <n v="9"/>
    <n v="9"/>
    <n v="18"/>
  </r>
  <r>
    <n v="38"/>
    <n v="38"/>
    <x v="1"/>
    <n v="0"/>
    <s v="Travel_Rarely"/>
    <n v="0"/>
    <n v="1"/>
    <x v="1"/>
    <n v="1"/>
    <n v="0"/>
    <n v="2"/>
    <n v="2"/>
    <n v="2"/>
    <s v="Medical"/>
    <n v="0"/>
    <n v="0"/>
    <n v="1"/>
    <n v="0"/>
    <n v="0"/>
    <x v="2"/>
    <s v="Female"/>
    <n v="1"/>
    <n v="54"/>
    <n v="2"/>
    <n v="3"/>
    <s v="Manufacturing Director"/>
    <n v="0"/>
    <n v="0"/>
    <n v="0"/>
    <n v="0"/>
    <n v="1"/>
    <n v="1"/>
    <n v="0"/>
    <n v="0"/>
    <n v="3"/>
    <x v="1"/>
    <n v="0"/>
    <n v="1"/>
    <n v="7756"/>
    <n v="7756"/>
    <n v="3"/>
    <x v="0"/>
    <n v="1"/>
    <n v="19"/>
    <n v="3"/>
    <n v="4"/>
    <n v="1"/>
    <n v="10"/>
    <n v="10"/>
    <n v="6"/>
    <n v="4"/>
    <n v="5"/>
    <n v="5"/>
    <n v="4"/>
    <n v="0"/>
    <n v="0"/>
    <n v="2"/>
    <n v="2"/>
    <n v="6"/>
  </r>
  <r>
    <n v="35"/>
    <n v="35"/>
    <x v="0"/>
    <n v="1"/>
    <s v="Travel_Rarely"/>
    <n v="0"/>
    <n v="1"/>
    <x v="0"/>
    <n v="0"/>
    <n v="1"/>
    <n v="10"/>
    <n v="10"/>
    <n v="3"/>
    <s v="Medical"/>
    <n v="0"/>
    <n v="0"/>
    <n v="1"/>
    <n v="0"/>
    <n v="0"/>
    <x v="2"/>
    <s v="Male"/>
    <n v="0"/>
    <n v="55"/>
    <n v="2"/>
    <n v="3"/>
    <s v="Sales Executive"/>
    <n v="0"/>
    <n v="1"/>
    <n v="0"/>
    <n v="0"/>
    <n v="0"/>
    <n v="0"/>
    <n v="0"/>
    <n v="0"/>
    <n v="1"/>
    <x v="1"/>
    <n v="0"/>
    <n v="1"/>
    <n v="10306"/>
    <n v="10306"/>
    <n v="9"/>
    <x v="1"/>
    <n v="0"/>
    <n v="17"/>
    <n v="3"/>
    <n v="3"/>
    <n v="0"/>
    <n v="15"/>
    <n v="15"/>
    <n v="3"/>
    <n v="3"/>
    <n v="13"/>
    <n v="13"/>
    <n v="12"/>
    <n v="6"/>
    <n v="6"/>
    <n v="0"/>
    <n v="0"/>
    <n v="0"/>
  </r>
  <r>
    <n v="37"/>
    <n v="37"/>
    <x v="1"/>
    <n v="0"/>
    <s v="Travel_Rarely"/>
    <n v="0"/>
    <n v="1"/>
    <x v="1"/>
    <n v="1"/>
    <n v="0"/>
    <n v="10"/>
    <n v="10"/>
    <n v="3"/>
    <s v="Medical"/>
    <n v="0"/>
    <n v="0"/>
    <n v="1"/>
    <n v="0"/>
    <n v="0"/>
    <x v="0"/>
    <s v="Female"/>
    <n v="1"/>
    <n v="71"/>
    <n v="3"/>
    <n v="1"/>
    <s v="Research Scientist"/>
    <n v="0"/>
    <n v="0"/>
    <n v="0"/>
    <n v="0"/>
    <n v="0"/>
    <n v="0"/>
    <n v="0"/>
    <n v="1"/>
    <n v="2"/>
    <x v="1"/>
    <n v="0"/>
    <n v="1"/>
    <n v="3936"/>
    <n v="3936"/>
    <n v="1"/>
    <x v="1"/>
    <n v="0"/>
    <n v="11"/>
    <n v="3"/>
    <n v="1"/>
    <n v="1"/>
    <n v="8"/>
    <n v="8"/>
    <n v="2"/>
    <n v="1"/>
    <n v="8"/>
    <n v="8"/>
    <n v="4"/>
    <n v="7"/>
    <n v="7"/>
    <n v="7"/>
    <n v="7"/>
    <n v="7"/>
  </r>
  <r>
    <n v="40"/>
    <n v="40"/>
    <x v="1"/>
    <n v="0"/>
    <s v="Travel_Rarely"/>
    <n v="0"/>
    <n v="1"/>
    <x v="1"/>
    <n v="1"/>
    <n v="0"/>
    <n v="16"/>
    <n v="16"/>
    <n v="3"/>
    <s v="Life Sciences"/>
    <n v="1"/>
    <n v="0"/>
    <n v="0"/>
    <n v="0"/>
    <n v="0"/>
    <x v="1"/>
    <s v="Female"/>
    <n v="1"/>
    <n v="84"/>
    <n v="3"/>
    <n v="3"/>
    <s v="Manufacturing Director"/>
    <n v="0"/>
    <n v="0"/>
    <n v="0"/>
    <n v="0"/>
    <n v="1"/>
    <n v="1"/>
    <n v="0"/>
    <n v="0"/>
    <n v="4"/>
    <x v="0"/>
    <n v="1"/>
    <n v="0"/>
    <n v="7945"/>
    <n v="7945"/>
    <n v="6"/>
    <x v="0"/>
    <n v="1"/>
    <n v="15"/>
    <n v="3"/>
    <n v="4"/>
    <n v="0"/>
    <n v="18"/>
    <n v="18"/>
    <n v="2"/>
    <n v="2"/>
    <n v="4"/>
    <n v="4"/>
    <n v="2"/>
    <n v="3"/>
    <n v="3"/>
    <n v="3"/>
    <n v="3"/>
    <n v="9"/>
  </r>
  <r>
    <n v="44"/>
    <n v="44"/>
    <x v="1"/>
    <n v="0"/>
    <s v="Travel_Frequently"/>
    <n v="1"/>
    <n v="0"/>
    <x v="2"/>
    <n v="0"/>
    <n v="0"/>
    <n v="1"/>
    <n v="1"/>
    <n v="5"/>
    <s v="Human Resources"/>
    <n v="0"/>
    <n v="0"/>
    <n v="0"/>
    <n v="0"/>
    <n v="0"/>
    <x v="3"/>
    <s v="Male"/>
    <n v="0"/>
    <n v="37"/>
    <n v="3"/>
    <n v="2"/>
    <s v="Human Resources"/>
    <n v="0"/>
    <n v="0"/>
    <n v="0"/>
    <n v="0"/>
    <n v="0"/>
    <n v="0"/>
    <n v="0"/>
    <n v="0"/>
    <n v="4"/>
    <x v="1"/>
    <n v="0"/>
    <n v="1"/>
    <n v="5743"/>
    <n v="5743"/>
    <n v="4"/>
    <x v="0"/>
    <n v="1"/>
    <n v="11"/>
    <n v="3"/>
    <n v="3"/>
    <n v="0"/>
    <n v="14"/>
    <n v="14"/>
    <n v="3"/>
    <n v="3"/>
    <n v="10"/>
    <n v="10"/>
    <n v="7"/>
    <n v="0"/>
    <n v="0"/>
    <n v="2"/>
    <n v="2"/>
    <n v="4"/>
  </r>
  <r>
    <n v="48"/>
    <n v="48"/>
    <x v="1"/>
    <n v="0"/>
    <s v="Travel_Frequently"/>
    <n v="1"/>
    <n v="0"/>
    <x v="1"/>
    <n v="1"/>
    <n v="0"/>
    <n v="4"/>
    <n v="4"/>
    <n v="5"/>
    <s v="Medical"/>
    <n v="0"/>
    <n v="0"/>
    <n v="1"/>
    <n v="0"/>
    <n v="0"/>
    <x v="1"/>
    <s v="Male"/>
    <n v="0"/>
    <n v="89"/>
    <n v="2"/>
    <n v="4"/>
    <s v="Manager"/>
    <n v="0"/>
    <n v="0"/>
    <n v="0"/>
    <n v="1"/>
    <n v="0"/>
    <n v="0"/>
    <n v="0"/>
    <n v="0"/>
    <n v="4"/>
    <x v="1"/>
    <n v="0"/>
    <n v="1"/>
    <n v="15202"/>
    <n v="15202"/>
    <n v="2"/>
    <x v="1"/>
    <n v="0"/>
    <n v="25"/>
    <n v="4"/>
    <n v="2"/>
    <n v="1"/>
    <n v="23"/>
    <n v="23"/>
    <n v="3"/>
    <n v="3"/>
    <n v="2"/>
    <n v="2"/>
    <n v="2"/>
    <n v="2"/>
    <n v="2"/>
    <n v="2"/>
    <n v="2"/>
    <n v="8"/>
  </r>
  <r>
    <n v="35"/>
    <n v="35"/>
    <x v="0"/>
    <n v="1"/>
    <s v="Travel_Rarely"/>
    <n v="0"/>
    <n v="1"/>
    <x v="0"/>
    <n v="0"/>
    <n v="1"/>
    <n v="15"/>
    <n v="15"/>
    <n v="2"/>
    <s v="Medical"/>
    <n v="0"/>
    <n v="0"/>
    <n v="1"/>
    <n v="0"/>
    <n v="0"/>
    <x v="3"/>
    <s v="Male"/>
    <n v="0"/>
    <n v="59"/>
    <n v="1"/>
    <n v="2"/>
    <s v="Sales Executive"/>
    <n v="0"/>
    <n v="1"/>
    <n v="0"/>
    <n v="0"/>
    <n v="0"/>
    <n v="0"/>
    <n v="0"/>
    <n v="0"/>
    <n v="4"/>
    <x v="2"/>
    <n v="0"/>
    <n v="0"/>
    <n v="5440"/>
    <n v="5440"/>
    <n v="6"/>
    <x v="0"/>
    <n v="1"/>
    <n v="14"/>
    <n v="3"/>
    <n v="4"/>
    <n v="2"/>
    <n v="7"/>
    <n v="7"/>
    <n v="2"/>
    <n v="2"/>
    <n v="2"/>
    <n v="2"/>
    <n v="2"/>
    <n v="2"/>
    <n v="2"/>
    <n v="2"/>
    <n v="2"/>
    <n v="4"/>
  </r>
  <r>
    <n v="24"/>
    <n v="24"/>
    <x v="1"/>
    <n v="0"/>
    <s v="Travel_Frequently"/>
    <n v="1"/>
    <n v="0"/>
    <x v="1"/>
    <n v="1"/>
    <n v="0"/>
    <n v="2"/>
    <n v="2"/>
    <n v="1"/>
    <s v="Technical Degree"/>
    <n v="0"/>
    <n v="0"/>
    <n v="0"/>
    <n v="0"/>
    <n v="1"/>
    <x v="3"/>
    <s v="Female"/>
    <n v="1"/>
    <n v="32"/>
    <n v="3"/>
    <n v="1"/>
    <s v="Research Scientist"/>
    <n v="0"/>
    <n v="0"/>
    <n v="0"/>
    <n v="0"/>
    <n v="0"/>
    <n v="0"/>
    <n v="0"/>
    <n v="1"/>
    <n v="4"/>
    <x v="0"/>
    <n v="1"/>
    <n v="0"/>
    <n v="3760"/>
    <n v="3760"/>
    <n v="1"/>
    <x v="0"/>
    <n v="1"/>
    <n v="13"/>
    <n v="3"/>
    <n v="3"/>
    <n v="0"/>
    <n v="6"/>
    <n v="6"/>
    <n v="2"/>
    <n v="3"/>
    <n v="6"/>
    <n v="6"/>
    <n v="3"/>
    <n v="1"/>
    <n v="1"/>
    <n v="3"/>
    <n v="3"/>
    <n v="3"/>
  </r>
  <r>
    <n v="27"/>
    <n v="27"/>
    <x v="1"/>
    <n v="0"/>
    <s v="Travel_Rarely"/>
    <n v="0"/>
    <n v="1"/>
    <x v="1"/>
    <n v="1"/>
    <n v="0"/>
    <n v="8"/>
    <n v="8"/>
    <n v="3"/>
    <s v="Medical"/>
    <n v="0"/>
    <n v="0"/>
    <n v="1"/>
    <n v="0"/>
    <n v="0"/>
    <x v="0"/>
    <s v="Female"/>
    <n v="1"/>
    <n v="86"/>
    <n v="4"/>
    <n v="1"/>
    <s v="Research Scientist"/>
    <n v="0"/>
    <n v="0"/>
    <n v="0"/>
    <n v="0"/>
    <n v="0"/>
    <n v="0"/>
    <n v="0"/>
    <n v="1"/>
    <n v="3"/>
    <x v="1"/>
    <n v="0"/>
    <n v="1"/>
    <n v="3517"/>
    <n v="3517"/>
    <n v="7"/>
    <x v="1"/>
    <n v="0"/>
    <n v="17"/>
    <n v="3"/>
    <n v="1"/>
    <n v="0"/>
    <n v="5"/>
    <n v="5"/>
    <n v="0"/>
    <n v="3"/>
    <n v="3"/>
    <n v="3"/>
    <n v="2"/>
    <n v="0"/>
    <n v="0"/>
    <n v="2"/>
    <n v="2"/>
    <n v="2"/>
  </r>
  <r>
    <n v="27"/>
    <n v="27"/>
    <x v="1"/>
    <n v="0"/>
    <s v="Travel_Frequently"/>
    <n v="1"/>
    <n v="0"/>
    <x v="1"/>
    <n v="1"/>
    <n v="0"/>
    <n v="2"/>
    <n v="2"/>
    <n v="3"/>
    <s v="Medical"/>
    <n v="0"/>
    <n v="0"/>
    <n v="1"/>
    <n v="0"/>
    <n v="0"/>
    <x v="2"/>
    <s v="Male"/>
    <n v="0"/>
    <n v="87"/>
    <n v="3"/>
    <n v="1"/>
    <s v="Research Scientist"/>
    <n v="0"/>
    <n v="0"/>
    <n v="0"/>
    <n v="0"/>
    <n v="0"/>
    <n v="0"/>
    <n v="0"/>
    <n v="1"/>
    <n v="4"/>
    <x v="0"/>
    <n v="1"/>
    <n v="0"/>
    <n v="2580"/>
    <n v="2580"/>
    <n v="2"/>
    <x v="1"/>
    <n v="0"/>
    <n v="13"/>
    <n v="3"/>
    <n v="3"/>
    <n v="0"/>
    <n v="6"/>
    <n v="6"/>
    <n v="0"/>
    <n v="2"/>
    <n v="4"/>
    <n v="4"/>
    <n v="2"/>
    <n v="1"/>
    <n v="1"/>
    <n v="2"/>
    <n v="2"/>
    <n v="2"/>
  </r>
  <r>
    <n v="40"/>
    <n v="40"/>
    <x v="0"/>
    <n v="1"/>
    <s v="Travel_Rarely"/>
    <n v="0"/>
    <n v="1"/>
    <x v="1"/>
    <n v="1"/>
    <n v="0"/>
    <n v="7"/>
    <n v="7"/>
    <n v="3"/>
    <s v="Life Sciences"/>
    <n v="1"/>
    <n v="0"/>
    <n v="0"/>
    <n v="0"/>
    <n v="0"/>
    <x v="3"/>
    <s v="Male"/>
    <n v="0"/>
    <n v="73"/>
    <n v="3"/>
    <n v="1"/>
    <s v="Laboratory Technician"/>
    <n v="0"/>
    <n v="0"/>
    <n v="1"/>
    <n v="0"/>
    <n v="0"/>
    <n v="0"/>
    <n v="0"/>
    <n v="0"/>
    <n v="1"/>
    <x v="0"/>
    <n v="1"/>
    <n v="0"/>
    <n v="2166"/>
    <n v="2166"/>
    <n v="3"/>
    <x v="0"/>
    <n v="1"/>
    <n v="14"/>
    <n v="3"/>
    <n v="2"/>
    <n v="0"/>
    <n v="10"/>
    <n v="10"/>
    <n v="3"/>
    <n v="1"/>
    <n v="4"/>
    <n v="4"/>
    <n v="2"/>
    <n v="0"/>
    <n v="0"/>
    <n v="3"/>
    <n v="3"/>
    <n v="3"/>
  </r>
  <r>
    <n v="29"/>
    <n v="29"/>
    <x v="1"/>
    <n v="0"/>
    <s v="Travel_Rarely"/>
    <n v="0"/>
    <n v="1"/>
    <x v="0"/>
    <n v="0"/>
    <n v="1"/>
    <n v="10"/>
    <n v="10"/>
    <n v="3"/>
    <s v="Medical"/>
    <n v="0"/>
    <n v="0"/>
    <n v="1"/>
    <n v="0"/>
    <n v="0"/>
    <x v="1"/>
    <s v="Male"/>
    <n v="0"/>
    <n v="42"/>
    <n v="2"/>
    <n v="2"/>
    <s v="Sales Executive"/>
    <n v="0"/>
    <n v="1"/>
    <n v="0"/>
    <n v="0"/>
    <n v="0"/>
    <n v="0"/>
    <n v="0"/>
    <n v="0"/>
    <n v="3"/>
    <x v="0"/>
    <n v="1"/>
    <n v="0"/>
    <n v="5869"/>
    <n v="5869"/>
    <n v="9"/>
    <x v="1"/>
    <n v="0"/>
    <n v="11"/>
    <n v="3"/>
    <n v="3"/>
    <n v="0"/>
    <n v="8"/>
    <n v="8"/>
    <n v="2"/>
    <n v="3"/>
    <n v="5"/>
    <n v="5"/>
    <n v="2"/>
    <n v="1"/>
    <n v="1"/>
    <n v="4"/>
    <n v="4"/>
    <n v="8"/>
  </r>
  <r>
    <n v="36"/>
    <n v="36"/>
    <x v="1"/>
    <n v="0"/>
    <s v="Travel_Rarely"/>
    <n v="0"/>
    <n v="1"/>
    <x v="1"/>
    <n v="1"/>
    <n v="0"/>
    <n v="5"/>
    <n v="5"/>
    <n v="4"/>
    <s v="Life Sciences"/>
    <n v="1"/>
    <n v="0"/>
    <n v="0"/>
    <n v="0"/>
    <n v="0"/>
    <x v="0"/>
    <s v="Female"/>
    <n v="1"/>
    <n v="42"/>
    <n v="3"/>
    <n v="3"/>
    <s v="Healthcare Representative"/>
    <n v="1"/>
    <n v="0"/>
    <n v="0"/>
    <n v="0"/>
    <n v="0"/>
    <n v="0"/>
    <n v="0"/>
    <n v="0"/>
    <n v="1"/>
    <x v="1"/>
    <n v="0"/>
    <n v="1"/>
    <n v="8008"/>
    <n v="8008"/>
    <n v="4"/>
    <x v="1"/>
    <n v="0"/>
    <n v="12"/>
    <n v="3"/>
    <n v="3"/>
    <n v="2"/>
    <n v="9"/>
    <n v="9"/>
    <n v="6"/>
    <n v="3"/>
    <n v="3"/>
    <n v="3"/>
    <n v="2"/>
    <n v="0"/>
    <n v="0"/>
    <n v="2"/>
    <n v="2"/>
    <n v="6"/>
  </r>
  <r>
    <n v="25"/>
    <n v="25"/>
    <x v="1"/>
    <n v="0"/>
    <s v="Travel_Frequently"/>
    <n v="1"/>
    <n v="0"/>
    <x v="1"/>
    <n v="1"/>
    <n v="0"/>
    <n v="2"/>
    <n v="2"/>
    <n v="1"/>
    <s v="Life Sciences"/>
    <n v="1"/>
    <n v="0"/>
    <n v="0"/>
    <n v="0"/>
    <n v="0"/>
    <x v="2"/>
    <s v="Male"/>
    <n v="0"/>
    <n v="77"/>
    <n v="4"/>
    <n v="2"/>
    <s v="Manufacturing Director"/>
    <n v="0"/>
    <n v="0"/>
    <n v="0"/>
    <n v="0"/>
    <n v="1"/>
    <n v="1"/>
    <n v="0"/>
    <n v="0"/>
    <n v="3"/>
    <x v="2"/>
    <n v="0"/>
    <n v="0"/>
    <n v="5206"/>
    <n v="5206"/>
    <n v="1"/>
    <x v="1"/>
    <n v="0"/>
    <n v="17"/>
    <n v="3"/>
    <n v="3"/>
    <n v="2"/>
    <n v="7"/>
    <n v="7"/>
    <n v="6"/>
    <n v="3"/>
    <n v="7"/>
    <n v="7"/>
    <n v="7"/>
    <n v="0"/>
    <n v="0"/>
    <n v="7"/>
    <n v="7"/>
    <n v="14"/>
  </r>
  <r>
    <n v="39"/>
    <n v="39"/>
    <x v="1"/>
    <n v="0"/>
    <s v="Travel_Rarely"/>
    <n v="0"/>
    <n v="1"/>
    <x v="1"/>
    <n v="1"/>
    <n v="0"/>
    <n v="12"/>
    <n v="12"/>
    <n v="3"/>
    <s v="Medical"/>
    <n v="0"/>
    <n v="0"/>
    <n v="1"/>
    <n v="0"/>
    <n v="0"/>
    <x v="2"/>
    <s v="Male"/>
    <n v="0"/>
    <n v="66"/>
    <n v="3"/>
    <n v="2"/>
    <s v="Manufacturing Director"/>
    <n v="0"/>
    <n v="0"/>
    <n v="0"/>
    <n v="0"/>
    <n v="1"/>
    <n v="1"/>
    <n v="0"/>
    <n v="0"/>
    <n v="2"/>
    <x v="1"/>
    <n v="0"/>
    <n v="1"/>
    <n v="5295"/>
    <n v="5295"/>
    <n v="4"/>
    <x v="1"/>
    <n v="0"/>
    <n v="21"/>
    <n v="4"/>
    <n v="3"/>
    <n v="0"/>
    <n v="7"/>
    <n v="7"/>
    <n v="3"/>
    <n v="3"/>
    <n v="5"/>
    <n v="5"/>
    <n v="4"/>
    <n v="1"/>
    <n v="1"/>
    <n v="0"/>
    <n v="0"/>
    <n v="0"/>
  </r>
  <r>
    <n v="49"/>
    <n v="49"/>
    <x v="1"/>
    <n v="0"/>
    <s v="Travel_Rarely"/>
    <n v="0"/>
    <n v="1"/>
    <x v="1"/>
    <n v="1"/>
    <n v="0"/>
    <n v="22"/>
    <n v="22"/>
    <n v="4"/>
    <s v="Other"/>
    <n v="0"/>
    <n v="1"/>
    <n v="0"/>
    <n v="0"/>
    <n v="0"/>
    <x v="3"/>
    <s v="Female"/>
    <n v="1"/>
    <n v="72"/>
    <n v="3"/>
    <n v="4"/>
    <s v="Research Director"/>
    <n v="0"/>
    <n v="0"/>
    <n v="0"/>
    <n v="0"/>
    <n v="0"/>
    <n v="0"/>
    <n v="0"/>
    <n v="0"/>
    <n v="2"/>
    <x v="1"/>
    <n v="0"/>
    <n v="1"/>
    <n v="16413"/>
    <n v="16413"/>
    <n v="3"/>
    <x v="1"/>
    <n v="0"/>
    <n v="16"/>
    <n v="3"/>
    <n v="2"/>
    <n v="2"/>
    <n v="27"/>
    <n v="27"/>
    <n v="2"/>
    <n v="3"/>
    <n v="4"/>
    <n v="4"/>
    <n v="2"/>
    <n v="1"/>
    <n v="1"/>
    <n v="2"/>
    <n v="2"/>
    <n v="8"/>
  </r>
  <r>
    <n v="50"/>
    <n v="50"/>
    <x v="1"/>
    <n v="0"/>
    <s v="Travel_Rarely"/>
    <n v="0"/>
    <n v="1"/>
    <x v="1"/>
    <n v="1"/>
    <n v="0"/>
    <n v="17"/>
    <n v="17"/>
    <n v="5"/>
    <s v="Life Sciences"/>
    <n v="1"/>
    <n v="0"/>
    <n v="0"/>
    <n v="0"/>
    <n v="0"/>
    <x v="2"/>
    <s v="Female"/>
    <n v="1"/>
    <n v="50"/>
    <n v="2"/>
    <n v="3"/>
    <s v="Research Director"/>
    <n v="0"/>
    <n v="0"/>
    <n v="0"/>
    <n v="0"/>
    <n v="0"/>
    <n v="0"/>
    <n v="0"/>
    <n v="0"/>
    <n v="1"/>
    <x v="2"/>
    <n v="0"/>
    <n v="0"/>
    <n v="13269"/>
    <n v="13269"/>
    <n v="5"/>
    <x v="1"/>
    <n v="0"/>
    <n v="15"/>
    <n v="3"/>
    <n v="3"/>
    <n v="3"/>
    <n v="19"/>
    <n v="19"/>
    <n v="3"/>
    <n v="3"/>
    <n v="14"/>
    <n v="14"/>
    <n v="11"/>
    <n v="1"/>
    <n v="1"/>
    <n v="11"/>
    <n v="11"/>
    <n v="33"/>
  </r>
  <r>
    <n v="20"/>
    <n v="20"/>
    <x v="1"/>
    <n v="0"/>
    <s v="Travel_Rarely"/>
    <n v="0"/>
    <n v="1"/>
    <x v="0"/>
    <n v="0"/>
    <n v="1"/>
    <n v="2"/>
    <n v="2"/>
    <n v="3"/>
    <s v="Medical"/>
    <n v="0"/>
    <n v="0"/>
    <n v="1"/>
    <n v="0"/>
    <n v="0"/>
    <x v="1"/>
    <s v="Female"/>
    <n v="1"/>
    <n v="31"/>
    <n v="3"/>
    <n v="1"/>
    <s v="Sales Representative"/>
    <n v="0"/>
    <n v="0"/>
    <n v="0"/>
    <n v="0"/>
    <n v="0"/>
    <n v="0"/>
    <n v="1"/>
    <n v="0"/>
    <n v="3"/>
    <x v="0"/>
    <n v="1"/>
    <n v="0"/>
    <n v="2783"/>
    <n v="2783"/>
    <n v="1"/>
    <x v="1"/>
    <n v="0"/>
    <n v="19"/>
    <n v="3"/>
    <n v="1"/>
    <n v="0"/>
    <n v="2"/>
    <n v="2"/>
    <n v="3"/>
    <n v="3"/>
    <n v="2"/>
    <n v="2"/>
    <n v="2"/>
    <n v="2"/>
    <n v="2"/>
    <n v="2"/>
    <n v="2"/>
    <n v="2"/>
  </r>
  <r>
    <n v="34"/>
    <n v="34"/>
    <x v="1"/>
    <n v="0"/>
    <s v="Travel_Rarely"/>
    <n v="0"/>
    <n v="1"/>
    <x v="1"/>
    <n v="1"/>
    <n v="0"/>
    <n v="3"/>
    <n v="3"/>
    <n v="3"/>
    <s v="Life Sciences"/>
    <n v="1"/>
    <n v="0"/>
    <n v="0"/>
    <n v="0"/>
    <n v="0"/>
    <x v="2"/>
    <s v="Female"/>
    <n v="1"/>
    <n v="66"/>
    <n v="3"/>
    <n v="2"/>
    <s v="Research Scientist"/>
    <n v="0"/>
    <n v="0"/>
    <n v="0"/>
    <n v="0"/>
    <n v="0"/>
    <n v="0"/>
    <n v="0"/>
    <n v="1"/>
    <n v="2"/>
    <x v="2"/>
    <n v="0"/>
    <n v="0"/>
    <n v="5433"/>
    <n v="5433"/>
    <n v="1"/>
    <x v="1"/>
    <n v="0"/>
    <n v="12"/>
    <n v="3"/>
    <n v="3"/>
    <n v="1"/>
    <n v="11"/>
    <n v="11"/>
    <n v="2"/>
    <n v="3"/>
    <n v="11"/>
    <n v="11"/>
    <n v="8"/>
    <n v="7"/>
    <n v="7"/>
    <n v="9"/>
    <n v="9"/>
    <n v="18"/>
  </r>
  <r>
    <n v="36"/>
    <n v="36"/>
    <x v="1"/>
    <n v="0"/>
    <s v="Travel_Rarely"/>
    <n v="0"/>
    <n v="1"/>
    <x v="1"/>
    <n v="1"/>
    <n v="0"/>
    <n v="7"/>
    <n v="7"/>
    <n v="3"/>
    <s v="Life Sciences"/>
    <n v="1"/>
    <n v="0"/>
    <n v="0"/>
    <n v="0"/>
    <n v="0"/>
    <x v="3"/>
    <s v="Male"/>
    <n v="0"/>
    <n v="77"/>
    <n v="3"/>
    <n v="1"/>
    <s v="Laboratory Technician"/>
    <n v="0"/>
    <n v="0"/>
    <n v="1"/>
    <n v="0"/>
    <n v="0"/>
    <n v="0"/>
    <n v="0"/>
    <n v="0"/>
    <n v="2"/>
    <x v="0"/>
    <n v="1"/>
    <n v="0"/>
    <n v="2013"/>
    <n v="2013"/>
    <n v="2"/>
    <x v="1"/>
    <n v="0"/>
    <n v="11"/>
    <n v="3"/>
    <n v="3"/>
    <n v="0"/>
    <n v="15"/>
    <n v="15"/>
    <n v="4"/>
    <n v="3"/>
    <n v="4"/>
    <n v="4"/>
    <n v="3"/>
    <n v="1"/>
    <n v="1"/>
    <n v="3"/>
    <n v="3"/>
    <n v="3"/>
  </r>
  <r>
    <n v="49"/>
    <n v="49"/>
    <x v="1"/>
    <n v="0"/>
    <s v="Travel_Rarely"/>
    <n v="0"/>
    <n v="1"/>
    <x v="1"/>
    <n v="1"/>
    <n v="0"/>
    <n v="6"/>
    <n v="6"/>
    <n v="1"/>
    <s v="Life Sciences"/>
    <n v="1"/>
    <n v="0"/>
    <n v="0"/>
    <n v="0"/>
    <n v="0"/>
    <x v="1"/>
    <s v="Female"/>
    <n v="1"/>
    <n v="41"/>
    <n v="2"/>
    <n v="4"/>
    <s v="Healthcare Representative"/>
    <n v="1"/>
    <n v="0"/>
    <n v="0"/>
    <n v="0"/>
    <n v="0"/>
    <n v="0"/>
    <n v="0"/>
    <n v="0"/>
    <n v="3"/>
    <x v="1"/>
    <n v="0"/>
    <n v="1"/>
    <n v="13966"/>
    <n v="13966"/>
    <n v="2"/>
    <x v="0"/>
    <n v="1"/>
    <n v="19"/>
    <n v="3"/>
    <n v="2"/>
    <n v="1"/>
    <n v="30"/>
    <n v="30"/>
    <n v="3"/>
    <n v="3"/>
    <n v="15"/>
    <n v="15"/>
    <n v="11"/>
    <n v="2"/>
    <n v="2"/>
    <n v="12"/>
    <n v="12"/>
    <n v="48"/>
  </r>
  <r>
    <n v="36"/>
    <n v="36"/>
    <x v="1"/>
    <n v="0"/>
    <s v="Non-Travel"/>
    <n v="0"/>
    <n v="0"/>
    <x v="1"/>
    <n v="1"/>
    <n v="0"/>
    <n v="1"/>
    <n v="1"/>
    <n v="4"/>
    <s v="Medical"/>
    <n v="0"/>
    <n v="0"/>
    <n v="1"/>
    <n v="0"/>
    <n v="0"/>
    <x v="2"/>
    <s v="Female"/>
    <n v="1"/>
    <n v="33"/>
    <n v="2"/>
    <n v="2"/>
    <s v="Manufacturing Director"/>
    <n v="0"/>
    <n v="0"/>
    <n v="0"/>
    <n v="0"/>
    <n v="1"/>
    <n v="1"/>
    <n v="0"/>
    <n v="0"/>
    <n v="3"/>
    <x v="1"/>
    <n v="0"/>
    <n v="1"/>
    <n v="4374"/>
    <n v="4374"/>
    <n v="0"/>
    <x v="1"/>
    <n v="0"/>
    <n v="15"/>
    <n v="3"/>
    <n v="3"/>
    <n v="0"/>
    <n v="4"/>
    <n v="4"/>
    <n v="6"/>
    <n v="3"/>
    <n v="3"/>
    <n v="3"/>
    <n v="2"/>
    <n v="1"/>
    <n v="1"/>
    <n v="2"/>
    <n v="2"/>
    <n v="4"/>
  </r>
  <r>
    <n v="36"/>
    <n v="36"/>
    <x v="1"/>
    <n v="0"/>
    <s v="Travel_Rarely"/>
    <n v="0"/>
    <n v="1"/>
    <x v="1"/>
    <n v="1"/>
    <n v="0"/>
    <n v="3"/>
    <n v="3"/>
    <n v="2"/>
    <s v="Life Sciences"/>
    <n v="1"/>
    <n v="0"/>
    <n v="0"/>
    <n v="0"/>
    <n v="0"/>
    <x v="2"/>
    <s v="Male"/>
    <n v="0"/>
    <n v="79"/>
    <n v="4"/>
    <n v="2"/>
    <s v="Healthcare Representative"/>
    <n v="1"/>
    <n v="0"/>
    <n v="0"/>
    <n v="0"/>
    <n v="0"/>
    <n v="0"/>
    <n v="0"/>
    <n v="0"/>
    <n v="1"/>
    <x v="2"/>
    <n v="0"/>
    <n v="0"/>
    <n v="6842"/>
    <n v="6842"/>
    <n v="6"/>
    <x v="1"/>
    <n v="0"/>
    <n v="20"/>
    <n v="4"/>
    <n v="1"/>
    <n v="1"/>
    <n v="13"/>
    <n v="13"/>
    <n v="3"/>
    <n v="3"/>
    <n v="5"/>
    <n v="5"/>
    <n v="4"/>
    <n v="0"/>
    <n v="0"/>
    <n v="4"/>
    <n v="4"/>
    <n v="8"/>
  </r>
  <r>
    <n v="54"/>
    <n v="54"/>
    <x v="1"/>
    <n v="0"/>
    <s v="Travel_Rarely"/>
    <n v="0"/>
    <n v="1"/>
    <x v="1"/>
    <n v="1"/>
    <n v="0"/>
    <n v="22"/>
    <n v="22"/>
    <n v="5"/>
    <s v="Medical"/>
    <n v="0"/>
    <n v="0"/>
    <n v="1"/>
    <n v="0"/>
    <n v="0"/>
    <x v="0"/>
    <s v="Female"/>
    <n v="1"/>
    <n v="91"/>
    <n v="3"/>
    <n v="4"/>
    <s v="Manager"/>
    <n v="0"/>
    <n v="0"/>
    <n v="0"/>
    <n v="1"/>
    <n v="0"/>
    <n v="0"/>
    <n v="0"/>
    <n v="0"/>
    <n v="3"/>
    <x v="1"/>
    <n v="0"/>
    <n v="1"/>
    <n v="17426"/>
    <n v="17426"/>
    <n v="3"/>
    <x v="1"/>
    <n v="0"/>
    <n v="25"/>
    <n v="4"/>
    <n v="3"/>
    <n v="1"/>
    <n v="36"/>
    <n v="35"/>
    <n v="6"/>
    <n v="3"/>
    <n v="10"/>
    <n v="10"/>
    <n v="8"/>
    <n v="4"/>
    <n v="4"/>
    <n v="7"/>
    <n v="7"/>
    <n v="28"/>
  </r>
  <r>
    <n v="43"/>
    <n v="43"/>
    <x v="1"/>
    <n v="0"/>
    <s v="Travel_Rarely"/>
    <n v="0"/>
    <n v="1"/>
    <x v="1"/>
    <n v="1"/>
    <n v="0"/>
    <n v="15"/>
    <n v="15"/>
    <n v="2"/>
    <s v="Life Sciences"/>
    <n v="1"/>
    <n v="0"/>
    <n v="0"/>
    <n v="0"/>
    <n v="0"/>
    <x v="1"/>
    <s v="Male"/>
    <n v="0"/>
    <n v="65"/>
    <n v="2"/>
    <n v="4"/>
    <s v="Research Director"/>
    <n v="0"/>
    <n v="0"/>
    <n v="0"/>
    <n v="0"/>
    <n v="0"/>
    <n v="0"/>
    <n v="0"/>
    <n v="0"/>
    <n v="3"/>
    <x v="1"/>
    <n v="0"/>
    <n v="1"/>
    <n v="17603"/>
    <n v="17603"/>
    <n v="1"/>
    <x v="1"/>
    <n v="0"/>
    <n v="24"/>
    <n v="4"/>
    <n v="1"/>
    <n v="1"/>
    <n v="14"/>
    <n v="14"/>
    <n v="3"/>
    <n v="3"/>
    <n v="14"/>
    <n v="14"/>
    <n v="10"/>
    <n v="6"/>
    <n v="6"/>
    <n v="11"/>
    <n v="11"/>
    <n v="44"/>
  </r>
  <r>
    <n v="35"/>
    <n v="35"/>
    <x v="0"/>
    <n v="1"/>
    <s v="Travel_Frequently"/>
    <n v="1"/>
    <n v="0"/>
    <x v="0"/>
    <n v="0"/>
    <n v="1"/>
    <n v="12"/>
    <n v="12"/>
    <n v="4"/>
    <s v="Other"/>
    <n v="0"/>
    <n v="1"/>
    <n v="0"/>
    <n v="0"/>
    <n v="0"/>
    <x v="2"/>
    <s v="Male"/>
    <n v="0"/>
    <n v="36"/>
    <n v="3"/>
    <n v="2"/>
    <s v="Sales Executive"/>
    <n v="0"/>
    <n v="1"/>
    <n v="0"/>
    <n v="0"/>
    <n v="0"/>
    <n v="0"/>
    <n v="0"/>
    <n v="0"/>
    <n v="4"/>
    <x v="0"/>
    <n v="1"/>
    <n v="0"/>
    <n v="4581"/>
    <n v="4581"/>
    <n v="3"/>
    <x v="0"/>
    <n v="1"/>
    <n v="24"/>
    <n v="4"/>
    <n v="1"/>
    <n v="0"/>
    <n v="13"/>
    <n v="13"/>
    <n v="2"/>
    <n v="4"/>
    <n v="11"/>
    <n v="11"/>
    <n v="9"/>
    <n v="6"/>
    <n v="6"/>
    <n v="7"/>
    <n v="7"/>
    <n v="14"/>
  </r>
  <r>
    <n v="38"/>
    <n v="38"/>
    <x v="1"/>
    <n v="0"/>
    <s v="Travel_Frequently"/>
    <n v="1"/>
    <n v="0"/>
    <x v="1"/>
    <n v="1"/>
    <n v="0"/>
    <n v="1"/>
    <n v="1"/>
    <n v="3"/>
    <s v="Life Sciences"/>
    <n v="1"/>
    <n v="0"/>
    <n v="0"/>
    <n v="0"/>
    <n v="0"/>
    <x v="2"/>
    <s v="Male"/>
    <n v="0"/>
    <n v="90"/>
    <n v="3"/>
    <n v="2"/>
    <s v="Research Scientist"/>
    <n v="0"/>
    <n v="0"/>
    <n v="0"/>
    <n v="0"/>
    <n v="0"/>
    <n v="0"/>
    <n v="0"/>
    <n v="1"/>
    <n v="4"/>
    <x v="1"/>
    <n v="0"/>
    <n v="1"/>
    <n v="4735"/>
    <n v="4735"/>
    <n v="7"/>
    <x v="1"/>
    <n v="0"/>
    <n v="15"/>
    <n v="3"/>
    <n v="4"/>
    <n v="2"/>
    <n v="19"/>
    <n v="19"/>
    <n v="4"/>
    <n v="4"/>
    <n v="13"/>
    <n v="13"/>
    <n v="11"/>
    <n v="2"/>
    <n v="2"/>
    <n v="9"/>
    <n v="9"/>
    <n v="18"/>
  </r>
  <r>
    <n v="29"/>
    <n v="29"/>
    <x v="1"/>
    <n v="0"/>
    <s v="Travel_Rarely"/>
    <n v="0"/>
    <n v="1"/>
    <x v="0"/>
    <n v="0"/>
    <n v="1"/>
    <n v="5"/>
    <n v="5"/>
    <n v="3"/>
    <s v="Medical"/>
    <n v="0"/>
    <n v="0"/>
    <n v="1"/>
    <n v="0"/>
    <n v="0"/>
    <x v="3"/>
    <s v="Male"/>
    <n v="0"/>
    <n v="43"/>
    <n v="2"/>
    <n v="2"/>
    <s v="Sales Executive"/>
    <n v="0"/>
    <n v="1"/>
    <n v="0"/>
    <n v="0"/>
    <n v="0"/>
    <n v="0"/>
    <n v="0"/>
    <n v="0"/>
    <n v="2"/>
    <x v="2"/>
    <n v="0"/>
    <n v="0"/>
    <n v="4187"/>
    <n v="4187"/>
    <n v="1"/>
    <x v="0"/>
    <n v="1"/>
    <n v="13"/>
    <n v="3"/>
    <n v="2"/>
    <n v="1"/>
    <n v="10"/>
    <n v="10"/>
    <n v="3"/>
    <n v="2"/>
    <n v="10"/>
    <n v="10"/>
    <n v="0"/>
    <n v="0"/>
    <n v="0"/>
    <n v="9"/>
    <n v="9"/>
    <n v="18"/>
  </r>
  <r>
    <n v="33"/>
    <n v="33"/>
    <x v="1"/>
    <n v="0"/>
    <s v="Travel_Rarely"/>
    <n v="0"/>
    <n v="1"/>
    <x v="0"/>
    <n v="0"/>
    <n v="1"/>
    <n v="2"/>
    <n v="2"/>
    <n v="4"/>
    <s v="Medical"/>
    <n v="0"/>
    <n v="0"/>
    <n v="1"/>
    <n v="0"/>
    <n v="0"/>
    <x v="2"/>
    <s v="Male"/>
    <n v="0"/>
    <n v="93"/>
    <n v="3"/>
    <n v="2"/>
    <s v="Sales Executive"/>
    <n v="0"/>
    <n v="1"/>
    <n v="0"/>
    <n v="0"/>
    <n v="0"/>
    <n v="0"/>
    <n v="0"/>
    <n v="0"/>
    <n v="4"/>
    <x v="2"/>
    <n v="0"/>
    <n v="0"/>
    <n v="5505"/>
    <n v="5505"/>
    <n v="1"/>
    <x v="1"/>
    <n v="0"/>
    <n v="14"/>
    <n v="3"/>
    <n v="3"/>
    <n v="2"/>
    <n v="6"/>
    <n v="6"/>
    <n v="5"/>
    <n v="3"/>
    <n v="6"/>
    <n v="6"/>
    <n v="2"/>
    <n v="0"/>
    <n v="0"/>
    <n v="4"/>
    <n v="4"/>
    <n v="8"/>
  </r>
  <r>
    <n v="32"/>
    <n v="32"/>
    <x v="1"/>
    <n v="0"/>
    <s v="Travel_Rarely"/>
    <n v="0"/>
    <n v="1"/>
    <x v="1"/>
    <n v="1"/>
    <n v="0"/>
    <n v="2"/>
    <n v="2"/>
    <n v="3"/>
    <s v="Medical"/>
    <n v="0"/>
    <n v="0"/>
    <n v="1"/>
    <n v="0"/>
    <n v="0"/>
    <x v="2"/>
    <s v="Male"/>
    <n v="0"/>
    <n v="45"/>
    <n v="3"/>
    <n v="2"/>
    <s v="Research Scientist"/>
    <n v="0"/>
    <n v="0"/>
    <n v="0"/>
    <n v="0"/>
    <n v="0"/>
    <n v="0"/>
    <n v="0"/>
    <n v="1"/>
    <n v="2"/>
    <x v="2"/>
    <n v="0"/>
    <n v="0"/>
    <n v="5470"/>
    <n v="5470"/>
    <n v="0"/>
    <x v="1"/>
    <n v="0"/>
    <n v="13"/>
    <n v="3"/>
    <n v="3"/>
    <n v="2"/>
    <n v="10"/>
    <n v="10"/>
    <n v="4"/>
    <n v="2"/>
    <n v="9"/>
    <n v="9"/>
    <n v="5"/>
    <n v="1"/>
    <n v="1"/>
    <n v="6"/>
    <n v="6"/>
    <n v="12"/>
  </r>
  <r>
    <n v="31"/>
    <n v="31"/>
    <x v="1"/>
    <n v="0"/>
    <s v="Travel_Rarely"/>
    <n v="0"/>
    <n v="1"/>
    <x v="0"/>
    <n v="0"/>
    <n v="1"/>
    <n v="5"/>
    <n v="5"/>
    <n v="4"/>
    <s v="Life Sciences"/>
    <n v="1"/>
    <n v="0"/>
    <n v="0"/>
    <n v="0"/>
    <n v="0"/>
    <x v="3"/>
    <s v="Female"/>
    <n v="1"/>
    <n v="67"/>
    <n v="3"/>
    <n v="2"/>
    <s v="Sales Executive"/>
    <n v="0"/>
    <n v="1"/>
    <n v="0"/>
    <n v="0"/>
    <n v="0"/>
    <n v="0"/>
    <n v="0"/>
    <n v="0"/>
    <n v="4"/>
    <x v="1"/>
    <n v="0"/>
    <n v="1"/>
    <n v="5476"/>
    <n v="5476"/>
    <n v="1"/>
    <x v="1"/>
    <n v="0"/>
    <n v="11"/>
    <n v="3"/>
    <n v="1"/>
    <n v="2"/>
    <n v="10"/>
    <n v="10"/>
    <n v="2"/>
    <n v="3"/>
    <n v="10"/>
    <n v="10"/>
    <n v="0"/>
    <n v="0"/>
    <n v="0"/>
    <n v="2"/>
    <n v="2"/>
    <n v="4"/>
  </r>
  <r>
    <n v="49"/>
    <n v="49"/>
    <x v="1"/>
    <n v="0"/>
    <s v="Travel_Rarely"/>
    <n v="0"/>
    <n v="1"/>
    <x v="1"/>
    <n v="1"/>
    <n v="0"/>
    <n v="16"/>
    <n v="16"/>
    <n v="3"/>
    <s v="Medical"/>
    <n v="0"/>
    <n v="0"/>
    <n v="1"/>
    <n v="0"/>
    <n v="0"/>
    <x v="2"/>
    <s v="Female"/>
    <n v="1"/>
    <n v="74"/>
    <n v="3"/>
    <n v="1"/>
    <s v="Laboratory Technician"/>
    <n v="0"/>
    <n v="0"/>
    <n v="1"/>
    <n v="0"/>
    <n v="0"/>
    <n v="0"/>
    <n v="0"/>
    <n v="0"/>
    <n v="1"/>
    <x v="2"/>
    <n v="0"/>
    <n v="0"/>
    <n v="2587"/>
    <n v="2587"/>
    <n v="4"/>
    <x v="0"/>
    <n v="1"/>
    <n v="16"/>
    <n v="3"/>
    <n v="2"/>
    <n v="1"/>
    <n v="17"/>
    <n v="17"/>
    <n v="2"/>
    <n v="2"/>
    <n v="2"/>
    <n v="2"/>
    <n v="2"/>
    <n v="2"/>
    <n v="2"/>
    <n v="2"/>
    <n v="2"/>
    <n v="2"/>
  </r>
  <r>
    <n v="38"/>
    <n v="38"/>
    <x v="1"/>
    <n v="0"/>
    <s v="Travel_Frequently"/>
    <n v="1"/>
    <n v="0"/>
    <x v="1"/>
    <n v="1"/>
    <n v="0"/>
    <n v="2"/>
    <n v="2"/>
    <n v="3"/>
    <s v="Medical"/>
    <n v="0"/>
    <n v="0"/>
    <n v="1"/>
    <n v="0"/>
    <n v="0"/>
    <x v="2"/>
    <s v="Female"/>
    <n v="1"/>
    <n v="42"/>
    <n v="2"/>
    <n v="1"/>
    <s v="Laboratory Technician"/>
    <n v="0"/>
    <n v="0"/>
    <n v="1"/>
    <n v="0"/>
    <n v="0"/>
    <n v="0"/>
    <n v="0"/>
    <n v="0"/>
    <n v="2"/>
    <x v="0"/>
    <n v="1"/>
    <n v="0"/>
    <n v="2440"/>
    <n v="2440"/>
    <n v="1"/>
    <x v="1"/>
    <n v="0"/>
    <n v="22"/>
    <n v="4"/>
    <n v="2"/>
    <n v="0"/>
    <n v="4"/>
    <n v="4"/>
    <n v="3"/>
    <n v="3"/>
    <n v="4"/>
    <n v="4"/>
    <n v="3"/>
    <n v="3"/>
    <n v="3"/>
    <n v="3"/>
    <n v="3"/>
    <n v="3"/>
  </r>
  <r>
    <n v="47"/>
    <n v="47"/>
    <x v="1"/>
    <n v="0"/>
    <s v="Travel_Rarely"/>
    <n v="0"/>
    <n v="1"/>
    <x v="0"/>
    <n v="0"/>
    <n v="1"/>
    <n v="2"/>
    <n v="2"/>
    <n v="4"/>
    <s v="Life Sciences"/>
    <n v="1"/>
    <n v="0"/>
    <n v="0"/>
    <n v="0"/>
    <n v="0"/>
    <x v="0"/>
    <s v="Female"/>
    <n v="1"/>
    <n v="47"/>
    <n v="4"/>
    <n v="4"/>
    <s v="Manager"/>
    <n v="0"/>
    <n v="0"/>
    <n v="0"/>
    <n v="1"/>
    <n v="0"/>
    <n v="0"/>
    <n v="0"/>
    <n v="0"/>
    <n v="2"/>
    <x v="2"/>
    <n v="0"/>
    <n v="0"/>
    <n v="15972"/>
    <n v="15972"/>
    <n v="6"/>
    <x v="1"/>
    <n v="0"/>
    <n v="14"/>
    <n v="3"/>
    <n v="3"/>
    <n v="3"/>
    <n v="29"/>
    <n v="29"/>
    <n v="2"/>
    <n v="3"/>
    <n v="3"/>
    <n v="3"/>
    <n v="2"/>
    <n v="1"/>
    <n v="1"/>
    <n v="2"/>
    <n v="2"/>
    <n v="8"/>
  </r>
  <r>
    <n v="49"/>
    <n v="49"/>
    <x v="1"/>
    <n v="0"/>
    <s v="Travel_Rarely"/>
    <n v="0"/>
    <n v="1"/>
    <x v="1"/>
    <n v="1"/>
    <n v="0"/>
    <n v="1"/>
    <n v="1"/>
    <n v="3"/>
    <s v="Life Sciences"/>
    <n v="1"/>
    <n v="0"/>
    <n v="0"/>
    <n v="0"/>
    <n v="0"/>
    <x v="1"/>
    <s v="Male"/>
    <n v="0"/>
    <n v="36"/>
    <n v="3"/>
    <n v="4"/>
    <s v="Manager"/>
    <n v="0"/>
    <n v="0"/>
    <n v="0"/>
    <n v="1"/>
    <n v="0"/>
    <n v="0"/>
    <n v="0"/>
    <n v="0"/>
    <n v="3"/>
    <x v="0"/>
    <n v="1"/>
    <n v="0"/>
    <n v="15379"/>
    <n v="15379"/>
    <n v="4"/>
    <x v="1"/>
    <n v="0"/>
    <n v="14"/>
    <n v="3"/>
    <n v="1"/>
    <n v="0"/>
    <n v="23"/>
    <n v="23"/>
    <n v="2"/>
    <n v="3"/>
    <n v="8"/>
    <n v="8"/>
    <n v="7"/>
    <n v="0"/>
    <n v="0"/>
    <n v="0"/>
    <n v="0"/>
    <n v="0"/>
  </r>
  <r>
    <n v="41"/>
    <n v="41"/>
    <x v="1"/>
    <n v="0"/>
    <s v="Travel_Rarely"/>
    <n v="0"/>
    <n v="1"/>
    <x v="0"/>
    <n v="0"/>
    <n v="1"/>
    <n v="23"/>
    <n v="23"/>
    <n v="2"/>
    <s v="Life Sciences"/>
    <n v="1"/>
    <n v="0"/>
    <n v="0"/>
    <n v="0"/>
    <n v="0"/>
    <x v="2"/>
    <s v="Male"/>
    <n v="0"/>
    <n v="80"/>
    <n v="3"/>
    <n v="3"/>
    <s v="Sales Executive"/>
    <n v="0"/>
    <n v="1"/>
    <n v="0"/>
    <n v="0"/>
    <n v="0"/>
    <n v="0"/>
    <n v="0"/>
    <n v="0"/>
    <n v="3"/>
    <x v="0"/>
    <n v="1"/>
    <n v="0"/>
    <n v="7082"/>
    <n v="7082"/>
    <n v="3"/>
    <x v="0"/>
    <n v="1"/>
    <n v="16"/>
    <n v="3"/>
    <n v="4"/>
    <n v="0"/>
    <n v="21"/>
    <n v="21"/>
    <n v="2"/>
    <n v="3"/>
    <n v="2"/>
    <n v="2"/>
    <n v="0"/>
    <n v="0"/>
    <n v="0"/>
    <n v="2"/>
    <n v="2"/>
    <n v="6"/>
  </r>
  <r>
    <n v="20"/>
    <n v="20"/>
    <x v="1"/>
    <n v="0"/>
    <s v="Travel_Rarely"/>
    <n v="0"/>
    <n v="1"/>
    <x v="0"/>
    <n v="0"/>
    <n v="1"/>
    <n v="9"/>
    <n v="9"/>
    <n v="1"/>
    <s v="Life Sciences"/>
    <n v="1"/>
    <n v="0"/>
    <n v="0"/>
    <n v="0"/>
    <n v="0"/>
    <x v="2"/>
    <s v="Male"/>
    <n v="0"/>
    <n v="54"/>
    <n v="3"/>
    <n v="1"/>
    <s v="Sales Representative"/>
    <n v="0"/>
    <n v="0"/>
    <n v="0"/>
    <n v="0"/>
    <n v="0"/>
    <n v="0"/>
    <n v="1"/>
    <n v="0"/>
    <n v="1"/>
    <x v="0"/>
    <n v="1"/>
    <n v="0"/>
    <n v="2728"/>
    <n v="2728"/>
    <n v="1"/>
    <x v="1"/>
    <n v="0"/>
    <n v="11"/>
    <n v="3"/>
    <n v="1"/>
    <n v="0"/>
    <n v="2"/>
    <n v="2"/>
    <n v="3"/>
    <n v="3"/>
    <n v="2"/>
    <n v="2"/>
    <n v="2"/>
    <n v="0"/>
    <n v="0"/>
    <n v="2"/>
    <n v="2"/>
    <n v="2"/>
  </r>
  <r>
    <n v="33"/>
    <n v="33"/>
    <x v="1"/>
    <n v="0"/>
    <s v="Non-Travel"/>
    <n v="0"/>
    <n v="0"/>
    <x v="0"/>
    <n v="0"/>
    <n v="1"/>
    <n v="16"/>
    <n v="16"/>
    <n v="3"/>
    <s v="Life Sciences"/>
    <n v="1"/>
    <n v="0"/>
    <n v="0"/>
    <n v="0"/>
    <n v="0"/>
    <x v="1"/>
    <s v="Female"/>
    <n v="1"/>
    <n v="36"/>
    <n v="3"/>
    <n v="2"/>
    <s v="Sales Executive"/>
    <n v="0"/>
    <n v="1"/>
    <n v="0"/>
    <n v="0"/>
    <n v="0"/>
    <n v="0"/>
    <n v="0"/>
    <n v="0"/>
    <n v="4"/>
    <x v="2"/>
    <n v="0"/>
    <n v="0"/>
    <n v="5368"/>
    <n v="5368"/>
    <n v="1"/>
    <x v="0"/>
    <n v="1"/>
    <n v="25"/>
    <n v="4"/>
    <n v="3"/>
    <n v="1"/>
    <n v="7"/>
    <n v="7"/>
    <n v="2"/>
    <n v="3"/>
    <n v="6"/>
    <n v="6"/>
    <n v="5"/>
    <n v="1"/>
    <n v="1"/>
    <n v="2"/>
    <n v="2"/>
    <n v="4"/>
  </r>
  <r>
    <n v="36"/>
    <n v="36"/>
    <x v="1"/>
    <n v="0"/>
    <s v="Travel_Rarely"/>
    <n v="0"/>
    <n v="1"/>
    <x v="1"/>
    <n v="1"/>
    <n v="0"/>
    <n v="26"/>
    <n v="26"/>
    <n v="4"/>
    <s v="Life Sciences"/>
    <n v="1"/>
    <n v="0"/>
    <n v="0"/>
    <n v="0"/>
    <n v="0"/>
    <x v="3"/>
    <s v="Male"/>
    <n v="0"/>
    <n v="80"/>
    <n v="3"/>
    <n v="2"/>
    <s v="Healthcare Representative"/>
    <n v="1"/>
    <n v="0"/>
    <n v="0"/>
    <n v="0"/>
    <n v="0"/>
    <n v="0"/>
    <n v="0"/>
    <n v="0"/>
    <n v="3"/>
    <x v="1"/>
    <n v="0"/>
    <n v="1"/>
    <n v="5347"/>
    <n v="5347"/>
    <n v="6"/>
    <x v="1"/>
    <n v="0"/>
    <n v="14"/>
    <n v="3"/>
    <n v="2"/>
    <n v="2"/>
    <n v="10"/>
    <n v="10"/>
    <n v="2"/>
    <n v="2"/>
    <n v="3"/>
    <n v="3"/>
    <n v="2"/>
    <n v="0"/>
    <n v="0"/>
    <n v="2"/>
    <n v="2"/>
    <n v="4"/>
  </r>
  <r>
    <n v="44"/>
    <n v="44"/>
    <x v="1"/>
    <n v="0"/>
    <s v="Travel_Rarely"/>
    <n v="0"/>
    <n v="1"/>
    <x v="2"/>
    <n v="0"/>
    <n v="0"/>
    <n v="1"/>
    <n v="1"/>
    <n v="3"/>
    <s v="Life Sciences"/>
    <n v="1"/>
    <n v="0"/>
    <n v="0"/>
    <n v="0"/>
    <n v="0"/>
    <x v="1"/>
    <s v="Female"/>
    <n v="1"/>
    <n v="44"/>
    <n v="3"/>
    <n v="1"/>
    <s v="Human Resources"/>
    <n v="0"/>
    <n v="0"/>
    <n v="0"/>
    <n v="0"/>
    <n v="0"/>
    <n v="0"/>
    <n v="0"/>
    <n v="0"/>
    <n v="4"/>
    <x v="2"/>
    <n v="0"/>
    <n v="0"/>
    <n v="3195"/>
    <n v="3195"/>
    <n v="4"/>
    <x v="0"/>
    <n v="1"/>
    <n v="18"/>
    <n v="3"/>
    <n v="1"/>
    <n v="3"/>
    <n v="8"/>
    <n v="8"/>
    <n v="2"/>
    <n v="3"/>
    <n v="2"/>
    <n v="2"/>
    <n v="2"/>
    <n v="2"/>
    <n v="2"/>
    <n v="2"/>
    <n v="2"/>
    <n v="2"/>
  </r>
  <r>
    <n v="23"/>
    <n v="23"/>
    <x v="0"/>
    <n v="1"/>
    <s v="Travel_Rarely"/>
    <n v="0"/>
    <n v="1"/>
    <x v="1"/>
    <n v="1"/>
    <n v="0"/>
    <n v="8"/>
    <n v="8"/>
    <n v="1"/>
    <s v="Medical"/>
    <n v="0"/>
    <n v="0"/>
    <n v="1"/>
    <n v="0"/>
    <n v="0"/>
    <x v="2"/>
    <s v="Male"/>
    <n v="0"/>
    <n v="93"/>
    <n v="2"/>
    <n v="1"/>
    <s v="Laboratory Technician"/>
    <n v="0"/>
    <n v="0"/>
    <n v="1"/>
    <n v="0"/>
    <n v="0"/>
    <n v="0"/>
    <n v="0"/>
    <n v="0"/>
    <n v="3"/>
    <x v="0"/>
    <n v="1"/>
    <n v="0"/>
    <n v="3989"/>
    <n v="3989"/>
    <n v="1"/>
    <x v="0"/>
    <n v="1"/>
    <n v="11"/>
    <n v="3"/>
    <n v="1"/>
    <n v="0"/>
    <n v="5"/>
    <n v="5"/>
    <n v="2"/>
    <n v="3"/>
    <n v="5"/>
    <n v="5"/>
    <n v="4"/>
    <n v="1"/>
    <n v="1"/>
    <n v="2"/>
    <n v="2"/>
    <n v="2"/>
  </r>
  <r>
    <n v="38"/>
    <n v="38"/>
    <x v="1"/>
    <n v="0"/>
    <s v="Travel_Rarely"/>
    <n v="0"/>
    <n v="1"/>
    <x v="1"/>
    <n v="1"/>
    <n v="0"/>
    <n v="4"/>
    <n v="4"/>
    <n v="2"/>
    <s v="Medical"/>
    <n v="0"/>
    <n v="0"/>
    <n v="1"/>
    <n v="0"/>
    <n v="0"/>
    <x v="2"/>
    <s v="Female"/>
    <n v="1"/>
    <n v="87"/>
    <n v="3"/>
    <n v="1"/>
    <s v="Laboratory Technician"/>
    <n v="0"/>
    <n v="0"/>
    <n v="1"/>
    <n v="0"/>
    <n v="0"/>
    <n v="0"/>
    <n v="0"/>
    <n v="0"/>
    <n v="3"/>
    <x v="1"/>
    <n v="0"/>
    <n v="1"/>
    <n v="3306"/>
    <n v="3306"/>
    <n v="7"/>
    <x v="1"/>
    <n v="0"/>
    <n v="19"/>
    <n v="3"/>
    <n v="4"/>
    <n v="1"/>
    <n v="7"/>
    <n v="7"/>
    <n v="5"/>
    <n v="2"/>
    <n v="0"/>
    <n v="0"/>
    <n v="0"/>
    <n v="0"/>
    <n v="0"/>
    <n v="0"/>
    <n v="0"/>
    <n v="0"/>
  </r>
  <r>
    <n v="53"/>
    <n v="53"/>
    <x v="1"/>
    <n v="0"/>
    <s v="Travel_Rarely"/>
    <n v="0"/>
    <n v="1"/>
    <x v="1"/>
    <n v="1"/>
    <n v="0"/>
    <n v="24"/>
    <n v="24"/>
    <n v="4"/>
    <s v="Medical"/>
    <n v="0"/>
    <n v="0"/>
    <n v="1"/>
    <n v="0"/>
    <n v="0"/>
    <x v="0"/>
    <s v="Male"/>
    <n v="0"/>
    <n v="48"/>
    <n v="4"/>
    <n v="3"/>
    <s v="Healthcare Representative"/>
    <n v="1"/>
    <n v="0"/>
    <n v="0"/>
    <n v="0"/>
    <n v="0"/>
    <n v="0"/>
    <n v="0"/>
    <n v="0"/>
    <n v="4"/>
    <x v="1"/>
    <n v="0"/>
    <n v="1"/>
    <n v="7005"/>
    <n v="7005"/>
    <n v="3"/>
    <x v="1"/>
    <n v="0"/>
    <n v="15"/>
    <n v="3"/>
    <n v="3"/>
    <n v="0"/>
    <n v="11"/>
    <n v="11"/>
    <n v="2"/>
    <n v="3"/>
    <n v="4"/>
    <n v="4"/>
    <n v="3"/>
    <n v="1"/>
    <n v="1"/>
    <n v="2"/>
    <n v="2"/>
    <n v="6"/>
  </r>
  <r>
    <n v="48"/>
    <n v="48"/>
    <x v="0"/>
    <n v="1"/>
    <s v="Travel_Frequently"/>
    <n v="1"/>
    <n v="0"/>
    <x v="0"/>
    <n v="0"/>
    <n v="1"/>
    <n v="7"/>
    <n v="7"/>
    <n v="2"/>
    <s v="Medical"/>
    <n v="0"/>
    <n v="0"/>
    <n v="1"/>
    <n v="0"/>
    <n v="0"/>
    <x v="2"/>
    <s v="Female"/>
    <n v="1"/>
    <n v="95"/>
    <n v="3"/>
    <n v="1"/>
    <s v="Sales Representative"/>
    <n v="0"/>
    <n v="0"/>
    <n v="0"/>
    <n v="0"/>
    <n v="0"/>
    <n v="0"/>
    <n v="1"/>
    <n v="0"/>
    <n v="3"/>
    <x v="1"/>
    <n v="0"/>
    <n v="1"/>
    <n v="2655"/>
    <n v="2655"/>
    <n v="2"/>
    <x v="0"/>
    <n v="1"/>
    <n v="11"/>
    <n v="3"/>
    <n v="3"/>
    <n v="2"/>
    <n v="19"/>
    <n v="19"/>
    <n v="3"/>
    <n v="3"/>
    <n v="9"/>
    <n v="9"/>
    <n v="7"/>
    <n v="7"/>
    <n v="7"/>
    <n v="7"/>
    <n v="7"/>
    <n v="7"/>
  </r>
  <r>
    <n v="32"/>
    <n v="32"/>
    <x v="0"/>
    <n v="1"/>
    <s v="Travel_Rarely"/>
    <n v="0"/>
    <n v="1"/>
    <x v="1"/>
    <n v="1"/>
    <n v="0"/>
    <n v="2"/>
    <n v="2"/>
    <n v="4"/>
    <s v="Life Sciences"/>
    <n v="1"/>
    <n v="0"/>
    <n v="0"/>
    <n v="0"/>
    <n v="0"/>
    <x v="2"/>
    <s v="Male"/>
    <n v="0"/>
    <n v="95"/>
    <n v="3"/>
    <n v="1"/>
    <s v="Laboratory Technician"/>
    <n v="0"/>
    <n v="0"/>
    <n v="1"/>
    <n v="0"/>
    <n v="0"/>
    <n v="0"/>
    <n v="0"/>
    <n v="0"/>
    <n v="2"/>
    <x v="0"/>
    <n v="1"/>
    <n v="0"/>
    <n v="1393"/>
    <n v="1393"/>
    <n v="1"/>
    <x v="1"/>
    <n v="0"/>
    <n v="12"/>
    <n v="3"/>
    <n v="1"/>
    <n v="0"/>
    <n v="1"/>
    <n v="1"/>
    <n v="2"/>
    <n v="3"/>
    <n v="1"/>
    <n v="1"/>
    <n v="0"/>
    <n v="0"/>
    <n v="0"/>
    <n v="0"/>
    <n v="0"/>
    <n v="0"/>
  </r>
  <r>
    <n v="26"/>
    <n v="26"/>
    <x v="1"/>
    <n v="0"/>
    <s v="Non-Travel"/>
    <n v="0"/>
    <n v="0"/>
    <x v="1"/>
    <n v="1"/>
    <n v="0"/>
    <n v="7"/>
    <n v="7"/>
    <n v="3"/>
    <s v="Medical"/>
    <n v="0"/>
    <n v="0"/>
    <n v="1"/>
    <n v="0"/>
    <n v="0"/>
    <x v="2"/>
    <s v="Male"/>
    <n v="0"/>
    <n v="76"/>
    <n v="3"/>
    <n v="1"/>
    <s v="Laboratory Technician"/>
    <n v="0"/>
    <n v="0"/>
    <n v="1"/>
    <n v="0"/>
    <n v="0"/>
    <n v="0"/>
    <n v="0"/>
    <n v="0"/>
    <n v="4"/>
    <x v="0"/>
    <n v="1"/>
    <n v="0"/>
    <n v="2570"/>
    <n v="2570"/>
    <n v="1"/>
    <x v="1"/>
    <n v="0"/>
    <n v="20"/>
    <n v="4"/>
    <n v="3"/>
    <n v="0"/>
    <n v="7"/>
    <n v="7"/>
    <n v="5"/>
    <n v="3"/>
    <n v="7"/>
    <n v="7"/>
    <n v="7"/>
    <n v="5"/>
    <n v="5"/>
    <n v="7"/>
    <n v="7"/>
    <n v="7"/>
  </r>
  <r>
    <n v="55"/>
    <n v="55"/>
    <x v="1"/>
    <n v="0"/>
    <s v="Travel_Rarely"/>
    <n v="0"/>
    <n v="1"/>
    <x v="1"/>
    <n v="1"/>
    <n v="0"/>
    <n v="22"/>
    <n v="22"/>
    <n v="3"/>
    <s v="Technical Degree"/>
    <n v="0"/>
    <n v="0"/>
    <n v="0"/>
    <n v="0"/>
    <n v="1"/>
    <x v="3"/>
    <s v="Male"/>
    <n v="0"/>
    <n v="94"/>
    <n v="2"/>
    <n v="1"/>
    <s v="Research Scientist"/>
    <n v="0"/>
    <n v="0"/>
    <n v="0"/>
    <n v="0"/>
    <n v="0"/>
    <n v="0"/>
    <n v="0"/>
    <n v="1"/>
    <n v="2"/>
    <x v="2"/>
    <n v="0"/>
    <n v="0"/>
    <n v="3537"/>
    <n v="3537"/>
    <n v="5"/>
    <x v="1"/>
    <n v="0"/>
    <n v="12"/>
    <n v="3"/>
    <n v="4"/>
    <n v="1"/>
    <n v="8"/>
    <n v="8"/>
    <n v="1"/>
    <n v="3"/>
    <n v="4"/>
    <n v="4"/>
    <n v="2"/>
    <n v="1"/>
    <n v="1"/>
    <n v="2"/>
    <n v="2"/>
    <n v="2"/>
  </r>
  <r>
    <n v="34"/>
    <n v="34"/>
    <x v="1"/>
    <n v="0"/>
    <s v="Travel_Rarely"/>
    <n v="0"/>
    <n v="1"/>
    <x v="1"/>
    <n v="1"/>
    <n v="0"/>
    <n v="5"/>
    <n v="5"/>
    <n v="2"/>
    <s v="Medical"/>
    <n v="0"/>
    <n v="0"/>
    <n v="1"/>
    <n v="0"/>
    <n v="0"/>
    <x v="0"/>
    <s v="Male"/>
    <n v="0"/>
    <n v="57"/>
    <n v="2"/>
    <n v="2"/>
    <s v="Laboratory Technician"/>
    <n v="0"/>
    <n v="0"/>
    <n v="1"/>
    <n v="0"/>
    <n v="0"/>
    <n v="0"/>
    <n v="0"/>
    <n v="0"/>
    <n v="4"/>
    <x v="1"/>
    <n v="0"/>
    <n v="1"/>
    <n v="3986"/>
    <n v="3986"/>
    <n v="1"/>
    <x v="1"/>
    <n v="0"/>
    <n v="14"/>
    <n v="3"/>
    <n v="3"/>
    <n v="1"/>
    <n v="15"/>
    <n v="15"/>
    <n v="3"/>
    <n v="4"/>
    <n v="15"/>
    <n v="15"/>
    <n v="10"/>
    <n v="4"/>
    <n v="4"/>
    <n v="13"/>
    <n v="13"/>
    <n v="26"/>
  </r>
  <r>
    <n v="60"/>
    <n v="58.309999999999945"/>
    <x v="1"/>
    <n v="0"/>
    <s v="Travel_Rarely"/>
    <n v="0"/>
    <n v="1"/>
    <x v="1"/>
    <n v="1"/>
    <n v="0"/>
    <n v="1"/>
    <n v="1"/>
    <n v="4"/>
    <s v="Medical"/>
    <n v="0"/>
    <n v="0"/>
    <n v="1"/>
    <n v="0"/>
    <n v="0"/>
    <x v="1"/>
    <s v="Male"/>
    <n v="0"/>
    <n v="92"/>
    <n v="1"/>
    <n v="3"/>
    <s v="Healthcare Representative"/>
    <n v="1"/>
    <n v="0"/>
    <n v="0"/>
    <n v="0"/>
    <n v="0"/>
    <n v="0"/>
    <n v="0"/>
    <n v="0"/>
    <n v="4"/>
    <x v="2"/>
    <n v="0"/>
    <n v="0"/>
    <n v="10883"/>
    <n v="10883"/>
    <n v="3"/>
    <x v="1"/>
    <n v="0"/>
    <n v="20"/>
    <n v="4"/>
    <n v="3"/>
    <n v="1"/>
    <n v="19"/>
    <n v="19"/>
    <n v="2"/>
    <n v="4"/>
    <n v="1"/>
    <n v="1"/>
    <n v="0"/>
    <n v="0"/>
    <n v="0"/>
    <n v="0"/>
    <n v="0"/>
    <n v="0"/>
  </r>
  <r>
    <n v="33"/>
    <n v="33"/>
    <x v="1"/>
    <n v="0"/>
    <s v="Travel_Rarely"/>
    <n v="0"/>
    <n v="1"/>
    <x v="1"/>
    <n v="1"/>
    <n v="0"/>
    <n v="21"/>
    <n v="21"/>
    <n v="3"/>
    <s v="Medical"/>
    <n v="0"/>
    <n v="0"/>
    <n v="1"/>
    <n v="0"/>
    <n v="0"/>
    <x v="0"/>
    <s v="Male"/>
    <n v="0"/>
    <n v="79"/>
    <n v="4"/>
    <n v="1"/>
    <s v="Laboratory Technician"/>
    <n v="0"/>
    <n v="0"/>
    <n v="1"/>
    <n v="0"/>
    <n v="0"/>
    <n v="0"/>
    <n v="0"/>
    <n v="0"/>
    <n v="2"/>
    <x v="1"/>
    <n v="0"/>
    <n v="1"/>
    <n v="2028"/>
    <n v="2028"/>
    <n v="1"/>
    <x v="1"/>
    <n v="0"/>
    <n v="18"/>
    <n v="3"/>
    <n v="4"/>
    <n v="3"/>
    <n v="14"/>
    <n v="14"/>
    <n v="6"/>
    <n v="3"/>
    <n v="14"/>
    <n v="14"/>
    <n v="11"/>
    <n v="2"/>
    <n v="2"/>
    <n v="13"/>
    <n v="13"/>
    <n v="13"/>
  </r>
  <r>
    <n v="37"/>
    <n v="37"/>
    <x v="1"/>
    <n v="0"/>
    <s v="Travel_Frequently"/>
    <n v="1"/>
    <n v="0"/>
    <x v="0"/>
    <n v="0"/>
    <n v="1"/>
    <n v="1"/>
    <n v="1"/>
    <n v="4"/>
    <s v="Medical"/>
    <n v="0"/>
    <n v="0"/>
    <n v="1"/>
    <n v="0"/>
    <n v="0"/>
    <x v="1"/>
    <s v="Male"/>
    <n v="0"/>
    <n v="31"/>
    <n v="1"/>
    <n v="2"/>
    <s v="Sales Executive"/>
    <n v="0"/>
    <n v="1"/>
    <n v="0"/>
    <n v="0"/>
    <n v="0"/>
    <n v="0"/>
    <n v="0"/>
    <n v="0"/>
    <n v="4"/>
    <x v="2"/>
    <n v="0"/>
    <n v="0"/>
    <n v="9525"/>
    <n v="9525"/>
    <n v="1"/>
    <x v="1"/>
    <n v="0"/>
    <n v="14"/>
    <n v="3"/>
    <n v="3"/>
    <n v="2"/>
    <n v="6"/>
    <n v="6"/>
    <n v="2"/>
    <n v="2"/>
    <n v="6"/>
    <n v="6"/>
    <n v="3"/>
    <n v="1"/>
    <n v="1"/>
    <n v="3"/>
    <n v="3"/>
    <n v="6"/>
  </r>
  <r>
    <n v="34"/>
    <n v="34"/>
    <x v="1"/>
    <n v="0"/>
    <s v="Travel_Rarely"/>
    <n v="0"/>
    <n v="1"/>
    <x v="1"/>
    <n v="1"/>
    <n v="0"/>
    <n v="19"/>
    <n v="19"/>
    <n v="3"/>
    <s v="Life Sciences"/>
    <n v="1"/>
    <n v="0"/>
    <n v="0"/>
    <n v="0"/>
    <n v="0"/>
    <x v="0"/>
    <s v="Female"/>
    <n v="1"/>
    <n v="35"/>
    <n v="2"/>
    <n v="1"/>
    <s v="Research Scientist"/>
    <n v="0"/>
    <n v="0"/>
    <n v="0"/>
    <n v="0"/>
    <n v="0"/>
    <n v="0"/>
    <n v="0"/>
    <n v="1"/>
    <n v="4"/>
    <x v="1"/>
    <n v="0"/>
    <n v="1"/>
    <n v="2929"/>
    <n v="2929"/>
    <n v="1"/>
    <x v="1"/>
    <n v="0"/>
    <n v="12"/>
    <n v="3"/>
    <n v="2"/>
    <n v="0"/>
    <n v="10"/>
    <n v="10"/>
    <n v="3"/>
    <n v="3"/>
    <n v="10"/>
    <n v="10"/>
    <n v="9"/>
    <n v="8"/>
    <n v="8"/>
    <n v="7"/>
    <n v="7"/>
    <n v="7"/>
  </r>
  <r>
    <n v="23"/>
    <n v="23"/>
    <x v="0"/>
    <n v="1"/>
    <s v="Travel_Rarely"/>
    <n v="0"/>
    <n v="1"/>
    <x v="0"/>
    <n v="0"/>
    <n v="1"/>
    <n v="7"/>
    <n v="7"/>
    <n v="3"/>
    <s v="Life Sciences"/>
    <n v="1"/>
    <n v="0"/>
    <n v="0"/>
    <n v="0"/>
    <n v="0"/>
    <x v="1"/>
    <s v="Male"/>
    <n v="0"/>
    <n v="99"/>
    <n v="3"/>
    <n v="1"/>
    <s v="Sales Representative"/>
    <n v="0"/>
    <n v="0"/>
    <n v="0"/>
    <n v="0"/>
    <n v="0"/>
    <n v="0"/>
    <n v="1"/>
    <n v="0"/>
    <n v="4"/>
    <x v="2"/>
    <n v="0"/>
    <n v="0"/>
    <n v="2275"/>
    <n v="2275"/>
    <n v="1"/>
    <x v="0"/>
    <n v="1"/>
    <n v="21"/>
    <n v="4"/>
    <n v="2"/>
    <n v="1"/>
    <n v="3"/>
    <n v="3"/>
    <n v="2"/>
    <n v="3"/>
    <n v="3"/>
    <n v="3"/>
    <n v="2"/>
    <n v="0"/>
    <n v="0"/>
    <n v="2"/>
    <n v="2"/>
    <n v="2"/>
  </r>
  <r>
    <n v="44"/>
    <n v="44"/>
    <x v="1"/>
    <n v="0"/>
    <s v="Travel_Rarely"/>
    <n v="0"/>
    <n v="1"/>
    <x v="1"/>
    <n v="1"/>
    <n v="0"/>
    <n v="2"/>
    <n v="2"/>
    <n v="3"/>
    <s v="Life Sciences"/>
    <n v="1"/>
    <n v="0"/>
    <n v="0"/>
    <n v="0"/>
    <n v="0"/>
    <x v="1"/>
    <s v="Female"/>
    <n v="1"/>
    <n v="96"/>
    <n v="4"/>
    <n v="3"/>
    <s v="Healthcare Representative"/>
    <n v="1"/>
    <n v="0"/>
    <n v="0"/>
    <n v="0"/>
    <n v="0"/>
    <n v="0"/>
    <n v="0"/>
    <n v="0"/>
    <n v="4"/>
    <x v="1"/>
    <n v="0"/>
    <n v="1"/>
    <n v="7879"/>
    <n v="7879"/>
    <n v="1"/>
    <x v="0"/>
    <n v="1"/>
    <n v="19"/>
    <n v="3"/>
    <n v="2"/>
    <n v="1"/>
    <n v="9"/>
    <n v="9"/>
    <n v="2"/>
    <n v="3"/>
    <n v="8"/>
    <n v="8"/>
    <n v="7"/>
    <n v="6"/>
    <n v="6"/>
    <n v="7"/>
    <n v="7"/>
    <n v="21"/>
  </r>
  <r>
    <n v="35"/>
    <n v="35"/>
    <x v="1"/>
    <n v="0"/>
    <s v="Travel_Frequently"/>
    <n v="1"/>
    <n v="0"/>
    <x v="1"/>
    <n v="1"/>
    <n v="0"/>
    <n v="2"/>
    <n v="2"/>
    <n v="4"/>
    <s v="Medical"/>
    <n v="0"/>
    <n v="0"/>
    <n v="1"/>
    <n v="0"/>
    <n v="0"/>
    <x v="3"/>
    <s v="Male"/>
    <n v="0"/>
    <n v="79"/>
    <n v="2"/>
    <n v="1"/>
    <s v="Research Scientist"/>
    <n v="0"/>
    <n v="0"/>
    <n v="0"/>
    <n v="0"/>
    <n v="0"/>
    <n v="0"/>
    <n v="0"/>
    <n v="1"/>
    <n v="4"/>
    <x v="0"/>
    <n v="1"/>
    <n v="0"/>
    <n v="4930"/>
    <n v="4930"/>
    <n v="0"/>
    <x v="0"/>
    <n v="1"/>
    <n v="14"/>
    <n v="3"/>
    <n v="3"/>
    <n v="0"/>
    <n v="6"/>
    <n v="6"/>
    <n v="2"/>
    <n v="4"/>
    <n v="5"/>
    <n v="5"/>
    <n v="4"/>
    <n v="1"/>
    <n v="1"/>
    <n v="4"/>
    <n v="4"/>
    <n v="4"/>
  </r>
  <r>
    <n v="43"/>
    <n v="43"/>
    <x v="1"/>
    <n v="0"/>
    <s v="Travel_Rarely"/>
    <n v="0"/>
    <n v="1"/>
    <x v="0"/>
    <n v="0"/>
    <n v="1"/>
    <n v="2"/>
    <n v="2"/>
    <n v="3"/>
    <s v="Medical"/>
    <n v="0"/>
    <n v="0"/>
    <n v="1"/>
    <n v="0"/>
    <n v="0"/>
    <x v="2"/>
    <s v="Male"/>
    <n v="0"/>
    <n v="73"/>
    <n v="3"/>
    <n v="2"/>
    <s v="Sales Executive"/>
    <n v="0"/>
    <n v="1"/>
    <n v="0"/>
    <n v="0"/>
    <n v="0"/>
    <n v="0"/>
    <n v="0"/>
    <n v="0"/>
    <n v="4"/>
    <x v="1"/>
    <n v="0"/>
    <n v="1"/>
    <n v="7847"/>
    <n v="7847"/>
    <n v="1"/>
    <x v="0"/>
    <n v="1"/>
    <n v="17"/>
    <n v="3"/>
    <n v="1"/>
    <n v="1"/>
    <n v="10"/>
    <n v="10"/>
    <n v="3"/>
    <n v="3"/>
    <n v="10"/>
    <n v="10"/>
    <n v="9"/>
    <n v="8"/>
    <n v="8"/>
    <n v="8"/>
    <n v="8"/>
    <n v="16"/>
  </r>
  <r>
    <n v="24"/>
    <n v="24"/>
    <x v="1"/>
    <n v="0"/>
    <s v="Travel_Rarely"/>
    <n v="0"/>
    <n v="1"/>
    <x v="1"/>
    <n v="1"/>
    <n v="0"/>
    <n v="9"/>
    <n v="9"/>
    <n v="3"/>
    <s v="Medical"/>
    <n v="0"/>
    <n v="0"/>
    <n v="1"/>
    <n v="0"/>
    <n v="0"/>
    <x v="1"/>
    <s v="Male"/>
    <n v="0"/>
    <n v="62"/>
    <n v="4"/>
    <n v="1"/>
    <s v="Research Scientist"/>
    <n v="0"/>
    <n v="0"/>
    <n v="0"/>
    <n v="0"/>
    <n v="0"/>
    <n v="0"/>
    <n v="0"/>
    <n v="1"/>
    <n v="3"/>
    <x v="1"/>
    <n v="0"/>
    <n v="1"/>
    <n v="4401"/>
    <n v="4401"/>
    <n v="1"/>
    <x v="1"/>
    <n v="0"/>
    <n v="16"/>
    <n v="3"/>
    <n v="4"/>
    <n v="1"/>
    <n v="5"/>
    <n v="5"/>
    <n v="1"/>
    <n v="3"/>
    <n v="5"/>
    <n v="5"/>
    <n v="3"/>
    <n v="0"/>
    <n v="0"/>
    <n v="4"/>
    <n v="4"/>
    <n v="4"/>
  </r>
  <r>
    <n v="41"/>
    <n v="41"/>
    <x v="1"/>
    <n v="0"/>
    <s v="Travel_Rarely"/>
    <n v="0"/>
    <n v="1"/>
    <x v="0"/>
    <n v="0"/>
    <n v="1"/>
    <n v="6"/>
    <n v="6"/>
    <n v="3"/>
    <s v="Marketing"/>
    <n v="0"/>
    <n v="0"/>
    <n v="0"/>
    <n v="1"/>
    <n v="0"/>
    <x v="2"/>
    <s v="Male"/>
    <n v="0"/>
    <n v="35"/>
    <n v="3"/>
    <n v="3"/>
    <s v="Sales Executive"/>
    <n v="0"/>
    <n v="1"/>
    <n v="0"/>
    <n v="0"/>
    <n v="0"/>
    <n v="0"/>
    <n v="0"/>
    <n v="0"/>
    <n v="3"/>
    <x v="0"/>
    <n v="1"/>
    <n v="0"/>
    <n v="9241"/>
    <n v="9241"/>
    <n v="1"/>
    <x v="1"/>
    <n v="0"/>
    <n v="12"/>
    <n v="3"/>
    <n v="2"/>
    <n v="0"/>
    <n v="10"/>
    <n v="10"/>
    <n v="3"/>
    <n v="3"/>
    <n v="10"/>
    <n v="10"/>
    <n v="8"/>
    <n v="8"/>
    <n v="8"/>
    <n v="7"/>
    <n v="7"/>
    <n v="21"/>
  </r>
  <r>
    <n v="29"/>
    <n v="29"/>
    <x v="1"/>
    <n v="0"/>
    <s v="Travel_Rarely"/>
    <n v="0"/>
    <n v="1"/>
    <x v="1"/>
    <n v="1"/>
    <n v="0"/>
    <n v="9"/>
    <n v="9"/>
    <n v="4"/>
    <s v="Medical"/>
    <n v="0"/>
    <n v="0"/>
    <n v="1"/>
    <n v="0"/>
    <n v="0"/>
    <x v="2"/>
    <s v="Female"/>
    <n v="1"/>
    <n v="43"/>
    <n v="3"/>
    <n v="1"/>
    <s v="Laboratory Technician"/>
    <n v="0"/>
    <n v="0"/>
    <n v="1"/>
    <n v="0"/>
    <n v="0"/>
    <n v="0"/>
    <n v="0"/>
    <n v="0"/>
    <n v="3"/>
    <x v="1"/>
    <n v="0"/>
    <n v="1"/>
    <n v="2974"/>
    <n v="2974"/>
    <n v="9"/>
    <x v="1"/>
    <n v="0"/>
    <n v="17"/>
    <n v="3"/>
    <n v="3"/>
    <n v="1"/>
    <n v="9"/>
    <n v="9"/>
    <n v="2"/>
    <n v="3"/>
    <n v="5"/>
    <n v="5"/>
    <n v="3"/>
    <n v="1"/>
    <n v="1"/>
    <n v="2"/>
    <n v="2"/>
    <n v="2"/>
  </r>
  <r>
    <n v="36"/>
    <n v="36"/>
    <x v="1"/>
    <n v="0"/>
    <s v="Travel_Rarely"/>
    <n v="0"/>
    <n v="1"/>
    <x v="0"/>
    <n v="0"/>
    <n v="1"/>
    <n v="2"/>
    <n v="2"/>
    <n v="4"/>
    <s v="Life Sciences"/>
    <n v="1"/>
    <n v="0"/>
    <n v="0"/>
    <n v="0"/>
    <n v="0"/>
    <x v="1"/>
    <s v="Female"/>
    <n v="1"/>
    <n v="51"/>
    <n v="3"/>
    <n v="2"/>
    <s v="Sales Representative"/>
    <n v="0"/>
    <n v="0"/>
    <n v="0"/>
    <n v="0"/>
    <n v="0"/>
    <n v="0"/>
    <n v="1"/>
    <n v="0"/>
    <n v="4"/>
    <x v="0"/>
    <n v="1"/>
    <n v="0"/>
    <n v="4502"/>
    <n v="4502"/>
    <n v="3"/>
    <x v="1"/>
    <n v="0"/>
    <n v="15"/>
    <n v="3"/>
    <n v="3"/>
    <n v="0"/>
    <n v="17"/>
    <n v="17"/>
    <n v="2"/>
    <n v="2"/>
    <n v="13"/>
    <n v="13"/>
    <n v="7"/>
    <n v="6"/>
    <n v="6"/>
    <n v="7"/>
    <n v="7"/>
    <n v="14"/>
  </r>
  <r>
    <n v="45"/>
    <n v="45"/>
    <x v="1"/>
    <n v="0"/>
    <s v="Non-Travel"/>
    <n v="0"/>
    <n v="0"/>
    <x v="1"/>
    <n v="1"/>
    <n v="0"/>
    <n v="1"/>
    <n v="1"/>
    <n v="1"/>
    <s v="Life Sciences"/>
    <n v="1"/>
    <n v="0"/>
    <n v="0"/>
    <n v="0"/>
    <n v="0"/>
    <x v="1"/>
    <s v="Male"/>
    <n v="0"/>
    <n v="74"/>
    <n v="2"/>
    <n v="3"/>
    <s v="Healthcare Representative"/>
    <n v="1"/>
    <n v="0"/>
    <n v="0"/>
    <n v="0"/>
    <n v="0"/>
    <n v="0"/>
    <n v="0"/>
    <n v="0"/>
    <n v="3"/>
    <x v="1"/>
    <n v="0"/>
    <n v="1"/>
    <n v="10748"/>
    <n v="10748"/>
    <n v="3"/>
    <x v="1"/>
    <n v="0"/>
    <n v="23"/>
    <n v="4"/>
    <n v="4"/>
    <n v="1"/>
    <n v="25"/>
    <n v="25"/>
    <n v="3"/>
    <n v="2"/>
    <n v="23"/>
    <n v="23"/>
    <n v="15"/>
    <n v="14"/>
    <n v="14"/>
    <n v="4"/>
    <n v="4"/>
    <n v="12"/>
  </r>
  <r>
    <n v="24"/>
    <n v="24"/>
    <x v="0"/>
    <n v="1"/>
    <s v="Travel_Rarely"/>
    <n v="0"/>
    <n v="1"/>
    <x v="2"/>
    <n v="0"/>
    <n v="0"/>
    <n v="22"/>
    <n v="22"/>
    <n v="1"/>
    <s v="Human Resources"/>
    <n v="0"/>
    <n v="0"/>
    <n v="0"/>
    <n v="0"/>
    <n v="0"/>
    <x v="2"/>
    <s v="Male"/>
    <n v="0"/>
    <n v="58"/>
    <n v="1"/>
    <n v="1"/>
    <s v="Human Resources"/>
    <n v="0"/>
    <n v="0"/>
    <n v="0"/>
    <n v="0"/>
    <n v="0"/>
    <n v="0"/>
    <n v="0"/>
    <n v="0"/>
    <n v="3"/>
    <x v="1"/>
    <n v="0"/>
    <n v="1"/>
    <n v="1555"/>
    <n v="1555"/>
    <n v="1"/>
    <x v="1"/>
    <n v="0"/>
    <n v="11"/>
    <n v="3"/>
    <n v="3"/>
    <n v="1"/>
    <n v="1"/>
    <n v="1"/>
    <n v="2"/>
    <n v="3"/>
    <n v="1"/>
    <n v="1"/>
    <n v="0"/>
    <n v="0"/>
    <n v="0"/>
    <n v="0"/>
    <n v="0"/>
    <n v="0"/>
  </r>
  <r>
    <n v="47"/>
    <n v="47"/>
    <x v="0"/>
    <n v="1"/>
    <s v="Travel_Frequently"/>
    <n v="1"/>
    <n v="0"/>
    <x v="0"/>
    <n v="0"/>
    <n v="1"/>
    <n v="9"/>
    <n v="9"/>
    <n v="3"/>
    <s v="Life Sciences"/>
    <n v="1"/>
    <n v="0"/>
    <n v="0"/>
    <n v="0"/>
    <n v="0"/>
    <x v="1"/>
    <s v="Male"/>
    <n v="0"/>
    <n v="82"/>
    <n v="1"/>
    <n v="4"/>
    <s v="Sales Executive"/>
    <n v="0"/>
    <n v="1"/>
    <n v="0"/>
    <n v="0"/>
    <n v="0"/>
    <n v="0"/>
    <n v="0"/>
    <n v="0"/>
    <n v="3"/>
    <x v="1"/>
    <n v="0"/>
    <n v="1"/>
    <n v="12936"/>
    <n v="12936"/>
    <n v="7"/>
    <x v="1"/>
    <n v="0"/>
    <n v="11"/>
    <n v="3"/>
    <n v="3"/>
    <n v="0"/>
    <n v="25"/>
    <n v="25"/>
    <n v="3"/>
    <n v="1"/>
    <n v="23"/>
    <n v="23"/>
    <n v="5"/>
    <n v="14"/>
    <n v="14"/>
    <n v="10"/>
    <n v="10"/>
    <n v="40"/>
  </r>
  <r>
    <n v="26"/>
    <n v="26"/>
    <x v="1"/>
    <n v="0"/>
    <s v="Travel_Rarely"/>
    <n v="0"/>
    <n v="1"/>
    <x v="1"/>
    <n v="1"/>
    <n v="0"/>
    <n v="17"/>
    <n v="17"/>
    <n v="4"/>
    <s v="Medical"/>
    <n v="0"/>
    <n v="0"/>
    <n v="1"/>
    <n v="0"/>
    <n v="0"/>
    <x v="2"/>
    <s v="Male"/>
    <n v="0"/>
    <n v="62"/>
    <n v="1"/>
    <n v="1"/>
    <s v="Laboratory Technician"/>
    <n v="0"/>
    <n v="0"/>
    <n v="1"/>
    <n v="0"/>
    <n v="0"/>
    <n v="0"/>
    <n v="0"/>
    <n v="0"/>
    <n v="3"/>
    <x v="1"/>
    <n v="0"/>
    <n v="1"/>
    <n v="2305"/>
    <n v="2305"/>
    <n v="1"/>
    <x v="1"/>
    <n v="0"/>
    <n v="15"/>
    <n v="3"/>
    <n v="3"/>
    <n v="3"/>
    <n v="3"/>
    <n v="3"/>
    <n v="3"/>
    <n v="4"/>
    <n v="3"/>
    <n v="3"/>
    <n v="2"/>
    <n v="0"/>
    <n v="0"/>
    <n v="2"/>
    <n v="2"/>
    <n v="2"/>
  </r>
  <r>
    <n v="45"/>
    <n v="45"/>
    <x v="1"/>
    <n v="0"/>
    <s v="Travel_Rarely"/>
    <n v="0"/>
    <n v="1"/>
    <x v="1"/>
    <n v="1"/>
    <n v="0"/>
    <n v="28"/>
    <n v="28"/>
    <n v="2"/>
    <s v="Technical Degree"/>
    <n v="0"/>
    <n v="0"/>
    <n v="0"/>
    <n v="0"/>
    <n v="1"/>
    <x v="2"/>
    <s v="Female"/>
    <n v="1"/>
    <n v="48"/>
    <n v="2"/>
    <n v="4"/>
    <s v="Research Director"/>
    <n v="0"/>
    <n v="0"/>
    <n v="0"/>
    <n v="0"/>
    <n v="0"/>
    <n v="0"/>
    <n v="0"/>
    <n v="0"/>
    <n v="2"/>
    <x v="0"/>
    <n v="1"/>
    <n v="0"/>
    <n v="16704"/>
    <n v="16704"/>
    <n v="1"/>
    <x v="1"/>
    <n v="0"/>
    <n v="11"/>
    <n v="3"/>
    <n v="3"/>
    <n v="0"/>
    <n v="21"/>
    <n v="21"/>
    <n v="2"/>
    <n v="3"/>
    <n v="21"/>
    <n v="21"/>
    <n v="6"/>
    <n v="8"/>
    <n v="8"/>
    <n v="6"/>
    <n v="6"/>
    <n v="24"/>
  </r>
  <r>
    <n v="32"/>
    <n v="32"/>
    <x v="1"/>
    <n v="0"/>
    <s v="Travel_Frequently"/>
    <n v="1"/>
    <n v="0"/>
    <x v="1"/>
    <n v="1"/>
    <n v="0"/>
    <n v="10"/>
    <n v="10"/>
    <n v="3"/>
    <s v="Life Sciences"/>
    <n v="1"/>
    <n v="0"/>
    <n v="0"/>
    <n v="0"/>
    <n v="0"/>
    <x v="3"/>
    <s v="Male"/>
    <n v="0"/>
    <n v="56"/>
    <n v="3"/>
    <n v="1"/>
    <s v="Research Scientist"/>
    <n v="0"/>
    <n v="0"/>
    <n v="0"/>
    <n v="0"/>
    <n v="0"/>
    <n v="0"/>
    <n v="0"/>
    <n v="1"/>
    <n v="3"/>
    <x v="1"/>
    <n v="0"/>
    <n v="1"/>
    <n v="3433"/>
    <n v="3433"/>
    <n v="6"/>
    <x v="1"/>
    <n v="0"/>
    <n v="13"/>
    <n v="3"/>
    <n v="1"/>
    <n v="1"/>
    <n v="10"/>
    <n v="10"/>
    <n v="3"/>
    <n v="2"/>
    <n v="5"/>
    <n v="5"/>
    <n v="2"/>
    <n v="1"/>
    <n v="1"/>
    <n v="3"/>
    <n v="3"/>
    <n v="3"/>
  </r>
  <r>
    <n v="31"/>
    <n v="31"/>
    <x v="1"/>
    <n v="0"/>
    <s v="Travel_Rarely"/>
    <n v="0"/>
    <n v="1"/>
    <x v="1"/>
    <n v="1"/>
    <n v="0"/>
    <n v="2"/>
    <n v="2"/>
    <n v="4"/>
    <s v="Life Sciences"/>
    <n v="1"/>
    <n v="0"/>
    <n v="0"/>
    <n v="0"/>
    <n v="0"/>
    <x v="0"/>
    <s v="Male"/>
    <n v="0"/>
    <n v="69"/>
    <n v="3"/>
    <n v="1"/>
    <s v="Laboratory Technician"/>
    <n v="0"/>
    <n v="0"/>
    <n v="1"/>
    <n v="0"/>
    <n v="0"/>
    <n v="0"/>
    <n v="0"/>
    <n v="0"/>
    <n v="3"/>
    <x v="1"/>
    <n v="0"/>
    <n v="1"/>
    <n v="3477"/>
    <n v="3477"/>
    <n v="1"/>
    <x v="1"/>
    <n v="0"/>
    <n v="14"/>
    <n v="3"/>
    <n v="4"/>
    <n v="1"/>
    <n v="6"/>
    <n v="6"/>
    <n v="2"/>
    <n v="4"/>
    <n v="5"/>
    <n v="5"/>
    <n v="2"/>
    <n v="0"/>
    <n v="0"/>
    <n v="3"/>
    <n v="3"/>
    <n v="3"/>
  </r>
  <r>
    <n v="41"/>
    <n v="41"/>
    <x v="1"/>
    <n v="0"/>
    <s v="Non-Travel"/>
    <n v="0"/>
    <n v="0"/>
    <x v="2"/>
    <n v="0"/>
    <n v="0"/>
    <n v="4"/>
    <n v="4"/>
    <n v="3"/>
    <s v="Human Resources"/>
    <n v="0"/>
    <n v="0"/>
    <n v="0"/>
    <n v="0"/>
    <n v="0"/>
    <x v="1"/>
    <s v="Male"/>
    <n v="0"/>
    <n v="60"/>
    <n v="1"/>
    <n v="2"/>
    <s v="Human Resources"/>
    <n v="0"/>
    <n v="0"/>
    <n v="0"/>
    <n v="0"/>
    <n v="0"/>
    <n v="0"/>
    <n v="0"/>
    <n v="0"/>
    <n v="2"/>
    <x v="1"/>
    <n v="0"/>
    <n v="1"/>
    <n v="6430"/>
    <n v="6430"/>
    <n v="6"/>
    <x v="1"/>
    <n v="0"/>
    <n v="19"/>
    <n v="3"/>
    <n v="2"/>
    <n v="1"/>
    <n v="10"/>
    <n v="10"/>
    <n v="4"/>
    <n v="3"/>
    <n v="3"/>
    <n v="3"/>
    <n v="2"/>
    <n v="1"/>
    <n v="1"/>
    <n v="2"/>
    <n v="2"/>
    <n v="4"/>
  </r>
  <r>
    <n v="40"/>
    <n v="40"/>
    <x v="1"/>
    <n v="0"/>
    <s v="Travel_Rarely"/>
    <n v="0"/>
    <n v="1"/>
    <x v="1"/>
    <n v="1"/>
    <n v="0"/>
    <n v="8"/>
    <n v="8"/>
    <n v="2"/>
    <s v="Life Sciences"/>
    <n v="1"/>
    <n v="0"/>
    <n v="0"/>
    <n v="0"/>
    <n v="0"/>
    <x v="0"/>
    <s v="Female"/>
    <n v="1"/>
    <n v="92"/>
    <n v="3"/>
    <n v="2"/>
    <s v="Manufacturing Director"/>
    <n v="0"/>
    <n v="0"/>
    <n v="0"/>
    <n v="0"/>
    <n v="1"/>
    <n v="1"/>
    <n v="0"/>
    <n v="0"/>
    <n v="1"/>
    <x v="1"/>
    <n v="0"/>
    <n v="1"/>
    <n v="6516"/>
    <n v="6516"/>
    <n v="2"/>
    <x v="0"/>
    <n v="1"/>
    <n v="16"/>
    <n v="3"/>
    <n v="2"/>
    <n v="1"/>
    <n v="18"/>
    <n v="18"/>
    <n v="3"/>
    <n v="3"/>
    <n v="1"/>
    <n v="1"/>
    <n v="0"/>
    <n v="0"/>
    <n v="0"/>
    <n v="0"/>
    <n v="0"/>
    <n v="0"/>
  </r>
  <r>
    <n v="24"/>
    <n v="24"/>
    <x v="1"/>
    <n v="0"/>
    <s v="Travel_Rarely"/>
    <n v="0"/>
    <n v="1"/>
    <x v="1"/>
    <n v="1"/>
    <n v="0"/>
    <n v="29"/>
    <n v="29"/>
    <n v="1"/>
    <s v="Medical"/>
    <n v="0"/>
    <n v="0"/>
    <n v="1"/>
    <n v="0"/>
    <n v="0"/>
    <x v="0"/>
    <s v="Male"/>
    <n v="0"/>
    <n v="91"/>
    <n v="3"/>
    <n v="1"/>
    <s v="Laboratory Technician"/>
    <n v="0"/>
    <n v="0"/>
    <n v="1"/>
    <n v="0"/>
    <n v="0"/>
    <n v="0"/>
    <n v="0"/>
    <n v="0"/>
    <n v="1"/>
    <x v="2"/>
    <n v="0"/>
    <n v="0"/>
    <n v="3907"/>
    <n v="3907"/>
    <n v="1"/>
    <x v="1"/>
    <n v="0"/>
    <n v="13"/>
    <n v="3"/>
    <n v="2"/>
    <n v="3"/>
    <n v="6"/>
    <n v="6"/>
    <n v="2"/>
    <n v="4"/>
    <n v="6"/>
    <n v="6"/>
    <n v="2"/>
    <n v="1"/>
    <n v="1"/>
    <n v="2"/>
    <n v="2"/>
    <n v="2"/>
  </r>
  <r>
    <n v="46"/>
    <n v="46"/>
    <x v="1"/>
    <n v="0"/>
    <s v="Travel_Rarely"/>
    <n v="0"/>
    <n v="1"/>
    <x v="1"/>
    <n v="1"/>
    <n v="0"/>
    <n v="13"/>
    <n v="13"/>
    <n v="4"/>
    <s v="Life Sciences"/>
    <n v="1"/>
    <n v="0"/>
    <n v="0"/>
    <n v="0"/>
    <n v="0"/>
    <x v="1"/>
    <s v="Male"/>
    <n v="0"/>
    <n v="34"/>
    <n v="3"/>
    <n v="2"/>
    <s v="Healthcare Representative"/>
    <n v="1"/>
    <n v="0"/>
    <n v="0"/>
    <n v="0"/>
    <n v="0"/>
    <n v="0"/>
    <n v="0"/>
    <n v="0"/>
    <n v="2"/>
    <x v="0"/>
    <n v="1"/>
    <n v="0"/>
    <n v="5562"/>
    <n v="5562"/>
    <n v="6"/>
    <x v="1"/>
    <n v="0"/>
    <n v="14"/>
    <n v="3"/>
    <n v="4"/>
    <n v="0"/>
    <n v="19"/>
    <n v="19"/>
    <n v="3"/>
    <n v="3"/>
    <n v="10"/>
    <n v="10"/>
    <n v="7"/>
    <n v="0"/>
    <n v="0"/>
    <n v="9"/>
    <n v="9"/>
    <n v="18"/>
  </r>
  <r>
    <n v="35"/>
    <n v="35"/>
    <x v="1"/>
    <n v="0"/>
    <s v="Travel_Rarely"/>
    <n v="0"/>
    <n v="1"/>
    <x v="1"/>
    <n v="1"/>
    <n v="0"/>
    <n v="27"/>
    <n v="27"/>
    <n v="4"/>
    <s v="Life Sciences"/>
    <n v="1"/>
    <n v="0"/>
    <n v="0"/>
    <n v="0"/>
    <n v="0"/>
    <x v="2"/>
    <s v="Male"/>
    <n v="0"/>
    <n v="49"/>
    <n v="3"/>
    <n v="2"/>
    <s v="Manufacturing Director"/>
    <n v="0"/>
    <n v="0"/>
    <n v="0"/>
    <n v="0"/>
    <n v="1"/>
    <n v="1"/>
    <n v="0"/>
    <n v="0"/>
    <n v="3"/>
    <x v="1"/>
    <n v="0"/>
    <n v="1"/>
    <n v="6883"/>
    <n v="6883"/>
    <n v="2"/>
    <x v="1"/>
    <n v="0"/>
    <n v="16"/>
    <n v="3"/>
    <n v="2"/>
    <n v="1"/>
    <n v="17"/>
    <n v="17"/>
    <n v="3"/>
    <n v="3"/>
    <n v="7"/>
    <n v="7"/>
    <n v="7"/>
    <n v="0"/>
    <n v="0"/>
    <n v="7"/>
    <n v="7"/>
    <n v="14"/>
  </r>
  <r>
    <n v="30"/>
    <n v="30"/>
    <x v="1"/>
    <n v="0"/>
    <s v="Travel_Rarely"/>
    <n v="0"/>
    <n v="1"/>
    <x v="1"/>
    <n v="1"/>
    <n v="0"/>
    <n v="16"/>
    <n v="16"/>
    <n v="1"/>
    <s v="Life Sciences"/>
    <n v="1"/>
    <n v="0"/>
    <n v="0"/>
    <n v="0"/>
    <n v="0"/>
    <x v="0"/>
    <s v="Male"/>
    <n v="0"/>
    <n v="33"/>
    <n v="3"/>
    <n v="1"/>
    <s v="Research Scientist"/>
    <n v="0"/>
    <n v="0"/>
    <n v="0"/>
    <n v="0"/>
    <n v="0"/>
    <n v="0"/>
    <n v="0"/>
    <n v="1"/>
    <n v="4"/>
    <x v="1"/>
    <n v="0"/>
    <n v="1"/>
    <n v="2862"/>
    <n v="2862"/>
    <n v="1"/>
    <x v="1"/>
    <n v="0"/>
    <n v="12"/>
    <n v="3"/>
    <n v="2"/>
    <n v="1"/>
    <n v="10"/>
    <n v="10"/>
    <n v="2"/>
    <n v="2"/>
    <n v="10"/>
    <n v="10"/>
    <n v="0"/>
    <n v="0"/>
    <n v="0"/>
    <n v="8"/>
    <n v="8"/>
    <n v="8"/>
  </r>
  <r>
    <n v="47"/>
    <n v="47"/>
    <x v="1"/>
    <n v="0"/>
    <s v="Non-Travel"/>
    <n v="0"/>
    <n v="0"/>
    <x v="0"/>
    <n v="0"/>
    <n v="1"/>
    <n v="2"/>
    <n v="2"/>
    <n v="4"/>
    <s v="Marketing"/>
    <n v="0"/>
    <n v="0"/>
    <n v="0"/>
    <n v="1"/>
    <n v="0"/>
    <x v="1"/>
    <s v="Male"/>
    <n v="0"/>
    <n v="87"/>
    <n v="3"/>
    <n v="2"/>
    <s v="Sales Executive"/>
    <n v="0"/>
    <n v="1"/>
    <n v="0"/>
    <n v="0"/>
    <n v="0"/>
    <n v="0"/>
    <n v="0"/>
    <n v="0"/>
    <n v="2"/>
    <x v="1"/>
    <n v="0"/>
    <n v="1"/>
    <n v="4978"/>
    <n v="4978"/>
    <n v="7"/>
    <x v="1"/>
    <n v="0"/>
    <n v="11"/>
    <n v="3"/>
    <n v="4"/>
    <n v="1"/>
    <n v="4"/>
    <n v="4"/>
    <n v="3"/>
    <n v="1"/>
    <n v="1"/>
    <n v="1"/>
    <n v="0"/>
    <n v="0"/>
    <n v="0"/>
    <n v="0"/>
    <n v="0"/>
    <n v="0"/>
  </r>
  <r>
    <n v="46"/>
    <n v="46"/>
    <x v="1"/>
    <n v="0"/>
    <s v="Travel_Rarely"/>
    <n v="0"/>
    <n v="1"/>
    <x v="0"/>
    <n v="0"/>
    <n v="1"/>
    <n v="2"/>
    <n v="2"/>
    <n v="3"/>
    <s v="Life Sciences"/>
    <n v="1"/>
    <n v="0"/>
    <n v="0"/>
    <n v="0"/>
    <n v="0"/>
    <x v="1"/>
    <s v="Male"/>
    <n v="0"/>
    <n v="74"/>
    <n v="3"/>
    <n v="3"/>
    <s v="Sales Executive"/>
    <n v="0"/>
    <n v="1"/>
    <n v="0"/>
    <n v="0"/>
    <n v="0"/>
    <n v="0"/>
    <n v="0"/>
    <n v="0"/>
    <n v="4"/>
    <x v="2"/>
    <n v="0"/>
    <n v="0"/>
    <n v="10368"/>
    <n v="10368"/>
    <n v="4"/>
    <x v="0"/>
    <n v="1"/>
    <n v="12"/>
    <n v="3"/>
    <n v="2"/>
    <n v="1"/>
    <n v="13"/>
    <n v="13"/>
    <n v="5"/>
    <n v="2"/>
    <n v="10"/>
    <n v="10"/>
    <n v="6"/>
    <n v="0"/>
    <n v="0"/>
    <n v="3"/>
    <n v="3"/>
    <n v="9"/>
  </r>
  <r>
    <n v="36"/>
    <n v="36"/>
    <x v="0"/>
    <n v="1"/>
    <s v="Travel_Rarely"/>
    <n v="0"/>
    <n v="1"/>
    <x v="0"/>
    <n v="0"/>
    <n v="1"/>
    <n v="13"/>
    <n v="13"/>
    <n v="5"/>
    <s v="Marketing"/>
    <n v="0"/>
    <n v="0"/>
    <n v="0"/>
    <n v="1"/>
    <n v="0"/>
    <x v="0"/>
    <s v="Male"/>
    <n v="0"/>
    <n v="96"/>
    <n v="2"/>
    <n v="2"/>
    <s v="Sales Executive"/>
    <n v="0"/>
    <n v="1"/>
    <n v="0"/>
    <n v="0"/>
    <n v="0"/>
    <n v="0"/>
    <n v="0"/>
    <n v="0"/>
    <n v="1"/>
    <x v="2"/>
    <n v="0"/>
    <n v="0"/>
    <n v="6134"/>
    <n v="6134"/>
    <n v="5"/>
    <x v="0"/>
    <n v="1"/>
    <n v="13"/>
    <n v="3"/>
    <n v="2"/>
    <n v="3"/>
    <n v="16"/>
    <n v="16"/>
    <n v="3"/>
    <n v="3"/>
    <n v="2"/>
    <n v="2"/>
    <n v="2"/>
    <n v="2"/>
    <n v="2"/>
    <n v="2"/>
    <n v="2"/>
    <n v="4"/>
  </r>
  <r>
    <n v="32"/>
    <n v="32"/>
    <x v="0"/>
    <n v="1"/>
    <s v="Travel_Rarely"/>
    <n v="0"/>
    <n v="1"/>
    <x v="0"/>
    <n v="0"/>
    <n v="1"/>
    <n v="1"/>
    <n v="1"/>
    <n v="2"/>
    <s v="Life Sciences"/>
    <n v="1"/>
    <n v="0"/>
    <n v="0"/>
    <n v="0"/>
    <n v="0"/>
    <x v="3"/>
    <s v="Male"/>
    <n v="0"/>
    <n v="34"/>
    <n v="1"/>
    <n v="2"/>
    <s v="Sales Executive"/>
    <n v="0"/>
    <n v="1"/>
    <n v="0"/>
    <n v="0"/>
    <n v="0"/>
    <n v="0"/>
    <n v="0"/>
    <n v="0"/>
    <n v="2"/>
    <x v="0"/>
    <n v="1"/>
    <n v="0"/>
    <n v="6735"/>
    <n v="6735"/>
    <n v="6"/>
    <x v="1"/>
    <n v="0"/>
    <n v="15"/>
    <n v="3"/>
    <n v="2"/>
    <n v="0"/>
    <n v="10"/>
    <n v="10"/>
    <n v="2"/>
    <n v="3"/>
    <n v="0"/>
    <n v="0"/>
    <n v="0"/>
    <n v="0"/>
    <n v="0"/>
    <n v="0"/>
    <n v="0"/>
    <n v="0"/>
  </r>
  <r>
    <n v="23"/>
    <n v="23"/>
    <x v="1"/>
    <n v="0"/>
    <s v="Travel_Rarely"/>
    <n v="0"/>
    <n v="1"/>
    <x v="1"/>
    <n v="1"/>
    <n v="0"/>
    <n v="4"/>
    <n v="4"/>
    <n v="1"/>
    <s v="Medical"/>
    <n v="0"/>
    <n v="0"/>
    <n v="1"/>
    <n v="0"/>
    <n v="0"/>
    <x v="1"/>
    <s v="Female"/>
    <n v="1"/>
    <n v="51"/>
    <n v="3"/>
    <n v="1"/>
    <s v="Laboratory Technician"/>
    <n v="0"/>
    <n v="0"/>
    <n v="1"/>
    <n v="0"/>
    <n v="0"/>
    <n v="0"/>
    <n v="0"/>
    <n v="0"/>
    <n v="2"/>
    <x v="0"/>
    <n v="1"/>
    <n v="0"/>
    <n v="3295"/>
    <n v="3295"/>
    <n v="1"/>
    <x v="1"/>
    <n v="0"/>
    <n v="13"/>
    <n v="3"/>
    <n v="3"/>
    <n v="0"/>
    <n v="3"/>
    <n v="3"/>
    <n v="3"/>
    <n v="1"/>
    <n v="3"/>
    <n v="3"/>
    <n v="2"/>
    <n v="1"/>
    <n v="1"/>
    <n v="2"/>
    <n v="2"/>
    <n v="2"/>
  </r>
  <r>
    <n v="31"/>
    <n v="31"/>
    <x v="1"/>
    <n v="0"/>
    <s v="Travel_Frequently"/>
    <n v="1"/>
    <n v="0"/>
    <x v="1"/>
    <n v="1"/>
    <n v="0"/>
    <n v="24"/>
    <n v="24"/>
    <n v="1"/>
    <s v="Technical Degree"/>
    <n v="0"/>
    <n v="0"/>
    <n v="0"/>
    <n v="0"/>
    <n v="1"/>
    <x v="2"/>
    <s v="Female"/>
    <n v="1"/>
    <n v="30"/>
    <n v="3"/>
    <n v="2"/>
    <s v="Manufacturing Director"/>
    <n v="0"/>
    <n v="0"/>
    <n v="0"/>
    <n v="0"/>
    <n v="1"/>
    <n v="1"/>
    <n v="0"/>
    <n v="0"/>
    <n v="4"/>
    <x v="0"/>
    <n v="1"/>
    <n v="0"/>
    <n v="5238"/>
    <n v="5238"/>
    <n v="2"/>
    <x v="1"/>
    <n v="0"/>
    <n v="20"/>
    <n v="4"/>
    <n v="4"/>
    <n v="0"/>
    <n v="9"/>
    <n v="9"/>
    <n v="3"/>
    <n v="2"/>
    <n v="5"/>
    <n v="5"/>
    <n v="4"/>
    <n v="1"/>
    <n v="1"/>
    <n v="4"/>
    <n v="4"/>
    <n v="8"/>
  </r>
  <r>
    <n v="39"/>
    <n v="39"/>
    <x v="1"/>
    <n v="0"/>
    <s v="Non-Travel"/>
    <n v="0"/>
    <n v="0"/>
    <x v="1"/>
    <n v="1"/>
    <n v="0"/>
    <n v="1"/>
    <n v="1"/>
    <n v="3"/>
    <s v="Life Sciences"/>
    <n v="1"/>
    <n v="0"/>
    <n v="0"/>
    <n v="0"/>
    <n v="0"/>
    <x v="2"/>
    <s v="Male"/>
    <n v="0"/>
    <n v="77"/>
    <n v="3"/>
    <n v="2"/>
    <s v="Laboratory Technician"/>
    <n v="0"/>
    <n v="0"/>
    <n v="1"/>
    <n v="0"/>
    <n v="0"/>
    <n v="0"/>
    <n v="0"/>
    <n v="0"/>
    <n v="4"/>
    <x v="1"/>
    <n v="0"/>
    <n v="1"/>
    <n v="6472"/>
    <n v="6472"/>
    <n v="1"/>
    <x v="0"/>
    <n v="1"/>
    <n v="15"/>
    <n v="3"/>
    <n v="4"/>
    <n v="1"/>
    <n v="9"/>
    <n v="9"/>
    <n v="2"/>
    <n v="3"/>
    <n v="9"/>
    <n v="9"/>
    <n v="8"/>
    <n v="5"/>
    <n v="5"/>
    <n v="8"/>
    <n v="8"/>
    <n v="16"/>
  </r>
  <r>
    <n v="32"/>
    <n v="32"/>
    <x v="1"/>
    <n v="0"/>
    <s v="Travel_Rarely"/>
    <n v="0"/>
    <n v="1"/>
    <x v="0"/>
    <n v="0"/>
    <n v="1"/>
    <n v="19"/>
    <n v="19"/>
    <n v="3"/>
    <s v="Life Sciences"/>
    <n v="1"/>
    <n v="0"/>
    <n v="0"/>
    <n v="0"/>
    <n v="0"/>
    <x v="2"/>
    <s v="Male"/>
    <n v="0"/>
    <n v="80"/>
    <n v="1"/>
    <n v="3"/>
    <s v="Sales Executive"/>
    <n v="0"/>
    <n v="1"/>
    <n v="0"/>
    <n v="0"/>
    <n v="0"/>
    <n v="0"/>
    <n v="0"/>
    <n v="0"/>
    <n v="3"/>
    <x v="1"/>
    <n v="0"/>
    <n v="1"/>
    <n v="9610"/>
    <n v="9610"/>
    <n v="3"/>
    <x v="1"/>
    <n v="0"/>
    <n v="13"/>
    <n v="3"/>
    <n v="3"/>
    <n v="1"/>
    <n v="10"/>
    <n v="10"/>
    <n v="2"/>
    <n v="1"/>
    <n v="4"/>
    <n v="4"/>
    <n v="3"/>
    <n v="0"/>
    <n v="0"/>
    <n v="2"/>
    <n v="2"/>
    <n v="6"/>
  </r>
  <r>
    <n v="40"/>
    <n v="40"/>
    <x v="1"/>
    <n v="0"/>
    <s v="Travel_Rarely"/>
    <n v="0"/>
    <n v="1"/>
    <x v="0"/>
    <n v="0"/>
    <n v="1"/>
    <n v="7"/>
    <n v="7"/>
    <n v="4"/>
    <s v="Medical"/>
    <n v="0"/>
    <n v="0"/>
    <n v="1"/>
    <n v="0"/>
    <n v="0"/>
    <x v="0"/>
    <s v="Male"/>
    <n v="0"/>
    <n v="88"/>
    <n v="3"/>
    <n v="5"/>
    <s v="Manager"/>
    <n v="0"/>
    <n v="0"/>
    <n v="0"/>
    <n v="1"/>
    <n v="0"/>
    <n v="0"/>
    <n v="0"/>
    <n v="0"/>
    <n v="2"/>
    <x v="0"/>
    <n v="1"/>
    <n v="0"/>
    <n v="19833"/>
    <n v="19626.310000000001"/>
    <n v="1"/>
    <x v="1"/>
    <n v="0"/>
    <n v="14"/>
    <n v="3"/>
    <n v="2"/>
    <n v="0"/>
    <n v="21"/>
    <n v="21"/>
    <n v="3"/>
    <n v="2"/>
    <n v="21"/>
    <n v="21"/>
    <n v="8"/>
    <n v="12"/>
    <n v="12"/>
    <n v="8"/>
    <n v="8"/>
    <n v="40"/>
  </r>
  <r>
    <n v="45"/>
    <n v="45"/>
    <x v="1"/>
    <n v="0"/>
    <s v="Travel_Rarely"/>
    <n v="0"/>
    <n v="1"/>
    <x v="2"/>
    <n v="0"/>
    <n v="0"/>
    <n v="4"/>
    <n v="4"/>
    <n v="3"/>
    <s v="Life Sciences"/>
    <n v="1"/>
    <n v="0"/>
    <n v="0"/>
    <n v="0"/>
    <n v="0"/>
    <x v="1"/>
    <s v="Female"/>
    <n v="1"/>
    <n v="56"/>
    <n v="1"/>
    <n v="3"/>
    <s v="Human Resources"/>
    <n v="0"/>
    <n v="0"/>
    <n v="0"/>
    <n v="0"/>
    <n v="0"/>
    <n v="0"/>
    <n v="0"/>
    <n v="0"/>
    <n v="3"/>
    <x v="1"/>
    <n v="0"/>
    <n v="1"/>
    <n v="9756"/>
    <n v="9756"/>
    <n v="4"/>
    <x v="1"/>
    <n v="0"/>
    <n v="21"/>
    <n v="4"/>
    <n v="3"/>
    <n v="2"/>
    <n v="9"/>
    <n v="9"/>
    <n v="2"/>
    <n v="4"/>
    <n v="5"/>
    <n v="5"/>
    <n v="0"/>
    <n v="0"/>
    <n v="0"/>
    <n v="3"/>
    <n v="3"/>
    <n v="9"/>
  </r>
  <r>
    <n v="30"/>
    <n v="30"/>
    <x v="1"/>
    <n v="0"/>
    <s v="Travel_Frequently"/>
    <n v="1"/>
    <n v="0"/>
    <x v="1"/>
    <n v="1"/>
    <n v="0"/>
    <n v="2"/>
    <n v="2"/>
    <n v="4"/>
    <s v="Technical Degree"/>
    <n v="0"/>
    <n v="0"/>
    <n v="0"/>
    <n v="0"/>
    <n v="1"/>
    <x v="2"/>
    <s v="Female"/>
    <n v="1"/>
    <n v="78"/>
    <n v="2"/>
    <n v="1"/>
    <s v="Research Scientist"/>
    <n v="0"/>
    <n v="0"/>
    <n v="0"/>
    <n v="0"/>
    <n v="0"/>
    <n v="0"/>
    <n v="0"/>
    <n v="1"/>
    <n v="1"/>
    <x v="0"/>
    <n v="1"/>
    <n v="0"/>
    <n v="4968"/>
    <n v="4968"/>
    <n v="0"/>
    <x v="1"/>
    <n v="0"/>
    <n v="16"/>
    <n v="3"/>
    <n v="4"/>
    <n v="0"/>
    <n v="10"/>
    <n v="10"/>
    <n v="2"/>
    <n v="3"/>
    <n v="9"/>
    <n v="9"/>
    <n v="7"/>
    <n v="0"/>
    <n v="0"/>
    <n v="7"/>
    <n v="7"/>
    <n v="7"/>
  </r>
  <r>
    <n v="24"/>
    <n v="24"/>
    <x v="1"/>
    <n v="0"/>
    <s v="Travel_Frequently"/>
    <n v="1"/>
    <n v="0"/>
    <x v="2"/>
    <n v="0"/>
    <n v="0"/>
    <n v="10"/>
    <n v="10"/>
    <n v="3"/>
    <s v="Medical"/>
    <n v="0"/>
    <n v="0"/>
    <n v="1"/>
    <n v="0"/>
    <n v="0"/>
    <x v="3"/>
    <s v="Male"/>
    <n v="0"/>
    <n v="59"/>
    <n v="3"/>
    <n v="1"/>
    <s v="Human Resources"/>
    <n v="0"/>
    <n v="0"/>
    <n v="0"/>
    <n v="0"/>
    <n v="0"/>
    <n v="0"/>
    <n v="0"/>
    <n v="0"/>
    <n v="4"/>
    <x v="1"/>
    <n v="0"/>
    <n v="1"/>
    <n v="2145"/>
    <n v="2145"/>
    <n v="0"/>
    <x v="1"/>
    <n v="0"/>
    <n v="14"/>
    <n v="3"/>
    <n v="4"/>
    <n v="1"/>
    <n v="3"/>
    <n v="3"/>
    <n v="2"/>
    <n v="3"/>
    <n v="2"/>
    <n v="2"/>
    <n v="2"/>
    <n v="2"/>
    <n v="2"/>
    <n v="1"/>
    <n v="1"/>
    <n v="1"/>
  </r>
  <r>
    <n v="30"/>
    <n v="30"/>
    <x v="0"/>
    <n v="1"/>
    <s v="Travel_Frequently"/>
    <n v="1"/>
    <n v="0"/>
    <x v="2"/>
    <n v="0"/>
    <n v="0"/>
    <n v="8"/>
    <n v="8"/>
    <n v="3"/>
    <s v="Human Resources"/>
    <n v="0"/>
    <n v="0"/>
    <n v="0"/>
    <n v="0"/>
    <n v="0"/>
    <x v="1"/>
    <s v="Female"/>
    <n v="1"/>
    <n v="66"/>
    <n v="2"/>
    <n v="1"/>
    <s v="Human Resources"/>
    <n v="0"/>
    <n v="0"/>
    <n v="0"/>
    <n v="0"/>
    <n v="0"/>
    <n v="0"/>
    <n v="0"/>
    <n v="0"/>
    <n v="4"/>
    <x v="2"/>
    <n v="0"/>
    <n v="0"/>
    <n v="2180"/>
    <n v="2180"/>
    <n v="6"/>
    <x v="1"/>
    <n v="0"/>
    <n v="11"/>
    <n v="3"/>
    <n v="3"/>
    <n v="1"/>
    <n v="6"/>
    <n v="6"/>
    <n v="0"/>
    <n v="2"/>
    <n v="4"/>
    <n v="4"/>
    <n v="2"/>
    <n v="1"/>
    <n v="1"/>
    <n v="2"/>
    <n v="2"/>
    <n v="2"/>
  </r>
  <r>
    <n v="31"/>
    <n v="31"/>
    <x v="1"/>
    <n v="0"/>
    <s v="Travel_Rarely"/>
    <n v="0"/>
    <n v="1"/>
    <x v="0"/>
    <n v="0"/>
    <n v="1"/>
    <n v="5"/>
    <n v="5"/>
    <n v="3"/>
    <s v="Technical Degree"/>
    <n v="0"/>
    <n v="0"/>
    <n v="0"/>
    <n v="0"/>
    <n v="1"/>
    <x v="3"/>
    <s v="Male"/>
    <n v="0"/>
    <n v="51"/>
    <n v="3"/>
    <n v="2"/>
    <s v="Sales Executive"/>
    <n v="0"/>
    <n v="1"/>
    <n v="0"/>
    <n v="0"/>
    <n v="0"/>
    <n v="0"/>
    <n v="0"/>
    <n v="0"/>
    <n v="3"/>
    <x v="1"/>
    <n v="0"/>
    <n v="1"/>
    <n v="8346"/>
    <n v="8346"/>
    <n v="1"/>
    <x v="1"/>
    <n v="0"/>
    <n v="19"/>
    <n v="3"/>
    <n v="3"/>
    <n v="1"/>
    <n v="6"/>
    <n v="6"/>
    <n v="3"/>
    <n v="3"/>
    <n v="5"/>
    <n v="5"/>
    <n v="2"/>
    <n v="0"/>
    <n v="0"/>
    <n v="2"/>
    <n v="2"/>
    <n v="4"/>
  </r>
  <r>
    <n v="27"/>
    <n v="27"/>
    <x v="1"/>
    <n v="0"/>
    <s v="Travel_Rarely"/>
    <n v="0"/>
    <n v="1"/>
    <x v="1"/>
    <n v="1"/>
    <n v="0"/>
    <n v="8"/>
    <n v="8"/>
    <n v="3"/>
    <s v="Medical"/>
    <n v="0"/>
    <n v="0"/>
    <n v="1"/>
    <n v="0"/>
    <n v="0"/>
    <x v="1"/>
    <s v="Female"/>
    <n v="1"/>
    <n v="67"/>
    <n v="3"/>
    <n v="1"/>
    <s v="Research Scientist"/>
    <n v="0"/>
    <n v="0"/>
    <n v="0"/>
    <n v="0"/>
    <n v="0"/>
    <n v="0"/>
    <n v="0"/>
    <n v="1"/>
    <n v="4"/>
    <x v="0"/>
    <n v="1"/>
    <n v="0"/>
    <n v="3445"/>
    <n v="3445"/>
    <n v="1"/>
    <x v="1"/>
    <n v="0"/>
    <n v="11"/>
    <n v="3"/>
    <n v="3"/>
    <n v="0"/>
    <n v="6"/>
    <n v="6"/>
    <n v="5"/>
    <n v="2"/>
    <n v="6"/>
    <n v="6"/>
    <n v="2"/>
    <n v="1"/>
    <n v="1"/>
    <n v="4"/>
    <n v="4"/>
    <n v="4"/>
  </r>
  <r>
    <n v="29"/>
    <n v="29"/>
    <x v="0"/>
    <n v="1"/>
    <s v="Travel_Rarely"/>
    <n v="0"/>
    <n v="1"/>
    <x v="0"/>
    <n v="0"/>
    <n v="1"/>
    <n v="9"/>
    <n v="9"/>
    <n v="3"/>
    <s v="Marketing"/>
    <n v="0"/>
    <n v="0"/>
    <n v="0"/>
    <n v="1"/>
    <n v="0"/>
    <x v="0"/>
    <s v="Female"/>
    <n v="1"/>
    <n v="52"/>
    <n v="1"/>
    <n v="1"/>
    <s v="Sales Representative"/>
    <n v="0"/>
    <n v="0"/>
    <n v="0"/>
    <n v="0"/>
    <n v="0"/>
    <n v="0"/>
    <n v="1"/>
    <n v="0"/>
    <n v="2"/>
    <x v="0"/>
    <n v="1"/>
    <n v="0"/>
    <n v="2760"/>
    <n v="2760"/>
    <n v="1"/>
    <x v="1"/>
    <n v="0"/>
    <n v="13"/>
    <n v="3"/>
    <n v="3"/>
    <n v="0"/>
    <n v="2"/>
    <n v="2"/>
    <n v="3"/>
    <n v="3"/>
    <n v="2"/>
    <n v="2"/>
    <n v="2"/>
    <n v="2"/>
    <n v="2"/>
    <n v="2"/>
    <n v="2"/>
    <n v="2"/>
  </r>
  <r>
    <n v="29"/>
    <n v="29"/>
    <x v="1"/>
    <n v="0"/>
    <s v="Travel_Frequently"/>
    <n v="1"/>
    <n v="0"/>
    <x v="1"/>
    <n v="1"/>
    <n v="0"/>
    <n v="1"/>
    <n v="1"/>
    <n v="3"/>
    <s v="Life Sciences"/>
    <n v="1"/>
    <n v="0"/>
    <n v="0"/>
    <n v="0"/>
    <n v="0"/>
    <x v="2"/>
    <s v="Male"/>
    <n v="0"/>
    <n v="70"/>
    <n v="4"/>
    <n v="2"/>
    <s v="Healthcare Representative"/>
    <n v="1"/>
    <n v="0"/>
    <n v="0"/>
    <n v="0"/>
    <n v="0"/>
    <n v="0"/>
    <n v="0"/>
    <n v="0"/>
    <n v="3"/>
    <x v="0"/>
    <n v="1"/>
    <n v="0"/>
    <n v="6294"/>
    <n v="6294"/>
    <n v="8"/>
    <x v="0"/>
    <n v="1"/>
    <n v="12"/>
    <n v="3"/>
    <n v="4"/>
    <n v="0"/>
    <n v="10"/>
    <n v="10"/>
    <n v="5"/>
    <n v="4"/>
    <n v="3"/>
    <n v="3"/>
    <n v="2"/>
    <n v="0"/>
    <n v="0"/>
    <n v="2"/>
    <n v="2"/>
    <n v="4"/>
  </r>
  <r>
    <n v="30"/>
    <n v="30"/>
    <x v="1"/>
    <n v="0"/>
    <s v="Travel_Rarely"/>
    <n v="0"/>
    <n v="1"/>
    <x v="0"/>
    <n v="0"/>
    <n v="1"/>
    <n v="15"/>
    <n v="15"/>
    <n v="2"/>
    <s v="Marketing"/>
    <n v="0"/>
    <n v="0"/>
    <n v="0"/>
    <n v="1"/>
    <n v="0"/>
    <x v="1"/>
    <s v="Male"/>
    <n v="0"/>
    <n v="94"/>
    <n v="2"/>
    <n v="3"/>
    <s v="Sales Executive"/>
    <n v="0"/>
    <n v="1"/>
    <n v="0"/>
    <n v="0"/>
    <n v="0"/>
    <n v="0"/>
    <n v="0"/>
    <n v="0"/>
    <n v="1"/>
    <x v="2"/>
    <n v="0"/>
    <n v="0"/>
    <n v="7140"/>
    <n v="7140"/>
    <n v="2"/>
    <x v="1"/>
    <n v="0"/>
    <n v="11"/>
    <n v="3"/>
    <n v="1"/>
    <n v="1"/>
    <n v="12"/>
    <n v="12"/>
    <n v="2"/>
    <n v="3"/>
    <n v="7"/>
    <n v="7"/>
    <n v="7"/>
    <n v="1"/>
    <n v="1"/>
    <n v="7"/>
    <n v="7"/>
    <n v="21"/>
  </r>
  <r>
    <n v="34"/>
    <n v="34"/>
    <x v="1"/>
    <n v="0"/>
    <s v="Travel_Rarely"/>
    <n v="0"/>
    <n v="1"/>
    <x v="1"/>
    <n v="1"/>
    <n v="0"/>
    <n v="2"/>
    <n v="2"/>
    <n v="4"/>
    <s v="Medical"/>
    <n v="0"/>
    <n v="0"/>
    <n v="1"/>
    <n v="0"/>
    <n v="0"/>
    <x v="2"/>
    <s v="Male"/>
    <n v="0"/>
    <n v="97"/>
    <n v="4"/>
    <n v="1"/>
    <s v="Research Scientist"/>
    <n v="0"/>
    <n v="0"/>
    <n v="0"/>
    <n v="0"/>
    <n v="0"/>
    <n v="0"/>
    <n v="0"/>
    <n v="1"/>
    <n v="4"/>
    <x v="1"/>
    <n v="0"/>
    <n v="1"/>
    <n v="2932"/>
    <n v="2932"/>
    <n v="0"/>
    <x v="0"/>
    <n v="1"/>
    <n v="14"/>
    <n v="3"/>
    <n v="1"/>
    <n v="3"/>
    <n v="6"/>
    <n v="6"/>
    <n v="3"/>
    <n v="3"/>
    <n v="5"/>
    <n v="5"/>
    <n v="0"/>
    <n v="1"/>
    <n v="1"/>
    <n v="2"/>
    <n v="2"/>
    <n v="2"/>
  </r>
  <r>
    <n v="33"/>
    <n v="33"/>
    <x v="1"/>
    <n v="0"/>
    <s v="Non-Travel"/>
    <n v="0"/>
    <n v="0"/>
    <x v="0"/>
    <n v="0"/>
    <n v="1"/>
    <n v="2"/>
    <n v="2"/>
    <n v="3"/>
    <s v="Marketing"/>
    <n v="0"/>
    <n v="0"/>
    <n v="0"/>
    <n v="1"/>
    <n v="0"/>
    <x v="2"/>
    <s v="Female"/>
    <n v="1"/>
    <n v="62"/>
    <n v="3"/>
    <n v="2"/>
    <s v="Sales Executive"/>
    <n v="0"/>
    <n v="1"/>
    <n v="0"/>
    <n v="0"/>
    <n v="0"/>
    <n v="0"/>
    <n v="0"/>
    <n v="0"/>
    <n v="2"/>
    <x v="0"/>
    <n v="1"/>
    <n v="0"/>
    <n v="5147"/>
    <n v="5147"/>
    <n v="8"/>
    <x v="1"/>
    <n v="0"/>
    <n v="15"/>
    <n v="3"/>
    <n v="4"/>
    <n v="0"/>
    <n v="13"/>
    <n v="13"/>
    <n v="2"/>
    <n v="2"/>
    <n v="11"/>
    <n v="11"/>
    <n v="7"/>
    <n v="1"/>
    <n v="1"/>
    <n v="7"/>
    <n v="7"/>
    <n v="14"/>
  </r>
  <r>
    <n v="49"/>
    <n v="49"/>
    <x v="1"/>
    <n v="0"/>
    <s v="Travel_Rarely"/>
    <n v="0"/>
    <n v="1"/>
    <x v="0"/>
    <n v="0"/>
    <n v="1"/>
    <n v="11"/>
    <n v="11"/>
    <n v="4"/>
    <s v="Marketing"/>
    <n v="0"/>
    <n v="0"/>
    <n v="0"/>
    <n v="1"/>
    <n v="0"/>
    <x v="2"/>
    <s v="Female"/>
    <n v="1"/>
    <n v="80"/>
    <n v="3"/>
    <n v="2"/>
    <s v="Sales Executive"/>
    <n v="0"/>
    <n v="1"/>
    <n v="0"/>
    <n v="0"/>
    <n v="0"/>
    <n v="0"/>
    <n v="0"/>
    <n v="0"/>
    <n v="4"/>
    <x v="0"/>
    <n v="1"/>
    <n v="0"/>
    <n v="4507"/>
    <n v="4507"/>
    <n v="3"/>
    <x v="1"/>
    <n v="0"/>
    <n v="12"/>
    <n v="3"/>
    <n v="3"/>
    <n v="0"/>
    <n v="8"/>
    <n v="8"/>
    <n v="1"/>
    <n v="4"/>
    <n v="5"/>
    <n v="5"/>
    <n v="1"/>
    <n v="0"/>
    <n v="0"/>
    <n v="4"/>
    <n v="4"/>
    <n v="8"/>
  </r>
  <r>
    <n v="33"/>
    <n v="33"/>
    <x v="0"/>
    <n v="1"/>
    <s v="Travel_Rarely"/>
    <n v="0"/>
    <n v="1"/>
    <x v="0"/>
    <n v="0"/>
    <n v="1"/>
    <n v="16"/>
    <n v="16"/>
    <n v="3"/>
    <s v="Life Sciences"/>
    <n v="1"/>
    <n v="0"/>
    <n v="0"/>
    <n v="0"/>
    <n v="0"/>
    <x v="3"/>
    <s v="Female"/>
    <n v="1"/>
    <n v="74"/>
    <n v="3"/>
    <n v="3"/>
    <s v="Sales Executive"/>
    <n v="0"/>
    <n v="1"/>
    <n v="0"/>
    <n v="0"/>
    <n v="0"/>
    <n v="0"/>
    <n v="0"/>
    <n v="0"/>
    <n v="1"/>
    <x v="0"/>
    <n v="1"/>
    <n v="0"/>
    <n v="8564"/>
    <n v="8564"/>
    <n v="2"/>
    <x v="0"/>
    <n v="1"/>
    <n v="20"/>
    <n v="4"/>
    <n v="3"/>
    <n v="0"/>
    <n v="11"/>
    <n v="11"/>
    <n v="2"/>
    <n v="2"/>
    <n v="0"/>
    <n v="0"/>
    <n v="0"/>
    <n v="0"/>
    <n v="0"/>
    <n v="0"/>
    <n v="0"/>
    <n v="0"/>
  </r>
  <r>
    <n v="38"/>
    <n v="38"/>
    <x v="1"/>
    <n v="0"/>
    <s v="Travel_Frequently"/>
    <n v="1"/>
    <n v="0"/>
    <x v="1"/>
    <n v="1"/>
    <n v="0"/>
    <n v="2"/>
    <n v="2"/>
    <n v="2"/>
    <s v="Medical"/>
    <n v="0"/>
    <n v="0"/>
    <n v="1"/>
    <n v="0"/>
    <n v="0"/>
    <x v="1"/>
    <s v="Female"/>
    <n v="1"/>
    <n v="75"/>
    <n v="2"/>
    <n v="1"/>
    <s v="Laboratory Technician"/>
    <n v="0"/>
    <n v="0"/>
    <n v="1"/>
    <n v="0"/>
    <n v="0"/>
    <n v="0"/>
    <n v="0"/>
    <n v="0"/>
    <n v="2"/>
    <x v="1"/>
    <n v="0"/>
    <n v="1"/>
    <n v="2468"/>
    <n v="2468"/>
    <n v="4"/>
    <x v="1"/>
    <n v="0"/>
    <n v="14"/>
    <n v="3"/>
    <n v="2"/>
    <n v="1"/>
    <n v="9"/>
    <n v="9"/>
    <n v="4"/>
    <n v="2"/>
    <n v="6"/>
    <n v="6"/>
    <n v="1"/>
    <n v="0"/>
    <n v="0"/>
    <n v="5"/>
    <n v="5"/>
    <n v="5"/>
  </r>
  <r>
    <n v="31"/>
    <n v="31"/>
    <x v="0"/>
    <n v="1"/>
    <s v="Travel_Rarely"/>
    <n v="0"/>
    <n v="1"/>
    <x v="0"/>
    <n v="0"/>
    <n v="1"/>
    <n v="16"/>
    <n v="16"/>
    <n v="4"/>
    <s v="Marketing"/>
    <n v="0"/>
    <n v="0"/>
    <n v="0"/>
    <n v="1"/>
    <n v="0"/>
    <x v="3"/>
    <s v="Male"/>
    <n v="0"/>
    <n v="70"/>
    <n v="3"/>
    <n v="3"/>
    <s v="Sales Executive"/>
    <n v="0"/>
    <n v="1"/>
    <n v="0"/>
    <n v="0"/>
    <n v="0"/>
    <n v="0"/>
    <n v="0"/>
    <n v="0"/>
    <n v="3"/>
    <x v="1"/>
    <n v="0"/>
    <n v="1"/>
    <n v="8161"/>
    <n v="8161"/>
    <n v="2"/>
    <x v="1"/>
    <n v="0"/>
    <n v="13"/>
    <n v="3"/>
    <n v="1"/>
    <n v="3"/>
    <n v="10"/>
    <n v="10"/>
    <n v="2"/>
    <n v="3"/>
    <n v="1"/>
    <n v="1"/>
    <n v="0"/>
    <n v="0"/>
    <n v="0"/>
    <n v="0"/>
    <n v="0"/>
    <n v="0"/>
  </r>
  <r>
    <n v="29"/>
    <n v="29"/>
    <x v="1"/>
    <n v="0"/>
    <s v="Travel_Rarely"/>
    <n v="0"/>
    <n v="1"/>
    <x v="1"/>
    <n v="1"/>
    <n v="0"/>
    <n v="4"/>
    <n v="4"/>
    <n v="3"/>
    <s v="Technical Degree"/>
    <n v="0"/>
    <n v="0"/>
    <n v="0"/>
    <n v="0"/>
    <n v="1"/>
    <x v="2"/>
    <s v="Female"/>
    <n v="1"/>
    <n v="91"/>
    <n v="2"/>
    <n v="1"/>
    <s v="Research Scientist"/>
    <n v="0"/>
    <n v="0"/>
    <n v="0"/>
    <n v="0"/>
    <n v="0"/>
    <n v="0"/>
    <n v="0"/>
    <n v="1"/>
    <n v="1"/>
    <x v="2"/>
    <n v="0"/>
    <n v="0"/>
    <n v="2109"/>
    <n v="2109"/>
    <n v="1"/>
    <x v="1"/>
    <n v="0"/>
    <n v="13"/>
    <n v="3"/>
    <n v="3"/>
    <n v="1"/>
    <n v="1"/>
    <n v="1"/>
    <n v="2"/>
    <n v="3"/>
    <n v="1"/>
    <n v="1"/>
    <n v="0"/>
    <n v="0"/>
    <n v="0"/>
    <n v="0"/>
    <n v="0"/>
    <n v="0"/>
  </r>
  <r>
    <n v="30"/>
    <n v="30"/>
    <x v="1"/>
    <n v="0"/>
    <s v="Travel_Rarely"/>
    <n v="0"/>
    <n v="1"/>
    <x v="1"/>
    <n v="1"/>
    <n v="0"/>
    <n v="16"/>
    <n v="16"/>
    <n v="3"/>
    <s v="Life Sciences"/>
    <n v="1"/>
    <n v="0"/>
    <n v="0"/>
    <n v="0"/>
    <n v="0"/>
    <x v="1"/>
    <s v="Male"/>
    <n v="0"/>
    <n v="58"/>
    <n v="4"/>
    <n v="2"/>
    <s v="Healthcare Representative"/>
    <n v="1"/>
    <n v="0"/>
    <n v="0"/>
    <n v="0"/>
    <n v="0"/>
    <n v="0"/>
    <n v="0"/>
    <n v="0"/>
    <n v="3"/>
    <x v="1"/>
    <n v="0"/>
    <n v="1"/>
    <n v="5294"/>
    <n v="5294"/>
    <n v="3"/>
    <x v="1"/>
    <n v="0"/>
    <n v="16"/>
    <n v="3"/>
    <n v="3"/>
    <n v="1"/>
    <n v="10"/>
    <n v="10"/>
    <n v="3"/>
    <n v="3"/>
    <n v="7"/>
    <n v="7"/>
    <n v="0"/>
    <n v="1"/>
    <n v="1"/>
    <n v="7"/>
    <n v="7"/>
    <n v="14"/>
  </r>
  <r>
    <n v="32"/>
    <n v="32"/>
    <x v="1"/>
    <n v="0"/>
    <s v="Non-Travel"/>
    <n v="0"/>
    <n v="0"/>
    <x v="1"/>
    <n v="1"/>
    <n v="0"/>
    <n v="5"/>
    <n v="5"/>
    <n v="4"/>
    <s v="Technical Degree"/>
    <n v="0"/>
    <n v="0"/>
    <n v="0"/>
    <n v="0"/>
    <n v="1"/>
    <x v="0"/>
    <s v="Male"/>
    <n v="0"/>
    <n v="65"/>
    <n v="3"/>
    <n v="1"/>
    <s v="Research Scientist"/>
    <n v="0"/>
    <n v="0"/>
    <n v="0"/>
    <n v="0"/>
    <n v="0"/>
    <n v="0"/>
    <n v="0"/>
    <n v="1"/>
    <n v="2"/>
    <x v="0"/>
    <n v="1"/>
    <n v="0"/>
    <n v="2718"/>
    <n v="2718"/>
    <n v="2"/>
    <x v="1"/>
    <n v="0"/>
    <n v="14"/>
    <n v="3"/>
    <n v="2"/>
    <n v="0"/>
    <n v="12"/>
    <n v="12"/>
    <n v="3"/>
    <n v="3"/>
    <n v="7"/>
    <n v="7"/>
    <n v="7"/>
    <n v="0"/>
    <n v="0"/>
    <n v="7"/>
    <n v="7"/>
    <n v="7"/>
  </r>
  <r>
    <n v="38"/>
    <n v="38"/>
    <x v="1"/>
    <n v="0"/>
    <s v="Travel_Rarely"/>
    <n v="0"/>
    <n v="1"/>
    <x v="1"/>
    <n v="1"/>
    <n v="0"/>
    <n v="18"/>
    <n v="18"/>
    <n v="3"/>
    <s v="Medical"/>
    <n v="0"/>
    <n v="0"/>
    <n v="1"/>
    <n v="0"/>
    <n v="0"/>
    <x v="0"/>
    <s v="Male"/>
    <n v="0"/>
    <n v="60"/>
    <n v="1"/>
    <n v="2"/>
    <s v="Healthcare Representative"/>
    <n v="1"/>
    <n v="0"/>
    <n v="0"/>
    <n v="0"/>
    <n v="0"/>
    <n v="0"/>
    <n v="0"/>
    <n v="0"/>
    <n v="4"/>
    <x v="1"/>
    <n v="0"/>
    <n v="1"/>
    <n v="5811"/>
    <n v="5811"/>
    <n v="3"/>
    <x v="0"/>
    <n v="1"/>
    <n v="16"/>
    <n v="3"/>
    <n v="3"/>
    <n v="1"/>
    <n v="15"/>
    <n v="15"/>
    <n v="2"/>
    <n v="3"/>
    <n v="1"/>
    <n v="1"/>
    <n v="0"/>
    <n v="1"/>
    <n v="1"/>
    <n v="0"/>
    <n v="0"/>
    <n v="0"/>
  </r>
  <r>
    <n v="43"/>
    <n v="43"/>
    <x v="0"/>
    <n v="1"/>
    <s v="Travel_Frequently"/>
    <n v="1"/>
    <n v="0"/>
    <x v="1"/>
    <n v="1"/>
    <n v="0"/>
    <n v="17"/>
    <n v="17"/>
    <n v="3"/>
    <s v="Technical Degree"/>
    <n v="0"/>
    <n v="0"/>
    <n v="0"/>
    <n v="0"/>
    <n v="1"/>
    <x v="1"/>
    <s v="Male"/>
    <n v="0"/>
    <n v="38"/>
    <n v="2"/>
    <n v="1"/>
    <s v="Research Scientist"/>
    <n v="0"/>
    <n v="0"/>
    <n v="0"/>
    <n v="0"/>
    <n v="0"/>
    <n v="0"/>
    <n v="0"/>
    <n v="1"/>
    <n v="3"/>
    <x v="1"/>
    <n v="0"/>
    <n v="1"/>
    <n v="2437"/>
    <n v="2437"/>
    <n v="9"/>
    <x v="0"/>
    <n v="1"/>
    <n v="16"/>
    <n v="3"/>
    <n v="4"/>
    <n v="1"/>
    <n v="6"/>
    <n v="6"/>
    <n v="4"/>
    <n v="3"/>
    <n v="1"/>
    <n v="1"/>
    <n v="0"/>
    <n v="0"/>
    <n v="0"/>
    <n v="0"/>
    <n v="0"/>
    <n v="0"/>
  </r>
  <r>
    <n v="42"/>
    <n v="42"/>
    <x v="1"/>
    <n v="0"/>
    <s v="Travel_Rarely"/>
    <n v="0"/>
    <n v="1"/>
    <x v="1"/>
    <n v="1"/>
    <n v="0"/>
    <n v="12"/>
    <n v="12"/>
    <n v="3"/>
    <s v="Medical"/>
    <n v="0"/>
    <n v="0"/>
    <n v="1"/>
    <n v="0"/>
    <n v="0"/>
    <x v="0"/>
    <s v="Male"/>
    <n v="0"/>
    <n v="57"/>
    <n v="3"/>
    <n v="1"/>
    <s v="Laboratory Technician"/>
    <n v="0"/>
    <n v="0"/>
    <n v="1"/>
    <n v="0"/>
    <n v="0"/>
    <n v="0"/>
    <n v="0"/>
    <n v="0"/>
    <n v="2"/>
    <x v="2"/>
    <n v="0"/>
    <n v="0"/>
    <n v="2766"/>
    <n v="2766"/>
    <n v="8"/>
    <x v="1"/>
    <n v="0"/>
    <n v="22"/>
    <n v="4"/>
    <n v="2"/>
    <n v="3"/>
    <n v="7"/>
    <n v="7"/>
    <n v="6"/>
    <n v="2"/>
    <n v="5"/>
    <n v="5"/>
    <n v="3"/>
    <n v="0"/>
    <n v="0"/>
    <n v="4"/>
    <n v="4"/>
    <n v="4"/>
  </r>
  <r>
    <n v="55"/>
    <n v="55"/>
    <x v="1"/>
    <n v="0"/>
    <s v="Travel_Rarely"/>
    <n v="0"/>
    <n v="1"/>
    <x v="1"/>
    <n v="1"/>
    <n v="0"/>
    <n v="2"/>
    <n v="2"/>
    <n v="3"/>
    <s v="Medical"/>
    <n v="0"/>
    <n v="0"/>
    <n v="1"/>
    <n v="0"/>
    <n v="0"/>
    <x v="1"/>
    <s v="Male"/>
    <n v="0"/>
    <n v="60"/>
    <n v="2"/>
    <n v="5"/>
    <s v="Research Director"/>
    <n v="0"/>
    <n v="0"/>
    <n v="0"/>
    <n v="0"/>
    <n v="0"/>
    <n v="0"/>
    <n v="0"/>
    <n v="0"/>
    <n v="1"/>
    <x v="1"/>
    <n v="0"/>
    <n v="1"/>
    <n v="19038"/>
    <n v="19038"/>
    <n v="8"/>
    <x v="1"/>
    <n v="0"/>
    <n v="12"/>
    <n v="3"/>
    <n v="2"/>
    <n v="3"/>
    <n v="34"/>
    <n v="34"/>
    <n v="2"/>
    <n v="3"/>
    <n v="1"/>
    <n v="1"/>
    <n v="0"/>
    <n v="0"/>
    <n v="0"/>
    <n v="0"/>
    <n v="0"/>
    <n v="0"/>
  </r>
  <r>
    <n v="33"/>
    <n v="33"/>
    <x v="1"/>
    <n v="0"/>
    <s v="Non-Travel"/>
    <n v="0"/>
    <n v="0"/>
    <x v="1"/>
    <n v="1"/>
    <n v="0"/>
    <n v="4"/>
    <n v="4"/>
    <n v="3"/>
    <s v="Technical Degree"/>
    <n v="0"/>
    <n v="0"/>
    <n v="0"/>
    <n v="0"/>
    <n v="1"/>
    <x v="2"/>
    <s v="Male"/>
    <n v="0"/>
    <n v="90"/>
    <n v="3"/>
    <n v="2"/>
    <s v="Research Scientist"/>
    <n v="0"/>
    <n v="0"/>
    <n v="0"/>
    <n v="0"/>
    <n v="0"/>
    <n v="0"/>
    <n v="0"/>
    <n v="1"/>
    <n v="2"/>
    <x v="2"/>
    <n v="0"/>
    <n v="0"/>
    <n v="3055"/>
    <n v="3055"/>
    <n v="5"/>
    <x v="1"/>
    <n v="0"/>
    <n v="15"/>
    <n v="3"/>
    <n v="4"/>
    <n v="2"/>
    <n v="11"/>
    <n v="11"/>
    <n v="2"/>
    <n v="2"/>
    <n v="9"/>
    <n v="9"/>
    <n v="8"/>
    <n v="1"/>
    <n v="1"/>
    <n v="7"/>
    <n v="7"/>
    <n v="14"/>
  </r>
  <r>
    <n v="41"/>
    <n v="41"/>
    <x v="1"/>
    <n v="0"/>
    <s v="Travel_Rarely"/>
    <n v="0"/>
    <n v="1"/>
    <x v="1"/>
    <n v="1"/>
    <n v="0"/>
    <n v="9"/>
    <n v="9"/>
    <n v="4"/>
    <s v="Life Sciences"/>
    <n v="1"/>
    <n v="0"/>
    <n v="0"/>
    <n v="0"/>
    <n v="0"/>
    <x v="1"/>
    <s v="Male"/>
    <n v="0"/>
    <n v="94"/>
    <n v="3"/>
    <n v="1"/>
    <s v="Laboratory Technician"/>
    <n v="0"/>
    <n v="0"/>
    <n v="1"/>
    <n v="0"/>
    <n v="0"/>
    <n v="0"/>
    <n v="0"/>
    <n v="0"/>
    <n v="1"/>
    <x v="2"/>
    <n v="0"/>
    <n v="0"/>
    <n v="2289"/>
    <n v="2289"/>
    <n v="1"/>
    <x v="1"/>
    <n v="0"/>
    <n v="20"/>
    <n v="4"/>
    <n v="2"/>
    <n v="2"/>
    <n v="5"/>
    <n v="5"/>
    <n v="2"/>
    <n v="3"/>
    <n v="5"/>
    <n v="5"/>
    <n v="3"/>
    <n v="0"/>
    <n v="0"/>
    <n v="4"/>
    <n v="4"/>
    <n v="4"/>
  </r>
  <r>
    <n v="34"/>
    <n v="34"/>
    <x v="1"/>
    <n v="0"/>
    <s v="Non-Travel"/>
    <n v="0"/>
    <n v="0"/>
    <x v="0"/>
    <n v="0"/>
    <n v="1"/>
    <n v="10"/>
    <n v="10"/>
    <n v="3"/>
    <s v="Life Sciences"/>
    <n v="1"/>
    <n v="0"/>
    <n v="0"/>
    <n v="0"/>
    <n v="0"/>
    <x v="2"/>
    <s v="Male"/>
    <n v="0"/>
    <n v="87"/>
    <n v="3"/>
    <n v="2"/>
    <s v="Sales Executive"/>
    <n v="0"/>
    <n v="1"/>
    <n v="0"/>
    <n v="0"/>
    <n v="0"/>
    <n v="0"/>
    <n v="0"/>
    <n v="0"/>
    <n v="3"/>
    <x v="2"/>
    <n v="0"/>
    <n v="0"/>
    <n v="4001"/>
    <n v="4001"/>
    <n v="1"/>
    <x v="0"/>
    <n v="1"/>
    <n v="14"/>
    <n v="3"/>
    <n v="3"/>
    <n v="1"/>
    <n v="15"/>
    <n v="15"/>
    <n v="3"/>
    <n v="3"/>
    <n v="15"/>
    <n v="15"/>
    <n v="14"/>
    <n v="0"/>
    <n v="0"/>
    <n v="7"/>
    <n v="7"/>
    <n v="14"/>
  </r>
  <r>
    <n v="53"/>
    <n v="53"/>
    <x v="1"/>
    <n v="0"/>
    <s v="Non-Travel"/>
    <n v="0"/>
    <n v="0"/>
    <x v="1"/>
    <n v="1"/>
    <n v="0"/>
    <n v="1"/>
    <n v="1"/>
    <n v="4"/>
    <s v="Medical"/>
    <n v="0"/>
    <n v="0"/>
    <n v="1"/>
    <n v="0"/>
    <n v="0"/>
    <x v="3"/>
    <s v="Female"/>
    <n v="1"/>
    <n v="60"/>
    <n v="2"/>
    <n v="4"/>
    <s v="Manufacturing Director"/>
    <n v="0"/>
    <n v="0"/>
    <n v="0"/>
    <n v="0"/>
    <n v="1"/>
    <n v="1"/>
    <n v="0"/>
    <n v="0"/>
    <n v="3"/>
    <x v="1"/>
    <n v="0"/>
    <n v="1"/>
    <n v="12965"/>
    <n v="12965"/>
    <n v="4"/>
    <x v="0"/>
    <n v="1"/>
    <n v="20"/>
    <n v="4"/>
    <n v="4"/>
    <n v="3"/>
    <n v="27"/>
    <n v="27"/>
    <n v="2"/>
    <n v="2"/>
    <n v="3"/>
    <n v="3"/>
    <n v="2"/>
    <n v="0"/>
    <n v="0"/>
    <n v="2"/>
    <n v="2"/>
    <n v="8"/>
  </r>
  <r>
    <n v="43"/>
    <n v="43"/>
    <x v="1"/>
    <n v="0"/>
    <s v="Travel_Rarely"/>
    <n v="0"/>
    <n v="1"/>
    <x v="2"/>
    <n v="0"/>
    <n v="0"/>
    <n v="2"/>
    <n v="2"/>
    <n v="3"/>
    <s v="Life Sciences"/>
    <n v="1"/>
    <n v="0"/>
    <n v="0"/>
    <n v="0"/>
    <n v="0"/>
    <x v="0"/>
    <s v="Male"/>
    <n v="0"/>
    <n v="97"/>
    <n v="3"/>
    <n v="1"/>
    <s v="Human Resources"/>
    <n v="0"/>
    <n v="0"/>
    <n v="0"/>
    <n v="0"/>
    <n v="0"/>
    <n v="0"/>
    <n v="0"/>
    <n v="0"/>
    <n v="4"/>
    <x v="0"/>
    <n v="1"/>
    <n v="0"/>
    <n v="3539"/>
    <n v="3539"/>
    <n v="0"/>
    <x v="1"/>
    <n v="0"/>
    <n v="13"/>
    <n v="3"/>
    <n v="2"/>
    <n v="0"/>
    <n v="10"/>
    <n v="10"/>
    <n v="5"/>
    <n v="3"/>
    <n v="9"/>
    <n v="9"/>
    <n v="7"/>
    <n v="1"/>
    <n v="1"/>
    <n v="8"/>
    <n v="8"/>
    <n v="8"/>
  </r>
  <r>
    <n v="34"/>
    <n v="34"/>
    <x v="1"/>
    <n v="0"/>
    <s v="Travel_Rarely"/>
    <n v="0"/>
    <n v="1"/>
    <x v="0"/>
    <n v="0"/>
    <n v="1"/>
    <n v="3"/>
    <n v="3"/>
    <n v="2"/>
    <s v="Life Sciences"/>
    <n v="1"/>
    <n v="0"/>
    <n v="0"/>
    <n v="0"/>
    <n v="0"/>
    <x v="2"/>
    <s v="Female"/>
    <n v="1"/>
    <n v="32"/>
    <n v="1"/>
    <n v="2"/>
    <s v="Sales Executive"/>
    <n v="0"/>
    <n v="1"/>
    <n v="0"/>
    <n v="0"/>
    <n v="0"/>
    <n v="0"/>
    <n v="0"/>
    <n v="0"/>
    <n v="4"/>
    <x v="0"/>
    <n v="1"/>
    <n v="0"/>
    <n v="6029"/>
    <n v="6029"/>
    <n v="5"/>
    <x v="1"/>
    <n v="0"/>
    <n v="12"/>
    <n v="3"/>
    <n v="1"/>
    <n v="0"/>
    <n v="6"/>
    <n v="6"/>
    <n v="3"/>
    <n v="3"/>
    <n v="2"/>
    <n v="2"/>
    <n v="2"/>
    <n v="2"/>
    <n v="2"/>
    <n v="2"/>
    <n v="2"/>
    <n v="4"/>
  </r>
  <r>
    <n v="21"/>
    <n v="21"/>
    <x v="0"/>
    <n v="1"/>
    <s v="Travel_Rarely"/>
    <n v="0"/>
    <n v="1"/>
    <x v="0"/>
    <n v="0"/>
    <n v="1"/>
    <n v="7"/>
    <n v="7"/>
    <n v="1"/>
    <s v="Marketing"/>
    <n v="0"/>
    <n v="0"/>
    <n v="0"/>
    <n v="1"/>
    <n v="0"/>
    <x v="0"/>
    <s v="Male"/>
    <n v="0"/>
    <n v="31"/>
    <n v="3"/>
    <n v="1"/>
    <s v="Sales Representative"/>
    <n v="0"/>
    <n v="0"/>
    <n v="0"/>
    <n v="0"/>
    <n v="0"/>
    <n v="0"/>
    <n v="1"/>
    <n v="0"/>
    <n v="2"/>
    <x v="0"/>
    <n v="1"/>
    <n v="0"/>
    <n v="2679"/>
    <n v="2679"/>
    <n v="1"/>
    <x v="1"/>
    <n v="0"/>
    <n v="13"/>
    <n v="3"/>
    <n v="2"/>
    <n v="0"/>
    <n v="1"/>
    <n v="1"/>
    <n v="3"/>
    <n v="3"/>
    <n v="1"/>
    <n v="1"/>
    <n v="0"/>
    <n v="1"/>
    <n v="1"/>
    <n v="0"/>
    <n v="0"/>
    <n v="0"/>
  </r>
  <r>
    <n v="38"/>
    <n v="38"/>
    <x v="1"/>
    <n v="0"/>
    <s v="Travel_Rarely"/>
    <n v="0"/>
    <n v="1"/>
    <x v="1"/>
    <n v="1"/>
    <n v="0"/>
    <n v="6"/>
    <n v="6"/>
    <n v="2"/>
    <s v="Other"/>
    <n v="0"/>
    <n v="1"/>
    <n v="0"/>
    <n v="0"/>
    <n v="0"/>
    <x v="2"/>
    <s v="Female"/>
    <n v="1"/>
    <n v="40"/>
    <n v="2"/>
    <n v="1"/>
    <s v="Laboratory Technician"/>
    <n v="0"/>
    <n v="0"/>
    <n v="1"/>
    <n v="0"/>
    <n v="0"/>
    <n v="0"/>
    <n v="0"/>
    <n v="0"/>
    <n v="3"/>
    <x v="1"/>
    <n v="0"/>
    <n v="1"/>
    <n v="3702"/>
    <n v="3702"/>
    <n v="1"/>
    <x v="1"/>
    <n v="0"/>
    <n v="11"/>
    <n v="3"/>
    <n v="2"/>
    <n v="1"/>
    <n v="5"/>
    <n v="5"/>
    <n v="3"/>
    <n v="3"/>
    <n v="5"/>
    <n v="5"/>
    <n v="4"/>
    <n v="0"/>
    <n v="0"/>
    <n v="4"/>
    <n v="4"/>
    <n v="4"/>
  </r>
  <r>
    <n v="22"/>
    <n v="22"/>
    <x v="0"/>
    <n v="1"/>
    <s v="Travel_Rarely"/>
    <n v="0"/>
    <n v="1"/>
    <x v="1"/>
    <n v="1"/>
    <n v="0"/>
    <n v="8"/>
    <n v="8"/>
    <n v="1"/>
    <s v="Medical"/>
    <n v="0"/>
    <n v="0"/>
    <n v="1"/>
    <n v="0"/>
    <n v="0"/>
    <x v="1"/>
    <s v="Female"/>
    <n v="1"/>
    <n v="79"/>
    <n v="3"/>
    <n v="1"/>
    <s v="Laboratory Technician"/>
    <n v="0"/>
    <n v="0"/>
    <n v="1"/>
    <n v="0"/>
    <n v="0"/>
    <n v="0"/>
    <n v="0"/>
    <n v="0"/>
    <n v="1"/>
    <x v="1"/>
    <n v="0"/>
    <n v="1"/>
    <n v="2398"/>
    <n v="2398"/>
    <n v="1"/>
    <x v="0"/>
    <n v="1"/>
    <n v="17"/>
    <n v="3"/>
    <n v="3"/>
    <n v="0"/>
    <n v="1"/>
    <n v="1"/>
    <n v="6"/>
    <n v="3"/>
    <n v="1"/>
    <n v="1"/>
    <n v="0"/>
    <n v="0"/>
    <n v="0"/>
    <n v="0"/>
    <n v="0"/>
    <n v="0"/>
  </r>
  <r>
    <n v="31"/>
    <n v="31"/>
    <x v="1"/>
    <n v="0"/>
    <s v="Travel_Rarely"/>
    <n v="0"/>
    <n v="1"/>
    <x v="0"/>
    <n v="0"/>
    <n v="1"/>
    <n v="29"/>
    <n v="29"/>
    <n v="4"/>
    <s v="Marketing"/>
    <n v="0"/>
    <n v="0"/>
    <n v="0"/>
    <n v="1"/>
    <n v="0"/>
    <x v="3"/>
    <s v="Female"/>
    <n v="1"/>
    <n v="91"/>
    <n v="2"/>
    <n v="2"/>
    <s v="Sales Executive"/>
    <n v="0"/>
    <n v="1"/>
    <n v="0"/>
    <n v="0"/>
    <n v="0"/>
    <n v="0"/>
    <n v="0"/>
    <n v="0"/>
    <n v="4"/>
    <x v="1"/>
    <n v="0"/>
    <n v="1"/>
    <n v="5468"/>
    <n v="5468"/>
    <n v="1"/>
    <x v="1"/>
    <n v="0"/>
    <n v="14"/>
    <n v="3"/>
    <n v="1"/>
    <n v="2"/>
    <n v="13"/>
    <n v="13"/>
    <n v="3"/>
    <n v="3"/>
    <n v="12"/>
    <n v="12"/>
    <n v="7"/>
    <n v="5"/>
    <n v="5"/>
    <n v="7"/>
    <n v="7"/>
    <n v="14"/>
  </r>
  <r>
    <n v="51"/>
    <n v="51"/>
    <x v="1"/>
    <n v="0"/>
    <s v="Travel_Rarely"/>
    <n v="0"/>
    <n v="1"/>
    <x v="1"/>
    <n v="1"/>
    <n v="0"/>
    <n v="3"/>
    <n v="3"/>
    <n v="3"/>
    <s v="Technical Degree"/>
    <n v="0"/>
    <n v="0"/>
    <n v="0"/>
    <n v="0"/>
    <n v="1"/>
    <x v="3"/>
    <s v="Female"/>
    <n v="1"/>
    <n v="53"/>
    <n v="3"/>
    <n v="3"/>
    <s v="Manager"/>
    <n v="0"/>
    <n v="0"/>
    <n v="0"/>
    <n v="1"/>
    <n v="0"/>
    <n v="0"/>
    <n v="0"/>
    <n v="0"/>
    <n v="3"/>
    <x v="1"/>
    <n v="0"/>
    <n v="1"/>
    <n v="13116"/>
    <n v="13116"/>
    <n v="2"/>
    <x v="1"/>
    <n v="0"/>
    <n v="11"/>
    <n v="3"/>
    <n v="4"/>
    <n v="0"/>
    <n v="15"/>
    <n v="15"/>
    <n v="2"/>
    <n v="3"/>
    <n v="2"/>
    <n v="2"/>
    <n v="2"/>
    <n v="2"/>
    <n v="2"/>
    <n v="2"/>
    <n v="2"/>
    <n v="6"/>
  </r>
  <r>
    <n v="37"/>
    <n v="37"/>
    <x v="1"/>
    <n v="0"/>
    <s v="Travel_Rarely"/>
    <n v="0"/>
    <n v="1"/>
    <x v="0"/>
    <n v="0"/>
    <n v="1"/>
    <n v="9"/>
    <n v="9"/>
    <n v="2"/>
    <s v="Marketing"/>
    <n v="0"/>
    <n v="0"/>
    <n v="0"/>
    <n v="1"/>
    <n v="0"/>
    <x v="0"/>
    <s v="Male"/>
    <n v="0"/>
    <n v="46"/>
    <n v="2"/>
    <n v="2"/>
    <s v="Sales Executive"/>
    <n v="0"/>
    <n v="1"/>
    <n v="0"/>
    <n v="0"/>
    <n v="0"/>
    <n v="0"/>
    <n v="0"/>
    <n v="0"/>
    <n v="2"/>
    <x v="1"/>
    <n v="0"/>
    <n v="1"/>
    <n v="4189"/>
    <n v="4189"/>
    <n v="1"/>
    <x v="1"/>
    <n v="0"/>
    <n v="14"/>
    <n v="3"/>
    <n v="1"/>
    <n v="2"/>
    <n v="5"/>
    <n v="5"/>
    <n v="2"/>
    <n v="3"/>
    <n v="5"/>
    <n v="5"/>
    <n v="2"/>
    <n v="0"/>
    <n v="0"/>
    <n v="3"/>
    <n v="3"/>
    <n v="6"/>
  </r>
  <r>
    <n v="46"/>
    <n v="46"/>
    <x v="1"/>
    <n v="0"/>
    <s v="Travel_Rarely"/>
    <n v="0"/>
    <n v="1"/>
    <x v="1"/>
    <n v="1"/>
    <n v="0"/>
    <n v="2"/>
    <n v="2"/>
    <n v="4"/>
    <s v="Medical"/>
    <n v="0"/>
    <n v="0"/>
    <n v="1"/>
    <n v="0"/>
    <n v="0"/>
    <x v="1"/>
    <s v="Male"/>
    <n v="0"/>
    <n v="46"/>
    <n v="3"/>
    <n v="5"/>
    <s v="Research Director"/>
    <n v="0"/>
    <n v="0"/>
    <n v="0"/>
    <n v="0"/>
    <n v="0"/>
    <n v="0"/>
    <n v="0"/>
    <n v="0"/>
    <n v="4"/>
    <x v="2"/>
    <n v="0"/>
    <n v="0"/>
    <n v="19328"/>
    <n v="19328"/>
    <n v="7"/>
    <x v="0"/>
    <n v="1"/>
    <n v="17"/>
    <n v="3"/>
    <n v="3"/>
    <n v="1"/>
    <n v="24"/>
    <n v="24"/>
    <n v="3"/>
    <n v="3"/>
    <n v="2"/>
    <n v="2"/>
    <n v="1"/>
    <n v="2"/>
    <n v="2"/>
    <n v="2"/>
    <n v="2"/>
    <n v="10"/>
  </r>
  <r>
    <n v="36"/>
    <n v="36"/>
    <x v="1"/>
    <n v="0"/>
    <s v="Travel_Rarely"/>
    <n v="0"/>
    <n v="1"/>
    <x v="1"/>
    <n v="1"/>
    <n v="0"/>
    <n v="10"/>
    <n v="10"/>
    <n v="3"/>
    <s v="Life Sciences"/>
    <n v="1"/>
    <n v="0"/>
    <n v="0"/>
    <n v="0"/>
    <n v="0"/>
    <x v="2"/>
    <s v="Male"/>
    <n v="0"/>
    <n v="90"/>
    <n v="3"/>
    <n v="3"/>
    <s v="Healthcare Representative"/>
    <n v="1"/>
    <n v="0"/>
    <n v="0"/>
    <n v="0"/>
    <n v="0"/>
    <n v="0"/>
    <n v="0"/>
    <n v="0"/>
    <n v="1"/>
    <x v="1"/>
    <n v="0"/>
    <n v="1"/>
    <n v="8321"/>
    <n v="8321"/>
    <n v="7"/>
    <x v="0"/>
    <n v="1"/>
    <n v="13"/>
    <n v="3"/>
    <n v="4"/>
    <n v="1"/>
    <n v="15"/>
    <n v="15"/>
    <n v="1"/>
    <n v="3"/>
    <n v="12"/>
    <n v="12"/>
    <n v="8"/>
    <n v="5"/>
    <n v="5"/>
    <n v="7"/>
    <n v="7"/>
    <n v="21"/>
  </r>
  <r>
    <n v="44"/>
    <n v="44"/>
    <x v="0"/>
    <n v="1"/>
    <s v="Travel_Frequently"/>
    <n v="1"/>
    <n v="0"/>
    <x v="1"/>
    <n v="1"/>
    <n v="0"/>
    <n v="1"/>
    <n v="1"/>
    <n v="2"/>
    <s v="Medical"/>
    <n v="0"/>
    <n v="0"/>
    <n v="1"/>
    <n v="0"/>
    <n v="0"/>
    <x v="1"/>
    <s v="Male"/>
    <n v="0"/>
    <n v="99"/>
    <n v="3"/>
    <n v="1"/>
    <s v="Research Scientist"/>
    <n v="0"/>
    <n v="0"/>
    <n v="0"/>
    <n v="0"/>
    <n v="0"/>
    <n v="0"/>
    <n v="0"/>
    <n v="1"/>
    <n v="2"/>
    <x v="2"/>
    <n v="0"/>
    <n v="0"/>
    <n v="2342"/>
    <n v="2342"/>
    <n v="1"/>
    <x v="0"/>
    <n v="1"/>
    <n v="12"/>
    <n v="3"/>
    <n v="3"/>
    <n v="3"/>
    <n v="6"/>
    <n v="6"/>
    <n v="2"/>
    <n v="2"/>
    <n v="5"/>
    <n v="5"/>
    <n v="3"/>
    <n v="2"/>
    <n v="2"/>
    <n v="3"/>
    <n v="3"/>
    <n v="3"/>
  </r>
  <r>
    <n v="37"/>
    <n v="37"/>
    <x v="1"/>
    <n v="0"/>
    <s v="Travel_Rarely"/>
    <n v="0"/>
    <n v="1"/>
    <x v="2"/>
    <n v="0"/>
    <n v="0"/>
    <n v="8"/>
    <n v="8"/>
    <n v="2"/>
    <s v="Other"/>
    <n v="0"/>
    <n v="1"/>
    <n v="0"/>
    <n v="0"/>
    <n v="0"/>
    <x v="1"/>
    <s v="Male"/>
    <n v="0"/>
    <n v="89"/>
    <n v="3"/>
    <n v="2"/>
    <s v="Human Resources"/>
    <n v="0"/>
    <n v="0"/>
    <n v="0"/>
    <n v="0"/>
    <n v="0"/>
    <n v="0"/>
    <n v="0"/>
    <n v="0"/>
    <n v="2"/>
    <x v="2"/>
    <n v="0"/>
    <n v="0"/>
    <n v="4071"/>
    <n v="4071"/>
    <n v="2"/>
    <x v="1"/>
    <n v="0"/>
    <n v="13"/>
    <n v="3"/>
    <n v="3"/>
    <n v="0"/>
    <n v="19"/>
    <n v="19"/>
    <n v="4"/>
    <n v="2"/>
    <n v="10"/>
    <n v="10"/>
    <n v="0"/>
    <n v="4"/>
    <n v="4"/>
    <n v="7"/>
    <n v="7"/>
    <n v="14"/>
  </r>
  <r>
    <n v="35"/>
    <n v="35"/>
    <x v="0"/>
    <n v="1"/>
    <s v="Travel_Rarely"/>
    <n v="0"/>
    <n v="1"/>
    <x v="0"/>
    <n v="0"/>
    <n v="1"/>
    <n v="27"/>
    <n v="27"/>
    <n v="3"/>
    <s v="Life Sciences"/>
    <n v="1"/>
    <n v="0"/>
    <n v="0"/>
    <n v="0"/>
    <n v="0"/>
    <x v="1"/>
    <s v="Male"/>
    <n v="0"/>
    <n v="84"/>
    <n v="3"/>
    <n v="2"/>
    <s v="Sales Executive"/>
    <n v="0"/>
    <n v="1"/>
    <n v="0"/>
    <n v="0"/>
    <n v="0"/>
    <n v="0"/>
    <n v="0"/>
    <n v="0"/>
    <n v="4"/>
    <x v="0"/>
    <n v="1"/>
    <n v="0"/>
    <n v="5813"/>
    <n v="5813"/>
    <n v="1"/>
    <x v="0"/>
    <n v="1"/>
    <n v="18"/>
    <n v="3"/>
    <n v="4"/>
    <n v="0"/>
    <n v="10"/>
    <n v="10"/>
    <n v="2"/>
    <n v="3"/>
    <n v="10"/>
    <n v="10"/>
    <n v="7"/>
    <n v="7"/>
    <n v="7"/>
    <n v="7"/>
    <n v="7"/>
    <n v="14"/>
  </r>
  <r>
    <n v="33"/>
    <n v="33"/>
    <x v="1"/>
    <n v="0"/>
    <s v="Travel_Rarely"/>
    <n v="0"/>
    <n v="1"/>
    <x v="1"/>
    <n v="1"/>
    <n v="0"/>
    <n v="8"/>
    <n v="8"/>
    <n v="4"/>
    <s v="Life Sciences"/>
    <n v="1"/>
    <n v="0"/>
    <n v="0"/>
    <n v="0"/>
    <n v="0"/>
    <x v="2"/>
    <s v="Male"/>
    <n v="0"/>
    <n v="90"/>
    <n v="4"/>
    <n v="1"/>
    <s v="Research Scientist"/>
    <n v="0"/>
    <n v="0"/>
    <n v="0"/>
    <n v="0"/>
    <n v="0"/>
    <n v="0"/>
    <n v="0"/>
    <n v="1"/>
    <n v="1"/>
    <x v="1"/>
    <n v="0"/>
    <n v="1"/>
    <n v="3143"/>
    <n v="3143"/>
    <n v="6"/>
    <x v="1"/>
    <n v="0"/>
    <n v="19"/>
    <n v="3"/>
    <n v="2"/>
    <n v="1"/>
    <n v="14"/>
    <n v="14"/>
    <n v="1"/>
    <n v="3"/>
    <n v="10"/>
    <n v="10"/>
    <n v="8"/>
    <n v="7"/>
    <n v="7"/>
    <n v="6"/>
    <n v="6"/>
    <n v="6"/>
  </r>
  <r>
    <n v="28"/>
    <n v="28"/>
    <x v="1"/>
    <n v="0"/>
    <s v="Travel_Rarely"/>
    <n v="0"/>
    <n v="1"/>
    <x v="1"/>
    <n v="1"/>
    <n v="0"/>
    <n v="1"/>
    <n v="1"/>
    <n v="3"/>
    <s v="Life Sciences"/>
    <n v="1"/>
    <n v="0"/>
    <n v="0"/>
    <n v="0"/>
    <n v="0"/>
    <x v="1"/>
    <s v="Male"/>
    <n v="0"/>
    <n v="82"/>
    <n v="3"/>
    <n v="1"/>
    <s v="Research Scientist"/>
    <n v="0"/>
    <n v="0"/>
    <n v="0"/>
    <n v="0"/>
    <n v="0"/>
    <n v="0"/>
    <n v="0"/>
    <n v="1"/>
    <n v="4"/>
    <x v="1"/>
    <n v="0"/>
    <n v="1"/>
    <n v="2044"/>
    <n v="2044"/>
    <n v="1"/>
    <x v="1"/>
    <n v="0"/>
    <n v="11"/>
    <n v="3"/>
    <n v="3"/>
    <n v="1"/>
    <n v="5"/>
    <n v="5"/>
    <n v="6"/>
    <n v="4"/>
    <n v="5"/>
    <n v="5"/>
    <n v="3"/>
    <n v="0"/>
    <n v="0"/>
    <n v="3"/>
    <n v="3"/>
    <n v="3"/>
  </r>
  <r>
    <n v="39"/>
    <n v="39"/>
    <x v="1"/>
    <n v="0"/>
    <s v="Travel_Rarely"/>
    <n v="0"/>
    <n v="1"/>
    <x v="1"/>
    <n v="1"/>
    <n v="0"/>
    <n v="10"/>
    <n v="10"/>
    <n v="1"/>
    <s v="Medical"/>
    <n v="0"/>
    <n v="0"/>
    <n v="1"/>
    <n v="0"/>
    <n v="0"/>
    <x v="1"/>
    <s v="Male"/>
    <n v="0"/>
    <n v="65"/>
    <n v="3"/>
    <n v="3"/>
    <s v="Research Director"/>
    <n v="0"/>
    <n v="0"/>
    <n v="0"/>
    <n v="0"/>
    <n v="0"/>
    <n v="0"/>
    <n v="0"/>
    <n v="0"/>
    <n v="3"/>
    <x v="0"/>
    <n v="1"/>
    <n v="0"/>
    <n v="13464"/>
    <n v="13464"/>
    <n v="7"/>
    <x v="1"/>
    <n v="0"/>
    <n v="21"/>
    <n v="4"/>
    <n v="3"/>
    <n v="0"/>
    <n v="9"/>
    <n v="9"/>
    <n v="3"/>
    <n v="3"/>
    <n v="4"/>
    <n v="4"/>
    <n v="3"/>
    <n v="2"/>
    <n v="2"/>
    <n v="2"/>
    <n v="2"/>
    <n v="6"/>
  </r>
  <r>
    <n v="46"/>
    <n v="46"/>
    <x v="1"/>
    <n v="0"/>
    <s v="Non-Travel"/>
    <n v="0"/>
    <n v="0"/>
    <x v="0"/>
    <n v="0"/>
    <n v="1"/>
    <n v="26"/>
    <n v="26"/>
    <n v="2"/>
    <s v="Life Sciences"/>
    <n v="1"/>
    <n v="0"/>
    <n v="0"/>
    <n v="0"/>
    <n v="0"/>
    <x v="0"/>
    <s v="Male"/>
    <n v="0"/>
    <n v="98"/>
    <n v="2"/>
    <n v="2"/>
    <s v="Sales Executive"/>
    <n v="0"/>
    <n v="1"/>
    <n v="0"/>
    <n v="0"/>
    <n v="0"/>
    <n v="0"/>
    <n v="0"/>
    <n v="0"/>
    <n v="2"/>
    <x v="0"/>
    <n v="1"/>
    <n v="0"/>
    <n v="7991"/>
    <n v="7991"/>
    <n v="8"/>
    <x v="1"/>
    <n v="0"/>
    <n v="15"/>
    <n v="3"/>
    <n v="3"/>
    <n v="0"/>
    <n v="6"/>
    <n v="6"/>
    <n v="3"/>
    <n v="3"/>
    <n v="2"/>
    <n v="2"/>
    <n v="2"/>
    <n v="2"/>
    <n v="2"/>
    <n v="2"/>
    <n v="2"/>
    <n v="4"/>
  </r>
  <r>
    <n v="40"/>
    <n v="40"/>
    <x v="1"/>
    <n v="0"/>
    <s v="Travel_Rarely"/>
    <n v="0"/>
    <n v="1"/>
    <x v="1"/>
    <n v="1"/>
    <n v="0"/>
    <n v="2"/>
    <n v="2"/>
    <n v="2"/>
    <s v="Life Sciences"/>
    <n v="1"/>
    <n v="0"/>
    <n v="0"/>
    <n v="0"/>
    <n v="0"/>
    <x v="1"/>
    <s v="Female"/>
    <n v="1"/>
    <n v="99"/>
    <n v="3"/>
    <n v="1"/>
    <s v="Laboratory Technician"/>
    <n v="0"/>
    <n v="0"/>
    <n v="1"/>
    <n v="0"/>
    <n v="0"/>
    <n v="0"/>
    <n v="0"/>
    <n v="0"/>
    <n v="1"/>
    <x v="1"/>
    <n v="0"/>
    <n v="1"/>
    <n v="3377"/>
    <n v="3377"/>
    <n v="4"/>
    <x v="1"/>
    <n v="0"/>
    <n v="17"/>
    <n v="3"/>
    <n v="4"/>
    <n v="1"/>
    <n v="7"/>
    <n v="7"/>
    <n v="5"/>
    <n v="2"/>
    <n v="4"/>
    <n v="4"/>
    <n v="3"/>
    <n v="0"/>
    <n v="0"/>
    <n v="2"/>
    <n v="2"/>
    <n v="2"/>
  </r>
  <r>
    <n v="42"/>
    <n v="42"/>
    <x v="1"/>
    <n v="0"/>
    <s v="Travel_Rarely"/>
    <n v="0"/>
    <n v="1"/>
    <x v="1"/>
    <n v="1"/>
    <n v="0"/>
    <n v="13"/>
    <n v="13"/>
    <n v="3"/>
    <s v="Medical"/>
    <n v="0"/>
    <n v="0"/>
    <n v="1"/>
    <n v="0"/>
    <n v="0"/>
    <x v="0"/>
    <s v="Male"/>
    <n v="0"/>
    <n v="95"/>
    <n v="4"/>
    <n v="2"/>
    <s v="Healthcare Representative"/>
    <n v="1"/>
    <n v="0"/>
    <n v="0"/>
    <n v="0"/>
    <n v="0"/>
    <n v="0"/>
    <n v="0"/>
    <n v="0"/>
    <n v="1"/>
    <x v="1"/>
    <n v="0"/>
    <n v="1"/>
    <n v="5538"/>
    <n v="5538"/>
    <n v="5"/>
    <x v="1"/>
    <n v="0"/>
    <n v="18"/>
    <n v="3"/>
    <n v="3"/>
    <n v="2"/>
    <n v="10"/>
    <n v="10"/>
    <n v="2"/>
    <n v="2"/>
    <n v="0"/>
    <n v="0"/>
    <n v="0"/>
    <n v="0"/>
    <n v="0"/>
    <n v="0"/>
    <n v="0"/>
    <n v="0"/>
  </r>
  <r>
    <n v="35"/>
    <n v="35"/>
    <x v="1"/>
    <n v="0"/>
    <s v="Non-Travel"/>
    <n v="0"/>
    <n v="0"/>
    <x v="1"/>
    <n v="1"/>
    <n v="0"/>
    <n v="2"/>
    <n v="2"/>
    <n v="2"/>
    <s v="Medical"/>
    <n v="0"/>
    <n v="0"/>
    <n v="1"/>
    <n v="0"/>
    <n v="0"/>
    <x v="0"/>
    <s v="Male"/>
    <n v="0"/>
    <n v="90"/>
    <n v="3"/>
    <n v="2"/>
    <s v="Manufacturing Director"/>
    <n v="0"/>
    <n v="0"/>
    <n v="0"/>
    <n v="0"/>
    <n v="1"/>
    <n v="1"/>
    <n v="0"/>
    <n v="0"/>
    <n v="4"/>
    <x v="2"/>
    <n v="0"/>
    <n v="0"/>
    <n v="5762"/>
    <n v="5762"/>
    <n v="2"/>
    <x v="1"/>
    <n v="0"/>
    <n v="14"/>
    <n v="3"/>
    <n v="3"/>
    <n v="1"/>
    <n v="15"/>
    <n v="15"/>
    <n v="6"/>
    <n v="3"/>
    <n v="7"/>
    <n v="7"/>
    <n v="7"/>
    <n v="1"/>
    <n v="1"/>
    <n v="7"/>
    <n v="7"/>
    <n v="14"/>
  </r>
  <r>
    <n v="38"/>
    <n v="38"/>
    <x v="1"/>
    <n v="0"/>
    <s v="Non-Travel"/>
    <n v="0"/>
    <n v="0"/>
    <x v="2"/>
    <n v="0"/>
    <n v="0"/>
    <n v="2"/>
    <n v="2"/>
    <n v="3"/>
    <s v="Human Resources"/>
    <n v="0"/>
    <n v="0"/>
    <n v="0"/>
    <n v="0"/>
    <n v="0"/>
    <x v="3"/>
    <s v="Male"/>
    <n v="0"/>
    <n v="100"/>
    <n v="3"/>
    <n v="1"/>
    <s v="Human Resources"/>
    <n v="0"/>
    <n v="0"/>
    <n v="0"/>
    <n v="0"/>
    <n v="0"/>
    <n v="0"/>
    <n v="0"/>
    <n v="0"/>
    <n v="2"/>
    <x v="2"/>
    <n v="0"/>
    <n v="0"/>
    <n v="2592"/>
    <n v="2592"/>
    <n v="5"/>
    <x v="1"/>
    <n v="0"/>
    <n v="13"/>
    <n v="3"/>
    <n v="4"/>
    <n v="3"/>
    <n v="13"/>
    <n v="13"/>
    <n v="3"/>
    <n v="3"/>
    <n v="11"/>
    <n v="11"/>
    <n v="10"/>
    <n v="3"/>
    <n v="3"/>
    <n v="8"/>
    <n v="8"/>
    <n v="8"/>
  </r>
  <r>
    <n v="34"/>
    <n v="34"/>
    <x v="0"/>
    <n v="1"/>
    <s v="Travel_Frequently"/>
    <n v="1"/>
    <n v="0"/>
    <x v="1"/>
    <n v="1"/>
    <n v="0"/>
    <n v="9"/>
    <n v="9"/>
    <n v="4"/>
    <s v="Life Sciences"/>
    <n v="1"/>
    <n v="0"/>
    <n v="0"/>
    <n v="0"/>
    <n v="0"/>
    <x v="2"/>
    <s v="Male"/>
    <n v="0"/>
    <n v="93"/>
    <n v="3"/>
    <n v="2"/>
    <s v="Laboratory Technician"/>
    <n v="0"/>
    <n v="0"/>
    <n v="1"/>
    <n v="0"/>
    <n v="0"/>
    <n v="0"/>
    <n v="0"/>
    <n v="0"/>
    <n v="1"/>
    <x v="1"/>
    <n v="0"/>
    <n v="1"/>
    <n v="5346"/>
    <n v="5346"/>
    <n v="4"/>
    <x v="1"/>
    <n v="0"/>
    <n v="17"/>
    <n v="3"/>
    <n v="3"/>
    <n v="1"/>
    <n v="11"/>
    <n v="11"/>
    <n v="3"/>
    <n v="2"/>
    <n v="7"/>
    <n v="7"/>
    <n v="1"/>
    <n v="0"/>
    <n v="0"/>
    <n v="7"/>
    <n v="7"/>
    <n v="14"/>
  </r>
  <r>
    <n v="37"/>
    <n v="37"/>
    <x v="0"/>
    <n v="1"/>
    <s v="Travel_Rarely"/>
    <n v="0"/>
    <n v="1"/>
    <x v="1"/>
    <n v="1"/>
    <n v="0"/>
    <n v="10"/>
    <n v="10"/>
    <n v="4"/>
    <s v="Medical"/>
    <n v="0"/>
    <n v="0"/>
    <n v="1"/>
    <n v="0"/>
    <n v="0"/>
    <x v="2"/>
    <s v="Male"/>
    <n v="0"/>
    <n v="58"/>
    <n v="3"/>
    <n v="2"/>
    <s v="Manufacturing Director"/>
    <n v="0"/>
    <n v="0"/>
    <n v="0"/>
    <n v="0"/>
    <n v="1"/>
    <n v="1"/>
    <n v="0"/>
    <n v="0"/>
    <n v="1"/>
    <x v="0"/>
    <n v="1"/>
    <n v="0"/>
    <n v="4213"/>
    <n v="4213"/>
    <n v="1"/>
    <x v="1"/>
    <n v="0"/>
    <n v="15"/>
    <n v="3"/>
    <n v="2"/>
    <n v="0"/>
    <n v="10"/>
    <n v="10"/>
    <n v="4"/>
    <n v="1"/>
    <n v="10"/>
    <n v="10"/>
    <n v="3"/>
    <n v="0"/>
    <n v="0"/>
    <n v="8"/>
    <n v="8"/>
    <n v="16"/>
  </r>
  <r>
    <n v="39"/>
    <n v="39"/>
    <x v="1"/>
    <n v="0"/>
    <s v="Travel_Frequently"/>
    <n v="1"/>
    <n v="0"/>
    <x v="0"/>
    <n v="0"/>
    <n v="1"/>
    <n v="20"/>
    <n v="20"/>
    <n v="3"/>
    <s v="Life Sciences"/>
    <n v="1"/>
    <n v="0"/>
    <n v="0"/>
    <n v="0"/>
    <n v="0"/>
    <x v="1"/>
    <s v="Male"/>
    <n v="0"/>
    <n v="83"/>
    <n v="3"/>
    <n v="2"/>
    <s v="Sales Executive"/>
    <n v="0"/>
    <n v="1"/>
    <n v="0"/>
    <n v="0"/>
    <n v="0"/>
    <n v="0"/>
    <n v="0"/>
    <n v="0"/>
    <n v="4"/>
    <x v="2"/>
    <n v="0"/>
    <n v="0"/>
    <n v="4127"/>
    <n v="4127"/>
    <n v="2"/>
    <x v="1"/>
    <n v="0"/>
    <n v="18"/>
    <n v="3"/>
    <n v="4"/>
    <n v="1"/>
    <n v="7"/>
    <n v="7"/>
    <n v="6"/>
    <n v="3"/>
    <n v="2"/>
    <n v="2"/>
    <n v="1"/>
    <n v="2"/>
    <n v="2"/>
    <n v="2"/>
    <n v="2"/>
    <n v="4"/>
  </r>
  <r>
    <n v="43"/>
    <n v="43"/>
    <x v="1"/>
    <n v="0"/>
    <s v="Non-Travel"/>
    <n v="0"/>
    <n v="0"/>
    <x v="1"/>
    <n v="1"/>
    <n v="0"/>
    <n v="9"/>
    <n v="9"/>
    <n v="3"/>
    <s v="Life Sciences"/>
    <n v="1"/>
    <n v="0"/>
    <n v="0"/>
    <n v="0"/>
    <n v="0"/>
    <x v="3"/>
    <s v="Male"/>
    <n v="0"/>
    <n v="52"/>
    <n v="3"/>
    <n v="1"/>
    <s v="Research Scientist"/>
    <n v="0"/>
    <n v="0"/>
    <n v="0"/>
    <n v="0"/>
    <n v="0"/>
    <n v="0"/>
    <n v="0"/>
    <n v="1"/>
    <n v="3"/>
    <x v="0"/>
    <n v="1"/>
    <n v="0"/>
    <n v="2438"/>
    <n v="2438"/>
    <n v="4"/>
    <x v="1"/>
    <n v="0"/>
    <n v="13"/>
    <n v="3"/>
    <n v="3"/>
    <n v="0"/>
    <n v="7"/>
    <n v="7"/>
    <n v="2"/>
    <n v="2"/>
    <n v="3"/>
    <n v="3"/>
    <n v="2"/>
    <n v="1"/>
    <n v="1"/>
    <n v="2"/>
    <n v="2"/>
    <n v="2"/>
  </r>
  <r>
    <n v="41"/>
    <n v="41"/>
    <x v="1"/>
    <n v="0"/>
    <s v="Travel_Rarely"/>
    <n v="0"/>
    <n v="1"/>
    <x v="1"/>
    <n v="1"/>
    <n v="0"/>
    <n v="5"/>
    <n v="5"/>
    <n v="3"/>
    <s v="Life Sciences"/>
    <n v="1"/>
    <n v="0"/>
    <n v="0"/>
    <n v="0"/>
    <n v="0"/>
    <x v="0"/>
    <s v="Male"/>
    <n v="0"/>
    <n v="85"/>
    <n v="4"/>
    <n v="2"/>
    <s v="Healthcare Representative"/>
    <n v="1"/>
    <n v="0"/>
    <n v="0"/>
    <n v="0"/>
    <n v="0"/>
    <n v="0"/>
    <n v="0"/>
    <n v="0"/>
    <n v="2"/>
    <x v="0"/>
    <n v="1"/>
    <n v="0"/>
    <n v="6870"/>
    <n v="6870"/>
    <n v="3"/>
    <x v="1"/>
    <n v="0"/>
    <n v="12"/>
    <n v="3"/>
    <n v="1"/>
    <n v="0"/>
    <n v="11"/>
    <n v="11"/>
    <n v="3"/>
    <n v="1"/>
    <n v="3"/>
    <n v="3"/>
    <n v="2"/>
    <n v="1"/>
    <n v="1"/>
    <n v="2"/>
    <n v="2"/>
    <n v="4"/>
  </r>
  <r>
    <n v="41"/>
    <n v="41"/>
    <x v="1"/>
    <n v="0"/>
    <s v="Travel_Rarely"/>
    <n v="0"/>
    <n v="1"/>
    <x v="0"/>
    <n v="0"/>
    <n v="1"/>
    <n v="4"/>
    <n v="4"/>
    <n v="1"/>
    <s v="Marketing"/>
    <n v="0"/>
    <n v="0"/>
    <n v="0"/>
    <n v="1"/>
    <n v="0"/>
    <x v="1"/>
    <s v="Female"/>
    <n v="1"/>
    <n v="81"/>
    <n v="3"/>
    <n v="3"/>
    <s v="Sales Executive"/>
    <n v="0"/>
    <n v="1"/>
    <n v="0"/>
    <n v="0"/>
    <n v="0"/>
    <n v="0"/>
    <n v="0"/>
    <n v="0"/>
    <n v="3"/>
    <x v="2"/>
    <n v="0"/>
    <n v="0"/>
    <n v="10447"/>
    <n v="10447"/>
    <n v="0"/>
    <x v="0"/>
    <n v="1"/>
    <n v="13"/>
    <n v="3"/>
    <n v="4"/>
    <n v="1"/>
    <n v="23"/>
    <n v="23"/>
    <n v="3"/>
    <n v="4"/>
    <n v="22"/>
    <n v="22"/>
    <n v="14"/>
    <n v="13"/>
    <n v="13"/>
    <n v="5"/>
    <n v="5"/>
    <n v="15"/>
  </r>
  <r>
    <n v="30"/>
    <n v="30"/>
    <x v="1"/>
    <n v="0"/>
    <s v="Travel_Rarely"/>
    <n v="0"/>
    <n v="1"/>
    <x v="1"/>
    <n v="1"/>
    <n v="0"/>
    <n v="10"/>
    <n v="10"/>
    <n v="3"/>
    <s v="Medical"/>
    <n v="0"/>
    <n v="0"/>
    <n v="1"/>
    <n v="0"/>
    <n v="0"/>
    <x v="3"/>
    <s v="Female"/>
    <n v="1"/>
    <n v="64"/>
    <n v="3"/>
    <n v="3"/>
    <s v="Manufacturing Director"/>
    <n v="0"/>
    <n v="0"/>
    <n v="0"/>
    <n v="0"/>
    <n v="1"/>
    <n v="1"/>
    <n v="0"/>
    <n v="0"/>
    <n v="3"/>
    <x v="0"/>
    <n v="1"/>
    <n v="0"/>
    <n v="9667"/>
    <n v="9667"/>
    <n v="9"/>
    <x v="1"/>
    <n v="0"/>
    <n v="14"/>
    <n v="3"/>
    <n v="2"/>
    <n v="0"/>
    <n v="9"/>
    <n v="9"/>
    <n v="3"/>
    <n v="3"/>
    <n v="7"/>
    <n v="7"/>
    <n v="7"/>
    <n v="0"/>
    <n v="0"/>
    <n v="2"/>
    <n v="2"/>
    <n v="6"/>
  </r>
  <r>
    <n v="26"/>
    <n v="26"/>
    <x v="0"/>
    <n v="1"/>
    <s v="Travel_Rarely"/>
    <n v="0"/>
    <n v="1"/>
    <x v="2"/>
    <n v="0"/>
    <n v="0"/>
    <n v="20"/>
    <n v="20"/>
    <n v="2"/>
    <s v="Medical"/>
    <n v="0"/>
    <n v="0"/>
    <n v="1"/>
    <n v="0"/>
    <n v="0"/>
    <x v="2"/>
    <s v="Female"/>
    <n v="1"/>
    <n v="69"/>
    <n v="3"/>
    <n v="1"/>
    <s v="Human Resources"/>
    <n v="0"/>
    <n v="0"/>
    <n v="0"/>
    <n v="0"/>
    <n v="0"/>
    <n v="0"/>
    <n v="0"/>
    <n v="0"/>
    <n v="2"/>
    <x v="1"/>
    <n v="0"/>
    <n v="1"/>
    <n v="2148"/>
    <n v="2148"/>
    <n v="0"/>
    <x v="0"/>
    <n v="1"/>
    <n v="11"/>
    <n v="3"/>
    <n v="3"/>
    <n v="0"/>
    <n v="6"/>
    <n v="6"/>
    <n v="3"/>
    <n v="3"/>
    <n v="5"/>
    <n v="5"/>
    <n v="1"/>
    <n v="1"/>
    <n v="1"/>
    <n v="4"/>
    <n v="4"/>
    <n v="4"/>
  </r>
  <r>
    <n v="46"/>
    <n v="46"/>
    <x v="0"/>
    <n v="1"/>
    <s v="Travel_Rarely"/>
    <n v="0"/>
    <n v="1"/>
    <x v="1"/>
    <n v="1"/>
    <n v="0"/>
    <n v="21"/>
    <n v="21"/>
    <n v="2"/>
    <s v="Medical"/>
    <n v="0"/>
    <n v="0"/>
    <n v="1"/>
    <n v="0"/>
    <n v="0"/>
    <x v="2"/>
    <s v="Female"/>
    <n v="1"/>
    <n v="66"/>
    <n v="3"/>
    <n v="2"/>
    <s v="Healthcare Representative"/>
    <n v="1"/>
    <n v="0"/>
    <n v="0"/>
    <n v="0"/>
    <n v="0"/>
    <n v="0"/>
    <n v="0"/>
    <n v="0"/>
    <n v="2"/>
    <x v="1"/>
    <n v="0"/>
    <n v="1"/>
    <n v="8926"/>
    <n v="8926"/>
    <n v="4"/>
    <x v="1"/>
    <n v="0"/>
    <n v="22"/>
    <n v="4"/>
    <n v="4"/>
    <n v="1"/>
    <n v="13"/>
    <n v="13"/>
    <n v="2"/>
    <n v="4"/>
    <n v="9"/>
    <n v="9"/>
    <n v="7"/>
    <n v="3"/>
    <n v="3"/>
    <n v="7"/>
    <n v="7"/>
    <n v="14"/>
  </r>
  <r>
    <n v="40"/>
    <n v="40"/>
    <x v="1"/>
    <n v="0"/>
    <s v="Travel_Rarely"/>
    <n v="0"/>
    <n v="1"/>
    <x v="1"/>
    <n v="1"/>
    <n v="0"/>
    <n v="1"/>
    <n v="1"/>
    <n v="3"/>
    <s v="Life Sciences"/>
    <n v="1"/>
    <n v="0"/>
    <n v="0"/>
    <n v="0"/>
    <n v="0"/>
    <x v="1"/>
    <s v="Female"/>
    <n v="1"/>
    <n v="52"/>
    <n v="3"/>
    <n v="2"/>
    <s v="Healthcare Representative"/>
    <n v="1"/>
    <n v="0"/>
    <n v="0"/>
    <n v="0"/>
    <n v="0"/>
    <n v="0"/>
    <n v="0"/>
    <n v="0"/>
    <n v="4"/>
    <x v="2"/>
    <n v="0"/>
    <n v="0"/>
    <n v="6513"/>
    <n v="6513"/>
    <n v="4"/>
    <x v="1"/>
    <n v="0"/>
    <n v="17"/>
    <n v="3"/>
    <n v="4"/>
    <n v="1"/>
    <n v="12"/>
    <n v="12"/>
    <n v="3"/>
    <n v="3"/>
    <n v="5"/>
    <n v="5"/>
    <n v="3"/>
    <n v="0"/>
    <n v="0"/>
    <n v="3"/>
    <n v="3"/>
    <n v="6"/>
  </r>
  <r>
    <n v="34"/>
    <n v="34"/>
    <x v="1"/>
    <n v="0"/>
    <s v="Travel_Rarely"/>
    <n v="0"/>
    <n v="1"/>
    <x v="0"/>
    <n v="0"/>
    <n v="1"/>
    <n v="8"/>
    <n v="8"/>
    <n v="2"/>
    <s v="Technical Degree"/>
    <n v="0"/>
    <n v="0"/>
    <n v="0"/>
    <n v="0"/>
    <n v="1"/>
    <x v="0"/>
    <s v="Male"/>
    <n v="0"/>
    <n v="92"/>
    <n v="4"/>
    <n v="2"/>
    <s v="Sales Executive"/>
    <n v="0"/>
    <n v="1"/>
    <n v="0"/>
    <n v="0"/>
    <n v="0"/>
    <n v="0"/>
    <n v="0"/>
    <n v="0"/>
    <n v="3"/>
    <x v="1"/>
    <n v="0"/>
    <n v="1"/>
    <n v="6799"/>
    <n v="6799"/>
    <n v="1"/>
    <x v="1"/>
    <n v="0"/>
    <n v="21"/>
    <n v="4"/>
    <n v="3"/>
    <n v="2"/>
    <n v="10"/>
    <n v="10"/>
    <n v="5"/>
    <n v="3"/>
    <n v="10"/>
    <n v="10"/>
    <n v="8"/>
    <n v="4"/>
    <n v="4"/>
    <n v="8"/>
    <n v="8"/>
    <n v="16"/>
  </r>
  <r>
    <n v="58"/>
    <n v="58"/>
    <x v="1"/>
    <n v="0"/>
    <s v="Non-Travel"/>
    <n v="0"/>
    <n v="0"/>
    <x v="0"/>
    <n v="0"/>
    <n v="1"/>
    <n v="2"/>
    <n v="2"/>
    <n v="3"/>
    <s v="Medical"/>
    <n v="0"/>
    <n v="0"/>
    <n v="1"/>
    <n v="0"/>
    <n v="0"/>
    <x v="0"/>
    <s v="Male"/>
    <n v="0"/>
    <n v="52"/>
    <n v="3"/>
    <n v="4"/>
    <s v="Manager"/>
    <n v="0"/>
    <n v="0"/>
    <n v="0"/>
    <n v="1"/>
    <n v="0"/>
    <n v="0"/>
    <n v="0"/>
    <n v="0"/>
    <n v="2"/>
    <x v="2"/>
    <n v="0"/>
    <n v="0"/>
    <n v="16291"/>
    <n v="16291"/>
    <n v="4"/>
    <x v="1"/>
    <n v="0"/>
    <n v="22"/>
    <n v="4"/>
    <n v="4"/>
    <n v="1"/>
    <n v="37"/>
    <n v="35"/>
    <n v="0"/>
    <n v="2"/>
    <n v="16"/>
    <n v="16"/>
    <n v="9"/>
    <n v="14"/>
    <n v="14"/>
    <n v="14"/>
    <n v="14"/>
    <n v="56"/>
  </r>
  <r>
    <n v="35"/>
    <n v="35"/>
    <x v="1"/>
    <n v="0"/>
    <s v="Travel_Rarely"/>
    <n v="0"/>
    <n v="1"/>
    <x v="1"/>
    <n v="1"/>
    <n v="0"/>
    <n v="23"/>
    <n v="23"/>
    <n v="4"/>
    <s v="Medical"/>
    <n v="0"/>
    <n v="0"/>
    <n v="1"/>
    <n v="0"/>
    <n v="0"/>
    <x v="0"/>
    <s v="Male"/>
    <n v="0"/>
    <n v="91"/>
    <n v="1"/>
    <n v="1"/>
    <s v="Laboratory Technician"/>
    <n v="0"/>
    <n v="0"/>
    <n v="1"/>
    <n v="0"/>
    <n v="0"/>
    <n v="0"/>
    <n v="0"/>
    <n v="0"/>
    <n v="3"/>
    <x v="1"/>
    <n v="0"/>
    <n v="1"/>
    <n v="2705"/>
    <n v="2705"/>
    <n v="0"/>
    <x v="1"/>
    <n v="0"/>
    <n v="16"/>
    <n v="3"/>
    <n v="2"/>
    <n v="1"/>
    <n v="6"/>
    <n v="6"/>
    <n v="2"/>
    <n v="4"/>
    <n v="5"/>
    <n v="5"/>
    <n v="4"/>
    <n v="0"/>
    <n v="0"/>
    <n v="3"/>
    <n v="3"/>
    <n v="3"/>
  </r>
  <r>
    <n v="47"/>
    <n v="47"/>
    <x v="1"/>
    <n v="0"/>
    <s v="Travel_Rarely"/>
    <n v="0"/>
    <n v="1"/>
    <x v="1"/>
    <n v="1"/>
    <n v="0"/>
    <n v="4"/>
    <n v="4"/>
    <n v="3"/>
    <s v="Life Sciences"/>
    <n v="1"/>
    <n v="0"/>
    <n v="0"/>
    <n v="0"/>
    <n v="0"/>
    <x v="1"/>
    <s v="Female"/>
    <n v="1"/>
    <n v="92"/>
    <n v="2"/>
    <n v="3"/>
    <s v="Manufacturing Director"/>
    <n v="0"/>
    <n v="0"/>
    <n v="0"/>
    <n v="0"/>
    <n v="1"/>
    <n v="1"/>
    <n v="0"/>
    <n v="0"/>
    <n v="2"/>
    <x v="2"/>
    <n v="0"/>
    <n v="0"/>
    <n v="10333"/>
    <n v="10333"/>
    <n v="8"/>
    <x v="0"/>
    <n v="1"/>
    <n v="12"/>
    <n v="3"/>
    <n v="3"/>
    <n v="1"/>
    <n v="28"/>
    <n v="28"/>
    <n v="4"/>
    <n v="3"/>
    <n v="22"/>
    <n v="22"/>
    <n v="11"/>
    <n v="14"/>
    <n v="14"/>
    <n v="10"/>
    <n v="10"/>
    <n v="30"/>
  </r>
  <r>
    <n v="40"/>
    <n v="40"/>
    <x v="1"/>
    <n v="0"/>
    <s v="Travel_Rarely"/>
    <n v="0"/>
    <n v="1"/>
    <x v="1"/>
    <n v="1"/>
    <n v="0"/>
    <n v="12"/>
    <n v="12"/>
    <n v="3"/>
    <s v="Life Sciences"/>
    <n v="1"/>
    <n v="0"/>
    <n v="0"/>
    <n v="0"/>
    <n v="0"/>
    <x v="0"/>
    <s v="Female"/>
    <n v="1"/>
    <n v="47"/>
    <n v="3"/>
    <n v="2"/>
    <s v="Healthcare Representative"/>
    <n v="1"/>
    <n v="0"/>
    <n v="0"/>
    <n v="0"/>
    <n v="0"/>
    <n v="0"/>
    <n v="0"/>
    <n v="0"/>
    <n v="1"/>
    <x v="2"/>
    <n v="0"/>
    <n v="0"/>
    <n v="4448"/>
    <n v="4448"/>
    <n v="2"/>
    <x v="1"/>
    <n v="0"/>
    <n v="12"/>
    <n v="3"/>
    <n v="2"/>
    <n v="1"/>
    <n v="15"/>
    <n v="15"/>
    <n v="3"/>
    <n v="3"/>
    <n v="7"/>
    <n v="7"/>
    <n v="4"/>
    <n v="7"/>
    <n v="7"/>
    <n v="7"/>
    <n v="7"/>
    <n v="14"/>
  </r>
  <r>
    <n v="54"/>
    <n v="54"/>
    <x v="1"/>
    <n v="0"/>
    <s v="Travel_Rarely"/>
    <n v="0"/>
    <n v="1"/>
    <x v="1"/>
    <n v="1"/>
    <n v="0"/>
    <n v="7"/>
    <n v="7"/>
    <n v="4"/>
    <s v="Medical"/>
    <n v="0"/>
    <n v="0"/>
    <n v="1"/>
    <n v="0"/>
    <n v="0"/>
    <x v="2"/>
    <s v="Female"/>
    <n v="1"/>
    <n v="68"/>
    <n v="3"/>
    <n v="2"/>
    <s v="Research Scientist"/>
    <n v="0"/>
    <n v="0"/>
    <n v="0"/>
    <n v="0"/>
    <n v="0"/>
    <n v="0"/>
    <n v="0"/>
    <n v="1"/>
    <n v="4"/>
    <x v="1"/>
    <n v="0"/>
    <n v="1"/>
    <n v="6854"/>
    <n v="6854"/>
    <n v="4"/>
    <x v="1"/>
    <n v="0"/>
    <n v="15"/>
    <n v="3"/>
    <n v="2"/>
    <n v="1"/>
    <n v="14"/>
    <n v="14"/>
    <n v="2"/>
    <n v="2"/>
    <n v="7"/>
    <n v="7"/>
    <n v="1"/>
    <n v="1"/>
    <n v="1"/>
    <n v="7"/>
    <n v="7"/>
    <n v="14"/>
  </r>
  <r>
    <n v="31"/>
    <n v="31"/>
    <x v="1"/>
    <n v="0"/>
    <s v="Travel_Frequently"/>
    <n v="1"/>
    <n v="0"/>
    <x v="0"/>
    <n v="0"/>
    <n v="1"/>
    <n v="7"/>
    <n v="7"/>
    <n v="4"/>
    <s v="Marketing"/>
    <n v="0"/>
    <n v="0"/>
    <n v="0"/>
    <n v="1"/>
    <n v="0"/>
    <x v="3"/>
    <s v="Female"/>
    <n v="1"/>
    <n v="68"/>
    <n v="3"/>
    <n v="3"/>
    <s v="Sales Executive"/>
    <n v="0"/>
    <n v="1"/>
    <n v="0"/>
    <n v="0"/>
    <n v="0"/>
    <n v="0"/>
    <n v="0"/>
    <n v="0"/>
    <n v="1"/>
    <x v="1"/>
    <n v="0"/>
    <n v="1"/>
    <n v="9637"/>
    <n v="9637"/>
    <n v="2"/>
    <x v="1"/>
    <n v="0"/>
    <n v="14"/>
    <n v="3"/>
    <n v="4"/>
    <n v="2"/>
    <n v="9"/>
    <n v="9"/>
    <n v="3"/>
    <n v="3"/>
    <n v="3"/>
    <n v="3"/>
    <n v="2"/>
    <n v="2"/>
    <n v="2"/>
    <n v="2"/>
    <n v="2"/>
    <n v="6"/>
  </r>
  <r>
    <n v="28"/>
    <n v="28"/>
    <x v="1"/>
    <n v="0"/>
    <s v="Travel_Rarely"/>
    <n v="0"/>
    <n v="1"/>
    <x v="1"/>
    <n v="1"/>
    <n v="0"/>
    <n v="1"/>
    <n v="1"/>
    <n v="3"/>
    <s v="Medical"/>
    <n v="0"/>
    <n v="0"/>
    <n v="1"/>
    <n v="0"/>
    <n v="0"/>
    <x v="1"/>
    <s v="Female"/>
    <n v="1"/>
    <n v="67"/>
    <n v="3"/>
    <n v="1"/>
    <s v="Research Scientist"/>
    <n v="0"/>
    <n v="0"/>
    <n v="0"/>
    <n v="0"/>
    <n v="0"/>
    <n v="0"/>
    <n v="0"/>
    <n v="1"/>
    <n v="1"/>
    <x v="1"/>
    <n v="0"/>
    <n v="1"/>
    <n v="3591"/>
    <n v="3591"/>
    <n v="1"/>
    <x v="1"/>
    <n v="0"/>
    <n v="25"/>
    <n v="4"/>
    <n v="3"/>
    <n v="1"/>
    <n v="3"/>
    <n v="3"/>
    <n v="3"/>
    <n v="3"/>
    <n v="3"/>
    <n v="3"/>
    <n v="2"/>
    <n v="1"/>
    <n v="1"/>
    <n v="2"/>
    <n v="2"/>
    <n v="2"/>
  </r>
  <r>
    <n v="38"/>
    <n v="38"/>
    <x v="1"/>
    <n v="0"/>
    <s v="Travel_Rarely"/>
    <n v="0"/>
    <n v="1"/>
    <x v="0"/>
    <n v="0"/>
    <n v="1"/>
    <n v="2"/>
    <n v="2"/>
    <n v="4"/>
    <s v="Marketing"/>
    <n v="0"/>
    <n v="0"/>
    <n v="0"/>
    <n v="1"/>
    <n v="0"/>
    <x v="0"/>
    <s v="Female"/>
    <n v="1"/>
    <n v="77"/>
    <n v="1"/>
    <n v="2"/>
    <s v="Sales Representative"/>
    <n v="0"/>
    <n v="0"/>
    <n v="0"/>
    <n v="0"/>
    <n v="0"/>
    <n v="0"/>
    <n v="1"/>
    <n v="0"/>
    <n v="4"/>
    <x v="1"/>
    <n v="0"/>
    <n v="1"/>
    <n v="5405"/>
    <n v="5405"/>
    <n v="2"/>
    <x v="0"/>
    <n v="1"/>
    <n v="20"/>
    <n v="4"/>
    <n v="1"/>
    <n v="2"/>
    <n v="20"/>
    <n v="20"/>
    <n v="4"/>
    <n v="2"/>
    <n v="4"/>
    <n v="4"/>
    <n v="2"/>
    <n v="0"/>
    <n v="0"/>
    <n v="3"/>
    <n v="3"/>
    <n v="6"/>
  </r>
  <r>
    <n v="26"/>
    <n v="26"/>
    <x v="1"/>
    <n v="0"/>
    <s v="Travel_Rarely"/>
    <n v="0"/>
    <n v="1"/>
    <x v="0"/>
    <n v="0"/>
    <n v="1"/>
    <n v="10"/>
    <n v="10"/>
    <n v="3"/>
    <s v="Medical"/>
    <n v="0"/>
    <n v="0"/>
    <n v="1"/>
    <n v="0"/>
    <n v="0"/>
    <x v="1"/>
    <s v="Male"/>
    <n v="0"/>
    <n v="46"/>
    <n v="3"/>
    <n v="2"/>
    <s v="Sales Executive"/>
    <n v="0"/>
    <n v="1"/>
    <n v="0"/>
    <n v="0"/>
    <n v="0"/>
    <n v="0"/>
    <n v="0"/>
    <n v="0"/>
    <n v="4"/>
    <x v="0"/>
    <n v="1"/>
    <n v="0"/>
    <n v="4684"/>
    <n v="4684"/>
    <n v="1"/>
    <x v="1"/>
    <n v="0"/>
    <n v="13"/>
    <n v="3"/>
    <n v="1"/>
    <n v="0"/>
    <n v="5"/>
    <n v="5"/>
    <n v="4"/>
    <n v="3"/>
    <n v="5"/>
    <n v="5"/>
    <n v="3"/>
    <n v="1"/>
    <n v="1"/>
    <n v="2"/>
    <n v="2"/>
    <n v="4"/>
  </r>
  <r>
    <n v="58"/>
    <n v="58"/>
    <x v="1"/>
    <n v="0"/>
    <s v="Travel_Frequently"/>
    <n v="1"/>
    <n v="0"/>
    <x v="1"/>
    <n v="1"/>
    <n v="0"/>
    <n v="15"/>
    <n v="15"/>
    <n v="4"/>
    <s v="Life Sciences"/>
    <n v="1"/>
    <n v="0"/>
    <n v="0"/>
    <n v="0"/>
    <n v="0"/>
    <x v="3"/>
    <s v="Male"/>
    <n v="0"/>
    <n v="87"/>
    <n v="3"/>
    <n v="4"/>
    <s v="Research Director"/>
    <n v="0"/>
    <n v="0"/>
    <n v="0"/>
    <n v="0"/>
    <n v="0"/>
    <n v="0"/>
    <n v="0"/>
    <n v="0"/>
    <n v="3"/>
    <x v="1"/>
    <n v="0"/>
    <n v="1"/>
    <n v="15787"/>
    <n v="15787"/>
    <n v="2"/>
    <x v="0"/>
    <n v="1"/>
    <n v="14"/>
    <n v="3"/>
    <n v="2"/>
    <n v="0"/>
    <n v="23"/>
    <n v="23"/>
    <n v="3"/>
    <n v="3"/>
    <n v="2"/>
    <n v="2"/>
    <n v="2"/>
    <n v="2"/>
    <n v="2"/>
    <n v="2"/>
    <n v="2"/>
    <n v="8"/>
  </r>
  <r>
    <n v="18"/>
    <n v="19"/>
    <x v="1"/>
    <n v="0"/>
    <s v="Non-Travel"/>
    <n v="0"/>
    <n v="0"/>
    <x v="1"/>
    <n v="1"/>
    <n v="0"/>
    <n v="14"/>
    <n v="14"/>
    <n v="3"/>
    <s v="Medical"/>
    <n v="0"/>
    <n v="0"/>
    <n v="1"/>
    <n v="0"/>
    <n v="0"/>
    <x v="0"/>
    <s v="Female"/>
    <n v="1"/>
    <n v="33"/>
    <n v="3"/>
    <n v="1"/>
    <s v="Research Scientist"/>
    <n v="0"/>
    <n v="0"/>
    <n v="0"/>
    <n v="0"/>
    <n v="0"/>
    <n v="0"/>
    <n v="0"/>
    <n v="1"/>
    <n v="3"/>
    <x v="0"/>
    <n v="1"/>
    <n v="0"/>
    <n v="1514"/>
    <n v="1514"/>
    <n v="1"/>
    <x v="1"/>
    <n v="0"/>
    <n v="16"/>
    <n v="3"/>
    <n v="3"/>
    <n v="0"/>
    <n v="0"/>
    <n v="1"/>
    <n v="4"/>
    <n v="1"/>
    <n v="0"/>
    <n v="0"/>
    <n v="0"/>
    <n v="0"/>
    <n v="0"/>
    <n v="0"/>
    <n v="0"/>
    <n v="0"/>
  </r>
  <r>
    <n v="31"/>
    <n v="31"/>
    <x v="0"/>
    <n v="1"/>
    <s v="Travel_Rarely"/>
    <n v="0"/>
    <n v="1"/>
    <x v="2"/>
    <n v="0"/>
    <n v="0"/>
    <n v="18"/>
    <n v="18"/>
    <n v="5"/>
    <s v="Human Resources"/>
    <n v="0"/>
    <n v="0"/>
    <n v="0"/>
    <n v="0"/>
    <n v="0"/>
    <x v="2"/>
    <s v="Male"/>
    <n v="0"/>
    <n v="89"/>
    <n v="4"/>
    <n v="1"/>
    <s v="Human Resources"/>
    <n v="0"/>
    <n v="0"/>
    <n v="0"/>
    <n v="0"/>
    <n v="0"/>
    <n v="0"/>
    <n v="0"/>
    <n v="0"/>
    <n v="1"/>
    <x v="1"/>
    <n v="0"/>
    <n v="1"/>
    <n v="2956"/>
    <n v="2956"/>
    <n v="0"/>
    <x v="1"/>
    <n v="0"/>
    <n v="17"/>
    <n v="3"/>
    <n v="3"/>
    <n v="0"/>
    <n v="2"/>
    <n v="2"/>
    <n v="4"/>
    <n v="3"/>
    <n v="1"/>
    <n v="1"/>
    <n v="0"/>
    <n v="0"/>
    <n v="0"/>
    <n v="0"/>
    <n v="0"/>
    <n v="0"/>
  </r>
  <r>
    <n v="29"/>
    <n v="29"/>
    <x v="0"/>
    <n v="1"/>
    <s v="Travel_Rarely"/>
    <n v="0"/>
    <n v="1"/>
    <x v="2"/>
    <n v="0"/>
    <n v="0"/>
    <n v="13"/>
    <n v="13"/>
    <n v="3"/>
    <s v="Human Resources"/>
    <n v="0"/>
    <n v="0"/>
    <n v="0"/>
    <n v="0"/>
    <n v="0"/>
    <x v="3"/>
    <s v="Male"/>
    <n v="0"/>
    <n v="56"/>
    <n v="2"/>
    <n v="1"/>
    <s v="Human Resources"/>
    <n v="0"/>
    <n v="0"/>
    <n v="0"/>
    <n v="0"/>
    <n v="0"/>
    <n v="0"/>
    <n v="0"/>
    <n v="0"/>
    <n v="1"/>
    <x v="2"/>
    <n v="0"/>
    <n v="0"/>
    <n v="2335"/>
    <n v="2335"/>
    <n v="4"/>
    <x v="0"/>
    <n v="1"/>
    <n v="15"/>
    <n v="3"/>
    <n v="4"/>
    <n v="3"/>
    <n v="4"/>
    <n v="4"/>
    <n v="3"/>
    <n v="3"/>
    <n v="2"/>
    <n v="2"/>
    <n v="2"/>
    <n v="2"/>
    <n v="2"/>
    <n v="0"/>
    <n v="0"/>
    <n v="0"/>
  </r>
  <r>
    <n v="45"/>
    <n v="45"/>
    <x v="1"/>
    <n v="0"/>
    <s v="Non-Travel"/>
    <n v="0"/>
    <n v="0"/>
    <x v="0"/>
    <n v="0"/>
    <n v="1"/>
    <n v="2"/>
    <n v="2"/>
    <n v="4"/>
    <s v="Life Sciences"/>
    <n v="1"/>
    <n v="0"/>
    <n v="0"/>
    <n v="0"/>
    <n v="0"/>
    <x v="1"/>
    <s v="Female"/>
    <n v="1"/>
    <n v="67"/>
    <n v="3"/>
    <n v="2"/>
    <s v="Sales Executive"/>
    <n v="0"/>
    <n v="1"/>
    <n v="0"/>
    <n v="0"/>
    <n v="0"/>
    <n v="0"/>
    <n v="0"/>
    <n v="0"/>
    <n v="3"/>
    <x v="1"/>
    <n v="0"/>
    <n v="1"/>
    <n v="5154"/>
    <n v="5154"/>
    <n v="4"/>
    <x v="1"/>
    <n v="0"/>
    <n v="22"/>
    <n v="4"/>
    <n v="2"/>
    <n v="2"/>
    <n v="10"/>
    <n v="10"/>
    <n v="3"/>
    <n v="4"/>
    <n v="8"/>
    <n v="8"/>
    <n v="7"/>
    <n v="5"/>
    <n v="5"/>
    <n v="7"/>
    <n v="7"/>
    <n v="14"/>
  </r>
  <r>
    <n v="36"/>
    <n v="36"/>
    <x v="1"/>
    <n v="0"/>
    <s v="Travel_Rarely"/>
    <n v="0"/>
    <n v="1"/>
    <x v="1"/>
    <n v="1"/>
    <n v="0"/>
    <n v="2"/>
    <n v="2"/>
    <n v="4"/>
    <s v="Other"/>
    <n v="0"/>
    <n v="1"/>
    <n v="0"/>
    <n v="0"/>
    <n v="0"/>
    <x v="2"/>
    <s v="Female"/>
    <n v="1"/>
    <n v="73"/>
    <n v="3"/>
    <n v="2"/>
    <s v="Research Scientist"/>
    <n v="0"/>
    <n v="0"/>
    <n v="0"/>
    <n v="0"/>
    <n v="0"/>
    <n v="0"/>
    <n v="0"/>
    <n v="1"/>
    <n v="2"/>
    <x v="1"/>
    <n v="0"/>
    <n v="1"/>
    <n v="6962"/>
    <n v="6962"/>
    <n v="4"/>
    <x v="0"/>
    <n v="1"/>
    <n v="22"/>
    <n v="4"/>
    <n v="4"/>
    <n v="1"/>
    <n v="15"/>
    <n v="15"/>
    <n v="2"/>
    <n v="3"/>
    <n v="1"/>
    <n v="1"/>
    <n v="0"/>
    <n v="0"/>
    <n v="0"/>
    <n v="0"/>
    <n v="0"/>
    <n v="0"/>
  </r>
  <r>
    <n v="43"/>
    <n v="43"/>
    <x v="1"/>
    <n v="0"/>
    <s v="Travel_Frequently"/>
    <n v="1"/>
    <n v="0"/>
    <x v="0"/>
    <n v="0"/>
    <n v="1"/>
    <n v="2"/>
    <n v="2"/>
    <n v="4"/>
    <s v="Life Sciences"/>
    <n v="1"/>
    <n v="0"/>
    <n v="0"/>
    <n v="0"/>
    <n v="0"/>
    <x v="3"/>
    <s v="Male"/>
    <n v="0"/>
    <n v="92"/>
    <n v="3"/>
    <n v="2"/>
    <s v="Sales Executive"/>
    <n v="0"/>
    <n v="1"/>
    <n v="0"/>
    <n v="0"/>
    <n v="0"/>
    <n v="0"/>
    <n v="0"/>
    <n v="0"/>
    <n v="4"/>
    <x v="1"/>
    <n v="0"/>
    <n v="1"/>
    <n v="5675"/>
    <n v="5675"/>
    <n v="1"/>
    <x v="1"/>
    <n v="0"/>
    <n v="20"/>
    <n v="4"/>
    <n v="3"/>
    <n v="1"/>
    <n v="7"/>
    <n v="7"/>
    <n v="5"/>
    <n v="3"/>
    <n v="7"/>
    <n v="7"/>
    <n v="7"/>
    <n v="7"/>
    <n v="7"/>
    <n v="7"/>
    <n v="7"/>
    <n v="14"/>
  </r>
  <r>
    <n v="27"/>
    <n v="27"/>
    <x v="1"/>
    <n v="0"/>
    <s v="Travel_Frequently"/>
    <n v="1"/>
    <n v="0"/>
    <x v="1"/>
    <n v="1"/>
    <n v="0"/>
    <n v="5"/>
    <n v="5"/>
    <n v="2"/>
    <s v="Life Sciences"/>
    <n v="1"/>
    <n v="0"/>
    <n v="0"/>
    <n v="0"/>
    <n v="0"/>
    <x v="2"/>
    <s v="Female"/>
    <n v="1"/>
    <n v="53"/>
    <n v="3"/>
    <n v="1"/>
    <s v="Laboratory Technician"/>
    <n v="0"/>
    <n v="0"/>
    <n v="1"/>
    <n v="0"/>
    <n v="0"/>
    <n v="0"/>
    <n v="0"/>
    <n v="0"/>
    <n v="4"/>
    <x v="0"/>
    <n v="1"/>
    <n v="0"/>
    <n v="2379"/>
    <n v="2379"/>
    <n v="0"/>
    <x v="0"/>
    <n v="1"/>
    <n v="14"/>
    <n v="3"/>
    <n v="3"/>
    <n v="0"/>
    <n v="6"/>
    <n v="6"/>
    <n v="3"/>
    <n v="2"/>
    <n v="5"/>
    <n v="5"/>
    <n v="4"/>
    <n v="0"/>
    <n v="0"/>
    <n v="2"/>
    <n v="2"/>
    <n v="2"/>
  </r>
  <r>
    <n v="29"/>
    <n v="29"/>
    <x v="1"/>
    <n v="0"/>
    <s v="Travel_Frequently"/>
    <n v="1"/>
    <n v="0"/>
    <x v="1"/>
    <n v="1"/>
    <n v="0"/>
    <n v="20"/>
    <n v="20"/>
    <n v="1"/>
    <s v="Medical"/>
    <n v="0"/>
    <n v="0"/>
    <n v="1"/>
    <n v="0"/>
    <n v="0"/>
    <x v="2"/>
    <s v="Male"/>
    <n v="0"/>
    <n v="40"/>
    <n v="3"/>
    <n v="1"/>
    <s v="Laboratory Technician"/>
    <n v="0"/>
    <n v="0"/>
    <n v="1"/>
    <n v="0"/>
    <n v="0"/>
    <n v="0"/>
    <n v="0"/>
    <n v="0"/>
    <n v="4"/>
    <x v="1"/>
    <n v="0"/>
    <n v="1"/>
    <n v="3812"/>
    <n v="3812"/>
    <n v="1"/>
    <x v="1"/>
    <n v="0"/>
    <n v="13"/>
    <n v="3"/>
    <n v="2"/>
    <n v="0"/>
    <n v="11"/>
    <n v="11"/>
    <n v="3"/>
    <n v="4"/>
    <n v="11"/>
    <n v="11"/>
    <n v="8"/>
    <n v="3"/>
    <n v="3"/>
    <n v="10"/>
    <n v="10"/>
    <n v="10"/>
  </r>
  <r>
    <n v="32"/>
    <n v="32"/>
    <x v="1"/>
    <n v="0"/>
    <s v="Travel_Frequently"/>
    <n v="1"/>
    <n v="0"/>
    <x v="0"/>
    <n v="0"/>
    <n v="1"/>
    <n v="10"/>
    <n v="10"/>
    <n v="4"/>
    <s v="Marketing"/>
    <n v="0"/>
    <n v="0"/>
    <n v="0"/>
    <n v="1"/>
    <n v="0"/>
    <x v="2"/>
    <s v="Male"/>
    <n v="0"/>
    <n v="79"/>
    <n v="3"/>
    <n v="2"/>
    <s v="Sales Executive"/>
    <n v="0"/>
    <n v="1"/>
    <n v="0"/>
    <n v="0"/>
    <n v="0"/>
    <n v="0"/>
    <n v="0"/>
    <n v="0"/>
    <n v="4"/>
    <x v="0"/>
    <n v="1"/>
    <n v="0"/>
    <n v="4648"/>
    <n v="4648"/>
    <n v="8"/>
    <x v="1"/>
    <n v="0"/>
    <n v="13"/>
    <n v="3"/>
    <n v="3"/>
    <n v="0"/>
    <n v="4"/>
    <n v="4"/>
    <n v="2"/>
    <n v="4"/>
    <n v="0"/>
    <n v="0"/>
    <n v="0"/>
    <n v="0"/>
    <n v="0"/>
    <n v="0"/>
    <n v="0"/>
    <n v="0"/>
  </r>
  <r>
    <n v="42"/>
    <n v="42"/>
    <x v="1"/>
    <n v="0"/>
    <s v="Non-Travel"/>
    <n v="0"/>
    <n v="0"/>
    <x v="1"/>
    <n v="1"/>
    <n v="0"/>
    <n v="10"/>
    <n v="10"/>
    <n v="4"/>
    <s v="Technical Degree"/>
    <n v="0"/>
    <n v="0"/>
    <n v="0"/>
    <n v="0"/>
    <n v="1"/>
    <x v="1"/>
    <s v="Male"/>
    <n v="0"/>
    <n v="38"/>
    <n v="3"/>
    <n v="1"/>
    <s v="Research Scientist"/>
    <n v="0"/>
    <n v="0"/>
    <n v="0"/>
    <n v="0"/>
    <n v="0"/>
    <n v="0"/>
    <n v="0"/>
    <n v="1"/>
    <n v="3"/>
    <x v="1"/>
    <n v="0"/>
    <n v="1"/>
    <n v="2936"/>
    <n v="2936"/>
    <n v="3"/>
    <x v="1"/>
    <n v="0"/>
    <n v="22"/>
    <n v="4"/>
    <n v="2"/>
    <n v="2"/>
    <n v="10"/>
    <n v="10"/>
    <n v="1"/>
    <n v="2"/>
    <n v="6"/>
    <n v="6"/>
    <n v="3"/>
    <n v="3"/>
    <n v="3"/>
    <n v="3"/>
    <n v="3"/>
    <n v="3"/>
  </r>
  <r>
    <n v="47"/>
    <n v="47"/>
    <x v="1"/>
    <n v="0"/>
    <s v="Travel_Rarely"/>
    <n v="0"/>
    <n v="1"/>
    <x v="1"/>
    <n v="1"/>
    <n v="0"/>
    <n v="9"/>
    <n v="9"/>
    <n v="4"/>
    <s v="Life Sciences"/>
    <n v="1"/>
    <n v="0"/>
    <n v="0"/>
    <n v="0"/>
    <n v="0"/>
    <x v="0"/>
    <s v="Female"/>
    <n v="1"/>
    <n v="64"/>
    <n v="3"/>
    <n v="1"/>
    <s v="Laboratory Technician"/>
    <n v="0"/>
    <n v="0"/>
    <n v="1"/>
    <n v="0"/>
    <n v="0"/>
    <n v="0"/>
    <n v="0"/>
    <n v="0"/>
    <n v="3"/>
    <x v="0"/>
    <n v="1"/>
    <n v="0"/>
    <n v="2105"/>
    <n v="2105"/>
    <n v="4"/>
    <x v="1"/>
    <n v="0"/>
    <n v="12"/>
    <n v="3"/>
    <n v="3"/>
    <n v="0"/>
    <n v="7"/>
    <n v="7"/>
    <n v="2"/>
    <n v="3"/>
    <n v="2"/>
    <n v="2"/>
    <n v="2"/>
    <n v="2"/>
    <n v="2"/>
    <n v="0"/>
    <n v="0"/>
    <n v="0"/>
  </r>
  <r>
    <n v="46"/>
    <n v="46"/>
    <x v="1"/>
    <n v="0"/>
    <s v="Travel_Rarely"/>
    <n v="0"/>
    <n v="1"/>
    <x v="1"/>
    <n v="1"/>
    <n v="0"/>
    <n v="2"/>
    <n v="2"/>
    <n v="2"/>
    <s v="Life Sciences"/>
    <n v="1"/>
    <n v="0"/>
    <n v="0"/>
    <n v="0"/>
    <n v="0"/>
    <x v="2"/>
    <s v="Male"/>
    <n v="0"/>
    <n v="82"/>
    <n v="3"/>
    <n v="3"/>
    <s v="Manufacturing Director"/>
    <n v="0"/>
    <n v="0"/>
    <n v="0"/>
    <n v="0"/>
    <n v="1"/>
    <n v="1"/>
    <n v="0"/>
    <n v="0"/>
    <n v="4"/>
    <x v="2"/>
    <n v="0"/>
    <n v="0"/>
    <n v="8578"/>
    <n v="8578"/>
    <n v="3"/>
    <x v="1"/>
    <n v="0"/>
    <n v="14"/>
    <n v="3"/>
    <n v="3"/>
    <n v="1"/>
    <n v="12"/>
    <n v="12"/>
    <n v="4"/>
    <n v="2"/>
    <n v="9"/>
    <n v="9"/>
    <n v="8"/>
    <n v="4"/>
    <n v="4"/>
    <n v="7"/>
    <n v="7"/>
    <n v="21"/>
  </r>
  <r>
    <n v="28"/>
    <n v="28"/>
    <x v="1"/>
    <n v="0"/>
    <s v="Non-Travel"/>
    <n v="0"/>
    <n v="0"/>
    <x v="2"/>
    <n v="0"/>
    <n v="0"/>
    <n v="1"/>
    <n v="1"/>
    <n v="2"/>
    <s v="Life Sciences"/>
    <n v="1"/>
    <n v="0"/>
    <n v="0"/>
    <n v="0"/>
    <n v="0"/>
    <x v="1"/>
    <s v="Male"/>
    <n v="0"/>
    <n v="43"/>
    <n v="3"/>
    <n v="1"/>
    <s v="Human Resources"/>
    <n v="0"/>
    <n v="0"/>
    <n v="0"/>
    <n v="0"/>
    <n v="0"/>
    <n v="0"/>
    <n v="0"/>
    <n v="0"/>
    <n v="4"/>
    <x v="2"/>
    <n v="0"/>
    <n v="0"/>
    <n v="2706"/>
    <n v="2706"/>
    <n v="1"/>
    <x v="1"/>
    <n v="0"/>
    <n v="15"/>
    <n v="3"/>
    <n v="2"/>
    <n v="1"/>
    <n v="3"/>
    <n v="3"/>
    <n v="2"/>
    <n v="3"/>
    <n v="3"/>
    <n v="3"/>
    <n v="2"/>
    <n v="2"/>
    <n v="2"/>
    <n v="2"/>
    <n v="2"/>
    <n v="2"/>
  </r>
  <r>
    <n v="29"/>
    <n v="29"/>
    <x v="1"/>
    <n v="0"/>
    <s v="Travel_Rarely"/>
    <n v="0"/>
    <n v="1"/>
    <x v="1"/>
    <n v="1"/>
    <n v="0"/>
    <n v="29"/>
    <n v="29"/>
    <n v="1"/>
    <s v="Life Sciences"/>
    <n v="1"/>
    <n v="0"/>
    <n v="0"/>
    <n v="0"/>
    <n v="0"/>
    <x v="2"/>
    <s v="Male"/>
    <n v="0"/>
    <n v="93"/>
    <n v="1"/>
    <n v="2"/>
    <s v="Healthcare Representative"/>
    <n v="1"/>
    <n v="0"/>
    <n v="0"/>
    <n v="0"/>
    <n v="0"/>
    <n v="0"/>
    <n v="0"/>
    <n v="0"/>
    <n v="3"/>
    <x v="2"/>
    <n v="0"/>
    <n v="0"/>
    <n v="6384"/>
    <n v="6384"/>
    <n v="8"/>
    <x v="1"/>
    <n v="0"/>
    <n v="17"/>
    <n v="3"/>
    <n v="4"/>
    <n v="2"/>
    <n v="11"/>
    <n v="11"/>
    <n v="3"/>
    <n v="3"/>
    <n v="7"/>
    <n v="7"/>
    <n v="0"/>
    <n v="1"/>
    <n v="1"/>
    <n v="6"/>
    <n v="6"/>
    <n v="12"/>
  </r>
  <r>
    <n v="42"/>
    <n v="42"/>
    <x v="1"/>
    <n v="0"/>
    <s v="Travel_Rarely"/>
    <n v="0"/>
    <n v="1"/>
    <x v="1"/>
    <n v="1"/>
    <n v="0"/>
    <n v="8"/>
    <n v="8"/>
    <n v="3"/>
    <s v="Life Sciences"/>
    <n v="1"/>
    <n v="0"/>
    <n v="0"/>
    <n v="0"/>
    <n v="0"/>
    <x v="2"/>
    <s v="Male"/>
    <n v="0"/>
    <n v="81"/>
    <n v="3"/>
    <n v="1"/>
    <s v="Laboratory Technician"/>
    <n v="0"/>
    <n v="0"/>
    <n v="1"/>
    <n v="0"/>
    <n v="0"/>
    <n v="0"/>
    <n v="0"/>
    <n v="0"/>
    <n v="3"/>
    <x v="0"/>
    <n v="1"/>
    <n v="0"/>
    <n v="3968"/>
    <n v="3968"/>
    <n v="4"/>
    <x v="1"/>
    <n v="0"/>
    <n v="13"/>
    <n v="3"/>
    <n v="4"/>
    <n v="0"/>
    <n v="8"/>
    <n v="8"/>
    <n v="3"/>
    <n v="3"/>
    <n v="0"/>
    <n v="0"/>
    <n v="0"/>
    <n v="0"/>
    <n v="0"/>
    <n v="0"/>
    <n v="0"/>
    <n v="0"/>
  </r>
  <r>
    <n v="32"/>
    <n v="32"/>
    <x v="0"/>
    <n v="1"/>
    <s v="Travel_Rarely"/>
    <n v="0"/>
    <n v="1"/>
    <x v="0"/>
    <n v="0"/>
    <n v="1"/>
    <n v="2"/>
    <n v="2"/>
    <n v="4"/>
    <s v="Marketing"/>
    <n v="0"/>
    <n v="0"/>
    <n v="0"/>
    <n v="1"/>
    <n v="0"/>
    <x v="1"/>
    <s v="Male"/>
    <n v="0"/>
    <n v="82"/>
    <n v="2"/>
    <n v="2"/>
    <s v="Sales Executive"/>
    <n v="0"/>
    <n v="1"/>
    <n v="0"/>
    <n v="0"/>
    <n v="0"/>
    <n v="0"/>
    <n v="0"/>
    <n v="0"/>
    <n v="2"/>
    <x v="0"/>
    <n v="1"/>
    <n v="0"/>
    <n v="9907"/>
    <n v="9907"/>
    <n v="7"/>
    <x v="0"/>
    <n v="1"/>
    <n v="12"/>
    <n v="3"/>
    <n v="3"/>
    <n v="0"/>
    <n v="7"/>
    <n v="7"/>
    <n v="3"/>
    <n v="2"/>
    <n v="2"/>
    <n v="2"/>
    <n v="2"/>
    <n v="2"/>
    <n v="2"/>
    <n v="2"/>
    <n v="2"/>
    <n v="4"/>
  </r>
  <r>
    <n v="46"/>
    <n v="46"/>
    <x v="1"/>
    <n v="0"/>
    <s v="Travel_Rarely"/>
    <n v="0"/>
    <n v="1"/>
    <x v="0"/>
    <n v="0"/>
    <n v="1"/>
    <n v="3"/>
    <n v="3"/>
    <n v="3"/>
    <s v="Technical Degree"/>
    <n v="0"/>
    <n v="0"/>
    <n v="0"/>
    <n v="0"/>
    <n v="1"/>
    <x v="3"/>
    <s v="Female"/>
    <n v="1"/>
    <n v="45"/>
    <n v="4"/>
    <n v="4"/>
    <s v="Sales Executive"/>
    <n v="0"/>
    <n v="1"/>
    <n v="0"/>
    <n v="0"/>
    <n v="0"/>
    <n v="0"/>
    <n v="0"/>
    <n v="0"/>
    <n v="1"/>
    <x v="2"/>
    <n v="0"/>
    <n v="0"/>
    <n v="13225"/>
    <n v="13225"/>
    <n v="2"/>
    <x v="1"/>
    <n v="0"/>
    <n v="12"/>
    <n v="3"/>
    <n v="4"/>
    <n v="1"/>
    <n v="25"/>
    <n v="25"/>
    <n v="5"/>
    <n v="3"/>
    <n v="19"/>
    <n v="19"/>
    <n v="17"/>
    <n v="2"/>
    <n v="2"/>
    <n v="8"/>
    <n v="8"/>
    <n v="32"/>
  </r>
  <r>
    <n v="27"/>
    <n v="27"/>
    <x v="1"/>
    <n v="0"/>
    <s v="Travel_Rarely"/>
    <n v="0"/>
    <n v="1"/>
    <x v="0"/>
    <n v="0"/>
    <n v="1"/>
    <n v="23"/>
    <n v="23"/>
    <n v="1"/>
    <s v="Medical"/>
    <n v="0"/>
    <n v="0"/>
    <n v="1"/>
    <n v="0"/>
    <n v="0"/>
    <x v="0"/>
    <s v="Female"/>
    <n v="1"/>
    <n v="36"/>
    <n v="2"/>
    <n v="2"/>
    <s v="Sales Representative"/>
    <n v="0"/>
    <n v="0"/>
    <n v="0"/>
    <n v="0"/>
    <n v="0"/>
    <n v="0"/>
    <n v="1"/>
    <n v="0"/>
    <n v="3"/>
    <x v="1"/>
    <n v="0"/>
    <n v="1"/>
    <n v="3540"/>
    <n v="3540"/>
    <n v="1"/>
    <x v="1"/>
    <n v="0"/>
    <n v="21"/>
    <n v="4"/>
    <n v="4"/>
    <n v="1"/>
    <n v="9"/>
    <n v="9"/>
    <n v="5"/>
    <n v="3"/>
    <n v="9"/>
    <n v="9"/>
    <n v="8"/>
    <n v="5"/>
    <n v="5"/>
    <n v="8"/>
    <n v="8"/>
    <n v="16"/>
  </r>
  <r>
    <n v="29"/>
    <n v="29"/>
    <x v="1"/>
    <n v="0"/>
    <s v="Travel_Rarely"/>
    <n v="0"/>
    <n v="1"/>
    <x v="2"/>
    <n v="0"/>
    <n v="0"/>
    <n v="6"/>
    <n v="6"/>
    <n v="1"/>
    <s v="Medical"/>
    <n v="0"/>
    <n v="0"/>
    <n v="1"/>
    <n v="0"/>
    <n v="0"/>
    <x v="2"/>
    <s v="Male"/>
    <n v="0"/>
    <n v="87"/>
    <n v="2"/>
    <n v="1"/>
    <s v="Human Resources"/>
    <n v="0"/>
    <n v="0"/>
    <n v="0"/>
    <n v="0"/>
    <n v="0"/>
    <n v="0"/>
    <n v="0"/>
    <n v="0"/>
    <n v="2"/>
    <x v="1"/>
    <n v="0"/>
    <n v="1"/>
    <n v="2804"/>
    <n v="2804"/>
    <n v="1"/>
    <x v="1"/>
    <n v="0"/>
    <n v="11"/>
    <n v="3"/>
    <n v="4"/>
    <n v="0"/>
    <n v="1"/>
    <n v="1"/>
    <n v="3"/>
    <n v="3"/>
    <n v="1"/>
    <n v="1"/>
    <n v="0"/>
    <n v="0"/>
    <n v="0"/>
    <n v="0"/>
    <n v="0"/>
    <n v="0"/>
  </r>
  <r>
    <n v="43"/>
    <n v="43"/>
    <x v="1"/>
    <n v="0"/>
    <s v="Travel_Rarely"/>
    <n v="0"/>
    <n v="1"/>
    <x v="1"/>
    <n v="1"/>
    <n v="0"/>
    <n v="6"/>
    <n v="6"/>
    <n v="3"/>
    <s v="Medical"/>
    <n v="0"/>
    <n v="0"/>
    <n v="1"/>
    <n v="0"/>
    <n v="0"/>
    <x v="3"/>
    <s v="Female"/>
    <n v="1"/>
    <n v="81"/>
    <n v="2"/>
    <n v="5"/>
    <s v="Manager"/>
    <n v="0"/>
    <n v="0"/>
    <n v="0"/>
    <n v="1"/>
    <n v="0"/>
    <n v="0"/>
    <n v="0"/>
    <n v="0"/>
    <n v="3"/>
    <x v="1"/>
    <n v="0"/>
    <n v="1"/>
    <n v="19392"/>
    <n v="19392"/>
    <n v="7"/>
    <x v="1"/>
    <n v="0"/>
    <n v="13"/>
    <n v="3"/>
    <n v="4"/>
    <n v="0"/>
    <n v="21"/>
    <n v="21"/>
    <n v="2"/>
    <n v="3"/>
    <n v="16"/>
    <n v="16"/>
    <n v="12"/>
    <n v="6"/>
    <n v="6"/>
    <n v="14"/>
    <n v="14"/>
    <n v="70"/>
  </r>
  <r>
    <n v="48"/>
    <n v="48"/>
    <x v="1"/>
    <n v="0"/>
    <s v="Travel_Rarely"/>
    <n v="0"/>
    <n v="1"/>
    <x v="1"/>
    <n v="1"/>
    <n v="0"/>
    <n v="10"/>
    <n v="10"/>
    <n v="3"/>
    <s v="Life Sciences"/>
    <n v="1"/>
    <n v="0"/>
    <n v="0"/>
    <n v="0"/>
    <n v="0"/>
    <x v="2"/>
    <s v="Male"/>
    <n v="0"/>
    <n v="91"/>
    <n v="2"/>
    <n v="5"/>
    <s v="Research Director"/>
    <n v="0"/>
    <n v="0"/>
    <n v="0"/>
    <n v="0"/>
    <n v="0"/>
    <n v="0"/>
    <n v="0"/>
    <n v="0"/>
    <n v="2"/>
    <x v="1"/>
    <n v="0"/>
    <n v="1"/>
    <n v="19665"/>
    <n v="19626.310000000001"/>
    <n v="4"/>
    <x v="1"/>
    <n v="0"/>
    <n v="12"/>
    <n v="3"/>
    <n v="4"/>
    <n v="0"/>
    <n v="29"/>
    <n v="29"/>
    <n v="3"/>
    <n v="3"/>
    <n v="22"/>
    <n v="22"/>
    <n v="10"/>
    <n v="12"/>
    <n v="12"/>
    <n v="9"/>
    <n v="9"/>
    <n v="45"/>
  </r>
  <r>
    <n v="29"/>
    <n v="29"/>
    <x v="0"/>
    <n v="1"/>
    <s v="Travel_Frequently"/>
    <n v="1"/>
    <n v="0"/>
    <x v="1"/>
    <n v="1"/>
    <n v="0"/>
    <n v="24"/>
    <n v="24"/>
    <n v="2"/>
    <s v="Life Sciences"/>
    <n v="1"/>
    <n v="0"/>
    <n v="0"/>
    <n v="0"/>
    <n v="0"/>
    <x v="2"/>
    <s v="Male"/>
    <n v="0"/>
    <n v="73"/>
    <n v="2"/>
    <n v="1"/>
    <s v="Research Scientist"/>
    <n v="0"/>
    <n v="0"/>
    <n v="0"/>
    <n v="0"/>
    <n v="0"/>
    <n v="0"/>
    <n v="0"/>
    <n v="1"/>
    <n v="4"/>
    <x v="0"/>
    <n v="1"/>
    <n v="0"/>
    <n v="2439"/>
    <n v="2439"/>
    <n v="1"/>
    <x v="0"/>
    <n v="1"/>
    <n v="24"/>
    <n v="4"/>
    <n v="2"/>
    <n v="0"/>
    <n v="1"/>
    <n v="1"/>
    <n v="3"/>
    <n v="2"/>
    <n v="1"/>
    <n v="1"/>
    <n v="0"/>
    <n v="1"/>
    <n v="1"/>
    <n v="0"/>
    <n v="0"/>
    <n v="0"/>
  </r>
  <r>
    <n v="46"/>
    <n v="46"/>
    <x v="0"/>
    <n v="1"/>
    <s v="Travel_Rarely"/>
    <n v="0"/>
    <n v="1"/>
    <x v="0"/>
    <n v="0"/>
    <n v="1"/>
    <n v="10"/>
    <n v="10"/>
    <n v="3"/>
    <s v="Life Sciences"/>
    <n v="1"/>
    <n v="0"/>
    <n v="0"/>
    <n v="0"/>
    <n v="0"/>
    <x v="1"/>
    <s v="Female"/>
    <n v="1"/>
    <n v="64"/>
    <n v="3"/>
    <n v="3"/>
    <s v="Sales Executive"/>
    <n v="0"/>
    <n v="1"/>
    <n v="0"/>
    <n v="0"/>
    <n v="0"/>
    <n v="0"/>
    <n v="0"/>
    <n v="0"/>
    <n v="2"/>
    <x v="1"/>
    <n v="0"/>
    <n v="1"/>
    <n v="7314"/>
    <n v="7314"/>
    <n v="5"/>
    <x v="1"/>
    <n v="0"/>
    <n v="21"/>
    <n v="4"/>
    <n v="3"/>
    <n v="3"/>
    <n v="14"/>
    <n v="14"/>
    <n v="2"/>
    <n v="3"/>
    <n v="8"/>
    <n v="8"/>
    <n v="7"/>
    <n v="0"/>
    <n v="0"/>
    <n v="7"/>
    <n v="7"/>
    <n v="21"/>
  </r>
  <r>
    <n v="27"/>
    <n v="27"/>
    <x v="1"/>
    <n v="0"/>
    <s v="Travel_Frequently"/>
    <n v="1"/>
    <n v="0"/>
    <x v="1"/>
    <n v="1"/>
    <n v="0"/>
    <n v="15"/>
    <n v="15"/>
    <n v="3"/>
    <s v="Life Sciences"/>
    <n v="1"/>
    <n v="0"/>
    <n v="0"/>
    <n v="0"/>
    <n v="0"/>
    <x v="2"/>
    <s v="Female"/>
    <n v="1"/>
    <n v="77"/>
    <n v="2"/>
    <n v="1"/>
    <s v="Research Scientist"/>
    <n v="0"/>
    <n v="0"/>
    <n v="0"/>
    <n v="0"/>
    <n v="0"/>
    <n v="0"/>
    <n v="0"/>
    <n v="1"/>
    <n v="1"/>
    <x v="1"/>
    <n v="0"/>
    <n v="1"/>
    <n v="4774"/>
    <n v="4774"/>
    <n v="0"/>
    <x v="1"/>
    <n v="0"/>
    <n v="19"/>
    <n v="3"/>
    <n v="4"/>
    <n v="1"/>
    <n v="8"/>
    <n v="8"/>
    <n v="2"/>
    <n v="2"/>
    <n v="7"/>
    <n v="7"/>
    <n v="6"/>
    <n v="7"/>
    <n v="7"/>
    <n v="3"/>
    <n v="3"/>
    <n v="3"/>
  </r>
  <r>
    <n v="39"/>
    <n v="39"/>
    <x v="1"/>
    <n v="0"/>
    <s v="Travel_Rarely"/>
    <n v="0"/>
    <n v="1"/>
    <x v="1"/>
    <n v="1"/>
    <n v="0"/>
    <n v="19"/>
    <n v="19"/>
    <n v="4"/>
    <s v="Other"/>
    <n v="0"/>
    <n v="1"/>
    <n v="0"/>
    <n v="0"/>
    <n v="0"/>
    <x v="2"/>
    <s v="Male"/>
    <n v="0"/>
    <n v="41"/>
    <n v="3"/>
    <n v="2"/>
    <s v="Research Scientist"/>
    <n v="0"/>
    <n v="0"/>
    <n v="0"/>
    <n v="0"/>
    <n v="0"/>
    <n v="0"/>
    <n v="0"/>
    <n v="1"/>
    <n v="4"/>
    <x v="2"/>
    <n v="0"/>
    <n v="0"/>
    <n v="3902"/>
    <n v="3902"/>
    <n v="8"/>
    <x v="1"/>
    <n v="0"/>
    <n v="14"/>
    <n v="3"/>
    <n v="2"/>
    <n v="3"/>
    <n v="7"/>
    <n v="7"/>
    <n v="2"/>
    <n v="3"/>
    <n v="2"/>
    <n v="2"/>
    <n v="2"/>
    <n v="2"/>
    <n v="2"/>
    <n v="2"/>
    <n v="2"/>
    <n v="4"/>
  </r>
  <r>
    <n v="55"/>
    <n v="55"/>
    <x v="1"/>
    <n v="0"/>
    <s v="Travel_Rarely"/>
    <n v="0"/>
    <n v="1"/>
    <x v="1"/>
    <n v="1"/>
    <n v="0"/>
    <n v="2"/>
    <n v="2"/>
    <n v="4"/>
    <s v="Technical Degree"/>
    <n v="0"/>
    <n v="0"/>
    <n v="0"/>
    <n v="0"/>
    <n v="1"/>
    <x v="0"/>
    <s v="Male"/>
    <n v="0"/>
    <n v="98"/>
    <n v="2"/>
    <n v="1"/>
    <s v="Research Scientist"/>
    <n v="0"/>
    <n v="0"/>
    <n v="0"/>
    <n v="0"/>
    <n v="0"/>
    <n v="0"/>
    <n v="0"/>
    <n v="1"/>
    <n v="4"/>
    <x v="1"/>
    <n v="0"/>
    <n v="1"/>
    <n v="2662"/>
    <n v="2662"/>
    <n v="8"/>
    <x v="1"/>
    <n v="0"/>
    <n v="20"/>
    <n v="4"/>
    <n v="2"/>
    <n v="1"/>
    <n v="19"/>
    <n v="19"/>
    <n v="2"/>
    <n v="4"/>
    <n v="5"/>
    <n v="5"/>
    <n v="2"/>
    <n v="0"/>
    <n v="0"/>
    <n v="4"/>
    <n v="4"/>
    <n v="4"/>
  </r>
  <r>
    <n v="28"/>
    <n v="28"/>
    <x v="1"/>
    <n v="0"/>
    <s v="Travel_Rarely"/>
    <n v="0"/>
    <n v="1"/>
    <x v="0"/>
    <n v="0"/>
    <n v="1"/>
    <n v="3"/>
    <n v="3"/>
    <n v="3"/>
    <s v="Medical"/>
    <n v="0"/>
    <n v="0"/>
    <n v="1"/>
    <n v="0"/>
    <n v="0"/>
    <x v="0"/>
    <s v="Female"/>
    <n v="1"/>
    <n v="78"/>
    <n v="3"/>
    <n v="1"/>
    <s v="Sales Representative"/>
    <n v="0"/>
    <n v="0"/>
    <n v="0"/>
    <n v="0"/>
    <n v="0"/>
    <n v="0"/>
    <n v="1"/>
    <n v="0"/>
    <n v="2"/>
    <x v="1"/>
    <n v="0"/>
    <n v="1"/>
    <n v="2856"/>
    <n v="2856"/>
    <n v="1"/>
    <x v="1"/>
    <n v="0"/>
    <n v="19"/>
    <n v="3"/>
    <n v="4"/>
    <n v="1"/>
    <n v="1"/>
    <n v="1"/>
    <n v="3"/>
    <n v="3"/>
    <n v="1"/>
    <n v="1"/>
    <n v="0"/>
    <n v="0"/>
    <n v="0"/>
    <n v="0"/>
    <n v="0"/>
    <n v="0"/>
  </r>
  <r>
    <n v="30"/>
    <n v="30"/>
    <x v="0"/>
    <n v="1"/>
    <s v="Travel_Rarely"/>
    <n v="0"/>
    <n v="1"/>
    <x v="0"/>
    <n v="0"/>
    <n v="1"/>
    <n v="9"/>
    <n v="9"/>
    <n v="3"/>
    <s v="Medical"/>
    <n v="0"/>
    <n v="0"/>
    <n v="1"/>
    <n v="0"/>
    <n v="0"/>
    <x v="0"/>
    <s v="Male"/>
    <n v="0"/>
    <n v="89"/>
    <n v="3"/>
    <n v="1"/>
    <s v="Sales Representative"/>
    <n v="0"/>
    <n v="0"/>
    <n v="0"/>
    <n v="0"/>
    <n v="0"/>
    <n v="0"/>
    <n v="1"/>
    <n v="0"/>
    <n v="4"/>
    <x v="0"/>
    <n v="1"/>
    <n v="0"/>
    <n v="1081"/>
    <n v="1382.46"/>
    <n v="1"/>
    <x v="1"/>
    <n v="0"/>
    <n v="13"/>
    <n v="3"/>
    <n v="3"/>
    <n v="0"/>
    <n v="1"/>
    <n v="1"/>
    <n v="3"/>
    <n v="2"/>
    <n v="1"/>
    <n v="1"/>
    <n v="0"/>
    <n v="0"/>
    <n v="0"/>
    <n v="0"/>
    <n v="0"/>
    <n v="0"/>
  </r>
  <r>
    <n v="22"/>
    <n v="22"/>
    <x v="0"/>
    <n v="1"/>
    <s v="Travel_Rarely"/>
    <n v="0"/>
    <n v="1"/>
    <x v="1"/>
    <n v="1"/>
    <n v="0"/>
    <n v="7"/>
    <n v="7"/>
    <n v="1"/>
    <s v="Life Sciences"/>
    <n v="1"/>
    <n v="0"/>
    <n v="0"/>
    <n v="0"/>
    <n v="0"/>
    <x v="2"/>
    <s v="Male"/>
    <n v="0"/>
    <n v="75"/>
    <n v="3"/>
    <n v="1"/>
    <s v="Research Scientist"/>
    <n v="0"/>
    <n v="0"/>
    <n v="0"/>
    <n v="0"/>
    <n v="0"/>
    <n v="0"/>
    <n v="0"/>
    <n v="1"/>
    <n v="2"/>
    <x v="0"/>
    <n v="1"/>
    <n v="0"/>
    <n v="2472"/>
    <n v="2472"/>
    <n v="1"/>
    <x v="0"/>
    <n v="1"/>
    <n v="23"/>
    <n v="4"/>
    <n v="1"/>
    <n v="0"/>
    <n v="1"/>
    <n v="1"/>
    <n v="2"/>
    <n v="3"/>
    <n v="1"/>
    <n v="1"/>
    <n v="0"/>
    <n v="0"/>
    <n v="0"/>
    <n v="0"/>
    <n v="0"/>
    <n v="0"/>
  </r>
  <r>
    <n v="36"/>
    <n v="36"/>
    <x v="1"/>
    <n v="0"/>
    <s v="Travel_Rarely"/>
    <n v="0"/>
    <n v="1"/>
    <x v="0"/>
    <n v="0"/>
    <n v="1"/>
    <n v="10"/>
    <n v="10"/>
    <n v="4"/>
    <s v="Technical Degree"/>
    <n v="0"/>
    <n v="0"/>
    <n v="0"/>
    <n v="0"/>
    <n v="1"/>
    <x v="0"/>
    <s v="Female"/>
    <n v="1"/>
    <n v="63"/>
    <n v="2"/>
    <n v="2"/>
    <s v="Sales Executive"/>
    <n v="0"/>
    <n v="1"/>
    <n v="0"/>
    <n v="0"/>
    <n v="0"/>
    <n v="0"/>
    <n v="0"/>
    <n v="0"/>
    <n v="3"/>
    <x v="1"/>
    <n v="0"/>
    <n v="1"/>
    <n v="5673"/>
    <n v="5673"/>
    <n v="1"/>
    <x v="0"/>
    <n v="1"/>
    <n v="13"/>
    <n v="3"/>
    <n v="1"/>
    <n v="1"/>
    <n v="10"/>
    <n v="10"/>
    <n v="4"/>
    <n v="3"/>
    <n v="10"/>
    <n v="10"/>
    <n v="9"/>
    <n v="1"/>
    <n v="1"/>
    <n v="7"/>
    <n v="7"/>
    <n v="14"/>
  </r>
  <r>
    <n v="31"/>
    <n v="31"/>
    <x v="1"/>
    <n v="0"/>
    <s v="Travel_Rarely"/>
    <n v="0"/>
    <n v="1"/>
    <x v="1"/>
    <n v="1"/>
    <n v="0"/>
    <n v="20"/>
    <n v="20"/>
    <n v="3"/>
    <s v="Life Sciences"/>
    <n v="1"/>
    <n v="0"/>
    <n v="0"/>
    <n v="0"/>
    <n v="0"/>
    <x v="0"/>
    <s v="Male"/>
    <n v="0"/>
    <n v="89"/>
    <n v="3"/>
    <n v="2"/>
    <s v="Laboratory Technician"/>
    <n v="0"/>
    <n v="0"/>
    <n v="1"/>
    <n v="0"/>
    <n v="0"/>
    <n v="0"/>
    <n v="0"/>
    <n v="0"/>
    <n v="3"/>
    <x v="2"/>
    <n v="0"/>
    <n v="0"/>
    <n v="4197"/>
    <n v="4197"/>
    <n v="1"/>
    <x v="1"/>
    <n v="0"/>
    <n v="11"/>
    <n v="3"/>
    <n v="1"/>
    <n v="1"/>
    <n v="10"/>
    <n v="10"/>
    <n v="2"/>
    <n v="3"/>
    <n v="10"/>
    <n v="10"/>
    <n v="8"/>
    <n v="0"/>
    <n v="0"/>
    <n v="2"/>
    <n v="2"/>
    <n v="4"/>
  </r>
  <r>
    <n v="34"/>
    <n v="34"/>
    <x v="1"/>
    <n v="0"/>
    <s v="Travel_Rarely"/>
    <n v="0"/>
    <n v="1"/>
    <x v="0"/>
    <n v="0"/>
    <n v="1"/>
    <n v="4"/>
    <n v="4"/>
    <n v="3"/>
    <s v="Life Sciences"/>
    <n v="1"/>
    <n v="0"/>
    <n v="0"/>
    <n v="0"/>
    <n v="0"/>
    <x v="1"/>
    <s v="Male"/>
    <n v="0"/>
    <n v="64"/>
    <n v="3"/>
    <n v="3"/>
    <s v="Sales Executive"/>
    <n v="0"/>
    <n v="1"/>
    <n v="0"/>
    <n v="0"/>
    <n v="0"/>
    <n v="0"/>
    <n v="0"/>
    <n v="0"/>
    <n v="4"/>
    <x v="1"/>
    <n v="0"/>
    <n v="1"/>
    <n v="9713"/>
    <n v="9713"/>
    <n v="2"/>
    <x v="0"/>
    <n v="1"/>
    <n v="13"/>
    <n v="3"/>
    <n v="4"/>
    <n v="3"/>
    <n v="9"/>
    <n v="9"/>
    <n v="3"/>
    <n v="3"/>
    <n v="5"/>
    <n v="5"/>
    <n v="3"/>
    <n v="1"/>
    <n v="1"/>
    <n v="0"/>
    <n v="0"/>
    <n v="0"/>
  </r>
  <r>
    <n v="29"/>
    <n v="29"/>
    <x v="1"/>
    <n v="0"/>
    <s v="Travel_Rarely"/>
    <n v="0"/>
    <n v="1"/>
    <x v="1"/>
    <n v="1"/>
    <n v="0"/>
    <n v="7"/>
    <n v="7"/>
    <n v="3"/>
    <s v="Life Sciences"/>
    <n v="1"/>
    <n v="0"/>
    <n v="0"/>
    <n v="0"/>
    <n v="0"/>
    <x v="2"/>
    <s v="Male"/>
    <n v="0"/>
    <n v="59"/>
    <n v="3"/>
    <n v="1"/>
    <s v="Laboratory Technician"/>
    <n v="0"/>
    <n v="0"/>
    <n v="1"/>
    <n v="0"/>
    <n v="0"/>
    <n v="0"/>
    <n v="0"/>
    <n v="0"/>
    <n v="1"/>
    <x v="0"/>
    <n v="1"/>
    <n v="0"/>
    <n v="2062"/>
    <n v="2062"/>
    <n v="3"/>
    <x v="1"/>
    <n v="0"/>
    <n v="14"/>
    <n v="3"/>
    <n v="2"/>
    <n v="0"/>
    <n v="11"/>
    <n v="11"/>
    <n v="2"/>
    <n v="3"/>
    <n v="3"/>
    <n v="3"/>
    <n v="2"/>
    <n v="1"/>
    <n v="1"/>
    <n v="2"/>
    <n v="2"/>
    <n v="2"/>
  </r>
  <r>
    <n v="37"/>
    <n v="37"/>
    <x v="1"/>
    <n v="0"/>
    <s v="Travel_Rarely"/>
    <n v="0"/>
    <n v="1"/>
    <x v="1"/>
    <n v="1"/>
    <n v="0"/>
    <n v="7"/>
    <n v="7"/>
    <n v="4"/>
    <s v="Medical"/>
    <n v="0"/>
    <n v="0"/>
    <n v="1"/>
    <n v="0"/>
    <n v="0"/>
    <x v="2"/>
    <s v="Male"/>
    <n v="0"/>
    <n v="78"/>
    <n v="3"/>
    <n v="2"/>
    <s v="Research Scientist"/>
    <n v="0"/>
    <n v="0"/>
    <n v="0"/>
    <n v="0"/>
    <n v="0"/>
    <n v="0"/>
    <n v="0"/>
    <n v="1"/>
    <n v="1"/>
    <x v="1"/>
    <n v="0"/>
    <n v="1"/>
    <n v="4284"/>
    <n v="4284"/>
    <n v="5"/>
    <x v="0"/>
    <n v="1"/>
    <n v="22"/>
    <n v="4"/>
    <n v="3"/>
    <n v="1"/>
    <n v="16"/>
    <n v="16"/>
    <n v="2"/>
    <n v="3"/>
    <n v="5"/>
    <n v="5"/>
    <n v="3"/>
    <n v="0"/>
    <n v="0"/>
    <n v="4"/>
    <n v="4"/>
    <n v="8"/>
  </r>
  <r>
    <n v="35"/>
    <n v="35"/>
    <x v="1"/>
    <n v="0"/>
    <s v="Travel_Rarely"/>
    <n v="0"/>
    <n v="1"/>
    <x v="1"/>
    <n v="1"/>
    <n v="0"/>
    <n v="16"/>
    <n v="16"/>
    <n v="2"/>
    <s v="Other"/>
    <n v="0"/>
    <n v="1"/>
    <n v="0"/>
    <n v="0"/>
    <n v="0"/>
    <x v="2"/>
    <s v="Female"/>
    <n v="1"/>
    <n v="44"/>
    <n v="2"/>
    <n v="2"/>
    <s v="Manufacturing Director"/>
    <n v="0"/>
    <n v="0"/>
    <n v="0"/>
    <n v="0"/>
    <n v="1"/>
    <n v="1"/>
    <n v="0"/>
    <n v="0"/>
    <n v="2"/>
    <x v="1"/>
    <n v="0"/>
    <n v="1"/>
    <n v="4788"/>
    <n v="4788"/>
    <n v="0"/>
    <x v="0"/>
    <n v="1"/>
    <n v="11"/>
    <n v="3"/>
    <n v="4"/>
    <n v="0"/>
    <n v="4"/>
    <n v="4"/>
    <n v="2"/>
    <n v="3"/>
    <n v="3"/>
    <n v="3"/>
    <n v="2"/>
    <n v="0"/>
    <n v="0"/>
    <n v="2"/>
    <n v="2"/>
    <n v="4"/>
  </r>
  <r>
    <n v="45"/>
    <n v="45"/>
    <x v="1"/>
    <n v="0"/>
    <s v="Travel_Rarely"/>
    <n v="0"/>
    <n v="1"/>
    <x v="1"/>
    <n v="1"/>
    <n v="0"/>
    <n v="25"/>
    <n v="25"/>
    <n v="2"/>
    <s v="Life Sciences"/>
    <n v="1"/>
    <n v="0"/>
    <n v="0"/>
    <n v="0"/>
    <n v="0"/>
    <x v="0"/>
    <s v="Female"/>
    <n v="1"/>
    <n v="93"/>
    <n v="2"/>
    <n v="2"/>
    <s v="Manufacturing Director"/>
    <n v="0"/>
    <n v="0"/>
    <n v="0"/>
    <n v="0"/>
    <n v="1"/>
    <n v="1"/>
    <n v="0"/>
    <n v="0"/>
    <n v="4"/>
    <x v="1"/>
    <n v="0"/>
    <n v="1"/>
    <n v="5906"/>
    <n v="5906"/>
    <n v="0"/>
    <x v="1"/>
    <n v="0"/>
    <n v="13"/>
    <n v="3"/>
    <n v="4"/>
    <n v="2"/>
    <n v="10"/>
    <n v="10"/>
    <n v="2"/>
    <n v="2"/>
    <n v="9"/>
    <n v="9"/>
    <n v="8"/>
    <n v="3"/>
    <n v="3"/>
    <n v="8"/>
    <n v="8"/>
    <n v="16"/>
  </r>
  <r>
    <n v="36"/>
    <n v="36"/>
    <x v="1"/>
    <n v="0"/>
    <s v="Travel_Frequently"/>
    <n v="1"/>
    <n v="0"/>
    <x v="2"/>
    <n v="0"/>
    <n v="0"/>
    <n v="2"/>
    <n v="2"/>
    <n v="1"/>
    <s v="Human Resources"/>
    <n v="0"/>
    <n v="0"/>
    <n v="0"/>
    <n v="0"/>
    <n v="0"/>
    <x v="0"/>
    <s v="Male"/>
    <n v="0"/>
    <n v="94"/>
    <n v="2"/>
    <n v="2"/>
    <s v="Human Resources"/>
    <n v="0"/>
    <n v="0"/>
    <n v="0"/>
    <n v="0"/>
    <n v="0"/>
    <n v="0"/>
    <n v="0"/>
    <n v="0"/>
    <n v="4"/>
    <x v="0"/>
    <n v="1"/>
    <n v="0"/>
    <n v="3886"/>
    <n v="3886"/>
    <n v="1"/>
    <x v="1"/>
    <n v="0"/>
    <n v="21"/>
    <n v="4"/>
    <n v="4"/>
    <n v="0"/>
    <n v="10"/>
    <n v="10"/>
    <n v="2"/>
    <n v="2"/>
    <n v="10"/>
    <n v="10"/>
    <n v="1"/>
    <n v="0"/>
    <n v="0"/>
    <n v="8"/>
    <n v="8"/>
    <n v="16"/>
  </r>
  <r>
    <n v="40"/>
    <n v="40"/>
    <x v="1"/>
    <n v="0"/>
    <s v="Travel_Rarely"/>
    <n v="0"/>
    <n v="1"/>
    <x v="1"/>
    <n v="1"/>
    <n v="0"/>
    <n v="1"/>
    <n v="1"/>
    <n v="4"/>
    <s v="Life Sciences"/>
    <n v="1"/>
    <n v="0"/>
    <n v="0"/>
    <n v="0"/>
    <n v="0"/>
    <x v="3"/>
    <s v="Male"/>
    <n v="0"/>
    <n v="98"/>
    <n v="3"/>
    <n v="4"/>
    <s v="Manager"/>
    <n v="0"/>
    <n v="0"/>
    <n v="0"/>
    <n v="1"/>
    <n v="0"/>
    <n v="0"/>
    <n v="0"/>
    <n v="0"/>
    <n v="1"/>
    <x v="2"/>
    <n v="0"/>
    <n v="0"/>
    <n v="16823"/>
    <n v="16823"/>
    <n v="2"/>
    <x v="1"/>
    <n v="0"/>
    <n v="11"/>
    <n v="3"/>
    <n v="1"/>
    <n v="1"/>
    <n v="22"/>
    <n v="22"/>
    <n v="3"/>
    <n v="3"/>
    <n v="19"/>
    <n v="19"/>
    <n v="7"/>
    <n v="11"/>
    <n v="11"/>
    <n v="16"/>
    <n v="14"/>
    <n v="56"/>
  </r>
  <r>
    <n v="26"/>
    <n v="26"/>
    <x v="1"/>
    <n v="0"/>
    <s v="Travel_Rarely"/>
    <n v="0"/>
    <n v="1"/>
    <x v="1"/>
    <n v="1"/>
    <n v="0"/>
    <n v="1"/>
    <n v="1"/>
    <n v="2"/>
    <s v="Life Sciences"/>
    <n v="1"/>
    <n v="0"/>
    <n v="0"/>
    <n v="0"/>
    <n v="0"/>
    <x v="0"/>
    <s v="Female"/>
    <n v="1"/>
    <n v="90"/>
    <n v="2"/>
    <n v="1"/>
    <s v="Research Scientist"/>
    <n v="0"/>
    <n v="0"/>
    <n v="0"/>
    <n v="0"/>
    <n v="0"/>
    <n v="0"/>
    <n v="0"/>
    <n v="1"/>
    <n v="3"/>
    <x v="1"/>
    <n v="0"/>
    <n v="1"/>
    <n v="2933"/>
    <n v="2933"/>
    <n v="1"/>
    <x v="0"/>
    <n v="1"/>
    <n v="13"/>
    <n v="3"/>
    <n v="3"/>
    <n v="1"/>
    <n v="1"/>
    <n v="1"/>
    <n v="3"/>
    <n v="2"/>
    <n v="1"/>
    <n v="1"/>
    <n v="0"/>
    <n v="1"/>
    <n v="1"/>
    <n v="0"/>
    <n v="0"/>
    <n v="0"/>
  </r>
  <r>
    <n v="27"/>
    <n v="27"/>
    <x v="1"/>
    <n v="0"/>
    <s v="Travel_Rarely"/>
    <n v="0"/>
    <n v="1"/>
    <x v="0"/>
    <n v="0"/>
    <n v="1"/>
    <n v="2"/>
    <n v="2"/>
    <n v="2"/>
    <s v="Medical"/>
    <n v="0"/>
    <n v="0"/>
    <n v="1"/>
    <n v="0"/>
    <n v="0"/>
    <x v="3"/>
    <s v="Female"/>
    <n v="1"/>
    <n v="89"/>
    <n v="4"/>
    <n v="2"/>
    <s v="Sales Executive"/>
    <n v="0"/>
    <n v="1"/>
    <n v="0"/>
    <n v="0"/>
    <n v="0"/>
    <n v="0"/>
    <n v="0"/>
    <n v="0"/>
    <n v="3"/>
    <x v="0"/>
    <n v="1"/>
    <n v="0"/>
    <n v="6500"/>
    <n v="6500"/>
    <n v="0"/>
    <x v="1"/>
    <n v="0"/>
    <n v="14"/>
    <n v="3"/>
    <n v="2"/>
    <n v="0"/>
    <n v="9"/>
    <n v="9"/>
    <n v="5"/>
    <n v="2"/>
    <n v="8"/>
    <n v="8"/>
    <n v="7"/>
    <n v="0"/>
    <n v="0"/>
    <n v="7"/>
    <n v="7"/>
    <n v="14"/>
  </r>
  <r>
    <n v="48"/>
    <n v="48"/>
    <x v="1"/>
    <n v="0"/>
    <s v="Travel_Frequently"/>
    <n v="1"/>
    <n v="0"/>
    <x v="1"/>
    <n v="1"/>
    <n v="0"/>
    <n v="22"/>
    <n v="22"/>
    <n v="3"/>
    <s v="Medical"/>
    <n v="0"/>
    <n v="0"/>
    <n v="1"/>
    <n v="0"/>
    <n v="0"/>
    <x v="2"/>
    <s v="Female"/>
    <n v="1"/>
    <n v="58"/>
    <n v="3"/>
    <n v="4"/>
    <s v="Manager"/>
    <n v="0"/>
    <n v="0"/>
    <n v="0"/>
    <n v="1"/>
    <n v="0"/>
    <n v="0"/>
    <n v="0"/>
    <n v="0"/>
    <n v="4"/>
    <x v="2"/>
    <n v="0"/>
    <n v="0"/>
    <n v="17174"/>
    <n v="17174"/>
    <n v="3"/>
    <x v="1"/>
    <n v="0"/>
    <n v="11"/>
    <n v="3"/>
    <n v="2"/>
    <n v="1"/>
    <n v="24"/>
    <n v="24"/>
    <n v="3"/>
    <n v="3"/>
    <n v="22"/>
    <n v="22"/>
    <n v="17"/>
    <n v="4"/>
    <n v="4"/>
    <n v="7"/>
    <n v="7"/>
    <n v="28"/>
  </r>
  <r>
    <n v="44"/>
    <n v="44"/>
    <x v="1"/>
    <n v="0"/>
    <s v="Travel_Rarely"/>
    <n v="0"/>
    <n v="1"/>
    <x v="1"/>
    <n v="1"/>
    <n v="0"/>
    <n v="1"/>
    <n v="1"/>
    <n v="4"/>
    <s v="Life Sciences"/>
    <n v="1"/>
    <n v="0"/>
    <n v="0"/>
    <n v="0"/>
    <n v="0"/>
    <x v="0"/>
    <s v="Male"/>
    <n v="0"/>
    <n v="78"/>
    <n v="4"/>
    <n v="2"/>
    <s v="Healthcare Representative"/>
    <n v="1"/>
    <n v="0"/>
    <n v="0"/>
    <n v="0"/>
    <n v="0"/>
    <n v="0"/>
    <n v="0"/>
    <n v="0"/>
    <n v="1"/>
    <x v="1"/>
    <n v="0"/>
    <n v="1"/>
    <n v="5033"/>
    <n v="5033"/>
    <n v="2"/>
    <x v="1"/>
    <n v="0"/>
    <n v="15"/>
    <n v="3"/>
    <n v="4"/>
    <n v="1"/>
    <n v="10"/>
    <n v="10"/>
    <n v="5"/>
    <n v="3"/>
    <n v="2"/>
    <n v="2"/>
    <n v="0"/>
    <n v="2"/>
    <n v="2"/>
    <n v="2"/>
    <n v="2"/>
    <n v="4"/>
  </r>
  <r>
    <n v="34"/>
    <n v="34"/>
    <x v="0"/>
    <n v="1"/>
    <s v="Non-Travel"/>
    <n v="0"/>
    <n v="0"/>
    <x v="1"/>
    <n v="1"/>
    <n v="0"/>
    <n v="16"/>
    <n v="16"/>
    <n v="4"/>
    <s v="Technical Degree"/>
    <n v="0"/>
    <n v="0"/>
    <n v="0"/>
    <n v="0"/>
    <n v="1"/>
    <x v="2"/>
    <s v="Male"/>
    <n v="0"/>
    <n v="85"/>
    <n v="1"/>
    <n v="1"/>
    <s v="Research Scientist"/>
    <n v="0"/>
    <n v="0"/>
    <n v="0"/>
    <n v="0"/>
    <n v="0"/>
    <n v="0"/>
    <n v="0"/>
    <n v="1"/>
    <n v="1"/>
    <x v="1"/>
    <n v="0"/>
    <n v="1"/>
    <n v="2307"/>
    <n v="2307"/>
    <n v="1"/>
    <x v="0"/>
    <n v="1"/>
    <n v="23"/>
    <n v="4"/>
    <n v="2"/>
    <n v="1"/>
    <n v="5"/>
    <n v="5"/>
    <n v="2"/>
    <n v="3"/>
    <n v="5"/>
    <n v="5"/>
    <n v="2"/>
    <n v="3"/>
    <n v="3"/>
    <n v="0"/>
    <n v="0"/>
    <n v="0"/>
  </r>
  <r>
    <n v="56"/>
    <n v="56"/>
    <x v="0"/>
    <n v="1"/>
    <s v="Travel_Rarely"/>
    <n v="0"/>
    <n v="1"/>
    <x v="1"/>
    <n v="1"/>
    <n v="0"/>
    <n v="24"/>
    <n v="24"/>
    <n v="2"/>
    <s v="Life Sciences"/>
    <n v="1"/>
    <n v="0"/>
    <n v="0"/>
    <n v="0"/>
    <n v="0"/>
    <x v="3"/>
    <s v="Male"/>
    <n v="0"/>
    <n v="97"/>
    <n v="3"/>
    <n v="1"/>
    <s v="Laboratory Technician"/>
    <n v="0"/>
    <n v="0"/>
    <n v="1"/>
    <n v="0"/>
    <n v="0"/>
    <n v="0"/>
    <n v="0"/>
    <n v="0"/>
    <n v="4"/>
    <x v="0"/>
    <n v="1"/>
    <n v="0"/>
    <n v="2587"/>
    <n v="2587"/>
    <n v="1"/>
    <x v="1"/>
    <n v="0"/>
    <n v="16"/>
    <n v="3"/>
    <n v="4"/>
    <n v="0"/>
    <n v="5"/>
    <n v="5"/>
    <n v="3"/>
    <n v="3"/>
    <n v="4"/>
    <n v="4"/>
    <n v="2"/>
    <n v="1"/>
    <n v="1"/>
    <n v="0"/>
    <n v="0"/>
    <n v="0"/>
  </r>
  <r>
    <n v="36"/>
    <n v="36"/>
    <x v="1"/>
    <n v="0"/>
    <s v="Travel_Rarely"/>
    <n v="0"/>
    <n v="1"/>
    <x v="0"/>
    <n v="0"/>
    <n v="1"/>
    <n v="17"/>
    <n v="17"/>
    <n v="2"/>
    <s v="Marketing"/>
    <n v="0"/>
    <n v="0"/>
    <n v="0"/>
    <n v="1"/>
    <n v="0"/>
    <x v="1"/>
    <s v="Male"/>
    <n v="0"/>
    <n v="33"/>
    <n v="2"/>
    <n v="2"/>
    <s v="Sales Executive"/>
    <n v="0"/>
    <n v="1"/>
    <n v="0"/>
    <n v="0"/>
    <n v="0"/>
    <n v="0"/>
    <n v="0"/>
    <n v="0"/>
    <n v="2"/>
    <x v="1"/>
    <n v="0"/>
    <n v="1"/>
    <n v="5507"/>
    <n v="5507"/>
    <n v="2"/>
    <x v="1"/>
    <n v="0"/>
    <n v="16"/>
    <n v="3"/>
    <n v="3"/>
    <n v="2"/>
    <n v="12"/>
    <n v="12"/>
    <n v="1"/>
    <n v="1"/>
    <n v="4"/>
    <n v="4"/>
    <n v="2"/>
    <n v="1"/>
    <n v="1"/>
    <n v="3"/>
    <n v="3"/>
    <n v="6"/>
  </r>
  <r>
    <n v="41"/>
    <n v="41"/>
    <x v="1"/>
    <n v="0"/>
    <s v="Travel_Rarely"/>
    <n v="0"/>
    <n v="1"/>
    <x v="0"/>
    <n v="0"/>
    <n v="1"/>
    <n v="8"/>
    <n v="8"/>
    <n v="3"/>
    <s v="Marketing"/>
    <n v="0"/>
    <n v="0"/>
    <n v="0"/>
    <n v="1"/>
    <n v="0"/>
    <x v="1"/>
    <s v="Female"/>
    <n v="1"/>
    <n v="54"/>
    <n v="3"/>
    <n v="2"/>
    <s v="Sales Executive"/>
    <n v="0"/>
    <n v="1"/>
    <n v="0"/>
    <n v="0"/>
    <n v="0"/>
    <n v="0"/>
    <n v="0"/>
    <n v="0"/>
    <n v="2"/>
    <x v="1"/>
    <n v="0"/>
    <n v="1"/>
    <n v="4393"/>
    <n v="4393"/>
    <n v="5"/>
    <x v="1"/>
    <n v="0"/>
    <n v="21"/>
    <n v="4"/>
    <n v="3"/>
    <n v="1"/>
    <n v="14"/>
    <n v="14"/>
    <n v="3"/>
    <n v="3"/>
    <n v="5"/>
    <n v="5"/>
    <n v="4"/>
    <n v="1"/>
    <n v="1"/>
    <n v="4"/>
    <n v="4"/>
    <n v="8"/>
  </r>
  <r>
    <n v="42"/>
    <n v="42"/>
    <x v="1"/>
    <n v="0"/>
    <s v="Travel_Rarely"/>
    <n v="0"/>
    <n v="1"/>
    <x v="1"/>
    <n v="1"/>
    <n v="0"/>
    <n v="6"/>
    <n v="6"/>
    <n v="3"/>
    <s v="Medical"/>
    <n v="0"/>
    <n v="0"/>
    <n v="1"/>
    <n v="0"/>
    <n v="0"/>
    <x v="1"/>
    <s v="Male"/>
    <n v="0"/>
    <n v="83"/>
    <n v="3"/>
    <n v="3"/>
    <s v="Research Director"/>
    <n v="0"/>
    <n v="0"/>
    <n v="0"/>
    <n v="0"/>
    <n v="0"/>
    <n v="0"/>
    <n v="0"/>
    <n v="0"/>
    <n v="1"/>
    <x v="1"/>
    <n v="0"/>
    <n v="1"/>
    <n v="13348"/>
    <n v="13348"/>
    <n v="9"/>
    <x v="1"/>
    <n v="0"/>
    <n v="13"/>
    <n v="3"/>
    <n v="2"/>
    <n v="1"/>
    <n v="18"/>
    <n v="18"/>
    <n v="3"/>
    <n v="4"/>
    <n v="13"/>
    <n v="13"/>
    <n v="7"/>
    <n v="5"/>
    <n v="5"/>
    <n v="7"/>
    <n v="7"/>
    <n v="21"/>
  </r>
  <r>
    <n v="31"/>
    <n v="31"/>
    <x v="1"/>
    <n v="0"/>
    <s v="Travel_Rarely"/>
    <n v="0"/>
    <n v="1"/>
    <x v="0"/>
    <n v="0"/>
    <n v="1"/>
    <n v="10"/>
    <n v="10"/>
    <n v="2"/>
    <s v="Medical"/>
    <n v="0"/>
    <n v="0"/>
    <n v="1"/>
    <n v="0"/>
    <n v="0"/>
    <x v="1"/>
    <s v="Female"/>
    <n v="1"/>
    <n v="86"/>
    <n v="3"/>
    <n v="2"/>
    <s v="Sales Executive"/>
    <n v="0"/>
    <n v="1"/>
    <n v="0"/>
    <n v="0"/>
    <n v="0"/>
    <n v="0"/>
    <n v="0"/>
    <n v="0"/>
    <n v="4"/>
    <x v="2"/>
    <n v="0"/>
    <n v="0"/>
    <n v="6583"/>
    <n v="6583"/>
    <n v="2"/>
    <x v="0"/>
    <n v="1"/>
    <n v="11"/>
    <n v="3"/>
    <n v="4"/>
    <n v="1"/>
    <n v="8"/>
    <n v="8"/>
    <n v="2"/>
    <n v="3"/>
    <n v="5"/>
    <n v="5"/>
    <n v="2"/>
    <n v="1"/>
    <n v="1"/>
    <n v="4"/>
    <n v="4"/>
    <n v="8"/>
  </r>
  <r>
    <n v="34"/>
    <n v="34"/>
    <x v="1"/>
    <n v="0"/>
    <s v="Travel_Rarely"/>
    <n v="0"/>
    <n v="1"/>
    <x v="0"/>
    <n v="0"/>
    <n v="1"/>
    <n v="3"/>
    <n v="3"/>
    <n v="1"/>
    <s v="Medical"/>
    <n v="0"/>
    <n v="0"/>
    <n v="1"/>
    <n v="0"/>
    <n v="0"/>
    <x v="2"/>
    <s v="Female"/>
    <n v="1"/>
    <n v="75"/>
    <n v="2"/>
    <n v="2"/>
    <s v="Sales Executive"/>
    <n v="0"/>
    <n v="1"/>
    <n v="0"/>
    <n v="0"/>
    <n v="0"/>
    <n v="0"/>
    <n v="0"/>
    <n v="0"/>
    <n v="4"/>
    <x v="1"/>
    <n v="0"/>
    <n v="1"/>
    <n v="8103"/>
    <n v="8103"/>
    <n v="3"/>
    <x v="0"/>
    <n v="1"/>
    <n v="12"/>
    <n v="3"/>
    <n v="3"/>
    <n v="0"/>
    <n v="9"/>
    <n v="9"/>
    <n v="3"/>
    <n v="2"/>
    <n v="4"/>
    <n v="4"/>
    <n v="2"/>
    <n v="0"/>
    <n v="0"/>
    <n v="1"/>
    <n v="1"/>
    <n v="2"/>
  </r>
  <r>
    <n v="31"/>
    <n v="31"/>
    <x v="1"/>
    <n v="0"/>
    <s v="Travel_Rarely"/>
    <n v="0"/>
    <n v="1"/>
    <x v="1"/>
    <n v="1"/>
    <n v="0"/>
    <n v="4"/>
    <n v="4"/>
    <n v="3"/>
    <s v="Medical"/>
    <n v="0"/>
    <n v="0"/>
    <n v="1"/>
    <n v="0"/>
    <n v="0"/>
    <x v="3"/>
    <s v="Female"/>
    <n v="1"/>
    <n v="62"/>
    <n v="4"/>
    <n v="1"/>
    <s v="Laboratory Technician"/>
    <n v="0"/>
    <n v="0"/>
    <n v="1"/>
    <n v="0"/>
    <n v="0"/>
    <n v="0"/>
    <n v="0"/>
    <n v="0"/>
    <n v="3"/>
    <x v="2"/>
    <n v="0"/>
    <n v="0"/>
    <n v="3978"/>
    <n v="3978"/>
    <n v="8"/>
    <x v="1"/>
    <n v="0"/>
    <n v="12"/>
    <n v="3"/>
    <n v="2"/>
    <n v="1"/>
    <n v="4"/>
    <n v="4"/>
    <n v="0"/>
    <n v="2"/>
    <n v="2"/>
    <n v="2"/>
    <n v="2"/>
    <n v="2"/>
    <n v="2"/>
    <n v="2"/>
    <n v="2"/>
    <n v="2"/>
  </r>
  <r>
    <n v="26"/>
    <n v="26"/>
    <x v="1"/>
    <n v="0"/>
    <s v="Travel_Frequently"/>
    <n v="1"/>
    <n v="0"/>
    <x v="1"/>
    <n v="1"/>
    <n v="0"/>
    <n v="6"/>
    <n v="6"/>
    <n v="3"/>
    <s v="Other"/>
    <n v="0"/>
    <n v="1"/>
    <n v="0"/>
    <n v="0"/>
    <n v="0"/>
    <x v="1"/>
    <s v="Male"/>
    <n v="0"/>
    <n v="61"/>
    <n v="4"/>
    <n v="1"/>
    <s v="Laboratory Technician"/>
    <n v="0"/>
    <n v="0"/>
    <n v="1"/>
    <n v="0"/>
    <n v="0"/>
    <n v="0"/>
    <n v="0"/>
    <n v="0"/>
    <n v="4"/>
    <x v="1"/>
    <n v="0"/>
    <n v="1"/>
    <n v="2544"/>
    <n v="2544"/>
    <n v="0"/>
    <x v="1"/>
    <n v="0"/>
    <n v="18"/>
    <n v="3"/>
    <n v="1"/>
    <n v="1"/>
    <n v="8"/>
    <n v="8"/>
    <n v="3"/>
    <n v="3"/>
    <n v="7"/>
    <n v="7"/>
    <n v="7"/>
    <n v="7"/>
    <n v="7"/>
    <n v="7"/>
    <n v="7"/>
    <n v="7"/>
  </r>
  <r>
    <n v="45"/>
    <n v="45"/>
    <x v="1"/>
    <n v="0"/>
    <s v="Travel_Frequently"/>
    <n v="1"/>
    <n v="0"/>
    <x v="1"/>
    <n v="1"/>
    <n v="0"/>
    <n v="1"/>
    <n v="1"/>
    <n v="4"/>
    <s v="Medical"/>
    <n v="0"/>
    <n v="0"/>
    <n v="1"/>
    <n v="0"/>
    <n v="0"/>
    <x v="0"/>
    <s v="Male"/>
    <n v="0"/>
    <n v="44"/>
    <n v="3"/>
    <n v="2"/>
    <s v="Healthcare Representative"/>
    <n v="1"/>
    <n v="0"/>
    <n v="0"/>
    <n v="0"/>
    <n v="0"/>
    <n v="0"/>
    <n v="0"/>
    <n v="0"/>
    <n v="3"/>
    <x v="0"/>
    <n v="1"/>
    <n v="0"/>
    <n v="5399"/>
    <n v="5399"/>
    <n v="4"/>
    <x v="1"/>
    <n v="0"/>
    <n v="12"/>
    <n v="3"/>
    <n v="3"/>
    <n v="0"/>
    <n v="12"/>
    <n v="12"/>
    <n v="3"/>
    <n v="3"/>
    <n v="4"/>
    <n v="4"/>
    <n v="2"/>
    <n v="0"/>
    <n v="0"/>
    <n v="3"/>
    <n v="3"/>
    <n v="6"/>
  </r>
  <r>
    <n v="33"/>
    <n v="33"/>
    <x v="1"/>
    <n v="0"/>
    <s v="Travel_Rarely"/>
    <n v="0"/>
    <n v="1"/>
    <x v="0"/>
    <n v="0"/>
    <n v="1"/>
    <n v="10"/>
    <n v="10"/>
    <n v="4"/>
    <s v="Marketing"/>
    <n v="0"/>
    <n v="0"/>
    <n v="0"/>
    <n v="1"/>
    <n v="0"/>
    <x v="0"/>
    <s v="Male"/>
    <n v="0"/>
    <n v="43"/>
    <n v="3"/>
    <n v="2"/>
    <s v="Sales Executive"/>
    <n v="0"/>
    <n v="1"/>
    <n v="0"/>
    <n v="0"/>
    <n v="0"/>
    <n v="0"/>
    <n v="0"/>
    <n v="0"/>
    <n v="3"/>
    <x v="0"/>
    <n v="1"/>
    <n v="0"/>
    <n v="5487"/>
    <n v="5487"/>
    <n v="1"/>
    <x v="1"/>
    <n v="0"/>
    <n v="14"/>
    <n v="3"/>
    <n v="2"/>
    <n v="0"/>
    <n v="10"/>
    <n v="10"/>
    <n v="2"/>
    <n v="2"/>
    <n v="10"/>
    <n v="10"/>
    <n v="4"/>
    <n v="0"/>
    <n v="0"/>
    <n v="9"/>
    <n v="9"/>
    <n v="18"/>
  </r>
  <r>
    <n v="28"/>
    <n v="28"/>
    <x v="1"/>
    <n v="0"/>
    <s v="Travel_Frequently"/>
    <n v="1"/>
    <n v="0"/>
    <x v="0"/>
    <n v="0"/>
    <n v="1"/>
    <n v="1"/>
    <n v="1"/>
    <n v="2"/>
    <s v="Life Sciences"/>
    <n v="1"/>
    <n v="0"/>
    <n v="0"/>
    <n v="0"/>
    <n v="0"/>
    <x v="1"/>
    <s v="Male"/>
    <n v="0"/>
    <n v="42"/>
    <n v="2"/>
    <n v="2"/>
    <s v="Sales Executive"/>
    <n v="0"/>
    <n v="1"/>
    <n v="0"/>
    <n v="0"/>
    <n v="0"/>
    <n v="0"/>
    <n v="0"/>
    <n v="0"/>
    <n v="4"/>
    <x v="1"/>
    <n v="0"/>
    <n v="1"/>
    <n v="6834"/>
    <n v="6834"/>
    <n v="1"/>
    <x v="0"/>
    <n v="1"/>
    <n v="12"/>
    <n v="3"/>
    <n v="3"/>
    <n v="1"/>
    <n v="7"/>
    <n v="7"/>
    <n v="2"/>
    <n v="3"/>
    <n v="7"/>
    <n v="7"/>
    <n v="7"/>
    <n v="0"/>
    <n v="0"/>
    <n v="7"/>
    <n v="7"/>
    <n v="14"/>
  </r>
  <r>
    <n v="29"/>
    <n v="29"/>
    <x v="0"/>
    <n v="1"/>
    <s v="Travel_Frequently"/>
    <n v="1"/>
    <n v="0"/>
    <x v="0"/>
    <n v="0"/>
    <n v="1"/>
    <n v="24"/>
    <n v="24"/>
    <n v="3"/>
    <s v="Technical Degree"/>
    <n v="0"/>
    <n v="0"/>
    <n v="0"/>
    <n v="0"/>
    <n v="1"/>
    <x v="1"/>
    <s v="Male"/>
    <n v="0"/>
    <n v="45"/>
    <n v="4"/>
    <n v="1"/>
    <s v="Sales Representative"/>
    <n v="0"/>
    <n v="0"/>
    <n v="0"/>
    <n v="0"/>
    <n v="0"/>
    <n v="0"/>
    <n v="1"/>
    <n v="0"/>
    <n v="1"/>
    <x v="0"/>
    <n v="1"/>
    <n v="0"/>
    <n v="1091"/>
    <n v="1382.46"/>
    <n v="1"/>
    <x v="1"/>
    <n v="0"/>
    <n v="17"/>
    <n v="3"/>
    <n v="4"/>
    <n v="0"/>
    <n v="1"/>
    <n v="1"/>
    <n v="3"/>
    <n v="3"/>
    <n v="1"/>
    <n v="1"/>
    <n v="0"/>
    <n v="0"/>
    <n v="0"/>
    <n v="0"/>
    <n v="0"/>
    <n v="0"/>
  </r>
  <r>
    <n v="39"/>
    <n v="39"/>
    <x v="1"/>
    <n v="0"/>
    <s v="Non-Travel"/>
    <n v="0"/>
    <n v="0"/>
    <x v="0"/>
    <n v="0"/>
    <n v="1"/>
    <n v="21"/>
    <n v="21"/>
    <n v="4"/>
    <s v="Life Sciences"/>
    <n v="1"/>
    <n v="0"/>
    <n v="0"/>
    <n v="0"/>
    <n v="0"/>
    <x v="3"/>
    <s v="Female"/>
    <n v="1"/>
    <n v="32"/>
    <n v="1"/>
    <n v="2"/>
    <s v="Sales Executive"/>
    <n v="0"/>
    <n v="1"/>
    <n v="0"/>
    <n v="0"/>
    <n v="0"/>
    <n v="0"/>
    <n v="0"/>
    <n v="0"/>
    <n v="3"/>
    <x v="1"/>
    <n v="0"/>
    <n v="1"/>
    <n v="5736"/>
    <n v="5736"/>
    <n v="6"/>
    <x v="1"/>
    <n v="0"/>
    <n v="19"/>
    <n v="3"/>
    <n v="3"/>
    <n v="1"/>
    <n v="10"/>
    <n v="10"/>
    <n v="1"/>
    <n v="3"/>
    <n v="3"/>
    <n v="3"/>
    <n v="2"/>
    <n v="1"/>
    <n v="1"/>
    <n v="2"/>
    <n v="2"/>
    <n v="4"/>
  </r>
  <r>
    <n v="27"/>
    <n v="27"/>
    <x v="1"/>
    <n v="0"/>
    <s v="Travel_Rarely"/>
    <n v="0"/>
    <n v="1"/>
    <x v="1"/>
    <n v="1"/>
    <n v="0"/>
    <n v="2"/>
    <n v="2"/>
    <n v="4"/>
    <s v="Technical Degree"/>
    <n v="0"/>
    <n v="0"/>
    <n v="0"/>
    <n v="0"/>
    <n v="1"/>
    <x v="0"/>
    <s v="Male"/>
    <n v="0"/>
    <n v="41"/>
    <n v="3"/>
    <n v="1"/>
    <s v="Research Scientist"/>
    <n v="0"/>
    <n v="0"/>
    <n v="0"/>
    <n v="0"/>
    <n v="0"/>
    <n v="0"/>
    <n v="0"/>
    <n v="1"/>
    <n v="2"/>
    <x v="1"/>
    <n v="0"/>
    <n v="1"/>
    <n v="2226"/>
    <n v="2226"/>
    <n v="1"/>
    <x v="1"/>
    <n v="0"/>
    <n v="11"/>
    <n v="3"/>
    <n v="3"/>
    <n v="1"/>
    <n v="6"/>
    <n v="6"/>
    <n v="3"/>
    <n v="2"/>
    <n v="5"/>
    <n v="5"/>
    <n v="3"/>
    <n v="1"/>
    <n v="1"/>
    <n v="2"/>
    <n v="2"/>
    <n v="2"/>
  </r>
  <r>
    <n v="34"/>
    <n v="34"/>
    <x v="1"/>
    <n v="0"/>
    <s v="Travel_Frequently"/>
    <n v="1"/>
    <n v="0"/>
    <x v="1"/>
    <n v="1"/>
    <n v="0"/>
    <n v="22"/>
    <n v="22"/>
    <n v="4"/>
    <s v="Other"/>
    <n v="0"/>
    <n v="1"/>
    <n v="0"/>
    <n v="0"/>
    <n v="0"/>
    <x v="1"/>
    <s v="Male"/>
    <n v="0"/>
    <n v="86"/>
    <n v="2"/>
    <n v="2"/>
    <s v="Research Scientist"/>
    <n v="0"/>
    <n v="0"/>
    <n v="0"/>
    <n v="0"/>
    <n v="0"/>
    <n v="0"/>
    <n v="0"/>
    <n v="1"/>
    <n v="4"/>
    <x v="1"/>
    <n v="0"/>
    <n v="1"/>
    <n v="5747"/>
    <n v="5747"/>
    <n v="1"/>
    <x v="0"/>
    <n v="1"/>
    <n v="15"/>
    <n v="3"/>
    <n v="2"/>
    <n v="0"/>
    <n v="16"/>
    <n v="16"/>
    <n v="3"/>
    <n v="3"/>
    <n v="15"/>
    <n v="15"/>
    <n v="10"/>
    <n v="6"/>
    <n v="6"/>
    <n v="11"/>
    <n v="11"/>
    <n v="22"/>
  </r>
  <r>
    <n v="28"/>
    <n v="28"/>
    <x v="0"/>
    <n v="1"/>
    <s v="Travel_Rarely"/>
    <n v="0"/>
    <n v="1"/>
    <x v="0"/>
    <n v="0"/>
    <n v="1"/>
    <n v="13"/>
    <n v="13"/>
    <n v="2"/>
    <s v="Marketing"/>
    <n v="0"/>
    <n v="0"/>
    <n v="0"/>
    <n v="1"/>
    <n v="0"/>
    <x v="2"/>
    <s v="Female"/>
    <n v="1"/>
    <n v="84"/>
    <n v="3"/>
    <n v="2"/>
    <s v="Sales Executive"/>
    <n v="0"/>
    <n v="1"/>
    <n v="0"/>
    <n v="0"/>
    <n v="0"/>
    <n v="0"/>
    <n v="0"/>
    <n v="0"/>
    <n v="3"/>
    <x v="0"/>
    <n v="1"/>
    <n v="0"/>
    <n v="9854"/>
    <n v="9854"/>
    <n v="3"/>
    <x v="0"/>
    <n v="1"/>
    <n v="11"/>
    <n v="3"/>
    <n v="4"/>
    <n v="0"/>
    <n v="6"/>
    <n v="6"/>
    <n v="0"/>
    <n v="3"/>
    <n v="2"/>
    <n v="2"/>
    <n v="0"/>
    <n v="2"/>
    <n v="2"/>
    <n v="2"/>
    <n v="2"/>
    <n v="4"/>
  </r>
  <r>
    <n v="47"/>
    <n v="47"/>
    <x v="1"/>
    <n v="0"/>
    <s v="Non-Travel"/>
    <n v="0"/>
    <n v="0"/>
    <x v="1"/>
    <n v="1"/>
    <n v="0"/>
    <n v="14"/>
    <n v="14"/>
    <n v="4"/>
    <s v="Technical Degree"/>
    <n v="0"/>
    <n v="0"/>
    <n v="0"/>
    <n v="0"/>
    <n v="1"/>
    <x v="1"/>
    <s v="Male"/>
    <n v="0"/>
    <n v="64"/>
    <n v="3"/>
    <n v="2"/>
    <s v="Research Scientist"/>
    <n v="0"/>
    <n v="0"/>
    <n v="0"/>
    <n v="0"/>
    <n v="0"/>
    <n v="0"/>
    <n v="0"/>
    <n v="1"/>
    <n v="2"/>
    <x v="1"/>
    <n v="0"/>
    <n v="1"/>
    <n v="5467"/>
    <n v="5467"/>
    <n v="8"/>
    <x v="1"/>
    <n v="0"/>
    <n v="18"/>
    <n v="3"/>
    <n v="3"/>
    <n v="1"/>
    <n v="16"/>
    <n v="16"/>
    <n v="4"/>
    <n v="4"/>
    <n v="8"/>
    <n v="8"/>
    <n v="7"/>
    <n v="1"/>
    <n v="1"/>
    <n v="7"/>
    <n v="7"/>
    <n v="14"/>
  </r>
  <r>
    <n v="56"/>
    <n v="56"/>
    <x v="1"/>
    <n v="0"/>
    <s v="Travel_Rarely"/>
    <n v="0"/>
    <n v="1"/>
    <x v="0"/>
    <n v="0"/>
    <n v="1"/>
    <n v="11"/>
    <n v="11"/>
    <n v="5"/>
    <s v="Marketing"/>
    <n v="0"/>
    <n v="0"/>
    <n v="0"/>
    <n v="1"/>
    <n v="0"/>
    <x v="2"/>
    <s v="Female"/>
    <n v="1"/>
    <n v="89"/>
    <n v="2"/>
    <n v="2"/>
    <s v="Sales Executive"/>
    <n v="0"/>
    <n v="1"/>
    <n v="0"/>
    <n v="0"/>
    <n v="0"/>
    <n v="0"/>
    <n v="0"/>
    <n v="0"/>
    <n v="1"/>
    <x v="1"/>
    <n v="0"/>
    <n v="1"/>
    <n v="5380"/>
    <n v="5380"/>
    <n v="4"/>
    <x v="1"/>
    <n v="0"/>
    <n v="16"/>
    <n v="3"/>
    <n v="3"/>
    <n v="1"/>
    <n v="6"/>
    <n v="6"/>
    <n v="3"/>
    <n v="3"/>
    <n v="0"/>
    <n v="0"/>
    <n v="0"/>
    <n v="0"/>
    <n v="0"/>
    <n v="0"/>
    <n v="0"/>
    <n v="0"/>
  </r>
  <r>
    <n v="39"/>
    <n v="39"/>
    <x v="1"/>
    <n v="0"/>
    <s v="Travel_Rarely"/>
    <n v="0"/>
    <n v="1"/>
    <x v="1"/>
    <n v="1"/>
    <n v="0"/>
    <n v="9"/>
    <n v="9"/>
    <n v="2"/>
    <s v="Medical"/>
    <n v="0"/>
    <n v="0"/>
    <n v="1"/>
    <n v="0"/>
    <n v="0"/>
    <x v="3"/>
    <s v="Male"/>
    <n v="0"/>
    <n v="87"/>
    <n v="3"/>
    <n v="2"/>
    <s v="Manufacturing Director"/>
    <n v="0"/>
    <n v="0"/>
    <n v="0"/>
    <n v="0"/>
    <n v="1"/>
    <n v="1"/>
    <n v="0"/>
    <n v="0"/>
    <n v="1"/>
    <x v="1"/>
    <n v="0"/>
    <n v="1"/>
    <n v="5151"/>
    <n v="5151"/>
    <n v="1"/>
    <x v="1"/>
    <n v="0"/>
    <n v="25"/>
    <n v="4"/>
    <n v="4"/>
    <n v="1"/>
    <n v="10"/>
    <n v="10"/>
    <n v="3"/>
    <n v="3"/>
    <n v="10"/>
    <n v="10"/>
    <n v="0"/>
    <n v="7"/>
    <n v="7"/>
    <n v="9"/>
    <n v="9"/>
    <n v="18"/>
  </r>
  <r>
    <n v="38"/>
    <n v="38"/>
    <x v="1"/>
    <n v="0"/>
    <s v="Travel_Frequently"/>
    <n v="1"/>
    <n v="0"/>
    <x v="1"/>
    <n v="1"/>
    <n v="0"/>
    <n v="8"/>
    <n v="8"/>
    <n v="3"/>
    <s v="Medical"/>
    <n v="0"/>
    <n v="0"/>
    <n v="1"/>
    <n v="0"/>
    <n v="0"/>
    <x v="2"/>
    <s v="Female"/>
    <n v="1"/>
    <n v="58"/>
    <n v="2"/>
    <n v="2"/>
    <s v="Research Scientist"/>
    <n v="0"/>
    <n v="0"/>
    <n v="0"/>
    <n v="0"/>
    <n v="0"/>
    <n v="0"/>
    <n v="0"/>
    <n v="1"/>
    <n v="2"/>
    <x v="2"/>
    <n v="0"/>
    <n v="0"/>
    <n v="2133"/>
    <n v="2133"/>
    <n v="1"/>
    <x v="0"/>
    <n v="1"/>
    <n v="16"/>
    <n v="3"/>
    <n v="3"/>
    <n v="1"/>
    <n v="20"/>
    <n v="20"/>
    <n v="3"/>
    <n v="3"/>
    <n v="20"/>
    <n v="20"/>
    <n v="11"/>
    <n v="0"/>
    <n v="0"/>
    <n v="7"/>
    <n v="7"/>
    <n v="14"/>
  </r>
  <r>
    <n v="58"/>
    <n v="58"/>
    <x v="1"/>
    <n v="0"/>
    <s v="Travel_Rarely"/>
    <n v="0"/>
    <n v="1"/>
    <x v="0"/>
    <n v="0"/>
    <n v="1"/>
    <n v="21"/>
    <n v="21"/>
    <n v="3"/>
    <s v="Life Sciences"/>
    <n v="1"/>
    <n v="0"/>
    <n v="0"/>
    <n v="0"/>
    <n v="0"/>
    <x v="2"/>
    <s v="Female"/>
    <n v="1"/>
    <n v="72"/>
    <n v="3"/>
    <n v="4"/>
    <s v="Manager"/>
    <n v="0"/>
    <n v="0"/>
    <n v="0"/>
    <n v="1"/>
    <n v="0"/>
    <n v="0"/>
    <n v="0"/>
    <n v="0"/>
    <n v="4"/>
    <x v="1"/>
    <n v="0"/>
    <n v="1"/>
    <n v="17875"/>
    <n v="17875"/>
    <n v="4"/>
    <x v="0"/>
    <n v="1"/>
    <n v="13"/>
    <n v="3"/>
    <n v="3"/>
    <n v="1"/>
    <n v="29"/>
    <n v="29"/>
    <n v="2"/>
    <n v="2"/>
    <n v="1"/>
    <n v="1"/>
    <n v="0"/>
    <n v="0"/>
    <n v="0"/>
    <n v="0"/>
    <n v="0"/>
    <n v="0"/>
  </r>
  <r>
    <n v="32"/>
    <n v="32"/>
    <x v="0"/>
    <n v="1"/>
    <s v="Travel_Frequently"/>
    <n v="1"/>
    <n v="0"/>
    <x v="1"/>
    <n v="1"/>
    <n v="0"/>
    <n v="5"/>
    <n v="5"/>
    <n v="2"/>
    <s v="Life Sciences"/>
    <n v="1"/>
    <n v="0"/>
    <n v="0"/>
    <n v="0"/>
    <n v="0"/>
    <x v="3"/>
    <s v="Female"/>
    <n v="1"/>
    <n v="47"/>
    <n v="4"/>
    <n v="1"/>
    <s v="Research Scientist"/>
    <n v="0"/>
    <n v="0"/>
    <n v="0"/>
    <n v="0"/>
    <n v="0"/>
    <n v="0"/>
    <n v="0"/>
    <n v="1"/>
    <n v="3"/>
    <x v="0"/>
    <n v="1"/>
    <n v="0"/>
    <n v="2432"/>
    <n v="2432"/>
    <n v="3"/>
    <x v="0"/>
    <n v="1"/>
    <n v="14"/>
    <n v="3"/>
    <n v="1"/>
    <n v="0"/>
    <n v="8"/>
    <n v="8"/>
    <n v="2"/>
    <n v="3"/>
    <n v="4"/>
    <n v="4"/>
    <n v="1"/>
    <n v="0"/>
    <n v="0"/>
    <n v="3"/>
    <n v="3"/>
    <n v="3"/>
  </r>
  <r>
    <n v="38"/>
    <n v="38"/>
    <x v="1"/>
    <n v="0"/>
    <s v="Travel_Rarely"/>
    <n v="0"/>
    <n v="1"/>
    <x v="1"/>
    <n v="1"/>
    <n v="0"/>
    <n v="9"/>
    <n v="9"/>
    <n v="2"/>
    <s v="Life Sciences"/>
    <n v="1"/>
    <n v="0"/>
    <n v="0"/>
    <n v="0"/>
    <n v="0"/>
    <x v="0"/>
    <s v="Male"/>
    <n v="0"/>
    <n v="71"/>
    <n v="3"/>
    <n v="1"/>
    <s v="Research Scientist"/>
    <n v="0"/>
    <n v="0"/>
    <n v="0"/>
    <n v="0"/>
    <n v="0"/>
    <n v="0"/>
    <n v="0"/>
    <n v="1"/>
    <n v="4"/>
    <x v="2"/>
    <n v="0"/>
    <n v="0"/>
    <n v="4771"/>
    <n v="4771"/>
    <n v="2"/>
    <x v="1"/>
    <n v="0"/>
    <n v="19"/>
    <n v="3"/>
    <n v="4"/>
    <n v="2"/>
    <n v="10"/>
    <n v="10"/>
    <n v="0"/>
    <n v="4"/>
    <n v="5"/>
    <n v="5"/>
    <n v="2"/>
    <n v="0"/>
    <n v="0"/>
    <n v="3"/>
    <n v="3"/>
    <n v="3"/>
  </r>
  <r>
    <n v="49"/>
    <n v="49"/>
    <x v="1"/>
    <n v="0"/>
    <s v="Travel_Frequently"/>
    <n v="1"/>
    <n v="0"/>
    <x v="1"/>
    <n v="1"/>
    <n v="0"/>
    <n v="2"/>
    <n v="2"/>
    <n v="1"/>
    <s v="Life Sciences"/>
    <n v="1"/>
    <n v="0"/>
    <n v="0"/>
    <n v="0"/>
    <n v="0"/>
    <x v="0"/>
    <s v="Male"/>
    <n v="0"/>
    <n v="42"/>
    <n v="3"/>
    <n v="5"/>
    <s v="Research Director"/>
    <n v="0"/>
    <n v="0"/>
    <n v="0"/>
    <n v="0"/>
    <n v="0"/>
    <n v="0"/>
    <n v="0"/>
    <n v="0"/>
    <n v="4"/>
    <x v="1"/>
    <n v="0"/>
    <n v="1"/>
    <n v="19161"/>
    <n v="19161"/>
    <n v="3"/>
    <x v="1"/>
    <n v="0"/>
    <n v="15"/>
    <n v="3"/>
    <n v="4"/>
    <n v="0"/>
    <n v="28"/>
    <n v="28"/>
    <n v="3"/>
    <n v="3"/>
    <n v="5"/>
    <n v="5"/>
    <n v="4"/>
    <n v="4"/>
    <n v="4"/>
    <n v="3"/>
    <n v="3"/>
    <n v="15"/>
  </r>
  <r>
    <n v="42"/>
    <n v="42"/>
    <x v="1"/>
    <n v="0"/>
    <s v="Travel_Rarely"/>
    <n v="0"/>
    <n v="1"/>
    <x v="0"/>
    <n v="0"/>
    <n v="1"/>
    <n v="12"/>
    <n v="12"/>
    <n v="4"/>
    <s v="Marketing"/>
    <n v="0"/>
    <n v="0"/>
    <n v="0"/>
    <n v="1"/>
    <n v="0"/>
    <x v="0"/>
    <s v="Male"/>
    <n v="0"/>
    <n v="77"/>
    <n v="3"/>
    <n v="2"/>
    <s v="Sales Executive"/>
    <n v="0"/>
    <n v="1"/>
    <n v="0"/>
    <n v="0"/>
    <n v="0"/>
    <n v="0"/>
    <n v="0"/>
    <n v="0"/>
    <n v="4"/>
    <x v="2"/>
    <n v="0"/>
    <n v="0"/>
    <n v="5087"/>
    <n v="5087"/>
    <n v="3"/>
    <x v="0"/>
    <n v="1"/>
    <n v="12"/>
    <n v="3"/>
    <n v="3"/>
    <n v="2"/>
    <n v="14"/>
    <n v="14"/>
    <n v="4"/>
    <n v="3"/>
    <n v="0"/>
    <n v="0"/>
    <n v="0"/>
    <n v="0"/>
    <n v="0"/>
    <n v="0"/>
    <n v="0"/>
    <n v="0"/>
  </r>
  <r>
    <n v="27"/>
    <n v="27"/>
    <x v="0"/>
    <n v="1"/>
    <s v="Travel_Frequently"/>
    <n v="1"/>
    <n v="0"/>
    <x v="2"/>
    <n v="0"/>
    <n v="0"/>
    <n v="22"/>
    <n v="22"/>
    <n v="3"/>
    <s v="Human Resources"/>
    <n v="0"/>
    <n v="0"/>
    <n v="0"/>
    <n v="0"/>
    <n v="0"/>
    <x v="3"/>
    <s v="Female"/>
    <n v="1"/>
    <n v="58"/>
    <n v="2"/>
    <n v="1"/>
    <s v="Human Resources"/>
    <n v="0"/>
    <n v="0"/>
    <n v="0"/>
    <n v="0"/>
    <n v="0"/>
    <n v="0"/>
    <n v="0"/>
    <n v="0"/>
    <n v="2"/>
    <x v="1"/>
    <n v="0"/>
    <n v="1"/>
    <n v="2863"/>
    <n v="2863"/>
    <n v="1"/>
    <x v="1"/>
    <n v="0"/>
    <n v="12"/>
    <n v="3"/>
    <n v="1"/>
    <n v="0"/>
    <n v="1"/>
    <n v="1"/>
    <n v="2"/>
    <n v="3"/>
    <n v="1"/>
    <n v="1"/>
    <n v="0"/>
    <n v="0"/>
    <n v="0"/>
    <n v="0"/>
    <n v="0"/>
    <n v="0"/>
  </r>
  <r>
    <n v="35"/>
    <n v="35"/>
    <x v="1"/>
    <n v="0"/>
    <s v="Travel_Rarely"/>
    <n v="0"/>
    <n v="1"/>
    <x v="0"/>
    <n v="0"/>
    <n v="1"/>
    <n v="18"/>
    <n v="18"/>
    <n v="4"/>
    <s v="Medical"/>
    <n v="0"/>
    <n v="0"/>
    <n v="1"/>
    <n v="0"/>
    <n v="0"/>
    <x v="0"/>
    <s v="Male"/>
    <n v="0"/>
    <n v="71"/>
    <n v="3"/>
    <n v="2"/>
    <s v="Sales Executive"/>
    <n v="0"/>
    <n v="1"/>
    <n v="0"/>
    <n v="0"/>
    <n v="0"/>
    <n v="0"/>
    <n v="0"/>
    <n v="0"/>
    <n v="1"/>
    <x v="1"/>
    <n v="0"/>
    <n v="1"/>
    <n v="5561"/>
    <n v="5561"/>
    <n v="0"/>
    <x v="1"/>
    <n v="0"/>
    <n v="16"/>
    <n v="3"/>
    <n v="4"/>
    <n v="1"/>
    <n v="6"/>
    <n v="6"/>
    <n v="2"/>
    <n v="1"/>
    <n v="5"/>
    <n v="5"/>
    <n v="3"/>
    <n v="0"/>
    <n v="0"/>
    <n v="4"/>
    <n v="4"/>
    <n v="8"/>
  </r>
  <r>
    <n v="28"/>
    <n v="28"/>
    <x v="1"/>
    <n v="0"/>
    <s v="Non-Travel"/>
    <n v="0"/>
    <n v="0"/>
    <x v="1"/>
    <n v="1"/>
    <n v="0"/>
    <n v="16"/>
    <n v="16"/>
    <n v="3"/>
    <s v="Medical"/>
    <n v="0"/>
    <n v="0"/>
    <n v="1"/>
    <n v="0"/>
    <n v="0"/>
    <x v="1"/>
    <s v="Male"/>
    <n v="0"/>
    <n v="49"/>
    <n v="3"/>
    <n v="1"/>
    <s v="Research Scientist"/>
    <n v="0"/>
    <n v="0"/>
    <n v="0"/>
    <n v="0"/>
    <n v="0"/>
    <n v="0"/>
    <n v="0"/>
    <n v="1"/>
    <n v="3"/>
    <x v="0"/>
    <n v="1"/>
    <n v="0"/>
    <n v="2144"/>
    <n v="2144"/>
    <n v="1"/>
    <x v="1"/>
    <n v="0"/>
    <n v="14"/>
    <n v="3"/>
    <n v="3"/>
    <n v="0"/>
    <n v="5"/>
    <n v="5"/>
    <n v="3"/>
    <n v="2"/>
    <n v="5"/>
    <n v="5"/>
    <n v="3"/>
    <n v="1"/>
    <n v="1"/>
    <n v="4"/>
    <n v="4"/>
    <n v="4"/>
  </r>
  <r>
    <n v="31"/>
    <n v="31"/>
    <x v="1"/>
    <n v="0"/>
    <s v="Non-Travel"/>
    <n v="0"/>
    <n v="0"/>
    <x v="1"/>
    <n v="1"/>
    <n v="0"/>
    <n v="3"/>
    <n v="3"/>
    <n v="2"/>
    <s v="Medical"/>
    <n v="0"/>
    <n v="0"/>
    <n v="1"/>
    <n v="0"/>
    <n v="0"/>
    <x v="1"/>
    <s v="Male"/>
    <n v="0"/>
    <n v="48"/>
    <n v="3"/>
    <n v="1"/>
    <s v="Research Scientist"/>
    <n v="0"/>
    <n v="0"/>
    <n v="0"/>
    <n v="0"/>
    <n v="0"/>
    <n v="0"/>
    <n v="0"/>
    <n v="1"/>
    <n v="1"/>
    <x v="2"/>
    <n v="0"/>
    <n v="0"/>
    <n v="3065"/>
    <n v="3065"/>
    <n v="1"/>
    <x v="0"/>
    <n v="1"/>
    <n v="13"/>
    <n v="3"/>
    <n v="4"/>
    <n v="1"/>
    <n v="4"/>
    <n v="4"/>
    <n v="3"/>
    <n v="4"/>
    <n v="4"/>
    <n v="4"/>
    <n v="2"/>
    <n v="2"/>
    <n v="2"/>
    <n v="3"/>
    <n v="3"/>
    <n v="3"/>
  </r>
  <r>
    <n v="36"/>
    <n v="36"/>
    <x v="1"/>
    <n v="0"/>
    <s v="Non-Travel"/>
    <n v="0"/>
    <n v="0"/>
    <x v="1"/>
    <n v="1"/>
    <n v="0"/>
    <n v="9"/>
    <n v="9"/>
    <n v="4"/>
    <s v="Life Sciences"/>
    <n v="1"/>
    <n v="0"/>
    <n v="0"/>
    <n v="0"/>
    <n v="0"/>
    <x v="3"/>
    <s v="Male"/>
    <n v="0"/>
    <n v="66"/>
    <n v="4"/>
    <n v="1"/>
    <s v="Laboratory Technician"/>
    <n v="0"/>
    <n v="0"/>
    <n v="1"/>
    <n v="0"/>
    <n v="0"/>
    <n v="0"/>
    <n v="0"/>
    <n v="0"/>
    <n v="2"/>
    <x v="1"/>
    <n v="0"/>
    <n v="1"/>
    <n v="2810"/>
    <n v="2810"/>
    <n v="1"/>
    <x v="1"/>
    <n v="0"/>
    <n v="22"/>
    <n v="4"/>
    <n v="2"/>
    <n v="0"/>
    <n v="5"/>
    <n v="5"/>
    <n v="3"/>
    <n v="3"/>
    <n v="5"/>
    <n v="5"/>
    <n v="4"/>
    <n v="0"/>
    <n v="0"/>
    <n v="2"/>
    <n v="2"/>
    <n v="2"/>
  </r>
  <r>
    <n v="34"/>
    <n v="34"/>
    <x v="1"/>
    <n v="0"/>
    <s v="Travel_Rarely"/>
    <n v="0"/>
    <n v="1"/>
    <x v="0"/>
    <n v="0"/>
    <n v="1"/>
    <n v="1"/>
    <n v="1"/>
    <n v="3"/>
    <s v="Marketing"/>
    <n v="0"/>
    <n v="0"/>
    <n v="0"/>
    <n v="1"/>
    <n v="0"/>
    <x v="3"/>
    <s v="Male"/>
    <n v="0"/>
    <n v="32"/>
    <n v="3"/>
    <n v="3"/>
    <s v="Sales Executive"/>
    <n v="0"/>
    <n v="1"/>
    <n v="0"/>
    <n v="0"/>
    <n v="0"/>
    <n v="0"/>
    <n v="0"/>
    <n v="0"/>
    <n v="4"/>
    <x v="0"/>
    <n v="1"/>
    <n v="0"/>
    <n v="9888"/>
    <n v="9888"/>
    <n v="1"/>
    <x v="1"/>
    <n v="0"/>
    <n v="21"/>
    <n v="4"/>
    <n v="1"/>
    <n v="0"/>
    <n v="14"/>
    <n v="14"/>
    <n v="3"/>
    <n v="2"/>
    <n v="14"/>
    <n v="14"/>
    <n v="8"/>
    <n v="2"/>
    <n v="2"/>
    <n v="1"/>
    <n v="1"/>
    <n v="3"/>
  </r>
  <r>
    <n v="34"/>
    <n v="34"/>
    <x v="1"/>
    <n v="0"/>
    <s v="Travel_Rarely"/>
    <n v="0"/>
    <n v="1"/>
    <x v="0"/>
    <n v="0"/>
    <n v="1"/>
    <n v="13"/>
    <n v="13"/>
    <n v="4"/>
    <s v="Medical"/>
    <n v="0"/>
    <n v="0"/>
    <n v="1"/>
    <n v="0"/>
    <n v="0"/>
    <x v="2"/>
    <s v="Male"/>
    <n v="0"/>
    <n v="39"/>
    <n v="3"/>
    <n v="3"/>
    <s v="Sales Executive"/>
    <n v="0"/>
    <n v="1"/>
    <n v="0"/>
    <n v="0"/>
    <n v="0"/>
    <n v="0"/>
    <n v="0"/>
    <n v="0"/>
    <n v="3"/>
    <x v="2"/>
    <n v="0"/>
    <n v="0"/>
    <n v="8628"/>
    <n v="8628"/>
    <n v="1"/>
    <x v="1"/>
    <n v="0"/>
    <n v="18"/>
    <n v="3"/>
    <n v="3"/>
    <n v="1"/>
    <n v="9"/>
    <n v="9"/>
    <n v="2"/>
    <n v="2"/>
    <n v="8"/>
    <n v="8"/>
    <n v="7"/>
    <n v="1"/>
    <n v="1"/>
    <n v="1"/>
    <n v="1"/>
    <n v="3"/>
  </r>
  <r>
    <n v="26"/>
    <n v="26"/>
    <x v="1"/>
    <n v="0"/>
    <s v="Travel_Rarely"/>
    <n v="0"/>
    <n v="1"/>
    <x v="1"/>
    <n v="1"/>
    <n v="0"/>
    <n v="1"/>
    <n v="1"/>
    <n v="3"/>
    <s v="Medical"/>
    <n v="0"/>
    <n v="0"/>
    <n v="1"/>
    <n v="0"/>
    <n v="0"/>
    <x v="1"/>
    <s v="Male"/>
    <n v="0"/>
    <n v="95"/>
    <n v="3"/>
    <n v="1"/>
    <s v="Laboratory Technician"/>
    <n v="0"/>
    <n v="0"/>
    <n v="1"/>
    <n v="0"/>
    <n v="0"/>
    <n v="0"/>
    <n v="0"/>
    <n v="0"/>
    <n v="1"/>
    <x v="0"/>
    <n v="1"/>
    <n v="0"/>
    <n v="2867"/>
    <n v="2867"/>
    <n v="0"/>
    <x v="1"/>
    <n v="0"/>
    <n v="13"/>
    <n v="3"/>
    <n v="4"/>
    <n v="0"/>
    <n v="8"/>
    <n v="8"/>
    <n v="6"/>
    <n v="2"/>
    <n v="7"/>
    <n v="7"/>
    <n v="7"/>
    <n v="7"/>
    <n v="7"/>
    <n v="6"/>
    <n v="6"/>
    <n v="6"/>
  </r>
  <r>
    <n v="29"/>
    <n v="29"/>
    <x v="1"/>
    <n v="0"/>
    <s v="Travel_Rarely"/>
    <n v="0"/>
    <n v="1"/>
    <x v="1"/>
    <n v="1"/>
    <n v="0"/>
    <n v="1"/>
    <n v="1"/>
    <n v="3"/>
    <s v="Life Sciences"/>
    <n v="1"/>
    <n v="0"/>
    <n v="0"/>
    <n v="0"/>
    <n v="0"/>
    <x v="3"/>
    <s v="Male"/>
    <n v="0"/>
    <n v="89"/>
    <n v="3"/>
    <n v="2"/>
    <s v="Healthcare Representative"/>
    <n v="1"/>
    <n v="0"/>
    <n v="0"/>
    <n v="0"/>
    <n v="0"/>
    <n v="0"/>
    <n v="0"/>
    <n v="0"/>
    <n v="1"/>
    <x v="1"/>
    <n v="0"/>
    <n v="1"/>
    <n v="5373"/>
    <n v="5373"/>
    <n v="0"/>
    <x v="1"/>
    <n v="0"/>
    <n v="12"/>
    <n v="3"/>
    <n v="1"/>
    <n v="1"/>
    <n v="6"/>
    <n v="6"/>
    <n v="5"/>
    <n v="2"/>
    <n v="5"/>
    <n v="5"/>
    <n v="3"/>
    <n v="0"/>
    <n v="0"/>
    <n v="2"/>
    <n v="2"/>
    <n v="4"/>
  </r>
  <r>
    <n v="32"/>
    <n v="32"/>
    <x v="1"/>
    <n v="0"/>
    <s v="Non-Travel"/>
    <n v="0"/>
    <n v="0"/>
    <x v="1"/>
    <n v="1"/>
    <n v="0"/>
    <n v="15"/>
    <n v="15"/>
    <n v="4"/>
    <s v="Medical"/>
    <n v="0"/>
    <n v="0"/>
    <n v="1"/>
    <n v="0"/>
    <n v="0"/>
    <x v="1"/>
    <s v="Female"/>
    <n v="1"/>
    <n v="34"/>
    <n v="3"/>
    <n v="2"/>
    <s v="Healthcare Representative"/>
    <n v="1"/>
    <n v="0"/>
    <n v="0"/>
    <n v="0"/>
    <n v="0"/>
    <n v="0"/>
    <n v="0"/>
    <n v="0"/>
    <n v="4"/>
    <x v="2"/>
    <n v="0"/>
    <n v="0"/>
    <n v="6667"/>
    <n v="6667"/>
    <n v="5"/>
    <x v="1"/>
    <n v="0"/>
    <n v="18"/>
    <n v="3"/>
    <n v="2"/>
    <n v="1"/>
    <n v="9"/>
    <n v="9"/>
    <n v="6"/>
    <n v="3"/>
    <n v="5"/>
    <n v="5"/>
    <n v="1"/>
    <n v="1"/>
    <n v="1"/>
    <n v="2"/>
    <n v="2"/>
    <n v="4"/>
  </r>
  <r>
    <n v="31"/>
    <n v="31"/>
    <x v="1"/>
    <n v="0"/>
    <s v="Travel_Frequently"/>
    <n v="1"/>
    <n v="0"/>
    <x v="1"/>
    <n v="1"/>
    <n v="0"/>
    <n v="1"/>
    <n v="1"/>
    <n v="3"/>
    <s v="Life Sciences"/>
    <n v="1"/>
    <n v="0"/>
    <n v="0"/>
    <n v="0"/>
    <n v="0"/>
    <x v="2"/>
    <s v="Male"/>
    <n v="0"/>
    <n v="48"/>
    <n v="1"/>
    <n v="2"/>
    <s v="Research Scientist"/>
    <n v="0"/>
    <n v="0"/>
    <n v="0"/>
    <n v="0"/>
    <n v="0"/>
    <n v="0"/>
    <n v="0"/>
    <n v="1"/>
    <n v="1"/>
    <x v="1"/>
    <n v="0"/>
    <n v="1"/>
    <n v="5003"/>
    <n v="5003"/>
    <n v="1"/>
    <x v="1"/>
    <n v="0"/>
    <n v="21"/>
    <n v="4"/>
    <n v="2"/>
    <n v="0"/>
    <n v="10"/>
    <n v="10"/>
    <n v="6"/>
    <n v="3"/>
    <n v="10"/>
    <n v="10"/>
    <n v="8"/>
    <n v="8"/>
    <n v="8"/>
    <n v="7"/>
    <n v="7"/>
    <n v="14"/>
  </r>
  <r>
    <n v="28"/>
    <n v="28"/>
    <x v="0"/>
    <n v="1"/>
    <s v="Travel_Rarely"/>
    <n v="0"/>
    <n v="1"/>
    <x v="1"/>
    <n v="1"/>
    <n v="0"/>
    <n v="17"/>
    <n v="17"/>
    <n v="3"/>
    <s v="Technical Degree"/>
    <n v="0"/>
    <n v="0"/>
    <n v="0"/>
    <n v="0"/>
    <n v="1"/>
    <x v="1"/>
    <s v="Male"/>
    <n v="0"/>
    <n v="32"/>
    <n v="2"/>
    <n v="1"/>
    <s v="Laboratory Technician"/>
    <n v="0"/>
    <n v="0"/>
    <n v="1"/>
    <n v="0"/>
    <n v="0"/>
    <n v="0"/>
    <n v="0"/>
    <n v="0"/>
    <n v="4"/>
    <x v="2"/>
    <n v="0"/>
    <n v="0"/>
    <n v="2367"/>
    <n v="2367"/>
    <n v="5"/>
    <x v="1"/>
    <n v="0"/>
    <n v="12"/>
    <n v="3"/>
    <n v="1"/>
    <n v="1"/>
    <n v="6"/>
    <n v="6"/>
    <n v="2"/>
    <n v="2"/>
    <n v="4"/>
    <n v="4"/>
    <n v="1"/>
    <n v="0"/>
    <n v="0"/>
    <n v="3"/>
    <n v="3"/>
    <n v="3"/>
  </r>
  <r>
    <n v="38"/>
    <n v="38"/>
    <x v="1"/>
    <n v="0"/>
    <s v="Travel_Rarely"/>
    <n v="0"/>
    <n v="1"/>
    <x v="0"/>
    <n v="0"/>
    <n v="1"/>
    <n v="1"/>
    <n v="1"/>
    <n v="3"/>
    <s v="Life Sciences"/>
    <n v="1"/>
    <n v="0"/>
    <n v="0"/>
    <n v="0"/>
    <n v="0"/>
    <x v="3"/>
    <s v="Male"/>
    <n v="0"/>
    <n v="59"/>
    <n v="2"/>
    <n v="1"/>
    <s v="Sales Representative"/>
    <n v="0"/>
    <n v="0"/>
    <n v="0"/>
    <n v="0"/>
    <n v="0"/>
    <n v="0"/>
    <n v="1"/>
    <n v="0"/>
    <n v="1"/>
    <x v="0"/>
    <n v="1"/>
    <n v="0"/>
    <n v="2858"/>
    <n v="2858"/>
    <n v="4"/>
    <x v="1"/>
    <n v="0"/>
    <n v="14"/>
    <n v="3"/>
    <n v="1"/>
    <n v="0"/>
    <n v="20"/>
    <n v="20"/>
    <n v="3"/>
    <n v="2"/>
    <n v="1"/>
    <n v="1"/>
    <n v="0"/>
    <n v="0"/>
    <n v="0"/>
    <n v="0"/>
    <n v="0"/>
    <n v="0"/>
  </r>
  <r>
    <n v="35"/>
    <n v="35"/>
    <x v="1"/>
    <n v="0"/>
    <s v="Travel_Rarely"/>
    <n v="0"/>
    <n v="1"/>
    <x v="0"/>
    <n v="0"/>
    <n v="1"/>
    <n v="7"/>
    <n v="7"/>
    <n v="4"/>
    <s v="Life Sciences"/>
    <n v="1"/>
    <n v="0"/>
    <n v="0"/>
    <n v="0"/>
    <n v="0"/>
    <x v="1"/>
    <s v="Female"/>
    <n v="1"/>
    <n v="55"/>
    <n v="3"/>
    <n v="2"/>
    <s v="Sales Executive"/>
    <n v="0"/>
    <n v="1"/>
    <n v="0"/>
    <n v="0"/>
    <n v="0"/>
    <n v="0"/>
    <n v="0"/>
    <n v="0"/>
    <n v="4"/>
    <x v="1"/>
    <n v="0"/>
    <n v="1"/>
    <n v="5204"/>
    <n v="5204"/>
    <n v="1"/>
    <x v="0"/>
    <n v="1"/>
    <n v="11"/>
    <n v="3"/>
    <n v="4"/>
    <n v="0"/>
    <n v="10"/>
    <n v="10"/>
    <n v="2"/>
    <n v="3"/>
    <n v="10"/>
    <n v="10"/>
    <n v="8"/>
    <n v="0"/>
    <n v="0"/>
    <n v="9"/>
    <n v="9"/>
    <n v="18"/>
  </r>
  <r>
    <n v="27"/>
    <n v="27"/>
    <x v="1"/>
    <n v="0"/>
    <s v="Travel_Rarely"/>
    <n v="0"/>
    <n v="1"/>
    <x v="0"/>
    <n v="0"/>
    <n v="1"/>
    <n v="9"/>
    <n v="9"/>
    <n v="3"/>
    <s v="Marketing"/>
    <n v="0"/>
    <n v="0"/>
    <n v="0"/>
    <n v="1"/>
    <n v="0"/>
    <x v="2"/>
    <s v="Male"/>
    <n v="0"/>
    <n v="44"/>
    <n v="3"/>
    <n v="2"/>
    <s v="Sales Executive"/>
    <n v="0"/>
    <n v="1"/>
    <n v="0"/>
    <n v="0"/>
    <n v="0"/>
    <n v="0"/>
    <n v="0"/>
    <n v="0"/>
    <n v="4"/>
    <x v="0"/>
    <n v="1"/>
    <n v="0"/>
    <n v="4105"/>
    <n v="4105"/>
    <n v="1"/>
    <x v="1"/>
    <n v="0"/>
    <n v="14"/>
    <n v="3"/>
    <n v="1"/>
    <n v="0"/>
    <n v="7"/>
    <n v="7"/>
    <n v="5"/>
    <n v="3"/>
    <n v="7"/>
    <n v="7"/>
    <n v="7"/>
    <n v="0"/>
    <n v="0"/>
    <n v="7"/>
    <n v="7"/>
    <n v="14"/>
  </r>
  <r>
    <n v="32"/>
    <n v="32"/>
    <x v="1"/>
    <n v="0"/>
    <s v="Travel_Rarely"/>
    <n v="0"/>
    <n v="1"/>
    <x v="1"/>
    <n v="1"/>
    <n v="0"/>
    <n v="5"/>
    <n v="5"/>
    <n v="4"/>
    <s v="Life Sciences"/>
    <n v="1"/>
    <n v="0"/>
    <n v="0"/>
    <n v="0"/>
    <n v="0"/>
    <x v="2"/>
    <s v="Male"/>
    <n v="0"/>
    <n v="56"/>
    <n v="2"/>
    <n v="2"/>
    <s v="Manufacturing Director"/>
    <n v="0"/>
    <n v="0"/>
    <n v="0"/>
    <n v="0"/>
    <n v="1"/>
    <n v="1"/>
    <n v="0"/>
    <n v="0"/>
    <n v="4"/>
    <x v="0"/>
    <n v="1"/>
    <n v="0"/>
    <n v="9679"/>
    <n v="9679"/>
    <n v="8"/>
    <x v="1"/>
    <n v="0"/>
    <n v="24"/>
    <n v="4"/>
    <n v="2"/>
    <n v="0"/>
    <n v="8"/>
    <n v="8"/>
    <n v="1"/>
    <n v="3"/>
    <n v="1"/>
    <n v="1"/>
    <n v="0"/>
    <n v="0"/>
    <n v="0"/>
    <n v="0"/>
    <n v="0"/>
    <n v="0"/>
  </r>
  <r>
    <n v="31"/>
    <n v="31"/>
    <x v="0"/>
    <n v="1"/>
    <s v="Travel_Frequently"/>
    <n v="1"/>
    <n v="0"/>
    <x v="0"/>
    <n v="0"/>
    <n v="1"/>
    <n v="26"/>
    <n v="26"/>
    <n v="4"/>
    <s v="Marketing"/>
    <n v="0"/>
    <n v="0"/>
    <n v="0"/>
    <n v="1"/>
    <n v="0"/>
    <x v="3"/>
    <s v="Male"/>
    <n v="0"/>
    <n v="63"/>
    <n v="3"/>
    <n v="2"/>
    <s v="Sales Executive"/>
    <n v="0"/>
    <n v="1"/>
    <n v="0"/>
    <n v="0"/>
    <n v="0"/>
    <n v="0"/>
    <n v="0"/>
    <n v="0"/>
    <n v="4"/>
    <x v="1"/>
    <n v="0"/>
    <n v="1"/>
    <n v="5617"/>
    <n v="5617"/>
    <n v="1"/>
    <x v="0"/>
    <n v="1"/>
    <n v="11"/>
    <n v="3"/>
    <n v="3"/>
    <n v="0"/>
    <n v="10"/>
    <n v="10"/>
    <n v="4"/>
    <n v="3"/>
    <n v="10"/>
    <n v="10"/>
    <n v="7"/>
    <n v="0"/>
    <n v="0"/>
    <n v="8"/>
    <n v="8"/>
    <n v="16"/>
  </r>
  <r>
    <n v="53"/>
    <n v="53"/>
    <x v="0"/>
    <n v="1"/>
    <s v="Travel_Rarely"/>
    <n v="0"/>
    <n v="1"/>
    <x v="0"/>
    <n v="0"/>
    <n v="1"/>
    <n v="24"/>
    <n v="24"/>
    <n v="4"/>
    <s v="Life Sciences"/>
    <n v="1"/>
    <n v="0"/>
    <n v="0"/>
    <n v="0"/>
    <n v="0"/>
    <x v="3"/>
    <s v="Male"/>
    <n v="0"/>
    <n v="66"/>
    <n v="3"/>
    <n v="3"/>
    <s v="Sales Executive"/>
    <n v="0"/>
    <n v="1"/>
    <n v="0"/>
    <n v="0"/>
    <n v="0"/>
    <n v="0"/>
    <n v="0"/>
    <n v="0"/>
    <n v="1"/>
    <x v="0"/>
    <n v="1"/>
    <n v="0"/>
    <n v="10448"/>
    <n v="10448"/>
    <n v="6"/>
    <x v="0"/>
    <n v="1"/>
    <n v="13"/>
    <n v="3"/>
    <n v="2"/>
    <n v="0"/>
    <n v="15"/>
    <n v="15"/>
    <n v="2"/>
    <n v="2"/>
    <n v="2"/>
    <n v="2"/>
    <n v="2"/>
    <n v="2"/>
    <n v="2"/>
    <n v="2"/>
    <n v="2"/>
    <n v="6"/>
  </r>
  <r>
    <n v="54"/>
    <n v="54"/>
    <x v="1"/>
    <n v="0"/>
    <s v="Travel_Rarely"/>
    <n v="0"/>
    <n v="1"/>
    <x v="1"/>
    <n v="1"/>
    <n v="0"/>
    <n v="9"/>
    <n v="9"/>
    <n v="2"/>
    <s v="Life Sciences"/>
    <n v="1"/>
    <n v="0"/>
    <n v="0"/>
    <n v="0"/>
    <n v="0"/>
    <x v="3"/>
    <s v="Female"/>
    <n v="1"/>
    <n v="67"/>
    <n v="3"/>
    <n v="2"/>
    <s v="Research Scientist"/>
    <n v="0"/>
    <n v="0"/>
    <n v="0"/>
    <n v="0"/>
    <n v="0"/>
    <n v="0"/>
    <n v="0"/>
    <n v="1"/>
    <n v="3"/>
    <x v="1"/>
    <n v="0"/>
    <n v="1"/>
    <n v="2897"/>
    <n v="2897"/>
    <n v="3"/>
    <x v="1"/>
    <n v="0"/>
    <n v="11"/>
    <n v="3"/>
    <n v="3"/>
    <n v="2"/>
    <n v="9"/>
    <n v="9"/>
    <n v="6"/>
    <n v="2"/>
    <n v="4"/>
    <n v="4"/>
    <n v="3"/>
    <n v="2"/>
    <n v="2"/>
    <n v="3"/>
    <n v="3"/>
    <n v="6"/>
  </r>
  <r>
    <n v="33"/>
    <n v="33"/>
    <x v="1"/>
    <n v="0"/>
    <s v="Travel_Frequently"/>
    <n v="1"/>
    <n v="0"/>
    <x v="1"/>
    <n v="1"/>
    <n v="0"/>
    <n v="7"/>
    <n v="7"/>
    <n v="2"/>
    <s v="Life Sciences"/>
    <n v="1"/>
    <n v="0"/>
    <n v="0"/>
    <n v="0"/>
    <n v="0"/>
    <x v="2"/>
    <s v="Male"/>
    <n v="0"/>
    <n v="36"/>
    <n v="3"/>
    <n v="2"/>
    <s v="Healthcare Representative"/>
    <n v="1"/>
    <n v="0"/>
    <n v="0"/>
    <n v="0"/>
    <n v="0"/>
    <n v="0"/>
    <n v="0"/>
    <n v="0"/>
    <n v="3"/>
    <x v="2"/>
    <n v="0"/>
    <n v="0"/>
    <n v="5968"/>
    <n v="5968"/>
    <n v="1"/>
    <x v="1"/>
    <n v="0"/>
    <n v="20"/>
    <n v="4"/>
    <n v="3"/>
    <n v="3"/>
    <n v="9"/>
    <n v="9"/>
    <n v="2"/>
    <n v="3"/>
    <n v="9"/>
    <n v="9"/>
    <n v="7"/>
    <n v="2"/>
    <n v="2"/>
    <n v="8"/>
    <n v="8"/>
    <n v="16"/>
  </r>
  <r>
    <n v="43"/>
    <n v="43"/>
    <x v="1"/>
    <n v="0"/>
    <s v="Travel_Rarely"/>
    <n v="0"/>
    <n v="1"/>
    <x v="1"/>
    <n v="1"/>
    <n v="0"/>
    <n v="11"/>
    <n v="11"/>
    <n v="3"/>
    <s v="Life Sciences"/>
    <n v="1"/>
    <n v="0"/>
    <n v="0"/>
    <n v="0"/>
    <n v="0"/>
    <x v="3"/>
    <s v="Male"/>
    <n v="0"/>
    <n v="30"/>
    <n v="3"/>
    <n v="3"/>
    <s v="Healthcare Representative"/>
    <n v="1"/>
    <n v="0"/>
    <n v="0"/>
    <n v="0"/>
    <n v="0"/>
    <n v="0"/>
    <n v="0"/>
    <n v="0"/>
    <n v="3"/>
    <x v="1"/>
    <n v="0"/>
    <n v="1"/>
    <n v="7510"/>
    <n v="7510"/>
    <n v="1"/>
    <x v="1"/>
    <n v="0"/>
    <n v="17"/>
    <n v="3"/>
    <n v="2"/>
    <n v="1"/>
    <n v="10"/>
    <n v="10"/>
    <n v="1"/>
    <n v="3"/>
    <n v="10"/>
    <n v="10"/>
    <n v="9"/>
    <n v="0"/>
    <n v="0"/>
    <n v="9"/>
    <n v="9"/>
    <n v="27"/>
  </r>
  <r>
    <n v="38"/>
    <n v="38"/>
    <x v="1"/>
    <n v="0"/>
    <s v="Travel_Frequently"/>
    <n v="1"/>
    <n v="0"/>
    <x v="2"/>
    <n v="0"/>
    <n v="0"/>
    <n v="1"/>
    <n v="1"/>
    <n v="4"/>
    <s v="Other"/>
    <n v="0"/>
    <n v="1"/>
    <n v="0"/>
    <n v="0"/>
    <n v="0"/>
    <x v="2"/>
    <s v="Male"/>
    <n v="0"/>
    <n v="88"/>
    <n v="3"/>
    <n v="1"/>
    <s v="Human Resources"/>
    <n v="0"/>
    <n v="0"/>
    <n v="0"/>
    <n v="0"/>
    <n v="0"/>
    <n v="0"/>
    <n v="0"/>
    <n v="0"/>
    <n v="2"/>
    <x v="1"/>
    <n v="0"/>
    <n v="1"/>
    <n v="2991"/>
    <n v="2991"/>
    <n v="0"/>
    <x v="0"/>
    <n v="1"/>
    <n v="11"/>
    <n v="3"/>
    <n v="2"/>
    <n v="1"/>
    <n v="7"/>
    <n v="7"/>
    <n v="2"/>
    <n v="3"/>
    <n v="6"/>
    <n v="6"/>
    <n v="2"/>
    <n v="1"/>
    <n v="1"/>
    <n v="2"/>
    <n v="2"/>
    <n v="2"/>
  </r>
  <r>
    <n v="55"/>
    <n v="55"/>
    <x v="1"/>
    <n v="0"/>
    <s v="Travel_Rarely"/>
    <n v="0"/>
    <n v="1"/>
    <x v="2"/>
    <n v="0"/>
    <n v="0"/>
    <n v="26"/>
    <n v="26"/>
    <n v="4"/>
    <s v="Human Resources"/>
    <n v="0"/>
    <n v="0"/>
    <n v="0"/>
    <n v="0"/>
    <n v="0"/>
    <x v="1"/>
    <s v="Male"/>
    <n v="0"/>
    <n v="71"/>
    <n v="4"/>
    <n v="5"/>
    <s v="Manager"/>
    <n v="0"/>
    <n v="0"/>
    <n v="0"/>
    <n v="1"/>
    <n v="0"/>
    <n v="0"/>
    <n v="0"/>
    <n v="0"/>
    <n v="2"/>
    <x v="1"/>
    <n v="0"/>
    <n v="1"/>
    <n v="19636"/>
    <n v="19626.310000000001"/>
    <n v="4"/>
    <x v="0"/>
    <n v="1"/>
    <n v="18"/>
    <n v="3"/>
    <n v="1"/>
    <n v="1"/>
    <n v="35"/>
    <n v="35"/>
    <n v="0"/>
    <n v="3"/>
    <n v="10"/>
    <n v="10"/>
    <n v="9"/>
    <n v="1"/>
    <n v="1"/>
    <n v="4"/>
    <n v="4"/>
    <n v="20"/>
  </r>
  <r>
    <n v="31"/>
    <n v="31"/>
    <x v="1"/>
    <n v="0"/>
    <s v="Travel_Rarely"/>
    <n v="0"/>
    <n v="1"/>
    <x v="1"/>
    <n v="1"/>
    <n v="0"/>
    <n v="2"/>
    <n v="2"/>
    <n v="1"/>
    <s v="Medical"/>
    <n v="0"/>
    <n v="0"/>
    <n v="1"/>
    <n v="0"/>
    <n v="0"/>
    <x v="2"/>
    <s v="Female"/>
    <n v="1"/>
    <n v="59"/>
    <n v="1"/>
    <n v="1"/>
    <s v="Laboratory Technician"/>
    <n v="0"/>
    <n v="0"/>
    <n v="1"/>
    <n v="0"/>
    <n v="0"/>
    <n v="0"/>
    <n v="0"/>
    <n v="0"/>
    <n v="4"/>
    <x v="2"/>
    <n v="0"/>
    <n v="0"/>
    <n v="1129"/>
    <n v="1382.46"/>
    <n v="1"/>
    <x v="0"/>
    <n v="1"/>
    <n v="11"/>
    <n v="3"/>
    <n v="3"/>
    <n v="3"/>
    <n v="1"/>
    <n v="1"/>
    <n v="4"/>
    <n v="3"/>
    <n v="1"/>
    <n v="1"/>
    <n v="0"/>
    <n v="0"/>
    <n v="0"/>
    <n v="0"/>
    <n v="0"/>
    <n v="0"/>
  </r>
  <r>
    <n v="39"/>
    <n v="39"/>
    <x v="1"/>
    <n v="0"/>
    <s v="Travel_Rarely"/>
    <n v="0"/>
    <n v="1"/>
    <x v="0"/>
    <n v="0"/>
    <n v="1"/>
    <n v="15"/>
    <n v="15"/>
    <n v="4"/>
    <s v="Marketing"/>
    <n v="0"/>
    <n v="0"/>
    <n v="0"/>
    <n v="1"/>
    <n v="0"/>
    <x v="0"/>
    <s v="Male"/>
    <n v="0"/>
    <n v="77"/>
    <n v="3"/>
    <n v="4"/>
    <s v="Sales Executive"/>
    <n v="0"/>
    <n v="1"/>
    <n v="0"/>
    <n v="0"/>
    <n v="0"/>
    <n v="0"/>
    <n v="0"/>
    <n v="0"/>
    <n v="1"/>
    <x v="0"/>
    <n v="1"/>
    <n v="0"/>
    <n v="13341"/>
    <n v="13341"/>
    <n v="0"/>
    <x v="1"/>
    <n v="0"/>
    <n v="12"/>
    <n v="3"/>
    <n v="1"/>
    <n v="0"/>
    <n v="21"/>
    <n v="21"/>
    <n v="3"/>
    <n v="3"/>
    <n v="20"/>
    <n v="20"/>
    <n v="8"/>
    <n v="11"/>
    <n v="11"/>
    <n v="10"/>
    <n v="10"/>
    <n v="40"/>
  </r>
  <r>
    <n v="42"/>
    <n v="42"/>
    <x v="1"/>
    <n v="0"/>
    <s v="Non-Travel"/>
    <n v="0"/>
    <n v="0"/>
    <x v="1"/>
    <n v="1"/>
    <n v="0"/>
    <n v="23"/>
    <n v="23"/>
    <n v="2"/>
    <s v="Life Sciences"/>
    <n v="1"/>
    <n v="0"/>
    <n v="0"/>
    <n v="0"/>
    <n v="0"/>
    <x v="2"/>
    <s v="Male"/>
    <n v="0"/>
    <n v="37"/>
    <n v="2"/>
    <n v="2"/>
    <s v="Research Scientist"/>
    <n v="0"/>
    <n v="0"/>
    <n v="0"/>
    <n v="0"/>
    <n v="0"/>
    <n v="0"/>
    <n v="0"/>
    <n v="1"/>
    <n v="3"/>
    <x v="0"/>
    <n v="1"/>
    <n v="0"/>
    <n v="4332"/>
    <n v="4332"/>
    <n v="1"/>
    <x v="1"/>
    <n v="0"/>
    <n v="12"/>
    <n v="3"/>
    <n v="4"/>
    <n v="0"/>
    <n v="20"/>
    <n v="20"/>
    <n v="2"/>
    <n v="3"/>
    <n v="20"/>
    <n v="20"/>
    <n v="9"/>
    <n v="3"/>
    <n v="3"/>
    <n v="7"/>
    <n v="7"/>
    <n v="14"/>
  </r>
  <r>
    <n v="31"/>
    <n v="31"/>
    <x v="1"/>
    <n v="0"/>
    <s v="Non-Travel"/>
    <n v="0"/>
    <n v="0"/>
    <x v="1"/>
    <n v="1"/>
    <n v="0"/>
    <n v="10"/>
    <n v="10"/>
    <n v="3"/>
    <s v="Medical"/>
    <n v="0"/>
    <n v="0"/>
    <n v="1"/>
    <n v="0"/>
    <n v="0"/>
    <x v="1"/>
    <s v="Female"/>
    <n v="1"/>
    <n v="40"/>
    <n v="3"/>
    <n v="3"/>
    <s v="Research Director"/>
    <n v="0"/>
    <n v="0"/>
    <n v="0"/>
    <n v="0"/>
    <n v="0"/>
    <n v="0"/>
    <n v="0"/>
    <n v="0"/>
    <n v="3"/>
    <x v="1"/>
    <n v="0"/>
    <n v="1"/>
    <n v="11031"/>
    <n v="11031"/>
    <n v="4"/>
    <x v="1"/>
    <n v="0"/>
    <n v="20"/>
    <n v="4"/>
    <n v="3"/>
    <n v="1"/>
    <n v="13"/>
    <n v="13"/>
    <n v="2"/>
    <n v="4"/>
    <n v="11"/>
    <n v="11"/>
    <n v="7"/>
    <n v="4"/>
    <n v="4"/>
    <n v="8"/>
    <n v="8"/>
    <n v="24"/>
  </r>
  <r>
    <n v="54"/>
    <n v="54"/>
    <x v="1"/>
    <n v="0"/>
    <s v="Travel_Rarely"/>
    <n v="0"/>
    <n v="1"/>
    <x v="1"/>
    <n v="1"/>
    <n v="0"/>
    <n v="10"/>
    <n v="10"/>
    <n v="3"/>
    <s v="Medical"/>
    <n v="0"/>
    <n v="0"/>
    <n v="1"/>
    <n v="0"/>
    <n v="0"/>
    <x v="1"/>
    <s v="Female"/>
    <n v="1"/>
    <n v="77"/>
    <n v="3"/>
    <n v="2"/>
    <s v="Manufacturing Director"/>
    <n v="0"/>
    <n v="0"/>
    <n v="0"/>
    <n v="0"/>
    <n v="1"/>
    <n v="1"/>
    <n v="0"/>
    <n v="0"/>
    <n v="1"/>
    <x v="0"/>
    <n v="1"/>
    <n v="0"/>
    <n v="4440"/>
    <n v="4440"/>
    <n v="6"/>
    <x v="0"/>
    <n v="1"/>
    <n v="19"/>
    <n v="3"/>
    <n v="4"/>
    <n v="0"/>
    <n v="9"/>
    <n v="9"/>
    <n v="3"/>
    <n v="3"/>
    <n v="5"/>
    <n v="5"/>
    <n v="2"/>
    <n v="1"/>
    <n v="1"/>
    <n v="4"/>
    <n v="4"/>
    <n v="8"/>
  </r>
  <r>
    <n v="24"/>
    <n v="24"/>
    <x v="1"/>
    <n v="0"/>
    <s v="Travel_Rarely"/>
    <n v="0"/>
    <n v="1"/>
    <x v="1"/>
    <n v="1"/>
    <n v="0"/>
    <n v="1"/>
    <n v="1"/>
    <n v="2"/>
    <s v="Life Sciences"/>
    <n v="1"/>
    <n v="0"/>
    <n v="0"/>
    <n v="0"/>
    <n v="0"/>
    <x v="0"/>
    <s v="Male"/>
    <n v="0"/>
    <n v="45"/>
    <n v="2"/>
    <n v="2"/>
    <s v="Healthcare Representative"/>
    <n v="1"/>
    <n v="0"/>
    <n v="0"/>
    <n v="0"/>
    <n v="0"/>
    <n v="0"/>
    <n v="0"/>
    <n v="0"/>
    <n v="3"/>
    <x v="0"/>
    <n v="1"/>
    <n v="0"/>
    <n v="4617"/>
    <n v="4617"/>
    <n v="1"/>
    <x v="1"/>
    <n v="0"/>
    <n v="12"/>
    <n v="3"/>
    <n v="2"/>
    <n v="0"/>
    <n v="4"/>
    <n v="4"/>
    <n v="2"/>
    <n v="2"/>
    <n v="4"/>
    <n v="4"/>
    <n v="3"/>
    <n v="1"/>
    <n v="1"/>
    <n v="2"/>
    <n v="2"/>
    <n v="4"/>
  </r>
  <r>
    <n v="23"/>
    <n v="23"/>
    <x v="1"/>
    <n v="0"/>
    <s v="Travel_Rarely"/>
    <n v="0"/>
    <n v="1"/>
    <x v="1"/>
    <n v="1"/>
    <n v="0"/>
    <n v="12"/>
    <n v="12"/>
    <n v="2"/>
    <s v="Other"/>
    <n v="0"/>
    <n v="1"/>
    <n v="0"/>
    <n v="0"/>
    <n v="0"/>
    <x v="2"/>
    <s v="Male"/>
    <n v="0"/>
    <n v="78"/>
    <n v="3"/>
    <n v="1"/>
    <s v="Laboratory Technician"/>
    <n v="0"/>
    <n v="0"/>
    <n v="1"/>
    <n v="0"/>
    <n v="0"/>
    <n v="0"/>
    <n v="0"/>
    <n v="0"/>
    <n v="4"/>
    <x v="0"/>
    <n v="1"/>
    <n v="0"/>
    <n v="2647"/>
    <n v="2647"/>
    <n v="1"/>
    <x v="1"/>
    <n v="0"/>
    <n v="13"/>
    <n v="3"/>
    <n v="3"/>
    <n v="0"/>
    <n v="5"/>
    <n v="5"/>
    <n v="6"/>
    <n v="4"/>
    <n v="5"/>
    <n v="5"/>
    <n v="2"/>
    <n v="1"/>
    <n v="1"/>
    <n v="4"/>
    <n v="4"/>
    <n v="4"/>
  </r>
  <r>
    <n v="40"/>
    <n v="40"/>
    <x v="1"/>
    <n v="0"/>
    <s v="Travel_Frequently"/>
    <n v="1"/>
    <n v="0"/>
    <x v="1"/>
    <n v="1"/>
    <n v="0"/>
    <n v="11"/>
    <n v="11"/>
    <n v="3"/>
    <s v="Technical Degree"/>
    <n v="0"/>
    <n v="0"/>
    <n v="0"/>
    <n v="0"/>
    <n v="1"/>
    <x v="2"/>
    <s v="Female"/>
    <n v="1"/>
    <n v="73"/>
    <n v="3"/>
    <n v="2"/>
    <s v="Laboratory Technician"/>
    <n v="0"/>
    <n v="0"/>
    <n v="1"/>
    <n v="0"/>
    <n v="0"/>
    <n v="0"/>
    <n v="0"/>
    <n v="0"/>
    <n v="3"/>
    <x v="1"/>
    <n v="0"/>
    <n v="1"/>
    <n v="6323"/>
    <n v="6323"/>
    <n v="1"/>
    <x v="1"/>
    <n v="0"/>
    <n v="11"/>
    <n v="3"/>
    <n v="1"/>
    <n v="1"/>
    <n v="10"/>
    <n v="10"/>
    <n v="2"/>
    <n v="4"/>
    <n v="10"/>
    <n v="10"/>
    <n v="9"/>
    <n v="9"/>
    <n v="9"/>
    <n v="4"/>
    <n v="4"/>
    <n v="8"/>
  </r>
  <r>
    <n v="40"/>
    <n v="40"/>
    <x v="1"/>
    <n v="0"/>
    <s v="Travel_Rarely"/>
    <n v="0"/>
    <n v="1"/>
    <x v="0"/>
    <n v="0"/>
    <n v="1"/>
    <n v="2"/>
    <n v="2"/>
    <n v="2"/>
    <s v="Marketing"/>
    <n v="0"/>
    <n v="0"/>
    <n v="0"/>
    <n v="1"/>
    <n v="0"/>
    <x v="0"/>
    <s v="Female"/>
    <n v="1"/>
    <n v="92"/>
    <n v="3"/>
    <n v="2"/>
    <s v="Sales Executive"/>
    <n v="0"/>
    <n v="1"/>
    <n v="0"/>
    <n v="0"/>
    <n v="0"/>
    <n v="0"/>
    <n v="0"/>
    <n v="0"/>
    <n v="2"/>
    <x v="1"/>
    <n v="0"/>
    <n v="1"/>
    <n v="5677"/>
    <n v="5677"/>
    <n v="3"/>
    <x v="1"/>
    <n v="0"/>
    <n v="14"/>
    <n v="3"/>
    <n v="3"/>
    <n v="1"/>
    <n v="15"/>
    <n v="15"/>
    <n v="4"/>
    <n v="3"/>
    <n v="11"/>
    <n v="11"/>
    <n v="8"/>
    <n v="5"/>
    <n v="5"/>
    <n v="10"/>
    <n v="10"/>
    <n v="20"/>
  </r>
  <r>
    <n v="25"/>
    <n v="25"/>
    <x v="1"/>
    <n v="0"/>
    <s v="Travel_Rarely"/>
    <n v="0"/>
    <n v="1"/>
    <x v="2"/>
    <n v="0"/>
    <n v="0"/>
    <n v="2"/>
    <n v="2"/>
    <n v="3"/>
    <s v="Human Resources"/>
    <n v="0"/>
    <n v="0"/>
    <n v="0"/>
    <n v="0"/>
    <n v="0"/>
    <x v="1"/>
    <s v="Female"/>
    <n v="1"/>
    <n v="82"/>
    <n v="3"/>
    <n v="1"/>
    <s v="Human Resources"/>
    <n v="0"/>
    <n v="0"/>
    <n v="0"/>
    <n v="0"/>
    <n v="0"/>
    <n v="0"/>
    <n v="0"/>
    <n v="0"/>
    <n v="2"/>
    <x v="1"/>
    <n v="0"/>
    <n v="1"/>
    <n v="2187"/>
    <n v="2187"/>
    <n v="4"/>
    <x v="1"/>
    <n v="0"/>
    <n v="14"/>
    <n v="3"/>
    <n v="3"/>
    <n v="0"/>
    <n v="6"/>
    <n v="6"/>
    <n v="3"/>
    <n v="3"/>
    <n v="2"/>
    <n v="2"/>
    <n v="0"/>
    <n v="1"/>
    <n v="1"/>
    <n v="2"/>
    <n v="2"/>
    <n v="2"/>
  </r>
  <r>
    <n v="30"/>
    <n v="30"/>
    <x v="1"/>
    <n v="0"/>
    <s v="Travel_Rarely"/>
    <n v="0"/>
    <n v="1"/>
    <x v="1"/>
    <n v="1"/>
    <n v="0"/>
    <n v="1"/>
    <n v="1"/>
    <n v="2"/>
    <s v="Medical"/>
    <n v="0"/>
    <n v="0"/>
    <n v="1"/>
    <n v="0"/>
    <n v="0"/>
    <x v="2"/>
    <s v="Male"/>
    <n v="0"/>
    <n v="76"/>
    <n v="3"/>
    <n v="1"/>
    <s v="Laboratory Technician"/>
    <n v="0"/>
    <n v="0"/>
    <n v="1"/>
    <n v="0"/>
    <n v="0"/>
    <n v="0"/>
    <n v="0"/>
    <n v="0"/>
    <n v="2"/>
    <x v="1"/>
    <n v="0"/>
    <n v="1"/>
    <n v="3748"/>
    <n v="3748"/>
    <n v="1"/>
    <x v="1"/>
    <n v="0"/>
    <n v="13"/>
    <n v="3"/>
    <n v="3"/>
    <n v="0"/>
    <n v="12"/>
    <n v="12"/>
    <n v="6"/>
    <n v="2"/>
    <n v="12"/>
    <n v="12"/>
    <n v="8"/>
    <n v="1"/>
    <n v="1"/>
    <n v="7"/>
    <n v="7"/>
    <n v="7"/>
  </r>
  <r>
    <n v="25"/>
    <n v="25"/>
    <x v="1"/>
    <n v="0"/>
    <s v="Travel_Rarely"/>
    <n v="0"/>
    <n v="1"/>
    <x v="1"/>
    <n v="1"/>
    <n v="0"/>
    <n v="2"/>
    <n v="2"/>
    <n v="1"/>
    <s v="Other"/>
    <n v="0"/>
    <n v="1"/>
    <n v="0"/>
    <n v="0"/>
    <n v="0"/>
    <x v="2"/>
    <s v="Male"/>
    <n v="0"/>
    <n v="57"/>
    <n v="3"/>
    <n v="1"/>
    <s v="Laboratory Technician"/>
    <n v="0"/>
    <n v="0"/>
    <n v="1"/>
    <n v="0"/>
    <n v="0"/>
    <n v="0"/>
    <n v="0"/>
    <n v="0"/>
    <n v="3"/>
    <x v="2"/>
    <n v="0"/>
    <n v="0"/>
    <n v="3977"/>
    <n v="3977"/>
    <n v="6"/>
    <x v="0"/>
    <n v="1"/>
    <n v="19"/>
    <n v="3"/>
    <n v="3"/>
    <n v="1"/>
    <n v="7"/>
    <n v="7"/>
    <n v="2"/>
    <n v="2"/>
    <n v="2"/>
    <n v="2"/>
    <n v="2"/>
    <n v="0"/>
    <n v="0"/>
    <n v="2"/>
    <n v="2"/>
    <n v="2"/>
  </r>
  <r>
    <n v="47"/>
    <n v="47"/>
    <x v="1"/>
    <n v="0"/>
    <s v="Travel_Rarely"/>
    <n v="0"/>
    <n v="1"/>
    <x v="1"/>
    <n v="1"/>
    <n v="0"/>
    <n v="25"/>
    <n v="25"/>
    <n v="3"/>
    <s v="Medical"/>
    <n v="0"/>
    <n v="0"/>
    <n v="1"/>
    <n v="0"/>
    <n v="0"/>
    <x v="3"/>
    <s v="Male"/>
    <n v="0"/>
    <n v="84"/>
    <n v="3"/>
    <n v="3"/>
    <s v="Healthcare Representative"/>
    <n v="1"/>
    <n v="0"/>
    <n v="0"/>
    <n v="0"/>
    <n v="0"/>
    <n v="0"/>
    <n v="0"/>
    <n v="0"/>
    <n v="3"/>
    <x v="0"/>
    <n v="1"/>
    <n v="0"/>
    <n v="8633"/>
    <n v="8633"/>
    <n v="2"/>
    <x v="1"/>
    <n v="0"/>
    <n v="23"/>
    <n v="4"/>
    <n v="2"/>
    <n v="0"/>
    <n v="25"/>
    <n v="25"/>
    <n v="3"/>
    <n v="3"/>
    <n v="17"/>
    <n v="17"/>
    <n v="14"/>
    <n v="12"/>
    <n v="12"/>
    <n v="11"/>
    <n v="11"/>
    <n v="33"/>
  </r>
  <r>
    <n v="33"/>
    <n v="33"/>
    <x v="1"/>
    <n v="0"/>
    <s v="Non-Travel"/>
    <n v="0"/>
    <n v="0"/>
    <x v="1"/>
    <n v="1"/>
    <n v="0"/>
    <n v="1"/>
    <n v="1"/>
    <n v="2"/>
    <s v="Medical"/>
    <n v="0"/>
    <n v="0"/>
    <n v="1"/>
    <n v="0"/>
    <n v="0"/>
    <x v="0"/>
    <s v="Male"/>
    <n v="0"/>
    <n v="59"/>
    <n v="2"/>
    <n v="1"/>
    <s v="Laboratory Technician"/>
    <n v="0"/>
    <n v="0"/>
    <n v="1"/>
    <n v="0"/>
    <n v="0"/>
    <n v="0"/>
    <n v="0"/>
    <n v="0"/>
    <n v="3"/>
    <x v="2"/>
    <n v="0"/>
    <n v="0"/>
    <n v="2008"/>
    <n v="2008"/>
    <n v="1"/>
    <x v="1"/>
    <n v="0"/>
    <n v="12"/>
    <n v="3"/>
    <n v="3"/>
    <n v="3"/>
    <n v="1"/>
    <n v="1"/>
    <n v="2"/>
    <n v="2"/>
    <n v="1"/>
    <n v="1"/>
    <n v="1"/>
    <n v="0"/>
    <n v="0"/>
    <n v="0"/>
    <n v="0"/>
    <n v="0"/>
  </r>
  <r>
    <n v="38"/>
    <n v="38"/>
    <x v="1"/>
    <n v="0"/>
    <s v="Travel_Rarely"/>
    <n v="0"/>
    <n v="1"/>
    <x v="0"/>
    <n v="0"/>
    <n v="1"/>
    <n v="1"/>
    <n v="1"/>
    <n v="4"/>
    <s v="Life Sciences"/>
    <n v="1"/>
    <n v="0"/>
    <n v="0"/>
    <n v="0"/>
    <n v="0"/>
    <x v="2"/>
    <s v="Male"/>
    <n v="0"/>
    <n v="86"/>
    <n v="3"/>
    <n v="2"/>
    <s v="Sales Executive"/>
    <n v="0"/>
    <n v="1"/>
    <n v="0"/>
    <n v="0"/>
    <n v="0"/>
    <n v="0"/>
    <n v="0"/>
    <n v="0"/>
    <n v="2"/>
    <x v="1"/>
    <n v="0"/>
    <n v="1"/>
    <n v="4440"/>
    <n v="4440"/>
    <n v="0"/>
    <x v="1"/>
    <n v="0"/>
    <n v="15"/>
    <n v="3"/>
    <n v="1"/>
    <n v="2"/>
    <n v="16"/>
    <n v="16"/>
    <n v="3"/>
    <n v="3"/>
    <n v="15"/>
    <n v="15"/>
    <n v="13"/>
    <n v="5"/>
    <n v="5"/>
    <n v="8"/>
    <n v="8"/>
    <n v="16"/>
  </r>
  <r>
    <n v="31"/>
    <n v="31"/>
    <x v="1"/>
    <n v="0"/>
    <s v="Travel_Rarely"/>
    <n v="0"/>
    <n v="1"/>
    <x v="0"/>
    <n v="0"/>
    <n v="1"/>
    <n v="2"/>
    <n v="2"/>
    <n v="2"/>
    <s v="Life Sciences"/>
    <n v="1"/>
    <n v="0"/>
    <n v="0"/>
    <n v="0"/>
    <n v="0"/>
    <x v="3"/>
    <s v="Male"/>
    <n v="0"/>
    <n v="54"/>
    <n v="3"/>
    <n v="1"/>
    <s v="Sales Representative"/>
    <n v="0"/>
    <n v="0"/>
    <n v="0"/>
    <n v="0"/>
    <n v="0"/>
    <n v="0"/>
    <n v="1"/>
    <n v="0"/>
    <n v="3"/>
    <x v="1"/>
    <n v="0"/>
    <n v="1"/>
    <n v="3067"/>
    <n v="3067"/>
    <n v="0"/>
    <x v="1"/>
    <n v="0"/>
    <n v="19"/>
    <n v="3"/>
    <n v="3"/>
    <n v="1"/>
    <n v="3"/>
    <n v="3"/>
    <n v="1"/>
    <n v="3"/>
    <n v="2"/>
    <n v="2"/>
    <n v="2"/>
    <n v="1"/>
    <n v="1"/>
    <n v="2"/>
    <n v="2"/>
    <n v="2"/>
  </r>
  <r>
    <n v="38"/>
    <n v="38"/>
    <x v="1"/>
    <n v="0"/>
    <s v="Travel_Frequently"/>
    <n v="1"/>
    <n v="0"/>
    <x v="1"/>
    <n v="1"/>
    <n v="0"/>
    <n v="6"/>
    <n v="6"/>
    <n v="4"/>
    <s v="Life Sciences"/>
    <n v="1"/>
    <n v="0"/>
    <n v="0"/>
    <n v="0"/>
    <n v="0"/>
    <x v="3"/>
    <s v="Male"/>
    <n v="0"/>
    <n v="72"/>
    <n v="2"/>
    <n v="2"/>
    <s v="Manufacturing Director"/>
    <n v="0"/>
    <n v="0"/>
    <n v="0"/>
    <n v="0"/>
    <n v="1"/>
    <n v="1"/>
    <n v="0"/>
    <n v="0"/>
    <n v="3"/>
    <x v="1"/>
    <n v="0"/>
    <n v="1"/>
    <n v="5321"/>
    <n v="5321"/>
    <n v="2"/>
    <x v="1"/>
    <n v="0"/>
    <n v="11"/>
    <n v="3"/>
    <n v="4"/>
    <n v="1"/>
    <n v="10"/>
    <n v="10"/>
    <n v="1"/>
    <n v="3"/>
    <n v="8"/>
    <n v="8"/>
    <n v="3"/>
    <n v="7"/>
    <n v="7"/>
    <n v="7"/>
    <n v="7"/>
    <n v="14"/>
  </r>
  <r>
    <n v="42"/>
    <n v="42"/>
    <x v="1"/>
    <n v="0"/>
    <s v="Travel_Rarely"/>
    <n v="0"/>
    <n v="1"/>
    <x v="1"/>
    <n v="1"/>
    <n v="0"/>
    <n v="18"/>
    <n v="18"/>
    <n v="4"/>
    <s v="Life Sciences"/>
    <n v="1"/>
    <n v="0"/>
    <n v="0"/>
    <n v="0"/>
    <n v="0"/>
    <x v="2"/>
    <s v="Male"/>
    <n v="0"/>
    <n v="35"/>
    <n v="3"/>
    <n v="2"/>
    <s v="Research Scientist"/>
    <n v="0"/>
    <n v="0"/>
    <n v="0"/>
    <n v="0"/>
    <n v="0"/>
    <n v="0"/>
    <n v="0"/>
    <n v="1"/>
    <n v="1"/>
    <x v="2"/>
    <n v="0"/>
    <n v="0"/>
    <n v="5410"/>
    <n v="5410"/>
    <n v="6"/>
    <x v="0"/>
    <n v="1"/>
    <n v="17"/>
    <n v="3"/>
    <n v="3"/>
    <n v="1"/>
    <n v="9"/>
    <n v="9"/>
    <n v="3"/>
    <n v="2"/>
    <n v="4"/>
    <n v="4"/>
    <n v="3"/>
    <n v="1"/>
    <n v="1"/>
    <n v="2"/>
    <n v="2"/>
    <n v="4"/>
  </r>
  <r>
    <n v="41"/>
    <n v="41"/>
    <x v="1"/>
    <n v="0"/>
    <s v="Travel_Rarely"/>
    <n v="0"/>
    <n v="1"/>
    <x v="1"/>
    <n v="1"/>
    <n v="0"/>
    <n v="1"/>
    <n v="1"/>
    <n v="3"/>
    <s v="Life Sciences"/>
    <n v="1"/>
    <n v="0"/>
    <n v="0"/>
    <n v="0"/>
    <n v="0"/>
    <x v="2"/>
    <s v="Male"/>
    <n v="0"/>
    <n v="76"/>
    <n v="3"/>
    <n v="1"/>
    <s v="Research Scientist"/>
    <n v="0"/>
    <n v="0"/>
    <n v="0"/>
    <n v="0"/>
    <n v="0"/>
    <n v="0"/>
    <n v="0"/>
    <n v="1"/>
    <n v="4"/>
    <x v="1"/>
    <n v="0"/>
    <n v="1"/>
    <n v="2782"/>
    <n v="2782"/>
    <n v="3"/>
    <x v="1"/>
    <n v="0"/>
    <n v="22"/>
    <n v="4"/>
    <n v="1"/>
    <n v="1"/>
    <n v="12"/>
    <n v="12"/>
    <n v="3"/>
    <n v="3"/>
    <n v="5"/>
    <n v="5"/>
    <n v="3"/>
    <n v="1"/>
    <n v="1"/>
    <n v="0"/>
    <n v="0"/>
    <n v="0"/>
  </r>
  <r>
    <n v="47"/>
    <n v="47"/>
    <x v="1"/>
    <n v="0"/>
    <s v="Non-Travel"/>
    <n v="0"/>
    <n v="0"/>
    <x v="1"/>
    <n v="1"/>
    <n v="0"/>
    <n v="1"/>
    <n v="1"/>
    <n v="1"/>
    <s v="Medical"/>
    <n v="0"/>
    <n v="0"/>
    <n v="1"/>
    <n v="0"/>
    <n v="0"/>
    <x v="1"/>
    <s v="Female"/>
    <n v="1"/>
    <n v="98"/>
    <n v="3"/>
    <n v="3"/>
    <s v="Research Director"/>
    <n v="0"/>
    <n v="0"/>
    <n v="0"/>
    <n v="0"/>
    <n v="0"/>
    <n v="0"/>
    <n v="0"/>
    <n v="0"/>
    <n v="2"/>
    <x v="1"/>
    <n v="0"/>
    <n v="1"/>
    <n v="11957"/>
    <n v="11957"/>
    <n v="0"/>
    <x v="1"/>
    <n v="0"/>
    <n v="18"/>
    <n v="3"/>
    <n v="1"/>
    <n v="2"/>
    <n v="14"/>
    <n v="14"/>
    <n v="3"/>
    <n v="1"/>
    <n v="13"/>
    <n v="13"/>
    <n v="8"/>
    <n v="5"/>
    <n v="5"/>
    <n v="12"/>
    <n v="12"/>
    <n v="36"/>
  </r>
  <r>
    <n v="35"/>
    <n v="35"/>
    <x v="1"/>
    <n v="0"/>
    <s v="Travel_Rarely"/>
    <n v="0"/>
    <n v="1"/>
    <x v="1"/>
    <n v="1"/>
    <n v="0"/>
    <n v="11"/>
    <n v="11"/>
    <n v="4"/>
    <s v="Medical"/>
    <n v="0"/>
    <n v="0"/>
    <n v="1"/>
    <n v="0"/>
    <n v="0"/>
    <x v="2"/>
    <s v="Male"/>
    <n v="0"/>
    <n v="43"/>
    <n v="3"/>
    <n v="1"/>
    <s v="Laboratory Technician"/>
    <n v="0"/>
    <n v="0"/>
    <n v="1"/>
    <n v="0"/>
    <n v="0"/>
    <n v="0"/>
    <n v="0"/>
    <n v="0"/>
    <n v="3"/>
    <x v="1"/>
    <n v="0"/>
    <n v="1"/>
    <n v="2660"/>
    <n v="2660"/>
    <n v="7"/>
    <x v="0"/>
    <n v="1"/>
    <n v="11"/>
    <n v="3"/>
    <n v="3"/>
    <n v="1"/>
    <n v="5"/>
    <n v="5"/>
    <n v="3"/>
    <n v="3"/>
    <n v="2"/>
    <n v="2"/>
    <n v="2"/>
    <n v="2"/>
    <n v="2"/>
    <n v="2"/>
    <n v="2"/>
    <n v="2"/>
  </r>
  <r>
    <n v="22"/>
    <n v="22"/>
    <x v="1"/>
    <n v="0"/>
    <s v="Travel_Rarely"/>
    <n v="0"/>
    <n v="1"/>
    <x v="1"/>
    <n v="1"/>
    <n v="0"/>
    <n v="1"/>
    <n v="1"/>
    <n v="2"/>
    <s v="Life Sciences"/>
    <n v="1"/>
    <n v="0"/>
    <n v="0"/>
    <n v="0"/>
    <n v="0"/>
    <x v="2"/>
    <s v="Male"/>
    <n v="0"/>
    <n v="63"/>
    <n v="3"/>
    <n v="1"/>
    <s v="Research Scientist"/>
    <n v="0"/>
    <n v="0"/>
    <n v="0"/>
    <n v="0"/>
    <n v="0"/>
    <n v="0"/>
    <n v="0"/>
    <n v="1"/>
    <n v="3"/>
    <x v="0"/>
    <n v="1"/>
    <n v="0"/>
    <n v="3375"/>
    <n v="3375"/>
    <n v="0"/>
    <x v="1"/>
    <n v="0"/>
    <n v="12"/>
    <n v="3"/>
    <n v="4"/>
    <n v="0"/>
    <n v="4"/>
    <n v="4"/>
    <n v="2"/>
    <n v="4"/>
    <n v="3"/>
    <n v="3"/>
    <n v="2"/>
    <n v="1"/>
    <n v="1"/>
    <n v="2"/>
    <n v="2"/>
    <n v="2"/>
  </r>
  <r>
    <n v="35"/>
    <n v="35"/>
    <x v="1"/>
    <n v="0"/>
    <s v="Travel_Rarely"/>
    <n v="0"/>
    <n v="1"/>
    <x v="1"/>
    <n v="1"/>
    <n v="0"/>
    <n v="9"/>
    <n v="9"/>
    <n v="4"/>
    <s v="Medical"/>
    <n v="0"/>
    <n v="0"/>
    <n v="1"/>
    <n v="0"/>
    <n v="0"/>
    <x v="0"/>
    <s v="Male"/>
    <n v="0"/>
    <n v="48"/>
    <n v="3"/>
    <n v="2"/>
    <s v="Research Scientist"/>
    <n v="0"/>
    <n v="0"/>
    <n v="0"/>
    <n v="0"/>
    <n v="0"/>
    <n v="0"/>
    <n v="0"/>
    <n v="1"/>
    <n v="3"/>
    <x v="0"/>
    <n v="1"/>
    <n v="0"/>
    <n v="5098"/>
    <n v="5098"/>
    <n v="1"/>
    <x v="1"/>
    <n v="0"/>
    <n v="19"/>
    <n v="3"/>
    <n v="2"/>
    <n v="0"/>
    <n v="10"/>
    <n v="10"/>
    <n v="5"/>
    <n v="3"/>
    <n v="10"/>
    <n v="10"/>
    <n v="7"/>
    <n v="0"/>
    <n v="0"/>
    <n v="8"/>
    <n v="8"/>
    <n v="16"/>
  </r>
  <r>
    <n v="33"/>
    <n v="33"/>
    <x v="1"/>
    <n v="0"/>
    <s v="Travel_Rarely"/>
    <n v="0"/>
    <n v="1"/>
    <x v="1"/>
    <n v="1"/>
    <n v="0"/>
    <n v="15"/>
    <n v="15"/>
    <n v="2"/>
    <s v="Medical"/>
    <n v="0"/>
    <n v="0"/>
    <n v="1"/>
    <n v="0"/>
    <n v="0"/>
    <x v="0"/>
    <s v="Female"/>
    <n v="1"/>
    <n v="95"/>
    <n v="3"/>
    <n v="2"/>
    <s v="Healthcare Representative"/>
    <n v="1"/>
    <n v="0"/>
    <n v="0"/>
    <n v="0"/>
    <n v="0"/>
    <n v="0"/>
    <n v="0"/>
    <n v="0"/>
    <n v="4"/>
    <x v="1"/>
    <n v="0"/>
    <n v="1"/>
    <n v="4878"/>
    <n v="4878"/>
    <n v="0"/>
    <x v="0"/>
    <n v="1"/>
    <n v="13"/>
    <n v="3"/>
    <n v="1"/>
    <n v="1"/>
    <n v="10"/>
    <n v="10"/>
    <n v="6"/>
    <n v="3"/>
    <n v="9"/>
    <n v="9"/>
    <n v="7"/>
    <n v="8"/>
    <n v="8"/>
    <n v="1"/>
    <n v="1"/>
    <n v="2"/>
  </r>
  <r>
    <n v="32"/>
    <n v="32"/>
    <x v="1"/>
    <n v="0"/>
    <s v="Travel_Rarely"/>
    <n v="0"/>
    <n v="1"/>
    <x v="1"/>
    <n v="1"/>
    <n v="0"/>
    <n v="29"/>
    <n v="29"/>
    <n v="4"/>
    <s v="Life Sciences"/>
    <n v="1"/>
    <n v="0"/>
    <n v="0"/>
    <n v="0"/>
    <n v="0"/>
    <x v="1"/>
    <s v="Female"/>
    <n v="1"/>
    <n v="49"/>
    <n v="2"/>
    <n v="1"/>
    <s v="Laboratory Technician"/>
    <n v="0"/>
    <n v="0"/>
    <n v="1"/>
    <n v="0"/>
    <n v="0"/>
    <n v="0"/>
    <n v="0"/>
    <n v="0"/>
    <n v="2"/>
    <x v="0"/>
    <n v="1"/>
    <n v="0"/>
    <n v="2837"/>
    <n v="2837"/>
    <n v="1"/>
    <x v="1"/>
    <n v="0"/>
    <n v="13"/>
    <n v="3"/>
    <n v="3"/>
    <n v="0"/>
    <n v="6"/>
    <n v="6"/>
    <n v="3"/>
    <n v="3"/>
    <n v="6"/>
    <n v="6"/>
    <n v="2"/>
    <n v="4"/>
    <n v="4"/>
    <n v="1"/>
    <n v="1"/>
    <n v="1"/>
  </r>
  <r>
    <n v="40"/>
    <n v="40"/>
    <x v="1"/>
    <n v="0"/>
    <s v="Travel_Rarely"/>
    <n v="0"/>
    <n v="1"/>
    <x v="1"/>
    <n v="1"/>
    <n v="0"/>
    <n v="1"/>
    <n v="1"/>
    <n v="4"/>
    <s v="Life Sciences"/>
    <n v="1"/>
    <n v="0"/>
    <n v="0"/>
    <n v="0"/>
    <n v="0"/>
    <x v="3"/>
    <s v="Male"/>
    <n v="0"/>
    <n v="83"/>
    <n v="3"/>
    <n v="1"/>
    <s v="Laboratory Technician"/>
    <n v="0"/>
    <n v="0"/>
    <n v="1"/>
    <n v="0"/>
    <n v="0"/>
    <n v="0"/>
    <n v="0"/>
    <n v="0"/>
    <n v="4"/>
    <x v="1"/>
    <n v="0"/>
    <n v="1"/>
    <n v="2406"/>
    <n v="2406"/>
    <n v="8"/>
    <x v="1"/>
    <n v="0"/>
    <n v="19"/>
    <n v="3"/>
    <n v="3"/>
    <n v="2"/>
    <n v="8"/>
    <n v="8"/>
    <n v="3"/>
    <n v="2"/>
    <n v="1"/>
    <n v="1"/>
    <n v="0"/>
    <n v="0"/>
    <n v="0"/>
    <n v="0"/>
    <n v="0"/>
    <n v="0"/>
  </r>
  <r>
    <n v="32"/>
    <n v="32"/>
    <x v="1"/>
    <n v="0"/>
    <s v="Travel_Rarely"/>
    <n v="0"/>
    <n v="1"/>
    <x v="0"/>
    <n v="0"/>
    <n v="1"/>
    <n v="1"/>
    <n v="1"/>
    <n v="4"/>
    <s v="Medical"/>
    <n v="0"/>
    <n v="0"/>
    <n v="1"/>
    <n v="0"/>
    <n v="0"/>
    <x v="0"/>
    <s v="Male"/>
    <n v="0"/>
    <n v="68"/>
    <n v="2"/>
    <n v="1"/>
    <s v="Sales Representative"/>
    <n v="0"/>
    <n v="0"/>
    <n v="0"/>
    <n v="0"/>
    <n v="0"/>
    <n v="0"/>
    <n v="1"/>
    <n v="0"/>
    <n v="2"/>
    <x v="1"/>
    <n v="0"/>
    <n v="1"/>
    <n v="2269"/>
    <n v="2269"/>
    <n v="0"/>
    <x v="1"/>
    <n v="0"/>
    <n v="14"/>
    <n v="3"/>
    <n v="2"/>
    <n v="1"/>
    <n v="3"/>
    <n v="3"/>
    <n v="2"/>
    <n v="3"/>
    <n v="2"/>
    <n v="2"/>
    <n v="2"/>
    <n v="2"/>
    <n v="2"/>
    <n v="2"/>
    <n v="2"/>
    <n v="2"/>
  </r>
  <r>
    <n v="39"/>
    <n v="39"/>
    <x v="1"/>
    <n v="0"/>
    <s v="Travel_Rarely"/>
    <n v="0"/>
    <n v="1"/>
    <x v="1"/>
    <n v="1"/>
    <n v="0"/>
    <n v="24"/>
    <n v="24"/>
    <n v="1"/>
    <s v="Life Sciences"/>
    <n v="1"/>
    <n v="0"/>
    <n v="0"/>
    <n v="0"/>
    <n v="0"/>
    <x v="3"/>
    <s v="Male"/>
    <n v="0"/>
    <n v="52"/>
    <n v="3"/>
    <n v="2"/>
    <s v="Research Scientist"/>
    <n v="0"/>
    <n v="0"/>
    <n v="0"/>
    <n v="0"/>
    <n v="0"/>
    <n v="0"/>
    <n v="0"/>
    <n v="1"/>
    <n v="4"/>
    <x v="0"/>
    <n v="1"/>
    <n v="0"/>
    <n v="4108"/>
    <n v="4108"/>
    <n v="7"/>
    <x v="1"/>
    <n v="0"/>
    <n v="13"/>
    <n v="3"/>
    <n v="1"/>
    <n v="0"/>
    <n v="18"/>
    <n v="18"/>
    <n v="2"/>
    <n v="3"/>
    <n v="7"/>
    <n v="7"/>
    <n v="7"/>
    <n v="1"/>
    <n v="1"/>
    <n v="7"/>
    <n v="7"/>
    <n v="14"/>
  </r>
  <r>
    <n v="38"/>
    <n v="38"/>
    <x v="1"/>
    <n v="0"/>
    <s v="Travel_Rarely"/>
    <n v="0"/>
    <n v="1"/>
    <x v="1"/>
    <n v="1"/>
    <n v="0"/>
    <n v="10"/>
    <n v="10"/>
    <n v="3"/>
    <s v="Medical"/>
    <n v="0"/>
    <n v="0"/>
    <n v="1"/>
    <n v="0"/>
    <n v="0"/>
    <x v="0"/>
    <s v="Female"/>
    <n v="1"/>
    <n v="99"/>
    <n v="1"/>
    <n v="3"/>
    <s v="Research Director"/>
    <n v="0"/>
    <n v="0"/>
    <n v="0"/>
    <n v="0"/>
    <n v="0"/>
    <n v="0"/>
    <n v="0"/>
    <n v="0"/>
    <n v="3"/>
    <x v="1"/>
    <n v="0"/>
    <n v="1"/>
    <n v="13206"/>
    <n v="13206"/>
    <n v="3"/>
    <x v="1"/>
    <n v="0"/>
    <n v="12"/>
    <n v="3"/>
    <n v="1"/>
    <n v="1"/>
    <n v="20"/>
    <n v="20"/>
    <n v="3"/>
    <n v="3"/>
    <n v="18"/>
    <n v="18"/>
    <n v="16"/>
    <n v="1"/>
    <n v="1"/>
    <n v="11"/>
    <n v="11"/>
    <n v="33"/>
  </r>
  <r>
    <n v="32"/>
    <n v="32"/>
    <x v="1"/>
    <n v="0"/>
    <s v="Travel_Rarely"/>
    <n v="0"/>
    <n v="1"/>
    <x v="0"/>
    <n v="0"/>
    <n v="1"/>
    <n v="1"/>
    <n v="1"/>
    <n v="4"/>
    <s v="Marketing"/>
    <n v="0"/>
    <n v="0"/>
    <n v="0"/>
    <n v="1"/>
    <n v="0"/>
    <x v="1"/>
    <s v="Female"/>
    <n v="1"/>
    <n v="48"/>
    <n v="3"/>
    <n v="3"/>
    <s v="Sales Executive"/>
    <n v="0"/>
    <n v="1"/>
    <n v="0"/>
    <n v="0"/>
    <n v="0"/>
    <n v="0"/>
    <n v="0"/>
    <n v="0"/>
    <n v="4"/>
    <x v="1"/>
    <n v="0"/>
    <n v="1"/>
    <n v="10422"/>
    <n v="10422"/>
    <n v="1"/>
    <x v="1"/>
    <n v="0"/>
    <n v="19"/>
    <n v="3"/>
    <n v="3"/>
    <n v="2"/>
    <n v="14"/>
    <n v="14"/>
    <n v="3"/>
    <n v="3"/>
    <n v="14"/>
    <n v="14"/>
    <n v="10"/>
    <n v="5"/>
    <n v="5"/>
    <n v="7"/>
    <n v="7"/>
    <n v="21"/>
  </r>
  <r>
    <n v="37"/>
    <n v="37"/>
    <x v="1"/>
    <n v="0"/>
    <s v="Travel_Rarely"/>
    <n v="0"/>
    <n v="1"/>
    <x v="1"/>
    <n v="1"/>
    <n v="0"/>
    <n v="10"/>
    <n v="10"/>
    <n v="3"/>
    <s v="Life Sciences"/>
    <n v="1"/>
    <n v="0"/>
    <n v="0"/>
    <n v="0"/>
    <n v="0"/>
    <x v="1"/>
    <s v="Female"/>
    <n v="1"/>
    <n v="42"/>
    <n v="4"/>
    <n v="3"/>
    <s v="Research Director"/>
    <n v="0"/>
    <n v="0"/>
    <n v="0"/>
    <n v="0"/>
    <n v="0"/>
    <n v="0"/>
    <n v="0"/>
    <n v="0"/>
    <n v="4"/>
    <x v="1"/>
    <n v="0"/>
    <n v="1"/>
    <n v="13744"/>
    <n v="13744"/>
    <n v="1"/>
    <x v="0"/>
    <n v="1"/>
    <n v="25"/>
    <n v="4"/>
    <n v="1"/>
    <n v="1"/>
    <n v="16"/>
    <n v="16"/>
    <n v="2"/>
    <n v="3"/>
    <n v="16"/>
    <n v="16"/>
    <n v="11"/>
    <n v="6"/>
    <n v="6"/>
    <n v="8"/>
    <n v="8"/>
    <n v="24"/>
  </r>
  <r>
    <n v="25"/>
    <n v="25"/>
    <x v="1"/>
    <n v="0"/>
    <s v="Travel_Rarely"/>
    <n v="0"/>
    <n v="1"/>
    <x v="0"/>
    <n v="0"/>
    <n v="1"/>
    <n v="8"/>
    <n v="8"/>
    <n v="2"/>
    <s v="Other"/>
    <n v="0"/>
    <n v="1"/>
    <n v="0"/>
    <n v="0"/>
    <n v="0"/>
    <x v="3"/>
    <s v="Female"/>
    <n v="1"/>
    <n v="85"/>
    <n v="3"/>
    <n v="2"/>
    <s v="Sales Executive"/>
    <n v="0"/>
    <n v="1"/>
    <n v="0"/>
    <n v="0"/>
    <n v="0"/>
    <n v="0"/>
    <n v="0"/>
    <n v="0"/>
    <n v="3"/>
    <x v="2"/>
    <n v="0"/>
    <n v="0"/>
    <n v="4907"/>
    <n v="4907"/>
    <n v="0"/>
    <x v="0"/>
    <n v="1"/>
    <n v="22"/>
    <n v="4"/>
    <n v="2"/>
    <n v="1"/>
    <n v="6"/>
    <n v="6"/>
    <n v="3"/>
    <n v="2"/>
    <n v="5"/>
    <n v="5"/>
    <n v="3"/>
    <n v="0"/>
    <n v="0"/>
    <n v="4"/>
    <n v="4"/>
    <n v="8"/>
  </r>
  <r>
    <n v="52"/>
    <n v="52"/>
    <x v="1"/>
    <n v="0"/>
    <s v="Non-Travel"/>
    <n v="0"/>
    <n v="0"/>
    <x v="0"/>
    <n v="0"/>
    <n v="1"/>
    <n v="29"/>
    <n v="29"/>
    <n v="4"/>
    <s v="Life Sciences"/>
    <n v="1"/>
    <n v="0"/>
    <n v="0"/>
    <n v="0"/>
    <n v="0"/>
    <x v="3"/>
    <s v="Male"/>
    <n v="0"/>
    <n v="40"/>
    <n v="3"/>
    <n v="1"/>
    <s v="Sales Representative"/>
    <n v="0"/>
    <n v="0"/>
    <n v="0"/>
    <n v="0"/>
    <n v="0"/>
    <n v="0"/>
    <n v="1"/>
    <n v="0"/>
    <n v="4"/>
    <x v="2"/>
    <n v="0"/>
    <n v="0"/>
    <n v="3482"/>
    <n v="3482"/>
    <n v="2"/>
    <x v="1"/>
    <n v="0"/>
    <n v="15"/>
    <n v="3"/>
    <n v="2"/>
    <n v="2"/>
    <n v="16"/>
    <n v="16"/>
    <n v="3"/>
    <n v="2"/>
    <n v="9"/>
    <n v="9"/>
    <n v="8"/>
    <n v="0"/>
    <n v="0"/>
    <n v="0"/>
    <n v="0"/>
    <n v="0"/>
  </r>
  <r>
    <n v="44"/>
    <n v="44"/>
    <x v="1"/>
    <n v="0"/>
    <s v="Travel_Rarely"/>
    <n v="0"/>
    <n v="1"/>
    <x v="1"/>
    <n v="1"/>
    <n v="0"/>
    <n v="1"/>
    <n v="1"/>
    <n v="3"/>
    <s v="Medical"/>
    <n v="0"/>
    <n v="0"/>
    <n v="1"/>
    <n v="0"/>
    <n v="0"/>
    <x v="0"/>
    <s v="Male"/>
    <n v="0"/>
    <n v="42"/>
    <n v="3"/>
    <n v="1"/>
    <s v="Research Scientist"/>
    <n v="0"/>
    <n v="0"/>
    <n v="0"/>
    <n v="0"/>
    <n v="0"/>
    <n v="0"/>
    <n v="0"/>
    <n v="1"/>
    <n v="4"/>
    <x v="0"/>
    <n v="1"/>
    <n v="0"/>
    <n v="2436"/>
    <n v="2436"/>
    <n v="6"/>
    <x v="0"/>
    <n v="1"/>
    <n v="12"/>
    <n v="3"/>
    <n v="3"/>
    <n v="0"/>
    <n v="6"/>
    <n v="6"/>
    <n v="2"/>
    <n v="3"/>
    <n v="4"/>
    <n v="4"/>
    <n v="3"/>
    <n v="1"/>
    <n v="1"/>
    <n v="2"/>
    <n v="2"/>
    <n v="2"/>
  </r>
  <r>
    <n v="21"/>
    <n v="21"/>
    <x v="1"/>
    <n v="0"/>
    <s v="Travel_Rarely"/>
    <n v="0"/>
    <n v="1"/>
    <x v="0"/>
    <n v="0"/>
    <n v="1"/>
    <n v="5"/>
    <n v="5"/>
    <n v="1"/>
    <s v="Medical"/>
    <n v="0"/>
    <n v="0"/>
    <n v="1"/>
    <n v="0"/>
    <n v="0"/>
    <x v="1"/>
    <s v="Male"/>
    <n v="0"/>
    <n v="58"/>
    <n v="3"/>
    <n v="1"/>
    <s v="Sales Representative"/>
    <n v="0"/>
    <n v="0"/>
    <n v="0"/>
    <n v="0"/>
    <n v="0"/>
    <n v="0"/>
    <n v="1"/>
    <n v="0"/>
    <n v="1"/>
    <x v="0"/>
    <n v="1"/>
    <n v="0"/>
    <n v="2380"/>
    <n v="2380"/>
    <n v="1"/>
    <x v="0"/>
    <n v="1"/>
    <n v="11"/>
    <n v="3"/>
    <n v="4"/>
    <n v="0"/>
    <n v="2"/>
    <n v="2"/>
    <n v="6"/>
    <n v="3"/>
    <n v="2"/>
    <n v="2"/>
    <n v="2"/>
    <n v="1"/>
    <n v="1"/>
    <n v="2"/>
    <n v="2"/>
    <n v="2"/>
  </r>
  <r>
    <n v="39"/>
    <n v="39"/>
    <x v="1"/>
    <n v="0"/>
    <s v="Non-Travel"/>
    <n v="0"/>
    <n v="0"/>
    <x v="1"/>
    <n v="1"/>
    <n v="0"/>
    <n v="9"/>
    <n v="9"/>
    <n v="3"/>
    <s v="Life Sciences"/>
    <n v="1"/>
    <n v="0"/>
    <n v="0"/>
    <n v="0"/>
    <n v="0"/>
    <x v="2"/>
    <s v="Male"/>
    <n v="0"/>
    <n v="87"/>
    <n v="3"/>
    <n v="5"/>
    <s v="Manager"/>
    <n v="0"/>
    <n v="0"/>
    <n v="0"/>
    <n v="1"/>
    <n v="0"/>
    <n v="0"/>
    <n v="0"/>
    <n v="0"/>
    <n v="4"/>
    <x v="0"/>
    <n v="1"/>
    <n v="0"/>
    <n v="19431"/>
    <n v="19431"/>
    <n v="2"/>
    <x v="1"/>
    <n v="0"/>
    <n v="13"/>
    <n v="3"/>
    <n v="3"/>
    <n v="0"/>
    <n v="21"/>
    <n v="21"/>
    <n v="3"/>
    <n v="2"/>
    <n v="6"/>
    <n v="6"/>
    <n v="0"/>
    <n v="1"/>
    <n v="1"/>
    <n v="3"/>
    <n v="3"/>
    <n v="15"/>
  </r>
  <r>
    <n v="23"/>
    <n v="23"/>
    <x v="0"/>
    <n v="1"/>
    <s v="Travel_Frequently"/>
    <n v="1"/>
    <n v="0"/>
    <x v="0"/>
    <n v="0"/>
    <n v="1"/>
    <n v="9"/>
    <n v="9"/>
    <n v="3"/>
    <s v="Marketing"/>
    <n v="0"/>
    <n v="0"/>
    <n v="0"/>
    <n v="1"/>
    <n v="0"/>
    <x v="2"/>
    <s v="Male"/>
    <n v="0"/>
    <n v="33"/>
    <n v="3"/>
    <n v="1"/>
    <s v="Sales Representative"/>
    <n v="0"/>
    <n v="0"/>
    <n v="0"/>
    <n v="0"/>
    <n v="0"/>
    <n v="0"/>
    <n v="1"/>
    <n v="0"/>
    <n v="1"/>
    <x v="1"/>
    <n v="0"/>
    <n v="1"/>
    <n v="1790"/>
    <n v="1790"/>
    <n v="1"/>
    <x v="1"/>
    <n v="0"/>
    <n v="19"/>
    <n v="3"/>
    <n v="1"/>
    <n v="1"/>
    <n v="1"/>
    <n v="1"/>
    <n v="3"/>
    <n v="2"/>
    <n v="1"/>
    <n v="1"/>
    <n v="0"/>
    <n v="1"/>
    <n v="1"/>
    <n v="0"/>
    <n v="0"/>
    <n v="0"/>
  </r>
  <r>
    <n v="36"/>
    <n v="36"/>
    <x v="1"/>
    <n v="0"/>
    <s v="Travel_Rarely"/>
    <n v="0"/>
    <n v="1"/>
    <x v="0"/>
    <n v="0"/>
    <n v="1"/>
    <n v="3"/>
    <n v="3"/>
    <n v="3"/>
    <s v="Medical"/>
    <n v="0"/>
    <n v="0"/>
    <n v="1"/>
    <n v="0"/>
    <n v="0"/>
    <x v="3"/>
    <s v="Female"/>
    <n v="1"/>
    <n v="94"/>
    <n v="2"/>
    <n v="3"/>
    <s v="Sales Executive"/>
    <n v="0"/>
    <n v="1"/>
    <n v="0"/>
    <n v="0"/>
    <n v="0"/>
    <n v="0"/>
    <n v="0"/>
    <n v="0"/>
    <n v="4"/>
    <x v="1"/>
    <n v="0"/>
    <n v="1"/>
    <n v="7644"/>
    <n v="7644"/>
    <n v="0"/>
    <x v="1"/>
    <n v="0"/>
    <n v="19"/>
    <n v="3"/>
    <n v="3"/>
    <n v="2"/>
    <n v="10"/>
    <n v="10"/>
    <n v="2"/>
    <n v="3"/>
    <n v="9"/>
    <n v="9"/>
    <n v="7"/>
    <n v="3"/>
    <n v="3"/>
    <n v="4"/>
    <n v="4"/>
    <n v="12"/>
  </r>
  <r>
    <n v="36"/>
    <n v="36"/>
    <x v="1"/>
    <n v="0"/>
    <s v="Travel_Frequently"/>
    <n v="1"/>
    <n v="0"/>
    <x v="1"/>
    <n v="1"/>
    <n v="0"/>
    <n v="4"/>
    <n v="4"/>
    <n v="2"/>
    <s v="Life Sciences"/>
    <n v="1"/>
    <n v="0"/>
    <n v="0"/>
    <n v="0"/>
    <n v="0"/>
    <x v="2"/>
    <s v="Female"/>
    <n v="1"/>
    <n v="97"/>
    <n v="3"/>
    <n v="2"/>
    <s v="Manufacturing Director"/>
    <n v="0"/>
    <n v="0"/>
    <n v="0"/>
    <n v="0"/>
    <n v="1"/>
    <n v="1"/>
    <n v="0"/>
    <n v="0"/>
    <n v="2"/>
    <x v="2"/>
    <n v="0"/>
    <n v="0"/>
    <n v="5131"/>
    <n v="5131"/>
    <n v="7"/>
    <x v="1"/>
    <n v="0"/>
    <n v="13"/>
    <n v="3"/>
    <n v="2"/>
    <n v="3"/>
    <n v="18"/>
    <n v="18"/>
    <n v="3"/>
    <n v="3"/>
    <n v="4"/>
    <n v="4"/>
    <n v="2"/>
    <n v="0"/>
    <n v="0"/>
    <n v="2"/>
    <n v="2"/>
    <n v="4"/>
  </r>
  <r>
    <n v="56"/>
    <n v="56"/>
    <x v="1"/>
    <n v="0"/>
    <s v="Non-Travel"/>
    <n v="0"/>
    <n v="0"/>
    <x v="1"/>
    <n v="1"/>
    <n v="0"/>
    <n v="1"/>
    <n v="1"/>
    <n v="4"/>
    <s v="Life Sciences"/>
    <n v="1"/>
    <n v="0"/>
    <n v="0"/>
    <n v="0"/>
    <n v="0"/>
    <x v="1"/>
    <s v="Male"/>
    <n v="0"/>
    <n v="57"/>
    <n v="3"/>
    <n v="2"/>
    <s v="Healthcare Representative"/>
    <n v="1"/>
    <n v="0"/>
    <n v="0"/>
    <n v="0"/>
    <n v="0"/>
    <n v="0"/>
    <n v="0"/>
    <n v="0"/>
    <n v="3"/>
    <x v="2"/>
    <n v="0"/>
    <n v="0"/>
    <n v="6306"/>
    <n v="6306"/>
    <n v="1"/>
    <x v="1"/>
    <n v="0"/>
    <n v="21"/>
    <n v="4"/>
    <n v="1"/>
    <n v="1"/>
    <n v="13"/>
    <n v="13"/>
    <n v="2"/>
    <n v="2"/>
    <n v="13"/>
    <n v="13"/>
    <n v="12"/>
    <n v="1"/>
    <n v="1"/>
    <n v="9"/>
    <n v="9"/>
    <n v="18"/>
  </r>
  <r>
    <n v="29"/>
    <n v="29"/>
    <x v="0"/>
    <n v="1"/>
    <s v="Travel_Rarely"/>
    <n v="0"/>
    <n v="1"/>
    <x v="1"/>
    <n v="1"/>
    <n v="0"/>
    <n v="1"/>
    <n v="1"/>
    <n v="4"/>
    <s v="Medical"/>
    <n v="0"/>
    <n v="0"/>
    <n v="1"/>
    <n v="0"/>
    <n v="0"/>
    <x v="3"/>
    <s v="Male"/>
    <n v="0"/>
    <n v="36"/>
    <n v="3"/>
    <n v="1"/>
    <s v="Research Scientist"/>
    <n v="0"/>
    <n v="0"/>
    <n v="0"/>
    <n v="0"/>
    <n v="0"/>
    <n v="0"/>
    <n v="0"/>
    <n v="1"/>
    <n v="4"/>
    <x v="1"/>
    <n v="0"/>
    <n v="1"/>
    <n v="4787"/>
    <n v="4787"/>
    <n v="9"/>
    <x v="0"/>
    <n v="1"/>
    <n v="14"/>
    <n v="3"/>
    <n v="2"/>
    <n v="3"/>
    <n v="4"/>
    <n v="4"/>
    <n v="3"/>
    <n v="4"/>
    <n v="2"/>
    <n v="2"/>
    <n v="2"/>
    <n v="2"/>
    <n v="2"/>
    <n v="2"/>
    <n v="2"/>
    <n v="2"/>
  </r>
  <r>
    <n v="42"/>
    <n v="42"/>
    <x v="1"/>
    <n v="0"/>
    <s v="Travel_Rarely"/>
    <n v="0"/>
    <n v="1"/>
    <x v="1"/>
    <n v="1"/>
    <n v="0"/>
    <n v="2"/>
    <n v="2"/>
    <n v="3"/>
    <s v="Life Sciences"/>
    <n v="1"/>
    <n v="0"/>
    <n v="0"/>
    <n v="0"/>
    <n v="0"/>
    <x v="3"/>
    <s v="Male"/>
    <n v="0"/>
    <n v="56"/>
    <n v="3"/>
    <n v="5"/>
    <s v="Manager"/>
    <n v="0"/>
    <n v="0"/>
    <n v="0"/>
    <n v="1"/>
    <n v="0"/>
    <n v="0"/>
    <n v="0"/>
    <n v="0"/>
    <n v="3"/>
    <x v="1"/>
    <n v="0"/>
    <n v="1"/>
    <n v="18880"/>
    <n v="18880"/>
    <n v="5"/>
    <x v="1"/>
    <n v="0"/>
    <n v="11"/>
    <n v="3"/>
    <n v="1"/>
    <n v="0"/>
    <n v="24"/>
    <n v="24"/>
    <n v="2"/>
    <n v="2"/>
    <n v="22"/>
    <n v="22"/>
    <n v="6"/>
    <n v="4"/>
    <n v="4"/>
    <n v="14"/>
    <n v="14"/>
    <n v="70"/>
  </r>
  <r>
    <n v="56"/>
    <n v="56"/>
    <x v="0"/>
    <n v="1"/>
    <s v="Travel_Rarely"/>
    <n v="0"/>
    <n v="1"/>
    <x v="1"/>
    <n v="1"/>
    <n v="0"/>
    <n v="7"/>
    <n v="7"/>
    <n v="2"/>
    <s v="Technical Degree"/>
    <n v="0"/>
    <n v="0"/>
    <n v="0"/>
    <n v="0"/>
    <n v="1"/>
    <x v="2"/>
    <s v="Male"/>
    <n v="0"/>
    <n v="72"/>
    <n v="3"/>
    <n v="1"/>
    <s v="Laboratory Technician"/>
    <n v="0"/>
    <n v="0"/>
    <n v="1"/>
    <n v="0"/>
    <n v="0"/>
    <n v="0"/>
    <n v="0"/>
    <n v="0"/>
    <n v="3"/>
    <x v="1"/>
    <n v="0"/>
    <n v="1"/>
    <n v="2339"/>
    <n v="2339"/>
    <n v="8"/>
    <x v="1"/>
    <n v="0"/>
    <n v="11"/>
    <n v="3"/>
    <n v="4"/>
    <n v="1"/>
    <n v="14"/>
    <n v="14"/>
    <n v="4"/>
    <n v="1"/>
    <n v="10"/>
    <n v="10"/>
    <n v="9"/>
    <n v="9"/>
    <n v="9"/>
    <n v="8"/>
    <n v="8"/>
    <n v="8"/>
  </r>
  <r>
    <n v="41"/>
    <n v="41"/>
    <x v="1"/>
    <n v="0"/>
    <s v="Travel_Rarely"/>
    <n v="0"/>
    <n v="1"/>
    <x v="1"/>
    <n v="1"/>
    <n v="0"/>
    <n v="28"/>
    <n v="28"/>
    <n v="4"/>
    <s v="Life Sciences"/>
    <n v="1"/>
    <n v="0"/>
    <n v="0"/>
    <n v="0"/>
    <n v="0"/>
    <x v="3"/>
    <s v="Female"/>
    <n v="1"/>
    <n v="60"/>
    <n v="2"/>
    <n v="4"/>
    <s v="Manufacturing Director"/>
    <n v="0"/>
    <n v="0"/>
    <n v="0"/>
    <n v="0"/>
    <n v="1"/>
    <n v="1"/>
    <n v="0"/>
    <n v="0"/>
    <n v="2"/>
    <x v="1"/>
    <n v="0"/>
    <n v="1"/>
    <n v="13570"/>
    <n v="13570"/>
    <n v="0"/>
    <x v="1"/>
    <n v="0"/>
    <n v="23"/>
    <n v="4"/>
    <n v="3"/>
    <n v="1"/>
    <n v="21"/>
    <n v="21"/>
    <n v="3"/>
    <n v="3"/>
    <n v="20"/>
    <n v="20"/>
    <n v="7"/>
    <n v="0"/>
    <n v="0"/>
    <n v="10"/>
    <n v="10"/>
    <n v="40"/>
  </r>
  <r>
    <n v="34"/>
    <n v="34"/>
    <x v="1"/>
    <n v="0"/>
    <s v="Travel_Rarely"/>
    <n v="0"/>
    <n v="1"/>
    <x v="0"/>
    <n v="0"/>
    <n v="1"/>
    <n v="28"/>
    <n v="28"/>
    <n v="3"/>
    <s v="Marketing"/>
    <n v="0"/>
    <n v="0"/>
    <n v="0"/>
    <n v="1"/>
    <n v="0"/>
    <x v="2"/>
    <s v="Female"/>
    <n v="1"/>
    <n v="95"/>
    <n v="2"/>
    <n v="2"/>
    <s v="Sales Executive"/>
    <n v="0"/>
    <n v="1"/>
    <n v="0"/>
    <n v="0"/>
    <n v="0"/>
    <n v="0"/>
    <n v="0"/>
    <n v="0"/>
    <n v="3"/>
    <x v="1"/>
    <n v="0"/>
    <n v="1"/>
    <n v="6712"/>
    <n v="6712"/>
    <n v="1"/>
    <x v="1"/>
    <n v="0"/>
    <n v="21"/>
    <n v="4"/>
    <n v="4"/>
    <n v="2"/>
    <n v="8"/>
    <n v="8"/>
    <n v="2"/>
    <n v="3"/>
    <n v="8"/>
    <n v="8"/>
    <n v="7"/>
    <n v="1"/>
    <n v="1"/>
    <n v="7"/>
    <n v="7"/>
    <n v="14"/>
  </r>
  <r>
    <n v="36"/>
    <n v="36"/>
    <x v="1"/>
    <n v="0"/>
    <s v="Non-Travel"/>
    <n v="0"/>
    <n v="0"/>
    <x v="0"/>
    <n v="0"/>
    <n v="1"/>
    <n v="15"/>
    <n v="15"/>
    <n v="4"/>
    <s v="Marketing"/>
    <n v="0"/>
    <n v="0"/>
    <n v="0"/>
    <n v="1"/>
    <n v="0"/>
    <x v="2"/>
    <s v="Male"/>
    <n v="0"/>
    <n v="88"/>
    <n v="1"/>
    <n v="2"/>
    <s v="Sales Executive"/>
    <n v="0"/>
    <n v="1"/>
    <n v="0"/>
    <n v="0"/>
    <n v="0"/>
    <n v="0"/>
    <n v="0"/>
    <n v="0"/>
    <n v="4"/>
    <x v="2"/>
    <n v="0"/>
    <n v="0"/>
    <n v="5406"/>
    <n v="5406"/>
    <n v="1"/>
    <x v="1"/>
    <n v="0"/>
    <n v="24"/>
    <n v="4"/>
    <n v="1"/>
    <n v="1"/>
    <n v="15"/>
    <n v="15"/>
    <n v="4"/>
    <n v="2"/>
    <n v="15"/>
    <n v="15"/>
    <n v="12"/>
    <n v="11"/>
    <n v="11"/>
    <n v="11"/>
    <n v="11"/>
    <n v="22"/>
  </r>
  <r>
    <n v="41"/>
    <n v="41"/>
    <x v="1"/>
    <n v="0"/>
    <s v="Travel_Rarely"/>
    <n v="0"/>
    <n v="1"/>
    <x v="0"/>
    <n v="0"/>
    <n v="1"/>
    <n v="3"/>
    <n v="3"/>
    <n v="3"/>
    <s v="Life Sciences"/>
    <n v="1"/>
    <n v="0"/>
    <n v="0"/>
    <n v="0"/>
    <n v="0"/>
    <x v="1"/>
    <s v="Male"/>
    <n v="0"/>
    <n v="57"/>
    <n v="2"/>
    <n v="2"/>
    <s v="Sales Executive"/>
    <n v="0"/>
    <n v="1"/>
    <n v="0"/>
    <n v="0"/>
    <n v="0"/>
    <n v="0"/>
    <n v="0"/>
    <n v="0"/>
    <n v="2"/>
    <x v="2"/>
    <n v="0"/>
    <n v="0"/>
    <n v="8938"/>
    <n v="8938"/>
    <n v="2"/>
    <x v="1"/>
    <n v="0"/>
    <n v="11"/>
    <n v="3"/>
    <n v="3"/>
    <n v="1"/>
    <n v="14"/>
    <n v="14"/>
    <n v="5"/>
    <n v="3"/>
    <n v="5"/>
    <n v="5"/>
    <n v="4"/>
    <n v="0"/>
    <n v="0"/>
    <n v="4"/>
    <n v="4"/>
    <n v="8"/>
  </r>
  <r>
    <n v="32"/>
    <n v="32"/>
    <x v="1"/>
    <n v="0"/>
    <s v="Travel_Rarely"/>
    <n v="0"/>
    <n v="1"/>
    <x v="1"/>
    <n v="1"/>
    <n v="0"/>
    <n v="2"/>
    <n v="2"/>
    <n v="3"/>
    <s v="Technical Degree"/>
    <n v="0"/>
    <n v="0"/>
    <n v="0"/>
    <n v="0"/>
    <n v="1"/>
    <x v="2"/>
    <s v="Male"/>
    <n v="0"/>
    <n v="78"/>
    <n v="3"/>
    <n v="1"/>
    <s v="Research Scientist"/>
    <n v="0"/>
    <n v="0"/>
    <n v="0"/>
    <n v="0"/>
    <n v="0"/>
    <n v="0"/>
    <n v="0"/>
    <n v="1"/>
    <n v="1"/>
    <x v="0"/>
    <n v="1"/>
    <n v="0"/>
    <n v="2439"/>
    <n v="2439"/>
    <n v="1"/>
    <x v="1"/>
    <n v="0"/>
    <n v="14"/>
    <n v="3"/>
    <n v="4"/>
    <n v="0"/>
    <n v="4"/>
    <n v="4"/>
    <n v="4"/>
    <n v="3"/>
    <n v="4"/>
    <n v="4"/>
    <n v="2"/>
    <n v="1"/>
    <n v="1"/>
    <n v="2"/>
    <n v="2"/>
    <n v="2"/>
  </r>
  <r>
    <n v="35"/>
    <n v="35"/>
    <x v="1"/>
    <n v="0"/>
    <s v="Travel_Rarely"/>
    <n v="0"/>
    <n v="1"/>
    <x v="2"/>
    <n v="0"/>
    <n v="0"/>
    <n v="26"/>
    <n v="26"/>
    <n v="4"/>
    <s v="Life Sciences"/>
    <n v="1"/>
    <n v="0"/>
    <n v="0"/>
    <n v="0"/>
    <n v="0"/>
    <x v="1"/>
    <s v="Female"/>
    <n v="1"/>
    <n v="31"/>
    <n v="3"/>
    <n v="3"/>
    <s v="Human Resources"/>
    <n v="0"/>
    <n v="0"/>
    <n v="0"/>
    <n v="0"/>
    <n v="0"/>
    <n v="0"/>
    <n v="0"/>
    <n v="0"/>
    <n v="4"/>
    <x v="0"/>
    <n v="1"/>
    <n v="0"/>
    <n v="8837"/>
    <n v="8837"/>
    <n v="1"/>
    <x v="0"/>
    <n v="1"/>
    <n v="16"/>
    <n v="3"/>
    <n v="3"/>
    <n v="0"/>
    <n v="9"/>
    <n v="9"/>
    <n v="2"/>
    <n v="3"/>
    <n v="9"/>
    <n v="9"/>
    <n v="0"/>
    <n v="1"/>
    <n v="1"/>
    <n v="7"/>
    <n v="7"/>
    <n v="21"/>
  </r>
  <r>
    <n v="38"/>
    <n v="38"/>
    <x v="1"/>
    <n v="0"/>
    <s v="Travel_Rarely"/>
    <n v="0"/>
    <n v="1"/>
    <x v="0"/>
    <n v="0"/>
    <n v="1"/>
    <n v="10"/>
    <n v="10"/>
    <n v="2"/>
    <s v="Life Sciences"/>
    <n v="1"/>
    <n v="0"/>
    <n v="0"/>
    <n v="0"/>
    <n v="0"/>
    <x v="3"/>
    <s v="Female"/>
    <n v="1"/>
    <n v="100"/>
    <n v="3"/>
    <n v="2"/>
    <s v="Sales Executive"/>
    <n v="0"/>
    <n v="1"/>
    <n v="0"/>
    <n v="0"/>
    <n v="0"/>
    <n v="0"/>
    <n v="0"/>
    <n v="0"/>
    <n v="4"/>
    <x v="1"/>
    <n v="0"/>
    <n v="1"/>
    <n v="5343"/>
    <n v="5343"/>
    <n v="1"/>
    <x v="1"/>
    <n v="0"/>
    <n v="11"/>
    <n v="3"/>
    <n v="3"/>
    <n v="1"/>
    <n v="10"/>
    <n v="10"/>
    <n v="1"/>
    <n v="3"/>
    <n v="10"/>
    <n v="10"/>
    <n v="7"/>
    <n v="1"/>
    <n v="1"/>
    <n v="9"/>
    <n v="9"/>
    <n v="18"/>
  </r>
  <r>
    <n v="50"/>
    <n v="50"/>
    <x v="0"/>
    <n v="1"/>
    <s v="Travel_Frequently"/>
    <n v="1"/>
    <n v="0"/>
    <x v="0"/>
    <n v="0"/>
    <n v="1"/>
    <n v="1"/>
    <n v="1"/>
    <n v="4"/>
    <s v="Life Sciences"/>
    <n v="1"/>
    <n v="0"/>
    <n v="0"/>
    <n v="0"/>
    <n v="0"/>
    <x v="0"/>
    <s v="Male"/>
    <n v="0"/>
    <n v="94"/>
    <n v="3"/>
    <n v="2"/>
    <s v="Sales Executive"/>
    <n v="0"/>
    <n v="1"/>
    <n v="0"/>
    <n v="0"/>
    <n v="0"/>
    <n v="0"/>
    <n v="0"/>
    <n v="0"/>
    <n v="3"/>
    <x v="2"/>
    <n v="0"/>
    <n v="0"/>
    <n v="6728"/>
    <n v="6728"/>
    <n v="7"/>
    <x v="1"/>
    <n v="0"/>
    <n v="12"/>
    <n v="3"/>
    <n v="4"/>
    <n v="2"/>
    <n v="12"/>
    <n v="12"/>
    <n v="3"/>
    <n v="3"/>
    <n v="6"/>
    <n v="6"/>
    <n v="3"/>
    <n v="0"/>
    <n v="0"/>
    <n v="1"/>
    <n v="1"/>
    <n v="2"/>
  </r>
  <r>
    <n v="36"/>
    <n v="36"/>
    <x v="1"/>
    <n v="0"/>
    <s v="Travel_Rarely"/>
    <n v="0"/>
    <n v="1"/>
    <x v="0"/>
    <n v="0"/>
    <n v="1"/>
    <n v="11"/>
    <n v="11"/>
    <n v="4"/>
    <s v="Marketing"/>
    <n v="0"/>
    <n v="0"/>
    <n v="0"/>
    <n v="1"/>
    <n v="0"/>
    <x v="0"/>
    <s v="Female"/>
    <n v="1"/>
    <n v="100"/>
    <n v="2"/>
    <n v="2"/>
    <s v="Sales Executive"/>
    <n v="0"/>
    <n v="1"/>
    <n v="0"/>
    <n v="0"/>
    <n v="0"/>
    <n v="0"/>
    <n v="0"/>
    <n v="0"/>
    <n v="4"/>
    <x v="1"/>
    <n v="0"/>
    <n v="1"/>
    <n v="6652"/>
    <n v="6652"/>
    <n v="4"/>
    <x v="1"/>
    <n v="0"/>
    <n v="13"/>
    <n v="3"/>
    <n v="1"/>
    <n v="1"/>
    <n v="8"/>
    <n v="8"/>
    <n v="2"/>
    <n v="2"/>
    <n v="6"/>
    <n v="6"/>
    <n v="3"/>
    <n v="0"/>
    <n v="0"/>
    <n v="0"/>
    <n v="0"/>
    <n v="0"/>
  </r>
  <r>
    <n v="45"/>
    <n v="45"/>
    <x v="1"/>
    <n v="0"/>
    <s v="Travel_Rarely"/>
    <n v="0"/>
    <n v="1"/>
    <x v="0"/>
    <n v="0"/>
    <n v="1"/>
    <n v="20"/>
    <n v="20"/>
    <n v="3"/>
    <s v="Life Sciences"/>
    <n v="1"/>
    <n v="0"/>
    <n v="0"/>
    <n v="0"/>
    <n v="0"/>
    <x v="2"/>
    <s v="Female"/>
    <n v="1"/>
    <n v="50"/>
    <n v="3"/>
    <n v="2"/>
    <s v="Sales Executive"/>
    <n v="0"/>
    <n v="1"/>
    <n v="0"/>
    <n v="0"/>
    <n v="0"/>
    <n v="0"/>
    <n v="0"/>
    <n v="0"/>
    <n v="3"/>
    <x v="0"/>
    <n v="1"/>
    <n v="0"/>
    <n v="4850"/>
    <n v="4850"/>
    <n v="8"/>
    <x v="1"/>
    <n v="0"/>
    <n v="15"/>
    <n v="3"/>
    <n v="3"/>
    <n v="0"/>
    <n v="8"/>
    <n v="8"/>
    <n v="3"/>
    <n v="3"/>
    <n v="5"/>
    <n v="5"/>
    <n v="3"/>
    <n v="0"/>
    <n v="0"/>
    <n v="1"/>
    <n v="1"/>
    <n v="2"/>
  </r>
  <r>
    <n v="40"/>
    <n v="40"/>
    <x v="1"/>
    <n v="0"/>
    <s v="Travel_Rarely"/>
    <n v="0"/>
    <n v="1"/>
    <x v="1"/>
    <n v="1"/>
    <n v="0"/>
    <n v="2"/>
    <n v="2"/>
    <n v="4"/>
    <s v="Life Sciences"/>
    <n v="1"/>
    <n v="0"/>
    <n v="0"/>
    <n v="0"/>
    <n v="0"/>
    <x v="1"/>
    <s v="Male"/>
    <n v="0"/>
    <n v="52"/>
    <n v="2"/>
    <n v="1"/>
    <s v="Research Scientist"/>
    <n v="0"/>
    <n v="0"/>
    <n v="0"/>
    <n v="0"/>
    <n v="0"/>
    <n v="0"/>
    <n v="0"/>
    <n v="1"/>
    <n v="3"/>
    <x v="0"/>
    <n v="1"/>
    <n v="0"/>
    <n v="2809"/>
    <n v="2809"/>
    <n v="2"/>
    <x v="1"/>
    <n v="0"/>
    <n v="14"/>
    <n v="3"/>
    <n v="4"/>
    <n v="0"/>
    <n v="8"/>
    <n v="8"/>
    <n v="2"/>
    <n v="3"/>
    <n v="2"/>
    <n v="2"/>
    <n v="2"/>
    <n v="2"/>
    <n v="2"/>
    <n v="2"/>
    <n v="2"/>
    <n v="2"/>
  </r>
  <r>
    <n v="35"/>
    <n v="35"/>
    <x v="1"/>
    <n v="0"/>
    <s v="Travel_Frequently"/>
    <n v="1"/>
    <n v="0"/>
    <x v="1"/>
    <n v="1"/>
    <n v="0"/>
    <n v="18"/>
    <n v="18"/>
    <n v="4"/>
    <s v="Life Sciences"/>
    <n v="1"/>
    <n v="0"/>
    <n v="0"/>
    <n v="0"/>
    <n v="0"/>
    <x v="1"/>
    <s v="Male"/>
    <n v="0"/>
    <n v="80"/>
    <n v="3"/>
    <n v="2"/>
    <s v="Healthcare Representative"/>
    <n v="1"/>
    <n v="0"/>
    <n v="0"/>
    <n v="0"/>
    <n v="0"/>
    <n v="0"/>
    <n v="0"/>
    <n v="0"/>
    <n v="3"/>
    <x v="1"/>
    <n v="0"/>
    <n v="1"/>
    <n v="5689"/>
    <n v="5689"/>
    <n v="1"/>
    <x v="0"/>
    <n v="1"/>
    <n v="14"/>
    <n v="3"/>
    <n v="4"/>
    <n v="2"/>
    <n v="10"/>
    <n v="10"/>
    <n v="2"/>
    <n v="4"/>
    <n v="10"/>
    <n v="10"/>
    <n v="2"/>
    <n v="0"/>
    <n v="0"/>
    <n v="2"/>
    <n v="2"/>
    <n v="4"/>
  </r>
  <r>
    <n v="40"/>
    <n v="40"/>
    <x v="1"/>
    <n v="0"/>
    <s v="Travel_Rarely"/>
    <n v="0"/>
    <n v="1"/>
    <x v="1"/>
    <n v="1"/>
    <n v="0"/>
    <n v="2"/>
    <n v="2"/>
    <n v="4"/>
    <s v="Medical"/>
    <n v="0"/>
    <n v="0"/>
    <n v="1"/>
    <n v="0"/>
    <n v="0"/>
    <x v="1"/>
    <s v="Female"/>
    <n v="1"/>
    <n v="98"/>
    <n v="3"/>
    <n v="1"/>
    <s v="Research Scientist"/>
    <n v="0"/>
    <n v="0"/>
    <n v="0"/>
    <n v="0"/>
    <n v="0"/>
    <n v="0"/>
    <n v="0"/>
    <n v="1"/>
    <n v="3"/>
    <x v="1"/>
    <n v="0"/>
    <n v="1"/>
    <n v="2001"/>
    <n v="2001"/>
    <n v="2"/>
    <x v="1"/>
    <n v="0"/>
    <n v="14"/>
    <n v="3"/>
    <n v="2"/>
    <n v="3"/>
    <n v="20"/>
    <n v="20"/>
    <n v="2"/>
    <n v="3"/>
    <n v="5"/>
    <n v="5"/>
    <n v="3"/>
    <n v="0"/>
    <n v="0"/>
    <n v="2"/>
    <n v="2"/>
    <n v="2"/>
  </r>
  <r>
    <n v="35"/>
    <n v="35"/>
    <x v="1"/>
    <n v="0"/>
    <s v="Travel_Rarely"/>
    <n v="0"/>
    <n v="1"/>
    <x v="1"/>
    <n v="1"/>
    <n v="0"/>
    <n v="1"/>
    <n v="1"/>
    <n v="4"/>
    <s v="Life Sciences"/>
    <n v="1"/>
    <n v="0"/>
    <n v="0"/>
    <n v="0"/>
    <n v="0"/>
    <x v="1"/>
    <s v="Female"/>
    <n v="1"/>
    <n v="62"/>
    <n v="1"/>
    <n v="1"/>
    <s v="Research Scientist"/>
    <n v="0"/>
    <n v="0"/>
    <n v="0"/>
    <n v="0"/>
    <n v="0"/>
    <n v="0"/>
    <n v="0"/>
    <n v="1"/>
    <n v="4"/>
    <x v="1"/>
    <n v="0"/>
    <n v="1"/>
    <n v="2977"/>
    <n v="2977"/>
    <n v="1"/>
    <x v="1"/>
    <n v="0"/>
    <n v="12"/>
    <n v="3"/>
    <n v="4"/>
    <n v="1"/>
    <n v="4"/>
    <n v="4"/>
    <n v="5"/>
    <n v="3"/>
    <n v="4"/>
    <n v="4"/>
    <n v="3"/>
    <n v="1"/>
    <n v="1"/>
    <n v="1"/>
    <n v="1"/>
    <n v="1"/>
  </r>
  <r>
    <n v="29"/>
    <n v="29"/>
    <x v="1"/>
    <n v="0"/>
    <s v="Travel_Rarely"/>
    <n v="0"/>
    <n v="1"/>
    <x v="1"/>
    <n v="1"/>
    <n v="0"/>
    <n v="13"/>
    <n v="13"/>
    <n v="2"/>
    <s v="Other"/>
    <n v="0"/>
    <n v="1"/>
    <n v="0"/>
    <n v="0"/>
    <n v="0"/>
    <x v="2"/>
    <s v="Male"/>
    <n v="0"/>
    <n v="46"/>
    <n v="2"/>
    <n v="2"/>
    <s v="Laboratory Technician"/>
    <n v="0"/>
    <n v="0"/>
    <n v="1"/>
    <n v="0"/>
    <n v="0"/>
    <n v="0"/>
    <n v="0"/>
    <n v="0"/>
    <n v="2"/>
    <x v="1"/>
    <n v="0"/>
    <n v="1"/>
    <n v="4025"/>
    <n v="4025"/>
    <n v="4"/>
    <x v="0"/>
    <n v="1"/>
    <n v="13"/>
    <n v="3"/>
    <n v="1"/>
    <n v="1"/>
    <n v="10"/>
    <n v="10"/>
    <n v="2"/>
    <n v="3"/>
    <n v="4"/>
    <n v="4"/>
    <n v="3"/>
    <n v="0"/>
    <n v="0"/>
    <n v="3"/>
    <n v="3"/>
    <n v="6"/>
  </r>
  <r>
    <n v="29"/>
    <n v="29"/>
    <x v="1"/>
    <n v="0"/>
    <s v="Travel_Rarely"/>
    <n v="0"/>
    <n v="1"/>
    <x v="1"/>
    <n v="1"/>
    <n v="0"/>
    <n v="28"/>
    <n v="28"/>
    <n v="4"/>
    <s v="Medical"/>
    <n v="0"/>
    <n v="0"/>
    <n v="1"/>
    <n v="0"/>
    <n v="0"/>
    <x v="2"/>
    <s v="Female"/>
    <n v="1"/>
    <n v="73"/>
    <n v="2"/>
    <n v="1"/>
    <s v="Research Scientist"/>
    <n v="0"/>
    <n v="0"/>
    <n v="0"/>
    <n v="0"/>
    <n v="0"/>
    <n v="0"/>
    <n v="0"/>
    <n v="1"/>
    <n v="1"/>
    <x v="0"/>
    <n v="1"/>
    <n v="0"/>
    <n v="3785"/>
    <n v="3785"/>
    <n v="1"/>
    <x v="1"/>
    <n v="0"/>
    <n v="14"/>
    <n v="3"/>
    <n v="2"/>
    <n v="0"/>
    <n v="5"/>
    <n v="5"/>
    <n v="3"/>
    <n v="1"/>
    <n v="5"/>
    <n v="5"/>
    <n v="4"/>
    <n v="0"/>
    <n v="0"/>
    <n v="4"/>
    <n v="4"/>
    <n v="4"/>
  </r>
  <r>
    <n v="50"/>
    <n v="50"/>
    <x v="0"/>
    <n v="1"/>
    <s v="Travel_Rarely"/>
    <n v="0"/>
    <n v="1"/>
    <x v="0"/>
    <n v="0"/>
    <n v="1"/>
    <n v="28"/>
    <n v="28"/>
    <n v="3"/>
    <s v="Marketing"/>
    <n v="0"/>
    <n v="0"/>
    <n v="0"/>
    <n v="1"/>
    <n v="0"/>
    <x v="2"/>
    <s v="Male"/>
    <n v="0"/>
    <n v="39"/>
    <n v="2"/>
    <n v="3"/>
    <s v="Sales Executive"/>
    <n v="0"/>
    <n v="1"/>
    <n v="0"/>
    <n v="0"/>
    <n v="0"/>
    <n v="0"/>
    <n v="0"/>
    <n v="0"/>
    <n v="1"/>
    <x v="2"/>
    <n v="0"/>
    <n v="0"/>
    <n v="10854"/>
    <n v="10854"/>
    <n v="4"/>
    <x v="0"/>
    <n v="1"/>
    <n v="13"/>
    <n v="3"/>
    <n v="2"/>
    <n v="1"/>
    <n v="20"/>
    <n v="20"/>
    <n v="3"/>
    <n v="3"/>
    <n v="3"/>
    <n v="3"/>
    <n v="2"/>
    <n v="2"/>
    <n v="2"/>
    <n v="0"/>
    <n v="0"/>
    <n v="0"/>
  </r>
  <r>
    <n v="39"/>
    <n v="39"/>
    <x v="1"/>
    <n v="0"/>
    <s v="Travel_Rarely"/>
    <n v="0"/>
    <n v="1"/>
    <x v="0"/>
    <n v="0"/>
    <n v="1"/>
    <n v="24"/>
    <n v="24"/>
    <n v="1"/>
    <s v="Marketing"/>
    <n v="0"/>
    <n v="0"/>
    <n v="0"/>
    <n v="1"/>
    <n v="0"/>
    <x v="0"/>
    <s v="Female"/>
    <n v="1"/>
    <n v="60"/>
    <n v="2"/>
    <n v="4"/>
    <s v="Sales Executive"/>
    <n v="0"/>
    <n v="1"/>
    <n v="0"/>
    <n v="0"/>
    <n v="0"/>
    <n v="0"/>
    <n v="0"/>
    <n v="0"/>
    <n v="4"/>
    <x v="1"/>
    <n v="0"/>
    <n v="1"/>
    <n v="12031"/>
    <n v="12031"/>
    <n v="0"/>
    <x v="1"/>
    <n v="0"/>
    <n v="11"/>
    <n v="3"/>
    <n v="1"/>
    <n v="1"/>
    <n v="21"/>
    <n v="21"/>
    <n v="2"/>
    <n v="2"/>
    <n v="20"/>
    <n v="20"/>
    <n v="9"/>
    <n v="9"/>
    <n v="9"/>
    <n v="6"/>
    <n v="6"/>
    <n v="24"/>
  </r>
  <r>
    <n v="31"/>
    <n v="31"/>
    <x v="1"/>
    <n v="0"/>
    <s v="Non-Travel"/>
    <n v="0"/>
    <n v="0"/>
    <x v="1"/>
    <n v="1"/>
    <n v="0"/>
    <n v="5"/>
    <n v="5"/>
    <n v="3"/>
    <s v="Medical"/>
    <n v="0"/>
    <n v="0"/>
    <n v="1"/>
    <n v="0"/>
    <n v="0"/>
    <x v="0"/>
    <s v="Male"/>
    <n v="0"/>
    <n v="74"/>
    <n v="3"/>
    <n v="2"/>
    <s v="Manufacturing Director"/>
    <n v="0"/>
    <n v="0"/>
    <n v="0"/>
    <n v="0"/>
    <n v="1"/>
    <n v="1"/>
    <n v="0"/>
    <n v="0"/>
    <n v="1"/>
    <x v="0"/>
    <n v="1"/>
    <n v="0"/>
    <n v="9936"/>
    <n v="9936"/>
    <n v="0"/>
    <x v="1"/>
    <n v="0"/>
    <n v="19"/>
    <n v="3"/>
    <n v="2"/>
    <n v="0"/>
    <n v="10"/>
    <n v="10"/>
    <n v="2"/>
    <n v="3"/>
    <n v="9"/>
    <n v="9"/>
    <n v="4"/>
    <n v="1"/>
    <n v="1"/>
    <n v="7"/>
    <n v="7"/>
    <n v="14"/>
  </r>
  <r>
    <n v="26"/>
    <n v="26"/>
    <x v="1"/>
    <n v="0"/>
    <s v="Travel_Rarely"/>
    <n v="0"/>
    <n v="1"/>
    <x v="0"/>
    <n v="0"/>
    <n v="1"/>
    <n v="5"/>
    <n v="5"/>
    <n v="3"/>
    <s v="Other"/>
    <n v="0"/>
    <n v="1"/>
    <n v="0"/>
    <n v="0"/>
    <n v="0"/>
    <x v="2"/>
    <s v="Female"/>
    <n v="1"/>
    <n v="30"/>
    <n v="2"/>
    <n v="1"/>
    <s v="Sales Representative"/>
    <n v="0"/>
    <n v="0"/>
    <n v="0"/>
    <n v="0"/>
    <n v="0"/>
    <n v="0"/>
    <n v="1"/>
    <n v="0"/>
    <n v="3"/>
    <x v="0"/>
    <n v="1"/>
    <n v="0"/>
    <n v="2966"/>
    <n v="2966"/>
    <n v="0"/>
    <x v="1"/>
    <n v="0"/>
    <n v="18"/>
    <n v="3"/>
    <n v="4"/>
    <n v="0"/>
    <n v="5"/>
    <n v="5"/>
    <n v="2"/>
    <n v="3"/>
    <n v="4"/>
    <n v="4"/>
    <n v="2"/>
    <n v="0"/>
    <n v="0"/>
    <n v="0"/>
    <n v="0"/>
    <n v="0"/>
  </r>
  <r>
    <n v="36"/>
    <n v="36"/>
    <x v="1"/>
    <n v="0"/>
    <s v="Travel_Frequently"/>
    <n v="1"/>
    <n v="0"/>
    <x v="1"/>
    <n v="1"/>
    <n v="0"/>
    <n v="23"/>
    <n v="23"/>
    <n v="2"/>
    <s v="Medical"/>
    <n v="0"/>
    <n v="0"/>
    <n v="1"/>
    <n v="0"/>
    <n v="0"/>
    <x v="1"/>
    <s v="Male"/>
    <n v="0"/>
    <n v="41"/>
    <n v="4"/>
    <n v="2"/>
    <s v="Laboratory Technician"/>
    <n v="0"/>
    <n v="0"/>
    <n v="1"/>
    <n v="0"/>
    <n v="0"/>
    <n v="0"/>
    <n v="0"/>
    <n v="0"/>
    <n v="4"/>
    <x v="1"/>
    <n v="0"/>
    <n v="1"/>
    <n v="2571"/>
    <n v="2571"/>
    <n v="4"/>
    <x v="1"/>
    <n v="0"/>
    <n v="17"/>
    <n v="3"/>
    <n v="3"/>
    <n v="1"/>
    <n v="17"/>
    <n v="17"/>
    <n v="3"/>
    <n v="3"/>
    <n v="5"/>
    <n v="5"/>
    <n v="2"/>
    <n v="0"/>
    <n v="0"/>
    <n v="3"/>
    <n v="3"/>
    <n v="6"/>
  </r>
  <r>
    <n v="39"/>
    <n v="39"/>
    <x v="1"/>
    <n v="0"/>
    <s v="Travel_Rarely"/>
    <n v="0"/>
    <n v="1"/>
    <x v="1"/>
    <n v="1"/>
    <n v="0"/>
    <n v="6"/>
    <n v="6"/>
    <n v="1"/>
    <s v="Medical"/>
    <n v="0"/>
    <n v="0"/>
    <n v="1"/>
    <n v="0"/>
    <n v="0"/>
    <x v="2"/>
    <s v="Male"/>
    <n v="0"/>
    <n v="42"/>
    <n v="2"/>
    <n v="3"/>
    <s v="Healthcare Representative"/>
    <n v="1"/>
    <n v="0"/>
    <n v="0"/>
    <n v="0"/>
    <n v="0"/>
    <n v="0"/>
    <n v="0"/>
    <n v="0"/>
    <n v="1"/>
    <x v="1"/>
    <n v="0"/>
    <n v="1"/>
    <n v="9991"/>
    <n v="9991"/>
    <n v="4"/>
    <x v="1"/>
    <n v="0"/>
    <n v="15"/>
    <n v="3"/>
    <n v="1"/>
    <n v="1"/>
    <n v="9"/>
    <n v="9"/>
    <n v="5"/>
    <n v="3"/>
    <n v="7"/>
    <n v="7"/>
    <n v="7"/>
    <n v="1"/>
    <n v="1"/>
    <n v="7"/>
    <n v="7"/>
    <n v="21"/>
  </r>
  <r>
    <n v="27"/>
    <n v="27"/>
    <x v="1"/>
    <n v="0"/>
    <s v="Travel_Rarely"/>
    <n v="0"/>
    <n v="1"/>
    <x v="1"/>
    <n v="1"/>
    <n v="0"/>
    <n v="4"/>
    <n v="4"/>
    <n v="3"/>
    <s v="Life Sciences"/>
    <n v="1"/>
    <n v="0"/>
    <n v="0"/>
    <n v="0"/>
    <n v="0"/>
    <x v="0"/>
    <s v="Male"/>
    <n v="0"/>
    <n v="87"/>
    <n v="4"/>
    <n v="2"/>
    <s v="Manufacturing Director"/>
    <n v="0"/>
    <n v="0"/>
    <n v="0"/>
    <n v="0"/>
    <n v="1"/>
    <n v="1"/>
    <n v="0"/>
    <n v="0"/>
    <n v="2"/>
    <x v="1"/>
    <n v="0"/>
    <n v="1"/>
    <n v="6142"/>
    <n v="6142"/>
    <n v="1"/>
    <x v="0"/>
    <n v="1"/>
    <n v="20"/>
    <n v="4"/>
    <n v="2"/>
    <n v="1"/>
    <n v="6"/>
    <n v="6"/>
    <n v="0"/>
    <n v="3"/>
    <n v="6"/>
    <n v="6"/>
    <n v="2"/>
    <n v="0"/>
    <n v="0"/>
    <n v="3"/>
    <n v="3"/>
    <n v="6"/>
  </r>
  <r>
    <n v="49"/>
    <n v="49"/>
    <x v="1"/>
    <n v="0"/>
    <s v="Travel_Frequently"/>
    <n v="1"/>
    <n v="0"/>
    <x v="0"/>
    <n v="0"/>
    <n v="1"/>
    <n v="2"/>
    <n v="2"/>
    <n v="3"/>
    <s v="Medical"/>
    <n v="0"/>
    <n v="0"/>
    <n v="1"/>
    <n v="0"/>
    <n v="0"/>
    <x v="2"/>
    <s v="Male"/>
    <n v="0"/>
    <n v="63"/>
    <n v="2"/>
    <n v="2"/>
    <s v="Sales Executive"/>
    <n v="0"/>
    <n v="1"/>
    <n v="0"/>
    <n v="0"/>
    <n v="0"/>
    <n v="0"/>
    <n v="0"/>
    <n v="0"/>
    <n v="2"/>
    <x v="1"/>
    <n v="0"/>
    <n v="1"/>
    <n v="5390"/>
    <n v="5390"/>
    <n v="2"/>
    <x v="1"/>
    <n v="0"/>
    <n v="14"/>
    <n v="3"/>
    <n v="4"/>
    <n v="0"/>
    <n v="17"/>
    <n v="17"/>
    <n v="3"/>
    <n v="2"/>
    <n v="9"/>
    <n v="9"/>
    <n v="6"/>
    <n v="0"/>
    <n v="0"/>
    <n v="8"/>
    <n v="8"/>
    <n v="16"/>
  </r>
  <r>
    <n v="34"/>
    <n v="34"/>
    <x v="1"/>
    <n v="0"/>
    <s v="Travel_Rarely"/>
    <n v="0"/>
    <n v="1"/>
    <x v="1"/>
    <n v="1"/>
    <n v="0"/>
    <n v="8"/>
    <n v="8"/>
    <n v="3"/>
    <s v="Medical"/>
    <n v="0"/>
    <n v="0"/>
    <n v="1"/>
    <n v="0"/>
    <n v="0"/>
    <x v="0"/>
    <s v="Male"/>
    <n v="0"/>
    <n v="82"/>
    <n v="4"/>
    <n v="2"/>
    <s v="Laboratory Technician"/>
    <n v="0"/>
    <n v="0"/>
    <n v="1"/>
    <n v="0"/>
    <n v="0"/>
    <n v="0"/>
    <n v="0"/>
    <n v="0"/>
    <n v="3"/>
    <x v="1"/>
    <n v="0"/>
    <n v="1"/>
    <n v="4404"/>
    <n v="4404"/>
    <n v="2"/>
    <x v="1"/>
    <n v="0"/>
    <n v="12"/>
    <n v="3"/>
    <n v="1"/>
    <n v="0"/>
    <n v="6"/>
    <n v="6"/>
    <n v="3"/>
    <n v="4"/>
    <n v="4"/>
    <n v="4"/>
    <n v="3"/>
    <n v="1"/>
    <n v="1"/>
    <n v="2"/>
    <n v="2"/>
    <n v="4"/>
  </r>
  <r>
    <m/>
    <m/>
    <x v="2"/>
    <m/>
    <m/>
    <m/>
    <m/>
    <x v="3"/>
    <m/>
    <m/>
    <m/>
    <m/>
    <m/>
    <m/>
    <m/>
    <m/>
    <m/>
    <m/>
    <m/>
    <x v="4"/>
    <m/>
    <m/>
    <m/>
    <m/>
    <m/>
    <m/>
    <m/>
    <m/>
    <m/>
    <m/>
    <m/>
    <m/>
    <m/>
    <m/>
    <m/>
    <x v="3"/>
    <m/>
    <m/>
    <m/>
    <m/>
    <m/>
    <x v="2"/>
    <m/>
    <m/>
    <m/>
    <m/>
    <m/>
    <m/>
    <m/>
    <m/>
    <m/>
    <m/>
    <m/>
    <m/>
    <m/>
    <m/>
    <m/>
    <m/>
    <m/>
  </r>
  <r>
    <m/>
    <m/>
    <x v="2"/>
    <m/>
    <m/>
    <m/>
    <m/>
    <x v="3"/>
    <m/>
    <m/>
    <m/>
    <m/>
    <m/>
    <m/>
    <m/>
    <m/>
    <m/>
    <m/>
    <m/>
    <x v="4"/>
    <m/>
    <m/>
    <m/>
    <m/>
    <m/>
    <m/>
    <m/>
    <m/>
    <m/>
    <m/>
    <m/>
    <m/>
    <m/>
    <m/>
    <m/>
    <x v="3"/>
    <m/>
    <m/>
    <m/>
    <m/>
    <m/>
    <x v="2"/>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n v="41"/>
    <s v="Yes"/>
    <n v="1"/>
    <s v="Travel_Rarely"/>
    <n v="0"/>
    <n v="1"/>
    <x v="0"/>
    <n v="0"/>
    <n v="1"/>
    <n v="1"/>
    <n v="1"/>
    <n v="2"/>
    <s v="Life Sciences"/>
    <n v="1"/>
    <n v="0"/>
    <n v="0"/>
    <n v="0"/>
    <n v="0"/>
    <n v="2"/>
    <s v="Female"/>
    <n v="1"/>
    <n v="94"/>
    <n v="3"/>
    <n v="2"/>
    <s v="Sales Executive"/>
    <n v="0"/>
    <n v="1"/>
    <n v="0"/>
    <n v="0"/>
    <n v="0"/>
    <n v="0"/>
    <n v="0"/>
    <n v="0"/>
    <n v="4"/>
    <s v="Single"/>
    <n v="1"/>
    <n v="0"/>
    <n v="5993"/>
    <n v="5993"/>
    <n v="8"/>
    <s v="Yes"/>
    <n v="1"/>
    <n v="11"/>
    <n v="3"/>
    <n v="1"/>
    <n v="0"/>
    <n v="8"/>
    <x v="0"/>
    <n v="0"/>
    <n v="1"/>
    <n v="6"/>
    <n v="6"/>
    <n v="4"/>
    <n v="0"/>
    <n v="0"/>
    <n v="5"/>
    <n v="5"/>
    <n v="10"/>
    <n v="1"/>
    <n v="0"/>
    <n v="0"/>
    <n v="0"/>
    <n v="0"/>
    <n v="1"/>
    <n v="0"/>
    <n v="0"/>
    <n v="0"/>
    <n v="0"/>
    <n v="5"/>
    <n v="0"/>
    <n v="0"/>
    <n v="8"/>
    <n v="0.10831265366489942"/>
    <n v="0.24575036340443959"/>
    <n v="0.42149901815843233"/>
    <n v="0.16455710867531462"/>
    <n v="1.01056543769991"/>
    <n v="0.4461985578408646"/>
    <n v="0.67891464284095016"/>
  </r>
  <r>
    <n v="49"/>
    <n v="49"/>
    <s v="No"/>
    <n v="0"/>
    <s v="Travel_Frequently"/>
    <n v="1"/>
    <n v="0"/>
    <x v="1"/>
    <n v="1"/>
    <n v="0"/>
    <n v="8"/>
    <n v="8"/>
    <n v="1"/>
    <s v="Life Sciences"/>
    <n v="1"/>
    <n v="0"/>
    <n v="0"/>
    <n v="0"/>
    <n v="0"/>
    <n v="3"/>
    <s v="Male"/>
    <n v="0"/>
    <n v="61"/>
    <n v="2"/>
    <n v="2"/>
    <s v="Research Scientist"/>
    <n v="0"/>
    <n v="0"/>
    <n v="0"/>
    <n v="0"/>
    <n v="0"/>
    <n v="0"/>
    <n v="0"/>
    <n v="1"/>
    <n v="2"/>
    <s v="Married"/>
    <n v="0"/>
    <n v="1"/>
    <n v="5130"/>
    <n v="5130"/>
    <n v="1"/>
    <s v="No"/>
    <n v="0"/>
    <n v="23"/>
    <n v="4"/>
    <n v="4"/>
    <n v="1"/>
    <n v="10"/>
    <x v="1"/>
    <n v="3"/>
    <n v="3"/>
    <n v="10"/>
    <n v="10"/>
    <n v="7"/>
    <n v="1"/>
    <n v="1"/>
    <n v="7"/>
    <n v="7"/>
    <n v="14"/>
    <n v="0"/>
    <n v="0"/>
    <n v="0"/>
    <n v="1"/>
    <n v="0"/>
    <n v="0"/>
    <n v="1"/>
    <n v="0"/>
    <n v="0"/>
    <n v="7"/>
    <n v="0"/>
    <n v="0"/>
    <n v="10"/>
    <n v="0"/>
    <n v="0.29161934906581111"/>
    <n v="0.80626709607243985"/>
    <n v="0.1644554352117841"/>
    <n v="0.48834154112957734"/>
    <n v="0.14709966057360641"/>
    <n v="1.3219153536033093"/>
    <n v="0.36858985273641137"/>
  </r>
  <r>
    <n v="37"/>
    <n v="37"/>
    <s v="Yes"/>
    <n v="1"/>
    <s v="Travel_Rarely"/>
    <n v="0"/>
    <n v="1"/>
    <x v="1"/>
    <n v="1"/>
    <n v="0"/>
    <n v="2"/>
    <n v="2"/>
    <n v="2"/>
    <s v="Other"/>
    <n v="0"/>
    <n v="1"/>
    <n v="0"/>
    <n v="0"/>
    <n v="0"/>
    <n v="4"/>
    <s v="Male"/>
    <n v="0"/>
    <n v="92"/>
    <n v="2"/>
    <n v="1"/>
    <s v="Laboratory Technician"/>
    <n v="0"/>
    <n v="0"/>
    <n v="1"/>
    <n v="0"/>
    <n v="0"/>
    <n v="0"/>
    <n v="0"/>
    <n v="0"/>
    <n v="3"/>
    <s v="Single"/>
    <n v="1"/>
    <n v="0"/>
    <n v="2090"/>
    <n v="2090"/>
    <n v="6"/>
    <s v="Yes"/>
    <n v="1"/>
    <n v="15"/>
    <n v="3"/>
    <n v="2"/>
    <n v="0"/>
    <n v="7"/>
    <x v="2"/>
    <n v="3"/>
    <n v="3"/>
    <n v="0"/>
    <n v="0"/>
    <n v="0"/>
    <n v="0"/>
    <n v="0"/>
    <n v="0"/>
    <n v="0"/>
    <n v="0"/>
    <n v="1"/>
    <n v="0"/>
    <n v="0"/>
    <n v="0"/>
    <n v="0"/>
    <n v="1"/>
    <n v="0"/>
    <n v="0"/>
    <n v="0"/>
    <n v="0"/>
    <n v="0"/>
    <n v="0"/>
    <n v="7"/>
    <n v="0"/>
    <n v="0.93733470714086498"/>
    <n v="1.1555414682655611"/>
    <n v="0.55002080963175637"/>
    <n v="1.1439050833826525"/>
    <n v="0.88721318382472392"/>
    <n v="8.3401599596422994E-3"/>
    <n v="0.67891464284095016"/>
  </r>
  <r>
    <n v="33"/>
    <n v="33"/>
    <s v="No"/>
    <n v="0"/>
    <s v="Travel_Frequently"/>
    <n v="1"/>
    <n v="0"/>
    <x v="1"/>
    <n v="1"/>
    <n v="0"/>
    <n v="3"/>
    <n v="3"/>
    <n v="4"/>
    <s v="Life Sciences"/>
    <n v="1"/>
    <n v="0"/>
    <n v="0"/>
    <n v="0"/>
    <n v="0"/>
    <n v="4"/>
    <s v="Female"/>
    <n v="1"/>
    <n v="56"/>
    <n v="3"/>
    <n v="1"/>
    <s v="Research Scientist"/>
    <n v="0"/>
    <n v="0"/>
    <n v="0"/>
    <n v="0"/>
    <n v="0"/>
    <n v="0"/>
    <n v="0"/>
    <n v="1"/>
    <n v="3"/>
    <s v="Married"/>
    <n v="0"/>
    <n v="1"/>
    <n v="2909"/>
    <n v="2909"/>
    <n v="1"/>
    <s v="Yes"/>
    <n v="1"/>
    <n v="11"/>
    <n v="3"/>
    <n v="3"/>
    <n v="0"/>
    <n v="8"/>
    <x v="0"/>
    <n v="3"/>
    <n v="3"/>
    <n v="8"/>
    <n v="8"/>
    <n v="7"/>
    <n v="3"/>
    <n v="3"/>
    <n v="0"/>
    <n v="0"/>
    <n v="0"/>
    <n v="0"/>
    <n v="0"/>
    <n v="0"/>
    <n v="1"/>
    <n v="0"/>
    <n v="0"/>
    <n v="0"/>
    <n v="1"/>
    <n v="0"/>
    <n v="0"/>
    <n v="0"/>
    <n v="0"/>
    <n v="8"/>
    <n v="0"/>
    <n v="0.76337389192261851"/>
    <n v="1.1555414682655611"/>
    <n v="0.42149901815843233"/>
    <n v="0.16189221622713135"/>
    <n v="0.76386092994953758"/>
    <n v="0.42951823792158"/>
    <n v="0.2520597274726662"/>
  </r>
  <r>
    <n v="27"/>
    <n v="27"/>
    <s v="No"/>
    <n v="0"/>
    <s v="Travel_Rarely"/>
    <n v="0"/>
    <n v="1"/>
    <x v="1"/>
    <n v="1"/>
    <n v="0"/>
    <n v="2"/>
    <n v="2"/>
    <n v="1"/>
    <s v="Medical"/>
    <n v="0"/>
    <n v="0"/>
    <n v="1"/>
    <n v="0"/>
    <n v="0"/>
    <n v="1"/>
    <s v="Male"/>
    <n v="0"/>
    <n v="40"/>
    <n v="3"/>
    <n v="1"/>
    <s v="Laboratory Technician"/>
    <n v="0"/>
    <n v="0"/>
    <n v="1"/>
    <n v="0"/>
    <n v="0"/>
    <n v="0"/>
    <n v="0"/>
    <n v="0"/>
    <n v="2"/>
    <s v="Married"/>
    <n v="0"/>
    <n v="1"/>
    <n v="3468"/>
    <n v="3468"/>
    <n v="9"/>
    <s v="No"/>
    <n v="0"/>
    <n v="12"/>
    <n v="3"/>
    <n v="4"/>
    <n v="1"/>
    <n v="6"/>
    <x v="3"/>
    <n v="3"/>
    <n v="3"/>
    <n v="2"/>
    <n v="2"/>
    <n v="2"/>
    <n v="2"/>
    <n v="2"/>
    <n v="2"/>
    <n v="2"/>
    <n v="2"/>
    <n v="0"/>
    <n v="1"/>
    <n v="0"/>
    <n v="0"/>
    <n v="0"/>
    <n v="0"/>
    <n v="1"/>
    <n v="0"/>
    <n v="0"/>
    <n v="2"/>
    <n v="0"/>
    <n v="0"/>
    <n v="6"/>
    <n v="0"/>
    <n v="0.64463873232921232"/>
    <n v="0.59502473559756086"/>
    <n v="0.67854260110508058"/>
    <n v="0.81745575848020657"/>
    <n v="0.88721318382472392"/>
    <n v="1.0863058347434136"/>
    <n v="5.8265062631872602E-2"/>
  </r>
  <r>
    <n v="32"/>
    <n v="32"/>
    <s v="No"/>
    <n v="0"/>
    <s v="Travel_Frequently"/>
    <n v="1"/>
    <n v="0"/>
    <x v="1"/>
    <n v="1"/>
    <n v="0"/>
    <n v="2"/>
    <n v="2"/>
    <n v="2"/>
    <s v="Life Sciences"/>
    <n v="1"/>
    <n v="0"/>
    <n v="0"/>
    <n v="0"/>
    <n v="0"/>
    <n v="4"/>
    <s v="Male"/>
    <n v="0"/>
    <n v="79"/>
    <n v="3"/>
    <n v="1"/>
    <s v="Laboratory Technician"/>
    <n v="0"/>
    <n v="0"/>
    <n v="1"/>
    <n v="0"/>
    <n v="0"/>
    <n v="0"/>
    <n v="0"/>
    <n v="0"/>
    <n v="4"/>
    <s v="Single"/>
    <n v="1"/>
    <n v="0"/>
    <n v="3068"/>
    <n v="3068"/>
    <n v="0"/>
    <s v="No"/>
    <n v="0"/>
    <n v="13"/>
    <n v="3"/>
    <n v="3"/>
    <n v="0"/>
    <n v="8"/>
    <x v="0"/>
    <n v="2"/>
    <n v="2"/>
    <n v="7"/>
    <n v="7"/>
    <n v="7"/>
    <n v="3"/>
    <n v="3"/>
    <n v="6"/>
    <n v="6"/>
    <n v="6"/>
    <n v="0"/>
    <n v="0"/>
    <n v="1"/>
    <n v="0"/>
    <n v="1"/>
    <n v="0"/>
    <n v="0"/>
    <n v="0"/>
    <n v="0"/>
    <n v="6"/>
    <n v="0"/>
    <n v="0"/>
    <n v="8"/>
    <n v="0"/>
    <n v="0.72960127944435094"/>
    <n v="0.52600872973843971"/>
    <n v="0.42149901815843233"/>
    <n v="1.3324462240916321E-3"/>
    <n v="0.88721318382472392"/>
    <n v="0.53898283739188557"/>
    <n v="0.2520597274726662"/>
  </r>
  <r>
    <n v="59"/>
    <n v="58.309999999999945"/>
    <s v="No"/>
    <n v="0"/>
    <s v="Travel_Rarely"/>
    <n v="0"/>
    <n v="1"/>
    <x v="1"/>
    <n v="1"/>
    <n v="0"/>
    <n v="3"/>
    <n v="3"/>
    <n v="3"/>
    <s v="Medical"/>
    <n v="0"/>
    <n v="0"/>
    <n v="1"/>
    <n v="0"/>
    <n v="0"/>
    <n v="3"/>
    <s v="Female"/>
    <n v="1"/>
    <n v="81"/>
    <n v="4"/>
    <n v="1"/>
    <s v="Laboratory Technician"/>
    <n v="0"/>
    <n v="0"/>
    <n v="1"/>
    <n v="0"/>
    <n v="0"/>
    <n v="0"/>
    <n v="0"/>
    <n v="0"/>
    <n v="1"/>
    <s v="Married"/>
    <n v="0"/>
    <n v="1"/>
    <n v="2670"/>
    <n v="2670"/>
    <n v="4"/>
    <s v="Yes"/>
    <n v="1"/>
    <n v="20"/>
    <n v="4"/>
    <n v="1"/>
    <n v="3"/>
    <n v="12"/>
    <x v="4"/>
    <n v="3"/>
    <n v="2"/>
    <n v="1"/>
    <n v="1"/>
    <n v="0"/>
    <n v="0"/>
    <n v="0"/>
    <n v="0"/>
    <n v="0"/>
    <n v="0"/>
    <n v="0"/>
    <n v="1"/>
    <n v="0"/>
    <n v="0"/>
    <n v="0"/>
    <n v="0"/>
    <n v="0"/>
    <n v="1"/>
    <n v="0"/>
    <n v="0"/>
    <n v="0"/>
    <n v="0"/>
    <n v="12"/>
    <n v="0"/>
    <n v="0.81413901382391396"/>
    <n v="1.1555414682655611"/>
    <n v="9.2588147734864096E-2"/>
    <n v="0.9806804209314296"/>
    <n v="0.76386092994953758"/>
    <n v="2.4165613483063648"/>
    <n v="0.67891464284095016"/>
  </r>
  <r>
    <n v="30"/>
    <n v="30"/>
    <s v="No"/>
    <n v="0"/>
    <s v="Travel_Rarely"/>
    <n v="0"/>
    <n v="1"/>
    <x v="1"/>
    <n v="1"/>
    <n v="0"/>
    <n v="24"/>
    <n v="24"/>
    <n v="1"/>
    <s v="Life Sciences"/>
    <n v="1"/>
    <n v="0"/>
    <n v="0"/>
    <n v="0"/>
    <n v="0"/>
    <n v="4"/>
    <s v="Male"/>
    <n v="0"/>
    <n v="67"/>
    <n v="3"/>
    <n v="1"/>
    <s v="Laboratory Technician"/>
    <n v="0"/>
    <n v="0"/>
    <n v="1"/>
    <n v="0"/>
    <n v="0"/>
    <n v="0"/>
    <n v="0"/>
    <n v="0"/>
    <n v="3"/>
    <s v="Divorced"/>
    <n v="0"/>
    <n v="0"/>
    <n v="2693"/>
    <n v="2693"/>
    <n v="1"/>
    <s v="No"/>
    <n v="0"/>
    <n v="22"/>
    <n v="4"/>
    <n v="2"/>
    <n v="1"/>
    <n v="1"/>
    <x v="5"/>
    <n v="2"/>
    <n v="3"/>
    <n v="1"/>
    <n v="1"/>
    <n v="0"/>
    <n v="0"/>
    <n v="0"/>
    <n v="0"/>
    <n v="0"/>
    <n v="0"/>
    <n v="1"/>
    <n v="0"/>
    <n v="0"/>
    <n v="0"/>
    <n v="1"/>
    <n v="0"/>
    <n v="0"/>
    <n v="0"/>
    <n v="0"/>
    <n v="0"/>
    <n v="0"/>
    <n v="0"/>
    <n v="1"/>
    <n v="0"/>
    <n v="0.80925366736479343"/>
    <n v="1.1555414682655611"/>
    <n v="1.3211515584717011"/>
    <n v="0.9806804209314296"/>
    <n v="1.8265364014293735"/>
    <n v="0.75791203633249671"/>
    <n v="0.67891464284095016"/>
  </r>
  <r>
    <n v="38"/>
    <n v="38"/>
    <s v="No"/>
    <n v="0"/>
    <s v="Travel_Frequently"/>
    <n v="1"/>
    <n v="0"/>
    <x v="1"/>
    <n v="1"/>
    <n v="0"/>
    <n v="23"/>
    <n v="23"/>
    <n v="3"/>
    <s v="Life Sciences"/>
    <n v="1"/>
    <n v="0"/>
    <n v="0"/>
    <n v="0"/>
    <n v="0"/>
    <n v="4"/>
    <s v="Male"/>
    <n v="0"/>
    <n v="44"/>
    <n v="2"/>
    <n v="3"/>
    <s v="Manufacturing Director"/>
    <n v="0"/>
    <n v="0"/>
    <n v="0"/>
    <n v="0"/>
    <n v="1"/>
    <n v="1"/>
    <n v="0"/>
    <n v="0"/>
    <n v="3"/>
    <s v="Single"/>
    <n v="1"/>
    <n v="0"/>
    <n v="9526"/>
    <n v="9526"/>
    <n v="0"/>
    <s v="No"/>
    <n v="0"/>
    <n v="21"/>
    <n v="4"/>
    <n v="2"/>
    <n v="0"/>
    <n v="10"/>
    <x v="1"/>
    <n v="2"/>
    <n v="3"/>
    <n v="9"/>
    <n v="9"/>
    <n v="7"/>
    <n v="1"/>
    <n v="1"/>
    <n v="8"/>
    <n v="8"/>
    <n v="24"/>
    <n v="0"/>
    <n v="0"/>
    <n v="1"/>
    <n v="0"/>
    <n v="1"/>
    <n v="0"/>
    <n v="0"/>
    <n v="0"/>
    <n v="0"/>
    <n v="8"/>
    <n v="0"/>
    <n v="0"/>
    <n v="10"/>
    <n v="0"/>
    <n v="0.64211904372956286"/>
    <n v="1.08652546240644"/>
    <n v="0.1644554352117841"/>
    <n v="0.32511687867835437"/>
    <n v="1.7031841475541873"/>
    <n v="0.11780475942994788"/>
    <n v="0.36858985273641137"/>
  </r>
  <r>
    <n v="36"/>
    <n v="36"/>
    <s v="No"/>
    <n v="0"/>
    <s v="Travel_Rarely"/>
    <n v="0"/>
    <n v="1"/>
    <x v="1"/>
    <n v="1"/>
    <n v="0"/>
    <n v="27"/>
    <n v="27"/>
    <n v="3"/>
    <s v="Medical"/>
    <n v="0"/>
    <n v="0"/>
    <n v="1"/>
    <n v="0"/>
    <n v="0"/>
    <n v="3"/>
    <s v="Male"/>
    <n v="0"/>
    <n v="94"/>
    <n v="3"/>
    <n v="2"/>
    <s v="Healthcare Representative"/>
    <n v="1"/>
    <n v="0"/>
    <n v="0"/>
    <n v="0"/>
    <n v="0"/>
    <n v="0"/>
    <n v="0"/>
    <n v="0"/>
    <n v="3"/>
    <s v="Married"/>
    <n v="0"/>
    <n v="1"/>
    <n v="5237"/>
    <n v="5237"/>
    <n v="6"/>
    <s v="No"/>
    <n v="0"/>
    <n v="13"/>
    <n v="3"/>
    <n v="2"/>
    <n v="2"/>
    <n v="17"/>
    <x v="6"/>
    <n v="3"/>
    <n v="2"/>
    <n v="7"/>
    <n v="7"/>
    <n v="7"/>
    <n v="7"/>
    <n v="7"/>
    <n v="7"/>
    <n v="7"/>
    <n v="14"/>
    <n v="0"/>
    <n v="1"/>
    <n v="0"/>
    <n v="0"/>
    <n v="0"/>
    <n v="0"/>
    <n v="1"/>
    <n v="0"/>
    <n v="0"/>
    <n v="7"/>
    <n v="0"/>
    <n v="0"/>
    <n v="17"/>
    <n v="0"/>
    <n v="0.2688918677125115"/>
    <n v="0.80626709607243985"/>
    <n v="0.73519710510148462"/>
    <n v="1.3324462240916321E-3"/>
    <n v="2.1965931630549322"/>
    <n v="0.10112443951066327"/>
    <n v="1.4933588878908215"/>
  </r>
  <r>
    <n v="35"/>
    <n v="35"/>
    <s v="No"/>
    <n v="0"/>
    <s v="Travel_Rarely"/>
    <n v="0"/>
    <n v="1"/>
    <x v="1"/>
    <n v="1"/>
    <n v="0"/>
    <n v="16"/>
    <n v="16"/>
    <n v="3"/>
    <s v="Medical"/>
    <n v="0"/>
    <n v="0"/>
    <n v="1"/>
    <n v="0"/>
    <n v="0"/>
    <n v="1"/>
    <s v="Male"/>
    <n v="0"/>
    <n v="84"/>
    <n v="4"/>
    <n v="1"/>
    <s v="Laboratory Technician"/>
    <n v="0"/>
    <n v="0"/>
    <n v="1"/>
    <n v="0"/>
    <n v="0"/>
    <n v="0"/>
    <n v="0"/>
    <n v="0"/>
    <n v="2"/>
    <s v="Married"/>
    <n v="0"/>
    <n v="1"/>
    <n v="2426"/>
    <n v="2426"/>
    <n v="0"/>
    <s v="No"/>
    <n v="0"/>
    <n v="13"/>
    <n v="3"/>
    <n v="3"/>
    <n v="1"/>
    <n v="6"/>
    <x v="3"/>
    <n v="5"/>
    <n v="3"/>
    <n v="5"/>
    <n v="5"/>
    <n v="4"/>
    <n v="0"/>
    <n v="0"/>
    <n v="3"/>
    <n v="3"/>
    <n v="3"/>
    <n v="0"/>
    <n v="1"/>
    <n v="0"/>
    <n v="0"/>
    <n v="0"/>
    <n v="0"/>
    <n v="1"/>
    <n v="0"/>
    <n v="0"/>
    <n v="3"/>
    <n v="0"/>
    <n v="0"/>
    <n v="6"/>
    <n v="0"/>
    <n v="0.86596616756414846"/>
    <n v="0.31476636926356072"/>
    <n v="0.67854260110508058"/>
    <n v="0.32778177112653761"/>
    <n v="0.83971837042788355"/>
    <n v="0.21058903898096887"/>
    <n v="0.67891464284095016"/>
  </r>
  <r>
    <n v="29"/>
    <n v="29"/>
    <s v="No"/>
    <n v="0"/>
    <s v="Travel_Rarely"/>
    <n v="0"/>
    <n v="1"/>
    <x v="1"/>
    <n v="1"/>
    <n v="0"/>
    <n v="15"/>
    <n v="15"/>
    <n v="2"/>
    <s v="Life Sciences"/>
    <n v="1"/>
    <n v="0"/>
    <n v="0"/>
    <n v="0"/>
    <n v="0"/>
    <n v="4"/>
    <s v="Female"/>
    <n v="1"/>
    <n v="49"/>
    <n v="2"/>
    <n v="2"/>
    <s v="Laboratory Technician"/>
    <n v="0"/>
    <n v="0"/>
    <n v="1"/>
    <n v="0"/>
    <n v="0"/>
    <n v="0"/>
    <n v="0"/>
    <n v="0"/>
    <n v="3"/>
    <s v="Single"/>
    <n v="1"/>
    <n v="0"/>
    <n v="4193"/>
    <n v="4193"/>
    <n v="0"/>
    <s v="Yes"/>
    <n v="1"/>
    <n v="12"/>
    <n v="3"/>
    <n v="4"/>
    <n v="0"/>
    <n v="10"/>
    <x v="1"/>
    <n v="3"/>
    <n v="3"/>
    <n v="9"/>
    <n v="9"/>
    <n v="5"/>
    <n v="0"/>
    <n v="0"/>
    <n v="8"/>
    <n v="8"/>
    <n v="16"/>
    <n v="1"/>
    <n v="0"/>
    <n v="0"/>
    <n v="0"/>
    <n v="0"/>
    <n v="1"/>
    <n v="0"/>
    <n v="0"/>
    <n v="0"/>
    <n v="8"/>
    <n v="0"/>
    <n v="0"/>
    <n v="10"/>
    <n v="0"/>
    <n v="0.49064411568302341"/>
    <n v="1.08652546240644"/>
    <n v="0.1644554352117841"/>
    <n v="0.32511687867835437"/>
    <n v="0.71636611655269733"/>
    <n v="0.86737663580280233"/>
    <n v="0.67891464284095016"/>
  </r>
  <r>
    <n v="31"/>
    <n v="31"/>
    <s v="No"/>
    <n v="0"/>
    <s v="Travel_Rarely"/>
    <n v="0"/>
    <n v="1"/>
    <x v="1"/>
    <n v="1"/>
    <n v="0"/>
    <n v="26"/>
    <n v="26"/>
    <n v="1"/>
    <s v="Life Sciences"/>
    <n v="1"/>
    <n v="0"/>
    <n v="0"/>
    <n v="0"/>
    <n v="0"/>
    <n v="1"/>
    <s v="Male"/>
    <n v="0"/>
    <n v="31"/>
    <n v="3"/>
    <n v="1"/>
    <s v="Research Scientist"/>
    <n v="0"/>
    <n v="0"/>
    <n v="0"/>
    <n v="0"/>
    <n v="0"/>
    <n v="0"/>
    <n v="0"/>
    <n v="1"/>
    <n v="3"/>
    <s v="Divorced"/>
    <n v="0"/>
    <n v="0"/>
    <n v="2911"/>
    <n v="2911"/>
    <n v="1"/>
    <s v="No"/>
    <n v="0"/>
    <n v="17"/>
    <n v="3"/>
    <n v="4"/>
    <n v="1"/>
    <n v="5"/>
    <x v="7"/>
    <n v="1"/>
    <n v="2"/>
    <n v="5"/>
    <n v="5"/>
    <n v="2"/>
    <n v="4"/>
    <n v="4"/>
    <n v="3"/>
    <n v="3"/>
    <n v="3"/>
    <n v="1"/>
    <n v="0"/>
    <n v="0"/>
    <n v="0"/>
    <n v="1"/>
    <n v="0"/>
    <n v="0"/>
    <n v="0"/>
    <n v="0"/>
    <n v="3"/>
    <n v="0"/>
    <n v="0"/>
    <n v="5"/>
    <n v="0"/>
    <n v="0.76294907918704291"/>
    <n v="0.31476636926356072"/>
    <n v="0.80706439257840468"/>
    <n v="0.32778177112653761"/>
    <n v="2.0732409091797459"/>
    <n v="0.6484474368621912"/>
    <n v="0.56238451757720498"/>
  </r>
  <r>
    <n v="34"/>
    <n v="34"/>
    <s v="No"/>
    <n v="0"/>
    <s v="Travel_Rarely"/>
    <n v="0"/>
    <n v="1"/>
    <x v="1"/>
    <n v="1"/>
    <n v="0"/>
    <n v="19"/>
    <n v="19"/>
    <n v="2"/>
    <s v="Medical"/>
    <n v="0"/>
    <n v="0"/>
    <n v="1"/>
    <n v="0"/>
    <n v="0"/>
    <n v="2"/>
    <s v="Male"/>
    <n v="0"/>
    <n v="93"/>
    <n v="3"/>
    <n v="1"/>
    <s v="Laboratory Technician"/>
    <n v="0"/>
    <n v="0"/>
    <n v="1"/>
    <n v="0"/>
    <n v="0"/>
    <n v="0"/>
    <n v="0"/>
    <n v="0"/>
    <n v="4"/>
    <s v="Divorced"/>
    <n v="0"/>
    <n v="0"/>
    <n v="2661"/>
    <n v="2661"/>
    <n v="0"/>
    <s v="No"/>
    <n v="0"/>
    <n v="11"/>
    <n v="3"/>
    <n v="3"/>
    <n v="1"/>
    <n v="3"/>
    <x v="8"/>
    <n v="2"/>
    <n v="3"/>
    <n v="2"/>
    <n v="2"/>
    <n v="2"/>
    <n v="1"/>
    <n v="1"/>
    <n v="2"/>
    <n v="2"/>
    <n v="2"/>
    <n v="1"/>
    <n v="0"/>
    <n v="0"/>
    <n v="0"/>
    <n v="1"/>
    <n v="0"/>
    <n v="0"/>
    <n v="0"/>
    <n v="0"/>
    <n v="2"/>
    <n v="0"/>
    <n v="0"/>
    <n v="3"/>
    <n v="0"/>
    <n v="0.81605067113400453"/>
    <n v="0.59502473559756086"/>
    <n v="1.0641079755250529"/>
    <n v="0.81745575848020657"/>
    <n v="1.2097751320534422"/>
    <n v="0.32005363845127444"/>
    <n v="0.36858985273641137"/>
  </r>
  <r>
    <n v="28"/>
    <n v="28"/>
    <s v="Yes"/>
    <n v="1"/>
    <s v="Travel_Rarely"/>
    <n v="0"/>
    <n v="1"/>
    <x v="1"/>
    <n v="1"/>
    <n v="0"/>
    <n v="24"/>
    <n v="24"/>
    <n v="3"/>
    <s v="Life Sciences"/>
    <n v="1"/>
    <n v="0"/>
    <n v="0"/>
    <n v="0"/>
    <n v="0"/>
    <n v="3"/>
    <s v="Male"/>
    <n v="0"/>
    <n v="50"/>
    <n v="2"/>
    <n v="1"/>
    <s v="Laboratory Technician"/>
    <n v="0"/>
    <n v="0"/>
    <n v="1"/>
    <n v="0"/>
    <n v="0"/>
    <n v="0"/>
    <n v="0"/>
    <n v="0"/>
    <n v="3"/>
    <s v="Single"/>
    <n v="1"/>
    <n v="0"/>
    <n v="2028"/>
    <n v="2028"/>
    <n v="5"/>
    <s v="Yes"/>
    <n v="1"/>
    <n v="14"/>
    <n v="3"/>
    <n v="2"/>
    <n v="0"/>
    <n v="6"/>
    <x v="3"/>
    <n v="4"/>
    <n v="3"/>
    <n v="4"/>
    <n v="4"/>
    <n v="2"/>
    <n v="0"/>
    <n v="0"/>
    <n v="3"/>
    <n v="3"/>
    <n v="3"/>
    <n v="1"/>
    <n v="0"/>
    <n v="0"/>
    <n v="0"/>
    <n v="0"/>
    <n v="1"/>
    <n v="0"/>
    <n v="0"/>
    <n v="0"/>
    <n v="3"/>
    <n v="0"/>
    <n v="0"/>
    <n v="6"/>
    <n v="0"/>
    <n v="0.95050390194371148"/>
    <n v="0.31476636926356072"/>
    <n v="0.67854260110508058"/>
    <n v="0.49100643357776058"/>
    <n v="1.8265364014293735"/>
    <n v="0.97684123527310796"/>
    <n v="0.67891464284095016"/>
  </r>
  <r>
    <n v="29"/>
    <n v="29"/>
    <s v="No"/>
    <n v="0"/>
    <s v="Travel_Rarely"/>
    <n v="0"/>
    <n v="1"/>
    <x v="1"/>
    <n v="1"/>
    <n v="0"/>
    <n v="21"/>
    <n v="21"/>
    <n v="4"/>
    <s v="Life Sciences"/>
    <n v="1"/>
    <n v="0"/>
    <n v="0"/>
    <n v="0"/>
    <n v="0"/>
    <n v="2"/>
    <s v="Female"/>
    <n v="1"/>
    <n v="51"/>
    <n v="4"/>
    <n v="3"/>
    <s v="Manufacturing Director"/>
    <n v="0"/>
    <n v="0"/>
    <n v="0"/>
    <n v="0"/>
    <n v="1"/>
    <n v="1"/>
    <n v="0"/>
    <n v="0"/>
    <n v="1"/>
    <s v="Divorced"/>
    <n v="0"/>
    <n v="0"/>
    <n v="9980"/>
    <n v="9980"/>
    <n v="1"/>
    <s v="No"/>
    <n v="0"/>
    <n v="11"/>
    <n v="3"/>
    <n v="3"/>
    <n v="1"/>
    <n v="10"/>
    <x v="1"/>
    <n v="1"/>
    <n v="3"/>
    <n v="10"/>
    <n v="10"/>
    <n v="9"/>
    <n v="8"/>
    <n v="8"/>
    <n v="8"/>
    <n v="8"/>
    <n v="24"/>
    <n v="1"/>
    <n v="0"/>
    <n v="0"/>
    <n v="0"/>
    <n v="1"/>
    <n v="0"/>
    <n v="0"/>
    <n v="0"/>
    <n v="0"/>
    <n v="8"/>
    <n v="0"/>
    <n v="0"/>
    <n v="10"/>
    <n v="0"/>
    <n v="0.73855153470524526"/>
    <n v="1.08652546240644"/>
    <n v="0.1644554352117841"/>
    <n v="0.48834154112957734"/>
    <n v="1.4564796398038149"/>
    <n v="0.86737663580280233"/>
    <n v="1.8036836779953602"/>
  </r>
  <r>
    <n v="32"/>
    <n v="32"/>
    <s v="No"/>
    <n v="0"/>
    <s v="Travel_Rarely"/>
    <n v="0"/>
    <n v="1"/>
    <x v="1"/>
    <n v="1"/>
    <n v="0"/>
    <n v="5"/>
    <n v="5"/>
    <n v="2"/>
    <s v="Life Sciences"/>
    <n v="1"/>
    <n v="0"/>
    <n v="0"/>
    <n v="0"/>
    <n v="0"/>
    <n v="1"/>
    <s v="Male"/>
    <n v="0"/>
    <n v="80"/>
    <n v="4"/>
    <n v="1"/>
    <s v="Research Scientist"/>
    <n v="0"/>
    <n v="0"/>
    <n v="0"/>
    <n v="0"/>
    <n v="0"/>
    <n v="0"/>
    <n v="0"/>
    <n v="1"/>
    <n v="2"/>
    <s v="Divorced"/>
    <n v="0"/>
    <n v="0"/>
    <n v="3298"/>
    <n v="3298"/>
    <n v="0"/>
    <s v="Yes"/>
    <n v="1"/>
    <n v="12"/>
    <n v="3"/>
    <n v="4"/>
    <n v="2"/>
    <n v="7"/>
    <x v="2"/>
    <n v="5"/>
    <n v="2"/>
    <n v="6"/>
    <n v="6"/>
    <n v="2"/>
    <n v="0"/>
    <n v="0"/>
    <n v="5"/>
    <n v="5"/>
    <n v="5"/>
    <n v="1"/>
    <n v="0"/>
    <n v="0"/>
    <n v="0"/>
    <n v="0"/>
    <n v="1"/>
    <n v="0"/>
    <n v="0"/>
    <n v="0"/>
    <n v="5"/>
    <n v="0"/>
    <n v="0"/>
    <n v="7"/>
    <n v="0"/>
    <n v="0.68074781485314617"/>
    <n v="0.24575036340443959"/>
    <n v="0.55002080963175637"/>
    <n v="0.16455710867531462"/>
    <n v="0.51715642219916513"/>
    <n v="0.53898283739188557"/>
    <n v="0.67891464284095016"/>
  </r>
  <r>
    <n v="22"/>
    <n v="22"/>
    <s v="No"/>
    <n v="0"/>
    <s v="Non-Travel"/>
    <n v="0"/>
    <n v="0"/>
    <x v="1"/>
    <n v="1"/>
    <n v="0"/>
    <n v="16"/>
    <n v="16"/>
    <n v="2"/>
    <s v="Medical"/>
    <n v="0"/>
    <n v="0"/>
    <n v="1"/>
    <n v="0"/>
    <n v="0"/>
    <n v="4"/>
    <s v="Male"/>
    <n v="0"/>
    <n v="96"/>
    <n v="4"/>
    <n v="1"/>
    <s v="Laboratory Technician"/>
    <n v="0"/>
    <n v="0"/>
    <n v="1"/>
    <n v="0"/>
    <n v="0"/>
    <n v="0"/>
    <n v="0"/>
    <n v="0"/>
    <n v="4"/>
    <s v="Divorced"/>
    <n v="0"/>
    <n v="0"/>
    <n v="2935"/>
    <n v="2935"/>
    <n v="1"/>
    <s v="Yes"/>
    <n v="1"/>
    <n v="13"/>
    <n v="3"/>
    <n v="2"/>
    <n v="2"/>
    <n v="1"/>
    <x v="5"/>
    <n v="2"/>
    <n v="2"/>
    <n v="1"/>
    <n v="1"/>
    <n v="0"/>
    <n v="0"/>
    <n v="0"/>
    <n v="0"/>
    <n v="0"/>
    <n v="0"/>
    <n v="1"/>
    <n v="0"/>
    <n v="0"/>
    <n v="0"/>
    <n v="0"/>
    <n v="1"/>
    <n v="0"/>
    <n v="0"/>
    <n v="0"/>
    <n v="0"/>
    <n v="0"/>
    <n v="0"/>
    <n v="1"/>
    <n v="0"/>
    <n v="0.75785132636013453"/>
    <n v="1.1555414682655611"/>
    <n v="1.3211515584717011"/>
    <n v="0.9806804209314296"/>
    <n v="0.83971837042788355"/>
    <n v="1.6336288320949415"/>
    <n v="0.67891464284095016"/>
  </r>
  <r>
    <n v="53"/>
    <n v="53"/>
    <s v="No"/>
    <n v="0"/>
    <s v="Travel_Rarely"/>
    <n v="0"/>
    <n v="1"/>
    <x v="0"/>
    <n v="0"/>
    <n v="1"/>
    <n v="2"/>
    <n v="2"/>
    <n v="4"/>
    <s v="Life Sciences"/>
    <n v="1"/>
    <n v="0"/>
    <n v="0"/>
    <n v="0"/>
    <n v="0"/>
    <n v="1"/>
    <s v="Female"/>
    <n v="1"/>
    <n v="78"/>
    <n v="2"/>
    <n v="4"/>
    <s v="Manager"/>
    <n v="0"/>
    <n v="0"/>
    <n v="0"/>
    <n v="1"/>
    <n v="0"/>
    <n v="0"/>
    <n v="0"/>
    <n v="0"/>
    <n v="4"/>
    <s v="Married"/>
    <n v="0"/>
    <n v="1"/>
    <n v="15427"/>
    <n v="15427"/>
    <n v="2"/>
    <s v="No"/>
    <n v="0"/>
    <n v="16"/>
    <n v="3"/>
    <n v="3"/>
    <n v="0"/>
    <n v="31"/>
    <x v="9"/>
    <n v="3"/>
    <n v="3"/>
    <n v="25"/>
    <n v="25"/>
    <n v="8"/>
    <n v="3"/>
    <n v="3"/>
    <n v="7"/>
    <n v="7"/>
    <n v="28"/>
    <n v="0"/>
    <n v="1"/>
    <n v="0"/>
    <n v="0"/>
    <n v="0"/>
    <n v="0"/>
    <n v="1"/>
    <n v="0"/>
    <n v="0"/>
    <n v="0"/>
    <n v="7"/>
    <n v="0"/>
    <n v="0"/>
    <n v="31"/>
    <n v="1.8955290200456461"/>
    <n v="0.80626709607243985"/>
    <n v="2.5345021857280217"/>
    <n v="2.936711477897922"/>
    <n v="0.88721318382472392"/>
    <n v="1.7597737514845315"/>
    <n v="0.2520597274726662"/>
  </r>
  <r>
    <n v="38"/>
    <n v="38"/>
    <s v="No"/>
    <n v="0"/>
    <s v="Travel_Rarely"/>
    <n v="0"/>
    <n v="1"/>
    <x v="1"/>
    <n v="1"/>
    <n v="0"/>
    <n v="2"/>
    <n v="2"/>
    <n v="3"/>
    <s v="Life Sciences"/>
    <n v="1"/>
    <n v="0"/>
    <n v="0"/>
    <n v="0"/>
    <n v="0"/>
    <n v="4"/>
    <s v="Male"/>
    <n v="0"/>
    <n v="45"/>
    <n v="3"/>
    <n v="1"/>
    <s v="Research Scientist"/>
    <n v="0"/>
    <n v="0"/>
    <n v="0"/>
    <n v="0"/>
    <n v="0"/>
    <n v="0"/>
    <n v="0"/>
    <n v="1"/>
    <n v="4"/>
    <s v="Single"/>
    <n v="1"/>
    <n v="0"/>
    <n v="3944"/>
    <n v="3944"/>
    <n v="5"/>
    <s v="Yes"/>
    <n v="1"/>
    <n v="11"/>
    <n v="3"/>
    <n v="3"/>
    <n v="0"/>
    <n v="6"/>
    <x v="3"/>
    <n v="3"/>
    <n v="3"/>
    <n v="3"/>
    <n v="3"/>
    <n v="2"/>
    <n v="1"/>
    <n v="1"/>
    <n v="2"/>
    <n v="2"/>
    <n v="2"/>
    <n v="1"/>
    <n v="0"/>
    <n v="0"/>
    <n v="0"/>
    <n v="0"/>
    <n v="1"/>
    <n v="0"/>
    <n v="0"/>
    <n v="0"/>
    <n v="2"/>
    <n v="0"/>
    <n v="0"/>
    <n v="6"/>
    <n v="0"/>
    <n v="0.54353330126219723"/>
    <n v="0.59502473559756086"/>
    <n v="0.67854260110508058"/>
    <n v="0.65423109602898355"/>
    <n v="0.88721318382472392"/>
    <n v="0.11780475942994788"/>
    <n v="0.36858985273641137"/>
  </r>
  <r>
    <n v="24"/>
    <n v="24"/>
    <s v="No"/>
    <n v="0"/>
    <s v="Non-Travel"/>
    <n v="0"/>
    <n v="0"/>
    <x v="1"/>
    <n v="1"/>
    <n v="0"/>
    <n v="11"/>
    <n v="11"/>
    <n v="2"/>
    <s v="Other"/>
    <n v="0"/>
    <n v="1"/>
    <n v="0"/>
    <n v="0"/>
    <n v="0"/>
    <n v="1"/>
    <s v="Female"/>
    <n v="1"/>
    <n v="96"/>
    <n v="4"/>
    <n v="2"/>
    <s v="Manufacturing Director"/>
    <n v="0"/>
    <n v="0"/>
    <n v="0"/>
    <n v="0"/>
    <n v="1"/>
    <n v="1"/>
    <n v="0"/>
    <n v="0"/>
    <n v="3"/>
    <s v="Divorced"/>
    <n v="0"/>
    <n v="0"/>
    <n v="4011"/>
    <n v="4011"/>
    <n v="0"/>
    <s v="No"/>
    <n v="0"/>
    <n v="18"/>
    <n v="3"/>
    <n v="4"/>
    <n v="1"/>
    <n v="5"/>
    <x v="7"/>
    <n v="5"/>
    <n v="2"/>
    <n v="4"/>
    <n v="4"/>
    <n v="2"/>
    <n v="1"/>
    <n v="1"/>
    <n v="3"/>
    <n v="3"/>
    <n v="6"/>
    <n v="1"/>
    <n v="0"/>
    <n v="0"/>
    <n v="0"/>
    <n v="1"/>
    <n v="0"/>
    <n v="0"/>
    <n v="0"/>
    <n v="0"/>
    <n v="3"/>
    <n v="0"/>
    <n v="0"/>
    <n v="5"/>
    <n v="0"/>
    <n v="0.52930207462041157"/>
    <n v="0.31476636926356072"/>
    <n v="0.80706439257840468"/>
    <n v="0.49100643357776058"/>
    <n v="0.22295710105195232"/>
    <n v="1.4146996331543302"/>
    <n v="0.36858985273641137"/>
  </r>
  <r>
    <n v="36"/>
    <n v="36"/>
    <s v="Yes"/>
    <n v="1"/>
    <s v="Travel_Rarely"/>
    <n v="0"/>
    <n v="1"/>
    <x v="0"/>
    <n v="0"/>
    <n v="1"/>
    <n v="9"/>
    <n v="9"/>
    <n v="4"/>
    <s v="Life Sciences"/>
    <n v="1"/>
    <n v="0"/>
    <n v="0"/>
    <n v="0"/>
    <n v="0"/>
    <n v="3"/>
    <s v="Male"/>
    <n v="0"/>
    <n v="82"/>
    <n v="2"/>
    <n v="1"/>
    <s v="Sales Representative"/>
    <n v="0"/>
    <n v="0"/>
    <n v="0"/>
    <n v="0"/>
    <n v="0"/>
    <n v="0"/>
    <n v="1"/>
    <n v="0"/>
    <n v="1"/>
    <s v="Single"/>
    <n v="1"/>
    <n v="0"/>
    <n v="3407"/>
    <n v="3407"/>
    <n v="7"/>
    <s v="No"/>
    <n v="0"/>
    <n v="23"/>
    <n v="4"/>
    <n v="2"/>
    <n v="0"/>
    <n v="10"/>
    <x v="1"/>
    <n v="4"/>
    <n v="3"/>
    <n v="5"/>
    <n v="5"/>
    <n v="3"/>
    <n v="0"/>
    <n v="0"/>
    <n v="3"/>
    <n v="3"/>
    <n v="3"/>
    <n v="1"/>
    <n v="0"/>
    <n v="0"/>
    <n v="0"/>
    <n v="1"/>
    <n v="0"/>
    <n v="0"/>
    <n v="0"/>
    <n v="0"/>
    <n v="0"/>
    <n v="3"/>
    <n v="0"/>
    <n v="0"/>
    <n v="10"/>
    <n v="0.65759552076427086"/>
    <n v="0.31476636926356072"/>
    <n v="0.1644554352117841"/>
    <n v="0.32778177112653761"/>
    <n v="2.3747406698420157E-2"/>
    <n v="0.10112443951066327"/>
    <n v="0.67891464284095016"/>
  </r>
  <r>
    <n v="34"/>
    <n v="34"/>
    <s v="No"/>
    <n v="0"/>
    <s v="Travel_Rarely"/>
    <n v="0"/>
    <n v="1"/>
    <x v="1"/>
    <n v="1"/>
    <n v="0"/>
    <n v="7"/>
    <n v="7"/>
    <n v="4"/>
    <s v="Life Sciences"/>
    <n v="1"/>
    <n v="0"/>
    <n v="0"/>
    <n v="0"/>
    <n v="0"/>
    <n v="1"/>
    <s v="Female"/>
    <n v="1"/>
    <n v="53"/>
    <n v="3"/>
    <n v="3"/>
    <s v="Research Director"/>
    <n v="0"/>
    <n v="0"/>
    <n v="0"/>
    <n v="0"/>
    <n v="0"/>
    <n v="0"/>
    <n v="0"/>
    <n v="0"/>
    <n v="2"/>
    <s v="Single"/>
    <n v="1"/>
    <n v="0"/>
    <n v="11994"/>
    <n v="11994"/>
    <n v="0"/>
    <s v="No"/>
    <n v="0"/>
    <n v="11"/>
    <n v="3"/>
    <n v="3"/>
    <n v="0"/>
    <n v="13"/>
    <x v="10"/>
    <n v="4"/>
    <n v="3"/>
    <n v="12"/>
    <n v="12"/>
    <n v="6"/>
    <n v="2"/>
    <n v="2"/>
    <n v="11"/>
    <n v="11"/>
    <n v="33"/>
    <n v="1"/>
    <n v="0"/>
    <n v="0"/>
    <n v="0"/>
    <n v="1"/>
    <n v="0"/>
    <n v="0"/>
    <n v="0"/>
    <n v="0"/>
    <n v="11"/>
    <n v="0"/>
    <n v="0"/>
    <n v="13"/>
    <n v="0"/>
    <n v="1.1663379594299685"/>
    <n v="1.9273005614084406"/>
    <n v="0.22110993920818819"/>
    <n v="0.81479086603202333"/>
    <n v="0.27045191444879263"/>
    <n v="0.32005363845127444"/>
    <n v="5.8265062631872602E-2"/>
  </r>
  <r>
    <n v="21"/>
    <n v="21"/>
    <s v="No"/>
    <n v="0"/>
    <s v="Travel_Rarely"/>
    <n v="0"/>
    <n v="1"/>
    <x v="1"/>
    <n v="1"/>
    <n v="0"/>
    <n v="15"/>
    <n v="15"/>
    <n v="2"/>
    <s v="Life Sciences"/>
    <n v="1"/>
    <n v="0"/>
    <n v="0"/>
    <n v="0"/>
    <n v="0"/>
    <n v="3"/>
    <s v="Male"/>
    <n v="0"/>
    <n v="96"/>
    <n v="3"/>
    <n v="1"/>
    <s v="Research Scientist"/>
    <n v="0"/>
    <n v="0"/>
    <n v="0"/>
    <n v="0"/>
    <n v="0"/>
    <n v="0"/>
    <n v="0"/>
    <n v="1"/>
    <n v="4"/>
    <s v="Single"/>
    <n v="1"/>
    <n v="0"/>
    <n v="1232"/>
    <n v="1382.46"/>
    <n v="1"/>
    <s v="No"/>
    <n v="0"/>
    <n v="14"/>
    <n v="3"/>
    <n v="4"/>
    <n v="0"/>
    <n v="0"/>
    <x v="5"/>
    <n v="6"/>
    <n v="3"/>
    <n v="0"/>
    <n v="0"/>
    <n v="0"/>
    <n v="0"/>
    <n v="0"/>
    <n v="0"/>
    <n v="0"/>
    <n v="0"/>
    <n v="1"/>
    <n v="0"/>
    <n v="0"/>
    <n v="0"/>
    <n v="1"/>
    <n v="0"/>
    <n v="0"/>
    <n v="0"/>
    <n v="0"/>
    <n v="0"/>
    <n v="0"/>
    <n v="0"/>
    <n v="1"/>
    <n v="0"/>
    <n v="1.1195793707028374"/>
    <n v="1.1555414682655611"/>
    <n v="1.4496733499450252"/>
    <n v="1.1439050833826525"/>
    <n v="0.71636611655269733"/>
    <n v="1.7430934315652469"/>
    <n v="0.67891464284095016"/>
  </r>
  <r>
    <n v="34"/>
    <n v="34"/>
    <s v="Yes"/>
    <n v="1"/>
    <s v="Travel_Rarely"/>
    <n v="0"/>
    <n v="1"/>
    <x v="1"/>
    <n v="1"/>
    <n v="0"/>
    <n v="6"/>
    <n v="6"/>
    <n v="1"/>
    <s v="Medical"/>
    <n v="0"/>
    <n v="0"/>
    <n v="1"/>
    <n v="0"/>
    <n v="0"/>
    <n v="2"/>
    <s v="Male"/>
    <n v="0"/>
    <n v="83"/>
    <n v="3"/>
    <n v="1"/>
    <s v="Research Scientist"/>
    <n v="0"/>
    <n v="0"/>
    <n v="0"/>
    <n v="0"/>
    <n v="0"/>
    <n v="0"/>
    <n v="0"/>
    <n v="1"/>
    <n v="1"/>
    <s v="Single"/>
    <n v="1"/>
    <n v="0"/>
    <n v="2960"/>
    <n v="2960"/>
    <n v="2"/>
    <s v="No"/>
    <n v="0"/>
    <n v="11"/>
    <n v="3"/>
    <n v="3"/>
    <n v="0"/>
    <n v="8"/>
    <x v="0"/>
    <n v="2"/>
    <n v="3"/>
    <n v="4"/>
    <n v="4"/>
    <n v="2"/>
    <n v="1"/>
    <n v="1"/>
    <n v="3"/>
    <n v="3"/>
    <n v="3"/>
    <n v="1"/>
    <n v="0"/>
    <n v="0"/>
    <n v="0"/>
    <n v="1"/>
    <n v="0"/>
    <n v="0"/>
    <n v="0"/>
    <n v="0"/>
    <n v="3"/>
    <n v="0"/>
    <n v="0"/>
    <n v="8"/>
    <n v="0"/>
    <n v="0.7525411671654384"/>
    <n v="0.31476636926356072"/>
    <n v="0.42149901815843233"/>
    <n v="0.49100643357776058"/>
    <n v="0.39380416832397891"/>
    <n v="0.32005363845127444"/>
    <n v="0.36858985273641137"/>
  </r>
  <r>
    <n v="53"/>
    <n v="53"/>
    <s v="No"/>
    <n v="0"/>
    <s v="Travel_Rarely"/>
    <n v="0"/>
    <n v="1"/>
    <x v="1"/>
    <n v="1"/>
    <n v="0"/>
    <n v="5"/>
    <n v="5"/>
    <n v="3"/>
    <s v="Other"/>
    <n v="0"/>
    <n v="1"/>
    <n v="0"/>
    <n v="0"/>
    <n v="0"/>
    <n v="3"/>
    <s v="Female"/>
    <n v="1"/>
    <n v="58"/>
    <n v="3"/>
    <n v="5"/>
    <s v="Manager"/>
    <n v="0"/>
    <n v="0"/>
    <n v="0"/>
    <n v="1"/>
    <n v="0"/>
    <n v="0"/>
    <n v="0"/>
    <n v="0"/>
    <n v="3"/>
    <s v="Divorced"/>
    <n v="0"/>
    <n v="0"/>
    <n v="19094"/>
    <n v="19094"/>
    <n v="4"/>
    <s v="No"/>
    <n v="0"/>
    <n v="11"/>
    <n v="3"/>
    <n v="4"/>
    <n v="1"/>
    <n v="26"/>
    <x v="11"/>
    <n v="3"/>
    <n v="2"/>
    <n v="14"/>
    <n v="14"/>
    <n v="13"/>
    <n v="4"/>
    <n v="4"/>
    <n v="8"/>
    <n v="8"/>
    <n v="40"/>
    <n v="1"/>
    <n v="0"/>
    <n v="0"/>
    <n v="0"/>
    <n v="1"/>
    <n v="0"/>
    <n v="0"/>
    <n v="0"/>
    <n v="0"/>
    <n v="8"/>
    <n v="0"/>
    <n v="0"/>
    <n v="26"/>
    <n v="0"/>
    <n v="2.6744231707236796"/>
    <n v="1.08652546240644"/>
    <n v="1.8918932283614016"/>
    <n v="1.1412401909344694"/>
    <n v="0.51715642219916513"/>
    <n v="1.7597737514845315"/>
    <n v="0.56238451757720498"/>
  </r>
  <r>
    <n v="32"/>
    <n v="32"/>
    <s v="Yes"/>
    <n v="1"/>
    <s v="Travel_Frequently"/>
    <n v="1"/>
    <n v="0"/>
    <x v="1"/>
    <n v="1"/>
    <n v="0"/>
    <n v="16"/>
    <n v="16"/>
    <n v="1"/>
    <s v="Life Sciences"/>
    <n v="1"/>
    <n v="0"/>
    <n v="0"/>
    <n v="0"/>
    <n v="0"/>
    <n v="2"/>
    <s v="Female"/>
    <n v="1"/>
    <n v="72"/>
    <n v="1"/>
    <n v="1"/>
    <s v="Research Scientist"/>
    <n v="0"/>
    <n v="0"/>
    <n v="0"/>
    <n v="0"/>
    <n v="0"/>
    <n v="0"/>
    <n v="0"/>
    <n v="1"/>
    <n v="1"/>
    <s v="Single"/>
    <n v="1"/>
    <n v="0"/>
    <n v="3919"/>
    <n v="3919"/>
    <n v="1"/>
    <s v="Yes"/>
    <n v="1"/>
    <n v="22"/>
    <n v="4"/>
    <n v="2"/>
    <n v="0"/>
    <n v="10"/>
    <x v="1"/>
    <n v="5"/>
    <n v="3"/>
    <n v="10"/>
    <n v="10"/>
    <n v="2"/>
    <n v="6"/>
    <n v="6"/>
    <n v="7"/>
    <n v="7"/>
    <n v="7"/>
    <n v="0"/>
    <n v="0"/>
    <n v="1"/>
    <n v="0"/>
    <n v="0"/>
    <n v="1"/>
    <n v="0"/>
    <n v="0"/>
    <n v="0"/>
    <n v="7"/>
    <n v="0"/>
    <n v="0"/>
    <n v="10"/>
    <n v="0"/>
    <n v="0.54884346045689336"/>
    <n v="0.80626709607243985"/>
    <n v="0.1644554352117841"/>
    <n v="0.48834154112957734"/>
    <n v="0.83971837042788355"/>
    <n v="0.53898283739188557"/>
    <n v="1.1830340977862825"/>
  </r>
  <r>
    <n v="42"/>
    <n v="42"/>
    <s v="No"/>
    <n v="0"/>
    <s v="Travel_Rarely"/>
    <n v="0"/>
    <n v="1"/>
    <x v="0"/>
    <n v="0"/>
    <n v="1"/>
    <n v="8"/>
    <n v="8"/>
    <n v="4"/>
    <s v="Marketing"/>
    <n v="0"/>
    <n v="0"/>
    <n v="0"/>
    <n v="1"/>
    <n v="0"/>
    <n v="3"/>
    <s v="Male"/>
    <n v="0"/>
    <n v="48"/>
    <n v="3"/>
    <n v="2"/>
    <s v="Sales Executive"/>
    <n v="0"/>
    <n v="1"/>
    <n v="0"/>
    <n v="0"/>
    <n v="0"/>
    <n v="0"/>
    <n v="0"/>
    <n v="0"/>
    <n v="2"/>
    <s v="Married"/>
    <n v="0"/>
    <n v="1"/>
    <n v="6825"/>
    <n v="6825"/>
    <n v="0"/>
    <s v="No"/>
    <n v="0"/>
    <n v="11"/>
    <n v="3"/>
    <n v="4"/>
    <n v="1"/>
    <n v="10"/>
    <x v="1"/>
    <n v="2"/>
    <n v="3"/>
    <n v="9"/>
    <n v="9"/>
    <n v="7"/>
    <n v="4"/>
    <n v="4"/>
    <n v="2"/>
    <n v="2"/>
    <n v="4"/>
    <n v="0"/>
    <n v="1"/>
    <n v="0"/>
    <n v="0"/>
    <n v="0"/>
    <n v="0"/>
    <n v="1"/>
    <n v="0"/>
    <n v="0"/>
    <n v="0"/>
    <n v="2"/>
    <n v="0"/>
    <n v="0"/>
    <n v="10"/>
    <n v="6.8409444334589009E-2"/>
    <n v="0.59502473559756086"/>
    <n v="0.1644554352117841"/>
    <n v="0.32511687867835437"/>
    <n v="0.14709966057360641"/>
    <n v="0.55566315731117022"/>
    <n v="0.56238451757720498"/>
  </r>
  <r>
    <n v="44"/>
    <n v="44"/>
    <s v="No"/>
    <n v="0"/>
    <s v="Travel_Rarely"/>
    <n v="0"/>
    <n v="1"/>
    <x v="1"/>
    <n v="1"/>
    <n v="0"/>
    <n v="7"/>
    <n v="7"/>
    <n v="4"/>
    <s v="Medical"/>
    <n v="0"/>
    <n v="0"/>
    <n v="1"/>
    <n v="0"/>
    <n v="0"/>
    <n v="1"/>
    <s v="Female"/>
    <n v="1"/>
    <n v="42"/>
    <n v="2"/>
    <n v="3"/>
    <s v="Healthcare Representative"/>
    <n v="1"/>
    <n v="0"/>
    <n v="0"/>
    <n v="0"/>
    <n v="0"/>
    <n v="0"/>
    <n v="0"/>
    <n v="0"/>
    <n v="4"/>
    <s v="Married"/>
    <n v="0"/>
    <n v="1"/>
    <n v="10248"/>
    <n v="10248"/>
    <n v="3"/>
    <s v="No"/>
    <n v="0"/>
    <n v="14"/>
    <n v="3"/>
    <n v="4"/>
    <n v="1"/>
    <n v="24"/>
    <x v="12"/>
    <n v="4"/>
    <n v="3"/>
    <n v="22"/>
    <n v="22"/>
    <n v="6"/>
    <n v="5"/>
    <n v="5"/>
    <n v="17"/>
    <n v="14"/>
    <n v="42"/>
    <n v="0"/>
    <n v="1"/>
    <n v="0"/>
    <n v="0"/>
    <n v="0"/>
    <n v="0"/>
    <n v="1"/>
    <n v="0"/>
    <n v="0"/>
    <n v="14"/>
    <n v="0"/>
    <n v="0"/>
    <n v="24"/>
    <n v="0"/>
    <n v="0.79547644127238815"/>
    <n v="3.6088507594124417"/>
    <n v="1.6348496454147534"/>
    <n v="2.4470374905442531"/>
    <n v="0.27045191444879263"/>
    <n v="0.77459235625178136"/>
    <n v="0.87270930768174382"/>
  </r>
  <r>
    <n v="46"/>
    <n v="46"/>
    <s v="No"/>
    <n v="0"/>
    <s v="Travel_Rarely"/>
    <n v="0"/>
    <n v="1"/>
    <x v="0"/>
    <n v="0"/>
    <n v="1"/>
    <n v="2"/>
    <n v="2"/>
    <n v="4"/>
    <s v="Marketing"/>
    <n v="0"/>
    <n v="0"/>
    <n v="0"/>
    <n v="1"/>
    <n v="0"/>
    <n v="2"/>
    <s v="Female"/>
    <n v="1"/>
    <n v="83"/>
    <n v="3"/>
    <n v="5"/>
    <s v="Manager"/>
    <n v="0"/>
    <n v="0"/>
    <n v="0"/>
    <n v="1"/>
    <n v="0"/>
    <n v="0"/>
    <n v="0"/>
    <n v="0"/>
    <n v="1"/>
    <s v="Single"/>
    <n v="1"/>
    <n v="0"/>
    <n v="18947"/>
    <n v="18947"/>
    <n v="3"/>
    <s v="No"/>
    <n v="0"/>
    <n v="12"/>
    <n v="3"/>
    <n v="4"/>
    <n v="0"/>
    <n v="22"/>
    <x v="13"/>
    <n v="2"/>
    <n v="2"/>
    <n v="2"/>
    <n v="2"/>
    <n v="2"/>
    <n v="2"/>
    <n v="2"/>
    <n v="1"/>
    <n v="1"/>
    <n v="5"/>
    <n v="1"/>
    <n v="0"/>
    <n v="0"/>
    <n v="0"/>
    <n v="1"/>
    <n v="0"/>
    <n v="0"/>
    <n v="0"/>
    <n v="0"/>
    <n v="0"/>
    <n v="1"/>
    <n v="0"/>
    <n v="0"/>
    <n v="22"/>
    <n v="2.6431994346588663"/>
    <n v="0.87528310193156111"/>
    <n v="1.3778060624681052"/>
    <n v="0.81745575848020657"/>
    <n v="0.88721318382472392"/>
    <n v="0.99352155519239249"/>
    <n v="5.8265062631872602E-2"/>
  </r>
  <r>
    <n v="33"/>
    <n v="33"/>
    <s v="No"/>
    <n v="0"/>
    <s v="Travel_Rarely"/>
    <n v="0"/>
    <n v="1"/>
    <x v="1"/>
    <n v="1"/>
    <n v="0"/>
    <n v="2"/>
    <n v="2"/>
    <n v="3"/>
    <s v="Medical"/>
    <n v="0"/>
    <n v="0"/>
    <n v="1"/>
    <n v="0"/>
    <n v="0"/>
    <n v="3"/>
    <s v="Male"/>
    <n v="0"/>
    <n v="78"/>
    <n v="3"/>
    <n v="1"/>
    <s v="Laboratory Technician"/>
    <n v="0"/>
    <n v="0"/>
    <n v="1"/>
    <n v="0"/>
    <n v="0"/>
    <n v="0"/>
    <n v="0"/>
    <n v="0"/>
    <n v="4"/>
    <s v="Single"/>
    <n v="1"/>
    <n v="0"/>
    <n v="2496"/>
    <n v="2496"/>
    <n v="4"/>
    <s v="No"/>
    <n v="0"/>
    <n v="11"/>
    <n v="3"/>
    <n v="4"/>
    <n v="0"/>
    <n v="7"/>
    <x v="2"/>
    <n v="3"/>
    <n v="3"/>
    <n v="1"/>
    <n v="1"/>
    <n v="1"/>
    <n v="0"/>
    <n v="0"/>
    <n v="0"/>
    <n v="0"/>
    <n v="0"/>
    <n v="1"/>
    <n v="0"/>
    <n v="0"/>
    <n v="0"/>
    <n v="1"/>
    <n v="0"/>
    <n v="0"/>
    <n v="0"/>
    <n v="0"/>
    <n v="0"/>
    <n v="0"/>
    <n v="0"/>
    <n v="7"/>
    <n v="0"/>
    <n v="0.85109772181899923"/>
    <n v="1.1555414682655611"/>
    <n v="0.55002080963175637"/>
    <n v="0.9806804209314296"/>
    <n v="0.88721318382472392"/>
    <n v="0.42951823792158"/>
    <n v="0.67891464284095016"/>
  </r>
  <r>
    <n v="44"/>
    <n v="44"/>
    <s v="No"/>
    <n v="0"/>
    <s v="Travel_Rarely"/>
    <n v="0"/>
    <n v="1"/>
    <x v="1"/>
    <n v="1"/>
    <n v="0"/>
    <n v="10"/>
    <n v="10"/>
    <n v="4"/>
    <s v="Other"/>
    <n v="0"/>
    <n v="1"/>
    <n v="0"/>
    <n v="0"/>
    <n v="0"/>
    <n v="4"/>
    <s v="Male"/>
    <n v="0"/>
    <n v="41"/>
    <n v="3"/>
    <n v="2"/>
    <s v="Healthcare Representative"/>
    <n v="1"/>
    <n v="0"/>
    <n v="0"/>
    <n v="0"/>
    <n v="0"/>
    <n v="0"/>
    <n v="0"/>
    <n v="0"/>
    <n v="4"/>
    <s v="Married"/>
    <n v="0"/>
    <n v="1"/>
    <n v="6465"/>
    <n v="6465"/>
    <n v="2"/>
    <s v="Yes"/>
    <n v="1"/>
    <n v="13"/>
    <n v="3"/>
    <n v="4"/>
    <n v="0"/>
    <n v="9"/>
    <x v="14"/>
    <n v="5"/>
    <n v="4"/>
    <n v="4"/>
    <n v="4"/>
    <n v="2"/>
    <n v="1"/>
    <n v="1"/>
    <n v="3"/>
    <n v="3"/>
    <n v="6"/>
    <n v="0"/>
    <n v="1"/>
    <n v="0"/>
    <n v="0"/>
    <n v="0"/>
    <n v="0"/>
    <n v="0"/>
    <n v="1"/>
    <n v="0"/>
    <n v="3"/>
    <n v="0"/>
    <n v="0"/>
    <n v="9"/>
    <n v="0"/>
    <n v="8.0568480690357894E-3"/>
    <n v="0.31476636926356072"/>
    <n v="0.29297722668510823"/>
    <n v="0.49100643357776058"/>
    <n v="9.9604847176766084E-2"/>
    <n v="0.77459235625178136"/>
    <n v="0.36858985273641137"/>
  </r>
  <r>
    <n v="30"/>
    <n v="30"/>
    <s v="No"/>
    <n v="0"/>
    <s v="Travel_Rarely"/>
    <n v="0"/>
    <n v="1"/>
    <x v="1"/>
    <n v="1"/>
    <n v="0"/>
    <n v="9"/>
    <n v="9"/>
    <n v="2"/>
    <s v="Medical"/>
    <n v="0"/>
    <n v="0"/>
    <n v="1"/>
    <n v="0"/>
    <n v="0"/>
    <n v="4"/>
    <s v="Male"/>
    <n v="0"/>
    <n v="83"/>
    <n v="2"/>
    <n v="1"/>
    <s v="Laboratory Technician"/>
    <n v="0"/>
    <n v="0"/>
    <n v="1"/>
    <n v="0"/>
    <n v="0"/>
    <n v="0"/>
    <n v="0"/>
    <n v="0"/>
    <n v="3"/>
    <s v="Single"/>
    <n v="1"/>
    <n v="0"/>
    <n v="2206"/>
    <n v="2206"/>
    <n v="1"/>
    <s v="No"/>
    <n v="0"/>
    <n v="13"/>
    <n v="3"/>
    <n v="1"/>
    <n v="0"/>
    <n v="10"/>
    <x v="1"/>
    <n v="5"/>
    <n v="3"/>
    <n v="10"/>
    <n v="10"/>
    <n v="0"/>
    <n v="1"/>
    <n v="1"/>
    <n v="8"/>
    <n v="8"/>
    <n v="8"/>
    <n v="1"/>
    <n v="0"/>
    <n v="0"/>
    <n v="0"/>
    <n v="1"/>
    <n v="0"/>
    <n v="0"/>
    <n v="0"/>
    <n v="0"/>
    <n v="8"/>
    <n v="0"/>
    <n v="0"/>
    <n v="10"/>
    <n v="0"/>
    <n v="0.91269556847747479"/>
    <n v="1.08652546240644"/>
    <n v="0.1644554352117841"/>
    <n v="0.48834154112957734"/>
    <n v="2.3747406698420157E-2"/>
    <n v="0.75791203633249671"/>
    <n v="0.36858985273641137"/>
  </r>
  <r>
    <n v="39"/>
    <n v="39"/>
    <s v="Yes"/>
    <n v="1"/>
    <s v="Travel_Rarely"/>
    <n v="0"/>
    <n v="1"/>
    <x v="0"/>
    <n v="0"/>
    <n v="1"/>
    <n v="5"/>
    <n v="5"/>
    <n v="3"/>
    <s v="Technical Degree"/>
    <n v="0"/>
    <n v="0"/>
    <n v="0"/>
    <n v="0"/>
    <n v="1"/>
    <n v="4"/>
    <s v="Male"/>
    <n v="0"/>
    <n v="56"/>
    <n v="3"/>
    <n v="2"/>
    <s v="Sales Representative"/>
    <n v="0"/>
    <n v="0"/>
    <n v="0"/>
    <n v="0"/>
    <n v="0"/>
    <n v="0"/>
    <n v="1"/>
    <n v="0"/>
    <n v="4"/>
    <s v="Married"/>
    <n v="0"/>
    <n v="1"/>
    <n v="2086"/>
    <n v="2086"/>
    <n v="3"/>
    <s v="No"/>
    <n v="0"/>
    <n v="14"/>
    <n v="3"/>
    <n v="3"/>
    <n v="1"/>
    <n v="19"/>
    <x v="15"/>
    <n v="6"/>
    <n v="4"/>
    <n v="1"/>
    <n v="1"/>
    <n v="0"/>
    <n v="0"/>
    <n v="0"/>
    <n v="0"/>
    <n v="0"/>
    <n v="0"/>
    <n v="0"/>
    <n v="1"/>
    <n v="0"/>
    <n v="0"/>
    <n v="0"/>
    <n v="0"/>
    <n v="1"/>
    <n v="0"/>
    <n v="0"/>
    <n v="0"/>
    <n v="0"/>
    <n v="0"/>
    <n v="0"/>
    <n v="19"/>
    <n v="0.93818433261201639"/>
    <n v="1.1555414682655611"/>
    <n v="0.99224068804813281"/>
    <n v="0.9806804209314296"/>
    <n v="0.51715642219916513"/>
    <n v="0.22726935890025346"/>
    <n v="0.67891464284095016"/>
  </r>
  <r>
    <n v="24"/>
    <n v="24"/>
    <s v="Yes"/>
    <n v="1"/>
    <s v="Travel_Rarely"/>
    <n v="0"/>
    <n v="1"/>
    <x v="1"/>
    <n v="1"/>
    <n v="0"/>
    <n v="1"/>
    <n v="1"/>
    <n v="3"/>
    <s v="Medical"/>
    <n v="0"/>
    <n v="0"/>
    <n v="1"/>
    <n v="0"/>
    <n v="0"/>
    <n v="2"/>
    <s v="Male"/>
    <n v="0"/>
    <n v="61"/>
    <n v="3"/>
    <n v="1"/>
    <s v="Research Scientist"/>
    <n v="0"/>
    <n v="0"/>
    <n v="0"/>
    <n v="0"/>
    <n v="0"/>
    <n v="0"/>
    <n v="0"/>
    <n v="1"/>
    <n v="4"/>
    <s v="Married"/>
    <n v="0"/>
    <n v="1"/>
    <n v="2293"/>
    <n v="2293"/>
    <n v="2"/>
    <s v="Yes"/>
    <n v="1"/>
    <n v="16"/>
    <n v="3"/>
    <n v="1"/>
    <n v="1"/>
    <n v="6"/>
    <x v="3"/>
    <n v="2"/>
    <n v="2"/>
    <n v="2"/>
    <n v="2"/>
    <n v="0"/>
    <n v="2"/>
    <n v="2"/>
    <n v="0"/>
    <n v="0"/>
    <n v="0"/>
    <n v="0"/>
    <n v="1"/>
    <n v="0"/>
    <n v="0"/>
    <n v="0"/>
    <n v="0"/>
    <n v="0"/>
    <n v="1"/>
    <n v="0"/>
    <n v="0"/>
    <n v="0"/>
    <n v="0"/>
    <n v="6"/>
    <n v="0"/>
    <n v="0.89421621447993205"/>
    <n v="1.1555414682655611"/>
    <n v="0.67854260110508058"/>
    <n v="0.81745575848020657"/>
    <n v="1.01056543769991"/>
    <n v="1.4146996331543302"/>
    <n v="5.8265062631872602E-2"/>
  </r>
  <r>
    <n v="43"/>
    <n v="43"/>
    <s v="No"/>
    <n v="0"/>
    <s v="Travel_Rarely"/>
    <n v="0"/>
    <n v="1"/>
    <x v="1"/>
    <n v="1"/>
    <n v="0"/>
    <n v="2"/>
    <n v="2"/>
    <n v="2"/>
    <s v="Medical"/>
    <n v="0"/>
    <n v="0"/>
    <n v="1"/>
    <n v="0"/>
    <n v="0"/>
    <n v="4"/>
    <s v="Female"/>
    <n v="1"/>
    <n v="72"/>
    <n v="4"/>
    <n v="1"/>
    <s v="Research Scientist"/>
    <n v="0"/>
    <n v="0"/>
    <n v="0"/>
    <n v="0"/>
    <n v="0"/>
    <n v="0"/>
    <n v="0"/>
    <n v="1"/>
    <n v="3"/>
    <s v="Divorced"/>
    <n v="0"/>
    <n v="0"/>
    <n v="2645"/>
    <n v="2645"/>
    <n v="1"/>
    <s v="No"/>
    <n v="0"/>
    <n v="12"/>
    <n v="3"/>
    <n v="4"/>
    <n v="2"/>
    <n v="6"/>
    <x v="3"/>
    <n v="3"/>
    <n v="2"/>
    <n v="5"/>
    <n v="5"/>
    <n v="3"/>
    <n v="1"/>
    <n v="1"/>
    <n v="4"/>
    <n v="4"/>
    <n v="4"/>
    <n v="1"/>
    <n v="0"/>
    <n v="0"/>
    <n v="0"/>
    <n v="1"/>
    <n v="0"/>
    <n v="0"/>
    <n v="0"/>
    <n v="0"/>
    <n v="4"/>
    <n v="0"/>
    <n v="0"/>
    <n v="6"/>
    <n v="0"/>
    <n v="0.81944917301861009"/>
    <n v="3.4508002929560584E-2"/>
    <n v="0.67854260110508058"/>
    <n v="0.32778177112653761"/>
    <n v="0.88721318382472392"/>
    <n v="0.66512775678147573"/>
    <n v="0.36858985273641137"/>
  </r>
  <r>
    <n v="50"/>
    <n v="50"/>
    <s v="Yes"/>
    <n v="1"/>
    <s v="Travel_Rarely"/>
    <n v="0"/>
    <n v="1"/>
    <x v="0"/>
    <n v="0"/>
    <n v="1"/>
    <n v="3"/>
    <n v="3"/>
    <n v="2"/>
    <s v="Marketing"/>
    <n v="0"/>
    <n v="0"/>
    <n v="0"/>
    <n v="1"/>
    <n v="0"/>
    <n v="1"/>
    <s v="Male"/>
    <n v="0"/>
    <n v="86"/>
    <n v="2"/>
    <n v="1"/>
    <s v="Sales Representative"/>
    <n v="0"/>
    <n v="0"/>
    <n v="0"/>
    <n v="0"/>
    <n v="0"/>
    <n v="0"/>
    <n v="1"/>
    <n v="0"/>
    <n v="3"/>
    <s v="Married"/>
    <n v="0"/>
    <n v="1"/>
    <n v="2683"/>
    <n v="2683"/>
    <n v="1"/>
    <s v="Yes"/>
    <n v="1"/>
    <n v="14"/>
    <n v="3"/>
    <n v="3"/>
    <n v="0"/>
    <n v="3"/>
    <x v="8"/>
    <n v="2"/>
    <n v="3"/>
    <n v="3"/>
    <n v="3"/>
    <n v="2"/>
    <n v="0"/>
    <n v="0"/>
    <n v="2"/>
    <n v="2"/>
    <n v="2"/>
    <n v="0"/>
    <n v="1"/>
    <n v="0"/>
    <n v="0"/>
    <n v="0"/>
    <n v="0"/>
    <n v="0"/>
    <n v="1"/>
    <n v="0"/>
    <n v="0"/>
    <n v="2"/>
    <n v="0"/>
    <n v="0"/>
    <n v="3"/>
    <n v="0.81137773104267186"/>
    <n v="0.59502473559756086"/>
    <n v="1.0641079755250529"/>
    <n v="0.65423109602898355"/>
    <n v="0.76386092994953758"/>
    <n v="1.4313799530736149"/>
    <n v="0.67891464284095016"/>
  </r>
  <r>
    <n v="35"/>
    <n v="35"/>
    <s v="No"/>
    <n v="0"/>
    <s v="Travel_Rarely"/>
    <n v="0"/>
    <n v="1"/>
    <x v="0"/>
    <n v="0"/>
    <n v="1"/>
    <n v="2"/>
    <n v="2"/>
    <n v="3"/>
    <s v="Marketing"/>
    <n v="0"/>
    <n v="0"/>
    <n v="0"/>
    <n v="1"/>
    <n v="0"/>
    <n v="4"/>
    <s v="Female"/>
    <n v="1"/>
    <n v="97"/>
    <n v="3"/>
    <n v="1"/>
    <s v="Sales Representative"/>
    <n v="0"/>
    <n v="0"/>
    <n v="0"/>
    <n v="0"/>
    <n v="0"/>
    <n v="0"/>
    <n v="1"/>
    <n v="0"/>
    <n v="4"/>
    <s v="Married"/>
    <n v="0"/>
    <n v="1"/>
    <n v="2014"/>
    <n v="2014"/>
    <n v="1"/>
    <s v="No"/>
    <n v="0"/>
    <n v="13"/>
    <n v="3"/>
    <n v="1"/>
    <n v="0"/>
    <n v="2"/>
    <x v="16"/>
    <n v="3"/>
    <n v="3"/>
    <n v="2"/>
    <n v="2"/>
    <n v="2"/>
    <n v="2"/>
    <n v="2"/>
    <n v="2"/>
    <n v="2"/>
    <n v="2"/>
    <n v="0"/>
    <n v="1"/>
    <n v="0"/>
    <n v="0"/>
    <n v="0"/>
    <n v="0"/>
    <n v="1"/>
    <n v="0"/>
    <n v="0"/>
    <n v="0"/>
    <n v="2"/>
    <n v="0"/>
    <n v="0"/>
    <n v="2"/>
    <n v="0.95347759109274133"/>
    <n v="0.59502473559756086"/>
    <n v="1.192629766998377"/>
    <n v="0.81745575848020657"/>
    <n v="0.88721318382472392"/>
    <n v="0.21058903898096887"/>
    <n v="5.8265062631872602E-2"/>
  </r>
  <r>
    <n v="36"/>
    <n v="36"/>
    <s v="No"/>
    <n v="0"/>
    <s v="Travel_Rarely"/>
    <n v="0"/>
    <n v="1"/>
    <x v="1"/>
    <n v="1"/>
    <n v="0"/>
    <n v="5"/>
    <n v="5"/>
    <n v="4"/>
    <s v="Life Sciences"/>
    <n v="1"/>
    <n v="0"/>
    <n v="0"/>
    <n v="0"/>
    <n v="0"/>
    <n v="2"/>
    <s v="Female"/>
    <n v="1"/>
    <n v="82"/>
    <n v="2"/>
    <n v="1"/>
    <s v="Research Scientist"/>
    <n v="0"/>
    <n v="0"/>
    <n v="0"/>
    <n v="0"/>
    <n v="0"/>
    <n v="0"/>
    <n v="0"/>
    <n v="1"/>
    <n v="1"/>
    <s v="Married"/>
    <n v="0"/>
    <n v="1"/>
    <n v="3419"/>
    <n v="3419"/>
    <n v="9"/>
    <s v="Yes"/>
    <n v="1"/>
    <n v="14"/>
    <n v="3"/>
    <n v="4"/>
    <n v="1"/>
    <n v="6"/>
    <x v="3"/>
    <n v="3"/>
    <n v="4"/>
    <n v="1"/>
    <n v="1"/>
    <n v="1"/>
    <n v="0"/>
    <n v="0"/>
    <n v="0"/>
    <n v="0"/>
    <n v="0"/>
    <n v="0"/>
    <n v="1"/>
    <n v="0"/>
    <n v="0"/>
    <n v="0"/>
    <n v="0"/>
    <n v="0"/>
    <n v="1"/>
    <n v="0"/>
    <n v="0"/>
    <n v="0"/>
    <n v="0"/>
    <n v="6"/>
    <n v="0"/>
    <n v="0.65504664435081672"/>
    <n v="1.1555414682655611"/>
    <n v="0.67854260110508058"/>
    <n v="0.9806804209314296"/>
    <n v="0.51715642219916513"/>
    <n v="0.10112443951066327"/>
    <n v="0.67891464284095016"/>
  </r>
  <r>
    <n v="33"/>
    <n v="33"/>
    <s v="No"/>
    <n v="0"/>
    <s v="Travel_Frequently"/>
    <n v="1"/>
    <n v="0"/>
    <x v="0"/>
    <n v="0"/>
    <n v="1"/>
    <n v="1"/>
    <n v="1"/>
    <n v="3"/>
    <s v="Life Sciences"/>
    <n v="1"/>
    <n v="0"/>
    <n v="0"/>
    <n v="0"/>
    <n v="0"/>
    <n v="3"/>
    <s v="Female"/>
    <n v="1"/>
    <n v="42"/>
    <n v="4"/>
    <n v="2"/>
    <s v="Sales Executive"/>
    <n v="0"/>
    <n v="1"/>
    <n v="0"/>
    <n v="0"/>
    <n v="0"/>
    <n v="0"/>
    <n v="0"/>
    <n v="0"/>
    <n v="1"/>
    <s v="Married"/>
    <n v="0"/>
    <n v="1"/>
    <n v="5376"/>
    <n v="5376"/>
    <n v="2"/>
    <s v="No"/>
    <n v="0"/>
    <n v="19"/>
    <n v="3"/>
    <n v="1"/>
    <n v="2"/>
    <n v="10"/>
    <x v="1"/>
    <n v="3"/>
    <n v="3"/>
    <n v="5"/>
    <n v="5"/>
    <n v="3"/>
    <n v="1"/>
    <n v="1"/>
    <n v="3"/>
    <n v="3"/>
    <n v="6"/>
    <n v="0"/>
    <n v="0"/>
    <n v="0"/>
    <n v="1"/>
    <n v="0"/>
    <n v="0"/>
    <n v="1"/>
    <n v="0"/>
    <n v="0"/>
    <n v="0"/>
    <n v="3"/>
    <n v="0"/>
    <n v="0"/>
    <n v="10"/>
    <n v="0.23936738259000082"/>
    <n v="0.31476636926356072"/>
    <n v="0.1644554352117841"/>
    <n v="0.32778177112653761"/>
    <n v="1.01056543769991"/>
    <n v="0.42951823792158"/>
    <n v="0.36858985273641137"/>
  </r>
  <r>
    <n v="35"/>
    <n v="35"/>
    <s v="No"/>
    <n v="0"/>
    <s v="Travel_Rarely"/>
    <n v="0"/>
    <n v="1"/>
    <x v="1"/>
    <n v="1"/>
    <n v="0"/>
    <n v="4"/>
    <n v="4"/>
    <n v="2"/>
    <s v="Other"/>
    <n v="0"/>
    <n v="1"/>
    <n v="0"/>
    <n v="0"/>
    <n v="0"/>
    <n v="3"/>
    <s v="Male"/>
    <n v="0"/>
    <n v="75"/>
    <n v="3"/>
    <n v="1"/>
    <s v="Laboratory Technician"/>
    <n v="0"/>
    <n v="0"/>
    <n v="1"/>
    <n v="0"/>
    <n v="0"/>
    <n v="0"/>
    <n v="0"/>
    <n v="0"/>
    <n v="4"/>
    <s v="Divorced"/>
    <n v="0"/>
    <n v="0"/>
    <n v="1951"/>
    <n v="1951"/>
    <n v="1"/>
    <s v="No"/>
    <n v="0"/>
    <n v="12"/>
    <n v="3"/>
    <n v="3"/>
    <n v="1"/>
    <n v="1"/>
    <x v="5"/>
    <n v="3"/>
    <n v="3"/>
    <n v="1"/>
    <n v="1"/>
    <n v="0"/>
    <n v="0"/>
    <n v="0"/>
    <n v="0"/>
    <n v="0"/>
    <n v="0"/>
    <n v="1"/>
    <n v="0"/>
    <n v="0"/>
    <n v="0"/>
    <n v="1"/>
    <n v="0"/>
    <n v="0"/>
    <n v="0"/>
    <n v="0"/>
    <n v="0"/>
    <n v="0"/>
    <n v="0"/>
    <n v="1"/>
    <n v="0"/>
    <n v="0.96685919226337569"/>
    <n v="1.1555414682655611"/>
    <n v="1.3211515584717011"/>
    <n v="0.9806804209314296"/>
    <n v="0.64050867607435136"/>
    <n v="0.21058903898096887"/>
    <n v="0.67891464284095016"/>
  </r>
  <r>
    <n v="27"/>
    <n v="27"/>
    <s v="No"/>
    <n v="0"/>
    <s v="Travel_Rarely"/>
    <n v="0"/>
    <n v="1"/>
    <x v="1"/>
    <n v="1"/>
    <n v="0"/>
    <n v="2"/>
    <n v="2"/>
    <n v="4"/>
    <s v="Life Sciences"/>
    <n v="1"/>
    <n v="0"/>
    <n v="0"/>
    <n v="0"/>
    <n v="0"/>
    <n v="4"/>
    <s v="Female"/>
    <n v="1"/>
    <n v="33"/>
    <n v="3"/>
    <n v="1"/>
    <s v="Laboratory Technician"/>
    <n v="0"/>
    <n v="0"/>
    <n v="1"/>
    <n v="0"/>
    <n v="0"/>
    <n v="0"/>
    <n v="0"/>
    <n v="0"/>
    <n v="1"/>
    <s v="Divorced"/>
    <n v="0"/>
    <n v="0"/>
    <n v="2341"/>
    <n v="2341"/>
    <n v="1"/>
    <s v="No"/>
    <n v="0"/>
    <n v="13"/>
    <n v="3"/>
    <n v="4"/>
    <n v="1"/>
    <n v="1"/>
    <x v="5"/>
    <n v="6"/>
    <n v="3"/>
    <n v="1"/>
    <n v="1"/>
    <n v="0"/>
    <n v="0"/>
    <n v="0"/>
    <n v="0"/>
    <n v="0"/>
    <n v="0"/>
    <n v="1"/>
    <n v="0"/>
    <n v="0"/>
    <n v="0"/>
    <n v="1"/>
    <n v="0"/>
    <n v="0"/>
    <n v="0"/>
    <n v="0"/>
    <n v="0"/>
    <n v="0"/>
    <n v="0"/>
    <n v="1"/>
    <n v="0"/>
    <n v="0.8840207088261155"/>
    <n v="1.1555414682655611"/>
    <n v="1.3211515584717011"/>
    <n v="0.9806804209314296"/>
    <n v="0.88721318382472392"/>
    <n v="1.0863058347434136"/>
    <n v="0.67891464284095016"/>
  </r>
  <r>
    <n v="26"/>
    <n v="26"/>
    <s v="Yes"/>
    <n v="1"/>
    <s v="Travel_Rarely"/>
    <n v="0"/>
    <n v="1"/>
    <x v="1"/>
    <n v="1"/>
    <n v="0"/>
    <n v="25"/>
    <n v="25"/>
    <n v="3"/>
    <s v="Life Sciences"/>
    <n v="1"/>
    <n v="0"/>
    <n v="0"/>
    <n v="0"/>
    <n v="0"/>
    <n v="1"/>
    <s v="Male"/>
    <n v="0"/>
    <n v="48"/>
    <n v="1"/>
    <n v="1"/>
    <s v="Laboratory Technician"/>
    <n v="0"/>
    <n v="0"/>
    <n v="1"/>
    <n v="0"/>
    <n v="0"/>
    <n v="0"/>
    <n v="0"/>
    <n v="0"/>
    <n v="3"/>
    <s v="Single"/>
    <n v="1"/>
    <n v="0"/>
    <n v="2293"/>
    <n v="2293"/>
    <n v="1"/>
    <s v="No"/>
    <n v="0"/>
    <n v="12"/>
    <n v="3"/>
    <n v="3"/>
    <n v="0"/>
    <n v="1"/>
    <x v="5"/>
    <n v="2"/>
    <n v="2"/>
    <n v="1"/>
    <n v="1"/>
    <n v="0"/>
    <n v="0"/>
    <n v="0"/>
    <n v="1"/>
    <n v="1"/>
    <n v="1"/>
    <n v="1"/>
    <n v="0"/>
    <n v="0"/>
    <n v="0"/>
    <n v="1"/>
    <n v="0"/>
    <n v="0"/>
    <n v="0"/>
    <n v="0"/>
    <n v="1"/>
    <n v="0"/>
    <n v="0"/>
    <n v="1"/>
    <n v="0"/>
    <n v="0.89421621447993205"/>
    <n v="0.87528310193156111"/>
    <n v="1.3211515584717011"/>
    <n v="0.9806804209314296"/>
    <n v="1.9498886553045598"/>
    <n v="1.195770434213719"/>
    <n v="0.67891464284095016"/>
  </r>
  <r>
    <n v="27"/>
    <n v="27"/>
    <s v="No"/>
    <n v="0"/>
    <s v="Travel_Frequently"/>
    <n v="1"/>
    <n v="0"/>
    <x v="0"/>
    <n v="0"/>
    <n v="1"/>
    <n v="8"/>
    <n v="8"/>
    <n v="3"/>
    <s v="Life Sciences"/>
    <n v="1"/>
    <n v="0"/>
    <n v="0"/>
    <n v="0"/>
    <n v="0"/>
    <n v="4"/>
    <s v="Male"/>
    <n v="0"/>
    <n v="37"/>
    <n v="3"/>
    <n v="3"/>
    <s v="Sales Executive"/>
    <n v="0"/>
    <n v="1"/>
    <n v="0"/>
    <n v="0"/>
    <n v="0"/>
    <n v="0"/>
    <n v="0"/>
    <n v="0"/>
    <n v="3"/>
    <s v="Single"/>
    <n v="1"/>
    <n v="0"/>
    <n v="8726"/>
    <n v="8726"/>
    <n v="1"/>
    <s v="No"/>
    <n v="0"/>
    <n v="15"/>
    <n v="3"/>
    <n v="4"/>
    <n v="0"/>
    <n v="9"/>
    <x v="14"/>
    <n v="0"/>
    <n v="3"/>
    <n v="9"/>
    <n v="9"/>
    <n v="8"/>
    <n v="1"/>
    <n v="1"/>
    <n v="7"/>
    <n v="7"/>
    <n v="21"/>
    <n v="0"/>
    <n v="0"/>
    <n v="1"/>
    <n v="0"/>
    <n v="1"/>
    <n v="0"/>
    <n v="0"/>
    <n v="0"/>
    <n v="0"/>
    <n v="0"/>
    <n v="7"/>
    <n v="0"/>
    <n v="0"/>
    <n v="9"/>
    <n v="0.47219394949928556"/>
    <n v="0.80626709607243985"/>
    <n v="0.29297722668510823"/>
    <n v="0.32511687867835437"/>
    <n v="0.14709966057360641"/>
    <n v="1.0863058347434136"/>
    <n v="0.36858985273641137"/>
  </r>
  <r>
    <n v="30"/>
    <n v="30"/>
    <s v="No"/>
    <n v="0"/>
    <s v="Travel_Frequently"/>
    <n v="1"/>
    <n v="0"/>
    <x v="1"/>
    <n v="1"/>
    <n v="0"/>
    <n v="1"/>
    <n v="1"/>
    <n v="2"/>
    <s v="Medical"/>
    <n v="0"/>
    <n v="0"/>
    <n v="1"/>
    <n v="0"/>
    <n v="0"/>
    <n v="3"/>
    <s v="Female"/>
    <n v="1"/>
    <n v="58"/>
    <n v="3"/>
    <n v="2"/>
    <s v="Laboratory Technician"/>
    <n v="0"/>
    <n v="0"/>
    <n v="1"/>
    <n v="0"/>
    <n v="0"/>
    <n v="0"/>
    <n v="0"/>
    <n v="0"/>
    <n v="4"/>
    <s v="Single"/>
    <n v="1"/>
    <n v="0"/>
    <n v="4011"/>
    <n v="4011"/>
    <n v="1"/>
    <s v="No"/>
    <n v="0"/>
    <n v="23"/>
    <n v="4"/>
    <n v="4"/>
    <n v="0"/>
    <n v="12"/>
    <x v="4"/>
    <n v="2"/>
    <n v="3"/>
    <n v="12"/>
    <n v="12"/>
    <n v="8"/>
    <n v="3"/>
    <n v="3"/>
    <n v="7"/>
    <n v="7"/>
    <n v="14"/>
    <n v="0"/>
    <n v="0"/>
    <n v="1"/>
    <n v="0"/>
    <n v="1"/>
    <n v="0"/>
    <n v="0"/>
    <n v="0"/>
    <n v="0"/>
    <n v="7"/>
    <n v="0"/>
    <n v="0"/>
    <n v="12"/>
    <n v="0"/>
    <n v="0.52930207462041157"/>
    <n v="0.80626709607243985"/>
    <n v="9.2588147734864096E-2"/>
    <n v="0.81479086603202333"/>
    <n v="1.01056543769991"/>
    <n v="0.75791203633249671"/>
    <n v="0.2520597274726662"/>
  </r>
  <r>
    <n v="41"/>
    <n v="41"/>
    <s v="Yes"/>
    <n v="1"/>
    <s v="Travel_Rarely"/>
    <n v="0"/>
    <n v="1"/>
    <x v="1"/>
    <n v="1"/>
    <n v="0"/>
    <n v="12"/>
    <n v="12"/>
    <n v="3"/>
    <s v="Technical Degree"/>
    <n v="0"/>
    <n v="0"/>
    <n v="0"/>
    <n v="0"/>
    <n v="1"/>
    <n v="2"/>
    <s v="Female"/>
    <n v="1"/>
    <n v="49"/>
    <n v="3"/>
    <n v="5"/>
    <s v="Research Director"/>
    <n v="0"/>
    <n v="0"/>
    <n v="0"/>
    <n v="0"/>
    <n v="0"/>
    <n v="0"/>
    <n v="0"/>
    <n v="0"/>
    <n v="3"/>
    <s v="Married"/>
    <n v="0"/>
    <n v="1"/>
    <n v="19545"/>
    <n v="19545"/>
    <n v="1"/>
    <s v="No"/>
    <n v="0"/>
    <n v="12"/>
    <n v="3"/>
    <n v="4"/>
    <n v="0"/>
    <n v="23"/>
    <x v="17"/>
    <n v="0"/>
    <n v="3"/>
    <n v="22"/>
    <n v="22"/>
    <n v="15"/>
    <n v="15"/>
    <n v="14"/>
    <n v="8"/>
    <n v="8"/>
    <n v="40"/>
    <n v="0"/>
    <n v="1"/>
    <n v="0"/>
    <n v="0"/>
    <n v="0"/>
    <n v="0"/>
    <n v="1"/>
    <n v="0"/>
    <n v="0"/>
    <n v="8"/>
    <n v="0"/>
    <n v="0"/>
    <n v="23"/>
    <n v="0"/>
    <n v="2.7702184425959988"/>
    <n v="1.08652546240644"/>
    <n v="1.5063278539414293"/>
    <n v="2.4470374905442531"/>
    <n v="0.3463093549271386"/>
    <n v="0.4461985578408646"/>
    <n v="3.9759572087271318"/>
  </r>
  <r>
    <n v="34"/>
    <n v="34"/>
    <s v="No"/>
    <n v="0"/>
    <s v="Non-Travel"/>
    <n v="0"/>
    <n v="0"/>
    <x v="0"/>
    <n v="0"/>
    <n v="1"/>
    <n v="23"/>
    <n v="23"/>
    <n v="4"/>
    <s v="Marketing"/>
    <n v="0"/>
    <n v="0"/>
    <n v="0"/>
    <n v="1"/>
    <n v="0"/>
    <n v="2"/>
    <s v="Male"/>
    <n v="0"/>
    <n v="72"/>
    <n v="3"/>
    <n v="2"/>
    <s v="Sales Executive"/>
    <n v="0"/>
    <n v="1"/>
    <n v="0"/>
    <n v="0"/>
    <n v="0"/>
    <n v="0"/>
    <n v="0"/>
    <n v="0"/>
    <n v="3"/>
    <s v="Single"/>
    <n v="1"/>
    <n v="0"/>
    <n v="4568"/>
    <n v="4568"/>
    <n v="0"/>
    <s v="No"/>
    <n v="0"/>
    <n v="20"/>
    <n v="4"/>
    <n v="3"/>
    <n v="0"/>
    <n v="10"/>
    <x v="1"/>
    <n v="2"/>
    <n v="3"/>
    <n v="9"/>
    <n v="9"/>
    <n v="5"/>
    <n v="8"/>
    <n v="8"/>
    <n v="7"/>
    <n v="7"/>
    <n v="14"/>
    <n v="1"/>
    <n v="0"/>
    <n v="0"/>
    <n v="0"/>
    <n v="1"/>
    <n v="0"/>
    <n v="0"/>
    <n v="0"/>
    <n v="0"/>
    <n v="0"/>
    <n v="7"/>
    <n v="0"/>
    <n v="0"/>
    <n v="10"/>
    <n v="0.41099172776258092"/>
    <n v="0.80626709607243985"/>
    <n v="0.1644554352117841"/>
    <n v="0.32511687867835437"/>
    <n v="1.7031841475541873"/>
    <n v="0.32005363845127444"/>
    <n v="1.8036836779953602"/>
  </r>
  <r>
    <n v="37"/>
    <n v="37"/>
    <s v="No"/>
    <n v="0"/>
    <s v="Travel_Rarely"/>
    <n v="0"/>
    <n v="1"/>
    <x v="1"/>
    <n v="1"/>
    <n v="0"/>
    <n v="19"/>
    <n v="19"/>
    <n v="2"/>
    <s v="Life Sciences"/>
    <n v="1"/>
    <n v="0"/>
    <n v="0"/>
    <n v="0"/>
    <n v="0"/>
    <n v="2"/>
    <s v="Male"/>
    <n v="0"/>
    <n v="73"/>
    <n v="3"/>
    <n v="1"/>
    <s v="Research Scientist"/>
    <n v="0"/>
    <n v="0"/>
    <n v="0"/>
    <n v="0"/>
    <n v="0"/>
    <n v="0"/>
    <n v="0"/>
    <n v="1"/>
    <n v="2"/>
    <s v="Married"/>
    <n v="0"/>
    <n v="1"/>
    <n v="3022"/>
    <n v="3022"/>
    <n v="4"/>
    <s v="No"/>
    <n v="0"/>
    <n v="21"/>
    <n v="4"/>
    <n v="1"/>
    <n v="0"/>
    <n v="8"/>
    <x v="0"/>
    <n v="1"/>
    <n v="3"/>
    <n v="1"/>
    <n v="1"/>
    <n v="0"/>
    <n v="0"/>
    <n v="0"/>
    <n v="0"/>
    <n v="0"/>
    <n v="0"/>
    <n v="0"/>
    <n v="1"/>
    <n v="0"/>
    <n v="0"/>
    <n v="0"/>
    <n v="0"/>
    <n v="1"/>
    <n v="0"/>
    <n v="0"/>
    <n v="0"/>
    <n v="0"/>
    <n v="0"/>
    <n v="8"/>
    <n v="0"/>
    <n v="0.73937197236259189"/>
    <n v="1.1555414682655611"/>
    <n v="0.42149901815843233"/>
    <n v="0.9806804209314296"/>
    <n v="1.2097751320534422"/>
    <n v="8.3401599596422994E-3"/>
    <n v="0.67891464284095016"/>
  </r>
  <r>
    <n v="46"/>
    <n v="46"/>
    <s v="No"/>
    <n v="0"/>
    <s v="Travel_Frequently"/>
    <n v="1"/>
    <n v="0"/>
    <x v="0"/>
    <n v="0"/>
    <n v="1"/>
    <n v="5"/>
    <n v="5"/>
    <n v="4"/>
    <s v="Marketing"/>
    <n v="0"/>
    <n v="0"/>
    <n v="0"/>
    <n v="1"/>
    <n v="0"/>
    <n v="1"/>
    <s v="Male"/>
    <n v="0"/>
    <n v="98"/>
    <n v="3"/>
    <n v="2"/>
    <s v="Sales Executive"/>
    <n v="0"/>
    <n v="1"/>
    <n v="0"/>
    <n v="0"/>
    <n v="0"/>
    <n v="0"/>
    <n v="0"/>
    <n v="0"/>
    <n v="4"/>
    <s v="Single"/>
    <n v="1"/>
    <n v="0"/>
    <n v="5772"/>
    <n v="5772"/>
    <n v="4"/>
    <s v="Yes"/>
    <n v="1"/>
    <n v="21"/>
    <n v="4"/>
    <n v="3"/>
    <n v="0"/>
    <n v="14"/>
    <x v="18"/>
    <n v="4"/>
    <n v="3"/>
    <n v="9"/>
    <n v="9"/>
    <n v="6"/>
    <n v="0"/>
    <n v="0"/>
    <n v="8"/>
    <n v="8"/>
    <n v="16"/>
    <n v="0"/>
    <n v="0"/>
    <n v="1"/>
    <n v="0"/>
    <n v="0"/>
    <n v="1"/>
    <n v="0"/>
    <n v="0"/>
    <n v="0"/>
    <n v="0"/>
    <n v="8"/>
    <n v="0"/>
    <n v="0"/>
    <n v="14"/>
    <n v="0.15525446094601353"/>
    <n v="1.08652546240644"/>
    <n v="0.34963173068151232"/>
    <n v="0.32511687867835437"/>
    <n v="0.51715642219916513"/>
    <n v="0.99352155519239249"/>
    <n v="0.67891464284095016"/>
  </r>
  <r>
    <n v="35"/>
    <n v="35"/>
    <s v="No"/>
    <n v="0"/>
    <s v="Travel_Rarely"/>
    <n v="0"/>
    <n v="1"/>
    <x v="1"/>
    <n v="1"/>
    <n v="0"/>
    <n v="8"/>
    <n v="8"/>
    <n v="1"/>
    <s v="Life Sciences"/>
    <n v="1"/>
    <n v="0"/>
    <n v="0"/>
    <n v="0"/>
    <n v="0"/>
    <n v="4"/>
    <s v="Male"/>
    <n v="0"/>
    <n v="36"/>
    <n v="4"/>
    <n v="1"/>
    <s v="Laboratory Technician"/>
    <n v="0"/>
    <n v="0"/>
    <n v="1"/>
    <n v="0"/>
    <n v="0"/>
    <n v="0"/>
    <n v="0"/>
    <n v="0"/>
    <n v="4"/>
    <s v="Married"/>
    <n v="0"/>
    <n v="1"/>
    <n v="2269"/>
    <n v="2269"/>
    <n v="1"/>
    <s v="No"/>
    <n v="0"/>
    <n v="19"/>
    <n v="3"/>
    <n v="4"/>
    <n v="0"/>
    <n v="1"/>
    <x v="5"/>
    <n v="2"/>
    <n v="3"/>
    <n v="1"/>
    <n v="1"/>
    <n v="0"/>
    <n v="0"/>
    <n v="0"/>
    <n v="1"/>
    <n v="1"/>
    <n v="1"/>
    <n v="0"/>
    <n v="1"/>
    <n v="0"/>
    <n v="0"/>
    <n v="0"/>
    <n v="0"/>
    <n v="1"/>
    <n v="0"/>
    <n v="0"/>
    <n v="1"/>
    <n v="0"/>
    <n v="0"/>
    <n v="1"/>
    <n v="0"/>
    <n v="0.89931396730684043"/>
    <n v="0.87528310193156111"/>
    <n v="1.3211515584717011"/>
    <n v="0.9806804209314296"/>
    <n v="0.14709966057360641"/>
    <n v="0.21058903898096887"/>
    <n v="0.67891464284095016"/>
  </r>
  <r>
    <n v="48"/>
    <n v="48"/>
    <s v="Yes"/>
    <n v="1"/>
    <s v="Travel_Rarely"/>
    <n v="0"/>
    <n v="1"/>
    <x v="1"/>
    <n v="1"/>
    <n v="0"/>
    <n v="1"/>
    <n v="1"/>
    <n v="2"/>
    <s v="Life Sciences"/>
    <n v="1"/>
    <n v="0"/>
    <n v="0"/>
    <n v="0"/>
    <n v="0"/>
    <n v="1"/>
    <s v="Male"/>
    <n v="0"/>
    <n v="98"/>
    <n v="2"/>
    <n v="3"/>
    <s v="Laboratory Technician"/>
    <n v="0"/>
    <n v="0"/>
    <n v="1"/>
    <n v="0"/>
    <n v="0"/>
    <n v="0"/>
    <n v="0"/>
    <n v="0"/>
    <n v="3"/>
    <s v="Single"/>
    <n v="1"/>
    <n v="0"/>
    <n v="5381"/>
    <n v="5381"/>
    <n v="9"/>
    <s v="Yes"/>
    <n v="1"/>
    <n v="13"/>
    <n v="3"/>
    <n v="4"/>
    <n v="0"/>
    <n v="23"/>
    <x v="17"/>
    <n v="2"/>
    <n v="3"/>
    <n v="1"/>
    <n v="1"/>
    <n v="0"/>
    <n v="0"/>
    <n v="0"/>
    <n v="0"/>
    <n v="0"/>
    <n v="0"/>
    <n v="1"/>
    <n v="0"/>
    <n v="0"/>
    <n v="0"/>
    <n v="0"/>
    <n v="1"/>
    <n v="0"/>
    <n v="0"/>
    <n v="0"/>
    <n v="0"/>
    <n v="0"/>
    <n v="0"/>
    <n v="23"/>
    <n v="0"/>
    <n v="0.23830535075106157"/>
    <n v="1.1555414682655611"/>
    <n v="1.5063278539414293"/>
    <n v="0.9806804209314296"/>
    <n v="1.01056543769991"/>
    <n v="1.2124507541330036"/>
    <n v="0.67891464284095016"/>
  </r>
  <r>
    <n v="28"/>
    <n v="28"/>
    <s v="Yes"/>
    <n v="1"/>
    <s v="Travel_Rarely"/>
    <n v="0"/>
    <n v="1"/>
    <x v="1"/>
    <n v="1"/>
    <n v="0"/>
    <n v="5"/>
    <n v="5"/>
    <n v="4"/>
    <s v="Technical Degree"/>
    <n v="0"/>
    <n v="0"/>
    <n v="0"/>
    <n v="0"/>
    <n v="1"/>
    <n v="3"/>
    <s v="Male"/>
    <n v="0"/>
    <n v="50"/>
    <n v="3"/>
    <n v="1"/>
    <s v="Laboratory Technician"/>
    <n v="0"/>
    <n v="0"/>
    <n v="1"/>
    <n v="0"/>
    <n v="0"/>
    <n v="0"/>
    <n v="0"/>
    <n v="0"/>
    <n v="3"/>
    <s v="Single"/>
    <n v="1"/>
    <n v="0"/>
    <n v="3441"/>
    <n v="3441"/>
    <n v="1"/>
    <s v="Yes"/>
    <n v="1"/>
    <n v="13"/>
    <n v="3"/>
    <n v="3"/>
    <n v="0"/>
    <n v="2"/>
    <x v="16"/>
    <n v="3"/>
    <n v="2"/>
    <n v="2"/>
    <n v="2"/>
    <n v="2"/>
    <n v="2"/>
    <n v="2"/>
    <n v="2"/>
    <n v="2"/>
    <n v="2"/>
    <n v="1"/>
    <n v="0"/>
    <n v="0"/>
    <n v="0"/>
    <n v="0"/>
    <n v="1"/>
    <n v="0"/>
    <n v="0"/>
    <n v="0"/>
    <n v="2"/>
    <n v="0"/>
    <n v="0"/>
    <n v="2"/>
    <n v="0"/>
    <n v="0.65037370425948415"/>
    <n v="0.59502473559756086"/>
    <n v="1.192629766998377"/>
    <n v="0.81745575848020657"/>
    <n v="0.51715642219916513"/>
    <n v="0.97684123527310796"/>
    <n v="5.8265062631872602E-2"/>
  </r>
  <r>
    <n v="44"/>
    <n v="44"/>
    <s v="No"/>
    <n v="0"/>
    <s v="Travel_Rarely"/>
    <n v="0"/>
    <n v="1"/>
    <x v="0"/>
    <n v="0"/>
    <n v="1"/>
    <n v="1"/>
    <n v="1"/>
    <n v="5"/>
    <s v="Marketing"/>
    <n v="0"/>
    <n v="0"/>
    <n v="0"/>
    <n v="1"/>
    <n v="0"/>
    <n v="2"/>
    <s v="Female"/>
    <n v="1"/>
    <n v="75"/>
    <n v="3"/>
    <n v="2"/>
    <s v="Sales Executive"/>
    <n v="0"/>
    <n v="1"/>
    <n v="0"/>
    <n v="0"/>
    <n v="0"/>
    <n v="0"/>
    <n v="0"/>
    <n v="0"/>
    <n v="1"/>
    <s v="Divorced"/>
    <n v="0"/>
    <n v="0"/>
    <n v="5454"/>
    <n v="5454"/>
    <n v="5"/>
    <s v="Yes"/>
    <n v="1"/>
    <n v="21"/>
    <n v="4"/>
    <n v="3"/>
    <n v="1"/>
    <n v="9"/>
    <x v="14"/>
    <n v="2"/>
    <n v="2"/>
    <n v="4"/>
    <n v="4"/>
    <n v="3"/>
    <n v="1"/>
    <n v="1"/>
    <n v="3"/>
    <n v="3"/>
    <n v="6"/>
    <n v="1"/>
    <n v="0"/>
    <n v="0"/>
    <n v="0"/>
    <n v="0"/>
    <n v="1"/>
    <n v="0"/>
    <n v="0"/>
    <n v="0"/>
    <n v="0"/>
    <n v="3"/>
    <n v="0"/>
    <n v="0"/>
    <n v="9"/>
    <n v="0.22279968590254878"/>
    <n v="0.31476636926356072"/>
    <n v="0.29297722668510823"/>
    <n v="0.49100643357776058"/>
    <n v="1.01056543769991"/>
    <n v="0.77459235625178136"/>
    <n v="0.36858985273641137"/>
  </r>
  <r>
    <n v="35"/>
    <n v="35"/>
    <s v="No"/>
    <n v="0"/>
    <s v="Non-Travel"/>
    <n v="0"/>
    <n v="0"/>
    <x v="1"/>
    <n v="1"/>
    <n v="0"/>
    <n v="11"/>
    <n v="11"/>
    <n v="2"/>
    <s v="Medical"/>
    <n v="0"/>
    <n v="0"/>
    <n v="1"/>
    <n v="0"/>
    <n v="0"/>
    <n v="3"/>
    <s v="Male"/>
    <n v="0"/>
    <n v="79"/>
    <n v="2"/>
    <n v="3"/>
    <s v="Healthcare Representative"/>
    <n v="1"/>
    <n v="0"/>
    <n v="0"/>
    <n v="0"/>
    <n v="0"/>
    <n v="0"/>
    <n v="0"/>
    <n v="0"/>
    <n v="1"/>
    <s v="Married"/>
    <n v="0"/>
    <n v="1"/>
    <n v="9884"/>
    <n v="9884"/>
    <n v="2"/>
    <s v="Yes"/>
    <n v="1"/>
    <n v="13"/>
    <n v="3"/>
    <n v="3"/>
    <n v="1"/>
    <n v="10"/>
    <x v="1"/>
    <n v="3"/>
    <n v="3"/>
    <n v="4"/>
    <n v="4"/>
    <n v="0"/>
    <n v="2"/>
    <n v="2"/>
    <n v="3"/>
    <n v="3"/>
    <n v="9"/>
    <n v="0"/>
    <n v="1"/>
    <n v="0"/>
    <n v="0"/>
    <n v="0"/>
    <n v="0"/>
    <n v="0"/>
    <n v="1"/>
    <n v="0"/>
    <n v="3"/>
    <n v="0"/>
    <n v="0"/>
    <n v="10"/>
    <n v="0"/>
    <n v="0.71816052339761194"/>
    <n v="0.31476636926356072"/>
    <n v="0.1644554352117841"/>
    <n v="0.49100643357776058"/>
    <n v="0.22295710105195232"/>
    <n v="0.21058903898096887"/>
    <n v="5.8265062631872602E-2"/>
  </r>
  <r>
    <n v="26"/>
    <n v="26"/>
    <s v="No"/>
    <n v="0"/>
    <s v="Travel_Rarely"/>
    <n v="0"/>
    <n v="1"/>
    <x v="0"/>
    <n v="0"/>
    <n v="1"/>
    <n v="23"/>
    <n v="23"/>
    <n v="3"/>
    <s v="Marketing"/>
    <n v="0"/>
    <n v="0"/>
    <n v="0"/>
    <n v="1"/>
    <n v="0"/>
    <n v="3"/>
    <s v="Female"/>
    <n v="1"/>
    <n v="47"/>
    <n v="2"/>
    <n v="2"/>
    <s v="Sales Executive"/>
    <n v="0"/>
    <n v="1"/>
    <n v="0"/>
    <n v="0"/>
    <n v="0"/>
    <n v="0"/>
    <n v="0"/>
    <n v="0"/>
    <n v="4"/>
    <s v="Married"/>
    <n v="0"/>
    <n v="1"/>
    <n v="4157"/>
    <n v="4157"/>
    <n v="7"/>
    <s v="Yes"/>
    <n v="1"/>
    <n v="19"/>
    <n v="3"/>
    <n v="3"/>
    <n v="1"/>
    <n v="5"/>
    <x v="7"/>
    <n v="2"/>
    <n v="2"/>
    <n v="2"/>
    <n v="2"/>
    <n v="2"/>
    <n v="0"/>
    <n v="0"/>
    <n v="0"/>
    <n v="0"/>
    <n v="0"/>
    <n v="0"/>
    <n v="1"/>
    <n v="0"/>
    <n v="0"/>
    <n v="0"/>
    <n v="0"/>
    <n v="0"/>
    <n v="1"/>
    <n v="0"/>
    <n v="0"/>
    <n v="0"/>
    <n v="0"/>
    <n v="0"/>
    <n v="5"/>
    <n v="0.49829074492338593"/>
    <n v="1.1555414682655611"/>
    <n v="0.80706439257840468"/>
    <n v="0.81745575848020657"/>
    <n v="1.7031841475541873"/>
    <n v="1.195770434213719"/>
    <n v="0.67891464284095016"/>
  </r>
  <r>
    <n v="33"/>
    <n v="33"/>
    <s v="No"/>
    <n v="0"/>
    <s v="Travel_Frequently"/>
    <n v="1"/>
    <n v="0"/>
    <x v="1"/>
    <n v="1"/>
    <n v="0"/>
    <n v="1"/>
    <n v="1"/>
    <n v="2"/>
    <s v="Life Sciences"/>
    <n v="1"/>
    <n v="0"/>
    <n v="0"/>
    <n v="0"/>
    <n v="0"/>
    <n v="1"/>
    <s v="Female"/>
    <n v="1"/>
    <n v="98"/>
    <n v="3"/>
    <n v="3"/>
    <s v="Research Director"/>
    <n v="0"/>
    <n v="0"/>
    <n v="0"/>
    <n v="0"/>
    <n v="0"/>
    <n v="0"/>
    <n v="0"/>
    <n v="0"/>
    <n v="4"/>
    <s v="Single"/>
    <n v="1"/>
    <n v="0"/>
    <n v="13458"/>
    <n v="13458"/>
    <n v="1"/>
    <s v="Yes"/>
    <n v="1"/>
    <n v="12"/>
    <n v="3"/>
    <n v="3"/>
    <n v="0"/>
    <n v="15"/>
    <x v="19"/>
    <n v="1"/>
    <n v="3"/>
    <n v="15"/>
    <n v="15"/>
    <n v="14"/>
    <n v="8"/>
    <n v="8"/>
    <n v="12"/>
    <n v="12"/>
    <n v="36"/>
    <n v="0"/>
    <n v="0"/>
    <n v="1"/>
    <n v="0"/>
    <n v="0"/>
    <n v="1"/>
    <n v="0"/>
    <n v="0"/>
    <n v="0"/>
    <n v="12"/>
    <n v="0"/>
    <n v="0"/>
    <n v="15"/>
    <n v="0"/>
    <n v="1.477300881871376"/>
    <n v="2.2075589277424408"/>
    <n v="0.47815352215483642"/>
    <n v="1.3044648533856922"/>
    <n v="1.01056543769991"/>
    <n v="0.42951823792158"/>
    <n v="1.8036836779953602"/>
  </r>
  <r>
    <n v="35"/>
    <n v="35"/>
    <s v="No"/>
    <n v="0"/>
    <s v="Travel_Frequently"/>
    <n v="1"/>
    <n v="0"/>
    <x v="0"/>
    <n v="0"/>
    <n v="1"/>
    <n v="18"/>
    <n v="18"/>
    <n v="5"/>
    <s v="Life Sciences"/>
    <n v="1"/>
    <n v="0"/>
    <n v="0"/>
    <n v="0"/>
    <n v="0"/>
    <n v="2"/>
    <s v="Male"/>
    <n v="0"/>
    <n v="71"/>
    <n v="3"/>
    <n v="3"/>
    <s v="Sales Executive"/>
    <n v="0"/>
    <n v="1"/>
    <n v="0"/>
    <n v="0"/>
    <n v="0"/>
    <n v="0"/>
    <n v="0"/>
    <n v="0"/>
    <n v="1"/>
    <s v="Married"/>
    <n v="0"/>
    <n v="1"/>
    <n v="9069"/>
    <n v="9069"/>
    <n v="1"/>
    <s v="No"/>
    <n v="0"/>
    <n v="22"/>
    <n v="4"/>
    <n v="4"/>
    <n v="1"/>
    <n v="9"/>
    <x v="14"/>
    <n v="3"/>
    <n v="2"/>
    <n v="9"/>
    <n v="9"/>
    <n v="8"/>
    <n v="1"/>
    <n v="1"/>
    <n v="8"/>
    <n v="8"/>
    <n v="24"/>
    <n v="0"/>
    <n v="0"/>
    <n v="0"/>
    <n v="1"/>
    <n v="0"/>
    <n v="0"/>
    <n v="1"/>
    <n v="0"/>
    <n v="0"/>
    <n v="0"/>
    <n v="8"/>
    <n v="0"/>
    <n v="0"/>
    <n v="9"/>
    <n v="0.54504933365051689"/>
    <n v="1.08652546240644"/>
    <n v="0.29297722668510823"/>
    <n v="0.32511687867835437"/>
    <n v="1.0864228781782561"/>
    <n v="0.21058903898096887"/>
    <n v="0.36858985273641137"/>
  </r>
  <r>
    <n v="35"/>
    <n v="35"/>
    <s v="No"/>
    <n v="0"/>
    <s v="Travel_Rarely"/>
    <n v="0"/>
    <n v="1"/>
    <x v="1"/>
    <n v="1"/>
    <n v="0"/>
    <n v="23"/>
    <n v="23"/>
    <n v="4"/>
    <s v="Medical"/>
    <n v="0"/>
    <n v="0"/>
    <n v="1"/>
    <n v="0"/>
    <n v="0"/>
    <n v="3"/>
    <s v="Female"/>
    <n v="1"/>
    <n v="30"/>
    <n v="3"/>
    <n v="1"/>
    <s v="Laboratory Technician"/>
    <n v="0"/>
    <n v="0"/>
    <n v="1"/>
    <n v="0"/>
    <n v="0"/>
    <n v="0"/>
    <n v="0"/>
    <n v="0"/>
    <n v="1"/>
    <s v="Married"/>
    <n v="0"/>
    <n v="1"/>
    <n v="4014"/>
    <n v="4014"/>
    <n v="3"/>
    <s v="Yes"/>
    <n v="1"/>
    <n v="15"/>
    <n v="3"/>
    <n v="3"/>
    <n v="1"/>
    <n v="4"/>
    <x v="20"/>
    <n v="3"/>
    <n v="3"/>
    <n v="2"/>
    <n v="2"/>
    <n v="2"/>
    <n v="2"/>
    <n v="2"/>
    <n v="2"/>
    <n v="2"/>
    <n v="2"/>
    <n v="0"/>
    <n v="1"/>
    <n v="0"/>
    <n v="0"/>
    <n v="0"/>
    <n v="0"/>
    <n v="0"/>
    <n v="1"/>
    <n v="0"/>
    <n v="2"/>
    <n v="0"/>
    <n v="0"/>
    <n v="4"/>
    <n v="0"/>
    <n v="0.528664855517048"/>
    <n v="0.59502473559756086"/>
    <n v="0.93558618405172878"/>
    <n v="0.81745575848020657"/>
    <n v="1.7031841475541873"/>
    <n v="0.21058903898096887"/>
    <n v="5.8265062631872602E-2"/>
  </r>
  <r>
    <n v="31"/>
    <n v="31"/>
    <s v="No"/>
    <n v="0"/>
    <s v="Travel_Rarely"/>
    <n v="0"/>
    <n v="1"/>
    <x v="1"/>
    <n v="1"/>
    <n v="0"/>
    <n v="7"/>
    <n v="7"/>
    <n v="4"/>
    <s v="Life Sciences"/>
    <n v="1"/>
    <n v="0"/>
    <n v="0"/>
    <n v="0"/>
    <n v="0"/>
    <n v="4"/>
    <s v="Male"/>
    <n v="0"/>
    <n v="48"/>
    <n v="3"/>
    <n v="2"/>
    <s v="Laboratory Technician"/>
    <n v="0"/>
    <n v="0"/>
    <n v="1"/>
    <n v="0"/>
    <n v="0"/>
    <n v="0"/>
    <n v="0"/>
    <n v="0"/>
    <n v="4"/>
    <s v="Divorced"/>
    <n v="0"/>
    <n v="0"/>
    <n v="5915"/>
    <n v="5915"/>
    <n v="3"/>
    <s v="No"/>
    <n v="0"/>
    <n v="22"/>
    <n v="4"/>
    <n v="4"/>
    <n v="1"/>
    <n v="10"/>
    <x v="1"/>
    <n v="3"/>
    <n v="2"/>
    <n v="7"/>
    <n v="7"/>
    <n v="7"/>
    <n v="1"/>
    <n v="1"/>
    <n v="7"/>
    <n v="7"/>
    <n v="14"/>
    <n v="1"/>
    <n v="0"/>
    <n v="0"/>
    <n v="0"/>
    <n v="1"/>
    <n v="0"/>
    <n v="0"/>
    <n v="0"/>
    <n v="0"/>
    <n v="7"/>
    <n v="0"/>
    <n v="0"/>
    <n v="10"/>
    <n v="0"/>
    <n v="0.12488035035235145"/>
    <n v="0.80626709607243985"/>
    <n v="0.1644554352117841"/>
    <n v="1.3324462240916321E-3"/>
    <n v="0.27045191444879263"/>
    <n v="0.6484474368621912"/>
    <n v="0.36858985273641137"/>
  </r>
  <r>
    <n v="37"/>
    <n v="37"/>
    <s v="No"/>
    <n v="0"/>
    <s v="Travel_Rarely"/>
    <n v="0"/>
    <n v="1"/>
    <x v="1"/>
    <n v="1"/>
    <n v="0"/>
    <n v="1"/>
    <n v="1"/>
    <n v="4"/>
    <s v="Life Sciences"/>
    <n v="1"/>
    <n v="0"/>
    <n v="0"/>
    <n v="0"/>
    <n v="0"/>
    <n v="1"/>
    <s v="Male"/>
    <n v="0"/>
    <n v="51"/>
    <n v="2"/>
    <n v="2"/>
    <s v="Manufacturing Director"/>
    <n v="0"/>
    <n v="0"/>
    <n v="0"/>
    <n v="0"/>
    <n v="1"/>
    <n v="1"/>
    <n v="0"/>
    <n v="0"/>
    <n v="3"/>
    <s v="Divorced"/>
    <n v="0"/>
    <n v="0"/>
    <n v="5993"/>
    <n v="5993"/>
    <n v="1"/>
    <s v="No"/>
    <n v="0"/>
    <n v="18"/>
    <n v="3"/>
    <n v="3"/>
    <n v="1"/>
    <n v="7"/>
    <x v="2"/>
    <n v="2"/>
    <n v="4"/>
    <n v="7"/>
    <n v="7"/>
    <n v="5"/>
    <n v="0"/>
    <n v="0"/>
    <n v="7"/>
    <n v="7"/>
    <n v="14"/>
    <n v="1"/>
    <n v="0"/>
    <n v="0"/>
    <n v="0"/>
    <n v="1"/>
    <n v="0"/>
    <n v="0"/>
    <n v="0"/>
    <n v="0"/>
    <n v="7"/>
    <n v="0"/>
    <n v="0"/>
    <n v="7"/>
    <n v="0"/>
    <n v="0.10831265366489942"/>
    <n v="0.80626709607243985"/>
    <n v="0.55002080963175637"/>
    <n v="1.3324462240916321E-3"/>
    <n v="1.01056543769991"/>
    <n v="8.3401599596422994E-3"/>
    <n v="0.67891464284095016"/>
  </r>
  <r>
    <n v="32"/>
    <n v="32"/>
    <s v="No"/>
    <n v="0"/>
    <s v="Travel_Rarely"/>
    <n v="0"/>
    <n v="1"/>
    <x v="1"/>
    <n v="1"/>
    <n v="0"/>
    <n v="1"/>
    <n v="1"/>
    <n v="3"/>
    <s v="Medical"/>
    <n v="0"/>
    <n v="0"/>
    <n v="1"/>
    <n v="0"/>
    <n v="0"/>
    <n v="1"/>
    <s v="Male"/>
    <n v="0"/>
    <n v="33"/>
    <n v="3"/>
    <n v="2"/>
    <s v="Manufacturing Director"/>
    <n v="0"/>
    <n v="0"/>
    <n v="0"/>
    <n v="0"/>
    <n v="1"/>
    <n v="1"/>
    <n v="0"/>
    <n v="0"/>
    <n v="4"/>
    <s v="Married"/>
    <n v="0"/>
    <n v="1"/>
    <n v="6162"/>
    <n v="6162"/>
    <n v="1"/>
    <s v="Yes"/>
    <n v="1"/>
    <n v="22"/>
    <n v="4"/>
    <n v="2"/>
    <n v="1"/>
    <n v="9"/>
    <x v="14"/>
    <n v="3"/>
    <n v="3"/>
    <n v="9"/>
    <n v="9"/>
    <n v="8"/>
    <n v="7"/>
    <n v="7"/>
    <n v="8"/>
    <n v="8"/>
    <n v="16"/>
    <n v="0"/>
    <n v="1"/>
    <n v="0"/>
    <n v="0"/>
    <n v="0"/>
    <n v="0"/>
    <n v="0"/>
    <n v="1"/>
    <n v="0"/>
    <n v="8"/>
    <n v="0"/>
    <n v="0"/>
    <n v="9"/>
    <n v="0"/>
    <n v="7.2415977508753337E-2"/>
    <n v="1.08652546240644"/>
    <n v="0.29297722668510823"/>
    <n v="0.32511687867835437"/>
    <n v="1.01056543769991"/>
    <n v="0.53898283739188557"/>
    <n v="1.4933588878908215"/>
  </r>
  <r>
    <n v="38"/>
    <n v="38"/>
    <s v="No"/>
    <n v="0"/>
    <s v="Travel_Frequently"/>
    <n v="1"/>
    <n v="0"/>
    <x v="1"/>
    <n v="1"/>
    <n v="0"/>
    <n v="29"/>
    <n v="29"/>
    <n v="5"/>
    <s v="Life Sciences"/>
    <n v="1"/>
    <n v="0"/>
    <n v="0"/>
    <n v="0"/>
    <n v="0"/>
    <n v="4"/>
    <s v="Female"/>
    <n v="1"/>
    <n v="50"/>
    <n v="3"/>
    <n v="2"/>
    <s v="Laboratory Technician"/>
    <n v="0"/>
    <n v="0"/>
    <n v="1"/>
    <n v="0"/>
    <n v="0"/>
    <n v="0"/>
    <n v="0"/>
    <n v="0"/>
    <n v="4"/>
    <s v="Single"/>
    <n v="1"/>
    <n v="0"/>
    <n v="2406"/>
    <n v="2406"/>
    <n v="1"/>
    <s v="No"/>
    <n v="0"/>
    <n v="11"/>
    <n v="3"/>
    <n v="4"/>
    <n v="0"/>
    <n v="10"/>
    <x v="1"/>
    <n v="2"/>
    <n v="3"/>
    <n v="10"/>
    <n v="10"/>
    <n v="3"/>
    <n v="9"/>
    <n v="9"/>
    <n v="9"/>
    <n v="9"/>
    <n v="18"/>
    <n v="0"/>
    <n v="0"/>
    <n v="1"/>
    <n v="0"/>
    <n v="1"/>
    <n v="0"/>
    <n v="0"/>
    <n v="0"/>
    <n v="0"/>
    <n v="9"/>
    <n v="0"/>
    <n v="0"/>
    <n v="10"/>
    <n v="0"/>
    <n v="0.87021429491990543"/>
    <n v="1.3667838287404401"/>
    <n v="0.1644554352117841"/>
    <n v="0.48834154112957734"/>
    <n v="2.4432976708053049"/>
    <n v="0.11780475942994788"/>
    <n v="2.114008468099899"/>
  </r>
  <r>
    <n v="50"/>
    <n v="50"/>
    <s v="No"/>
    <n v="0"/>
    <s v="Travel_Rarely"/>
    <n v="0"/>
    <n v="1"/>
    <x v="1"/>
    <n v="1"/>
    <n v="0"/>
    <n v="7"/>
    <n v="7"/>
    <n v="2"/>
    <s v="Medical"/>
    <n v="0"/>
    <n v="0"/>
    <n v="1"/>
    <n v="0"/>
    <n v="0"/>
    <n v="2"/>
    <s v="Female"/>
    <n v="1"/>
    <n v="43"/>
    <n v="2"/>
    <n v="5"/>
    <s v="Research Director"/>
    <n v="0"/>
    <n v="0"/>
    <n v="0"/>
    <n v="0"/>
    <n v="0"/>
    <n v="0"/>
    <n v="0"/>
    <n v="0"/>
    <n v="3"/>
    <s v="Divorced"/>
    <n v="0"/>
    <n v="0"/>
    <n v="18740"/>
    <n v="18740"/>
    <n v="5"/>
    <s v="Yes"/>
    <n v="1"/>
    <n v="12"/>
    <n v="3"/>
    <n v="4"/>
    <n v="1"/>
    <n v="29"/>
    <x v="21"/>
    <n v="2"/>
    <n v="2"/>
    <n v="27"/>
    <n v="27"/>
    <n v="3"/>
    <n v="13"/>
    <n v="13"/>
    <n v="8"/>
    <n v="8"/>
    <n v="40"/>
    <n v="1"/>
    <n v="0"/>
    <n v="0"/>
    <n v="0"/>
    <n v="0"/>
    <n v="1"/>
    <n v="0"/>
    <n v="0"/>
    <n v="0"/>
    <n v="8"/>
    <n v="0"/>
    <n v="0"/>
    <n v="29"/>
    <n v="0"/>
    <n v="2.5992313165267822"/>
    <n v="1.08652546240644"/>
    <n v="2.2774586027813735"/>
    <n v="3.263160802800368"/>
    <n v="0.27045191444879263"/>
    <n v="1.4313799530736149"/>
    <n v="3.3553076285180543"/>
  </r>
  <r>
    <n v="59"/>
    <n v="58.309999999999945"/>
    <s v="No"/>
    <n v="0"/>
    <s v="Travel_Rarely"/>
    <n v="0"/>
    <n v="1"/>
    <x v="0"/>
    <n v="0"/>
    <n v="1"/>
    <n v="25"/>
    <n v="25"/>
    <n v="3"/>
    <s v="Life Sciences"/>
    <n v="1"/>
    <n v="0"/>
    <n v="0"/>
    <n v="0"/>
    <n v="0"/>
    <n v="1"/>
    <s v="Female"/>
    <n v="1"/>
    <n v="99"/>
    <n v="3"/>
    <n v="3"/>
    <s v="Sales Executive"/>
    <n v="0"/>
    <n v="1"/>
    <n v="0"/>
    <n v="0"/>
    <n v="0"/>
    <n v="0"/>
    <n v="0"/>
    <n v="0"/>
    <n v="1"/>
    <s v="Single"/>
    <n v="1"/>
    <n v="0"/>
    <n v="7637"/>
    <n v="7637"/>
    <n v="7"/>
    <s v="No"/>
    <n v="0"/>
    <n v="11"/>
    <n v="3"/>
    <n v="4"/>
    <n v="0"/>
    <n v="28"/>
    <x v="22"/>
    <n v="3"/>
    <n v="2"/>
    <n v="21"/>
    <n v="21"/>
    <n v="16"/>
    <n v="7"/>
    <n v="7"/>
    <n v="9"/>
    <n v="9"/>
    <n v="27"/>
    <n v="1"/>
    <n v="0"/>
    <n v="0"/>
    <n v="0"/>
    <n v="1"/>
    <n v="0"/>
    <n v="0"/>
    <n v="0"/>
    <n v="0"/>
    <n v="0"/>
    <n v="9"/>
    <n v="0"/>
    <n v="0"/>
    <n v="28"/>
    <n v="0.2408834149783205"/>
    <n v="1.3667838287404401"/>
    <n v="2.1489368113080496"/>
    <n v="2.2838128280930299"/>
    <n v="1.9498886553045598"/>
    <n v="2.4165613483063648"/>
    <n v="1.4933588878908215"/>
  </r>
  <r>
    <n v="36"/>
    <n v="36"/>
    <s v="No"/>
    <n v="0"/>
    <s v="Travel_Rarely"/>
    <n v="0"/>
    <n v="1"/>
    <x v="1"/>
    <n v="1"/>
    <n v="0"/>
    <n v="8"/>
    <n v="8"/>
    <n v="3"/>
    <s v="Technical Degree"/>
    <n v="0"/>
    <n v="0"/>
    <n v="0"/>
    <n v="0"/>
    <n v="1"/>
    <n v="3"/>
    <s v="Female"/>
    <n v="1"/>
    <n v="59"/>
    <n v="3"/>
    <n v="3"/>
    <s v="Healthcare Representative"/>
    <n v="1"/>
    <n v="0"/>
    <n v="0"/>
    <n v="0"/>
    <n v="0"/>
    <n v="0"/>
    <n v="0"/>
    <n v="0"/>
    <n v="3"/>
    <s v="Divorced"/>
    <n v="0"/>
    <n v="0"/>
    <n v="10096"/>
    <n v="10096"/>
    <n v="1"/>
    <s v="No"/>
    <n v="0"/>
    <n v="13"/>
    <n v="3"/>
    <n v="2"/>
    <n v="3"/>
    <n v="17"/>
    <x v="6"/>
    <n v="2"/>
    <n v="3"/>
    <n v="17"/>
    <n v="17"/>
    <n v="14"/>
    <n v="12"/>
    <n v="12"/>
    <n v="8"/>
    <n v="8"/>
    <n v="24"/>
    <n v="1"/>
    <n v="0"/>
    <n v="0"/>
    <n v="0"/>
    <n v="1"/>
    <n v="0"/>
    <n v="0"/>
    <n v="0"/>
    <n v="0"/>
    <n v="8"/>
    <n v="0"/>
    <n v="0"/>
    <n v="17"/>
    <n v="0"/>
    <n v="0.76319067336863544"/>
    <n v="1.08652546240644"/>
    <n v="0.73519710510148462"/>
    <n v="1.630914178288138"/>
    <n v="0.14709966057360641"/>
    <n v="0.10112443951066327"/>
    <n v="3.0449828384135156"/>
  </r>
  <r>
    <n v="55"/>
    <n v="55"/>
    <s v="No"/>
    <n v="0"/>
    <s v="Travel_Rarely"/>
    <n v="0"/>
    <n v="1"/>
    <x v="1"/>
    <n v="1"/>
    <n v="0"/>
    <n v="8"/>
    <n v="8"/>
    <n v="3"/>
    <s v="Medical"/>
    <n v="0"/>
    <n v="0"/>
    <n v="1"/>
    <n v="0"/>
    <n v="0"/>
    <n v="4"/>
    <s v="Female"/>
    <n v="1"/>
    <n v="33"/>
    <n v="3"/>
    <n v="4"/>
    <s v="Manager"/>
    <n v="0"/>
    <n v="0"/>
    <n v="0"/>
    <n v="1"/>
    <n v="0"/>
    <n v="0"/>
    <n v="0"/>
    <n v="0"/>
    <n v="3"/>
    <s v="Divorced"/>
    <n v="0"/>
    <n v="0"/>
    <n v="14756"/>
    <n v="14756"/>
    <n v="2"/>
    <s v="Yes"/>
    <n v="1"/>
    <n v="14"/>
    <n v="3"/>
    <n v="3"/>
    <n v="3"/>
    <n v="21"/>
    <x v="23"/>
    <n v="2"/>
    <n v="3"/>
    <n v="5"/>
    <n v="5"/>
    <n v="0"/>
    <n v="0"/>
    <n v="0"/>
    <n v="2"/>
    <n v="2"/>
    <n v="8"/>
    <n v="1"/>
    <n v="0"/>
    <n v="0"/>
    <n v="0"/>
    <n v="0"/>
    <n v="1"/>
    <n v="0"/>
    <n v="0"/>
    <n v="0"/>
    <n v="2"/>
    <n v="0"/>
    <n v="0"/>
    <n v="21"/>
    <n v="0"/>
    <n v="1.753004347260001"/>
    <n v="0.59502473559756086"/>
    <n v="1.2492842709947811"/>
    <n v="0.32778177112653761"/>
    <n v="0.14709966057360641"/>
    <n v="1.9787029504251428"/>
    <n v="0.67891464284095016"/>
  </r>
  <r>
    <n v="36"/>
    <n v="36"/>
    <s v="No"/>
    <n v="0"/>
    <s v="Travel_Frequently"/>
    <n v="1"/>
    <n v="0"/>
    <x v="1"/>
    <n v="1"/>
    <n v="0"/>
    <n v="11"/>
    <n v="11"/>
    <n v="3"/>
    <s v="Life Sciences"/>
    <n v="1"/>
    <n v="0"/>
    <n v="0"/>
    <n v="0"/>
    <n v="0"/>
    <n v="2"/>
    <s v="Male"/>
    <n v="0"/>
    <n v="95"/>
    <n v="2"/>
    <n v="2"/>
    <s v="Manufacturing Director"/>
    <n v="0"/>
    <n v="0"/>
    <n v="0"/>
    <n v="0"/>
    <n v="1"/>
    <n v="1"/>
    <n v="0"/>
    <n v="0"/>
    <n v="2"/>
    <s v="Single"/>
    <n v="1"/>
    <n v="0"/>
    <n v="6499"/>
    <n v="6499"/>
    <n v="1"/>
    <s v="No"/>
    <n v="0"/>
    <n v="13"/>
    <n v="3"/>
    <n v="3"/>
    <n v="0"/>
    <n v="6"/>
    <x v="3"/>
    <n v="3"/>
    <n v="3"/>
    <n v="6"/>
    <n v="6"/>
    <n v="5"/>
    <n v="0"/>
    <n v="0"/>
    <n v="3"/>
    <n v="3"/>
    <n v="6"/>
    <n v="0"/>
    <n v="0"/>
    <n v="1"/>
    <n v="0"/>
    <n v="1"/>
    <n v="0"/>
    <n v="0"/>
    <n v="0"/>
    <n v="0"/>
    <n v="3"/>
    <n v="0"/>
    <n v="0"/>
    <n v="6"/>
    <n v="0"/>
    <n v="8.3503156424900317E-4"/>
    <n v="0.31476636926356072"/>
    <n v="0.67854260110508058"/>
    <n v="0.16455710867531462"/>
    <n v="0.22295710105195232"/>
    <n v="0.10112443951066327"/>
    <n v="0.67891464284095016"/>
  </r>
  <r>
    <n v="45"/>
    <n v="45"/>
    <s v="No"/>
    <n v="0"/>
    <s v="Travel_Rarely"/>
    <n v="0"/>
    <n v="1"/>
    <x v="1"/>
    <n v="1"/>
    <n v="0"/>
    <n v="7"/>
    <n v="7"/>
    <n v="3"/>
    <s v="Life Sciences"/>
    <n v="1"/>
    <n v="0"/>
    <n v="0"/>
    <n v="0"/>
    <n v="0"/>
    <n v="2"/>
    <s v="Male"/>
    <n v="0"/>
    <n v="59"/>
    <n v="3"/>
    <n v="3"/>
    <s v="Research Scientist"/>
    <n v="0"/>
    <n v="0"/>
    <n v="0"/>
    <n v="0"/>
    <n v="0"/>
    <n v="0"/>
    <n v="0"/>
    <n v="1"/>
    <n v="1"/>
    <s v="Divorced"/>
    <n v="0"/>
    <n v="0"/>
    <n v="9724"/>
    <n v="9724"/>
    <n v="2"/>
    <s v="No"/>
    <n v="0"/>
    <n v="17"/>
    <n v="3"/>
    <n v="3"/>
    <n v="1"/>
    <n v="25"/>
    <x v="24"/>
    <n v="2"/>
    <n v="3"/>
    <n v="1"/>
    <n v="1"/>
    <n v="0"/>
    <n v="0"/>
    <n v="0"/>
    <n v="0"/>
    <n v="0"/>
    <n v="0"/>
    <n v="1"/>
    <n v="0"/>
    <n v="0"/>
    <n v="0"/>
    <n v="1"/>
    <n v="0"/>
    <n v="0"/>
    <n v="0"/>
    <n v="0"/>
    <n v="0"/>
    <n v="0"/>
    <n v="0"/>
    <n v="25"/>
    <n v="0"/>
    <n v="0.68417550455155651"/>
    <n v="1.1555414682655611"/>
    <n v="1.7633714368880775"/>
    <n v="0.9806804209314296"/>
    <n v="0.27045191444879263"/>
    <n v="0.88405695572208698"/>
    <n v="0.67891464284095016"/>
  </r>
  <r>
    <n v="35"/>
    <n v="35"/>
    <s v="No"/>
    <n v="0"/>
    <s v="Travel_Frequently"/>
    <n v="1"/>
    <n v="0"/>
    <x v="1"/>
    <n v="1"/>
    <n v="0"/>
    <n v="1"/>
    <n v="1"/>
    <n v="3"/>
    <s v="Medical"/>
    <n v="0"/>
    <n v="0"/>
    <n v="1"/>
    <n v="0"/>
    <n v="0"/>
    <n v="2"/>
    <s v="Male"/>
    <n v="0"/>
    <n v="79"/>
    <n v="3"/>
    <n v="1"/>
    <s v="Research Scientist"/>
    <n v="0"/>
    <n v="0"/>
    <n v="0"/>
    <n v="0"/>
    <n v="0"/>
    <n v="0"/>
    <n v="0"/>
    <n v="1"/>
    <n v="1"/>
    <s v="Married"/>
    <n v="0"/>
    <n v="1"/>
    <n v="2194"/>
    <n v="2194"/>
    <n v="4"/>
    <s v="No"/>
    <n v="0"/>
    <n v="13"/>
    <n v="3"/>
    <n v="4"/>
    <n v="1"/>
    <n v="5"/>
    <x v="7"/>
    <n v="2"/>
    <n v="2"/>
    <n v="3"/>
    <n v="3"/>
    <n v="2"/>
    <n v="1"/>
    <n v="1"/>
    <n v="2"/>
    <n v="2"/>
    <n v="2"/>
    <n v="0"/>
    <n v="0"/>
    <n v="0"/>
    <n v="1"/>
    <n v="0"/>
    <n v="0"/>
    <n v="1"/>
    <n v="0"/>
    <n v="0"/>
    <n v="2"/>
    <n v="0"/>
    <n v="0"/>
    <n v="5"/>
    <n v="0"/>
    <n v="0.91524444489092893"/>
    <n v="0.59502473559756086"/>
    <n v="0.80706439257840468"/>
    <n v="0.65423109602898355"/>
    <n v="1.01056543769991"/>
    <n v="0.21058903898096887"/>
    <n v="0.36858985273641137"/>
  </r>
  <r>
    <n v="36"/>
    <n v="36"/>
    <s v="Yes"/>
    <n v="1"/>
    <s v="Travel_Rarely"/>
    <n v="0"/>
    <n v="1"/>
    <x v="1"/>
    <n v="1"/>
    <n v="0"/>
    <n v="9"/>
    <n v="9"/>
    <n v="3"/>
    <s v="Medical"/>
    <n v="0"/>
    <n v="0"/>
    <n v="1"/>
    <n v="0"/>
    <n v="0"/>
    <n v="4"/>
    <s v="Male"/>
    <n v="0"/>
    <n v="79"/>
    <n v="2"/>
    <n v="1"/>
    <s v="Research Scientist"/>
    <n v="0"/>
    <n v="0"/>
    <n v="0"/>
    <n v="0"/>
    <n v="0"/>
    <n v="0"/>
    <n v="0"/>
    <n v="1"/>
    <n v="3"/>
    <s v="Married"/>
    <n v="0"/>
    <n v="1"/>
    <n v="3388"/>
    <n v="3388"/>
    <n v="0"/>
    <s v="Yes"/>
    <n v="1"/>
    <n v="17"/>
    <n v="3"/>
    <n v="1"/>
    <n v="1"/>
    <n v="2"/>
    <x v="16"/>
    <n v="0"/>
    <n v="2"/>
    <n v="1"/>
    <n v="1"/>
    <n v="0"/>
    <n v="0"/>
    <n v="0"/>
    <n v="0"/>
    <n v="0"/>
    <n v="0"/>
    <n v="0"/>
    <n v="1"/>
    <n v="0"/>
    <n v="0"/>
    <n v="0"/>
    <n v="0"/>
    <n v="0"/>
    <n v="1"/>
    <n v="0"/>
    <n v="0"/>
    <n v="0"/>
    <n v="0"/>
    <n v="2"/>
    <n v="0"/>
    <n v="0.66163124175223997"/>
    <n v="1.1555414682655611"/>
    <n v="1.192629766998377"/>
    <n v="0.9806804209314296"/>
    <n v="2.3747406698420157E-2"/>
    <n v="0.10112443951066327"/>
    <n v="0.67891464284095016"/>
  </r>
  <r>
    <n v="59"/>
    <n v="58.309999999999945"/>
    <s v="No"/>
    <n v="0"/>
    <s v="Travel_Frequently"/>
    <n v="1"/>
    <n v="0"/>
    <x v="0"/>
    <n v="0"/>
    <n v="1"/>
    <n v="1"/>
    <n v="1"/>
    <n v="1"/>
    <s v="Life Sciences"/>
    <n v="1"/>
    <n v="0"/>
    <n v="0"/>
    <n v="0"/>
    <n v="0"/>
    <n v="1"/>
    <s v="Female"/>
    <n v="1"/>
    <n v="57"/>
    <n v="2"/>
    <n v="2"/>
    <s v="Sales Executive"/>
    <n v="0"/>
    <n v="1"/>
    <n v="0"/>
    <n v="0"/>
    <n v="0"/>
    <n v="0"/>
    <n v="0"/>
    <n v="0"/>
    <n v="3"/>
    <s v="Single"/>
    <n v="1"/>
    <n v="0"/>
    <n v="5473"/>
    <n v="5473"/>
    <n v="7"/>
    <s v="No"/>
    <n v="0"/>
    <n v="11"/>
    <n v="3"/>
    <n v="4"/>
    <n v="0"/>
    <n v="20"/>
    <x v="25"/>
    <n v="2"/>
    <n v="2"/>
    <n v="4"/>
    <n v="4"/>
    <n v="3"/>
    <n v="1"/>
    <n v="1"/>
    <n v="3"/>
    <n v="3"/>
    <n v="6"/>
    <n v="0"/>
    <n v="0"/>
    <n v="1"/>
    <n v="0"/>
    <n v="1"/>
    <n v="0"/>
    <n v="0"/>
    <n v="0"/>
    <n v="0"/>
    <n v="0"/>
    <n v="3"/>
    <n v="0"/>
    <n v="0"/>
    <n v="20"/>
    <n v="0.21876396491457969"/>
    <n v="0.31476636926356072"/>
    <n v="1.120762479521457"/>
    <n v="0.49100643357776058"/>
    <n v="1.01056543769991"/>
    <n v="2.4165613483063648"/>
    <n v="0.36858985273641137"/>
  </r>
  <r>
    <n v="29"/>
    <n v="29"/>
    <s v="No"/>
    <n v="0"/>
    <s v="Travel_Rarely"/>
    <n v="0"/>
    <n v="1"/>
    <x v="1"/>
    <n v="1"/>
    <n v="0"/>
    <n v="2"/>
    <n v="2"/>
    <n v="3"/>
    <s v="Life Sciences"/>
    <n v="1"/>
    <n v="0"/>
    <n v="0"/>
    <n v="0"/>
    <n v="0"/>
    <n v="3"/>
    <s v="Male"/>
    <n v="0"/>
    <n v="76"/>
    <n v="3"/>
    <n v="1"/>
    <s v="Research Scientist"/>
    <n v="0"/>
    <n v="0"/>
    <n v="0"/>
    <n v="0"/>
    <n v="0"/>
    <n v="0"/>
    <n v="0"/>
    <n v="1"/>
    <n v="2"/>
    <s v="Married"/>
    <n v="0"/>
    <n v="1"/>
    <n v="2703"/>
    <n v="2703"/>
    <n v="0"/>
    <s v="No"/>
    <n v="0"/>
    <n v="23"/>
    <n v="4"/>
    <n v="4"/>
    <n v="1"/>
    <n v="6"/>
    <x v="3"/>
    <n v="3"/>
    <n v="3"/>
    <n v="5"/>
    <n v="5"/>
    <n v="4"/>
    <n v="0"/>
    <n v="0"/>
    <n v="4"/>
    <n v="4"/>
    <n v="4"/>
    <n v="0"/>
    <n v="1"/>
    <n v="0"/>
    <n v="0"/>
    <n v="0"/>
    <n v="0"/>
    <n v="1"/>
    <n v="0"/>
    <n v="0"/>
    <n v="4"/>
    <n v="0"/>
    <n v="0"/>
    <n v="6"/>
    <n v="0"/>
    <n v="0.807129603686915"/>
    <n v="3.4508002929560584E-2"/>
    <n v="0.67854260110508058"/>
    <n v="0.32778177112653761"/>
    <n v="0.88721318382472392"/>
    <n v="0.86737663580280233"/>
    <n v="0.67891464284095016"/>
  </r>
  <r>
    <n v="31"/>
    <n v="31"/>
    <s v="No"/>
    <n v="0"/>
    <s v="Travel_Rarely"/>
    <n v="0"/>
    <n v="1"/>
    <x v="1"/>
    <n v="1"/>
    <n v="0"/>
    <n v="1"/>
    <n v="1"/>
    <n v="4"/>
    <s v="Medical"/>
    <n v="0"/>
    <n v="0"/>
    <n v="1"/>
    <n v="0"/>
    <n v="0"/>
    <n v="3"/>
    <s v="Male"/>
    <n v="0"/>
    <n v="87"/>
    <n v="3"/>
    <n v="1"/>
    <s v="Research Scientist"/>
    <n v="0"/>
    <n v="0"/>
    <n v="0"/>
    <n v="0"/>
    <n v="0"/>
    <n v="0"/>
    <n v="0"/>
    <n v="1"/>
    <n v="2"/>
    <s v="Single"/>
    <n v="1"/>
    <n v="0"/>
    <n v="2501"/>
    <n v="2501"/>
    <n v="1"/>
    <s v="No"/>
    <n v="0"/>
    <n v="17"/>
    <n v="3"/>
    <n v="2"/>
    <n v="0"/>
    <n v="1"/>
    <x v="5"/>
    <n v="4"/>
    <n v="3"/>
    <n v="1"/>
    <n v="1"/>
    <n v="1"/>
    <n v="1"/>
    <n v="1"/>
    <n v="0"/>
    <n v="0"/>
    <n v="0"/>
    <n v="1"/>
    <n v="0"/>
    <n v="0"/>
    <n v="0"/>
    <n v="1"/>
    <n v="0"/>
    <n v="0"/>
    <n v="0"/>
    <n v="0"/>
    <n v="0"/>
    <n v="0"/>
    <n v="0"/>
    <n v="1"/>
    <n v="0"/>
    <n v="0.85003568998005996"/>
    <n v="1.1555414682655611"/>
    <n v="1.3211515584717011"/>
    <n v="0.9806804209314296"/>
    <n v="1.01056543769991"/>
    <n v="0.6484474368621912"/>
    <n v="0.36858985273641137"/>
  </r>
  <r>
    <n v="32"/>
    <n v="32"/>
    <s v="No"/>
    <n v="0"/>
    <s v="Travel_Rarely"/>
    <n v="0"/>
    <n v="1"/>
    <x v="1"/>
    <n v="1"/>
    <n v="0"/>
    <n v="1"/>
    <n v="1"/>
    <n v="3"/>
    <s v="Life Sciences"/>
    <n v="1"/>
    <n v="0"/>
    <n v="0"/>
    <n v="0"/>
    <n v="0"/>
    <n v="2"/>
    <s v="Male"/>
    <n v="0"/>
    <n v="66"/>
    <n v="3"/>
    <n v="2"/>
    <s v="Research Scientist"/>
    <n v="0"/>
    <n v="0"/>
    <n v="0"/>
    <n v="0"/>
    <n v="0"/>
    <n v="0"/>
    <n v="0"/>
    <n v="1"/>
    <n v="2"/>
    <s v="Married"/>
    <n v="0"/>
    <n v="1"/>
    <n v="6220"/>
    <n v="6220"/>
    <n v="1"/>
    <s v="No"/>
    <n v="0"/>
    <n v="17"/>
    <n v="3"/>
    <n v="2"/>
    <n v="2"/>
    <n v="10"/>
    <x v="1"/>
    <n v="3"/>
    <n v="3"/>
    <n v="10"/>
    <n v="10"/>
    <n v="4"/>
    <n v="0"/>
    <n v="0"/>
    <n v="9"/>
    <n v="9"/>
    <n v="18"/>
    <n v="0"/>
    <n v="1"/>
    <n v="0"/>
    <n v="0"/>
    <n v="0"/>
    <n v="0"/>
    <n v="1"/>
    <n v="0"/>
    <n v="0"/>
    <n v="9"/>
    <n v="0"/>
    <n v="0"/>
    <n v="10"/>
    <n v="0"/>
    <n v="6.0096408177058226E-2"/>
    <n v="1.3667838287404401"/>
    <n v="0.1644554352117841"/>
    <n v="0.48834154112957734"/>
    <n v="1.01056543769991"/>
    <n v="0.53898283739188557"/>
    <n v="0.67891464284095016"/>
  </r>
  <r>
    <n v="36"/>
    <n v="36"/>
    <s v="No"/>
    <n v="0"/>
    <s v="Travel_Rarely"/>
    <n v="0"/>
    <n v="1"/>
    <x v="1"/>
    <n v="1"/>
    <n v="0"/>
    <n v="6"/>
    <n v="6"/>
    <n v="3"/>
    <s v="Life Sciences"/>
    <n v="1"/>
    <n v="0"/>
    <n v="0"/>
    <n v="0"/>
    <n v="0"/>
    <n v="2"/>
    <s v="Female"/>
    <n v="1"/>
    <n v="55"/>
    <n v="4"/>
    <n v="1"/>
    <s v="Laboratory Technician"/>
    <n v="0"/>
    <n v="0"/>
    <n v="1"/>
    <n v="0"/>
    <n v="0"/>
    <n v="0"/>
    <n v="0"/>
    <n v="0"/>
    <n v="4"/>
    <s v="Married"/>
    <n v="0"/>
    <n v="1"/>
    <n v="3038"/>
    <n v="3038"/>
    <n v="3"/>
    <s v="No"/>
    <n v="0"/>
    <n v="12"/>
    <n v="3"/>
    <n v="2"/>
    <n v="0"/>
    <n v="5"/>
    <x v="7"/>
    <n v="3"/>
    <n v="3"/>
    <n v="1"/>
    <n v="1"/>
    <n v="0"/>
    <n v="0"/>
    <n v="0"/>
    <n v="0"/>
    <n v="0"/>
    <n v="0"/>
    <n v="0"/>
    <n v="1"/>
    <n v="0"/>
    <n v="0"/>
    <n v="0"/>
    <n v="0"/>
    <n v="1"/>
    <n v="0"/>
    <n v="0"/>
    <n v="0"/>
    <n v="0"/>
    <n v="0"/>
    <n v="5"/>
    <n v="0"/>
    <n v="0.73597347047798634"/>
    <n v="1.1555414682655611"/>
    <n v="0.80706439257840468"/>
    <n v="0.9806804209314296"/>
    <n v="0.39380416832397891"/>
    <n v="0.10112443951066327"/>
    <n v="0.67891464284095016"/>
  </r>
  <r>
    <n v="31"/>
    <n v="31"/>
    <s v="No"/>
    <n v="0"/>
    <s v="Travel_Rarely"/>
    <n v="0"/>
    <n v="1"/>
    <x v="1"/>
    <n v="1"/>
    <n v="0"/>
    <n v="8"/>
    <n v="8"/>
    <n v="4"/>
    <s v="Life Sciences"/>
    <n v="1"/>
    <n v="0"/>
    <n v="0"/>
    <n v="0"/>
    <n v="0"/>
    <n v="3"/>
    <s v="Female"/>
    <n v="1"/>
    <n v="61"/>
    <n v="3"/>
    <n v="2"/>
    <s v="Manufacturing Director"/>
    <n v="0"/>
    <n v="0"/>
    <n v="0"/>
    <n v="0"/>
    <n v="1"/>
    <n v="1"/>
    <n v="0"/>
    <n v="0"/>
    <n v="4"/>
    <s v="Single"/>
    <n v="1"/>
    <n v="0"/>
    <n v="4424"/>
    <n v="4424"/>
    <n v="1"/>
    <s v="No"/>
    <n v="0"/>
    <n v="23"/>
    <n v="4"/>
    <n v="4"/>
    <n v="0"/>
    <n v="11"/>
    <x v="26"/>
    <n v="2"/>
    <n v="3"/>
    <n v="11"/>
    <n v="11"/>
    <n v="7"/>
    <n v="1"/>
    <n v="1"/>
    <n v="8"/>
    <n v="8"/>
    <n v="16"/>
    <n v="1"/>
    <n v="0"/>
    <n v="0"/>
    <n v="0"/>
    <n v="1"/>
    <n v="0"/>
    <n v="0"/>
    <n v="0"/>
    <n v="0"/>
    <n v="8"/>
    <n v="0"/>
    <n v="0"/>
    <n v="11"/>
    <n v="0"/>
    <n v="0.44157824472403084"/>
    <n v="1.08652546240644"/>
    <n v="3.593364373846001E-2"/>
    <n v="0.65156620358080031"/>
    <n v="0.14709966057360641"/>
    <n v="0.6484474368621912"/>
    <n v="0.36858985273641137"/>
  </r>
  <r>
    <n v="35"/>
    <n v="35"/>
    <s v="No"/>
    <n v="0"/>
    <s v="Travel_Rarely"/>
    <n v="0"/>
    <n v="1"/>
    <x v="0"/>
    <n v="0"/>
    <n v="1"/>
    <n v="1"/>
    <n v="1"/>
    <n v="4"/>
    <s v="Marketing"/>
    <n v="0"/>
    <n v="0"/>
    <n v="0"/>
    <n v="1"/>
    <n v="0"/>
    <n v="3"/>
    <s v="Male"/>
    <n v="0"/>
    <n v="32"/>
    <n v="2"/>
    <n v="2"/>
    <s v="Sales Executive"/>
    <n v="0"/>
    <n v="1"/>
    <n v="0"/>
    <n v="0"/>
    <n v="0"/>
    <n v="0"/>
    <n v="0"/>
    <n v="0"/>
    <n v="1"/>
    <s v="Single"/>
    <n v="1"/>
    <n v="0"/>
    <n v="4312"/>
    <n v="4312"/>
    <n v="0"/>
    <s v="No"/>
    <n v="0"/>
    <n v="14"/>
    <n v="3"/>
    <n v="2"/>
    <n v="0"/>
    <n v="16"/>
    <x v="27"/>
    <n v="2"/>
    <n v="3"/>
    <n v="15"/>
    <n v="15"/>
    <n v="13"/>
    <n v="2"/>
    <n v="2"/>
    <n v="8"/>
    <n v="8"/>
    <n v="16"/>
    <n v="1"/>
    <n v="0"/>
    <n v="0"/>
    <n v="0"/>
    <n v="1"/>
    <n v="0"/>
    <n v="0"/>
    <n v="0"/>
    <n v="0"/>
    <n v="0"/>
    <n v="8"/>
    <n v="0"/>
    <n v="0"/>
    <n v="16"/>
    <n v="0.46536775791626966"/>
    <n v="1.08652546240644"/>
    <n v="0.60667531362816052"/>
    <n v="1.3044648533856922"/>
    <n v="1.01056543769991"/>
    <n v="0.21058903898096887"/>
    <n v="5.8265062631872602E-2"/>
  </r>
  <r>
    <n v="45"/>
    <n v="45"/>
    <s v="No"/>
    <n v="0"/>
    <s v="Travel_Rarely"/>
    <n v="0"/>
    <n v="1"/>
    <x v="1"/>
    <n v="1"/>
    <n v="0"/>
    <n v="6"/>
    <n v="6"/>
    <n v="4"/>
    <s v="Other"/>
    <n v="0"/>
    <n v="1"/>
    <n v="0"/>
    <n v="0"/>
    <n v="0"/>
    <n v="4"/>
    <s v="Male"/>
    <n v="0"/>
    <n v="52"/>
    <n v="3"/>
    <n v="3"/>
    <s v="Research Director"/>
    <n v="0"/>
    <n v="0"/>
    <n v="0"/>
    <n v="0"/>
    <n v="0"/>
    <n v="0"/>
    <n v="0"/>
    <n v="0"/>
    <n v="1"/>
    <s v="Married"/>
    <n v="0"/>
    <n v="1"/>
    <n v="13245"/>
    <n v="13245"/>
    <n v="4"/>
    <s v="Yes"/>
    <n v="1"/>
    <n v="14"/>
    <n v="3"/>
    <n v="2"/>
    <n v="0"/>
    <n v="17"/>
    <x v="6"/>
    <n v="3"/>
    <n v="4"/>
    <n v="0"/>
    <n v="0"/>
    <n v="0"/>
    <n v="0"/>
    <n v="0"/>
    <n v="0"/>
    <n v="0"/>
    <n v="0"/>
    <n v="0"/>
    <n v="1"/>
    <n v="0"/>
    <n v="0"/>
    <n v="0"/>
    <n v="0"/>
    <n v="0"/>
    <n v="1"/>
    <n v="0"/>
    <n v="0"/>
    <n v="0"/>
    <n v="0"/>
    <n v="17"/>
    <n v="0"/>
    <n v="1.4320583255325647"/>
    <n v="1.1555414682655611"/>
    <n v="0.73519710510148462"/>
    <n v="1.1439050833826525"/>
    <n v="0.39380416832397891"/>
    <n v="0.88405695572208698"/>
    <n v="0.67891464284095016"/>
  </r>
  <r>
    <n v="37"/>
    <n v="37"/>
    <s v="No"/>
    <n v="0"/>
    <s v="Travel_Rarely"/>
    <n v="0"/>
    <n v="1"/>
    <x v="1"/>
    <n v="1"/>
    <n v="0"/>
    <n v="7"/>
    <n v="7"/>
    <n v="4"/>
    <s v="Medical"/>
    <n v="0"/>
    <n v="0"/>
    <n v="1"/>
    <n v="0"/>
    <n v="0"/>
    <n v="1"/>
    <s v="Male"/>
    <n v="0"/>
    <n v="30"/>
    <n v="3"/>
    <n v="3"/>
    <s v="Research Director"/>
    <n v="0"/>
    <n v="0"/>
    <n v="0"/>
    <n v="0"/>
    <n v="0"/>
    <n v="0"/>
    <n v="0"/>
    <n v="0"/>
    <n v="3"/>
    <s v="Single"/>
    <n v="1"/>
    <n v="0"/>
    <n v="13664"/>
    <n v="13664"/>
    <n v="4"/>
    <s v="No"/>
    <n v="0"/>
    <n v="13"/>
    <n v="3"/>
    <n v="1"/>
    <n v="0"/>
    <n v="16"/>
    <x v="27"/>
    <n v="3"/>
    <n v="4"/>
    <n v="5"/>
    <n v="5"/>
    <n v="2"/>
    <n v="0"/>
    <n v="0"/>
    <n v="2"/>
    <n v="2"/>
    <n v="6"/>
    <n v="1"/>
    <n v="0"/>
    <n v="0"/>
    <n v="0"/>
    <n v="1"/>
    <n v="0"/>
    <n v="0"/>
    <n v="0"/>
    <n v="0"/>
    <n v="2"/>
    <n v="0"/>
    <n v="0"/>
    <n v="16"/>
    <n v="0"/>
    <n v="1.5210565936356724"/>
    <n v="0.59502473559756086"/>
    <n v="0.60667531362816052"/>
    <n v="0.32778177112653761"/>
    <n v="0.27045191444879263"/>
    <n v="8.3401599596422994E-3"/>
    <n v="0.67891464284095016"/>
  </r>
  <r>
    <n v="46"/>
    <n v="46"/>
    <s v="No"/>
    <n v="0"/>
    <s v="Travel_Rarely"/>
    <n v="0"/>
    <n v="1"/>
    <x v="2"/>
    <n v="0"/>
    <n v="0"/>
    <n v="5"/>
    <n v="5"/>
    <n v="2"/>
    <s v="Medical"/>
    <n v="0"/>
    <n v="0"/>
    <n v="1"/>
    <n v="0"/>
    <n v="0"/>
    <n v="2"/>
    <s v="Male"/>
    <n v="0"/>
    <n v="80"/>
    <n v="3"/>
    <n v="2"/>
    <s v="Human Resources"/>
    <n v="0"/>
    <n v="0"/>
    <n v="0"/>
    <n v="0"/>
    <n v="0"/>
    <n v="0"/>
    <n v="0"/>
    <n v="0"/>
    <n v="2"/>
    <s v="Divorced"/>
    <n v="0"/>
    <n v="0"/>
    <n v="5021"/>
    <n v="5021"/>
    <n v="8"/>
    <s v="Yes"/>
    <n v="1"/>
    <n v="22"/>
    <n v="4"/>
    <n v="4"/>
    <n v="1"/>
    <n v="16"/>
    <x v="27"/>
    <n v="2"/>
    <n v="3"/>
    <n v="4"/>
    <n v="4"/>
    <n v="2"/>
    <n v="0"/>
    <n v="0"/>
    <n v="2"/>
    <n v="2"/>
    <n v="4"/>
    <n v="1"/>
    <n v="0"/>
    <n v="0"/>
    <n v="0"/>
    <n v="0"/>
    <n v="1"/>
    <n v="0"/>
    <n v="0"/>
    <n v="2"/>
    <n v="0"/>
    <n v="0"/>
    <n v="16"/>
    <n v="0"/>
    <n v="0"/>
    <n v="0.31477164315468636"/>
    <n v="0.59502473559756086"/>
    <n v="0.60667531362816052"/>
    <n v="0.49100643357776058"/>
    <n v="0.51715642219916513"/>
    <n v="0.99352155519239249"/>
    <n v="0.67891464284095016"/>
  </r>
  <r>
    <n v="30"/>
    <n v="30"/>
    <s v="No"/>
    <n v="0"/>
    <s v="Travel_Rarely"/>
    <n v="0"/>
    <n v="1"/>
    <x v="1"/>
    <n v="1"/>
    <n v="0"/>
    <n v="1"/>
    <n v="1"/>
    <n v="1"/>
    <s v="Life Sciences"/>
    <n v="1"/>
    <n v="0"/>
    <n v="0"/>
    <n v="0"/>
    <n v="0"/>
    <n v="4"/>
    <s v="Male"/>
    <n v="0"/>
    <n v="55"/>
    <n v="2"/>
    <n v="2"/>
    <s v="Laboratory Technician"/>
    <n v="0"/>
    <n v="0"/>
    <n v="1"/>
    <n v="0"/>
    <n v="0"/>
    <n v="0"/>
    <n v="0"/>
    <n v="0"/>
    <n v="4"/>
    <s v="Married"/>
    <n v="0"/>
    <n v="1"/>
    <n v="5126"/>
    <n v="5126"/>
    <n v="1"/>
    <s v="Yes"/>
    <n v="1"/>
    <n v="12"/>
    <n v="3"/>
    <n v="3"/>
    <n v="2"/>
    <n v="10"/>
    <x v="1"/>
    <n v="1"/>
    <n v="2"/>
    <n v="10"/>
    <n v="10"/>
    <n v="8"/>
    <n v="3"/>
    <n v="3"/>
    <n v="0"/>
    <n v="0"/>
    <n v="0"/>
    <n v="0"/>
    <n v="1"/>
    <n v="0"/>
    <n v="0"/>
    <n v="0"/>
    <n v="0"/>
    <n v="0"/>
    <n v="1"/>
    <n v="0"/>
    <n v="0"/>
    <n v="0"/>
    <n v="0"/>
    <n v="10"/>
    <n v="0"/>
    <n v="0.29246897453696247"/>
    <n v="1.1555414682655611"/>
    <n v="0.1644554352117841"/>
    <n v="0.48834154112957734"/>
    <n v="1.01056543769991"/>
    <n v="0.75791203633249671"/>
    <n v="0.2520597274726662"/>
  </r>
  <r>
    <n v="35"/>
    <n v="35"/>
    <s v="No"/>
    <n v="0"/>
    <s v="Travel_Rarely"/>
    <n v="0"/>
    <n v="1"/>
    <x v="1"/>
    <n v="1"/>
    <n v="0"/>
    <n v="1"/>
    <n v="1"/>
    <n v="3"/>
    <s v="Medical"/>
    <n v="0"/>
    <n v="0"/>
    <n v="1"/>
    <n v="0"/>
    <n v="0"/>
    <n v="2"/>
    <s v="Male"/>
    <n v="0"/>
    <n v="30"/>
    <n v="2"/>
    <n v="1"/>
    <s v="Research Scientist"/>
    <n v="0"/>
    <n v="0"/>
    <n v="0"/>
    <n v="0"/>
    <n v="0"/>
    <n v="0"/>
    <n v="0"/>
    <n v="1"/>
    <n v="3"/>
    <s v="Single"/>
    <n v="1"/>
    <n v="0"/>
    <n v="2859"/>
    <n v="2859"/>
    <n v="1"/>
    <s v="No"/>
    <n v="0"/>
    <n v="18"/>
    <n v="3"/>
    <n v="1"/>
    <n v="0"/>
    <n v="6"/>
    <x v="3"/>
    <n v="3"/>
    <n v="3"/>
    <n v="6"/>
    <n v="6"/>
    <n v="4"/>
    <n v="0"/>
    <n v="0"/>
    <n v="4"/>
    <n v="4"/>
    <n v="4"/>
    <n v="1"/>
    <n v="0"/>
    <n v="0"/>
    <n v="0"/>
    <n v="1"/>
    <n v="0"/>
    <n v="0"/>
    <n v="0"/>
    <n v="0"/>
    <n v="4"/>
    <n v="0"/>
    <n v="0"/>
    <n v="6"/>
    <n v="0"/>
    <n v="0.77399421031201088"/>
    <n v="3.4508002929560584E-2"/>
    <n v="0.67854260110508058"/>
    <n v="0.16455710867531462"/>
    <n v="1.01056543769991"/>
    <n v="0.21058903898096887"/>
    <n v="0.67891464284095016"/>
  </r>
  <r>
    <n v="55"/>
    <n v="55"/>
    <s v="No"/>
    <n v="0"/>
    <s v="Travel_Rarely"/>
    <n v="0"/>
    <n v="1"/>
    <x v="0"/>
    <n v="0"/>
    <n v="1"/>
    <n v="1"/>
    <n v="1"/>
    <n v="2"/>
    <s v="Life Sciences"/>
    <n v="1"/>
    <n v="0"/>
    <n v="0"/>
    <n v="0"/>
    <n v="0"/>
    <n v="1"/>
    <s v="Male"/>
    <n v="0"/>
    <n v="70"/>
    <n v="3"/>
    <n v="3"/>
    <s v="Sales Executive"/>
    <n v="0"/>
    <n v="1"/>
    <n v="0"/>
    <n v="0"/>
    <n v="0"/>
    <n v="0"/>
    <n v="0"/>
    <n v="0"/>
    <n v="4"/>
    <s v="Married"/>
    <n v="0"/>
    <n v="1"/>
    <n v="10239"/>
    <n v="10239"/>
    <n v="3"/>
    <s v="No"/>
    <n v="0"/>
    <n v="14"/>
    <n v="3"/>
    <n v="4"/>
    <n v="1"/>
    <n v="24"/>
    <x v="12"/>
    <n v="4"/>
    <n v="3"/>
    <n v="1"/>
    <n v="1"/>
    <n v="0"/>
    <n v="1"/>
    <n v="1"/>
    <n v="0"/>
    <n v="0"/>
    <n v="0"/>
    <n v="0"/>
    <n v="1"/>
    <n v="0"/>
    <n v="0"/>
    <n v="0"/>
    <n v="0"/>
    <n v="1"/>
    <n v="0"/>
    <n v="0"/>
    <n v="0"/>
    <n v="0"/>
    <n v="0"/>
    <n v="0"/>
    <n v="24"/>
    <n v="0.79356478396229757"/>
    <n v="1.1555414682655611"/>
    <n v="1.6348496454147534"/>
    <n v="0.9806804209314296"/>
    <n v="1.01056543769991"/>
    <n v="1.9787029504251428"/>
    <n v="0.36858985273641137"/>
  </r>
  <r>
    <n v="38"/>
    <n v="38"/>
    <s v="No"/>
    <n v="0"/>
    <s v="Non-Travel"/>
    <n v="0"/>
    <n v="0"/>
    <x v="1"/>
    <n v="1"/>
    <n v="0"/>
    <n v="6"/>
    <n v="6"/>
    <n v="3"/>
    <s v="Medical"/>
    <n v="0"/>
    <n v="0"/>
    <n v="1"/>
    <n v="0"/>
    <n v="0"/>
    <n v="2"/>
    <s v="Female"/>
    <n v="1"/>
    <n v="79"/>
    <n v="1"/>
    <n v="2"/>
    <s v="Research Scientist"/>
    <n v="0"/>
    <n v="0"/>
    <n v="0"/>
    <n v="0"/>
    <n v="0"/>
    <n v="0"/>
    <n v="0"/>
    <n v="1"/>
    <n v="4"/>
    <s v="Divorced"/>
    <n v="0"/>
    <n v="0"/>
    <n v="5329"/>
    <n v="5329"/>
    <n v="7"/>
    <s v="Yes"/>
    <n v="1"/>
    <n v="12"/>
    <n v="3"/>
    <n v="4"/>
    <n v="3"/>
    <n v="17"/>
    <x v="6"/>
    <n v="3"/>
    <n v="3"/>
    <n v="13"/>
    <n v="13"/>
    <n v="11"/>
    <n v="1"/>
    <n v="1"/>
    <n v="9"/>
    <n v="9"/>
    <n v="18"/>
    <n v="1"/>
    <n v="0"/>
    <n v="0"/>
    <n v="0"/>
    <n v="0"/>
    <n v="1"/>
    <n v="0"/>
    <n v="0"/>
    <n v="0"/>
    <n v="9"/>
    <n v="0"/>
    <n v="0"/>
    <n v="17"/>
    <n v="0"/>
    <n v="0.24935048187602959"/>
    <n v="1.3667838287404401"/>
    <n v="0.73519710510148462"/>
    <n v="0.97801552848324624"/>
    <n v="0.39380416832397891"/>
    <n v="0.11780475942994788"/>
    <n v="0.36858985273641137"/>
  </r>
  <r>
    <n v="34"/>
    <n v="34"/>
    <s v="No"/>
    <n v="0"/>
    <s v="Travel_Rarely"/>
    <n v="0"/>
    <n v="1"/>
    <x v="1"/>
    <n v="1"/>
    <n v="0"/>
    <n v="1"/>
    <n v="1"/>
    <n v="2"/>
    <s v="Medical"/>
    <n v="0"/>
    <n v="0"/>
    <n v="1"/>
    <n v="0"/>
    <n v="0"/>
    <n v="1"/>
    <s v="Male"/>
    <n v="0"/>
    <n v="94"/>
    <n v="3"/>
    <n v="2"/>
    <s v="Manufacturing Director"/>
    <n v="0"/>
    <n v="0"/>
    <n v="0"/>
    <n v="0"/>
    <n v="1"/>
    <n v="1"/>
    <n v="0"/>
    <n v="0"/>
    <n v="2"/>
    <s v="Married"/>
    <n v="0"/>
    <n v="1"/>
    <n v="4325"/>
    <n v="4325"/>
    <n v="1"/>
    <s v="No"/>
    <n v="0"/>
    <n v="15"/>
    <n v="3"/>
    <n v="3"/>
    <n v="0"/>
    <n v="5"/>
    <x v="7"/>
    <n v="2"/>
    <n v="3"/>
    <n v="5"/>
    <n v="5"/>
    <n v="2"/>
    <n v="1"/>
    <n v="1"/>
    <n v="3"/>
    <n v="3"/>
    <n v="6"/>
    <n v="0"/>
    <n v="1"/>
    <n v="0"/>
    <n v="0"/>
    <n v="0"/>
    <n v="0"/>
    <n v="1"/>
    <n v="0"/>
    <n v="0"/>
    <n v="3"/>
    <n v="0"/>
    <n v="0"/>
    <n v="5"/>
    <n v="0"/>
    <n v="0.46260647513502767"/>
    <n v="0.31476636926356072"/>
    <n v="0.80706439257840468"/>
    <n v="0.32778177112653761"/>
    <n v="1.01056543769991"/>
    <n v="0.32005363845127444"/>
    <n v="0.36858985273641137"/>
  </r>
  <r>
    <n v="56"/>
    <n v="56"/>
    <s v="No"/>
    <n v="0"/>
    <s v="Travel_Rarely"/>
    <n v="0"/>
    <n v="1"/>
    <x v="1"/>
    <n v="1"/>
    <n v="0"/>
    <n v="7"/>
    <n v="7"/>
    <n v="3"/>
    <s v="Life Sciences"/>
    <n v="1"/>
    <n v="0"/>
    <n v="0"/>
    <n v="0"/>
    <n v="0"/>
    <n v="4"/>
    <s v="Male"/>
    <n v="0"/>
    <n v="49"/>
    <n v="1"/>
    <n v="3"/>
    <s v="Manufacturing Director"/>
    <n v="0"/>
    <n v="0"/>
    <n v="0"/>
    <n v="0"/>
    <n v="1"/>
    <n v="1"/>
    <n v="0"/>
    <n v="0"/>
    <n v="4"/>
    <s v="Single"/>
    <n v="1"/>
    <n v="0"/>
    <n v="7260"/>
    <n v="7260"/>
    <n v="4"/>
    <s v="No"/>
    <n v="0"/>
    <n v="11"/>
    <n v="3"/>
    <n v="1"/>
    <n v="0"/>
    <n v="37"/>
    <x v="28"/>
    <n v="3"/>
    <n v="2"/>
    <n v="6"/>
    <n v="6"/>
    <n v="4"/>
    <n v="0"/>
    <n v="0"/>
    <n v="2"/>
    <n v="2"/>
    <n v="6"/>
    <n v="1"/>
    <n v="0"/>
    <n v="0"/>
    <n v="0"/>
    <n v="1"/>
    <n v="0"/>
    <n v="0"/>
    <n v="0"/>
    <n v="0"/>
    <n v="2"/>
    <n v="0"/>
    <n v="0"/>
    <n v="35"/>
    <n v="0"/>
    <n v="0.16080621432230233"/>
    <n v="0.59502473559756086"/>
    <n v="3.3056329345679663"/>
    <n v="0.16455710867531462"/>
    <n v="0.27045191444879263"/>
    <n v="2.0881675498954482"/>
    <n v="0.67891464284095016"/>
  </r>
  <r>
    <n v="23"/>
    <n v="23"/>
    <s v="No"/>
    <n v="0"/>
    <s v="Travel_Rarely"/>
    <n v="0"/>
    <n v="1"/>
    <x v="0"/>
    <n v="0"/>
    <n v="1"/>
    <n v="2"/>
    <n v="2"/>
    <n v="1"/>
    <s v="Technical Degree"/>
    <n v="0"/>
    <n v="0"/>
    <n v="0"/>
    <n v="0"/>
    <n v="1"/>
    <n v="3"/>
    <s v="Male"/>
    <n v="0"/>
    <n v="62"/>
    <n v="3"/>
    <n v="1"/>
    <s v="Sales Representative"/>
    <n v="0"/>
    <n v="0"/>
    <n v="0"/>
    <n v="0"/>
    <n v="0"/>
    <n v="0"/>
    <n v="1"/>
    <n v="0"/>
    <n v="1"/>
    <s v="Divorced"/>
    <n v="0"/>
    <n v="0"/>
    <n v="2322"/>
    <n v="2322"/>
    <n v="3"/>
    <s v="No"/>
    <n v="0"/>
    <n v="13"/>
    <n v="3"/>
    <n v="3"/>
    <n v="1"/>
    <n v="3"/>
    <x v="8"/>
    <n v="3"/>
    <n v="3"/>
    <n v="0"/>
    <n v="0"/>
    <n v="0"/>
    <n v="0"/>
    <n v="0"/>
    <n v="0"/>
    <n v="0"/>
    <n v="0"/>
    <n v="1"/>
    <n v="0"/>
    <n v="0"/>
    <n v="0"/>
    <n v="1"/>
    <n v="0"/>
    <n v="0"/>
    <n v="0"/>
    <n v="0"/>
    <n v="0"/>
    <n v="0"/>
    <n v="0"/>
    <n v="0"/>
    <n v="3"/>
    <n v="0.8880564298140845"/>
    <n v="1.1555414682655611"/>
    <n v="1.0641079755250529"/>
    <n v="1.1439050833826525"/>
    <n v="0.88721318382472392"/>
    <n v="1.5241642326246359"/>
    <n v="0.67891464284095016"/>
  </r>
  <r>
    <n v="51"/>
    <n v="51"/>
    <s v="No"/>
    <n v="0"/>
    <s v="Travel_Rarely"/>
    <n v="0"/>
    <n v="1"/>
    <x v="1"/>
    <n v="1"/>
    <n v="0"/>
    <n v="9"/>
    <n v="9"/>
    <n v="4"/>
    <s v="Life Sciences"/>
    <n v="1"/>
    <n v="0"/>
    <n v="0"/>
    <n v="0"/>
    <n v="0"/>
    <n v="4"/>
    <s v="Male"/>
    <n v="0"/>
    <n v="96"/>
    <n v="3"/>
    <n v="1"/>
    <s v="Laboratory Technician"/>
    <n v="0"/>
    <n v="0"/>
    <n v="1"/>
    <n v="0"/>
    <n v="0"/>
    <n v="0"/>
    <n v="0"/>
    <n v="0"/>
    <n v="4"/>
    <s v="Married"/>
    <n v="0"/>
    <n v="1"/>
    <n v="2075"/>
    <n v="2075"/>
    <n v="3"/>
    <s v="No"/>
    <n v="0"/>
    <n v="23"/>
    <n v="4"/>
    <n v="2"/>
    <n v="2"/>
    <n v="10"/>
    <x v="1"/>
    <n v="4"/>
    <n v="3"/>
    <n v="4"/>
    <n v="4"/>
    <n v="2"/>
    <n v="0"/>
    <n v="0"/>
    <n v="3"/>
    <n v="3"/>
    <n v="3"/>
    <n v="0"/>
    <n v="1"/>
    <n v="0"/>
    <n v="0"/>
    <n v="0"/>
    <n v="0"/>
    <n v="1"/>
    <n v="0"/>
    <n v="0"/>
    <n v="3"/>
    <n v="0"/>
    <n v="0"/>
    <n v="10"/>
    <n v="0"/>
    <n v="0.94052080265768268"/>
    <n v="0.31476636926356072"/>
    <n v="0.1644554352117841"/>
    <n v="0.49100643357776058"/>
    <n v="2.3747406698420157E-2"/>
    <n v="1.5408445525439205"/>
    <n v="0.67891464284095016"/>
  </r>
  <r>
    <n v="30"/>
    <n v="30"/>
    <s v="No"/>
    <n v="0"/>
    <s v="Travel_Rarely"/>
    <n v="0"/>
    <n v="1"/>
    <x v="1"/>
    <n v="1"/>
    <n v="0"/>
    <n v="2"/>
    <n v="2"/>
    <n v="3"/>
    <s v="Life Sciences"/>
    <n v="1"/>
    <n v="0"/>
    <n v="0"/>
    <n v="0"/>
    <n v="0"/>
    <n v="3"/>
    <s v="Male"/>
    <n v="0"/>
    <n v="99"/>
    <n v="2"/>
    <n v="2"/>
    <s v="Healthcare Representative"/>
    <n v="1"/>
    <n v="0"/>
    <n v="0"/>
    <n v="0"/>
    <n v="0"/>
    <n v="0"/>
    <n v="0"/>
    <n v="0"/>
    <n v="4"/>
    <s v="Married"/>
    <n v="0"/>
    <n v="1"/>
    <n v="4152"/>
    <n v="4152"/>
    <n v="1"/>
    <s v="No"/>
    <n v="0"/>
    <n v="19"/>
    <n v="3"/>
    <n v="1"/>
    <n v="3"/>
    <n v="11"/>
    <x v="26"/>
    <n v="3"/>
    <n v="3"/>
    <n v="11"/>
    <n v="11"/>
    <n v="10"/>
    <n v="10"/>
    <n v="10"/>
    <n v="8"/>
    <n v="8"/>
    <n v="16"/>
    <n v="0"/>
    <n v="1"/>
    <n v="0"/>
    <n v="0"/>
    <n v="0"/>
    <n v="0"/>
    <n v="1"/>
    <n v="0"/>
    <n v="0"/>
    <n v="8"/>
    <n v="0"/>
    <n v="0"/>
    <n v="11"/>
    <n v="0"/>
    <n v="0.49935277676232515"/>
    <n v="1.08652546240644"/>
    <n v="3.593364373846001E-2"/>
    <n v="0.65156620358080031"/>
    <n v="0.88721318382472392"/>
    <n v="0.75791203633249671"/>
    <n v="2.4243332582044381"/>
  </r>
  <r>
    <n v="46"/>
    <n v="46"/>
    <s v="Yes"/>
    <n v="1"/>
    <s v="Travel_Rarely"/>
    <n v="0"/>
    <n v="1"/>
    <x v="0"/>
    <n v="0"/>
    <n v="1"/>
    <n v="9"/>
    <n v="9"/>
    <n v="2"/>
    <s v="Medical"/>
    <n v="0"/>
    <n v="0"/>
    <n v="1"/>
    <n v="0"/>
    <n v="0"/>
    <n v="3"/>
    <s v="Male"/>
    <n v="0"/>
    <n v="64"/>
    <n v="2"/>
    <n v="3"/>
    <s v="Sales Executive"/>
    <n v="0"/>
    <n v="1"/>
    <n v="0"/>
    <n v="0"/>
    <n v="0"/>
    <n v="0"/>
    <n v="0"/>
    <n v="0"/>
    <n v="4"/>
    <s v="Single"/>
    <n v="1"/>
    <n v="0"/>
    <n v="9619"/>
    <n v="9619"/>
    <n v="1"/>
    <s v="No"/>
    <n v="0"/>
    <n v="16"/>
    <n v="3"/>
    <n v="4"/>
    <n v="0"/>
    <n v="9"/>
    <x v="14"/>
    <n v="3"/>
    <n v="3"/>
    <n v="9"/>
    <n v="9"/>
    <n v="8"/>
    <n v="4"/>
    <n v="4"/>
    <n v="7"/>
    <n v="7"/>
    <n v="21"/>
    <n v="1"/>
    <n v="0"/>
    <n v="0"/>
    <n v="0"/>
    <n v="1"/>
    <n v="0"/>
    <n v="0"/>
    <n v="0"/>
    <n v="0"/>
    <n v="0"/>
    <n v="7"/>
    <n v="0"/>
    <n v="0"/>
    <n v="9"/>
    <n v="0.66187283593383262"/>
    <n v="0.80626709607243985"/>
    <n v="0.29297722668510823"/>
    <n v="0.32511687867835437"/>
    <n v="2.3747406698420157E-2"/>
    <n v="0.99352155519239249"/>
    <n v="0.56238451757720498"/>
  </r>
  <r>
    <n v="40"/>
    <n v="40"/>
    <s v="No"/>
    <n v="0"/>
    <s v="Travel_Frequently"/>
    <n v="1"/>
    <n v="0"/>
    <x v="1"/>
    <n v="1"/>
    <n v="0"/>
    <n v="1"/>
    <n v="1"/>
    <n v="4"/>
    <s v="Life Sciences"/>
    <n v="1"/>
    <n v="0"/>
    <n v="0"/>
    <n v="0"/>
    <n v="0"/>
    <n v="3"/>
    <s v="Male"/>
    <n v="0"/>
    <n v="78"/>
    <n v="2"/>
    <n v="4"/>
    <s v="Healthcare Representative"/>
    <n v="1"/>
    <n v="0"/>
    <n v="0"/>
    <n v="0"/>
    <n v="0"/>
    <n v="0"/>
    <n v="0"/>
    <n v="0"/>
    <n v="2"/>
    <s v="Married"/>
    <n v="0"/>
    <n v="1"/>
    <n v="13503"/>
    <n v="13503"/>
    <n v="1"/>
    <s v="No"/>
    <n v="0"/>
    <n v="22"/>
    <n v="4"/>
    <n v="4"/>
    <n v="1"/>
    <n v="22"/>
    <x v="13"/>
    <n v="3"/>
    <n v="2"/>
    <n v="22"/>
    <n v="22"/>
    <n v="3"/>
    <n v="11"/>
    <n v="11"/>
    <n v="11"/>
    <n v="11"/>
    <n v="44"/>
    <n v="0"/>
    <n v="0"/>
    <n v="0"/>
    <n v="1"/>
    <n v="0"/>
    <n v="0"/>
    <n v="1"/>
    <n v="0"/>
    <n v="0"/>
    <n v="11"/>
    <n v="0"/>
    <n v="0"/>
    <n v="22"/>
    <n v="0"/>
    <n v="1.4868591684218291"/>
    <n v="1.9273005614084406"/>
    <n v="1.3778060624681052"/>
    <n v="2.4470374905442531"/>
    <n v="1.01056543769991"/>
    <n v="0.33673395837055903"/>
    <n v="2.7346580483089769"/>
  </r>
  <r>
    <n v="51"/>
    <n v="51"/>
    <s v="No"/>
    <n v="0"/>
    <s v="Travel_Rarely"/>
    <n v="0"/>
    <n v="1"/>
    <x v="0"/>
    <n v="0"/>
    <n v="1"/>
    <n v="21"/>
    <n v="21"/>
    <n v="4"/>
    <s v="Marketing"/>
    <n v="0"/>
    <n v="0"/>
    <n v="0"/>
    <n v="1"/>
    <n v="0"/>
    <n v="3"/>
    <s v="Male"/>
    <n v="0"/>
    <n v="71"/>
    <n v="3"/>
    <n v="2"/>
    <s v="Sales Executive"/>
    <n v="0"/>
    <n v="1"/>
    <n v="0"/>
    <n v="0"/>
    <n v="0"/>
    <n v="0"/>
    <n v="0"/>
    <n v="0"/>
    <n v="4"/>
    <s v="Single"/>
    <n v="1"/>
    <n v="0"/>
    <n v="5441"/>
    <n v="5441"/>
    <n v="0"/>
    <s v="Yes"/>
    <n v="1"/>
    <n v="22"/>
    <n v="4"/>
    <n v="4"/>
    <n v="0"/>
    <n v="11"/>
    <x v="26"/>
    <n v="2"/>
    <n v="1"/>
    <n v="10"/>
    <n v="10"/>
    <n v="7"/>
    <n v="1"/>
    <n v="1"/>
    <n v="0"/>
    <n v="0"/>
    <n v="0"/>
    <n v="1"/>
    <n v="0"/>
    <n v="0"/>
    <n v="0"/>
    <n v="0"/>
    <n v="1"/>
    <n v="0"/>
    <n v="0"/>
    <n v="0"/>
    <n v="0"/>
    <n v="0"/>
    <n v="0"/>
    <n v="0"/>
    <n v="11"/>
    <n v="0.22556096868379077"/>
    <n v="1.1555414682655611"/>
    <n v="3.593364373846001E-2"/>
    <n v="0.48834154112957734"/>
    <n v="1.4564796398038149"/>
    <n v="1.5408445525439205"/>
    <n v="0.36858985273641137"/>
  </r>
  <r>
    <n v="30"/>
    <n v="30"/>
    <s v="No"/>
    <n v="0"/>
    <s v="Travel_Rarely"/>
    <n v="0"/>
    <n v="1"/>
    <x v="0"/>
    <n v="0"/>
    <n v="1"/>
    <n v="4"/>
    <n v="4"/>
    <n v="2"/>
    <s v="Medical"/>
    <n v="0"/>
    <n v="0"/>
    <n v="1"/>
    <n v="0"/>
    <n v="0"/>
    <n v="3"/>
    <s v="Female"/>
    <n v="1"/>
    <n v="63"/>
    <n v="2"/>
    <n v="2"/>
    <s v="Sales Executive"/>
    <n v="0"/>
    <n v="1"/>
    <n v="0"/>
    <n v="0"/>
    <n v="0"/>
    <n v="0"/>
    <n v="0"/>
    <n v="0"/>
    <n v="2"/>
    <s v="Divorced"/>
    <n v="0"/>
    <n v="0"/>
    <n v="5209"/>
    <n v="5209"/>
    <n v="1"/>
    <s v="Yes"/>
    <n v="1"/>
    <n v="12"/>
    <n v="3"/>
    <n v="2"/>
    <n v="3"/>
    <n v="11"/>
    <x v="26"/>
    <n v="4"/>
    <n v="2"/>
    <n v="11"/>
    <n v="11"/>
    <n v="8"/>
    <n v="2"/>
    <n v="2"/>
    <n v="7"/>
    <n v="7"/>
    <n v="14"/>
    <n v="1"/>
    <n v="0"/>
    <n v="0"/>
    <n v="0"/>
    <n v="0"/>
    <n v="1"/>
    <n v="0"/>
    <n v="0"/>
    <n v="0"/>
    <n v="0"/>
    <n v="7"/>
    <n v="0"/>
    <n v="0"/>
    <n v="11"/>
    <n v="0.27483924601057119"/>
    <n v="0.80626709607243985"/>
    <n v="3.593364373846001E-2"/>
    <n v="0.65156620358080031"/>
    <n v="0.64050867607435136"/>
    <n v="0.75791203633249671"/>
    <n v="5.8265062631872602E-2"/>
  </r>
  <r>
    <n v="46"/>
    <n v="46"/>
    <s v="No"/>
    <n v="0"/>
    <s v="Travel_Frequently"/>
    <n v="1"/>
    <n v="0"/>
    <x v="1"/>
    <n v="1"/>
    <n v="0"/>
    <n v="1"/>
    <n v="1"/>
    <n v="3"/>
    <s v="Medical"/>
    <n v="0"/>
    <n v="0"/>
    <n v="1"/>
    <n v="0"/>
    <n v="0"/>
    <n v="3"/>
    <s v="Male"/>
    <n v="0"/>
    <n v="40"/>
    <n v="2"/>
    <n v="3"/>
    <s v="Healthcare Representative"/>
    <n v="1"/>
    <n v="0"/>
    <n v="0"/>
    <n v="0"/>
    <n v="0"/>
    <n v="0"/>
    <n v="0"/>
    <n v="0"/>
    <n v="1"/>
    <s v="Married"/>
    <n v="0"/>
    <n v="1"/>
    <n v="10673"/>
    <n v="10673"/>
    <n v="2"/>
    <s v="Yes"/>
    <n v="1"/>
    <n v="13"/>
    <n v="3"/>
    <n v="3"/>
    <n v="1"/>
    <n v="21"/>
    <x v="23"/>
    <n v="5"/>
    <n v="2"/>
    <n v="10"/>
    <n v="10"/>
    <n v="9"/>
    <n v="9"/>
    <n v="9"/>
    <n v="5"/>
    <n v="5"/>
    <n v="15"/>
    <n v="0"/>
    <n v="0"/>
    <n v="0"/>
    <n v="1"/>
    <n v="0"/>
    <n v="0"/>
    <n v="0"/>
    <n v="1"/>
    <n v="0"/>
    <n v="5"/>
    <n v="0"/>
    <n v="0"/>
    <n v="21"/>
    <n v="0"/>
    <n v="0.88574914758222301"/>
    <n v="0.24575036340443959"/>
    <n v="1.2492842709947811"/>
    <n v="0.48834154112957734"/>
    <n v="1.01056543769991"/>
    <n v="0.99352155519239249"/>
    <n v="2.114008468099899"/>
  </r>
  <r>
    <n v="32"/>
    <n v="32"/>
    <s v="No"/>
    <n v="0"/>
    <s v="Travel_Rarely"/>
    <n v="0"/>
    <n v="1"/>
    <x v="0"/>
    <n v="0"/>
    <n v="1"/>
    <n v="6"/>
    <n v="6"/>
    <n v="4"/>
    <s v="Medical"/>
    <n v="0"/>
    <n v="0"/>
    <n v="1"/>
    <n v="0"/>
    <n v="0"/>
    <n v="2"/>
    <s v="Male"/>
    <n v="0"/>
    <n v="87"/>
    <n v="3"/>
    <n v="2"/>
    <s v="Sales Executive"/>
    <n v="0"/>
    <n v="1"/>
    <n v="0"/>
    <n v="0"/>
    <n v="0"/>
    <n v="0"/>
    <n v="0"/>
    <n v="0"/>
    <n v="3"/>
    <s v="Single"/>
    <n v="1"/>
    <n v="0"/>
    <n v="5010"/>
    <n v="5010"/>
    <n v="1"/>
    <s v="No"/>
    <n v="0"/>
    <n v="16"/>
    <n v="3"/>
    <n v="1"/>
    <n v="0"/>
    <n v="12"/>
    <x v="4"/>
    <n v="0"/>
    <n v="3"/>
    <n v="11"/>
    <n v="11"/>
    <n v="8"/>
    <n v="5"/>
    <n v="5"/>
    <n v="7"/>
    <n v="7"/>
    <n v="14"/>
    <n v="1"/>
    <n v="0"/>
    <n v="0"/>
    <n v="0"/>
    <n v="1"/>
    <n v="0"/>
    <n v="0"/>
    <n v="0"/>
    <n v="0"/>
    <n v="0"/>
    <n v="7"/>
    <n v="0"/>
    <n v="0"/>
    <n v="12"/>
    <n v="0.3171081132003527"/>
    <n v="0.80626709607243985"/>
    <n v="9.2588147734864096E-2"/>
    <n v="0.65156620358080031"/>
    <n v="0.39380416832397891"/>
    <n v="0.53898283739188557"/>
    <n v="0.87270930768174382"/>
  </r>
  <r>
    <n v="54"/>
    <n v="54"/>
    <s v="No"/>
    <n v="0"/>
    <s v="Travel_Rarely"/>
    <n v="0"/>
    <n v="1"/>
    <x v="1"/>
    <n v="1"/>
    <n v="0"/>
    <n v="2"/>
    <n v="2"/>
    <n v="4"/>
    <s v="Technical Degree"/>
    <n v="0"/>
    <n v="0"/>
    <n v="0"/>
    <n v="0"/>
    <n v="1"/>
    <n v="1"/>
    <s v="Female"/>
    <n v="1"/>
    <n v="60"/>
    <n v="3"/>
    <n v="3"/>
    <s v="Research Director"/>
    <n v="0"/>
    <n v="0"/>
    <n v="0"/>
    <n v="0"/>
    <n v="0"/>
    <n v="0"/>
    <n v="0"/>
    <n v="0"/>
    <n v="3"/>
    <s v="Married"/>
    <n v="0"/>
    <n v="1"/>
    <n v="13549"/>
    <n v="13549"/>
    <n v="9"/>
    <s v="No"/>
    <n v="0"/>
    <n v="12"/>
    <n v="3"/>
    <n v="1"/>
    <n v="1"/>
    <n v="16"/>
    <x v="27"/>
    <n v="5"/>
    <n v="1"/>
    <n v="4"/>
    <n v="4"/>
    <n v="3"/>
    <n v="0"/>
    <n v="0"/>
    <n v="3"/>
    <n v="3"/>
    <n v="9"/>
    <n v="0"/>
    <n v="1"/>
    <n v="0"/>
    <n v="0"/>
    <n v="0"/>
    <n v="0"/>
    <n v="1"/>
    <n v="0"/>
    <n v="0"/>
    <n v="3"/>
    <n v="0"/>
    <n v="0"/>
    <n v="16"/>
    <n v="0"/>
    <n v="1.4966298613400699"/>
    <n v="0.31476636926356072"/>
    <n v="0.60667531362816052"/>
    <n v="0.49100643357776058"/>
    <n v="0.88721318382472392"/>
    <n v="1.8692383509548371"/>
    <n v="0.67891464284095016"/>
  </r>
  <r>
    <n v="24"/>
    <n v="24"/>
    <s v="No"/>
    <n v="0"/>
    <s v="Travel_Rarely"/>
    <n v="0"/>
    <n v="1"/>
    <x v="0"/>
    <n v="0"/>
    <n v="1"/>
    <n v="3"/>
    <n v="3"/>
    <n v="2"/>
    <s v="Other"/>
    <n v="0"/>
    <n v="1"/>
    <n v="0"/>
    <n v="0"/>
    <n v="0"/>
    <n v="1"/>
    <s v="Female"/>
    <n v="1"/>
    <n v="33"/>
    <n v="3"/>
    <n v="2"/>
    <s v="Sales Executive"/>
    <n v="0"/>
    <n v="1"/>
    <n v="0"/>
    <n v="0"/>
    <n v="0"/>
    <n v="0"/>
    <n v="0"/>
    <n v="0"/>
    <n v="3"/>
    <s v="Married"/>
    <n v="0"/>
    <n v="1"/>
    <n v="4999"/>
    <n v="4999"/>
    <n v="0"/>
    <s v="No"/>
    <n v="0"/>
    <n v="21"/>
    <n v="4"/>
    <n v="1"/>
    <n v="1"/>
    <n v="4"/>
    <x v="20"/>
    <n v="2"/>
    <n v="2"/>
    <n v="3"/>
    <n v="3"/>
    <n v="2"/>
    <n v="0"/>
    <n v="0"/>
    <n v="2"/>
    <n v="2"/>
    <n v="4"/>
    <n v="0"/>
    <n v="1"/>
    <n v="0"/>
    <n v="0"/>
    <n v="0"/>
    <n v="0"/>
    <n v="1"/>
    <n v="0"/>
    <n v="0"/>
    <n v="0"/>
    <n v="2"/>
    <n v="0"/>
    <n v="0"/>
    <n v="4"/>
    <n v="0.31944458324601899"/>
    <n v="0.59502473559756086"/>
    <n v="0.93558618405172878"/>
    <n v="0.65423109602898355"/>
    <n v="0.76386092994953758"/>
    <n v="1.4146996331543302"/>
    <n v="0.67891464284095016"/>
  </r>
  <r>
    <n v="28"/>
    <n v="28"/>
    <s v="No"/>
    <n v="0"/>
    <s v="Non-Travel"/>
    <n v="0"/>
    <n v="0"/>
    <x v="0"/>
    <n v="0"/>
    <n v="1"/>
    <n v="4"/>
    <n v="4"/>
    <n v="3"/>
    <s v="Medical"/>
    <n v="0"/>
    <n v="0"/>
    <n v="1"/>
    <n v="0"/>
    <n v="0"/>
    <n v="2"/>
    <s v="Male"/>
    <n v="0"/>
    <n v="43"/>
    <n v="3"/>
    <n v="2"/>
    <s v="Sales Executive"/>
    <n v="0"/>
    <n v="1"/>
    <n v="0"/>
    <n v="0"/>
    <n v="0"/>
    <n v="0"/>
    <n v="0"/>
    <n v="0"/>
    <n v="3"/>
    <s v="Married"/>
    <n v="0"/>
    <n v="1"/>
    <n v="4221"/>
    <n v="4221"/>
    <n v="1"/>
    <s v="No"/>
    <n v="0"/>
    <n v="15"/>
    <n v="3"/>
    <n v="2"/>
    <n v="0"/>
    <n v="5"/>
    <x v="7"/>
    <n v="3"/>
    <n v="4"/>
    <n v="5"/>
    <n v="5"/>
    <n v="4"/>
    <n v="0"/>
    <n v="0"/>
    <n v="4"/>
    <n v="4"/>
    <n v="8"/>
    <n v="0"/>
    <n v="1"/>
    <n v="0"/>
    <n v="0"/>
    <n v="0"/>
    <n v="0"/>
    <n v="1"/>
    <n v="0"/>
    <n v="0"/>
    <n v="0"/>
    <n v="4"/>
    <n v="0"/>
    <n v="0"/>
    <n v="5"/>
    <n v="0.48469673738496372"/>
    <n v="3.4508002929560584E-2"/>
    <n v="0.80706439257840468"/>
    <n v="0.32778177112653761"/>
    <n v="0.64050867607435136"/>
    <n v="0.97684123527310796"/>
    <n v="0.67891464284095016"/>
  </r>
  <r>
    <n v="58"/>
    <n v="58"/>
    <s v="No"/>
    <n v="0"/>
    <s v="Travel_Rarely"/>
    <n v="0"/>
    <n v="1"/>
    <x v="0"/>
    <n v="0"/>
    <n v="1"/>
    <n v="10"/>
    <n v="10"/>
    <n v="4"/>
    <s v="Medical"/>
    <n v="0"/>
    <n v="0"/>
    <n v="1"/>
    <n v="0"/>
    <n v="0"/>
    <n v="4"/>
    <s v="Male"/>
    <n v="0"/>
    <n v="37"/>
    <n v="3"/>
    <n v="4"/>
    <s v="Sales Executive"/>
    <n v="0"/>
    <n v="1"/>
    <n v="0"/>
    <n v="0"/>
    <n v="0"/>
    <n v="0"/>
    <n v="0"/>
    <n v="0"/>
    <n v="3"/>
    <s v="Single"/>
    <n v="1"/>
    <n v="0"/>
    <n v="13872"/>
    <n v="13872"/>
    <n v="0"/>
    <s v="No"/>
    <n v="0"/>
    <n v="13"/>
    <n v="3"/>
    <n v="3"/>
    <n v="0"/>
    <n v="38"/>
    <x v="28"/>
    <n v="1"/>
    <n v="2"/>
    <n v="37"/>
    <n v="31"/>
    <n v="10"/>
    <n v="1"/>
    <n v="1"/>
    <n v="8"/>
    <n v="8"/>
    <n v="32"/>
    <n v="1"/>
    <n v="0"/>
    <n v="0"/>
    <n v="0"/>
    <n v="1"/>
    <n v="0"/>
    <n v="0"/>
    <n v="0"/>
    <n v="0"/>
    <n v="0"/>
    <n v="8"/>
    <n v="0"/>
    <n v="0"/>
    <n v="35"/>
    <n v="1.5652371181355444"/>
    <n v="1.08652546240644"/>
    <n v="3.4341547260412906"/>
    <n v="4.8954074273125983"/>
    <n v="9.9604847176766084E-2"/>
    <n v="2.3070967488360594"/>
    <n v="0.36858985273641137"/>
  </r>
  <r>
    <n v="44"/>
    <n v="44"/>
    <s v="No"/>
    <n v="0"/>
    <s v="Non-Travel"/>
    <n v="0"/>
    <n v="0"/>
    <x v="1"/>
    <n v="1"/>
    <n v="0"/>
    <n v="23"/>
    <n v="23"/>
    <n v="3"/>
    <s v="Medical"/>
    <n v="0"/>
    <n v="0"/>
    <n v="1"/>
    <n v="0"/>
    <n v="0"/>
    <n v="2"/>
    <s v="Male"/>
    <n v="0"/>
    <n v="67"/>
    <n v="3"/>
    <n v="2"/>
    <s v="Laboratory Technician"/>
    <n v="0"/>
    <n v="0"/>
    <n v="1"/>
    <n v="0"/>
    <n v="0"/>
    <n v="0"/>
    <n v="0"/>
    <n v="0"/>
    <n v="2"/>
    <s v="Married"/>
    <n v="0"/>
    <n v="1"/>
    <n v="2042"/>
    <n v="2042"/>
    <n v="4"/>
    <s v="No"/>
    <n v="0"/>
    <n v="12"/>
    <n v="3"/>
    <n v="3"/>
    <n v="1"/>
    <n v="17"/>
    <x v="6"/>
    <n v="3"/>
    <n v="4"/>
    <n v="3"/>
    <n v="3"/>
    <n v="2"/>
    <n v="1"/>
    <n v="1"/>
    <n v="2"/>
    <n v="2"/>
    <n v="4"/>
    <n v="0"/>
    <n v="1"/>
    <n v="0"/>
    <n v="0"/>
    <n v="0"/>
    <n v="0"/>
    <n v="1"/>
    <n v="0"/>
    <n v="0"/>
    <n v="2"/>
    <n v="0"/>
    <n v="0"/>
    <n v="17"/>
    <n v="0"/>
    <n v="0.94753021279468164"/>
    <n v="0.59502473559756086"/>
    <n v="0.73519710510148462"/>
    <n v="0.65423109602898355"/>
    <n v="1.7031841475541873"/>
    <n v="0.77459235625178136"/>
    <n v="0.36858985273641137"/>
  </r>
  <r>
    <n v="37"/>
    <n v="37"/>
    <s v="Yes"/>
    <n v="1"/>
    <s v="Travel_Rarely"/>
    <n v="0"/>
    <n v="1"/>
    <x v="2"/>
    <n v="0"/>
    <n v="0"/>
    <n v="6"/>
    <n v="6"/>
    <n v="4"/>
    <s v="Human Resources"/>
    <n v="0"/>
    <n v="0"/>
    <n v="0"/>
    <n v="0"/>
    <n v="0"/>
    <n v="3"/>
    <s v="Male"/>
    <n v="0"/>
    <n v="63"/>
    <n v="3"/>
    <n v="1"/>
    <s v="Human Resources"/>
    <n v="0"/>
    <n v="0"/>
    <n v="0"/>
    <n v="0"/>
    <n v="0"/>
    <n v="0"/>
    <n v="0"/>
    <n v="0"/>
    <n v="1"/>
    <s v="Divorced"/>
    <n v="0"/>
    <n v="0"/>
    <n v="2073"/>
    <n v="2073"/>
    <n v="4"/>
    <s v="Yes"/>
    <n v="1"/>
    <n v="22"/>
    <n v="4"/>
    <n v="4"/>
    <n v="0"/>
    <n v="7"/>
    <x v="2"/>
    <n v="3"/>
    <n v="3"/>
    <n v="3"/>
    <n v="3"/>
    <n v="2"/>
    <n v="0"/>
    <n v="0"/>
    <n v="2"/>
    <n v="2"/>
    <n v="2"/>
    <n v="1"/>
    <n v="0"/>
    <n v="0"/>
    <n v="0"/>
    <n v="0"/>
    <n v="1"/>
    <n v="0"/>
    <n v="0"/>
    <n v="2"/>
    <n v="0"/>
    <n v="0"/>
    <n v="7"/>
    <n v="0"/>
    <n v="0"/>
    <n v="0.94094561539325838"/>
    <n v="0.59502473559756086"/>
    <n v="0.55002080963175637"/>
    <n v="0.65423109602898355"/>
    <n v="0.39380416832397891"/>
    <n v="8.3401599596422994E-3"/>
    <n v="0.67891464284095016"/>
  </r>
  <r>
    <n v="32"/>
    <n v="32"/>
    <s v="No"/>
    <n v="0"/>
    <s v="Travel_Rarely"/>
    <n v="0"/>
    <n v="1"/>
    <x v="1"/>
    <n v="1"/>
    <n v="0"/>
    <n v="1"/>
    <n v="1"/>
    <n v="1"/>
    <s v="Life Sciences"/>
    <n v="1"/>
    <n v="0"/>
    <n v="0"/>
    <n v="0"/>
    <n v="0"/>
    <n v="4"/>
    <s v="Male"/>
    <n v="0"/>
    <n v="71"/>
    <n v="3"/>
    <n v="1"/>
    <s v="Research Scientist"/>
    <n v="0"/>
    <n v="0"/>
    <n v="0"/>
    <n v="0"/>
    <n v="0"/>
    <n v="0"/>
    <n v="0"/>
    <n v="1"/>
    <n v="1"/>
    <s v="Single"/>
    <n v="1"/>
    <n v="0"/>
    <n v="2956"/>
    <n v="2956"/>
    <n v="1"/>
    <s v="No"/>
    <n v="0"/>
    <n v="13"/>
    <n v="3"/>
    <n v="4"/>
    <n v="0"/>
    <n v="1"/>
    <x v="5"/>
    <n v="2"/>
    <n v="3"/>
    <n v="1"/>
    <n v="1"/>
    <n v="0"/>
    <n v="0"/>
    <n v="0"/>
    <n v="0"/>
    <n v="0"/>
    <n v="0"/>
    <n v="1"/>
    <n v="0"/>
    <n v="0"/>
    <n v="0"/>
    <n v="1"/>
    <n v="0"/>
    <n v="0"/>
    <n v="0"/>
    <n v="0"/>
    <n v="0"/>
    <n v="0"/>
    <n v="0"/>
    <n v="1"/>
    <n v="0"/>
    <n v="0.75339079263658981"/>
    <n v="1.1555414682655611"/>
    <n v="1.3211515584717011"/>
    <n v="0.9806804209314296"/>
    <n v="1.01056543769991"/>
    <n v="0.53898283739188557"/>
    <n v="0.67891464284095016"/>
  </r>
  <r>
    <n v="20"/>
    <n v="20"/>
    <s v="Yes"/>
    <n v="1"/>
    <s v="Travel_Frequently"/>
    <n v="1"/>
    <n v="0"/>
    <x v="1"/>
    <n v="1"/>
    <n v="0"/>
    <n v="6"/>
    <n v="6"/>
    <n v="3"/>
    <s v="Life Sciences"/>
    <n v="1"/>
    <n v="0"/>
    <n v="0"/>
    <n v="0"/>
    <n v="0"/>
    <n v="4"/>
    <s v="Female"/>
    <n v="1"/>
    <n v="66"/>
    <n v="2"/>
    <n v="1"/>
    <s v="Laboratory Technician"/>
    <n v="0"/>
    <n v="0"/>
    <n v="1"/>
    <n v="0"/>
    <n v="0"/>
    <n v="0"/>
    <n v="0"/>
    <n v="0"/>
    <n v="4"/>
    <s v="Single"/>
    <n v="1"/>
    <n v="0"/>
    <n v="2926"/>
    <n v="2926"/>
    <n v="1"/>
    <s v="Yes"/>
    <n v="1"/>
    <n v="18"/>
    <n v="3"/>
    <n v="2"/>
    <n v="0"/>
    <n v="1"/>
    <x v="5"/>
    <n v="5"/>
    <n v="3"/>
    <n v="1"/>
    <n v="1"/>
    <n v="0"/>
    <n v="1"/>
    <n v="1"/>
    <n v="0"/>
    <n v="0"/>
    <n v="0"/>
    <n v="0"/>
    <n v="0"/>
    <n v="1"/>
    <n v="0"/>
    <n v="0"/>
    <n v="1"/>
    <n v="0"/>
    <n v="0"/>
    <n v="0"/>
    <n v="0"/>
    <n v="0"/>
    <n v="0"/>
    <n v="1"/>
    <n v="0"/>
    <n v="0.75976298367022521"/>
    <n v="1.1555414682655611"/>
    <n v="1.3211515584717011"/>
    <n v="0.9806804209314296"/>
    <n v="0.39380416832397891"/>
    <n v="1.8525580310355525"/>
    <n v="0.36858985273641137"/>
  </r>
  <r>
    <n v="34"/>
    <n v="34"/>
    <s v="No"/>
    <n v="0"/>
    <s v="Travel_Rarely"/>
    <n v="0"/>
    <n v="1"/>
    <x v="1"/>
    <n v="1"/>
    <n v="0"/>
    <n v="6"/>
    <n v="6"/>
    <n v="4"/>
    <s v="Other"/>
    <n v="0"/>
    <n v="1"/>
    <n v="0"/>
    <n v="0"/>
    <n v="0"/>
    <n v="1"/>
    <s v="Female"/>
    <n v="1"/>
    <n v="41"/>
    <n v="3"/>
    <n v="2"/>
    <s v="Research Scientist"/>
    <n v="0"/>
    <n v="0"/>
    <n v="0"/>
    <n v="0"/>
    <n v="0"/>
    <n v="0"/>
    <n v="0"/>
    <n v="1"/>
    <n v="3"/>
    <s v="Single"/>
    <n v="1"/>
    <n v="0"/>
    <n v="4809"/>
    <n v="4809"/>
    <n v="1"/>
    <s v="No"/>
    <n v="0"/>
    <n v="14"/>
    <n v="3"/>
    <n v="3"/>
    <n v="0"/>
    <n v="16"/>
    <x v="27"/>
    <n v="3"/>
    <n v="3"/>
    <n v="16"/>
    <n v="16"/>
    <n v="13"/>
    <n v="2"/>
    <n v="2"/>
    <n v="10"/>
    <n v="10"/>
    <n v="20"/>
    <n v="1"/>
    <n v="0"/>
    <n v="0"/>
    <n v="0"/>
    <n v="1"/>
    <n v="0"/>
    <n v="0"/>
    <n v="0"/>
    <n v="0"/>
    <n v="10"/>
    <n v="0"/>
    <n v="0"/>
    <n v="16"/>
    <n v="0"/>
    <n v="0.35980179312570987"/>
    <n v="1.6470421950744405"/>
    <n v="0.60667531362816052"/>
    <n v="1.4676895158369152"/>
    <n v="0.39380416832397891"/>
    <n v="0.32005363845127444"/>
    <n v="5.8265062631872602E-2"/>
  </r>
  <r>
    <n v="37"/>
    <n v="37"/>
    <s v="No"/>
    <n v="0"/>
    <s v="Non-Travel"/>
    <n v="0"/>
    <n v="0"/>
    <x v="1"/>
    <n v="1"/>
    <n v="0"/>
    <n v="2"/>
    <n v="2"/>
    <n v="2"/>
    <s v="Life Sciences"/>
    <n v="1"/>
    <n v="0"/>
    <n v="0"/>
    <n v="0"/>
    <n v="0"/>
    <n v="3"/>
    <s v="Male"/>
    <n v="0"/>
    <n v="100"/>
    <n v="2"/>
    <n v="2"/>
    <s v="Healthcare Representative"/>
    <n v="1"/>
    <n v="0"/>
    <n v="0"/>
    <n v="0"/>
    <n v="0"/>
    <n v="0"/>
    <n v="0"/>
    <n v="0"/>
    <n v="4"/>
    <s v="Divorced"/>
    <n v="0"/>
    <n v="0"/>
    <n v="5163"/>
    <n v="5163"/>
    <n v="5"/>
    <s v="No"/>
    <n v="0"/>
    <n v="14"/>
    <n v="3"/>
    <n v="4"/>
    <n v="1"/>
    <n v="17"/>
    <x v="6"/>
    <n v="2"/>
    <n v="4"/>
    <n v="1"/>
    <n v="1"/>
    <n v="0"/>
    <n v="0"/>
    <n v="0"/>
    <n v="0"/>
    <n v="0"/>
    <n v="0"/>
    <n v="1"/>
    <n v="0"/>
    <n v="0"/>
    <n v="0"/>
    <n v="1"/>
    <n v="0"/>
    <n v="0"/>
    <n v="0"/>
    <n v="0"/>
    <n v="0"/>
    <n v="0"/>
    <n v="0"/>
    <n v="17"/>
    <n v="0"/>
    <n v="0.28460993892881215"/>
    <n v="1.1555414682655611"/>
    <n v="0.73519710510148462"/>
    <n v="0.9806804209314296"/>
    <n v="0.88721318382472392"/>
    <n v="8.3401599596422994E-3"/>
    <n v="0.67891464284095016"/>
  </r>
  <r>
    <n v="59"/>
    <n v="58.309999999999945"/>
    <s v="No"/>
    <n v="0"/>
    <s v="Non-Travel"/>
    <n v="0"/>
    <n v="0"/>
    <x v="2"/>
    <n v="0"/>
    <n v="0"/>
    <n v="2"/>
    <n v="2"/>
    <n v="4"/>
    <s v="Human Resources"/>
    <n v="0"/>
    <n v="0"/>
    <n v="0"/>
    <n v="0"/>
    <n v="0"/>
    <n v="3"/>
    <s v="Female"/>
    <n v="1"/>
    <n v="32"/>
    <n v="2"/>
    <n v="5"/>
    <s v="Manager"/>
    <n v="0"/>
    <n v="0"/>
    <n v="0"/>
    <n v="1"/>
    <n v="0"/>
    <n v="0"/>
    <n v="0"/>
    <n v="0"/>
    <n v="4"/>
    <s v="Married"/>
    <n v="0"/>
    <n v="1"/>
    <n v="18844"/>
    <n v="18844"/>
    <n v="9"/>
    <s v="No"/>
    <n v="0"/>
    <n v="21"/>
    <n v="4"/>
    <n v="4"/>
    <n v="1"/>
    <n v="30"/>
    <x v="29"/>
    <n v="3"/>
    <n v="3"/>
    <n v="3"/>
    <n v="3"/>
    <n v="2"/>
    <n v="2"/>
    <n v="2"/>
    <n v="2"/>
    <n v="2"/>
    <n v="10"/>
    <n v="0"/>
    <n v="1"/>
    <n v="0"/>
    <n v="0"/>
    <n v="0"/>
    <n v="0"/>
    <n v="1"/>
    <n v="0"/>
    <n v="2"/>
    <n v="0"/>
    <n v="0"/>
    <n v="30"/>
    <n v="0"/>
    <n v="0"/>
    <n v="2.6213215787767181"/>
    <n v="0.59502473559756086"/>
    <n v="2.4059803942546978"/>
    <n v="0.65423109602898355"/>
    <n v="0.88721318382472392"/>
    <n v="2.4165613483063648"/>
    <n v="5.8265062631872602E-2"/>
  </r>
  <r>
    <n v="50"/>
    <n v="50"/>
    <s v="No"/>
    <n v="0"/>
    <s v="Travel_Frequently"/>
    <n v="1"/>
    <n v="0"/>
    <x v="1"/>
    <n v="1"/>
    <n v="0"/>
    <n v="1"/>
    <n v="1"/>
    <n v="3"/>
    <s v="Life Sciences"/>
    <n v="1"/>
    <n v="0"/>
    <n v="0"/>
    <n v="0"/>
    <n v="0"/>
    <n v="1"/>
    <s v="Female"/>
    <n v="1"/>
    <n v="73"/>
    <n v="3"/>
    <n v="5"/>
    <s v="Research Director"/>
    <n v="0"/>
    <n v="0"/>
    <n v="0"/>
    <n v="0"/>
    <n v="0"/>
    <n v="0"/>
    <n v="0"/>
    <n v="0"/>
    <n v="2"/>
    <s v="Married"/>
    <n v="0"/>
    <n v="1"/>
    <n v="18172"/>
    <n v="18172"/>
    <n v="3"/>
    <s v="Yes"/>
    <n v="1"/>
    <n v="19"/>
    <n v="3"/>
    <n v="1"/>
    <n v="0"/>
    <n v="28"/>
    <x v="22"/>
    <n v="1"/>
    <n v="2"/>
    <n v="8"/>
    <n v="8"/>
    <n v="3"/>
    <n v="0"/>
    <n v="0"/>
    <n v="7"/>
    <n v="7"/>
    <n v="35"/>
    <n v="0"/>
    <n v="0"/>
    <n v="0"/>
    <n v="1"/>
    <n v="0"/>
    <n v="0"/>
    <n v="0"/>
    <n v="1"/>
    <n v="0"/>
    <n v="7"/>
    <n v="0"/>
    <n v="0"/>
    <n v="28"/>
    <n v="0"/>
    <n v="2.4785844996232851"/>
    <n v="0.80626709607243985"/>
    <n v="2.1489368113080496"/>
    <n v="0.16189221622713135"/>
    <n v="1.01056543769991"/>
    <n v="1.4313799530736149"/>
    <n v="0.67891464284095016"/>
  </r>
  <r>
    <n v="25"/>
    <n v="25"/>
    <s v="Yes"/>
    <n v="1"/>
    <s v="Travel_Rarely"/>
    <n v="0"/>
    <n v="1"/>
    <x v="0"/>
    <n v="0"/>
    <n v="1"/>
    <n v="5"/>
    <n v="5"/>
    <n v="3"/>
    <s v="Marketing"/>
    <n v="0"/>
    <n v="0"/>
    <n v="0"/>
    <n v="1"/>
    <n v="0"/>
    <n v="3"/>
    <s v="Male"/>
    <n v="0"/>
    <n v="46"/>
    <n v="2"/>
    <n v="2"/>
    <s v="Sales Executive"/>
    <n v="0"/>
    <n v="1"/>
    <n v="0"/>
    <n v="0"/>
    <n v="0"/>
    <n v="0"/>
    <n v="0"/>
    <n v="0"/>
    <n v="3"/>
    <s v="Single"/>
    <n v="1"/>
    <n v="0"/>
    <n v="5744"/>
    <n v="5744"/>
    <n v="1"/>
    <s v="Yes"/>
    <n v="1"/>
    <n v="11"/>
    <n v="3"/>
    <n v="4"/>
    <n v="0"/>
    <n v="6"/>
    <x v="3"/>
    <n v="1"/>
    <n v="3"/>
    <n v="6"/>
    <n v="6"/>
    <n v="4"/>
    <n v="0"/>
    <n v="0"/>
    <n v="3"/>
    <n v="3"/>
    <n v="6"/>
    <n v="1"/>
    <n v="0"/>
    <n v="0"/>
    <n v="0"/>
    <n v="0"/>
    <n v="1"/>
    <n v="0"/>
    <n v="0"/>
    <n v="0"/>
    <n v="0"/>
    <n v="3"/>
    <n v="0"/>
    <n v="0"/>
    <n v="6"/>
    <n v="0.16120183924407325"/>
    <n v="0.31476636926356072"/>
    <n v="0.67854260110508058"/>
    <n v="0.16455710867531462"/>
    <n v="0.51715642219916513"/>
    <n v="1.3052350336840246"/>
    <n v="0.67891464284095016"/>
  </r>
  <r>
    <n v="25"/>
    <n v="25"/>
    <s v="No"/>
    <n v="0"/>
    <s v="Travel_Rarely"/>
    <n v="0"/>
    <n v="1"/>
    <x v="1"/>
    <n v="1"/>
    <n v="0"/>
    <n v="7"/>
    <n v="7"/>
    <n v="1"/>
    <s v="Medical"/>
    <n v="0"/>
    <n v="0"/>
    <n v="1"/>
    <n v="0"/>
    <n v="0"/>
    <n v="4"/>
    <s v="Male"/>
    <n v="0"/>
    <n v="64"/>
    <n v="2"/>
    <n v="1"/>
    <s v="Research Scientist"/>
    <n v="0"/>
    <n v="0"/>
    <n v="0"/>
    <n v="0"/>
    <n v="0"/>
    <n v="0"/>
    <n v="0"/>
    <n v="1"/>
    <n v="4"/>
    <s v="Married"/>
    <n v="0"/>
    <n v="1"/>
    <n v="2889"/>
    <n v="2889"/>
    <n v="1"/>
    <s v="No"/>
    <n v="0"/>
    <n v="11"/>
    <n v="3"/>
    <n v="3"/>
    <n v="2"/>
    <n v="2"/>
    <x v="16"/>
    <n v="2"/>
    <n v="3"/>
    <n v="2"/>
    <n v="2"/>
    <n v="2"/>
    <n v="2"/>
    <n v="2"/>
    <n v="1"/>
    <n v="1"/>
    <n v="1"/>
    <n v="0"/>
    <n v="1"/>
    <n v="0"/>
    <n v="0"/>
    <n v="0"/>
    <n v="0"/>
    <n v="1"/>
    <n v="0"/>
    <n v="0"/>
    <n v="1"/>
    <n v="0"/>
    <n v="0"/>
    <n v="2"/>
    <n v="0"/>
    <n v="0.76762201927837548"/>
    <n v="0.87528310193156111"/>
    <n v="1.192629766998377"/>
    <n v="0.81745575848020657"/>
    <n v="0.27045191444879263"/>
    <n v="1.3052350336840246"/>
    <n v="5.8265062631872602E-2"/>
  </r>
  <r>
    <n v="22"/>
    <n v="22"/>
    <s v="No"/>
    <n v="0"/>
    <s v="Travel_Rarely"/>
    <n v="0"/>
    <n v="1"/>
    <x v="1"/>
    <n v="1"/>
    <n v="0"/>
    <n v="15"/>
    <n v="15"/>
    <n v="3"/>
    <s v="Medical"/>
    <n v="0"/>
    <n v="0"/>
    <n v="1"/>
    <n v="0"/>
    <n v="0"/>
    <n v="2"/>
    <s v="Female"/>
    <n v="1"/>
    <n v="59"/>
    <n v="3"/>
    <n v="1"/>
    <s v="Laboratory Technician"/>
    <n v="0"/>
    <n v="0"/>
    <n v="1"/>
    <n v="0"/>
    <n v="0"/>
    <n v="0"/>
    <n v="0"/>
    <n v="0"/>
    <n v="4"/>
    <s v="Single"/>
    <n v="1"/>
    <n v="0"/>
    <n v="2871"/>
    <n v="2871"/>
    <n v="1"/>
    <s v="No"/>
    <n v="0"/>
    <n v="15"/>
    <n v="3"/>
    <n v="3"/>
    <n v="0"/>
    <n v="1"/>
    <x v="5"/>
    <n v="5"/>
    <n v="3"/>
    <n v="0"/>
    <n v="0"/>
    <n v="0"/>
    <n v="0"/>
    <n v="0"/>
    <n v="0"/>
    <n v="0"/>
    <n v="0"/>
    <n v="1"/>
    <n v="0"/>
    <n v="0"/>
    <n v="0"/>
    <n v="1"/>
    <n v="0"/>
    <n v="0"/>
    <n v="0"/>
    <n v="0"/>
    <n v="0"/>
    <n v="0"/>
    <n v="0"/>
    <n v="1"/>
    <n v="0"/>
    <n v="0.77144533389855674"/>
    <n v="1.1555414682655611"/>
    <n v="1.3211515584717011"/>
    <n v="1.1439050833826525"/>
    <n v="0.71636611655269733"/>
    <n v="1.6336288320949415"/>
    <n v="0.67891464284095016"/>
  </r>
  <r>
    <n v="51"/>
    <n v="51"/>
    <s v="No"/>
    <n v="0"/>
    <s v="Travel_Frequently"/>
    <n v="1"/>
    <n v="0"/>
    <x v="1"/>
    <n v="1"/>
    <n v="0"/>
    <n v="1"/>
    <n v="1"/>
    <n v="4"/>
    <s v="Medical"/>
    <n v="0"/>
    <n v="0"/>
    <n v="1"/>
    <n v="0"/>
    <n v="0"/>
    <n v="1"/>
    <s v="Female"/>
    <n v="1"/>
    <n v="30"/>
    <n v="2"/>
    <n v="3"/>
    <s v="Healthcare Representative"/>
    <n v="1"/>
    <n v="0"/>
    <n v="0"/>
    <n v="0"/>
    <n v="0"/>
    <n v="0"/>
    <n v="0"/>
    <n v="0"/>
    <n v="1"/>
    <s v="Single"/>
    <n v="1"/>
    <n v="0"/>
    <n v="7484"/>
    <n v="7484"/>
    <n v="3"/>
    <s v="No"/>
    <n v="0"/>
    <n v="20"/>
    <n v="4"/>
    <n v="3"/>
    <n v="0"/>
    <n v="23"/>
    <x v="17"/>
    <n v="1"/>
    <n v="2"/>
    <n v="13"/>
    <n v="13"/>
    <n v="12"/>
    <n v="12"/>
    <n v="12"/>
    <n v="8"/>
    <n v="8"/>
    <n v="24"/>
    <n v="0"/>
    <n v="0"/>
    <n v="1"/>
    <n v="0"/>
    <n v="1"/>
    <n v="0"/>
    <n v="0"/>
    <n v="0"/>
    <n v="0"/>
    <n v="8"/>
    <n v="0"/>
    <n v="0"/>
    <n v="23"/>
    <n v="0"/>
    <n v="0.20838524070677997"/>
    <n v="1.08652546240644"/>
    <n v="1.5063278539414293"/>
    <n v="0.97801552848324624"/>
    <n v="1.01056543769991"/>
    <n v="1.5408445525439205"/>
    <n v="3.0449828384135156"/>
  </r>
  <r>
    <n v="34"/>
    <n v="34"/>
    <s v="Yes"/>
    <n v="1"/>
    <s v="Travel_Frequently"/>
    <n v="1"/>
    <n v="0"/>
    <x v="1"/>
    <n v="1"/>
    <n v="0"/>
    <n v="7"/>
    <n v="7"/>
    <n v="3"/>
    <s v="Life Sciences"/>
    <n v="1"/>
    <n v="0"/>
    <n v="0"/>
    <n v="0"/>
    <n v="0"/>
    <n v="1"/>
    <s v="Male"/>
    <n v="0"/>
    <n v="66"/>
    <n v="1"/>
    <n v="2"/>
    <s v="Laboratory Technician"/>
    <n v="0"/>
    <n v="0"/>
    <n v="1"/>
    <n v="0"/>
    <n v="0"/>
    <n v="0"/>
    <n v="0"/>
    <n v="0"/>
    <n v="3"/>
    <s v="Single"/>
    <n v="1"/>
    <n v="0"/>
    <n v="6074"/>
    <n v="6074"/>
    <n v="1"/>
    <s v="Yes"/>
    <n v="1"/>
    <n v="24"/>
    <n v="4"/>
    <n v="4"/>
    <n v="0"/>
    <n v="9"/>
    <x v="14"/>
    <n v="3"/>
    <n v="3"/>
    <n v="9"/>
    <n v="9"/>
    <n v="7"/>
    <n v="0"/>
    <n v="0"/>
    <n v="6"/>
    <n v="6"/>
    <n v="12"/>
    <n v="0"/>
    <n v="0"/>
    <n v="1"/>
    <n v="0"/>
    <n v="0"/>
    <n v="1"/>
    <n v="0"/>
    <n v="0"/>
    <n v="0"/>
    <n v="6"/>
    <n v="0"/>
    <n v="0"/>
    <n v="9"/>
    <n v="0"/>
    <n v="9.1107737874083841E-2"/>
    <n v="0.52600872973843971"/>
    <n v="0.29297722668510823"/>
    <n v="0.32511687867835437"/>
    <n v="0.27045191444879263"/>
    <n v="0.32005363845127444"/>
    <n v="0.67891464284095016"/>
  </r>
  <r>
    <n v="54"/>
    <n v="54"/>
    <s v="No"/>
    <n v="0"/>
    <s v="Non-Travel"/>
    <n v="0"/>
    <n v="0"/>
    <x v="2"/>
    <n v="0"/>
    <n v="0"/>
    <n v="26"/>
    <n v="26"/>
    <n v="3"/>
    <s v="Human Resources"/>
    <n v="0"/>
    <n v="0"/>
    <n v="0"/>
    <n v="0"/>
    <n v="0"/>
    <n v="4"/>
    <s v="Female"/>
    <n v="1"/>
    <n v="30"/>
    <n v="4"/>
    <n v="4"/>
    <s v="Manager"/>
    <n v="0"/>
    <n v="0"/>
    <n v="0"/>
    <n v="1"/>
    <n v="0"/>
    <n v="0"/>
    <n v="0"/>
    <n v="0"/>
    <n v="4"/>
    <s v="Single"/>
    <n v="1"/>
    <n v="0"/>
    <n v="17328"/>
    <n v="17328"/>
    <n v="2"/>
    <s v="Yes"/>
    <n v="1"/>
    <n v="12"/>
    <n v="3"/>
    <n v="3"/>
    <n v="0"/>
    <n v="23"/>
    <x v="17"/>
    <n v="3"/>
    <n v="3"/>
    <n v="5"/>
    <n v="5"/>
    <n v="3"/>
    <n v="4"/>
    <n v="4"/>
    <n v="4"/>
    <n v="4"/>
    <n v="16"/>
    <n v="1"/>
    <n v="0"/>
    <n v="0"/>
    <n v="0"/>
    <n v="0"/>
    <n v="1"/>
    <n v="0"/>
    <n v="0"/>
    <n v="4"/>
    <n v="0"/>
    <n v="0"/>
    <n v="23"/>
    <n v="0"/>
    <n v="0"/>
    <n v="2.2993135252103425"/>
    <n v="3.4508002929560584E-2"/>
    <n v="1.5063278539414293"/>
    <n v="0.32778177112653761"/>
    <n v="2.0732409091797459"/>
    <n v="1.8692383509548371"/>
    <n v="0.56238451757720498"/>
  </r>
  <r>
    <n v="24"/>
    <n v="24"/>
    <s v="No"/>
    <n v="0"/>
    <s v="Travel_Rarely"/>
    <n v="0"/>
    <n v="1"/>
    <x v="1"/>
    <n v="1"/>
    <n v="0"/>
    <n v="18"/>
    <n v="18"/>
    <n v="1"/>
    <s v="Life Sciences"/>
    <n v="1"/>
    <n v="0"/>
    <n v="0"/>
    <n v="0"/>
    <n v="0"/>
    <n v="2"/>
    <s v="Male"/>
    <n v="0"/>
    <n v="52"/>
    <n v="3"/>
    <n v="1"/>
    <s v="Laboratory Technician"/>
    <n v="0"/>
    <n v="0"/>
    <n v="1"/>
    <n v="0"/>
    <n v="0"/>
    <n v="0"/>
    <n v="0"/>
    <n v="0"/>
    <n v="3"/>
    <s v="Married"/>
    <n v="0"/>
    <n v="1"/>
    <n v="2774"/>
    <n v="2774"/>
    <n v="0"/>
    <s v="No"/>
    <n v="0"/>
    <n v="12"/>
    <n v="3"/>
    <n v="3"/>
    <n v="1"/>
    <n v="6"/>
    <x v="3"/>
    <n v="2"/>
    <n v="3"/>
    <n v="5"/>
    <n v="5"/>
    <n v="3"/>
    <n v="1"/>
    <n v="1"/>
    <n v="2"/>
    <n v="2"/>
    <n v="2"/>
    <n v="0"/>
    <n v="1"/>
    <n v="0"/>
    <n v="0"/>
    <n v="0"/>
    <n v="0"/>
    <n v="1"/>
    <n v="0"/>
    <n v="0"/>
    <n v="2"/>
    <n v="0"/>
    <n v="0"/>
    <n v="6"/>
    <n v="0"/>
    <n v="0.79204875157397781"/>
    <n v="0.59502473559756086"/>
    <n v="0.67854260110508058"/>
    <n v="0.32778177112653761"/>
    <n v="1.0864228781782561"/>
    <n v="1.4146996331543302"/>
    <n v="0.36858985273641137"/>
  </r>
  <r>
    <n v="34"/>
    <n v="34"/>
    <s v="No"/>
    <n v="0"/>
    <s v="Travel_Rarely"/>
    <n v="0"/>
    <n v="1"/>
    <x v="1"/>
    <n v="1"/>
    <n v="0"/>
    <n v="6"/>
    <n v="6"/>
    <n v="4"/>
    <s v="Life Sciences"/>
    <n v="1"/>
    <n v="0"/>
    <n v="0"/>
    <n v="0"/>
    <n v="0"/>
    <n v="3"/>
    <s v="Female"/>
    <n v="1"/>
    <n v="45"/>
    <n v="2"/>
    <n v="2"/>
    <s v="Research Scientist"/>
    <n v="0"/>
    <n v="0"/>
    <n v="0"/>
    <n v="0"/>
    <n v="0"/>
    <n v="0"/>
    <n v="0"/>
    <n v="1"/>
    <n v="2"/>
    <s v="Divorced"/>
    <n v="0"/>
    <n v="0"/>
    <n v="4505"/>
    <n v="4505"/>
    <n v="6"/>
    <s v="No"/>
    <n v="0"/>
    <n v="15"/>
    <n v="3"/>
    <n v="3"/>
    <n v="1"/>
    <n v="12"/>
    <x v="4"/>
    <n v="3"/>
    <n v="3"/>
    <n v="1"/>
    <n v="1"/>
    <n v="0"/>
    <n v="0"/>
    <n v="0"/>
    <n v="0"/>
    <n v="0"/>
    <n v="0"/>
    <n v="1"/>
    <n v="0"/>
    <n v="0"/>
    <n v="0"/>
    <n v="1"/>
    <n v="0"/>
    <n v="0"/>
    <n v="0"/>
    <n v="0"/>
    <n v="0"/>
    <n v="0"/>
    <n v="0"/>
    <n v="12"/>
    <n v="0"/>
    <n v="0.42437332893321528"/>
    <n v="1.1555414682655611"/>
    <n v="9.2588147734864096E-2"/>
    <n v="0.9806804209314296"/>
    <n v="0.39380416832397891"/>
    <n v="0.32005363845127444"/>
    <n v="0.67891464284095016"/>
  </r>
  <r>
    <n v="37"/>
    <n v="37"/>
    <s v="No"/>
    <n v="0"/>
    <s v="Travel_Rarely"/>
    <n v="0"/>
    <n v="1"/>
    <x v="0"/>
    <n v="0"/>
    <n v="1"/>
    <n v="3"/>
    <n v="3"/>
    <n v="3"/>
    <s v="Life Sciences"/>
    <n v="1"/>
    <n v="0"/>
    <n v="0"/>
    <n v="0"/>
    <n v="0"/>
    <n v="3"/>
    <s v="Male"/>
    <n v="0"/>
    <n v="87"/>
    <n v="3"/>
    <n v="3"/>
    <s v="Sales Executive"/>
    <n v="0"/>
    <n v="1"/>
    <n v="0"/>
    <n v="0"/>
    <n v="0"/>
    <n v="0"/>
    <n v="0"/>
    <n v="0"/>
    <n v="4"/>
    <s v="Single"/>
    <n v="1"/>
    <n v="0"/>
    <n v="7428"/>
    <n v="7428"/>
    <n v="2"/>
    <s v="No"/>
    <n v="0"/>
    <n v="12"/>
    <n v="3"/>
    <n v="1"/>
    <n v="0"/>
    <n v="12"/>
    <x v="4"/>
    <n v="3"/>
    <n v="3"/>
    <n v="5"/>
    <n v="5"/>
    <n v="3"/>
    <n v="1"/>
    <n v="1"/>
    <n v="3"/>
    <n v="3"/>
    <n v="9"/>
    <n v="1"/>
    <n v="0"/>
    <n v="0"/>
    <n v="0"/>
    <n v="1"/>
    <n v="0"/>
    <n v="0"/>
    <n v="0"/>
    <n v="0"/>
    <n v="0"/>
    <n v="3"/>
    <n v="0"/>
    <n v="0"/>
    <n v="12"/>
    <n v="0.19649048411066056"/>
    <n v="0.31476636926356072"/>
    <n v="9.2588147734864096E-2"/>
    <n v="0.32778177112653761"/>
    <n v="0.76386092994953758"/>
    <n v="8.3401599596422994E-3"/>
    <n v="0.36858985273641137"/>
  </r>
  <r>
    <n v="34"/>
    <n v="34"/>
    <s v="No"/>
    <n v="0"/>
    <s v="Travel_Rarely"/>
    <n v="0"/>
    <n v="1"/>
    <x v="1"/>
    <n v="1"/>
    <n v="0"/>
    <n v="5"/>
    <n v="5"/>
    <n v="3"/>
    <s v="Medical"/>
    <n v="0"/>
    <n v="0"/>
    <n v="1"/>
    <n v="0"/>
    <n v="0"/>
    <n v="3"/>
    <s v="Female"/>
    <n v="1"/>
    <n v="45"/>
    <n v="2"/>
    <n v="3"/>
    <s v="Manager"/>
    <n v="0"/>
    <n v="0"/>
    <n v="0"/>
    <n v="1"/>
    <n v="0"/>
    <n v="0"/>
    <n v="0"/>
    <n v="0"/>
    <n v="1"/>
    <s v="Single"/>
    <n v="1"/>
    <n v="0"/>
    <n v="11631"/>
    <n v="11631"/>
    <n v="2"/>
    <s v="No"/>
    <n v="0"/>
    <n v="12"/>
    <n v="3"/>
    <n v="4"/>
    <n v="0"/>
    <n v="14"/>
    <x v="18"/>
    <n v="6"/>
    <n v="3"/>
    <n v="11"/>
    <n v="11"/>
    <n v="10"/>
    <n v="5"/>
    <n v="5"/>
    <n v="8"/>
    <n v="8"/>
    <n v="24"/>
    <n v="1"/>
    <n v="0"/>
    <n v="0"/>
    <n v="0"/>
    <n v="1"/>
    <n v="0"/>
    <n v="0"/>
    <n v="0"/>
    <n v="0"/>
    <n v="8"/>
    <n v="0"/>
    <n v="0"/>
    <n v="14"/>
    <n v="0"/>
    <n v="1.0892344479229801"/>
    <n v="1.08652546240644"/>
    <n v="0.34963173068151232"/>
    <n v="0.65156620358080031"/>
    <n v="0.51715642219916513"/>
    <n v="0.32005363845127444"/>
    <n v="0.87270930768174382"/>
  </r>
  <r>
    <n v="36"/>
    <n v="36"/>
    <s v="No"/>
    <n v="0"/>
    <s v="Travel_Frequently"/>
    <n v="1"/>
    <n v="0"/>
    <x v="0"/>
    <n v="0"/>
    <n v="1"/>
    <n v="11"/>
    <n v="11"/>
    <n v="2"/>
    <s v="Technical Degree"/>
    <n v="0"/>
    <n v="0"/>
    <n v="0"/>
    <n v="0"/>
    <n v="1"/>
    <n v="2"/>
    <s v="Female"/>
    <n v="1"/>
    <n v="92"/>
    <n v="3"/>
    <n v="3"/>
    <s v="Sales Executive"/>
    <n v="0"/>
    <n v="1"/>
    <n v="0"/>
    <n v="0"/>
    <n v="0"/>
    <n v="0"/>
    <n v="0"/>
    <n v="0"/>
    <n v="4"/>
    <s v="Married"/>
    <n v="0"/>
    <n v="1"/>
    <n v="9738"/>
    <n v="9738"/>
    <n v="0"/>
    <s v="No"/>
    <n v="0"/>
    <n v="14"/>
    <n v="3"/>
    <n v="3"/>
    <n v="1"/>
    <n v="10"/>
    <x v="1"/>
    <n v="6"/>
    <n v="3"/>
    <n v="9"/>
    <n v="9"/>
    <n v="7"/>
    <n v="2"/>
    <n v="2"/>
    <n v="8"/>
    <n v="8"/>
    <n v="24"/>
    <n v="0"/>
    <n v="0"/>
    <n v="0"/>
    <n v="1"/>
    <n v="0"/>
    <n v="0"/>
    <n v="1"/>
    <n v="0"/>
    <n v="0"/>
    <n v="0"/>
    <n v="8"/>
    <n v="0"/>
    <n v="0"/>
    <n v="10"/>
    <n v="0.68714919370058636"/>
    <n v="1.08652546240644"/>
    <n v="0.1644554352117841"/>
    <n v="0.32511687867835437"/>
    <n v="0.22295710105195232"/>
    <n v="0.10112443951066327"/>
    <n v="5.8265062631872602E-2"/>
  </r>
  <r>
    <n v="36"/>
    <n v="36"/>
    <s v="No"/>
    <n v="0"/>
    <s v="Travel_Rarely"/>
    <n v="0"/>
    <n v="1"/>
    <x v="1"/>
    <n v="1"/>
    <n v="0"/>
    <n v="3"/>
    <n v="3"/>
    <n v="2"/>
    <s v="Life Sciences"/>
    <n v="1"/>
    <n v="0"/>
    <n v="0"/>
    <n v="0"/>
    <n v="0"/>
    <n v="1"/>
    <s v="Female"/>
    <n v="1"/>
    <n v="39"/>
    <n v="3"/>
    <n v="1"/>
    <s v="Laboratory Technician"/>
    <n v="0"/>
    <n v="0"/>
    <n v="1"/>
    <n v="0"/>
    <n v="0"/>
    <n v="0"/>
    <n v="0"/>
    <n v="0"/>
    <n v="4"/>
    <s v="Divorced"/>
    <n v="0"/>
    <n v="0"/>
    <n v="2835"/>
    <n v="2835"/>
    <n v="5"/>
    <s v="No"/>
    <n v="0"/>
    <n v="22"/>
    <n v="4"/>
    <n v="1"/>
    <n v="1"/>
    <n v="7"/>
    <x v="2"/>
    <n v="2"/>
    <n v="3"/>
    <n v="1"/>
    <n v="1"/>
    <n v="0"/>
    <n v="0"/>
    <n v="0"/>
    <n v="0"/>
    <n v="0"/>
    <n v="0"/>
    <n v="1"/>
    <n v="0"/>
    <n v="0"/>
    <n v="0"/>
    <n v="1"/>
    <n v="0"/>
    <n v="0"/>
    <n v="0"/>
    <n v="0"/>
    <n v="0"/>
    <n v="0"/>
    <n v="0"/>
    <n v="7"/>
    <n v="0"/>
    <n v="0.77909196313891915"/>
    <n v="1.1555414682655611"/>
    <n v="0.55002080963175637"/>
    <n v="0.9806804209314296"/>
    <n v="0.76386092994953758"/>
    <n v="0.10112443951066327"/>
    <n v="0.67891464284095016"/>
  </r>
  <r>
    <n v="43"/>
    <n v="43"/>
    <s v="No"/>
    <n v="0"/>
    <s v="Travel_Frequently"/>
    <n v="1"/>
    <n v="0"/>
    <x v="0"/>
    <n v="0"/>
    <n v="1"/>
    <n v="26"/>
    <n v="26"/>
    <n v="2"/>
    <s v="Life Sciences"/>
    <n v="1"/>
    <n v="0"/>
    <n v="0"/>
    <n v="0"/>
    <n v="0"/>
    <n v="3"/>
    <s v="Male"/>
    <n v="0"/>
    <n v="92"/>
    <n v="3"/>
    <n v="4"/>
    <s v="Manager"/>
    <n v="0"/>
    <n v="0"/>
    <n v="0"/>
    <n v="1"/>
    <n v="0"/>
    <n v="0"/>
    <n v="0"/>
    <n v="0"/>
    <n v="4"/>
    <s v="Married"/>
    <n v="0"/>
    <n v="1"/>
    <n v="16959"/>
    <n v="16959"/>
    <n v="1"/>
    <s v="Yes"/>
    <n v="1"/>
    <n v="12"/>
    <n v="3"/>
    <n v="4"/>
    <n v="2"/>
    <n v="25"/>
    <x v="24"/>
    <n v="3"/>
    <n v="4"/>
    <n v="25"/>
    <n v="25"/>
    <n v="12"/>
    <n v="4"/>
    <n v="4"/>
    <n v="12"/>
    <n v="12"/>
    <n v="48"/>
    <n v="0"/>
    <n v="0"/>
    <n v="0"/>
    <n v="1"/>
    <n v="0"/>
    <n v="0"/>
    <n v="0"/>
    <n v="1"/>
    <n v="0"/>
    <n v="0"/>
    <n v="12"/>
    <n v="0"/>
    <n v="0"/>
    <n v="25"/>
    <n v="2.2209355754966271"/>
    <n v="2.2075589277424408"/>
    <n v="1.7633714368880775"/>
    <n v="2.936711477897922"/>
    <n v="2.0732409091797459"/>
    <n v="0.66512775678147573"/>
    <n v="0.56238451757720498"/>
  </r>
  <r>
    <n v="30"/>
    <n v="30"/>
    <s v="No"/>
    <n v="0"/>
    <s v="Travel_Frequently"/>
    <n v="1"/>
    <n v="0"/>
    <x v="1"/>
    <n v="1"/>
    <n v="0"/>
    <n v="23"/>
    <n v="23"/>
    <n v="3"/>
    <s v="Life Sciences"/>
    <n v="1"/>
    <n v="0"/>
    <n v="0"/>
    <n v="0"/>
    <n v="0"/>
    <n v="1"/>
    <s v="Male"/>
    <n v="0"/>
    <n v="96"/>
    <n v="1"/>
    <n v="1"/>
    <s v="Research Scientist"/>
    <n v="0"/>
    <n v="0"/>
    <n v="0"/>
    <n v="0"/>
    <n v="0"/>
    <n v="0"/>
    <n v="0"/>
    <n v="1"/>
    <n v="3"/>
    <s v="Divorced"/>
    <n v="0"/>
    <n v="0"/>
    <n v="2613"/>
    <n v="2613"/>
    <n v="1"/>
    <s v="No"/>
    <n v="0"/>
    <n v="25"/>
    <n v="4"/>
    <n v="3"/>
    <n v="3"/>
    <n v="10"/>
    <x v="1"/>
    <n v="2"/>
    <n v="2"/>
    <n v="10"/>
    <n v="10"/>
    <n v="7"/>
    <n v="0"/>
    <n v="0"/>
    <n v="9"/>
    <n v="9"/>
    <n v="9"/>
    <n v="0"/>
    <n v="0"/>
    <n v="1"/>
    <n v="0"/>
    <n v="1"/>
    <n v="0"/>
    <n v="0"/>
    <n v="0"/>
    <n v="0"/>
    <n v="9"/>
    <n v="0"/>
    <n v="0"/>
    <n v="10"/>
    <n v="0"/>
    <n v="0.8262461767878212"/>
    <n v="1.3667838287404401"/>
    <n v="0.1644554352117841"/>
    <n v="0.48834154112957734"/>
    <n v="1.7031841475541873"/>
    <n v="0.75791203633249671"/>
    <n v="0.67891464284095016"/>
  </r>
  <r>
    <n v="33"/>
    <n v="33"/>
    <s v="No"/>
    <n v="0"/>
    <s v="Non-Travel"/>
    <n v="0"/>
    <n v="0"/>
    <x v="0"/>
    <n v="0"/>
    <n v="1"/>
    <n v="22"/>
    <n v="22"/>
    <n v="2"/>
    <s v="Marketing"/>
    <n v="0"/>
    <n v="0"/>
    <n v="0"/>
    <n v="1"/>
    <n v="0"/>
    <n v="3"/>
    <s v="Male"/>
    <n v="0"/>
    <n v="95"/>
    <n v="3"/>
    <n v="2"/>
    <s v="Sales Executive"/>
    <n v="0"/>
    <n v="1"/>
    <n v="0"/>
    <n v="0"/>
    <n v="0"/>
    <n v="0"/>
    <n v="0"/>
    <n v="0"/>
    <n v="2"/>
    <s v="Married"/>
    <n v="0"/>
    <n v="1"/>
    <n v="6146"/>
    <n v="6146"/>
    <n v="0"/>
    <s v="No"/>
    <n v="0"/>
    <n v="13"/>
    <n v="3"/>
    <n v="1"/>
    <n v="1"/>
    <n v="8"/>
    <x v="0"/>
    <n v="2"/>
    <n v="4"/>
    <n v="7"/>
    <n v="7"/>
    <n v="7"/>
    <n v="0"/>
    <n v="0"/>
    <n v="7"/>
    <n v="7"/>
    <n v="14"/>
    <n v="0"/>
    <n v="1"/>
    <n v="0"/>
    <n v="0"/>
    <n v="0"/>
    <n v="0"/>
    <n v="1"/>
    <n v="0"/>
    <n v="0"/>
    <n v="0"/>
    <n v="7"/>
    <n v="0"/>
    <n v="0"/>
    <n v="8"/>
    <n v="7.5814479393358877E-2"/>
    <n v="0.80626709607243985"/>
    <n v="0.42149901815843233"/>
    <n v="1.3324462240916321E-3"/>
    <n v="1.579831893679001"/>
    <n v="0.42951823792158"/>
    <n v="0.67891464284095016"/>
  </r>
  <r>
    <n v="56"/>
    <n v="56"/>
    <s v="Yes"/>
    <n v="1"/>
    <s v="Travel_Rarely"/>
    <n v="0"/>
    <n v="1"/>
    <x v="1"/>
    <n v="1"/>
    <n v="0"/>
    <n v="14"/>
    <n v="14"/>
    <n v="4"/>
    <s v="Life Sciences"/>
    <n v="1"/>
    <n v="0"/>
    <n v="0"/>
    <n v="0"/>
    <n v="0"/>
    <n v="2"/>
    <s v="Female"/>
    <n v="1"/>
    <n v="72"/>
    <n v="3"/>
    <n v="1"/>
    <s v="Research Scientist"/>
    <n v="0"/>
    <n v="0"/>
    <n v="0"/>
    <n v="0"/>
    <n v="0"/>
    <n v="0"/>
    <n v="0"/>
    <n v="1"/>
    <n v="2"/>
    <s v="Married"/>
    <n v="0"/>
    <n v="1"/>
    <n v="4963"/>
    <n v="4963"/>
    <n v="9"/>
    <s v="Yes"/>
    <n v="1"/>
    <n v="18"/>
    <n v="3"/>
    <n v="1"/>
    <n v="3"/>
    <n v="7"/>
    <x v="2"/>
    <n v="2"/>
    <n v="3"/>
    <n v="5"/>
    <n v="5"/>
    <n v="4"/>
    <n v="4"/>
    <n v="4"/>
    <n v="3"/>
    <n v="3"/>
    <n v="3"/>
    <n v="0"/>
    <n v="1"/>
    <n v="0"/>
    <n v="0"/>
    <n v="0"/>
    <n v="0"/>
    <n v="0"/>
    <n v="1"/>
    <n v="0"/>
    <n v="3"/>
    <n v="0"/>
    <n v="0"/>
    <n v="7"/>
    <n v="0"/>
    <n v="0.32709121248638151"/>
    <n v="0.31476636926356072"/>
    <n v="0.55002080963175637"/>
    <n v="0.32778177112653761"/>
    <n v="0.59301386267751111"/>
    <n v="2.0881675498954482"/>
    <n v="0.56238451757720498"/>
  </r>
  <r>
    <n v="51"/>
    <n v="51"/>
    <s v="No"/>
    <n v="0"/>
    <s v="Travel_Rarely"/>
    <n v="0"/>
    <n v="1"/>
    <x v="1"/>
    <n v="1"/>
    <n v="0"/>
    <n v="6"/>
    <n v="6"/>
    <n v="3"/>
    <s v="Life Sciences"/>
    <n v="1"/>
    <n v="0"/>
    <n v="0"/>
    <n v="0"/>
    <n v="0"/>
    <n v="1"/>
    <s v="Male"/>
    <n v="0"/>
    <n v="51"/>
    <n v="3"/>
    <n v="5"/>
    <s v="Research Director"/>
    <n v="0"/>
    <n v="0"/>
    <n v="0"/>
    <n v="0"/>
    <n v="0"/>
    <n v="0"/>
    <n v="0"/>
    <n v="0"/>
    <n v="3"/>
    <s v="Single"/>
    <n v="1"/>
    <n v="0"/>
    <n v="19537"/>
    <n v="19537"/>
    <n v="7"/>
    <s v="No"/>
    <n v="0"/>
    <n v="13"/>
    <n v="3"/>
    <n v="3"/>
    <n v="0"/>
    <n v="23"/>
    <x v="17"/>
    <n v="5"/>
    <n v="3"/>
    <n v="20"/>
    <n v="20"/>
    <n v="18"/>
    <n v="15"/>
    <n v="14"/>
    <n v="15"/>
    <n v="14"/>
    <n v="70"/>
    <n v="1"/>
    <n v="0"/>
    <n v="0"/>
    <n v="0"/>
    <n v="1"/>
    <n v="0"/>
    <n v="0"/>
    <n v="0"/>
    <n v="0"/>
    <n v="14"/>
    <n v="0"/>
    <n v="0"/>
    <n v="23"/>
    <n v="0"/>
    <n v="2.768519191653696"/>
    <n v="3.048334026744441"/>
    <n v="1.5063278539414293"/>
    <n v="2.1205881656418071"/>
    <n v="0.39380416832397891"/>
    <n v="1.5408445525439205"/>
    <n v="3.9759572087271318"/>
  </r>
  <r>
    <n v="31"/>
    <n v="31"/>
    <s v="Yes"/>
    <n v="1"/>
    <s v="Travel_Rarely"/>
    <n v="0"/>
    <n v="1"/>
    <x v="0"/>
    <n v="0"/>
    <n v="1"/>
    <n v="6"/>
    <n v="6"/>
    <n v="4"/>
    <s v="Life Sciences"/>
    <n v="1"/>
    <n v="0"/>
    <n v="0"/>
    <n v="0"/>
    <n v="0"/>
    <n v="2"/>
    <s v="Male"/>
    <n v="0"/>
    <n v="76"/>
    <n v="1"/>
    <n v="2"/>
    <s v="Sales Executive"/>
    <n v="0"/>
    <n v="1"/>
    <n v="0"/>
    <n v="0"/>
    <n v="0"/>
    <n v="0"/>
    <n v="0"/>
    <n v="0"/>
    <n v="3"/>
    <s v="Married"/>
    <n v="0"/>
    <n v="1"/>
    <n v="6172"/>
    <n v="6172"/>
    <n v="4"/>
    <s v="Yes"/>
    <n v="1"/>
    <n v="18"/>
    <n v="3"/>
    <n v="2"/>
    <n v="0"/>
    <n v="12"/>
    <x v="4"/>
    <n v="3"/>
    <n v="2"/>
    <n v="7"/>
    <n v="7"/>
    <n v="7"/>
    <n v="7"/>
    <n v="7"/>
    <n v="7"/>
    <n v="7"/>
    <n v="14"/>
    <n v="0"/>
    <n v="1"/>
    <n v="0"/>
    <n v="0"/>
    <n v="0"/>
    <n v="0"/>
    <n v="0"/>
    <n v="1"/>
    <n v="0"/>
    <n v="0"/>
    <n v="7"/>
    <n v="0"/>
    <n v="0"/>
    <n v="12"/>
    <n v="7.0291913830874866E-2"/>
    <n v="0.80626709607243985"/>
    <n v="9.2588147734864096E-2"/>
    <n v="1.3324462240916321E-3"/>
    <n v="0.39380416832397891"/>
    <n v="0.6484474368621912"/>
    <n v="1.4933588878908215"/>
  </r>
  <r>
    <n v="26"/>
    <n v="26"/>
    <s v="No"/>
    <n v="0"/>
    <s v="Travel_Rarely"/>
    <n v="0"/>
    <n v="1"/>
    <x v="1"/>
    <n v="1"/>
    <n v="0"/>
    <n v="6"/>
    <n v="6"/>
    <n v="3"/>
    <s v="Other"/>
    <n v="0"/>
    <n v="1"/>
    <n v="0"/>
    <n v="0"/>
    <n v="0"/>
    <n v="3"/>
    <s v="Female"/>
    <n v="1"/>
    <n v="46"/>
    <n v="2"/>
    <n v="1"/>
    <s v="Research Scientist"/>
    <n v="0"/>
    <n v="0"/>
    <n v="0"/>
    <n v="0"/>
    <n v="0"/>
    <n v="0"/>
    <n v="0"/>
    <n v="1"/>
    <n v="2"/>
    <s v="Married"/>
    <n v="0"/>
    <n v="1"/>
    <n v="2368"/>
    <n v="2368"/>
    <n v="1"/>
    <s v="No"/>
    <n v="0"/>
    <n v="19"/>
    <n v="3"/>
    <n v="3"/>
    <n v="0"/>
    <n v="5"/>
    <x v="7"/>
    <n v="3"/>
    <n v="2"/>
    <n v="5"/>
    <n v="5"/>
    <n v="4"/>
    <n v="4"/>
    <n v="4"/>
    <n v="3"/>
    <n v="3"/>
    <n v="3"/>
    <n v="0"/>
    <n v="1"/>
    <n v="0"/>
    <n v="0"/>
    <n v="0"/>
    <n v="0"/>
    <n v="1"/>
    <n v="0"/>
    <n v="0"/>
    <n v="3"/>
    <n v="0"/>
    <n v="0"/>
    <n v="5"/>
    <n v="0"/>
    <n v="0.87828573689584355"/>
    <n v="0.31476636926356072"/>
    <n v="0.80706439257840468"/>
    <n v="0.32778177112653761"/>
    <n v="0.39380416832397891"/>
    <n v="1.195770434213719"/>
    <n v="0.56238451757720498"/>
  </r>
  <r>
    <n v="58"/>
    <n v="58"/>
    <s v="Yes"/>
    <n v="1"/>
    <s v="Travel_Rarely"/>
    <n v="0"/>
    <n v="1"/>
    <x v="1"/>
    <n v="1"/>
    <n v="0"/>
    <n v="23"/>
    <n v="23"/>
    <n v="4"/>
    <s v="Medical"/>
    <n v="0"/>
    <n v="0"/>
    <n v="1"/>
    <n v="0"/>
    <n v="0"/>
    <n v="4"/>
    <s v="Female"/>
    <n v="1"/>
    <n v="94"/>
    <n v="3"/>
    <n v="3"/>
    <s v="Healthcare Representative"/>
    <n v="1"/>
    <n v="0"/>
    <n v="0"/>
    <n v="0"/>
    <n v="0"/>
    <n v="0"/>
    <n v="0"/>
    <n v="0"/>
    <n v="4"/>
    <s v="Married"/>
    <n v="0"/>
    <n v="1"/>
    <n v="10312"/>
    <n v="10312"/>
    <n v="1"/>
    <s v="No"/>
    <n v="0"/>
    <n v="12"/>
    <n v="3"/>
    <n v="4"/>
    <n v="1"/>
    <n v="40"/>
    <x v="28"/>
    <n v="3"/>
    <n v="2"/>
    <n v="40"/>
    <n v="31"/>
    <n v="10"/>
    <n v="15"/>
    <n v="14"/>
    <n v="6"/>
    <n v="6"/>
    <n v="18"/>
    <n v="0"/>
    <n v="1"/>
    <n v="0"/>
    <n v="0"/>
    <n v="0"/>
    <n v="0"/>
    <n v="1"/>
    <n v="0"/>
    <n v="0"/>
    <n v="6"/>
    <n v="0"/>
    <n v="0"/>
    <n v="35"/>
    <n v="0"/>
    <n v="0.80907044881081036"/>
    <n v="0.52600872973843971"/>
    <n v="3.6911983089879388"/>
    <n v="5.3850814146662671"/>
    <n v="1.7031841475541873"/>
    <n v="2.3070967488360594"/>
    <n v="3.9759572087271318"/>
  </r>
  <r>
    <n v="19"/>
    <n v="19"/>
    <s v="Yes"/>
    <n v="1"/>
    <s v="Travel_Rarely"/>
    <n v="0"/>
    <n v="1"/>
    <x v="0"/>
    <n v="0"/>
    <n v="1"/>
    <n v="22"/>
    <n v="22"/>
    <n v="1"/>
    <s v="Marketing"/>
    <n v="0"/>
    <n v="0"/>
    <n v="0"/>
    <n v="1"/>
    <n v="0"/>
    <n v="4"/>
    <s v="Male"/>
    <n v="0"/>
    <n v="50"/>
    <n v="3"/>
    <n v="1"/>
    <s v="Sales Representative"/>
    <n v="0"/>
    <n v="0"/>
    <n v="0"/>
    <n v="0"/>
    <n v="0"/>
    <n v="0"/>
    <n v="1"/>
    <n v="0"/>
    <n v="3"/>
    <s v="Single"/>
    <n v="1"/>
    <n v="0"/>
    <n v="1675"/>
    <n v="1675"/>
    <n v="1"/>
    <s v="Yes"/>
    <n v="1"/>
    <n v="19"/>
    <n v="3"/>
    <n v="4"/>
    <n v="0"/>
    <n v="0"/>
    <x v="5"/>
    <n v="2"/>
    <n v="2"/>
    <n v="0"/>
    <n v="0"/>
    <n v="0"/>
    <n v="0"/>
    <n v="0"/>
    <n v="0"/>
    <n v="0"/>
    <n v="0"/>
    <n v="1"/>
    <n v="0"/>
    <n v="0"/>
    <n v="0"/>
    <n v="0"/>
    <n v="1"/>
    <n v="0"/>
    <n v="0"/>
    <n v="0"/>
    <n v="0"/>
    <n v="0"/>
    <n v="0"/>
    <n v="0"/>
    <n v="1"/>
    <n v="1.0254833497728213"/>
    <n v="1.1555414682655611"/>
    <n v="1.4496733499450252"/>
    <n v="1.1439050833826525"/>
    <n v="1.579831893679001"/>
    <n v="1.9620226305058581"/>
    <n v="0.67891464284095016"/>
  </r>
  <r>
    <n v="22"/>
    <n v="22"/>
    <s v="No"/>
    <n v="0"/>
    <s v="Travel_Rarely"/>
    <n v="0"/>
    <n v="1"/>
    <x v="1"/>
    <n v="1"/>
    <n v="0"/>
    <n v="2"/>
    <n v="2"/>
    <n v="1"/>
    <s v="Technical Degree"/>
    <n v="0"/>
    <n v="0"/>
    <n v="0"/>
    <n v="0"/>
    <n v="1"/>
    <n v="3"/>
    <s v="Male"/>
    <n v="0"/>
    <n v="100"/>
    <n v="3"/>
    <n v="1"/>
    <s v="Laboratory Technician"/>
    <n v="0"/>
    <n v="0"/>
    <n v="1"/>
    <n v="0"/>
    <n v="0"/>
    <n v="0"/>
    <n v="0"/>
    <n v="0"/>
    <n v="4"/>
    <s v="Married"/>
    <n v="0"/>
    <n v="1"/>
    <n v="2523"/>
    <n v="2523"/>
    <n v="0"/>
    <s v="No"/>
    <n v="0"/>
    <n v="14"/>
    <n v="3"/>
    <n v="3"/>
    <n v="1"/>
    <n v="3"/>
    <x v="8"/>
    <n v="2"/>
    <n v="3"/>
    <n v="2"/>
    <n v="2"/>
    <n v="1"/>
    <n v="2"/>
    <n v="2"/>
    <n v="1"/>
    <n v="1"/>
    <n v="1"/>
    <n v="0"/>
    <n v="1"/>
    <n v="0"/>
    <n v="0"/>
    <n v="0"/>
    <n v="0"/>
    <n v="1"/>
    <n v="0"/>
    <n v="0"/>
    <n v="1"/>
    <n v="0"/>
    <n v="0"/>
    <n v="3"/>
    <n v="0"/>
    <n v="0.84536274988872739"/>
    <n v="0.87528310193156111"/>
    <n v="1.0641079755250529"/>
    <n v="0.81745575848020657"/>
    <n v="0.88721318382472392"/>
    <n v="1.6336288320949415"/>
    <n v="5.8265062631872602E-2"/>
  </r>
  <r>
    <n v="49"/>
    <n v="49"/>
    <s v="No"/>
    <n v="0"/>
    <s v="Travel_Rarely"/>
    <n v="0"/>
    <n v="1"/>
    <x v="1"/>
    <n v="1"/>
    <n v="0"/>
    <n v="20"/>
    <n v="20"/>
    <n v="4"/>
    <s v="Medical"/>
    <n v="0"/>
    <n v="0"/>
    <n v="1"/>
    <n v="0"/>
    <n v="0"/>
    <n v="3"/>
    <s v="Female"/>
    <n v="1"/>
    <n v="96"/>
    <n v="3"/>
    <n v="2"/>
    <s v="Manufacturing Director"/>
    <n v="0"/>
    <n v="0"/>
    <n v="0"/>
    <n v="0"/>
    <n v="1"/>
    <n v="1"/>
    <n v="0"/>
    <n v="0"/>
    <n v="1"/>
    <s v="Married"/>
    <n v="0"/>
    <n v="1"/>
    <n v="6567"/>
    <n v="6567"/>
    <n v="1"/>
    <s v="No"/>
    <n v="0"/>
    <n v="14"/>
    <n v="3"/>
    <n v="3"/>
    <n v="0"/>
    <n v="16"/>
    <x v="27"/>
    <n v="2"/>
    <n v="2"/>
    <n v="15"/>
    <n v="15"/>
    <n v="11"/>
    <n v="5"/>
    <n v="5"/>
    <n v="11"/>
    <n v="11"/>
    <n v="22"/>
    <n v="0"/>
    <n v="1"/>
    <n v="0"/>
    <n v="0"/>
    <n v="0"/>
    <n v="0"/>
    <n v="1"/>
    <n v="0"/>
    <n v="0"/>
    <n v="11"/>
    <n v="0"/>
    <n v="0"/>
    <n v="16"/>
    <n v="0"/>
    <n v="1.360860144532457E-2"/>
    <n v="1.9273005614084406"/>
    <n v="0.60667531362816052"/>
    <n v="1.3044648533856922"/>
    <n v="1.3331273859286286"/>
    <n v="1.3219153536033093"/>
    <n v="0.87270930768174382"/>
  </r>
  <r>
    <n v="43"/>
    <n v="43"/>
    <s v="No"/>
    <n v="0"/>
    <s v="Travel_Frequently"/>
    <n v="1"/>
    <n v="0"/>
    <x v="1"/>
    <n v="1"/>
    <n v="0"/>
    <n v="28"/>
    <n v="28"/>
    <n v="3"/>
    <s v="Medical"/>
    <n v="0"/>
    <n v="0"/>
    <n v="1"/>
    <n v="0"/>
    <n v="0"/>
    <n v="2"/>
    <s v="Female"/>
    <n v="1"/>
    <n v="72"/>
    <n v="4"/>
    <n v="1"/>
    <s v="Research Scientist"/>
    <n v="0"/>
    <n v="0"/>
    <n v="0"/>
    <n v="0"/>
    <n v="0"/>
    <n v="0"/>
    <n v="0"/>
    <n v="1"/>
    <n v="3"/>
    <s v="Single"/>
    <n v="1"/>
    <n v="0"/>
    <n v="4739"/>
    <n v="4739"/>
    <n v="4"/>
    <s v="No"/>
    <n v="0"/>
    <n v="12"/>
    <n v="3"/>
    <n v="4"/>
    <n v="0"/>
    <n v="18"/>
    <x v="30"/>
    <n v="2"/>
    <n v="3"/>
    <n v="3"/>
    <n v="3"/>
    <n v="2"/>
    <n v="1"/>
    <n v="1"/>
    <n v="2"/>
    <n v="2"/>
    <n v="2"/>
    <n v="0"/>
    <n v="0"/>
    <n v="1"/>
    <n v="0"/>
    <n v="1"/>
    <n v="0"/>
    <n v="0"/>
    <n v="0"/>
    <n v="0"/>
    <n v="2"/>
    <n v="0"/>
    <n v="0"/>
    <n v="18"/>
    <n v="0"/>
    <n v="0.37467023887085915"/>
    <n v="0.59502473559756086"/>
    <n v="0.86371889657480871"/>
    <n v="0.65423109602898355"/>
    <n v="2.3199454169301186"/>
    <n v="0.66512775678147573"/>
    <n v="0.36858985273641137"/>
  </r>
  <r>
    <n v="50"/>
    <n v="50"/>
    <s v="No"/>
    <n v="0"/>
    <s v="Travel_Frequently"/>
    <n v="1"/>
    <n v="0"/>
    <x v="0"/>
    <n v="0"/>
    <n v="1"/>
    <n v="12"/>
    <n v="12"/>
    <n v="3"/>
    <s v="Marketing"/>
    <n v="0"/>
    <n v="0"/>
    <n v="0"/>
    <n v="1"/>
    <n v="0"/>
    <n v="3"/>
    <s v="Female"/>
    <n v="1"/>
    <n v="77"/>
    <n v="3"/>
    <n v="3"/>
    <s v="Sales Executive"/>
    <n v="0"/>
    <n v="1"/>
    <n v="0"/>
    <n v="0"/>
    <n v="0"/>
    <n v="0"/>
    <n v="0"/>
    <n v="0"/>
    <n v="4"/>
    <s v="Single"/>
    <n v="1"/>
    <n v="0"/>
    <n v="9208"/>
    <n v="9208"/>
    <n v="4"/>
    <s v="No"/>
    <n v="0"/>
    <n v="11"/>
    <n v="3"/>
    <n v="4"/>
    <n v="0"/>
    <n v="16"/>
    <x v="27"/>
    <n v="3"/>
    <n v="3"/>
    <n v="2"/>
    <n v="2"/>
    <n v="2"/>
    <n v="2"/>
    <n v="2"/>
    <n v="1"/>
    <n v="1"/>
    <n v="3"/>
    <n v="0"/>
    <n v="0"/>
    <n v="1"/>
    <n v="0"/>
    <n v="1"/>
    <n v="0"/>
    <n v="0"/>
    <n v="0"/>
    <n v="0"/>
    <n v="0"/>
    <n v="1"/>
    <n v="0"/>
    <n v="0"/>
    <n v="16"/>
    <n v="0.5745738187730276"/>
    <n v="0.87528310193156111"/>
    <n v="0.60667531362816052"/>
    <n v="0.81745575848020657"/>
    <n v="0.3463093549271386"/>
    <n v="1.4313799530736149"/>
    <n v="5.8265062631872602E-2"/>
  </r>
  <r>
    <n v="31"/>
    <n v="31"/>
    <s v="Yes"/>
    <n v="1"/>
    <s v="Travel_Rarely"/>
    <n v="0"/>
    <n v="1"/>
    <x v="0"/>
    <n v="0"/>
    <n v="1"/>
    <n v="20"/>
    <n v="20"/>
    <n v="3"/>
    <s v="Life Sciences"/>
    <n v="1"/>
    <n v="0"/>
    <n v="0"/>
    <n v="0"/>
    <n v="0"/>
    <n v="2"/>
    <s v="Female"/>
    <n v="1"/>
    <n v="71"/>
    <n v="1"/>
    <n v="2"/>
    <s v="Sales Executive"/>
    <n v="0"/>
    <n v="1"/>
    <n v="0"/>
    <n v="0"/>
    <n v="0"/>
    <n v="0"/>
    <n v="0"/>
    <n v="0"/>
    <n v="3"/>
    <s v="Married"/>
    <n v="0"/>
    <n v="1"/>
    <n v="4559"/>
    <n v="4559"/>
    <n v="3"/>
    <s v="Yes"/>
    <n v="1"/>
    <n v="11"/>
    <n v="3"/>
    <n v="3"/>
    <n v="1"/>
    <n v="4"/>
    <x v="20"/>
    <n v="2"/>
    <n v="3"/>
    <n v="2"/>
    <n v="2"/>
    <n v="2"/>
    <n v="2"/>
    <n v="2"/>
    <n v="2"/>
    <n v="2"/>
    <n v="4"/>
    <n v="0"/>
    <n v="1"/>
    <n v="0"/>
    <n v="0"/>
    <n v="0"/>
    <n v="0"/>
    <n v="0"/>
    <n v="1"/>
    <n v="0"/>
    <n v="0"/>
    <n v="2"/>
    <n v="0"/>
    <n v="0"/>
    <n v="4"/>
    <n v="0.41290338507267155"/>
    <n v="0.59502473559756086"/>
    <n v="0.93558618405172878"/>
    <n v="0.81745575848020657"/>
    <n v="1.3331273859286286"/>
    <n v="0.6484474368621912"/>
    <n v="5.8265062631872602E-2"/>
  </r>
  <r>
    <n v="41"/>
    <n v="41"/>
    <s v="No"/>
    <n v="0"/>
    <s v="Travel_Rarely"/>
    <n v="0"/>
    <n v="1"/>
    <x v="0"/>
    <n v="0"/>
    <n v="1"/>
    <n v="9"/>
    <n v="9"/>
    <n v="1"/>
    <s v="Life Sciences"/>
    <n v="1"/>
    <n v="0"/>
    <n v="0"/>
    <n v="0"/>
    <n v="0"/>
    <n v="3"/>
    <s v="Male"/>
    <n v="0"/>
    <n v="96"/>
    <n v="3"/>
    <n v="3"/>
    <s v="Sales Executive"/>
    <n v="0"/>
    <n v="1"/>
    <n v="0"/>
    <n v="0"/>
    <n v="0"/>
    <n v="0"/>
    <n v="0"/>
    <n v="0"/>
    <n v="3"/>
    <s v="Divorced"/>
    <n v="0"/>
    <n v="0"/>
    <n v="8189"/>
    <n v="8189"/>
    <n v="3"/>
    <s v="Yes"/>
    <n v="1"/>
    <n v="13"/>
    <n v="3"/>
    <n v="3"/>
    <n v="1"/>
    <n v="12"/>
    <x v="4"/>
    <n v="2"/>
    <n v="3"/>
    <n v="9"/>
    <n v="9"/>
    <n v="7"/>
    <n v="0"/>
    <n v="0"/>
    <n v="7"/>
    <n v="7"/>
    <n v="21"/>
    <n v="1"/>
    <n v="0"/>
    <n v="0"/>
    <n v="0"/>
    <n v="0"/>
    <n v="1"/>
    <n v="0"/>
    <n v="0"/>
    <n v="0"/>
    <n v="0"/>
    <n v="7"/>
    <n v="0"/>
    <n v="0"/>
    <n v="12"/>
    <n v="0.35813172999721188"/>
    <n v="0.80626709607243985"/>
    <n v="9.2588147734864096E-2"/>
    <n v="0.32511687867835437"/>
    <n v="2.3747406698420157E-2"/>
    <n v="0.4461985578408646"/>
    <n v="0.67891464284095016"/>
  </r>
  <r>
    <n v="26"/>
    <n v="26"/>
    <s v="No"/>
    <n v="0"/>
    <s v="Travel_Rarely"/>
    <n v="0"/>
    <n v="1"/>
    <x v="2"/>
    <n v="0"/>
    <n v="0"/>
    <n v="25"/>
    <n v="25"/>
    <n v="1"/>
    <s v="Life Sciences"/>
    <n v="1"/>
    <n v="0"/>
    <n v="0"/>
    <n v="0"/>
    <n v="0"/>
    <n v="3"/>
    <s v="Female"/>
    <n v="1"/>
    <n v="61"/>
    <n v="3"/>
    <n v="1"/>
    <s v="Human Resources"/>
    <n v="0"/>
    <n v="0"/>
    <n v="0"/>
    <n v="0"/>
    <n v="0"/>
    <n v="0"/>
    <n v="0"/>
    <n v="0"/>
    <n v="3"/>
    <s v="Married"/>
    <n v="0"/>
    <n v="1"/>
    <n v="2942"/>
    <n v="2942"/>
    <n v="1"/>
    <s v="No"/>
    <n v="0"/>
    <n v="23"/>
    <n v="4"/>
    <n v="4"/>
    <n v="1"/>
    <n v="8"/>
    <x v="0"/>
    <n v="3"/>
    <n v="3"/>
    <n v="8"/>
    <n v="8"/>
    <n v="7"/>
    <n v="5"/>
    <n v="5"/>
    <n v="7"/>
    <n v="7"/>
    <n v="7"/>
    <n v="0"/>
    <n v="1"/>
    <n v="0"/>
    <n v="0"/>
    <n v="0"/>
    <n v="0"/>
    <n v="1"/>
    <n v="0"/>
    <n v="7"/>
    <n v="0"/>
    <n v="0"/>
    <n v="8"/>
    <n v="0"/>
    <n v="0"/>
    <n v="0.75636448178561966"/>
    <n v="0.80626709607243985"/>
    <n v="0.42149901815843233"/>
    <n v="0.16189221622713135"/>
    <n v="1.9498886553045598"/>
    <n v="1.195770434213719"/>
    <n v="0.87270930768174382"/>
  </r>
  <r>
    <n v="36"/>
    <n v="36"/>
    <s v="No"/>
    <n v="0"/>
    <s v="Travel_Rarely"/>
    <n v="0"/>
    <n v="1"/>
    <x v="1"/>
    <n v="1"/>
    <n v="0"/>
    <n v="6"/>
    <n v="6"/>
    <n v="2"/>
    <s v="Medical"/>
    <n v="0"/>
    <n v="0"/>
    <n v="1"/>
    <n v="0"/>
    <n v="0"/>
    <n v="2"/>
    <s v="Male"/>
    <n v="0"/>
    <n v="84"/>
    <n v="3"/>
    <n v="2"/>
    <s v="Manufacturing Director"/>
    <n v="0"/>
    <n v="0"/>
    <n v="0"/>
    <n v="0"/>
    <n v="1"/>
    <n v="1"/>
    <n v="0"/>
    <n v="0"/>
    <n v="2"/>
    <s v="Divorced"/>
    <n v="0"/>
    <n v="0"/>
    <n v="4941"/>
    <n v="4941"/>
    <n v="6"/>
    <s v="No"/>
    <n v="0"/>
    <n v="20"/>
    <n v="4"/>
    <n v="4"/>
    <n v="2"/>
    <n v="7"/>
    <x v="2"/>
    <n v="0"/>
    <n v="3"/>
    <n v="3"/>
    <n v="3"/>
    <n v="2"/>
    <n v="0"/>
    <n v="0"/>
    <n v="1"/>
    <n v="1"/>
    <n v="2"/>
    <n v="1"/>
    <n v="0"/>
    <n v="0"/>
    <n v="0"/>
    <n v="1"/>
    <n v="0"/>
    <n v="0"/>
    <n v="0"/>
    <n v="0"/>
    <n v="1"/>
    <n v="0"/>
    <n v="0"/>
    <n v="7"/>
    <n v="0"/>
    <n v="0.33176415257771413"/>
    <n v="0.87528310193156111"/>
    <n v="0.55002080963175637"/>
    <n v="0.65423109602898355"/>
    <n v="0.39380416832397891"/>
    <n v="0.10112443951066327"/>
    <n v="0.67891464284095016"/>
  </r>
  <r>
    <n v="51"/>
    <n v="51"/>
    <s v="Yes"/>
    <n v="1"/>
    <s v="Travel_Frequently"/>
    <n v="1"/>
    <n v="0"/>
    <x v="1"/>
    <n v="1"/>
    <n v="0"/>
    <n v="8"/>
    <n v="8"/>
    <n v="4"/>
    <s v="Life Sciences"/>
    <n v="1"/>
    <n v="0"/>
    <n v="0"/>
    <n v="0"/>
    <n v="0"/>
    <n v="1"/>
    <s v="Male"/>
    <n v="0"/>
    <n v="53"/>
    <n v="1"/>
    <n v="3"/>
    <s v="Manufacturing Director"/>
    <n v="0"/>
    <n v="0"/>
    <n v="0"/>
    <n v="0"/>
    <n v="1"/>
    <n v="1"/>
    <n v="0"/>
    <n v="0"/>
    <n v="4"/>
    <s v="Single"/>
    <n v="1"/>
    <n v="0"/>
    <n v="10650"/>
    <n v="10650"/>
    <n v="2"/>
    <s v="No"/>
    <n v="0"/>
    <n v="15"/>
    <n v="3"/>
    <n v="4"/>
    <n v="0"/>
    <n v="18"/>
    <x v="30"/>
    <n v="2"/>
    <n v="3"/>
    <n v="4"/>
    <n v="4"/>
    <n v="2"/>
    <n v="0"/>
    <n v="0"/>
    <n v="3"/>
    <n v="3"/>
    <n v="9"/>
    <n v="0"/>
    <n v="0"/>
    <n v="1"/>
    <n v="0"/>
    <n v="1"/>
    <n v="0"/>
    <n v="0"/>
    <n v="0"/>
    <n v="0"/>
    <n v="3"/>
    <n v="0"/>
    <n v="0"/>
    <n v="18"/>
    <n v="0"/>
    <n v="0.88086380112310247"/>
    <n v="0.31476636926356072"/>
    <n v="0.86371889657480871"/>
    <n v="0.49100643357776058"/>
    <n v="0.14709966057360641"/>
    <n v="1.5408445525439205"/>
    <n v="0.67891464284095016"/>
  </r>
  <r>
    <n v="39"/>
    <n v="39"/>
    <s v="No"/>
    <n v="0"/>
    <s v="Travel_Rarely"/>
    <n v="0"/>
    <n v="1"/>
    <x v="0"/>
    <n v="0"/>
    <n v="1"/>
    <n v="4"/>
    <n v="4"/>
    <n v="4"/>
    <s v="Life Sciences"/>
    <n v="1"/>
    <n v="0"/>
    <n v="0"/>
    <n v="0"/>
    <n v="0"/>
    <n v="4"/>
    <s v="Female"/>
    <n v="1"/>
    <n v="47"/>
    <n v="2"/>
    <n v="2"/>
    <s v="Sales Executive"/>
    <n v="0"/>
    <n v="1"/>
    <n v="0"/>
    <n v="0"/>
    <n v="0"/>
    <n v="0"/>
    <n v="0"/>
    <n v="0"/>
    <n v="3"/>
    <s v="Married"/>
    <n v="0"/>
    <n v="1"/>
    <n v="5902"/>
    <n v="5902"/>
    <n v="4"/>
    <s v="No"/>
    <n v="0"/>
    <n v="14"/>
    <n v="3"/>
    <n v="3"/>
    <n v="1"/>
    <n v="17"/>
    <x v="6"/>
    <n v="1"/>
    <n v="4"/>
    <n v="15"/>
    <n v="15"/>
    <n v="11"/>
    <n v="5"/>
    <n v="5"/>
    <n v="9"/>
    <n v="9"/>
    <n v="18"/>
    <n v="0"/>
    <n v="1"/>
    <n v="0"/>
    <n v="0"/>
    <n v="0"/>
    <n v="0"/>
    <n v="1"/>
    <n v="0"/>
    <n v="0"/>
    <n v="0"/>
    <n v="9"/>
    <n v="0"/>
    <n v="0"/>
    <n v="17"/>
    <n v="0.12764163313359347"/>
    <n v="1.3667838287404401"/>
    <n v="0.73519710510148462"/>
    <n v="1.3044648533856922"/>
    <n v="0.64050867607435136"/>
    <n v="0.22726935890025346"/>
    <n v="0.87270930768174382"/>
  </r>
  <r>
    <n v="25"/>
    <n v="25"/>
    <s v="No"/>
    <n v="0"/>
    <s v="Travel_Rarely"/>
    <n v="0"/>
    <n v="1"/>
    <x v="0"/>
    <n v="0"/>
    <n v="1"/>
    <n v="28"/>
    <n v="28"/>
    <n v="3"/>
    <s v="Life Sciences"/>
    <n v="1"/>
    <n v="0"/>
    <n v="0"/>
    <n v="0"/>
    <n v="0"/>
    <n v="1"/>
    <s v="Male"/>
    <n v="0"/>
    <n v="41"/>
    <n v="2"/>
    <n v="2"/>
    <s v="Sales Executive"/>
    <n v="0"/>
    <n v="1"/>
    <n v="0"/>
    <n v="0"/>
    <n v="0"/>
    <n v="0"/>
    <n v="0"/>
    <n v="0"/>
    <n v="3"/>
    <s v="Married"/>
    <n v="0"/>
    <n v="1"/>
    <n v="8639"/>
    <n v="8639"/>
    <n v="2"/>
    <s v="No"/>
    <n v="0"/>
    <n v="18"/>
    <n v="3"/>
    <n v="4"/>
    <n v="0"/>
    <n v="6"/>
    <x v="3"/>
    <n v="3"/>
    <n v="3"/>
    <n v="2"/>
    <n v="2"/>
    <n v="2"/>
    <n v="2"/>
    <n v="2"/>
    <n v="2"/>
    <n v="2"/>
    <n v="4"/>
    <n v="0"/>
    <n v="1"/>
    <n v="0"/>
    <n v="0"/>
    <n v="0"/>
    <n v="0"/>
    <n v="1"/>
    <n v="0"/>
    <n v="0"/>
    <n v="0"/>
    <n v="2"/>
    <n v="0"/>
    <n v="0"/>
    <n v="6"/>
    <n v="0.45371459550174287"/>
    <n v="0.59502473559756086"/>
    <n v="0.67854260110508058"/>
    <n v="0.81745575848020657"/>
    <n v="2.3199454169301186"/>
    <n v="1.3052350336840246"/>
    <n v="5.8265062631872602E-2"/>
  </r>
  <r>
    <n v="30"/>
    <n v="30"/>
    <s v="No"/>
    <n v="0"/>
    <s v="Travel_Rarely"/>
    <n v="0"/>
    <n v="1"/>
    <x v="2"/>
    <n v="0"/>
    <n v="0"/>
    <n v="9"/>
    <n v="9"/>
    <n v="3"/>
    <s v="Human Resources"/>
    <n v="0"/>
    <n v="0"/>
    <n v="0"/>
    <n v="0"/>
    <n v="0"/>
    <n v="3"/>
    <s v="Male"/>
    <n v="0"/>
    <n v="48"/>
    <n v="3"/>
    <n v="2"/>
    <s v="Human Resources"/>
    <n v="0"/>
    <n v="0"/>
    <n v="0"/>
    <n v="0"/>
    <n v="0"/>
    <n v="0"/>
    <n v="0"/>
    <n v="0"/>
    <n v="4"/>
    <s v="Married"/>
    <n v="0"/>
    <n v="1"/>
    <n v="6347"/>
    <n v="6347"/>
    <n v="0"/>
    <s v="Yes"/>
    <n v="1"/>
    <n v="19"/>
    <n v="3"/>
    <n v="4"/>
    <n v="0"/>
    <n v="12"/>
    <x v="4"/>
    <n v="2"/>
    <n v="1"/>
    <n v="11"/>
    <n v="11"/>
    <n v="9"/>
    <n v="4"/>
    <n v="4"/>
    <n v="7"/>
    <n v="7"/>
    <n v="14"/>
    <n v="0"/>
    <n v="1"/>
    <n v="0"/>
    <n v="0"/>
    <n v="0"/>
    <n v="0"/>
    <n v="0"/>
    <n v="1"/>
    <n v="7"/>
    <n v="0"/>
    <n v="0"/>
    <n v="12"/>
    <n v="0"/>
    <n v="0"/>
    <n v="3.3120799468001699E-2"/>
    <n v="0.80626709607243985"/>
    <n v="9.2588147734864096E-2"/>
    <n v="0.65156620358080031"/>
    <n v="2.3747406698420157E-2"/>
    <n v="0.75791203633249671"/>
    <n v="0.56238451757720498"/>
  </r>
  <r>
    <n v="32"/>
    <n v="32"/>
    <s v="Yes"/>
    <n v="1"/>
    <s v="Travel_Rarely"/>
    <n v="0"/>
    <n v="1"/>
    <x v="1"/>
    <n v="1"/>
    <n v="0"/>
    <n v="9"/>
    <n v="9"/>
    <n v="3"/>
    <s v="Medical"/>
    <n v="0"/>
    <n v="0"/>
    <n v="1"/>
    <n v="0"/>
    <n v="0"/>
    <n v="1"/>
    <s v="Female"/>
    <n v="1"/>
    <n v="41"/>
    <n v="3"/>
    <n v="1"/>
    <s v="Laboratory Technician"/>
    <n v="0"/>
    <n v="0"/>
    <n v="1"/>
    <n v="0"/>
    <n v="0"/>
    <n v="0"/>
    <n v="0"/>
    <n v="0"/>
    <n v="1"/>
    <s v="Single"/>
    <n v="1"/>
    <n v="0"/>
    <n v="4200"/>
    <n v="4200"/>
    <n v="7"/>
    <s v="No"/>
    <n v="0"/>
    <n v="22"/>
    <n v="4"/>
    <n v="1"/>
    <n v="0"/>
    <n v="10"/>
    <x v="1"/>
    <n v="2"/>
    <n v="4"/>
    <n v="5"/>
    <n v="5"/>
    <n v="4"/>
    <n v="0"/>
    <n v="0"/>
    <n v="4"/>
    <n v="4"/>
    <n v="4"/>
    <n v="1"/>
    <n v="0"/>
    <n v="0"/>
    <n v="0"/>
    <n v="1"/>
    <n v="0"/>
    <n v="0"/>
    <n v="0"/>
    <n v="0"/>
    <n v="4"/>
    <n v="0"/>
    <n v="0"/>
    <n v="10"/>
    <n v="0"/>
    <n v="0.48915727110850848"/>
    <n v="3.4508002929560584E-2"/>
    <n v="0.1644554352117841"/>
    <n v="0.32778177112653761"/>
    <n v="2.3747406698420157E-2"/>
    <n v="0.53898283739188557"/>
    <n v="0.67891464284095016"/>
  </r>
  <r>
    <n v="45"/>
    <n v="45"/>
    <s v="No"/>
    <n v="0"/>
    <s v="Travel_Rarely"/>
    <n v="0"/>
    <n v="1"/>
    <x v="1"/>
    <n v="1"/>
    <n v="0"/>
    <n v="29"/>
    <n v="29"/>
    <n v="3"/>
    <s v="Medical"/>
    <n v="0"/>
    <n v="0"/>
    <n v="1"/>
    <n v="0"/>
    <n v="0"/>
    <n v="3"/>
    <s v="Male"/>
    <n v="0"/>
    <n v="83"/>
    <n v="3"/>
    <n v="1"/>
    <s v="Research Scientist"/>
    <n v="0"/>
    <n v="0"/>
    <n v="0"/>
    <n v="0"/>
    <n v="0"/>
    <n v="0"/>
    <n v="0"/>
    <n v="1"/>
    <n v="4"/>
    <s v="Single"/>
    <n v="1"/>
    <n v="0"/>
    <n v="3452"/>
    <n v="3452"/>
    <n v="5"/>
    <s v="No"/>
    <n v="0"/>
    <n v="13"/>
    <n v="3"/>
    <n v="2"/>
    <n v="0"/>
    <n v="9"/>
    <x v="14"/>
    <n v="2"/>
    <n v="2"/>
    <n v="6"/>
    <n v="6"/>
    <n v="5"/>
    <n v="0"/>
    <n v="0"/>
    <n v="3"/>
    <n v="3"/>
    <n v="3"/>
    <n v="1"/>
    <n v="0"/>
    <n v="0"/>
    <n v="0"/>
    <n v="1"/>
    <n v="0"/>
    <n v="0"/>
    <n v="0"/>
    <n v="0"/>
    <n v="3"/>
    <n v="0"/>
    <n v="0"/>
    <n v="9"/>
    <n v="0"/>
    <n v="0.64803723421381776"/>
    <n v="0.31476636926356072"/>
    <n v="0.29297722668510823"/>
    <n v="0.16455710867531462"/>
    <n v="2.4432976708053049"/>
    <n v="0.88405695572208698"/>
    <n v="0.67891464284095016"/>
  </r>
  <r>
    <n v="38"/>
    <n v="38"/>
    <s v="No"/>
    <n v="0"/>
    <s v="Travel_Rarely"/>
    <n v="0"/>
    <n v="1"/>
    <x v="1"/>
    <n v="1"/>
    <n v="0"/>
    <n v="3"/>
    <n v="3"/>
    <n v="5"/>
    <s v="Technical Degree"/>
    <n v="0"/>
    <n v="0"/>
    <n v="0"/>
    <n v="0"/>
    <n v="1"/>
    <n v="4"/>
    <s v="Female"/>
    <n v="1"/>
    <n v="32"/>
    <n v="3"/>
    <n v="2"/>
    <s v="Research Scientist"/>
    <n v="0"/>
    <n v="0"/>
    <n v="0"/>
    <n v="0"/>
    <n v="0"/>
    <n v="0"/>
    <n v="0"/>
    <n v="1"/>
    <n v="3"/>
    <s v="Single"/>
    <n v="1"/>
    <n v="0"/>
    <n v="4317"/>
    <n v="4317"/>
    <n v="3"/>
    <s v="Yes"/>
    <n v="1"/>
    <n v="20"/>
    <n v="4"/>
    <n v="2"/>
    <n v="0"/>
    <n v="19"/>
    <x v="15"/>
    <n v="2"/>
    <n v="3"/>
    <n v="3"/>
    <n v="3"/>
    <n v="2"/>
    <n v="2"/>
    <n v="2"/>
    <n v="2"/>
    <n v="2"/>
    <n v="4"/>
    <n v="1"/>
    <n v="0"/>
    <n v="0"/>
    <n v="0"/>
    <n v="0"/>
    <n v="1"/>
    <n v="0"/>
    <n v="0"/>
    <n v="0"/>
    <n v="2"/>
    <n v="0"/>
    <n v="0"/>
    <n v="19"/>
    <n v="0"/>
    <n v="0.46430572607733045"/>
    <n v="0.59502473559756086"/>
    <n v="0.99224068804813281"/>
    <n v="0.65423109602898355"/>
    <n v="0.76386092994953758"/>
    <n v="0.11780475942994788"/>
    <n v="5.8265062631872602E-2"/>
  </r>
  <r>
    <n v="30"/>
    <n v="30"/>
    <s v="No"/>
    <n v="0"/>
    <s v="Travel_Rarely"/>
    <n v="0"/>
    <n v="1"/>
    <x v="1"/>
    <n v="1"/>
    <n v="0"/>
    <n v="18"/>
    <n v="18"/>
    <n v="3"/>
    <s v="Life Sciences"/>
    <n v="1"/>
    <n v="0"/>
    <n v="0"/>
    <n v="0"/>
    <n v="0"/>
    <n v="1"/>
    <s v="Female"/>
    <n v="1"/>
    <n v="75"/>
    <n v="3"/>
    <n v="1"/>
    <s v="Research Scientist"/>
    <n v="0"/>
    <n v="0"/>
    <n v="0"/>
    <n v="0"/>
    <n v="0"/>
    <n v="0"/>
    <n v="0"/>
    <n v="1"/>
    <n v="3"/>
    <s v="Single"/>
    <n v="1"/>
    <n v="0"/>
    <n v="2632"/>
    <n v="2632"/>
    <n v="1"/>
    <s v="No"/>
    <n v="0"/>
    <n v="14"/>
    <n v="3"/>
    <n v="3"/>
    <n v="0"/>
    <n v="5"/>
    <x v="7"/>
    <n v="4"/>
    <n v="2"/>
    <n v="5"/>
    <n v="5"/>
    <n v="4"/>
    <n v="0"/>
    <n v="0"/>
    <n v="4"/>
    <n v="4"/>
    <n v="4"/>
    <n v="1"/>
    <n v="0"/>
    <n v="0"/>
    <n v="0"/>
    <n v="1"/>
    <n v="0"/>
    <n v="0"/>
    <n v="0"/>
    <n v="0"/>
    <n v="4"/>
    <n v="0"/>
    <n v="0"/>
    <n v="5"/>
    <n v="0"/>
    <n v="0.82221045579985208"/>
    <n v="3.4508002929560584E-2"/>
    <n v="0.80706439257840468"/>
    <n v="0.32778177112653761"/>
    <n v="1.0864228781782561"/>
    <n v="0.75791203633249671"/>
    <n v="0.67891464284095016"/>
  </r>
  <r>
    <n v="32"/>
    <n v="32"/>
    <s v="No"/>
    <n v="0"/>
    <s v="Travel_Frequently"/>
    <n v="1"/>
    <n v="0"/>
    <x v="0"/>
    <n v="0"/>
    <n v="1"/>
    <n v="9"/>
    <n v="9"/>
    <n v="2"/>
    <s v="Medical"/>
    <n v="0"/>
    <n v="0"/>
    <n v="1"/>
    <n v="0"/>
    <n v="0"/>
    <n v="4"/>
    <s v="Male"/>
    <n v="0"/>
    <n v="35"/>
    <n v="1"/>
    <n v="2"/>
    <s v="Sales Executive"/>
    <n v="0"/>
    <n v="1"/>
    <n v="0"/>
    <n v="0"/>
    <n v="0"/>
    <n v="0"/>
    <n v="0"/>
    <n v="0"/>
    <n v="4"/>
    <s v="Divorced"/>
    <n v="0"/>
    <n v="0"/>
    <n v="4668"/>
    <n v="4668"/>
    <n v="0"/>
    <s v="No"/>
    <n v="0"/>
    <n v="17"/>
    <n v="3"/>
    <n v="4"/>
    <n v="3"/>
    <n v="9"/>
    <x v="14"/>
    <n v="2"/>
    <n v="4"/>
    <n v="8"/>
    <n v="8"/>
    <n v="7"/>
    <n v="0"/>
    <n v="0"/>
    <n v="7"/>
    <n v="7"/>
    <n v="14"/>
    <n v="0"/>
    <n v="0"/>
    <n v="1"/>
    <n v="0"/>
    <n v="1"/>
    <n v="0"/>
    <n v="0"/>
    <n v="0"/>
    <n v="0"/>
    <n v="0"/>
    <n v="7"/>
    <n v="0"/>
    <n v="0"/>
    <n v="9"/>
    <n v="0.38975109098379623"/>
    <n v="0.80626709607243985"/>
    <n v="0.29297722668510823"/>
    <n v="0.16189221622713135"/>
    <n v="2.3747406698420157E-2"/>
    <n v="0.53898283739188557"/>
    <n v="0.67891464284095016"/>
  </r>
  <r>
    <n v="30"/>
    <n v="30"/>
    <s v="No"/>
    <n v="0"/>
    <s v="Travel_Rarely"/>
    <n v="0"/>
    <n v="1"/>
    <x v="1"/>
    <n v="1"/>
    <n v="0"/>
    <n v="5"/>
    <n v="5"/>
    <n v="3"/>
    <s v="Technical Degree"/>
    <n v="0"/>
    <n v="0"/>
    <n v="0"/>
    <n v="0"/>
    <n v="1"/>
    <n v="4"/>
    <s v="Female"/>
    <n v="1"/>
    <n v="84"/>
    <n v="3"/>
    <n v="1"/>
    <s v="Research Scientist"/>
    <n v="0"/>
    <n v="0"/>
    <n v="0"/>
    <n v="0"/>
    <n v="0"/>
    <n v="0"/>
    <n v="0"/>
    <n v="1"/>
    <n v="1"/>
    <s v="Divorced"/>
    <n v="0"/>
    <n v="0"/>
    <n v="3204"/>
    <n v="3204"/>
    <n v="5"/>
    <s v="No"/>
    <n v="0"/>
    <n v="14"/>
    <n v="3"/>
    <n v="4"/>
    <n v="1"/>
    <n v="8"/>
    <x v="0"/>
    <n v="3"/>
    <n v="3"/>
    <n v="3"/>
    <n v="3"/>
    <n v="2"/>
    <n v="2"/>
    <n v="2"/>
    <n v="2"/>
    <n v="2"/>
    <n v="2"/>
    <n v="1"/>
    <n v="0"/>
    <n v="0"/>
    <n v="0"/>
    <n v="1"/>
    <n v="0"/>
    <n v="0"/>
    <n v="0"/>
    <n v="0"/>
    <n v="2"/>
    <n v="0"/>
    <n v="0"/>
    <n v="8"/>
    <n v="0"/>
    <n v="0.70071401342520379"/>
    <n v="0.59502473559756086"/>
    <n v="0.42149901815843233"/>
    <n v="0.65423109602898355"/>
    <n v="0.51715642219916513"/>
    <n v="0.75791203633249671"/>
    <n v="5.8265062631872602E-2"/>
  </r>
  <r>
    <n v="30"/>
    <n v="30"/>
    <s v="No"/>
    <n v="0"/>
    <s v="Travel_Rarely"/>
    <n v="0"/>
    <n v="1"/>
    <x v="1"/>
    <n v="1"/>
    <n v="0"/>
    <n v="2"/>
    <n v="2"/>
    <n v="1"/>
    <s v="Medical"/>
    <n v="0"/>
    <n v="0"/>
    <n v="1"/>
    <n v="0"/>
    <n v="0"/>
    <n v="2"/>
    <s v="Male"/>
    <n v="0"/>
    <n v="35"/>
    <n v="2"/>
    <n v="1"/>
    <s v="Laboratory Technician"/>
    <n v="0"/>
    <n v="0"/>
    <n v="1"/>
    <n v="0"/>
    <n v="0"/>
    <n v="0"/>
    <n v="0"/>
    <n v="0"/>
    <n v="4"/>
    <s v="Single"/>
    <n v="1"/>
    <n v="0"/>
    <n v="2720"/>
    <n v="2720"/>
    <n v="0"/>
    <s v="No"/>
    <n v="0"/>
    <n v="13"/>
    <n v="3"/>
    <n v="4"/>
    <n v="0"/>
    <n v="6"/>
    <x v="3"/>
    <n v="3"/>
    <n v="3"/>
    <n v="5"/>
    <n v="5"/>
    <n v="3"/>
    <n v="1"/>
    <n v="1"/>
    <n v="2"/>
    <n v="2"/>
    <n v="2"/>
    <n v="1"/>
    <n v="0"/>
    <n v="0"/>
    <n v="0"/>
    <n v="1"/>
    <n v="0"/>
    <n v="0"/>
    <n v="0"/>
    <n v="0"/>
    <n v="2"/>
    <n v="0"/>
    <n v="0"/>
    <n v="6"/>
    <n v="0"/>
    <n v="0.80351869543452159"/>
    <n v="0.59502473559756086"/>
    <n v="0.67854260110508058"/>
    <n v="0.32778177112653761"/>
    <n v="0.88721318382472392"/>
    <n v="0.75791203633249671"/>
    <n v="0.36858985273641137"/>
  </r>
  <r>
    <n v="41"/>
    <n v="41"/>
    <s v="No"/>
    <n v="0"/>
    <s v="Travel_Frequently"/>
    <n v="1"/>
    <n v="0"/>
    <x v="1"/>
    <n v="1"/>
    <n v="0"/>
    <n v="10"/>
    <n v="10"/>
    <n v="3"/>
    <s v="Life Sciences"/>
    <n v="1"/>
    <n v="0"/>
    <n v="0"/>
    <n v="0"/>
    <n v="0"/>
    <n v="4"/>
    <s v="Male"/>
    <n v="0"/>
    <n v="91"/>
    <n v="2"/>
    <n v="4"/>
    <s v="Manager"/>
    <n v="0"/>
    <n v="0"/>
    <n v="0"/>
    <n v="1"/>
    <n v="0"/>
    <n v="0"/>
    <n v="0"/>
    <n v="0"/>
    <n v="1"/>
    <s v="Divorced"/>
    <n v="0"/>
    <n v="0"/>
    <n v="17181"/>
    <n v="17181"/>
    <n v="4"/>
    <s v="No"/>
    <n v="0"/>
    <n v="13"/>
    <n v="3"/>
    <n v="2"/>
    <n v="1"/>
    <n v="21"/>
    <x v="23"/>
    <n v="2"/>
    <n v="2"/>
    <n v="7"/>
    <n v="7"/>
    <n v="6"/>
    <n v="7"/>
    <n v="7"/>
    <n v="7"/>
    <n v="7"/>
    <n v="28"/>
    <n v="0"/>
    <n v="0"/>
    <n v="1"/>
    <n v="0"/>
    <n v="1"/>
    <n v="0"/>
    <n v="0"/>
    <n v="0"/>
    <n v="0"/>
    <n v="7"/>
    <n v="0"/>
    <n v="0"/>
    <n v="21"/>
    <n v="0"/>
    <n v="2.2680897891455292"/>
    <n v="0.80626709607243985"/>
    <n v="1.2492842709947811"/>
    <n v="1.3324462240916321E-3"/>
    <n v="9.9604847176766084E-2"/>
    <n v="0.4461985578408646"/>
    <n v="1.4933588878908215"/>
  </r>
  <r>
    <n v="41"/>
    <n v="41"/>
    <s v="No"/>
    <n v="0"/>
    <s v="Travel_Rarely"/>
    <n v="0"/>
    <n v="1"/>
    <x v="1"/>
    <n v="1"/>
    <n v="0"/>
    <n v="9"/>
    <n v="9"/>
    <n v="4"/>
    <s v="Life Sciences"/>
    <n v="1"/>
    <n v="0"/>
    <n v="0"/>
    <n v="0"/>
    <n v="0"/>
    <n v="3"/>
    <s v="Male"/>
    <n v="0"/>
    <n v="94"/>
    <n v="3"/>
    <n v="1"/>
    <s v="Laboratory Technician"/>
    <n v="0"/>
    <n v="0"/>
    <n v="1"/>
    <n v="0"/>
    <n v="0"/>
    <n v="0"/>
    <n v="0"/>
    <n v="0"/>
    <n v="1"/>
    <s v="Married"/>
    <n v="0"/>
    <n v="1"/>
    <n v="2238"/>
    <n v="2238"/>
    <n v="2"/>
    <s v="No"/>
    <n v="0"/>
    <n v="21"/>
    <n v="4"/>
    <n v="4"/>
    <n v="1"/>
    <n v="7"/>
    <x v="2"/>
    <n v="2"/>
    <n v="3"/>
    <n v="5"/>
    <n v="5"/>
    <n v="0"/>
    <n v="1"/>
    <n v="1"/>
    <n v="4"/>
    <n v="4"/>
    <n v="4"/>
    <n v="0"/>
    <n v="1"/>
    <n v="0"/>
    <n v="0"/>
    <n v="0"/>
    <n v="0"/>
    <n v="1"/>
    <n v="0"/>
    <n v="0"/>
    <n v="4"/>
    <n v="0"/>
    <n v="0"/>
    <n v="7"/>
    <n v="0"/>
    <n v="0.90589856470826369"/>
    <n v="3.4508002929560584E-2"/>
    <n v="0.55002080963175637"/>
    <n v="0.32778177112653761"/>
    <n v="2.3747406698420157E-2"/>
    <n v="0.4461985578408646"/>
    <n v="0.36858985273641137"/>
  </r>
  <r>
    <n v="19"/>
    <n v="19"/>
    <s v="No"/>
    <n v="0"/>
    <s v="Travel_Rarely"/>
    <n v="0"/>
    <n v="1"/>
    <x v="1"/>
    <n v="1"/>
    <n v="0"/>
    <n v="3"/>
    <n v="3"/>
    <n v="1"/>
    <s v="Medical"/>
    <n v="0"/>
    <n v="0"/>
    <n v="1"/>
    <n v="0"/>
    <n v="0"/>
    <n v="2"/>
    <s v="Female"/>
    <n v="1"/>
    <n v="79"/>
    <n v="3"/>
    <n v="1"/>
    <s v="Laboratory Technician"/>
    <n v="0"/>
    <n v="0"/>
    <n v="1"/>
    <n v="0"/>
    <n v="0"/>
    <n v="0"/>
    <n v="0"/>
    <n v="0"/>
    <n v="2"/>
    <s v="Single"/>
    <n v="1"/>
    <n v="0"/>
    <n v="1483"/>
    <n v="1483"/>
    <n v="1"/>
    <s v="No"/>
    <n v="0"/>
    <n v="14"/>
    <n v="3"/>
    <n v="4"/>
    <n v="0"/>
    <n v="1"/>
    <x v="5"/>
    <n v="3"/>
    <n v="3"/>
    <n v="1"/>
    <n v="1"/>
    <n v="0"/>
    <n v="0"/>
    <n v="0"/>
    <n v="0"/>
    <n v="0"/>
    <n v="0"/>
    <n v="1"/>
    <n v="0"/>
    <n v="0"/>
    <n v="0"/>
    <n v="1"/>
    <n v="0"/>
    <n v="0"/>
    <n v="0"/>
    <n v="0"/>
    <n v="0"/>
    <n v="0"/>
    <n v="0"/>
    <n v="1"/>
    <n v="0"/>
    <n v="1.0662653723880879"/>
    <n v="1.1555414682655611"/>
    <n v="1.3211515584717011"/>
    <n v="0.9806804209314296"/>
    <n v="0.76386092994953758"/>
    <n v="1.9620226305058581"/>
    <n v="0.67891464284095016"/>
  </r>
  <r>
    <n v="40"/>
    <n v="40"/>
    <s v="No"/>
    <n v="0"/>
    <s v="Travel_Frequently"/>
    <n v="1"/>
    <n v="0"/>
    <x v="1"/>
    <n v="1"/>
    <n v="0"/>
    <n v="26"/>
    <n v="26"/>
    <n v="3"/>
    <s v="Medical"/>
    <n v="0"/>
    <n v="0"/>
    <n v="1"/>
    <n v="0"/>
    <n v="0"/>
    <n v="2"/>
    <s v="Female"/>
    <n v="1"/>
    <n v="54"/>
    <n v="3"/>
    <n v="2"/>
    <s v="Research Scientist"/>
    <n v="0"/>
    <n v="0"/>
    <n v="0"/>
    <n v="0"/>
    <n v="0"/>
    <n v="0"/>
    <n v="0"/>
    <n v="1"/>
    <n v="2"/>
    <s v="Divorced"/>
    <n v="0"/>
    <n v="0"/>
    <n v="5605"/>
    <n v="5605"/>
    <n v="1"/>
    <s v="No"/>
    <n v="0"/>
    <n v="11"/>
    <n v="3"/>
    <n v="1"/>
    <n v="1"/>
    <n v="20"/>
    <x v="25"/>
    <n v="2"/>
    <n v="3"/>
    <n v="20"/>
    <n v="20"/>
    <n v="7"/>
    <n v="2"/>
    <n v="2"/>
    <n v="13"/>
    <n v="13"/>
    <n v="26"/>
    <n v="0"/>
    <n v="0"/>
    <n v="1"/>
    <n v="0"/>
    <n v="1"/>
    <n v="0"/>
    <n v="0"/>
    <n v="0"/>
    <n v="0"/>
    <n v="13"/>
    <n v="0"/>
    <n v="0"/>
    <n v="20"/>
    <n v="0"/>
    <n v="0.19072632436658393"/>
    <n v="2.4878172940764407"/>
    <n v="1.120762479521457"/>
    <n v="2.1205881656418071"/>
    <n v="2.0732409091797459"/>
    <n v="0.33673395837055903"/>
    <n v="5.8265062631872602E-2"/>
  </r>
  <r>
    <n v="35"/>
    <n v="35"/>
    <s v="No"/>
    <n v="0"/>
    <s v="Travel_Rarely"/>
    <n v="0"/>
    <n v="1"/>
    <x v="0"/>
    <n v="0"/>
    <n v="1"/>
    <n v="1"/>
    <n v="1"/>
    <n v="5"/>
    <s v="Marketing"/>
    <n v="0"/>
    <n v="0"/>
    <n v="0"/>
    <n v="1"/>
    <n v="0"/>
    <n v="3"/>
    <s v="Male"/>
    <n v="0"/>
    <n v="94"/>
    <n v="3"/>
    <n v="3"/>
    <s v="Sales Executive"/>
    <n v="0"/>
    <n v="1"/>
    <n v="0"/>
    <n v="0"/>
    <n v="0"/>
    <n v="0"/>
    <n v="0"/>
    <n v="0"/>
    <n v="2"/>
    <s v="Married"/>
    <n v="0"/>
    <n v="1"/>
    <n v="7295"/>
    <n v="7295"/>
    <n v="1"/>
    <s v="No"/>
    <n v="0"/>
    <n v="13"/>
    <n v="3"/>
    <n v="1"/>
    <n v="2"/>
    <n v="10"/>
    <x v="1"/>
    <n v="3"/>
    <n v="3"/>
    <n v="10"/>
    <n v="10"/>
    <n v="8"/>
    <n v="0"/>
    <n v="0"/>
    <n v="6"/>
    <n v="6"/>
    <n v="18"/>
    <n v="0"/>
    <n v="1"/>
    <n v="0"/>
    <n v="0"/>
    <n v="0"/>
    <n v="0"/>
    <n v="1"/>
    <n v="0"/>
    <n v="0"/>
    <n v="0"/>
    <n v="6"/>
    <n v="0"/>
    <n v="0"/>
    <n v="10"/>
    <n v="0.16824043719487694"/>
    <n v="0.52600872973843971"/>
    <n v="0.1644554352117841"/>
    <n v="0.48834154112957734"/>
    <n v="1.01056543769991"/>
    <n v="0.21058903898096887"/>
    <n v="0.67891464284095016"/>
  </r>
  <r>
    <n v="53"/>
    <n v="53"/>
    <s v="No"/>
    <n v="0"/>
    <s v="Travel_Rarely"/>
    <n v="0"/>
    <n v="1"/>
    <x v="0"/>
    <n v="0"/>
    <n v="1"/>
    <n v="6"/>
    <n v="6"/>
    <n v="2"/>
    <s v="Marketing"/>
    <n v="0"/>
    <n v="0"/>
    <n v="0"/>
    <n v="1"/>
    <n v="0"/>
    <n v="2"/>
    <s v="Male"/>
    <n v="0"/>
    <n v="34"/>
    <n v="3"/>
    <n v="2"/>
    <s v="Sales Representative"/>
    <n v="0"/>
    <n v="0"/>
    <n v="0"/>
    <n v="0"/>
    <n v="0"/>
    <n v="0"/>
    <n v="1"/>
    <n v="0"/>
    <n v="3"/>
    <s v="Married"/>
    <n v="0"/>
    <n v="1"/>
    <n v="2306"/>
    <n v="2306"/>
    <n v="2"/>
    <s v="Yes"/>
    <n v="1"/>
    <n v="20"/>
    <n v="4"/>
    <n v="4"/>
    <n v="1"/>
    <n v="13"/>
    <x v="10"/>
    <n v="3"/>
    <n v="1"/>
    <n v="7"/>
    <n v="7"/>
    <n v="7"/>
    <n v="4"/>
    <n v="4"/>
    <n v="5"/>
    <n v="5"/>
    <n v="10"/>
    <n v="0"/>
    <n v="1"/>
    <n v="0"/>
    <n v="0"/>
    <n v="0"/>
    <n v="0"/>
    <n v="0"/>
    <n v="1"/>
    <n v="0"/>
    <n v="0"/>
    <n v="5"/>
    <n v="0"/>
    <n v="0"/>
    <n v="13"/>
    <n v="0.89145493169869006"/>
    <n v="0.24575036340443959"/>
    <n v="0.22110993920818819"/>
    <n v="1.3324462240916321E-3"/>
    <n v="0.39380416832397891"/>
    <n v="1.7597737514845315"/>
    <n v="0.56238451757720498"/>
  </r>
  <r>
    <n v="45"/>
    <n v="45"/>
    <s v="No"/>
    <n v="0"/>
    <s v="Travel_Rarely"/>
    <n v="0"/>
    <n v="1"/>
    <x v="1"/>
    <n v="1"/>
    <n v="0"/>
    <n v="9"/>
    <n v="9"/>
    <n v="3"/>
    <s v="Life Sciences"/>
    <n v="1"/>
    <n v="0"/>
    <n v="0"/>
    <n v="0"/>
    <n v="0"/>
    <n v="2"/>
    <s v="Male"/>
    <n v="0"/>
    <n v="60"/>
    <n v="3"/>
    <n v="2"/>
    <s v="Laboratory Technician"/>
    <n v="0"/>
    <n v="0"/>
    <n v="1"/>
    <n v="0"/>
    <n v="0"/>
    <n v="0"/>
    <n v="0"/>
    <n v="0"/>
    <n v="2"/>
    <s v="Divorced"/>
    <n v="0"/>
    <n v="0"/>
    <n v="2348"/>
    <n v="2348"/>
    <n v="8"/>
    <s v="No"/>
    <n v="0"/>
    <n v="18"/>
    <n v="3"/>
    <n v="3"/>
    <n v="1"/>
    <n v="20"/>
    <x v="25"/>
    <n v="2"/>
    <n v="1"/>
    <n v="17"/>
    <n v="17"/>
    <n v="9"/>
    <n v="0"/>
    <n v="0"/>
    <n v="15"/>
    <n v="14"/>
    <n v="28"/>
    <n v="1"/>
    <n v="0"/>
    <n v="0"/>
    <n v="0"/>
    <n v="1"/>
    <n v="0"/>
    <n v="0"/>
    <n v="0"/>
    <n v="0"/>
    <n v="14"/>
    <n v="0"/>
    <n v="0"/>
    <n v="20"/>
    <n v="0"/>
    <n v="0.88253386425160052"/>
    <n v="3.048334026744441"/>
    <n v="1.120762479521457"/>
    <n v="1.630914178288138"/>
    <n v="2.3747406698420157E-2"/>
    <n v="0.88405695572208698"/>
    <n v="0.67891464284095016"/>
  </r>
  <r>
    <n v="32"/>
    <n v="32"/>
    <s v="No"/>
    <n v="0"/>
    <s v="Travel_Frequently"/>
    <n v="1"/>
    <n v="0"/>
    <x v="0"/>
    <n v="0"/>
    <n v="1"/>
    <n v="8"/>
    <n v="8"/>
    <n v="3"/>
    <s v="Marketing"/>
    <n v="0"/>
    <n v="0"/>
    <n v="0"/>
    <n v="1"/>
    <n v="0"/>
    <n v="2"/>
    <s v="Female"/>
    <n v="1"/>
    <n v="43"/>
    <n v="3"/>
    <n v="3"/>
    <s v="Sales Executive"/>
    <n v="0"/>
    <n v="1"/>
    <n v="0"/>
    <n v="0"/>
    <n v="0"/>
    <n v="0"/>
    <n v="0"/>
    <n v="0"/>
    <n v="4"/>
    <s v="Single"/>
    <n v="1"/>
    <n v="0"/>
    <n v="8998"/>
    <n v="8998"/>
    <n v="1"/>
    <s v="No"/>
    <n v="0"/>
    <n v="14"/>
    <n v="3"/>
    <n v="4"/>
    <n v="0"/>
    <n v="9"/>
    <x v="14"/>
    <n v="2"/>
    <n v="3"/>
    <n v="9"/>
    <n v="9"/>
    <n v="8"/>
    <n v="3"/>
    <n v="3"/>
    <n v="7"/>
    <n v="7"/>
    <n v="21"/>
    <n v="0"/>
    <n v="0"/>
    <n v="1"/>
    <n v="0"/>
    <n v="1"/>
    <n v="0"/>
    <n v="0"/>
    <n v="0"/>
    <n v="0"/>
    <n v="0"/>
    <n v="7"/>
    <n v="0"/>
    <n v="0"/>
    <n v="9"/>
    <n v="0.52996848153757981"/>
    <n v="0.80626709607243985"/>
    <n v="0.29297722668510823"/>
    <n v="0.32511687867835437"/>
    <n v="0.14709966057360641"/>
    <n v="0.53898283739188557"/>
    <n v="0.2520597274726662"/>
  </r>
  <r>
    <n v="29"/>
    <n v="29"/>
    <s v="No"/>
    <n v="0"/>
    <s v="Non-Travel"/>
    <n v="0"/>
    <n v="0"/>
    <x v="1"/>
    <n v="1"/>
    <n v="0"/>
    <n v="1"/>
    <n v="1"/>
    <n v="1"/>
    <s v="Technical Degree"/>
    <n v="0"/>
    <n v="0"/>
    <n v="0"/>
    <n v="0"/>
    <n v="1"/>
    <n v="4"/>
    <s v="Male"/>
    <n v="0"/>
    <n v="41"/>
    <n v="3"/>
    <n v="2"/>
    <s v="Manufacturing Director"/>
    <n v="0"/>
    <n v="0"/>
    <n v="0"/>
    <n v="0"/>
    <n v="1"/>
    <n v="1"/>
    <n v="0"/>
    <n v="0"/>
    <n v="3"/>
    <s v="Married"/>
    <n v="0"/>
    <n v="1"/>
    <n v="4319"/>
    <n v="4319"/>
    <n v="1"/>
    <s v="No"/>
    <n v="0"/>
    <n v="13"/>
    <n v="3"/>
    <n v="1"/>
    <n v="1"/>
    <n v="10"/>
    <x v="1"/>
    <n v="1"/>
    <n v="3"/>
    <n v="10"/>
    <n v="10"/>
    <n v="7"/>
    <n v="0"/>
    <n v="0"/>
    <n v="9"/>
    <n v="9"/>
    <n v="18"/>
    <n v="0"/>
    <n v="1"/>
    <n v="0"/>
    <n v="0"/>
    <n v="0"/>
    <n v="0"/>
    <n v="1"/>
    <n v="0"/>
    <n v="0"/>
    <n v="9"/>
    <n v="0"/>
    <n v="0"/>
    <n v="10"/>
    <n v="0"/>
    <n v="0.46388091334175474"/>
    <n v="1.3667838287404401"/>
    <n v="0.1644554352117841"/>
    <n v="0.48834154112957734"/>
    <n v="1.01056543769991"/>
    <n v="0.86737663580280233"/>
    <n v="0.67891464284095016"/>
  </r>
  <r>
    <n v="51"/>
    <n v="51"/>
    <s v="No"/>
    <n v="0"/>
    <s v="Travel_Rarely"/>
    <n v="0"/>
    <n v="1"/>
    <x v="1"/>
    <n v="1"/>
    <n v="0"/>
    <n v="7"/>
    <n v="7"/>
    <n v="4"/>
    <s v="Medical"/>
    <n v="0"/>
    <n v="0"/>
    <n v="1"/>
    <n v="0"/>
    <n v="0"/>
    <n v="2"/>
    <s v="Male"/>
    <n v="0"/>
    <n v="34"/>
    <n v="2"/>
    <n v="2"/>
    <s v="Manufacturing Director"/>
    <n v="0"/>
    <n v="0"/>
    <n v="0"/>
    <n v="0"/>
    <n v="1"/>
    <n v="1"/>
    <n v="0"/>
    <n v="0"/>
    <n v="3"/>
    <s v="Married"/>
    <n v="0"/>
    <n v="1"/>
    <n v="6132"/>
    <n v="6132"/>
    <n v="2"/>
    <s v="No"/>
    <n v="0"/>
    <n v="17"/>
    <n v="3"/>
    <n v="3"/>
    <n v="0"/>
    <n v="10"/>
    <x v="1"/>
    <n v="2"/>
    <n v="3"/>
    <n v="1"/>
    <n v="1"/>
    <n v="0"/>
    <n v="0"/>
    <n v="0"/>
    <n v="0"/>
    <n v="0"/>
    <n v="0"/>
    <n v="0"/>
    <n v="1"/>
    <n v="0"/>
    <n v="0"/>
    <n v="0"/>
    <n v="0"/>
    <n v="1"/>
    <n v="0"/>
    <n v="0"/>
    <n v="0"/>
    <n v="0"/>
    <n v="0"/>
    <n v="10"/>
    <n v="0"/>
    <n v="7.8788168542388737E-2"/>
    <n v="1.1555414682655611"/>
    <n v="0.1644554352117841"/>
    <n v="0.9806804209314296"/>
    <n v="0.27045191444879263"/>
    <n v="1.5408445525439205"/>
    <n v="0.67891464284095016"/>
  </r>
  <r>
    <n v="58"/>
    <n v="58"/>
    <s v="No"/>
    <n v="0"/>
    <s v="Travel_Rarely"/>
    <n v="0"/>
    <n v="1"/>
    <x v="1"/>
    <n v="1"/>
    <n v="0"/>
    <n v="9"/>
    <n v="9"/>
    <n v="3"/>
    <s v="Medical"/>
    <n v="0"/>
    <n v="0"/>
    <n v="1"/>
    <n v="0"/>
    <n v="0"/>
    <n v="2"/>
    <s v="Female"/>
    <n v="1"/>
    <n v="75"/>
    <n v="2"/>
    <n v="1"/>
    <s v="Research Scientist"/>
    <n v="0"/>
    <n v="0"/>
    <n v="0"/>
    <n v="0"/>
    <n v="0"/>
    <n v="0"/>
    <n v="0"/>
    <n v="1"/>
    <n v="2"/>
    <s v="Married"/>
    <n v="0"/>
    <n v="1"/>
    <n v="3346"/>
    <n v="3346"/>
    <n v="4"/>
    <s v="Yes"/>
    <n v="1"/>
    <n v="20"/>
    <n v="4"/>
    <n v="2"/>
    <n v="1"/>
    <n v="9"/>
    <x v="14"/>
    <n v="3"/>
    <n v="2"/>
    <n v="1"/>
    <n v="1"/>
    <n v="0"/>
    <n v="0"/>
    <n v="0"/>
    <n v="0"/>
    <n v="0"/>
    <n v="0"/>
    <n v="0"/>
    <n v="1"/>
    <n v="0"/>
    <n v="0"/>
    <n v="0"/>
    <n v="0"/>
    <n v="0"/>
    <n v="1"/>
    <n v="0"/>
    <n v="0"/>
    <n v="0"/>
    <n v="0"/>
    <n v="9"/>
    <n v="0"/>
    <n v="0.67055230919932951"/>
    <n v="1.1555414682655611"/>
    <n v="0.29297722668510823"/>
    <n v="0.9806804209314296"/>
    <n v="2.3747406698420157E-2"/>
    <n v="2.3070967488360594"/>
    <n v="0.67891464284095016"/>
  </r>
  <r>
    <n v="40"/>
    <n v="40"/>
    <s v="No"/>
    <n v="0"/>
    <s v="Travel_Rarely"/>
    <n v="0"/>
    <n v="1"/>
    <x v="0"/>
    <n v="0"/>
    <n v="1"/>
    <n v="4"/>
    <n v="4"/>
    <n v="4"/>
    <s v="Marketing"/>
    <n v="0"/>
    <n v="0"/>
    <n v="0"/>
    <n v="1"/>
    <n v="0"/>
    <n v="3"/>
    <s v="Male"/>
    <n v="0"/>
    <n v="67"/>
    <n v="2"/>
    <n v="3"/>
    <s v="Sales Executive"/>
    <n v="0"/>
    <n v="1"/>
    <n v="0"/>
    <n v="0"/>
    <n v="0"/>
    <n v="0"/>
    <n v="0"/>
    <n v="0"/>
    <n v="4"/>
    <s v="Married"/>
    <n v="0"/>
    <n v="1"/>
    <n v="10855"/>
    <n v="10855"/>
    <n v="7"/>
    <s v="No"/>
    <n v="0"/>
    <n v="11"/>
    <n v="3"/>
    <n v="1"/>
    <n v="1"/>
    <n v="15"/>
    <x v="19"/>
    <n v="2"/>
    <n v="2"/>
    <n v="12"/>
    <n v="12"/>
    <n v="11"/>
    <n v="2"/>
    <n v="2"/>
    <n v="11"/>
    <n v="11"/>
    <n v="33"/>
    <n v="0"/>
    <n v="1"/>
    <n v="0"/>
    <n v="0"/>
    <n v="0"/>
    <n v="0"/>
    <n v="1"/>
    <n v="0"/>
    <n v="0"/>
    <n v="0"/>
    <n v="11"/>
    <n v="0"/>
    <n v="0"/>
    <n v="15"/>
    <n v="0.92440710651961111"/>
    <n v="1.9273005614084406"/>
    <n v="0.47815352215483642"/>
    <n v="0.81479086603202333"/>
    <n v="0.64050867607435136"/>
    <n v="0.33673395837055903"/>
    <n v="5.8265062631872602E-2"/>
  </r>
  <r>
    <n v="34"/>
    <n v="34"/>
    <s v="No"/>
    <n v="0"/>
    <s v="Travel_Frequently"/>
    <n v="1"/>
    <n v="0"/>
    <x v="0"/>
    <n v="0"/>
    <n v="1"/>
    <n v="2"/>
    <n v="2"/>
    <n v="4"/>
    <s v="Marketing"/>
    <n v="0"/>
    <n v="0"/>
    <n v="0"/>
    <n v="1"/>
    <n v="0"/>
    <n v="3"/>
    <s v="Female"/>
    <n v="1"/>
    <n v="75"/>
    <n v="3"/>
    <n v="1"/>
    <s v="Sales Representative"/>
    <n v="0"/>
    <n v="0"/>
    <n v="0"/>
    <n v="0"/>
    <n v="0"/>
    <n v="0"/>
    <n v="1"/>
    <n v="0"/>
    <n v="3"/>
    <s v="Married"/>
    <n v="0"/>
    <n v="1"/>
    <n v="2231"/>
    <n v="2231"/>
    <n v="6"/>
    <s v="No"/>
    <n v="0"/>
    <n v="18"/>
    <n v="3"/>
    <n v="4"/>
    <n v="1"/>
    <n v="6"/>
    <x v="3"/>
    <n v="3"/>
    <n v="3"/>
    <n v="4"/>
    <n v="4"/>
    <n v="3"/>
    <n v="1"/>
    <n v="1"/>
    <n v="2"/>
    <n v="2"/>
    <n v="2"/>
    <n v="0"/>
    <n v="0"/>
    <n v="0"/>
    <n v="1"/>
    <n v="0"/>
    <n v="0"/>
    <n v="1"/>
    <n v="0"/>
    <n v="0"/>
    <n v="0"/>
    <n v="2"/>
    <n v="0"/>
    <n v="0"/>
    <n v="6"/>
    <n v="0.90738540928277855"/>
    <n v="0.59502473559756086"/>
    <n v="0.67854260110508058"/>
    <n v="0.49100643357776058"/>
    <n v="0.88721318382472392"/>
    <n v="0.32005363845127444"/>
    <n v="0.36858985273641137"/>
  </r>
  <r>
    <n v="22"/>
    <n v="22"/>
    <s v="No"/>
    <n v="0"/>
    <s v="Travel_Rarely"/>
    <n v="0"/>
    <n v="1"/>
    <x v="1"/>
    <n v="1"/>
    <n v="0"/>
    <n v="19"/>
    <n v="19"/>
    <n v="1"/>
    <s v="Medical"/>
    <n v="0"/>
    <n v="0"/>
    <n v="1"/>
    <n v="0"/>
    <n v="0"/>
    <n v="3"/>
    <s v="Male"/>
    <n v="0"/>
    <n v="80"/>
    <n v="3"/>
    <n v="1"/>
    <s v="Research Scientist"/>
    <n v="0"/>
    <n v="0"/>
    <n v="0"/>
    <n v="0"/>
    <n v="0"/>
    <n v="0"/>
    <n v="0"/>
    <n v="1"/>
    <n v="4"/>
    <s v="Married"/>
    <n v="0"/>
    <n v="1"/>
    <n v="2323"/>
    <n v="2323"/>
    <n v="1"/>
    <s v="No"/>
    <n v="0"/>
    <n v="24"/>
    <n v="4"/>
    <n v="1"/>
    <n v="2"/>
    <n v="2"/>
    <x v="16"/>
    <n v="6"/>
    <n v="3"/>
    <n v="2"/>
    <n v="2"/>
    <n v="2"/>
    <n v="2"/>
    <n v="2"/>
    <n v="2"/>
    <n v="2"/>
    <n v="2"/>
    <n v="0"/>
    <n v="1"/>
    <n v="0"/>
    <n v="0"/>
    <n v="0"/>
    <n v="0"/>
    <n v="1"/>
    <n v="0"/>
    <n v="0"/>
    <n v="2"/>
    <n v="0"/>
    <n v="0"/>
    <n v="2"/>
    <n v="0"/>
    <n v="0.88784402344629665"/>
    <n v="0.59502473559756086"/>
    <n v="1.192629766998377"/>
    <n v="0.81745575848020657"/>
    <n v="1.2097751320534422"/>
    <n v="1.6336288320949415"/>
    <n v="5.8265062631872602E-2"/>
  </r>
  <r>
    <n v="27"/>
    <n v="27"/>
    <s v="No"/>
    <n v="0"/>
    <s v="Non-Travel"/>
    <n v="0"/>
    <n v="0"/>
    <x v="1"/>
    <n v="1"/>
    <n v="0"/>
    <n v="9"/>
    <n v="9"/>
    <n v="3"/>
    <s v="Medical"/>
    <n v="0"/>
    <n v="0"/>
    <n v="1"/>
    <n v="0"/>
    <n v="0"/>
    <n v="4"/>
    <s v="Male"/>
    <n v="0"/>
    <n v="57"/>
    <n v="3"/>
    <n v="1"/>
    <s v="Research Scientist"/>
    <n v="0"/>
    <n v="0"/>
    <n v="0"/>
    <n v="0"/>
    <n v="0"/>
    <n v="0"/>
    <n v="0"/>
    <n v="1"/>
    <n v="2"/>
    <s v="Divorced"/>
    <n v="0"/>
    <n v="0"/>
    <n v="2024"/>
    <n v="2024"/>
    <n v="6"/>
    <s v="No"/>
    <n v="0"/>
    <n v="18"/>
    <n v="3"/>
    <n v="4"/>
    <n v="1"/>
    <n v="6"/>
    <x v="3"/>
    <n v="1"/>
    <n v="1"/>
    <n v="2"/>
    <n v="2"/>
    <n v="2"/>
    <n v="2"/>
    <n v="2"/>
    <n v="2"/>
    <n v="2"/>
    <n v="2"/>
    <n v="1"/>
    <n v="0"/>
    <n v="0"/>
    <n v="0"/>
    <n v="1"/>
    <n v="0"/>
    <n v="0"/>
    <n v="0"/>
    <n v="0"/>
    <n v="2"/>
    <n v="0"/>
    <n v="0"/>
    <n v="6"/>
    <n v="0"/>
    <n v="0.9513535274148629"/>
    <n v="0.59502473559756086"/>
    <n v="0.67854260110508058"/>
    <n v="0.81745575848020657"/>
    <n v="2.3747406698420157E-2"/>
    <n v="1.0863058347434136"/>
    <n v="5.8265062631872602E-2"/>
  </r>
  <r>
    <n v="28"/>
    <n v="28"/>
    <s v="No"/>
    <n v="0"/>
    <s v="Travel_Rarely"/>
    <n v="0"/>
    <n v="1"/>
    <x v="1"/>
    <n v="1"/>
    <n v="0"/>
    <n v="21"/>
    <n v="21"/>
    <n v="3"/>
    <s v="Medical"/>
    <n v="0"/>
    <n v="0"/>
    <n v="1"/>
    <n v="0"/>
    <n v="0"/>
    <n v="3"/>
    <s v="Male"/>
    <n v="0"/>
    <n v="42"/>
    <n v="3"/>
    <n v="1"/>
    <s v="Research Scientist"/>
    <n v="0"/>
    <n v="0"/>
    <n v="0"/>
    <n v="0"/>
    <n v="0"/>
    <n v="0"/>
    <n v="0"/>
    <n v="1"/>
    <n v="4"/>
    <s v="Married"/>
    <n v="0"/>
    <n v="1"/>
    <n v="2713"/>
    <n v="2713"/>
    <n v="1"/>
    <s v="No"/>
    <n v="0"/>
    <n v="11"/>
    <n v="3"/>
    <n v="3"/>
    <n v="1"/>
    <n v="5"/>
    <x v="7"/>
    <n v="2"/>
    <n v="1"/>
    <n v="5"/>
    <n v="5"/>
    <n v="2"/>
    <n v="0"/>
    <n v="0"/>
    <n v="2"/>
    <n v="2"/>
    <n v="2"/>
    <n v="0"/>
    <n v="1"/>
    <n v="0"/>
    <n v="0"/>
    <n v="0"/>
    <n v="0"/>
    <n v="1"/>
    <n v="0"/>
    <n v="0"/>
    <n v="2"/>
    <n v="0"/>
    <n v="0"/>
    <n v="5"/>
    <n v="0"/>
    <n v="0.80500554000903646"/>
    <n v="0.59502473559756086"/>
    <n v="0.80706439257840468"/>
    <n v="0.32778177112653761"/>
    <n v="1.4564796398038149"/>
    <n v="0.97684123527310796"/>
    <n v="0.67891464284095016"/>
  </r>
  <r>
    <n v="57"/>
    <n v="57"/>
    <s v="No"/>
    <n v="0"/>
    <s v="Travel_Rarely"/>
    <n v="0"/>
    <n v="1"/>
    <x v="1"/>
    <n v="1"/>
    <n v="0"/>
    <n v="24"/>
    <n v="24"/>
    <n v="2"/>
    <s v="Life Sciences"/>
    <n v="1"/>
    <n v="0"/>
    <n v="0"/>
    <n v="0"/>
    <n v="0"/>
    <n v="3"/>
    <s v="Male"/>
    <n v="0"/>
    <n v="83"/>
    <n v="4"/>
    <n v="3"/>
    <s v="Healthcare Representative"/>
    <n v="1"/>
    <n v="0"/>
    <n v="0"/>
    <n v="0"/>
    <n v="0"/>
    <n v="0"/>
    <n v="0"/>
    <n v="0"/>
    <n v="4"/>
    <s v="Divorced"/>
    <n v="0"/>
    <n v="0"/>
    <n v="9439"/>
    <n v="9439"/>
    <n v="3"/>
    <s v="Yes"/>
    <n v="1"/>
    <n v="16"/>
    <n v="3"/>
    <n v="2"/>
    <n v="1"/>
    <n v="12"/>
    <x v="4"/>
    <n v="2"/>
    <n v="1"/>
    <n v="5"/>
    <n v="5"/>
    <n v="3"/>
    <n v="1"/>
    <n v="1"/>
    <n v="4"/>
    <n v="4"/>
    <n v="12"/>
    <n v="1"/>
    <n v="0"/>
    <n v="0"/>
    <n v="0"/>
    <n v="0"/>
    <n v="1"/>
    <n v="0"/>
    <n v="0"/>
    <n v="0"/>
    <n v="4"/>
    <n v="0"/>
    <n v="0"/>
    <n v="12"/>
    <n v="0"/>
    <n v="0.62363968973202022"/>
    <n v="3.4508002929560584E-2"/>
    <n v="9.2588147734864096E-2"/>
    <n v="0.32778177112653761"/>
    <n v="1.8265364014293735"/>
    <n v="2.197632149365754"/>
    <n v="0.36858985273641137"/>
  </r>
  <r>
    <n v="27"/>
    <n v="27"/>
    <s v="No"/>
    <n v="0"/>
    <s v="Non-Travel"/>
    <n v="0"/>
    <n v="0"/>
    <x v="1"/>
    <n v="1"/>
    <n v="0"/>
    <n v="3"/>
    <n v="3"/>
    <n v="3"/>
    <s v="Medical"/>
    <n v="0"/>
    <n v="0"/>
    <n v="1"/>
    <n v="0"/>
    <n v="0"/>
    <n v="3"/>
    <s v="Male"/>
    <n v="0"/>
    <n v="79"/>
    <n v="2"/>
    <n v="1"/>
    <s v="Research Scientist"/>
    <n v="0"/>
    <n v="0"/>
    <n v="0"/>
    <n v="0"/>
    <n v="0"/>
    <n v="0"/>
    <n v="0"/>
    <n v="1"/>
    <n v="3"/>
    <s v="Divorced"/>
    <n v="0"/>
    <n v="0"/>
    <n v="2566"/>
    <n v="2566"/>
    <n v="1"/>
    <s v="Yes"/>
    <n v="1"/>
    <n v="15"/>
    <n v="3"/>
    <n v="4"/>
    <n v="1"/>
    <n v="1"/>
    <x v="5"/>
    <n v="2"/>
    <n v="2"/>
    <n v="1"/>
    <n v="1"/>
    <n v="1"/>
    <n v="0"/>
    <n v="0"/>
    <n v="1"/>
    <n v="1"/>
    <n v="1"/>
    <n v="1"/>
    <n v="0"/>
    <n v="0"/>
    <n v="0"/>
    <n v="0"/>
    <n v="1"/>
    <n v="0"/>
    <n v="0"/>
    <n v="0"/>
    <n v="1"/>
    <n v="0"/>
    <n v="0"/>
    <n v="1"/>
    <n v="0"/>
    <n v="0.83622927607385"/>
    <n v="0.87528310193156111"/>
    <n v="1.3211515584717011"/>
    <n v="0.9806804209314296"/>
    <n v="0.76386092994953758"/>
    <n v="1.0863058347434136"/>
    <n v="0.67891464284095016"/>
  </r>
  <r>
    <n v="50"/>
    <n v="50"/>
    <s v="No"/>
    <n v="0"/>
    <s v="Travel_Rarely"/>
    <n v="0"/>
    <n v="1"/>
    <x v="1"/>
    <n v="1"/>
    <n v="0"/>
    <n v="11"/>
    <n v="11"/>
    <n v="3"/>
    <s v="Life Sciences"/>
    <n v="1"/>
    <n v="0"/>
    <n v="0"/>
    <n v="0"/>
    <n v="0"/>
    <n v="3"/>
    <s v="Female"/>
    <n v="1"/>
    <n v="53"/>
    <n v="3"/>
    <n v="5"/>
    <s v="Manager"/>
    <n v="0"/>
    <n v="0"/>
    <n v="0"/>
    <n v="1"/>
    <n v="0"/>
    <n v="0"/>
    <n v="0"/>
    <n v="0"/>
    <n v="2"/>
    <s v="Single"/>
    <n v="1"/>
    <n v="0"/>
    <n v="19926"/>
    <n v="19626.310000000001"/>
    <n v="3"/>
    <s v="No"/>
    <n v="0"/>
    <n v="15"/>
    <n v="3"/>
    <n v="2"/>
    <n v="0"/>
    <n v="21"/>
    <x v="23"/>
    <n v="5"/>
    <n v="3"/>
    <n v="5"/>
    <n v="5"/>
    <n v="4"/>
    <n v="4"/>
    <n v="4"/>
    <n v="4"/>
    <n v="4"/>
    <n v="20"/>
    <n v="1"/>
    <n v="0"/>
    <n v="0"/>
    <n v="0"/>
    <n v="1"/>
    <n v="0"/>
    <n v="0"/>
    <n v="0"/>
    <n v="0"/>
    <n v="4"/>
    <n v="0"/>
    <n v="0"/>
    <n v="21"/>
    <n v="0"/>
    <n v="2.8511452687231684"/>
    <n v="3.4508002929560584E-2"/>
    <n v="1.2492842709947811"/>
    <n v="0.32778177112653761"/>
    <n v="0.22295710105195232"/>
    <n v="1.4313799530736149"/>
    <n v="0.56238451757720498"/>
  </r>
  <r>
    <n v="41"/>
    <n v="41"/>
    <s v="No"/>
    <n v="0"/>
    <s v="Travel_Rarely"/>
    <n v="0"/>
    <n v="1"/>
    <x v="1"/>
    <n v="1"/>
    <n v="0"/>
    <n v="14"/>
    <n v="14"/>
    <n v="3"/>
    <s v="Life Sciences"/>
    <n v="1"/>
    <n v="0"/>
    <n v="0"/>
    <n v="0"/>
    <n v="0"/>
    <n v="1"/>
    <s v="Male"/>
    <n v="0"/>
    <n v="56"/>
    <n v="3"/>
    <n v="1"/>
    <s v="Research Scientist"/>
    <n v="0"/>
    <n v="0"/>
    <n v="0"/>
    <n v="0"/>
    <n v="0"/>
    <n v="0"/>
    <n v="0"/>
    <n v="1"/>
    <n v="3"/>
    <s v="Divorced"/>
    <n v="0"/>
    <n v="0"/>
    <n v="2451"/>
    <n v="2451"/>
    <n v="4"/>
    <s v="No"/>
    <n v="0"/>
    <n v="12"/>
    <n v="3"/>
    <n v="1"/>
    <n v="1"/>
    <n v="13"/>
    <x v="10"/>
    <n v="2"/>
    <n v="3"/>
    <n v="9"/>
    <n v="9"/>
    <n v="8"/>
    <n v="1"/>
    <n v="1"/>
    <n v="8"/>
    <n v="8"/>
    <n v="8"/>
    <n v="1"/>
    <n v="0"/>
    <n v="0"/>
    <n v="0"/>
    <n v="1"/>
    <n v="0"/>
    <n v="0"/>
    <n v="0"/>
    <n v="0"/>
    <n v="8"/>
    <n v="0"/>
    <n v="0"/>
    <n v="13"/>
    <n v="0"/>
    <n v="0.86065600836945233"/>
    <n v="1.08652546240644"/>
    <n v="0.22110993920818819"/>
    <n v="0.32511687867835437"/>
    <n v="0.59301386267751111"/>
    <n v="0.4461985578408646"/>
    <n v="0.36858985273641137"/>
  </r>
  <r>
    <n v="30"/>
    <n v="30"/>
    <s v="No"/>
    <n v="0"/>
    <s v="Travel_Rarely"/>
    <n v="0"/>
    <n v="1"/>
    <x v="0"/>
    <n v="0"/>
    <n v="1"/>
    <n v="5"/>
    <n v="5"/>
    <n v="3"/>
    <s v="Life Sciences"/>
    <n v="1"/>
    <n v="0"/>
    <n v="0"/>
    <n v="0"/>
    <n v="0"/>
    <n v="2"/>
    <s v="Female"/>
    <n v="1"/>
    <n v="41"/>
    <n v="3"/>
    <n v="3"/>
    <s v="Sales Executive"/>
    <n v="0"/>
    <n v="1"/>
    <n v="0"/>
    <n v="0"/>
    <n v="0"/>
    <n v="0"/>
    <n v="0"/>
    <n v="0"/>
    <n v="4"/>
    <s v="Married"/>
    <n v="0"/>
    <n v="1"/>
    <n v="9419"/>
    <n v="9419"/>
    <n v="2"/>
    <s v="No"/>
    <n v="0"/>
    <n v="12"/>
    <n v="3"/>
    <n v="3"/>
    <n v="1"/>
    <n v="12"/>
    <x v="4"/>
    <n v="2"/>
    <n v="3"/>
    <n v="10"/>
    <n v="10"/>
    <n v="9"/>
    <n v="7"/>
    <n v="7"/>
    <n v="4"/>
    <n v="4"/>
    <n v="12"/>
    <n v="0"/>
    <n v="1"/>
    <n v="0"/>
    <n v="0"/>
    <n v="0"/>
    <n v="0"/>
    <n v="1"/>
    <n v="0"/>
    <n v="0"/>
    <n v="0"/>
    <n v="4"/>
    <n v="0"/>
    <n v="0"/>
    <n v="12"/>
    <n v="0.61939156237626325"/>
    <n v="3.4508002929560584E-2"/>
    <n v="9.2588147734864096E-2"/>
    <n v="0.48834154112957734"/>
    <n v="0.51715642219916513"/>
    <n v="0.75791203633249671"/>
    <n v="1.4933588878908215"/>
  </r>
  <r>
    <n v="38"/>
    <n v="38"/>
    <s v="No"/>
    <n v="0"/>
    <s v="Travel_Rarely"/>
    <n v="0"/>
    <n v="1"/>
    <x v="0"/>
    <n v="0"/>
    <n v="1"/>
    <n v="1"/>
    <n v="1"/>
    <n v="4"/>
    <s v="Life Sciences"/>
    <n v="1"/>
    <n v="0"/>
    <n v="0"/>
    <n v="0"/>
    <n v="0"/>
    <n v="1"/>
    <s v="Female"/>
    <n v="1"/>
    <n v="59"/>
    <n v="2"/>
    <n v="2"/>
    <s v="Sales Executive"/>
    <n v="0"/>
    <n v="1"/>
    <n v="0"/>
    <n v="0"/>
    <n v="0"/>
    <n v="0"/>
    <n v="0"/>
    <n v="0"/>
    <n v="4"/>
    <s v="Single"/>
    <n v="1"/>
    <n v="0"/>
    <n v="8686"/>
    <n v="8686"/>
    <n v="4"/>
    <s v="No"/>
    <n v="0"/>
    <n v="22"/>
    <n v="4"/>
    <n v="3"/>
    <n v="0"/>
    <n v="12"/>
    <x v="4"/>
    <n v="2"/>
    <n v="4"/>
    <n v="8"/>
    <n v="8"/>
    <n v="3"/>
    <n v="0"/>
    <n v="0"/>
    <n v="7"/>
    <n v="7"/>
    <n v="14"/>
    <n v="1"/>
    <n v="0"/>
    <n v="0"/>
    <n v="0"/>
    <n v="1"/>
    <n v="0"/>
    <n v="0"/>
    <n v="0"/>
    <n v="0"/>
    <n v="0"/>
    <n v="7"/>
    <n v="0"/>
    <n v="0"/>
    <n v="12"/>
    <n v="0.46369769478777167"/>
    <n v="0.80626709607243985"/>
    <n v="9.2588147734864096E-2"/>
    <n v="0.16189221622713135"/>
    <n v="1.01056543769991"/>
    <n v="0.11780475942994788"/>
    <n v="0.67891464284095016"/>
  </r>
  <r>
    <n v="32"/>
    <n v="32"/>
    <s v="No"/>
    <n v="0"/>
    <s v="Travel_Rarely"/>
    <n v="0"/>
    <n v="1"/>
    <x v="1"/>
    <n v="1"/>
    <n v="0"/>
    <n v="6"/>
    <n v="6"/>
    <n v="5"/>
    <s v="Life Sciences"/>
    <n v="1"/>
    <n v="0"/>
    <n v="0"/>
    <n v="0"/>
    <n v="0"/>
    <n v="3"/>
    <s v="Male"/>
    <n v="0"/>
    <n v="43"/>
    <n v="3"/>
    <n v="1"/>
    <s v="Research Scientist"/>
    <n v="0"/>
    <n v="0"/>
    <n v="0"/>
    <n v="0"/>
    <n v="0"/>
    <n v="0"/>
    <n v="0"/>
    <n v="1"/>
    <n v="3"/>
    <s v="Single"/>
    <n v="1"/>
    <n v="0"/>
    <n v="3038"/>
    <n v="3038"/>
    <n v="3"/>
    <s v="No"/>
    <n v="0"/>
    <n v="20"/>
    <n v="4"/>
    <n v="1"/>
    <n v="0"/>
    <n v="8"/>
    <x v="0"/>
    <n v="2"/>
    <n v="3"/>
    <n v="5"/>
    <n v="5"/>
    <n v="4"/>
    <n v="1"/>
    <n v="1"/>
    <n v="4"/>
    <n v="4"/>
    <n v="4"/>
    <n v="1"/>
    <n v="0"/>
    <n v="0"/>
    <n v="0"/>
    <n v="1"/>
    <n v="0"/>
    <n v="0"/>
    <n v="0"/>
    <n v="0"/>
    <n v="4"/>
    <n v="0"/>
    <n v="0"/>
    <n v="8"/>
    <n v="0"/>
    <n v="0.73597347047798634"/>
    <n v="3.4508002929560584E-2"/>
    <n v="0.42149901815843233"/>
    <n v="0.32778177112653761"/>
    <n v="0.39380416832397891"/>
    <n v="0.53898283739188557"/>
    <n v="0.36858985273641137"/>
  </r>
  <r>
    <n v="27"/>
    <n v="27"/>
    <s v="No"/>
    <n v="0"/>
    <s v="Travel_Rarely"/>
    <n v="0"/>
    <n v="1"/>
    <x v="1"/>
    <n v="1"/>
    <n v="0"/>
    <n v="17"/>
    <n v="17"/>
    <n v="3"/>
    <s v="Technical Degree"/>
    <n v="0"/>
    <n v="0"/>
    <n v="0"/>
    <n v="0"/>
    <n v="1"/>
    <n v="3"/>
    <s v="Male"/>
    <n v="0"/>
    <n v="51"/>
    <n v="3"/>
    <n v="1"/>
    <s v="Research Scientist"/>
    <n v="0"/>
    <n v="0"/>
    <n v="0"/>
    <n v="0"/>
    <n v="0"/>
    <n v="0"/>
    <n v="0"/>
    <n v="1"/>
    <n v="2"/>
    <s v="Married"/>
    <n v="0"/>
    <n v="1"/>
    <n v="3058"/>
    <n v="3058"/>
    <n v="0"/>
    <s v="Yes"/>
    <n v="1"/>
    <n v="16"/>
    <n v="3"/>
    <n v="4"/>
    <n v="1"/>
    <n v="6"/>
    <x v="3"/>
    <n v="3"/>
    <n v="2"/>
    <n v="5"/>
    <n v="5"/>
    <n v="2"/>
    <n v="1"/>
    <n v="1"/>
    <n v="1"/>
    <n v="1"/>
    <n v="1"/>
    <n v="0"/>
    <n v="1"/>
    <n v="0"/>
    <n v="0"/>
    <n v="0"/>
    <n v="0"/>
    <n v="0"/>
    <n v="1"/>
    <n v="0"/>
    <n v="1"/>
    <n v="0"/>
    <n v="0"/>
    <n v="6"/>
    <n v="0"/>
    <n v="0.73172534312222937"/>
    <n v="0.87528310193156111"/>
    <n v="0.67854260110508058"/>
    <n v="0.32778177112653761"/>
    <n v="0.96307062430306978"/>
    <n v="1.0863058347434136"/>
    <n v="0.36858985273641137"/>
  </r>
  <r>
    <n v="19"/>
    <n v="19"/>
    <s v="Yes"/>
    <n v="1"/>
    <s v="Travel_Frequently"/>
    <n v="1"/>
    <n v="0"/>
    <x v="0"/>
    <n v="0"/>
    <n v="1"/>
    <n v="1"/>
    <n v="1"/>
    <n v="1"/>
    <s v="Technical Degree"/>
    <n v="0"/>
    <n v="0"/>
    <n v="0"/>
    <n v="0"/>
    <n v="1"/>
    <n v="3"/>
    <s v="Female"/>
    <n v="1"/>
    <n v="100"/>
    <n v="1"/>
    <n v="1"/>
    <s v="Sales Representative"/>
    <n v="0"/>
    <n v="0"/>
    <n v="0"/>
    <n v="0"/>
    <n v="0"/>
    <n v="0"/>
    <n v="1"/>
    <n v="0"/>
    <n v="1"/>
    <s v="Single"/>
    <n v="1"/>
    <n v="0"/>
    <n v="2325"/>
    <n v="2325"/>
    <n v="0"/>
    <s v="No"/>
    <n v="0"/>
    <n v="21"/>
    <n v="4"/>
    <n v="1"/>
    <n v="0"/>
    <n v="1"/>
    <x v="5"/>
    <n v="5"/>
    <n v="4"/>
    <n v="0"/>
    <n v="0"/>
    <n v="0"/>
    <n v="0"/>
    <n v="0"/>
    <n v="0"/>
    <n v="0"/>
    <n v="0"/>
    <n v="0"/>
    <n v="0"/>
    <n v="1"/>
    <n v="0"/>
    <n v="1"/>
    <n v="0"/>
    <n v="0"/>
    <n v="0"/>
    <n v="0"/>
    <n v="0"/>
    <n v="0"/>
    <n v="0"/>
    <n v="0"/>
    <n v="1"/>
    <n v="0.88741921071072105"/>
    <n v="1.1555414682655611"/>
    <n v="1.3211515584717011"/>
    <n v="1.1439050833826525"/>
    <n v="1.01056543769991"/>
    <n v="1.9620226305058581"/>
    <n v="0.67891464284095016"/>
  </r>
  <r>
    <n v="36"/>
    <n v="36"/>
    <s v="No"/>
    <n v="0"/>
    <s v="Travel_Frequently"/>
    <n v="1"/>
    <n v="0"/>
    <x v="1"/>
    <n v="1"/>
    <n v="0"/>
    <n v="3"/>
    <n v="3"/>
    <n v="2"/>
    <s v="Medical"/>
    <n v="0"/>
    <n v="0"/>
    <n v="1"/>
    <n v="0"/>
    <n v="0"/>
    <n v="4"/>
    <s v="Male"/>
    <n v="0"/>
    <n v="30"/>
    <n v="3"/>
    <n v="1"/>
    <s v="Laboratory Technician"/>
    <n v="0"/>
    <n v="0"/>
    <n v="1"/>
    <n v="0"/>
    <n v="0"/>
    <n v="0"/>
    <n v="0"/>
    <n v="0"/>
    <n v="2"/>
    <s v="Single"/>
    <n v="1"/>
    <n v="0"/>
    <n v="2088"/>
    <n v="2088"/>
    <n v="4"/>
    <s v="No"/>
    <n v="0"/>
    <n v="12"/>
    <n v="3"/>
    <n v="3"/>
    <n v="0"/>
    <n v="13"/>
    <x v="10"/>
    <n v="3"/>
    <n v="2"/>
    <n v="8"/>
    <n v="8"/>
    <n v="7"/>
    <n v="7"/>
    <n v="7"/>
    <n v="2"/>
    <n v="2"/>
    <n v="2"/>
    <n v="0"/>
    <n v="0"/>
    <n v="1"/>
    <n v="0"/>
    <n v="1"/>
    <n v="0"/>
    <n v="0"/>
    <n v="0"/>
    <n v="0"/>
    <n v="2"/>
    <n v="0"/>
    <n v="0"/>
    <n v="13"/>
    <n v="0"/>
    <n v="0.93775951987644068"/>
    <n v="0.59502473559756086"/>
    <n v="0.22110993920818819"/>
    <n v="0.16189221622713135"/>
    <n v="0.76386092994953758"/>
    <n v="0.10112443951066327"/>
    <n v="1.4933588878908215"/>
  </r>
  <r>
    <n v="30"/>
    <n v="30"/>
    <s v="No"/>
    <n v="0"/>
    <s v="Non-Travel"/>
    <n v="0"/>
    <n v="0"/>
    <x v="1"/>
    <n v="1"/>
    <n v="0"/>
    <n v="9"/>
    <n v="9"/>
    <n v="3"/>
    <s v="Medical"/>
    <n v="0"/>
    <n v="0"/>
    <n v="1"/>
    <n v="0"/>
    <n v="0"/>
    <n v="3"/>
    <s v="Male"/>
    <n v="0"/>
    <n v="66"/>
    <n v="3"/>
    <n v="2"/>
    <s v="Laboratory Technician"/>
    <n v="0"/>
    <n v="0"/>
    <n v="1"/>
    <n v="0"/>
    <n v="0"/>
    <n v="0"/>
    <n v="0"/>
    <n v="0"/>
    <n v="1"/>
    <s v="Divorced"/>
    <n v="0"/>
    <n v="0"/>
    <n v="3072"/>
    <n v="3072"/>
    <n v="1"/>
    <s v="No"/>
    <n v="0"/>
    <n v="11"/>
    <n v="3"/>
    <n v="3"/>
    <n v="2"/>
    <n v="12"/>
    <x v="4"/>
    <n v="4"/>
    <n v="3"/>
    <n v="12"/>
    <n v="12"/>
    <n v="9"/>
    <n v="6"/>
    <n v="6"/>
    <n v="10"/>
    <n v="10"/>
    <n v="20"/>
    <n v="1"/>
    <n v="0"/>
    <n v="0"/>
    <n v="0"/>
    <n v="1"/>
    <n v="0"/>
    <n v="0"/>
    <n v="0"/>
    <n v="0"/>
    <n v="10"/>
    <n v="0"/>
    <n v="0"/>
    <n v="12"/>
    <n v="0"/>
    <n v="0.72875165397319952"/>
    <n v="1.6470421950744405"/>
    <n v="9.2588147734864096E-2"/>
    <n v="0.81479086603202333"/>
    <n v="2.3747406698420157E-2"/>
    <n v="0.75791203633249671"/>
    <n v="1.1830340977862825"/>
  </r>
  <r>
    <n v="45"/>
    <n v="45"/>
    <s v="No"/>
    <n v="0"/>
    <s v="Travel_Rarely"/>
    <n v="0"/>
    <n v="1"/>
    <x v="0"/>
    <n v="0"/>
    <n v="1"/>
    <n v="4"/>
    <n v="4"/>
    <n v="2"/>
    <s v="Life Sciences"/>
    <n v="1"/>
    <n v="0"/>
    <n v="0"/>
    <n v="0"/>
    <n v="0"/>
    <n v="3"/>
    <s v="Female"/>
    <n v="1"/>
    <n v="30"/>
    <n v="3"/>
    <n v="2"/>
    <s v="Sales Executive"/>
    <n v="0"/>
    <n v="1"/>
    <n v="0"/>
    <n v="0"/>
    <n v="0"/>
    <n v="0"/>
    <n v="0"/>
    <n v="0"/>
    <n v="1"/>
    <s v="Divorced"/>
    <n v="0"/>
    <n v="0"/>
    <n v="5006"/>
    <n v="5006"/>
    <n v="4"/>
    <s v="Yes"/>
    <n v="1"/>
    <n v="11"/>
    <n v="3"/>
    <n v="1"/>
    <n v="1"/>
    <n v="9"/>
    <x v="14"/>
    <n v="3"/>
    <n v="4"/>
    <n v="5"/>
    <n v="5"/>
    <n v="4"/>
    <n v="0"/>
    <n v="0"/>
    <n v="3"/>
    <n v="3"/>
    <n v="6"/>
    <n v="1"/>
    <n v="0"/>
    <n v="0"/>
    <n v="0"/>
    <n v="0"/>
    <n v="1"/>
    <n v="0"/>
    <n v="0"/>
    <n v="0"/>
    <n v="0"/>
    <n v="3"/>
    <n v="0"/>
    <n v="0"/>
    <n v="9"/>
    <n v="0.31795773867150406"/>
    <n v="0.31476636926356072"/>
    <n v="0.29297722668510823"/>
    <n v="0.32778177112653761"/>
    <n v="0.64050867607435136"/>
    <n v="0.88405695572208698"/>
    <n v="0.67891464284095016"/>
  </r>
  <r>
    <n v="56"/>
    <n v="56"/>
    <s v="No"/>
    <n v="0"/>
    <s v="Travel_Rarely"/>
    <n v="0"/>
    <n v="1"/>
    <x v="1"/>
    <n v="1"/>
    <n v="0"/>
    <n v="8"/>
    <n v="8"/>
    <n v="3"/>
    <s v="Life Sciences"/>
    <n v="1"/>
    <n v="0"/>
    <n v="0"/>
    <n v="0"/>
    <n v="0"/>
    <n v="3"/>
    <s v="Female"/>
    <n v="1"/>
    <n v="67"/>
    <n v="3"/>
    <n v="1"/>
    <s v="Research Scientist"/>
    <n v="0"/>
    <n v="0"/>
    <n v="0"/>
    <n v="0"/>
    <n v="0"/>
    <n v="0"/>
    <n v="0"/>
    <n v="1"/>
    <n v="1"/>
    <s v="Divorced"/>
    <n v="0"/>
    <n v="0"/>
    <n v="4257"/>
    <n v="4257"/>
    <n v="4"/>
    <s v="Yes"/>
    <n v="1"/>
    <n v="18"/>
    <n v="3"/>
    <n v="3"/>
    <n v="1"/>
    <n v="19"/>
    <x v="15"/>
    <n v="3"/>
    <n v="3"/>
    <n v="2"/>
    <n v="2"/>
    <n v="2"/>
    <n v="2"/>
    <n v="2"/>
    <n v="2"/>
    <n v="2"/>
    <n v="2"/>
    <n v="1"/>
    <n v="0"/>
    <n v="0"/>
    <n v="0"/>
    <n v="0"/>
    <n v="1"/>
    <n v="0"/>
    <n v="0"/>
    <n v="0"/>
    <n v="2"/>
    <n v="0"/>
    <n v="0"/>
    <n v="19"/>
    <n v="0"/>
    <n v="0.47705010814460125"/>
    <n v="0.59502473559756086"/>
    <n v="0.99224068804813281"/>
    <n v="0.81745575848020657"/>
    <n v="0.14709966057360641"/>
    <n v="2.0881675498954482"/>
    <n v="5.8265062631872602E-2"/>
  </r>
  <r>
    <n v="33"/>
    <n v="33"/>
    <s v="No"/>
    <n v="0"/>
    <s v="Travel_Rarely"/>
    <n v="0"/>
    <n v="1"/>
    <x v="1"/>
    <n v="1"/>
    <n v="0"/>
    <n v="2"/>
    <n v="2"/>
    <n v="3"/>
    <s v="Life Sciences"/>
    <n v="1"/>
    <n v="0"/>
    <n v="0"/>
    <n v="0"/>
    <n v="0"/>
    <n v="3"/>
    <s v="Male"/>
    <n v="0"/>
    <n v="90"/>
    <n v="3"/>
    <n v="1"/>
    <s v="Research Scientist"/>
    <n v="0"/>
    <n v="0"/>
    <n v="0"/>
    <n v="0"/>
    <n v="0"/>
    <n v="0"/>
    <n v="0"/>
    <n v="1"/>
    <n v="4"/>
    <s v="Single"/>
    <n v="1"/>
    <n v="0"/>
    <n v="2500"/>
    <n v="2500"/>
    <n v="0"/>
    <s v="No"/>
    <n v="0"/>
    <n v="14"/>
    <n v="3"/>
    <n v="1"/>
    <n v="0"/>
    <n v="4"/>
    <x v="20"/>
    <n v="2"/>
    <n v="4"/>
    <n v="3"/>
    <n v="3"/>
    <n v="1"/>
    <n v="0"/>
    <n v="0"/>
    <n v="2"/>
    <n v="2"/>
    <n v="2"/>
    <n v="1"/>
    <n v="0"/>
    <n v="0"/>
    <n v="0"/>
    <n v="1"/>
    <n v="0"/>
    <n v="0"/>
    <n v="0"/>
    <n v="0"/>
    <n v="2"/>
    <n v="0"/>
    <n v="0"/>
    <n v="4"/>
    <n v="0"/>
    <n v="0.85024809634784781"/>
    <n v="0.59502473559756086"/>
    <n v="0.93558618405172878"/>
    <n v="0.65423109602898355"/>
    <n v="0.88721318382472392"/>
    <n v="0.42951823792158"/>
    <n v="0.67891464284095016"/>
  </r>
  <r>
    <n v="19"/>
    <n v="19"/>
    <s v="Yes"/>
    <n v="1"/>
    <s v="Travel_Rarely"/>
    <n v="0"/>
    <n v="1"/>
    <x v="1"/>
    <n v="1"/>
    <n v="0"/>
    <n v="2"/>
    <n v="2"/>
    <n v="3"/>
    <s v="Life Sciences"/>
    <n v="1"/>
    <n v="0"/>
    <n v="0"/>
    <n v="0"/>
    <n v="0"/>
    <n v="2"/>
    <s v="Male"/>
    <n v="0"/>
    <n v="47"/>
    <n v="2"/>
    <n v="1"/>
    <s v="Laboratory Technician"/>
    <n v="0"/>
    <n v="0"/>
    <n v="1"/>
    <n v="0"/>
    <n v="0"/>
    <n v="0"/>
    <n v="0"/>
    <n v="0"/>
    <n v="4"/>
    <s v="Single"/>
    <n v="1"/>
    <n v="0"/>
    <n v="1102"/>
    <n v="1382.46"/>
    <n v="1"/>
    <s v="No"/>
    <n v="0"/>
    <n v="22"/>
    <n v="4"/>
    <n v="3"/>
    <n v="0"/>
    <n v="1"/>
    <x v="5"/>
    <n v="3"/>
    <n v="2"/>
    <n v="1"/>
    <n v="1"/>
    <n v="0"/>
    <n v="1"/>
    <n v="1"/>
    <n v="0"/>
    <n v="0"/>
    <n v="0"/>
    <n v="1"/>
    <n v="0"/>
    <n v="0"/>
    <n v="0"/>
    <n v="1"/>
    <n v="0"/>
    <n v="0"/>
    <n v="0"/>
    <n v="0"/>
    <n v="0"/>
    <n v="0"/>
    <n v="0"/>
    <n v="1"/>
    <n v="0"/>
    <n v="1.1471921985152576"/>
    <n v="1.1555414682655611"/>
    <n v="1.3211515584717011"/>
    <n v="0.9806804209314296"/>
    <n v="0.88721318382472392"/>
    <n v="1.9620226305058581"/>
    <n v="0.36858985273641137"/>
  </r>
  <r>
    <n v="46"/>
    <n v="46"/>
    <s v="No"/>
    <n v="0"/>
    <s v="Travel_Rarely"/>
    <n v="0"/>
    <n v="1"/>
    <x v="0"/>
    <n v="0"/>
    <n v="1"/>
    <n v="1"/>
    <n v="1"/>
    <n v="2"/>
    <s v="Marketing"/>
    <n v="0"/>
    <n v="0"/>
    <n v="0"/>
    <n v="1"/>
    <n v="0"/>
    <n v="2"/>
    <s v="Female"/>
    <n v="1"/>
    <n v="92"/>
    <n v="3"/>
    <n v="3"/>
    <s v="Sales Executive"/>
    <n v="0"/>
    <n v="1"/>
    <n v="0"/>
    <n v="0"/>
    <n v="0"/>
    <n v="0"/>
    <n v="0"/>
    <n v="0"/>
    <n v="1"/>
    <s v="Divorced"/>
    <n v="0"/>
    <n v="0"/>
    <n v="10453"/>
    <n v="10453"/>
    <n v="1"/>
    <s v="No"/>
    <n v="0"/>
    <n v="25"/>
    <n v="4"/>
    <n v="3"/>
    <n v="3"/>
    <n v="24"/>
    <x v="12"/>
    <n v="2"/>
    <n v="3"/>
    <n v="24"/>
    <n v="24"/>
    <n v="13"/>
    <n v="15"/>
    <n v="14"/>
    <n v="7"/>
    <n v="7"/>
    <n v="21"/>
    <n v="1"/>
    <n v="0"/>
    <n v="0"/>
    <n v="0"/>
    <n v="1"/>
    <n v="0"/>
    <n v="0"/>
    <n v="0"/>
    <n v="0"/>
    <n v="0"/>
    <n v="7"/>
    <n v="0"/>
    <n v="0"/>
    <n v="24"/>
    <n v="0.83901974666889678"/>
    <n v="0.80626709607243985"/>
    <n v="1.6348496454147534"/>
    <n v="2.7734868154466992"/>
    <n v="1.01056543769991"/>
    <n v="0.99352155519239249"/>
    <n v="3.9759572087271318"/>
  </r>
  <r>
    <n v="38"/>
    <n v="38"/>
    <s v="No"/>
    <n v="0"/>
    <s v="Travel_Rarely"/>
    <n v="0"/>
    <n v="1"/>
    <x v="1"/>
    <n v="1"/>
    <n v="0"/>
    <n v="9"/>
    <n v="9"/>
    <n v="2"/>
    <s v="Life Sciences"/>
    <n v="1"/>
    <n v="0"/>
    <n v="0"/>
    <n v="0"/>
    <n v="0"/>
    <n v="3"/>
    <s v="Female"/>
    <n v="1"/>
    <n v="75"/>
    <n v="3"/>
    <n v="1"/>
    <s v="Laboratory Technician"/>
    <n v="0"/>
    <n v="0"/>
    <n v="1"/>
    <n v="0"/>
    <n v="0"/>
    <n v="0"/>
    <n v="0"/>
    <n v="0"/>
    <n v="4"/>
    <s v="Single"/>
    <n v="1"/>
    <n v="0"/>
    <n v="2288"/>
    <n v="2288"/>
    <n v="1"/>
    <s v="No"/>
    <n v="0"/>
    <n v="12"/>
    <n v="3"/>
    <n v="3"/>
    <n v="0"/>
    <n v="2"/>
    <x v="16"/>
    <n v="3"/>
    <n v="3"/>
    <n v="2"/>
    <n v="2"/>
    <n v="2"/>
    <n v="2"/>
    <n v="2"/>
    <n v="1"/>
    <n v="1"/>
    <n v="1"/>
    <n v="1"/>
    <n v="0"/>
    <n v="0"/>
    <n v="0"/>
    <n v="1"/>
    <n v="0"/>
    <n v="0"/>
    <n v="0"/>
    <n v="0"/>
    <n v="1"/>
    <n v="0"/>
    <n v="0"/>
    <n v="2"/>
    <n v="0"/>
    <n v="0.89527824631887132"/>
    <n v="0.87528310193156111"/>
    <n v="1.192629766998377"/>
    <n v="0.81745575848020657"/>
    <n v="2.3747406698420157E-2"/>
    <n v="0.11780475942994788"/>
    <n v="5.8265062631872602E-2"/>
  </r>
  <r>
    <n v="31"/>
    <n v="31"/>
    <s v="No"/>
    <n v="0"/>
    <s v="Travel_Rarely"/>
    <n v="0"/>
    <n v="1"/>
    <x v="1"/>
    <n v="1"/>
    <n v="0"/>
    <n v="12"/>
    <n v="12"/>
    <n v="1"/>
    <s v="Medical"/>
    <n v="0"/>
    <n v="0"/>
    <n v="1"/>
    <n v="0"/>
    <n v="0"/>
    <n v="3"/>
    <s v="Female"/>
    <n v="1"/>
    <n v="95"/>
    <n v="3"/>
    <n v="1"/>
    <s v="Research Scientist"/>
    <n v="0"/>
    <n v="0"/>
    <n v="0"/>
    <n v="0"/>
    <n v="0"/>
    <n v="0"/>
    <n v="0"/>
    <n v="1"/>
    <n v="4"/>
    <s v="Married"/>
    <n v="0"/>
    <n v="1"/>
    <n v="3929"/>
    <n v="3929"/>
    <n v="8"/>
    <s v="Yes"/>
    <n v="1"/>
    <n v="23"/>
    <n v="4"/>
    <n v="3"/>
    <n v="1"/>
    <n v="7"/>
    <x v="2"/>
    <n v="0"/>
    <n v="3"/>
    <n v="4"/>
    <n v="4"/>
    <n v="2"/>
    <n v="0"/>
    <n v="0"/>
    <n v="2"/>
    <n v="2"/>
    <n v="2"/>
    <n v="0"/>
    <n v="1"/>
    <n v="0"/>
    <n v="0"/>
    <n v="0"/>
    <n v="0"/>
    <n v="0"/>
    <n v="1"/>
    <n v="0"/>
    <n v="2"/>
    <n v="0"/>
    <n v="0"/>
    <n v="7"/>
    <n v="0"/>
    <n v="0.54671939677901493"/>
    <n v="0.59502473559756086"/>
    <n v="0.55002080963175637"/>
    <n v="0.49100643357776058"/>
    <n v="0.3463093549271386"/>
    <n v="0.6484474368621912"/>
    <n v="0.67891464284095016"/>
  </r>
  <r>
    <n v="34"/>
    <n v="34"/>
    <s v="No"/>
    <n v="0"/>
    <s v="Travel_Rarely"/>
    <n v="0"/>
    <n v="1"/>
    <x v="1"/>
    <n v="1"/>
    <n v="0"/>
    <n v="27"/>
    <n v="27"/>
    <n v="2"/>
    <s v="Medical"/>
    <n v="0"/>
    <n v="0"/>
    <n v="1"/>
    <n v="0"/>
    <n v="0"/>
    <n v="4"/>
    <s v="Female"/>
    <n v="1"/>
    <n v="95"/>
    <n v="3"/>
    <n v="1"/>
    <s v="Research Scientist"/>
    <n v="0"/>
    <n v="0"/>
    <n v="0"/>
    <n v="0"/>
    <n v="0"/>
    <n v="0"/>
    <n v="0"/>
    <n v="1"/>
    <n v="2"/>
    <s v="Single"/>
    <n v="1"/>
    <n v="0"/>
    <n v="2311"/>
    <n v="2311"/>
    <n v="2"/>
    <s v="No"/>
    <n v="0"/>
    <n v="15"/>
    <n v="3"/>
    <n v="4"/>
    <n v="0"/>
    <n v="9"/>
    <x v="14"/>
    <n v="3"/>
    <n v="3"/>
    <n v="3"/>
    <n v="3"/>
    <n v="2"/>
    <n v="1"/>
    <n v="1"/>
    <n v="2"/>
    <n v="2"/>
    <n v="2"/>
    <n v="1"/>
    <n v="0"/>
    <n v="0"/>
    <n v="0"/>
    <n v="1"/>
    <n v="0"/>
    <n v="0"/>
    <n v="0"/>
    <n v="0"/>
    <n v="2"/>
    <n v="0"/>
    <n v="0"/>
    <n v="9"/>
    <n v="0"/>
    <n v="0.8903928998597509"/>
    <n v="0.59502473559756086"/>
    <n v="0.29297722668510823"/>
    <n v="0.65423109602898355"/>
    <n v="2.1965931630549322"/>
    <n v="0.32005363845127444"/>
    <n v="0.36858985273641137"/>
  </r>
  <r>
    <n v="41"/>
    <n v="41"/>
    <s v="Yes"/>
    <n v="1"/>
    <s v="Travel_Rarely"/>
    <n v="0"/>
    <n v="1"/>
    <x v="0"/>
    <n v="0"/>
    <n v="1"/>
    <n v="20"/>
    <n v="20"/>
    <n v="2"/>
    <s v="Marketing"/>
    <n v="0"/>
    <n v="0"/>
    <n v="0"/>
    <n v="1"/>
    <n v="0"/>
    <n v="2"/>
    <s v="Female"/>
    <n v="1"/>
    <n v="70"/>
    <n v="3"/>
    <n v="1"/>
    <s v="Sales Representative"/>
    <n v="0"/>
    <n v="0"/>
    <n v="0"/>
    <n v="0"/>
    <n v="0"/>
    <n v="0"/>
    <n v="1"/>
    <n v="0"/>
    <n v="2"/>
    <s v="Single"/>
    <n v="1"/>
    <n v="0"/>
    <n v="3140"/>
    <n v="3140"/>
    <n v="1"/>
    <s v="Yes"/>
    <n v="1"/>
    <n v="22"/>
    <n v="4"/>
    <n v="4"/>
    <n v="0"/>
    <n v="4"/>
    <x v="20"/>
    <n v="5"/>
    <n v="2"/>
    <n v="4"/>
    <n v="4"/>
    <n v="3"/>
    <n v="0"/>
    <n v="0"/>
    <n v="2"/>
    <n v="2"/>
    <n v="2"/>
    <n v="1"/>
    <n v="0"/>
    <n v="0"/>
    <n v="0"/>
    <n v="0"/>
    <n v="1"/>
    <n v="0"/>
    <n v="0"/>
    <n v="0"/>
    <n v="0"/>
    <n v="2"/>
    <n v="0"/>
    <n v="0"/>
    <n v="4"/>
    <n v="0.714308020963626"/>
    <n v="0.59502473559756086"/>
    <n v="0.93558618405172878"/>
    <n v="0.49100643357776058"/>
    <n v="1.3331273859286286"/>
    <n v="0.4461985578408646"/>
    <n v="0.67891464284095016"/>
  </r>
  <r>
    <n v="50"/>
    <n v="50"/>
    <s v="No"/>
    <n v="0"/>
    <s v="Travel_Rarely"/>
    <n v="0"/>
    <n v="1"/>
    <x v="1"/>
    <n v="1"/>
    <n v="0"/>
    <n v="1"/>
    <n v="1"/>
    <n v="3"/>
    <s v="Medical"/>
    <n v="0"/>
    <n v="0"/>
    <n v="1"/>
    <n v="0"/>
    <n v="0"/>
    <n v="3"/>
    <s v="Male"/>
    <n v="0"/>
    <n v="86"/>
    <n v="2"/>
    <n v="1"/>
    <s v="Laboratory Technician"/>
    <n v="0"/>
    <n v="0"/>
    <n v="1"/>
    <n v="0"/>
    <n v="0"/>
    <n v="0"/>
    <n v="0"/>
    <n v="0"/>
    <n v="3"/>
    <s v="Married"/>
    <n v="0"/>
    <n v="1"/>
    <n v="3690"/>
    <n v="3690"/>
    <n v="2"/>
    <s v="No"/>
    <n v="0"/>
    <n v="15"/>
    <n v="3"/>
    <n v="4"/>
    <n v="1"/>
    <n v="5"/>
    <x v="7"/>
    <n v="2"/>
    <n v="2"/>
    <n v="3"/>
    <n v="3"/>
    <n v="2"/>
    <n v="0"/>
    <n v="0"/>
    <n v="2"/>
    <n v="2"/>
    <n v="2"/>
    <n v="0"/>
    <n v="1"/>
    <n v="0"/>
    <n v="0"/>
    <n v="0"/>
    <n v="0"/>
    <n v="1"/>
    <n v="0"/>
    <n v="0"/>
    <n v="2"/>
    <n v="0"/>
    <n v="0"/>
    <n v="5"/>
    <n v="0"/>
    <n v="0.59748451868031027"/>
    <n v="0.59502473559756086"/>
    <n v="0.80706439257840468"/>
    <n v="0.65423109602898355"/>
    <n v="1.01056543769991"/>
    <n v="1.4313799530736149"/>
    <n v="0.67891464284095016"/>
  </r>
  <r>
    <n v="53"/>
    <n v="53"/>
    <s v="No"/>
    <n v="0"/>
    <s v="Travel_Rarely"/>
    <n v="0"/>
    <n v="1"/>
    <x v="1"/>
    <n v="1"/>
    <n v="0"/>
    <n v="13"/>
    <n v="13"/>
    <n v="2"/>
    <s v="Medical"/>
    <n v="0"/>
    <n v="0"/>
    <n v="1"/>
    <n v="0"/>
    <n v="0"/>
    <n v="4"/>
    <s v="Female"/>
    <n v="1"/>
    <n v="57"/>
    <n v="4"/>
    <n v="2"/>
    <s v="Manufacturing Director"/>
    <n v="0"/>
    <n v="0"/>
    <n v="0"/>
    <n v="0"/>
    <n v="1"/>
    <n v="1"/>
    <n v="0"/>
    <n v="0"/>
    <n v="1"/>
    <s v="Divorced"/>
    <n v="0"/>
    <n v="0"/>
    <n v="4450"/>
    <n v="4450"/>
    <n v="1"/>
    <s v="No"/>
    <n v="0"/>
    <n v="11"/>
    <n v="3"/>
    <n v="3"/>
    <n v="2"/>
    <n v="5"/>
    <x v="7"/>
    <n v="3"/>
    <n v="3"/>
    <n v="4"/>
    <n v="4"/>
    <n v="2"/>
    <n v="1"/>
    <n v="1"/>
    <n v="3"/>
    <n v="3"/>
    <n v="6"/>
    <n v="1"/>
    <n v="0"/>
    <n v="0"/>
    <n v="0"/>
    <n v="1"/>
    <n v="0"/>
    <n v="0"/>
    <n v="0"/>
    <n v="0"/>
    <n v="3"/>
    <n v="0"/>
    <n v="0"/>
    <n v="5"/>
    <n v="0"/>
    <n v="0.43605567916154681"/>
    <n v="0.31476636926356072"/>
    <n v="0.80706439257840468"/>
    <n v="0.49100643357776058"/>
    <n v="0.46966160880232483"/>
    <n v="1.7597737514845315"/>
    <n v="0.36858985273641137"/>
  </r>
  <r>
    <n v="33"/>
    <n v="33"/>
    <s v="No"/>
    <n v="0"/>
    <s v="Travel_Rarely"/>
    <n v="0"/>
    <n v="1"/>
    <x v="1"/>
    <n v="1"/>
    <n v="0"/>
    <n v="14"/>
    <n v="14"/>
    <n v="3"/>
    <s v="Medical"/>
    <n v="0"/>
    <n v="0"/>
    <n v="1"/>
    <n v="0"/>
    <n v="0"/>
    <n v="4"/>
    <s v="Female"/>
    <n v="1"/>
    <n v="72"/>
    <n v="3"/>
    <n v="1"/>
    <s v="Research Scientist"/>
    <n v="0"/>
    <n v="0"/>
    <n v="0"/>
    <n v="0"/>
    <n v="0"/>
    <n v="0"/>
    <n v="0"/>
    <n v="1"/>
    <n v="2"/>
    <s v="Married"/>
    <n v="0"/>
    <n v="1"/>
    <n v="2756"/>
    <n v="2756"/>
    <n v="1"/>
    <s v="No"/>
    <n v="0"/>
    <n v="13"/>
    <n v="3"/>
    <n v="4"/>
    <n v="1"/>
    <n v="8"/>
    <x v="0"/>
    <n v="5"/>
    <n v="3"/>
    <n v="8"/>
    <n v="8"/>
    <n v="7"/>
    <n v="1"/>
    <n v="1"/>
    <n v="6"/>
    <n v="6"/>
    <n v="6"/>
    <n v="0"/>
    <n v="1"/>
    <n v="0"/>
    <n v="0"/>
    <n v="0"/>
    <n v="0"/>
    <n v="1"/>
    <n v="0"/>
    <n v="0"/>
    <n v="6"/>
    <n v="0"/>
    <n v="0"/>
    <n v="8"/>
    <n v="0"/>
    <n v="0.79587206619415907"/>
    <n v="0.52600872973843971"/>
    <n v="0.42149901815843233"/>
    <n v="0.16189221622713135"/>
    <n v="0.59301386267751111"/>
    <n v="0.42951823792158"/>
    <n v="0.36858985273641137"/>
  </r>
  <r>
    <n v="40"/>
    <n v="40"/>
    <s v="No"/>
    <n v="0"/>
    <s v="Travel_Rarely"/>
    <n v="0"/>
    <n v="1"/>
    <x v="1"/>
    <n v="1"/>
    <n v="0"/>
    <n v="4"/>
    <n v="4"/>
    <n v="1"/>
    <s v="Medical"/>
    <n v="0"/>
    <n v="0"/>
    <n v="1"/>
    <n v="0"/>
    <n v="0"/>
    <n v="4"/>
    <s v="Female"/>
    <n v="1"/>
    <n v="46"/>
    <n v="3"/>
    <n v="5"/>
    <s v="Manager"/>
    <n v="0"/>
    <n v="0"/>
    <n v="0"/>
    <n v="1"/>
    <n v="0"/>
    <n v="0"/>
    <n v="0"/>
    <n v="0"/>
    <n v="3"/>
    <s v="Married"/>
    <n v="0"/>
    <n v="1"/>
    <n v="19033"/>
    <n v="19033"/>
    <n v="1"/>
    <s v="No"/>
    <n v="0"/>
    <n v="14"/>
    <n v="3"/>
    <n v="2"/>
    <n v="1"/>
    <n v="21"/>
    <x v="23"/>
    <n v="2"/>
    <n v="3"/>
    <n v="20"/>
    <n v="20"/>
    <n v="8"/>
    <n v="9"/>
    <n v="9"/>
    <n v="9"/>
    <n v="9"/>
    <n v="45"/>
    <n v="0"/>
    <n v="1"/>
    <n v="0"/>
    <n v="0"/>
    <n v="0"/>
    <n v="0"/>
    <n v="1"/>
    <n v="0"/>
    <n v="0"/>
    <n v="9"/>
    <n v="0"/>
    <n v="0"/>
    <n v="21"/>
    <n v="0"/>
    <n v="2.6614663822886211"/>
    <n v="1.3667838287404401"/>
    <n v="1.2492842709947811"/>
    <n v="2.1205881656418071"/>
    <n v="0.64050867607435136"/>
    <n v="0.33673395837055903"/>
    <n v="2.114008468099899"/>
  </r>
  <r>
    <n v="55"/>
    <n v="55"/>
    <s v="No"/>
    <n v="0"/>
    <s v="Travel_Rarely"/>
    <n v="0"/>
    <n v="1"/>
    <x v="1"/>
    <n v="1"/>
    <n v="0"/>
    <n v="14"/>
    <n v="14"/>
    <n v="4"/>
    <s v="Medical"/>
    <n v="0"/>
    <n v="0"/>
    <n v="1"/>
    <n v="0"/>
    <n v="0"/>
    <n v="3"/>
    <s v="Male"/>
    <n v="0"/>
    <n v="61"/>
    <n v="4"/>
    <n v="5"/>
    <s v="Research Director"/>
    <n v="0"/>
    <n v="0"/>
    <n v="0"/>
    <n v="0"/>
    <n v="0"/>
    <n v="0"/>
    <n v="0"/>
    <n v="0"/>
    <n v="2"/>
    <s v="Single"/>
    <n v="1"/>
    <n v="0"/>
    <n v="18722"/>
    <n v="18722"/>
    <n v="8"/>
    <s v="No"/>
    <n v="0"/>
    <n v="11"/>
    <n v="3"/>
    <n v="4"/>
    <n v="0"/>
    <n v="36"/>
    <x v="28"/>
    <n v="3"/>
    <n v="3"/>
    <n v="24"/>
    <n v="24"/>
    <n v="15"/>
    <n v="2"/>
    <n v="2"/>
    <n v="15"/>
    <n v="14"/>
    <n v="70"/>
    <n v="1"/>
    <n v="0"/>
    <n v="0"/>
    <n v="0"/>
    <n v="1"/>
    <n v="0"/>
    <n v="0"/>
    <n v="0"/>
    <n v="0"/>
    <n v="14"/>
    <n v="0"/>
    <n v="0"/>
    <n v="35"/>
    <n v="0"/>
    <n v="2.595408001906601"/>
    <n v="3.048334026744441"/>
    <n v="3.1771111430946424"/>
    <n v="2.7734868154466992"/>
    <n v="0.59301386267751111"/>
    <n v="1.9787029504251428"/>
    <n v="5.8265062631872602E-2"/>
  </r>
  <r>
    <n v="34"/>
    <n v="34"/>
    <s v="No"/>
    <n v="0"/>
    <s v="Travel_Frequently"/>
    <n v="1"/>
    <n v="0"/>
    <x v="1"/>
    <n v="1"/>
    <n v="0"/>
    <n v="2"/>
    <n v="2"/>
    <n v="1"/>
    <s v="Life Sciences"/>
    <n v="1"/>
    <n v="0"/>
    <n v="0"/>
    <n v="0"/>
    <n v="0"/>
    <n v="4"/>
    <s v="Male"/>
    <n v="0"/>
    <n v="45"/>
    <n v="2"/>
    <n v="2"/>
    <s v="Manufacturing Director"/>
    <n v="0"/>
    <n v="0"/>
    <n v="0"/>
    <n v="0"/>
    <n v="1"/>
    <n v="1"/>
    <n v="0"/>
    <n v="0"/>
    <n v="3"/>
    <s v="Married"/>
    <n v="0"/>
    <n v="1"/>
    <n v="9547"/>
    <n v="9547"/>
    <n v="1"/>
    <s v="No"/>
    <n v="0"/>
    <n v="17"/>
    <n v="3"/>
    <n v="3"/>
    <n v="0"/>
    <n v="10"/>
    <x v="1"/>
    <n v="2"/>
    <n v="2"/>
    <n v="10"/>
    <n v="10"/>
    <n v="9"/>
    <n v="1"/>
    <n v="1"/>
    <n v="9"/>
    <n v="9"/>
    <n v="18"/>
    <n v="0"/>
    <n v="0"/>
    <n v="0"/>
    <n v="1"/>
    <n v="0"/>
    <n v="0"/>
    <n v="1"/>
    <n v="0"/>
    <n v="0"/>
    <n v="9"/>
    <n v="0"/>
    <n v="0"/>
    <n v="10"/>
    <n v="0"/>
    <n v="0.64657957745310768"/>
    <n v="1.3667838287404401"/>
    <n v="0.1644554352117841"/>
    <n v="0.48834154112957734"/>
    <n v="0.88721318382472392"/>
    <n v="0.32005363845127444"/>
    <n v="0.36858985273641137"/>
  </r>
  <r>
    <n v="51"/>
    <n v="51"/>
    <s v="No"/>
    <n v="0"/>
    <s v="Travel_Rarely"/>
    <n v="0"/>
    <n v="1"/>
    <x v="1"/>
    <n v="1"/>
    <n v="0"/>
    <n v="3"/>
    <n v="3"/>
    <n v="3"/>
    <s v="Medical"/>
    <n v="0"/>
    <n v="0"/>
    <n v="1"/>
    <n v="0"/>
    <n v="0"/>
    <n v="4"/>
    <s v="Female"/>
    <n v="1"/>
    <n v="98"/>
    <n v="3"/>
    <n v="4"/>
    <s v="Healthcare Representative"/>
    <n v="1"/>
    <n v="0"/>
    <n v="0"/>
    <n v="0"/>
    <n v="0"/>
    <n v="0"/>
    <n v="0"/>
    <n v="0"/>
    <n v="2"/>
    <s v="Single"/>
    <n v="1"/>
    <n v="0"/>
    <n v="13734"/>
    <n v="13734"/>
    <n v="3"/>
    <s v="No"/>
    <n v="0"/>
    <n v="18"/>
    <n v="3"/>
    <n v="3"/>
    <n v="0"/>
    <n v="21"/>
    <x v="23"/>
    <n v="6"/>
    <n v="3"/>
    <n v="7"/>
    <n v="7"/>
    <n v="7"/>
    <n v="1"/>
    <n v="1"/>
    <n v="0"/>
    <n v="0"/>
    <n v="0"/>
    <n v="1"/>
    <n v="0"/>
    <n v="0"/>
    <n v="0"/>
    <n v="1"/>
    <n v="0"/>
    <n v="0"/>
    <n v="0"/>
    <n v="0"/>
    <n v="0"/>
    <n v="0"/>
    <n v="0"/>
    <n v="21"/>
    <n v="0"/>
    <n v="1.5359250393808217"/>
    <n v="1.1555414682655611"/>
    <n v="1.2492842709947811"/>
    <n v="1.3324462240916321E-3"/>
    <n v="0.76386092994953758"/>
    <n v="1.5408445525439205"/>
    <n v="0.36858985273641137"/>
  </r>
  <r>
    <n v="52"/>
    <n v="52"/>
    <s v="No"/>
    <n v="0"/>
    <s v="Travel_Rarely"/>
    <n v="0"/>
    <n v="1"/>
    <x v="1"/>
    <n v="1"/>
    <n v="0"/>
    <n v="1"/>
    <n v="1"/>
    <n v="4"/>
    <s v="Life Sciences"/>
    <n v="1"/>
    <n v="0"/>
    <n v="0"/>
    <n v="0"/>
    <n v="0"/>
    <n v="3"/>
    <s v="Male"/>
    <n v="0"/>
    <n v="65"/>
    <n v="2"/>
    <n v="5"/>
    <s v="Manager"/>
    <n v="0"/>
    <n v="0"/>
    <n v="0"/>
    <n v="1"/>
    <n v="0"/>
    <n v="0"/>
    <n v="0"/>
    <n v="0"/>
    <n v="3"/>
    <s v="Married"/>
    <n v="0"/>
    <n v="1"/>
    <n v="19999"/>
    <n v="19626.310000000001"/>
    <n v="0"/>
    <s v="No"/>
    <n v="0"/>
    <n v="14"/>
    <n v="3"/>
    <n v="1"/>
    <n v="1"/>
    <n v="34"/>
    <x v="31"/>
    <n v="5"/>
    <n v="3"/>
    <n v="33"/>
    <n v="31"/>
    <n v="18"/>
    <n v="11"/>
    <n v="11"/>
    <n v="9"/>
    <n v="9"/>
    <n v="45"/>
    <n v="0"/>
    <n v="1"/>
    <n v="0"/>
    <n v="0"/>
    <n v="0"/>
    <n v="0"/>
    <n v="1"/>
    <n v="0"/>
    <n v="0"/>
    <n v="9"/>
    <n v="0"/>
    <n v="0"/>
    <n v="34"/>
    <n v="0"/>
    <n v="2.8666509335716812"/>
    <n v="1.3667838287404401"/>
    <n v="2.9200675601479942"/>
    <n v="4.2425087775077062"/>
    <n v="1.01056543769991"/>
    <n v="1.6503091520142259"/>
    <n v="2.7346580483089769"/>
  </r>
  <r>
    <n v="27"/>
    <n v="27"/>
    <s v="No"/>
    <n v="0"/>
    <s v="Travel_Rarely"/>
    <n v="0"/>
    <n v="1"/>
    <x v="1"/>
    <n v="1"/>
    <n v="0"/>
    <n v="9"/>
    <n v="9"/>
    <n v="3"/>
    <s v="Medical"/>
    <n v="0"/>
    <n v="0"/>
    <n v="1"/>
    <n v="0"/>
    <n v="0"/>
    <n v="4"/>
    <s v="Female"/>
    <n v="1"/>
    <n v="99"/>
    <n v="3"/>
    <n v="1"/>
    <s v="Research Scientist"/>
    <n v="0"/>
    <n v="0"/>
    <n v="0"/>
    <n v="0"/>
    <n v="0"/>
    <n v="0"/>
    <n v="0"/>
    <n v="1"/>
    <n v="2"/>
    <s v="Single"/>
    <n v="1"/>
    <n v="0"/>
    <n v="2279"/>
    <n v="2279"/>
    <n v="1"/>
    <s v="No"/>
    <n v="0"/>
    <n v="16"/>
    <n v="3"/>
    <n v="4"/>
    <n v="0"/>
    <n v="7"/>
    <x v="2"/>
    <n v="2"/>
    <n v="2"/>
    <n v="7"/>
    <n v="7"/>
    <n v="7"/>
    <n v="0"/>
    <n v="0"/>
    <n v="3"/>
    <n v="3"/>
    <n v="3"/>
    <n v="1"/>
    <n v="0"/>
    <n v="0"/>
    <n v="0"/>
    <n v="1"/>
    <n v="0"/>
    <n v="0"/>
    <n v="0"/>
    <n v="0"/>
    <n v="3"/>
    <n v="0"/>
    <n v="0"/>
    <n v="7"/>
    <n v="0"/>
    <n v="0.897189903628962"/>
    <n v="0.31476636926356072"/>
    <n v="0.55002080963175637"/>
    <n v="1.3324462240916321E-3"/>
    <n v="2.3747406698420157E-2"/>
    <n v="1.0863058347434136"/>
    <n v="0.67891464284095016"/>
  </r>
  <r>
    <n v="35"/>
    <n v="35"/>
    <s v="Yes"/>
    <n v="1"/>
    <s v="Travel_Rarely"/>
    <n v="0"/>
    <n v="1"/>
    <x v="1"/>
    <n v="1"/>
    <n v="0"/>
    <n v="23"/>
    <n v="23"/>
    <n v="2"/>
    <s v="Life Sciences"/>
    <n v="1"/>
    <n v="0"/>
    <n v="0"/>
    <n v="0"/>
    <n v="0"/>
    <n v="2"/>
    <s v="Male"/>
    <n v="0"/>
    <n v="50"/>
    <n v="2"/>
    <n v="2"/>
    <s v="Manufacturing Director"/>
    <n v="0"/>
    <n v="0"/>
    <n v="0"/>
    <n v="0"/>
    <n v="1"/>
    <n v="1"/>
    <n v="0"/>
    <n v="0"/>
    <n v="3"/>
    <s v="Married"/>
    <n v="0"/>
    <n v="1"/>
    <n v="5916"/>
    <n v="5916"/>
    <n v="3"/>
    <s v="Yes"/>
    <n v="1"/>
    <n v="13"/>
    <n v="3"/>
    <n v="1"/>
    <n v="0"/>
    <n v="8"/>
    <x v="0"/>
    <n v="1"/>
    <n v="3"/>
    <n v="1"/>
    <n v="1"/>
    <n v="0"/>
    <n v="0"/>
    <n v="0"/>
    <n v="1"/>
    <n v="1"/>
    <n v="2"/>
    <n v="0"/>
    <n v="1"/>
    <n v="0"/>
    <n v="0"/>
    <n v="0"/>
    <n v="0"/>
    <n v="0"/>
    <n v="1"/>
    <n v="0"/>
    <n v="1"/>
    <n v="0"/>
    <n v="0"/>
    <n v="8"/>
    <n v="0"/>
    <n v="0.12466794398456361"/>
    <n v="0.87528310193156111"/>
    <n v="0.42149901815843233"/>
    <n v="0.9806804209314296"/>
    <n v="1.7031841475541873"/>
    <n v="0.21058903898096887"/>
    <n v="0.67891464284095016"/>
  </r>
  <r>
    <n v="43"/>
    <n v="43"/>
    <s v="No"/>
    <n v="0"/>
    <s v="Non-Travel"/>
    <n v="0"/>
    <n v="0"/>
    <x v="1"/>
    <n v="1"/>
    <n v="0"/>
    <n v="7"/>
    <n v="7"/>
    <n v="3"/>
    <s v="Medical"/>
    <n v="0"/>
    <n v="0"/>
    <n v="1"/>
    <n v="0"/>
    <n v="0"/>
    <n v="4"/>
    <s v="Male"/>
    <n v="0"/>
    <n v="37"/>
    <n v="4"/>
    <n v="1"/>
    <s v="Research Scientist"/>
    <n v="0"/>
    <n v="0"/>
    <n v="0"/>
    <n v="0"/>
    <n v="0"/>
    <n v="0"/>
    <n v="0"/>
    <n v="1"/>
    <n v="4"/>
    <s v="Divorced"/>
    <n v="0"/>
    <n v="0"/>
    <n v="2089"/>
    <n v="2089"/>
    <n v="4"/>
    <s v="No"/>
    <n v="0"/>
    <n v="14"/>
    <n v="3"/>
    <n v="4"/>
    <n v="3"/>
    <n v="7"/>
    <x v="2"/>
    <n v="3"/>
    <n v="4"/>
    <n v="5"/>
    <n v="5"/>
    <n v="4"/>
    <n v="2"/>
    <n v="2"/>
    <n v="2"/>
    <n v="2"/>
    <n v="2"/>
    <n v="1"/>
    <n v="0"/>
    <n v="0"/>
    <n v="0"/>
    <n v="1"/>
    <n v="0"/>
    <n v="0"/>
    <n v="0"/>
    <n v="0"/>
    <n v="2"/>
    <n v="0"/>
    <n v="0"/>
    <n v="7"/>
    <n v="0"/>
    <n v="0.93754711350865283"/>
    <n v="0.59502473559756086"/>
    <n v="0.55002080963175637"/>
    <n v="0.32778177112653761"/>
    <n v="0.27045191444879263"/>
    <n v="0.66512775678147573"/>
    <n v="5.8265062631872602E-2"/>
  </r>
  <r>
    <n v="45"/>
    <n v="45"/>
    <s v="No"/>
    <n v="0"/>
    <s v="Non-Travel"/>
    <n v="0"/>
    <n v="0"/>
    <x v="1"/>
    <n v="1"/>
    <n v="0"/>
    <n v="2"/>
    <n v="2"/>
    <n v="2"/>
    <s v="Medical"/>
    <n v="0"/>
    <n v="0"/>
    <n v="1"/>
    <n v="0"/>
    <n v="0"/>
    <n v="1"/>
    <s v="Male"/>
    <n v="0"/>
    <n v="65"/>
    <n v="2"/>
    <n v="4"/>
    <s v="Manager"/>
    <n v="0"/>
    <n v="0"/>
    <n v="0"/>
    <n v="1"/>
    <n v="0"/>
    <n v="0"/>
    <n v="0"/>
    <n v="0"/>
    <n v="4"/>
    <s v="Married"/>
    <n v="0"/>
    <n v="1"/>
    <n v="16792"/>
    <n v="16792"/>
    <n v="9"/>
    <s v="No"/>
    <n v="0"/>
    <n v="23"/>
    <n v="4"/>
    <n v="4"/>
    <n v="1"/>
    <n v="22"/>
    <x v="13"/>
    <n v="1"/>
    <n v="3"/>
    <n v="20"/>
    <n v="20"/>
    <n v="8"/>
    <n v="11"/>
    <n v="11"/>
    <n v="8"/>
    <n v="8"/>
    <n v="32"/>
    <n v="0"/>
    <n v="1"/>
    <n v="0"/>
    <n v="0"/>
    <n v="0"/>
    <n v="0"/>
    <n v="1"/>
    <n v="0"/>
    <n v="0"/>
    <n v="8"/>
    <n v="0"/>
    <n v="0"/>
    <n v="22"/>
    <n v="0"/>
    <n v="2.1854637120760567"/>
    <n v="1.08652546240644"/>
    <n v="1.3778060624681052"/>
    <n v="2.1205881656418071"/>
    <n v="0.88721318382472392"/>
    <n v="0.88405695572208698"/>
    <n v="2.7346580483089769"/>
  </r>
  <r>
    <n v="37"/>
    <n v="37"/>
    <s v="No"/>
    <n v="0"/>
    <s v="Travel_Rarely"/>
    <n v="0"/>
    <n v="1"/>
    <x v="1"/>
    <n v="1"/>
    <n v="0"/>
    <n v="21"/>
    <n v="21"/>
    <n v="3"/>
    <s v="Life Sciences"/>
    <n v="1"/>
    <n v="0"/>
    <n v="0"/>
    <n v="0"/>
    <n v="0"/>
    <n v="2"/>
    <s v="Male"/>
    <n v="0"/>
    <n v="65"/>
    <n v="4"/>
    <n v="1"/>
    <s v="Research Scientist"/>
    <n v="0"/>
    <n v="0"/>
    <n v="0"/>
    <n v="0"/>
    <n v="0"/>
    <n v="0"/>
    <n v="0"/>
    <n v="1"/>
    <n v="1"/>
    <s v="Married"/>
    <n v="0"/>
    <n v="1"/>
    <n v="3564"/>
    <n v="3564"/>
    <n v="1"/>
    <s v="Yes"/>
    <n v="1"/>
    <n v="12"/>
    <n v="3"/>
    <n v="1"/>
    <n v="1"/>
    <n v="8"/>
    <x v="0"/>
    <n v="3"/>
    <n v="2"/>
    <n v="8"/>
    <n v="8"/>
    <n v="7"/>
    <n v="1"/>
    <n v="1"/>
    <n v="7"/>
    <n v="7"/>
    <n v="7"/>
    <n v="0"/>
    <n v="1"/>
    <n v="0"/>
    <n v="0"/>
    <n v="0"/>
    <n v="0"/>
    <n v="0"/>
    <n v="1"/>
    <n v="0"/>
    <n v="7"/>
    <n v="0"/>
    <n v="0"/>
    <n v="8"/>
    <n v="0"/>
    <n v="0.62424772102157899"/>
    <n v="0.80626709607243985"/>
    <n v="0.42149901815843233"/>
    <n v="0.16189221622713135"/>
    <n v="1.4564796398038149"/>
    <n v="8.3401599596422994E-3"/>
    <n v="0.36858985273641137"/>
  </r>
  <r>
    <n v="35"/>
    <n v="35"/>
    <s v="No"/>
    <n v="0"/>
    <s v="Travel_Frequently"/>
    <n v="1"/>
    <n v="0"/>
    <x v="1"/>
    <n v="1"/>
    <n v="0"/>
    <n v="2"/>
    <n v="2"/>
    <n v="3"/>
    <s v="Medical"/>
    <n v="0"/>
    <n v="0"/>
    <n v="1"/>
    <n v="0"/>
    <n v="0"/>
    <n v="2"/>
    <s v="Female"/>
    <n v="1"/>
    <n v="37"/>
    <n v="3"/>
    <n v="2"/>
    <s v="Laboratory Technician"/>
    <n v="0"/>
    <n v="0"/>
    <n v="1"/>
    <n v="0"/>
    <n v="0"/>
    <n v="0"/>
    <n v="0"/>
    <n v="0"/>
    <n v="2"/>
    <s v="Single"/>
    <n v="1"/>
    <n v="0"/>
    <n v="4425"/>
    <n v="4425"/>
    <n v="5"/>
    <s v="No"/>
    <n v="0"/>
    <n v="11"/>
    <n v="3"/>
    <n v="4"/>
    <n v="0"/>
    <n v="10"/>
    <x v="1"/>
    <n v="5"/>
    <n v="3"/>
    <n v="6"/>
    <n v="6"/>
    <n v="2"/>
    <n v="1"/>
    <n v="1"/>
    <n v="2"/>
    <n v="2"/>
    <n v="4"/>
    <n v="0"/>
    <n v="0"/>
    <n v="1"/>
    <n v="0"/>
    <n v="1"/>
    <n v="0"/>
    <n v="0"/>
    <n v="0"/>
    <n v="0"/>
    <n v="2"/>
    <n v="0"/>
    <n v="0"/>
    <n v="10"/>
    <n v="0"/>
    <n v="0.44136583835624299"/>
    <n v="0.59502473559756086"/>
    <n v="0.1644554352117841"/>
    <n v="0.16455710867531462"/>
    <n v="0.88721318382472392"/>
    <n v="0.21058903898096887"/>
    <n v="0.36858985273641137"/>
  </r>
  <r>
    <n v="42"/>
    <n v="42"/>
    <s v="No"/>
    <n v="0"/>
    <s v="Non-Travel"/>
    <n v="0"/>
    <n v="0"/>
    <x v="1"/>
    <n v="1"/>
    <n v="0"/>
    <n v="21"/>
    <n v="21"/>
    <n v="2"/>
    <s v="Medical"/>
    <n v="0"/>
    <n v="0"/>
    <n v="1"/>
    <n v="0"/>
    <n v="0"/>
    <n v="3"/>
    <s v="Female"/>
    <n v="1"/>
    <n v="36"/>
    <n v="3"/>
    <n v="2"/>
    <s v="Manufacturing Director"/>
    <n v="0"/>
    <n v="0"/>
    <n v="0"/>
    <n v="0"/>
    <n v="1"/>
    <n v="1"/>
    <n v="0"/>
    <n v="0"/>
    <n v="3"/>
    <s v="Divorced"/>
    <n v="0"/>
    <n v="0"/>
    <n v="5265"/>
    <n v="5265"/>
    <n v="2"/>
    <s v="No"/>
    <n v="0"/>
    <n v="16"/>
    <n v="3"/>
    <n v="2"/>
    <n v="1"/>
    <n v="11"/>
    <x v="26"/>
    <n v="5"/>
    <n v="3"/>
    <n v="5"/>
    <n v="5"/>
    <n v="3"/>
    <n v="0"/>
    <n v="0"/>
    <n v="2"/>
    <n v="2"/>
    <n v="4"/>
    <n v="1"/>
    <n v="0"/>
    <n v="0"/>
    <n v="0"/>
    <n v="1"/>
    <n v="0"/>
    <n v="0"/>
    <n v="0"/>
    <n v="0"/>
    <n v="2"/>
    <n v="0"/>
    <n v="0"/>
    <n v="11"/>
    <n v="0"/>
    <n v="0.26294448941445181"/>
    <n v="0.59502473559756086"/>
    <n v="3.593364373846001E-2"/>
    <n v="0.32778177112653761"/>
    <n v="1.4564796398038149"/>
    <n v="0.55566315731117022"/>
    <n v="0.67891464284095016"/>
  </r>
  <r>
    <n v="38"/>
    <n v="38"/>
    <s v="No"/>
    <n v="0"/>
    <s v="Travel_Rarely"/>
    <n v="0"/>
    <n v="1"/>
    <x v="1"/>
    <n v="1"/>
    <n v="0"/>
    <n v="2"/>
    <n v="2"/>
    <n v="4"/>
    <s v="Life Sciences"/>
    <n v="1"/>
    <n v="0"/>
    <n v="0"/>
    <n v="0"/>
    <n v="0"/>
    <n v="4"/>
    <s v="Male"/>
    <n v="0"/>
    <n v="88"/>
    <n v="3"/>
    <n v="2"/>
    <s v="Manufacturing Director"/>
    <n v="0"/>
    <n v="0"/>
    <n v="0"/>
    <n v="0"/>
    <n v="1"/>
    <n v="1"/>
    <n v="0"/>
    <n v="0"/>
    <n v="3"/>
    <s v="Married"/>
    <n v="0"/>
    <n v="1"/>
    <n v="6553"/>
    <n v="6553"/>
    <n v="9"/>
    <s v="No"/>
    <n v="0"/>
    <n v="14"/>
    <n v="3"/>
    <n v="2"/>
    <n v="0"/>
    <n v="14"/>
    <x v="18"/>
    <n v="3"/>
    <n v="3"/>
    <n v="1"/>
    <n v="1"/>
    <n v="0"/>
    <n v="0"/>
    <n v="0"/>
    <n v="0"/>
    <n v="0"/>
    <n v="0"/>
    <n v="0"/>
    <n v="1"/>
    <n v="0"/>
    <n v="0"/>
    <n v="0"/>
    <n v="0"/>
    <n v="1"/>
    <n v="0"/>
    <n v="0"/>
    <n v="0"/>
    <n v="0"/>
    <n v="0"/>
    <n v="14"/>
    <n v="0"/>
    <n v="1.0634912296294718E-2"/>
    <n v="1.1555414682655611"/>
    <n v="0.34963173068151232"/>
    <n v="0.9806804209314296"/>
    <n v="0.88721318382472392"/>
    <n v="0.11780475942994788"/>
    <n v="0.67891464284095016"/>
  </r>
  <r>
    <n v="38"/>
    <n v="38"/>
    <s v="No"/>
    <n v="0"/>
    <s v="Travel_Rarely"/>
    <n v="0"/>
    <n v="1"/>
    <x v="1"/>
    <n v="1"/>
    <n v="0"/>
    <n v="29"/>
    <n v="29"/>
    <n v="3"/>
    <s v="Technical Degree"/>
    <n v="0"/>
    <n v="0"/>
    <n v="0"/>
    <n v="0"/>
    <n v="1"/>
    <n v="4"/>
    <s v="Male"/>
    <n v="0"/>
    <n v="54"/>
    <n v="3"/>
    <n v="2"/>
    <s v="Manufacturing Director"/>
    <n v="0"/>
    <n v="0"/>
    <n v="0"/>
    <n v="0"/>
    <n v="1"/>
    <n v="1"/>
    <n v="0"/>
    <n v="0"/>
    <n v="4"/>
    <s v="Married"/>
    <n v="0"/>
    <n v="1"/>
    <n v="6261"/>
    <n v="6261"/>
    <n v="3"/>
    <s v="No"/>
    <n v="0"/>
    <n v="18"/>
    <n v="3"/>
    <n v="1"/>
    <n v="1"/>
    <n v="9"/>
    <x v="14"/>
    <n v="3"/>
    <n v="1"/>
    <n v="7"/>
    <n v="7"/>
    <n v="7"/>
    <n v="1"/>
    <n v="1"/>
    <n v="7"/>
    <n v="7"/>
    <n v="14"/>
    <n v="0"/>
    <n v="1"/>
    <n v="0"/>
    <n v="0"/>
    <n v="0"/>
    <n v="0"/>
    <n v="1"/>
    <n v="0"/>
    <n v="0"/>
    <n v="7"/>
    <n v="0"/>
    <n v="0"/>
    <n v="9"/>
    <n v="0"/>
    <n v="5.1387747097756509E-2"/>
    <n v="0.80626709607243985"/>
    <n v="0.29297722668510823"/>
    <n v="1.3324462240916321E-3"/>
    <n v="2.4432976708053049"/>
    <n v="0.11780475942994788"/>
    <n v="0.36858985273641137"/>
  </r>
  <r>
    <n v="27"/>
    <n v="27"/>
    <s v="No"/>
    <n v="0"/>
    <s v="Travel_Frequently"/>
    <n v="1"/>
    <n v="0"/>
    <x v="1"/>
    <n v="1"/>
    <n v="0"/>
    <n v="1"/>
    <n v="1"/>
    <n v="1"/>
    <s v="Technical Degree"/>
    <n v="0"/>
    <n v="0"/>
    <n v="0"/>
    <n v="0"/>
    <n v="1"/>
    <n v="3"/>
    <s v="Male"/>
    <n v="0"/>
    <n v="60"/>
    <n v="2"/>
    <n v="2"/>
    <s v="Manufacturing Director"/>
    <n v="0"/>
    <n v="0"/>
    <n v="0"/>
    <n v="0"/>
    <n v="1"/>
    <n v="1"/>
    <n v="0"/>
    <n v="0"/>
    <n v="1"/>
    <s v="Married"/>
    <n v="0"/>
    <n v="1"/>
    <n v="4298"/>
    <n v="4298"/>
    <n v="5"/>
    <s v="No"/>
    <n v="0"/>
    <n v="19"/>
    <n v="3"/>
    <n v="3"/>
    <n v="1"/>
    <n v="6"/>
    <x v="3"/>
    <n v="1"/>
    <n v="3"/>
    <n v="2"/>
    <n v="2"/>
    <n v="2"/>
    <n v="2"/>
    <n v="2"/>
    <n v="0"/>
    <n v="0"/>
    <n v="0"/>
    <n v="0"/>
    <n v="0"/>
    <n v="0"/>
    <n v="1"/>
    <n v="0"/>
    <n v="0"/>
    <n v="1"/>
    <n v="0"/>
    <n v="0"/>
    <n v="0"/>
    <n v="0"/>
    <n v="0"/>
    <n v="6"/>
    <n v="0"/>
    <n v="0.46834144706529951"/>
    <n v="1.1555414682655611"/>
    <n v="0.67854260110508058"/>
    <n v="0.81745575848020657"/>
    <n v="1.01056543769991"/>
    <n v="1.0863058347434136"/>
    <n v="5.8265062631872602E-2"/>
  </r>
  <r>
    <n v="49"/>
    <n v="49"/>
    <s v="No"/>
    <n v="0"/>
    <s v="Non-Travel"/>
    <n v="0"/>
    <n v="0"/>
    <x v="1"/>
    <n v="1"/>
    <n v="0"/>
    <n v="18"/>
    <n v="18"/>
    <n v="4"/>
    <s v="Life Sciences"/>
    <n v="1"/>
    <n v="0"/>
    <n v="0"/>
    <n v="0"/>
    <n v="0"/>
    <n v="4"/>
    <s v="Male"/>
    <n v="0"/>
    <n v="92"/>
    <n v="3"/>
    <n v="2"/>
    <s v="Manufacturing Director"/>
    <n v="0"/>
    <n v="0"/>
    <n v="0"/>
    <n v="0"/>
    <n v="1"/>
    <n v="1"/>
    <n v="0"/>
    <n v="0"/>
    <n v="4"/>
    <s v="Divorced"/>
    <n v="0"/>
    <n v="0"/>
    <n v="6804"/>
    <n v="6804"/>
    <n v="1"/>
    <s v="Yes"/>
    <n v="1"/>
    <n v="15"/>
    <n v="3"/>
    <n v="1"/>
    <n v="2"/>
    <n v="7"/>
    <x v="2"/>
    <n v="0"/>
    <n v="3"/>
    <n v="7"/>
    <n v="7"/>
    <n v="7"/>
    <n v="1"/>
    <n v="1"/>
    <n v="7"/>
    <n v="7"/>
    <n v="14"/>
    <n v="1"/>
    <n v="0"/>
    <n v="0"/>
    <n v="0"/>
    <n v="0"/>
    <n v="1"/>
    <n v="0"/>
    <n v="0"/>
    <n v="0"/>
    <n v="7"/>
    <n v="0"/>
    <n v="0"/>
    <n v="7"/>
    <n v="0"/>
    <n v="6.3948910611044227E-2"/>
    <n v="0.80626709607243985"/>
    <n v="0.55002080963175637"/>
    <n v="1.3324462240916321E-3"/>
    <n v="1.0864228781782561"/>
    <n v="1.3219153536033093"/>
    <n v="0.36858985273641137"/>
  </r>
  <r>
    <n v="34"/>
    <n v="34"/>
    <s v="No"/>
    <n v="0"/>
    <s v="Travel_Frequently"/>
    <n v="1"/>
    <n v="0"/>
    <x v="1"/>
    <n v="1"/>
    <n v="0"/>
    <n v="10"/>
    <n v="10"/>
    <n v="4"/>
    <s v="Medical"/>
    <n v="0"/>
    <n v="0"/>
    <n v="1"/>
    <n v="0"/>
    <n v="0"/>
    <n v="4"/>
    <s v="Male"/>
    <n v="0"/>
    <n v="43"/>
    <n v="3"/>
    <n v="1"/>
    <s v="Research Scientist"/>
    <n v="0"/>
    <n v="0"/>
    <n v="0"/>
    <n v="0"/>
    <n v="0"/>
    <n v="0"/>
    <n v="0"/>
    <n v="1"/>
    <n v="3"/>
    <s v="Divorced"/>
    <n v="0"/>
    <n v="0"/>
    <n v="3815"/>
    <n v="3815"/>
    <n v="1"/>
    <s v="Yes"/>
    <n v="1"/>
    <n v="17"/>
    <n v="3"/>
    <n v="4"/>
    <n v="1"/>
    <n v="5"/>
    <x v="7"/>
    <n v="4"/>
    <n v="4"/>
    <n v="5"/>
    <n v="5"/>
    <n v="3"/>
    <n v="2"/>
    <n v="2"/>
    <n v="0"/>
    <n v="0"/>
    <n v="0"/>
    <n v="0"/>
    <n v="0"/>
    <n v="1"/>
    <n v="0"/>
    <n v="0"/>
    <n v="1"/>
    <n v="0"/>
    <n v="0"/>
    <n v="0"/>
    <n v="0"/>
    <n v="0"/>
    <n v="0"/>
    <n v="5"/>
    <n v="0"/>
    <n v="0.57093372270682952"/>
    <n v="1.1555414682655611"/>
    <n v="0.80706439257840468"/>
    <n v="0.32778177112653761"/>
    <n v="9.9604847176766084E-2"/>
    <n v="0.32005363845127444"/>
    <n v="5.8265062631872602E-2"/>
  </r>
  <r>
    <n v="40"/>
    <n v="40"/>
    <s v="No"/>
    <n v="0"/>
    <s v="Travel_Rarely"/>
    <n v="0"/>
    <n v="1"/>
    <x v="1"/>
    <n v="1"/>
    <n v="0"/>
    <n v="19"/>
    <n v="19"/>
    <n v="2"/>
    <s v="Medical"/>
    <n v="0"/>
    <n v="0"/>
    <n v="1"/>
    <n v="0"/>
    <n v="0"/>
    <n v="3"/>
    <s v="Male"/>
    <n v="0"/>
    <n v="99"/>
    <n v="3"/>
    <n v="2"/>
    <s v="Laboratory Technician"/>
    <n v="0"/>
    <n v="0"/>
    <n v="1"/>
    <n v="0"/>
    <n v="0"/>
    <n v="0"/>
    <n v="0"/>
    <n v="0"/>
    <n v="4"/>
    <s v="Married"/>
    <n v="0"/>
    <n v="1"/>
    <n v="2741"/>
    <n v="2741"/>
    <n v="8"/>
    <s v="Yes"/>
    <n v="1"/>
    <n v="15"/>
    <n v="3"/>
    <n v="3"/>
    <n v="1"/>
    <n v="15"/>
    <x v="19"/>
    <n v="2"/>
    <n v="4"/>
    <n v="7"/>
    <n v="7"/>
    <n v="2"/>
    <n v="3"/>
    <n v="3"/>
    <n v="7"/>
    <n v="7"/>
    <n v="14"/>
    <n v="0"/>
    <n v="1"/>
    <n v="0"/>
    <n v="0"/>
    <n v="0"/>
    <n v="0"/>
    <n v="0"/>
    <n v="1"/>
    <n v="0"/>
    <n v="7"/>
    <n v="0"/>
    <n v="0"/>
    <n v="15"/>
    <n v="0"/>
    <n v="0.79905816171097677"/>
    <n v="0.80626709607243985"/>
    <n v="0.47815352215483642"/>
    <n v="1.3324462240916321E-3"/>
    <n v="1.2097751320534422"/>
    <n v="0.33673395837055903"/>
    <n v="0.2520597274726662"/>
  </r>
  <r>
    <n v="38"/>
    <n v="38"/>
    <s v="Yes"/>
    <n v="1"/>
    <s v="Travel_Rarely"/>
    <n v="0"/>
    <n v="1"/>
    <x v="1"/>
    <n v="1"/>
    <n v="0"/>
    <n v="29"/>
    <n v="29"/>
    <n v="1"/>
    <s v="Medical"/>
    <n v="0"/>
    <n v="0"/>
    <n v="1"/>
    <n v="0"/>
    <n v="0"/>
    <n v="2"/>
    <s v="Male"/>
    <n v="0"/>
    <n v="70"/>
    <n v="3"/>
    <n v="2"/>
    <s v="Healthcare Representative"/>
    <n v="1"/>
    <n v="0"/>
    <n v="0"/>
    <n v="0"/>
    <n v="0"/>
    <n v="0"/>
    <n v="0"/>
    <n v="0"/>
    <n v="1"/>
    <s v="Married"/>
    <n v="0"/>
    <n v="1"/>
    <n v="6673"/>
    <n v="6673"/>
    <n v="7"/>
    <s v="Yes"/>
    <n v="1"/>
    <n v="19"/>
    <n v="3"/>
    <n v="2"/>
    <n v="0"/>
    <n v="17"/>
    <x v="6"/>
    <n v="2"/>
    <n v="3"/>
    <n v="1"/>
    <n v="1"/>
    <n v="0"/>
    <n v="0"/>
    <n v="0"/>
    <n v="0"/>
    <n v="0"/>
    <n v="0"/>
    <n v="0"/>
    <n v="1"/>
    <n v="0"/>
    <n v="0"/>
    <n v="0"/>
    <n v="0"/>
    <n v="0"/>
    <n v="1"/>
    <n v="0"/>
    <n v="0"/>
    <n v="0"/>
    <n v="0"/>
    <n v="17"/>
    <n v="0"/>
    <n v="3.6123676430836318E-2"/>
    <n v="1.1555414682655611"/>
    <n v="0.73519710510148462"/>
    <n v="0.9806804209314296"/>
    <n v="2.4432976708053049"/>
    <n v="0.11780475942994788"/>
    <n v="0.67891464284095016"/>
  </r>
  <r>
    <n v="29"/>
    <n v="29"/>
    <s v="Yes"/>
    <n v="1"/>
    <s v="Travel_Rarely"/>
    <n v="0"/>
    <n v="1"/>
    <x v="0"/>
    <n v="0"/>
    <n v="1"/>
    <n v="27"/>
    <n v="27"/>
    <n v="3"/>
    <s v="Marketing"/>
    <n v="0"/>
    <n v="0"/>
    <n v="0"/>
    <n v="1"/>
    <n v="0"/>
    <n v="2"/>
    <s v="Female"/>
    <n v="1"/>
    <n v="35"/>
    <n v="3"/>
    <n v="3"/>
    <s v="Sales Executive"/>
    <n v="0"/>
    <n v="1"/>
    <n v="0"/>
    <n v="0"/>
    <n v="0"/>
    <n v="0"/>
    <n v="0"/>
    <n v="0"/>
    <n v="4"/>
    <s v="Married"/>
    <n v="0"/>
    <n v="1"/>
    <n v="7639"/>
    <n v="7639"/>
    <n v="1"/>
    <s v="No"/>
    <n v="0"/>
    <n v="22"/>
    <n v="4"/>
    <n v="4"/>
    <n v="3"/>
    <n v="10"/>
    <x v="1"/>
    <n v="3"/>
    <n v="2"/>
    <n v="10"/>
    <n v="10"/>
    <n v="4"/>
    <n v="1"/>
    <n v="1"/>
    <n v="9"/>
    <n v="9"/>
    <n v="27"/>
    <n v="0"/>
    <n v="1"/>
    <n v="0"/>
    <n v="0"/>
    <n v="0"/>
    <n v="0"/>
    <n v="1"/>
    <n v="0"/>
    <n v="0"/>
    <n v="0"/>
    <n v="9"/>
    <n v="0"/>
    <n v="0"/>
    <n v="10"/>
    <n v="0.24130822771389621"/>
    <n v="1.3667838287404401"/>
    <n v="0.1644554352117841"/>
    <n v="0.48834154112957734"/>
    <n v="2.1965931630549322"/>
    <n v="0.86737663580280233"/>
    <n v="0.36858985273641137"/>
  </r>
  <r>
    <n v="22"/>
    <n v="22"/>
    <s v="No"/>
    <n v="0"/>
    <s v="Travel_Rarely"/>
    <n v="0"/>
    <n v="1"/>
    <x v="1"/>
    <n v="1"/>
    <n v="0"/>
    <n v="5"/>
    <n v="5"/>
    <n v="3"/>
    <s v="Life Sciences"/>
    <n v="1"/>
    <n v="0"/>
    <n v="0"/>
    <n v="0"/>
    <n v="0"/>
    <n v="4"/>
    <s v="Male"/>
    <n v="0"/>
    <n v="60"/>
    <n v="4"/>
    <n v="1"/>
    <s v="Research Scientist"/>
    <n v="0"/>
    <n v="0"/>
    <n v="0"/>
    <n v="0"/>
    <n v="0"/>
    <n v="0"/>
    <n v="0"/>
    <n v="1"/>
    <n v="2"/>
    <s v="Divorced"/>
    <n v="0"/>
    <n v="0"/>
    <n v="2328"/>
    <n v="2328"/>
    <n v="1"/>
    <s v="Yes"/>
    <n v="1"/>
    <n v="16"/>
    <n v="3"/>
    <n v="1"/>
    <n v="1"/>
    <n v="4"/>
    <x v="20"/>
    <n v="2"/>
    <n v="2"/>
    <n v="4"/>
    <n v="4"/>
    <n v="2"/>
    <n v="2"/>
    <n v="2"/>
    <n v="2"/>
    <n v="2"/>
    <n v="2"/>
    <n v="1"/>
    <n v="0"/>
    <n v="0"/>
    <n v="0"/>
    <n v="0"/>
    <n v="1"/>
    <n v="0"/>
    <n v="0"/>
    <n v="0"/>
    <n v="2"/>
    <n v="0"/>
    <n v="0"/>
    <n v="4"/>
    <n v="0"/>
    <n v="0.88678199160735749"/>
    <n v="0.59502473559756086"/>
    <n v="0.93558618405172878"/>
    <n v="0.49100643357776058"/>
    <n v="0.51715642219916513"/>
    <n v="1.6336288320949415"/>
    <n v="5.8265062631872602E-2"/>
  </r>
  <r>
    <n v="36"/>
    <n v="36"/>
    <s v="No"/>
    <n v="0"/>
    <s v="Travel_Frequently"/>
    <n v="1"/>
    <n v="0"/>
    <x v="1"/>
    <n v="1"/>
    <n v="0"/>
    <n v="18"/>
    <n v="18"/>
    <n v="1"/>
    <s v="Medical"/>
    <n v="0"/>
    <n v="0"/>
    <n v="1"/>
    <n v="0"/>
    <n v="0"/>
    <n v="2"/>
    <s v="Female"/>
    <n v="1"/>
    <n v="73"/>
    <n v="3"/>
    <n v="1"/>
    <s v="Laboratory Technician"/>
    <n v="0"/>
    <n v="0"/>
    <n v="1"/>
    <n v="0"/>
    <n v="0"/>
    <n v="0"/>
    <n v="0"/>
    <n v="0"/>
    <n v="4"/>
    <s v="Single"/>
    <n v="1"/>
    <n v="0"/>
    <n v="2153"/>
    <n v="2153"/>
    <n v="1"/>
    <s v="No"/>
    <n v="0"/>
    <n v="13"/>
    <n v="3"/>
    <n v="1"/>
    <n v="0"/>
    <n v="8"/>
    <x v="0"/>
    <n v="2"/>
    <n v="3"/>
    <n v="8"/>
    <n v="8"/>
    <n v="1"/>
    <n v="1"/>
    <n v="1"/>
    <n v="7"/>
    <n v="7"/>
    <n v="7"/>
    <n v="0"/>
    <n v="0"/>
    <n v="1"/>
    <n v="0"/>
    <n v="1"/>
    <n v="0"/>
    <n v="0"/>
    <n v="0"/>
    <n v="0"/>
    <n v="7"/>
    <n v="0"/>
    <n v="0"/>
    <n v="8"/>
    <n v="0"/>
    <n v="0.92395310597023061"/>
    <n v="0.80626709607243985"/>
    <n v="0.42149901815843233"/>
    <n v="0.16189221622713135"/>
    <n v="1.0864228781782561"/>
    <n v="0.10112443951066327"/>
    <n v="0.36858985273641137"/>
  </r>
  <r>
    <n v="40"/>
    <n v="40"/>
    <s v="No"/>
    <n v="0"/>
    <s v="Non-Travel"/>
    <n v="0"/>
    <n v="0"/>
    <x v="1"/>
    <n v="1"/>
    <n v="0"/>
    <n v="9"/>
    <n v="9"/>
    <n v="5"/>
    <s v="Life Sciences"/>
    <n v="1"/>
    <n v="0"/>
    <n v="0"/>
    <n v="0"/>
    <n v="0"/>
    <n v="4"/>
    <s v="Male"/>
    <n v="0"/>
    <n v="63"/>
    <n v="2"/>
    <n v="2"/>
    <s v="Healthcare Representative"/>
    <n v="1"/>
    <n v="0"/>
    <n v="0"/>
    <n v="0"/>
    <n v="0"/>
    <n v="0"/>
    <n v="0"/>
    <n v="0"/>
    <n v="4"/>
    <s v="Married"/>
    <n v="0"/>
    <n v="1"/>
    <n v="4876"/>
    <n v="4876"/>
    <n v="9"/>
    <s v="No"/>
    <n v="0"/>
    <n v="14"/>
    <n v="3"/>
    <n v="4"/>
    <n v="1"/>
    <n v="5"/>
    <x v="7"/>
    <n v="5"/>
    <n v="1"/>
    <n v="3"/>
    <n v="3"/>
    <n v="2"/>
    <n v="0"/>
    <n v="0"/>
    <n v="2"/>
    <n v="2"/>
    <n v="4"/>
    <n v="0"/>
    <n v="1"/>
    <n v="0"/>
    <n v="0"/>
    <n v="0"/>
    <n v="0"/>
    <n v="1"/>
    <n v="0"/>
    <n v="0"/>
    <n v="2"/>
    <n v="0"/>
    <n v="0"/>
    <n v="5"/>
    <n v="0"/>
    <n v="0.34557056648392415"/>
    <n v="0.59502473559756086"/>
    <n v="0.80706439257840468"/>
    <n v="0.65423109602898355"/>
    <n v="2.3747406698420157E-2"/>
    <n v="0.33673395837055903"/>
    <n v="0.67891464284095016"/>
  </r>
  <r>
    <n v="46"/>
    <n v="46"/>
    <s v="No"/>
    <n v="0"/>
    <s v="Travel_Rarely"/>
    <n v="0"/>
    <n v="1"/>
    <x v="1"/>
    <n v="1"/>
    <n v="0"/>
    <n v="1"/>
    <n v="1"/>
    <n v="4"/>
    <s v="Medical"/>
    <n v="0"/>
    <n v="0"/>
    <n v="1"/>
    <n v="0"/>
    <n v="0"/>
    <n v="4"/>
    <s v="Male"/>
    <n v="0"/>
    <n v="97"/>
    <n v="3"/>
    <n v="3"/>
    <s v="Healthcare Representative"/>
    <n v="1"/>
    <n v="0"/>
    <n v="0"/>
    <n v="0"/>
    <n v="0"/>
    <n v="0"/>
    <n v="0"/>
    <n v="0"/>
    <n v="1"/>
    <s v="Divorced"/>
    <n v="0"/>
    <n v="0"/>
    <n v="9396"/>
    <n v="9396"/>
    <n v="7"/>
    <s v="No"/>
    <n v="0"/>
    <n v="16"/>
    <n v="3"/>
    <n v="3"/>
    <n v="1"/>
    <n v="17"/>
    <x v="6"/>
    <n v="3"/>
    <n v="3"/>
    <n v="4"/>
    <n v="4"/>
    <n v="2"/>
    <n v="0"/>
    <n v="0"/>
    <n v="3"/>
    <n v="3"/>
    <n v="9"/>
    <n v="1"/>
    <n v="0"/>
    <n v="0"/>
    <n v="0"/>
    <n v="1"/>
    <n v="0"/>
    <n v="0"/>
    <n v="0"/>
    <n v="0"/>
    <n v="3"/>
    <n v="0"/>
    <n v="0"/>
    <n v="17"/>
    <n v="0"/>
    <n v="0.61450621591714283"/>
    <n v="0.31476636926356072"/>
    <n v="0.73519710510148462"/>
    <n v="0.49100643357776058"/>
    <n v="1.01056543769991"/>
    <n v="0.99352155519239249"/>
    <n v="0.67891464284095016"/>
  </r>
  <r>
    <n v="32"/>
    <n v="32"/>
    <s v="Yes"/>
    <n v="1"/>
    <s v="Travel_Rarely"/>
    <n v="0"/>
    <n v="1"/>
    <x v="0"/>
    <n v="0"/>
    <n v="1"/>
    <n v="4"/>
    <n v="4"/>
    <n v="4"/>
    <s v="Medical"/>
    <n v="0"/>
    <n v="0"/>
    <n v="1"/>
    <n v="0"/>
    <n v="0"/>
    <n v="4"/>
    <s v="Male"/>
    <n v="0"/>
    <n v="32"/>
    <n v="1"/>
    <n v="3"/>
    <s v="Sales Executive"/>
    <n v="0"/>
    <n v="1"/>
    <n v="0"/>
    <n v="0"/>
    <n v="0"/>
    <n v="0"/>
    <n v="0"/>
    <n v="0"/>
    <n v="4"/>
    <s v="Married"/>
    <n v="0"/>
    <n v="1"/>
    <n v="10400"/>
    <n v="10400"/>
    <n v="1"/>
    <s v="No"/>
    <n v="0"/>
    <n v="11"/>
    <n v="3"/>
    <n v="3"/>
    <n v="0"/>
    <n v="14"/>
    <x v="18"/>
    <n v="2"/>
    <n v="2"/>
    <n v="14"/>
    <n v="14"/>
    <n v="8"/>
    <n v="9"/>
    <n v="9"/>
    <n v="8"/>
    <n v="8"/>
    <n v="24"/>
    <n v="0"/>
    <n v="1"/>
    <n v="0"/>
    <n v="0"/>
    <n v="0"/>
    <n v="0"/>
    <n v="1"/>
    <n v="0"/>
    <n v="0"/>
    <n v="0"/>
    <n v="8"/>
    <n v="0"/>
    <n v="0"/>
    <n v="14"/>
    <n v="0.82776220917614085"/>
    <n v="1.08652546240644"/>
    <n v="0.34963173068151232"/>
    <n v="1.1412401909344694"/>
    <n v="0.64050867607435136"/>
    <n v="0.53898283739188557"/>
    <n v="2.114008468099899"/>
  </r>
  <r>
    <n v="30"/>
    <n v="30"/>
    <s v="No"/>
    <n v="0"/>
    <s v="Non-Travel"/>
    <n v="0"/>
    <n v="0"/>
    <x v="1"/>
    <n v="1"/>
    <n v="0"/>
    <n v="1"/>
    <n v="1"/>
    <n v="1"/>
    <s v="Life Sciences"/>
    <n v="1"/>
    <n v="0"/>
    <n v="0"/>
    <n v="0"/>
    <n v="0"/>
    <n v="3"/>
    <s v="Male"/>
    <n v="0"/>
    <n v="88"/>
    <n v="2"/>
    <n v="3"/>
    <s v="Manufacturing Director"/>
    <n v="0"/>
    <n v="0"/>
    <n v="0"/>
    <n v="0"/>
    <n v="1"/>
    <n v="1"/>
    <n v="0"/>
    <n v="0"/>
    <n v="3"/>
    <s v="Single"/>
    <n v="1"/>
    <n v="0"/>
    <n v="8474"/>
    <n v="8474"/>
    <n v="1"/>
    <s v="No"/>
    <n v="0"/>
    <n v="22"/>
    <n v="4"/>
    <n v="3"/>
    <n v="0"/>
    <n v="12"/>
    <x v="4"/>
    <n v="2"/>
    <n v="3"/>
    <n v="11"/>
    <n v="11"/>
    <n v="8"/>
    <n v="5"/>
    <n v="5"/>
    <n v="8"/>
    <n v="8"/>
    <n v="24"/>
    <n v="1"/>
    <n v="0"/>
    <n v="0"/>
    <n v="0"/>
    <n v="1"/>
    <n v="0"/>
    <n v="0"/>
    <n v="0"/>
    <n v="0"/>
    <n v="8"/>
    <n v="0"/>
    <n v="0"/>
    <n v="12"/>
    <n v="0"/>
    <n v="0.41866754481674817"/>
    <n v="1.08652546240644"/>
    <n v="9.2588147734864096E-2"/>
    <n v="0.65156620358080031"/>
    <n v="1.01056543769991"/>
    <n v="0.75791203633249671"/>
    <n v="0.87270930768174382"/>
  </r>
  <r>
    <n v="27"/>
    <n v="27"/>
    <s v="No"/>
    <n v="0"/>
    <s v="Travel_Frequently"/>
    <n v="1"/>
    <n v="0"/>
    <x v="0"/>
    <n v="0"/>
    <n v="1"/>
    <n v="20"/>
    <n v="20"/>
    <n v="3"/>
    <s v="Life Sciences"/>
    <n v="1"/>
    <n v="0"/>
    <n v="0"/>
    <n v="0"/>
    <n v="0"/>
    <n v="4"/>
    <s v="Female"/>
    <n v="1"/>
    <n v="90"/>
    <n v="3"/>
    <n v="2"/>
    <s v="Sales Executive"/>
    <n v="0"/>
    <n v="1"/>
    <n v="0"/>
    <n v="0"/>
    <n v="0"/>
    <n v="0"/>
    <n v="0"/>
    <n v="0"/>
    <n v="3"/>
    <s v="Single"/>
    <n v="1"/>
    <n v="0"/>
    <n v="9981"/>
    <n v="9981"/>
    <n v="1"/>
    <s v="No"/>
    <n v="0"/>
    <n v="14"/>
    <n v="3"/>
    <n v="4"/>
    <n v="0"/>
    <n v="7"/>
    <x v="2"/>
    <n v="2"/>
    <n v="3"/>
    <n v="7"/>
    <n v="7"/>
    <n v="7"/>
    <n v="0"/>
    <n v="0"/>
    <n v="7"/>
    <n v="7"/>
    <n v="14"/>
    <n v="0"/>
    <n v="0"/>
    <n v="1"/>
    <n v="0"/>
    <n v="1"/>
    <n v="0"/>
    <n v="0"/>
    <n v="0"/>
    <n v="0"/>
    <n v="0"/>
    <n v="7"/>
    <n v="0"/>
    <n v="0"/>
    <n v="7"/>
    <n v="0.73876394107303311"/>
    <n v="0.80626709607243985"/>
    <n v="0.55002080963175637"/>
    <n v="1.3324462240916321E-3"/>
    <n v="1.3331273859286286"/>
    <n v="1.0863058347434136"/>
    <n v="0.67891464284095016"/>
  </r>
  <r>
    <n v="51"/>
    <n v="51"/>
    <s v="No"/>
    <n v="0"/>
    <s v="Travel_Rarely"/>
    <n v="0"/>
    <n v="1"/>
    <x v="1"/>
    <n v="1"/>
    <n v="0"/>
    <n v="8"/>
    <n v="8"/>
    <n v="4"/>
    <s v="Life Sciences"/>
    <n v="1"/>
    <n v="0"/>
    <n v="0"/>
    <n v="0"/>
    <n v="0"/>
    <n v="2"/>
    <s v="Male"/>
    <n v="0"/>
    <n v="81"/>
    <n v="2"/>
    <n v="3"/>
    <s v="Research Director"/>
    <n v="0"/>
    <n v="0"/>
    <n v="0"/>
    <n v="0"/>
    <n v="0"/>
    <n v="0"/>
    <n v="0"/>
    <n v="0"/>
    <n v="2"/>
    <s v="Married"/>
    <n v="0"/>
    <n v="1"/>
    <n v="12490"/>
    <n v="12490"/>
    <n v="5"/>
    <s v="No"/>
    <n v="0"/>
    <n v="16"/>
    <n v="3"/>
    <n v="4"/>
    <n v="2"/>
    <n v="16"/>
    <x v="27"/>
    <n v="5"/>
    <n v="1"/>
    <n v="10"/>
    <n v="10"/>
    <n v="9"/>
    <n v="4"/>
    <n v="4"/>
    <n v="7"/>
    <n v="7"/>
    <n v="21"/>
    <n v="0"/>
    <n v="1"/>
    <n v="0"/>
    <n v="0"/>
    <n v="0"/>
    <n v="0"/>
    <n v="1"/>
    <n v="0"/>
    <n v="0"/>
    <n v="7"/>
    <n v="0"/>
    <n v="0"/>
    <n v="16"/>
    <n v="0"/>
    <n v="1.2716915178527404"/>
    <n v="0.80626709607243985"/>
    <n v="0.60667531362816052"/>
    <n v="0.48834154112957734"/>
    <n v="0.14709966057360641"/>
    <n v="1.5408445525439205"/>
    <n v="0.56238451757720498"/>
  </r>
  <r>
    <n v="30"/>
    <n v="30"/>
    <s v="Yes"/>
    <n v="1"/>
    <s v="Travel_Rarely"/>
    <n v="0"/>
    <n v="1"/>
    <x v="1"/>
    <n v="1"/>
    <n v="0"/>
    <n v="3"/>
    <n v="3"/>
    <n v="3"/>
    <s v="Technical Degree"/>
    <n v="0"/>
    <n v="0"/>
    <n v="0"/>
    <n v="0"/>
    <n v="1"/>
    <n v="4"/>
    <s v="Female"/>
    <n v="1"/>
    <n v="88"/>
    <n v="3"/>
    <n v="1"/>
    <s v="Research Scientist"/>
    <n v="0"/>
    <n v="0"/>
    <n v="0"/>
    <n v="0"/>
    <n v="0"/>
    <n v="0"/>
    <n v="0"/>
    <n v="1"/>
    <n v="1"/>
    <s v="Single"/>
    <n v="1"/>
    <n v="0"/>
    <n v="2657"/>
    <n v="2657"/>
    <n v="5"/>
    <s v="Yes"/>
    <n v="1"/>
    <n v="11"/>
    <n v="3"/>
    <n v="3"/>
    <n v="0"/>
    <n v="8"/>
    <x v="0"/>
    <n v="5"/>
    <n v="3"/>
    <n v="5"/>
    <n v="5"/>
    <n v="2"/>
    <n v="0"/>
    <n v="0"/>
    <n v="4"/>
    <n v="4"/>
    <n v="4"/>
    <n v="1"/>
    <n v="0"/>
    <n v="0"/>
    <n v="0"/>
    <n v="0"/>
    <n v="1"/>
    <n v="0"/>
    <n v="0"/>
    <n v="0"/>
    <n v="4"/>
    <n v="0"/>
    <n v="0"/>
    <n v="8"/>
    <n v="0"/>
    <n v="0.81690029660515595"/>
    <n v="3.4508002929560584E-2"/>
    <n v="0.42149901815843233"/>
    <n v="0.32778177112653761"/>
    <n v="0.76386092994953758"/>
    <n v="0.75791203633249671"/>
    <n v="0.67891464284095016"/>
  </r>
  <r>
    <n v="41"/>
    <n v="41"/>
    <s v="No"/>
    <n v="0"/>
    <s v="Travel_Rarely"/>
    <n v="0"/>
    <n v="1"/>
    <x v="0"/>
    <n v="0"/>
    <n v="1"/>
    <n v="6"/>
    <n v="6"/>
    <n v="3"/>
    <s v="Life Sciences"/>
    <n v="1"/>
    <n v="0"/>
    <n v="0"/>
    <n v="0"/>
    <n v="0"/>
    <n v="4"/>
    <s v="Female"/>
    <n v="1"/>
    <n v="75"/>
    <n v="3"/>
    <n v="3"/>
    <s v="Manager"/>
    <n v="0"/>
    <n v="0"/>
    <n v="0"/>
    <n v="1"/>
    <n v="0"/>
    <n v="0"/>
    <n v="0"/>
    <n v="0"/>
    <n v="4"/>
    <s v="Single"/>
    <n v="1"/>
    <n v="0"/>
    <n v="13591"/>
    <n v="13591"/>
    <n v="3"/>
    <s v="Yes"/>
    <n v="1"/>
    <n v="18"/>
    <n v="3"/>
    <n v="3"/>
    <n v="0"/>
    <n v="16"/>
    <x v="27"/>
    <n v="3"/>
    <n v="3"/>
    <n v="1"/>
    <n v="1"/>
    <n v="0"/>
    <n v="0"/>
    <n v="0"/>
    <n v="0"/>
    <n v="0"/>
    <n v="0"/>
    <n v="1"/>
    <n v="0"/>
    <n v="0"/>
    <n v="0"/>
    <n v="0"/>
    <n v="1"/>
    <n v="0"/>
    <n v="0"/>
    <n v="0"/>
    <n v="0"/>
    <n v="0"/>
    <n v="0"/>
    <n v="0"/>
    <n v="16"/>
    <n v="1.5055509287871596"/>
    <n v="1.1555414682655611"/>
    <n v="0.60667531362816052"/>
    <n v="0.9806804209314296"/>
    <n v="0.39380416832397891"/>
    <n v="0.4461985578408646"/>
    <n v="0.67891464284095016"/>
  </r>
  <r>
    <n v="30"/>
    <n v="30"/>
    <s v="Yes"/>
    <n v="1"/>
    <s v="Travel_Frequently"/>
    <n v="1"/>
    <n v="0"/>
    <x v="0"/>
    <n v="0"/>
    <n v="1"/>
    <n v="26"/>
    <n v="26"/>
    <n v="4"/>
    <s v="Marketing"/>
    <n v="0"/>
    <n v="0"/>
    <n v="0"/>
    <n v="1"/>
    <n v="0"/>
    <n v="3"/>
    <s v="Female"/>
    <n v="1"/>
    <n v="52"/>
    <n v="2"/>
    <n v="2"/>
    <s v="Sales Executive"/>
    <n v="0"/>
    <n v="1"/>
    <n v="0"/>
    <n v="0"/>
    <n v="0"/>
    <n v="0"/>
    <n v="0"/>
    <n v="0"/>
    <n v="1"/>
    <s v="Single"/>
    <n v="1"/>
    <n v="0"/>
    <n v="6696"/>
    <n v="6696"/>
    <n v="5"/>
    <s v="No"/>
    <n v="0"/>
    <n v="15"/>
    <n v="3"/>
    <n v="3"/>
    <n v="0"/>
    <n v="9"/>
    <x v="14"/>
    <n v="5"/>
    <n v="2"/>
    <n v="6"/>
    <n v="6"/>
    <n v="3"/>
    <n v="0"/>
    <n v="0"/>
    <n v="1"/>
    <n v="1"/>
    <n v="2"/>
    <n v="0"/>
    <n v="0"/>
    <n v="1"/>
    <n v="0"/>
    <n v="1"/>
    <n v="0"/>
    <n v="0"/>
    <n v="0"/>
    <n v="0"/>
    <n v="0"/>
    <n v="1"/>
    <n v="0"/>
    <n v="0"/>
    <n v="9"/>
    <n v="4.1009022889956788E-2"/>
    <n v="0.87528310193156111"/>
    <n v="0.29297722668510823"/>
    <n v="0.16455710867531462"/>
    <n v="2.0732409091797459"/>
    <n v="0.75791203633249671"/>
    <n v="0.67891464284095016"/>
  </r>
  <r>
    <n v="29"/>
    <n v="29"/>
    <s v="Yes"/>
    <n v="1"/>
    <s v="Travel_Rarely"/>
    <n v="0"/>
    <n v="1"/>
    <x v="1"/>
    <n v="1"/>
    <n v="0"/>
    <n v="1"/>
    <n v="1"/>
    <n v="3"/>
    <s v="Technical Degree"/>
    <n v="0"/>
    <n v="0"/>
    <n v="0"/>
    <n v="0"/>
    <n v="1"/>
    <n v="3"/>
    <s v="Male"/>
    <n v="0"/>
    <n v="85"/>
    <n v="3"/>
    <n v="1"/>
    <s v="Research Scientist"/>
    <n v="0"/>
    <n v="0"/>
    <n v="0"/>
    <n v="0"/>
    <n v="0"/>
    <n v="0"/>
    <n v="0"/>
    <n v="1"/>
    <n v="3"/>
    <s v="Single"/>
    <n v="1"/>
    <n v="0"/>
    <n v="2058"/>
    <n v="2058"/>
    <n v="0"/>
    <s v="No"/>
    <n v="0"/>
    <n v="14"/>
    <n v="3"/>
    <n v="4"/>
    <n v="0"/>
    <n v="7"/>
    <x v="2"/>
    <n v="1"/>
    <n v="2"/>
    <n v="6"/>
    <n v="6"/>
    <n v="2"/>
    <n v="1"/>
    <n v="1"/>
    <n v="5"/>
    <n v="5"/>
    <n v="5"/>
    <n v="1"/>
    <n v="0"/>
    <n v="0"/>
    <n v="0"/>
    <n v="1"/>
    <n v="0"/>
    <n v="0"/>
    <n v="0"/>
    <n v="0"/>
    <n v="5"/>
    <n v="0"/>
    <n v="0"/>
    <n v="7"/>
    <n v="0"/>
    <n v="0.94413171091007608"/>
    <n v="0.24575036340443959"/>
    <n v="0.55002080963175637"/>
    <n v="0.16455710867531462"/>
    <n v="1.01056543769991"/>
    <n v="0.86737663580280233"/>
    <n v="0.36858985273641137"/>
  </r>
  <r>
    <n v="45"/>
    <n v="45"/>
    <s v="No"/>
    <n v="0"/>
    <s v="Non-Travel"/>
    <n v="0"/>
    <n v="0"/>
    <x v="0"/>
    <n v="0"/>
    <n v="1"/>
    <n v="6"/>
    <n v="6"/>
    <n v="3"/>
    <s v="Medical"/>
    <n v="0"/>
    <n v="0"/>
    <n v="1"/>
    <n v="0"/>
    <n v="0"/>
    <n v="4"/>
    <s v="Female"/>
    <n v="1"/>
    <n v="57"/>
    <n v="2"/>
    <n v="3"/>
    <s v="Sales Executive"/>
    <n v="0"/>
    <n v="1"/>
    <n v="0"/>
    <n v="0"/>
    <n v="0"/>
    <n v="0"/>
    <n v="0"/>
    <n v="0"/>
    <n v="4"/>
    <s v="Single"/>
    <n v="1"/>
    <n v="0"/>
    <n v="8865"/>
    <n v="8865"/>
    <n v="6"/>
    <s v="No"/>
    <n v="0"/>
    <n v="12"/>
    <n v="3"/>
    <n v="4"/>
    <n v="0"/>
    <n v="23"/>
    <x v="17"/>
    <n v="2"/>
    <n v="3"/>
    <n v="19"/>
    <n v="19"/>
    <n v="7"/>
    <n v="12"/>
    <n v="12"/>
    <n v="8"/>
    <n v="8"/>
    <n v="24"/>
    <n v="1"/>
    <n v="0"/>
    <n v="0"/>
    <n v="0"/>
    <n v="1"/>
    <n v="0"/>
    <n v="0"/>
    <n v="0"/>
    <n v="0"/>
    <n v="0"/>
    <n v="8"/>
    <n v="0"/>
    <n v="0"/>
    <n v="23"/>
    <n v="0.50171843462179622"/>
    <n v="1.08652546240644"/>
    <n v="1.5063278539414293"/>
    <n v="1.9573635031905841"/>
    <n v="0.39380416832397891"/>
    <n v="0.88405695572208698"/>
    <n v="3.0449828384135156"/>
  </r>
  <r>
    <n v="54"/>
    <n v="54"/>
    <s v="No"/>
    <n v="0"/>
    <s v="Travel_Rarely"/>
    <n v="0"/>
    <n v="1"/>
    <x v="0"/>
    <n v="0"/>
    <n v="1"/>
    <n v="3"/>
    <n v="3"/>
    <n v="3"/>
    <s v="Marketing"/>
    <n v="0"/>
    <n v="0"/>
    <n v="0"/>
    <n v="1"/>
    <n v="0"/>
    <n v="4"/>
    <s v="Female"/>
    <n v="1"/>
    <n v="52"/>
    <n v="3"/>
    <n v="2"/>
    <s v="Sales Executive"/>
    <n v="0"/>
    <n v="1"/>
    <n v="0"/>
    <n v="0"/>
    <n v="0"/>
    <n v="0"/>
    <n v="0"/>
    <n v="0"/>
    <n v="1"/>
    <s v="Married"/>
    <n v="0"/>
    <n v="1"/>
    <n v="5940"/>
    <n v="5940"/>
    <n v="2"/>
    <s v="No"/>
    <n v="0"/>
    <n v="14"/>
    <n v="3"/>
    <n v="4"/>
    <n v="1"/>
    <n v="16"/>
    <x v="27"/>
    <n v="4"/>
    <n v="3"/>
    <n v="6"/>
    <n v="6"/>
    <n v="2"/>
    <n v="0"/>
    <n v="0"/>
    <n v="5"/>
    <n v="5"/>
    <n v="10"/>
    <n v="0"/>
    <n v="1"/>
    <n v="0"/>
    <n v="0"/>
    <n v="0"/>
    <n v="0"/>
    <n v="1"/>
    <n v="0"/>
    <n v="0"/>
    <n v="0"/>
    <n v="5"/>
    <n v="0"/>
    <n v="0"/>
    <n v="16"/>
    <n v="0.1195701911576553"/>
    <n v="0.24575036340443959"/>
    <n v="0.60667531362816052"/>
    <n v="0.16455710867531462"/>
    <n v="0.76386092994953758"/>
    <n v="1.8692383509548371"/>
    <n v="0.67891464284095016"/>
  </r>
  <r>
    <n v="36"/>
    <n v="36"/>
    <s v="No"/>
    <n v="0"/>
    <s v="Travel_Rarely"/>
    <n v="0"/>
    <n v="1"/>
    <x v="1"/>
    <n v="1"/>
    <n v="0"/>
    <n v="5"/>
    <n v="5"/>
    <n v="2"/>
    <s v="Life Sciences"/>
    <n v="1"/>
    <n v="0"/>
    <n v="0"/>
    <n v="0"/>
    <n v="0"/>
    <n v="4"/>
    <s v="Male"/>
    <n v="0"/>
    <n v="62"/>
    <n v="3"/>
    <n v="2"/>
    <s v="Laboratory Technician"/>
    <n v="0"/>
    <n v="0"/>
    <n v="1"/>
    <n v="0"/>
    <n v="0"/>
    <n v="0"/>
    <n v="0"/>
    <n v="0"/>
    <n v="2"/>
    <s v="Single"/>
    <n v="1"/>
    <n v="0"/>
    <n v="5914"/>
    <n v="5914"/>
    <n v="8"/>
    <s v="No"/>
    <n v="0"/>
    <n v="16"/>
    <n v="3"/>
    <n v="4"/>
    <n v="0"/>
    <n v="16"/>
    <x v="27"/>
    <n v="3"/>
    <n v="4"/>
    <n v="13"/>
    <n v="13"/>
    <n v="11"/>
    <n v="3"/>
    <n v="3"/>
    <n v="7"/>
    <n v="7"/>
    <n v="14"/>
    <n v="1"/>
    <n v="0"/>
    <n v="0"/>
    <n v="0"/>
    <n v="1"/>
    <n v="0"/>
    <n v="0"/>
    <n v="0"/>
    <n v="0"/>
    <n v="7"/>
    <n v="0"/>
    <n v="0"/>
    <n v="16"/>
    <n v="0"/>
    <n v="0.12509275672013931"/>
    <n v="0.80626709607243985"/>
    <n v="0.60667531362816052"/>
    <n v="0.97801552848324624"/>
    <n v="0.51715642219916513"/>
    <n v="0.10112443951066327"/>
    <n v="0.2520597274726662"/>
  </r>
  <r>
    <n v="33"/>
    <n v="33"/>
    <s v="No"/>
    <n v="0"/>
    <s v="Travel_Rarely"/>
    <n v="0"/>
    <n v="1"/>
    <x v="1"/>
    <n v="1"/>
    <n v="0"/>
    <n v="4"/>
    <n v="4"/>
    <n v="4"/>
    <s v="Medical"/>
    <n v="0"/>
    <n v="0"/>
    <n v="1"/>
    <n v="0"/>
    <n v="0"/>
    <n v="3"/>
    <s v="Female"/>
    <n v="1"/>
    <n v="47"/>
    <n v="2"/>
    <n v="1"/>
    <s v="Research Scientist"/>
    <n v="0"/>
    <n v="0"/>
    <n v="0"/>
    <n v="0"/>
    <n v="0"/>
    <n v="0"/>
    <n v="0"/>
    <n v="1"/>
    <n v="2"/>
    <s v="Married"/>
    <n v="0"/>
    <n v="1"/>
    <n v="2622"/>
    <n v="2622"/>
    <n v="6"/>
    <s v="No"/>
    <n v="0"/>
    <n v="21"/>
    <n v="4"/>
    <n v="4"/>
    <n v="0"/>
    <n v="7"/>
    <x v="2"/>
    <n v="3"/>
    <n v="3"/>
    <n v="3"/>
    <n v="3"/>
    <n v="2"/>
    <n v="1"/>
    <n v="1"/>
    <n v="1"/>
    <n v="1"/>
    <n v="1"/>
    <n v="0"/>
    <n v="1"/>
    <n v="0"/>
    <n v="0"/>
    <n v="0"/>
    <n v="0"/>
    <n v="1"/>
    <n v="0"/>
    <n v="0"/>
    <n v="1"/>
    <n v="0"/>
    <n v="0"/>
    <n v="7"/>
    <n v="0"/>
    <n v="0.82433451947773051"/>
    <n v="0.87528310193156111"/>
    <n v="0.55002080963175637"/>
    <n v="0.65423109602898355"/>
    <n v="0.64050867607435136"/>
    <n v="0.42951823792158"/>
    <n v="0.36858985273641137"/>
  </r>
  <r>
    <n v="37"/>
    <n v="37"/>
    <s v="No"/>
    <n v="0"/>
    <s v="Travel_Frequently"/>
    <n v="1"/>
    <n v="0"/>
    <x v="1"/>
    <n v="1"/>
    <n v="0"/>
    <n v="11"/>
    <n v="11"/>
    <n v="3"/>
    <s v="Other"/>
    <n v="0"/>
    <n v="1"/>
    <n v="0"/>
    <n v="0"/>
    <n v="0"/>
    <n v="2"/>
    <s v="Male"/>
    <n v="0"/>
    <n v="47"/>
    <n v="3"/>
    <n v="3"/>
    <s v="Research Director"/>
    <n v="0"/>
    <n v="0"/>
    <n v="0"/>
    <n v="0"/>
    <n v="0"/>
    <n v="0"/>
    <n v="0"/>
    <n v="0"/>
    <n v="4"/>
    <s v="Divorced"/>
    <n v="0"/>
    <n v="0"/>
    <n v="12185"/>
    <n v="12185"/>
    <n v="1"/>
    <s v="Yes"/>
    <n v="1"/>
    <n v="14"/>
    <n v="3"/>
    <n v="3"/>
    <n v="3"/>
    <n v="10"/>
    <x v="1"/>
    <n v="1"/>
    <n v="3"/>
    <n v="10"/>
    <n v="10"/>
    <n v="8"/>
    <n v="0"/>
    <n v="0"/>
    <n v="7"/>
    <n v="7"/>
    <n v="21"/>
    <n v="0"/>
    <n v="0"/>
    <n v="1"/>
    <n v="0"/>
    <n v="0"/>
    <n v="1"/>
    <n v="0"/>
    <n v="0"/>
    <n v="0"/>
    <n v="7"/>
    <n v="0"/>
    <n v="0"/>
    <n v="10"/>
    <n v="0"/>
    <n v="1.2069075756774472"/>
    <n v="0.80626709607243985"/>
    <n v="0.1644554352117841"/>
    <n v="0.48834154112957734"/>
    <n v="0.22295710105195232"/>
    <n v="8.3401599596422994E-3"/>
    <n v="0.67891464284095016"/>
  </r>
  <r>
    <n v="38"/>
    <n v="38"/>
    <s v="No"/>
    <n v="0"/>
    <s v="Travel_Rarely"/>
    <n v="0"/>
    <n v="1"/>
    <x v="0"/>
    <n v="0"/>
    <n v="1"/>
    <n v="3"/>
    <n v="3"/>
    <n v="3"/>
    <s v="Life Sciences"/>
    <n v="1"/>
    <n v="0"/>
    <n v="0"/>
    <n v="0"/>
    <n v="0"/>
    <n v="1"/>
    <s v="Male"/>
    <n v="0"/>
    <n v="76"/>
    <n v="3"/>
    <n v="3"/>
    <s v="Sales Executive"/>
    <n v="0"/>
    <n v="1"/>
    <n v="0"/>
    <n v="0"/>
    <n v="0"/>
    <n v="0"/>
    <n v="0"/>
    <n v="0"/>
    <n v="3"/>
    <s v="Divorced"/>
    <n v="0"/>
    <n v="0"/>
    <n v="10609"/>
    <n v="10609"/>
    <n v="0"/>
    <s v="No"/>
    <n v="0"/>
    <n v="12"/>
    <n v="3"/>
    <n v="3"/>
    <n v="2"/>
    <n v="17"/>
    <x v="6"/>
    <n v="6"/>
    <n v="2"/>
    <n v="16"/>
    <n v="16"/>
    <n v="10"/>
    <n v="5"/>
    <n v="5"/>
    <n v="13"/>
    <n v="13"/>
    <n v="39"/>
    <n v="1"/>
    <n v="0"/>
    <n v="0"/>
    <n v="0"/>
    <n v="1"/>
    <n v="0"/>
    <n v="0"/>
    <n v="0"/>
    <n v="0"/>
    <n v="0"/>
    <n v="13"/>
    <n v="0"/>
    <n v="0"/>
    <n v="17"/>
    <n v="0.87215514004380079"/>
    <n v="2.4878172940764407"/>
    <n v="0.73519710510148462"/>
    <n v="1.4676895158369152"/>
    <n v="0.76386092994953758"/>
    <n v="0.11780475942994788"/>
    <n v="0.87270930768174382"/>
  </r>
  <r>
    <n v="31"/>
    <n v="31"/>
    <s v="No"/>
    <n v="0"/>
    <s v="Non-Travel"/>
    <n v="0"/>
    <n v="0"/>
    <x v="1"/>
    <n v="1"/>
    <n v="0"/>
    <n v="1"/>
    <n v="1"/>
    <n v="4"/>
    <s v="Medical"/>
    <n v="0"/>
    <n v="0"/>
    <n v="1"/>
    <n v="0"/>
    <n v="0"/>
    <n v="3"/>
    <s v="Male"/>
    <n v="0"/>
    <n v="90"/>
    <n v="1"/>
    <n v="2"/>
    <s v="Manufacturing Director"/>
    <n v="0"/>
    <n v="0"/>
    <n v="0"/>
    <n v="0"/>
    <n v="1"/>
    <n v="1"/>
    <n v="0"/>
    <n v="0"/>
    <n v="3"/>
    <s v="Married"/>
    <n v="0"/>
    <n v="1"/>
    <n v="4345"/>
    <n v="4345"/>
    <n v="0"/>
    <s v="No"/>
    <n v="0"/>
    <n v="12"/>
    <n v="3"/>
    <n v="4"/>
    <n v="1"/>
    <n v="6"/>
    <x v="3"/>
    <n v="2"/>
    <n v="3"/>
    <n v="5"/>
    <n v="5"/>
    <n v="4"/>
    <n v="1"/>
    <n v="1"/>
    <n v="4"/>
    <n v="4"/>
    <n v="8"/>
    <n v="0"/>
    <n v="1"/>
    <n v="0"/>
    <n v="0"/>
    <n v="0"/>
    <n v="0"/>
    <n v="1"/>
    <n v="0"/>
    <n v="0"/>
    <n v="4"/>
    <n v="0"/>
    <n v="0"/>
    <n v="6"/>
    <n v="0"/>
    <n v="0.45835834777927076"/>
    <n v="3.4508002929560584E-2"/>
    <n v="0.67854260110508058"/>
    <n v="0.32778177112653761"/>
    <n v="1.01056543769991"/>
    <n v="0.6484474368621912"/>
    <n v="0.36858985273641137"/>
  </r>
  <r>
    <n v="59"/>
    <n v="58.309999999999945"/>
    <s v="No"/>
    <n v="0"/>
    <s v="Travel_Rarely"/>
    <n v="0"/>
    <n v="1"/>
    <x v="1"/>
    <n v="1"/>
    <n v="0"/>
    <n v="3"/>
    <n v="3"/>
    <n v="3"/>
    <s v="Life Sciences"/>
    <n v="1"/>
    <n v="0"/>
    <n v="0"/>
    <n v="0"/>
    <n v="0"/>
    <n v="3"/>
    <s v="Male"/>
    <n v="0"/>
    <n v="70"/>
    <n v="2"/>
    <n v="1"/>
    <s v="Research Scientist"/>
    <n v="0"/>
    <n v="0"/>
    <n v="0"/>
    <n v="0"/>
    <n v="0"/>
    <n v="0"/>
    <n v="0"/>
    <n v="1"/>
    <n v="4"/>
    <s v="Married"/>
    <n v="0"/>
    <n v="1"/>
    <n v="2177"/>
    <n v="2177"/>
    <n v="3"/>
    <s v="No"/>
    <n v="0"/>
    <n v="17"/>
    <n v="3"/>
    <n v="1"/>
    <n v="1"/>
    <n v="7"/>
    <x v="2"/>
    <n v="6"/>
    <n v="3"/>
    <n v="1"/>
    <n v="1"/>
    <n v="0"/>
    <n v="0"/>
    <n v="0"/>
    <n v="0"/>
    <n v="0"/>
    <n v="0"/>
    <n v="0"/>
    <n v="1"/>
    <n v="0"/>
    <n v="0"/>
    <n v="0"/>
    <n v="0"/>
    <n v="1"/>
    <n v="0"/>
    <n v="0"/>
    <n v="0"/>
    <n v="0"/>
    <n v="0"/>
    <n v="7"/>
    <n v="0"/>
    <n v="0.91885535314332234"/>
    <n v="1.1555414682655611"/>
    <n v="0.55002080963175637"/>
    <n v="0.9806804209314296"/>
    <n v="0.76386092994953758"/>
    <n v="2.4165613483063648"/>
    <n v="0.67891464284095016"/>
  </r>
  <r>
    <n v="37"/>
    <n v="37"/>
    <s v="No"/>
    <n v="0"/>
    <s v="Travel_Frequently"/>
    <n v="1"/>
    <n v="0"/>
    <x v="0"/>
    <n v="0"/>
    <n v="1"/>
    <n v="4"/>
    <n v="4"/>
    <n v="4"/>
    <s v="Marketing"/>
    <n v="0"/>
    <n v="0"/>
    <n v="0"/>
    <n v="1"/>
    <n v="0"/>
    <n v="1"/>
    <s v="Male"/>
    <n v="0"/>
    <n v="41"/>
    <n v="3"/>
    <n v="1"/>
    <s v="Sales Representative"/>
    <n v="0"/>
    <n v="0"/>
    <n v="0"/>
    <n v="0"/>
    <n v="0"/>
    <n v="0"/>
    <n v="1"/>
    <n v="0"/>
    <n v="4"/>
    <s v="Divorced"/>
    <n v="0"/>
    <n v="0"/>
    <n v="2793"/>
    <n v="2793"/>
    <n v="4"/>
    <s v="No"/>
    <n v="0"/>
    <n v="17"/>
    <n v="3"/>
    <n v="3"/>
    <n v="1"/>
    <n v="13"/>
    <x v="10"/>
    <n v="2"/>
    <n v="3"/>
    <n v="9"/>
    <n v="9"/>
    <n v="8"/>
    <n v="5"/>
    <n v="5"/>
    <n v="8"/>
    <n v="8"/>
    <n v="8"/>
    <n v="0"/>
    <n v="0"/>
    <n v="1"/>
    <n v="0"/>
    <n v="1"/>
    <n v="0"/>
    <n v="0"/>
    <n v="0"/>
    <n v="0"/>
    <n v="0"/>
    <n v="8"/>
    <n v="0"/>
    <n v="0"/>
    <n v="13"/>
    <n v="0.7880130305860088"/>
    <n v="1.08652546240644"/>
    <n v="0.22110993920818819"/>
    <n v="0.32511687867835437"/>
    <n v="0.64050867607435136"/>
    <n v="8.3401599596422994E-3"/>
    <n v="0.87270930768174382"/>
  </r>
  <r>
    <n v="29"/>
    <n v="29"/>
    <s v="No"/>
    <n v="0"/>
    <s v="Travel_Frequently"/>
    <n v="1"/>
    <n v="0"/>
    <x v="0"/>
    <n v="0"/>
    <n v="1"/>
    <n v="1"/>
    <n v="1"/>
    <n v="1"/>
    <s v="Medical"/>
    <n v="0"/>
    <n v="0"/>
    <n v="1"/>
    <n v="0"/>
    <n v="0"/>
    <n v="2"/>
    <s v="Female"/>
    <n v="1"/>
    <n v="42"/>
    <n v="3"/>
    <n v="3"/>
    <s v="Sales Executive"/>
    <n v="0"/>
    <n v="1"/>
    <n v="0"/>
    <n v="0"/>
    <n v="0"/>
    <n v="0"/>
    <n v="0"/>
    <n v="0"/>
    <n v="4"/>
    <s v="Married"/>
    <n v="0"/>
    <n v="1"/>
    <n v="7918"/>
    <n v="7918"/>
    <n v="1"/>
    <s v="No"/>
    <n v="0"/>
    <n v="14"/>
    <n v="3"/>
    <n v="4"/>
    <n v="1"/>
    <n v="11"/>
    <x v="26"/>
    <n v="5"/>
    <n v="3"/>
    <n v="11"/>
    <n v="11"/>
    <n v="10"/>
    <n v="4"/>
    <n v="4"/>
    <n v="1"/>
    <n v="1"/>
    <n v="3"/>
    <n v="0"/>
    <n v="0"/>
    <n v="0"/>
    <n v="1"/>
    <n v="0"/>
    <n v="0"/>
    <n v="1"/>
    <n v="0"/>
    <n v="0"/>
    <n v="0"/>
    <n v="1"/>
    <n v="0"/>
    <n v="0"/>
    <n v="11"/>
    <n v="0.30056960432670543"/>
    <n v="0.87528310193156111"/>
    <n v="3.593364373846001E-2"/>
    <n v="0.65156620358080031"/>
    <n v="1.01056543769991"/>
    <n v="0.86737663580280233"/>
    <n v="0.56238451757720498"/>
  </r>
  <r>
    <n v="35"/>
    <n v="35"/>
    <s v="No"/>
    <n v="0"/>
    <s v="Travel_Frequently"/>
    <n v="1"/>
    <n v="0"/>
    <x v="0"/>
    <n v="0"/>
    <n v="1"/>
    <n v="1"/>
    <n v="1"/>
    <n v="3"/>
    <s v="Marketing"/>
    <n v="0"/>
    <n v="0"/>
    <n v="0"/>
    <n v="1"/>
    <n v="0"/>
    <n v="3"/>
    <s v="Female"/>
    <n v="1"/>
    <n v="92"/>
    <n v="3"/>
    <n v="3"/>
    <s v="Sales Executive"/>
    <n v="0"/>
    <n v="1"/>
    <n v="0"/>
    <n v="0"/>
    <n v="0"/>
    <n v="0"/>
    <n v="0"/>
    <n v="0"/>
    <n v="3"/>
    <s v="Single"/>
    <n v="1"/>
    <n v="0"/>
    <n v="8789"/>
    <n v="8789"/>
    <n v="1"/>
    <s v="No"/>
    <n v="0"/>
    <n v="14"/>
    <n v="3"/>
    <n v="1"/>
    <n v="0"/>
    <n v="10"/>
    <x v="1"/>
    <n v="3"/>
    <n v="4"/>
    <n v="10"/>
    <n v="10"/>
    <n v="7"/>
    <n v="0"/>
    <n v="0"/>
    <n v="8"/>
    <n v="8"/>
    <n v="24"/>
    <n v="0"/>
    <n v="0"/>
    <n v="1"/>
    <n v="0"/>
    <n v="1"/>
    <n v="0"/>
    <n v="0"/>
    <n v="0"/>
    <n v="0"/>
    <n v="0"/>
    <n v="8"/>
    <n v="0"/>
    <n v="0"/>
    <n v="10"/>
    <n v="0.48557555066991986"/>
    <n v="1.08652546240644"/>
    <n v="0.1644554352117841"/>
    <n v="0.48834154112957734"/>
    <n v="1.01056543769991"/>
    <n v="0.21058903898096887"/>
    <n v="0.67891464284095016"/>
  </r>
  <r>
    <n v="29"/>
    <n v="29"/>
    <s v="Yes"/>
    <n v="1"/>
    <s v="Travel_Rarely"/>
    <n v="0"/>
    <n v="1"/>
    <x v="1"/>
    <n v="1"/>
    <n v="0"/>
    <n v="18"/>
    <n v="18"/>
    <n v="1"/>
    <s v="Medical"/>
    <n v="0"/>
    <n v="0"/>
    <n v="1"/>
    <n v="0"/>
    <n v="0"/>
    <n v="3"/>
    <s v="Male"/>
    <n v="0"/>
    <n v="86"/>
    <n v="2"/>
    <n v="1"/>
    <s v="Research Scientist"/>
    <n v="0"/>
    <n v="0"/>
    <n v="0"/>
    <n v="0"/>
    <n v="0"/>
    <n v="0"/>
    <n v="0"/>
    <n v="1"/>
    <n v="4"/>
    <s v="Single"/>
    <n v="1"/>
    <n v="0"/>
    <n v="2389"/>
    <n v="2389"/>
    <n v="1"/>
    <s v="Yes"/>
    <n v="1"/>
    <n v="13"/>
    <n v="3"/>
    <n v="3"/>
    <n v="0"/>
    <n v="4"/>
    <x v="20"/>
    <n v="3"/>
    <n v="2"/>
    <n v="4"/>
    <n v="4"/>
    <n v="3"/>
    <n v="0"/>
    <n v="0"/>
    <n v="1"/>
    <n v="1"/>
    <n v="1"/>
    <n v="1"/>
    <n v="0"/>
    <n v="0"/>
    <n v="0"/>
    <n v="0"/>
    <n v="1"/>
    <n v="0"/>
    <n v="0"/>
    <n v="0"/>
    <n v="1"/>
    <n v="0"/>
    <n v="0"/>
    <n v="4"/>
    <n v="0"/>
    <n v="0.87382520317229884"/>
    <n v="0.87528310193156111"/>
    <n v="0.93558618405172878"/>
    <n v="0.49100643357776058"/>
    <n v="1.0864228781782561"/>
    <n v="0.86737663580280233"/>
    <n v="0.67891464284095016"/>
  </r>
  <r>
    <n v="52"/>
    <n v="52"/>
    <s v="No"/>
    <n v="0"/>
    <s v="Travel_Rarely"/>
    <n v="0"/>
    <n v="1"/>
    <x v="1"/>
    <n v="1"/>
    <n v="0"/>
    <n v="2"/>
    <n v="2"/>
    <n v="3"/>
    <s v="Life Sciences"/>
    <n v="1"/>
    <n v="0"/>
    <n v="0"/>
    <n v="0"/>
    <n v="0"/>
    <n v="3"/>
    <s v="Female"/>
    <n v="1"/>
    <n v="89"/>
    <n v="2"/>
    <n v="1"/>
    <s v="Laboratory Technician"/>
    <n v="0"/>
    <n v="0"/>
    <n v="1"/>
    <n v="0"/>
    <n v="0"/>
    <n v="0"/>
    <n v="0"/>
    <n v="0"/>
    <n v="4"/>
    <s v="Single"/>
    <n v="1"/>
    <n v="0"/>
    <n v="3212"/>
    <n v="3212"/>
    <n v="7"/>
    <s v="No"/>
    <n v="0"/>
    <n v="15"/>
    <n v="3"/>
    <n v="2"/>
    <n v="0"/>
    <n v="6"/>
    <x v="3"/>
    <n v="3"/>
    <n v="2"/>
    <n v="2"/>
    <n v="2"/>
    <n v="2"/>
    <n v="2"/>
    <n v="2"/>
    <n v="2"/>
    <n v="2"/>
    <n v="2"/>
    <n v="1"/>
    <n v="0"/>
    <n v="0"/>
    <n v="0"/>
    <n v="1"/>
    <n v="0"/>
    <n v="0"/>
    <n v="0"/>
    <n v="0"/>
    <n v="2"/>
    <n v="0"/>
    <n v="0"/>
    <n v="6"/>
    <n v="0"/>
    <n v="0.69901476248290106"/>
    <n v="0.59502473559756086"/>
    <n v="0.67854260110508058"/>
    <n v="0.81745575848020657"/>
    <n v="0.88721318382472392"/>
    <n v="1.6503091520142259"/>
    <n v="5.8265062631872602E-2"/>
  </r>
  <r>
    <n v="42"/>
    <n v="42"/>
    <s v="No"/>
    <n v="0"/>
    <s v="Travel_Rarely"/>
    <n v="0"/>
    <n v="1"/>
    <x v="1"/>
    <n v="1"/>
    <n v="0"/>
    <n v="4"/>
    <n v="4"/>
    <n v="2"/>
    <s v="Technical Degree"/>
    <n v="0"/>
    <n v="0"/>
    <n v="0"/>
    <n v="0"/>
    <n v="1"/>
    <n v="3"/>
    <s v="Male"/>
    <n v="0"/>
    <n v="58"/>
    <n v="3"/>
    <n v="5"/>
    <s v="Manager"/>
    <n v="0"/>
    <n v="0"/>
    <n v="0"/>
    <n v="1"/>
    <n v="0"/>
    <n v="0"/>
    <n v="0"/>
    <n v="0"/>
    <n v="4"/>
    <s v="Married"/>
    <n v="0"/>
    <n v="1"/>
    <n v="19232"/>
    <n v="19232"/>
    <n v="1"/>
    <s v="No"/>
    <n v="0"/>
    <n v="11"/>
    <n v="3"/>
    <n v="4"/>
    <n v="0"/>
    <n v="22"/>
    <x v="13"/>
    <n v="3"/>
    <n v="3"/>
    <n v="22"/>
    <n v="22"/>
    <n v="17"/>
    <n v="11"/>
    <n v="11"/>
    <n v="15"/>
    <n v="14"/>
    <n v="70"/>
    <n v="0"/>
    <n v="1"/>
    <n v="0"/>
    <n v="0"/>
    <n v="0"/>
    <n v="0"/>
    <n v="1"/>
    <n v="0"/>
    <n v="0"/>
    <n v="14"/>
    <n v="0"/>
    <n v="0"/>
    <n v="22"/>
    <n v="0"/>
    <n v="2.7037352494784028"/>
    <n v="3.048334026744441"/>
    <n v="1.3778060624681052"/>
    <n v="2.4470374905442531"/>
    <n v="0.64050867607435136"/>
    <n v="0.55566315731117022"/>
    <n v="2.7346580483089769"/>
  </r>
  <r>
    <n v="59"/>
    <n v="58.309999999999945"/>
    <s v="No"/>
    <n v="0"/>
    <s v="Travel_Rarely"/>
    <n v="0"/>
    <n v="1"/>
    <x v="2"/>
    <n v="0"/>
    <n v="0"/>
    <n v="6"/>
    <n v="6"/>
    <n v="2"/>
    <s v="Medical"/>
    <n v="0"/>
    <n v="0"/>
    <n v="1"/>
    <n v="0"/>
    <n v="0"/>
    <n v="2"/>
    <s v="Male"/>
    <n v="0"/>
    <n v="52"/>
    <n v="3"/>
    <n v="1"/>
    <s v="Human Resources"/>
    <n v="0"/>
    <n v="0"/>
    <n v="0"/>
    <n v="0"/>
    <n v="0"/>
    <n v="0"/>
    <n v="0"/>
    <n v="0"/>
    <n v="3"/>
    <s v="Married"/>
    <n v="0"/>
    <n v="1"/>
    <n v="2267"/>
    <n v="2267"/>
    <n v="8"/>
    <s v="No"/>
    <n v="0"/>
    <n v="17"/>
    <n v="3"/>
    <n v="4"/>
    <n v="0"/>
    <n v="7"/>
    <x v="2"/>
    <n v="2"/>
    <n v="2"/>
    <n v="2"/>
    <n v="2"/>
    <n v="2"/>
    <n v="2"/>
    <n v="2"/>
    <n v="2"/>
    <n v="2"/>
    <n v="2"/>
    <n v="0"/>
    <n v="1"/>
    <n v="0"/>
    <n v="0"/>
    <n v="0"/>
    <n v="0"/>
    <n v="1"/>
    <n v="0"/>
    <n v="2"/>
    <n v="0"/>
    <n v="0"/>
    <n v="7"/>
    <n v="0"/>
    <n v="0"/>
    <n v="0.89973878004241614"/>
    <n v="0.59502473559756086"/>
    <n v="0.55002080963175637"/>
    <n v="0.81745575848020657"/>
    <n v="0.39380416832397891"/>
    <n v="2.4165613483063648"/>
    <n v="5.8265062631872602E-2"/>
  </r>
  <r>
    <n v="50"/>
    <n v="50"/>
    <s v="No"/>
    <n v="0"/>
    <s v="Travel_Rarely"/>
    <n v="0"/>
    <n v="1"/>
    <x v="0"/>
    <n v="0"/>
    <n v="1"/>
    <n v="1"/>
    <n v="1"/>
    <n v="4"/>
    <s v="Medical"/>
    <n v="0"/>
    <n v="0"/>
    <n v="1"/>
    <n v="0"/>
    <n v="0"/>
    <n v="4"/>
    <s v="Female"/>
    <n v="1"/>
    <n v="68"/>
    <n v="3"/>
    <n v="5"/>
    <s v="Manager"/>
    <n v="0"/>
    <n v="0"/>
    <n v="0"/>
    <n v="1"/>
    <n v="0"/>
    <n v="0"/>
    <n v="0"/>
    <n v="0"/>
    <n v="4"/>
    <s v="Divorced"/>
    <n v="0"/>
    <n v="0"/>
    <n v="19517"/>
    <n v="19517"/>
    <n v="3"/>
    <s v="No"/>
    <n v="0"/>
    <n v="11"/>
    <n v="3"/>
    <n v="3"/>
    <n v="1"/>
    <n v="32"/>
    <x v="32"/>
    <n v="3"/>
    <n v="2"/>
    <n v="7"/>
    <n v="7"/>
    <n v="0"/>
    <n v="0"/>
    <n v="0"/>
    <n v="6"/>
    <n v="6"/>
    <n v="30"/>
    <n v="1"/>
    <n v="0"/>
    <n v="0"/>
    <n v="0"/>
    <n v="1"/>
    <n v="0"/>
    <n v="0"/>
    <n v="0"/>
    <n v="0"/>
    <n v="0"/>
    <n v="6"/>
    <n v="0"/>
    <n v="0"/>
    <n v="32"/>
    <n v="2.7642710642979389"/>
    <n v="0.52600872973843971"/>
    <n v="2.663023977201346"/>
    <n v="1.3324462240916321E-3"/>
    <n v="1.01056543769991"/>
    <n v="1.4313799530736149"/>
    <n v="0.67891464284095016"/>
  </r>
  <r>
    <n v="33"/>
    <n v="33"/>
    <s v="Yes"/>
    <n v="1"/>
    <s v="Travel_Rarely"/>
    <n v="0"/>
    <n v="1"/>
    <x v="1"/>
    <n v="1"/>
    <n v="0"/>
    <n v="14"/>
    <n v="14"/>
    <n v="3"/>
    <s v="Medical"/>
    <n v="0"/>
    <n v="0"/>
    <n v="1"/>
    <n v="0"/>
    <n v="0"/>
    <n v="3"/>
    <s v="Male"/>
    <n v="0"/>
    <n v="58"/>
    <n v="3"/>
    <n v="1"/>
    <s v="Laboratory Technician"/>
    <n v="0"/>
    <n v="0"/>
    <n v="1"/>
    <n v="0"/>
    <n v="0"/>
    <n v="0"/>
    <n v="0"/>
    <n v="0"/>
    <n v="4"/>
    <s v="Married"/>
    <n v="0"/>
    <n v="1"/>
    <n v="2436"/>
    <n v="2436"/>
    <n v="5"/>
    <s v="Yes"/>
    <n v="1"/>
    <n v="13"/>
    <n v="3"/>
    <n v="3"/>
    <n v="1"/>
    <n v="8"/>
    <x v="0"/>
    <n v="2"/>
    <n v="1"/>
    <n v="5"/>
    <n v="5"/>
    <n v="4"/>
    <n v="0"/>
    <n v="0"/>
    <n v="4"/>
    <n v="4"/>
    <n v="4"/>
    <n v="0"/>
    <n v="1"/>
    <n v="0"/>
    <n v="0"/>
    <n v="0"/>
    <n v="0"/>
    <n v="0"/>
    <n v="1"/>
    <n v="0"/>
    <n v="4"/>
    <n v="0"/>
    <n v="0"/>
    <n v="8"/>
    <n v="0"/>
    <n v="0.86384210388627003"/>
    <n v="3.4508002929560584E-2"/>
    <n v="0.42149901815843233"/>
    <n v="0.32778177112653761"/>
    <n v="0.59301386267751111"/>
    <n v="0.42951823792158"/>
    <n v="0.67891464284095016"/>
  </r>
  <r>
    <n v="43"/>
    <n v="43"/>
    <s v="No"/>
    <n v="0"/>
    <s v="Travel_Rarely"/>
    <n v="0"/>
    <n v="1"/>
    <x v="0"/>
    <n v="0"/>
    <n v="1"/>
    <n v="16"/>
    <n v="16"/>
    <n v="3"/>
    <s v="Marketing"/>
    <n v="0"/>
    <n v="0"/>
    <n v="0"/>
    <n v="1"/>
    <n v="0"/>
    <n v="4"/>
    <s v="Female"/>
    <n v="1"/>
    <n v="80"/>
    <n v="3"/>
    <n v="4"/>
    <s v="Manager"/>
    <n v="0"/>
    <n v="0"/>
    <n v="0"/>
    <n v="1"/>
    <n v="0"/>
    <n v="0"/>
    <n v="0"/>
    <n v="0"/>
    <n v="4"/>
    <s v="Married"/>
    <n v="0"/>
    <n v="1"/>
    <n v="16064"/>
    <n v="16064"/>
    <n v="5"/>
    <s v="Yes"/>
    <n v="1"/>
    <n v="22"/>
    <n v="4"/>
    <n v="3"/>
    <n v="1"/>
    <n v="22"/>
    <x v="13"/>
    <n v="3"/>
    <n v="3"/>
    <n v="17"/>
    <n v="17"/>
    <n v="13"/>
    <n v="1"/>
    <n v="1"/>
    <n v="9"/>
    <n v="9"/>
    <n v="36"/>
    <n v="0"/>
    <n v="1"/>
    <n v="0"/>
    <n v="0"/>
    <n v="0"/>
    <n v="0"/>
    <n v="0"/>
    <n v="1"/>
    <n v="0"/>
    <n v="0"/>
    <n v="9"/>
    <n v="0"/>
    <n v="0"/>
    <n v="22"/>
    <n v="2.0308318763265043"/>
    <n v="1.3667838287404401"/>
    <n v="1.3778060624681052"/>
    <n v="1.630914178288138"/>
    <n v="0.83971837042788355"/>
    <n v="0.66512775678147573"/>
    <n v="0.36858985273641137"/>
  </r>
  <r>
    <n v="33"/>
    <n v="33"/>
    <s v="Yes"/>
    <n v="1"/>
    <s v="Travel_Rarely"/>
    <n v="0"/>
    <n v="1"/>
    <x v="1"/>
    <n v="1"/>
    <n v="0"/>
    <n v="2"/>
    <n v="2"/>
    <n v="2"/>
    <s v="Life Sciences"/>
    <n v="1"/>
    <n v="0"/>
    <n v="0"/>
    <n v="0"/>
    <n v="0"/>
    <n v="1"/>
    <s v="Female"/>
    <n v="1"/>
    <n v="39"/>
    <n v="3"/>
    <n v="1"/>
    <s v="Laboratory Technician"/>
    <n v="0"/>
    <n v="0"/>
    <n v="1"/>
    <n v="0"/>
    <n v="0"/>
    <n v="0"/>
    <n v="0"/>
    <n v="0"/>
    <n v="1"/>
    <s v="Married"/>
    <n v="0"/>
    <n v="1"/>
    <n v="2707"/>
    <n v="2707"/>
    <n v="7"/>
    <s v="No"/>
    <n v="0"/>
    <n v="20"/>
    <n v="4"/>
    <n v="1"/>
    <n v="0"/>
    <n v="13"/>
    <x v="10"/>
    <n v="3"/>
    <n v="4"/>
    <n v="9"/>
    <n v="9"/>
    <n v="7"/>
    <n v="1"/>
    <n v="1"/>
    <n v="7"/>
    <n v="7"/>
    <n v="7"/>
    <n v="0"/>
    <n v="1"/>
    <n v="0"/>
    <n v="0"/>
    <n v="0"/>
    <n v="0"/>
    <n v="1"/>
    <n v="0"/>
    <n v="0"/>
    <n v="7"/>
    <n v="0"/>
    <n v="0"/>
    <n v="13"/>
    <n v="0"/>
    <n v="0.80627997821576358"/>
    <n v="0.80626709607243985"/>
    <n v="0.22110993920818819"/>
    <n v="0.32511687867835437"/>
    <n v="0.88721318382472392"/>
    <n v="0.42951823792158"/>
    <n v="0.36858985273641137"/>
  </r>
  <r>
    <n v="52"/>
    <n v="52"/>
    <s v="No"/>
    <n v="0"/>
    <s v="Non-Travel"/>
    <n v="0"/>
    <n v="0"/>
    <x v="0"/>
    <n v="0"/>
    <n v="1"/>
    <n v="2"/>
    <n v="2"/>
    <n v="4"/>
    <s v="Life Sciences"/>
    <n v="1"/>
    <n v="0"/>
    <n v="0"/>
    <n v="0"/>
    <n v="0"/>
    <n v="1"/>
    <s v="Male"/>
    <n v="0"/>
    <n v="79"/>
    <n v="2"/>
    <n v="5"/>
    <s v="Manager"/>
    <n v="0"/>
    <n v="0"/>
    <n v="0"/>
    <n v="1"/>
    <n v="0"/>
    <n v="0"/>
    <n v="0"/>
    <n v="0"/>
    <n v="3"/>
    <s v="Single"/>
    <n v="1"/>
    <n v="0"/>
    <n v="19068"/>
    <n v="19068"/>
    <n v="1"/>
    <s v="Yes"/>
    <n v="1"/>
    <n v="18"/>
    <n v="3"/>
    <n v="4"/>
    <n v="0"/>
    <n v="33"/>
    <x v="33"/>
    <n v="2"/>
    <n v="4"/>
    <n v="33"/>
    <n v="31"/>
    <n v="7"/>
    <n v="15"/>
    <n v="14"/>
    <n v="12"/>
    <n v="12"/>
    <n v="60"/>
    <n v="1"/>
    <n v="0"/>
    <n v="0"/>
    <n v="0"/>
    <n v="0"/>
    <n v="1"/>
    <n v="0"/>
    <n v="0"/>
    <n v="0"/>
    <n v="0"/>
    <n v="12"/>
    <n v="0"/>
    <n v="0"/>
    <n v="33"/>
    <n v="2.6689006051611956"/>
    <n v="2.2075589277424408"/>
    <n v="2.7915457686746699"/>
    <n v="4.2425087775077062"/>
    <n v="0.88721318382472392"/>
    <n v="1.6503091520142259"/>
    <n v="3.9759572087271318"/>
  </r>
  <r>
    <n v="32"/>
    <n v="32"/>
    <s v="No"/>
    <n v="0"/>
    <s v="Travel_Rarely"/>
    <n v="0"/>
    <n v="1"/>
    <x v="0"/>
    <n v="0"/>
    <n v="1"/>
    <n v="4"/>
    <n v="4"/>
    <n v="2"/>
    <s v="Life Sciences"/>
    <n v="1"/>
    <n v="0"/>
    <n v="0"/>
    <n v="0"/>
    <n v="0"/>
    <n v="3"/>
    <s v="Female"/>
    <n v="1"/>
    <n v="56"/>
    <n v="3"/>
    <n v="1"/>
    <s v="Sales Representative"/>
    <n v="0"/>
    <n v="0"/>
    <n v="0"/>
    <n v="0"/>
    <n v="0"/>
    <n v="0"/>
    <n v="1"/>
    <n v="0"/>
    <n v="2"/>
    <s v="Married"/>
    <n v="0"/>
    <n v="1"/>
    <n v="3931"/>
    <n v="3931"/>
    <n v="2"/>
    <s v="No"/>
    <n v="0"/>
    <n v="11"/>
    <n v="3"/>
    <n v="1"/>
    <n v="1"/>
    <n v="6"/>
    <x v="3"/>
    <n v="5"/>
    <n v="3"/>
    <n v="4"/>
    <n v="4"/>
    <n v="3"/>
    <n v="1"/>
    <n v="1"/>
    <n v="2"/>
    <n v="2"/>
    <n v="2"/>
    <n v="0"/>
    <n v="1"/>
    <n v="0"/>
    <n v="0"/>
    <n v="0"/>
    <n v="0"/>
    <n v="1"/>
    <n v="0"/>
    <n v="0"/>
    <n v="0"/>
    <n v="2"/>
    <n v="0"/>
    <n v="0"/>
    <n v="6"/>
    <n v="0.54629458404343922"/>
    <n v="0.59502473559756086"/>
    <n v="0.67854260110508058"/>
    <n v="0.49100643357776058"/>
    <n v="0.64050867607435136"/>
    <n v="0.53898283739188557"/>
    <n v="0.36858985273641137"/>
  </r>
  <r>
    <n v="32"/>
    <n v="32"/>
    <s v="Yes"/>
    <n v="1"/>
    <s v="Travel_Rarely"/>
    <n v="0"/>
    <n v="1"/>
    <x v="1"/>
    <n v="1"/>
    <n v="0"/>
    <n v="1"/>
    <n v="1"/>
    <n v="3"/>
    <s v="Life Sciences"/>
    <n v="1"/>
    <n v="0"/>
    <n v="0"/>
    <n v="0"/>
    <n v="0"/>
    <n v="4"/>
    <s v="Male"/>
    <n v="0"/>
    <n v="62"/>
    <n v="2"/>
    <n v="1"/>
    <s v="Laboratory Technician"/>
    <n v="0"/>
    <n v="0"/>
    <n v="1"/>
    <n v="0"/>
    <n v="0"/>
    <n v="0"/>
    <n v="0"/>
    <n v="0"/>
    <n v="3"/>
    <s v="Single"/>
    <n v="1"/>
    <n v="0"/>
    <n v="3730"/>
    <n v="3730"/>
    <n v="0"/>
    <s v="Yes"/>
    <n v="1"/>
    <n v="14"/>
    <n v="3"/>
    <n v="4"/>
    <n v="0"/>
    <n v="4"/>
    <x v="20"/>
    <n v="2"/>
    <n v="1"/>
    <n v="3"/>
    <n v="3"/>
    <n v="2"/>
    <n v="1"/>
    <n v="1"/>
    <n v="2"/>
    <n v="2"/>
    <n v="2"/>
    <n v="1"/>
    <n v="0"/>
    <n v="0"/>
    <n v="0"/>
    <n v="0"/>
    <n v="1"/>
    <n v="0"/>
    <n v="0"/>
    <n v="0"/>
    <n v="2"/>
    <n v="0"/>
    <n v="0"/>
    <n v="4"/>
    <n v="0"/>
    <n v="0.58898826396879644"/>
    <n v="0.59502473559756086"/>
    <n v="0.93558618405172878"/>
    <n v="0.65423109602898355"/>
    <n v="1.01056543769991"/>
    <n v="0.53898283739188557"/>
    <n v="0.36858985273641137"/>
  </r>
  <r>
    <n v="39"/>
    <n v="39"/>
    <s v="No"/>
    <n v="0"/>
    <s v="Travel_Rarely"/>
    <n v="0"/>
    <n v="1"/>
    <x v="1"/>
    <n v="1"/>
    <n v="0"/>
    <n v="1"/>
    <n v="1"/>
    <n v="4"/>
    <s v="Medical"/>
    <n v="0"/>
    <n v="0"/>
    <n v="1"/>
    <n v="0"/>
    <n v="0"/>
    <n v="3"/>
    <s v="Female"/>
    <n v="1"/>
    <n v="96"/>
    <n v="3"/>
    <n v="1"/>
    <s v="Laboratory Technician"/>
    <n v="0"/>
    <n v="0"/>
    <n v="1"/>
    <n v="0"/>
    <n v="0"/>
    <n v="0"/>
    <n v="0"/>
    <n v="0"/>
    <n v="3"/>
    <s v="Divorced"/>
    <n v="0"/>
    <n v="0"/>
    <n v="2232"/>
    <n v="2232"/>
    <n v="7"/>
    <s v="No"/>
    <n v="0"/>
    <n v="14"/>
    <n v="3"/>
    <n v="3"/>
    <n v="3"/>
    <n v="7"/>
    <x v="2"/>
    <n v="1"/>
    <n v="3"/>
    <n v="3"/>
    <n v="3"/>
    <n v="2"/>
    <n v="1"/>
    <n v="1"/>
    <n v="2"/>
    <n v="2"/>
    <n v="2"/>
    <n v="1"/>
    <n v="0"/>
    <n v="0"/>
    <n v="0"/>
    <n v="1"/>
    <n v="0"/>
    <n v="0"/>
    <n v="0"/>
    <n v="0"/>
    <n v="2"/>
    <n v="0"/>
    <n v="0"/>
    <n v="7"/>
    <n v="0"/>
    <n v="0.9071730029149907"/>
    <n v="0.59502473559756086"/>
    <n v="0.55002080963175637"/>
    <n v="0.65423109602898355"/>
    <n v="1.01056543769991"/>
    <n v="0.22726935890025346"/>
    <n v="0.36858985273641137"/>
  </r>
  <r>
    <n v="32"/>
    <n v="32"/>
    <s v="No"/>
    <n v="0"/>
    <s v="Non-Travel"/>
    <n v="0"/>
    <n v="0"/>
    <x v="0"/>
    <n v="0"/>
    <n v="1"/>
    <n v="26"/>
    <n v="26"/>
    <n v="4"/>
    <s v="Marketing"/>
    <n v="0"/>
    <n v="0"/>
    <n v="0"/>
    <n v="1"/>
    <n v="0"/>
    <n v="3"/>
    <s v="Male"/>
    <n v="0"/>
    <n v="100"/>
    <n v="3"/>
    <n v="2"/>
    <s v="Sales Executive"/>
    <n v="0"/>
    <n v="1"/>
    <n v="0"/>
    <n v="0"/>
    <n v="0"/>
    <n v="0"/>
    <n v="0"/>
    <n v="0"/>
    <n v="4"/>
    <s v="Married"/>
    <n v="0"/>
    <n v="1"/>
    <n v="4465"/>
    <n v="4465"/>
    <n v="0"/>
    <s v="No"/>
    <n v="0"/>
    <n v="18"/>
    <n v="3"/>
    <n v="1"/>
    <n v="0"/>
    <n v="4"/>
    <x v="20"/>
    <n v="2"/>
    <n v="3"/>
    <n v="3"/>
    <n v="3"/>
    <n v="2"/>
    <n v="2"/>
    <n v="2"/>
    <n v="2"/>
    <n v="2"/>
    <n v="4"/>
    <n v="0"/>
    <n v="1"/>
    <n v="0"/>
    <n v="0"/>
    <n v="0"/>
    <n v="0"/>
    <n v="1"/>
    <n v="0"/>
    <n v="0"/>
    <n v="0"/>
    <n v="2"/>
    <n v="0"/>
    <n v="0"/>
    <n v="4"/>
    <n v="0.43286958364472911"/>
    <n v="0.59502473559756086"/>
    <n v="0.93558618405172878"/>
    <n v="0.65423109602898355"/>
    <n v="2.0732409091797459"/>
    <n v="0.53898283739188557"/>
    <n v="5.8265062631872602E-2"/>
  </r>
  <r>
    <n v="41"/>
    <n v="41"/>
    <s v="No"/>
    <n v="0"/>
    <s v="Travel_Rarely"/>
    <n v="0"/>
    <n v="1"/>
    <x v="1"/>
    <n v="1"/>
    <n v="0"/>
    <n v="19"/>
    <n v="19"/>
    <n v="2"/>
    <s v="Life Sciences"/>
    <n v="1"/>
    <n v="0"/>
    <n v="0"/>
    <n v="0"/>
    <n v="0"/>
    <n v="3"/>
    <s v="Male"/>
    <n v="0"/>
    <n v="36"/>
    <n v="3"/>
    <n v="2"/>
    <s v="Research Scientist"/>
    <n v="0"/>
    <n v="0"/>
    <n v="0"/>
    <n v="0"/>
    <n v="0"/>
    <n v="0"/>
    <n v="0"/>
    <n v="1"/>
    <n v="1"/>
    <s v="Divorced"/>
    <n v="0"/>
    <n v="0"/>
    <n v="3072"/>
    <n v="3072"/>
    <n v="2"/>
    <s v="No"/>
    <n v="0"/>
    <n v="16"/>
    <n v="3"/>
    <n v="1"/>
    <n v="2"/>
    <n v="17"/>
    <x v="6"/>
    <n v="2"/>
    <n v="2"/>
    <n v="1"/>
    <n v="1"/>
    <n v="0"/>
    <n v="0"/>
    <n v="0"/>
    <n v="0"/>
    <n v="0"/>
    <n v="0"/>
    <n v="1"/>
    <n v="0"/>
    <n v="0"/>
    <n v="0"/>
    <n v="1"/>
    <n v="0"/>
    <n v="0"/>
    <n v="0"/>
    <n v="0"/>
    <n v="0"/>
    <n v="0"/>
    <n v="0"/>
    <n v="17"/>
    <n v="0"/>
    <n v="0.72875165397319952"/>
    <n v="1.1555414682655611"/>
    <n v="0.73519710510148462"/>
    <n v="0.9806804209314296"/>
    <n v="1.2097751320534422"/>
    <n v="0.4461985578408646"/>
    <n v="0.67891464284095016"/>
  </r>
  <r>
    <n v="40"/>
    <n v="40"/>
    <s v="No"/>
    <n v="0"/>
    <s v="Travel_Rarely"/>
    <n v="0"/>
    <n v="1"/>
    <x v="1"/>
    <n v="1"/>
    <n v="0"/>
    <n v="24"/>
    <n v="24"/>
    <n v="2"/>
    <s v="Technical Degree"/>
    <n v="0"/>
    <n v="0"/>
    <n v="0"/>
    <n v="0"/>
    <n v="1"/>
    <n v="1"/>
    <s v="Male"/>
    <n v="0"/>
    <n v="62"/>
    <n v="3"/>
    <n v="2"/>
    <s v="Research Scientist"/>
    <n v="0"/>
    <n v="0"/>
    <n v="0"/>
    <n v="0"/>
    <n v="0"/>
    <n v="0"/>
    <n v="0"/>
    <n v="1"/>
    <n v="4"/>
    <s v="Divorced"/>
    <n v="0"/>
    <n v="0"/>
    <n v="3319"/>
    <n v="3319"/>
    <n v="1"/>
    <s v="No"/>
    <n v="0"/>
    <n v="17"/>
    <n v="3"/>
    <n v="1"/>
    <n v="2"/>
    <n v="9"/>
    <x v="14"/>
    <n v="3"/>
    <n v="3"/>
    <n v="9"/>
    <n v="9"/>
    <n v="8"/>
    <n v="4"/>
    <n v="4"/>
    <n v="7"/>
    <n v="7"/>
    <n v="14"/>
    <n v="1"/>
    <n v="0"/>
    <n v="0"/>
    <n v="0"/>
    <n v="1"/>
    <n v="0"/>
    <n v="0"/>
    <n v="0"/>
    <n v="0"/>
    <n v="7"/>
    <n v="0"/>
    <n v="0"/>
    <n v="9"/>
    <n v="0"/>
    <n v="0.67628728112960146"/>
    <n v="0.80626709607243985"/>
    <n v="0.29297722668510823"/>
    <n v="0.32511687867835437"/>
    <n v="1.8265364014293735"/>
    <n v="0.33673395837055903"/>
    <n v="0.56238451757720498"/>
  </r>
  <r>
    <n v="45"/>
    <n v="45"/>
    <s v="No"/>
    <n v="0"/>
    <s v="Travel_Rarely"/>
    <n v="0"/>
    <n v="1"/>
    <x v="1"/>
    <n v="1"/>
    <n v="0"/>
    <n v="1"/>
    <n v="1"/>
    <n v="3"/>
    <s v="Other"/>
    <n v="0"/>
    <n v="1"/>
    <n v="0"/>
    <n v="0"/>
    <n v="0"/>
    <n v="3"/>
    <s v="Male"/>
    <n v="0"/>
    <n v="70"/>
    <n v="4"/>
    <n v="5"/>
    <s v="Manager"/>
    <n v="0"/>
    <n v="0"/>
    <n v="0"/>
    <n v="1"/>
    <n v="0"/>
    <n v="0"/>
    <n v="0"/>
    <n v="0"/>
    <n v="4"/>
    <s v="Married"/>
    <n v="0"/>
    <n v="1"/>
    <n v="19202"/>
    <n v="19202"/>
    <n v="0"/>
    <s v="No"/>
    <n v="0"/>
    <n v="11"/>
    <n v="3"/>
    <n v="3"/>
    <n v="1"/>
    <n v="25"/>
    <x v="24"/>
    <n v="2"/>
    <n v="3"/>
    <n v="24"/>
    <n v="24"/>
    <n v="0"/>
    <n v="1"/>
    <n v="1"/>
    <n v="7"/>
    <n v="7"/>
    <n v="35"/>
    <n v="0"/>
    <n v="1"/>
    <n v="0"/>
    <n v="0"/>
    <n v="0"/>
    <n v="0"/>
    <n v="1"/>
    <n v="0"/>
    <n v="0"/>
    <n v="7"/>
    <n v="0"/>
    <n v="0"/>
    <n v="25"/>
    <n v="0"/>
    <n v="2.6973630584447674"/>
    <n v="0.80626709607243985"/>
    <n v="1.7633714368880775"/>
    <n v="2.7734868154466992"/>
    <n v="1.01056543769991"/>
    <n v="0.88405695572208698"/>
    <n v="0.36858985273641137"/>
  </r>
  <r>
    <n v="31"/>
    <n v="31"/>
    <s v="No"/>
    <n v="0"/>
    <s v="Travel_Frequently"/>
    <n v="1"/>
    <n v="0"/>
    <x v="1"/>
    <n v="1"/>
    <n v="0"/>
    <n v="3"/>
    <n v="3"/>
    <n v="4"/>
    <s v="Medical"/>
    <n v="0"/>
    <n v="0"/>
    <n v="1"/>
    <n v="0"/>
    <n v="0"/>
    <n v="2"/>
    <s v="Male"/>
    <n v="0"/>
    <n v="73"/>
    <n v="3"/>
    <n v="3"/>
    <s v="Research Director"/>
    <n v="0"/>
    <n v="0"/>
    <n v="0"/>
    <n v="0"/>
    <n v="0"/>
    <n v="0"/>
    <n v="0"/>
    <n v="0"/>
    <n v="3"/>
    <s v="Divorced"/>
    <n v="0"/>
    <n v="0"/>
    <n v="13675"/>
    <n v="13675"/>
    <n v="9"/>
    <s v="No"/>
    <n v="0"/>
    <n v="12"/>
    <n v="3"/>
    <n v="1"/>
    <n v="1"/>
    <n v="9"/>
    <x v="14"/>
    <n v="3"/>
    <n v="3"/>
    <n v="2"/>
    <n v="2"/>
    <n v="2"/>
    <n v="2"/>
    <n v="2"/>
    <n v="2"/>
    <n v="2"/>
    <n v="6"/>
    <n v="0"/>
    <n v="0"/>
    <n v="1"/>
    <n v="0"/>
    <n v="1"/>
    <n v="0"/>
    <n v="0"/>
    <n v="0"/>
    <n v="0"/>
    <n v="2"/>
    <n v="0"/>
    <n v="0"/>
    <n v="9"/>
    <n v="0"/>
    <n v="1.5233930636813386"/>
    <n v="0.59502473559756086"/>
    <n v="0.29297722668510823"/>
    <n v="0.81745575848020657"/>
    <n v="0.76386092994953758"/>
    <n v="0.6484474368621912"/>
    <n v="5.8265062631872602E-2"/>
  </r>
  <r>
    <n v="33"/>
    <n v="33"/>
    <s v="No"/>
    <n v="0"/>
    <s v="Travel_Rarely"/>
    <n v="0"/>
    <n v="1"/>
    <x v="1"/>
    <n v="1"/>
    <n v="0"/>
    <n v="5"/>
    <n v="5"/>
    <n v="4"/>
    <s v="Life Sciences"/>
    <n v="1"/>
    <n v="0"/>
    <n v="0"/>
    <n v="0"/>
    <n v="0"/>
    <n v="3"/>
    <s v="Female"/>
    <n v="1"/>
    <n v="63"/>
    <n v="2"/>
    <n v="1"/>
    <s v="Research Scientist"/>
    <n v="0"/>
    <n v="0"/>
    <n v="0"/>
    <n v="0"/>
    <n v="0"/>
    <n v="0"/>
    <n v="0"/>
    <n v="1"/>
    <n v="4"/>
    <s v="Married"/>
    <n v="0"/>
    <n v="1"/>
    <n v="2911"/>
    <n v="2911"/>
    <n v="1"/>
    <s v="No"/>
    <n v="0"/>
    <n v="13"/>
    <n v="3"/>
    <n v="3"/>
    <n v="1"/>
    <n v="2"/>
    <x v="16"/>
    <n v="2"/>
    <n v="2"/>
    <n v="2"/>
    <n v="2"/>
    <n v="2"/>
    <n v="0"/>
    <n v="0"/>
    <n v="2"/>
    <n v="2"/>
    <n v="2"/>
    <n v="0"/>
    <n v="1"/>
    <n v="0"/>
    <n v="0"/>
    <n v="0"/>
    <n v="0"/>
    <n v="1"/>
    <n v="0"/>
    <n v="0"/>
    <n v="2"/>
    <n v="0"/>
    <n v="0"/>
    <n v="2"/>
    <n v="0"/>
    <n v="0.76294907918704291"/>
    <n v="0.59502473559756086"/>
    <n v="1.192629766998377"/>
    <n v="0.81745575848020657"/>
    <n v="0.51715642219916513"/>
    <n v="0.42951823792158"/>
    <n v="0.67891464284095016"/>
  </r>
  <r>
    <n v="34"/>
    <n v="34"/>
    <s v="No"/>
    <n v="0"/>
    <s v="Travel_Rarely"/>
    <n v="0"/>
    <n v="1"/>
    <x v="1"/>
    <n v="1"/>
    <n v="0"/>
    <n v="2"/>
    <n v="2"/>
    <n v="4"/>
    <s v="Life Sciences"/>
    <n v="1"/>
    <n v="0"/>
    <n v="0"/>
    <n v="0"/>
    <n v="0"/>
    <n v="4"/>
    <s v="Male"/>
    <n v="0"/>
    <n v="84"/>
    <n v="2"/>
    <n v="2"/>
    <s v="Manufacturing Director"/>
    <n v="0"/>
    <n v="0"/>
    <n v="0"/>
    <n v="0"/>
    <n v="1"/>
    <n v="1"/>
    <n v="0"/>
    <n v="0"/>
    <n v="1"/>
    <s v="Married"/>
    <n v="0"/>
    <n v="1"/>
    <n v="5957"/>
    <n v="5957"/>
    <n v="6"/>
    <s v="No"/>
    <n v="0"/>
    <n v="13"/>
    <n v="3"/>
    <n v="2"/>
    <n v="1"/>
    <n v="13"/>
    <x v="10"/>
    <n v="3"/>
    <n v="3"/>
    <n v="11"/>
    <n v="11"/>
    <n v="9"/>
    <n v="5"/>
    <n v="5"/>
    <n v="9"/>
    <n v="9"/>
    <n v="18"/>
    <n v="0"/>
    <n v="1"/>
    <n v="0"/>
    <n v="0"/>
    <n v="0"/>
    <n v="0"/>
    <n v="1"/>
    <n v="0"/>
    <n v="0"/>
    <n v="9"/>
    <n v="0"/>
    <n v="0"/>
    <n v="13"/>
    <n v="0"/>
    <n v="0.1159592829052619"/>
    <n v="1.3667838287404401"/>
    <n v="0.22110993920818819"/>
    <n v="0.65156620358080031"/>
    <n v="0.88721318382472392"/>
    <n v="0.32005363845127444"/>
    <n v="0.87270930768174382"/>
  </r>
  <r>
    <n v="37"/>
    <n v="37"/>
    <s v="No"/>
    <n v="0"/>
    <s v="Travel_Rarely"/>
    <n v="0"/>
    <n v="1"/>
    <x v="1"/>
    <n v="1"/>
    <n v="0"/>
    <n v="1"/>
    <n v="1"/>
    <n v="2"/>
    <s v="Medical"/>
    <n v="0"/>
    <n v="0"/>
    <n v="1"/>
    <n v="0"/>
    <n v="0"/>
    <n v="3"/>
    <s v="Female"/>
    <n v="1"/>
    <n v="83"/>
    <n v="2"/>
    <n v="1"/>
    <s v="Research Scientist"/>
    <n v="0"/>
    <n v="0"/>
    <n v="0"/>
    <n v="0"/>
    <n v="0"/>
    <n v="0"/>
    <n v="0"/>
    <n v="1"/>
    <n v="1"/>
    <s v="Married"/>
    <n v="0"/>
    <n v="1"/>
    <n v="3920"/>
    <n v="3920"/>
    <n v="2"/>
    <s v="No"/>
    <n v="0"/>
    <n v="14"/>
    <n v="3"/>
    <n v="1"/>
    <n v="1"/>
    <n v="17"/>
    <x v="6"/>
    <n v="2"/>
    <n v="2"/>
    <n v="3"/>
    <n v="3"/>
    <n v="1"/>
    <n v="0"/>
    <n v="0"/>
    <n v="2"/>
    <n v="2"/>
    <n v="2"/>
    <n v="0"/>
    <n v="1"/>
    <n v="0"/>
    <n v="0"/>
    <n v="0"/>
    <n v="0"/>
    <n v="1"/>
    <n v="0"/>
    <n v="0"/>
    <n v="2"/>
    <n v="0"/>
    <n v="0"/>
    <n v="17"/>
    <n v="0"/>
    <n v="0.54863105408910562"/>
    <n v="0.59502473559756086"/>
    <n v="0.73519710510148462"/>
    <n v="0.65423109602898355"/>
    <n v="1.01056543769991"/>
    <n v="8.3401599596422994E-3"/>
    <n v="0.67891464284095016"/>
  </r>
  <r>
    <n v="45"/>
    <n v="45"/>
    <s v="No"/>
    <n v="0"/>
    <s v="Travel_Frequently"/>
    <n v="1"/>
    <n v="0"/>
    <x v="1"/>
    <n v="1"/>
    <n v="0"/>
    <n v="7"/>
    <n v="7"/>
    <n v="4"/>
    <s v="Life Sciences"/>
    <n v="1"/>
    <n v="0"/>
    <n v="0"/>
    <n v="0"/>
    <n v="0"/>
    <n v="1"/>
    <s v="Male"/>
    <n v="0"/>
    <n v="77"/>
    <n v="4"/>
    <n v="2"/>
    <s v="Manufacturing Director"/>
    <n v="0"/>
    <n v="0"/>
    <n v="0"/>
    <n v="0"/>
    <n v="1"/>
    <n v="1"/>
    <n v="0"/>
    <n v="0"/>
    <n v="3"/>
    <s v="Married"/>
    <n v="0"/>
    <n v="1"/>
    <n v="6434"/>
    <n v="6434"/>
    <n v="4"/>
    <s v="No"/>
    <n v="0"/>
    <n v="17"/>
    <n v="3"/>
    <n v="4"/>
    <n v="1"/>
    <n v="9"/>
    <x v="14"/>
    <n v="1"/>
    <n v="3"/>
    <n v="3"/>
    <n v="3"/>
    <n v="2"/>
    <n v="0"/>
    <n v="0"/>
    <n v="2"/>
    <n v="2"/>
    <n v="4"/>
    <n v="0"/>
    <n v="0"/>
    <n v="0"/>
    <n v="1"/>
    <n v="0"/>
    <n v="0"/>
    <n v="1"/>
    <n v="0"/>
    <n v="0"/>
    <n v="2"/>
    <n v="0"/>
    <n v="0"/>
    <n v="9"/>
    <n v="0"/>
    <n v="1.4641445470459038E-2"/>
    <n v="0.59502473559756086"/>
    <n v="0.29297722668510823"/>
    <n v="0.65423109602898355"/>
    <n v="0.27045191444879263"/>
    <n v="0.88405695572208698"/>
    <n v="0.67891464284095016"/>
  </r>
  <r>
    <n v="37"/>
    <n v="37"/>
    <s v="Yes"/>
    <n v="1"/>
    <s v="Travel_Frequently"/>
    <n v="1"/>
    <n v="0"/>
    <x v="1"/>
    <n v="1"/>
    <n v="0"/>
    <n v="10"/>
    <n v="10"/>
    <n v="3"/>
    <s v="Medical"/>
    <n v="0"/>
    <n v="0"/>
    <n v="1"/>
    <n v="0"/>
    <n v="0"/>
    <n v="1"/>
    <s v="Male"/>
    <n v="0"/>
    <n v="61"/>
    <n v="3"/>
    <n v="3"/>
    <s v="Manufacturing Director"/>
    <n v="0"/>
    <n v="0"/>
    <n v="0"/>
    <n v="0"/>
    <n v="1"/>
    <n v="1"/>
    <n v="0"/>
    <n v="0"/>
    <n v="3"/>
    <s v="Divorced"/>
    <n v="0"/>
    <n v="0"/>
    <n v="10048"/>
    <n v="10048"/>
    <n v="6"/>
    <s v="No"/>
    <n v="0"/>
    <n v="11"/>
    <n v="3"/>
    <n v="2"/>
    <n v="2"/>
    <n v="17"/>
    <x v="6"/>
    <n v="5"/>
    <n v="3"/>
    <n v="1"/>
    <n v="1"/>
    <n v="0"/>
    <n v="0"/>
    <n v="0"/>
    <n v="0"/>
    <n v="0"/>
    <n v="0"/>
    <n v="0"/>
    <n v="0"/>
    <n v="1"/>
    <n v="0"/>
    <n v="1"/>
    <n v="0"/>
    <n v="0"/>
    <n v="0"/>
    <n v="0"/>
    <n v="0"/>
    <n v="0"/>
    <n v="0"/>
    <n v="17"/>
    <n v="0"/>
    <n v="0.75299516771481878"/>
    <n v="1.1555414682655611"/>
    <n v="0.73519710510148462"/>
    <n v="0.9806804209314296"/>
    <n v="9.9604847176766084E-2"/>
    <n v="8.3401599596422994E-3"/>
    <n v="0.67891464284095016"/>
  </r>
  <r>
    <n v="39"/>
    <n v="39"/>
    <s v="No"/>
    <n v="0"/>
    <s v="Travel_Frequently"/>
    <n v="1"/>
    <n v="0"/>
    <x v="1"/>
    <n v="1"/>
    <n v="0"/>
    <n v="2"/>
    <n v="2"/>
    <n v="4"/>
    <s v="Technical Degree"/>
    <n v="0"/>
    <n v="0"/>
    <n v="0"/>
    <n v="0"/>
    <n v="1"/>
    <n v="3"/>
    <s v="Female"/>
    <n v="1"/>
    <n v="64"/>
    <n v="3"/>
    <n v="3"/>
    <s v="Healthcare Representative"/>
    <n v="1"/>
    <n v="0"/>
    <n v="0"/>
    <n v="0"/>
    <n v="0"/>
    <n v="0"/>
    <n v="0"/>
    <n v="0"/>
    <n v="3"/>
    <s v="Single"/>
    <n v="1"/>
    <n v="0"/>
    <n v="10938"/>
    <n v="10938"/>
    <n v="0"/>
    <s v="No"/>
    <n v="0"/>
    <n v="25"/>
    <n v="4"/>
    <n v="4"/>
    <n v="0"/>
    <n v="20"/>
    <x v="25"/>
    <n v="1"/>
    <n v="3"/>
    <n v="19"/>
    <n v="19"/>
    <n v="6"/>
    <n v="11"/>
    <n v="11"/>
    <n v="8"/>
    <n v="8"/>
    <n v="24"/>
    <n v="0"/>
    <n v="0"/>
    <n v="1"/>
    <n v="0"/>
    <n v="1"/>
    <n v="0"/>
    <n v="0"/>
    <n v="0"/>
    <n v="0"/>
    <n v="8"/>
    <n v="0"/>
    <n v="0"/>
    <n v="20"/>
    <n v="0"/>
    <n v="0.94203683504600233"/>
    <n v="1.08652546240644"/>
    <n v="1.120762479521457"/>
    <n v="1.9573635031905841"/>
    <n v="0.88721318382472392"/>
    <n v="0.22726935890025346"/>
    <n v="2.7346580483089769"/>
  </r>
  <r>
    <n v="29"/>
    <n v="29"/>
    <s v="No"/>
    <n v="0"/>
    <s v="Travel_Rarely"/>
    <n v="0"/>
    <n v="1"/>
    <x v="1"/>
    <n v="1"/>
    <n v="0"/>
    <n v="15"/>
    <n v="15"/>
    <n v="3"/>
    <s v="Life Sciences"/>
    <n v="1"/>
    <n v="0"/>
    <n v="0"/>
    <n v="0"/>
    <n v="0"/>
    <n v="3"/>
    <s v="Male"/>
    <n v="0"/>
    <n v="60"/>
    <n v="3"/>
    <n v="1"/>
    <s v="Research Scientist"/>
    <n v="0"/>
    <n v="0"/>
    <n v="0"/>
    <n v="0"/>
    <n v="0"/>
    <n v="0"/>
    <n v="0"/>
    <n v="1"/>
    <n v="4"/>
    <s v="Single"/>
    <n v="1"/>
    <n v="0"/>
    <n v="2340"/>
    <n v="2340"/>
    <n v="1"/>
    <s v="No"/>
    <n v="0"/>
    <n v="19"/>
    <n v="3"/>
    <n v="1"/>
    <n v="0"/>
    <n v="6"/>
    <x v="3"/>
    <n v="1"/>
    <n v="3"/>
    <n v="6"/>
    <n v="6"/>
    <n v="5"/>
    <n v="1"/>
    <n v="1"/>
    <n v="5"/>
    <n v="5"/>
    <n v="5"/>
    <n v="1"/>
    <n v="0"/>
    <n v="0"/>
    <n v="0"/>
    <n v="1"/>
    <n v="0"/>
    <n v="0"/>
    <n v="0"/>
    <n v="0"/>
    <n v="5"/>
    <n v="0"/>
    <n v="0"/>
    <n v="6"/>
    <n v="0"/>
    <n v="0.88423311519390335"/>
    <n v="0.24575036340443959"/>
    <n v="0.67854260110508058"/>
    <n v="0.16455710867531462"/>
    <n v="0.71636611655269733"/>
    <n v="0.86737663580280233"/>
    <n v="0.36858985273641137"/>
  </r>
  <r>
    <n v="42"/>
    <n v="42"/>
    <s v="No"/>
    <n v="0"/>
    <s v="Travel_Rarely"/>
    <n v="0"/>
    <n v="1"/>
    <x v="1"/>
    <n v="1"/>
    <n v="0"/>
    <n v="17"/>
    <n v="17"/>
    <n v="2"/>
    <s v="Life Sciences"/>
    <n v="1"/>
    <n v="0"/>
    <n v="0"/>
    <n v="0"/>
    <n v="0"/>
    <n v="4"/>
    <s v="Female"/>
    <n v="1"/>
    <n v="82"/>
    <n v="4"/>
    <n v="2"/>
    <s v="Research Scientist"/>
    <n v="0"/>
    <n v="0"/>
    <n v="0"/>
    <n v="0"/>
    <n v="0"/>
    <n v="0"/>
    <n v="0"/>
    <n v="1"/>
    <n v="1"/>
    <s v="Single"/>
    <n v="1"/>
    <n v="0"/>
    <n v="6545"/>
    <n v="6545"/>
    <n v="3"/>
    <s v="Yes"/>
    <n v="1"/>
    <n v="13"/>
    <n v="3"/>
    <n v="3"/>
    <n v="0"/>
    <n v="10"/>
    <x v="1"/>
    <n v="1"/>
    <n v="3"/>
    <n v="3"/>
    <n v="3"/>
    <n v="2"/>
    <n v="0"/>
    <n v="0"/>
    <n v="2"/>
    <n v="2"/>
    <n v="4"/>
    <n v="1"/>
    <n v="0"/>
    <n v="0"/>
    <n v="0"/>
    <n v="0"/>
    <n v="1"/>
    <n v="0"/>
    <n v="0"/>
    <n v="0"/>
    <n v="2"/>
    <n v="0"/>
    <n v="0"/>
    <n v="10"/>
    <n v="0"/>
    <n v="8.9356613539919444E-3"/>
    <n v="0.59502473559756086"/>
    <n v="0.1644554352117841"/>
    <n v="0.65423109602898355"/>
    <n v="0.96307062430306978"/>
    <n v="0.55566315731117022"/>
    <n v="0.67891464284095016"/>
  </r>
  <r>
    <n v="29"/>
    <n v="29"/>
    <s v="No"/>
    <n v="0"/>
    <s v="Travel_Rarely"/>
    <n v="0"/>
    <n v="1"/>
    <x v="0"/>
    <n v="0"/>
    <n v="1"/>
    <n v="20"/>
    <n v="20"/>
    <n v="2"/>
    <s v="Marketing"/>
    <n v="0"/>
    <n v="0"/>
    <n v="0"/>
    <n v="1"/>
    <n v="0"/>
    <n v="4"/>
    <s v="Male"/>
    <n v="0"/>
    <n v="45"/>
    <n v="3"/>
    <n v="2"/>
    <s v="Sales Executive"/>
    <n v="0"/>
    <n v="1"/>
    <n v="0"/>
    <n v="0"/>
    <n v="0"/>
    <n v="0"/>
    <n v="0"/>
    <n v="0"/>
    <n v="4"/>
    <s v="Divorced"/>
    <n v="0"/>
    <n v="0"/>
    <n v="6931"/>
    <n v="6931"/>
    <n v="2"/>
    <s v="No"/>
    <n v="0"/>
    <n v="14"/>
    <n v="3"/>
    <n v="4"/>
    <n v="1"/>
    <n v="10"/>
    <x v="1"/>
    <n v="2"/>
    <n v="3"/>
    <n v="3"/>
    <n v="3"/>
    <n v="2"/>
    <n v="0"/>
    <n v="0"/>
    <n v="2"/>
    <n v="2"/>
    <n v="4"/>
    <n v="1"/>
    <n v="0"/>
    <n v="0"/>
    <n v="0"/>
    <n v="1"/>
    <n v="0"/>
    <n v="0"/>
    <n v="0"/>
    <n v="0"/>
    <n v="0"/>
    <n v="2"/>
    <n v="0"/>
    <n v="0"/>
    <n v="10"/>
    <n v="9.0924519320100761E-2"/>
    <n v="0.59502473559756086"/>
    <n v="0.1644554352117841"/>
    <n v="0.65423109602898355"/>
    <n v="1.3331273859286286"/>
    <n v="0.86737663580280233"/>
    <n v="0.67891464284095016"/>
  </r>
  <r>
    <n v="25"/>
    <n v="25"/>
    <s v="No"/>
    <n v="0"/>
    <s v="Travel_Rarely"/>
    <n v="0"/>
    <n v="1"/>
    <x v="1"/>
    <n v="1"/>
    <n v="0"/>
    <n v="1"/>
    <n v="1"/>
    <n v="3"/>
    <s v="Life Sciences"/>
    <n v="1"/>
    <n v="0"/>
    <n v="0"/>
    <n v="0"/>
    <n v="0"/>
    <n v="1"/>
    <s v="Female"/>
    <n v="1"/>
    <n v="62"/>
    <n v="3"/>
    <n v="2"/>
    <s v="Manufacturing Director"/>
    <n v="0"/>
    <n v="0"/>
    <n v="0"/>
    <n v="0"/>
    <n v="1"/>
    <n v="1"/>
    <n v="0"/>
    <n v="0"/>
    <n v="3"/>
    <s v="Married"/>
    <n v="0"/>
    <n v="1"/>
    <n v="4898"/>
    <n v="4898"/>
    <n v="0"/>
    <s v="No"/>
    <n v="0"/>
    <n v="12"/>
    <n v="3"/>
    <n v="4"/>
    <n v="2"/>
    <n v="5"/>
    <x v="7"/>
    <n v="3"/>
    <n v="3"/>
    <n v="4"/>
    <n v="4"/>
    <n v="2"/>
    <n v="1"/>
    <n v="1"/>
    <n v="2"/>
    <n v="2"/>
    <n v="4"/>
    <n v="0"/>
    <n v="1"/>
    <n v="0"/>
    <n v="0"/>
    <n v="0"/>
    <n v="0"/>
    <n v="1"/>
    <n v="0"/>
    <n v="0"/>
    <n v="2"/>
    <n v="0"/>
    <n v="0"/>
    <n v="5"/>
    <n v="0"/>
    <n v="0.34089762639259152"/>
    <n v="0.59502473559756086"/>
    <n v="0.80706439257840468"/>
    <n v="0.49100643357776058"/>
    <n v="1.01056543769991"/>
    <n v="1.3052350336840246"/>
    <n v="0.36858985273641137"/>
  </r>
  <r>
    <n v="42"/>
    <n v="42"/>
    <s v="No"/>
    <n v="0"/>
    <s v="Travel_Rarely"/>
    <n v="0"/>
    <n v="1"/>
    <x v="1"/>
    <n v="1"/>
    <n v="0"/>
    <n v="2"/>
    <n v="2"/>
    <n v="3"/>
    <s v="Medical"/>
    <n v="0"/>
    <n v="0"/>
    <n v="1"/>
    <n v="0"/>
    <n v="0"/>
    <n v="4"/>
    <s v="Female"/>
    <n v="1"/>
    <n v="56"/>
    <n v="2"/>
    <n v="1"/>
    <s v="Laboratory Technician"/>
    <n v="0"/>
    <n v="0"/>
    <n v="1"/>
    <n v="0"/>
    <n v="0"/>
    <n v="0"/>
    <n v="0"/>
    <n v="0"/>
    <n v="1"/>
    <s v="Divorced"/>
    <n v="0"/>
    <n v="0"/>
    <n v="2593"/>
    <n v="2593"/>
    <n v="0"/>
    <s v="Yes"/>
    <n v="1"/>
    <n v="11"/>
    <n v="3"/>
    <n v="3"/>
    <n v="1"/>
    <n v="10"/>
    <x v="1"/>
    <n v="4"/>
    <n v="3"/>
    <n v="9"/>
    <n v="9"/>
    <n v="6"/>
    <n v="7"/>
    <n v="7"/>
    <n v="8"/>
    <n v="8"/>
    <n v="8"/>
    <n v="1"/>
    <n v="0"/>
    <n v="0"/>
    <n v="0"/>
    <n v="0"/>
    <n v="1"/>
    <n v="0"/>
    <n v="0"/>
    <n v="0"/>
    <n v="8"/>
    <n v="0"/>
    <n v="0"/>
    <n v="10"/>
    <n v="0"/>
    <n v="0.83049430414357805"/>
    <n v="1.08652546240644"/>
    <n v="0.1644554352117841"/>
    <n v="0.32511687867835437"/>
    <n v="0.88721318382472392"/>
    <n v="0.55566315731117022"/>
    <n v="1.4933588878908215"/>
  </r>
  <r>
    <n v="40"/>
    <n v="40"/>
    <s v="No"/>
    <n v="0"/>
    <s v="Travel_Rarely"/>
    <n v="0"/>
    <n v="1"/>
    <x v="1"/>
    <n v="1"/>
    <n v="0"/>
    <n v="2"/>
    <n v="2"/>
    <n v="2"/>
    <s v="Medical"/>
    <n v="0"/>
    <n v="0"/>
    <n v="1"/>
    <n v="0"/>
    <n v="0"/>
    <n v="1"/>
    <s v="Male"/>
    <n v="0"/>
    <n v="49"/>
    <n v="3"/>
    <n v="5"/>
    <s v="Research Director"/>
    <n v="0"/>
    <n v="0"/>
    <n v="0"/>
    <n v="0"/>
    <n v="0"/>
    <n v="0"/>
    <n v="0"/>
    <n v="0"/>
    <n v="3"/>
    <s v="Divorced"/>
    <n v="0"/>
    <n v="0"/>
    <n v="19436"/>
    <n v="19436"/>
    <n v="0"/>
    <s v="No"/>
    <n v="0"/>
    <n v="19"/>
    <n v="3"/>
    <n v="4"/>
    <n v="1"/>
    <n v="22"/>
    <x v="13"/>
    <n v="5"/>
    <n v="3"/>
    <n v="21"/>
    <n v="21"/>
    <n v="7"/>
    <n v="3"/>
    <n v="3"/>
    <n v="9"/>
    <n v="9"/>
    <n v="45"/>
    <n v="1"/>
    <n v="0"/>
    <n v="0"/>
    <n v="0"/>
    <n v="1"/>
    <n v="0"/>
    <n v="0"/>
    <n v="0"/>
    <n v="0"/>
    <n v="9"/>
    <n v="0"/>
    <n v="0"/>
    <n v="22"/>
    <n v="0"/>
    <n v="2.7470661485071233"/>
    <n v="1.3667838287404401"/>
    <n v="1.3778060624681052"/>
    <n v="2.2838128280930299"/>
    <n v="0.88721318382472392"/>
    <n v="0.33673395837055903"/>
    <n v="0.2520597274726662"/>
  </r>
  <r>
    <n v="51"/>
    <n v="51"/>
    <s v="No"/>
    <n v="0"/>
    <s v="Travel_Rarely"/>
    <n v="0"/>
    <n v="1"/>
    <x v="1"/>
    <n v="1"/>
    <n v="0"/>
    <n v="1"/>
    <n v="1"/>
    <n v="3"/>
    <s v="Life Sciences"/>
    <n v="1"/>
    <n v="0"/>
    <n v="0"/>
    <n v="0"/>
    <n v="0"/>
    <n v="3"/>
    <s v="Male"/>
    <n v="0"/>
    <n v="96"/>
    <n v="3"/>
    <n v="1"/>
    <s v="Research Scientist"/>
    <n v="0"/>
    <n v="0"/>
    <n v="0"/>
    <n v="0"/>
    <n v="0"/>
    <n v="0"/>
    <n v="0"/>
    <n v="1"/>
    <n v="4"/>
    <s v="Married"/>
    <n v="0"/>
    <n v="1"/>
    <n v="2723"/>
    <n v="2723"/>
    <n v="1"/>
    <s v="No"/>
    <n v="0"/>
    <n v="11"/>
    <n v="3"/>
    <n v="2"/>
    <n v="0"/>
    <n v="1"/>
    <x v="5"/>
    <n v="0"/>
    <n v="2"/>
    <n v="1"/>
    <n v="1"/>
    <n v="0"/>
    <n v="0"/>
    <n v="0"/>
    <n v="0"/>
    <n v="0"/>
    <n v="0"/>
    <n v="0"/>
    <n v="1"/>
    <n v="0"/>
    <n v="0"/>
    <n v="0"/>
    <n v="0"/>
    <n v="1"/>
    <n v="0"/>
    <n v="0"/>
    <n v="0"/>
    <n v="0"/>
    <n v="0"/>
    <n v="1"/>
    <n v="0"/>
    <n v="0.80288147633115803"/>
    <n v="1.1555414682655611"/>
    <n v="1.3211515584717011"/>
    <n v="0.9806804209314296"/>
    <n v="1.01056543769991"/>
    <n v="1.5408445525439205"/>
    <n v="0.67891464284095016"/>
  </r>
  <r>
    <n v="31"/>
    <n v="31"/>
    <s v="Yes"/>
    <n v="1"/>
    <s v="Travel_Frequently"/>
    <n v="1"/>
    <n v="0"/>
    <x v="1"/>
    <n v="1"/>
    <n v="0"/>
    <n v="29"/>
    <n v="29"/>
    <n v="2"/>
    <s v="Medical"/>
    <n v="0"/>
    <n v="0"/>
    <n v="1"/>
    <n v="0"/>
    <n v="0"/>
    <n v="3"/>
    <s v="Male"/>
    <n v="0"/>
    <n v="71"/>
    <n v="2"/>
    <n v="1"/>
    <s v="Laboratory Technician"/>
    <n v="0"/>
    <n v="0"/>
    <n v="1"/>
    <n v="0"/>
    <n v="0"/>
    <n v="0"/>
    <n v="0"/>
    <n v="0"/>
    <n v="2"/>
    <s v="Single"/>
    <n v="1"/>
    <n v="0"/>
    <n v="3479"/>
    <n v="3479"/>
    <n v="0"/>
    <s v="No"/>
    <n v="0"/>
    <n v="11"/>
    <n v="3"/>
    <n v="2"/>
    <n v="0"/>
    <n v="6"/>
    <x v="3"/>
    <n v="2"/>
    <n v="4"/>
    <n v="5"/>
    <n v="5"/>
    <n v="4"/>
    <n v="1"/>
    <n v="1"/>
    <n v="4"/>
    <n v="4"/>
    <n v="4"/>
    <n v="0"/>
    <n v="0"/>
    <n v="1"/>
    <n v="0"/>
    <n v="1"/>
    <n v="0"/>
    <n v="0"/>
    <n v="0"/>
    <n v="0"/>
    <n v="4"/>
    <n v="0"/>
    <n v="0"/>
    <n v="6"/>
    <n v="0"/>
    <n v="0.64230226228354592"/>
    <n v="3.4508002929560584E-2"/>
    <n v="0.67854260110508058"/>
    <n v="0.32778177112653761"/>
    <n v="2.4432976708053049"/>
    <n v="0.6484474368621912"/>
    <n v="0.36858985273641137"/>
  </r>
  <r>
    <n v="32"/>
    <n v="32"/>
    <s v="No"/>
    <n v="0"/>
    <s v="Travel_Frequently"/>
    <n v="1"/>
    <n v="0"/>
    <x v="1"/>
    <n v="1"/>
    <n v="0"/>
    <n v="7"/>
    <n v="7"/>
    <n v="3"/>
    <s v="Life Sciences"/>
    <n v="1"/>
    <n v="0"/>
    <n v="0"/>
    <n v="0"/>
    <n v="0"/>
    <n v="2"/>
    <s v="Male"/>
    <n v="0"/>
    <n v="100"/>
    <n v="4"/>
    <n v="1"/>
    <s v="Laboratory Technician"/>
    <n v="0"/>
    <n v="0"/>
    <n v="1"/>
    <n v="0"/>
    <n v="0"/>
    <n v="0"/>
    <n v="0"/>
    <n v="0"/>
    <n v="2"/>
    <s v="Married"/>
    <n v="0"/>
    <n v="1"/>
    <n v="2794"/>
    <n v="2794"/>
    <n v="1"/>
    <s v="No"/>
    <n v="0"/>
    <n v="20"/>
    <n v="4"/>
    <n v="3"/>
    <n v="0"/>
    <n v="5"/>
    <x v="7"/>
    <n v="3"/>
    <n v="1"/>
    <n v="5"/>
    <n v="5"/>
    <n v="1"/>
    <n v="0"/>
    <n v="0"/>
    <n v="3"/>
    <n v="3"/>
    <n v="3"/>
    <n v="0"/>
    <n v="0"/>
    <n v="0"/>
    <n v="1"/>
    <n v="0"/>
    <n v="0"/>
    <n v="1"/>
    <n v="0"/>
    <n v="0"/>
    <n v="3"/>
    <n v="0"/>
    <n v="0"/>
    <n v="5"/>
    <n v="0"/>
    <n v="0.78780062421822095"/>
    <n v="0.31476636926356072"/>
    <n v="0.80706439257840468"/>
    <n v="0.32778177112653761"/>
    <n v="0.27045191444879263"/>
    <n v="0.53898283739188557"/>
    <n v="0.67891464284095016"/>
  </r>
  <r>
    <n v="38"/>
    <n v="38"/>
    <s v="No"/>
    <n v="0"/>
    <s v="Non-Travel"/>
    <n v="0"/>
    <n v="0"/>
    <x v="0"/>
    <n v="0"/>
    <n v="1"/>
    <n v="2"/>
    <n v="2"/>
    <n v="2"/>
    <s v="Life Sciences"/>
    <n v="1"/>
    <n v="0"/>
    <n v="0"/>
    <n v="0"/>
    <n v="0"/>
    <n v="4"/>
    <s v="Male"/>
    <n v="0"/>
    <n v="39"/>
    <n v="2"/>
    <n v="2"/>
    <s v="Sales Executive"/>
    <n v="0"/>
    <n v="1"/>
    <n v="0"/>
    <n v="0"/>
    <n v="0"/>
    <n v="0"/>
    <n v="0"/>
    <n v="0"/>
    <n v="4"/>
    <s v="Married"/>
    <n v="0"/>
    <n v="1"/>
    <n v="5249"/>
    <n v="5249"/>
    <n v="3"/>
    <s v="No"/>
    <n v="0"/>
    <n v="18"/>
    <n v="3"/>
    <n v="4"/>
    <n v="1"/>
    <n v="13"/>
    <x v="10"/>
    <n v="0"/>
    <n v="3"/>
    <n v="8"/>
    <n v="8"/>
    <n v="7"/>
    <n v="7"/>
    <n v="7"/>
    <n v="5"/>
    <n v="5"/>
    <n v="10"/>
    <n v="0"/>
    <n v="1"/>
    <n v="0"/>
    <n v="0"/>
    <n v="0"/>
    <n v="0"/>
    <n v="1"/>
    <n v="0"/>
    <n v="0"/>
    <n v="0"/>
    <n v="5"/>
    <n v="0"/>
    <n v="0"/>
    <n v="13"/>
    <n v="0.26634299129905736"/>
    <n v="0.24575036340443959"/>
    <n v="0.22110993920818819"/>
    <n v="0.16189221622713135"/>
    <n v="0.88721318382472392"/>
    <n v="0.11780475942994788"/>
    <n v="1.4933588878908215"/>
  </r>
  <r>
    <n v="32"/>
    <n v="32"/>
    <s v="No"/>
    <n v="0"/>
    <s v="Travel_Rarely"/>
    <n v="0"/>
    <n v="1"/>
    <x v="1"/>
    <n v="1"/>
    <n v="0"/>
    <n v="2"/>
    <n v="2"/>
    <n v="1"/>
    <s v="Technical Degree"/>
    <n v="0"/>
    <n v="0"/>
    <n v="0"/>
    <n v="0"/>
    <n v="1"/>
    <n v="4"/>
    <s v="Male"/>
    <n v="0"/>
    <n v="84"/>
    <n v="2"/>
    <n v="2"/>
    <s v="Laboratory Technician"/>
    <n v="0"/>
    <n v="0"/>
    <n v="1"/>
    <n v="0"/>
    <n v="0"/>
    <n v="0"/>
    <n v="0"/>
    <n v="0"/>
    <n v="1"/>
    <s v="Single"/>
    <n v="1"/>
    <n v="0"/>
    <n v="2176"/>
    <n v="2176"/>
    <n v="4"/>
    <s v="No"/>
    <n v="0"/>
    <n v="13"/>
    <n v="3"/>
    <n v="4"/>
    <n v="0"/>
    <n v="9"/>
    <x v="14"/>
    <n v="5"/>
    <n v="3"/>
    <n v="6"/>
    <n v="6"/>
    <n v="2"/>
    <n v="0"/>
    <n v="0"/>
    <n v="4"/>
    <n v="4"/>
    <n v="8"/>
    <n v="1"/>
    <n v="0"/>
    <n v="0"/>
    <n v="0"/>
    <n v="1"/>
    <n v="0"/>
    <n v="0"/>
    <n v="0"/>
    <n v="0"/>
    <n v="4"/>
    <n v="0"/>
    <n v="0"/>
    <n v="9"/>
    <n v="0"/>
    <n v="0.91906775951111019"/>
    <n v="3.4508002929560584E-2"/>
    <n v="0.29297722668510823"/>
    <n v="0.16455710867531462"/>
    <n v="0.88721318382472392"/>
    <n v="0.53898283739188557"/>
    <n v="0.67891464284095016"/>
  </r>
  <r>
    <n v="46"/>
    <n v="46"/>
    <s v="No"/>
    <n v="0"/>
    <s v="Travel_Rarely"/>
    <n v="0"/>
    <n v="1"/>
    <x v="0"/>
    <n v="0"/>
    <n v="1"/>
    <n v="2"/>
    <n v="2"/>
    <n v="3"/>
    <s v="Technical Degree"/>
    <n v="0"/>
    <n v="0"/>
    <n v="0"/>
    <n v="0"/>
    <n v="1"/>
    <n v="3"/>
    <s v="Female"/>
    <n v="1"/>
    <n v="75"/>
    <n v="1"/>
    <n v="4"/>
    <s v="Manager"/>
    <n v="0"/>
    <n v="0"/>
    <n v="0"/>
    <n v="1"/>
    <n v="0"/>
    <n v="0"/>
    <n v="0"/>
    <n v="0"/>
    <n v="2"/>
    <s v="Married"/>
    <n v="0"/>
    <n v="1"/>
    <n v="16872"/>
    <n v="16872"/>
    <n v="3"/>
    <s v="Yes"/>
    <n v="1"/>
    <n v="12"/>
    <n v="3"/>
    <n v="2"/>
    <n v="1"/>
    <n v="28"/>
    <x v="22"/>
    <n v="2"/>
    <n v="2"/>
    <n v="7"/>
    <n v="7"/>
    <n v="7"/>
    <n v="7"/>
    <n v="7"/>
    <n v="7"/>
    <n v="7"/>
    <n v="28"/>
    <n v="0"/>
    <n v="1"/>
    <n v="0"/>
    <n v="0"/>
    <n v="0"/>
    <n v="0"/>
    <n v="0"/>
    <n v="1"/>
    <n v="0"/>
    <n v="0"/>
    <n v="7"/>
    <n v="0"/>
    <n v="0"/>
    <n v="28"/>
    <n v="2.2024562214990846"/>
    <n v="0.80626709607243985"/>
    <n v="2.1489368113080496"/>
    <n v="1.3324462240916321E-3"/>
    <n v="0.88721318382472392"/>
    <n v="0.99352155519239249"/>
    <n v="1.4933588878908215"/>
  </r>
  <r>
    <n v="28"/>
    <n v="28"/>
    <s v="Yes"/>
    <n v="1"/>
    <s v="Travel_Rarely"/>
    <n v="0"/>
    <n v="1"/>
    <x v="1"/>
    <n v="1"/>
    <n v="0"/>
    <n v="2"/>
    <n v="2"/>
    <n v="4"/>
    <s v="Life Sciences"/>
    <n v="1"/>
    <n v="0"/>
    <n v="0"/>
    <n v="0"/>
    <n v="0"/>
    <n v="1"/>
    <s v="Male"/>
    <n v="0"/>
    <n v="79"/>
    <n v="3"/>
    <n v="1"/>
    <s v="Laboratory Technician"/>
    <n v="0"/>
    <n v="0"/>
    <n v="1"/>
    <n v="0"/>
    <n v="0"/>
    <n v="0"/>
    <n v="0"/>
    <n v="0"/>
    <n v="3"/>
    <s v="Single"/>
    <n v="1"/>
    <n v="0"/>
    <n v="3485"/>
    <n v="3485"/>
    <n v="2"/>
    <s v="No"/>
    <n v="0"/>
    <n v="11"/>
    <n v="3"/>
    <n v="3"/>
    <n v="0"/>
    <n v="5"/>
    <x v="7"/>
    <n v="5"/>
    <n v="1"/>
    <n v="0"/>
    <n v="0"/>
    <n v="0"/>
    <n v="0"/>
    <n v="0"/>
    <n v="0"/>
    <n v="0"/>
    <n v="0"/>
    <n v="1"/>
    <n v="0"/>
    <n v="0"/>
    <n v="0"/>
    <n v="1"/>
    <n v="0"/>
    <n v="0"/>
    <n v="0"/>
    <n v="0"/>
    <n v="0"/>
    <n v="0"/>
    <n v="0"/>
    <n v="5"/>
    <n v="0"/>
    <n v="0.64102782407681891"/>
    <n v="1.1555414682655611"/>
    <n v="0.80706439257840468"/>
    <n v="1.1439050833826525"/>
    <n v="0.88721318382472392"/>
    <n v="0.97684123527310796"/>
    <n v="0.67891464284095016"/>
  </r>
  <r>
    <n v="29"/>
    <n v="29"/>
    <s v="No"/>
    <n v="0"/>
    <s v="Travel_Rarely"/>
    <n v="0"/>
    <n v="1"/>
    <x v="0"/>
    <n v="0"/>
    <n v="1"/>
    <n v="2"/>
    <n v="2"/>
    <n v="3"/>
    <s v="Medical"/>
    <n v="0"/>
    <n v="0"/>
    <n v="1"/>
    <n v="0"/>
    <n v="0"/>
    <n v="1"/>
    <s v="Male"/>
    <n v="0"/>
    <n v="78"/>
    <n v="2"/>
    <n v="2"/>
    <s v="Sales Executive"/>
    <n v="0"/>
    <n v="1"/>
    <n v="0"/>
    <n v="0"/>
    <n v="0"/>
    <n v="0"/>
    <n v="0"/>
    <n v="0"/>
    <n v="2"/>
    <s v="Married"/>
    <n v="0"/>
    <n v="1"/>
    <n v="6644"/>
    <n v="6644"/>
    <n v="2"/>
    <s v="No"/>
    <n v="0"/>
    <n v="19"/>
    <n v="3"/>
    <n v="2"/>
    <n v="2"/>
    <n v="10"/>
    <x v="1"/>
    <n v="2"/>
    <n v="3"/>
    <n v="0"/>
    <n v="0"/>
    <n v="0"/>
    <n v="0"/>
    <n v="0"/>
    <n v="0"/>
    <n v="0"/>
    <n v="0"/>
    <n v="0"/>
    <n v="1"/>
    <n v="0"/>
    <n v="0"/>
    <n v="0"/>
    <n v="0"/>
    <n v="1"/>
    <n v="0"/>
    <n v="0"/>
    <n v="0"/>
    <n v="0"/>
    <n v="0"/>
    <n v="0"/>
    <n v="10"/>
    <n v="2.9963891764988763E-2"/>
    <n v="1.1555414682655611"/>
    <n v="0.1644554352117841"/>
    <n v="1.1439050833826525"/>
    <n v="0.88721318382472392"/>
    <n v="0.86737663580280233"/>
    <n v="0.67891464284095016"/>
  </r>
  <r>
    <n v="31"/>
    <n v="31"/>
    <s v="No"/>
    <n v="0"/>
    <s v="Travel_Rarely"/>
    <n v="0"/>
    <n v="1"/>
    <x v="1"/>
    <n v="1"/>
    <n v="0"/>
    <n v="23"/>
    <n v="23"/>
    <n v="3"/>
    <s v="Medical"/>
    <n v="0"/>
    <n v="0"/>
    <n v="1"/>
    <n v="0"/>
    <n v="0"/>
    <n v="2"/>
    <s v="Male"/>
    <n v="0"/>
    <n v="64"/>
    <n v="2"/>
    <n v="2"/>
    <s v="Healthcare Representative"/>
    <n v="1"/>
    <n v="0"/>
    <n v="0"/>
    <n v="0"/>
    <n v="0"/>
    <n v="0"/>
    <n v="0"/>
    <n v="0"/>
    <n v="4"/>
    <s v="Married"/>
    <n v="0"/>
    <n v="1"/>
    <n v="5582"/>
    <n v="5582"/>
    <n v="0"/>
    <s v="No"/>
    <n v="0"/>
    <n v="21"/>
    <n v="4"/>
    <n v="2"/>
    <n v="1"/>
    <n v="10"/>
    <x v="1"/>
    <n v="2"/>
    <n v="3"/>
    <n v="9"/>
    <n v="9"/>
    <n v="0"/>
    <n v="7"/>
    <n v="7"/>
    <n v="8"/>
    <n v="8"/>
    <n v="16"/>
    <n v="0"/>
    <n v="1"/>
    <n v="0"/>
    <n v="0"/>
    <n v="0"/>
    <n v="0"/>
    <n v="1"/>
    <n v="0"/>
    <n v="0"/>
    <n v="8"/>
    <n v="0"/>
    <n v="0"/>
    <n v="10"/>
    <n v="0"/>
    <n v="0.19561167082570441"/>
    <n v="1.08652546240644"/>
    <n v="0.1644554352117841"/>
    <n v="0.32511687867835437"/>
    <n v="1.7031841475541873"/>
    <n v="0.6484474368621912"/>
    <n v="1.4933588878908215"/>
  </r>
  <r>
    <n v="25"/>
    <n v="25"/>
    <s v="No"/>
    <n v="0"/>
    <s v="Non-Travel"/>
    <n v="0"/>
    <n v="0"/>
    <x v="1"/>
    <n v="1"/>
    <n v="0"/>
    <n v="5"/>
    <n v="5"/>
    <n v="2"/>
    <s v="Life Sciences"/>
    <n v="1"/>
    <n v="0"/>
    <n v="0"/>
    <n v="0"/>
    <n v="0"/>
    <n v="2"/>
    <s v="Male"/>
    <n v="0"/>
    <n v="85"/>
    <n v="4"/>
    <n v="2"/>
    <s v="Healthcare Representative"/>
    <n v="1"/>
    <n v="0"/>
    <n v="0"/>
    <n v="0"/>
    <n v="0"/>
    <n v="0"/>
    <n v="0"/>
    <n v="0"/>
    <n v="1"/>
    <s v="Divorced"/>
    <n v="0"/>
    <n v="0"/>
    <n v="4000"/>
    <n v="4000"/>
    <n v="1"/>
    <s v="No"/>
    <n v="0"/>
    <n v="12"/>
    <n v="3"/>
    <n v="4"/>
    <n v="2"/>
    <n v="6"/>
    <x v="3"/>
    <n v="2"/>
    <n v="3"/>
    <n v="6"/>
    <n v="6"/>
    <n v="3"/>
    <n v="1"/>
    <n v="1"/>
    <n v="5"/>
    <n v="5"/>
    <n v="10"/>
    <n v="1"/>
    <n v="0"/>
    <n v="0"/>
    <n v="0"/>
    <n v="1"/>
    <n v="0"/>
    <n v="0"/>
    <n v="0"/>
    <n v="0"/>
    <n v="5"/>
    <n v="0"/>
    <n v="0"/>
    <n v="6"/>
    <n v="0"/>
    <n v="0.53163854466607785"/>
    <n v="0.24575036340443959"/>
    <n v="0.67854260110508058"/>
    <n v="0.16455710867531462"/>
    <n v="0.51715642219916513"/>
    <n v="1.3052350336840246"/>
    <n v="0.36858985273641137"/>
  </r>
  <r>
    <n v="45"/>
    <n v="45"/>
    <s v="No"/>
    <n v="0"/>
    <s v="Travel_Rarely"/>
    <n v="0"/>
    <n v="1"/>
    <x v="1"/>
    <n v="1"/>
    <n v="0"/>
    <n v="20"/>
    <n v="20"/>
    <n v="2"/>
    <s v="Medical"/>
    <n v="0"/>
    <n v="0"/>
    <n v="1"/>
    <n v="0"/>
    <n v="0"/>
    <n v="3"/>
    <s v="Male"/>
    <n v="0"/>
    <n v="79"/>
    <n v="3"/>
    <n v="4"/>
    <s v="Healthcare Representative"/>
    <n v="1"/>
    <n v="0"/>
    <n v="0"/>
    <n v="0"/>
    <n v="0"/>
    <n v="0"/>
    <n v="0"/>
    <n v="0"/>
    <n v="4"/>
    <s v="Married"/>
    <n v="0"/>
    <n v="1"/>
    <n v="13496"/>
    <n v="13496"/>
    <n v="0"/>
    <s v="Yes"/>
    <n v="1"/>
    <n v="14"/>
    <n v="3"/>
    <n v="2"/>
    <n v="0"/>
    <n v="21"/>
    <x v="23"/>
    <n v="2"/>
    <n v="3"/>
    <n v="20"/>
    <n v="20"/>
    <n v="7"/>
    <n v="4"/>
    <n v="4"/>
    <n v="10"/>
    <n v="10"/>
    <n v="40"/>
    <n v="0"/>
    <n v="1"/>
    <n v="0"/>
    <n v="0"/>
    <n v="0"/>
    <n v="0"/>
    <n v="0"/>
    <n v="1"/>
    <n v="0"/>
    <n v="10"/>
    <n v="0"/>
    <n v="0"/>
    <n v="21"/>
    <n v="0"/>
    <n v="1.4853723238473142"/>
    <n v="1.6470421950744405"/>
    <n v="1.2492842709947811"/>
    <n v="2.1205881656418071"/>
    <n v="1.3331273859286286"/>
    <n v="0.88405695572208698"/>
    <n v="0.56238451757720498"/>
  </r>
  <r>
    <n v="36"/>
    <n v="36"/>
    <s v="No"/>
    <n v="0"/>
    <s v="Travel_Rarely"/>
    <n v="0"/>
    <n v="1"/>
    <x v="1"/>
    <n v="1"/>
    <n v="0"/>
    <n v="6"/>
    <n v="6"/>
    <n v="3"/>
    <s v="Life Sciences"/>
    <n v="1"/>
    <n v="0"/>
    <n v="0"/>
    <n v="0"/>
    <n v="0"/>
    <n v="4"/>
    <s v="Male"/>
    <n v="0"/>
    <n v="47"/>
    <n v="3"/>
    <n v="1"/>
    <s v="Laboratory Technician"/>
    <n v="0"/>
    <n v="0"/>
    <n v="1"/>
    <n v="0"/>
    <n v="0"/>
    <n v="0"/>
    <n v="0"/>
    <n v="0"/>
    <n v="4"/>
    <s v="Married"/>
    <n v="0"/>
    <n v="1"/>
    <n v="3210"/>
    <n v="3210"/>
    <n v="0"/>
    <s v="No"/>
    <n v="0"/>
    <n v="11"/>
    <n v="3"/>
    <n v="3"/>
    <n v="1"/>
    <n v="16"/>
    <x v="27"/>
    <n v="4"/>
    <n v="3"/>
    <n v="15"/>
    <n v="15"/>
    <n v="13"/>
    <n v="10"/>
    <n v="10"/>
    <n v="11"/>
    <n v="11"/>
    <n v="11"/>
    <n v="0"/>
    <n v="1"/>
    <n v="0"/>
    <n v="0"/>
    <n v="0"/>
    <n v="0"/>
    <n v="1"/>
    <n v="0"/>
    <n v="0"/>
    <n v="11"/>
    <n v="0"/>
    <n v="0"/>
    <n v="16"/>
    <n v="0"/>
    <n v="0.69943957521847666"/>
    <n v="1.9273005614084406"/>
    <n v="0.60667531362816052"/>
    <n v="1.3044648533856922"/>
    <n v="0.39380416832397891"/>
    <n v="0.10112443951066327"/>
    <n v="2.4243332582044381"/>
  </r>
  <r>
    <n v="55"/>
    <n v="55"/>
    <s v="No"/>
    <n v="0"/>
    <s v="Travel_Rarely"/>
    <n v="0"/>
    <n v="1"/>
    <x v="1"/>
    <n v="1"/>
    <n v="0"/>
    <n v="1"/>
    <n v="1"/>
    <n v="3"/>
    <s v="Medical"/>
    <n v="0"/>
    <n v="0"/>
    <n v="1"/>
    <n v="0"/>
    <n v="0"/>
    <n v="4"/>
    <s v="Male"/>
    <n v="0"/>
    <n v="81"/>
    <n v="3"/>
    <n v="5"/>
    <s v="Manager"/>
    <n v="0"/>
    <n v="0"/>
    <n v="0"/>
    <n v="1"/>
    <n v="0"/>
    <n v="0"/>
    <n v="0"/>
    <n v="0"/>
    <n v="1"/>
    <s v="Single"/>
    <n v="1"/>
    <n v="0"/>
    <n v="19045"/>
    <n v="19045"/>
    <n v="0"/>
    <s v="Yes"/>
    <n v="1"/>
    <n v="14"/>
    <n v="3"/>
    <n v="3"/>
    <n v="0"/>
    <n v="37"/>
    <x v="28"/>
    <n v="2"/>
    <n v="3"/>
    <n v="36"/>
    <n v="31"/>
    <n v="10"/>
    <n v="4"/>
    <n v="4"/>
    <n v="13"/>
    <n v="13"/>
    <n v="65"/>
    <n v="1"/>
    <n v="0"/>
    <n v="0"/>
    <n v="0"/>
    <n v="0"/>
    <n v="1"/>
    <n v="0"/>
    <n v="0"/>
    <n v="0"/>
    <n v="13"/>
    <n v="0"/>
    <n v="0"/>
    <n v="35"/>
    <n v="0"/>
    <n v="2.6640152587020753"/>
    <n v="2.4878172940764407"/>
    <n v="3.3056329345679663"/>
    <n v="4.732182764861375"/>
    <n v="1.01056543769991"/>
    <n v="1.9787029504251428"/>
    <n v="0.56238451757720498"/>
  </r>
  <r>
    <n v="47"/>
    <n v="47"/>
    <s v="Yes"/>
    <n v="1"/>
    <s v="Non-Travel"/>
    <n v="0"/>
    <n v="0"/>
    <x v="1"/>
    <n v="1"/>
    <n v="0"/>
    <n v="29"/>
    <n v="29"/>
    <n v="4"/>
    <s v="Life Sciences"/>
    <n v="1"/>
    <n v="0"/>
    <n v="0"/>
    <n v="0"/>
    <n v="0"/>
    <n v="1"/>
    <s v="Male"/>
    <n v="0"/>
    <n v="88"/>
    <n v="3"/>
    <n v="3"/>
    <s v="Manager"/>
    <n v="0"/>
    <n v="0"/>
    <n v="0"/>
    <n v="1"/>
    <n v="0"/>
    <n v="0"/>
    <n v="0"/>
    <n v="0"/>
    <n v="2"/>
    <s v="Married"/>
    <n v="0"/>
    <n v="1"/>
    <n v="11849"/>
    <n v="11849"/>
    <n v="1"/>
    <s v="Yes"/>
    <n v="1"/>
    <n v="12"/>
    <n v="3"/>
    <n v="4"/>
    <n v="1"/>
    <n v="10"/>
    <x v="1"/>
    <n v="2"/>
    <n v="2"/>
    <n v="10"/>
    <n v="10"/>
    <n v="7"/>
    <n v="9"/>
    <n v="9"/>
    <n v="9"/>
    <n v="9"/>
    <n v="27"/>
    <n v="0"/>
    <n v="1"/>
    <n v="0"/>
    <n v="0"/>
    <n v="0"/>
    <n v="0"/>
    <n v="0"/>
    <n v="1"/>
    <n v="0"/>
    <n v="9"/>
    <n v="0"/>
    <n v="0"/>
    <n v="10"/>
    <n v="0"/>
    <n v="1.1355390361007307"/>
    <n v="1.3667838287404401"/>
    <n v="0.1644554352117841"/>
    <n v="0.48834154112957734"/>
    <n v="2.4432976708053049"/>
    <n v="1.102986154662698"/>
    <n v="2.114008468099899"/>
  </r>
  <r>
    <n v="28"/>
    <n v="28"/>
    <s v="No"/>
    <n v="0"/>
    <s v="Travel_Rarely"/>
    <n v="0"/>
    <n v="1"/>
    <x v="1"/>
    <n v="1"/>
    <n v="0"/>
    <n v="9"/>
    <n v="9"/>
    <n v="3"/>
    <s v="Medical"/>
    <n v="0"/>
    <n v="0"/>
    <n v="1"/>
    <n v="0"/>
    <n v="0"/>
    <n v="4"/>
    <s v="Male"/>
    <n v="0"/>
    <n v="94"/>
    <n v="3"/>
    <n v="1"/>
    <s v="Research Scientist"/>
    <n v="0"/>
    <n v="0"/>
    <n v="0"/>
    <n v="0"/>
    <n v="0"/>
    <n v="0"/>
    <n v="0"/>
    <n v="1"/>
    <n v="4"/>
    <s v="Married"/>
    <n v="0"/>
    <n v="1"/>
    <n v="2070"/>
    <n v="2070"/>
    <n v="1"/>
    <s v="No"/>
    <n v="0"/>
    <n v="23"/>
    <n v="4"/>
    <n v="4"/>
    <n v="1"/>
    <n v="5"/>
    <x v="7"/>
    <n v="3"/>
    <n v="2"/>
    <n v="5"/>
    <n v="5"/>
    <n v="2"/>
    <n v="0"/>
    <n v="0"/>
    <n v="4"/>
    <n v="4"/>
    <n v="4"/>
    <n v="0"/>
    <n v="1"/>
    <n v="0"/>
    <n v="0"/>
    <n v="0"/>
    <n v="0"/>
    <n v="1"/>
    <n v="0"/>
    <n v="0"/>
    <n v="4"/>
    <n v="0"/>
    <n v="0"/>
    <n v="5"/>
    <n v="0"/>
    <n v="0.94158283449662195"/>
    <n v="3.4508002929560584E-2"/>
    <n v="0.80706439257840468"/>
    <n v="0.32778177112653761"/>
    <n v="2.3747406698420157E-2"/>
    <n v="0.97684123527310796"/>
    <n v="0.67891464284095016"/>
  </r>
  <r>
    <n v="37"/>
    <n v="37"/>
    <s v="No"/>
    <n v="0"/>
    <s v="Travel_Rarely"/>
    <n v="0"/>
    <n v="1"/>
    <x v="0"/>
    <n v="0"/>
    <n v="1"/>
    <n v="6"/>
    <n v="6"/>
    <n v="4"/>
    <s v="Medical"/>
    <n v="0"/>
    <n v="0"/>
    <n v="1"/>
    <n v="0"/>
    <n v="0"/>
    <n v="3"/>
    <s v="Male"/>
    <n v="0"/>
    <n v="98"/>
    <n v="3"/>
    <n v="2"/>
    <s v="Sales Executive"/>
    <n v="0"/>
    <n v="1"/>
    <n v="0"/>
    <n v="0"/>
    <n v="0"/>
    <n v="0"/>
    <n v="0"/>
    <n v="0"/>
    <n v="4"/>
    <s v="Married"/>
    <n v="0"/>
    <n v="1"/>
    <n v="6502"/>
    <n v="6502"/>
    <n v="4"/>
    <s v="No"/>
    <n v="0"/>
    <n v="14"/>
    <n v="3"/>
    <n v="2"/>
    <n v="1"/>
    <n v="7"/>
    <x v="2"/>
    <n v="5"/>
    <n v="4"/>
    <n v="5"/>
    <n v="5"/>
    <n v="4"/>
    <n v="0"/>
    <n v="0"/>
    <n v="1"/>
    <n v="1"/>
    <n v="2"/>
    <n v="0"/>
    <n v="1"/>
    <n v="0"/>
    <n v="0"/>
    <n v="0"/>
    <n v="0"/>
    <n v="1"/>
    <n v="0"/>
    <n v="0"/>
    <n v="0"/>
    <n v="1"/>
    <n v="0"/>
    <n v="0"/>
    <n v="7"/>
    <n v="1.9781246088546319E-4"/>
    <n v="0.87528310193156111"/>
    <n v="0.55002080963175637"/>
    <n v="0.32778177112653761"/>
    <n v="0.39380416832397891"/>
    <n v="8.3401599596422994E-3"/>
    <n v="0.67891464284095016"/>
  </r>
  <r>
    <n v="21"/>
    <n v="21"/>
    <s v="No"/>
    <n v="0"/>
    <s v="Travel_Rarely"/>
    <n v="0"/>
    <n v="1"/>
    <x v="1"/>
    <n v="1"/>
    <n v="0"/>
    <n v="3"/>
    <n v="3"/>
    <n v="2"/>
    <s v="Medical"/>
    <n v="0"/>
    <n v="0"/>
    <n v="1"/>
    <n v="0"/>
    <n v="0"/>
    <n v="4"/>
    <s v="Male"/>
    <n v="0"/>
    <n v="100"/>
    <n v="2"/>
    <n v="1"/>
    <s v="Research Scientist"/>
    <n v="0"/>
    <n v="0"/>
    <n v="0"/>
    <n v="0"/>
    <n v="0"/>
    <n v="0"/>
    <n v="0"/>
    <n v="1"/>
    <n v="3"/>
    <s v="Single"/>
    <n v="1"/>
    <n v="0"/>
    <n v="3230"/>
    <n v="3230"/>
    <n v="1"/>
    <s v="No"/>
    <n v="0"/>
    <n v="17"/>
    <n v="3"/>
    <n v="1"/>
    <n v="0"/>
    <n v="3"/>
    <x v="8"/>
    <n v="4"/>
    <n v="4"/>
    <n v="3"/>
    <n v="3"/>
    <n v="2"/>
    <n v="1"/>
    <n v="1"/>
    <n v="0"/>
    <n v="0"/>
    <n v="0"/>
    <n v="1"/>
    <n v="0"/>
    <n v="0"/>
    <n v="0"/>
    <n v="1"/>
    <n v="0"/>
    <n v="0"/>
    <n v="0"/>
    <n v="0"/>
    <n v="0"/>
    <n v="0"/>
    <n v="0"/>
    <n v="3"/>
    <n v="0"/>
    <n v="0.6951914478627198"/>
    <n v="1.1555414682655611"/>
    <n v="1.0641079755250529"/>
    <n v="0.65423109602898355"/>
    <n v="0.76386092994953758"/>
    <n v="1.7430934315652469"/>
    <n v="0.36858985273641137"/>
  </r>
  <r>
    <n v="37"/>
    <n v="37"/>
    <s v="No"/>
    <n v="0"/>
    <s v="Non-Travel"/>
    <n v="0"/>
    <n v="0"/>
    <x v="1"/>
    <n v="1"/>
    <n v="0"/>
    <n v="1"/>
    <n v="1"/>
    <n v="4"/>
    <s v="Medical"/>
    <n v="0"/>
    <n v="0"/>
    <n v="1"/>
    <n v="0"/>
    <n v="0"/>
    <n v="1"/>
    <s v="Female"/>
    <n v="1"/>
    <n v="80"/>
    <n v="3"/>
    <n v="3"/>
    <s v="Research Director"/>
    <n v="0"/>
    <n v="0"/>
    <n v="0"/>
    <n v="0"/>
    <n v="0"/>
    <n v="0"/>
    <n v="0"/>
    <n v="0"/>
    <n v="4"/>
    <s v="Divorced"/>
    <n v="0"/>
    <n v="0"/>
    <n v="13603"/>
    <n v="13603"/>
    <n v="2"/>
    <s v="Yes"/>
    <n v="1"/>
    <n v="18"/>
    <n v="3"/>
    <n v="1"/>
    <n v="2"/>
    <n v="15"/>
    <x v="19"/>
    <n v="2"/>
    <n v="3"/>
    <n v="5"/>
    <n v="5"/>
    <n v="2"/>
    <n v="0"/>
    <n v="0"/>
    <n v="2"/>
    <n v="2"/>
    <n v="6"/>
    <n v="1"/>
    <n v="0"/>
    <n v="0"/>
    <n v="0"/>
    <n v="0"/>
    <n v="1"/>
    <n v="0"/>
    <n v="0"/>
    <n v="0"/>
    <n v="2"/>
    <n v="0"/>
    <n v="0"/>
    <n v="15"/>
    <n v="0"/>
    <n v="1.5080998052006138"/>
    <n v="0.59502473559756086"/>
    <n v="0.47815352215483642"/>
    <n v="0.32778177112653761"/>
    <n v="1.01056543769991"/>
    <n v="8.3401599596422994E-3"/>
    <n v="0.67891464284095016"/>
  </r>
  <r>
    <n v="35"/>
    <n v="35"/>
    <s v="No"/>
    <n v="0"/>
    <s v="Travel_Rarely"/>
    <n v="0"/>
    <n v="1"/>
    <x v="1"/>
    <n v="1"/>
    <n v="0"/>
    <n v="22"/>
    <n v="22"/>
    <n v="3"/>
    <s v="Life Sciences"/>
    <n v="1"/>
    <n v="0"/>
    <n v="0"/>
    <n v="0"/>
    <n v="0"/>
    <n v="2"/>
    <s v="Female"/>
    <n v="1"/>
    <n v="71"/>
    <n v="4"/>
    <n v="3"/>
    <s v="Manager"/>
    <n v="0"/>
    <n v="0"/>
    <n v="0"/>
    <n v="1"/>
    <n v="0"/>
    <n v="0"/>
    <n v="0"/>
    <n v="0"/>
    <n v="2"/>
    <s v="Divorced"/>
    <n v="0"/>
    <n v="0"/>
    <n v="11996"/>
    <n v="11996"/>
    <n v="7"/>
    <s v="No"/>
    <n v="0"/>
    <n v="18"/>
    <n v="3"/>
    <n v="2"/>
    <n v="1"/>
    <n v="10"/>
    <x v="1"/>
    <n v="6"/>
    <n v="2"/>
    <n v="7"/>
    <n v="7"/>
    <n v="7"/>
    <n v="6"/>
    <n v="6"/>
    <n v="2"/>
    <n v="2"/>
    <n v="6"/>
    <n v="1"/>
    <n v="0"/>
    <n v="0"/>
    <n v="0"/>
    <n v="1"/>
    <n v="0"/>
    <n v="0"/>
    <n v="0"/>
    <n v="0"/>
    <n v="2"/>
    <n v="0"/>
    <n v="0"/>
    <n v="10"/>
    <n v="0"/>
    <n v="1.1667627721655442"/>
    <n v="0.59502473559756086"/>
    <n v="0.1644554352117841"/>
    <n v="1.3324462240916321E-3"/>
    <n v="1.579831893679001"/>
    <n v="0.21058903898096887"/>
    <n v="1.1830340977862825"/>
  </r>
  <r>
    <n v="38"/>
    <n v="38"/>
    <s v="No"/>
    <n v="0"/>
    <s v="Travel_Rarely"/>
    <n v="0"/>
    <n v="1"/>
    <x v="0"/>
    <n v="0"/>
    <n v="1"/>
    <n v="7"/>
    <n v="7"/>
    <n v="2"/>
    <s v="Medical"/>
    <n v="0"/>
    <n v="0"/>
    <n v="1"/>
    <n v="0"/>
    <n v="0"/>
    <n v="1"/>
    <s v="Female"/>
    <n v="1"/>
    <n v="44"/>
    <n v="4"/>
    <n v="2"/>
    <s v="Sales Executive"/>
    <n v="0"/>
    <n v="1"/>
    <n v="0"/>
    <n v="0"/>
    <n v="0"/>
    <n v="0"/>
    <n v="0"/>
    <n v="0"/>
    <n v="1"/>
    <s v="Divorced"/>
    <n v="0"/>
    <n v="0"/>
    <n v="5605"/>
    <n v="5605"/>
    <n v="1"/>
    <s v="Yes"/>
    <n v="1"/>
    <n v="24"/>
    <n v="4"/>
    <n v="3"/>
    <n v="1"/>
    <n v="8"/>
    <x v="0"/>
    <n v="3"/>
    <n v="3"/>
    <n v="8"/>
    <n v="8"/>
    <n v="0"/>
    <n v="7"/>
    <n v="7"/>
    <n v="7"/>
    <n v="7"/>
    <n v="14"/>
    <n v="1"/>
    <n v="0"/>
    <n v="0"/>
    <n v="0"/>
    <n v="0"/>
    <n v="1"/>
    <n v="0"/>
    <n v="0"/>
    <n v="0"/>
    <n v="0"/>
    <n v="7"/>
    <n v="0"/>
    <n v="0"/>
    <n v="8"/>
    <n v="0.19072632436658393"/>
    <n v="0.80626709607243985"/>
    <n v="0.42149901815843233"/>
    <n v="0.16189221622713135"/>
    <n v="0.27045191444879263"/>
    <n v="0.11780475942994788"/>
    <n v="1.4933588878908215"/>
  </r>
  <r>
    <n v="26"/>
    <n v="26"/>
    <s v="No"/>
    <n v="0"/>
    <s v="Travel_Frequently"/>
    <n v="1"/>
    <n v="0"/>
    <x v="1"/>
    <n v="1"/>
    <n v="0"/>
    <n v="1"/>
    <n v="1"/>
    <n v="3"/>
    <s v="Life Sciences"/>
    <n v="1"/>
    <n v="0"/>
    <n v="0"/>
    <n v="0"/>
    <n v="0"/>
    <n v="3"/>
    <s v="Female"/>
    <n v="1"/>
    <n v="84"/>
    <n v="3"/>
    <n v="2"/>
    <s v="Manufacturing Director"/>
    <n v="0"/>
    <n v="0"/>
    <n v="0"/>
    <n v="0"/>
    <n v="1"/>
    <n v="1"/>
    <n v="0"/>
    <n v="0"/>
    <n v="2"/>
    <s v="Divorced"/>
    <n v="0"/>
    <n v="0"/>
    <n v="6397"/>
    <n v="6397"/>
    <n v="1"/>
    <s v="No"/>
    <n v="0"/>
    <n v="20"/>
    <n v="4"/>
    <n v="1"/>
    <n v="1"/>
    <n v="6"/>
    <x v="3"/>
    <n v="6"/>
    <n v="1"/>
    <n v="6"/>
    <n v="6"/>
    <n v="5"/>
    <n v="1"/>
    <n v="1"/>
    <n v="4"/>
    <n v="4"/>
    <n v="8"/>
    <n v="0"/>
    <n v="0"/>
    <n v="1"/>
    <n v="0"/>
    <n v="1"/>
    <n v="0"/>
    <n v="0"/>
    <n v="0"/>
    <n v="0"/>
    <n v="4"/>
    <n v="0"/>
    <n v="0"/>
    <n v="6"/>
    <n v="0"/>
    <n v="2.2500481078609365E-2"/>
    <n v="3.4508002929560584E-2"/>
    <n v="0.67854260110508058"/>
    <n v="0.16455710867531462"/>
    <n v="1.01056543769991"/>
    <n v="1.195770434213719"/>
    <n v="0.36858985273641137"/>
  </r>
  <r>
    <n v="50"/>
    <n v="50"/>
    <s v="No"/>
    <n v="0"/>
    <s v="Travel_Rarely"/>
    <n v="0"/>
    <n v="1"/>
    <x v="1"/>
    <n v="1"/>
    <n v="0"/>
    <n v="4"/>
    <n v="4"/>
    <n v="1"/>
    <s v="Life Sciences"/>
    <n v="1"/>
    <n v="0"/>
    <n v="0"/>
    <n v="0"/>
    <n v="0"/>
    <n v="1"/>
    <s v="Male"/>
    <n v="0"/>
    <n v="96"/>
    <n v="3"/>
    <n v="5"/>
    <s v="Research Director"/>
    <n v="0"/>
    <n v="0"/>
    <n v="0"/>
    <n v="0"/>
    <n v="0"/>
    <n v="0"/>
    <n v="0"/>
    <n v="0"/>
    <n v="2"/>
    <s v="Divorced"/>
    <n v="0"/>
    <n v="0"/>
    <n v="19144"/>
    <n v="19144"/>
    <n v="3"/>
    <s v="No"/>
    <n v="0"/>
    <n v="14"/>
    <n v="3"/>
    <n v="1"/>
    <n v="2"/>
    <n v="28"/>
    <x v="22"/>
    <n v="4"/>
    <n v="2"/>
    <n v="10"/>
    <n v="10"/>
    <n v="4"/>
    <n v="1"/>
    <n v="1"/>
    <n v="6"/>
    <n v="6"/>
    <n v="30"/>
    <n v="1"/>
    <n v="0"/>
    <n v="0"/>
    <n v="0"/>
    <n v="1"/>
    <n v="0"/>
    <n v="0"/>
    <n v="0"/>
    <n v="0"/>
    <n v="6"/>
    <n v="0"/>
    <n v="0"/>
    <n v="28"/>
    <n v="0"/>
    <n v="2.6850434891130721"/>
    <n v="0.52600872973843971"/>
    <n v="2.1489368113080496"/>
    <n v="0.48834154112957734"/>
    <n v="0.64050867607435136"/>
    <n v="1.4313799530736149"/>
    <n v="0.36858985273641137"/>
  </r>
  <r>
    <n v="53"/>
    <n v="53"/>
    <s v="No"/>
    <n v="0"/>
    <s v="Travel_Rarely"/>
    <n v="0"/>
    <n v="1"/>
    <x v="1"/>
    <n v="1"/>
    <n v="0"/>
    <n v="3"/>
    <n v="3"/>
    <n v="4"/>
    <s v="Medical"/>
    <n v="0"/>
    <n v="0"/>
    <n v="1"/>
    <n v="0"/>
    <n v="0"/>
    <n v="3"/>
    <s v="Male"/>
    <n v="0"/>
    <n v="45"/>
    <n v="3"/>
    <n v="4"/>
    <s v="Research Director"/>
    <n v="0"/>
    <n v="0"/>
    <n v="0"/>
    <n v="0"/>
    <n v="0"/>
    <n v="0"/>
    <n v="0"/>
    <n v="0"/>
    <n v="3"/>
    <s v="Married"/>
    <n v="0"/>
    <n v="1"/>
    <n v="17584"/>
    <n v="17584"/>
    <n v="3"/>
    <s v="Yes"/>
    <n v="1"/>
    <n v="16"/>
    <n v="3"/>
    <n v="4"/>
    <n v="3"/>
    <n v="21"/>
    <x v="23"/>
    <n v="5"/>
    <n v="2"/>
    <n v="5"/>
    <n v="5"/>
    <n v="3"/>
    <n v="1"/>
    <n v="1"/>
    <n v="3"/>
    <n v="3"/>
    <n v="12"/>
    <n v="0"/>
    <n v="1"/>
    <n v="0"/>
    <n v="0"/>
    <n v="0"/>
    <n v="0"/>
    <n v="0"/>
    <n v="1"/>
    <n v="0"/>
    <n v="3"/>
    <n v="0"/>
    <n v="0"/>
    <n v="21"/>
    <n v="0"/>
    <n v="2.3536895553640313"/>
    <n v="0.31476636926356072"/>
    <n v="1.2492842709947811"/>
    <n v="0.32778177112653761"/>
    <n v="0.76386092994953758"/>
    <n v="1.7597737514845315"/>
    <n v="0.36858985273641137"/>
  </r>
  <r>
    <n v="42"/>
    <n v="42"/>
    <s v="No"/>
    <n v="0"/>
    <s v="Travel_Rarely"/>
    <n v="0"/>
    <n v="1"/>
    <x v="0"/>
    <n v="0"/>
    <n v="1"/>
    <n v="1"/>
    <n v="1"/>
    <n v="1"/>
    <s v="Life Sciences"/>
    <n v="1"/>
    <n v="0"/>
    <n v="0"/>
    <n v="0"/>
    <n v="0"/>
    <n v="2"/>
    <s v="Male"/>
    <n v="0"/>
    <n v="99"/>
    <n v="3"/>
    <n v="2"/>
    <s v="Sales Executive"/>
    <n v="0"/>
    <n v="1"/>
    <n v="0"/>
    <n v="0"/>
    <n v="0"/>
    <n v="0"/>
    <n v="0"/>
    <n v="0"/>
    <n v="3"/>
    <s v="Married"/>
    <n v="0"/>
    <n v="1"/>
    <n v="4907"/>
    <n v="4907"/>
    <n v="1"/>
    <s v="No"/>
    <n v="0"/>
    <n v="25"/>
    <n v="4"/>
    <n v="3"/>
    <n v="0"/>
    <n v="20"/>
    <x v="25"/>
    <n v="3"/>
    <n v="3"/>
    <n v="20"/>
    <n v="20"/>
    <n v="16"/>
    <n v="11"/>
    <n v="11"/>
    <n v="6"/>
    <n v="6"/>
    <n v="12"/>
    <n v="0"/>
    <n v="1"/>
    <n v="0"/>
    <n v="0"/>
    <n v="0"/>
    <n v="0"/>
    <n v="1"/>
    <n v="0"/>
    <n v="0"/>
    <n v="0"/>
    <n v="6"/>
    <n v="0"/>
    <n v="0"/>
    <n v="20"/>
    <n v="0.33898596908250089"/>
    <n v="0.52600872973843971"/>
    <n v="1.120762479521457"/>
    <n v="2.1205881656418071"/>
    <n v="1.01056543769991"/>
    <n v="0.55566315731117022"/>
    <n v="2.7346580483089769"/>
  </r>
  <r>
    <n v="29"/>
    <n v="29"/>
    <s v="No"/>
    <n v="0"/>
    <s v="Travel_Frequently"/>
    <n v="1"/>
    <n v="0"/>
    <x v="0"/>
    <n v="0"/>
    <n v="1"/>
    <n v="2"/>
    <n v="2"/>
    <n v="2"/>
    <s v="Life Sciences"/>
    <n v="1"/>
    <n v="0"/>
    <n v="0"/>
    <n v="0"/>
    <n v="0"/>
    <n v="2"/>
    <s v="Male"/>
    <n v="0"/>
    <n v="44"/>
    <n v="3"/>
    <n v="2"/>
    <s v="Sales Executive"/>
    <n v="0"/>
    <n v="1"/>
    <n v="0"/>
    <n v="0"/>
    <n v="0"/>
    <n v="0"/>
    <n v="0"/>
    <n v="0"/>
    <n v="4"/>
    <s v="Single"/>
    <n v="1"/>
    <n v="0"/>
    <n v="4554"/>
    <n v="4554"/>
    <n v="1"/>
    <s v="No"/>
    <n v="0"/>
    <n v="18"/>
    <n v="3"/>
    <n v="1"/>
    <n v="0"/>
    <n v="10"/>
    <x v="1"/>
    <n v="3"/>
    <n v="2"/>
    <n v="10"/>
    <n v="10"/>
    <n v="7"/>
    <n v="0"/>
    <n v="0"/>
    <n v="9"/>
    <n v="9"/>
    <n v="18"/>
    <n v="0"/>
    <n v="0"/>
    <n v="1"/>
    <n v="0"/>
    <n v="1"/>
    <n v="0"/>
    <n v="0"/>
    <n v="0"/>
    <n v="0"/>
    <n v="0"/>
    <n v="9"/>
    <n v="0"/>
    <n v="0"/>
    <n v="10"/>
    <n v="0.41396541691161076"/>
    <n v="1.3667838287404401"/>
    <n v="0.1644554352117841"/>
    <n v="0.48834154112957734"/>
    <n v="0.88721318382472392"/>
    <n v="0.86737663580280233"/>
    <n v="0.67891464284095016"/>
  </r>
  <r>
    <n v="55"/>
    <n v="55"/>
    <s v="No"/>
    <n v="0"/>
    <s v="Travel_Rarely"/>
    <n v="0"/>
    <n v="1"/>
    <x v="1"/>
    <n v="1"/>
    <n v="0"/>
    <n v="20"/>
    <n v="20"/>
    <n v="2"/>
    <s v="Technical Degree"/>
    <n v="0"/>
    <n v="0"/>
    <n v="0"/>
    <n v="0"/>
    <n v="1"/>
    <n v="2"/>
    <s v="Male"/>
    <n v="0"/>
    <n v="37"/>
    <n v="3"/>
    <n v="2"/>
    <s v="Laboratory Technician"/>
    <n v="0"/>
    <n v="0"/>
    <n v="1"/>
    <n v="0"/>
    <n v="0"/>
    <n v="0"/>
    <n v="0"/>
    <n v="0"/>
    <n v="4"/>
    <s v="Married"/>
    <n v="0"/>
    <n v="1"/>
    <n v="5415"/>
    <n v="5415"/>
    <n v="3"/>
    <s v="Yes"/>
    <n v="1"/>
    <n v="19"/>
    <n v="3"/>
    <n v="4"/>
    <n v="1"/>
    <n v="12"/>
    <x v="4"/>
    <n v="4"/>
    <n v="3"/>
    <n v="10"/>
    <n v="10"/>
    <n v="7"/>
    <n v="0"/>
    <n v="0"/>
    <n v="8"/>
    <n v="8"/>
    <n v="16"/>
    <n v="0"/>
    <n v="1"/>
    <n v="0"/>
    <n v="0"/>
    <n v="0"/>
    <n v="0"/>
    <n v="0"/>
    <n v="1"/>
    <n v="0"/>
    <n v="8"/>
    <n v="0"/>
    <n v="0"/>
    <n v="12"/>
    <n v="0"/>
    <n v="0.23108353424627479"/>
    <n v="1.08652546240644"/>
    <n v="9.2588147734864096E-2"/>
    <n v="0.48834154112957734"/>
    <n v="1.3331273859286286"/>
    <n v="1.9787029504251428"/>
    <n v="0.67891464284095016"/>
  </r>
  <r>
    <n v="26"/>
    <n v="26"/>
    <s v="No"/>
    <n v="0"/>
    <s v="Travel_Frequently"/>
    <n v="1"/>
    <n v="0"/>
    <x v="1"/>
    <n v="1"/>
    <n v="0"/>
    <n v="11"/>
    <n v="11"/>
    <n v="2"/>
    <s v="Medical"/>
    <n v="0"/>
    <n v="0"/>
    <n v="1"/>
    <n v="0"/>
    <n v="0"/>
    <n v="1"/>
    <s v="Male"/>
    <n v="0"/>
    <n v="60"/>
    <n v="3"/>
    <n v="2"/>
    <s v="Healthcare Representative"/>
    <n v="1"/>
    <n v="0"/>
    <n v="0"/>
    <n v="0"/>
    <n v="0"/>
    <n v="0"/>
    <n v="0"/>
    <n v="0"/>
    <n v="1"/>
    <s v="Married"/>
    <n v="0"/>
    <n v="1"/>
    <n v="4741"/>
    <n v="4741"/>
    <n v="1"/>
    <s v="Yes"/>
    <n v="1"/>
    <n v="13"/>
    <n v="3"/>
    <n v="3"/>
    <n v="1"/>
    <n v="5"/>
    <x v="7"/>
    <n v="3"/>
    <n v="3"/>
    <n v="5"/>
    <n v="5"/>
    <n v="3"/>
    <n v="3"/>
    <n v="3"/>
    <n v="3"/>
    <n v="3"/>
    <n v="6"/>
    <n v="0"/>
    <n v="0"/>
    <n v="0"/>
    <n v="1"/>
    <n v="0"/>
    <n v="0"/>
    <n v="0"/>
    <n v="1"/>
    <n v="0"/>
    <n v="3"/>
    <n v="0"/>
    <n v="0"/>
    <n v="5"/>
    <n v="0"/>
    <n v="0.37424542613528344"/>
    <n v="0.31476636926356072"/>
    <n v="0.80706439257840468"/>
    <n v="0.32778177112653761"/>
    <n v="0.22295710105195232"/>
    <n v="1.195770434213719"/>
    <n v="0.2520597274726662"/>
  </r>
  <r>
    <n v="37"/>
    <n v="37"/>
    <s v="No"/>
    <n v="0"/>
    <s v="Travel_Rarely"/>
    <n v="0"/>
    <n v="1"/>
    <x v="1"/>
    <n v="1"/>
    <n v="0"/>
    <n v="1"/>
    <n v="1"/>
    <n v="3"/>
    <s v="Life Sciences"/>
    <n v="1"/>
    <n v="0"/>
    <n v="0"/>
    <n v="0"/>
    <n v="0"/>
    <n v="4"/>
    <s v="Female"/>
    <n v="1"/>
    <n v="42"/>
    <n v="3"/>
    <n v="1"/>
    <s v="Research Scientist"/>
    <n v="0"/>
    <n v="0"/>
    <n v="0"/>
    <n v="0"/>
    <n v="0"/>
    <n v="0"/>
    <n v="0"/>
    <n v="1"/>
    <n v="4"/>
    <s v="Single"/>
    <n v="1"/>
    <n v="0"/>
    <n v="2115"/>
    <n v="2115"/>
    <n v="1"/>
    <s v="No"/>
    <n v="0"/>
    <n v="12"/>
    <n v="3"/>
    <n v="2"/>
    <n v="0"/>
    <n v="17"/>
    <x v="6"/>
    <n v="3"/>
    <n v="3"/>
    <n v="17"/>
    <n v="17"/>
    <n v="12"/>
    <n v="5"/>
    <n v="5"/>
    <n v="7"/>
    <n v="7"/>
    <n v="7"/>
    <n v="1"/>
    <n v="0"/>
    <n v="0"/>
    <n v="0"/>
    <n v="1"/>
    <n v="0"/>
    <n v="0"/>
    <n v="0"/>
    <n v="0"/>
    <n v="7"/>
    <n v="0"/>
    <n v="0"/>
    <n v="17"/>
    <n v="0"/>
    <n v="0.93202454794616885"/>
    <n v="0.80626709607243985"/>
    <n v="0.73519710510148462"/>
    <n v="1.630914178288138"/>
    <n v="1.01056543769991"/>
    <n v="8.3401599596422994E-3"/>
    <n v="0.87270930768174382"/>
  </r>
  <r>
    <n v="44"/>
    <n v="44"/>
    <s v="Yes"/>
    <n v="1"/>
    <s v="Travel_Frequently"/>
    <n v="1"/>
    <n v="0"/>
    <x v="1"/>
    <n v="1"/>
    <n v="0"/>
    <n v="24"/>
    <n v="24"/>
    <n v="3"/>
    <s v="Life Sciences"/>
    <n v="1"/>
    <n v="0"/>
    <n v="0"/>
    <n v="0"/>
    <n v="0"/>
    <n v="4"/>
    <s v="Male"/>
    <n v="0"/>
    <n v="43"/>
    <n v="3"/>
    <n v="1"/>
    <s v="Laboratory Technician"/>
    <n v="0"/>
    <n v="0"/>
    <n v="1"/>
    <n v="0"/>
    <n v="0"/>
    <n v="0"/>
    <n v="0"/>
    <n v="0"/>
    <n v="3"/>
    <s v="Divorced"/>
    <n v="0"/>
    <n v="0"/>
    <n v="3161"/>
    <n v="3161"/>
    <n v="3"/>
    <s v="Yes"/>
    <n v="1"/>
    <n v="22"/>
    <n v="4"/>
    <n v="4"/>
    <n v="1"/>
    <n v="19"/>
    <x v="15"/>
    <n v="0"/>
    <n v="1"/>
    <n v="1"/>
    <n v="1"/>
    <n v="0"/>
    <n v="0"/>
    <n v="0"/>
    <n v="0"/>
    <n v="0"/>
    <n v="0"/>
    <n v="0"/>
    <n v="0"/>
    <n v="1"/>
    <n v="0"/>
    <n v="0"/>
    <n v="1"/>
    <n v="0"/>
    <n v="0"/>
    <n v="0"/>
    <n v="0"/>
    <n v="0"/>
    <n v="0"/>
    <n v="19"/>
    <n v="0"/>
    <n v="0.70984748724008118"/>
    <n v="1.1555414682655611"/>
    <n v="0.99224068804813281"/>
    <n v="0.9806804209314296"/>
    <n v="1.8265364014293735"/>
    <n v="0.77459235625178136"/>
    <n v="0.67891464284095016"/>
  </r>
  <r>
    <n v="38"/>
    <n v="38"/>
    <s v="No"/>
    <n v="0"/>
    <s v="Travel_Rarely"/>
    <n v="0"/>
    <n v="1"/>
    <x v="1"/>
    <n v="1"/>
    <n v="0"/>
    <n v="23"/>
    <n v="23"/>
    <n v="4"/>
    <s v="Life Sciences"/>
    <n v="1"/>
    <n v="0"/>
    <n v="0"/>
    <n v="0"/>
    <n v="0"/>
    <n v="4"/>
    <s v="Male"/>
    <n v="0"/>
    <n v="82"/>
    <n v="3"/>
    <n v="2"/>
    <s v="Healthcare Representative"/>
    <n v="1"/>
    <n v="0"/>
    <n v="0"/>
    <n v="0"/>
    <n v="0"/>
    <n v="0"/>
    <n v="0"/>
    <n v="0"/>
    <n v="4"/>
    <s v="Divorced"/>
    <n v="0"/>
    <n v="0"/>
    <n v="5745"/>
    <n v="5745"/>
    <n v="9"/>
    <s v="No"/>
    <n v="0"/>
    <n v="14"/>
    <n v="3"/>
    <n v="2"/>
    <n v="1"/>
    <n v="10"/>
    <x v="1"/>
    <n v="2"/>
    <n v="3"/>
    <n v="2"/>
    <n v="2"/>
    <n v="2"/>
    <n v="1"/>
    <n v="1"/>
    <n v="2"/>
    <n v="2"/>
    <n v="4"/>
    <n v="1"/>
    <n v="0"/>
    <n v="0"/>
    <n v="0"/>
    <n v="1"/>
    <n v="0"/>
    <n v="0"/>
    <n v="0"/>
    <n v="0"/>
    <n v="2"/>
    <n v="0"/>
    <n v="0"/>
    <n v="10"/>
    <n v="0"/>
    <n v="0.16098943287628539"/>
    <n v="0.59502473559756086"/>
    <n v="0.1644554352117841"/>
    <n v="0.81745575848020657"/>
    <n v="1.7031841475541873"/>
    <n v="0.11780475942994788"/>
    <n v="0.36858985273641137"/>
  </r>
  <r>
    <n v="26"/>
    <n v="26"/>
    <s v="Yes"/>
    <n v="1"/>
    <s v="Travel_Rarely"/>
    <n v="0"/>
    <n v="1"/>
    <x v="1"/>
    <n v="1"/>
    <n v="0"/>
    <n v="16"/>
    <n v="16"/>
    <n v="4"/>
    <s v="Medical"/>
    <n v="0"/>
    <n v="0"/>
    <n v="1"/>
    <n v="0"/>
    <n v="0"/>
    <n v="1"/>
    <s v="Male"/>
    <n v="0"/>
    <n v="45"/>
    <n v="3"/>
    <n v="1"/>
    <s v="Laboratory Technician"/>
    <n v="0"/>
    <n v="0"/>
    <n v="1"/>
    <n v="0"/>
    <n v="0"/>
    <n v="0"/>
    <n v="0"/>
    <n v="0"/>
    <n v="2"/>
    <s v="Divorced"/>
    <n v="0"/>
    <n v="0"/>
    <n v="2373"/>
    <n v="2373"/>
    <n v="2"/>
    <s v="Yes"/>
    <n v="1"/>
    <n v="13"/>
    <n v="3"/>
    <n v="4"/>
    <n v="1"/>
    <n v="5"/>
    <x v="7"/>
    <n v="2"/>
    <n v="3"/>
    <n v="3"/>
    <n v="3"/>
    <n v="2"/>
    <n v="0"/>
    <n v="0"/>
    <n v="2"/>
    <n v="2"/>
    <n v="2"/>
    <n v="1"/>
    <n v="0"/>
    <n v="0"/>
    <n v="0"/>
    <n v="0"/>
    <n v="1"/>
    <n v="0"/>
    <n v="0"/>
    <n v="0"/>
    <n v="2"/>
    <n v="0"/>
    <n v="0"/>
    <n v="5"/>
    <n v="0"/>
    <n v="0.87722370505690439"/>
    <n v="0.59502473559756086"/>
    <n v="0.80706439257840468"/>
    <n v="0.65423109602898355"/>
    <n v="0.83971837042788355"/>
    <n v="1.195770434213719"/>
    <n v="0.67891464284095016"/>
  </r>
  <r>
    <n v="28"/>
    <n v="28"/>
    <s v="No"/>
    <n v="0"/>
    <s v="Travel_Rarely"/>
    <n v="0"/>
    <n v="1"/>
    <x v="1"/>
    <n v="1"/>
    <n v="0"/>
    <n v="8"/>
    <n v="8"/>
    <n v="2"/>
    <s v="Life Sciences"/>
    <n v="1"/>
    <n v="0"/>
    <n v="0"/>
    <n v="0"/>
    <n v="0"/>
    <n v="4"/>
    <s v="Female"/>
    <n v="1"/>
    <n v="66"/>
    <n v="3"/>
    <n v="1"/>
    <s v="Research Scientist"/>
    <n v="0"/>
    <n v="0"/>
    <n v="0"/>
    <n v="0"/>
    <n v="0"/>
    <n v="0"/>
    <n v="0"/>
    <n v="1"/>
    <n v="4"/>
    <s v="Single"/>
    <n v="1"/>
    <n v="0"/>
    <n v="3310"/>
    <n v="3310"/>
    <n v="1"/>
    <s v="No"/>
    <n v="0"/>
    <n v="21"/>
    <n v="4"/>
    <n v="4"/>
    <n v="0"/>
    <n v="5"/>
    <x v="7"/>
    <n v="3"/>
    <n v="3"/>
    <n v="5"/>
    <n v="5"/>
    <n v="3"/>
    <n v="0"/>
    <n v="0"/>
    <n v="2"/>
    <n v="2"/>
    <n v="2"/>
    <n v="1"/>
    <n v="0"/>
    <n v="0"/>
    <n v="0"/>
    <n v="1"/>
    <n v="0"/>
    <n v="0"/>
    <n v="0"/>
    <n v="0"/>
    <n v="2"/>
    <n v="0"/>
    <n v="0"/>
    <n v="5"/>
    <n v="0"/>
    <n v="0.67819893843969203"/>
    <n v="0.59502473559756086"/>
    <n v="0.80706439257840468"/>
    <n v="0.32778177112653761"/>
    <n v="0.14709966057360641"/>
    <n v="0.97684123527310796"/>
    <n v="0.67891464284095016"/>
  </r>
  <r>
    <n v="49"/>
    <n v="49"/>
    <s v="No"/>
    <n v="0"/>
    <s v="Travel_Frequently"/>
    <n v="1"/>
    <n v="0"/>
    <x v="1"/>
    <n v="1"/>
    <n v="0"/>
    <n v="10"/>
    <n v="10"/>
    <n v="4"/>
    <s v="Life Sciences"/>
    <n v="1"/>
    <n v="0"/>
    <n v="0"/>
    <n v="0"/>
    <n v="0"/>
    <n v="3"/>
    <s v="Female"/>
    <n v="1"/>
    <n v="35"/>
    <n v="3"/>
    <n v="5"/>
    <s v="Research Director"/>
    <n v="0"/>
    <n v="0"/>
    <n v="0"/>
    <n v="0"/>
    <n v="0"/>
    <n v="0"/>
    <n v="0"/>
    <n v="0"/>
    <n v="1"/>
    <s v="Single"/>
    <n v="1"/>
    <n v="0"/>
    <n v="18665"/>
    <n v="18665"/>
    <n v="9"/>
    <s v="Yes"/>
    <n v="1"/>
    <n v="11"/>
    <n v="3"/>
    <n v="4"/>
    <n v="0"/>
    <n v="22"/>
    <x v="13"/>
    <n v="4"/>
    <n v="3"/>
    <n v="3"/>
    <n v="3"/>
    <n v="2"/>
    <n v="1"/>
    <n v="1"/>
    <n v="2"/>
    <n v="2"/>
    <n v="10"/>
    <n v="0"/>
    <n v="0"/>
    <n v="1"/>
    <n v="0"/>
    <n v="0"/>
    <n v="1"/>
    <n v="0"/>
    <n v="0"/>
    <n v="0"/>
    <n v="2"/>
    <n v="0"/>
    <n v="0"/>
    <n v="22"/>
    <n v="0"/>
    <n v="2.5833008389426935"/>
    <n v="0.59502473559756086"/>
    <n v="1.3778060624681052"/>
    <n v="0.65423109602898355"/>
    <n v="9.9604847176766084E-2"/>
    <n v="1.3219153536033093"/>
    <n v="0.36858985273641137"/>
  </r>
  <r>
    <n v="36"/>
    <n v="36"/>
    <s v="No"/>
    <n v="0"/>
    <s v="Travel_Rarely"/>
    <n v="0"/>
    <n v="1"/>
    <x v="1"/>
    <n v="1"/>
    <n v="0"/>
    <n v="3"/>
    <n v="3"/>
    <n v="3"/>
    <s v="Technical Degree"/>
    <n v="0"/>
    <n v="0"/>
    <n v="0"/>
    <n v="0"/>
    <n v="1"/>
    <n v="3"/>
    <s v="Male"/>
    <n v="0"/>
    <n v="30"/>
    <n v="3"/>
    <n v="2"/>
    <s v="Research Scientist"/>
    <n v="0"/>
    <n v="0"/>
    <n v="0"/>
    <n v="0"/>
    <n v="0"/>
    <n v="0"/>
    <n v="0"/>
    <n v="1"/>
    <n v="2"/>
    <s v="Single"/>
    <n v="1"/>
    <n v="0"/>
    <n v="4485"/>
    <n v="4485"/>
    <n v="4"/>
    <s v="No"/>
    <n v="0"/>
    <n v="12"/>
    <n v="3"/>
    <n v="4"/>
    <n v="0"/>
    <n v="10"/>
    <x v="1"/>
    <n v="2"/>
    <n v="3"/>
    <n v="8"/>
    <n v="8"/>
    <n v="0"/>
    <n v="7"/>
    <n v="7"/>
    <n v="7"/>
    <n v="7"/>
    <n v="14"/>
    <n v="1"/>
    <n v="0"/>
    <n v="0"/>
    <n v="0"/>
    <n v="1"/>
    <n v="0"/>
    <n v="0"/>
    <n v="0"/>
    <n v="0"/>
    <n v="7"/>
    <n v="0"/>
    <n v="0"/>
    <n v="10"/>
    <n v="0"/>
    <n v="0.42862145628897219"/>
    <n v="0.80626709607243985"/>
    <n v="0.1644554352117841"/>
    <n v="0.16189221622713135"/>
    <n v="0.76386092994953758"/>
    <n v="0.10112443951066327"/>
    <n v="1.4933588878908215"/>
  </r>
  <r>
    <n v="31"/>
    <n v="31"/>
    <s v="No"/>
    <n v="0"/>
    <s v="Travel_Frequently"/>
    <n v="1"/>
    <n v="0"/>
    <x v="0"/>
    <n v="0"/>
    <n v="1"/>
    <n v="5"/>
    <n v="5"/>
    <n v="3"/>
    <s v="Marketing"/>
    <n v="0"/>
    <n v="0"/>
    <n v="0"/>
    <n v="1"/>
    <n v="0"/>
    <n v="4"/>
    <s v="Female"/>
    <n v="1"/>
    <n v="84"/>
    <n v="3"/>
    <n v="1"/>
    <s v="Sales Representative"/>
    <n v="0"/>
    <n v="0"/>
    <n v="0"/>
    <n v="0"/>
    <n v="0"/>
    <n v="0"/>
    <n v="1"/>
    <n v="0"/>
    <n v="2"/>
    <s v="Divorced"/>
    <n v="0"/>
    <n v="0"/>
    <n v="2789"/>
    <n v="2789"/>
    <n v="1"/>
    <s v="No"/>
    <n v="0"/>
    <n v="11"/>
    <n v="3"/>
    <n v="3"/>
    <n v="1"/>
    <n v="2"/>
    <x v="16"/>
    <n v="5"/>
    <n v="2"/>
    <n v="2"/>
    <n v="2"/>
    <n v="2"/>
    <n v="2"/>
    <n v="2"/>
    <n v="2"/>
    <n v="2"/>
    <n v="2"/>
    <n v="0"/>
    <n v="0"/>
    <n v="1"/>
    <n v="0"/>
    <n v="1"/>
    <n v="0"/>
    <n v="0"/>
    <n v="0"/>
    <n v="0"/>
    <n v="0"/>
    <n v="2"/>
    <n v="0"/>
    <n v="0"/>
    <n v="2"/>
    <n v="0.78886265605716011"/>
    <n v="0.59502473559756086"/>
    <n v="1.192629766998377"/>
    <n v="0.81745575848020657"/>
    <n v="0.51715642219916513"/>
    <n v="0.6484474368621912"/>
    <n v="5.8265062631872602E-2"/>
  </r>
  <r>
    <n v="26"/>
    <n v="26"/>
    <s v="Yes"/>
    <n v="1"/>
    <s v="Travel_Rarely"/>
    <n v="0"/>
    <n v="1"/>
    <x v="0"/>
    <n v="0"/>
    <n v="1"/>
    <n v="4"/>
    <n v="4"/>
    <n v="4"/>
    <s v="Marketing"/>
    <n v="0"/>
    <n v="0"/>
    <n v="0"/>
    <n v="1"/>
    <n v="0"/>
    <n v="4"/>
    <s v="Male"/>
    <n v="0"/>
    <n v="48"/>
    <n v="2"/>
    <n v="2"/>
    <s v="Sales Executive"/>
    <n v="0"/>
    <n v="1"/>
    <n v="0"/>
    <n v="0"/>
    <n v="0"/>
    <n v="0"/>
    <n v="0"/>
    <n v="0"/>
    <n v="4"/>
    <s v="Single"/>
    <n v="1"/>
    <n v="0"/>
    <n v="5828"/>
    <n v="5828"/>
    <n v="1"/>
    <s v="Yes"/>
    <n v="1"/>
    <n v="12"/>
    <n v="3"/>
    <n v="2"/>
    <n v="0"/>
    <n v="8"/>
    <x v="0"/>
    <n v="0"/>
    <n v="3"/>
    <n v="8"/>
    <n v="8"/>
    <n v="7"/>
    <n v="7"/>
    <n v="7"/>
    <n v="4"/>
    <n v="4"/>
    <n v="8"/>
    <n v="1"/>
    <n v="0"/>
    <n v="0"/>
    <n v="0"/>
    <n v="0"/>
    <n v="1"/>
    <n v="0"/>
    <n v="0"/>
    <n v="0"/>
    <n v="0"/>
    <n v="4"/>
    <n v="0"/>
    <n v="0"/>
    <n v="8"/>
    <n v="0.14335970434989412"/>
    <n v="3.4508002929560584E-2"/>
    <n v="0.42149901815843233"/>
    <n v="0.16189221622713135"/>
    <n v="0.64050867607435136"/>
    <n v="1.195770434213719"/>
    <n v="1.4933588878908215"/>
  </r>
  <r>
    <n v="37"/>
    <n v="37"/>
    <s v="No"/>
    <n v="0"/>
    <s v="Travel_Frequently"/>
    <n v="1"/>
    <n v="0"/>
    <x v="1"/>
    <n v="1"/>
    <n v="0"/>
    <n v="9"/>
    <n v="9"/>
    <n v="3"/>
    <s v="Medical"/>
    <n v="0"/>
    <n v="0"/>
    <n v="1"/>
    <n v="0"/>
    <n v="0"/>
    <n v="2"/>
    <s v="Male"/>
    <n v="0"/>
    <n v="53"/>
    <n v="3"/>
    <n v="1"/>
    <s v="Research Scientist"/>
    <n v="0"/>
    <n v="0"/>
    <n v="0"/>
    <n v="0"/>
    <n v="0"/>
    <n v="0"/>
    <n v="0"/>
    <n v="1"/>
    <n v="4"/>
    <s v="Married"/>
    <n v="0"/>
    <n v="1"/>
    <n v="2326"/>
    <n v="2326"/>
    <n v="1"/>
    <s v="Yes"/>
    <n v="1"/>
    <n v="12"/>
    <n v="3"/>
    <n v="3"/>
    <n v="3"/>
    <n v="4"/>
    <x v="20"/>
    <n v="3"/>
    <n v="2"/>
    <n v="4"/>
    <n v="4"/>
    <n v="2"/>
    <n v="1"/>
    <n v="1"/>
    <n v="2"/>
    <n v="2"/>
    <n v="2"/>
    <n v="0"/>
    <n v="0"/>
    <n v="0"/>
    <n v="1"/>
    <n v="0"/>
    <n v="0"/>
    <n v="0"/>
    <n v="1"/>
    <n v="0"/>
    <n v="2"/>
    <n v="0"/>
    <n v="0"/>
    <n v="4"/>
    <n v="0"/>
    <n v="0.8872068043429332"/>
    <n v="0.59502473559756086"/>
    <n v="0.93558618405172878"/>
    <n v="0.49100643357776058"/>
    <n v="2.3747406698420157E-2"/>
    <n v="8.3401599596422994E-3"/>
    <n v="0.36858985273641137"/>
  </r>
  <r>
    <n v="42"/>
    <n v="42"/>
    <s v="No"/>
    <n v="0"/>
    <s v="Travel_Frequently"/>
    <n v="1"/>
    <n v="0"/>
    <x v="0"/>
    <n v="0"/>
    <n v="1"/>
    <n v="26"/>
    <n v="26"/>
    <n v="3"/>
    <s v="Marketing"/>
    <n v="0"/>
    <n v="0"/>
    <n v="0"/>
    <n v="1"/>
    <n v="0"/>
    <n v="3"/>
    <s v="Female"/>
    <n v="1"/>
    <n v="77"/>
    <n v="3"/>
    <n v="4"/>
    <s v="Sales Executive"/>
    <n v="0"/>
    <n v="1"/>
    <n v="0"/>
    <n v="0"/>
    <n v="0"/>
    <n v="0"/>
    <n v="0"/>
    <n v="0"/>
    <n v="2"/>
    <s v="Married"/>
    <n v="0"/>
    <n v="1"/>
    <n v="13525"/>
    <n v="13525"/>
    <n v="5"/>
    <s v="No"/>
    <n v="0"/>
    <n v="14"/>
    <n v="3"/>
    <n v="4"/>
    <n v="1"/>
    <n v="23"/>
    <x v="17"/>
    <n v="2"/>
    <n v="4"/>
    <n v="20"/>
    <n v="20"/>
    <n v="4"/>
    <n v="4"/>
    <n v="4"/>
    <n v="8"/>
    <n v="8"/>
    <n v="32"/>
    <n v="0"/>
    <n v="0"/>
    <n v="0"/>
    <n v="1"/>
    <n v="0"/>
    <n v="0"/>
    <n v="1"/>
    <n v="0"/>
    <n v="0"/>
    <n v="0"/>
    <n v="8"/>
    <n v="0"/>
    <n v="0"/>
    <n v="23"/>
    <n v="1.4915321085131616"/>
    <n v="1.08652546240644"/>
    <n v="1.5063278539414293"/>
    <n v="2.1205881656418071"/>
    <n v="2.0732409091797459"/>
    <n v="0.55566315731117022"/>
    <n v="0.56238451757720498"/>
  </r>
  <r>
    <n v="18"/>
    <n v="19"/>
    <s v="Yes"/>
    <n v="1"/>
    <s v="Travel_Rarely"/>
    <n v="0"/>
    <n v="1"/>
    <x v="1"/>
    <n v="1"/>
    <n v="0"/>
    <n v="3"/>
    <n v="3"/>
    <n v="3"/>
    <s v="Life Sciences"/>
    <n v="1"/>
    <n v="0"/>
    <n v="0"/>
    <n v="0"/>
    <n v="0"/>
    <n v="3"/>
    <s v="Male"/>
    <n v="0"/>
    <n v="54"/>
    <n v="3"/>
    <n v="1"/>
    <s v="Laboratory Technician"/>
    <n v="0"/>
    <n v="0"/>
    <n v="1"/>
    <n v="0"/>
    <n v="0"/>
    <n v="0"/>
    <n v="0"/>
    <n v="0"/>
    <n v="3"/>
    <s v="Single"/>
    <n v="1"/>
    <n v="0"/>
    <n v="1420"/>
    <n v="1420"/>
    <n v="1"/>
    <s v="No"/>
    <n v="0"/>
    <n v="13"/>
    <n v="3"/>
    <n v="3"/>
    <n v="0"/>
    <n v="0"/>
    <x v="5"/>
    <n v="2"/>
    <n v="3"/>
    <n v="0"/>
    <n v="0"/>
    <n v="0"/>
    <n v="0"/>
    <n v="0"/>
    <n v="0"/>
    <n v="0"/>
    <n v="0"/>
    <n v="1"/>
    <n v="0"/>
    <n v="0"/>
    <n v="0"/>
    <n v="1"/>
    <n v="0"/>
    <n v="0"/>
    <n v="0"/>
    <n v="0"/>
    <n v="0"/>
    <n v="0"/>
    <n v="0"/>
    <n v="1"/>
    <n v="0"/>
    <n v="1.0796469735587222"/>
    <n v="1.1555414682655611"/>
    <n v="1.4496733499450252"/>
    <n v="1.1439050833826525"/>
    <n v="0.76386092994953758"/>
    <n v="2.0714872299761637"/>
    <n v="0.67891464284095016"/>
  </r>
  <r>
    <n v="35"/>
    <n v="35"/>
    <s v="No"/>
    <n v="0"/>
    <s v="Travel_Rarely"/>
    <n v="0"/>
    <n v="1"/>
    <x v="0"/>
    <n v="0"/>
    <n v="1"/>
    <n v="16"/>
    <n v="16"/>
    <n v="3"/>
    <s v="Marketing"/>
    <n v="0"/>
    <n v="0"/>
    <n v="0"/>
    <n v="1"/>
    <n v="0"/>
    <n v="3"/>
    <s v="Male"/>
    <n v="0"/>
    <n v="96"/>
    <n v="3"/>
    <n v="3"/>
    <s v="Sales Executive"/>
    <n v="0"/>
    <n v="1"/>
    <n v="0"/>
    <n v="0"/>
    <n v="0"/>
    <n v="0"/>
    <n v="0"/>
    <n v="0"/>
    <n v="2"/>
    <s v="Married"/>
    <n v="0"/>
    <n v="1"/>
    <n v="8020"/>
    <n v="8020"/>
    <n v="0"/>
    <s v="No"/>
    <n v="0"/>
    <n v="15"/>
    <n v="3"/>
    <n v="3"/>
    <n v="2"/>
    <n v="12"/>
    <x v="4"/>
    <n v="3"/>
    <n v="2"/>
    <n v="11"/>
    <n v="11"/>
    <n v="9"/>
    <n v="6"/>
    <n v="6"/>
    <n v="9"/>
    <n v="9"/>
    <n v="27"/>
    <n v="0"/>
    <n v="1"/>
    <n v="0"/>
    <n v="0"/>
    <n v="0"/>
    <n v="0"/>
    <n v="1"/>
    <n v="0"/>
    <n v="0"/>
    <n v="0"/>
    <n v="9"/>
    <n v="0"/>
    <n v="0"/>
    <n v="12"/>
    <n v="0.32223505384106577"/>
    <n v="1.3667838287404401"/>
    <n v="9.2588147734864096E-2"/>
    <n v="0.65156620358080031"/>
    <n v="0.83971837042788355"/>
    <n v="0.21058903898096887"/>
    <n v="1.1830340977862825"/>
  </r>
  <r>
    <n v="36"/>
    <n v="36"/>
    <s v="No"/>
    <n v="0"/>
    <s v="Travel_Frequently"/>
    <n v="1"/>
    <n v="0"/>
    <x v="1"/>
    <n v="1"/>
    <n v="0"/>
    <n v="18"/>
    <n v="18"/>
    <n v="4"/>
    <s v="Life Sciences"/>
    <n v="1"/>
    <n v="0"/>
    <n v="0"/>
    <n v="0"/>
    <n v="0"/>
    <n v="3"/>
    <s v="Male"/>
    <n v="0"/>
    <n v="81"/>
    <n v="4"/>
    <n v="1"/>
    <s v="Laboratory Technician"/>
    <n v="0"/>
    <n v="0"/>
    <n v="1"/>
    <n v="0"/>
    <n v="0"/>
    <n v="0"/>
    <n v="0"/>
    <n v="0"/>
    <n v="4"/>
    <s v="Married"/>
    <n v="0"/>
    <n v="1"/>
    <n v="3688"/>
    <n v="3688"/>
    <n v="4"/>
    <s v="No"/>
    <n v="0"/>
    <n v="18"/>
    <n v="3"/>
    <n v="4"/>
    <n v="2"/>
    <n v="4"/>
    <x v="20"/>
    <n v="2"/>
    <n v="3"/>
    <n v="1"/>
    <n v="1"/>
    <n v="0"/>
    <n v="0"/>
    <n v="0"/>
    <n v="0"/>
    <n v="0"/>
    <n v="0"/>
    <n v="0"/>
    <n v="0"/>
    <n v="0"/>
    <n v="1"/>
    <n v="0"/>
    <n v="0"/>
    <n v="1"/>
    <n v="0"/>
    <n v="0"/>
    <n v="0"/>
    <n v="0"/>
    <n v="0"/>
    <n v="4"/>
    <n v="0"/>
    <n v="0.59790933141588598"/>
    <n v="1.1555414682655611"/>
    <n v="0.93558618405172878"/>
    <n v="0.9806804209314296"/>
    <n v="1.0864228781782561"/>
    <n v="0.10112443951066327"/>
    <n v="0.67891464284095016"/>
  </r>
  <r>
    <n v="51"/>
    <n v="51"/>
    <s v="No"/>
    <n v="0"/>
    <s v="Travel_Rarely"/>
    <n v="0"/>
    <n v="1"/>
    <x v="1"/>
    <n v="1"/>
    <n v="0"/>
    <n v="2"/>
    <n v="2"/>
    <n v="3"/>
    <s v="Medical"/>
    <n v="0"/>
    <n v="0"/>
    <n v="1"/>
    <n v="0"/>
    <n v="0"/>
    <n v="4"/>
    <s v="Male"/>
    <n v="0"/>
    <n v="84"/>
    <n v="1"/>
    <n v="2"/>
    <s v="Manufacturing Director"/>
    <n v="0"/>
    <n v="0"/>
    <n v="0"/>
    <n v="0"/>
    <n v="1"/>
    <n v="1"/>
    <n v="0"/>
    <n v="0"/>
    <n v="2"/>
    <s v="Divorced"/>
    <n v="0"/>
    <n v="0"/>
    <n v="5482"/>
    <n v="5482"/>
    <n v="5"/>
    <s v="No"/>
    <n v="0"/>
    <n v="18"/>
    <n v="3"/>
    <n v="4"/>
    <n v="1"/>
    <n v="13"/>
    <x v="10"/>
    <n v="3"/>
    <n v="3"/>
    <n v="4"/>
    <n v="4"/>
    <n v="1"/>
    <n v="1"/>
    <n v="1"/>
    <n v="2"/>
    <n v="2"/>
    <n v="4"/>
    <n v="1"/>
    <n v="0"/>
    <n v="0"/>
    <n v="0"/>
    <n v="1"/>
    <n v="0"/>
    <n v="0"/>
    <n v="0"/>
    <n v="0"/>
    <n v="2"/>
    <n v="0"/>
    <n v="0"/>
    <n v="13"/>
    <n v="0"/>
    <n v="0.21685230760448906"/>
    <n v="0.59502473559756086"/>
    <n v="0.22110993920818819"/>
    <n v="0.49100643357776058"/>
    <n v="0.88721318382472392"/>
    <n v="1.5408445525439205"/>
    <n v="0.36858985273641137"/>
  </r>
  <r>
    <n v="41"/>
    <n v="41"/>
    <s v="No"/>
    <n v="0"/>
    <s v="Travel_Rarely"/>
    <n v="0"/>
    <n v="1"/>
    <x v="0"/>
    <n v="0"/>
    <n v="1"/>
    <n v="2"/>
    <n v="2"/>
    <n v="4"/>
    <s v="Life Sciences"/>
    <n v="1"/>
    <n v="0"/>
    <n v="0"/>
    <n v="0"/>
    <n v="0"/>
    <n v="4"/>
    <s v="Male"/>
    <n v="0"/>
    <n v="88"/>
    <n v="3"/>
    <n v="4"/>
    <s v="Manager"/>
    <n v="0"/>
    <n v="0"/>
    <n v="0"/>
    <n v="1"/>
    <n v="0"/>
    <n v="0"/>
    <n v="0"/>
    <n v="0"/>
    <n v="2"/>
    <s v="Single"/>
    <n v="1"/>
    <n v="0"/>
    <n v="16015"/>
    <n v="16015"/>
    <n v="1"/>
    <s v="No"/>
    <n v="0"/>
    <n v="19"/>
    <n v="3"/>
    <n v="2"/>
    <n v="0"/>
    <n v="22"/>
    <x v="13"/>
    <n v="2"/>
    <n v="3"/>
    <n v="22"/>
    <n v="22"/>
    <n v="10"/>
    <n v="0"/>
    <n v="0"/>
    <n v="4"/>
    <n v="4"/>
    <n v="16"/>
    <n v="1"/>
    <n v="0"/>
    <n v="0"/>
    <n v="0"/>
    <n v="1"/>
    <n v="0"/>
    <n v="0"/>
    <n v="0"/>
    <n v="0"/>
    <n v="0"/>
    <n v="4"/>
    <n v="0"/>
    <n v="0"/>
    <n v="22"/>
    <n v="2.0204239643049"/>
    <n v="3.4508002929560584E-2"/>
    <n v="1.3778060624681052"/>
    <n v="2.4470374905442531"/>
    <n v="0.88721318382472392"/>
    <n v="0.4461985578408646"/>
    <n v="0.67891464284095016"/>
  </r>
  <r>
    <n v="18"/>
    <n v="19"/>
    <s v="No"/>
    <n v="0"/>
    <s v="Travel_Rarely"/>
    <n v="0"/>
    <n v="1"/>
    <x v="0"/>
    <n v="0"/>
    <n v="1"/>
    <n v="10"/>
    <n v="10"/>
    <n v="3"/>
    <s v="Medical"/>
    <n v="0"/>
    <n v="0"/>
    <n v="1"/>
    <n v="0"/>
    <n v="0"/>
    <n v="4"/>
    <s v="Female"/>
    <n v="1"/>
    <n v="69"/>
    <n v="2"/>
    <n v="1"/>
    <s v="Sales Representative"/>
    <n v="0"/>
    <n v="0"/>
    <n v="0"/>
    <n v="0"/>
    <n v="0"/>
    <n v="0"/>
    <n v="1"/>
    <n v="0"/>
    <n v="3"/>
    <s v="Single"/>
    <n v="1"/>
    <n v="0"/>
    <n v="1200"/>
    <n v="1382.46"/>
    <n v="1"/>
    <s v="No"/>
    <n v="0"/>
    <n v="12"/>
    <n v="3"/>
    <n v="1"/>
    <n v="0"/>
    <n v="0"/>
    <x v="5"/>
    <n v="2"/>
    <n v="3"/>
    <n v="0"/>
    <n v="0"/>
    <n v="0"/>
    <n v="0"/>
    <n v="0"/>
    <n v="0"/>
    <n v="0"/>
    <n v="0"/>
    <n v="1"/>
    <n v="0"/>
    <n v="0"/>
    <n v="0"/>
    <n v="1"/>
    <n v="0"/>
    <n v="0"/>
    <n v="0"/>
    <n v="0"/>
    <n v="0"/>
    <n v="0"/>
    <n v="0"/>
    <n v="0"/>
    <n v="1"/>
    <n v="1.1263763744720485"/>
    <n v="1.1555414682655611"/>
    <n v="1.4496733499450252"/>
    <n v="1.1439050833826525"/>
    <n v="9.9604847176766084E-2"/>
    <n v="2.0714872299761637"/>
    <n v="0.67891464284095016"/>
  </r>
  <r>
    <n v="28"/>
    <n v="28"/>
    <s v="No"/>
    <n v="0"/>
    <s v="Travel_Rarely"/>
    <n v="0"/>
    <n v="1"/>
    <x v="1"/>
    <n v="1"/>
    <n v="0"/>
    <n v="16"/>
    <n v="16"/>
    <n v="2"/>
    <s v="Medical"/>
    <n v="0"/>
    <n v="0"/>
    <n v="1"/>
    <n v="0"/>
    <n v="0"/>
    <n v="2"/>
    <s v="Male"/>
    <n v="0"/>
    <n v="68"/>
    <n v="4"/>
    <n v="2"/>
    <s v="Healthcare Representative"/>
    <n v="1"/>
    <n v="0"/>
    <n v="0"/>
    <n v="0"/>
    <n v="0"/>
    <n v="0"/>
    <n v="0"/>
    <n v="0"/>
    <n v="1"/>
    <s v="Single"/>
    <n v="1"/>
    <n v="0"/>
    <n v="5661"/>
    <n v="5661"/>
    <n v="0"/>
    <s v="No"/>
    <n v="0"/>
    <n v="19"/>
    <n v="3"/>
    <n v="3"/>
    <n v="0"/>
    <n v="9"/>
    <x v="14"/>
    <n v="2"/>
    <n v="3"/>
    <n v="8"/>
    <n v="8"/>
    <n v="3"/>
    <n v="0"/>
    <n v="0"/>
    <n v="7"/>
    <n v="7"/>
    <n v="14"/>
    <n v="1"/>
    <n v="0"/>
    <n v="0"/>
    <n v="0"/>
    <n v="1"/>
    <n v="0"/>
    <n v="0"/>
    <n v="0"/>
    <n v="0"/>
    <n v="7"/>
    <n v="0"/>
    <n v="0"/>
    <n v="9"/>
    <n v="0"/>
    <n v="0.17883156777046452"/>
    <n v="0.80626709607243985"/>
    <n v="0.29297722668510823"/>
    <n v="0.16189221622713135"/>
    <n v="0.83971837042788355"/>
    <n v="0.97684123527310796"/>
    <n v="0.67891464284095016"/>
  </r>
  <r>
    <n v="31"/>
    <n v="31"/>
    <s v="No"/>
    <n v="0"/>
    <s v="Travel_Rarely"/>
    <n v="0"/>
    <n v="1"/>
    <x v="0"/>
    <n v="0"/>
    <n v="1"/>
    <n v="7"/>
    <n v="7"/>
    <n v="3"/>
    <s v="Technical Degree"/>
    <n v="0"/>
    <n v="0"/>
    <n v="0"/>
    <n v="0"/>
    <n v="1"/>
    <n v="2"/>
    <s v="Male"/>
    <n v="0"/>
    <n v="100"/>
    <n v="4"/>
    <n v="2"/>
    <s v="Sales Executive"/>
    <n v="0"/>
    <n v="1"/>
    <n v="0"/>
    <n v="0"/>
    <n v="0"/>
    <n v="0"/>
    <n v="0"/>
    <n v="0"/>
    <n v="4"/>
    <s v="Married"/>
    <n v="0"/>
    <n v="1"/>
    <n v="6929"/>
    <n v="6929"/>
    <n v="4"/>
    <s v="No"/>
    <n v="0"/>
    <n v="11"/>
    <n v="3"/>
    <n v="2"/>
    <n v="1"/>
    <n v="10"/>
    <x v="1"/>
    <n v="3"/>
    <n v="2"/>
    <n v="8"/>
    <n v="8"/>
    <n v="7"/>
    <n v="7"/>
    <n v="7"/>
    <n v="7"/>
    <n v="7"/>
    <n v="14"/>
    <n v="0"/>
    <n v="1"/>
    <n v="0"/>
    <n v="0"/>
    <n v="0"/>
    <n v="0"/>
    <n v="1"/>
    <n v="0"/>
    <n v="0"/>
    <n v="0"/>
    <n v="7"/>
    <n v="0"/>
    <n v="0"/>
    <n v="10"/>
    <n v="9.0499706584525066E-2"/>
    <n v="0.80626709607243985"/>
    <n v="0.1644554352117841"/>
    <n v="0.16189221622713135"/>
    <n v="0.27045191444879263"/>
    <n v="0.6484474368621912"/>
    <n v="1.4933588878908215"/>
  </r>
  <r>
    <n v="39"/>
    <n v="39"/>
    <s v="No"/>
    <n v="0"/>
    <s v="Travel_Rarely"/>
    <n v="0"/>
    <n v="1"/>
    <x v="1"/>
    <n v="1"/>
    <n v="0"/>
    <n v="1"/>
    <n v="1"/>
    <n v="3"/>
    <s v="Medical"/>
    <n v="0"/>
    <n v="0"/>
    <n v="1"/>
    <n v="0"/>
    <n v="0"/>
    <n v="3"/>
    <s v="Male"/>
    <n v="0"/>
    <n v="48"/>
    <n v="4"/>
    <n v="3"/>
    <s v="Healthcare Representative"/>
    <n v="1"/>
    <n v="0"/>
    <n v="0"/>
    <n v="0"/>
    <n v="0"/>
    <n v="0"/>
    <n v="0"/>
    <n v="0"/>
    <n v="4"/>
    <s v="Divorced"/>
    <n v="0"/>
    <n v="0"/>
    <n v="9613"/>
    <n v="9613"/>
    <n v="0"/>
    <s v="No"/>
    <n v="0"/>
    <n v="17"/>
    <n v="3"/>
    <n v="1"/>
    <n v="3"/>
    <n v="19"/>
    <x v="15"/>
    <n v="5"/>
    <n v="2"/>
    <n v="18"/>
    <n v="18"/>
    <n v="10"/>
    <n v="3"/>
    <n v="3"/>
    <n v="7"/>
    <n v="7"/>
    <n v="21"/>
    <n v="1"/>
    <n v="0"/>
    <n v="0"/>
    <n v="0"/>
    <n v="1"/>
    <n v="0"/>
    <n v="0"/>
    <n v="0"/>
    <n v="0"/>
    <n v="7"/>
    <n v="0"/>
    <n v="0"/>
    <n v="19"/>
    <n v="0"/>
    <n v="0.66059839772710549"/>
    <n v="0.80626709607243985"/>
    <n v="0.99224068804813281"/>
    <n v="1.794138840739361"/>
    <n v="1.01056543769991"/>
    <n v="0.22726935890025346"/>
    <n v="0.2520597274726662"/>
  </r>
  <r>
    <n v="36"/>
    <n v="36"/>
    <s v="No"/>
    <n v="0"/>
    <s v="Non-Travel"/>
    <n v="0"/>
    <n v="0"/>
    <x v="1"/>
    <n v="1"/>
    <n v="0"/>
    <n v="24"/>
    <n v="24"/>
    <n v="4"/>
    <s v="Life Sciences"/>
    <n v="1"/>
    <n v="0"/>
    <n v="0"/>
    <n v="0"/>
    <n v="0"/>
    <n v="2"/>
    <s v="Female"/>
    <n v="1"/>
    <n v="47"/>
    <n v="3"/>
    <n v="2"/>
    <s v="Laboratory Technician"/>
    <n v="0"/>
    <n v="0"/>
    <n v="1"/>
    <n v="0"/>
    <n v="0"/>
    <n v="0"/>
    <n v="0"/>
    <n v="0"/>
    <n v="2"/>
    <s v="Married"/>
    <n v="0"/>
    <n v="1"/>
    <n v="5674"/>
    <n v="5674"/>
    <n v="7"/>
    <s v="No"/>
    <n v="0"/>
    <n v="15"/>
    <n v="3"/>
    <n v="3"/>
    <n v="1"/>
    <n v="11"/>
    <x v="26"/>
    <n v="3"/>
    <n v="3"/>
    <n v="9"/>
    <n v="9"/>
    <n v="8"/>
    <n v="0"/>
    <n v="0"/>
    <n v="8"/>
    <n v="8"/>
    <n v="16"/>
    <n v="0"/>
    <n v="1"/>
    <n v="0"/>
    <n v="0"/>
    <n v="0"/>
    <n v="0"/>
    <n v="1"/>
    <n v="0"/>
    <n v="0"/>
    <n v="8"/>
    <n v="0"/>
    <n v="0"/>
    <n v="11"/>
    <n v="0"/>
    <n v="0.1760702849892225"/>
    <n v="1.08652546240644"/>
    <n v="3.593364373846001E-2"/>
    <n v="0.32511687867835437"/>
    <n v="1.8265364014293735"/>
    <n v="0.10112443951066327"/>
    <n v="0.67891464284095016"/>
  </r>
  <r>
    <n v="32"/>
    <n v="32"/>
    <s v="No"/>
    <n v="0"/>
    <s v="Travel_Rarely"/>
    <n v="0"/>
    <n v="1"/>
    <x v="0"/>
    <n v="0"/>
    <n v="1"/>
    <n v="7"/>
    <n v="7"/>
    <n v="3"/>
    <s v="Life Sciences"/>
    <n v="1"/>
    <n v="0"/>
    <n v="0"/>
    <n v="0"/>
    <n v="0"/>
    <n v="4"/>
    <s v="Male"/>
    <n v="0"/>
    <n v="91"/>
    <n v="2"/>
    <n v="2"/>
    <s v="Sales Executive"/>
    <n v="0"/>
    <n v="1"/>
    <n v="0"/>
    <n v="0"/>
    <n v="0"/>
    <n v="0"/>
    <n v="0"/>
    <n v="0"/>
    <n v="3"/>
    <s v="Married"/>
    <n v="0"/>
    <n v="1"/>
    <n v="5484"/>
    <n v="5484"/>
    <n v="1"/>
    <s v="No"/>
    <n v="0"/>
    <n v="14"/>
    <n v="3"/>
    <n v="3"/>
    <n v="1"/>
    <n v="13"/>
    <x v="10"/>
    <n v="3"/>
    <n v="2"/>
    <n v="13"/>
    <n v="13"/>
    <n v="8"/>
    <n v="4"/>
    <n v="4"/>
    <n v="8"/>
    <n v="8"/>
    <n v="16"/>
    <n v="0"/>
    <n v="1"/>
    <n v="0"/>
    <n v="0"/>
    <n v="0"/>
    <n v="0"/>
    <n v="1"/>
    <n v="0"/>
    <n v="0"/>
    <n v="0"/>
    <n v="8"/>
    <n v="0"/>
    <n v="0"/>
    <n v="13"/>
    <n v="0.21642749486891338"/>
    <n v="1.08652546240644"/>
    <n v="0.22110993920818819"/>
    <n v="0.97801552848324624"/>
    <n v="0.27045191444879263"/>
    <n v="0.53898283739188557"/>
    <n v="0.56238451757720498"/>
  </r>
  <r>
    <n v="38"/>
    <n v="38"/>
    <s v="No"/>
    <n v="0"/>
    <s v="Travel_Rarely"/>
    <n v="0"/>
    <n v="1"/>
    <x v="1"/>
    <n v="1"/>
    <n v="0"/>
    <n v="25"/>
    <n v="25"/>
    <n v="2"/>
    <s v="Life Sciences"/>
    <n v="1"/>
    <n v="0"/>
    <n v="0"/>
    <n v="0"/>
    <n v="0"/>
    <n v="1"/>
    <s v="Female"/>
    <n v="1"/>
    <n v="81"/>
    <n v="2"/>
    <n v="3"/>
    <s v="Research Director"/>
    <n v="0"/>
    <n v="0"/>
    <n v="0"/>
    <n v="0"/>
    <n v="0"/>
    <n v="0"/>
    <n v="0"/>
    <n v="0"/>
    <n v="2"/>
    <s v="Married"/>
    <n v="0"/>
    <n v="1"/>
    <n v="12061"/>
    <n v="12061"/>
    <n v="3"/>
    <s v="No"/>
    <n v="0"/>
    <n v="17"/>
    <n v="3"/>
    <n v="3"/>
    <n v="1"/>
    <n v="19"/>
    <x v="15"/>
    <n v="2"/>
    <n v="3"/>
    <n v="10"/>
    <n v="10"/>
    <n v="8"/>
    <n v="0"/>
    <n v="0"/>
    <n v="1"/>
    <n v="1"/>
    <n v="3"/>
    <n v="0"/>
    <n v="1"/>
    <n v="0"/>
    <n v="0"/>
    <n v="0"/>
    <n v="0"/>
    <n v="1"/>
    <n v="0"/>
    <n v="0"/>
    <n v="1"/>
    <n v="0"/>
    <n v="0"/>
    <n v="19"/>
    <n v="0"/>
    <n v="1.1805691860717542"/>
    <n v="0.87528310193156111"/>
    <n v="0.99224068804813281"/>
    <n v="0.48834154112957734"/>
    <n v="1.9498886553045598"/>
    <n v="0.11780475942994788"/>
    <n v="0.67891464284095016"/>
  </r>
  <r>
    <n v="58"/>
    <n v="58"/>
    <s v="No"/>
    <n v="0"/>
    <s v="Non-Travel"/>
    <n v="0"/>
    <n v="0"/>
    <x v="1"/>
    <n v="1"/>
    <n v="0"/>
    <n v="1"/>
    <n v="1"/>
    <n v="4"/>
    <s v="Life Sciences"/>
    <n v="1"/>
    <n v="0"/>
    <n v="0"/>
    <n v="0"/>
    <n v="0"/>
    <n v="4"/>
    <s v="Male"/>
    <n v="0"/>
    <n v="32"/>
    <n v="1"/>
    <n v="2"/>
    <s v="Healthcare Representative"/>
    <n v="1"/>
    <n v="0"/>
    <n v="0"/>
    <n v="0"/>
    <n v="0"/>
    <n v="0"/>
    <n v="0"/>
    <n v="0"/>
    <n v="3"/>
    <s v="Divorced"/>
    <n v="0"/>
    <n v="0"/>
    <n v="5660"/>
    <n v="5660"/>
    <n v="2"/>
    <s v="Yes"/>
    <n v="1"/>
    <n v="13"/>
    <n v="3"/>
    <n v="4"/>
    <n v="1"/>
    <n v="12"/>
    <x v="4"/>
    <n v="2"/>
    <n v="3"/>
    <n v="5"/>
    <n v="5"/>
    <n v="3"/>
    <n v="1"/>
    <n v="1"/>
    <n v="2"/>
    <n v="2"/>
    <n v="4"/>
    <n v="1"/>
    <n v="0"/>
    <n v="0"/>
    <n v="0"/>
    <n v="0"/>
    <n v="1"/>
    <n v="0"/>
    <n v="0"/>
    <n v="0"/>
    <n v="2"/>
    <n v="0"/>
    <n v="0"/>
    <n v="12"/>
    <n v="0"/>
    <n v="0.17904397413825235"/>
    <n v="0.59502473559756086"/>
    <n v="9.2588147734864096E-2"/>
    <n v="0.32778177112653761"/>
    <n v="1.01056543769991"/>
    <n v="2.3070967488360594"/>
    <n v="0.36858985273641137"/>
  </r>
  <r>
    <n v="31"/>
    <n v="31"/>
    <s v="No"/>
    <n v="0"/>
    <s v="Travel_Rarely"/>
    <n v="0"/>
    <n v="1"/>
    <x v="1"/>
    <n v="1"/>
    <n v="0"/>
    <n v="5"/>
    <n v="5"/>
    <n v="4"/>
    <s v="Technical Degree"/>
    <n v="0"/>
    <n v="0"/>
    <n v="0"/>
    <n v="0"/>
    <n v="1"/>
    <n v="3"/>
    <s v="Male"/>
    <n v="0"/>
    <n v="86"/>
    <n v="3"/>
    <n v="1"/>
    <s v="Research Scientist"/>
    <n v="0"/>
    <n v="0"/>
    <n v="0"/>
    <n v="0"/>
    <n v="0"/>
    <n v="0"/>
    <n v="0"/>
    <n v="1"/>
    <n v="4"/>
    <s v="Married"/>
    <n v="0"/>
    <n v="1"/>
    <n v="4821"/>
    <n v="4821"/>
    <n v="0"/>
    <s v="Yes"/>
    <n v="1"/>
    <n v="12"/>
    <n v="3"/>
    <n v="3"/>
    <n v="1"/>
    <n v="6"/>
    <x v="3"/>
    <n v="4"/>
    <n v="3"/>
    <n v="5"/>
    <n v="5"/>
    <n v="2"/>
    <n v="0"/>
    <n v="0"/>
    <n v="3"/>
    <n v="3"/>
    <n v="3"/>
    <n v="0"/>
    <n v="1"/>
    <n v="0"/>
    <n v="0"/>
    <n v="0"/>
    <n v="0"/>
    <n v="0"/>
    <n v="1"/>
    <n v="0"/>
    <n v="3"/>
    <n v="0"/>
    <n v="0"/>
    <n v="6"/>
    <n v="0"/>
    <n v="0.35725291671225573"/>
    <n v="0.31476636926356072"/>
    <n v="0.67854260110508058"/>
    <n v="0.32778177112653761"/>
    <n v="0.51715642219916513"/>
    <n v="0.6484474368621912"/>
    <n v="0.67891464284095016"/>
  </r>
  <r>
    <n v="31"/>
    <n v="31"/>
    <s v="No"/>
    <n v="0"/>
    <s v="Travel_Rarely"/>
    <n v="0"/>
    <n v="1"/>
    <x v="2"/>
    <n v="0"/>
    <n v="0"/>
    <n v="2"/>
    <n v="2"/>
    <n v="3"/>
    <s v="Human Resources"/>
    <n v="0"/>
    <n v="0"/>
    <n v="0"/>
    <n v="0"/>
    <n v="0"/>
    <n v="1"/>
    <s v="Male"/>
    <n v="0"/>
    <n v="62"/>
    <n v="2"/>
    <n v="2"/>
    <s v="Human Resources"/>
    <n v="0"/>
    <n v="0"/>
    <n v="0"/>
    <n v="0"/>
    <n v="0"/>
    <n v="0"/>
    <n v="0"/>
    <n v="0"/>
    <n v="1"/>
    <s v="Married"/>
    <n v="0"/>
    <n v="1"/>
    <n v="6410"/>
    <n v="6410"/>
    <n v="3"/>
    <s v="No"/>
    <n v="0"/>
    <n v="12"/>
    <n v="3"/>
    <n v="4"/>
    <n v="0"/>
    <n v="9"/>
    <x v="14"/>
    <n v="1"/>
    <n v="3"/>
    <n v="2"/>
    <n v="2"/>
    <n v="2"/>
    <n v="1"/>
    <n v="1"/>
    <n v="0"/>
    <n v="0"/>
    <n v="0"/>
    <n v="0"/>
    <n v="1"/>
    <n v="0"/>
    <n v="0"/>
    <n v="0"/>
    <n v="0"/>
    <n v="1"/>
    <n v="0"/>
    <n v="0"/>
    <n v="0"/>
    <n v="0"/>
    <n v="9"/>
    <n v="0"/>
    <n v="0"/>
    <n v="1.9739198297367356E-2"/>
    <n v="1.1555414682655611"/>
    <n v="0.29297722668510823"/>
    <n v="0.81745575848020657"/>
    <n v="0.88721318382472392"/>
    <n v="0.6484474368621912"/>
    <n v="0.36858985273641137"/>
  </r>
  <r>
    <n v="45"/>
    <n v="45"/>
    <s v="No"/>
    <n v="0"/>
    <s v="Travel_Frequently"/>
    <n v="1"/>
    <n v="0"/>
    <x v="1"/>
    <n v="1"/>
    <n v="0"/>
    <n v="7"/>
    <n v="7"/>
    <n v="3"/>
    <s v="Life Sciences"/>
    <n v="1"/>
    <n v="0"/>
    <n v="0"/>
    <n v="0"/>
    <n v="0"/>
    <n v="1"/>
    <s v="Male"/>
    <n v="0"/>
    <n v="97"/>
    <n v="3"/>
    <n v="3"/>
    <s v="Laboratory Technician"/>
    <n v="0"/>
    <n v="0"/>
    <n v="1"/>
    <n v="0"/>
    <n v="0"/>
    <n v="0"/>
    <n v="0"/>
    <n v="0"/>
    <n v="1"/>
    <s v="Divorced"/>
    <n v="0"/>
    <n v="0"/>
    <n v="5210"/>
    <n v="5210"/>
    <n v="1"/>
    <s v="No"/>
    <n v="0"/>
    <n v="18"/>
    <n v="3"/>
    <n v="1"/>
    <n v="1"/>
    <n v="24"/>
    <x v="12"/>
    <n v="2"/>
    <n v="3"/>
    <n v="24"/>
    <n v="24"/>
    <n v="9"/>
    <n v="9"/>
    <n v="9"/>
    <n v="11"/>
    <n v="11"/>
    <n v="33"/>
    <n v="0"/>
    <n v="0"/>
    <n v="1"/>
    <n v="0"/>
    <n v="1"/>
    <n v="0"/>
    <n v="0"/>
    <n v="0"/>
    <n v="0"/>
    <n v="11"/>
    <n v="0"/>
    <n v="0"/>
    <n v="24"/>
    <n v="0"/>
    <n v="0.27462683964278334"/>
    <n v="1.9273005614084406"/>
    <n v="1.6348496454147534"/>
    <n v="2.7734868154466992"/>
    <n v="0.27045191444879263"/>
    <n v="0.88405695572208698"/>
    <n v="2.114008468099899"/>
  </r>
  <r>
    <n v="31"/>
    <n v="31"/>
    <s v="No"/>
    <n v="0"/>
    <s v="Travel_Rarely"/>
    <n v="0"/>
    <n v="1"/>
    <x v="1"/>
    <n v="1"/>
    <n v="0"/>
    <n v="2"/>
    <n v="2"/>
    <n v="4"/>
    <s v="Life Sciences"/>
    <n v="1"/>
    <n v="0"/>
    <n v="0"/>
    <n v="0"/>
    <n v="0"/>
    <n v="3"/>
    <s v="Male"/>
    <n v="0"/>
    <n v="32"/>
    <n v="3"/>
    <n v="1"/>
    <s v="Research Scientist"/>
    <n v="0"/>
    <n v="0"/>
    <n v="0"/>
    <n v="0"/>
    <n v="0"/>
    <n v="0"/>
    <n v="0"/>
    <n v="1"/>
    <n v="4"/>
    <s v="Divorced"/>
    <n v="0"/>
    <n v="0"/>
    <n v="2695"/>
    <n v="2695"/>
    <n v="0"/>
    <s v="Yes"/>
    <n v="1"/>
    <n v="18"/>
    <n v="3"/>
    <n v="2"/>
    <n v="1"/>
    <n v="3"/>
    <x v="8"/>
    <n v="2"/>
    <n v="1"/>
    <n v="2"/>
    <n v="2"/>
    <n v="2"/>
    <n v="2"/>
    <n v="2"/>
    <n v="2"/>
    <n v="2"/>
    <n v="2"/>
    <n v="1"/>
    <n v="0"/>
    <n v="0"/>
    <n v="0"/>
    <n v="0"/>
    <n v="1"/>
    <n v="0"/>
    <n v="0"/>
    <n v="0"/>
    <n v="2"/>
    <n v="0"/>
    <n v="0"/>
    <n v="3"/>
    <n v="0"/>
    <n v="0.80882885462921772"/>
    <n v="0.59502473559756086"/>
    <n v="1.0641079755250529"/>
    <n v="0.81745575848020657"/>
    <n v="0.88721318382472392"/>
    <n v="0.6484474368621912"/>
    <n v="5.8265062631872602E-2"/>
  </r>
  <r>
    <n v="33"/>
    <n v="33"/>
    <s v="No"/>
    <n v="0"/>
    <s v="Travel_Frequently"/>
    <n v="1"/>
    <n v="0"/>
    <x v="1"/>
    <n v="1"/>
    <n v="0"/>
    <n v="5"/>
    <n v="5"/>
    <n v="4"/>
    <s v="Life Sciences"/>
    <n v="1"/>
    <n v="0"/>
    <n v="0"/>
    <n v="0"/>
    <n v="0"/>
    <n v="4"/>
    <s v="Female"/>
    <n v="1"/>
    <n v="74"/>
    <n v="3"/>
    <n v="3"/>
    <s v="Manager"/>
    <n v="0"/>
    <n v="0"/>
    <n v="0"/>
    <n v="1"/>
    <n v="0"/>
    <n v="0"/>
    <n v="0"/>
    <n v="0"/>
    <n v="2"/>
    <s v="Married"/>
    <n v="0"/>
    <n v="1"/>
    <n v="11878"/>
    <n v="11878"/>
    <n v="6"/>
    <s v="No"/>
    <n v="0"/>
    <n v="11"/>
    <n v="3"/>
    <n v="2"/>
    <n v="2"/>
    <n v="12"/>
    <x v="4"/>
    <n v="2"/>
    <n v="3"/>
    <n v="10"/>
    <n v="10"/>
    <n v="6"/>
    <n v="8"/>
    <n v="8"/>
    <n v="8"/>
    <n v="8"/>
    <n v="24"/>
    <n v="0"/>
    <n v="0"/>
    <n v="0"/>
    <n v="1"/>
    <n v="0"/>
    <n v="0"/>
    <n v="1"/>
    <n v="0"/>
    <n v="0"/>
    <n v="8"/>
    <n v="0"/>
    <n v="0"/>
    <n v="12"/>
    <n v="0"/>
    <n v="1.1416988207665781"/>
    <n v="1.08652546240644"/>
    <n v="9.2588147734864096E-2"/>
    <n v="0.48834154112957734"/>
    <n v="0.51715642219916513"/>
    <n v="0.42951823792158"/>
    <n v="1.8036836779953602"/>
  </r>
  <r>
    <n v="39"/>
    <n v="39"/>
    <s v="No"/>
    <n v="0"/>
    <s v="Travel_Rarely"/>
    <n v="0"/>
    <n v="1"/>
    <x v="1"/>
    <n v="1"/>
    <n v="0"/>
    <n v="10"/>
    <n v="10"/>
    <n v="1"/>
    <s v="Medical"/>
    <n v="0"/>
    <n v="0"/>
    <n v="1"/>
    <n v="0"/>
    <n v="0"/>
    <n v="3"/>
    <s v="Male"/>
    <n v="0"/>
    <n v="99"/>
    <n v="3"/>
    <n v="4"/>
    <s v="Manager"/>
    <n v="0"/>
    <n v="0"/>
    <n v="0"/>
    <n v="1"/>
    <n v="0"/>
    <n v="0"/>
    <n v="0"/>
    <n v="0"/>
    <n v="1"/>
    <s v="Married"/>
    <n v="0"/>
    <n v="1"/>
    <n v="17068"/>
    <n v="17068"/>
    <n v="1"/>
    <s v="Yes"/>
    <n v="1"/>
    <n v="14"/>
    <n v="3"/>
    <n v="4"/>
    <n v="0"/>
    <n v="21"/>
    <x v="23"/>
    <n v="3"/>
    <n v="3"/>
    <n v="21"/>
    <n v="21"/>
    <n v="9"/>
    <n v="11"/>
    <n v="11"/>
    <n v="10"/>
    <n v="10"/>
    <n v="40"/>
    <n v="0"/>
    <n v="1"/>
    <n v="0"/>
    <n v="0"/>
    <n v="0"/>
    <n v="0"/>
    <n v="0"/>
    <n v="1"/>
    <n v="0"/>
    <n v="10"/>
    <n v="0"/>
    <n v="0"/>
    <n v="21"/>
    <n v="0"/>
    <n v="2.2440878695855027"/>
    <n v="1.6470421950744405"/>
    <n v="1.2492842709947811"/>
    <n v="2.2838128280930299"/>
    <n v="9.9604847176766084E-2"/>
    <n v="0.22726935890025346"/>
    <n v="2.7346580483089769"/>
  </r>
  <r>
    <n v="43"/>
    <n v="43"/>
    <s v="No"/>
    <n v="0"/>
    <s v="Travel_Frequently"/>
    <n v="1"/>
    <n v="0"/>
    <x v="1"/>
    <n v="1"/>
    <n v="0"/>
    <n v="10"/>
    <n v="10"/>
    <n v="4"/>
    <s v="Life Sciences"/>
    <n v="1"/>
    <n v="0"/>
    <n v="0"/>
    <n v="0"/>
    <n v="0"/>
    <n v="3"/>
    <s v="Female"/>
    <n v="1"/>
    <n v="33"/>
    <n v="3"/>
    <n v="1"/>
    <s v="Laboratory Technician"/>
    <n v="0"/>
    <n v="0"/>
    <n v="1"/>
    <n v="0"/>
    <n v="0"/>
    <n v="0"/>
    <n v="0"/>
    <n v="0"/>
    <n v="4"/>
    <s v="Single"/>
    <n v="1"/>
    <n v="0"/>
    <n v="2455"/>
    <n v="2455"/>
    <n v="0"/>
    <s v="No"/>
    <n v="0"/>
    <n v="19"/>
    <n v="3"/>
    <n v="1"/>
    <n v="0"/>
    <n v="9"/>
    <x v="14"/>
    <n v="5"/>
    <n v="3"/>
    <n v="8"/>
    <n v="8"/>
    <n v="7"/>
    <n v="1"/>
    <n v="1"/>
    <n v="7"/>
    <n v="7"/>
    <n v="7"/>
    <n v="0"/>
    <n v="0"/>
    <n v="1"/>
    <n v="0"/>
    <n v="1"/>
    <n v="0"/>
    <n v="0"/>
    <n v="0"/>
    <n v="0"/>
    <n v="7"/>
    <n v="0"/>
    <n v="0"/>
    <n v="9"/>
    <n v="0"/>
    <n v="0.85980638289830091"/>
    <n v="0.80626709607243985"/>
    <n v="0.29297722668510823"/>
    <n v="0.16189221622713135"/>
    <n v="9.9604847176766084E-2"/>
    <n v="0.66512775678147573"/>
    <n v="0.36858985273641137"/>
  </r>
  <r>
    <n v="49"/>
    <n v="49"/>
    <s v="No"/>
    <n v="0"/>
    <s v="Travel_Rarely"/>
    <n v="0"/>
    <n v="1"/>
    <x v="1"/>
    <n v="1"/>
    <n v="0"/>
    <n v="1"/>
    <n v="1"/>
    <n v="2"/>
    <s v="Technical Degree"/>
    <n v="0"/>
    <n v="0"/>
    <n v="0"/>
    <n v="0"/>
    <n v="1"/>
    <n v="3"/>
    <s v="Female"/>
    <n v="1"/>
    <n v="90"/>
    <n v="2"/>
    <n v="4"/>
    <s v="Healthcare Representative"/>
    <n v="1"/>
    <n v="0"/>
    <n v="0"/>
    <n v="0"/>
    <n v="0"/>
    <n v="0"/>
    <n v="0"/>
    <n v="0"/>
    <n v="3"/>
    <s v="Single"/>
    <n v="1"/>
    <n v="0"/>
    <n v="13964"/>
    <n v="13964"/>
    <n v="7"/>
    <s v="Yes"/>
    <n v="1"/>
    <n v="12"/>
    <n v="3"/>
    <n v="4"/>
    <n v="0"/>
    <n v="25"/>
    <x v="24"/>
    <n v="2"/>
    <n v="3"/>
    <n v="7"/>
    <n v="7"/>
    <n v="1"/>
    <n v="0"/>
    <n v="0"/>
    <n v="7"/>
    <n v="7"/>
    <n v="28"/>
    <n v="1"/>
    <n v="0"/>
    <n v="0"/>
    <n v="0"/>
    <n v="0"/>
    <n v="1"/>
    <n v="0"/>
    <n v="0"/>
    <n v="0"/>
    <n v="7"/>
    <n v="0"/>
    <n v="0"/>
    <n v="25"/>
    <n v="0"/>
    <n v="1.5847785039720264"/>
    <n v="0.80626709607243985"/>
    <n v="1.7633714368880775"/>
    <n v="1.3324462240916321E-3"/>
    <n v="1.01056543769991"/>
    <n v="1.3219153536033093"/>
    <n v="0.67891464284095016"/>
  </r>
  <r>
    <n v="52"/>
    <n v="52"/>
    <s v="Yes"/>
    <n v="1"/>
    <s v="Travel_Rarely"/>
    <n v="0"/>
    <n v="1"/>
    <x v="1"/>
    <n v="1"/>
    <n v="0"/>
    <n v="8"/>
    <n v="8"/>
    <n v="4"/>
    <s v="Medical"/>
    <n v="0"/>
    <n v="0"/>
    <n v="1"/>
    <n v="0"/>
    <n v="0"/>
    <n v="3"/>
    <s v="Male"/>
    <n v="0"/>
    <n v="85"/>
    <n v="2"/>
    <n v="2"/>
    <s v="Research Scientist"/>
    <n v="0"/>
    <n v="0"/>
    <n v="0"/>
    <n v="0"/>
    <n v="0"/>
    <n v="0"/>
    <n v="0"/>
    <n v="1"/>
    <n v="2"/>
    <s v="Married"/>
    <n v="0"/>
    <n v="1"/>
    <n v="4941"/>
    <n v="4941"/>
    <n v="2"/>
    <s v="No"/>
    <n v="0"/>
    <n v="15"/>
    <n v="3"/>
    <n v="1"/>
    <n v="0"/>
    <n v="11"/>
    <x v="26"/>
    <n v="3"/>
    <n v="2"/>
    <n v="8"/>
    <n v="8"/>
    <n v="2"/>
    <n v="7"/>
    <n v="7"/>
    <n v="7"/>
    <n v="7"/>
    <n v="14"/>
    <n v="0"/>
    <n v="1"/>
    <n v="0"/>
    <n v="0"/>
    <n v="0"/>
    <n v="0"/>
    <n v="1"/>
    <n v="0"/>
    <n v="0"/>
    <n v="7"/>
    <n v="0"/>
    <n v="0"/>
    <n v="11"/>
    <n v="0"/>
    <n v="0.33176415257771413"/>
    <n v="0.80626709607243985"/>
    <n v="3.593364373846001E-2"/>
    <n v="0.16189221622713135"/>
    <n v="0.14709966057360641"/>
    <n v="1.6503091520142259"/>
    <n v="1.4933588878908215"/>
  </r>
  <r>
    <n v="27"/>
    <n v="27"/>
    <s v="No"/>
    <n v="0"/>
    <s v="Travel_Rarely"/>
    <n v="0"/>
    <n v="1"/>
    <x v="1"/>
    <n v="1"/>
    <n v="0"/>
    <n v="5"/>
    <n v="5"/>
    <n v="3"/>
    <s v="Life Sciences"/>
    <n v="1"/>
    <n v="0"/>
    <n v="0"/>
    <n v="0"/>
    <n v="0"/>
    <n v="3"/>
    <s v="Female"/>
    <n v="1"/>
    <n v="85"/>
    <n v="3"/>
    <n v="1"/>
    <s v="Research Scientist"/>
    <n v="0"/>
    <n v="0"/>
    <n v="0"/>
    <n v="0"/>
    <n v="0"/>
    <n v="0"/>
    <n v="0"/>
    <n v="1"/>
    <n v="2"/>
    <s v="Single"/>
    <n v="1"/>
    <n v="0"/>
    <n v="2478"/>
    <n v="2478"/>
    <n v="1"/>
    <s v="Yes"/>
    <n v="1"/>
    <n v="12"/>
    <n v="3"/>
    <n v="2"/>
    <n v="0"/>
    <n v="4"/>
    <x v="20"/>
    <n v="2"/>
    <n v="2"/>
    <n v="4"/>
    <n v="4"/>
    <n v="3"/>
    <n v="1"/>
    <n v="1"/>
    <n v="2"/>
    <n v="2"/>
    <n v="2"/>
    <n v="1"/>
    <n v="0"/>
    <n v="0"/>
    <n v="0"/>
    <n v="0"/>
    <n v="1"/>
    <n v="0"/>
    <n v="0"/>
    <n v="0"/>
    <n v="2"/>
    <n v="0"/>
    <n v="0"/>
    <n v="4"/>
    <n v="0"/>
    <n v="0.85492103643918049"/>
    <n v="0.59502473559756086"/>
    <n v="0.93558618405172878"/>
    <n v="0.49100643357776058"/>
    <n v="0.51715642219916513"/>
    <n v="1.0863058347434136"/>
    <n v="0.36858985273641137"/>
  </r>
  <r>
    <n v="32"/>
    <n v="32"/>
    <s v="No"/>
    <n v="0"/>
    <s v="Travel_Rarely"/>
    <n v="0"/>
    <n v="1"/>
    <x v="0"/>
    <n v="0"/>
    <n v="1"/>
    <n v="8"/>
    <n v="8"/>
    <n v="2"/>
    <s v="Technical Degree"/>
    <n v="0"/>
    <n v="0"/>
    <n v="0"/>
    <n v="0"/>
    <n v="1"/>
    <n v="3"/>
    <s v="Female"/>
    <n v="1"/>
    <n v="65"/>
    <n v="2"/>
    <n v="2"/>
    <s v="Sales Executive"/>
    <n v="0"/>
    <n v="1"/>
    <n v="0"/>
    <n v="0"/>
    <n v="0"/>
    <n v="0"/>
    <n v="0"/>
    <n v="0"/>
    <n v="2"/>
    <s v="Married"/>
    <n v="0"/>
    <n v="1"/>
    <n v="5228"/>
    <n v="5228"/>
    <n v="1"/>
    <s v="Yes"/>
    <n v="1"/>
    <n v="11"/>
    <n v="3"/>
    <n v="4"/>
    <n v="0"/>
    <n v="13"/>
    <x v="10"/>
    <n v="2"/>
    <n v="3"/>
    <n v="13"/>
    <n v="13"/>
    <n v="12"/>
    <n v="11"/>
    <n v="11"/>
    <n v="9"/>
    <n v="9"/>
    <n v="18"/>
    <n v="0"/>
    <n v="1"/>
    <n v="0"/>
    <n v="0"/>
    <n v="0"/>
    <n v="0"/>
    <n v="0"/>
    <n v="1"/>
    <n v="0"/>
    <n v="0"/>
    <n v="9"/>
    <n v="0"/>
    <n v="0"/>
    <n v="13"/>
    <n v="0.27080352502260213"/>
    <n v="1.3667838287404401"/>
    <n v="0.22110993920818819"/>
    <n v="0.97801552848324624"/>
    <n v="0.14709966057360641"/>
    <n v="0.53898283739188557"/>
    <n v="2.7346580483089769"/>
  </r>
  <r>
    <n v="27"/>
    <n v="27"/>
    <s v="No"/>
    <n v="0"/>
    <s v="Travel_Rarely"/>
    <n v="0"/>
    <n v="1"/>
    <x v="0"/>
    <n v="0"/>
    <n v="1"/>
    <n v="2"/>
    <n v="2"/>
    <n v="3"/>
    <s v="Life Sciences"/>
    <n v="1"/>
    <n v="0"/>
    <n v="0"/>
    <n v="0"/>
    <n v="0"/>
    <n v="4"/>
    <s v="Male"/>
    <n v="0"/>
    <n v="74"/>
    <n v="3"/>
    <n v="2"/>
    <s v="Sales Executive"/>
    <n v="0"/>
    <n v="1"/>
    <n v="0"/>
    <n v="0"/>
    <n v="0"/>
    <n v="0"/>
    <n v="0"/>
    <n v="0"/>
    <n v="3"/>
    <s v="Single"/>
    <n v="1"/>
    <n v="0"/>
    <n v="4478"/>
    <n v="4478"/>
    <n v="1"/>
    <s v="Yes"/>
    <n v="1"/>
    <n v="11"/>
    <n v="3"/>
    <n v="1"/>
    <n v="0"/>
    <n v="5"/>
    <x v="7"/>
    <n v="3"/>
    <n v="3"/>
    <n v="5"/>
    <n v="5"/>
    <n v="4"/>
    <n v="0"/>
    <n v="0"/>
    <n v="4"/>
    <n v="4"/>
    <n v="8"/>
    <n v="1"/>
    <n v="0"/>
    <n v="0"/>
    <n v="0"/>
    <n v="0"/>
    <n v="1"/>
    <n v="0"/>
    <n v="0"/>
    <n v="0"/>
    <n v="0"/>
    <n v="4"/>
    <n v="0"/>
    <n v="0"/>
    <n v="5"/>
    <n v="0.43010830086348711"/>
    <n v="3.4508002929560584E-2"/>
    <n v="0.80706439257840468"/>
    <n v="0.32778177112653761"/>
    <n v="0.88721318382472392"/>
    <n v="1.0863058347434136"/>
    <n v="0.67891464284095016"/>
  </r>
  <r>
    <n v="31"/>
    <n v="31"/>
    <s v="No"/>
    <n v="0"/>
    <s v="Travel_Rarely"/>
    <n v="0"/>
    <n v="1"/>
    <x v="0"/>
    <n v="0"/>
    <n v="1"/>
    <n v="7"/>
    <n v="7"/>
    <n v="3"/>
    <s v="Marketing"/>
    <n v="0"/>
    <n v="0"/>
    <n v="0"/>
    <n v="1"/>
    <n v="0"/>
    <n v="4"/>
    <s v="Male"/>
    <n v="0"/>
    <n v="73"/>
    <n v="3"/>
    <n v="2"/>
    <s v="Sales Executive"/>
    <n v="0"/>
    <n v="1"/>
    <n v="0"/>
    <n v="0"/>
    <n v="0"/>
    <n v="0"/>
    <n v="0"/>
    <n v="0"/>
    <n v="4"/>
    <s v="Divorced"/>
    <n v="0"/>
    <n v="0"/>
    <n v="7547"/>
    <n v="7547"/>
    <n v="4"/>
    <s v="No"/>
    <n v="0"/>
    <n v="12"/>
    <n v="3"/>
    <n v="4"/>
    <n v="3"/>
    <n v="13"/>
    <x v="10"/>
    <n v="3"/>
    <n v="3"/>
    <n v="7"/>
    <n v="7"/>
    <n v="7"/>
    <n v="1"/>
    <n v="1"/>
    <n v="7"/>
    <n v="7"/>
    <n v="14"/>
    <n v="1"/>
    <n v="0"/>
    <n v="0"/>
    <n v="0"/>
    <n v="1"/>
    <n v="0"/>
    <n v="0"/>
    <n v="0"/>
    <n v="0"/>
    <n v="0"/>
    <n v="7"/>
    <n v="0"/>
    <n v="0"/>
    <n v="13"/>
    <n v="0.2217668418774143"/>
    <n v="0.80626709607243985"/>
    <n v="0.22110993920818819"/>
    <n v="1.3324462240916321E-3"/>
    <n v="0.27045191444879263"/>
    <n v="0.6484474368621912"/>
    <n v="0.36858985273641137"/>
  </r>
  <r>
    <n v="32"/>
    <n v="32"/>
    <s v="No"/>
    <n v="0"/>
    <s v="Travel_Rarely"/>
    <n v="0"/>
    <n v="1"/>
    <x v="1"/>
    <n v="1"/>
    <n v="0"/>
    <n v="2"/>
    <n v="2"/>
    <n v="4"/>
    <s v="Medical"/>
    <n v="0"/>
    <n v="0"/>
    <n v="1"/>
    <n v="0"/>
    <n v="0"/>
    <n v="1"/>
    <s v="Female"/>
    <n v="1"/>
    <n v="74"/>
    <n v="4"/>
    <n v="2"/>
    <s v="Research Scientist"/>
    <n v="0"/>
    <n v="0"/>
    <n v="0"/>
    <n v="0"/>
    <n v="0"/>
    <n v="0"/>
    <n v="0"/>
    <n v="1"/>
    <n v="4"/>
    <s v="Single"/>
    <n v="1"/>
    <n v="0"/>
    <n v="5055"/>
    <n v="5055"/>
    <n v="7"/>
    <s v="No"/>
    <n v="0"/>
    <n v="16"/>
    <n v="3"/>
    <n v="3"/>
    <n v="0"/>
    <n v="10"/>
    <x v="1"/>
    <n v="0"/>
    <n v="2"/>
    <n v="7"/>
    <n v="7"/>
    <n v="7"/>
    <n v="0"/>
    <n v="0"/>
    <n v="7"/>
    <n v="7"/>
    <n v="14"/>
    <n v="1"/>
    <n v="0"/>
    <n v="0"/>
    <n v="0"/>
    <n v="1"/>
    <n v="0"/>
    <n v="0"/>
    <n v="0"/>
    <n v="0"/>
    <n v="7"/>
    <n v="0"/>
    <n v="0"/>
    <n v="10"/>
    <n v="0"/>
    <n v="0.3075498266498996"/>
    <n v="0.80626709607243985"/>
    <n v="0.1644554352117841"/>
    <n v="1.3324462240916321E-3"/>
    <n v="0.88721318382472392"/>
    <n v="0.53898283739188557"/>
    <n v="0.67891464284095016"/>
  </r>
  <r>
    <n v="28"/>
    <n v="28"/>
    <s v="Yes"/>
    <n v="1"/>
    <s v="Travel_Rarely"/>
    <n v="0"/>
    <n v="1"/>
    <x v="1"/>
    <n v="1"/>
    <n v="0"/>
    <n v="2"/>
    <n v="2"/>
    <n v="4"/>
    <s v="Medical"/>
    <n v="0"/>
    <n v="0"/>
    <n v="1"/>
    <n v="0"/>
    <n v="0"/>
    <n v="1"/>
    <s v="Male"/>
    <n v="0"/>
    <n v="84"/>
    <n v="1"/>
    <n v="1"/>
    <s v="Research Scientist"/>
    <n v="0"/>
    <n v="0"/>
    <n v="0"/>
    <n v="0"/>
    <n v="0"/>
    <n v="0"/>
    <n v="0"/>
    <n v="1"/>
    <n v="4"/>
    <s v="Married"/>
    <n v="0"/>
    <n v="1"/>
    <n v="3464"/>
    <n v="3464"/>
    <n v="5"/>
    <s v="Yes"/>
    <n v="1"/>
    <n v="13"/>
    <n v="3"/>
    <n v="4"/>
    <n v="0"/>
    <n v="5"/>
    <x v="7"/>
    <n v="4"/>
    <n v="2"/>
    <n v="3"/>
    <n v="3"/>
    <n v="2"/>
    <n v="2"/>
    <n v="2"/>
    <n v="2"/>
    <n v="2"/>
    <n v="2"/>
    <n v="0"/>
    <n v="1"/>
    <n v="0"/>
    <n v="0"/>
    <n v="0"/>
    <n v="0"/>
    <n v="0"/>
    <n v="1"/>
    <n v="0"/>
    <n v="2"/>
    <n v="0"/>
    <n v="0"/>
    <n v="5"/>
    <n v="0"/>
    <n v="0.64548835780036362"/>
    <n v="0.59502473559756086"/>
    <n v="0.80706439257840468"/>
    <n v="0.65423109602898355"/>
    <n v="0.88721318382472392"/>
    <n v="0.97684123527310796"/>
    <n v="5.8265062631872602E-2"/>
  </r>
  <r>
    <n v="30"/>
    <n v="30"/>
    <s v="No"/>
    <n v="0"/>
    <s v="Travel_Rarely"/>
    <n v="0"/>
    <n v="1"/>
    <x v="1"/>
    <n v="1"/>
    <n v="0"/>
    <n v="28"/>
    <n v="28"/>
    <n v="2"/>
    <s v="Medical"/>
    <n v="0"/>
    <n v="0"/>
    <n v="1"/>
    <n v="0"/>
    <n v="0"/>
    <n v="4"/>
    <s v="Female"/>
    <n v="1"/>
    <n v="64"/>
    <n v="3"/>
    <n v="2"/>
    <s v="Research Scientist"/>
    <n v="0"/>
    <n v="0"/>
    <n v="0"/>
    <n v="0"/>
    <n v="0"/>
    <n v="0"/>
    <n v="0"/>
    <n v="1"/>
    <n v="4"/>
    <s v="Married"/>
    <n v="0"/>
    <n v="1"/>
    <n v="5775"/>
    <n v="5775"/>
    <n v="1"/>
    <s v="No"/>
    <n v="0"/>
    <n v="13"/>
    <n v="3"/>
    <n v="4"/>
    <n v="2"/>
    <n v="11"/>
    <x v="26"/>
    <n v="2"/>
    <n v="3"/>
    <n v="10"/>
    <n v="10"/>
    <n v="8"/>
    <n v="1"/>
    <n v="1"/>
    <n v="9"/>
    <n v="9"/>
    <n v="18"/>
    <n v="0"/>
    <n v="1"/>
    <n v="0"/>
    <n v="0"/>
    <n v="0"/>
    <n v="0"/>
    <n v="1"/>
    <n v="0"/>
    <n v="0"/>
    <n v="9"/>
    <n v="0"/>
    <n v="0"/>
    <n v="11"/>
    <n v="0"/>
    <n v="0.15461724184264999"/>
    <n v="1.3667838287404401"/>
    <n v="3.593364373846001E-2"/>
    <n v="0.48834154112957734"/>
    <n v="2.3199454169301186"/>
    <n v="0.75791203633249671"/>
    <n v="0.36858985273641137"/>
  </r>
  <r>
    <n v="31"/>
    <n v="31"/>
    <s v="No"/>
    <n v="0"/>
    <s v="Travel_Frequently"/>
    <n v="1"/>
    <n v="0"/>
    <x v="1"/>
    <n v="1"/>
    <n v="0"/>
    <n v="7"/>
    <n v="7"/>
    <n v="2"/>
    <s v="Life Sciences"/>
    <n v="1"/>
    <n v="0"/>
    <n v="0"/>
    <n v="0"/>
    <n v="0"/>
    <n v="3"/>
    <s v="Female"/>
    <n v="1"/>
    <n v="48"/>
    <n v="2"/>
    <n v="3"/>
    <s v="Manufacturing Director"/>
    <n v="0"/>
    <n v="0"/>
    <n v="0"/>
    <n v="0"/>
    <n v="1"/>
    <n v="1"/>
    <n v="0"/>
    <n v="0"/>
    <n v="3"/>
    <s v="Married"/>
    <n v="0"/>
    <n v="1"/>
    <n v="8943"/>
    <n v="8943"/>
    <n v="1"/>
    <s v="No"/>
    <n v="0"/>
    <n v="24"/>
    <n v="4"/>
    <n v="1"/>
    <n v="1"/>
    <n v="10"/>
    <x v="1"/>
    <n v="2"/>
    <n v="3"/>
    <n v="10"/>
    <n v="10"/>
    <n v="9"/>
    <n v="8"/>
    <n v="8"/>
    <n v="9"/>
    <n v="9"/>
    <n v="27"/>
    <n v="0"/>
    <n v="0"/>
    <n v="0"/>
    <n v="1"/>
    <n v="0"/>
    <n v="0"/>
    <n v="1"/>
    <n v="0"/>
    <n v="0"/>
    <n v="9"/>
    <n v="0"/>
    <n v="0"/>
    <n v="10"/>
    <n v="0"/>
    <n v="0.51828613130924828"/>
    <n v="1.3667838287404401"/>
    <n v="0.1644554352117841"/>
    <n v="0.48834154112957734"/>
    <n v="0.27045191444879263"/>
    <n v="0.6484474368621912"/>
    <n v="1.8036836779953602"/>
  </r>
  <r>
    <n v="39"/>
    <n v="39"/>
    <s v="No"/>
    <n v="0"/>
    <s v="Travel_Frequently"/>
    <n v="1"/>
    <n v="0"/>
    <x v="1"/>
    <n v="1"/>
    <n v="0"/>
    <n v="7"/>
    <n v="7"/>
    <n v="2"/>
    <s v="Medical"/>
    <n v="0"/>
    <n v="0"/>
    <n v="1"/>
    <n v="0"/>
    <n v="0"/>
    <n v="3"/>
    <s v="Male"/>
    <n v="0"/>
    <n v="54"/>
    <n v="2"/>
    <n v="5"/>
    <s v="Manager"/>
    <n v="0"/>
    <n v="0"/>
    <n v="0"/>
    <n v="1"/>
    <n v="0"/>
    <n v="0"/>
    <n v="0"/>
    <n v="0"/>
    <n v="4"/>
    <s v="Married"/>
    <n v="0"/>
    <n v="1"/>
    <n v="19272"/>
    <n v="19272"/>
    <n v="1"/>
    <s v="No"/>
    <n v="0"/>
    <n v="15"/>
    <n v="3"/>
    <n v="1"/>
    <n v="1"/>
    <n v="21"/>
    <x v="23"/>
    <n v="2"/>
    <n v="3"/>
    <n v="21"/>
    <n v="21"/>
    <n v="9"/>
    <n v="13"/>
    <n v="13"/>
    <n v="3"/>
    <n v="3"/>
    <n v="15"/>
    <n v="0"/>
    <n v="0"/>
    <n v="0"/>
    <n v="1"/>
    <n v="0"/>
    <n v="0"/>
    <n v="1"/>
    <n v="0"/>
    <n v="0"/>
    <n v="3"/>
    <n v="0"/>
    <n v="0"/>
    <n v="21"/>
    <n v="0"/>
    <n v="2.7122315041899165"/>
    <n v="0.31476636926356072"/>
    <n v="1.2492842709947811"/>
    <n v="2.2838128280930299"/>
    <n v="0.27045191444879263"/>
    <n v="0.22726935890025346"/>
    <n v="3.3553076285180543"/>
  </r>
  <r>
    <n v="39"/>
    <n v="39"/>
    <s v="Yes"/>
    <n v="1"/>
    <s v="Travel_Rarely"/>
    <n v="0"/>
    <n v="1"/>
    <x v="0"/>
    <n v="0"/>
    <n v="1"/>
    <n v="3"/>
    <n v="3"/>
    <n v="2"/>
    <s v="Medical"/>
    <n v="0"/>
    <n v="0"/>
    <n v="1"/>
    <n v="0"/>
    <n v="0"/>
    <n v="4"/>
    <s v="Female"/>
    <n v="1"/>
    <n v="41"/>
    <n v="3"/>
    <n v="2"/>
    <s v="Sales Executive"/>
    <n v="0"/>
    <n v="1"/>
    <n v="0"/>
    <n v="0"/>
    <n v="0"/>
    <n v="0"/>
    <n v="0"/>
    <n v="0"/>
    <n v="3"/>
    <s v="Married"/>
    <n v="0"/>
    <n v="1"/>
    <n v="5238"/>
    <n v="5238"/>
    <n v="4"/>
    <s v="Yes"/>
    <n v="1"/>
    <n v="18"/>
    <n v="3"/>
    <n v="1"/>
    <n v="0"/>
    <n v="12"/>
    <x v="4"/>
    <n v="3"/>
    <n v="2"/>
    <n v="1"/>
    <n v="1"/>
    <n v="0"/>
    <n v="0"/>
    <n v="0"/>
    <n v="0"/>
    <n v="0"/>
    <n v="0"/>
    <n v="0"/>
    <n v="1"/>
    <n v="0"/>
    <n v="0"/>
    <n v="0"/>
    <n v="0"/>
    <n v="0"/>
    <n v="1"/>
    <n v="0"/>
    <n v="0"/>
    <n v="0"/>
    <n v="0"/>
    <n v="0"/>
    <n v="12"/>
    <n v="0.26867946134472365"/>
    <n v="1.1555414682655611"/>
    <n v="9.2588147734864096E-2"/>
    <n v="0.9806804209314296"/>
    <n v="0.76386092994953758"/>
    <n v="0.22726935890025346"/>
    <n v="0.67891464284095016"/>
  </r>
  <r>
    <n v="33"/>
    <n v="33"/>
    <s v="No"/>
    <n v="0"/>
    <s v="Travel_Frequently"/>
    <n v="1"/>
    <n v="0"/>
    <x v="0"/>
    <n v="0"/>
    <n v="1"/>
    <n v="10"/>
    <n v="10"/>
    <n v="3"/>
    <s v="Marketing"/>
    <n v="0"/>
    <n v="0"/>
    <n v="0"/>
    <n v="1"/>
    <n v="0"/>
    <n v="2"/>
    <s v="Male"/>
    <n v="0"/>
    <n v="46"/>
    <n v="2"/>
    <n v="2"/>
    <s v="Sales Executive"/>
    <n v="0"/>
    <n v="1"/>
    <n v="0"/>
    <n v="0"/>
    <n v="0"/>
    <n v="0"/>
    <n v="0"/>
    <n v="0"/>
    <n v="4"/>
    <s v="Single"/>
    <n v="1"/>
    <n v="0"/>
    <n v="4682"/>
    <n v="4682"/>
    <n v="3"/>
    <s v="No"/>
    <n v="0"/>
    <n v="14"/>
    <n v="3"/>
    <n v="3"/>
    <n v="0"/>
    <n v="9"/>
    <x v="14"/>
    <n v="6"/>
    <n v="2"/>
    <n v="7"/>
    <n v="7"/>
    <n v="7"/>
    <n v="0"/>
    <n v="0"/>
    <n v="1"/>
    <n v="1"/>
    <n v="2"/>
    <n v="0"/>
    <n v="0"/>
    <n v="1"/>
    <n v="0"/>
    <n v="1"/>
    <n v="0"/>
    <n v="0"/>
    <n v="0"/>
    <n v="0"/>
    <n v="0"/>
    <n v="1"/>
    <n v="0"/>
    <n v="0"/>
    <n v="9"/>
    <n v="0.38677740183476639"/>
    <n v="0.87528310193156111"/>
    <n v="0.29297722668510823"/>
    <n v="1.3324462240916321E-3"/>
    <n v="9.9604847176766084E-2"/>
    <n v="0.42951823792158"/>
    <n v="0.67891464284095016"/>
  </r>
  <r>
    <n v="47"/>
    <n v="47"/>
    <s v="No"/>
    <n v="0"/>
    <s v="Travel_Rarely"/>
    <n v="0"/>
    <n v="1"/>
    <x v="1"/>
    <n v="1"/>
    <n v="0"/>
    <n v="5"/>
    <n v="5"/>
    <n v="5"/>
    <s v="Life Sciences"/>
    <n v="1"/>
    <n v="0"/>
    <n v="0"/>
    <n v="0"/>
    <n v="0"/>
    <n v="4"/>
    <s v="Male"/>
    <n v="0"/>
    <n v="42"/>
    <n v="3"/>
    <n v="5"/>
    <s v="Research Director"/>
    <n v="0"/>
    <n v="0"/>
    <n v="0"/>
    <n v="0"/>
    <n v="0"/>
    <n v="0"/>
    <n v="0"/>
    <n v="0"/>
    <n v="3"/>
    <s v="Married"/>
    <n v="0"/>
    <n v="1"/>
    <n v="18300"/>
    <n v="18300"/>
    <n v="4"/>
    <s v="No"/>
    <n v="0"/>
    <n v="11"/>
    <n v="3"/>
    <n v="2"/>
    <n v="1"/>
    <n v="21"/>
    <x v="23"/>
    <n v="2"/>
    <n v="3"/>
    <n v="3"/>
    <n v="3"/>
    <n v="2"/>
    <n v="1"/>
    <n v="1"/>
    <n v="1"/>
    <n v="1"/>
    <n v="5"/>
    <n v="0"/>
    <n v="1"/>
    <n v="0"/>
    <n v="0"/>
    <n v="0"/>
    <n v="0"/>
    <n v="1"/>
    <n v="0"/>
    <n v="0"/>
    <n v="1"/>
    <n v="0"/>
    <n v="0"/>
    <n v="21"/>
    <n v="0"/>
    <n v="2.5057725147001295"/>
    <n v="0.87528310193156111"/>
    <n v="1.2492842709947811"/>
    <n v="0.65423109602898355"/>
    <n v="0.51715642219916513"/>
    <n v="1.102986154662698"/>
    <n v="0.36858985273641137"/>
  </r>
  <r>
    <n v="43"/>
    <n v="43"/>
    <s v="No"/>
    <n v="0"/>
    <s v="Travel_Frequently"/>
    <n v="1"/>
    <n v="0"/>
    <x v="1"/>
    <n v="1"/>
    <n v="0"/>
    <n v="10"/>
    <n v="10"/>
    <n v="4"/>
    <s v="Life Sciences"/>
    <n v="1"/>
    <n v="0"/>
    <n v="0"/>
    <n v="0"/>
    <n v="0"/>
    <n v="3"/>
    <s v="Female"/>
    <n v="1"/>
    <n v="82"/>
    <n v="2"/>
    <n v="2"/>
    <s v="Laboratory Technician"/>
    <n v="0"/>
    <n v="0"/>
    <n v="1"/>
    <n v="0"/>
    <n v="0"/>
    <n v="0"/>
    <n v="0"/>
    <n v="0"/>
    <n v="3"/>
    <s v="Divorced"/>
    <n v="0"/>
    <n v="0"/>
    <n v="5257"/>
    <n v="5257"/>
    <n v="1"/>
    <s v="No"/>
    <n v="0"/>
    <n v="11"/>
    <n v="3"/>
    <n v="2"/>
    <n v="1"/>
    <n v="9"/>
    <x v="14"/>
    <n v="3"/>
    <n v="4"/>
    <n v="9"/>
    <n v="9"/>
    <n v="7"/>
    <n v="0"/>
    <n v="0"/>
    <n v="0"/>
    <n v="0"/>
    <n v="0"/>
    <n v="0"/>
    <n v="0"/>
    <n v="1"/>
    <n v="0"/>
    <n v="1"/>
    <n v="0"/>
    <n v="0"/>
    <n v="0"/>
    <n v="0"/>
    <n v="0"/>
    <n v="0"/>
    <n v="0"/>
    <n v="9"/>
    <n v="0"/>
    <n v="0.26464374035675459"/>
    <n v="1.1555414682655611"/>
    <n v="0.29297722668510823"/>
    <n v="0.32511687867835437"/>
    <n v="9.9604847176766084E-2"/>
    <n v="0.66512775678147573"/>
    <n v="0.67891464284095016"/>
  </r>
  <r>
    <n v="27"/>
    <n v="27"/>
    <s v="No"/>
    <n v="0"/>
    <s v="Non-Travel"/>
    <n v="0"/>
    <n v="0"/>
    <x v="0"/>
    <n v="0"/>
    <n v="1"/>
    <n v="1"/>
    <n v="1"/>
    <n v="1"/>
    <s v="Marketing"/>
    <n v="0"/>
    <n v="0"/>
    <n v="0"/>
    <n v="1"/>
    <n v="0"/>
    <n v="3"/>
    <s v="Male"/>
    <n v="0"/>
    <n v="73"/>
    <n v="3"/>
    <n v="2"/>
    <s v="Sales Executive"/>
    <n v="0"/>
    <n v="1"/>
    <n v="0"/>
    <n v="0"/>
    <n v="0"/>
    <n v="0"/>
    <n v="0"/>
    <n v="0"/>
    <n v="2"/>
    <s v="Married"/>
    <n v="0"/>
    <n v="1"/>
    <n v="6349"/>
    <n v="6349"/>
    <n v="0"/>
    <s v="Yes"/>
    <n v="1"/>
    <n v="13"/>
    <n v="3"/>
    <n v="4"/>
    <n v="1"/>
    <n v="6"/>
    <x v="3"/>
    <n v="0"/>
    <n v="3"/>
    <n v="5"/>
    <n v="5"/>
    <n v="4"/>
    <n v="1"/>
    <n v="1"/>
    <n v="4"/>
    <n v="4"/>
    <n v="8"/>
    <n v="0"/>
    <n v="1"/>
    <n v="0"/>
    <n v="0"/>
    <n v="0"/>
    <n v="0"/>
    <n v="0"/>
    <n v="1"/>
    <n v="0"/>
    <n v="0"/>
    <n v="4"/>
    <n v="0"/>
    <n v="0"/>
    <n v="6"/>
    <n v="3.2695986732426005E-2"/>
    <n v="3.4508002929560584E-2"/>
    <n v="0.67854260110508058"/>
    <n v="0.32778177112653761"/>
    <n v="1.01056543769991"/>
    <n v="1.0863058347434136"/>
    <n v="0.36858985273641137"/>
  </r>
  <r>
    <n v="54"/>
    <n v="54"/>
    <s v="No"/>
    <n v="0"/>
    <s v="Travel_Frequently"/>
    <n v="1"/>
    <n v="0"/>
    <x v="1"/>
    <n v="1"/>
    <n v="0"/>
    <n v="20"/>
    <n v="20"/>
    <n v="4"/>
    <s v="Life Sciences"/>
    <n v="1"/>
    <n v="0"/>
    <n v="0"/>
    <n v="0"/>
    <n v="0"/>
    <n v="4"/>
    <s v="Female"/>
    <n v="1"/>
    <n v="31"/>
    <n v="3"/>
    <n v="2"/>
    <s v="Research Scientist"/>
    <n v="0"/>
    <n v="0"/>
    <n v="0"/>
    <n v="0"/>
    <n v="0"/>
    <n v="0"/>
    <n v="0"/>
    <n v="1"/>
    <n v="3"/>
    <s v="Single"/>
    <n v="1"/>
    <n v="0"/>
    <n v="4869"/>
    <n v="4869"/>
    <n v="3"/>
    <s v="No"/>
    <n v="0"/>
    <n v="12"/>
    <n v="3"/>
    <n v="4"/>
    <n v="0"/>
    <n v="20"/>
    <x v="25"/>
    <n v="4"/>
    <n v="2"/>
    <n v="4"/>
    <n v="4"/>
    <n v="3"/>
    <n v="0"/>
    <n v="0"/>
    <n v="3"/>
    <n v="3"/>
    <n v="6"/>
    <n v="0"/>
    <n v="0"/>
    <n v="1"/>
    <n v="0"/>
    <n v="1"/>
    <n v="0"/>
    <n v="0"/>
    <n v="0"/>
    <n v="0"/>
    <n v="3"/>
    <n v="0"/>
    <n v="0"/>
    <n v="20"/>
    <n v="0"/>
    <n v="0.34705741105843907"/>
    <n v="0.31476636926356072"/>
    <n v="1.120762479521457"/>
    <n v="0.49100643357776058"/>
    <n v="1.3331273859286286"/>
    <n v="1.8692383509548371"/>
    <n v="0.67891464284095016"/>
  </r>
  <r>
    <n v="43"/>
    <n v="43"/>
    <s v="No"/>
    <n v="0"/>
    <s v="Travel_Rarely"/>
    <n v="0"/>
    <n v="1"/>
    <x v="1"/>
    <n v="1"/>
    <n v="0"/>
    <n v="7"/>
    <n v="7"/>
    <n v="3"/>
    <s v="Life Sciences"/>
    <n v="1"/>
    <n v="0"/>
    <n v="0"/>
    <n v="0"/>
    <n v="0"/>
    <n v="3"/>
    <s v="Female"/>
    <n v="1"/>
    <n v="43"/>
    <n v="3"/>
    <n v="3"/>
    <s v="Healthcare Representative"/>
    <n v="1"/>
    <n v="0"/>
    <n v="0"/>
    <n v="0"/>
    <n v="0"/>
    <n v="0"/>
    <n v="0"/>
    <n v="0"/>
    <n v="1"/>
    <s v="Married"/>
    <n v="0"/>
    <n v="1"/>
    <n v="9985"/>
    <n v="9985"/>
    <n v="8"/>
    <s v="No"/>
    <n v="0"/>
    <n v="16"/>
    <n v="3"/>
    <n v="1"/>
    <n v="1"/>
    <n v="10"/>
    <x v="1"/>
    <n v="1"/>
    <n v="2"/>
    <n v="1"/>
    <n v="1"/>
    <n v="0"/>
    <n v="0"/>
    <n v="0"/>
    <n v="0"/>
    <n v="0"/>
    <n v="0"/>
    <n v="0"/>
    <n v="1"/>
    <n v="0"/>
    <n v="0"/>
    <n v="0"/>
    <n v="0"/>
    <n v="1"/>
    <n v="0"/>
    <n v="0"/>
    <n v="0"/>
    <n v="0"/>
    <n v="0"/>
    <n v="10"/>
    <n v="0"/>
    <n v="0.73961356654418453"/>
    <n v="1.1555414682655611"/>
    <n v="0.1644554352117841"/>
    <n v="0.9806804209314296"/>
    <n v="0.27045191444879263"/>
    <n v="0.66512775678147573"/>
    <n v="0.67891464284095016"/>
  </r>
  <r>
    <n v="45"/>
    <n v="45"/>
    <s v="No"/>
    <n v="0"/>
    <s v="Travel_Rarely"/>
    <n v="0"/>
    <n v="1"/>
    <x v="1"/>
    <n v="1"/>
    <n v="0"/>
    <n v="8"/>
    <n v="8"/>
    <n v="4"/>
    <s v="Other"/>
    <n v="0"/>
    <n v="1"/>
    <n v="0"/>
    <n v="0"/>
    <n v="0"/>
    <n v="4"/>
    <s v="Male"/>
    <n v="0"/>
    <n v="75"/>
    <n v="3"/>
    <n v="2"/>
    <s v="Research Scientist"/>
    <n v="0"/>
    <n v="0"/>
    <n v="0"/>
    <n v="0"/>
    <n v="0"/>
    <n v="0"/>
    <n v="0"/>
    <n v="1"/>
    <n v="4"/>
    <s v="Married"/>
    <n v="0"/>
    <n v="1"/>
    <n v="3697"/>
    <n v="3697"/>
    <n v="9"/>
    <s v="No"/>
    <n v="0"/>
    <n v="14"/>
    <n v="3"/>
    <n v="1"/>
    <n v="2"/>
    <n v="12"/>
    <x v="4"/>
    <n v="3"/>
    <n v="3"/>
    <n v="10"/>
    <n v="10"/>
    <n v="9"/>
    <n v="9"/>
    <n v="9"/>
    <n v="8"/>
    <n v="8"/>
    <n v="16"/>
    <n v="0"/>
    <n v="1"/>
    <n v="0"/>
    <n v="0"/>
    <n v="0"/>
    <n v="0"/>
    <n v="1"/>
    <n v="0"/>
    <n v="0"/>
    <n v="8"/>
    <n v="0"/>
    <n v="0"/>
    <n v="12"/>
    <n v="0"/>
    <n v="0.59599767410579541"/>
    <n v="1.08652546240644"/>
    <n v="9.2588147734864096E-2"/>
    <n v="0.48834154112957734"/>
    <n v="0.14709966057360641"/>
    <n v="0.88405695572208698"/>
    <n v="2.114008468099899"/>
  </r>
  <r>
    <n v="40"/>
    <n v="40"/>
    <s v="No"/>
    <n v="0"/>
    <s v="Travel_Rarely"/>
    <n v="0"/>
    <n v="1"/>
    <x v="0"/>
    <n v="0"/>
    <n v="1"/>
    <n v="1"/>
    <n v="1"/>
    <n v="2"/>
    <s v="Medical"/>
    <n v="0"/>
    <n v="0"/>
    <n v="1"/>
    <n v="0"/>
    <n v="0"/>
    <n v="2"/>
    <s v="Male"/>
    <n v="0"/>
    <n v="57"/>
    <n v="1"/>
    <n v="2"/>
    <s v="Sales Executive"/>
    <n v="0"/>
    <n v="1"/>
    <n v="0"/>
    <n v="0"/>
    <n v="0"/>
    <n v="0"/>
    <n v="0"/>
    <n v="0"/>
    <n v="4"/>
    <s v="Married"/>
    <n v="0"/>
    <n v="1"/>
    <n v="7457"/>
    <n v="7457"/>
    <n v="2"/>
    <s v="Yes"/>
    <n v="1"/>
    <n v="22"/>
    <n v="4"/>
    <n v="3"/>
    <n v="3"/>
    <n v="6"/>
    <x v="3"/>
    <n v="2"/>
    <n v="2"/>
    <n v="4"/>
    <n v="4"/>
    <n v="3"/>
    <n v="0"/>
    <n v="0"/>
    <n v="2"/>
    <n v="2"/>
    <n v="4"/>
    <n v="0"/>
    <n v="1"/>
    <n v="0"/>
    <n v="0"/>
    <n v="0"/>
    <n v="0"/>
    <n v="0"/>
    <n v="1"/>
    <n v="0"/>
    <n v="0"/>
    <n v="2"/>
    <n v="0"/>
    <n v="0"/>
    <n v="6"/>
    <n v="0.2026502687765081"/>
    <n v="0.59502473559756086"/>
    <n v="0.67854260110508058"/>
    <n v="0.49100643357776058"/>
    <n v="1.01056543769991"/>
    <n v="0.33673395837055903"/>
    <n v="0.67891464284095016"/>
  </r>
  <r>
    <n v="29"/>
    <n v="29"/>
    <s v="Yes"/>
    <n v="1"/>
    <s v="Travel_Rarely"/>
    <n v="0"/>
    <n v="1"/>
    <x v="1"/>
    <n v="1"/>
    <n v="0"/>
    <n v="8"/>
    <n v="8"/>
    <n v="4"/>
    <s v="Other"/>
    <n v="0"/>
    <n v="1"/>
    <n v="0"/>
    <n v="0"/>
    <n v="0"/>
    <n v="2"/>
    <s v="Male"/>
    <n v="0"/>
    <n v="77"/>
    <n v="1"/>
    <n v="1"/>
    <s v="Laboratory Technician"/>
    <n v="0"/>
    <n v="0"/>
    <n v="1"/>
    <n v="0"/>
    <n v="0"/>
    <n v="0"/>
    <n v="0"/>
    <n v="0"/>
    <n v="1"/>
    <s v="Married"/>
    <n v="0"/>
    <n v="1"/>
    <n v="2119"/>
    <n v="2119"/>
    <n v="1"/>
    <s v="Yes"/>
    <n v="1"/>
    <n v="11"/>
    <n v="3"/>
    <n v="4"/>
    <n v="0"/>
    <n v="7"/>
    <x v="2"/>
    <n v="4"/>
    <n v="2"/>
    <n v="7"/>
    <n v="7"/>
    <n v="7"/>
    <n v="0"/>
    <n v="0"/>
    <n v="7"/>
    <n v="7"/>
    <n v="7"/>
    <n v="0"/>
    <n v="1"/>
    <n v="0"/>
    <n v="0"/>
    <n v="0"/>
    <n v="0"/>
    <n v="0"/>
    <n v="1"/>
    <n v="0"/>
    <n v="7"/>
    <n v="0"/>
    <n v="0"/>
    <n v="7"/>
    <n v="0"/>
    <n v="0.93117492247501743"/>
    <n v="0.80626709607243985"/>
    <n v="0.55002080963175637"/>
    <n v="1.3324462240916321E-3"/>
    <n v="0.14709966057360641"/>
    <n v="0.86737663580280233"/>
    <n v="0.67891464284095016"/>
  </r>
  <r>
    <n v="29"/>
    <n v="29"/>
    <s v="No"/>
    <n v="0"/>
    <s v="Travel_Rarely"/>
    <n v="0"/>
    <n v="1"/>
    <x v="1"/>
    <n v="1"/>
    <n v="0"/>
    <n v="9"/>
    <n v="9"/>
    <n v="5"/>
    <s v="Other"/>
    <n v="0"/>
    <n v="1"/>
    <n v="0"/>
    <n v="0"/>
    <n v="0"/>
    <n v="2"/>
    <s v="Male"/>
    <n v="0"/>
    <n v="30"/>
    <n v="2"/>
    <n v="1"/>
    <s v="Laboratory Technician"/>
    <n v="0"/>
    <n v="0"/>
    <n v="1"/>
    <n v="0"/>
    <n v="0"/>
    <n v="0"/>
    <n v="0"/>
    <n v="0"/>
    <n v="4"/>
    <s v="Single"/>
    <n v="1"/>
    <n v="0"/>
    <n v="3983"/>
    <n v="3983"/>
    <n v="0"/>
    <s v="No"/>
    <n v="0"/>
    <n v="17"/>
    <n v="3"/>
    <n v="3"/>
    <n v="0"/>
    <n v="4"/>
    <x v="20"/>
    <n v="2"/>
    <n v="3"/>
    <n v="3"/>
    <n v="3"/>
    <n v="2"/>
    <n v="2"/>
    <n v="2"/>
    <n v="2"/>
    <n v="2"/>
    <n v="2"/>
    <n v="1"/>
    <n v="0"/>
    <n v="0"/>
    <n v="0"/>
    <n v="1"/>
    <n v="0"/>
    <n v="0"/>
    <n v="0"/>
    <n v="0"/>
    <n v="2"/>
    <n v="0"/>
    <n v="0"/>
    <n v="4"/>
    <n v="0"/>
    <n v="0.53524945291847126"/>
    <n v="0.59502473559756086"/>
    <n v="0.93558618405172878"/>
    <n v="0.65423109602898355"/>
    <n v="2.3747406698420157E-2"/>
    <n v="0.86737663580280233"/>
    <n v="5.8265062631872602E-2"/>
  </r>
  <r>
    <n v="30"/>
    <n v="30"/>
    <s v="No"/>
    <n v="0"/>
    <s v="Travel_Rarely"/>
    <n v="0"/>
    <n v="1"/>
    <x v="0"/>
    <n v="0"/>
    <n v="1"/>
    <n v="5"/>
    <n v="5"/>
    <n v="3"/>
    <s v="Marketing"/>
    <n v="0"/>
    <n v="0"/>
    <n v="0"/>
    <n v="1"/>
    <n v="0"/>
    <n v="4"/>
    <s v="Female"/>
    <n v="1"/>
    <n v="30"/>
    <n v="2"/>
    <n v="2"/>
    <s v="Sales Executive"/>
    <n v="0"/>
    <n v="1"/>
    <n v="0"/>
    <n v="0"/>
    <n v="0"/>
    <n v="0"/>
    <n v="0"/>
    <n v="0"/>
    <n v="3"/>
    <s v="Divorced"/>
    <n v="0"/>
    <n v="0"/>
    <n v="6118"/>
    <n v="6118"/>
    <n v="1"/>
    <s v="No"/>
    <n v="0"/>
    <n v="13"/>
    <n v="3"/>
    <n v="3"/>
    <n v="3"/>
    <n v="10"/>
    <x v="1"/>
    <n v="2"/>
    <n v="3"/>
    <n v="10"/>
    <n v="10"/>
    <n v="9"/>
    <n v="1"/>
    <n v="1"/>
    <n v="2"/>
    <n v="2"/>
    <n v="4"/>
    <n v="1"/>
    <n v="0"/>
    <n v="0"/>
    <n v="0"/>
    <n v="1"/>
    <n v="0"/>
    <n v="0"/>
    <n v="0"/>
    <n v="0"/>
    <n v="0"/>
    <n v="2"/>
    <n v="0"/>
    <n v="0"/>
    <n v="10"/>
    <n v="8.1761857691418582E-2"/>
    <n v="0.59502473559756086"/>
    <n v="0.1644554352117841"/>
    <n v="0.48834154112957734"/>
    <n v="0.51715642219916513"/>
    <n v="0.75791203633249671"/>
    <n v="0.36858985273641137"/>
  </r>
  <r>
    <n v="27"/>
    <n v="27"/>
    <s v="No"/>
    <n v="0"/>
    <s v="Travel_Rarely"/>
    <n v="0"/>
    <n v="1"/>
    <x v="0"/>
    <n v="0"/>
    <n v="1"/>
    <n v="8"/>
    <n v="8"/>
    <n v="4"/>
    <s v="Marketing"/>
    <n v="0"/>
    <n v="0"/>
    <n v="0"/>
    <n v="1"/>
    <n v="0"/>
    <n v="2"/>
    <s v="Female"/>
    <n v="1"/>
    <n v="56"/>
    <n v="3"/>
    <n v="2"/>
    <s v="Sales Executive"/>
    <n v="0"/>
    <n v="1"/>
    <n v="0"/>
    <n v="0"/>
    <n v="0"/>
    <n v="0"/>
    <n v="0"/>
    <n v="0"/>
    <n v="2"/>
    <s v="Married"/>
    <n v="0"/>
    <n v="1"/>
    <n v="6214"/>
    <n v="6214"/>
    <n v="1"/>
    <s v="No"/>
    <n v="0"/>
    <n v="18"/>
    <n v="3"/>
    <n v="1"/>
    <n v="1"/>
    <n v="8"/>
    <x v="0"/>
    <n v="3"/>
    <n v="3"/>
    <n v="8"/>
    <n v="8"/>
    <n v="7"/>
    <n v="0"/>
    <n v="0"/>
    <n v="7"/>
    <n v="7"/>
    <n v="14"/>
    <n v="0"/>
    <n v="1"/>
    <n v="0"/>
    <n v="0"/>
    <n v="0"/>
    <n v="0"/>
    <n v="1"/>
    <n v="0"/>
    <n v="0"/>
    <n v="0"/>
    <n v="7"/>
    <n v="0"/>
    <n v="0"/>
    <n v="8"/>
    <n v="6.1370846383785302E-2"/>
    <n v="0.80626709607243985"/>
    <n v="0.42149901815843233"/>
    <n v="0.16189221622713135"/>
    <n v="0.14709966057360641"/>
    <n v="1.0863058347434136"/>
    <n v="0.67891464284095016"/>
  </r>
  <r>
    <n v="37"/>
    <n v="37"/>
    <s v="No"/>
    <n v="0"/>
    <s v="Travel_Rarely"/>
    <n v="0"/>
    <n v="1"/>
    <x v="1"/>
    <n v="1"/>
    <n v="0"/>
    <n v="5"/>
    <n v="5"/>
    <n v="2"/>
    <s v="Medical"/>
    <n v="0"/>
    <n v="0"/>
    <n v="1"/>
    <n v="0"/>
    <n v="0"/>
    <n v="4"/>
    <s v="Male"/>
    <n v="0"/>
    <n v="61"/>
    <n v="3"/>
    <n v="2"/>
    <s v="Manufacturing Director"/>
    <n v="0"/>
    <n v="0"/>
    <n v="0"/>
    <n v="0"/>
    <n v="1"/>
    <n v="1"/>
    <n v="0"/>
    <n v="0"/>
    <n v="4"/>
    <s v="Divorced"/>
    <n v="0"/>
    <n v="0"/>
    <n v="6347"/>
    <n v="6347"/>
    <n v="7"/>
    <s v="No"/>
    <n v="0"/>
    <n v="16"/>
    <n v="3"/>
    <n v="3"/>
    <n v="2"/>
    <n v="8"/>
    <x v="0"/>
    <n v="2"/>
    <n v="2"/>
    <n v="6"/>
    <n v="6"/>
    <n v="2"/>
    <n v="0"/>
    <n v="0"/>
    <n v="4"/>
    <n v="4"/>
    <n v="8"/>
    <n v="1"/>
    <n v="0"/>
    <n v="0"/>
    <n v="0"/>
    <n v="1"/>
    <n v="0"/>
    <n v="0"/>
    <n v="0"/>
    <n v="0"/>
    <n v="4"/>
    <n v="0"/>
    <n v="0"/>
    <n v="8"/>
    <n v="0"/>
    <n v="3.3120799468001699E-2"/>
    <n v="3.4508002929560584E-2"/>
    <n v="0.42149901815843233"/>
    <n v="0.16455710867531462"/>
    <n v="0.51715642219916513"/>
    <n v="8.3401599596422994E-3"/>
    <n v="0.67891464284095016"/>
  </r>
  <r>
    <n v="38"/>
    <n v="38"/>
    <s v="No"/>
    <n v="0"/>
    <s v="Travel_Rarely"/>
    <n v="0"/>
    <n v="1"/>
    <x v="1"/>
    <n v="1"/>
    <n v="0"/>
    <n v="15"/>
    <n v="15"/>
    <n v="2"/>
    <s v="Life Sciences"/>
    <n v="1"/>
    <n v="0"/>
    <n v="0"/>
    <n v="0"/>
    <n v="0"/>
    <n v="3"/>
    <s v="Male"/>
    <n v="0"/>
    <n v="92"/>
    <n v="2"/>
    <n v="3"/>
    <s v="Research Director"/>
    <n v="0"/>
    <n v="0"/>
    <n v="0"/>
    <n v="0"/>
    <n v="0"/>
    <n v="0"/>
    <n v="0"/>
    <n v="0"/>
    <n v="4"/>
    <s v="Divorced"/>
    <n v="0"/>
    <n v="0"/>
    <n v="11510"/>
    <n v="11510"/>
    <n v="0"/>
    <s v="Yes"/>
    <n v="1"/>
    <n v="14"/>
    <n v="3"/>
    <n v="2"/>
    <n v="1"/>
    <n v="12"/>
    <x v="4"/>
    <n v="3"/>
    <n v="3"/>
    <n v="11"/>
    <n v="11"/>
    <n v="10"/>
    <n v="2"/>
    <n v="2"/>
    <n v="9"/>
    <n v="9"/>
    <n v="27"/>
    <n v="1"/>
    <n v="0"/>
    <n v="0"/>
    <n v="0"/>
    <n v="0"/>
    <n v="1"/>
    <n v="0"/>
    <n v="0"/>
    <n v="0"/>
    <n v="9"/>
    <n v="0"/>
    <n v="0"/>
    <n v="12"/>
    <n v="0"/>
    <n v="1.0635332774206507"/>
    <n v="1.3667838287404401"/>
    <n v="9.2588147734864096E-2"/>
    <n v="0.65156620358080031"/>
    <n v="0.71636611655269733"/>
    <n v="0.11780475942994788"/>
    <n v="5.8265062631872602E-2"/>
  </r>
  <r>
    <n v="31"/>
    <n v="31"/>
    <s v="No"/>
    <n v="0"/>
    <s v="Travel_Rarely"/>
    <n v="0"/>
    <n v="1"/>
    <x v="1"/>
    <n v="1"/>
    <n v="0"/>
    <n v="7"/>
    <n v="7"/>
    <n v="4"/>
    <s v="Medical"/>
    <n v="0"/>
    <n v="0"/>
    <n v="1"/>
    <n v="0"/>
    <n v="0"/>
    <n v="3"/>
    <s v="Female"/>
    <n v="1"/>
    <n v="39"/>
    <n v="3"/>
    <n v="3"/>
    <s v="Manufacturing Director"/>
    <n v="0"/>
    <n v="0"/>
    <n v="0"/>
    <n v="0"/>
    <n v="1"/>
    <n v="1"/>
    <n v="0"/>
    <n v="0"/>
    <n v="4"/>
    <s v="Single"/>
    <n v="1"/>
    <n v="0"/>
    <n v="7143"/>
    <n v="7143"/>
    <n v="1"/>
    <s v="Yes"/>
    <n v="1"/>
    <n v="14"/>
    <n v="3"/>
    <n v="3"/>
    <n v="0"/>
    <n v="11"/>
    <x v="26"/>
    <n v="2"/>
    <n v="2"/>
    <n v="11"/>
    <n v="11"/>
    <n v="9"/>
    <n v="4"/>
    <n v="4"/>
    <n v="10"/>
    <n v="10"/>
    <n v="30"/>
    <n v="1"/>
    <n v="0"/>
    <n v="0"/>
    <n v="0"/>
    <n v="0"/>
    <n v="1"/>
    <n v="0"/>
    <n v="0"/>
    <n v="0"/>
    <n v="10"/>
    <n v="0"/>
    <n v="0"/>
    <n v="11"/>
    <n v="0"/>
    <n v="0.13595466929112426"/>
    <n v="1.6470421950744405"/>
    <n v="3.593364373846001E-2"/>
    <n v="0.65156620358080031"/>
    <n v="0.27045191444879263"/>
    <n v="0.6484474368621912"/>
    <n v="0.56238451757720498"/>
  </r>
  <r>
    <n v="29"/>
    <n v="29"/>
    <s v="No"/>
    <n v="0"/>
    <s v="Travel_Rarely"/>
    <n v="0"/>
    <n v="1"/>
    <x v="0"/>
    <n v="0"/>
    <n v="1"/>
    <n v="10"/>
    <n v="10"/>
    <n v="1"/>
    <s v="Marketing"/>
    <n v="0"/>
    <n v="0"/>
    <n v="0"/>
    <n v="1"/>
    <n v="0"/>
    <n v="4"/>
    <s v="Female"/>
    <n v="1"/>
    <n v="39"/>
    <n v="2"/>
    <n v="2"/>
    <s v="Sales Executive"/>
    <n v="0"/>
    <n v="1"/>
    <n v="0"/>
    <n v="0"/>
    <n v="0"/>
    <n v="0"/>
    <n v="0"/>
    <n v="0"/>
    <n v="2"/>
    <s v="Divorced"/>
    <n v="0"/>
    <n v="0"/>
    <n v="8268"/>
    <n v="8268"/>
    <n v="1"/>
    <s v="Yes"/>
    <n v="1"/>
    <n v="14"/>
    <n v="3"/>
    <n v="1"/>
    <n v="2"/>
    <n v="7"/>
    <x v="2"/>
    <n v="2"/>
    <n v="3"/>
    <n v="7"/>
    <n v="7"/>
    <n v="7"/>
    <n v="1"/>
    <n v="1"/>
    <n v="7"/>
    <n v="7"/>
    <n v="14"/>
    <n v="1"/>
    <n v="0"/>
    <n v="0"/>
    <n v="0"/>
    <n v="0"/>
    <n v="1"/>
    <n v="0"/>
    <n v="0"/>
    <n v="0"/>
    <n v="0"/>
    <n v="7"/>
    <n v="0"/>
    <n v="0"/>
    <n v="7"/>
    <n v="0.37491183305245174"/>
    <n v="0.80626709607243985"/>
    <n v="0.55002080963175637"/>
    <n v="1.3324462240916321E-3"/>
    <n v="9.9604847176766084E-2"/>
    <n v="0.86737663580280233"/>
    <n v="0.36858985273641137"/>
  </r>
  <r>
    <n v="35"/>
    <n v="35"/>
    <s v="No"/>
    <n v="0"/>
    <s v="Travel_Rarely"/>
    <n v="0"/>
    <n v="1"/>
    <x v="1"/>
    <n v="1"/>
    <n v="0"/>
    <n v="5"/>
    <n v="5"/>
    <n v="4"/>
    <s v="Technical Degree"/>
    <n v="0"/>
    <n v="0"/>
    <n v="0"/>
    <n v="0"/>
    <n v="1"/>
    <n v="3"/>
    <s v="Male"/>
    <n v="0"/>
    <n v="62"/>
    <n v="3"/>
    <n v="3"/>
    <s v="Manufacturing Director"/>
    <n v="0"/>
    <n v="0"/>
    <n v="0"/>
    <n v="0"/>
    <n v="1"/>
    <n v="1"/>
    <n v="0"/>
    <n v="0"/>
    <n v="2"/>
    <s v="Single"/>
    <n v="1"/>
    <n v="0"/>
    <n v="8095"/>
    <n v="8095"/>
    <n v="0"/>
    <s v="No"/>
    <n v="0"/>
    <n v="13"/>
    <n v="3"/>
    <n v="4"/>
    <n v="0"/>
    <n v="17"/>
    <x v="6"/>
    <n v="5"/>
    <n v="3"/>
    <n v="16"/>
    <n v="16"/>
    <n v="6"/>
    <n v="0"/>
    <n v="0"/>
    <n v="13"/>
    <n v="13"/>
    <n v="39"/>
    <n v="1"/>
    <n v="0"/>
    <n v="0"/>
    <n v="0"/>
    <n v="1"/>
    <n v="0"/>
    <n v="0"/>
    <n v="0"/>
    <n v="0"/>
    <n v="13"/>
    <n v="0"/>
    <n v="0"/>
    <n v="17"/>
    <n v="0"/>
    <n v="0.33816553142515426"/>
    <n v="2.4878172940764407"/>
    <n v="0.73519710510148462"/>
    <n v="1.4676895158369152"/>
    <n v="0.51715642219916513"/>
    <n v="0.21058903898096887"/>
    <n v="0.67891464284095016"/>
  </r>
  <r>
    <n v="23"/>
    <n v="23"/>
    <s v="No"/>
    <n v="0"/>
    <s v="Travel_Rarely"/>
    <n v="0"/>
    <n v="1"/>
    <x v="1"/>
    <n v="1"/>
    <n v="0"/>
    <n v="26"/>
    <n v="26"/>
    <n v="1"/>
    <s v="Life Sciences"/>
    <n v="1"/>
    <n v="0"/>
    <n v="0"/>
    <n v="0"/>
    <n v="0"/>
    <n v="3"/>
    <s v="Male"/>
    <n v="0"/>
    <n v="83"/>
    <n v="3"/>
    <n v="1"/>
    <s v="Research Scientist"/>
    <n v="0"/>
    <n v="0"/>
    <n v="0"/>
    <n v="0"/>
    <n v="0"/>
    <n v="0"/>
    <n v="0"/>
    <n v="1"/>
    <n v="4"/>
    <s v="Divorced"/>
    <n v="0"/>
    <n v="0"/>
    <n v="2904"/>
    <n v="2904"/>
    <n v="1"/>
    <s v="No"/>
    <n v="0"/>
    <n v="12"/>
    <n v="3"/>
    <n v="3"/>
    <n v="2"/>
    <n v="4"/>
    <x v="20"/>
    <n v="2"/>
    <n v="2"/>
    <n v="4"/>
    <n v="4"/>
    <n v="2"/>
    <n v="0"/>
    <n v="0"/>
    <n v="2"/>
    <n v="2"/>
    <n v="2"/>
    <n v="1"/>
    <n v="0"/>
    <n v="0"/>
    <n v="0"/>
    <n v="1"/>
    <n v="0"/>
    <n v="0"/>
    <n v="0"/>
    <n v="0"/>
    <n v="2"/>
    <n v="0"/>
    <n v="0"/>
    <n v="4"/>
    <n v="0"/>
    <n v="0.76443592376155778"/>
    <n v="0.59502473559756086"/>
    <n v="0.93558618405172878"/>
    <n v="0.49100643357776058"/>
    <n v="2.0732409091797459"/>
    <n v="1.5241642326246359"/>
    <n v="0.67891464284095016"/>
  </r>
  <r>
    <n v="41"/>
    <n v="41"/>
    <s v="No"/>
    <n v="0"/>
    <s v="Travel_Rarely"/>
    <n v="0"/>
    <n v="1"/>
    <x v="1"/>
    <n v="1"/>
    <n v="0"/>
    <n v="6"/>
    <n v="6"/>
    <n v="3"/>
    <s v="Medical"/>
    <n v="0"/>
    <n v="0"/>
    <n v="1"/>
    <n v="0"/>
    <n v="0"/>
    <n v="4"/>
    <s v="Male"/>
    <n v="0"/>
    <n v="95"/>
    <n v="2"/>
    <n v="2"/>
    <s v="Manufacturing Director"/>
    <n v="0"/>
    <n v="0"/>
    <n v="0"/>
    <n v="0"/>
    <n v="1"/>
    <n v="1"/>
    <n v="0"/>
    <n v="0"/>
    <n v="2"/>
    <s v="Single"/>
    <n v="1"/>
    <n v="0"/>
    <n v="6032"/>
    <n v="6032"/>
    <n v="6"/>
    <s v="Yes"/>
    <n v="1"/>
    <n v="15"/>
    <n v="3"/>
    <n v="4"/>
    <n v="0"/>
    <n v="8"/>
    <x v="0"/>
    <n v="3"/>
    <n v="3"/>
    <n v="5"/>
    <n v="5"/>
    <n v="4"/>
    <n v="1"/>
    <n v="1"/>
    <n v="2"/>
    <n v="2"/>
    <n v="4"/>
    <n v="1"/>
    <n v="0"/>
    <n v="0"/>
    <n v="0"/>
    <n v="0"/>
    <n v="1"/>
    <n v="0"/>
    <n v="0"/>
    <n v="0"/>
    <n v="2"/>
    <n v="0"/>
    <n v="0"/>
    <n v="8"/>
    <n v="0"/>
    <n v="0.10002880532117339"/>
    <n v="0.59502473559756086"/>
    <n v="0.42149901815843233"/>
    <n v="0.32778177112653761"/>
    <n v="0.39380416832397891"/>
    <n v="0.4461985578408646"/>
    <n v="0.36858985273641137"/>
  </r>
  <r>
    <n v="47"/>
    <n v="47"/>
    <s v="No"/>
    <n v="0"/>
    <s v="Travel_Frequently"/>
    <n v="1"/>
    <n v="0"/>
    <x v="0"/>
    <n v="0"/>
    <n v="1"/>
    <n v="4"/>
    <n v="4"/>
    <n v="1"/>
    <s v="Medical"/>
    <n v="0"/>
    <n v="0"/>
    <n v="1"/>
    <n v="0"/>
    <n v="0"/>
    <n v="2"/>
    <s v="Male"/>
    <n v="0"/>
    <n v="99"/>
    <n v="3"/>
    <n v="2"/>
    <s v="Sales Representative"/>
    <n v="0"/>
    <n v="0"/>
    <n v="0"/>
    <n v="0"/>
    <n v="0"/>
    <n v="0"/>
    <n v="1"/>
    <n v="0"/>
    <n v="3"/>
    <s v="Single"/>
    <n v="1"/>
    <n v="0"/>
    <n v="2976"/>
    <n v="2976"/>
    <n v="3"/>
    <s v="No"/>
    <n v="0"/>
    <n v="19"/>
    <n v="3"/>
    <n v="1"/>
    <n v="0"/>
    <n v="5"/>
    <x v="7"/>
    <n v="3"/>
    <n v="3"/>
    <n v="0"/>
    <n v="0"/>
    <n v="0"/>
    <n v="0"/>
    <n v="0"/>
    <n v="0"/>
    <n v="0"/>
    <n v="0"/>
    <n v="0"/>
    <n v="0"/>
    <n v="1"/>
    <n v="0"/>
    <n v="1"/>
    <n v="0"/>
    <n v="0"/>
    <n v="0"/>
    <n v="0"/>
    <n v="0"/>
    <n v="0"/>
    <n v="0"/>
    <n v="0"/>
    <n v="5"/>
    <n v="0.74914266528083284"/>
    <n v="1.1555414682655611"/>
    <n v="0.80706439257840468"/>
    <n v="1.1439050833826525"/>
    <n v="0.64050867607435136"/>
    <n v="1.102986154662698"/>
    <n v="0.67891464284095016"/>
  </r>
  <r>
    <n v="42"/>
    <n v="42"/>
    <s v="No"/>
    <n v="0"/>
    <s v="Travel_Rarely"/>
    <n v="0"/>
    <n v="1"/>
    <x v="1"/>
    <n v="1"/>
    <n v="0"/>
    <n v="23"/>
    <n v="23"/>
    <n v="5"/>
    <s v="Life Sciences"/>
    <n v="1"/>
    <n v="0"/>
    <n v="0"/>
    <n v="0"/>
    <n v="0"/>
    <n v="1"/>
    <s v="Female"/>
    <n v="1"/>
    <n v="44"/>
    <n v="3"/>
    <n v="4"/>
    <s v="Research Director"/>
    <n v="0"/>
    <n v="0"/>
    <n v="0"/>
    <n v="0"/>
    <n v="0"/>
    <n v="0"/>
    <n v="0"/>
    <n v="0"/>
    <n v="4"/>
    <s v="Single"/>
    <n v="1"/>
    <n v="0"/>
    <n v="15992"/>
    <n v="15992"/>
    <n v="2"/>
    <s v="No"/>
    <n v="0"/>
    <n v="14"/>
    <n v="3"/>
    <n v="2"/>
    <n v="0"/>
    <n v="16"/>
    <x v="27"/>
    <n v="2"/>
    <n v="3"/>
    <n v="1"/>
    <n v="1"/>
    <n v="0"/>
    <n v="0"/>
    <n v="0"/>
    <n v="0"/>
    <n v="0"/>
    <n v="0"/>
    <n v="1"/>
    <n v="0"/>
    <n v="0"/>
    <n v="0"/>
    <n v="1"/>
    <n v="0"/>
    <n v="0"/>
    <n v="0"/>
    <n v="0"/>
    <n v="0"/>
    <n v="0"/>
    <n v="0"/>
    <n v="16"/>
    <n v="0"/>
    <n v="2.0155386178457793"/>
    <n v="1.1555414682655611"/>
    <n v="0.60667531362816052"/>
    <n v="0.9806804209314296"/>
    <n v="1.7031841475541873"/>
    <n v="0.55566315731117022"/>
    <n v="0.67891464284095016"/>
  </r>
  <r>
    <n v="29"/>
    <n v="29"/>
    <s v="No"/>
    <n v="0"/>
    <s v="Non-Travel"/>
    <n v="0"/>
    <n v="0"/>
    <x v="0"/>
    <n v="0"/>
    <n v="1"/>
    <n v="2"/>
    <n v="2"/>
    <n v="3"/>
    <s v="Life Sciences"/>
    <n v="1"/>
    <n v="0"/>
    <n v="0"/>
    <n v="0"/>
    <n v="0"/>
    <n v="4"/>
    <s v="Male"/>
    <n v="0"/>
    <n v="61"/>
    <n v="3"/>
    <n v="2"/>
    <s v="Sales Executive"/>
    <n v="0"/>
    <n v="1"/>
    <n v="0"/>
    <n v="0"/>
    <n v="0"/>
    <n v="0"/>
    <n v="0"/>
    <n v="0"/>
    <n v="3"/>
    <s v="Married"/>
    <n v="0"/>
    <n v="1"/>
    <n v="4649"/>
    <n v="4649"/>
    <n v="1"/>
    <s v="No"/>
    <n v="0"/>
    <n v="14"/>
    <n v="3"/>
    <n v="1"/>
    <n v="1"/>
    <n v="4"/>
    <x v="20"/>
    <n v="3"/>
    <n v="2"/>
    <n v="4"/>
    <n v="4"/>
    <n v="3"/>
    <n v="0"/>
    <n v="0"/>
    <n v="2"/>
    <n v="2"/>
    <n v="4"/>
    <n v="0"/>
    <n v="1"/>
    <n v="0"/>
    <n v="0"/>
    <n v="0"/>
    <n v="0"/>
    <n v="1"/>
    <n v="0"/>
    <n v="0"/>
    <n v="0"/>
    <n v="2"/>
    <n v="0"/>
    <n v="0"/>
    <n v="4"/>
    <n v="0.39378681197176535"/>
    <n v="0.59502473559756086"/>
    <n v="0.93558618405172878"/>
    <n v="0.49100643357776058"/>
    <n v="0.88721318382472392"/>
    <n v="0.86737663580280233"/>
    <n v="0.67891464284095016"/>
  </r>
  <r>
    <n v="42"/>
    <n v="42"/>
    <s v="No"/>
    <n v="0"/>
    <s v="Travel_Rarely"/>
    <n v="0"/>
    <n v="1"/>
    <x v="2"/>
    <n v="0"/>
    <n v="0"/>
    <n v="2"/>
    <n v="2"/>
    <n v="1"/>
    <s v="Technical Degree"/>
    <n v="0"/>
    <n v="0"/>
    <n v="0"/>
    <n v="0"/>
    <n v="1"/>
    <n v="3"/>
    <s v="Male"/>
    <n v="0"/>
    <n v="52"/>
    <n v="3"/>
    <n v="1"/>
    <s v="Human Resources"/>
    <n v="0"/>
    <n v="0"/>
    <n v="0"/>
    <n v="0"/>
    <n v="0"/>
    <n v="0"/>
    <n v="0"/>
    <n v="0"/>
    <n v="3"/>
    <s v="Divorced"/>
    <n v="0"/>
    <n v="0"/>
    <n v="2696"/>
    <n v="2696"/>
    <n v="0"/>
    <s v="Yes"/>
    <n v="1"/>
    <n v="11"/>
    <n v="3"/>
    <n v="3"/>
    <n v="1"/>
    <n v="4"/>
    <x v="20"/>
    <n v="5"/>
    <n v="3"/>
    <n v="3"/>
    <n v="3"/>
    <n v="2"/>
    <n v="1"/>
    <n v="1"/>
    <n v="0"/>
    <n v="0"/>
    <n v="0"/>
    <n v="1"/>
    <n v="0"/>
    <n v="0"/>
    <n v="0"/>
    <n v="0"/>
    <n v="1"/>
    <n v="0"/>
    <n v="0"/>
    <n v="0"/>
    <n v="0"/>
    <n v="0"/>
    <n v="4"/>
    <n v="0"/>
    <n v="0"/>
    <n v="0.80861644826142987"/>
    <n v="1.1555414682655611"/>
    <n v="0.93558618405172878"/>
    <n v="0.65423109602898355"/>
    <n v="0.88721318382472392"/>
    <n v="0.55566315731117022"/>
    <n v="0.36858985273641137"/>
  </r>
  <r>
    <n v="32"/>
    <n v="32"/>
    <s v="No"/>
    <n v="0"/>
    <s v="Travel_Rarely"/>
    <n v="0"/>
    <n v="1"/>
    <x v="1"/>
    <n v="1"/>
    <n v="0"/>
    <n v="2"/>
    <n v="2"/>
    <n v="3"/>
    <s v="Medical"/>
    <n v="0"/>
    <n v="0"/>
    <n v="1"/>
    <n v="0"/>
    <n v="0"/>
    <n v="3"/>
    <s v="Female"/>
    <n v="1"/>
    <n v="75"/>
    <n v="3"/>
    <n v="1"/>
    <s v="Laboratory Technician"/>
    <n v="0"/>
    <n v="0"/>
    <n v="1"/>
    <n v="0"/>
    <n v="0"/>
    <n v="0"/>
    <n v="0"/>
    <n v="0"/>
    <n v="2"/>
    <s v="Married"/>
    <n v="0"/>
    <n v="1"/>
    <n v="2370"/>
    <n v="2370"/>
    <n v="1"/>
    <s v="No"/>
    <n v="0"/>
    <n v="13"/>
    <n v="3"/>
    <n v="3"/>
    <n v="1"/>
    <n v="8"/>
    <x v="0"/>
    <n v="4"/>
    <n v="3"/>
    <n v="8"/>
    <n v="8"/>
    <n v="0"/>
    <n v="0"/>
    <n v="0"/>
    <n v="7"/>
    <n v="7"/>
    <n v="7"/>
    <n v="0"/>
    <n v="1"/>
    <n v="0"/>
    <n v="0"/>
    <n v="0"/>
    <n v="0"/>
    <n v="1"/>
    <n v="0"/>
    <n v="0"/>
    <n v="7"/>
    <n v="0"/>
    <n v="0"/>
    <n v="8"/>
    <n v="0"/>
    <n v="0.87786092416026795"/>
    <n v="0.80626709607243985"/>
    <n v="0.42149901815843233"/>
    <n v="0.16189221622713135"/>
    <n v="0.88721318382472392"/>
    <n v="0.53898283739188557"/>
    <n v="0.67891464284095016"/>
  </r>
  <r>
    <n v="48"/>
    <n v="48"/>
    <s v="No"/>
    <n v="0"/>
    <s v="Travel_Rarely"/>
    <n v="0"/>
    <n v="1"/>
    <x v="0"/>
    <n v="0"/>
    <n v="1"/>
    <n v="29"/>
    <n v="29"/>
    <n v="1"/>
    <s v="Medical"/>
    <n v="0"/>
    <n v="0"/>
    <n v="1"/>
    <n v="0"/>
    <n v="0"/>
    <n v="1"/>
    <s v="Female"/>
    <n v="1"/>
    <n v="91"/>
    <n v="3"/>
    <n v="3"/>
    <s v="Manager"/>
    <n v="0"/>
    <n v="0"/>
    <n v="0"/>
    <n v="1"/>
    <n v="0"/>
    <n v="0"/>
    <n v="0"/>
    <n v="0"/>
    <n v="3"/>
    <s v="Married"/>
    <n v="0"/>
    <n v="1"/>
    <n v="12504"/>
    <n v="12504"/>
    <n v="3"/>
    <s v="No"/>
    <n v="0"/>
    <n v="21"/>
    <n v="4"/>
    <n v="2"/>
    <n v="1"/>
    <n v="15"/>
    <x v="19"/>
    <n v="3"/>
    <n v="1"/>
    <n v="0"/>
    <n v="0"/>
    <n v="0"/>
    <n v="0"/>
    <n v="0"/>
    <n v="0"/>
    <n v="0"/>
    <n v="0"/>
    <n v="0"/>
    <n v="1"/>
    <n v="0"/>
    <n v="0"/>
    <n v="0"/>
    <n v="0"/>
    <n v="1"/>
    <n v="0"/>
    <n v="0"/>
    <n v="0"/>
    <n v="0"/>
    <n v="0"/>
    <n v="0"/>
    <n v="15"/>
    <n v="1.2746652070017703"/>
    <n v="1.1555414682655611"/>
    <n v="0.47815352215483642"/>
    <n v="1.1439050833826525"/>
    <n v="2.4432976708053049"/>
    <n v="1.2124507541330036"/>
    <n v="0.67891464284095016"/>
  </r>
  <r>
    <n v="37"/>
    <n v="37"/>
    <s v="No"/>
    <n v="0"/>
    <s v="Travel_Rarely"/>
    <n v="0"/>
    <n v="1"/>
    <x v="1"/>
    <n v="1"/>
    <n v="0"/>
    <n v="6"/>
    <n v="6"/>
    <n v="3"/>
    <s v="Medical"/>
    <n v="0"/>
    <n v="0"/>
    <n v="1"/>
    <n v="0"/>
    <n v="0"/>
    <n v="3"/>
    <s v="Male"/>
    <n v="0"/>
    <n v="51"/>
    <n v="4"/>
    <n v="2"/>
    <s v="Research Scientist"/>
    <n v="0"/>
    <n v="0"/>
    <n v="0"/>
    <n v="0"/>
    <n v="0"/>
    <n v="0"/>
    <n v="0"/>
    <n v="1"/>
    <n v="1"/>
    <s v="Divorced"/>
    <n v="0"/>
    <n v="0"/>
    <n v="5974"/>
    <n v="5974"/>
    <n v="4"/>
    <s v="Yes"/>
    <n v="1"/>
    <n v="13"/>
    <n v="3"/>
    <n v="1"/>
    <n v="2"/>
    <n v="13"/>
    <x v="10"/>
    <n v="2"/>
    <n v="3"/>
    <n v="7"/>
    <n v="7"/>
    <n v="7"/>
    <n v="6"/>
    <n v="6"/>
    <n v="7"/>
    <n v="7"/>
    <n v="14"/>
    <n v="1"/>
    <n v="0"/>
    <n v="0"/>
    <n v="0"/>
    <n v="0"/>
    <n v="1"/>
    <n v="0"/>
    <n v="0"/>
    <n v="0"/>
    <n v="7"/>
    <n v="0"/>
    <n v="0"/>
    <n v="13"/>
    <n v="0"/>
    <n v="0.11234837465286851"/>
    <n v="0.80626709607243985"/>
    <n v="0.22110993920818819"/>
    <n v="1.3324462240916321E-3"/>
    <n v="0.39380416832397891"/>
    <n v="8.3401599596422994E-3"/>
    <n v="1.1830340977862825"/>
  </r>
  <r>
    <n v="30"/>
    <n v="30"/>
    <s v="No"/>
    <n v="0"/>
    <s v="Non-Travel"/>
    <n v="0"/>
    <n v="0"/>
    <x v="0"/>
    <n v="0"/>
    <n v="1"/>
    <n v="25"/>
    <n v="25"/>
    <n v="2"/>
    <s v="Technical Degree"/>
    <n v="0"/>
    <n v="0"/>
    <n v="0"/>
    <n v="0"/>
    <n v="1"/>
    <n v="4"/>
    <s v="Female"/>
    <n v="1"/>
    <n v="85"/>
    <n v="3"/>
    <n v="2"/>
    <s v="Sales Executive"/>
    <n v="0"/>
    <n v="1"/>
    <n v="0"/>
    <n v="0"/>
    <n v="0"/>
    <n v="0"/>
    <n v="0"/>
    <n v="0"/>
    <n v="3"/>
    <s v="Married"/>
    <n v="0"/>
    <n v="1"/>
    <n v="4736"/>
    <n v="4736"/>
    <n v="7"/>
    <s v="Yes"/>
    <n v="1"/>
    <n v="12"/>
    <n v="3"/>
    <n v="2"/>
    <n v="1"/>
    <n v="4"/>
    <x v="20"/>
    <n v="2"/>
    <n v="4"/>
    <n v="2"/>
    <n v="2"/>
    <n v="2"/>
    <n v="2"/>
    <n v="2"/>
    <n v="2"/>
    <n v="2"/>
    <n v="4"/>
    <n v="0"/>
    <n v="1"/>
    <n v="0"/>
    <n v="0"/>
    <n v="0"/>
    <n v="0"/>
    <n v="0"/>
    <n v="1"/>
    <n v="0"/>
    <n v="0"/>
    <n v="2"/>
    <n v="0"/>
    <n v="0"/>
    <n v="4"/>
    <n v="0.37530745797422266"/>
    <n v="0.59502473559756086"/>
    <n v="0.93558618405172878"/>
    <n v="0.81745575848020657"/>
    <n v="1.9498886553045598"/>
    <n v="0.75791203633249671"/>
    <n v="5.8265062631872602E-2"/>
  </r>
  <r>
    <n v="26"/>
    <n v="26"/>
    <s v="No"/>
    <n v="0"/>
    <s v="Travel_Rarely"/>
    <n v="0"/>
    <n v="1"/>
    <x v="0"/>
    <n v="0"/>
    <n v="1"/>
    <n v="1"/>
    <n v="1"/>
    <n v="3"/>
    <s v="Life Sciences"/>
    <n v="1"/>
    <n v="0"/>
    <n v="0"/>
    <n v="0"/>
    <n v="0"/>
    <n v="3"/>
    <s v="Male"/>
    <n v="0"/>
    <n v="57"/>
    <n v="3"/>
    <n v="2"/>
    <s v="Sales Executive"/>
    <n v="0"/>
    <n v="1"/>
    <n v="0"/>
    <n v="0"/>
    <n v="0"/>
    <n v="0"/>
    <n v="0"/>
    <n v="0"/>
    <n v="3"/>
    <s v="Married"/>
    <n v="0"/>
    <n v="1"/>
    <n v="5296"/>
    <n v="5296"/>
    <n v="1"/>
    <s v="No"/>
    <n v="0"/>
    <n v="17"/>
    <n v="3"/>
    <n v="2"/>
    <n v="1"/>
    <n v="8"/>
    <x v="0"/>
    <n v="3"/>
    <n v="3"/>
    <n v="8"/>
    <n v="8"/>
    <n v="7"/>
    <n v="7"/>
    <n v="7"/>
    <n v="7"/>
    <n v="7"/>
    <n v="14"/>
    <n v="0"/>
    <n v="1"/>
    <n v="0"/>
    <n v="0"/>
    <n v="0"/>
    <n v="0"/>
    <n v="1"/>
    <n v="0"/>
    <n v="0"/>
    <n v="0"/>
    <n v="7"/>
    <n v="0"/>
    <n v="0"/>
    <n v="8"/>
    <n v="0.25635989201302856"/>
    <n v="0.80626709607243985"/>
    <n v="0.42149901815843233"/>
    <n v="0.16189221622713135"/>
    <n v="1.01056543769991"/>
    <n v="1.195770434213719"/>
    <n v="1.4933588878908215"/>
  </r>
  <r>
    <n v="42"/>
    <n v="42"/>
    <s v="No"/>
    <n v="0"/>
    <s v="Travel_Rarely"/>
    <n v="0"/>
    <n v="1"/>
    <x v="1"/>
    <n v="1"/>
    <n v="0"/>
    <n v="2"/>
    <n v="2"/>
    <n v="4"/>
    <s v="Other"/>
    <n v="0"/>
    <n v="1"/>
    <n v="0"/>
    <n v="0"/>
    <n v="0"/>
    <n v="1"/>
    <s v="Male"/>
    <n v="0"/>
    <n v="98"/>
    <n v="2"/>
    <n v="2"/>
    <s v="Healthcare Representative"/>
    <n v="1"/>
    <n v="0"/>
    <n v="0"/>
    <n v="0"/>
    <n v="0"/>
    <n v="0"/>
    <n v="0"/>
    <n v="0"/>
    <n v="4"/>
    <s v="Single"/>
    <n v="1"/>
    <n v="0"/>
    <n v="6781"/>
    <n v="6781"/>
    <n v="3"/>
    <s v="No"/>
    <n v="0"/>
    <n v="23"/>
    <n v="4"/>
    <n v="2"/>
    <n v="0"/>
    <n v="14"/>
    <x v="18"/>
    <n v="6"/>
    <n v="3"/>
    <n v="1"/>
    <n v="1"/>
    <n v="0"/>
    <n v="0"/>
    <n v="0"/>
    <n v="0"/>
    <n v="0"/>
    <n v="0"/>
    <n v="1"/>
    <n v="0"/>
    <n v="0"/>
    <n v="0"/>
    <n v="1"/>
    <n v="0"/>
    <n v="0"/>
    <n v="0"/>
    <n v="0"/>
    <n v="0"/>
    <n v="0"/>
    <n v="0"/>
    <n v="14"/>
    <n v="0"/>
    <n v="5.9063564151923757E-2"/>
    <n v="1.1555414682655611"/>
    <n v="0.34963173068151232"/>
    <n v="0.9806804209314296"/>
    <n v="0.88721318382472392"/>
    <n v="0.55566315731117022"/>
    <n v="0.67891464284095016"/>
  </r>
  <r>
    <n v="21"/>
    <n v="21"/>
    <s v="Yes"/>
    <n v="1"/>
    <s v="Travel_Frequently"/>
    <n v="1"/>
    <n v="0"/>
    <x v="0"/>
    <n v="0"/>
    <n v="1"/>
    <n v="1"/>
    <n v="1"/>
    <n v="1"/>
    <s v="Technical Degree"/>
    <n v="0"/>
    <n v="0"/>
    <n v="0"/>
    <n v="0"/>
    <n v="1"/>
    <n v="1"/>
    <s v="Female"/>
    <n v="1"/>
    <n v="99"/>
    <n v="2"/>
    <n v="1"/>
    <s v="Sales Representative"/>
    <n v="0"/>
    <n v="0"/>
    <n v="0"/>
    <n v="0"/>
    <n v="0"/>
    <n v="0"/>
    <n v="1"/>
    <n v="0"/>
    <n v="2"/>
    <s v="Single"/>
    <n v="1"/>
    <n v="0"/>
    <n v="2174"/>
    <n v="2174"/>
    <n v="1"/>
    <s v="Yes"/>
    <n v="1"/>
    <n v="11"/>
    <n v="3"/>
    <n v="3"/>
    <n v="0"/>
    <n v="3"/>
    <x v="8"/>
    <n v="3"/>
    <n v="3"/>
    <n v="3"/>
    <n v="3"/>
    <n v="2"/>
    <n v="1"/>
    <n v="1"/>
    <n v="2"/>
    <n v="2"/>
    <n v="2"/>
    <n v="0"/>
    <n v="0"/>
    <n v="1"/>
    <n v="0"/>
    <n v="0"/>
    <n v="1"/>
    <n v="0"/>
    <n v="0"/>
    <n v="0"/>
    <n v="0"/>
    <n v="2"/>
    <n v="0"/>
    <n v="0"/>
    <n v="3"/>
    <n v="0.9194925722466859"/>
    <n v="0.59502473559756086"/>
    <n v="1.0641079755250529"/>
    <n v="0.65423109602898355"/>
    <n v="1.01056543769991"/>
    <n v="1.7430934315652469"/>
    <n v="0.36858985273641137"/>
  </r>
  <r>
    <n v="36"/>
    <n v="36"/>
    <s v="No"/>
    <n v="0"/>
    <s v="Non-Travel"/>
    <n v="0"/>
    <n v="0"/>
    <x v="0"/>
    <n v="0"/>
    <n v="1"/>
    <n v="1"/>
    <n v="1"/>
    <n v="5"/>
    <s v="Medical"/>
    <n v="0"/>
    <n v="0"/>
    <n v="1"/>
    <n v="0"/>
    <n v="0"/>
    <n v="4"/>
    <s v="Female"/>
    <n v="1"/>
    <n v="45"/>
    <n v="3"/>
    <n v="2"/>
    <s v="Sales Executive"/>
    <n v="0"/>
    <n v="1"/>
    <n v="0"/>
    <n v="0"/>
    <n v="0"/>
    <n v="0"/>
    <n v="0"/>
    <n v="0"/>
    <n v="4"/>
    <s v="Single"/>
    <n v="1"/>
    <n v="0"/>
    <n v="6653"/>
    <n v="6653"/>
    <n v="4"/>
    <s v="No"/>
    <n v="0"/>
    <n v="15"/>
    <n v="3"/>
    <n v="2"/>
    <n v="0"/>
    <n v="7"/>
    <x v="2"/>
    <n v="6"/>
    <n v="3"/>
    <n v="1"/>
    <n v="1"/>
    <n v="0"/>
    <n v="0"/>
    <n v="0"/>
    <n v="0"/>
    <n v="0"/>
    <n v="0"/>
    <n v="1"/>
    <n v="0"/>
    <n v="0"/>
    <n v="0"/>
    <n v="1"/>
    <n v="0"/>
    <n v="0"/>
    <n v="0"/>
    <n v="0"/>
    <n v="0"/>
    <n v="0"/>
    <n v="0"/>
    <n v="0"/>
    <n v="7"/>
    <n v="3.1875549075079383E-2"/>
    <n v="1.1555414682655611"/>
    <n v="0.55002080963175637"/>
    <n v="0.9806804209314296"/>
    <n v="1.01056543769991"/>
    <n v="0.10112443951066327"/>
    <n v="0.67891464284095016"/>
  </r>
  <r>
    <n v="36"/>
    <n v="36"/>
    <s v="No"/>
    <n v="0"/>
    <s v="Travel_Frequently"/>
    <n v="1"/>
    <n v="0"/>
    <x v="0"/>
    <n v="0"/>
    <n v="1"/>
    <n v="3"/>
    <n v="3"/>
    <n v="4"/>
    <s v="Medical"/>
    <n v="0"/>
    <n v="0"/>
    <n v="1"/>
    <n v="0"/>
    <n v="0"/>
    <n v="1"/>
    <s v="Male"/>
    <n v="0"/>
    <n v="48"/>
    <n v="2"/>
    <n v="3"/>
    <s v="Sales Executive"/>
    <n v="0"/>
    <n v="1"/>
    <n v="0"/>
    <n v="0"/>
    <n v="0"/>
    <n v="0"/>
    <n v="0"/>
    <n v="0"/>
    <n v="4"/>
    <s v="Married"/>
    <n v="0"/>
    <n v="1"/>
    <n v="9699"/>
    <n v="9699"/>
    <n v="4"/>
    <s v="No"/>
    <n v="0"/>
    <n v="11"/>
    <n v="3"/>
    <n v="1"/>
    <n v="1"/>
    <n v="16"/>
    <x v="27"/>
    <n v="2"/>
    <n v="3"/>
    <n v="13"/>
    <n v="13"/>
    <n v="9"/>
    <n v="1"/>
    <n v="1"/>
    <n v="12"/>
    <n v="12"/>
    <n v="36"/>
    <n v="0"/>
    <n v="0"/>
    <n v="0"/>
    <n v="1"/>
    <n v="0"/>
    <n v="0"/>
    <n v="1"/>
    <n v="0"/>
    <n v="0"/>
    <n v="0"/>
    <n v="12"/>
    <n v="0"/>
    <n v="0"/>
    <n v="16"/>
    <n v="0.67886534535686038"/>
    <n v="2.2075589277424408"/>
    <n v="0.60667531362816052"/>
    <n v="0.97801552848324624"/>
    <n v="0.76386092994953758"/>
    <n v="0.10112443951066327"/>
    <n v="0.36858985273641137"/>
  </r>
  <r>
    <n v="57"/>
    <n v="57"/>
    <s v="No"/>
    <n v="0"/>
    <s v="Travel_Rarely"/>
    <n v="0"/>
    <n v="1"/>
    <x v="1"/>
    <n v="1"/>
    <n v="0"/>
    <n v="1"/>
    <n v="1"/>
    <n v="4"/>
    <s v="Medical"/>
    <n v="0"/>
    <n v="0"/>
    <n v="1"/>
    <n v="0"/>
    <n v="0"/>
    <n v="4"/>
    <s v="Male"/>
    <n v="0"/>
    <n v="88"/>
    <n v="3"/>
    <n v="2"/>
    <s v="Healthcare Representative"/>
    <n v="1"/>
    <n v="0"/>
    <n v="0"/>
    <n v="0"/>
    <n v="0"/>
    <n v="0"/>
    <n v="0"/>
    <n v="0"/>
    <n v="3"/>
    <s v="Married"/>
    <n v="0"/>
    <n v="1"/>
    <n v="6755"/>
    <n v="6755"/>
    <n v="2"/>
    <s v="No"/>
    <n v="0"/>
    <n v="11"/>
    <n v="3"/>
    <n v="3"/>
    <n v="0"/>
    <n v="15"/>
    <x v="19"/>
    <n v="2"/>
    <n v="3"/>
    <n v="3"/>
    <n v="3"/>
    <n v="2"/>
    <n v="1"/>
    <n v="1"/>
    <n v="2"/>
    <n v="2"/>
    <n v="4"/>
    <n v="0"/>
    <n v="1"/>
    <n v="0"/>
    <n v="0"/>
    <n v="0"/>
    <n v="0"/>
    <n v="1"/>
    <n v="0"/>
    <n v="0"/>
    <n v="2"/>
    <n v="0"/>
    <n v="0"/>
    <n v="15"/>
    <n v="0"/>
    <n v="5.3540998589439746E-2"/>
    <n v="0.59502473559756086"/>
    <n v="0.47815352215483642"/>
    <n v="0.65423109602898355"/>
    <n v="1.01056543769991"/>
    <n v="2.197632149365754"/>
    <n v="0.36858985273641137"/>
  </r>
  <r>
    <n v="40"/>
    <n v="40"/>
    <s v="No"/>
    <n v="0"/>
    <s v="Travel_Rarely"/>
    <n v="0"/>
    <n v="1"/>
    <x v="1"/>
    <n v="1"/>
    <n v="0"/>
    <n v="10"/>
    <n v="10"/>
    <n v="4"/>
    <s v="Life Sciences"/>
    <n v="1"/>
    <n v="0"/>
    <n v="0"/>
    <n v="0"/>
    <n v="0"/>
    <n v="4"/>
    <s v="Female"/>
    <n v="1"/>
    <n v="46"/>
    <n v="4"/>
    <n v="1"/>
    <s v="Laboratory Technician"/>
    <n v="0"/>
    <n v="0"/>
    <n v="1"/>
    <n v="0"/>
    <n v="0"/>
    <n v="0"/>
    <n v="0"/>
    <n v="0"/>
    <n v="3"/>
    <s v="Married"/>
    <n v="0"/>
    <n v="1"/>
    <n v="2213"/>
    <n v="2213"/>
    <n v="3"/>
    <s v="Yes"/>
    <n v="1"/>
    <n v="13"/>
    <n v="3"/>
    <n v="3"/>
    <n v="1"/>
    <n v="10"/>
    <x v="1"/>
    <n v="3"/>
    <n v="3"/>
    <n v="7"/>
    <n v="7"/>
    <n v="7"/>
    <n v="1"/>
    <n v="1"/>
    <n v="7"/>
    <n v="7"/>
    <n v="7"/>
    <n v="0"/>
    <n v="1"/>
    <n v="0"/>
    <n v="0"/>
    <n v="0"/>
    <n v="0"/>
    <n v="0"/>
    <n v="1"/>
    <n v="0"/>
    <n v="7"/>
    <n v="0"/>
    <n v="0"/>
    <n v="10"/>
    <n v="0"/>
    <n v="0.91120872390295982"/>
    <n v="0.80626709607243985"/>
    <n v="0.1644554352117841"/>
    <n v="1.3324462240916321E-3"/>
    <n v="9.9604847176766084E-2"/>
    <n v="0.33673395837055903"/>
    <n v="0.36858985273641137"/>
  </r>
  <r>
    <n v="21"/>
    <n v="21"/>
    <s v="No"/>
    <n v="0"/>
    <s v="Non-Travel"/>
    <n v="0"/>
    <n v="0"/>
    <x v="0"/>
    <n v="0"/>
    <n v="1"/>
    <n v="9"/>
    <n v="9"/>
    <n v="2"/>
    <s v="Medical"/>
    <n v="0"/>
    <n v="0"/>
    <n v="1"/>
    <n v="0"/>
    <n v="0"/>
    <n v="1"/>
    <s v="Male"/>
    <n v="0"/>
    <n v="39"/>
    <n v="3"/>
    <n v="1"/>
    <s v="Sales Representative"/>
    <n v="0"/>
    <n v="0"/>
    <n v="0"/>
    <n v="0"/>
    <n v="0"/>
    <n v="0"/>
    <n v="1"/>
    <n v="0"/>
    <n v="4"/>
    <s v="Single"/>
    <n v="1"/>
    <n v="0"/>
    <n v="2610"/>
    <n v="2610"/>
    <n v="1"/>
    <s v="No"/>
    <n v="0"/>
    <n v="24"/>
    <n v="4"/>
    <n v="3"/>
    <n v="0"/>
    <n v="3"/>
    <x v="8"/>
    <n v="3"/>
    <n v="2"/>
    <n v="3"/>
    <n v="3"/>
    <n v="2"/>
    <n v="2"/>
    <n v="2"/>
    <n v="2"/>
    <n v="2"/>
    <n v="2"/>
    <n v="1"/>
    <n v="0"/>
    <n v="0"/>
    <n v="0"/>
    <n v="1"/>
    <n v="0"/>
    <n v="0"/>
    <n v="0"/>
    <n v="0"/>
    <n v="0"/>
    <n v="2"/>
    <n v="0"/>
    <n v="0"/>
    <n v="3"/>
    <n v="0.82688339589118476"/>
    <n v="0.59502473559756086"/>
    <n v="1.0641079755250529"/>
    <n v="0.65423109602898355"/>
    <n v="2.3747406698420157E-2"/>
    <n v="1.7430934315652469"/>
    <n v="5.8265062631872602E-2"/>
  </r>
  <r>
    <n v="33"/>
    <n v="33"/>
    <s v="Yes"/>
    <n v="1"/>
    <s v="Travel_Rarely"/>
    <n v="0"/>
    <n v="1"/>
    <x v="0"/>
    <n v="0"/>
    <n v="1"/>
    <n v="5"/>
    <n v="5"/>
    <n v="3"/>
    <s v="Marketing"/>
    <n v="0"/>
    <n v="0"/>
    <n v="0"/>
    <n v="1"/>
    <n v="0"/>
    <n v="4"/>
    <s v="Female"/>
    <n v="1"/>
    <n v="34"/>
    <n v="3"/>
    <n v="1"/>
    <s v="Sales Representative"/>
    <n v="0"/>
    <n v="0"/>
    <n v="0"/>
    <n v="0"/>
    <n v="0"/>
    <n v="0"/>
    <n v="1"/>
    <n v="0"/>
    <n v="3"/>
    <s v="Single"/>
    <n v="1"/>
    <n v="0"/>
    <n v="2851"/>
    <n v="2851"/>
    <n v="1"/>
    <s v="Yes"/>
    <n v="1"/>
    <n v="13"/>
    <n v="3"/>
    <n v="2"/>
    <n v="0"/>
    <n v="1"/>
    <x v="5"/>
    <n v="2"/>
    <n v="3"/>
    <n v="1"/>
    <n v="1"/>
    <n v="0"/>
    <n v="0"/>
    <n v="0"/>
    <n v="0"/>
    <n v="0"/>
    <n v="0"/>
    <n v="1"/>
    <n v="0"/>
    <n v="0"/>
    <n v="0"/>
    <n v="0"/>
    <n v="1"/>
    <n v="0"/>
    <n v="0"/>
    <n v="0"/>
    <n v="0"/>
    <n v="0"/>
    <n v="0"/>
    <n v="0"/>
    <n v="1"/>
    <n v="0.77569346125431371"/>
    <n v="1.1555414682655611"/>
    <n v="1.3211515584717011"/>
    <n v="0.9806804209314296"/>
    <n v="0.51715642219916513"/>
    <n v="0.42951823792158"/>
    <n v="0.67891464284095016"/>
  </r>
  <r>
    <n v="37"/>
    <n v="37"/>
    <s v="No"/>
    <n v="0"/>
    <s v="Travel_Rarely"/>
    <n v="0"/>
    <n v="1"/>
    <x v="1"/>
    <n v="1"/>
    <n v="0"/>
    <n v="10"/>
    <n v="10"/>
    <n v="3"/>
    <s v="Medical"/>
    <n v="0"/>
    <n v="0"/>
    <n v="1"/>
    <n v="0"/>
    <n v="0"/>
    <n v="3"/>
    <s v="Female"/>
    <n v="1"/>
    <n v="98"/>
    <n v="3"/>
    <n v="1"/>
    <s v="Laboratory Technician"/>
    <n v="0"/>
    <n v="0"/>
    <n v="1"/>
    <n v="0"/>
    <n v="0"/>
    <n v="0"/>
    <n v="0"/>
    <n v="0"/>
    <n v="1"/>
    <s v="Married"/>
    <n v="0"/>
    <n v="1"/>
    <n v="3452"/>
    <n v="3452"/>
    <n v="6"/>
    <s v="No"/>
    <n v="0"/>
    <n v="20"/>
    <n v="4"/>
    <n v="2"/>
    <n v="1"/>
    <n v="17"/>
    <x v="6"/>
    <n v="3"/>
    <n v="3"/>
    <n v="5"/>
    <n v="5"/>
    <n v="4"/>
    <n v="0"/>
    <n v="0"/>
    <n v="3"/>
    <n v="3"/>
    <n v="3"/>
    <n v="0"/>
    <n v="1"/>
    <n v="0"/>
    <n v="0"/>
    <n v="0"/>
    <n v="0"/>
    <n v="1"/>
    <n v="0"/>
    <n v="0"/>
    <n v="3"/>
    <n v="0"/>
    <n v="0"/>
    <n v="17"/>
    <n v="0"/>
    <n v="0.64803723421381776"/>
    <n v="0.31476636926356072"/>
    <n v="0.73519710510148462"/>
    <n v="0.32778177112653761"/>
    <n v="9.9604847176766084E-2"/>
    <n v="8.3401599596422994E-3"/>
    <n v="0.67891464284095016"/>
  </r>
  <r>
    <n v="46"/>
    <n v="46"/>
    <s v="No"/>
    <n v="0"/>
    <s v="Non-Travel"/>
    <n v="0"/>
    <n v="0"/>
    <x v="1"/>
    <n v="1"/>
    <n v="0"/>
    <n v="7"/>
    <n v="7"/>
    <n v="4"/>
    <s v="Medical"/>
    <n v="0"/>
    <n v="0"/>
    <n v="1"/>
    <n v="0"/>
    <n v="0"/>
    <n v="3"/>
    <s v="Female"/>
    <n v="1"/>
    <n v="30"/>
    <n v="3"/>
    <n v="2"/>
    <s v="Manufacturing Director"/>
    <n v="0"/>
    <n v="0"/>
    <n v="0"/>
    <n v="0"/>
    <n v="1"/>
    <n v="1"/>
    <n v="0"/>
    <n v="0"/>
    <n v="3"/>
    <s v="Married"/>
    <n v="0"/>
    <n v="1"/>
    <n v="5258"/>
    <n v="5258"/>
    <n v="2"/>
    <s v="No"/>
    <n v="0"/>
    <n v="14"/>
    <n v="3"/>
    <n v="3"/>
    <n v="0"/>
    <n v="7"/>
    <x v="2"/>
    <n v="2"/>
    <n v="4"/>
    <n v="1"/>
    <n v="1"/>
    <n v="0"/>
    <n v="0"/>
    <n v="0"/>
    <n v="0"/>
    <n v="0"/>
    <n v="0"/>
    <n v="0"/>
    <n v="1"/>
    <n v="0"/>
    <n v="0"/>
    <n v="0"/>
    <n v="0"/>
    <n v="1"/>
    <n v="0"/>
    <n v="0"/>
    <n v="0"/>
    <n v="0"/>
    <n v="0"/>
    <n v="7"/>
    <n v="0"/>
    <n v="0.26443133398896673"/>
    <n v="1.1555414682655611"/>
    <n v="0.55002080963175637"/>
    <n v="0.9806804209314296"/>
    <n v="0.27045191444879263"/>
    <n v="0.99352155519239249"/>
    <n v="0.67891464284095016"/>
  </r>
  <r>
    <n v="41"/>
    <n v="41"/>
    <s v="Yes"/>
    <n v="1"/>
    <s v="Travel_Frequently"/>
    <n v="1"/>
    <n v="0"/>
    <x v="0"/>
    <n v="0"/>
    <n v="1"/>
    <n v="4"/>
    <n v="4"/>
    <n v="3"/>
    <s v="Marketing"/>
    <n v="0"/>
    <n v="0"/>
    <n v="0"/>
    <n v="1"/>
    <n v="0"/>
    <n v="1"/>
    <s v="Male"/>
    <n v="0"/>
    <n v="56"/>
    <n v="3"/>
    <n v="2"/>
    <s v="Sales Executive"/>
    <n v="0"/>
    <n v="1"/>
    <n v="0"/>
    <n v="0"/>
    <n v="0"/>
    <n v="0"/>
    <n v="0"/>
    <n v="0"/>
    <n v="2"/>
    <s v="Single"/>
    <n v="1"/>
    <n v="0"/>
    <n v="9355"/>
    <n v="9355"/>
    <n v="1"/>
    <s v="No"/>
    <n v="0"/>
    <n v="18"/>
    <n v="3"/>
    <n v="3"/>
    <n v="0"/>
    <n v="8"/>
    <x v="0"/>
    <n v="5"/>
    <n v="3"/>
    <n v="8"/>
    <n v="8"/>
    <n v="7"/>
    <n v="7"/>
    <n v="7"/>
    <n v="7"/>
    <n v="7"/>
    <n v="14"/>
    <n v="0"/>
    <n v="0"/>
    <n v="1"/>
    <n v="0"/>
    <n v="1"/>
    <n v="0"/>
    <n v="0"/>
    <n v="0"/>
    <n v="0"/>
    <n v="0"/>
    <n v="7"/>
    <n v="0"/>
    <n v="0"/>
    <n v="8"/>
    <n v="0.60579755483784103"/>
    <n v="0.80626709607243985"/>
    <n v="0.42149901815843233"/>
    <n v="0.16189221622713135"/>
    <n v="0.64050867607435136"/>
    <n v="0.4461985578408646"/>
    <n v="1.4933588878908215"/>
  </r>
  <r>
    <n v="50"/>
    <n v="50"/>
    <s v="No"/>
    <n v="0"/>
    <s v="Travel_Rarely"/>
    <n v="0"/>
    <n v="1"/>
    <x v="1"/>
    <n v="1"/>
    <n v="0"/>
    <n v="10"/>
    <n v="10"/>
    <n v="3"/>
    <s v="Technical Degree"/>
    <n v="0"/>
    <n v="0"/>
    <n v="0"/>
    <n v="0"/>
    <n v="1"/>
    <n v="4"/>
    <s v="Male"/>
    <n v="0"/>
    <n v="100"/>
    <n v="2"/>
    <n v="3"/>
    <s v="Healthcare Representative"/>
    <n v="1"/>
    <n v="0"/>
    <n v="0"/>
    <n v="0"/>
    <n v="0"/>
    <n v="0"/>
    <n v="0"/>
    <n v="0"/>
    <n v="4"/>
    <s v="Single"/>
    <n v="1"/>
    <n v="0"/>
    <n v="10496"/>
    <n v="10496"/>
    <n v="6"/>
    <s v="No"/>
    <n v="0"/>
    <n v="15"/>
    <n v="3"/>
    <n v="4"/>
    <n v="0"/>
    <n v="20"/>
    <x v="25"/>
    <n v="2"/>
    <n v="3"/>
    <n v="4"/>
    <n v="4"/>
    <n v="3"/>
    <n v="1"/>
    <n v="1"/>
    <n v="3"/>
    <n v="3"/>
    <n v="9"/>
    <n v="1"/>
    <n v="0"/>
    <n v="0"/>
    <n v="0"/>
    <n v="1"/>
    <n v="0"/>
    <n v="0"/>
    <n v="0"/>
    <n v="0"/>
    <n v="3"/>
    <n v="0"/>
    <n v="0"/>
    <n v="20"/>
    <n v="0"/>
    <n v="0.84815322048377417"/>
    <n v="0.31476636926356072"/>
    <n v="1.120762479521457"/>
    <n v="0.49100643357776058"/>
    <n v="9.9604847176766084E-2"/>
    <n v="1.4313799530736149"/>
    <n v="0.36858985273641137"/>
  </r>
  <r>
    <n v="40"/>
    <n v="40"/>
    <s v="Yes"/>
    <n v="1"/>
    <s v="Travel_Rarely"/>
    <n v="0"/>
    <n v="1"/>
    <x v="0"/>
    <n v="0"/>
    <n v="1"/>
    <n v="22"/>
    <n v="22"/>
    <n v="2"/>
    <s v="Marketing"/>
    <n v="0"/>
    <n v="0"/>
    <n v="0"/>
    <n v="1"/>
    <n v="0"/>
    <n v="3"/>
    <s v="Male"/>
    <n v="0"/>
    <n v="68"/>
    <n v="2"/>
    <n v="2"/>
    <s v="Sales Executive"/>
    <n v="0"/>
    <n v="1"/>
    <n v="0"/>
    <n v="0"/>
    <n v="0"/>
    <n v="0"/>
    <n v="0"/>
    <n v="0"/>
    <n v="3"/>
    <s v="Married"/>
    <n v="0"/>
    <n v="1"/>
    <n v="6380"/>
    <n v="6380"/>
    <n v="2"/>
    <s v="Yes"/>
    <n v="1"/>
    <n v="12"/>
    <n v="3"/>
    <n v="1"/>
    <n v="2"/>
    <n v="8"/>
    <x v="0"/>
    <n v="6"/>
    <n v="3"/>
    <n v="6"/>
    <n v="6"/>
    <n v="4"/>
    <n v="1"/>
    <n v="1"/>
    <n v="0"/>
    <n v="0"/>
    <n v="0"/>
    <n v="0"/>
    <n v="1"/>
    <n v="0"/>
    <n v="0"/>
    <n v="0"/>
    <n v="0"/>
    <n v="0"/>
    <n v="1"/>
    <n v="0"/>
    <n v="0"/>
    <n v="0"/>
    <n v="0"/>
    <n v="0"/>
    <n v="8"/>
    <n v="2.6111389331002759E-2"/>
    <n v="1.1555414682655611"/>
    <n v="0.42149901815843233"/>
    <n v="0.16455710867531462"/>
    <n v="1.579831893679001"/>
    <n v="0.33673395837055903"/>
    <n v="0.36858985273641137"/>
  </r>
  <r>
    <n v="31"/>
    <n v="31"/>
    <s v="No"/>
    <n v="0"/>
    <s v="Travel_Rarely"/>
    <n v="0"/>
    <n v="1"/>
    <x v="1"/>
    <n v="1"/>
    <n v="0"/>
    <n v="9"/>
    <n v="9"/>
    <n v="4"/>
    <s v="Life Sciences"/>
    <n v="1"/>
    <n v="0"/>
    <n v="0"/>
    <n v="0"/>
    <n v="0"/>
    <n v="3"/>
    <s v="Male"/>
    <n v="0"/>
    <n v="42"/>
    <n v="2"/>
    <n v="1"/>
    <s v="Research Scientist"/>
    <n v="0"/>
    <n v="0"/>
    <n v="0"/>
    <n v="0"/>
    <n v="0"/>
    <n v="0"/>
    <n v="0"/>
    <n v="1"/>
    <n v="2"/>
    <s v="Single"/>
    <n v="1"/>
    <n v="0"/>
    <n v="2657"/>
    <n v="2657"/>
    <n v="0"/>
    <s v="Yes"/>
    <n v="1"/>
    <n v="16"/>
    <n v="3"/>
    <n v="4"/>
    <n v="0"/>
    <n v="3"/>
    <x v="8"/>
    <n v="5"/>
    <n v="3"/>
    <n v="2"/>
    <n v="2"/>
    <n v="2"/>
    <n v="2"/>
    <n v="2"/>
    <n v="2"/>
    <n v="2"/>
    <n v="2"/>
    <n v="1"/>
    <n v="0"/>
    <n v="0"/>
    <n v="0"/>
    <n v="0"/>
    <n v="1"/>
    <n v="0"/>
    <n v="0"/>
    <n v="0"/>
    <n v="2"/>
    <n v="0"/>
    <n v="0"/>
    <n v="3"/>
    <n v="0"/>
    <n v="0.81690029660515595"/>
    <n v="0.59502473559756086"/>
    <n v="1.0641079755250529"/>
    <n v="0.81745575848020657"/>
    <n v="2.3747406698420157E-2"/>
    <n v="0.6484474368621912"/>
    <n v="5.8265062631872602E-2"/>
  </r>
  <r>
    <n v="21"/>
    <n v="21"/>
    <s v="Yes"/>
    <n v="1"/>
    <s v="Travel_Rarely"/>
    <n v="0"/>
    <n v="1"/>
    <x v="0"/>
    <n v="0"/>
    <n v="1"/>
    <n v="12"/>
    <n v="12"/>
    <n v="3"/>
    <s v="Life Sciences"/>
    <n v="1"/>
    <n v="0"/>
    <n v="0"/>
    <n v="0"/>
    <n v="0"/>
    <n v="3"/>
    <s v="Female"/>
    <n v="1"/>
    <n v="90"/>
    <n v="4"/>
    <n v="1"/>
    <s v="Sales Representative"/>
    <n v="0"/>
    <n v="0"/>
    <n v="0"/>
    <n v="0"/>
    <n v="0"/>
    <n v="0"/>
    <n v="1"/>
    <n v="0"/>
    <n v="2"/>
    <s v="Single"/>
    <n v="1"/>
    <n v="0"/>
    <n v="2716"/>
    <n v="2716"/>
    <n v="1"/>
    <s v="No"/>
    <n v="0"/>
    <n v="15"/>
    <n v="3"/>
    <n v="4"/>
    <n v="0"/>
    <n v="1"/>
    <x v="5"/>
    <n v="0"/>
    <n v="3"/>
    <n v="1"/>
    <n v="1"/>
    <n v="0"/>
    <n v="0"/>
    <n v="0"/>
    <n v="0"/>
    <n v="0"/>
    <n v="0"/>
    <n v="1"/>
    <n v="0"/>
    <n v="0"/>
    <n v="0"/>
    <n v="1"/>
    <n v="0"/>
    <n v="0"/>
    <n v="0"/>
    <n v="0"/>
    <n v="0"/>
    <n v="0"/>
    <n v="0"/>
    <n v="0"/>
    <n v="1"/>
    <n v="0.80436832090567301"/>
    <n v="1.1555414682655611"/>
    <n v="1.3211515584717011"/>
    <n v="0.9806804209314296"/>
    <n v="0.3463093549271386"/>
    <n v="1.7430934315652469"/>
    <n v="0.67891464284095016"/>
  </r>
  <r>
    <n v="29"/>
    <n v="29"/>
    <s v="No"/>
    <n v="0"/>
    <s v="Travel_Rarely"/>
    <n v="0"/>
    <n v="1"/>
    <x v="1"/>
    <n v="1"/>
    <n v="0"/>
    <n v="23"/>
    <n v="23"/>
    <n v="3"/>
    <s v="Life Sciences"/>
    <n v="1"/>
    <n v="0"/>
    <n v="0"/>
    <n v="0"/>
    <n v="0"/>
    <n v="4"/>
    <s v="Male"/>
    <n v="0"/>
    <n v="54"/>
    <n v="3"/>
    <n v="1"/>
    <s v="Research Scientist"/>
    <n v="0"/>
    <n v="0"/>
    <n v="0"/>
    <n v="0"/>
    <n v="0"/>
    <n v="0"/>
    <n v="0"/>
    <n v="1"/>
    <n v="4"/>
    <s v="Single"/>
    <n v="1"/>
    <n v="0"/>
    <n v="2201"/>
    <n v="2201"/>
    <n v="9"/>
    <s v="No"/>
    <n v="0"/>
    <n v="16"/>
    <n v="3"/>
    <n v="4"/>
    <n v="0"/>
    <n v="6"/>
    <x v="3"/>
    <n v="4"/>
    <n v="3"/>
    <n v="3"/>
    <n v="3"/>
    <n v="2"/>
    <n v="1"/>
    <n v="1"/>
    <n v="2"/>
    <n v="2"/>
    <n v="2"/>
    <n v="1"/>
    <n v="0"/>
    <n v="0"/>
    <n v="0"/>
    <n v="1"/>
    <n v="0"/>
    <n v="0"/>
    <n v="0"/>
    <n v="0"/>
    <n v="2"/>
    <n v="0"/>
    <n v="0"/>
    <n v="6"/>
    <n v="0"/>
    <n v="0.91375760031641395"/>
    <n v="0.59502473559756086"/>
    <n v="0.67854260110508058"/>
    <n v="0.65423109602898355"/>
    <n v="1.7031841475541873"/>
    <n v="0.86737663580280233"/>
    <n v="0.36858985273641137"/>
  </r>
  <r>
    <n v="35"/>
    <n v="35"/>
    <s v="No"/>
    <n v="0"/>
    <s v="Travel_Rarely"/>
    <n v="0"/>
    <n v="1"/>
    <x v="1"/>
    <n v="1"/>
    <n v="0"/>
    <n v="9"/>
    <n v="9"/>
    <n v="4"/>
    <s v="Life Sciences"/>
    <n v="1"/>
    <n v="0"/>
    <n v="0"/>
    <n v="0"/>
    <n v="0"/>
    <n v="3"/>
    <s v="Male"/>
    <n v="0"/>
    <n v="97"/>
    <n v="2"/>
    <n v="2"/>
    <s v="Healthcare Representative"/>
    <n v="1"/>
    <n v="0"/>
    <n v="0"/>
    <n v="0"/>
    <n v="0"/>
    <n v="0"/>
    <n v="0"/>
    <n v="0"/>
    <n v="2"/>
    <s v="Single"/>
    <n v="1"/>
    <n v="0"/>
    <n v="6540"/>
    <n v="6540"/>
    <n v="9"/>
    <s v="No"/>
    <n v="0"/>
    <n v="19"/>
    <n v="3"/>
    <n v="3"/>
    <n v="0"/>
    <n v="10"/>
    <x v="1"/>
    <n v="5"/>
    <n v="3"/>
    <n v="1"/>
    <n v="1"/>
    <n v="1"/>
    <n v="0"/>
    <n v="0"/>
    <n v="0"/>
    <n v="0"/>
    <n v="0"/>
    <n v="1"/>
    <n v="0"/>
    <n v="0"/>
    <n v="0"/>
    <n v="1"/>
    <n v="0"/>
    <n v="0"/>
    <n v="0"/>
    <n v="0"/>
    <n v="0"/>
    <n v="0"/>
    <n v="0"/>
    <n v="10"/>
    <n v="0"/>
    <n v="7.8736295150527106E-3"/>
    <n v="1.1555414682655611"/>
    <n v="0.1644554352117841"/>
    <n v="0.9806804209314296"/>
    <n v="2.3747406698420157E-2"/>
    <n v="0.21058903898096887"/>
    <n v="0.67891464284095016"/>
  </r>
  <r>
    <n v="27"/>
    <n v="27"/>
    <s v="No"/>
    <n v="0"/>
    <s v="Travel_Rarely"/>
    <n v="0"/>
    <n v="1"/>
    <x v="1"/>
    <n v="1"/>
    <n v="0"/>
    <n v="1"/>
    <n v="1"/>
    <n v="2"/>
    <s v="Medical"/>
    <n v="0"/>
    <n v="0"/>
    <n v="1"/>
    <n v="0"/>
    <n v="0"/>
    <n v="4"/>
    <s v="Male"/>
    <n v="0"/>
    <n v="82"/>
    <n v="3"/>
    <n v="1"/>
    <s v="Laboratory Technician"/>
    <n v="0"/>
    <n v="0"/>
    <n v="1"/>
    <n v="0"/>
    <n v="0"/>
    <n v="0"/>
    <n v="0"/>
    <n v="0"/>
    <n v="2"/>
    <s v="Divorced"/>
    <n v="0"/>
    <n v="0"/>
    <n v="3816"/>
    <n v="3816"/>
    <n v="1"/>
    <s v="No"/>
    <n v="0"/>
    <n v="11"/>
    <n v="3"/>
    <n v="2"/>
    <n v="1"/>
    <n v="5"/>
    <x v="7"/>
    <n v="2"/>
    <n v="3"/>
    <n v="5"/>
    <n v="5"/>
    <n v="2"/>
    <n v="0"/>
    <n v="0"/>
    <n v="4"/>
    <n v="4"/>
    <n v="4"/>
    <n v="1"/>
    <n v="0"/>
    <n v="0"/>
    <n v="0"/>
    <n v="1"/>
    <n v="0"/>
    <n v="0"/>
    <n v="0"/>
    <n v="0"/>
    <n v="4"/>
    <n v="0"/>
    <n v="0"/>
    <n v="5"/>
    <n v="0"/>
    <n v="0.57072131633904166"/>
    <n v="3.4508002929560584E-2"/>
    <n v="0.80706439257840468"/>
    <n v="0.32778177112653761"/>
    <n v="1.01056543769991"/>
    <n v="1.0863058347434136"/>
    <n v="0.67891464284095016"/>
  </r>
  <r>
    <n v="28"/>
    <n v="28"/>
    <s v="No"/>
    <n v="0"/>
    <s v="Travel_Rarely"/>
    <n v="0"/>
    <n v="1"/>
    <x v="0"/>
    <n v="0"/>
    <n v="1"/>
    <n v="9"/>
    <n v="9"/>
    <n v="4"/>
    <s v="Life Sciences"/>
    <n v="1"/>
    <n v="0"/>
    <n v="0"/>
    <n v="0"/>
    <n v="0"/>
    <n v="2"/>
    <s v="Male"/>
    <n v="0"/>
    <n v="92"/>
    <n v="3"/>
    <n v="2"/>
    <s v="Sales Executive"/>
    <n v="0"/>
    <n v="1"/>
    <n v="0"/>
    <n v="0"/>
    <n v="0"/>
    <n v="0"/>
    <n v="0"/>
    <n v="0"/>
    <n v="4"/>
    <s v="Single"/>
    <n v="1"/>
    <n v="0"/>
    <n v="5253"/>
    <n v="5253"/>
    <n v="1"/>
    <s v="No"/>
    <n v="0"/>
    <n v="16"/>
    <n v="3"/>
    <n v="4"/>
    <n v="0"/>
    <n v="7"/>
    <x v="2"/>
    <n v="1"/>
    <n v="3"/>
    <n v="7"/>
    <n v="7"/>
    <n v="5"/>
    <n v="0"/>
    <n v="0"/>
    <n v="7"/>
    <n v="7"/>
    <n v="14"/>
    <n v="1"/>
    <n v="0"/>
    <n v="0"/>
    <n v="0"/>
    <n v="1"/>
    <n v="0"/>
    <n v="0"/>
    <n v="0"/>
    <n v="0"/>
    <n v="0"/>
    <n v="7"/>
    <n v="0"/>
    <n v="0"/>
    <n v="7"/>
    <n v="0.26549336582790595"/>
    <n v="0.80626709607243985"/>
    <n v="0.55002080963175637"/>
    <n v="1.3324462240916321E-3"/>
    <n v="2.3747406698420157E-2"/>
    <n v="0.97684123527310796"/>
    <n v="0.67891464284095016"/>
  </r>
  <r>
    <n v="49"/>
    <n v="49"/>
    <s v="No"/>
    <n v="0"/>
    <s v="Travel_Rarely"/>
    <n v="0"/>
    <n v="1"/>
    <x v="1"/>
    <n v="1"/>
    <n v="0"/>
    <n v="7"/>
    <n v="7"/>
    <n v="3"/>
    <s v="Other"/>
    <n v="0"/>
    <n v="1"/>
    <n v="0"/>
    <n v="0"/>
    <n v="0"/>
    <n v="2"/>
    <s v="Male"/>
    <n v="0"/>
    <n v="31"/>
    <n v="2"/>
    <n v="3"/>
    <s v="Healthcare Representative"/>
    <n v="1"/>
    <n v="0"/>
    <n v="0"/>
    <n v="0"/>
    <n v="0"/>
    <n v="0"/>
    <n v="0"/>
    <n v="0"/>
    <n v="3"/>
    <s v="Single"/>
    <n v="1"/>
    <n v="0"/>
    <n v="10965"/>
    <n v="10965"/>
    <n v="8"/>
    <s v="No"/>
    <n v="0"/>
    <n v="24"/>
    <n v="4"/>
    <n v="3"/>
    <n v="0"/>
    <n v="26"/>
    <x v="11"/>
    <n v="2"/>
    <n v="3"/>
    <n v="5"/>
    <n v="5"/>
    <n v="2"/>
    <n v="0"/>
    <n v="0"/>
    <n v="0"/>
    <n v="0"/>
    <n v="0"/>
    <n v="1"/>
    <n v="0"/>
    <n v="0"/>
    <n v="0"/>
    <n v="1"/>
    <n v="0"/>
    <n v="0"/>
    <n v="0"/>
    <n v="0"/>
    <n v="0"/>
    <n v="0"/>
    <n v="0"/>
    <n v="26"/>
    <n v="0"/>
    <n v="0.94777180697627428"/>
    <n v="1.1555414682655611"/>
    <n v="1.8918932283614016"/>
    <n v="0.32778177112653761"/>
    <n v="0.27045191444879263"/>
    <n v="1.3219153536033093"/>
    <n v="0.67891464284095016"/>
  </r>
  <r>
    <n v="51"/>
    <n v="51"/>
    <s v="No"/>
    <n v="0"/>
    <s v="Travel_Rarely"/>
    <n v="0"/>
    <n v="1"/>
    <x v="0"/>
    <n v="0"/>
    <n v="1"/>
    <n v="14"/>
    <n v="14"/>
    <n v="2"/>
    <s v="Life Sciences"/>
    <n v="1"/>
    <n v="0"/>
    <n v="0"/>
    <n v="0"/>
    <n v="0"/>
    <n v="3"/>
    <s v="Female"/>
    <n v="1"/>
    <n v="87"/>
    <n v="3"/>
    <n v="2"/>
    <s v="Sales Executive"/>
    <n v="0"/>
    <n v="1"/>
    <n v="0"/>
    <n v="0"/>
    <n v="0"/>
    <n v="0"/>
    <n v="0"/>
    <n v="0"/>
    <n v="4"/>
    <s v="Married"/>
    <n v="0"/>
    <n v="1"/>
    <n v="4936"/>
    <n v="4936"/>
    <n v="4"/>
    <s v="No"/>
    <n v="0"/>
    <n v="11"/>
    <n v="3"/>
    <n v="3"/>
    <n v="1"/>
    <n v="18"/>
    <x v="30"/>
    <n v="2"/>
    <n v="2"/>
    <n v="7"/>
    <n v="7"/>
    <n v="7"/>
    <n v="0"/>
    <n v="0"/>
    <n v="7"/>
    <n v="7"/>
    <n v="14"/>
    <n v="0"/>
    <n v="1"/>
    <n v="0"/>
    <n v="0"/>
    <n v="0"/>
    <n v="0"/>
    <n v="1"/>
    <n v="0"/>
    <n v="0"/>
    <n v="0"/>
    <n v="7"/>
    <n v="0"/>
    <n v="0"/>
    <n v="18"/>
    <n v="0.33282618441665335"/>
    <n v="0.80626709607243985"/>
    <n v="0.86371889657480871"/>
    <n v="1.3324462240916321E-3"/>
    <n v="0.59301386267751111"/>
    <n v="1.5408445525439205"/>
    <n v="0.67891464284095016"/>
  </r>
  <r>
    <n v="36"/>
    <n v="36"/>
    <s v="No"/>
    <n v="0"/>
    <s v="Travel_Rarely"/>
    <n v="0"/>
    <n v="1"/>
    <x v="1"/>
    <n v="1"/>
    <n v="0"/>
    <n v="2"/>
    <n v="2"/>
    <n v="3"/>
    <s v="Life Sciences"/>
    <n v="1"/>
    <n v="0"/>
    <n v="0"/>
    <n v="0"/>
    <n v="0"/>
    <n v="4"/>
    <s v="Female"/>
    <n v="1"/>
    <n v="96"/>
    <n v="3"/>
    <n v="1"/>
    <s v="Research Scientist"/>
    <n v="0"/>
    <n v="0"/>
    <n v="0"/>
    <n v="0"/>
    <n v="0"/>
    <n v="0"/>
    <n v="0"/>
    <n v="1"/>
    <n v="3"/>
    <s v="Married"/>
    <n v="0"/>
    <n v="1"/>
    <n v="2543"/>
    <n v="2543"/>
    <n v="4"/>
    <s v="No"/>
    <n v="0"/>
    <n v="13"/>
    <n v="3"/>
    <n v="2"/>
    <n v="1"/>
    <n v="6"/>
    <x v="3"/>
    <n v="3"/>
    <n v="3"/>
    <n v="2"/>
    <n v="2"/>
    <n v="2"/>
    <n v="2"/>
    <n v="2"/>
    <n v="2"/>
    <n v="2"/>
    <n v="2"/>
    <n v="0"/>
    <n v="1"/>
    <n v="0"/>
    <n v="0"/>
    <n v="0"/>
    <n v="0"/>
    <n v="1"/>
    <n v="0"/>
    <n v="0"/>
    <n v="2"/>
    <n v="0"/>
    <n v="0"/>
    <n v="6"/>
    <n v="0"/>
    <n v="0.84111462253297042"/>
    <n v="0.59502473559756086"/>
    <n v="0.67854260110508058"/>
    <n v="0.81745575848020657"/>
    <n v="0.88721318382472392"/>
    <n v="0.10112443951066327"/>
    <n v="5.8265062631872602E-2"/>
  </r>
  <r>
    <n v="34"/>
    <n v="34"/>
    <s v="Yes"/>
    <n v="1"/>
    <s v="Non-Travel"/>
    <n v="0"/>
    <n v="0"/>
    <x v="0"/>
    <n v="0"/>
    <n v="1"/>
    <n v="19"/>
    <n v="19"/>
    <n v="3"/>
    <s v="Marketing"/>
    <n v="0"/>
    <n v="0"/>
    <n v="0"/>
    <n v="1"/>
    <n v="0"/>
    <n v="1"/>
    <s v="Male"/>
    <n v="0"/>
    <n v="67"/>
    <n v="4"/>
    <n v="2"/>
    <s v="Sales Executive"/>
    <n v="0"/>
    <n v="1"/>
    <n v="0"/>
    <n v="0"/>
    <n v="0"/>
    <n v="0"/>
    <n v="0"/>
    <n v="0"/>
    <n v="4"/>
    <s v="Single"/>
    <n v="1"/>
    <n v="0"/>
    <n v="5304"/>
    <n v="5304"/>
    <n v="8"/>
    <s v="Yes"/>
    <n v="1"/>
    <n v="13"/>
    <n v="3"/>
    <n v="2"/>
    <n v="0"/>
    <n v="9"/>
    <x v="14"/>
    <n v="3"/>
    <n v="2"/>
    <n v="5"/>
    <n v="5"/>
    <n v="2"/>
    <n v="0"/>
    <n v="0"/>
    <n v="4"/>
    <n v="4"/>
    <n v="8"/>
    <n v="1"/>
    <n v="0"/>
    <n v="0"/>
    <n v="0"/>
    <n v="0"/>
    <n v="1"/>
    <n v="0"/>
    <n v="0"/>
    <n v="0"/>
    <n v="0"/>
    <n v="4"/>
    <n v="0"/>
    <n v="0"/>
    <n v="9"/>
    <n v="0.25466064107072578"/>
    <n v="3.4508002929560584E-2"/>
    <n v="0.29297722668510823"/>
    <n v="0.32778177112653761"/>
    <n v="1.2097751320534422"/>
    <n v="0.32005363845127444"/>
    <n v="0.67891464284095016"/>
  </r>
  <r>
    <n v="55"/>
    <n v="55"/>
    <s v="No"/>
    <n v="0"/>
    <s v="Travel_Rarely"/>
    <n v="0"/>
    <n v="1"/>
    <x v="1"/>
    <n v="1"/>
    <n v="0"/>
    <n v="2"/>
    <n v="2"/>
    <n v="3"/>
    <s v="Life Sciences"/>
    <n v="1"/>
    <n v="0"/>
    <n v="0"/>
    <n v="0"/>
    <n v="0"/>
    <n v="3"/>
    <s v="Female"/>
    <n v="1"/>
    <n v="97"/>
    <n v="3"/>
    <n v="4"/>
    <s v="Manager"/>
    <n v="0"/>
    <n v="0"/>
    <n v="0"/>
    <n v="1"/>
    <n v="0"/>
    <n v="0"/>
    <n v="0"/>
    <n v="0"/>
    <n v="4"/>
    <s v="Single"/>
    <n v="1"/>
    <n v="0"/>
    <n v="16659"/>
    <n v="16659"/>
    <n v="2"/>
    <s v="Yes"/>
    <n v="1"/>
    <n v="13"/>
    <n v="3"/>
    <n v="3"/>
    <n v="0"/>
    <n v="30"/>
    <x v="29"/>
    <n v="2"/>
    <n v="3"/>
    <n v="5"/>
    <n v="5"/>
    <n v="4"/>
    <n v="1"/>
    <n v="1"/>
    <n v="2"/>
    <n v="2"/>
    <n v="8"/>
    <n v="1"/>
    <n v="0"/>
    <n v="0"/>
    <n v="0"/>
    <n v="0"/>
    <n v="1"/>
    <n v="0"/>
    <n v="0"/>
    <n v="0"/>
    <n v="2"/>
    <n v="0"/>
    <n v="0"/>
    <n v="30"/>
    <n v="0"/>
    <n v="2.1572136651602731"/>
    <n v="0.59502473559756086"/>
    <n v="2.4059803942546978"/>
    <n v="0.32778177112653761"/>
    <n v="0.88721318382472392"/>
    <n v="1.9787029504251428"/>
    <n v="0.36858985273641137"/>
  </r>
  <r>
    <n v="24"/>
    <n v="24"/>
    <s v="No"/>
    <n v="0"/>
    <s v="Travel_Rarely"/>
    <n v="0"/>
    <n v="1"/>
    <x v="0"/>
    <n v="0"/>
    <n v="1"/>
    <n v="10"/>
    <n v="10"/>
    <n v="4"/>
    <s v="Marketing"/>
    <n v="0"/>
    <n v="0"/>
    <n v="0"/>
    <n v="1"/>
    <n v="0"/>
    <n v="4"/>
    <s v="Female"/>
    <n v="1"/>
    <n v="77"/>
    <n v="3"/>
    <n v="2"/>
    <s v="Sales Executive"/>
    <n v="0"/>
    <n v="1"/>
    <n v="0"/>
    <n v="0"/>
    <n v="0"/>
    <n v="0"/>
    <n v="0"/>
    <n v="0"/>
    <n v="3"/>
    <s v="Divorced"/>
    <n v="0"/>
    <n v="0"/>
    <n v="4260"/>
    <n v="4260"/>
    <n v="1"/>
    <s v="Yes"/>
    <n v="1"/>
    <n v="12"/>
    <n v="3"/>
    <n v="4"/>
    <n v="1"/>
    <n v="5"/>
    <x v="7"/>
    <n v="2"/>
    <n v="4"/>
    <n v="5"/>
    <n v="5"/>
    <n v="2"/>
    <n v="0"/>
    <n v="0"/>
    <n v="3"/>
    <n v="3"/>
    <n v="6"/>
    <n v="1"/>
    <n v="0"/>
    <n v="0"/>
    <n v="0"/>
    <n v="0"/>
    <n v="1"/>
    <n v="0"/>
    <n v="0"/>
    <n v="0"/>
    <n v="0"/>
    <n v="3"/>
    <n v="0"/>
    <n v="0"/>
    <n v="5"/>
    <n v="0.47641288904123769"/>
    <n v="0.31476636926356072"/>
    <n v="0.80706439257840468"/>
    <n v="0.32778177112653761"/>
    <n v="9.9604847176766084E-2"/>
    <n v="1.4146996331543302"/>
    <n v="0.67891464284095016"/>
  </r>
  <r>
    <n v="30"/>
    <n v="30"/>
    <s v="No"/>
    <n v="0"/>
    <s v="Travel_Rarely"/>
    <n v="0"/>
    <n v="1"/>
    <x v="0"/>
    <n v="0"/>
    <n v="1"/>
    <n v="2"/>
    <n v="2"/>
    <n v="1"/>
    <s v="Technical Degree"/>
    <n v="0"/>
    <n v="0"/>
    <n v="0"/>
    <n v="0"/>
    <n v="1"/>
    <n v="3"/>
    <s v="Male"/>
    <n v="0"/>
    <n v="72"/>
    <n v="3"/>
    <n v="1"/>
    <s v="Sales Representative"/>
    <n v="0"/>
    <n v="0"/>
    <n v="0"/>
    <n v="0"/>
    <n v="0"/>
    <n v="0"/>
    <n v="1"/>
    <n v="0"/>
    <n v="2"/>
    <s v="Married"/>
    <n v="0"/>
    <n v="1"/>
    <n v="2476"/>
    <n v="2476"/>
    <n v="1"/>
    <s v="No"/>
    <n v="0"/>
    <n v="18"/>
    <n v="3"/>
    <n v="1"/>
    <n v="1"/>
    <n v="1"/>
    <x v="5"/>
    <n v="3"/>
    <n v="3"/>
    <n v="1"/>
    <n v="1"/>
    <n v="0"/>
    <n v="0"/>
    <n v="0"/>
    <n v="0"/>
    <n v="0"/>
    <n v="0"/>
    <n v="0"/>
    <n v="1"/>
    <n v="0"/>
    <n v="0"/>
    <n v="0"/>
    <n v="0"/>
    <n v="1"/>
    <n v="0"/>
    <n v="0"/>
    <n v="0"/>
    <n v="0"/>
    <n v="0"/>
    <n v="0"/>
    <n v="1"/>
    <n v="0.8553458491747562"/>
    <n v="1.1555414682655611"/>
    <n v="1.3211515584717011"/>
    <n v="0.9806804209314296"/>
    <n v="0.88721318382472392"/>
    <n v="0.75791203633249671"/>
    <n v="0.67891464284095016"/>
  </r>
  <r>
    <n v="26"/>
    <n v="26"/>
    <s v="Yes"/>
    <n v="1"/>
    <s v="Travel_Frequently"/>
    <n v="1"/>
    <n v="0"/>
    <x v="1"/>
    <n v="1"/>
    <n v="0"/>
    <n v="3"/>
    <n v="3"/>
    <n v="1"/>
    <s v="Technical Degree"/>
    <n v="0"/>
    <n v="0"/>
    <n v="0"/>
    <n v="0"/>
    <n v="1"/>
    <n v="3"/>
    <s v="Male"/>
    <n v="0"/>
    <n v="73"/>
    <n v="3"/>
    <n v="1"/>
    <s v="Research Scientist"/>
    <n v="0"/>
    <n v="0"/>
    <n v="0"/>
    <n v="0"/>
    <n v="0"/>
    <n v="0"/>
    <n v="0"/>
    <n v="1"/>
    <n v="1"/>
    <s v="Single"/>
    <n v="1"/>
    <n v="0"/>
    <n v="3102"/>
    <n v="3102"/>
    <n v="0"/>
    <s v="No"/>
    <n v="0"/>
    <n v="22"/>
    <n v="4"/>
    <n v="3"/>
    <n v="0"/>
    <n v="7"/>
    <x v="2"/>
    <n v="2"/>
    <n v="3"/>
    <n v="6"/>
    <n v="6"/>
    <n v="4"/>
    <n v="0"/>
    <n v="0"/>
    <n v="4"/>
    <n v="4"/>
    <n v="4"/>
    <n v="0"/>
    <n v="0"/>
    <n v="1"/>
    <n v="0"/>
    <n v="1"/>
    <n v="0"/>
    <n v="0"/>
    <n v="0"/>
    <n v="0"/>
    <n v="4"/>
    <n v="0"/>
    <n v="0"/>
    <n v="7"/>
    <n v="0"/>
    <n v="0.72237946293956412"/>
    <n v="3.4508002929560584E-2"/>
    <n v="0.55002080963175637"/>
    <n v="0.16455710867531462"/>
    <n v="0.76386092994953758"/>
    <n v="1.195770434213719"/>
    <n v="0.67891464284095016"/>
  </r>
  <r>
    <n v="22"/>
    <n v="22"/>
    <s v="No"/>
    <n v="0"/>
    <s v="Travel_Rarely"/>
    <n v="0"/>
    <n v="1"/>
    <x v="1"/>
    <n v="1"/>
    <n v="0"/>
    <n v="11"/>
    <n v="11"/>
    <n v="3"/>
    <s v="Medical"/>
    <n v="0"/>
    <n v="0"/>
    <n v="1"/>
    <n v="0"/>
    <n v="0"/>
    <n v="1"/>
    <s v="Female"/>
    <n v="1"/>
    <n v="43"/>
    <n v="3"/>
    <n v="1"/>
    <s v="Research Scientist"/>
    <n v="0"/>
    <n v="0"/>
    <n v="0"/>
    <n v="0"/>
    <n v="0"/>
    <n v="0"/>
    <n v="0"/>
    <n v="1"/>
    <n v="2"/>
    <s v="Married"/>
    <n v="0"/>
    <n v="1"/>
    <n v="2244"/>
    <n v="2244"/>
    <n v="1"/>
    <s v="No"/>
    <n v="0"/>
    <n v="13"/>
    <n v="3"/>
    <n v="4"/>
    <n v="1"/>
    <n v="2"/>
    <x v="16"/>
    <n v="1"/>
    <n v="3"/>
    <n v="2"/>
    <n v="2"/>
    <n v="1"/>
    <n v="1"/>
    <n v="1"/>
    <n v="2"/>
    <n v="2"/>
    <n v="2"/>
    <n v="0"/>
    <n v="1"/>
    <n v="0"/>
    <n v="0"/>
    <n v="0"/>
    <n v="0"/>
    <n v="1"/>
    <n v="0"/>
    <n v="0"/>
    <n v="2"/>
    <n v="0"/>
    <n v="0"/>
    <n v="2"/>
    <n v="0"/>
    <n v="0.90462412650153656"/>
    <n v="0.59502473559756086"/>
    <n v="1.192629766998377"/>
    <n v="0.81745575848020657"/>
    <n v="0.22295710105195232"/>
    <n v="1.6336288320949415"/>
    <n v="0.36858985273641137"/>
  </r>
  <r>
    <n v="36"/>
    <n v="36"/>
    <s v="No"/>
    <n v="0"/>
    <s v="Travel_Rarely"/>
    <n v="0"/>
    <n v="1"/>
    <x v="0"/>
    <n v="0"/>
    <n v="1"/>
    <n v="2"/>
    <n v="2"/>
    <n v="2"/>
    <s v="Medical"/>
    <n v="0"/>
    <n v="0"/>
    <n v="1"/>
    <n v="0"/>
    <n v="0"/>
    <n v="2"/>
    <s v="Male"/>
    <n v="0"/>
    <n v="61"/>
    <n v="2"/>
    <n v="3"/>
    <s v="Sales Executive"/>
    <n v="0"/>
    <n v="1"/>
    <n v="0"/>
    <n v="0"/>
    <n v="0"/>
    <n v="0"/>
    <n v="0"/>
    <n v="0"/>
    <n v="3"/>
    <s v="Married"/>
    <n v="0"/>
    <n v="1"/>
    <n v="7596"/>
    <n v="7596"/>
    <n v="1"/>
    <s v="No"/>
    <n v="0"/>
    <n v="13"/>
    <n v="3"/>
    <n v="2"/>
    <n v="2"/>
    <n v="10"/>
    <x v="1"/>
    <n v="2"/>
    <n v="3"/>
    <n v="10"/>
    <n v="10"/>
    <n v="9"/>
    <n v="9"/>
    <n v="9"/>
    <n v="0"/>
    <n v="0"/>
    <n v="0"/>
    <n v="0"/>
    <n v="1"/>
    <n v="0"/>
    <n v="0"/>
    <n v="0"/>
    <n v="0"/>
    <n v="1"/>
    <n v="0"/>
    <n v="0"/>
    <n v="0"/>
    <n v="0"/>
    <n v="0"/>
    <n v="0"/>
    <n v="10"/>
    <n v="0.23217475389901879"/>
    <n v="1.1555414682655611"/>
    <n v="0.1644554352117841"/>
    <n v="0.48834154112957734"/>
    <n v="0.88721318382472392"/>
    <n v="0.10112443951066327"/>
    <n v="2.114008468099899"/>
  </r>
  <r>
    <n v="30"/>
    <n v="30"/>
    <s v="Yes"/>
    <n v="1"/>
    <s v="Travel_Frequently"/>
    <n v="1"/>
    <n v="0"/>
    <x v="1"/>
    <n v="1"/>
    <n v="0"/>
    <n v="4"/>
    <n v="4"/>
    <n v="3"/>
    <s v="Technical Degree"/>
    <n v="0"/>
    <n v="0"/>
    <n v="0"/>
    <n v="0"/>
    <n v="1"/>
    <n v="3"/>
    <s v="Male"/>
    <n v="0"/>
    <n v="40"/>
    <n v="3"/>
    <n v="1"/>
    <s v="Research Scientist"/>
    <n v="0"/>
    <n v="0"/>
    <n v="0"/>
    <n v="0"/>
    <n v="0"/>
    <n v="0"/>
    <n v="0"/>
    <n v="1"/>
    <n v="4"/>
    <s v="Single"/>
    <n v="1"/>
    <n v="0"/>
    <n v="2285"/>
    <n v="2285"/>
    <n v="9"/>
    <s v="Yes"/>
    <n v="1"/>
    <n v="23"/>
    <n v="4"/>
    <n v="3"/>
    <n v="0"/>
    <n v="3"/>
    <x v="8"/>
    <n v="4"/>
    <n v="3"/>
    <n v="1"/>
    <n v="1"/>
    <n v="0"/>
    <n v="0"/>
    <n v="0"/>
    <n v="0"/>
    <n v="0"/>
    <n v="0"/>
    <n v="0"/>
    <n v="0"/>
    <n v="1"/>
    <n v="0"/>
    <n v="0"/>
    <n v="1"/>
    <n v="0"/>
    <n v="0"/>
    <n v="0"/>
    <n v="0"/>
    <n v="0"/>
    <n v="0"/>
    <n v="3"/>
    <n v="0"/>
    <n v="0.89591546542223488"/>
    <n v="1.1555414682655611"/>
    <n v="1.0641079755250529"/>
    <n v="0.9806804209314296"/>
    <n v="0.64050867607435136"/>
    <n v="0.75791203633249671"/>
    <n v="0.67891464284095016"/>
  </r>
  <r>
    <n v="37"/>
    <n v="37"/>
    <s v="No"/>
    <n v="0"/>
    <s v="Travel_Rarely"/>
    <n v="0"/>
    <n v="1"/>
    <x v="1"/>
    <n v="1"/>
    <n v="0"/>
    <n v="14"/>
    <n v="14"/>
    <n v="3"/>
    <s v="Life Sciences"/>
    <n v="1"/>
    <n v="0"/>
    <n v="0"/>
    <n v="0"/>
    <n v="0"/>
    <n v="4"/>
    <s v="Female"/>
    <n v="1"/>
    <n v="95"/>
    <n v="3"/>
    <n v="1"/>
    <s v="Laboratory Technician"/>
    <n v="0"/>
    <n v="0"/>
    <n v="1"/>
    <n v="0"/>
    <n v="0"/>
    <n v="0"/>
    <n v="0"/>
    <n v="0"/>
    <n v="1"/>
    <s v="Divorced"/>
    <n v="0"/>
    <n v="0"/>
    <n v="3034"/>
    <n v="3034"/>
    <n v="1"/>
    <s v="No"/>
    <n v="0"/>
    <n v="12"/>
    <n v="3"/>
    <n v="3"/>
    <n v="1"/>
    <n v="18"/>
    <x v="30"/>
    <n v="2"/>
    <n v="2"/>
    <n v="18"/>
    <n v="18"/>
    <n v="7"/>
    <n v="12"/>
    <n v="12"/>
    <n v="17"/>
    <n v="14"/>
    <n v="14"/>
    <n v="1"/>
    <n v="0"/>
    <n v="0"/>
    <n v="0"/>
    <n v="1"/>
    <n v="0"/>
    <n v="0"/>
    <n v="0"/>
    <n v="0"/>
    <n v="14"/>
    <n v="0"/>
    <n v="0"/>
    <n v="18"/>
    <n v="0"/>
    <n v="0.73682309594913775"/>
    <n v="3.6088507594124417"/>
    <n v="0.86371889657480871"/>
    <n v="1.794138840739361"/>
    <n v="0.59301386267751111"/>
    <n v="8.3401599596422994E-3"/>
    <n v="3.0449828384135156"/>
  </r>
  <r>
    <n v="40"/>
    <n v="40"/>
    <s v="No"/>
    <n v="0"/>
    <s v="Travel_Rarely"/>
    <n v="0"/>
    <n v="1"/>
    <x v="0"/>
    <n v="0"/>
    <n v="1"/>
    <n v="2"/>
    <n v="2"/>
    <n v="2"/>
    <s v="Marketing"/>
    <n v="0"/>
    <n v="0"/>
    <n v="0"/>
    <n v="1"/>
    <n v="0"/>
    <n v="4"/>
    <s v="Female"/>
    <n v="1"/>
    <n v="46"/>
    <n v="3"/>
    <n v="2"/>
    <s v="Sales Executive"/>
    <n v="0"/>
    <n v="1"/>
    <n v="0"/>
    <n v="0"/>
    <n v="0"/>
    <n v="0"/>
    <n v="0"/>
    <n v="0"/>
    <n v="2"/>
    <s v="Divorced"/>
    <n v="0"/>
    <n v="0"/>
    <n v="5715"/>
    <n v="5715"/>
    <n v="7"/>
    <s v="No"/>
    <n v="0"/>
    <n v="12"/>
    <n v="3"/>
    <n v="3"/>
    <n v="2"/>
    <n v="8"/>
    <x v="0"/>
    <n v="5"/>
    <n v="3"/>
    <n v="5"/>
    <n v="5"/>
    <n v="4"/>
    <n v="1"/>
    <n v="1"/>
    <n v="3"/>
    <n v="3"/>
    <n v="6"/>
    <n v="1"/>
    <n v="0"/>
    <n v="0"/>
    <n v="0"/>
    <n v="1"/>
    <n v="0"/>
    <n v="0"/>
    <n v="0"/>
    <n v="0"/>
    <n v="0"/>
    <n v="3"/>
    <n v="0"/>
    <n v="0"/>
    <n v="8"/>
    <n v="0.16736162390992079"/>
    <n v="0.31476636926356072"/>
    <n v="0.42149901815843233"/>
    <n v="0.32778177112653761"/>
    <n v="0.88721318382472392"/>
    <n v="0.33673395837055903"/>
    <n v="0.36858985273641137"/>
  </r>
  <r>
    <n v="42"/>
    <n v="42"/>
    <s v="No"/>
    <n v="0"/>
    <s v="Travel_Rarely"/>
    <n v="0"/>
    <n v="1"/>
    <x v="1"/>
    <n v="1"/>
    <n v="0"/>
    <n v="1"/>
    <n v="1"/>
    <n v="4"/>
    <s v="Life Sciences"/>
    <n v="1"/>
    <n v="0"/>
    <n v="0"/>
    <n v="0"/>
    <n v="0"/>
    <n v="2"/>
    <s v="Female"/>
    <n v="1"/>
    <n v="95"/>
    <n v="3"/>
    <n v="1"/>
    <s v="Laboratory Technician"/>
    <n v="0"/>
    <n v="0"/>
    <n v="1"/>
    <n v="0"/>
    <n v="0"/>
    <n v="0"/>
    <n v="0"/>
    <n v="0"/>
    <n v="1"/>
    <s v="Divorced"/>
    <n v="0"/>
    <n v="0"/>
    <n v="2576"/>
    <n v="2576"/>
    <n v="3"/>
    <s v="No"/>
    <n v="0"/>
    <n v="16"/>
    <n v="3"/>
    <n v="2"/>
    <n v="1"/>
    <n v="8"/>
    <x v="0"/>
    <n v="5"/>
    <n v="3"/>
    <n v="5"/>
    <n v="5"/>
    <n v="2"/>
    <n v="1"/>
    <n v="1"/>
    <n v="2"/>
    <n v="2"/>
    <n v="2"/>
    <n v="1"/>
    <n v="0"/>
    <n v="0"/>
    <n v="0"/>
    <n v="1"/>
    <n v="0"/>
    <n v="0"/>
    <n v="0"/>
    <n v="0"/>
    <n v="2"/>
    <n v="0"/>
    <n v="0"/>
    <n v="8"/>
    <n v="0"/>
    <n v="0.83410521239597146"/>
    <n v="0.59502473559756086"/>
    <n v="0.42149901815843233"/>
    <n v="0.32778177112653761"/>
    <n v="1.01056543769991"/>
    <n v="0.55566315731117022"/>
    <n v="0.36858985273641137"/>
  </r>
  <r>
    <n v="37"/>
    <n v="37"/>
    <s v="No"/>
    <n v="0"/>
    <s v="Travel_Rarely"/>
    <n v="0"/>
    <n v="1"/>
    <x v="1"/>
    <n v="1"/>
    <n v="0"/>
    <n v="10"/>
    <n v="10"/>
    <n v="4"/>
    <s v="Life Sciences"/>
    <n v="1"/>
    <n v="0"/>
    <n v="0"/>
    <n v="0"/>
    <n v="0"/>
    <n v="3"/>
    <s v="Male"/>
    <n v="0"/>
    <n v="49"/>
    <n v="3"/>
    <n v="2"/>
    <s v="Manufacturing Director"/>
    <n v="0"/>
    <n v="0"/>
    <n v="0"/>
    <n v="0"/>
    <n v="1"/>
    <n v="1"/>
    <n v="0"/>
    <n v="0"/>
    <n v="2"/>
    <s v="Single"/>
    <n v="1"/>
    <n v="0"/>
    <n v="4197"/>
    <n v="4197"/>
    <n v="2"/>
    <s v="Yes"/>
    <n v="1"/>
    <n v="12"/>
    <n v="3"/>
    <n v="4"/>
    <n v="0"/>
    <n v="18"/>
    <x v="30"/>
    <n v="2"/>
    <n v="2"/>
    <n v="1"/>
    <n v="1"/>
    <n v="0"/>
    <n v="0"/>
    <n v="0"/>
    <n v="1"/>
    <n v="1"/>
    <n v="2"/>
    <n v="1"/>
    <n v="0"/>
    <n v="0"/>
    <n v="0"/>
    <n v="0"/>
    <n v="1"/>
    <n v="0"/>
    <n v="0"/>
    <n v="0"/>
    <n v="1"/>
    <n v="0"/>
    <n v="0"/>
    <n v="18"/>
    <n v="0"/>
    <n v="0.48979449021187205"/>
    <n v="0.87528310193156111"/>
    <n v="0.86371889657480871"/>
    <n v="0.9806804209314296"/>
    <n v="9.9604847176766084E-2"/>
    <n v="8.3401599596422994E-3"/>
    <n v="0.67891464284095016"/>
  </r>
  <r>
    <n v="43"/>
    <n v="43"/>
    <s v="No"/>
    <n v="0"/>
    <s v="Travel_Rarely"/>
    <n v="0"/>
    <n v="1"/>
    <x v="1"/>
    <n v="1"/>
    <n v="0"/>
    <n v="12"/>
    <n v="12"/>
    <n v="3"/>
    <s v="Life Sciences"/>
    <n v="1"/>
    <n v="0"/>
    <n v="0"/>
    <n v="0"/>
    <n v="0"/>
    <n v="1"/>
    <s v="Male"/>
    <n v="0"/>
    <n v="59"/>
    <n v="2"/>
    <n v="4"/>
    <s v="Research Director"/>
    <n v="0"/>
    <n v="0"/>
    <n v="0"/>
    <n v="0"/>
    <n v="0"/>
    <n v="0"/>
    <n v="0"/>
    <n v="0"/>
    <n v="2"/>
    <s v="Divorced"/>
    <n v="0"/>
    <n v="0"/>
    <n v="14336"/>
    <n v="14336"/>
    <n v="1"/>
    <s v="No"/>
    <n v="0"/>
    <n v="11"/>
    <n v="3"/>
    <n v="3"/>
    <n v="1"/>
    <n v="25"/>
    <x v="24"/>
    <n v="3"/>
    <n v="3"/>
    <n v="25"/>
    <n v="25"/>
    <n v="10"/>
    <n v="3"/>
    <n v="3"/>
    <n v="9"/>
    <n v="9"/>
    <n v="36"/>
    <n v="1"/>
    <n v="0"/>
    <n v="0"/>
    <n v="0"/>
    <n v="1"/>
    <n v="0"/>
    <n v="0"/>
    <n v="0"/>
    <n v="0"/>
    <n v="9"/>
    <n v="0"/>
    <n v="0"/>
    <n v="25"/>
    <n v="0"/>
    <n v="1.6637936727891054"/>
    <n v="1.3667838287404401"/>
    <n v="1.7633714368880775"/>
    <n v="2.936711477897922"/>
    <n v="0.3463093549271386"/>
    <n v="0.66512775678147573"/>
    <n v="0.2520597274726662"/>
  </r>
  <r>
    <n v="40"/>
    <n v="40"/>
    <s v="No"/>
    <n v="0"/>
    <s v="Travel_Rarely"/>
    <n v="0"/>
    <n v="1"/>
    <x v="1"/>
    <n v="1"/>
    <n v="0"/>
    <n v="2"/>
    <n v="2"/>
    <n v="3"/>
    <s v="Medical"/>
    <n v="0"/>
    <n v="0"/>
    <n v="1"/>
    <n v="0"/>
    <n v="0"/>
    <n v="2"/>
    <s v="Female"/>
    <n v="1"/>
    <n v="78"/>
    <n v="2"/>
    <n v="2"/>
    <s v="Laboratory Technician"/>
    <n v="0"/>
    <n v="0"/>
    <n v="1"/>
    <n v="0"/>
    <n v="0"/>
    <n v="0"/>
    <n v="0"/>
    <n v="0"/>
    <n v="3"/>
    <s v="Married"/>
    <n v="0"/>
    <n v="1"/>
    <n v="3448"/>
    <n v="3448"/>
    <n v="6"/>
    <s v="No"/>
    <n v="0"/>
    <n v="22"/>
    <n v="4"/>
    <n v="2"/>
    <n v="1"/>
    <n v="20"/>
    <x v="25"/>
    <n v="3"/>
    <n v="3"/>
    <n v="1"/>
    <n v="1"/>
    <n v="0"/>
    <n v="0"/>
    <n v="0"/>
    <n v="0"/>
    <n v="0"/>
    <n v="0"/>
    <n v="0"/>
    <n v="1"/>
    <n v="0"/>
    <n v="0"/>
    <n v="0"/>
    <n v="0"/>
    <n v="1"/>
    <n v="0"/>
    <n v="0"/>
    <n v="0"/>
    <n v="0"/>
    <n v="0"/>
    <n v="20"/>
    <n v="0"/>
    <n v="0.64888685968496917"/>
    <n v="1.1555414682655611"/>
    <n v="1.120762479521457"/>
    <n v="0.9806804209314296"/>
    <n v="0.88721318382472392"/>
    <n v="0.33673395837055903"/>
    <n v="0.67891464284095016"/>
  </r>
  <r>
    <n v="54"/>
    <n v="54"/>
    <s v="No"/>
    <n v="0"/>
    <s v="Travel_Rarely"/>
    <n v="0"/>
    <n v="1"/>
    <x v="1"/>
    <n v="1"/>
    <n v="0"/>
    <n v="5"/>
    <n v="5"/>
    <n v="2"/>
    <s v="Medical"/>
    <n v="0"/>
    <n v="0"/>
    <n v="1"/>
    <n v="0"/>
    <n v="0"/>
    <n v="1"/>
    <s v="Male"/>
    <n v="0"/>
    <n v="86"/>
    <n v="3"/>
    <n v="5"/>
    <s v="Research Director"/>
    <n v="0"/>
    <n v="0"/>
    <n v="0"/>
    <n v="0"/>
    <n v="0"/>
    <n v="0"/>
    <n v="0"/>
    <n v="0"/>
    <n v="1"/>
    <s v="Married"/>
    <n v="0"/>
    <n v="1"/>
    <n v="19406"/>
    <n v="19406"/>
    <n v="4"/>
    <s v="No"/>
    <n v="0"/>
    <n v="11"/>
    <n v="3"/>
    <n v="3"/>
    <n v="1"/>
    <n v="24"/>
    <x v="12"/>
    <n v="4"/>
    <n v="2"/>
    <n v="4"/>
    <n v="4"/>
    <n v="2"/>
    <n v="1"/>
    <n v="1"/>
    <n v="2"/>
    <n v="2"/>
    <n v="10"/>
    <n v="0"/>
    <n v="1"/>
    <n v="0"/>
    <n v="0"/>
    <n v="0"/>
    <n v="0"/>
    <n v="1"/>
    <n v="0"/>
    <n v="0"/>
    <n v="2"/>
    <n v="0"/>
    <n v="0"/>
    <n v="24"/>
    <n v="0"/>
    <n v="2.7406939574734879"/>
    <n v="0.59502473559756086"/>
    <n v="1.6348496454147534"/>
    <n v="0.49100643357776058"/>
    <n v="0.51715642219916513"/>
    <n v="1.8692383509548371"/>
    <n v="0.36858985273641137"/>
  </r>
  <r>
    <n v="34"/>
    <n v="34"/>
    <s v="No"/>
    <n v="0"/>
    <s v="Non-Travel"/>
    <n v="0"/>
    <n v="0"/>
    <x v="0"/>
    <n v="0"/>
    <n v="1"/>
    <n v="4"/>
    <n v="4"/>
    <n v="4"/>
    <s v="Marketing"/>
    <n v="0"/>
    <n v="0"/>
    <n v="0"/>
    <n v="1"/>
    <n v="0"/>
    <n v="3"/>
    <s v="Female"/>
    <n v="1"/>
    <n v="72"/>
    <n v="3"/>
    <n v="2"/>
    <s v="Sales Executive"/>
    <n v="0"/>
    <n v="1"/>
    <n v="0"/>
    <n v="0"/>
    <n v="0"/>
    <n v="0"/>
    <n v="0"/>
    <n v="0"/>
    <n v="3"/>
    <s v="Married"/>
    <n v="0"/>
    <n v="1"/>
    <n v="6538"/>
    <n v="6538"/>
    <n v="9"/>
    <s v="No"/>
    <n v="0"/>
    <n v="15"/>
    <n v="3"/>
    <n v="1"/>
    <n v="1"/>
    <n v="6"/>
    <x v="3"/>
    <n v="3"/>
    <n v="3"/>
    <n v="3"/>
    <n v="3"/>
    <n v="2"/>
    <n v="1"/>
    <n v="1"/>
    <n v="2"/>
    <n v="2"/>
    <n v="4"/>
    <n v="0"/>
    <n v="1"/>
    <n v="0"/>
    <n v="0"/>
    <n v="0"/>
    <n v="0"/>
    <n v="1"/>
    <n v="0"/>
    <n v="0"/>
    <n v="0"/>
    <n v="2"/>
    <n v="0"/>
    <n v="0"/>
    <n v="6"/>
    <n v="7.4488167794770173E-3"/>
    <n v="0.59502473559756086"/>
    <n v="0.67854260110508058"/>
    <n v="0.65423109602898355"/>
    <n v="0.64050867607435136"/>
    <n v="0.32005363845127444"/>
    <n v="0.36858985273641137"/>
  </r>
  <r>
    <n v="31"/>
    <n v="31"/>
    <s v="No"/>
    <n v="0"/>
    <s v="Travel_Rarely"/>
    <n v="0"/>
    <n v="1"/>
    <x v="1"/>
    <n v="1"/>
    <n v="0"/>
    <n v="7"/>
    <n v="7"/>
    <n v="2"/>
    <s v="Medical"/>
    <n v="0"/>
    <n v="0"/>
    <n v="1"/>
    <n v="0"/>
    <n v="0"/>
    <n v="2"/>
    <s v="Female"/>
    <n v="1"/>
    <n v="31"/>
    <n v="3"/>
    <n v="2"/>
    <s v="Manufacturing Director"/>
    <n v="0"/>
    <n v="0"/>
    <n v="0"/>
    <n v="0"/>
    <n v="1"/>
    <n v="1"/>
    <n v="0"/>
    <n v="0"/>
    <n v="1"/>
    <s v="Married"/>
    <n v="0"/>
    <n v="1"/>
    <n v="4306"/>
    <n v="4306"/>
    <n v="1"/>
    <s v="No"/>
    <n v="0"/>
    <n v="12"/>
    <n v="3"/>
    <n v="2"/>
    <n v="1"/>
    <n v="13"/>
    <x v="10"/>
    <n v="5"/>
    <n v="1"/>
    <n v="13"/>
    <n v="13"/>
    <n v="10"/>
    <n v="3"/>
    <n v="3"/>
    <n v="12"/>
    <n v="12"/>
    <n v="24"/>
    <n v="0"/>
    <n v="1"/>
    <n v="0"/>
    <n v="0"/>
    <n v="0"/>
    <n v="0"/>
    <n v="1"/>
    <n v="0"/>
    <n v="0"/>
    <n v="12"/>
    <n v="0"/>
    <n v="0"/>
    <n v="13"/>
    <n v="0"/>
    <n v="0.46664219612299673"/>
    <n v="2.2075589277424408"/>
    <n v="0.22110993920818819"/>
    <n v="0.97801552848324624"/>
    <n v="0.27045191444879263"/>
    <n v="0.6484474368621912"/>
    <n v="0.2520597274726662"/>
  </r>
  <r>
    <n v="43"/>
    <n v="43"/>
    <s v="No"/>
    <n v="0"/>
    <s v="Travel_Frequently"/>
    <n v="1"/>
    <n v="0"/>
    <x v="1"/>
    <n v="1"/>
    <n v="0"/>
    <n v="21"/>
    <n v="21"/>
    <n v="3"/>
    <s v="Medical"/>
    <n v="0"/>
    <n v="0"/>
    <n v="1"/>
    <n v="0"/>
    <n v="0"/>
    <n v="4"/>
    <s v="Male"/>
    <n v="0"/>
    <n v="61"/>
    <n v="3"/>
    <n v="1"/>
    <s v="Laboratory Technician"/>
    <n v="0"/>
    <n v="0"/>
    <n v="1"/>
    <n v="0"/>
    <n v="0"/>
    <n v="0"/>
    <n v="0"/>
    <n v="0"/>
    <n v="4"/>
    <s v="Married"/>
    <n v="0"/>
    <n v="1"/>
    <n v="2258"/>
    <n v="2258"/>
    <n v="7"/>
    <s v="No"/>
    <n v="0"/>
    <n v="20"/>
    <n v="4"/>
    <n v="1"/>
    <n v="1"/>
    <n v="8"/>
    <x v="0"/>
    <n v="1"/>
    <n v="3"/>
    <n v="3"/>
    <n v="3"/>
    <n v="2"/>
    <n v="1"/>
    <n v="1"/>
    <n v="2"/>
    <n v="2"/>
    <n v="2"/>
    <n v="0"/>
    <n v="0"/>
    <n v="0"/>
    <n v="1"/>
    <n v="0"/>
    <n v="0"/>
    <n v="1"/>
    <n v="0"/>
    <n v="0"/>
    <n v="2"/>
    <n v="0"/>
    <n v="0"/>
    <n v="8"/>
    <n v="0"/>
    <n v="0.90165043735250672"/>
    <n v="0.59502473559756086"/>
    <n v="0.42149901815843233"/>
    <n v="0.65423109602898355"/>
    <n v="1.4564796398038149"/>
    <n v="0.66512775678147573"/>
    <n v="0.36858985273641137"/>
  </r>
  <r>
    <n v="43"/>
    <n v="43"/>
    <s v="No"/>
    <n v="0"/>
    <s v="Travel_Rarely"/>
    <n v="0"/>
    <n v="1"/>
    <x v="1"/>
    <n v="1"/>
    <n v="0"/>
    <n v="8"/>
    <n v="8"/>
    <n v="4"/>
    <s v="Other"/>
    <n v="0"/>
    <n v="1"/>
    <n v="0"/>
    <n v="0"/>
    <n v="0"/>
    <n v="3"/>
    <s v="Female"/>
    <n v="1"/>
    <n v="74"/>
    <n v="3"/>
    <n v="2"/>
    <s v="Healthcare Representative"/>
    <n v="1"/>
    <n v="0"/>
    <n v="0"/>
    <n v="0"/>
    <n v="0"/>
    <n v="0"/>
    <n v="0"/>
    <n v="0"/>
    <n v="3"/>
    <s v="Divorced"/>
    <n v="0"/>
    <n v="0"/>
    <n v="4522"/>
    <n v="4522"/>
    <n v="4"/>
    <s v="Yes"/>
    <n v="1"/>
    <n v="14"/>
    <n v="3"/>
    <n v="4"/>
    <n v="0"/>
    <n v="8"/>
    <x v="0"/>
    <n v="3"/>
    <n v="3"/>
    <n v="5"/>
    <n v="5"/>
    <n v="2"/>
    <n v="0"/>
    <n v="0"/>
    <n v="2"/>
    <n v="2"/>
    <n v="4"/>
    <n v="1"/>
    <n v="0"/>
    <n v="0"/>
    <n v="0"/>
    <n v="0"/>
    <n v="1"/>
    <n v="0"/>
    <n v="0"/>
    <n v="0"/>
    <n v="2"/>
    <n v="0"/>
    <n v="0"/>
    <n v="8"/>
    <n v="0"/>
    <n v="0.42076242068082187"/>
    <n v="0.59502473559756086"/>
    <n v="0.42149901815843233"/>
    <n v="0.32778177112653761"/>
    <n v="0.14709966057360641"/>
    <n v="0.66512775678147573"/>
    <n v="0.67891464284095016"/>
  </r>
  <r>
    <n v="25"/>
    <n v="25"/>
    <s v="No"/>
    <n v="0"/>
    <s v="Travel_Rarely"/>
    <n v="0"/>
    <n v="1"/>
    <x v="0"/>
    <n v="0"/>
    <n v="1"/>
    <n v="4"/>
    <n v="4"/>
    <n v="2"/>
    <s v="Life Sciences"/>
    <n v="1"/>
    <n v="0"/>
    <n v="0"/>
    <n v="0"/>
    <n v="0"/>
    <n v="2"/>
    <s v="Female"/>
    <n v="1"/>
    <n v="99"/>
    <n v="2"/>
    <n v="2"/>
    <s v="Sales Executive"/>
    <n v="0"/>
    <n v="1"/>
    <n v="0"/>
    <n v="0"/>
    <n v="0"/>
    <n v="0"/>
    <n v="0"/>
    <n v="0"/>
    <n v="4"/>
    <s v="Single"/>
    <n v="1"/>
    <n v="0"/>
    <n v="4487"/>
    <n v="4487"/>
    <n v="1"/>
    <s v="Yes"/>
    <n v="1"/>
    <n v="11"/>
    <n v="3"/>
    <n v="2"/>
    <n v="0"/>
    <n v="5"/>
    <x v="7"/>
    <n v="3"/>
    <n v="3"/>
    <n v="5"/>
    <n v="5"/>
    <n v="4"/>
    <n v="1"/>
    <n v="1"/>
    <n v="3"/>
    <n v="3"/>
    <n v="6"/>
    <n v="1"/>
    <n v="0"/>
    <n v="0"/>
    <n v="0"/>
    <n v="0"/>
    <n v="1"/>
    <n v="0"/>
    <n v="0"/>
    <n v="0"/>
    <n v="0"/>
    <n v="3"/>
    <n v="0"/>
    <n v="0"/>
    <n v="5"/>
    <n v="0.42819664355339648"/>
    <n v="0.31476636926356072"/>
    <n v="0.80706439257840468"/>
    <n v="0.32778177112653761"/>
    <n v="0.64050867607435136"/>
    <n v="1.3052350336840246"/>
    <n v="0.36858985273641137"/>
  </r>
  <r>
    <n v="37"/>
    <n v="37"/>
    <s v="No"/>
    <n v="0"/>
    <s v="Non-Travel"/>
    <n v="0"/>
    <n v="0"/>
    <x v="1"/>
    <n v="1"/>
    <n v="0"/>
    <n v="25"/>
    <n v="25"/>
    <n v="5"/>
    <s v="Medical"/>
    <n v="0"/>
    <n v="0"/>
    <n v="1"/>
    <n v="0"/>
    <n v="0"/>
    <n v="2"/>
    <s v="Female"/>
    <n v="1"/>
    <n v="72"/>
    <n v="3"/>
    <n v="2"/>
    <s v="Research Scientist"/>
    <n v="0"/>
    <n v="0"/>
    <n v="0"/>
    <n v="0"/>
    <n v="0"/>
    <n v="0"/>
    <n v="0"/>
    <n v="1"/>
    <n v="3"/>
    <s v="Married"/>
    <n v="0"/>
    <n v="1"/>
    <n v="4449"/>
    <n v="4449"/>
    <n v="3"/>
    <s v="Yes"/>
    <n v="1"/>
    <n v="15"/>
    <n v="3"/>
    <n v="1"/>
    <n v="2"/>
    <n v="15"/>
    <x v="19"/>
    <n v="2"/>
    <n v="3"/>
    <n v="13"/>
    <n v="13"/>
    <n v="11"/>
    <n v="10"/>
    <n v="10"/>
    <n v="7"/>
    <n v="7"/>
    <n v="14"/>
    <n v="0"/>
    <n v="1"/>
    <n v="0"/>
    <n v="0"/>
    <n v="0"/>
    <n v="0"/>
    <n v="0"/>
    <n v="1"/>
    <n v="0"/>
    <n v="7"/>
    <n v="0"/>
    <n v="0"/>
    <n v="15"/>
    <n v="0"/>
    <n v="0.43626808552933466"/>
    <n v="0.80626709607243985"/>
    <n v="0.47815352215483642"/>
    <n v="0.97801552848324624"/>
    <n v="1.9498886553045598"/>
    <n v="8.3401599596422994E-3"/>
    <n v="2.4243332582044381"/>
  </r>
  <r>
    <n v="31"/>
    <n v="31"/>
    <s v="No"/>
    <n v="0"/>
    <s v="Travel_Rarely"/>
    <n v="0"/>
    <n v="1"/>
    <x v="1"/>
    <n v="1"/>
    <n v="0"/>
    <n v="1"/>
    <n v="1"/>
    <n v="2"/>
    <s v="Life Sciences"/>
    <n v="1"/>
    <n v="0"/>
    <n v="0"/>
    <n v="0"/>
    <n v="0"/>
    <n v="4"/>
    <s v="Male"/>
    <n v="0"/>
    <n v="98"/>
    <n v="2"/>
    <n v="1"/>
    <s v="Laboratory Technician"/>
    <n v="0"/>
    <n v="0"/>
    <n v="1"/>
    <n v="0"/>
    <n v="0"/>
    <n v="0"/>
    <n v="0"/>
    <n v="0"/>
    <n v="1"/>
    <s v="Married"/>
    <n v="0"/>
    <n v="1"/>
    <n v="2218"/>
    <n v="2218"/>
    <n v="1"/>
    <s v="No"/>
    <n v="0"/>
    <n v="12"/>
    <n v="3"/>
    <n v="3"/>
    <n v="1"/>
    <n v="4"/>
    <x v="20"/>
    <n v="3"/>
    <n v="3"/>
    <n v="4"/>
    <n v="4"/>
    <n v="2"/>
    <n v="3"/>
    <n v="3"/>
    <n v="2"/>
    <n v="2"/>
    <n v="2"/>
    <n v="0"/>
    <n v="1"/>
    <n v="0"/>
    <n v="0"/>
    <n v="0"/>
    <n v="0"/>
    <n v="1"/>
    <n v="0"/>
    <n v="0"/>
    <n v="2"/>
    <n v="0"/>
    <n v="0"/>
    <n v="4"/>
    <n v="0"/>
    <n v="0.91014669206402066"/>
    <n v="0.59502473559756086"/>
    <n v="0.93558618405172878"/>
    <n v="0.49100643357776058"/>
    <n v="1.01056543769991"/>
    <n v="0.6484474368621912"/>
    <n v="0.2520597274726662"/>
  </r>
  <r>
    <n v="39"/>
    <n v="39"/>
    <s v="No"/>
    <n v="0"/>
    <s v="Travel_Frequently"/>
    <n v="1"/>
    <n v="0"/>
    <x v="1"/>
    <n v="1"/>
    <n v="0"/>
    <n v="1"/>
    <n v="1"/>
    <n v="1"/>
    <s v="Life Sciences"/>
    <n v="1"/>
    <n v="0"/>
    <n v="0"/>
    <n v="0"/>
    <n v="0"/>
    <n v="2"/>
    <s v="Male"/>
    <n v="0"/>
    <n v="52"/>
    <n v="3"/>
    <n v="5"/>
    <s v="Manager"/>
    <n v="0"/>
    <n v="0"/>
    <n v="0"/>
    <n v="1"/>
    <n v="0"/>
    <n v="0"/>
    <n v="0"/>
    <n v="0"/>
    <n v="3"/>
    <s v="Divorced"/>
    <n v="0"/>
    <n v="0"/>
    <n v="19197"/>
    <n v="19197"/>
    <n v="1"/>
    <s v="Yes"/>
    <n v="1"/>
    <n v="14"/>
    <n v="3"/>
    <n v="3"/>
    <n v="1"/>
    <n v="21"/>
    <x v="23"/>
    <n v="3"/>
    <n v="3"/>
    <n v="21"/>
    <n v="21"/>
    <n v="8"/>
    <n v="1"/>
    <n v="1"/>
    <n v="6"/>
    <n v="6"/>
    <n v="30"/>
    <n v="0"/>
    <n v="0"/>
    <n v="1"/>
    <n v="0"/>
    <n v="0"/>
    <n v="1"/>
    <n v="0"/>
    <n v="0"/>
    <n v="0"/>
    <n v="6"/>
    <n v="0"/>
    <n v="0"/>
    <n v="21"/>
    <n v="0"/>
    <n v="2.6963010266058278"/>
    <n v="0.52600872973843971"/>
    <n v="1.2492842709947811"/>
    <n v="2.2838128280930299"/>
    <n v="1.01056543769991"/>
    <n v="0.22726935890025346"/>
    <n v="0.36858985273641137"/>
  </r>
  <r>
    <n v="56"/>
    <n v="56"/>
    <s v="No"/>
    <n v="0"/>
    <s v="Travel_Frequently"/>
    <n v="1"/>
    <n v="0"/>
    <x v="0"/>
    <n v="0"/>
    <n v="1"/>
    <n v="6"/>
    <n v="6"/>
    <n v="3"/>
    <s v="Life Sciences"/>
    <n v="1"/>
    <n v="0"/>
    <n v="0"/>
    <n v="0"/>
    <n v="0"/>
    <n v="3"/>
    <s v="Female"/>
    <n v="1"/>
    <n v="86"/>
    <n v="4"/>
    <n v="4"/>
    <s v="Sales Executive"/>
    <n v="0"/>
    <n v="1"/>
    <n v="0"/>
    <n v="0"/>
    <n v="0"/>
    <n v="0"/>
    <n v="0"/>
    <n v="0"/>
    <n v="1"/>
    <s v="Married"/>
    <n v="0"/>
    <n v="1"/>
    <n v="13212"/>
    <n v="13212"/>
    <n v="9"/>
    <s v="No"/>
    <n v="0"/>
    <n v="11"/>
    <n v="3"/>
    <n v="4"/>
    <n v="3"/>
    <n v="36"/>
    <x v="28"/>
    <n v="0"/>
    <n v="2"/>
    <n v="7"/>
    <n v="7"/>
    <n v="7"/>
    <n v="7"/>
    <n v="7"/>
    <n v="7"/>
    <n v="7"/>
    <n v="28"/>
    <n v="0"/>
    <n v="0"/>
    <n v="0"/>
    <n v="1"/>
    <n v="0"/>
    <n v="0"/>
    <n v="1"/>
    <n v="0"/>
    <n v="0"/>
    <n v="0"/>
    <n v="7"/>
    <n v="0"/>
    <n v="0"/>
    <n v="35"/>
    <n v="1.4250489153955657"/>
    <n v="0.80626709607243985"/>
    <n v="3.1771111430946424"/>
    <n v="1.3324462240916321E-3"/>
    <n v="0.39380416832397891"/>
    <n v="2.0881675498954482"/>
    <n v="1.4933588878908215"/>
  </r>
  <r>
    <n v="30"/>
    <n v="30"/>
    <s v="No"/>
    <n v="0"/>
    <s v="Travel_Rarely"/>
    <n v="0"/>
    <n v="1"/>
    <x v="0"/>
    <n v="0"/>
    <n v="1"/>
    <n v="12"/>
    <n v="12"/>
    <n v="3"/>
    <s v="Technical Degree"/>
    <n v="0"/>
    <n v="0"/>
    <n v="0"/>
    <n v="0"/>
    <n v="1"/>
    <n v="2"/>
    <s v="Female"/>
    <n v="1"/>
    <n v="83"/>
    <n v="3"/>
    <n v="2"/>
    <s v="Sales Executive"/>
    <n v="0"/>
    <n v="1"/>
    <n v="0"/>
    <n v="0"/>
    <n v="0"/>
    <n v="0"/>
    <n v="0"/>
    <n v="0"/>
    <n v="3"/>
    <s v="Single"/>
    <n v="1"/>
    <n v="0"/>
    <n v="6577"/>
    <n v="6577"/>
    <n v="0"/>
    <s v="No"/>
    <n v="0"/>
    <n v="11"/>
    <n v="3"/>
    <n v="2"/>
    <n v="0"/>
    <n v="6"/>
    <x v="3"/>
    <n v="6"/>
    <n v="3"/>
    <n v="5"/>
    <n v="5"/>
    <n v="4"/>
    <n v="4"/>
    <n v="4"/>
    <n v="4"/>
    <n v="4"/>
    <n v="8"/>
    <n v="1"/>
    <n v="0"/>
    <n v="0"/>
    <n v="0"/>
    <n v="1"/>
    <n v="0"/>
    <n v="0"/>
    <n v="0"/>
    <n v="0"/>
    <n v="0"/>
    <n v="4"/>
    <n v="0"/>
    <n v="0"/>
    <n v="6"/>
    <n v="1.5732665123203038E-2"/>
    <n v="3.4508002929560584E-2"/>
    <n v="0.67854260110508058"/>
    <n v="0.32778177112653761"/>
    <n v="0.3463093549271386"/>
    <n v="0.75791203633249671"/>
    <n v="0.56238451757720498"/>
  </r>
  <r>
    <n v="41"/>
    <n v="41"/>
    <s v="No"/>
    <n v="0"/>
    <s v="Travel_Rarely"/>
    <n v="0"/>
    <n v="1"/>
    <x v="0"/>
    <n v="0"/>
    <n v="1"/>
    <n v="1"/>
    <n v="1"/>
    <n v="3"/>
    <s v="Marketing"/>
    <n v="0"/>
    <n v="0"/>
    <n v="0"/>
    <n v="1"/>
    <n v="0"/>
    <n v="2"/>
    <s v="Male"/>
    <n v="0"/>
    <n v="49"/>
    <n v="4"/>
    <n v="3"/>
    <s v="Sales Executive"/>
    <n v="0"/>
    <n v="1"/>
    <n v="0"/>
    <n v="0"/>
    <n v="0"/>
    <n v="0"/>
    <n v="0"/>
    <n v="0"/>
    <n v="1"/>
    <s v="Married"/>
    <n v="0"/>
    <n v="1"/>
    <n v="8392"/>
    <n v="8392"/>
    <n v="1"/>
    <s v="No"/>
    <n v="0"/>
    <n v="16"/>
    <n v="3"/>
    <n v="3"/>
    <n v="1"/>
    <n v="10"/>
    <x v="1"/>
    <n v="2"/>
    <n v="3"/>
    <n v="10"/>
    <n v="10"/>
    <n v="7"/>
    <n v="0"/>
    <n v="0"/>
    <n v="7"/>
    <n v="7"/>
    <n v="21"/>
    <n v="0"/>
    <n v="1"/>
    <n v="0"/>
    <n v="0"/>
    <n v="0"/>
    <n v="0"/>
    <n v="1"/>
    <n v="0"/>
    <n v="0"/>
    <n v="0"/>
    <n v="7"/>
    <n v="0"/>
    <n v="0"/>
    <n v="10"/>
    <n v="0.40125022265814475"/>
    <n v="0.80626709607243985"/>
    <n v="0.1644554352117841"/>
    <n v="0.48834154112957734"/>
    <n v="1.01056543769991"/>
    <n v="0.4461985578408646"/>
    <n v="0.67891464284095016"/>
  </r>
  <r>
    <n v="28"/>
    <n v="28"/>
    <s v="No"/>
    <n v="0"/>
    <s v="Travel_Rarely"/>
    <n v="0"/>
    <n v="1"/>
    <x v="1"/>
    <n v="1"/>
    <n v="0"/>
    <n v="17"/>
    <n v="17"/>
    <n v="2"/>
    <s v="Medical"/>
    <n v="0"/>
    <n v="0"/>
    <n v="1"/>
    <n v="0"/>
    <n v="0"/>
    <n v="3"/>
    <s v="Male"/>
    <n v="0"/>
    <n v="79"/>
    <n v="3"/>
    <n v="2"/>
    <s v="Laboratory Technician"/>
    <n v="0"/>
    <n v="0"/>
    <n v="1"/>
    <n v="0"/>
    <n v="0"/>
    <n v="0"/>
    <n v="0"/>
    <n v="0"/>
    <n v="1"/>
    <s v="Divorced"/>
    <n v="0"/>
    <n v="0"/>
    <n v="4558"/>
    <n v="4558"/>
    <n v="1"/>
    <s v="No"/>
    <n v="0"/>
    <n v="12"/>
    <n v="3"/>
    <n v="4"/>
    <n v="1"/>
    <n v="10"/>
    <x v="1"/>
    <n v="2"/>
    <n v="3"/>
    <n v="10"/>
    <n v="10"/>
    <n v="0"/>
    <n v="1"/>
    <n v="1"/>
    <n v="8"/>
    <n v="8"/>
    <n v="16"/>
    <n v="1"/>
    <n v="0"/>
    <n v="0"/>
    <n v="0"/>
    <n v="1"/>
    <n v="0"/>
    <n v="0"/>
    <n v="0"/>
    <n v="0"/>
    <n v="8"/>
    <n v="0"/>
    <n v="0"/>
    <n v="10"/>
    <n v="0"/>
    <n v="0.4131157914404594"/>
    <n v="1.08652546240644"/>
    <n v="0.1644554352117841"/>
    <n v="0.48834154112957734"/>
    <n v="0.96307062430306978"/>
    <n v="0.97684123527310796"/>
    <n v="0.36858985273641137"/>
  </r>
  <r>
    <n v="25"/>
    <n v="25"/>
    <s v="Yes"/>
    <n v="1"/>
    <s v="Travel_Rarely"/>
    <n v="0"/>
    <n v="1"/>
    <x v="1"/>
    <n v="1"/>
    <n v="0"/>
    <n v="3"/>
    <n v="3"/>
    <n v="3"/>
    <s v="Medical"/>
    <n v="0"/>
    <n v="0"/>
    <n v="1"/>
    <n v="0"/>
    <n v="0"/>
    <n v="1"/>
    <s v="Male"/>
    <n v="0"/>
    <n v="91"/>
    <n v="3"/>
    <n v="1"/>
    <s v="Laboratory Technician"/>
    <n v="0"/>
    <n v="0"/>
    <n v="1"/>
    <n v="0"/>
    <n v="0"/>
    <n v="0"/>
    <n v="0"/>
    <n v="0"/>
    <n v="1"/>
    <s v="Married"/>
    <n v="0"/>
    <n v="1"/>
    <n v="4031"/>
    <n v="4031"/>
    <n v="5"/>
    <s v="No"/>
    <n v="0"/>
    <n v="13"/>
    <n v="3"/>
    <n v="3"/>
    <n v="1"/>
    <n v="6"/>
    <x v="3"/>
    <n v="5"/>
    <n v="3"/>
    <n v="2"/>
    <n v="2"/>
    <n v="2"/>
    <n v="0"/>
    <n v="0"/>
    <n v="2"/>
    <n v="2"/>
    <n v="2"/>
    <n v="0"/>
    <n v="1"/>
    <n v="0"/>
    <n v="0"/>
    <n v="0"/>
    <n v="0"/>
    <n v="1"/>
    <n v="0"/>
    <n v="0"/>
    <n v="2"/>
    <n v="0"/>
    <n v="0"/>
    <n v="6"/>
    <n v="0"/>
    <n v="0.5250539472646546"/>
    <n v="0.59502473559756086"/>
    <n v="0.67854260110508058"/>
    <n v="0.81745575848020657"/>
    <n v="0.76386092994953758"/>
    <n v="1.3052350336840246"/>
    <n v="0.67891464284095016"/>
  </r>
  <r>
    <n v="52"/>
    <n v="52"/>
    <s v="No"/>
    <n v="0"/>
    <s v="Travel_Rarely"/>
    <n v="0"/>
    <n v="1"/>
    <x v="1"/>
    <n v="1"/>
    <n v="0"/>
    <n v="3"/>
    <n v="3"/>
    <n v="3"/>
    <s v="Medical"/>
    <n v="0"/>
    <n v="0"/>
    <n v="1"/>
    <n v="0"/>
    <n v="0"/>
    <n v="4"/>
    <s v="Male"/>
    <n v="0"/>
    <n v="39"/>
    <n v="2"/>
    <n v="3"/>
    <s v="Manufacturing Director"/>
    <n v="0"/>
    <n v="0"/>
    <n v="0"/>
    <n v="0"/>
    <n v="1"/>
    <n v="1"/>
    <n v="0"/>
    <n v="0"/>
    <n v="3"/>
    <s v="Married"/>
    <n v="0"/>
    <n v="1"/>
    <n v="7969"/>
    <n v="7969"/>
    <n v="2"/>
    <s v="Yes"/>
    <n v="1"/>
    <n v="14"/>
    <n v="3"/>
    <n v="3"/>
    <n v="0"/>
    <n v="28"/>
    <x v="22"/>
    <n v="4"/>
    <n v="3"/>
    <n v="5"/>
    <n v="5"/>
    <n v="4"/>
    <n v="0"/>
    <n v="0"/>
    <n v="4"/>
    <n v="4"/>
    <n v="12"/>
    <n v="0"/>
    <n v="1"/>
    <n v="0"/>
    <n v="0"/>
    <n v="0"/>
    <n v="0"/>
    <n v="0"/>
    <n v="1"/>
    <n v="0"/>
    <n v="4"/>
    <n v="0"/>
    <n v="0"/>
    <n v="28"/>
    <n v="0"/>
    <n v="0.3114023290838856"/>
    <n v="3.4508002929560584E-2"/>
    <n v="2.1489368113080496"/>
    <n v="0.32778177112653761"/>
    <n v="0.76386092994953758"/>
    <n v="1.6503091520142259"/>
    <n v="0.67891464284095016"/>
  </r>
  <r>
    <n v="45"/>
    <n v="45"/>
    <s v="No"/>
    <n v="0"/>
    <s v="Travel_Rarely"/>
    <n v="0"/>
    <n v="1"/>
    <x v="1"/>
    <n v="1"/>
    <n v="0"/>
    <n v="10"/>
    <n v="10"/>
    <n v="2"/>
    <s v="Life Sciences"/>
    <n v="1"/>
    <n v="0"/>
    <n v="0"/>
    <n v="0"/>
    <n v="0"/>
    <n v="1"/>
    <s v="Male"/>
    <n v="0"/>
    <n v="69"/>
    <n v="3"/>
    <n v="1"/>
    <s v="Research Scientist"/>
    <n v="0"/>
    <n v="0"/>
    <n v="0"/>
    <n v="0"/>
    <n v="0"/>
    <n v="0"/>
    <n v="0"/>
    <n v="1"/>
    <n v="4"/>
    <s v="Married"/>
    <n v="0"/>
    <n v="1"/>
    <n v="2654"/>
    <n v="2654"/>
    <n v="3"/>
    <s v="No"/>
    <n v="0"/>
    <n v="21"/>
    <n v="4"/>
    <n v="4"/>
    <n v="2"/>
    <n v="8"/>
    <x v="0"/>
    <n v="3"/>
    <n v="2"/>
    <n v="2"/>
    <n v="2"/>
    <n v="2"/>
    <n v="0"/>
    <n v="0"/>
    <n v="2"/>
    <n v="2"/>
    <n v="2"/>
    <n v="0"/>
    <n v="1"/>
    <n v="0"/>
    <n v="0"/>
    <n v="0"/>
    <n v="0"/>
    <n v="1"/>
    <n v="0"/>
    <n v="0"/>
    <n v="2"/>
    <n v="0"/>
    <n v="0"/>
    <n v="8"/>
    <n v="0"/>
    <n v="0.8175375157085194"/>
    <n v="0.59502473559756086"/>
    <n v="0.42149901815843233"/>
    <n v="0.81745575848020657"/>
    <n v="9.9604847176766084E-2"/>
    <n v="0.88405695572208698"/>
    <n v="0.67891464284095016"/>
  </r>
  <r>
    <n v="52"/>
    <n v="52"/>
    <s v="No"/>
    <n v="0"/>
    <s v="Travel_Rarely"/>
    <n v="0"/>
    <n v="1"/>
    <x v="1"/>
    <n v="1"/>
    <n v="0"/>
    <n v="4"/>
    <n v="4"/>
    <n v="2"/>
    <s v="Life Sciences"/>
    <n v="1"/>
    <n v="0"/>
    <n v="0"/>
    <n v="0"/>
    <n v="0"/>
    <n v="4"/>
    <s v="Female"/>
    <n v="1"/>
    <n v="30"/>
    <n v="3"/>
    <n v="4"/>
    <s v="Manager"/>
    <n v="0"/>
    <n v="0"/>
    <n v="0"/>
    <n v="1"/>
    <n v="0"/>
    <n v="0"/>
    <n v="0"/>
    <n v="0"/>
    <n v="4"/>
    <s v="Married"/>
    <n v="0"/>
    <n v="1"/>
    <n v="16555"/>
    <n v="16555"/>
    <n v="2"/>
    <s v="No"/>
    <n v="0"/>
    <n v="13"/>
    <n v="3"/>
    <n v="4"/>
    <n v="0"/>
    <n v="31"/>
    <x v="9"/>
    <n v="2"/>
    <n v="1"/>
    <n v="5"/>
    <n v="5"/>
    <n v="2"/>
    <n v="1"/>
    <n v="1"/>
    <n v="4"/>
    <n v="4"/>
    <n v="16"/>
    <n v="0"/>
    <n v="1"/>
    <n v="0"/>
    <n v="0"/>
    <n v="0"/>
    <n v="0"/>
    <n v="1"/>
    <n v="0"/>
    <n v="0"/>
    <n v="4"/>
    <n v="0"/>
    <n v="0"/>
    <n v="31"/>
    <n v="0"/>
    <n v="2.1351234029103372"/>
    <n v="3.4508002929560584E-2"/>
    <n v="2.5345021857280217"/>
    <n v="0.32778177112653761"/>
    <n v="0.64050867607435136"/>
    <n v="1.6503091520142259"/>
    <n v="0.36858985273641137"/>
  </r>
  <r>
    <n v="42"/>
    <n v="42"/>
    <s v="No"/>
    <n v="0"/>
    <s v="Travel_Frequently"/>
    <n v="1"/>
    <n v="0"/>
    <x v="1"/>
    <n v="1"/>
    <n v="0"/>
    <n v="29"/>
    <n v="29"/>
    <n v="2"/>
    <s v="Life Sciences"/>
    <n v="1"/>
    <n v="0"/>
    <n v="0"/>
    <n v="0"/>
    <n v="0"/>
    <n v="1"/>
    <s v="Female"/>
    <n v="1"/>
    <n v="92"/>
    <n v="3"/>
    <n v="2"/>
    <s v="Research Scientist"/>
    <n v="0"/>
    <n v="0"/>
    <n v="0"/>
    <n v="0"/>
    <n v="0"/>
    <n v="0"/>
    <n v="0"/>
    <n v="1"/>
    <n v="3"/>
    <s v="Divorced"/>
    <n v="0"/>
    <n v="0"/>
    <n v="4556"/>
    <n v="4556"/>
    <n v="2"/>
    <s v="No"/>
    <n v="0"/>
    <n v="11"/>
    <n v="3"/>
    <n v="2"/>
    <n v="1"/>
    <n v="19"/>
    <x v="15"/>
    <n v="3"/>
    <n v="3"/>
    <n v="5"/>
    <n v="5"/>
    <n v="4"/>
    <n v="0"/>
    <n v="0"/>
    <n v="2"/>
    <n v="2"/>
    <n v="4"/>
    <n v="0"/>
    <n v="0"/>
    <n v="1"/>
    <n v="0"/>
    <n v="1"/>
    <n v="0"/>
    <n v="0"/>
    <n v="0"/>
    <n v="0"/>
    <n v="2"/>
    <n v="0"/>
    <n v="0"/>
    <n v="19"/>
    <n v="0"/>
    <n v="0.41354060417603511"/>
    <n v="0.59502473559756086"/>
    <n v="0.99224068804813281"/>
    <n v="0.32778177112653761"/>
    <n v="2.4432976708053049"/>
    <n v="0.55566315731117022"/>
    <n v="0.67891464284095016"/>
  </r>
  <r>
    <n v="30"/>
    <n v="30"/>
    <s v="No"/>
    <n v="0"/>
    <s v="Travel_Rarely"/>
    <n v="0"/>
    <n v="1"/>
    <x v="1"/>
    <n v="1"/>
    <n v="0"/>
    <n v="2"/>
    <n v="2"/>
    <n v="3"/>
    <s v="Life Sciences"/>
    <n v="1"/>
    <n v="0"/>
    <n v="0"/>
    <n v="0"/>
    <n v="0"/>
    <n v="3"/>
    <s v="Female"/>
    <n v="1"/>
    <n v="43"/>
    <n v="1"/>
    <n v="2"/>
    <s v="Manufacturing Director"/>
    <n v="0"/>
    <n v="0"/>
    <n v="0"/>
    <n v="0"/>
    <n v="1"/>
    <n v="1"/>
    <n v="0"/>
    <n v="0"/>
    <n v="4"/>
    <s v="Single"/>
    <n v="1"/>
    <n v="0"/>
    <n v="6091"/>
    <n v="6091"/>
    <n v="2"/>
    <s v="No"/>
    <n v="0"/>
    <n v="20"/>
    <n v="4"/>
    <n v="3"/>
    <n v="0"/>
    <n v="11"/>
    <x v="26"/>
    <n v="2"/>
    <n v="3"/>
    <n v="5"/>
    <n v="5"/>
    <n v="4"/>
    <n v="0"/>
    <n v="0"/>
    <n v="2"/>
    <n v="2"/>
    <n v="4"/>
    <n v="1"/>
    <n v="0"/>
    <n v="0"/>
    <n v="0"/>
    <n v="1"/>
    <n v="0"/>
    <n v="0"/>
    <n v="0"/>
    <n v="0"/>
    <n v="2"/>
    <n v="0"/>
    <n v="0"/>
    <n v="11"/>
    <n v="0"/>
    <n v="8.7496829621690447E-2"/>
    <n v="0.59502473559756086"/>
    <n v="3.593364373846001E-2"/>
    <n v="0.32778177112653761"/>
    <n v="0.88721318382472392"/>
    <n v="0.75791203633249671"/>
    <n v="0.67891464284095016"/>
  </r>
  <r>
    <n v="60"/>
    <n v="58.309999999999945"/>
    <s v="No"/>
    <n v="0"/>
    <s v="Travel_Rarely"/>
    <n v="0"/>
    <n v="1"/>
    <x v="1"/>
    <n v="1"/>
    <n v="0"/>
    <n v="7"/>
    <n v="7"/>
    <n v="3"/>
    <s v="Life Sciences"/>
    <n v="1"/>
    <n v="0"/>
    <n v="0"/>
    <n v="0"/>
    <n v="0"/>
    <n v="1"/>
    <s v="Female"/>
    <n v="1"/>
    <n v="41"/>
    <n v="3"/>
    <n v="5"/>
    <s v="Manager"/>
    <n v="0"/>
    <n v="0"/>
    <n v="0"/>
    <n v="1"/>
    <n v="0"/>
    <n v="0"/>
    <n v="0"/>
    <n v="0"/>
    <n v="1"/>
    <s v="Married"/>
    <n v="0"/>
    <n v="1"/>
    <n v="19566"/>
    <n v="19566"/>
    <n v="5"/>
    <s v="No"/>
    <n v="0"/>
    <n v="11"/>
    <n v="3"/>
    <n v="4"/>
    <n v="0"/>
    <n v="33"/>
    <x v="33"/>
    <n v="5"/>
    <n v="1"/>
    <n v="29"/>
    <n v="29"/>
    <n v="8"/>
    <n v="11"/>
    <n v="11"/>
    <n v="10"/>
    <n v="10"/>
    <n v="50"/>
    <n v="0"/>
    <n v="1"/>
    <n v="0"/>
    <n v="0"/>
    <n v="0"/>
    <n v="0"/>
    <n v="1"/>
    <n v="0"/>
    <n v="0"/>
    <n v="10"/>
    <n v="0"/>
    <n v="0"/>
    <n v="33"/>
    <n v="0"/>
    <n v="2.7746789763195436"/>
    <n v="1.6470421950744405"/>
    <n v="2.7915457686746699"/>
    <n v="3.5896101277028141"/>
    <n v="0.27045191444879263"/>
    <n v="2.5260259477766707"/>
    <n v="2.7346580483089769"/>
  </r>
  <r>
    <n v="46"/>
    <n v="46"/>
    <s v="No"/>
    <n v="0"/>
    <s v="Travel_Rarely"/>
    <n v="0"/>
    <n v="1"/>
    <x v="1"/>
    <n v="1"/>
    <n v="0"/>
    <n v="18"/>
    <n v="18"/>
    <n v="3"/>
    <s v="Medical"/>
    <n v="0"/>
    <n v="0"/>
    <n v="1"/>
    <n v="0"/>
    <n v="0"/>
    <n v="3"/>
    <s v="Female"/>
    <n v="1"/>
    <n v="87"/>
    <n v="3"/>
    <n v="2"/>
    <s v="Manufacturing Director"/>
    <n v="0"/>
    <n v="0"/>
    <n v="0"/>
    <n v="0"/>
    <n v="1"/>
    <n v="1"/>
    <n v="0"/>
    <n v="0"/>
    <n v="3"/>
    <s v="Divorced"/>
    <n v="0"/>
    <n v="0"/>
    <n v="4810"/>
    <n v="4810"/>
    <n v="2"/>
    <s v="No"/>
    <n v="0"/>
    <n v="14"/>
    <n v="3"/>
    <n v="3"/>
    <n v="1"/>
    <n v="19"/>
    <x v="15"/>
    <n v="5"/>
    <n v="2"/>
    <n v="10"/>
    <n v="10"/>
    <n v="7"/>
    <n v="0"/>
    <n v="0"/>
    <n v="8"/>
    <n v="8"/>
    <n v="16"/>
    <n v="1"/>
    <n v="0"/>
    <n v="0"/>
    <n v="0"/>
    <n v="1"/>
    <n v="0"/>
    <n v="0"/>
    <n v="0"/>
    <n v="0"/>
    <n v="8"/>
    <n v="0"/>
    <n v="0"/>
    <n v="19"/>
    <n v="0"/>
    <n v="0.35958938675792201"/>
    <n v="1.08652546240644"/>
    <n v="0.99224068804813281"/>
    <n v="0.48834154112957734"/>
    <n v="1.0864228781782561"/>
    <n v="0.99352155519239249"/>
    <n v="0.67891464284095016"/>
  </r>
  <r>
    <n v="42"/>
    <n v="42"/>
    <s v="No"/>
    <n v="0"/>
    <s v="Travel_Frequently"/>
    <n v="1"/>
    <n v="0"/>
    <x v="1"/>
    <n v="1"/>
    <n v="0"/>
    <n v="28"/>
    <n v="28"/>
    <n v="4"/>
    <s v="Technical Degree"/>
    <n v="0"/>
    <n v="0"/>
    <n v="0"/>
    <n v="0"/>
    <n v="1"/>
    <n v="4"/>
    <s v="Female"/>
    <n v="1"/>
    <n v="88"/>
    <n v="2"/>
    <n v="2"/>
    <s v="Healthcare Representative"/>
    <n v="1"/>
    <n v="0"/>
    <n v="0"/>
    <n v="0"/>
    <n v="0"/>
    <n v="0"/>
    <n v="0"/>
    <n v="0"/>
    <n v="4"/>
    <s v="Married"/>
    <n v="0"/>
    <n v="1"/>
    <n v="4523"/>
    <n v="4523"/>
    <n v="0"/>
    <s v="No"/>
    <n v="0"/>
    <n v="11"/>
    <n v="3"/>
    <n v="4"/>
    <n v="3"/>
    <n v="7"/>
    <x v="2"/>
    <n v="4"/>
    <n v="4"/>
    <n v="6"/>
    <n v="6"/>
    <n v="5"/>
    <n v="0"/>
    <n v="0"/>
    <n v="4"/>
    <n v="4"/>
    <n v="8"/>
    <n v="0"/>
    <n v="0"/>
    <n v="0"/>
    <n v="1"/>
    <n v="0"/>
    <n v="0"/>
    <n v="1"/>
    <n v="0"/>
    <n v="0"/>
    <n v="4"/>
    <n v="0"/>
    <n v="0"/>
    <n v="7"/>
    <n v="0"/>
    <n v="0.42055001431303402"/>
    <n v="3.4508002929560584E-2"/>
    <n v="0.55002080963175637"/>
    <n v="0.16455710867531462"/>
    <n v="2.3199454169301186"/>
    <n v="0.55566315731117022"/>
    <n v="0.67891464284095016"/>
  </r>
  <r>
    <n v="24"/>
    <n v="24"/>
    <s v="Yes"/>
    <n v="1"/>
    <s v="Travel_Rarely"/>
    <n v="0"/>
    <n v="1"/>
    <x v="0"/>
    <n v="0"/>
    <n v="1"/>
    <n v="1"/>
    <n v="1"/>
    <n v="1"/>
    <s v="Technical Degree"/>
    <n v="0"/>
    <n v="0"/>
    <n v="0"/>
    <n v="0"/>
    <n v="1"/>
    <n v="1"/>
    <s v="Female"/>
    <n v="1"/>
    <n v="62"/>
    <n v="3"/>
    <n v="1"/>
    <s v="Sales Representative"/>
    <n v="0"/>
    <n v="0"/>
    <n v="0"/>
    <n v="0"/>
    <n v="0"/>
    <n v="0"/>
    <n v="1"/>
    <n v="0"/>
    <n v="2"/>
    <s v="Single"/>
    <n v="1"/>
    <n v="0"/>
    <n v="3202"/>
    <n v="3202"/>
    <n v="1"/>
    <s v="Yes"/>
    <n v="1"/>
    <n v="16"/>
    <n v="3"/>
    <n v="2"/>
    <n v="0"/>
    <n v="6"/>
    <x v="3"/>
    <n v="4"/>
    <n v="3"/>
    <n v="5"/>
    <n v="5"/>
    <n v="3"/>
    <n v="1"/>
    <n v="1"/>
    <n v="4"/>
    <n v="4"/>
    <n v="4"/>
    <n v="1"/>
    <n v="0"/>
    <n v="0"/>
    <n v="0"/>
    <n v="0"/>
    <n v="1"/>
    <n v="0"/>
    <n v="0"/>
    <n v="0"/>
    <n v="0"/>
    <n v="4"/>
    <n v="0"/>
    <n v="0"/>
    <n v="6"/>
    <n v="0.70113882616077949"/>
    <n v="3.4508002929560584E-2"/>
    <n v="0.67854260110508058"/>
    <n v="0.32778177112653761"/>
    <n v="1.01056543769991"/>
    <n v="1.4146996331543302"/>
    <n v="0.36858985273641137"/>
  </r>
  <r>
    <n v="34"/>
    <n v="34"/>
    <s v="Yes"/>
    <n v="1"/>
    <s v="Travel_Frequently"/>
    <n v="1"/>
    <n v="0"/>
    <x v="0"/>
    <n v="0"/>
    <n v="1"/>
    <n v="6"/>
    <n v="6"/>
    <n v="2"/>
    <s v="Marketing"/>
    <n v="0"/>
    <n v="0"/>
    <n v="0"/>
    <n v="1"/>
    <n v="0"/>
    <n v="4"/>
    <s v="Female"/>
    <n v="1"/>
    <n v="33"/>
    <n v="1"/>
    <n v="1"/>
    <s v="Sales Representative"/>
    <n v="0"/>
    <n v="0"/>
    <n v="0"/>
    <n v="0"/>
    <n v="0"/>
    <n v="0"/>
    <n v="1"/>
    <n v="0"/>
    <n v="3"/>
    <s v="Divorced"/>
    <n v="0"/>
    <n v="0"/>
    <n v="2351"/>
    <n v="2351"/>
    <n v="0"/>
    <s v="No"/>
    <n v="0"/>
    <n v="16"/>
    <n v="3"/>
    <n v="4"/>
    <n v="1"/>
    <n v="3"/>
    <x v="8"/>
    <n v="3"/>
    <n v="2"/>
    <n v="2"/>
    <n v="2"/>
    <n v="2"/>
    <n v="1"/>
    <n v="1"/>
    <n v="0"/>
    <n v="0"/>
    <n v="0"/>
    <n v="0"/>
    <n v="0"/>
    <n v="1"/>
    <n v="0"/>
    <n v="1"/>
    <n v="0"/>
    <n v="0"/>
    <n v="0"/>
    <n v="0"/>
    <n v="0"/>
    <n v="0"/>
    <n v="0"/>
    <n v="0"/>
    <n v="3"/>
    <n v="0.88189664514823696"/>
    <n v="1.1555414682655611"/>
    <n v="1.0641079755250529"/>
    <n v="0.81745575848020657"/>
    <n v="0.39380416832397891"/>
    <n v="0.32005363845127444"/>
    <n v="0.36858985273641137"/>
  </r>
  <r>
    <n v="38"/>
    <n v="38"/>
    <s v="No"/>
    <n v="0"/>
    <s v="Travel_Frequently"/>
    <n v="1"/>
    <n v="0"/>
    <x v="1"/>
    <n v="1"/>
    <n v="0"/>
    <n v="2"/>
    <n v="2"/>
    <n v="2"/>
    <s v="Life Sciences"/>
    <n v="1"/>
    <n v="0"/>
    <n v="0"/>
    <n v="0"/>
    <n v="0"/>
    <n v="4"/>
    <s v="Male"/>
    <n v="0"/>
    <n v="42"/>
    <n v="3"/>
    <n v="1"/>
    <s v="Laboratory Technician"/>
    <n v="0"/>
    <n v="0"/>
    <n v="1"/>
    <n v="0"/>
    <n v="0"/>
    <n v="0"/>
    <n v="0"/>
    <n v="0"/>
    <n v="4"/>
    <s v="Married"/>
    <n v="0"/>
    <n v="1"/>
    <n v="1702"/>
    <n v="1702"/>
    <n v="1"/>
    <s v="Yes"/>
    <n v="1"/>
    <n v="23"/>
    <n v="4"/>
    <n v="3"/>
    <n v="1"/>
    <n v="1"/>
    <x v="5"/>
    <n v="3"/>
    <n v="3"/>
    <n v="1"/>
    <n v="1"/>
    <n v="0"/>
    <n v="0"/>
    <n v="0"/>
    <n v="0"/>
    <n v="0"/>
    <n v="0"/>
    <n v="0"/>
    <n v="0"/>
    <n v="0"/>
    <n v="1"/>
    <n v="0"/>
    <n v="0"/>
    <n v="0"/>
    <n v="1"/>
    <n v="0"/>
    <n v="0"/>
    <n v="0"/>
    <n v="0"/>
    <n v="1"/>
    <n v="0"/>
    <n v="1.0197483778425496"/>
    <n v="1.1555414682655611"/>
    <n v="1.3211515584717011"/>
    <n v="0.9806804209314296"/>
    <n v="0.88721318382472392"/>
    <n v="0.11780475942994788"/>
    <n v="0.67891464284095016"/>
  </r>
  <r>
    <n v="40"/>
    <n v="40"/>
    <s v="No"/>
    <n v="0"/>
    <s v="Travel_Rarely"/>
    <n v="0"/>
    <n v="1"/>
    <x v="0"/>
    <n v="0"/>
    <n v="1"/>
    <n v="2"/>
    <n v="2"/>
    <n v="4"/>
    <s v="Life Sciences"/>
    <n v="1"/>
    <n v="0"/>
    <n v="0"/>
    <n v="0"/>
    <n v="0"/>
    <n v="3"/>
    <s v="Female"/>
    <n v="1"/>
    <n v="79"/>
    <n v="3"/>
    <n v="5"/>
    <s v="Manager"/>
    <n v="0"/>
    <n v="0"/>
    <n v="0"/>
    <n v="1"/>
    <n v="0"/>
    <n v="0"/>
    <n v="0"/>
    <n v="0"/>
    <n v="3"/>
    <s v="Married"/>
    <n v="0"/>
    <n v="1"/>
    <n v="18041"/>
    <n v="18041"/>
    <n v="0"/>
    <s v="No"/>
    <n v="0"/>
    <n v="14"/>
    <n v="3"/>
    <n v="4"/>
    <n v="0"/>
    <n v="21"/>
    <x v="23"/>
    <n v="2"/>
    <n v="3"/>
    <n v="20"/>
    <n v="20"/>
    <n v="15"/>
    <n v="1"/>
    <n v="1"/>
    <n v="12"/>
    <n v="12"/>
    <n v="60"/>
    <n v="0"/>
    <n v="1"/>
    <n v="0"/>
    <n v="0"/>
    <n v="0"/>
    <n v="0"/>
    <n v="1"/>
    <n v="0"/>
    <n v="0"/>
    <n v="0"/>
    <n v="12"/>
    <n v="0"/>
    <n v="0"/>
    <n v="21"/>
    <n v="2.4507592654430774"/>
    <n v="2.2075589277424408"/>
    <n v="1.2492842709947811"/>
    <n v="2.1205881656418071"/>
    <n v="0.88721318382472392"/>
    <n v="0.33673395837055903"/>
    <n v="0.36858985273641137"/>
  </r>
  <r>
    <n v="26"/>
    <n v="26"/>
    <s v="No"/>
    <n v="0"/>
    <s v="Travel_Rarely"/>
    <n v="0"/>
    <n v="1"/>
    <x v="1"/>
    <n v="1"/>
    <n v="0"/>
    <n v="23"/>
    <n v="23"/>
    <n v="3"/>
    <s v="Life Sciences"/>
    <n v="1"/>
    <n v="0"/>
    <n v="0"/>
    <n v="0"/>
    <n v="0"/>
    <n v="1"/>
    <s v="Female"/>
    <n v="1"/>
    <n v="90"/>
    <n v="3"/>
    <n v="1"/>
    <s v="Research Scientist"/>
    <n v="0"/>
    <n v="0"/>
    <n v="0"/>
    <n v="0"/>
    <n v="0"/>
    <n v="0"/>
    <n v="0"/>
    <n v="1"/>
    <n v="4"/>
    <s v="Divorced"/>
    <n v="0"/>
    <n v="0"/>
    <n v="2886"/>
    <n v="2886"/>
    <n v="1"/>
    <s v="No"/>
    <n v="0"/>
    <n v="22"/>
    <n v="4"/>
    <n v="2"/>
    <n v="2"/>
    <n v="3"/>
    <x v="8"/>
    <n v="3"/>
    <n v="1"/>
    <n v="3"/>
    <n v="3"/>
    <n v="2"/>
    <n v="0"/>
    <n v="0"/>
    <n v="2"/>
    <n v="2"/>
    <n v="2"/>
    <n v="1"/>
    <n v="0"/>
    <n v="0"/>
    <n v="0"/>
    <n v="1"/>
    <n v="0"/>
    <n v="0"/>
    <n v="0"/>
    <n v="0"/>
    <n v="2"/>
    <n v="0"/>
    <n v="0"/>
    <n v="3"/>
    <n v="0"/>
    <n v="0.76825923838173904"/>
    <n v="0.59502473559756086"/>
    <n v="1.0641079755250529"/>
    <n v="0.65423109602898355"/>
    <n v="1.7031841475541873"/>
    <n v="1.195770434213719"/>
    <n v="0.67891464284095016"/>
  </r>
  <r>
    <n v="30"/>
    <n v="30"/>
    <s v="No"/>
    <n v="0"/>
    <s v="Non-Travel"/>
    <n v="0"/>
    <n v="0"/>
    <x v="1"/>
    <n v="1"/>
    <n v="0"/>
    <n v="3"/>
    <n v="3"/>
    <n v="3"/>
    <s v="Life Sciences"/>
    <n v="1"/>
    <n v="0"/>
    <n v="0"/>
    <n v="0"/>
    <n v="0"/>
    <n v="3"/>
    <s v="Male"/>
    <n v="0"/>
    <n v="53"/>
    <n v="3"/>
    <n v="1"/>
    <s v="Laboratory Technician"/>
    <n v="0"/>
    <n v="0"/>
    <n v="1"/>
    <n v="0"/>
    <n v="0"/>
    <n v="0"/>
    <n v="0"/>
    <n v="0"/>
    <n v="4"/>
    <s v="Married"/>
    <n v="0"/>
    <n v="1"/>
    <n v="2097"/>
    <n v="2097"/>
    <n v="4"/>
    <s v="No"/>
    <n v="0"/>
    <n v="15"/>
    <n v="3"/>
    <n v="3"/>
    <n v="1"/>
    <n v="9"/>
    <x v="14"/>
    <n v="3"/>
    <n v="1"/>
    <n v="5"/>
    <n v="5"/>
    <n v="3"/>
    <n v="1"/>
    <n v="1"/>
    <n v="4"/>
    <n v="4"/>
    <n v="4"/>
    <n v="0"/>
    <n v="1"/>
    <n v="0"/>
    <n v="0"/>
    <n v="0"/>
    <n v="0"/>
    <n v="1"/>
    <n v="0"/>
    <n v="0"/>
    <n v="4"/>
    <n v="0"/>
    <n v="0"/>
    <n v="9"/>
    <n v="0"/>
    <n v="0.93584786256635"/>
    <n v="3.4508002929560584E-2"/>
    <n v="0.29297722668510823"/>
    <n v="0.32778177112653761"/>
    <n v="0.76386092994953758"/>
    <n v="0.75791203633249671"/>
    <n v="0.36858985273641137"/>
  </r>
  <r>
    <n v="29"/>
    <n v="29"/>
    <s v="No"/>
    <n v="0"/>
    <s v="Travel_Rarely"/>
    <n v="0"/>
    <n v="1"/>
    <x v="1"/>
    <n v="1"/>
    <n v="0"/>
    <n v="3"/>
    <n v="3"/>
    <n v="4"/>
    <s v="Medical"/>
    <n v="0"/>
    <n v="0"/>
    <n v="1"/>
    <n v="0"/>
    <n v="0"/>
    <n v="2"/>
    <s v="Male"/>
    <n v="0"/>
    <n v="93"/>
    <n v="2"/>
    <n v="3"/>
    <s v="Research Director"/>
    <n v="0"/>
    <n v="0"/>
    <n v="0"/>
    <n v="0"/>
    <n v="0"/>
    <n v="0"/>
    <n v="0"/>
    <n v="0"/>
    <n v="3"/>
    <s v="Married"/>
    <n v="0"/>
    <n v="1"/>
    <n v="11935"/>
    <n v="11935"/>
    <n v="1"/>
    <s v="No"/>
    <n v="0"/>
    <n v="18"/>
    <n v="3"/>
    <n v="3"/>
    <n v="0"/>
    <n v="10"/>
    <x v="1"/>
    <n v="2"/>
    <n v="3"/>
    <n v="10"/>
    <n v="10"/>
    <n v="2"/>
    <n v="0"/>
    <n v="0"/>
    <n v="7"/>
    <n v="7"/>
    <n v="21"/>
    <n v="0"/>
    <n v="1"/>
    <n v="0"/>
    <n v="0"/>
    <n v="0"/>
    <n v="0"/>
    <n v="1"/>
    <n v="0"/>
    <n v="0"/>
    <n v="7"/>
    <n v="0"/>
    <n v="0"/>
    <n v="10"/>
    <n v="0"/>
    <n v="1.1538059837304855"/>
    <n v="0.80626709607243985"/>
    <n v="0.1644554352117841"/>
    <n v="0.48834154112957734"/>
    <n v="0.76386092994953758"/>
    <n v="0.86737663580280233"/>
    <n v="0.67891464284095016"/>
  </r>
  <r>
    <n v="29"/>
    <n v="29"/>
    <s v="Yes"/>
    <n v="1"/>
    <s v="Travel_Rarely"/>
    <n v="0"/>
    <n v="1"/>
    <x v="1"/>
    <n v="1"/>
    <n v="0"/>
    <n v="25"/>
    <n v="25"/>
    <n v="5"/>
    <s v="Technical Degree"/>
    <n v="0"/>
    <n v="0"/>
    <n v="0"/>
    <n v="0"/>
    <n v="1"/>
    <n v="3"/>
    <s v="Female"/>
    <n v="1"/>
    <n v="71"/>
    <n v="2"/>
    <n v="1"/>
    <s v="Research Scientist"/>
    <n v="0"/>
    <n v="0"/>
    <n v="0"/>
    <n v="0"/>
    <n v="0"/>
    <n v="0"/>
    <n v="0"/>
    <n v="1"/>
    <n v="2"/>
    <s v="Married"/>
    <n v="0"/>
    <n v="1"/>
    <n v="2546"/>
    <n v="2546"/>
    <n v="5"/>
    <s v="No"/>
    <n v="0"/>
    <n v="16"/>
    <n v="3"/>
    <n v="2"/>
    <n v="0"/>
    <n v="6"/>
    <x v="3"/>
    <n v="2"/>
    <n v="4"/>
    <n v="2"/>
    <n v="2"/>
    <n v="2"/>
    <n v="1"/>
    <n v="1"/>
    <n v="1"/>
    <n v="1"/>
    <n v="1"/>
    <n v="0"/>
    <n v="1"/>
    <n v="0"/>
    <n v="0"/>
    <n v="0"/>
    <n v="0"/>
    <n v="1"/>
    <n v="0"/>
    <n v="0"/>
    <n v="1"/>
    <n v="0"/>
    <n v="0"/>
    <n v="6"/>
    <n v="0"/>
    <n v="0.84047740342960686"/>
    <n v="0.87528310193156111"/>
    <n v="0.67854260110508058"/>
    <n v="0.81745575848020657"/>
    <n v="1.9498886553045598"/>
    <n v="0.86737663580280233"/>
    <n v="0.36858985273641137"/>
  </r>
  <r>
    <n v="19"/>
    <n v="19"/>
    <s v="Yes"/>
    <n v="1"/>
    <s v="Travel_Rarely"/>
    <n v="0"/>
    <n v="1"/>
    <x v="2"/>
    <n v="0"/>
    <n v="0"/>
    <n v="2"/>
    <n v="2"/>
    <n v="2"/>
    <s v="Technical Degree"/>
    <n v="0"/>
    <n v="0"/>
    <n v="0"/>
    <n v="0"/>
    <n v="1"/>
    <n v="1"/>
    <s v="Male"/>
    <n v="0"/>
    <n v="52"/>
    <n v="2"/>
    <n v="1"/>
    <s v="Human Resources"/>
    <n v="0"/>
    <n v="0"/>
    <n v="0"/>
    <n v="0"/>
    <n v="0"/>
    <n v="0"/>
    <n v="0"/>
    <n v="0"/>
    <n v="4"/>
    <s v="Single"/>
    <n v="1"/>
    <n v="0"/>
    <n v="2564"/>
    <n v="2564"/>
    <n v="1"/>
    <s v="No"/>
    <n v="0"/>
    <n v="12"/>
    <n v="3"/>
    <n v="3"/>
    <n v="0"/>
    <n v="1"/>
    <x v="5"/>
    <n v="3"/>
    <n v="4"/>
    <n v="1"/>
    <n v="1"/>
    <n v="0"/>
    <n v="0"/>
    <n v="0"/>
    <n v="0"/>
    <n v="0"/>
    <n v="0"/>
    <n v="1"/>
    <n v="0"/>
    <n v="0"/>
    <n v="0"/>
    <n v="1"/>
    <n v="0"/>
    <n v="0"/>
    <n v="0"/>
    <n v="0"/>
    <n v="0"/>
    <n v="0"/>
    <n v="1"/>
    <n v="0"/>
    <n v="0"/>
    <n v="0.8366540888094256"/>
    <n v="1.1555414682655611"/>
    <n v="1.3211515584717011"/>
    <n v="0.9806804209314296"/>
    <n v="0.88721318382472392"/>
    <n v="1.9620226305058581"/>
    <n v="0.67891464284095016"/>
  </r>
  <r>
    <n v="30"/>
    <n v="30"/>
    <s v="No"/>
    <n v="0"/>
    <s v="Non-Travel"/>
    <n v="0"/>
    <n v="0"/>
    <x v="0"/>
    <n v="0"/>
    <n v="1"/>
    <n v="22"/>
    <n v="22"/>
    <n v="4"/>
    <s v="Other"/>
    <n v="0"/>
    <n v="1"/>
    <n v="0"/>
    <n v="0"/>
    <n v="0"/>
    <n v="3"/>
    <s v="Female"/>
    <n v="1"/>
    <n v="69"/>
    <n v="3"/>
    <n v="3"/>
    <s v="Sales Executive"/>
    <n v="0"/>
    <n v="1"/>
    <n v="0"/>
    <n v="0"/>
    <n v="0"/>
    <n v="0"/>
    <n v="0"/>
    <n v="0"/>
    <n v="1"/>
    <s v="Married"/>
    <n v="0"/>
    <n v="1"/>
    <n v="8412"/>
    <n v="8412"/>
    <n v="0"/>
    <s v="No"/>
    <n v="0"/>
    <n v="11"/>
    <n v="3"/>
    <n v="3"/>
    <n v="0"/>
    <n v="10"/>
    <x v="1"/>
    <n v="3"/>
    <n v="3"/>
    <n v="9"/>
    <n v="9"/>
    <n v="8"/>
    <n v="7"/>
    <n v="7"/>
    <n v="8"/>
    <n v="8"/>
    <n v="24"/>
    <n v="0"/>
    <n v="1"/>
    <n v="0"/>
    <n v="0"/>
    <n v="0"/>
    <n v="0"/>
    <n v="1"/>
    <n v="0"/>
    <n v="0"/>
    <n v="0"/>
    <n v="8"/>
    <n v="0"/>
    <n v="0"/>
    <n v="10"/>
    <n v="0.40549835001390167"/>
    <n v="1.08652546240644"/>
    <n v="0.1644554352117841"/>
    <n v="0.32511687867835437"/>
    <n v="1.579831893679001"/>
    <n v="0.75791203633249671"/>
    <n v="1.4933588878908215"/>
  </r>
  <r>
    <n v="57"/>
    <n v="57"/>
    <s v="No"/>
    <n v="0"/>
    <s v="Travel_Rarely"/>
    <n v="0"/>
    <n v="1"/>
    <x v="0"/>
    <n v="0"/>
    <n v="1"/>
    <n v="29"/>
    <n v="29"/>
    <n v="3"/>
    <s v="Marketing"/>
    <n v="0"/>
    <n v="0"/>
    <n v="0"/>
    <n v="1"/>
    <n v="0"/>
    <n v="1"/>
    <s v="Male"/>
    <n v="0"/>
    <n v="56"/>
    <n v="2"/>
    <n v="4"/>
    <s v="Manager"/>
    <n v="0"/>
    <n v="0"/>
    <n v="0"/>
    <n v="1"/>
    <n v="0"/>
    <n v="0"/>
    <n v="0"/>
    <n v="0"/>
    <n v="4"/>
    <s v="Divorced"/>
    <n v="0"/>
    <n v="0"/>
    <n v="14118"/>
    <n v="14118"/>
    <n v="3"/>
    <s v="No"/>
    <n v="0"/>
    <n v="12"/>
    <n v="3"/>
    <n v="3"/>
    <n v="1"/>
    <n v="32"/>
    <x v="32"/>
    <n v="3"/>
    <n v="2"/>
    <n v="1"/>
    <n v="1"/>
    <n v="0"/>
    <n v="0"/>
    <n v="0"/>
    <n v="0"/>
    <n v="0"/>
    <n v="0"/>
    <n v="1"/>
    <n v="0"/>
    <n v="0"/>
    <n v="0"/>
    <n v="1"/>
    <n v="0"/>
    <n v="0"/>
    <n v="0"/>
    <n v="0"/>
    <n v="0"/>
    <n v="0"/>
    <n v="0"/>
    <n v="0"/>
    <n v="32"/>
    <n v="1.6174890846113548"/>
    <n v="1.1555414682655611"/>
    <n v="2.663023977201346"/>
    <n v="0.9806804209314296"/>
    <n v="2.4432976708053049"/>
    <n v="2.197632149365754"/>
    <n v="0.67891464284095016"/>
  </r>
  <r>
    <n v="50"/>
    <n v="50"/>
    <s v="No"/>
    <n v="0"/>
    <s v="Travel_Rarely"/>
    <n v="0"/>
    <n v="1"/>
    <x v="1"/>
    <n v="1"/>
    <n v="0"/>
    <n v="29"/>
    <n v="29"/>
    <n v="4"/>
    <s v="Life Sciences"/>
    <n v="1"/>
    <n v="0"/>
    <n v="0"/>
    <n v="0"/>
    <n v="0"/>
    <n v="2"/>
    <s v="Male"/>
    <n v="0"/>
    <n v="88"/>
    <n v="2"/>
    <n v="4"/>
    <s v="Manager"/>
    <n v="0"/>
    <n v="0"/>
    <n v="0"/>
    <n v="1"/>
    <n v="0"/>
    <n v="0"/>
    <n v="0"/>
    <n v="0"/>
    <n v="3"/>
    <s v="Married"/>
    <n v="0"/>
    <n v="1"/>
    <n v="17046"/>
    <n v="17046"/>
    <n v="0"/>
    <s v="No"/>
    <n v="0"/>
    <n v="15"/>
    <n v="3"/>
    <n v="2"/>
    <n v="1"/>
    <n v="28"/>
    <x v="22"/>
    <n v="2"/>
    <n v="3"/>
    <n v="27"/>
    <n v="27"/>
    <n v="10"/>
    <n v="15"/>
    <n v="14"/>
    <n v="7"/>
    <n v="7"/>
    <n v="28"/>
    <n v="0"/>
    <n v="1"/>
    <n v="0"/>
    <n v="0"/>
    <n v="0"/>
    <n v="0"/>
    <n v="1"/>
    <n v="0"/>
    <n v="0"/>
    <n v="7"/>
    <n v="0"/>
    <n v="0"/>
    <n v="28"/>
    <n v="0"/>
    <n v="2.2394149294941696"/>
    <n v="0.80626709607243985"/>
    <n v="2.1489368113080496"/>
    <n v="3.263160802800368"/>
    <n v="2.4432976708053049"/>
    <n v="1.4313799530736149"/>
    <n v="3.9759572087271318"/>
  </r>
  <r>
    <n v="30"/>
    <n v="30"/>
    <s v="No"/>
    <n v="0"/>
    <s v="Non-Travel"/>
    <n v="0"/>
    <n v="0"/>
    <x v="1"/>
    <n v="1"/>
    <n v="0"/>
    <n v="2"/>
    <n v="2"/>
    <n v="3"/>
    <s v="Medical"/>
    <n v="0"/>
    <n v="0"/>
    <n v="1"/>
    <n v="0"/>
    <n v="0"/>
    <n v="3"/>
    <s v="Female"/>
    <n v="1"/>
    <n v="49"/>
    <n v="3"/>
    <n v="1"/>
    <s v="Laboratory Technician"/>
    <n v="0"/>
    <n v="0"/>
    <n v="1"/>
    <n v="0"/>
    <n v="0"/>
    <n v="0"/>
    <n v="0"/>
    <n v="0"/>
    <n v="4"/>
    <s v="Single"/>
    <n v="1"/>
    <n v="0"/>
    <n v="2564"/>
    <n v="2564"/>
    <n v="0"/>
    <s v="No"/>
    <n v="0"/>
    <n v="14"/>
    <n v="3"/>
    <n v="3"/>
    <n v="0"/>
    <n v="12"/>
    <x v="4"/>
    <n v="2"/>
    <n v="2"/>
    <n v="11"/>
    <n v="11"/>
    <n v="7"/>
    <n v="6"/>
    <n v="6"/>
    <n v="7"/>
    <n v="7"/>
    <n v="7"/>
    <n v="1"/>
    <n v="0"/>
    <n v="0"/>
    <n v="0"/>
    <n v="1"/>
    <n v="0"/>
    <n v="0"/>
    <n v="0"/>
    <n v="0"/>
    <n v="7"/>
    <n v="0"/>
    <n v="0"/>
    <n v="12"/>
    <n v="0"/>
    <n v="0.8366540888094256"/>
    <n v="0.80626709607243985"/>
    <n v="9.2588147734864096E-2"/>
    <n v="0.65156620358080031"/>
    <n v="0.88721318382472392"/>
    <n v="0.75791203633249671"/>
    <n v="1.1830340977862825"/>
  </r>
  <r>
    <n v="60"/>
    <n v="58.309999999999945"/>
    <s v="No"/>
    <n v="0"/>
    <s v="Travel_Frequently"/>
    <n v="1"/>
    <n v="0"/>
    <x v="0"/>
    <n v="0"/>
    <n v="1"/>
    <n v="28"/>
    <n v="28"/>
    <n v="3"/>
    <s v="Marketing"/>
    <n v="0"/>
    <n v="0"/>
    <n v="0"/>
    <n v="1"/>
    <n v="0"/>
    <n v="3"/>
    <s v="Female"/>
    <n v="1"/>
    <n v="80"/>
    <n v="2"/>
    <n v="3"/>
    <s v="Sales Executive"/>
    <n v="0"/>
    <n v="1"/>
    <n v="0"/>
    <n v="0"/>
    <n v="0"/>
    <n v="0"/>
    <n v="0"/>
    <n v="0"/>
    <n v="1"/>
    <s v="Married"/>
    <n v="0"/>
    <n v="1"/>
    <n v="10266"/>
    <n v="10266"/>
    <n v="4"/>
    <s v="No"/>
    <n v="0"/>
    <n v="19"/>
    <n v="3"/>
    <n v="4"/>
    <n v="0"/>
    <n v="22"/>
    <x v="13"/>
    <n v="5"/>
    <n v="4"/>
    <n v="18"/>
    <n v="18"/>
    <n v="13"/>
    <n v="13"/>
    <n v="13"/>
    <n v="11"/>
    <n v="11"/>
    <n v="33"/>
    <n v="0"/>
    <n v="0"/>
    <n v="0"/>
    <n v="1"/>
    <n v="0"/>
    <n v="0"/>
    <n v="1"/>
    <n v="0"/>
    <n v="0"/>
    <n v="0"/>
    <n v="11"/>
    <n v="0"/>
    <n v="0"/>
    <n v="22"/>
    <n v="0.79929975589256941"/>
    <n v="1.9273005614084406"/>
    <n v="1.3778060624681052"/>
    <n v="1.794138840739361"/>
    <n v="2.3199454169301186"/>
    <n v="2.5260259477766707"/>
    <n v="3.3553076285180543"/>
  </r>
  <r>
    <n v="47"/>
    <n v="47"/>
    <s v="No"/>
    <n v="0"/>
    <s v="Travel_Rarely"/>
    <n v="0"/>
    <n v="1"/>
    <x v="1"/>
    <n v="1"/>
    <n v="0"/>
    <n v="2"/>
    <n v="2"/>
    <n v="2"/>
    <s v="Medical"/>
    <n v="0"/>
    <n v="0"/>
    <n v="1"/>
    <n v="0"/>
    <n v="0"/>
    <n v="1"/>
    <s v="Female"/>
    <n v="1"/>
    <n v="65"/>
    <n v="3"/>
    <n v="2"/>
    <s v="Manufacturing Director"/>
    <n v="0"/>
    <n v="0"/>
    <n v="0"/>
    <n v="0"/>
    <n v="1"/>
    <n v="1"/>
    <n v="0"/>
    <n v="0"/>
    <n v="4"/>
    <s v="Divorced"/>
    <n v="0"/>
    <n v="0"/>
    <n v="5070"/>
    <n v="5070"/>
    <n v="5"/>
    <s v="No"/>
    <n v="0"/>
    <n v="13"/>
    <n v="3"/>
    <n v="3"/>
    <n v="3"/>
    <n v="20"/>
    <x v="25"/>
    <n v="2"/>
    <n v="3"/>
    <n v="5"/>
    <n v="5"/>
    <n v="0"/>
    <n v="0"/>
    <n v="0"/>
    <n v="4"/>
    <n v="4"/>
    <n v="8"/>
    <n v="1"/>
    <n v="0"/>
    <n v="0"/>
    <n v="0"/>
    <n v="1"/>
    <n v="0"/>
    <n v="0"/>
    <n v="0"/>
    <n v="0"/>
    <n v="4"/>
    <n v="0"/>
    <n v="0"/>
    <n v="20"/>
    <n v="0"/>
    <n v="0.30436373113308191"/>
    <n v="3.4508002929560584E-2"/>
    <n v="1.120762479521457"/>
    <n v="0.32778177112653761"/>
    <n v="0.88721318382472392"/>
    <n v="1.102986154662698"/>
    <n v="0.67891464284095016"/>
  </r>
  <r>
    <n v="46"/>
    <n v="46"/>
    <s v="No"/>
    <n v="0"/>
    <s v="Travel_Rarely"/>
    <n v="0"/>
    <n v="1"/>
    <x v="1"/>
    <n v="1"/>
    <n v="0"/>
    <n v="2"/>
    <n v="2"/>
    <n v="3"/>
    <s v="Life Sciences"/>
    <n v="1"/>
    <n v="0"/>
    <n v="0"/>
    <n v="0"/>
    <n v="0"/>
    <n v="1"/>
    <s v="Male"/>
    <n v="0"/>
    <n v="51"/>
    <n v="3"/>
    <n v="4"/>
    <s v="Research Director"/>
    <n v="0"/>
    <n v="0"/>
    <n v="0"/>
    <n v="0"/>
    <n v="0"/>
    <n v="0"/>
    <n v="0"/>
    <n v="0"/>
    <n v="3"/>
    <s v="Married"/>
    <n v="0"/>
    <n v="1"/>
    <n v="17861"/>
    <n v="17861"/>
    <n v="6"/>
    <s v="No"/>
    <n v="0"/>
    <n v="13"/>
    <n v="3"/>
    <n v="3"/>
    <n v="0"/>
    <n v="26"/>
    <x v="11"/>
    <n v="2"/>
    <n v="1"/>
    <n v="3"/>
    <n v="3"/>
    <n v="2"/>
    <n v="0"/>
    <n v="0"/>
    <n v="1"/>
    <n v="1"/>
    <n v="4"/>
    <n v="0"/>
    <n v="1"/>
    <n v="0"/>
    <n v="0"/>
    <n v="0"/>
    <n v="0"/>
    <n v="1"/>
    <n v="0"/>
    <n v="0"/>
    <n v="1"/>
    <n v="0"/>
    <n v="0"/>
    <n v="26"/>
    <n v="0"/>
    <n v="2.412526119241265"/>
    <n v="0.87528310193156111"/>
    <n v="1.8918932283614016"/>
    <n v="0.65423109602898355"/>
    <n v="0.88721318382472392"/>
    <n v="0.99352155519239249"/>
    <n v="0.67891464284095016"/>
  </r>
  <r>
    <n v="35"/>
    <n v="35"/>
    <s v="No"/>
    <n v="0"/>
    <s v="Travel_Rarely"/>
    <n v="0"/>
    <n v="1"/>
    <x v="1"/>
    <n v="1"/>
    <n v="0"/>
    <n v="22"/>
    <n v="22"/>
    <n v="3"/>
    <s v="Life Sciences"/>
    <n v="1"/>
    <n v="0"/>
    <n v="0"/>
    <n v="0"/>
    <n v="0"/>
    <n v="4"/>
    <s v="Male"/>
    <n v="0"/>
    <n v="46"/>
    <n v="1"/>
    <n v="1"/>
    <s v="Laboratory Technician"/>
    <n v="0"/>
    <n v="0"/>
    <n v="1"/>
    <n v="0"/>
    <n v="0"/>
    <n v="0"/>
    <n v="0"/>
    <n v="0"/>
    <n v="3"/>
    <s v="Single"/>
    <n v="1"/>
    <n v="0"/>
    <n v="4230"/>
    <n v="4230"/>
    <n v="0"/>
    <s v="No"/>
    <n v="0"/>
    <n v="15"/>
    <n v="3"/>
    <n v="3"/>
    <n v="0"/>
    <n v="6"/>
    <x v="3"/>
    <n v="2"/>
    <n v="3"/>
    <n v="5"/>
    <n v="5"/>
    <n v="4"/>
    <n v="4"/>
    <n v="4"/>
    <n v="3"/>
    <n v="3"/>
    <n v="3"/>
    <n v="1"/>
    <n v="0"/>
    <n v="0"/>
    <n v="0"/>
    <n v="1"/>
    <n v="0"/>
    <n v="0"/>
    <n v="0"/>
    <n v="0"/>
    <n v="3"/>
    <n v="0"/>
    <n v="0"/>
    <n v="6"/>
    <n v="0"/>
    <n v="0.48278508007487309"/>
    <n v="0.31476636926356072"/>
    <n v="0.67854260110508058"/>
    <n v="0.32778177112653761"/>
    <n v="1.579831893679001"/>
    <n v="0.21058903898096887"/>
    <n v="0.56238451757720498"/>
  </r>
  <r>
    <n v="54"/>
    <n v="54"/>
    <s v="No"/>
    <n v="0"/>
    <s v="Travel_Rarely"/>
    <n v="0"/>
    <n v="1"/>
    <x v="1"/>
    <n v="1"/>
    <n v="0"/>
    <n v="8"/>
    <n v="8"/>
    <n v="4"/>
    <s v="Life Sciences"/>
    <n v="1"/>
    <n v="0"/>
    <n v="0"/>
    <n v="0"/>
    <n v="0"/>
    <n v="3"/>
    <s v="Female"/>
    <n v="1"/>
    <n v="42"/>
    <n v="3"/>
    <n v="2"/>
    <s v="Laboratory Technician"/>
    <n v="0"/>
    <n v="0"/>
    <n v="1"/>
    <n v="0"/>
    <n v="0"/>
    <n v="0"/>
    <n v="0"/>
    <n v="0"/>
    <n v="3"/>
    <s v="Single"/>
    <n v="1"/>
    <n v="0"/>
    <n v="3780"/>
    <n v="3780"/>
    <n v="7"/>
    <s v="No"/>
    <n v="0"/>
    <n v="11"/>
    <n v="3"/>
    <n v="3"/>
    <n v="0"/>
    <n v="19"/>
    <x v="15"/>
    <n v="3"/>
    <n v="3"/>
    <n v="1"/>
    <n v="1"/>
    <n v="0"/>
    <n v="0"/>
    <n v="0"/>
    <n v="0"/>
    <n v="0"/>
    <n v="0"/>
    <n v="1"/>
    <n v="0"/>
    <n v="0"/>
    <n v="0"/>
    <n v="1"/>
    <n v="0"/>
    <n v="0"/>
    <n v="0"/>
    <n v="0"/>
    <n v="0"/>
    <n v="0"/>
    <n v="0"/>
    <n v="19"/>
    <n v="0"/>
    <n v="0.57836794557940407"/>
    <n v="1.1555414682655611"/>
    <n v="0.99224068804813281"/>
    <n v="0.9806804209314296"/>
    <n v="0.14709966057360641"/>
    <n v="1.8692383509548371"/>
    <n v="0.67891464284095016"/>
  </r>
  <r>
    <n v="34"/>
    <n v="34"/>
    <s v="No"/>
    <n v="0"/>
    <s v="Travel_Rarely"/>
    <n v="0"/>
    <n v="1"/>
    <x v="1"/>
    <n v="1"/>
    <n v="0"/>
    <n v="2"/>
    <n v="2"/>
    <n v="4"/>
    <s v="Life Sciences"/>
    <n v="1"/>
    <n v="0"/>
    <n v="0"/>
    <n v="0"/>
    <n v="0"/>
    <n v="4"/>
    <s v="Male"/>
    <n v="0"/>
    <n v="62"/>
    <n v="2"/>
    <n v="1"/>
    <s v="Research Scientist"/>
    <n v="0"/>
    <n v="0"/>
    <n v="0"/>
    <n v="0"/>
    <n v="0"/>
    <n v="0"/>
    <n v="0"/>
    <n v="1"/>
    <n v="3"/>
    <s v="Divorced"/>
    <n v="0"/>
    <n v="0"/>
    <n v="2768"/>
    <n v="2768"/>
    <n v="3"/>
    <s v="No"/>
    <n v="0"/>
    <n v="12"/>
    <n v="3"/>
    <n v="3"/>
    <n v="1"/>
    <n v="14"/>
    <x v="18"/>
    <n v="3"/>
    <n v="3"/>
    <n v="7"/>
    <n v="7"/>
    <n v="3"/>
    <n v="5"/>
    <n v="5"/>
    <n v="7"/>
    <n v="7"/>
    <n v="7"/>
    <n v="1"/>
    <n v="0"/>
    <n v="0"/>
    <n v="0"/>
    <n v="1"/>
    <n v="0"/>
    <n v="0"/>
    <n v="0"/>
    <n v="0"/>
    <n v="7"/>
    <n v="0"/>
    <n v="0"/>
    <n v="14"/>
    <n v="0"/>
    <n v="0.79332318978070493"/>
    <n v="0.80626709607243985"/>
    <n v="0.34963173068151232"/>
    <n v="1.3324462240916321E-3"/>
    <n v="0.88721318382472392"/>
    <n v="0.32005363845127444"/>
    <n v="0.87270930768174382"/>
  </r>
  <r>
    <n v="46"/>
    <n v="46"/>
    <s v="No"/>
    <n v="0"/>
    <s v="Travel_Rarely"/>
    <n v="0"/>
    <n v="1"/>
    <x v="0"/>
    <n v="0"/>
    <n v="1"/>
    <n v="10"/>
    <n v="10"/>
    <n v="3"/>
    <s v="Marketing"/>
    <n v="0"/>
    <n v="0"/>
    <n v="0"/>
    <n v="1"/>
    <n v="0"/>
    <n v="3"/>
    <s v="Female"/>
    <n v="1"/>
    <n v="94"/>
    <n v="2"/>
    <n v="3"/>
    <s v="Sales Executive"/>
    <n v="0"/>
    <n v="1"/>
    <n v="0"/>
    <n v="0"/>
    <n v="0"/>
    <n v="0"/>
    <n v="0"/>
    <n v="0"/>
    <n v="4"/>
    <s v="Married"/>
    <n v="0"/>
    <n v="1"/>
    <n v="9071"/>
    <n v="9071"/>
    <n v="2"/>
    <s v="Yes"/>
    <n v="1"/>
    <n v="19"/>
    <n v="3"/>
    <n v="3"/>
    <n v="1"/>
    <n v="15"/>
    <x v="19"/>
    <n v="3"/>
    <n v="3"/>
    <n v="3"/>
    <n v="3"/>
    <n v="2"/>
    <n v="1"/>
    <n v="1"/>
    <n v="2"/>
    <n v="2"/>
    <n v="6"/>
    <n v="0"/>
    <n v="1"/>
    <n v="0"/>
    <n v="0"/>
    <n v="0"/>
    <n v="0"/>
    <n v="0"/>
    <n v="1"/>
    <n v="0"/>
    <n v="0"/>
    <n v="2"/>
    <n v="0"/>
    <n v="0"/>
    <n v="15"/>
    <n v="0.5454741463860926"/>
    <n v="0.59502473559756086"/>
    <n v="0.47815352215483642"/>
    <n v="0.65423109602898355"/>
    <n v="9.9604847176766084E-2"/>
    <n v="0.99352155519239249"/>
    <n v="0.36858985273641137"/>
  </r>
  <r>
    <n v="31"/>
    <n v="31"/>
    <s v="No"/>
    <n v="0"/>
    <s v="Travel_Rarely"/>
    <n v="0"/>
    <n v="1"/>
    <x v="1"/>
    <n v="1"/>
    <n v="0"/>
    <n v="9"/>
    <n v="9"/>
    <n v="1"/>
    <s v="Life Sciences"/>
    <n v="1"/>
    <n v="0"/>
    <n v="0"/>
    <n v="0"/>
    <n v="0"/>
    <n v="3"/>
    <s v="Male"/>
    <n v="0"/>
    <n v="33"/>
    <n v="3"/>
    <n v="3"/>
    <s v="Manufacturing Director"/>
    <n v="0"/>
    <n v="0"/>
    <n v="0"/>
    <n v="0"/>
    <n v="1"/>
    <n v="1"/>
    <n v="0"/>
    <n v="0"/>
    <n v="2"/>
    <s v="Divorced"/>
    <n v="0"/>
    <n v="0"/>
    <n v="10648"/>
    <n v="10648"/>
    <n v="1"/>
    <s v="No"/>
    <n v="0"/>
    <n v="25"/>
    <n v="4"/>
    <n v="4"/>
    <n v="1"/>
    <n v="13"/>
    <x v="10"/>
    <n v="6"/>
    <n v="4"/>
    <n v="13"/>
    <n v="13"/>
    <n v="8"/>
    <n v="0"/>
    <n v="0"/>
    <n v="8"/>
    <n v="8"/>
    <n v="24"/>
    <n v="1"/>
    <n v="0"/>
    <n v="0"/>
    <n v="0"/>
    <n v="1"/>
    <n v="0"/>
    <n v="0"/>
    <n v="0"/>
    <n v="0"/>
    <n v="8"/>
    <n v="0"/>
    <n v="0"/>
    <n v="13"/>
    <n v="0"/>
    <n v="0.88043898838752688"/>
    <n v="1.08652546240644"/>
    <n v="0.22110993920818819"/>
    <n v="0.97801552848324624"/>
    <n v="2.3747406698420157E-2"/>
    <n v="0.6484474368621912"/>
    <n v="0.67891464284095016"/>
  </r>
  <r>
    <n v="33"/>
    <n v="33"/>
    <s v="Yes"/>
    <n v="1"/>
    <s v="Travel_Rarely"/>
    <n v="0"/>
    <n v="1"/>
    <x v="1"/>
    <n v="1"/>
    <n v="0"/>
    <n v="15"/>
    <n v="15"/>
    <n v="1"/>
    <s v="Medical"/>
    <n v="0"/>
    <n v="0"/>
    <n v="1"/>
    <n v="0"/>
    <n v="0"/>
    <n v="2"/>
    <s v="Male"/>
    <n v="0"/>
    <n v="56"/>
    <n v="3"/>
    <n v="3"/>
    <s v="Manager"/>
    <n v="0"/>
    <n v="0"/>
    <n v="0"/>
    <n v="1"/>
    <n v="0"/>
    <n v="0"/>
    <n v="0"/>
    <n v="0"/>
    <n v="3"/>
    <s v="Married"/>
    <n v="0"/>
    <n v="1"/>
    <n v="13610"/>
    <n v="13610"/>
    <n v="7"/>
    <s v="Yes"/>
    <n v="1"/>
    <n v="12"/>
    <n v="3"/>
    <n v="4"/>
    <n v="0"/>
    <n v="15"/>
    <x v="19"/>
    <n v="2"/>
    <n v="4"/>
    <n v="7"/>
    <n v="7"/>
    <n v="6"/>
    <n v="7"/>
    <n v="7"/>
    <n v="7"/>
    <n v="7"/>
    <n v="21"/>
    <n v="0"/>
    <n v="1"/>
    <n v="0"/>
    <n v="0"/>
    <n v="0"/>
    <n v="0"/>
    <n v="0"/>
    <n v="1"/>
    <n v="0"/>
    <n v="7"/>
    <n v="0"/>
    <n v="0"/>
    <n v="15"/>
    <n v="0"/>
    <n v="1.5095866497751287"/>
    <n v="0.80626709607243985"/>
    <n v="0.47815352215483642"/>
    <n v="1.3324462240916321E-3"/>
    <n v="0.71636611655269733"/>
    <n v="0.42951823792158"/>
    <n v="1.4933588878908215"/>
  </r>
  <r>
    <n v="33"/>
    <n v="33"/>
    <s v="Yes"/>
    <n v="1"/>
    <s v="Travel_Rarely"/>
    <n v="0"/>
    <n v="1"/>
    <x v="1"/>
    <n v="1"/>
    <n v="0"/>
    <n v="10"/>
    <n v="10"/>
    <n v="1"/>
    <s v="Medical"/>
    <n v="0"/>
    <n v="0"/>
    <n v="1"/>
    <n v="0"/>
    <n v="0"/>
    <n v="1"/>
    <s v="Male"/>
    <n v="0"/>
    <n v="38"/>
    <n v="1"/>
    <n v="1"/>
    <s v="Laboratory Technician"/>
    <n v="0"/>
    <n v="0"/>
    <n v="1"/>
    <n v="0"/>
    <n v="0"/>
    <n v="0"/>
    <n v="0"/>
    <n v="0"/>
    <n v="4"/>
    <s v="Divorced"/>
    <n v="0"/>
    <n v="0"/>
    <n v="3408"/>
    <n v="3408"/>
    <n v="7"/>
    <s v="No"/>
    <n v="0"/>
    <n v="13"/>
    <n v="3"/>
    <n v="1"/>
    <n v="3"/>
    <n v="8"/>
    <x v="0"/>
    <n v="2"/>
    <n v="3"/>
    <n v="4"/>
    <n v="4"/>
    <n v="3"/>
    <n v="1"/>
    <n v="1"/>
    <n v="3"/>
    <n v="3"/>
    <n v="3"/>
    <n v="1"/>
    <n v="0"/>
    <n v="0"/>
    <n v="0"/>
    <n v="1"/>
    <n v="0"/>
    <n v="0"/>
    <n v="0"/>
    <n v="0"/>
    <n v="3"/>
    <n v="0"/>
    <n v="0"/>
    <n v="8"/>
    <n v="0"/>
    <n v="0.65738311439648311"/>
    <n v="0.31476636926356072"/>
    <n v="0.42149901815843233"/>
    <n v="0.49100643357776058"/>
    <n v="9.9604847176766084E-2"/>
    <n v="0.42951823792158"/>
    <n v="0.36858985273641137"/>
  </r>
  <r>
    <n v="30"/>
    <n v="30"/>
    <s v="No"/>
    <n v="0"/>
    <s v="Travel_Rarely"/>
    <n v="0"/>
    <n v="1"/>
    <x v="0"/>
    <n v="0"/>
    <n v="1"/>
    <n v="7"/>
    <n v="7"/>
    <n v="1"/>
    <s v="Marketing"/>
    <n v="0"/>
    <n v="0"/>
    <n v="0"/>
    <n v="1"/>
    <n v="0"/>
    <n v="4"/>
    <s v="Male"/>
    <n v="0"/>
    <n v="57"/>
    <n v="3"/>
    <n v="1"/>
    <s v="Sales Representative"/>
    <n v="0"/>
    <n v="0"/>
    <n v="0"/>
    <n v="0"/>
    <n v="0"/>
    <n v="0"/>
    <n v="1"/>
    <n v="0"/>
    <n v="2"/>
    <s v="Single"/>
    <n v="1"/>
    <n v="0"/>
    <n v="2983"/>
    <n v="2983"/>
    <n v="0"/>
    <s v="No"/>
    <n v="0"/>
    <n v="14"/>
    <n v="3"/>
    <n v="1"/>
    <n v="0"/>
    <n v="4"/>
    <x v="20"/>
    <n v="3"/>
    <n v="3"/>
    <n v="3"/>
    <n v="3"/>
    <n v="2"/>
    <n v="1"/>
    <n v="1"/>
    <n v="2"/>
    <n v="2"/>
    <n v="2"/>
    <n v="1"/>
    <n v="0"/>
    <n v="0"/>
    <n v="0"/>
    <n v="1"/>
    <n v="0"/>
    <n v="0"/>
    <n v="0"/>
    <n v="0"/>
    <n v="0"/>
    <n v="2"/>
    <n v="0"/>
    <n v="0"/>
    <n v="4"/>
    <n v="0.74765582070631786"/>
    <n v="0.59502473559756086"/>
    <n v="0.93558618405172878"/>
    <n v="0.65423109602898355"/>
    <n v="0.27045191444879263"/>
    <n v="0.75791203633249671"/>
    <n v="0.36858985273641137"/>
  </r>
  <r>
    <n v="35"/>
    <n v="35"/>
    <s v="No"/>
    <n v="0"/>
    <s v="Travel_Rarely"/>
    <n v="0"/>
    <n v="1"/>
    <x v="1"/>
    <n v="1"/>
    <n v="0"/>
    <n v="16"/>
    <n v="16"/>
    <n v="3"/>
    <s v="Life Sciences"/>
    <n v="1"/>
    <n v="0"/>
    <n v="0"/>
    <n v="0"/>
    <n v="0"/>
    <n v="4"/>
    <s v="Male"/>
    <n v="0"/>
    <n v="72"/>
    <n v="3"/>
    <n v="3"/>
    <s v="Healthcare Representative"/>
    <n v="1"/>
    <n v="0"/>
    <n v="0"/>
    <n v="0"/>
    <n v="0"/>
    <n v="0"/>
    <n v="0"/>
    <n v="0"/>
    <n v="3"/>
    <s v="Married"/>
    <n v="0"/>
    <n v="1"/>
    <n v="7632"/>
    <n v="7632"/>
    <n v="4"/>
    <s v="Yes"/>
    <n v="1"/>
    <n v="12"/>
    <n v="3"/>
    <n v="3"/>
    <n v="0"/>
    <n v="10"/>
    <x v="1"/>
    <n v="2"/>
    <n v="3"/>
    <n v="8"/>
    <n v="8"/>
    <n v="7"/>
    <n v="0"/>
    <n v="0"/>
    <n v="0"/>
    <n v="0"/>
    <n v="0"/>
    <n v="0"/>
    <n v="1"/>
    <n v="0"/>
    <n v="0"/>
    <n v="0"/>
    <n v="0"/>
    <n v="0"/>
    <n v="1"/>
    <n v="0"/>
    <n v="0"/>
    <n v="0"/>
    <n v="0"/>
    <n v="10"/>
    <n v="0"/>
    <n v="0.23982138313938128"/>
    <n v="1.1555414682655611"/>
    <n v="0.1644554352117841"/>
    <n v="0.16189221622713135"/>
    <n v="0.83971837042788355"/>
    <n v="0.21058903898096887"/>
    <n v="0.67891464284095016"/>
  </r>
  <r>
    <n v="31"/>
    <n v="31"/>
    <s v="Yes"/>
    <n v="1"/>
    <s v="Travel_Frequently"/>
    <n v="1"/>
    <n v="0"/>
    <x v="1"/>
    <n v="1"/>
    <n v="0"/>
    <n v="20"/>
    <n v="20"/>
    <n v="3"/>
    <s v="Life Sciences"/>
    <n v="1"/>
    <n v="0"/>
    <n v="0"/>
    <n v="0"/>
    <n v="0"/>
    <n v="1"/>
    <s v="Male"/>
    <n v="0"/>
    <n v="66"/>
    <n v="3"/>
    <n v="3"/>
    <s v="Healthcare Representative"/>
    <n v="1"/>
    <n v="0"/>
    <n v="0"/>
    <n v="0"/>
    <n v="0"/>
    <n v="0"/>
    <n v="0"/>
    <n v="0"/>
    <n v="3"/>
    <s v="Married"/>
    <n v="0"/>
    <n v="1"/>
    <n v="9824"/>
    <n v="9824"/>
    <n v="3"/>
    <s v="No"/>
    <n v="0"/>
    <n v="12"/>
    <n v="3"/>
    <n v="1"/>
    <n v="0"/>
    <n v="12"/>
    <x v="4"/>
    <n v="2"/>
    <n v="3"/>
    <n v="1"/>
    <n v="1"/>
    <n v="0"/>
    <n v="0"/>
    <n v="0"/>
    <n v="0"/>
    <n v="0"/>
    <n v="0"/>
    <n v="0"/>
    <n v="0"/>
    <n v="0"/>
    <n v="1"/>
    <n v="0"/>
    <n v="0"/>
    <n v="1"/>
    <n v="0"/>
    <n v="0"/>
    <n v="0"/>
    <n v="0"/>
    <n v="0"/>
    <n v="12"/>
    <n v="0"/>
    <n v="0.70541614133034114"/>
    <n v="1.1555414682655611"/>
    <n v="9.2588147734864096E-2"/>
    <n v="0.9806804209314296"/>
    <n v="1.3331273859286286"/>
    <n v="0.6484474368621912"/>
    <n v="0.67891464284095016"/>
  </r>
  <r>
    <n v="34"/>
    <n v="34"/>
    <s v="Yes"/>
    <n v="1"/>
    <s v="Travel_Frequently"/>
    <n v="1"/>
    <n v="0"/>
    <x v="2"/>
    <n v="0"/>
    <n v="0"/>
    <n v="23"/>
    <n v="23"/>
    <n v="3"/>
    <s v="Human Resources"/>
    <n v="0"/>
    <n v="0"/>
    <n v="0"/>
    <n v="0"/>
    <n v="0"/>
    <n v="2"/>
    <s v="Female"/>
    <n v="1"/>
    <n v="43"/>
    <n v="3"/>
    <n v="3"/>
    <s v="Human Resources"/>
    <n v="0"/>
    <n v="0"/>
    <n v="0"/>
    <n v="0"/>
    <n v="0"/>
    <n v="0"/>
    <n v="0"/>
    <n v="0"/>
    <n v="1"/>
    <s v="Divorced"/>
    <n v="0"/>
    <n v="0"/>
    <n v="9950"/>
    <n v="9950"/>
    <n v="9"/>
    <s v="Yes"/>
    <n v="1"/>
    <n v="15"/>
    <n v="3"/>
    <n v="3"/>
    <n v="3"/>
    <n v="11"/>
    <x v="26"/>
    <n v="2"/>
    <n v="3"/>
    <n v="3"/>
    <n v="3"/>
    <n v="2"/>
    <n v="0"/>
    <n v="0"/>
    <n v="2"/>
    <n v="2"/>
    <n v="6"/>
    <n v="0"/>
    <n v="0"/>
    <n v="1"/>
    <n v="0"/>
    <n v="0"/>
    <n v="1"/>
    <n v="0"/>
    <n v="0"/>
    <n v="2"/>
    <n v="0"/>
    <n v="0"/>
    <n v="11"/>
    <n v="0"/>
    <n v="0"/>
    <n v="0.73217934367160986"/>
    <n v="0.59502473559756086"/>
    <n v="3.593364373846001E-2"/>
    <n v="0.65423109602898355"/>
    <n v="1.7031841475541873"/>
    <n v="0.32005363845127444"/>
    <n v="0.67891464284095016"/>
  </r>
  <r>
    <n v="42"/>
    <n v="42"/>
    <s v="No"/>
    <n v="0"/>
    <s v="Travel_Frequently"/>
    <n v="1"/>
    <n v="0"/>
    <x v="1"/>
    <n v="1"/>
    <n v="0"/>
    <n v="5"/>
    <n v="5"/>
    <n v="2"/>
    <s v="Other"/>
    <n v="0"/>
    <n v="1"/>
    <n v="0"/>
    <n v="0"/>
    <n v="0"/>
    <n v="2"/>
    <s v="Male"/>
    <n v="0"/>
    <n v="97"/>
    <n v="3"/>
    <n v="1"/>
    <s v="Laboratory Technician"/>
    <n v="0"/>
    <n v="0"/>
    <n v="1"/>
    <n v="0"/>
    <n v="0"/>
    <n v="0"/>
    <n v="0"/>
    <n v="0"/>
    <n v="3"/>
    <s v="Married"/>
    <n v="0"/>
    <n v="1"/>
    <n v="2093"/>
    <n v="2093"/>
    <n v="4"/>
    <s v="No"/>
    <n v="0"/>
    <n v="17"/>
    <n v="3"/>
    <n v="4"/>
    <n v="1"/>
    <n v="8"/>
    <x v="0"/>
    <n v="4"/>
    <n v="3"/>
    <n v="2"/>
    <n v="2"/>
    <n v="2"/>
    <n v="2"/>
    <n v="2"/>
    <n v="0"/>
    <n v="0"/>
    <n v="0"/>
    <n v="0"/>
    <n v="0"/>
    <n v="0"/>
    <n v="1"/>
    <n v="0"/>
    <n v="0"/>
    <n v="1"/>
    <n v="0"/>
    <n v="0"/>
    <n v="0"/>
    <n v="0"/>
    <n v="0"/>
    <n v="8"/>
    <n v="0"/>
    <n v="0.93669748803750141"/>
    <n v="1.1555414682655611"/>
    <n v="0.42149901815843233"/>
    <n v="0.81745575848020657"/>
    <n v="0.51715642219916513"/>
    <n v="0.55566315731117022"/>
    <n v="5.8265062631872602E-2"/>
  </r>
  <r>
    <n v="36"/>
    <n v="36"/>
    <s v="No"/>
    <n v="0"/>
    <s v="Non-Travel"/>
    <n v="0"/>
    <n v="0"/>
    <x v="0"/>
    <n v="0"/>
    <n v="1"/>
    <n v="10"/>
    <n v="10"/>
    <n v="4"/>
    <s v="Medical"/>
    <n v="0"/>
    <n v="0"/>
    <n v="1"/>
    <n v="0"/>
    <n v="0"/>
    <n v="2"/>
    <s v="Male"/>
    <n v="0"/>
    <n v="32"/>
    <n v="3"/>
    <n v="3"/>
    <s v="Sales Executive"/>
    <n v="0"/>
    <n v="1"/>
    <n v="0"/>
    <n v="0"/>
    <n v="0"/>
    <n v="0"/>
    <n v="0"/>
    <n v="0"/>
    <n v="4"/>
    <s v="Single"/>
    <n v="1"/>
    <n v="0"/>
    <n v="9980"/>
    <n v="9980"/>
    <n v="1"/>
    <s v="No"/>
    <n v="0"/>
    <n v="14"/>
    <n v="3"/>
    <n v="4"/>
    <n v="0"/>
    <n v="10"/>
    <x v="1"/>
    <n v="3"/>
    <n v="2"/>
    <n v="10"/>
    <n v="10"/>
    <n v="3"/>
    <n v="9"/>
    <n v="9"/>
    <n v="7"/>
    <n v="7"/>
    <n v="21"/>
    <n v="1"/>
    <n v="0"/>
    <n v="0"/>
    <n v="0"/>
    <n v="1"/>
    <n v="0"/>
    <n v="0"/>
    <n v="0"/>
    <n v="0"/>
    <n v="0"/>
    <n v="7"/>
    <n v="0"/>
    <n v="0"/>
    <n v="10"/>
    <n v="0.73855153470524526"/>
    <n v="0.80626709607243985"/>
    <n v="0.1644554352117841"/>
    <n v="0.48834154112957734"/>
    <n v="9.9604847176766084E-2"/>
    <n v="0.10112443951066327"/>
    <n v="2.114008468099899"/>
  </r>
  <r>
    <n v="22"/>
    <n v="22"/>
    <s v="Yes"/>
    <n v="1"/>
    <s v="Travel_Frequently"/>
    <n v="1"/>
    <n v="0"/>
    <x v="1"/>
    <n v="1"/>
    <n v="0"/>
    <n v="4"/>
    <n v="4"/>
    <n v="1"/>
    <s v="Technical Degree"/>
    <n v="0"/>
    <n v="0"/>
    <n v="0"/>
    <n v="0"/>
    <n v="1"/>
    <n v="3"/>
    <s v="Male"/>
    <n v="0"/>
    <n v="99"/>
    <n v="2"/>
    <n v="1"/>
    <s v="Laboratory Technician"/>
    <n v="0"/>
    <n v="0"/>
    <n v="1"/>
    <n v="0"/>
    <n v="0"/>
    <n v="0"/>
    <n v="0"/>
    <n v="0"/>
    <n v="3"/>
    <s v="Single"/>
    <n v="1"/>
    <n v="0"/>
    <n v="3894"/>
    <n v="3894"/>
    <n v="5"/>
    <s v="No"/>
    <n v="0"/>
    <n v="16"/>
    <n v="3"/>
    <n v="3"/>
    <n v="0"/>
    <n v="4"/>
    <x v="20"/>
    <n v="3"/>
    <n v="3"/>
    <n v="2"/>
    <n v="2"/>
    <n v="2"/>
    <n v="1"/>
    <n v="1"/>
    <n v="2"/>
    <n v="2"/>
    <n v="2"/>
    <n v="0"/>
    <n v="0"/>
    <n v="1"/>
    <n v="0"/>
    <n v="1"/>
    <n v="0"/>
    <n v="0"/>
    <n v="0"/>
    <n v="0"/>
    <n v="2"/>
    <n v="0"/>
    <n v="0"/>
    <n v="4"/>
    <n v="0"/>
    <n v="0.5541536196515896"/>
    <n v="0.59502473559756086"/>
    <n v="0.93558618405172878"/>
    <n v="0.81745575848020657"/>
    <n v="0.64050867607435136"/>
    <n v="1.6336288320949415"/>
    <n v="0.36858985273641137"/>
  </r>
  <r>
    <n v="48"/>
    <n v="48"/>
    <s v="No"/>
    <n v="0"/>
    <s v="Travel_Rarely"/>
    <n v="0"/>
    <n v="1"/>
    <x v="0"/>
    <n v="0"/>
    <n v="1"/>
    <n v="2"/>
    <n v="2"/>
    <n v="5"/>
    <s v="Marketing"/>
    <n v="0"/>
    <n v="0"/>
    <n v="0"/>
    <n v="1"/>
    <n v="0"/>
    <n v="2"/>
    <s v="Female"/>
    <n v="1"/>
    <n v="37"/>
    <n v="3"/>
    <n v="2"/>
    <s v="Sales Executive"/>
    <n v="0"/>
    <n v="1"/>
    <n v="0"/>
    <n v="0"/>
    <n v="0"/>
    <n v="0"/>
    <n v="0"/>
    <n v="0"/>
    <n v="4"/>
    <s v="Married"/>
    <n v="0"/>
    <n v="1"/>
    <n v="4051"/>
    <n v="4051"/>
    <n v="2"/>
    <s v="No"/>
    <n v="0"/>
    <n v="14"/>
    <n v="3"/>
    <n v="1"/>
    <n v="1"/>
    <n v="14"/>
    <x v="18"/>
    <n v="2"/>
    <n v="3"/>
    <n v="9"/>
    <n v="9"/>
    <n v="7"/>
    <n v="6"/>
    <n v="6"/>
    <n v="7"/>
    <n v="7"/>
    <n v="14"/>
    <n v="0"/>
    <n v="1"/>
    <n v="0"/>
    <n v="0"/>
    <n v="0"/>
    <n v="0"/>
    <n v="1"/>
    <n v="0"/>
    <n v="0"/>
    <n v="0"/>
    <n v="7"/>
    <n v="0"/>
    <n v="0"/>
    <n v="14"/>
    <n v="0.52080581990889763"/>
    <n v="0.80626709607243985"/>
    <n v="0.34963173068151232"/>
    <n v="0.32511687867835437"/>
    <n v="0.88721318382472392"/>
    <n v="1.2124507541330036"/>
    <n v="1.1830340977862825"/>
  </r>
  <r>
    <n v="55"/>
    <n v="55"/>
    <s v="No"/>
    <n v="0"/>
    <s v="Travel_Rarely"/>
    <n v="0"/>
    <n v="1"/>
    <x v="0"/>
    <n v="0"/>
    <n v="1"/>
    <n v="18"/>
    <n v="18"/>
    <n v="5"/>
    <s v="Life Sciences"/>
    <n v="1"/>
    <n v="0"/>
    <n v="0"/>
    <n v="0"/>
    <n v="0"/>
    <n v="1"/>
    <s v="Female"/>
    <n v="1"/>
    <n v="83"/>
    <n v="3"/>
    <n v="4"/>
    <s v="Manager"/>
    <n v="0"/>
    <n v="0"/>
    <n v="0"/>
    <n v="1"/>
    <n v="0"/>
    <n v="0"/>
    <n v="0"/>
    <n v="0"/>
    <n v="2"/>
    <s v="Single"/>
    <n v="1"/>
    <n v="0"/>
    <n v="16835"/>
    <n v="16835"/>
    <n v="3"/>
    <s v="No"/>
    <n v="0"/>
    <n v="23"/>
    <n v="4"/>
    <n v="4"/>
    <n v="0"/>
    <n v="37"/>
    <x v="28"/>
    <n v="2"/>
    <n v="3"/>
    <n v="10"/>
    <n v="10"/>
    <n v="9"/>
    <n v="7"/>
    <n v="7"/>
    <n v="7"/>
    <n v="7"/>
    <n v="28"/>
    <n v="1"/>
    <n v="0"/>
    <n v="0"/>
    <n v="0"/>
    <n v="1"/>
    <n v="0"/>
    <n v="0"/>
    <n v="0"/>
    <n v="0"/>
    <n v="0"/>
    <n v="7"/>
    <n v="0"/>
    <n v="0"/>
    <n v="35"/>
    <n v="2.1945971858909341"/>
    <n v="0.80626709607243985"/>
    <n v="3.3056329345679663"/>
    <n v="0.48834154112957734"/>
    <n v="1.0864228781782561"/>
    <n v="1.9787029504251428"/>
    <n v="1.4933588878908215"/>
  </r>
  <r>
    <n v="41"/>
    <n v="41"/>
    <s v="No"/>
    <n v="0"/>
    <s v="Non-Travel"/>
    <n v="0"/>
    <n v="0"/>
    <x v="0"/>
    <n v="0"/>
    <n v="1"/>
    <n v="10"/>
    <n v="10"/>
    <n v="2"/>
    <s v="Life Sciences"/>
    <n v="1"/>
    <n v="0"/>
    <n v="0"/>
    <n v="0"/>
    <n v="0"/>
    <n v="4"/>
    <s v="Male"/>
    <n v="0"/>
    <n v="56"/>
    <n v="3"/>
    <n v="2"/>
    <s v="Sales Executive"/>
    <n v="0"/>
    <n v="1"/>
    <n v="0"/>
    <n v="0"/>
    <n v="0"/>
    <n v="0"/>
    <n v="0"/>
    <n v="0"/>
    <n v="4"/>
    <s v="Single"/>
    <n v="1"/>
    <n v="0"/>
    <n v="6230"/>
    <n v="6230"/>
    <n v="7"/>
    <s v="No"/>
    <n v="0"/>
    <n v="14"/>
    <n v="3"/>
    <n v="4"/>
    <n v="0"/>
    <n v="16"/>
    <x v="27"/>
    <n v="3"/>
    <n v="3"/>
    <n v="14"/>
    <n v="14"/>
    <n v="3"/>
    <n v="1"/>
    <n v="1"/>
    <n v="10"/>
    <n v="10"/>
    <n v="20"/>
    <n v="1"/>
    <n v="0"/>
    <n v="0"/>
    <n v="0"/>
    <n v="1"/>
    <n v="0"/>
    <n v="0"/>
    <n v="0"/>
    <n v="0"/>
    <n v="0"/>
    <n v="10"/>
    <n v="0"/>
    <n v="0"/>
    <n v="16"/>
    <n v="5.7972344499179755E-2"/>
    <n v="1.6470421950744405"/>
    <n v="0.60667531362816052"/>
    <n v="1.1412401909344694"/>
    <n v="9.9604847176766084E-2"/>
    <n v="0.4461985578408646"/>
    <n v="0.36858985273641137"/>
  </r>
  <r>
    <n v="35"/>
    <n v="35"/>
    <s v="No"/>
    <n v="0"/>
    <s v="Travel_Rarely"/>
    <n v="0"/>
    <n v="1"/>
    <x v="0"/>
    <n v="0"/>
    <n v="1"/>
    <n v="1"/>
    <n v="1"/>
    <n v="3"/>
    <s v="Marketing"/>
    <n v="0"/>
    <n v="0"/>
    <n v="0"/>
    <n v="1"/>
    <n v="0"/>
    <n v="2"/>
    <s v="Male"/>
    <n v="0"/>
    <n v="85"/>
    <n v="3"/>
    <n v="2"/>
    <s v="Sales Executive"/>
    <n v="0"/>
    <n v="1"/>
    <n v="0"/>
    <n v="0"/>
    <n v="0"/>
    <n v="0"/>
    <n v="0"/>
    <n v="0"/>
    <n v="3"/>
    <s v="Married"/>
    <n v="0"/>
    <n v="1"/>
    <n v="4717"/>
    <n v="4717"/>
    <n v="9"/>
    <s v="No"/>
    <n v="0"/>
    <n v="11"/>
    <n v="3"/>
    <n v="3"/>
    <n v="0"/>
    <n v="15"/>
    <x v="19"/>
    <n v="2"/>
    <n v="3"/>
    <n v="11"/>
    <n v="11"/>
    <n v="9"/>
    <n v="6"/>
    <n v="6"/>
    <n v="9"/>
    <n v="9"/>
    <n v="18"/>
    <n v="0"/>
    <n v="1"/>
    <n v="0"/>
    <n v="0"/>
    <n v="0"/>
    <n v="0"/>
    <n v="1"/>
    <n v="0"/>
    <n v="0"/>
    <n v="0"/>
    <n v="9"/>
    <n v="0"/>
    <n v="0"/>
    <n v="15"/>
    <n v="0.37934317896219177"/>
    <n v="1.3667838287404401"/>
    <n v="0.47815352215483642"/>
    <n v="0.65156620358080031"/>
    <n v="1.01056543769991"/>
    <n v="0.21058903898096887"/>
    <n v="1.1830340977862825"/>
  </r>
  <r>
    <n v="40"/>
    <n v="40"/>
    <s v="No"/>
    <n v="0"/>
    <s v="Travel_Rarely"/>
    <n v="0"/>
    <n v="1"/>
    <x v="1"/>
    <n v="1"/>
    <n v="0"/>
    <n v="6"/>
    <n v="6"/>
    <n v="3"/>
    <s v="Life Sciences"/>
    <n v="1"/>
    <n v="0"/>
    <n v="0"/>
    <n v="0"/>
    <n v="0"/>
    <n v="2"/>
    <s v="Female"/>
    <n v="1"/>
    <n v="75"/>
    <n v="3"/>
    <n v="4"/>
    <s v="Manufacturing Director"/>
    <n v="0"/>
    <n v="0"/>
    <n v="0"/>
    <n v="0"/>
    <n v="1"/>
    <n v="1"/>
    <n v="0"/>
    <n v="0"/>
    <n v="3"/>
    <s v="Single"/>
    <n v="1"/>
    <n v="0"/>
    <n v="13237"/>
    <n v="13237"/>
    <n v="7"/>
    <s v="No"/>
    <n v="0"/>
    <n v="15"/>
    <n v="3"/>
    <n v="3"/>
    <n v="0"/>
    <n v="22"/>
    <x v="13"/>
    <n v="3"/>
    <n v="3"/>
    <n v="20"/>
    <n v="20"/>
    <n v="6"/>
    <n v="5"/>
    <n v="5"/>
    <n v="13"/>
    <n v="13"/>
    <n v="52"/>
    <n v="1"/>
    <n v="0"/>
    <n v="0"/>
    <n v="0"/>
    <n v="1"/>
    <n v="0"/>
    <n v="0"/>
    <n v="0"/>
    <n v="0"/>
    <n v="13"/>
    <n v="0"/>
    <n v="0"/>
    <n v="22"/>
    <n v="0"/>
    <n v="1.4303590745902619"/>
    <n v="2.4878172940764407"/>
    <n v="1.3778060624681052"/>
    <n v="2.1205881656418071"/>
    <n v="0.39380416832397891"/>
    <n v="0.33673395837055903"/>
    <n v="0.87270930768174382"/>
  </r>
  <r>
    <n v="39"/>
    <n v="39"/>
    <s v="No"/>
    <n v="0"/>
    <s v="Travel_Frequently"/>
    <n v="1"/>
    <n v="0"/>
    <x v="1"/>
    <n v="1"/>
    <n v="0"/>
    <n v="8"/>
    <n v="8"/>
    <n v="1"/>
    <s v="Life Sciences"/>
    <n v="1"/>
    <n v="0"/>
    <n v="0"/>
    <n v="0"/>
    <n v="0"/>
    <n v="3"/>
    <s v="Female"/>
    <n v="1"/>
    <n v="48"/>
    <n v="3"/>
    <n v="1"/>
    <s v="Laboratory Technician"/>
    <n v="0"/>
    <n v="0"/>
    <n v="1"/>
    <n v="0"/>
    <n v="0"/>
    <n v="0"/>
    <n v="0"/>
    <n v="0"/>
    <n v="3"/>
    <s v="Married"/>
    <n v="0"/>
    <n v="1"/>
    <n v="3755"/>
    <n v="3755"/>
    <n v="1"/>
    <s v="No"/>
    <n v="0"/>
    <n v="11"/>
    <n v="3"/>
    <n v="1"/>
    <n v="1"/>
    <n v="8"/>
    <x v="0"/>
    <n v="3"/>
    <n v="3"/>
    <n v="8"/>
    <n v="8"/>
    <n v="3"/>
    <n v="0"/>
    <n v="0"/>
    <n v="7"/>
    <n v="7"/>
    <n v="7"/>
    <n v="0"/>
    <n v="0"/>
    <n v="0"/>
    <n v="1"/>
    <n v="0"/>
    <n v="0"/>
    <n v="1"/>
    <n v="0"/>
    <n v="0"/>
    <n v="7"/>
    <n v="0"/>
    <n v="0"/>
    <n v="8"/>
    <n v="0"/>
    <n v="0.58367810477410031"/>
    <n v="0.80626709607243985"/>
    <n v="0.42149901815843233"/>
    <n v="0.16189221622713135"/>
    <n v="0.14709966057360641"/>
    <n v="0.22726935890025346"/>
    <n v="0.67891464284095016"/>
  </r>
  <r>
    <n v="31"/>
    <n v="31"/>
    <s v="No"/>
    <n v="0"/>
    <s v="Travel_Rarely"/>
    <n v="0"/>
    <n v="1"/>
    <x v="0"/>
    <n v="0"/>
    <n v="1"/>
    <n v="2"/>
    <n v="2"/>
    <n v="1"/>
    <s v="Life Sciences"/>
    <n v="1"/>
    <n v="0"/>
    <n v="0"/>
    <n v="0"/>
    <n v="0"/>
    <n v="2"/>
    <s v="Male"/>
    <n v="0"/>
    <n v="77"/>
    <n v="3"/>
    <n v="2"/>
    <s v="Sales Executive"/>
    <n v="0"/>
    <n v="1"/>
    <n v="0"/>
    <n v="0"/>
    <n v="0"/>
    <n v="0"/>
    <n v="0"/>
    <n v="0"/>
    <n v="4"/>
    <s v="Single"/>
    <n v="1"/>
    <n v="0"/>
    <n v="6582"/>
    <n v="6582"/>
    <n v="4"/>
    <s v="Yes"/>
    <n v="1"/>
    <n v="13"/>
    <n v="3"/>
    <n v="3"/>
    <n v="0"/>
    <n v="10"/>
    <x v="1"/>
    <n v="2"/>
    <n v="4"/>
    <n v="6"/>
    <n v="6"/>
    <n v="5"/>
    <n v="0"/>
    <n v="0"/>
    <n v="5"/>
    <n v="5"/>
    <n v="10"/>
    <n v="1"/>
    <n v="0"/>
    <n v="0"/>
    <n v="0"/>
    <n v="0"/>
    <n v="1"/>
    <n v="0"/>
    <n v="0"/>
    <n v="0"/>
    <n v="0"/>
    <n v="5"/>
    <n v="0"/>
    <n v="0"/>
    <n v="10"/>
    <n v="1.679469696214227E-2"/>
    <n v="0.24575036340443959"/>
    <n v="0.1644554352117841"/>
    <n v="0.16455710867531462"/>
    <n v="0.88721318382472392"/>
    <n v="0.6484474368621912"/>
    <n v="0.67891464284095016"/>
  </r>
  <r>
    <n v="42"/>
    <n v="42"/>
    <s v="No"/>
    <n v="0"/>
    <s v="Travel_Rarely"/>
    <n v="0"/>
    <n v="1"/>
    <x v="1"/>
    <n v="1"/>
    <n v="0"/>
    <n v="24"/>
    <n v="24"/>
    <n v="3"/>
    <s v="Medical"/>
    <n v="0"/>
    <n v="0"/>
    <n v="1"/>
    <n v="0"/>
    <n v="0"/>
    <n v="4"/>
    <s v="Male"/>
    <n v="0"/>
    <n v="56"/>
    <n v="3"/>
    <n v="3"/>
    <s v="Manufacturing Director"/>
    <n v="0"/>
    <n v="0"/>
    <n v="0"/>
    <n v="0"/>
    <n v="1"/>
    <n v="1"/>
    <n v="0"/>
    <n v="0"/>
    <n v="1"/>
    <s v="Married"/>
    <n v="0"/>
    <n v="1"/>
    <n v="7406"/>
    <n v="7406"/>
    <n v="1"/>
    <s v="Yes"/>
    <n v="1"/>
    <n v="21"/>
    <n v="4"/>
    <n v="4"/>
    <n v="1"/>
    <n v="10"/>
    <x v="1"/>
    <n v="5"/>
    <n v="2"/>
    <n v="10"/>
    <n v="10"/>
    <n v="9"/>
    <n v="5"/>
    <n v="5"/>
    <n v="8"/>
    <n v="8"/>
    <n v="24"/>
    <n v="0"/>
    <n v="1"/>
    <n v="0"/>
    <n v="0"/>
    <n v="0"/>
    <n v="0"/>
    <n v="0"/>
    <n v="1"/>
    <n v="0"/>
    <n v="8"/>
    <n v="0"/>
    <n v="0"/>
    <n v="10"/>
    <n v="0"/>
    <n v="0.19181754401932793"/>
    <n v="1.08652546240644"/>
    <n v="0.1644554352117841"/>
    <n v="0.48834154112957734"/>
    <n v="1.8265364014293735"/>
    <n v="0.55566315731117022"/>
    <n v="0.87270930768174382"/>
  </r>
  <r>
    <n v="45"/>
    <n v="45"/>
    <s v="No"/>
    <n v="0"/>
    <s v="Travel_Rarely"/>
    <n v="0"/>
    <n v="1"/>
    <x v="0"/>
    <n v="0"/>
    <n v="1"/>
    <n v="2"/>
    <n v="2"/>
    <n v="3"/>
    <s v="Other"/>
    <n v="0"/>
    <n v="1"/>
    <n v="0"/>
    <n v="0"/>
    <n v="0"/>
    <n v="4"/>
    <s v="Male"/>
    <n v="0"/>
    <n v="61"/>
    <n v="3"/>
    <n v="2"/>
    <s v="Sales Executive"/>
    <n v="0"/>
    <n v="1"/>
    <n v="0"/>
    <n v="0"/>
    <n v="0"/>
    <n v="0"/>
    <n v="0"/>
    <n v="0"/>
    <n v="2"/>
    <s v="Married"/>
    <n v="0"/>
    <n v="1"/>
    <n v="4805"/>
    <n v="4805"/>
    <n v="0"/>
    <s v="No"/>
    <n v="0"/>
    <n v="19"/>
    <n v="3"/>
    <n v="2"/>
    <n v="1"/>
    <n v="9"/>
    <x v="14"/>
    <n v="3"/>
    <n v="4"/>
    <n v="8"/>
    <n v="8"/>
    <n v="7"/>
    <n v="3"/>
    <n v="3"/>
    <n v="7"/>
    <n v="7"/>
    <n v="14"/>
    <n v="0"/>
    <n v="1"/>
    <n v="0"/>
    <n v="0"/>
    <n v="0"/>
    <n v="0"/>
    <n v="1"/>
    <n v="0"/>
    <n v="0"/>
    <n v="0"/>
    <n v="7"/>
    <n v="0"/>
    <n v="0"/>
    <n v="9"/>
    <n v="0.36065141859686128"/>
    <n v="0.80626709607243985"/>
    <n v="0.29297722668510823"/>
    <n v="0.16189221622713135"/>
    <n v="0.88721318382472392"/>
    <n v="0.88405695572208698"/>
    <n v="0.2520597274726662"/>
  </r>
  <r>
    <n v="26"/>
    <n v="26"/>
    <s v="Yes"/>
    <n v="1"/>
    <s v="Travel_Frequently"/>
    <n v="1"/>
    <n v="0"/>
    <x v="2"/>
    <n v="0"/>
    <n v="0"/>
    <n v="17"/>
    <n v="17"/>
    <n v="4"/>
    <s v="Life Sciences"/>
    <n v="1"/>
    <n v="0"/>
    <n v="0"/>
    <n v="0"/>
    <n v="0"/>
    <n v="2"/>
    <s v="Female"/>
    <n v="1"/>
    <n v="58"/>
    <n v="3"/>
    <n v="1"/>
    <s v="Human Resources"/>
    <n v="0"/>
    <n v="0"/>
    <n v="0"/>
    <n v="0"/>
    <n v="0"/>
    <n v="0"/>
    <n v="0"/>
    <n v="0"/>
    <n v="3"/>
    <s v="Divorced"/>
    <n v="0"/>
    <n v="0"/>
    <n v="2741"/>
    <n v="2741"/>
    <n v="0"/>
    <s v="Yes"/>
    <n v="1"/>
    <n v="11"/>
    <n v="3"/>
    <n v="2"/>
    <n v="1"/>
    <n v="8"/>
    <x v="0"/>
    <n v="2"/>
    <n v="2"/>
    <n v="7"/>
    <n v="7"/>
    <n v="7"/>
    <n v="1"/>
    <n v="1"/>
    <n v="0"/>
    <n v="0"/>
    <n v="0"/>
    <n v="0"/>
    <n v="0"/>
    <n v="1"/>
    <n v="0"/>
    <n v="0"/>
    <n v="1"/>
    <n v="0"/>
    <n v="0"/>
    <n v="0"/>
    <n v="0"/>
    <n v="0"/>
    <n v="8"/>
    <n v="0"/>
    <n v="0"/>
    <n v="0.79905816171097677"/>
    <n v="1.1555414682655611"/>
    <n v="0.42149901815843233"/>
    <n v="1.3324462240916321E-3"/>
    <n v="0.96307062430306978"/>
    <n v="1.195770434213719"/>
    <n v="0.36858985273641137"/>
  </r>
  <r>
    <n v="29"/>
    <n v="29"/>
    <s v="No"/>
    <n v="0"/>
    <s v="Travel_Rarely"/>
    <n v="0"/>
    <n v="1"/>
    <x v="1"/>
    <n v="1"/>
    <n v="0"/>
    <n v="19"/>
    <n v="19"/>
    <n v="3"/>
    <s v="Technical Degree"/>
    <n v="0"/>
    <n v="0"/>
    <n v="0"/>
    <n v="0"/>
    <n v="1"/>
    <n v="4"/>
    <s v="Male"/>
    <n v="0"/>
    <n v="34"/>
    <n v="3"/>
    <n v="2"/>
    <s v="Manufacturing Director"/>
    <n v="0"/>
    <n v="0"/>
    <n v="0"/>
    <n v="0"/>
    <n v="1"/>
    <n v="1"/>
    <n v="0"/>
    <n v="0"/>
    <n v="4"/>
    <s v="Divorced"/>
    <n v="0"/>
    <n v="0"/>
    <n v="4262"/>
    <n v="4262"/>
    <n v="4"/>
    <s v="No"/>
    <n v="0"/>
    <n v="12"/>
    <n v="3"/>
    <n v="2"/>
    <n v="2"/>
    <n v="8"/>
    <x v="0"/>
    <n v="2"/>
    <n v="4"/>
    <n v="3"/>
    <n v="3"/>
    <n v="2"/>
    <n v="1"/>
    <n v="1"/>
    <n v="2"/>
    <n v="2"/>
    <n v="4"/>
    <n v="1"/>
    <n v="0"/>
    <n v="0"/>
    <n v="0"/>
    <n v="1"/>
    <n v="0"/>
    <n v="0"/>
    <n v="0"/>
    <n v="0"/>
    <n v="2"/>
    <n v="0"/>
    <n v="0"/>
    <n v="8"/>
    <n v="0"/>
    <n v="0.47598807630566203"/>
    <n v="0.59502473559756086"/>
    <n v="0.42149901815843233"/>
    <n v="0.65423109602898355"/>
    <n v="1.2097751320534422"/>
    <n v="0.86737663580280233"/>
    <n v="0.36858985273641137"/>
  </r>
  <r>
    <n v="33"/>
    <n v="33"/>
    <s v="No"/>
    <n v="0"/>
    <s v="Travel_Rarely"/>
    <n v="0"/>
    <n v="1"/>
    <x v="1"/>
    <n v="1"/>
    <n v="0"/>
    <n v="1"/>
    <n v="1"/>
    <n v="5"/>
    <s v="Medical"/>
    <n v="0"/>
    <n v="0"/>
    <n v="1"/>
    <n v="0"/>
    <n v="0"/>
    <n v="1"/>
    <s v="Female"/>
    <n v="1"/>
    <n v="95"/>
    <n v="4"/>
    <n v="4"/>
    <s v="Research Director"/>
    <n v="0"/>
    <n v="0"/>
    <n v="0"/>
    <n v="0"/>
    <n v="0"/>
    <n v="0"/>
    <n v="0"/>
    <n v="0"/>
    <n v="3"/>
    <s v="Divorced"/>
    <n v="0"/>
    <n v="0"/>
    <n v="16184"/>
    <n v="16184"/>
    <n v="4"/>
    <s v="No"/>
    <n v="0"/>
    <n v="19"/>
    <n v="3"/>
    <n v="3"/>
    <n v="1"/>
    <n v="10"/>
    <x v="1"/>
    <n v="2"/>
    <n v="3"/>
    <n v="6"/>
    <n v="6"/>
    <n v="1"/>
    <n v="0"/>
    <n v="0"/>
    <n v="5"/>
    <n v="5"/>
    <n v="20"/>
    <n v="1"/>
    <n v="0"/>
    <n v="0"/>
    <n v="0"/>
    <n v="1"/>
    <n v="0"/>
    <n v="0"/>
    <n v="0"/>
    <n v="0"/>
    <n v="5"/>
    <n v="0"/>
    <n v="0"/>
    <n v="10"/>
    <n v="0"/>
    <n v="2.0563206404610459"/>
    <n v="0.24575036340443959"/>
    <n v="0.1644554352117841"/>
    <n v="0.16455710867531462"/>
    <n v="1.01056543769991"/>
    <n v="0.42951823792158"/>
    <n v="0.67891464284095016"/>
  </r>
  <r>
    <n v="31"/>
    <n v="31"/>
    <s v="No"/>
    <n v="0"/>
    <s v="Travel_Rarely"/>
    <n v="0"/>
    <n v="1"/>
    <x v="0"/>
    <n v="0"/>
    <n v="1"/>
    <n v="7"/>
    <n v="7"/>
    <n v="3"/>
    <s v="Life Sciences"/>
    <n v="1"/>
    <n v="0"/>
    <n v="0"/>
    <n v="0"/>
    <n v="0"/>
    <n v="3"/>
    <s v="Male"/>
    <n v="0"/>
    <n v="44"/>
    <n v="2"/>
    <n v="3"/>
    <s v="Manager"/>
    <n v="0"/>
    <n v="0"/>
    <n v="0"/>
    <n v="1"/>
    <n v="0"/>
    <n v="0"/>
    <n v="0"/>
    <n v="0"/>
    <n v="4"/>
    <s v="Divorced"/>
    <n v="0"/>
    <n v="0"/>
    <n v="11557"/>
    <n v="11557"/>
    <n v="9"/>
    <s v="No"/>
    <n v="0"/>
    <n v="21"/>
    <n v="4"/>
    <n v="3"/>
    <n v="1"/>
    <n v="10"/>
    <x v="1"/>
    <n v="3"/>
    <n v="2"/>
    <n v="5"/>
    <n v="5"/>
    <n v="4"/>
    <n v="0"/>
    <n v="0"/>
    <n v="1"/>
    <n v="1"/>
    <n v="3"/>
    <n v="1"/>
    <n v="0"/>
    <n v="0"/>
    <n v="0"/>
    <n v="1"/>
    <n v="0"/>
    <n v="0"/>
    <n v="0"/>
    <n v="0"/>
    <n v="0"/>
    <n v="1"/>
    <n v="0"/>
    <n v="0"/>
    <n v="10"/>
    <n v="1.0735163767066795"/>
    <n v="0.87528310193156111"/>
    <n v="0.1644554352117841"/>
    <n v="0.32778177112653761"/>
    <n v="0.27045191444879263"/>
    <n v="0.6484474368621912"/>
    <n v="0.67891464284095016"/>
  </r>
  <r>
    <n v="18"/>
    <n v="19"/>
    <s v="Yes"/>
    <n v="1"/>
    <s v="Travel_Frequently"/>
    <n v="1"/>
    <n v="0"/>
    <x v="0"/>
    <n v="0"/>
    <n v="1"/>
    <n v="5"/>
    <n v="5"/>
    <n v="3"/>
    <s v="Marketing"/>
    <n v="0"/>
    <n v="0"/>
    <n v="0"/>
    <n v="1"/>
    <n v="0"/>
    <n v="2"/>
    <s v="Male"/>
    <n v="0"/>
    <n v="69"/>
    <n v="3"/>
    <n v="1"/>
    <s v="Sales Representative"/>
    <n v="0"/>
    <n v="0"/>
    <n v="0"/>
    <n v="0"/>
    <n v="0"/>
    <n v="0"/>
    <n v="1"/>
    <n v="0"/>
    <n v="2"/>
    <s v="Single"/>
    <n v="1"/>
    <n v="0"/>
    <n v="1878"/>
    <n v="1878"/>
    <n v="1"/>
    <s v="Yes"/>
    <n v="1"/>
    <n v="14"/>
    <n v="3"/>
    <n v="4"/>
    <n v="0"/>
    <n v="0"/>
    <x v="5"/>
    <n v="3"/>
    <n v="3"/>
    <n v="0"/>
    <n v="0"/>
    <n v="0"/>
    <n v="0"/>
    <n v="0"/>
    <n v="0"/>
    <n v="0"/>
    <n v="0"/>
    <n v="0"/>
    <n v="0"/>
    <n v="1"/>
    <n v="0"/>
    <n v="0"/>
    <n v="1"/>
    <n v="0"/>
    <n v="0"/>
    <n v="0"/>
    <n v="0"/>
    <n v="0"/>
    <n v="0"/>
    <n v="0"/>
    <n v="1"/>
    <n v="0.98236485711188848"/>
    <n v="1.1555414682655611"/>
    <n v="1.4496733499450252"/>
    <n v="1.1439050833826525"/>
    <n v="0.51715642219916513"/>
    <n v="2.0714872299761637"/>
    <n v="0.67891464284095016"/>
  </r>
  <r>
    <n v="40"/>
    <n v="40"/>
    <s v="No"/>
    <n v="0"/>
    <s v="Non-Travel"/>
    <n v="0"/>
    <n v="0"/>
    <x v="0"/>
    <n v="0"/>
    <n v="1"/>
    <n v="28"/>
    <n v="28"/>
    <n v="3"/>
    <s v="Other"/>
    <n v="0"/>
    <n v="1"/>
    <n v="0"/>
    <n v="0"/>
    <n v="0"/>
    <n v="3"/>
    <s v="Male"/>
    <n v="0"/>
    <n v="58"/>
    <n v="1"/>
    <n v="3"/>
    <s v="Sales Executive"/>
    <n v="0"/>
    <n v="1"/>
    <n v="0"/>
    <n v="0"/>
    <n v="0"/>
    <n v="0"/>
    <n v="0"/>
    <n v="0"/>
    <n v="1"/>
    <s v="Divorced"/>
    <n v="0"/>
    <n v="0"/>
    <n v="10932"/>
    <n v="10932"/>
    <n v="3"/>
    <s v="No"/>
    <n v="0"/>
    <n v="15"/>
    <n v="3"/>
    <n v="3"/>
    <n v="1"/>
    <n v="20"/>
    <x v="25"/>
    <n v="2"/>
    <n v="3"/>
    <n v="1"/>
    <n v="1"/>
    <n v="0"/>
    <n v="0"/>
    <n v="0"/>
    <n v="1"/>
    <n v="1"/>
    <n v="3"/>
    <n v="1"/>
    <n v="0"/>
    <n v="0"/>
    <n v="0"/>
    <n v="1"/>
    <n v="0"/>
    <n v="0"/>
    <n v="0"/>
    <n v="0"/>
    <n v="0"/>
    <n v="1"/>
    <n v="0"/>
    <n v="0"/>
    <n v="20"/>
    <n v="0.94076239683927532"/>
    <n v="0.87528310193156111"/>
    <n v="1.120762479521457"/>
    <n v="0.9806804209314296"/>
    <n v="2.3199454169301186"/>
    <n v="0.33673395837055903"/>
    <n v="0.67891464284095016"/>
  </r>
  <r>
    <n v="41"/>
    <n v="41"/>
    <s v="No"/>
    <n v="0"/>
    <s v="Non-Travel"/>
    <n v="0"/>
    <n v="0"/>
    <x v="1"/>
    <n v="1"/>
    <n v="0"/>
    <n v="2"/>
    <n v="2"/>
    <n v="4"/>
    <s v="Other"/>
    <n v="0"/>
    <n v="1"/>
    <n v="0"/>
    <n v="0"/>
    <n v="0"/>
    <n v="1"/>
    <s v="Female"/>
    <n v="1"/>
    <n v="62"/>
    <n v="2"/>
    <n v="2"/>
    <s v="Healthcare Representative"/>
    <n v="1"/>
    <n v="0"/>
    <n v="0"/>
    <n v="0"/>
    <n v="0"/>
    <n v="0"/>
    <n v="0"/>
    <n v="0"/>
    <n v="3"/>
    <s v="Single"/>
    <n v="1"/>
    <n v="0"/>
    <n v="6811"/>
    <n v="6811"/>
    <n v="2"/>
    <s v="Yes"/>
    <n v="1"/>
    <n v="17"/>
    <n v="3"/>
    <n v="1"/>
    <n v="0"/>
    <n v="10"/>
    <x v="1"/>
    <n v="3"/>
    <n v="3"/>
    <n v="8"/>
    <n v="8"/>
    <n v="7"/>
    <n v="0"/>
    <n v="0"/>
    <n v="7"/>
    <n v="7"/>
    <n v="14"/>
    <n v="1"/>
    <n v="0"/>
    <n v="0"/>
    <n v="0"/>
    <n v="0"/>
    <n v="1"/>
    <n v="0"/>
    <n v="0"/>
    <n v="0"/>
    <n v="7"/>
    <n v="0"/>
    <n v="0"/>
    <n v="10"/>
    <n v="0"/>
    <n v="6.5435755185559163E-2"/>
    <n v="0.80626709607243985"/>
    <n v="0.1644554352117841"/>
    <n v="0.16189221622713135"/>
    <n v="0.88721318382472392"/>
    <n v="0.4461985578408646"/>
    <n v="0.67891464284095016"/>
  </r>
  <r>
    <n v="26"/>
    <n v="26"/>
    <s v="No"/>
    <n v="0"/>
    <s v="Travel_Rarely"/>
    <n v="0"/>
    <n v="1"/>
    <x v="0"/>
    <n v="0"/>
    <n v="1"/>
    <n v="29"/>
    <n v="29"/>
    <n v="2"/>
    <s v="Medical"/>
    <n v="0"/>
    <n v="0"/>
    <n v="1"/>
    <n v="0"/>
    <n v="0"/>
    <n v="1"/>
    <s v="Male"/>
    <n v="0"/>
    <n v="45"/>
    <n v="3"/>
    <n v="2"/>
    <s v="Sales Executive"/>
    <n v="0"/>
    <n v="1"/>
    <n v="0"/>
    <n v="0"/>
    <n v="0"/>
    <n v="0"/>
    <n v="0"/>
    <n v="0"/>
    <n v="3"/>
    <s v="Divorced"/>
    <n v="0"/>
    <n v="0"/>
    <n v="4306"/>
    <n v="4306"/>
    <n v="5"/>
    <s v="No"/>
    <n v="0"/>
    <n v="12"/>
    <n v="3"/>
    <n v="1"/>
    <n v="2"/>
    <n v="8"/>
    <x v="0"/>
    <n v="5"/>
    <n v="3"/>
    <n v="0"/>
    <n v="0"/>
    <n v="0"/>
    <n v="0"/>
    <n v="0"/>
    <n v="0"/>
    <n v="0"/>
    <n v="0"/>
    <n v="1"/>
    <n v="0"/>
    <n v="0"/>
    <n v="0"/>
    <n v="1"/>
    <n v="0"/>
    <n v="0"/>
    <n v="0"/>
    <n v="0"/>
    <n v="0"/>
    <n v="0"/>
    <n v="0"/>
    <n v="0"/>
    <n v="8"/>
    <n v="0.46664219612299673"/>
    <n v="1.1555414682655611"/>
    <n v="0.42149901815843233"/>
    <n v="1.1439050833826525"/>
    <n v="2.4432976708053049"/>
    <n v="1.195770434213719"/>
    <n v="0.67891464284095016"/>
  </r>
  <r>
    <n v="35"/>
    <n v="35"/>
    <s v="No"/>
    <n v="0"/>
    <s v="Travel_Rarely"/>
    <n v="0"/>
    <n v="1"/>
    <x v="0"/>
    <n v="0"/>
    <n v="1"/>
    <n v="1"/>
    <n v="1"/>
    <n v="3"/>
    <s v="Medical"/>
    <n v="0"/>
    <n v="0"/>
    <n v="1"/>
    <n v="0"/>
    <n v="0"/>
    <n v="1"/>
    <s v="Female"/>
    <n v="1"/>
    <n v="80"/>
    <n v="3"/>
    <n v="2"/>
    <s v="Sales Executive"/>
    <n v="0"/>
    <n v="1"/>
    <n v="0"/>
    <n v="0"/>
    <n v="0"/>
    <n v="0"/>
    <n v="0"/>
    <n v="0"/>
    <n v="3"/>
    <s v="Single"/>
    <n v="1"/>
    <n v="0"/>
    <n v="4859"/>
    <n v="4859"/>
    <n v="1"/>
    <s v="No"/>
    <n v="0"/>
    <n v="16"/>
    <n v="3"/>
    <n v="4"/>
    <n v="0"/>
    <n v="5"/>
    <x v="7"/>
    <n v="3"/>
    <n v="3"/>
    <n v="5"/>
    <n v="5"/>
    <n v="4"/>
    <n v="0"/>
    <n v="0"/>
    <n v="3"/>
    <n v="3"/>
    <n v="6"/>
    <n v="1"/>
    <n v="0"/>
    <n v="0"/>
    <n v="0"/>
    <n v="1"/>
    <n v="0"/>
    <n v="0"/>
    <n v="0"/>
    <n v="0"/>
    <n v="0"/>
    <n v="3"/>
    <n v="0"/>
    <n v="0"/>
    <n v="5"/>
    <n v="0.34918147473631755"/>
    <n v="0.31476636926356072"/>
    <n v="0.80706439257840468"/>
    <n v="0.32778177112653761"/>
    <n v="1.01056543769991"/>
    <n v="0.21058903898096887"/>
    <n v="0.67891464284095016"/>
  </r>
  <r>
    <n v="34"/>
    <n v="34"/>
    <s v="No"/>
    <n v="0"/>
    <s v="Travel_Rarely"/>
    <n v="0"/>
    <n v="1"/>
    <x v="0"/>
    <n v="0"/>
    <n v="1"/>
    <n v="21"/>
    <n v="21"/>
    <n v="4"/>
    <s v="Life Sciences"/>
    <n v="1"/>
    <n v="0"/>
    <n v="0"/>
    <n v="0"/>
    <n v="0"/>
    <n v="4"/>
    <s v="Male"/>
    <n v="0"/>
    <n v="74"/>
    <n v="4"/>
    <n v="2"/>
    <s v="Sales Executive"/>
    <n v="0"/>
    <n v="1"/>
    <n v="0"/>
    <n v="0"/>
    <n v="0"/>
    <n v="0"/>
    <n v="0"/>
    <n v="0"/>
    <n v="4"/>
    <s v="Single"/>
    <n v="1"/>
    <n v="0"/>
    <n v="5337"/>
    <n v="5337"/>
    <n v="1"/>
    <s v="No"/>
    <n v="0"/>
    <n v="12"/>
    <n v="3"/>
    <n v="4"/>
    <n v="0"/>
    <n v="10"/>
    <x v="1"/>
    <n v="3"/>
    <n v="3"/>
    <n v="10"/>
    <n v="10"/>
    <n v="7"/>
    <n v="5"/>
    <n v="5"/>
    <n v="7"/>
    <n v="7"/>
    <n v="14"/>
    <n v="1"/>
    <n v="0"/>
    <n v="0"/>
    <n v="0"/>
    <n v="1"/>
    <n v="0"/>
    <n v="0"/>
    <n v="0"/>
    <n v="0"/>
    <n v="0"/>
    <n v="7"/>
    <n v="0"/>
    <n v="0"/>
    <n v="10"/>
    <n v="0.24765123093372685"/>
    <n v="0.80626709607243985"/>
    <n v="0.1644554352117841"/>
    <n v="0.48834154112957734"/>
    <n v="1.4564796398038149"/>
    <n v="0.32005363845127444"/>
    <n v="0.87270930768174382"/>
  </r>
  <r>
    <n v="26"/>
    <n v="26"/>
    <s v="Yes"/>
    <n v="1"/>
    <s v="Travel_Rarely"/>
    <n v="0"/>
    <n v="1"/>
    <x v="1"/>
    <n v="1"/>
    <n v="0"/>
    <n v="24"/>
    <n v="24"/>
    <n v="3"/>
    <s v="Technical Degree"/>
    <n v="0"/>
    <n v="0"/>
    <n v="0"/>
    <n v="0"/>
    <n v="1"/>
    <n v="3"/>
    <s v="Male"/>
    <n v="0"/>
    <n v="66"/>
    <n v="1"/>
    <n v="1"/>
    <s v="Laboratory Technician"/>
    <n v="0"/>
    <n v="0"/>
    <n v="1"/>
    <n v="0"/>
    <n v="0"/>
    <n v="0"/>
    <n v="0"/>
    <n v="0"/>
    <n v="4"/>
    <s v="Single"/>
    <n v="1"/>
    <n v="0"/>
    <n v="2340"/>
    <n v="2340"/>
    <n v="1"/>
    <s v="Yes"/>
    <n v="1"/>
    <n v="18"/>
    <n v="3"/>
    <n v="2"/>
    <n v="0"/>
    <n v="1"/>
    <x v="5"/>
    <n v="3"/>
    <n v="1"/>
    <n v="1"/>
    <n v="1"/>
    <n v="0"/>
    <n v="0"/>
    <n v="0"/>
    <n v="0"/>
    <n v="0"/>
    <n v="0"/>
    <n v="1"/>
    <n v="0"/>
    <n v="0"/>
    <n v="0"/>
    <n v="0"/>
    <n v="1"/>
    <n v="0"/>
    <n v="0"/>
    <n v="0"/>
    <n v="0"/>
    <n v="0"/>
    <n v="0"/>
    <n v="1"/>
    <n v="0"/>
    <n v="0.88423311519390335"/>
    <n v="1.1555414682655611"/>
    <n v="1.3211515584717011"/>
    <n v="0.9806804209314296"/>
    <n v="1.8265364014293735"/>
    <n v="1.195770434213719"/>
    <n v="0.67891464284095016"/>
  </r>
  <r>
    <n v="37"/>
    <n v="37"/>
    <s v="No"/>
    <n v="0"/>
    <s v="Travel_Rarely"/>
    <n v="0"/>
    <n v="1"/>
    <x v="1"/>
    <n v="1"/>
    <n v="0"/>
    <n v="1"/>
    <n v="1"/>
    <n v="3"/>
    <s v="Technical Degree"/>
    <n v="0"/>
    <n v="0"/>
    <n v="0"/>
    <n v="0"/>
    <n v="1"/>
    <n v="2"/>
    <s v="Female"/>
    <n v="1"/>
    <n v="59"/>
    <n v="3"/>
    <n v="3"/>
    <s v="Manufacturing Director"/>
    <n v="0"/>
    <n v="0"/>
    <n v="0"/>
    <n v="0"/>
    <n v="1"/>
    <n v="1"/>
    <n v="0"/>
    <n v="0"/>
    <n v="4"/>
    <s v="Single"/>
    <n v="1"/>
    <n v="0"/>
    <n v="7491"/>
    <n v="7491"/>
    <n v="4"/>
    <s v="No"/>
    <n v="0"/>
    <n v="17"/>
    <n v="3"/>
    <n v="4"/>
    <n v="0"/>
    <n v="12"/>
    <x v="4"/>
    <n v="3"/>
    <n v="4"/>
    <n v="6"/>
    <n v="6"/>
    <n v="5"/>
    <n v="1"/>
    <n v="1"/>
    <n v="2"/>
    <n v="2"/>
    <n v="6"/>
    <n v="1"/>
    <n v="0"/>
    <n v="0"/>
    <n v="0"/>
    <n v="1"/>
    <n v="0"/>
    <n v="0"/>
    <n v="0"/>
    <n v="0"/>
    <n v="2"/>
    <n v="0"/>
    <n v="0"/>
    <n v="12"/>
    <n v="0"/>
    <n v="0.20987208528129489"/>
    <n v="0.59502473559756086"/>
    <n v="9.2588147734864096E-2"/>
    <n v="0.16455710867531462"/>
    <n v="1.01056543769991"/>
    <n v="8.3401599596422994E-3"/>
    <n v="0.36858985273641137"/>
  </r>
  <r>
    <n v="46"/>
    <n v="46"/>
    <s v="No"/>
    <n v="0"/>
    <s v="Travel_Frequently"/>
    <n v="1"/>
    <n v="0"/>
    <x v="1"/>
    <n v="1"/>
    <n v="0"/>
    <n v="18"/>
    <n v="18"/>
    <n v="1"/>
    <s v="Medical"/>
    <n v="0"/>
    <n v="0"/>
    <n v="1"/>
    <n v="0"/>
    <n v="0"/>
    <n v="1"/>
    <s v="Female"/>
    <n v="1"/>
    <n v="86"/>
    <n v="3"/>
    <n v="3"/>
    <s v="Healthcare Representative"/>
    <n v="1"/>
    <n v="0"/>
    <n v="0"/>
    <n v="0"/>
    <n v="0"/>
    <n v="0"/>
    <n v="0"/>
    <n v="0"/>
    <n v="3"/>
    <s v="Married"/>
    <n v="0"/>
    <n v="1"/>
    <n v="10527"/>
    <n v="10527"/>
    <n v="5"/>
    <s v="No"/>
    <n v="0"/>
    <n v="11"/>
    <n v="3"/>
    <n v="4"/>
    <n v="0"/>
    <n v="28"/>
    <x v="22"/>
    <n v="3"/>
    <n v="2"/>
    <n v="2"/>
    <n v="2"/>
    <n v="2"/>
    <n v="1"/>
    <n v="1"/>
    <n v="2"/>
    <n v="2"/>
    <n v="6"/>
    <n v="0"/>
    <n v="0"/>
    <n v="0"/>
    <n v="1"/>
    <n v="0"/>
    <n v="0"/>
    <n v="1"/>
    <n v="0"/>
    <n v="0"/>
    <n v="2"/>
    <n v="0"/>
    <n v="0"/>
    <n v="28"/>
    <n v="0"/>
    <n v="0.85473781788519743"/>
    <n v="0.59502473559756086"/>
    <n v="2.1489368113080496"/>
    <n v="0.81745575848020657"/>
    <n v="1.0864228781782561"/>
    <n v="0.99352155519239249"/>
    <n v="0.36858985273641137"/>
  </r>
  <r>
    <n v="41"/>
    <n v="41"/>
    <s v="No"/>
    <n v="0"/>
    <s v="Travel_Rarely"/>
    <n v="0"/>
    <n v="1"/>
    <x v="0"/>
    <n v="0"/>
    <n v="1"/>
    <n v="2"/>
    <n v="2"/>
    <n v="5"/>
    <s v="Life Sciences"/>
    <n v="1"/>
    <n v="0"/>
    <n v="0"/>
    <n v="0"/>
    <n v="0"/>
    <n v="2"/>
    <s v="Female"/>
    <n v="1"/>
    <n v="91"/>
    <n v="3"/>
    <n v="4"/>
    <s v="Manager"/>
    <n v="0"/>
    <n v="0"/>
    <n v="0"/>
    <n v="1"/>
    <n v="0"/>
    <n v="0"/>
    <n v="0"/>
    <n v="0"/>
    <n v="1"/>
    <s v="Married"/>
    <n v="0"/>
    <n v="1"/>
    <n v="16595"/>
    <n v="16595"/>
    <n v="7"/>
    <s v="No"/>
    <n v="0"/>
    <n v="16"/>
    <n v="3"/>
    <n v="2"/>
    <n v="1"/>
    <n v="22"/>
    <x v="13"/>
    <n v="2"/>
    <n v="3"/>
    <n v="18"/>
    <n v="18"/>
    <n v="16"/>
    <n v="11"/>
    <n v="11"/>
    <n v="8"/>
    <n v="8"/>
    <n v="32"/>
    <n v="0"/>
    <n v="1"/>
    <n v="0"/>
    <n v="0"/>
    <n v="0"/>
    <n v="0"/>
    <n v="1"/>
    <n v="0"/>
    <n v="0"/>
    <n v="0"/>
    <n v="8"/>
    <n v="0"/>
    <n v="0"/>
    <n v="22"/>
    <n v="2.1436196576218509"/>
    <n v="1.08652546240644"/>
    <n v="1.3778060624681052"/>
    <n v="1.794138840739361"/>
    <n v="0.88721318382472392"/>
    <n v="0.4461985578408646"/>
    <n v="2.7346580483089769"/>
  </r>
  <r>
    <n v="37"/>
    <n v="37"/>
    <s v="No"/>
    <n v="0"/>
    <s v="Non-Travel"/>
    <n v="0"/>
    <n v="0"/>
    <x v="0"/>
    <n v="0"/>
    <n v="1"/>
    <n v="9"/>
    <n v="9"/>
    <n v="4"/>
    <s v="Medical"/>
    <n v="0"/>
    <n v="0"/>
    <n v="1"/>
    <n v="0"/>
    <n v="0"/>
    <n v="1"/>
    <s v="Male"/>
    <n v="0"/>
    <n v="69"/>
    <n v="3"/>
    <n v="3"/>
    <s v="Sales Executive"/>
    <n v="0"/>
    <n v="1"/>
    <n v="0"/>
    <n v="0"/>
    <n v="0"/>
    <n v="0"/>
    <n v="0"/>
    <n v="0"/>
    <n v="2"/>
    <s v="Divorced"/>
    <n v="0"/>
    <n v="0"/>
    <n v="8834"/>
    <n v="8834"/>
    <n v="1"/>
    <s v="No"/>
    <n v="0"/>
    <n v="13"/>
    <n v="3"/>
    <n v="4"/>
    <n v="1"/>
    <n v="9"/>
    <x v="14"/>
    <n v="6"/>
    <n v="3"/>
    <n v="9"/>
    <n v="9"/>
    <n v="5"/>
    <n v="7"/>
    <n v="7"/>
    <n v="7"/>
    <n v="7"/>
    <n v="21"/>
    <n v="1"/>
    <n v="0"/>
    <n v="0"/>
    <n v="0"/>
    <n v="1"/>
    <n v="0"/>
    <n v="0"/>
    <n v="0"/>
    <n v="0"/>
    <n v="0"/>
    <n v="7"/>
    <n v="0"/>
    <n v="0"/>
    <n v="9"/>
    <n v="0.49513383722037296"/>
    <n v="0.80626709607243985"/>
    <n v="0.29297722668510823"/>
    <n v="0.32511687867835437"/>
    <n v="2.3747406698420157E-2"/>
    <n v="8.3401599596422994E-3"/>
    <n v="1.4933588878908215"/>
  </r>
  <r>
    <n v="52"/>
    <n v="52"/>
    <s v="No"/>
    <n v="0"/>
    <s v="Travel_Rarely"/>
    <n v="0"/>
    <n v="1"/>
    <x v="1"/>
    <n v="1"/>
    <n v="0"/>
    <n v="6"/>
    <n v="6"/>
    <n v="2"/>
    <s v="Technical Degree"/>
    <n v="0"/>
    <n v="0"/>
    <n v="0"/>
    <n v="0"/>
    <n v="1"/>
    <n v="4"/>
    <s v="Male"/>
    <n v="0"/>
    <n v="78"/>
    <n v="3"/>
    <n v="2"/>
    <s v="Research Scientist"/>
    <n v="0"/>
    <n v="0"/>
    <n v="0"/>
    <n v="0"/>
    <n v="0"/>
    <n v="0"/>
    <n v="0"/>
    <n v="1"/>
    <n v="1"/>
    <s v="Divorced"/>
    <n v="0"/>
    <n v="0"/>
    <n v="5577"/>
    <n v="5577"/>
    <n v="3"/>
    <s v="Yes"/>
    <n v="1"/>
    <n v="12"/>
    <n v="3"/>
    <n v="2"/>
    <n v="2"/>
    <n v="18"/>
    <x v="30"/>
    <n v="3"/>
    <n v="3"/>
    <n v="10"/>
    <n v="10"/>
    <n v="9"/>
    <n v="6"/>
    <n v="6"/>
    <n v="9"/>
    <n v="9"/>
    <n v="18"/>
    <n v="1"/>
    <n v="0"/>
    <n v="0"/>
    <n v="0"/>
    <n v="0"/>
    <n v="1"/>
    <n v="0"/>
    <n v="0"/>
    <n v="0"/>
    <n v="9"/>
    <n v="0"/>
    <n v="0"/>
    <n v="18"/>
    <n v="0"/>
    <n v="0.19667370266464362"/>
    <n v="1.3667838287404401"/>
    <n v="0.86371889657480871"/>
    <n v="0.48834154112957734"/>
    <n v="0.39380416832397891"/>
    <n v="1.6503091520142259"/>
    <n v="1.1830340977862825"/>
  </r>
  <r>
    <n v="32"/>
    <n v="32"/>
    <s v="Yes"/>
    <n v="1"/>
    <s v="Non-Travel"/>
    <n v="0"/>
    <n v="0"/>
    <x v="0"/>
    <n v="0"/>
    <n v="1"/>
    <n v="11"/>
    <n v="11"/>
    <n v="4"/>
    <s v="Other"/>
    <n v="0"/>
    <n v="1"/>
    <n v="0"/>
    <n v="0"/>
    <n v="0"/>
    <n v="4"/>
    <s v="Male"/>
    <n v="0"/>
    <n v="60"/>
    <n v="4"/>
    <n v="2"/>
    <s v="Sales Executive"/>
    <n v="0"/>
    <n v="1"/>
    <n v="0"/>
    <n v="0"/>
    <n v="0"/>
    <n v="0"/>
    <n v="0"/>
    <n v="0"/>
    <n v="3"/>
    <s v="Married"/>
    <n v="0"/>
    <n v="1"/>
    <n v="4707"/>
    <n v="4707"/>
    <n v="8"/>
    <s v="No"/>
    <n v="0"/>
    <n v="12"/>
    <n v="3"/>
    <n v="4"/>
    <n v="0"/>
    <n v="6"/>
    <x v="3"/>
    <n v="2"/>
    <n v="3"/>
    <n v="4"/>
    <n v="4"/>
    <n v="2"/>
    <n v="1"/>
    <n v="1"/>
    <n v="2"/>
    <n v="2"/>
    <n v="4"/>
    <n v="0"/>
    <n v="1"/>
    <n v="0"/>
    <n v="0"/>
    <n v="0"/>
    <n v="0"/>
    <n v="1"/>
    <n v="0"/>
    <n v="0"/>
    <n v="0"/>
    <n v="2"/>
    <n v="0"/>
    <n v="0"/>
    <n v="6"/>
    <n v="0.38146724264007026"/>
    <n v="0.59502473559756086"/>
    <n v="0.67854260110508058"/>
    <n v="0.49100643357776058"/>
    <n v="0.22295710105195232"/>
    <n v="0.53898283739188557"/>
    <n v="0.36858985273641137"/>
  </r>
  <r>
    <n v="24"/>
    <n v="24"/>
    <s v="No"/>
    <n v="0"/>
    <s v="Travel_Frequently"/>
    <n v="1"/>
    <n v="0"/>
    <x v="0"/>
    <n v="0"/>
    <n v="1"/>
    <n v="24"/>
    <n v="24"/>
    <n v="3"/>
    <s v="Medical"/>
    <n v="0"/>
    <n v="0"/>
    <n v="1"/>
    <n v="0"/>
    <n v="0"/>
    <n v="4"/>
    <s v="Male"/>
    <n v="0"/>
    <n v="38"/>
    <n v="3"/>
    <n v="1"/>
    <s v="Sales Representative"/>
    <n v="0"/>
    <n v="0"/>
    <n v="0"/>
    <n v="0"/>
    <n v="0"/>
    <n v="0"/>
    <n v="1"/>
    <n v="0"/>
    <n v="4"/>
    <s v="Married"/>
    <n v="0"/>
    <n v="1"/>
    <n v="2400"/>
    <n v="2400"/>
    <n v="0"/>
    <s v="No"/>
    <n v="0"/>
    <n v="13"/>
    <n v="3"/>
    <n v="3"/>
    <n v="2"/>
    <n v="3"/>
    <x v="8"/>
    <n v="3"/>
    <n v="3"/>
    <n v="2"/>
    <n v="2"/>
    <n v="2"/>
    <n v="2"/>
    <n v="2"/>
    <n v="1"/>
    <n v="1"/>
    <n v="1"/>
    <n v="0"/>
    <n v="0"/>
    <n v="0"/>
    <n v="1"/>
    <n v="0"/>
    <n v="0"/>
    <n v="1"/>
    <n v="0"/>
    <n v="0"/>
    <n v="0"/>
    <n v="1"/>
    <n v="0"/>
    <n v="0"/>
    <n v="3"/>
    <n v="0.87148873312663255"/>
    <n v="0.87528310193156111"/>
    <n v="1.0641079755250529"/>
    <n v="0.81745575848020657"/>
    <n v="1.8265364014293735"/>
    <n v="1.4146996331543302"/>
    <n v="5.8265062631872602E-2"/>
  </r>
  <r>
    <n v="38"/>
    <n v="38"/>
    <s v="No"/>
    <n v="0"/>
    <s v="Travel_Rarely"/>
    <n v="0"/>
    <n v="1"/>
    <x v="1"/>
    <n v="1"/>
    <n v="0"/>
    <n v="10"/>
    <n v="10"/>
    <n v="3"/>
    <s v="Medical"/>
    <n v="0"/>
    <n v="0"/>
    <n v="1"/>
    <n v="0"/>
    <n v="0"/>
    <n v="3"/>
    <s v="Female"/>
    <n v="1"/>
    <n v="76"/>
    <n v="3"/>
    <n v="2"/>
    <s v="Healthcare Representative"/>
    <n v="1"/>
    <n v="0"/>
    <n v="0"/>
    <n v="0"/>
    <n v="0"/>
    <n v="0"/>
    <n v="0"/>
    <n v="0"/>
    <n v="3"/>
    <s v="Married"/>
    <n v="0"/>
    <n v="1"/>
    <n v="9824"/>
    <n v="9824"/>
    <n v="3"/>
    <s v="No"/>
    <n v="0"/>
    <n v="19"/>
    <n v="3"/>
    <n v="3"/>
    <n v="1"/>
    <n v="18"/>
    <x v="30"/>
    <n v="4"/>
    <n v="3"/>
    <n v="1"/>
    <n v="1"/>
    <n v="0"/>
    <n v="0"/>
    <n v="0"/>
    <n v="0"/>
    <n v="0"/>
    <n v="0"/>
    <n v="0"/>
    <n v="1"/>
    <n v="0"/>
    <n v="0"/>
    <n v="0"/>
    <n v="0"/>
    <n v="1"/>
    <n v="0"/>
    <n v="0"/>
    <n v="0"/>
    <n v="0"/>
    <n v="0"/>
    <n v="18"/>
    <n v="0"/>
    <n v="0.70541614133034114"/>
    <n v="1.1555414682655611"/>
    <n v="0.86371889657480871"/>
    <n v="0.9806804209314296"/>
    <n v="9.9604847176766084E-2"/>
    <n v="0.11780475942994788"/>
    <n v="0.67891464284095016"/>
  </r>
  <r>
    <n v="37"/>
    <n v="37"/>
    <s v="No"/>
    <n v="0"/>
    <s v="Travel_Rarely"/>
    <n v="0"/>
    <n v="1"/>
    <x v="1"/>
    <n v="1"/>
    <n v="0"/>
    <n v="1"/>
    <n v="1"/>
    <n v="4"/>
    <s v="Life Sciences"/>
    <n v="1"/>
    <n v="0"/>
    <n v="0"/>
    <n v="0"/>
    <n v="0"/>
    <n v="2"/>
    <s v="Female"/>
    <n v="1"/>
    <n v="65"/>
    <n v="3"/>
    <n v="2"/>
    <s v="Manufacturing Director"/>
    <n v="0"/>
    <n v="0"/>
    <n v="0"/>
    <n v="0"/>
    <n v="1"/>
    <n v="1"/>
    <n v="0"/>
    <n v="0"/>
    <n v="2"/>
    <s v="Married"/>
    <n v="0"/>
    <n v="1"/>
    <n v="6447"/>
    <n v="6447"/>
    <n v="6"/>
    <s v="No"/>
    <n v="0"/>
    <n v="12"/>
    <n v="3"/>
    <n v="2"/>
    <n v="1"/>
    <n v="8"/>
    <x v="0"/>
    <n v="2"/>
    <n v="2"/>
    <n v="6"/>
    <n v="6"/>
    <n v="5"/>
    <n v="4"/>
    <n v="4"/>
    <n v="3"/>
    <n v="3"/>
    <n v="6"/>
    <n v="0"/>
    <n v="1"/>
    <n v="0"/>
    <n v="0"/>
    <n v="0"/>
    <n v="0"/>
    <n v="1"/>
    <n v="0"/>
    <n v="0"/>
    <n v="3"/>
    <n v="0"/>
    <n v="0"/>
    <n v="8"/>
    <n v="0"/>
    <n v="1.188016268921703E-2"/>
    <n v="0.31476636926356072"/>
    <n v="0.42149901815843233"/>
    <n v="0.16455710867531462"/>
    <n v="1.01056543769991"/>
    <n v="8.3401599596422994E-3"/>
    <n v="0.56238451757720498"/>
  </r>
  <r>
    <n v="49"/>
    <n v="49"/>
    <s v="No"/>
    <n v="0"/>
    <s v="Travel_Rarely"/>
    <n v="0"/>
    <n v="1"/>
    <x v="1"/>
    <n v="1"/>
    <n v="0"/>
    <n v="18"/>
    <n v="18"/>
    <n v="4"/>
    <s v="Life Sciences"/>
    <n v="1"/>
    <n v="0"/>
    <n v="0"/>
    <n v="0"/>
    <n v="0"/>
    <n v="4"/>
    <s v="Male"/>
    <n v="0"/>
    <n v="58"/>
    <n v="2"/>
    <n v="5"/>
    <s v="Research Director"/>
    <n v="0"/>
    <n v="0"/>
    <n v="0"/>
    <n v="0"/>
    <n v="0"/>
    <n v="0"/>
    <n v="0"/>
    <n v="0"/>
    <n v="3"/>
    <s v="Divorced"/>
    <n v="0"/>
    <n v="0"/>
    <n v="19502"/>
    <n v="19502"/>
    <n v="1"/>
    <s v="Yes"/>
    <n v="1"/>
    <n v="17"/>
    <n v="3"/>
    <n v="3"/>
    <n v="1"/>
    <n v="31"/>
    <x v="9"/>
    <n v="5"/>
    <n v="3"/>
    <n v="31"/>
    <n v="31"/>
    <n v="9"/>
    <n v="0"/>
    <n v="0"/>
    <n v="9"/>
    <n v="9"/>
    <n v="45"/>
    <n v="1"/>
    <n v="0"/>
    <n v="0"/>
    <n v="0"/>
    <n v="0"/>
    <n v="1"/>
    <n v="0"/>
    <n v="0"/>
    <n v="0"/>
    <n v="9"/>
    <n v="0"/>
    <n v="0"/>
    <n v="31"/>
    <n v="0"/>
    <n v="2.7610849687811214"/>
    <n v="1.3667838287404401"/>
    <n v="2.5345021857280217"/>
    <n v="3.9160594526052601"/>
    <n v="1.0864228781782561"/>
    <n v="1.3219153536033093"/>
    <n v="0.67891464284095016"/>
  </r>
  <r>
    <n v="24"/>
    <n v="24"/>
    <s v="No"/>
    <n v="0"/>
    <s v="Travel_Rarely"/>
    <n v="0"/>
    <n v="1"/>
    <x v="1"/>
    <n v="1"/>
    <n v="0"/>
    <n v="23"/>
    <n v="23"/>
    <n v="3"/>
    <s v="Medical"/>
    <n v="0"/>
    <n v="0"/>
    <n v="1"/>
    <n v="0"/>
    <n v="0"/>
    <n v="2"/>
    <s v="Male"/>
    <n v="0"/>
    <n v="89"/>
    <n v="4"/>
    <n v="1"/>
    <s v="Research Scientist"/>
    <n v="0"/>
    <n v="0"/>
    <n v="0"/>
    <n v="0"/>
    <n v="0"/>
    <n v="0"/>
    <n v="0"/>
    <n v="1"/>
    <n v="4"/>
    <s v="Married"/>
    <n v="0"/>
    <n v="1"/>
    <n v="2725"/>
    <n v="2725"/>
    <n v="1"/>
    <s v="Yes"/>
    <n v="1"/>
    <n v="11"/>
    <n v="3"/>
    <n v="2"/>
    <n v="2"/>
    <n v="6"/>
    <x v="3"/>
    <n v="3"/>
    <n v="3"/>
    <n v="6"/>
    <n v="6"/>
    <n v="5"/>
    <n v="1"/>
    <n v="1"/>
    <n v="4"/>
    <n v="4"/>
    <n v="4"/>
    <n v="0"/>
    <n v="1"/>
    <n v="0"/>
    <n v="0"/>
    <n v="0"/>
    <n v="0"/>
    <n v="0"/>
    <n v="1"/>
    <n v="0"/>
    <n v="4"/>
    <n v="0"/>
    <n v="0"/>
    <n v="6"/>
    <n v="0"/>
    <n v="0.80245666359558232"/>
    <n v="3.4508002929560584E-2"/>
    <n v="0.67854260110508058"/>
    <n v="0.16455710867531462"/>
    <n v="1.7031841475541873"/>
    <n v="1.4146996331543302"/>
    <n v="0.36858985273641137"/>
  </r>
  <r>
    <n v="26"/>
    <n v="26"/>
    <s v="No"/>
    <n v="0"/>
    <s v="Travel_Rarely"/>
    <n v="0"/>
    <n v="1"/>
    <x v="0"/>
    <n v="0"/>
    <n v="1"/>
    <n v="28"/>
    <n v="28"/>
    <n v="2"/>
    <s v="Marketing"/>
    <n v="0"/>
    <n v="0"/>
    <n v="0"/>
    <n v="1"/>
    <n v="0"/>
    <n v="1"/>
    <s v="Male"/>
    <n v="0"/>
    <n v="66"/>
    <n v="3"/>
    <n v="2"/>
    <s v="Sales Executive"/>
    <n v="0"/>
    <n v="1"/>
    <n v="0"/>
    <n v="0"/>
    <n v="0"/>
    <n v="0"/>
    <n v="0"/>
    <n v="0"/>
    <n v="2"/>
    <s v="Married"/>
    <n v="0"/>
    <n v="1"/>
    <n v="6272"/>
    <n v="6272"/>
    <n v="1"/>
    <s v="No"/>
    <n v="0"/>
    <n v="20"/>
    <n v="4"/>
    <n v="4"/>
    <n v="2"/>
    <n v="6"/>
    <x v="3"/>
    <n v="5"/>
    <n v="4"/>
    <n v="5"/>
    <n v="5"/>
    <n v="3"/>
    <n v="1"/>
    <n v="1"/>
    <n v="4"/>
    <n v="4"/>
    <n v="8"/>
    <n v="0"/>
    <n v="1"/>
    <n v="0"/>
    <n v="0"/>
    <n v="0"/>
    <n v="0"/>
    <n v="1"/>
    <n v="0"/>
    <n v="0"/>
    <n v="0"/>
    <n v="4"/>
    <n v="0"/>
    <n v="0"/>
    <n v="6"/>
    <n v="4.9051277052090198E-2"/>
    <n v="3.4508002929560584E-2"/>
    <n v="0.67854260110508058"/>
    <n v="0.32778177112653761"/>
    <n v="2.3199454169301186"/>
    <n v="1.195770434213719"/>
    <n v="0.36858985273641137"/>
  </r>
  <r>
    <n v="24"/>
    <n v="24"/>
    <s v="No"/>
    <n v="0"/>
    <s v="Travel_Rarely"/>
    <n v="0"/>
    <n v="1"/>
    <x v="1"/>
    <n v="1"/>
    <n v="0"/>
    <n v="17"/>
    <n v="17"/>
    <n v="2"/>
    <s v="Other"/>
    <n v="0"/>
    <n v="1"/>
    <n v="0"/>
    <n v="0"/>
    <n v="0"/>
    <n v="4"/>
    <s v="Male"/>
    <n v="0"/>
    <n v="94"/>
    <n v="2"/>
    <n v="1"/>
    <s v="Laboratory Technician"/>
    <n v="0"/>
    <n v="0"/>
    <n v="1"/>
    <n v="0"/>
    <n v="0"/>
    <n v="0"/>
    <n v="0"/>
    <n v="0"/>
    <n v="2"/>
    <s v="Married"/>
    <n v="0"/>
    <n v="1"/>
    <n v="2127"/>
    <n v="2127"/>
    <n v="1"/>
    <s v="No"/>
    <n v="0"/>
    <n v="21"/>
    <n v="4"/>
    <n v="4"/>
    <n v="1"/>
    <n v="1"/>
    <x v="5"/>
    <n v="2"/>
    <n v="3"/>
    <n v="1"/>
    <n v="1"/>
    <n v="0"/>
    <n v="0"/>
    <n v="0"/>
    <n v="0"/>
    <n v="0"/>
    <n v="0"/>
    <n v="0"/>
    <n v="1"/>
    <n v="0"/>
    <n v="0"/>
    <n v="0"/>
    <n v="0"/>
    <n v="1"/>
    <n v="0"/>
    <n v="0"/>
    <n v="0"/>
    <n v="0"/>
    <n v="0"/>
    <n v="1"/>
    <n v="0"/>
    <n v="0.9294756715327146"/>
    <n v="1.1555414682655611"/>
    <n v="1.3211515584717011"/>
    <n v="0.9806804209314296"/>
    <n v="0.96307062430306978"/>
    <n v="1.4146996331543302"/>
    <n v="0.67891464284095016"/>
  </r>
  <r>
    <n v="50"/>
    <n v="50"/>
    <s v="No"/>
    <n v="0"/>
    <s v="Travel_Frequently"/>
    <n v="1"/>
    <n v="0"/>
    <x v="2"/>
    <n v="0"/>
    <n v="0"/>
    <n v="3"/>
    <n v="3"/>
    <n v="3"/>
    <s v="Medical"/>
    <n v="0"/>
    <n v="0"/>
    <n v="1"/>
    <n v="0"/>
    <n v="0"/>
    <n v="1"/>
    <s v="Male"/>
    <n v="0"/>
    <n v="99"/>
    <n v="3"/>
    <n v="5"/>
    <s v="Manager"/>
    <n v="0"/>
    <n v="0"/>
    <n v="0"/>
    <n v="1"/>
    <n v="0"/>
    <n v="0"/>
    <n v="0"/>
    <n v="0"/>
    <n v="2"/>
    <s v="Married"/>
    <n v="0"/>
    <n v="1"/>
    <n v="18200"/>
    <n v="18200"/>
    <n v="1"/>
    <s v="No"/>
    <n v="0"/>
    <n v="11"/>
    <n v="3"/>
    <n v="3"/>
    <n v="1"/>
    <n v="32"/>
    <x v="32"/>
    <n v="2"/>
    <n v="3"/>
    <n v="32"/>
    <n v="31"/>
    <n v="5"/>
    <n v="10"/>
    <n v="10"/>
    <n v="7"/>
    <n v="7"/>
    <n v="35"/>
    <n v="0"/>
    <n v="0"/>
    <n v="0"/>
    <n v="1"/>
    <n v="0"/>
    <n v="0"/>
    <n v="1"/>
    <n v="0"/>
    <n v="7"/>
    <n v="0"/>
    <n v="0"/>
    <n v="32"/>
    <n v="0"/>
    <n v="0"/>
    <n v="2.484531877921345"/>
    <n v="0.80626709607243985"/>
    <n v="2.663023977201346"/>
    <n v="4.0792841150564829"/>
    <n v="0.76386092994953758"/>
    <n v="1.4313799530736149"/>
    <n v="2.4243332582044381"/>
  </r>
  <r>
    <n v="25"/>
    <n v="25"/>
    <s v="No"/>
    <n v="0"/>
    <s v="Travel_Rarely"/>
    <n v="0"/>
    <n v="1"/>
    <x v="0"/>
    <n v="0"/>
    <n v="1"/>
    <n v="13"/>
    <n v="13"/>
    <n v="1"/>
    <s v="Medical"/>
    <n v="0"/>
    <n v="0"/>
    <n v="1"/>
    <n v="0"/>
    <n v="0"/>
    <n v="2"/>
    <s v="Male"/>
    <n v="0"/>
    <n v="40"/>
    <n v="3"/>
    <n v="1"/>
    <s v="Sales Representative"/>
    <n v="0"/>
    <n v="0"/>
    <n v="0"/>
    <n v="0"/>
    <n v="0"/>
    <n v="0"/>
    <n v="1"/>
    <n v="0"/>
    <n v="3"/>
    <s v="Married"/>
    <n v="0"/>
    <n v="1"/>
    <n v="2096"/>
    <n v="2096"/>
    <n v="1"/>
    <s v="No"/>
    <n v="0"/>
    <n v="11"/>
    <n v="3"/>
    <n v="3"/>
    <n v="0"/>
    <n v="7"/>
    <x v="2"/>
    <n v="1"/>
    <n v="3"/>
    <n v="7"/>
    <n v="7"/>
    <n v="4"/>
    <n v="0"/>
    <n v="0"/>
    <n v="6"/>
    <n v="6"/>
    <n v="6"/>
    <n v="0"/>
    <n v="1"/>
    <n v="0"/>
    <n v="0"/>
    <n v="0"/>
    <n v="0"/>
    <n v="1"/>
    <n v="0"/>
    <n v="0"/>
    <n v="0"/>
    <n v="6"/>
    <n v="0"/>
    <n v="0"/>
    <n v="7"/>
    <n v="0.93606026893413785"/>
    <n v="0.52600872973843971"/>
    <n v="0.55002080963175637"/>
    <n v="1.3324462240916321E-3"/>
    <n v="0.46966160880232483"/>
    <n v="1.3052350336840246"/>
    <n v="0.67891464284095016"/>
  </r>
  <r>
    <n v="24"/>
    <n v="24"/>
    <s v="Yes"/>
    <n v="1"/>
    <s v="Travel_Frequently"/>
    <n v="1"/>
    <n v="0"/>
    <x v="1"/>
    <n v="1"/>
    <n v="0"/>
    <n v="7"/>
    <n v="7"/>
    <n v="3"/>
    <s v="Life Sciences"/>
    <n v="1"/>
    <n v="0"/>
    <n v="0"/>
    <n v="0"/>
    <n v="0"/>
    <n v="1"/>
    <s v="Female"/>
    <n v="1"/>
    <n v="55"/>
    <n v="3"/>
    <n v="1"/>
    <s v="Laboratory Technician"/>
    <n v="0"/>
    <n v="0"/>
    <n v="1"/>
    <n v="0"/>
    <n v="0"/>
    <n v="0"/>
    <n v="0"/>
    <n v="0"/>
    <n v="3"/>
    <s v="Married"/>
    <n v="0"/>
    <n v="1"/>
    <n v="2886"/>
    <n v="2886"/>
    <n v="1"/>
    <s v="Yes"/>
    <n v="1"/>
    <n v="16"/>
    <n v="3"/>
    <n v="4"/>
    <n v="1"/>
    <n v="6"/>
    <x v="3"/>
    <n v="4"/>
    <n v="3"/>
    <n v="6"/>
    <n v="6"/>
    <n v="3"/>
    <n v="1"/>
    <n v="1"/>
    <n v="2"/>
    <n v="2"/>
    <n v="2"/>
    <n v="0"/>
    <n v="0"/>
    <n v="0"/>
    <n v="1"/>
    <n v="0"/>
    <n v="0"/>
    <n v="0"/>
    <n v="1"/>
    <n v="0"/>
    <n v="2"/>
    <n v="0"/>
    <n v="0"/>
    <n v="6"/>
    <n v="0"/>
    <n v="0.76825923838173904"/>
    <n v="0.59502473559756086"/>
    <n v="0.67854260110508058"/>
    <n v="0.16455710867531462"/>
    <n v="0.27045191444879263"/>
    <n v="1.4146996331543302"/>
    <n v="0.36858985273641137"/>
  </r>
  <r>
    <n v="30"/>
    <n v="30"/>
    <s v="Yes"/>
    <n v="1"/>
    <s v="Travel_Frequently"/>
    <n v="1"/>
    <n v="0"/>
    <x v="0"/>
    <n v="0"/>
    <n v="1"/>
    <n v="12"/>
    <n v="12"/>
    <n v="4"/>
    <s v="Life Sciences"/>
    <n v="1"/>
    <n v="0"/>
    <n v="0"/>
    <n v="0"/>
    <n v="0"/>
    <n v="2"/>
    <s v="Male"/>
    <n v="0"/>
    <n v="74"/>
    <n v="2"/>
    <n v="1"/>
    <s v="Sales Representative"/>
    <n v="0"/>
    <n v="0"/>
    <n v="0"/>
    <n v="0"/>
    <n v="0"/>
    <n v="0"/>
    <n v="1"/>
    <n v="0"/>
    <n v="1"/>
    <s v="Married"/>
    <n v="0"/>
    <n v="1"/>
    <n v="2033"/>
    <n v="2033"/>
    <n v="1"/>
    <s v="No"/>
    <n v="0"/>
    <n v="18"/>
    <n v="3"/>
    <n v="3"/>
    <n v="1"/>
    <n v="1"/>
    <x v="5"/>
    <n v="2"/>
    <n v="4"/>
    <n v="1"/>
    <n v="1"/>
    <n v="0"/>
    <n v="0"/>
    <n v="0"/>
    <n v="0"/>
    <n v="0"/>
    <n v="0"/>
    <n v="0"/>
    <n v="0"/>
    <n v="0"/>
    <n v="1"/>
    <n v="0"/>
    <n v="0"/>
    <n v="1"/>
    <n v="0"/>
    <n v="0"/>
    <n v="0"/>
    <n v="0"/>
    <n v="0"/>
    <n v="0"/>
    <n v="1"/>
    <n v="0.94944187010477221"/>
    <n v="1.1555414682655611"/>
    <n v="1.3211515584717011"/>
    <n v="0.9806804209314296"/>
    <n v="0.3463093549271386"/>
    <n v="0.75791203633249671"/>
    <n v="0.67891464284095016"/>
  </r>
  <r>
    <n v="34"/>
    <n v="34"/>
    <s v="No"/>
    <n v="0"/>
    <s v="Travel_Rarely"/>
    <n v="0"/>
    <n v="1"/>
    <x v="1"/>
    <n v="1"/>
    <n v="0"/>
    <n v="1"/>
    <n v="1"/>
    <n v="2"/>
    <s v="Life Sciences"/>
    <n v="1"/>
    <n v="0"/>
    <n v="0"/>
    <n v="0"/>
    <n v="0"/>
    <n v="2"/>
    <s v="Male"/>
    <n v="0"/>
    <n v="83"/>
    <n v="2"/>
    <n v="1"/>
    <s v="Research Scientist"/>
    <n v="0"/>
    <n v="0"/>
    <n v="0"/>
    <n v="0"/>
    <n v="0"/>
    <n v="0"/>
    <n v="0"/>
    <n v="1"/>
    <n v="4"/>
    <s v="Married"/>
    <n v="0"/>
    <n v="1"/>
    <n v="3622"/>
    <n v="3622"/>
    <n v="1"/>
    <s v="Yes"/>
    <n v="1"/>
    <n v="13"/>
    <n v="3"/>
    <n v="4"/>
    <n v="1"/>
    <n v="6"/>
    <x v="3"/>
    <n v="3"/>
    <n v="3"/>
    <n v="6"/>
    <n v="6"/>
    <n v="5"/>
    <n v="1"/>
    <n v="1"/>
    <n v="3"/>
    <n v="3"/>
    <n v="3"/>
    <n v="0"/>
    <n v="1"/>
    <n v="0"/>
    <n v="0"/>
    <n v="0"/>
    <n v="0"/>
    <n v="0"/>
    <n v="1"/>
    <n v="0"/>
    <n v="3"/>
    <n v="0"/>
    <n v="0"/>
    <n v="6"/>
    <n v="0"/>
    <n v="0.6119281516898839"/>
    <n v="0.31476636926356072"/>
    <n v="0.67854260110508058"/>
    <n v="0.16455710867531462"/>
    <n v="1.01056543769991"/>
    <n v="0.32005363845127444"/>
    <n v="0.36858985273641137"/>
  </r>
  <r>
    <n v="31"/>
    <n v="31"/>
    <s v="Yes"/>
    <n v="1"/>
    <s v="Travel_Rarely"/>
    <n v="0"/>
    <n v="1"/>
    <x v="0"/>
    <n v="0"/>
    <n v="1"/>
    <n v="13"/>
    <n v="13"/>
    <n v="4"/>
    <s v="Medical"/>
    <n v="0"/>
    <n v="0"/>
    <n v="1"/>
    <n v="0"/>
    <n v="0"/>
    <n v="2"/>
    <s v="Male"/>
    <n v="0"/>
    <n v="46"/>
    <n v="3"/>
    <n v="2"/>
    <s v="Sales Executive"/>
    <n v="0"/>
    <n v="1"/>
    <n v="0"/>
    <n v="0"/>
    <n v="0"/>
    <n v="0"/>
    <n v="0"/>
    <n v="0"/>
    <n v="1"/>
    <s v="Divorced"/>
    <n v="0"/>
    <n v="0"/>
    <n v="4233"/>
    <n v="4233"/>
    <n v="2"/>
    <s v="No"/>
    <n v="0"/>
    <n v="17"/>
    <n v="3"/>
    <n v="3"/>
    <n v="0"/>
    <n v="9"/>
    <x v="14"/>
    <n v="2"/>
    <n v="1"/>
    <n v="3"/>
    <n v="3"/>
    <n v="1"/>
    <n v="1"/>
    <n v="1"/>
    <n v="2"/>
    <n v="2"/>
    <n v="4"/>
    <n v="1"/>
    <n v="0"/>
    <n v="0"/>
    <n v="0"/>
    <n v="1"/>
    <n v="0"/>
    <n v="0"/>
    <n v="0"/>
    <n v="0"/>
    <n v="0"/>
    <n v="2"/>
    <n v="0"/>
    <n v="0"/>
    <n v="9"/>
    <n v="0.48214786097150958"/>
    <n v="0.59502473559756086"/>
    <n v="0.29297722668510823"/>
    <n v="0.65423109602898355"/>
    <n v="0.46966160880232483"/>
    <n v="0.6484474368621912"/>
    <n v="0.36858985273641137"/>
  </r>
  <r>
    <n v="35"/>
    <n v="35"/>
    <s v="No"/>
    <n v="0"/>
    <s v="Travel_Rarely"/>
    <n v="0"/>
    <n v="1"/>
    <x v="1"/>
    <n v="1"/>
    <n v="0"/>
    <n v="25"/>
    <n v="25"/>
    <n v="2"/>
    <s v="Other"/>
    <n v="0"/>
    <n v="1"/>
    <n v="0"/>
    <n v="0"/>
    <n v="0"/>
    <n v="1"/>
    <s v="Male"/>
    <n v="0"/>
    <n v="54"/>
    <n v="2"/>
    <n v="2"/>
    <s v="Laboratory Technician"/>
    <n v="0"/>
    <n v="0"/>
    <n v="1"/>
    <n v="0"/>
    <n v="0"/>
    <n v="0"/>
    <n v="0"/>
    <n v="0"/>
    <n v="4"/>
    <s v="Single"/>
    <n v="1"/>
    <n v="0"/>
    <n v="3681"/>
    <n v="3681"/>
    <n v="4"/>
    <s v="No"/>
    <n v="0"/>
    <n v="14"/>
    <n v="3"/>
    <n v="4"/>
    <n v="0"/>
    <n v="9"/>
    <x v="14"/>
    <n v="3"/>
    <n v="3"/>
    <n v="3"/>
    <n v="3"/>
    <n v="2"/>
    <n v="0"/>
    <n v="0"/>
    <n v="2"/>
    <n v="2"/>
    <n v="4"/>
    <n v="1"/>
    <n v="0"/>
    <n v="0"/>
    <n v="0"/>
    <n v="1"/>
    <n v="0"/>
    <n v="0"/>
    <n v="0"/>
    <n v="0"/>
    <n v="2"/>
    <n v="0"/>
    <n v="0"/>
    <n v="9"/>
    <n v="0"/>
    <n v="0.59939617599040096"/>
    <n v="0.59502473559756086"/>
    <n v="0.29297722668510823"/>
    <n v="0.65423109602898355"/>
    <n v="1.9498886553045598"/>
    <n v="0.21058903898096887"/>
    <n v="0.67891464284095016"/>
  </r>
  <r>
    <n v="31"/>
    <n v="31"/>
    <s v="No"/>
    <n v="0"/>
    <s v="Travel_Rarely"/>
    <n v="0"/>
    <n v="1"/>
    <x v="0"/>
    <n v="0"/>
    <n v="1"/>
    <n v="6"/>
    <n v="6"/>
    <n v="4"/>
    <s v="Medical"/>
    <n v="0"/>
    <n v="0"/>
    <n v="1"/>
    <n v="0"/>
    <n v="0"/>
    <n v="1"/>
    <s v="Male"/>
    <n v="0"/>
    <n v="66"/>
    <n v="4"/>
    <n v="2"/>
    <s v="Sales Executive"/>
    <n v="0"/>
    <n v="1"/>
    <n v="0"/>
    <n v="0"/>
    <n v="0"/>
    <n v="0"/>
    <n v="0"/>
    <n v="0"/>
    <n v="4"/>
    <s v="Divorced"/>
    <n v="0"/>
    <n v="0"/>
    <n v="5460"/>
    <n v="5460"/>
    <n v="4"/>
    <s v="No"/>
    <n v="0"/>
    <n v="22"/>
    <n v="4"/>
    <n v="4"/>
    <n v="2"/>
    <n v="13"/>
    <x v="10"/>
    <n v="4"/>
    <n v="4"/>
    <n v="7"/>
    <n v="7"/>
    <n v="7"/>
    <n v="5"/>
    <n v="5"/>
    <n v="7"/>
    <n v="7"/>
    <n v="14"/>
    <n v="1"/>
    <n v="0"/>
    <n v="0"/>
    <n v="0"/>
    <n v="1"/>
    <n v="0"/>
    <n v="0"/>
    <n v="0"/>
    <n v="0"/>
    <n v="0"/>
    <n v="7"/>
    <n v="0"/>
    <n v="0"/>
    <n v="13"/>
    <n v="0.22152524769582169"/>
    <n v="0.80626709607243985"/>
    <n v="0.22110993920818819"/>
    <n v="1.3324462240916321E-3"/>
    <n v="0.39380416832397891"/>
    <n v="0.6484474368621912"/>
    <n v="0.87270930768174382"/>
  </r>
  <r>
    <n v="27"/>
    <n v="27"/>
    <s v="No"/>
    <n v="0"/>
    <s v="Travel_Rarely"/>
    <n v="0"/>
    <n v="1"/>
    <x v="1"/>
    <n v="1"/>
    <n v="0"/>
    <n v="6"/>
    <n v="6"/>
    <n v="4"/>
    <s v="Medical"/>
    <n v="0"/>
    <n v="0"/>
    <n v="1"/>
    <n v="0"/>
    <n v="0"/>
    <n v="1"/>
    <s v="Female"/>
    <n v="1"/>
    <n v="66"/>
    <n v="2"/>
    <n v="1"/>
    <s v="Research Scientist"/>
    <n v="0"/>
    <n v="0"/>
    <n v="0"/>
    <n v="0"/>
    <n v="0"/>
    <n v="0"/>
    <n v="0"/>
    <n v="1"/>
    <n v="3"/>
    <s v="Divorced"/>
    <n v="0"/>
    <n v="0"/>
    <n v="2187"/>
    <n v="2187"/>
    <n v="0"/>
    <s v="No"/>
    <n v="0"/>
    <n v="12"/>
    <n v="3"/>
    <n v="3"/>
    <n v="2"/>
    <n v="6"/>
    <x v="3"/>
    <n v="5"/>
    <n v="2"/>
    <n v="5"/>
    <n v="5"/>
    <n v="3"/>
    <n v="0"/>
    <n v="0"/>
    <n v="3"/>
    <n v="3"/>
    <n v="3"/>
    <n v="1"/>
    <n v="0"/>
    <n v="0"/>
    <n v="0"/>
    <n v="1"/>
    <n v="0"/>
    <n v="0"/>
    <n v="0"/>
    <n v="0"/>
    <n v="3"/>
    <n v="0"/>
    <n v="0"/>
    <n v="6"/>
    <n v="0"/>
    <n v="0.9167312894654438"/>
    <n v="0.31476636926356072"/>
    <n v="0.67854260110508058"/>
    <n v="0.32778177112653761"/>
    <n v="0.39380416832397891"/>
    <n v="1.0863058347434136"/>
    <n v="0.67891464284095016"/>
  </r>
  <r>
    <n v="37"/>
    <n v="37"/>
    <s v="No"/>
    <n v="0"/>
    <s v="Travel_Rarely"/>
    <n v="0"/>
    <n v="1"/>
    <x v="0"/>
    <n v="0"/>
    <n v="1"/>
    <n v="2"/>
    <n v="2"/>
    <n v="3"/>
    <s v="Marketing"/>
    <n v="0"/>
    <n v="0"/>
    <n v="0"/>
    <n v="1"/>
    <n v="0"/>
    <n v="4"/>
    <s v="Male"/>
    <n v="0"/>
    <n v="75"/>
    <n v="3"/>
    <n v="2"/>
    <s v="Sales Executive"/>
    <n v="0"/>
    <n v="1"/>
    <n v="0"/>
    <n v="0"/>
    <n v="0"/>
    <n v="0"/>
    <n v="0"/>
    <n v="0"/>
    <n v="3"/>
    <s v="Married"/>
    <n v="0"/>
    <n v="1"/>
    <n v="9602"/>
    <n v="9602"/>
    <n v="4"/>
    <s v="Yes"/>
    <n v="1"/>
    <n v="11"/>
    <n v="3"/>
    <n v="3"/>
    <n v="1"/>
    <n v="17"/>
    <x v="6"/>
    <n v="3"/>
    <n v="2"/>
    <n v="3"/>
    <n v="3"/>
    <n v="0"/>
    <n v="1"/>
    <n v="1"/>
    <n v="0"/>
    <n v="0"/>
    <n v="0"/>
    <n v="0"/>
    <n v="1"/>
    <n v="0"/>
    <n v="0"/>
    <n v="0"/>
    <n v="0"/>
    <n v="0"/>
    <n v="1"/>
    <n v="0"/>
    <n v="0"/>
    <n v="0"/>
    <n v="0"/>
    <n v="0"/>
    <n v="17"/>
    <n v="0.65826192768143921"/>
    <n v="1.1555414682655611"/>
    <n v="0.73519710510148462"/>
    <n v="0.65423109602898355"/>
    <n v="0.88721318382472392"/>
    <n v="8.3401599596422994E-3"/>
    <n v="0.36858985273641137"/>
  </r>
  <r>
    <n v="20"/>
    <n v="20"/>
    <s v="No"/>
    <n v="0"/>
    <s v="Travel_Rarely"/>
    <n v="0"/>
    <n v="1"/>
    <x v="1"/>
    <n v="1"/>
    <n v="0"/>
    <n v="1"/>
    <n v="1"/>
    <n v="3"/>
    <s v="Life Sciences"/>
    <n v="1"/>
    <n v="0"/>
    <n v="0"/>
    <n v="0"/>
    <n v="0"/>
    <n v="4"/>
    <s v="Female"/>
    <n v="1"/>
    <n v="83"/>
    <n v="2"/>
    <n v="1"/>
    <s v="Research Scientist"/>
    <n v="0"/>
    <n v="0"/>
    <n v="0"/>
    <n v="0"/>
    <n v="0"/>
    <n v="0"/>
    <n v="0"/>
    <n v="1"/>
    <n v="2"/>
    <s v="Single"/>
    <n v="1"/>
    <n v="0"/>
    <n v="2836"/>
    <n v="2836"/>
    <n v="1"/>
    <s v="No"/>
    <n v="0"/>
    <n v="13"/>
    <n v="3"/>
    <n v="4"/>
    <n v="0"/>
    <n v="1"/>
    <x v="5"/>
    <n v="0"/>
    <n v="4"/>
    <n v="1"/>
    <n v="1"/>
    <n v="0"/>
    <n v="0"/>
    <n v="0"/>
    <n v="0"/>
    <n v="0"/>
    <n v="0"/>
    <n v="1"/>
    <n v="0"/>
    <n v="0"/>
    <n v="0"/>
    <n v="1"/>
    <n v="0"/>
    <n v="0"/>
    <n v="0"/>
    <n v="0"/>
    <n v="0"/>
    <n v="0"/>
    <n v="0"/>
    <n v="1"/>
    <n v="0"/>
    <n v="0.77887955677113141"/>
    <n v="1.1555414682655611"/>
    <n v="1.3211515584717011"/>
    <n v="0.9806804209314296"/>
    <n v="1.01056543769991"/>
    <n v="1.8525580310355525"/>
    <n v="0.67891464284095016"/>
  </r>
  <r>
    <n v="42"/>
    <n v="42"/>
    <s v="No"/>
    <n v="0"/>
    <s v="Travel_Rarely"/>
    <n v="0"/>
    <n v="1"/>
    <x v="1"/>
    <n v="1"/>
    <n v="0"/>
    <n v="2"/>
    <n v="2"/>
    <n v="4"/>
    <s v="Life Sciences"/>
    <n v="1"/>
    <n v="0"/>
    <n v="0"/>
    <n v="0"/>
    <n v="0"/>
    <n v="3"/>
    <s v="Female"/>
    <n v="1"/>
    <n v="81"/>
    <n v="3"/>
    <n v="2"/>
    <s v="Healthcare Representative"/>
    <n v="1"/>
    <n v="0"/>
    <n v="0"/>
    <n v="0"/>
    <n v="0"/>
    <n v="0"/>
    <n v="0"/>
    <n v="0"/>
    <n v="4"/>
    <s v="Married"/>
    <n v="0"/>
    <n v="1"/>
    <n v="4089"/>
    <n v="4089"/>
    <n v="1"/>
    <s v="No"/>
    <n v="0"/>
    <n v="13"/>
    <n v="3"/>
    <n v="2"/>
    <n v="2"/>
    <n v="10"/>
    <x v="1"/>
    <n v="4"/>
    <n v="3"/>
    <n v="10"/>
    <n v="10"/>
    <n v="2"/>
    <n v="2"/>
    <n v="2"/>
    <n v="2"/>
    <n v="2"/>
    <n v="4"/>
    <n v="0"/>
    <n v="1"/>
    <n v="0"/>
    <n v="0"/>
    <n v="0"/>
    <n v="0"/>
    <n v="1"/>
    <n v="0"/>
    <n v="0"/>
    <n v="2"/>
    <n v="0"/>
    <n v="0"/>
    <n v="10"/>
    <n v="0"/>
    <n v="0.51273437793295951"/>
    <n v="0.59502473559756086"/>
    <n v="0.1644554352117841"/>
    <n v="0.48834154112957734"/>
    <n v="0.88721318382472392"/>
    <n v="0.55566315731117022"/>
    <n v="5.8265062631872602E-2"/>
  </r>
  <r>
    <n v="43"/>
    <n v="43"/>
    <s v="No"/>
    <n v="0"/>
    <s v="Travel_Rarely"/>
    <n v="0"/>
    <n v="1"/>
    <x v="1"/>
    <n v="1"/>
    <n v="0"/>
    <n v="6"/>
    <n v="6"/>
    <n v="4"/>
    <s v="Other"/>
    <n v="0"/>
    <n v="1"/>
    <n v="0"/>
    <n v="0"/>
    <n v="0"/>
    <n v="2"/>
    <s v="Male"/>
    <n v="0"/>
    <n v="50"/>
    <n v="2"/>
    <n v="4"/>
    <s v="Research Director"/>
    <n v="0"/>
    <n v="0"/>
    <n v="0"/>
    <n v="0"/>
    <n v="0"/>
    <n v="0"/>
    <n v="0"/>
    <n v="0"/>
    <n v="4"/>
    <s v="Divorced"/>
    <n v="0"/>
    <n v="0"/>
    <n v="16627"/>
    <n v="16627"/>
    <n v="4"/>
    <s v="Yes"/>
    <n v="1"/>
    <n v="14"/>
    <n v="3"/>
    <n v="3"/>
    <n v="1"/>
    <n v="21"/>
    <x v="23"/>
    <n v="3"/>
    <n v="2"/>
    <n v="1"/>
    <n v="1"/>
    <n v="0"/>
    <n v="0"/>
    <n v="0"/>
    <n v="0"/>
    <n v="0"/>
    <n v="0"/>
    <n v="1"/>
    <n v="0"/>
    <n v="0"/>
    <n v="0"/>
    <n v="0"/>
    <n v="1"/>
    <n v="0"/>
    <n v="0"/>
    <n v="0"/>
    <n v="0"/>
    <n v="0"/>
    <n v="0"/>
    <n v="21"/>
    <n v="0"/>
    <n v="2.1504166613910622"/>
    <n v="1.1555414682655611"/>
    <n v="1.2492842709947811"/>
    <n v="0.9806804209314296"/>
    <n v="0.39380416832397891"/>
    <n v="0.66512775678147573"/>
    <n v="0.67891464284095016"/>
  </r>
  <r>
    <n v="38"/>
    <n v="38"/>
    <s v="No"/>
    <n v="0"/>
    <s v="Travel_Rarely"/>
    <n v="0"/>
    <n v="1"/>
    <x v="1"/>
    <n v="1"/>
    <n v="0"/>
    <n v="1"/>
    <n v="1"/>
    <n v="1"/>
    <s v="Life Sciences"/>
    <n v="1"/>
    <n v="0"/>
    <n v="0"/>
    <n v="0"/>
    <n v="0"/>
    <n v="3"/>
    <s v="Female"/>
    <n v="1"/>
    <n v="43"/>
    <n v="3"/>
    <n v="1"/>
    <s v="Research Scientist"/>
    <n v="0"/>
    <n v="0"/>
    <n v="0"/>
    <n v="0"/>
    <n v="0"/>
    <n v="0"/>
    <n v="0"/>
    <n v="1"/>
    <n v="1"/>
    <s v="Single"/>
    <n v="1"/>
    <n v="0"/>
    <n v="2619"/>
    <n v="2619"/>
    <n v="3"/>
    <s v="No"/>
    <n v="0"/>
    <n v="17"/>
    <n v="3"/>
    <n v="4"/>
    <n v="0"/>
    <n v="8"/>
    <x v="0"/>
    <n v="3"/>
    <n v="2"/>
    <n v="0"/>
    <n v="0"/>
    <n v="0"/>
    <n v="0"/>
    <n v="0"/>
    <n v="0"/>
    <n v="0"/>
    <n v="0"/>
    <n v="1"/>
    <n v="0"/>
    <n v="0"/>
    <n v="0"/>
    <n v="1"/>
    <n v="0"/>
    <n v="0"/>
    <n v="0"/>
    <n v="0"/>
    <n v="0"/>
    <n v="0"/>
    <n v="0"/>
    <n v="8"/>
    <n v="0"/>
    <n v="0.82497173858109407"/>
    <n v="1.1555414682655611"/>
    <n v="0.42149901815843233"/>
    <n v="1.1439050833826525"/>
    <n v="1.01056543769991"/>
    <n v="0.11780475942994788"/>
    <n v="0.67891464284095016"/>
  </r>
  <r>
    <n v="43"/>
    <n v="43"/>
    <s v="No"/>
    <n v="0"/>
    <s v="Travel_Frequently"/>
    <n v="1"/>
    <n v="0"/>
    <x v="1"/>
    <n v="1"/>
    <n v="0"/>
    <n v="9"/>
    <n v="9"/>
    <n v="5"/>
    <s v="Medical"/>
    <n v="0"/>
    <n v="0"/>
    <n v="1"/>
    <n v="0"/>
    <n v="0"/>
    <n v="4"/>
    <s v="Male"/>
    <n v="0"/>
    <n v="72"/>
    <n v="3"/>
    <n v="2"/>
    <s v="Laboratory Technician"/>
    <n v="0"/>
    <n v="0"/>
    <n v="1"/>
    <n v="0"/>
    <n v="0"/>
    <n v="0"/>
    <n v="0"/>
    <n v="0"/>
    <n v="3"/>
    <s v="Divorced"/>
    <n v="0"/>
    <n v="0"/>
    <n v="5679"/>
    <n v="5679"/>
    <n v="3"/>
    <s v="Yes"/>
    <n v="1"/>
    <n v="13"/>
    <n v="3"/>
    <n v="2"/>
    <n v="1"/>
    <n v="10"/>
    <x v="1"/>
    <n v="3"/>
    <n v="3"/>
    <n v="8"/>
    <n v="8"/>
    <n v="7"/>
    <n v="4"/>
    <n v="4"/>
    <n v="7"/>
    <n v="7"/>
    <n v="14"/>
    <n v="0"/>
    <n v="0"/>
    <n v="1"/>
    <n v="0"/>
    <n v="0"/>
    <n v="1"/>
    <n v="0"/>
    <n v="0"/>
    <n v="0"/>
    <n v="7"/>
    <n v="0"/>
    <n v="0"/>
    <n v="10"/>
    <n v="0"/>
    <n v="0.17500825315028326"/>
    <n v="0.80626709607243985"/>
    <n v="0.1644554352117841"/>
    <n v="0.16189221622713135"/>
    <n v="2.3747406698420157E-2"/>
    <n v="0.66512775678147573"/>
    <n v="0.56238451757720498"/>
  </r>
  <r>
    <n v="48"/>
    <n v="48"/>
    <s v="No"/>
    <n v="0"/>
    <s v="Travel_Rarely"/>
    <n v="0"/>
    <n v="1"/>
    <x v="1"/>
    <n v="1"/>
    <n v="0"/>
    <n v="1"/>
    <n v="1"/>
    <n v="4"/>
    <s v="Life Sciences"/>
    <n v="1"/>
    <n v="0"/>
    <n v="0"/>
    <n v="0"/>
    <n v="0"/>
    <n v="4"/>
    <s v="Female"/>
    <n v="1"/>
    <n v="40"/>
    <n v="2"/>
    <n v="4"/>
    <s v="Manager"/>
    <n v="0"/>
    <n v="0"/>
    <n v="0"/>
    <n v="1"/>
    <n v="0"/>
    <n v="0"/>
    <n v="0"/>
    <n v="0"/>
    <n v="1"/>
    <s v="Married"/>
    <n v="0"/>
    <n v="1"/>
    <n v="15402"/>
    <n v="15402"/>
    <n v="7"/>
    <s v="No"/>
    <n v="0"/>
    <n v="11"/>
    <n v="3"/>
    <n v="1"/>
    <n v="1"/>
    <n v="21"/>
    <x v="23"/>
    <n v="3"/>
    <n v="1"/>
    <n v="3"/>
    <n v="3"/>
    <n v="2"/>
    <n v="0"/>
    <n v="0"/>
    <n v="2"/>
    <n v="2"/>
    <n v="8"/>
    <n v="0"/>
    <n v="1"/>
    <n v="0"/>
    <n v="0"/>
    <n v="0"/>
    <n v="0"/>
    <n v="1"/>
    <n v="0"/>
    <n v="0"/>
    <n v="2"/>
    <n v="0"/>
    <n v="0"/>
    <n v="21"/>
    <n v="0"/>
    <n v="1.8902188608509498"/>
    <n v="0.59502473559756086"/>
    <n v="1.2492842709947811"/>
    <n v="0.65423109602898355"/>
    <n v="1.01056543769991"/>
    <n v="1.2124507541330036"/>
    <n v="0.67891464284095016"/>
  </r>
  <r>
    <n v="44"/>
    <n v="44"/>
    <s v="No"/>
    <n v="0"/>
    <s v="Travel_Rarely"/>
    <n v="0"/>
    <n v="1"/>
    <x v="2"/>
    <n v="0"/>
    <n v="0"/>
    <n v="1"/>
    <n v="1"/>
    <n v="4"/>
    <s v="Life Sciences"/>
    <n v="1"/>
    <n v="0"/>
    <n v="0"/>
    <n v="0"/>
    <n v="0"/>
    <n v="1"/>
    <s v="Female"/>
    <n v="1"/>
    <n v="50"/>
    <n v="2"/>
    <n v="2"/>
    <s v="Human Resources"/>
    <n v="0"/>
    <n v="0"/>
    <n v="0"/>
    <n v="0"/>
    <n v="0"/>
    <n v="0"/>
    <n v="0"/>
    <n v="0"/>
    <n v="3"/>
    <s v="Single"/>
    <n v="1"/>
    <n v="0"/>
    <n v="5985"/>
    <n v="5985"/>
    <n v="4"/>
    <s v="No"/>
    <n v="0"/>
    <n v="11"/>
    <n v="3"/>
    <n v="2"/>
    <n v="0"/>
    <n v="10"/>
    <x v="1"/>
    <n v="1"/>
    <n v="4"/>
    <n v="2"/>
    <n v="2"/>
    <n v="2"/>
    <n v="0"/>
    <n v="0"/>
    <n v="2"/>
    <n v="2"/>
    <n v="4"/>
    <n v="1"/>
    <n v="0"/>
    <n v="0"/>
    <n v="0"/>
    <n v="1"/>
    <n v="0"/>
    <n v="0"/>
    <n v="0"/>
    <n v="2"/>
    <n v="0"/>
    <n v="0"/>
    <n v="10"/>
    <n v="0"/>
    <n v="0"/>
    <n v="0.1100119046072022"/>
    <n v="0.59502473559756086"/>
    <n v="0.1644554352117841"/>
    <n v="0.81745575848020657"/>
    <n v="1.01056543769991"/>
    <n v="0.77459235625178136"/>
    <n v="0.67891464284095016"/>
  </r>
  <r>
    <n v="34"/>
    <n v="34"/>
    <s v="No"/>
    <n v="0"/>
    <s v="Travel_Rarely"/>
    <n v="0"/>
    <n v="1"/>
    <x v="0"/>
    <n v="0"/>
    <n v="1"/>
    <n v="14"/>
    <n v="14"/>
    <n v="3"/>
    <s v="Technical Degree"/>
    <n v="0"/>
    <n v="0"/>
    <n v="0"/>
    <n v="0"/>
    <n v="1"/>
    <n v="3"/>
    <s v="Female"/>
    <n v="1"/>
    <n v="31"/>
    <n v="3"/>
    <n v="1"/>
    <s v="Sales Representative"/>
    <n v="0"/>
    <n v="0"/>
    <n v="0"/>
    <n v="0"/>
    <n v="0"/>
    <n v="0"/>
    <n v="1"/>
    <n v="0"/>
    <n v="3"/>
    <s v="Divorced"/>
    <n v="0"/>
    <n v="0"/>
    <n v="2579"/>
    <n v="2579"/>
    <n v="1"/>
    <s v="Yes"/>
    <n v="1"/>
    <n v="18"/>
    <n v="3"/>
    <n v="4"/>
    <n v="2"/>
    <n v="8"/>
    <x v="0"/>
    <n v="3"/>
    <n v="3"/>
    <n v="8"/>
    <n v="8"/>
    <n v="2"/>
    <n v="0"/>
    <n v="0"/>
    <n v="6"/>
    <n v="6"/>
    <n v="6"/>
    <n v="1"/>
    <n v="0"/>
    <n v="0"/>
    <n v="0"/>
    <n v="0"/>
    <n v="1"/>
    <n v="0"/>
    <n v="0"/>
    <n v="0"/>
    <n v="0"/>
    <n v="6"/>
    <n v="0"/>
    <n v="0"/>
    <n v="8"/>
    <n v="0.8334679932926079"/>
    <n v="0.52600872973843971"/>
    <n v="0.42149901815843233"/>
    <n v="0.16189221622713135"/>
    <n v="0.59301386267751111"/>
    <n v="0.32005363845127444"/>
    <n v="0.67891464284095016"/>
  </r>
  <r>
    <n v="27"/>
    <n v="27"/>
    <s v="Yes"/>
    <n v="1"/>
    <s v="Travel_Rarely"/>
    <n v="0"/>
    <n v="1"/>
    <x v="0"/>
    <n v="0"/>
    <n v="1"/>
    <n v="2"/>
    <n v="2"/>
    <n v="1"/>
    <s v="Marketing"/>
    <n v="0"/>
    <n v="0"/>
    <n v="0"/>
    <n v="1"/>
    <n v="0"/>
    <n v="3"/>
    <s v="Male"/>
    <n v="0"/>
    <n v="85"/>
    <n v="3"/>
    <n v="1"/>
    <s v="Sales Representative"/>
    <n v="0"/>
    <n v="0"/>
    <n v="0"/>
    <n v="0"/>
    <n v="0"/>
    <n v="0"/>
    <n v="1"/>
    <n v="0"/>
    <n v="1"/>
    <s v="Divorced"/>
    <n v="0"/>
    <n v="0"/>
    <n v="3041"/>
    <n v="3041"/>
    <n v="0"/>
    <s v="No"/>
    <n v="0"/>
    <n v="11"/>
    <n v="3"/>
    <n v="2"/>
    <n v="1"/>
    <n v="5"/>
    <x v="7"/>
    <n v="3"/>
    <n v="3"/>
    <n v="4"/>
    <n v="4"/>
    <n v="3"/>
    <n v="0"/>
    <n v="0"/>
    <n v="2"/>
    <n v="2"/>
    <n v="2"/>
    <n v="1"/>
    <n v="0"/>
    <n v="0"/>
    <n v="0"/>
    <n v="1"/>
    <n v="0"/>
    <n v="0"/>
    <n v="0"/>
    <n v="0"/>
    <n v="0"/>
    <n v="2"/>
    <n v="0"/>
    <n v="0"/>
    <n v="5"/>
    <n v="0.73533625137462277"/>
    <n v="0.59502473559756086"/>
    <n v="0.80706439257840468"/>
    <n v="0.49100643357776058"/>
    <n v="0.88721318382472392"/>
    <n v="1.0863058347434136"/>
    <n v="0.67891464284095016"/>
  </r>
  <r>
    <n v="21"/>
    <n v="21"/>
    <s v="No"/>
    <n v="0"/>
    <s v="Travel_Rarely"/>
    <n v="0"/>
    <n v="1"/>
    <x v="0"/>
    <n v="0"/>
    <n v="1"/>
    <n v="22"/>
    <n v="22"/>
    <n v="1"/>
    <s v="Technical Degree"/>
    <n v="0"/>
    <n v="0"/>
    <n v="0"/>
    <n v="0"/>
    <n v="1"/>
    <n v="3"/>
    <s v="Male"/>
    <n v="0"/>
    <n v="49"/>
    <n v="3"/>
    <n v="1"/>
    <s v="Sales Representative"/>
    <n v="0"/>
    <n v="0"/>
    <n v="0"/>
    <n v="0"/>
    <n v="0"/>
    <n v="0"/>
    <n v="1"/>
    <n v="0"/>
    <n v="3"/>
    <s v="Single"/>
    <n v="1"/>
    <n v="0"/>
    <n v="3447"/>
    <n v="3447"/>
    <n v="1"/>
    <s v="No"/>
    <n v="0"/>
    <n v="11"/>
    <n v="3"/>
    <n v="3"/>
    <n v="0"/>
    <n v="3"/>
    <x v="8"/>
    <n v="2"/>
    <n v="3"/>
    <n v="3"/>
    <n v="3"/>
    <n v="2"/>
    <n v="1"/>
    <n v="1"/>
    <n v="2"/>
    <n v="2"/>
    <n v="2"/>
    <n v="1"/>
    <n v="0"/>
    <n v="0"/>
    <n v="0"/>
    <n v="1"/>
    <n v="0"/>
    <n v="0"/>
    <n v="0"/>
    <n v="0"/>
    <n v="0"/>
    <n v="2"/>
    <n v="0"/>
    <n v="0"/>
    <n v="3"/>
    <n v="0.64909926605275703"/>
    <n v="0.59502473559756086"/>
    <n v="1.0641079755250529"/>
    <n v="0.65423109602898355"/>
    <n v="1.579831893679001"/>
    <n v="1.7430934315652469"/>
    <n v="0.36858985273641137"/>
  </r>
  <r>
    <n v="44"/>
    <n v="44"/>
    <s v="No"/>
    <n v="0"/>
    <s v="Travel_Rarely"/>
    <n v="0"/>
    <n v="1"/>
    <x v="1"/>
    <n v="1"/>
    <n v="0"/>
    <n v="3"/>
    <n v="3"/>
    <n v="4"/>
    <s v="Other"/>
    <n v="0"/>
    <n v="1"/>
    <n v="0"/>
    <n v="0"/>
    <n v="0"/>
    <n v="4"/>
    <s v="Male"/>
    <n v="0"/>
    <n v="35"/>
    <n v="3"/>
    <n v="5"/>
    <s v="Manager"/>
    <n v="0"/>
    <n v="0"/>
    <n v="0"/>
    <n v="1"/>
    <n v="0"/>
    <n v="0"/>
    <n v="0"/>
    <n v="0"/>
    <n v="4"/>
    <s v="Married"/>
    <n v="0"/>
    <n v="1"/>
    <n v="19513"/>
    <n v="19513"/>
    <n v="4"/>
    <s v="Yes"/>
    <n v="1"/>
    <n v="12"/>
    <n v="3"/>
    <n v="1"/>
    <n v="1"/>
    <n v="26"/>
    <x v="11"/>
    <n v="2"/>
    <n v="4"/>
    <n v="2"/>
    <n v="2"/>
    <n v="2"/>
    <n v="0"/>
    <n v="0"/>
    <n v="1"/>
    <n v="1"/>
    <n v="5"/>
    <n v="0"/>
    <n v="1"/>
    <n v="0"/>
    <n v="0"/>
    <n v="0"/>
    <n v="0"/>
    <n v="0"/>
    <n v="1"/>
    <n v="0"/>
    <n v="1"/>
    <n v="0"/>
    <n v="0"/>
    <n v="26"/>
    <n v="0"/>
    <n v="2.7634214388267875"/>
    <n v="0.87528310193156111"/>
    <n v="1.8918932283614016"/>
    <n v="0.81745575848020657"/>
    <n v="0.76386092994953758"/>
    <n v="0.77459235625178136"/>
    <n v="0.67891464284095016"/>
  </r>
  <r>
    <n v="22"/>
    <n v="22"/>
    <s v="No"/>
    <n v="0"/>
    <s v="Travel_Rarely"/>
    <n v="0"/>
    <n v="1"/>
    <x v="1"/>
    <n v="1"/>
    <n v="0"/>
    <n v="6"/>
    <n v="6"/>
    <n v="1"/>
    <s v="Medical"/>
    <n v="0"/>
    <n v="0"/>
    <n v="1"/>
    <n v="0"/>
    <n v="0"/>
    <n v="1"/>
    <s v="Male"/>
    <n v="0"/>
    <n v="69"/>
    <n v="3"/>
    <n v="1"/>
    <s v="Research Scientist"/>
    <n v="0"/>
    <n v="0"/>
    <n v="0"/>
    <n v="0"/>
    <n v="0"/>
    <n v="0"/>
    <n v="0"/>
    <n v="1"/>
    <n v="3"/>
    <s v="Married"/>
    <n v="0"/>
    <n v="1"/>
    <n v="2773"/>
    <n v="2773"/>
    <n v="0"/>
    <s v="No"/>
    <n v="0"/>
    <n v="20"/>
    <n v="4"/>
    <n v="4"/>
    <n v="0"/>
    <n v="3"/>
    <x v="8"/>
    <n v="3"/>
    <n v="3"/>
    <n v="2"/>
    <n v="2"/>
    <n v="2"/>
    <n v="2"/>
    <n v="2"/>
    <n v="2"/>
    <n v="2"/>
    <n v="2"/>
    <n v="0"/>
    <n v="1"/>
    <n v="0"/>
    <n v="0"/>
    <n v="0"/>
    <n v="0"/>
    <n v="1"/>
    <n v="0"/>
    <n v="0"/>
    <n v="2"/>
    <n v="0"/>
    <n v="0"/>
    <n v="3"/>
    <n v="0"/>
    <n v="0.79226115794176566"/>
    <n v="0.59502473559756086"/>
    <n v="1.0641079755250529"/>
    <n v="0.81745575848020657"/>
    <n v="0.39380416832397891"/>
    <n v="1.6336288320949415"/>
    <n v="5.8265062631872602E-2"/>
  </r>
  <r>
    <n v="33"/>
    <n v="33"/>
    <s v="No"/>
    <n v="0"/>
    <s v="Travel_Rarely"/>
    <n v="0"/>
    <n v="1"/>
    <x v="0"/>
    <n v="0"/>
    <n v="1"/>
    <n v="8"/>
    <n v="8"/>
    <n v="4"/>
    <s v="Marketing"/>
    <n v="0"/>
    <n v="0"/>
    <n v="0"/>
    <n v="1"/>
    <n v="0"/>
    <n v="3"/>
    <s v="Male"/>
    <n v="0"/>
    <n v="39"/>
    <n v="3"/>
    <n v="2"/>
    <s v="Sales Executive"/>
    <n v="0"/>
    <n v="1"/>
    <n v="0"/>
    <n v="0"/>
    <n v="0"/>
    <n v="0"/>
    <n v="0"/>
    <n v="0"/>
    <n v="3"/>
    <s v="Divorced"/>
    <n v="0"/>
    <n v="0"/>
    <n v="7104"/>
    <n v="7104"/>
    <n v="0"/>
    <s v="No"/>
    <n v="0"/>
    <n v="12"/>
    <n v="3"/>
    <n v="4"/>
    <n v="0"/>
    <n v="6"/>
    <x v="3"/>
    <n v="3"/>
    <n v="3"/>
    <n v="5"/>
    <n v="5"/>
    <n v="0"/>
    <n v="1"/>
    <n v="1"/>
    <n v="2"/>
    <n v="2"/>
    <n v="4"/>
    <n v="1"/>
    <n v="0"/>
    <n v="0"/>
    <n v="0"/>
    <n v="1"/>
    <n v="0"/>
    <n v="0"/>
    <n v="0"/>
    <n v="0"/>
    <n v="0"/>
    <n v="2"/>
    <n v="0"/>
    <n v="0"/>
    <n v="6"/>
    <n v="0.12767082094739823"/>
    <n v="0.59502473559756086"/>
    <n v="0.67854260110508058"/>
    <n v="0.32778177112653761"/>
    <n v="0.14709966057360641"/>
    <n v="0.42951823792158"/>
    <n v="0.36858985273641137"/>
  </r>
  <r>
    <n v="32"/>
    <n v="32"/>
    <s v="No"/>
    <n v="0"/>
    <s v="Travel_Rarely"/>
    <n v="0"/>
    <n v="1"/>
    <x v="1"/>
    <n v="1"/>
    <n v="0"/>
    <n v="9"/>
    <n v="9"/>
    <n v="4"/>
    <s v="Life Sciences"/>
    <n v="1"/>
    <n v="0"/>
    <n v="0"/>
    <n v="0"/>
    <n v="0"/>
    <n v="1"/>
    <s v="Female"/>
    <n v="1"/>
    <n v="92"/>
    <n v="3"/>
    <n v="2"/>
    <s v="Research Scientist"/>
    <n v="0"/>
    <n v="0"/>
    <n v="0"/>
    <n v="0"/>
    <n v="0"/>
    <n v="0"/>
    <n v="0"/>
    <n v="1"/>
    <n v="4"/>
    <s v="Married"/>
    <n v="0"/>
    <n v="1"/>
    <n v="6322"/>
    <n v="6322"/>
    <n v="1"/>
    <s v="Yes"/>
    <n v="1"/>
    <n v="12"/>
    <n v="3"/>
    <n v="4"/>
    <n v="1"/>
    <n v="6"/>
    <x v="3"/>
    <n v="2"/>
    <n v="2"/>
    <n v="6"/>
    <n v="6"/>
    <n v="4"/>
    <n v="0"/>
    <n v="0"/>
    <n v="5"/>
    <n v="5"/>
    <n v="10"/>
    <n v="0"/>
    <n v="1"/>
    <n v="0"/>
    <n v="0"/>
    <n v="0"/>
    <n v="0"/>
    <n v="0"/>
    <n v="1"/>
    <n v="0"/>
    <n v="5"/>
    <n v="0"/>
    <n v="0"/>
    <n v="6"/>
    <n v="0"/>
    <n v="3.8430958662697863E-2"/>
    <n v="0.24575036340443959"/>
    <n v="0.67854260110508058"/>
    <n v="0.16455710867531462"/>
    <n v="2.3747406698420157E-2"/>
    <n v="0.53898283739188557"/>
    <n v="0.67891464284095016"/>
  </r>
  <r>
    <n v="30"/>
    <n v="30"/>
    <s v="No"/>
    <n v="0"/>
    <s v="Travel_Frequently"/>
    <n v="1"/>
    <n v="0"/>
    <x v="1"/>
    <n v="1"/>
    <n v="0"/>
    <n v="3"/>
    <n v="3"/>
    <n v="3"/>
    <s v="Medical"/>
    <n v="0"/>
    <n v="0"/>
    <n v="1"/>
    <n v="0"/>
    <n v="0"/>
    <n v="3"/>
    <s v="Female"/>
    <n v="1"/>
    <n v="71"/>
    <n v="3"/>
    <n v="1"/>
    <s v="Research Scientist"/>
    <n v="0"/>
    <n v="0"/>
    <n v="0"/>
    <n v="0"/>
    <n v="0"/>
    <n v="0"/>
    <n v="0"/>
    <n v="1"/>
    <n v="3"/>
    <s v="Divorced"/>
    <n v="0"/>
    <n v="0"/>
    <n v="2083"/>
    <n v="2083"/>
    <n v="1"/>
    <s v="No"/>
    <n v="0"/>
    <n v="20"/>
    <n v="4"/>
    <n v="3"/>
    <n v="1"/>
    <n v="1"/>
    <x v="5"/>
    <n v="2"/>
    <n v="3"/>
    <n v="1"/>
    <n v="1"/>
    <n v="0"/>
    <n v="0"/>
    <n v="0"/>
    <n v="0"/>
    <n v="0"/>
    <n v="0"/>
    <n v="0"/>
    <n v="0"/>
    <n v="1"/>
    <n v="0"/>
    <n v="1"/>
    <n v="0"/>
    <n v="0"/>
    <n v="0"/>
    <n v="0"/>
    <n v="0"/>
    <n v="0"/>
    <n v="0"/>
    <n v="1"/>
    <n v="0"/>
    <n v="0.93882155171537995"/>
    <n v="1.1555414682655611"/>
    <n v="1.3211515584717011"/>
    <n v="0.9806804209314296"/>
    <n v="0.76386092994953758"/>
    <n v="0.75791203633249671"/>
    <n v="0.67891464284095016"/>
  </r>
  <r>
    <n v="53"/>
    <n v="53"/>
    <s v="No"/>
    <n v="0"/>
    <s v="Travel_Rarely"/>
    <n v="0"/>
    <n v="1"/>
    <x v="0"/>
    <n v="0"/>
    <n v="1"/>
    <n v="1"/>
    <n v="1"/>
    <n v="1"/>
    <s v="Medical"/>
    <n v="0"/>
    <n v="0"/>
    <n v="1"/>
    <n v="0"/>
    <n v="0"/>
    <n v="4"/>
    <s v="Female"/>
    <n v="1"/>
    <n v="34"/>
    <n v="3"/>
    <n v="2"/>
    <s v="Sales Executive"/>
    <n v="0"/>
    <n v="1"/>
    <n v="0"/>
    <n v="0"/>
    <n v="0"/>
    <n v="0"/>
    <n v="0"/>
    <n v="0"/>
    <n v="1"/>
    <s v="Single"/>
    <n v="1"/>
    <n v="0"/>
    <n v="8381"/>
    <n v="8381"/>
    <n v="7"/>
    <s v="No"/>
    <n v="0"/>
    <n v="20"/>
    <n v="4"/>
    <n v="4"/>
    <n v="0"/>
    <n v="18"/>
    <x v="30"/>
    <n v="2"/>
    <n v="4"/>
    <n v="14"/>
    <n v="14"/>
    <n v="7"/>
    <n v="8"/>
    <n v="8"/>
    <n v="10"/>
    <n v="10"/>
    <n v="20"/>
    <n v="1"/>
    <n v="0"/>
    <n v="0"/>
    <n v="0"/>
    <n v="1"/>
    <n v="0"/>
    <n v="0"/>
    <n v="0"/>
    <n v="0"/>
    <n v="0"/>
    <n v="10"/>
    <n v="0"/>
    <n v="0"/>
    <n v="18"/>
    <n v="0.39891375261247841"/>
    <n v="1.6470421950744405"/>
    <n v="0.86371889657480871"/>
    <n v="1.1412401909344694"/>
    <n v="1.01056543769991"/>
    <n v="1.7597737514845315"/>
    <n v="1.8036836779953602"/>
  </r>
  <r>
    <n v="34"/>
    <n v="34"/>
    <s v="No"/>
    <n v="0"/>
    <s v="Travel_Rarely"/>
    <n v="0"/>
    <n v="1"/>
    <x v="1"/>
    <n v="1"/>
    <n v="0"/>
    <n v="1"/>
    <n v="1"/>
    <n v="5"/>
    <s v="Life Sciences"/>
    <n v="1"/>
    <n v="0"/>
    <n v="0"/>
    <n v="0"/>
    <n v="0"/>
    <n v="2"/>
    <s v="Male"/>
    <n v="0"/>
    <n v="42"/>
    <n v="3"/>
    <n v="1"/>
    <s v="Research Scientist"/>
    <n v="0"/>
    <n v="0"/>
    <n v="0"/>
    <n v="0"/>
    <n v="0"/>
    <n v="0"/>
    <n v="0"/>
    <n v="1"/>
    <n v="4"/>
    <s v="Married"/>
    <n v="0"/>
    <n v="1"/>
    <n v="2691"/>
    <n v="2691"/>
    <n v="1"/>
    <s v="No"/>
    <n v="0"/>
    <n v="12"/>
    <n v="3"/>
    <n v="4"/>
    <n v="1"/>
    <n v="10"/>
    <x v="1"/>
    <n v="4"/>
    <n v="2"/>
    <n v="10"/>
    <n v="10"/>
    <n v="9"/>
    <n v="8"/>
    <n v="8"/>
    <n v="8"/>
    <n v="8"/>
    <n v="8"/>
    <n v="0"/>
    <n v="1"/>
    <n v="0"/>
    <n v="0"/>
    <n v="0"/>
    <n v="0"/>
    <n v="1"/>
    <n v="0"/>
    <n v="0"/>
    <n v="8"/>
    <n v="0"/>
    <n v="0"/>
    <n v="10"/>
    <n v="0"/>
    <n v="0.80967848010036914"/>
    <n v="1.08652546240644"/>
    <n v="0.1644554352117841"/>
    <n v="0.48834154112957734"/>
    <n v="1.01056543769991"/>
    <n v="0.32005363845127444"/>
    <n v="1.8036836779953602"/>
  </r>
  <r>
    <n v="45"/>
    <n v="45"/>
    <s v="Yes"/>
    <n v="1"/>
    <s v="Travel_Frequently"/>
    <n v="1"/>
    <n v="0"/>
    <x v="0"/>
    <n v="0"/>
    <n v="1"/>
    <n v="26"/>
    <n v="26"/>
    <n v="4"/>
    <s v="Life Sciences"/>
    <n v="1"/>
    <n v="0"/>
    <n v="0"/>
    <n v="0"/>
    <n v="0"/>
    <n v="1"/>
    <s v="Female"/>
    <n v="1"/>
    <n v="100"/>
    <n v="3"/>
    <n v="2"/>
    <s v="Sales Executive"/>
    <n v="0"/>
    <n v="1"/>
    <n v="0"/>
    <n v="0"/>
    <n v="0"/>
    <n v="0"/>
    <n v="0"/>
    <n v="0"/>
    <n v="1"/>
    <s v="Married"/>
    <n v="0"/>
    <n v="1"/>
    <n v="4286"/>
    <n v="4286"/>
    <n v="2"/>
    <s v="No"/>
    <n v="0"/>
    <n v="14"/>
    <n v="3"/>
    <n v="4"/>
    <n v="2"/>
    <n v="5"/>
    <x v="7"/>
    <n v="4"/>
    <n v="3"/>
    <n v="1"/>
    <n v="1"/>
    <n v="1"/>
    <n v="0"/>
    <n v="0"/>
    <n v="0"/>
    <n v="0"/>
    <n v="0"/>
    <n v="0"/>
    <n v="0"/>
    <n v="0"/>
    <n v="1"/>
    <n v="0"/>
    <n v="0"/>
    <n v="1"/>
    <n v="0"/>
    <n v="0"/>
    <n v="0"/>
    <n v="0"/>
    <n v="0"/>
    <n v="0"/>
    <n v="5"/>
    <n v="0.4708903234787537"/>
    <n v="1.1555414682655611"/>
    <n v="0.80706439257840468"/>
    <n v="0.9806804209314296"/>
    <n v="2.0732409091797459"/>
    <n v="0.88405695572208698"/>
    <n v="0.67891464284095016"/>
  </r>
  <r>
    <n v="26"/>
    <n v="26"/>
    <s v="No"/>
    <n v="0"/>
    <s v="Travel_Rarely"/>
    <n v="0"/>
    <n v="1"/>
    <x v="1"/>
    <n v="1"/>
    <n v="0"/>
    <n v="6"/>
    <n v="6"/>
    <n v="3"/>
    <s v="Life Sciences"/>
    <n v="1"/>
    <n v="0"/>
    <n v="0"/>
    <n v="0"/>
    <n v="0"/>
    <n v="3"/>
    <s v="Female"/>
    <n v="1"/>
    <n v="71"/>
    <n v="3"/>
    <n v="1"/>
    <s v="Laboratory Technician"/>
    <n v="0"/>
    <n v="0"/>
    <n v="1"/>
    <n v="0"/>
    <n v="0"/>
    <n v="0"/>
    <n v="0"/>
    <n v="0"/>
    <n v="4"/>
    <s v="Married"/>
    <n v="0"/>
    <n v="1"/>
    <n v="2659"/>
    <n v="2659"/>
    <n v="1"/>
    <s v="Yes"/>
    <n v="1"/>
    <n v="13"/>
    <n v="3"/>
    <n v="3"/>
    <n v="1"/>
    <n v="3"/>
    <x v="8"/>
    <n v="2"/>
    <n v="3"/>
    <n v="3"/>
    <n v="3"/>
    <n v="2"/>
    <n v="0"/>
    <n v="0"/>
    <n v="2"/>
    <n v="2"/>
    <n v="2"/>
    <n v="0"/>
    <n v="1"/>
    <n v="0"/>
    <n v="0"/>
    <n v="0"/>
    <n v="0"/>
    <n v="0"/>
    <n v="1"/>
    <n v="0"/>
    <n v="2"/>
    <n v="0"/>
    <n v="0"/>
    <n v="3"/>
    <n v="0"/>
    <n v="0.81647548386958024"/>
    <n v="0.59502473559756086"/>
    <n v="1.0641079755250529"/>
    <n v="0.65423109602898355"/>
    <n v="0.39380416832397891"/>
    <n v="1.195770434213719"/>
    <n v="0.67891464284095016"/>
  </r>
  <r>
    <n v="37"/>
    <n v="37"/>
    <s v="No"/>
    <n v="0"/>
    <s v="Travel_Rarely"/>
    <n v="0"/>
    <n v="1"/>
    <x v="1"/>
    <n v="1"/>
    <n v="0"/>
    <n v="3"/>
    <n v="3"/>
    <n v="3"/>
    <s v="Other"/>
    <n v="0"/>
    <n v="1"/>
    <n v="0"/>
    <n v="0"/>
    <n v="0"/>
    <n v="3"/>
    <s v="Male"/>
    <n v="0"/>
    <n v="36"/>
    <n v="3"/>
    <n v="3"/>
    <s v="Manufacturing Director"/>
    <n v="0"/>
    <n v="0"/>
    <n v="0"/>
    <n v="0"/>
    <n v="1"/>
    <n v="1"/>
    <n v="0"/>
    <n v="0"/>
    <n v="3"/>
    <s v="Married"/>
    <n v="0"/>
    <n v="1"/>
    <n v="9434"/>
    <n v="9434"/>
    <n v="1"/>
    <s v="No"/>
    <n v="0"/>
    <n v="15"/>
    <n v="3"/>
    <n v="3"/>
    <n v="1"/>
    <n v="10"/>
    <x v="1"/>
    <n v="2"/>
    <n v="3"/>
    <n v="10"/>
    <n v="10"/>
    <n v="7"/>
    <n v="7"/>
    <n v="7"/>
    <n v="8"/>
    <n v="8"/>
    <n v="24"/>
    <n v="0"/>
    <n v="1"/>
    <n v="0"/>
    <n v="0"/>
    <n v="0"/>
    <n v="0"/>
    <n v="1"/>
    <n v="0"/>
    <n v="0"/>
    <n v="8"/>
    <n v="0"/>
    <n v="0"/>
    <n v="10"/>
    <n v="0"/>
    <n v="0.62257765789308095"/>
    <n v="1.08652546240644"/>
    <n v="0.1644554352117841"/>
    <n v="0.48834154112957734"/>
    <n v="0.76386092994953758"/>
    <n v="8.3401599596422994E-3"/>
    <n v="1.4933588878908215"/>
  </r>
  <r>
    <n v="29"/>
    <n v="29"/>
    <s v="No"/>
    <n v="0"/>
    <s v="Travel_Rarely"/>
    <n v="0"/>
    <n v="1"/>
    <x v="0"/>
    <n v="0"/>
    <n v="1"/>
    <n v="3"/>
    <n v="3"/>
    <n v="2"/>
    <s v="Medical"/>
    <n v="0"/>
    <n v="0"/>
    <n v="1"/>
    <n v="0"/>
    <n v="0"/>
    <n v="2"/>
    <s v="Female"/>
    <n v="1"/>
    <n v="62"/>
    <n v="3"/>
    <n v="2"/>
    <s v="Sales Executive"/>
    <n v="0"/>
    <n v="1"/>
    <n v="0"/>
    <n v="0"/>
    <n v="0"/>
    <n v="0"/>
    <n v="0"/>
    <n v="0"/>
    <n v="3"/>
    <s v="Married"/>
    <n v="0"/>
    <n v="1"/>
    <n v="5561"/>
    <n v="5561"/>
    <n v="1"/>
    <s v="No"/>
    <n v="0"/>
    <n v="14"/>
    <n v="3"/>
    <n v="1"/>
    <n v="1"/>
    <n v="6"/>
    <x v="3"/>
    <n v="5"/>
    <n v="2"/>
    <n v="6"/>
    <n v="6"/>
    <n v="0"/>
    <n v="1"/>
    <n v="1"/>
    <n v="2"/>
    <n v="2"/>
    <n v="4"/>
    <n v="0"/>
    <n v="1"/>
    <n v="0"/>
    <n v="0"/>
    <n v="0"/>
    <n v="0"/>
    <n v="1"/>
    <n v="0"/>
    <n v="0"/>
    <n v="0"/>
    <n v="2"/>
    <n v="0"/>
    <n v="0"/>
    <n v="6"/>
    <n v="0.20007220454924918"/>
    <n v="0.59502473559756086"/>
    <n v="0.67854260110508058"/>
    <n v="0.16455710867531462"/>
    <n v="0.76386092994953758"/>
    <n v="0.86737663580280233"/>
    <n v="0.36858985273641137"/>
  </r>
  <r>
    <n v="35"/>
    <n v="35"/>
    <s v="No"/>
    <n v="0"/>
    <s v="Travel_Rarely"/>
    <n v="0"/>
    <n v="1"/>
    <x v="1"/>
    <n v="1"/>
    <n v="0"/>
    <n v="6"/>
    <n v="6"/>
    <n v="4"/>
    <s v="Life Sciences"/>
    <n v="1"/>
    <n v="0"/>
    <n v="0"/>
    <n v="0"/>
    <n v="0"/>
    <n v="2"/>
    <s v="Male"/>
    <n v="0"/>
    <n v="82"/>
    <n v="1"/>
    <n v="2"/>
    <s v="Research Scientist"/>
    <n v="0"/>
    <n v="0"/>
    <n v="0"/>
    <n v="0"/>
    <n v="0"/>
    <n v="0"/>
    <n v="0"/>
    <n v="1"/>
    <n v="4"/>
    <s v="Single"/>
    <n v="1"/>
    <n v="0"/>
    <n v="6646"/>
    <n v="6646"/>
    <n v="1"/>
    <s v="No"/>
    <n v="0"/>
    <n v="13"/>
    <n v="3"/>
    <n v="2"/>
    <n v="0"/>
    <n v="17"/>
    <x v="6"/>
    <n v="3"/>
    <n v="3"/>
    <n v="17"/>
    <n v="17"/>
    <n v="11"/>
    <n v="11"/>
    <n v="11"/>
    <n v="8"/>
    <n v="8"/>
    <n v="16"/>
    <n v="1"/>
    <n v="0"/>
    <n v="0"/>
    <n v="0"/>
    <n v="1"/>
    <n v="0"/>
    <n v="0"/>
    <n v="0"/>
    <n v="0"/>
    <n v="8"/>
    <n v="0"/>
    <n v="0"/>
    <n v="17"/>
    <n v="0"/>
    <n v="3.0388704500564457E-2"/>
    <n v="1.08652546240644"/>
    <n v="0.73519710510148462"/>
    <n v="1.630914178288138"/>
    <n v="0.39380416832397891"/>
    <n v="0.21058903898096887"/>
    <n v="2.7346580483089769"/>
  </r>
  <r>
    <n v="33"/>
    <n v="33"/>
    <s v="No"/>
    <n v="0"/>
    <s v="Travel_Frequently"/>
    <n v="1"/>
    <n v="0"/>
    <x v="1"/>
    <n v="1"/>
    <n v="0"/>
    <n v="6"/>
    <n v="6"/>
    <n v="3"/>
    <s v="Life Sciences"/>
    <n v="1"/>
    <n v="0"/>
    <n v="0"/>
    <n v="0"/>
    <n v="0"/>
    <n v="3"/>
    <s v="Male"/>
    <n v="0"/>
    <n v="30"/>
    <n v="3"/>
    <n v="2"/>
    <s v="Healthcare Representative"/>
    <n v="1"/>
    <n v="0"/>
    <n v="0"/>
    <n v="0"/>
    <n v="0"/>
    <n v="0"/>
    <n v="0"/>
    <n v="0"/>
    <n v="4"/>
    <s v="Divorced"/>
    <n v="0"/>
    <n v="0"/>
    <n v="7725"/>
    <n v="7725"/>
    <n v="3"/>
    <s v="No"/>
    <n v="0"/>
    <n v="23"/>
    <n v="4"/>
    <n v="3"/>
    <n v="1"/>
    <n v="15"/>
    <x v="19"/>
    <n v="2"/>
    <n v="1"/>
    <n v="13"/>
    <n v="13"/>
    <n v="11"/>
    <n v="4"/>
    <n v="4"/>
    <n v="7"/>
    <n v="7"/>
    <n v="14"/>
    <n v="0"/>
    <n v="0"/>
    <n v="1"/>
    <n v="0"/>
    <n v="1"/>
    <n v="0"/>
    <n v="0"/>
    <n v="0"/>
    <n v="0"/>
    <n v="7"/>
    <n v="0"/>
    <n v="0"/>
    <n v="15"/>
    <n v="0"/>
    <n v="0.25957517534365099"/>
    <n v="0.80626709607243985"/>
    <n v="0.47815352215483642"/>
    <n v="0.97801552848324624"/>
    <n v="0.39380416832397891"/>
    <n v="0.42951823792158"/>
    <n v="0.56238451757720498"/>
  </r>
  <r>
    <n v="54"/>
    <n v="54"/>
    <s v="No"/>
    <n v="0"/>
    <s v="Travel_Rarely"/>
    <n v="0"/>
    <n v="1"/>
    <x v="2"/>
    <n v="0"/>
    <n v="0"/>
    <n v="19"/>
    <n v="19"/>
    <n v="4"/>
    <s v="Medical"/>
    <n v="0"/>
    <n v="0"/>
    <n v="1"/>
    <n v="0"/>
    <n v="0"/>
    <n v="3"/>
    <s v="Male"/>
    <n v="0"/>
    <n v="88"/>
    <n v="3"/>
    <n v="3"/>
    <s v="Human Resources"/>
    <n v="0"/>
    <n v="0"/>
    <n v="0"/>
    <n v="0"/>
    <n v="0"/>
    <n v="0"/>
    <n v="0"/>
    <n v="0"/>
    <n v="2"/>
    <s v="Married"/>
    <n v="0"/>
    <n v="1"/>
    <n v="10725"/>
    <n v="10725"/>
    <n v="2"/>
    <s v="No"/>
    <n v="0"/>
    <n v="15"/>
    <n v="3"/>
    <n v="3"/>
    <n v="1"/>
    <n v="16"/>
    <x v="27"/>
    <n v="1"/>
    <n v="4"/>
    <n v="9"/>
    <n v="9"/>
    <n v="7"/>
    <n v="7"/>
    <n v="7"/>
    <n v="1"/>
    <n v="1"/>
    <n v="3"/>
    <n v="0"/>
    <n v="1"/>
    <n v="0"/>
    <n v="0"/>
    <n v="0"/>
    <n v="0"/>
    <n v="1"/>
    <n v="0"/>
    <n v="1"/>
    <n v="0"/>
    <n v="0"/>
    <n v="16"/>
    <n v="0"/>
    <n v="0"/>
    <n v="0.89679427870719108"/>
    <n v="0.87528310193156111"/>
    <n v="0.60667531362816052"/>
    <n v="0.32511687867835437"/>
    <n v="1.2097751320534422"/>
    <n v="1.8692383509548371"/>
    <n v="1.4933588878908215"/>
  </r>
  <r>
    <n v="36"/>
    <n v="36"/>
    <s v="No"/>
    <n v="0"/>
    <s v="Travel_Rarely"/>
    <n v="0"/>
    <n v="1"/>
    <x v="1"/>
    <n v="1"/>
    <n v="0"/>
    <n v="9"/>
    <n v="9"/>
    <n v="2"/>
    <s v="Medical"/>
    <n v="0"/>
    <n v="0"/>
    <n v="1"/>
    <n v="0"/>
    <n v="0"/>
    <n v="2"/>
    <s v="Male"/>
    <n v="0"/>
    <n v="48"/>
    <n v="2"/>
    <n v="2"/>
    <s v="Manufacturing Director"/>
    <n v="0"/>
    <n v="0"/>
    <n v="0"/>
    <n v="0"/>
    <n v="1"/>
    <n v="1"/>
    <n v="0"/>
    <n v="0"/>
    <n v="2"/>
    <s v="Divorced"/>
    <n v="0"/>
    <n v="0"/>
    <n v="8847"/>
    <n v="8847"/>
    <n v="2"/>
    <s v="Yes"/>
    <n v="1"/>
    <n v="11"/>
    <n v="3"/>
    <n v="3"/>
    <n v="1"/>
    <n v="13"/>
    <x v="10"/>
    <n v="2"/>
    <n v="3"/>
    <n v="3"/>
    <n v="3"/>
    <n v="2"/>
    <n v="0"/>
    <n v="0"/>
    <n v="2"/>
    <n v="2"/>
    <n v="4"/>
    <n v="1"/>
    <n v="0"/>
    <n v="0"/>
    <n v="0"/>
    <n v="0"/>
    <n v="1"/>
    <n v="0"/>
    <n v="0"/>
    <n v="0"/>
    <n v="2"/>
    <n v="0"/>
    <n v="0"/>
    <n v="13"/>
    <n v="0"/>
    <n v="0.49789512000161495"/>
    <n v="0.59502473559756086"/>
    <n v="0.22110993920818819"/>
    <n v="0.65423109602898355"/>
    <n v="2.3747406698420157E-2"/>
    <n v="0.10112443951066327"/>
    <n v="0.67891464284095016"/>
  </r>
  <r>
    <n v="27"/>
    <n v="27"/>
    <s v="No"/>
    <n v="0"/>
    <s v="Travel_Rarely"/>
    <n v="0"/>
    <n v="1"/>
    <x v="1"/>
    <n v="1"/>
    <n v="0"/>
    <n v="3"/>
    <n v="3"/>
    <n v="4"/>
    <s v="Medical"/>
    <n v="0"/>
    <n v="0"/>
    <n v="1"/>
    <n v="0"/>
    <n v="0"/>
    <n v="1"/>
    <s v="Male"/>
    <n v="0"/>
    <n v="54"/>
    <n v="2"/>
    <n v="1"/>
    <s v="Research Scientist"/>
    <n v="0"/>
    <n v="0"/>
    <n v="0"/>
    <n v="0"/>
    <n v="0"/>
    <n v="0"/>
    <n v="0"/>
    <n v="1"/>
    <n v="4"/>
    <s v="Single"/>
    <n v="1"/>
    <n v="0"/>
    <n v="2045"/>
    <n v="2045"/>
    <n v="0"/>
    <s v="No"/>
    <n v="0"/>
    <n v="13"/>
    <n v="3"/>
    <n v="4"/>
    <n v="0"/>
    <n v="5"/>
    <x v="7"/>
    <n v="0"/>
    <n v="3"/>
    <n v="4"/>
    <n v="4"/>
    <n v="2"/>
    <n v="1"/>
    <n v="1"/>
    <n v="1"/>
    <n v="1"/>
    <n v="1"/>
    <n v="1"/>
    <n v="0"/>
    <n v="0"/>
    <n v="0"/>
    <n v="1"/>
    <n v="0"/>
    <n v="0"/>
    <n v="0"/>
    <n v="0"/>
    <n v="1"/>
    <n v="0"/>
    <n v="0"/>
    <n v="5"/>
    <n v="0"/>
    <n v="0.94689299369131807"/>
    <n v="0.87528310193156111"/>
    <n v="0.80706439257840468"/>
    <n v="0.49100643357776058"/>
    <n v="0.76386092994953758"/>
    <n v="1.0863058347434136"/>
    <n v="0.36858985273641137"/>
  </r>
  <r>
    <n v="20"/>
    <n v="20"/>
    <s v="Yes"/>
    <n v="1"/>
    <s v="Travel_Rarely"/>
    <n v="0"/>
    <n v="1"/>
    <x v="1"/>
    <n v="1"/>
    <n v="0"/>
    <n v="10"/>
    <n v="10"/>
    <n v="1"/>
    <s v="Medical"/>
    <n v="0"/>
    <n v="0"/>
    <n v="1"/>
    <n v="0"/>
    <n v="0"/>
    <n v="4"/>
    <s v="Male"/>
    <n v="0"/>
    <n v="32"/>
    <n v="3"/>
    <n v="1"/>
    <s v="Research Scientist"/>
    <n v="0"/>
    <n v="0"/>
    <n v="0"/>
    <n v="0"/>
    <n v="0"/>
    <n v="0"/>
    <n v="0"/>
    <n v="1"/>
    <n v="3"/>
    <s v="Single"/>
    <n v="1"/>
    <n v="0"/>
    <n v="1009"/>
    <n v="1382.46"/>
    <n v="1"/>
    <s v="Yes"/>
    <n v="1"/>
    <n v="11"/>
    <n v="3"/>
    <n v="4"/>
    <n v="0"/>
    <n v="1"/>
    <x v="5"/>
    <n v="5"/>
    <n v="3"/>
    <n v="1"/>
    <n v="1"/>
    <n v="0"/>
    <n v="1"/>
    <n v="1"/>
    <n v="1"/>
    <n v="1"/>
    <n v="1"/>
    <n v="1"/>
    <n v="0"/>
    <n v="0"/>
    <n v="0"/>
    <n v="0"/>
    <n v="1"/>
    <n v="0"/>
    <n v="0"/>
    <n v="0"/>
    <n v="1"/>
    <n v="0"/>
    <n v="0"/>
    <n v="1"/>
    <n v="0"/>
    <n v="1.1669459907195272"/>
    <n v="0.87528310193156111"/>
    <n v="1.3211515584717011"/>
    <n v="0.9806804209314296"/>
    <n v="9.9604847176766084E-2"/>
    <n v="1.8525580310355525"/>
    <n v="0.36858985273641137"/>
  </r>
  <r>
    <n v="33"/>
    <n v="33"/>
    <s v="Yes"/>
    <n v="1"/>
    <s v="Travel_Frequently"/>
    <n v="1"/>
    <n v="0"/>
    <x v="1"/>
    <n v="1"/>
    <n v="0"/>
    <n v="3"/>
    <n v="3"/>
    <n v="3"/>
    <s v="Life Sciences"/>
    <n v="1"/>
    <n v="0"/>
    <n v="0"/>
    <n v="0"/>
    <n v="0"/>
    <n v="1"/>
    <s v="Male"/>
    <n v="0"/>
    <n v="70"/>
    <n v="3"/>
    <n v="1"/>
    <s v="Research Scientist"/>
    <n v="0"/>
    <n v="0"/>
    <n v="0"/>
    <n v="0"/>
    <n v="0"/>
    <n v="0"/>
    <n v="0"/>
    <n v="1"/>
    <n v="1"/>
    <s v="Single"/>
    <n v="1"/>
    <n v="0"/>
    <n v="3348"/>
    <n v="3348"/>
    <n v="1"/>
    <s v="Yes"/>
    <n v="1"/>
    <n v="11"/>
    <n v="3"/>
    <n v="1"/>
    <n v="0"/>
    <n v="10"/>
    <x v="1"/>
    <n v="3"/>
    <n v="3"/>
    <n v="10"/>
    <n v="10"/>
    <n v="8"/>
    <n v="9"/>
    <n v="9"/>
    <n v="7"/>
    <n v="7"/>
    <n v="7"/>
    <n v="0"/>
    <n v="0"/>
    <n v="1"/>
    <n v="0"/>
    <n v="0"/>
    <n v="1"/>
    <n v="0"/>
    <n v="0"/>
    <n v="0"/>
    <n v="7"/>
    <n v="0"/>
    <n v="0"/>
    <n v="10"/>
    <n v="0"/>
    <n v="0.67012749646375391"/>
    <n v="0.80626709607243985"/>
    <n v="0.1644554352117841"/>
    <n v="0.48834154112957734"/>
    <n v="0.76386092994953758"/>
    <n v="0.42951823792158"/>
    <n v="2.114008468099899"/>
  </r>
  <r>
    <n v="35"/>
    <n v="35"/>
    <s v="No"/>
    <n v="0"/>
    <s v="Non-Travel"/>
    <n v="0"/>
    <n v="0"/>
    <x v="1"/>
    <n v="1"/>
    <n v="0"/>
    <n v="3"/>
    <n v="3"/>
    <n v="3"/>
    <s v="Life Sciences"/>
    <n v="1"/>
    <n v="0"/>
    <n v="0"/>
    <n v="0"/>
    <n v="0"/>
    <n v="3"/>
    <s v="Male"/>
    <n v="0"/>
    <n v="41"/>
    <n v="2"/>
    <n v="1"/>
    <s v="Laboratory Technician"/>
    <n v="0"/>
    <n v="0"/>
    <n v="1"/>
    <n v="0"/>
    <n v="0"/>
    <n v="0"/>
    <n v="0"/>
    <n v="0"/>
    <n v="3"/>
    <s v="Married"/>
    <n v="0"/>
    <n v="1"/>
    <n v="1281"/>
    <n v="1382.46"/>
    <n v="1"/>
    <s v="No"/>
    <n v="0"/>
    <n v="18"/>
    <n v="3"/>
    <n v="3"/>
    <n v="2"/>
    <n v="1"/>
    <x v="5"/>
    <n v="3"/>
    <n v="3"/>
    <n v="1"/>
    <n v="1"/>
    <n v="0"/>
    <n v="0"/>
    <n v="0"/>
    <n v="0"/>
    <n v="0"/>
    <n v="0"/>
    <n v="0"/>
    <n v="1"/>
    <n v="0"/>
    <n v="0"/>
    <n v="0"/>
    <n v="0"/>
    <n v="1"/>
    <n v="0"/>
    <n v="0"/>
    <n v="0"/>
    <n v="0"/>
    <n v="0"/>
    <n v="1"/>
    <n v="0"/>
    <n v="1.1091714586812329"/>
    <n v="1.1555414682655611"/>
    <n v="1.3211515584717011"/>
    <n v="0.9806804209314296"/>
    <n v="0.76386092994953758"/>
    <n v="0.21058903898096887"/>
    <n v="0.67891464284095016"/>
  </r>
  <r>
    <n v="23"/>
    <n v="23"/>
    <s v="No"/>
    <n v="0"/>
    <s v="Travel_Rarely"/>
    <n v="0"/>
    <n v="1"/>
    <x v="1"/>
    <n v="1"/>
    <n v="0"/>
    <n v="4"/>
    <n v="4"/>
    <n v="3"/>
    <s v="Medical"/>
    <n v="0"/>
    <n v="0"/>
    <n v="1"/>
    <n v="0"/>
    <n v="0"/>
    <n v="1"/>
    <s v="Male"/>
    <n v="0"/>
    <n v="58"/>
    <n v="4"/>
    <n v="1"/>
    <s v="Research Scientist"/>
    <n v="0"/>
    <n v="0"/>
    <n v="0"/>
    <n v="0"/>
    <n v="0"/>
    <n v="0"/>
    <n v="0"/>
    <n v="1"/>
    <n v="1"/>
    <s v="Married"/>
    <n v="0"/>
    <n v="1"/>
    <n v="2819"/>
    <n v="2819"/>
    <n v="2"/>
    <s v="No"/>
    <n v="0"/>
    <n v="16"/>
    <n v="3"/>
    <n v="1"/>
    <n v="1"/>
    <n v="5"/>
    <x v="7"/>
    <n v="3"/>
    <n v="4"/>
    <n v="3"/>
    <n v="3"/>
    <n v="2"/>
    <n v="0"/>
    <n v="0"/>
    <n v="2"/>
    <n v="2"/>
    <n v="2"/>
    <n v="0"/>
    <n v="1"/>
    <n v="0"/>
    <n v="0"/>
    <n v="0"/>
    <n v="0"/>
    <n v="1"/>
    <n v="0"/>
    <n v="0"/>
    <n v="2"/>
    <n v="0"/>
    <n v="0"/>
    <n v="5"/>
    <n v="0"/>
    <n v="0.78249046502352471"/>
    <n v="0.59502473559756086"/>
    <n v="0.80706439257840468"/>
    <n v="0.65423109602898355"/>
    <n v="0.64050867607435136"/>
    <n v="1.5241642326246359"/>
    <n v="0.67891464284095016"/>
  </r>
  <r>
    <n v="25"/>
    <n v="25"/>
    <s v="No"/>
    <n v="0"/>
    <s v="Travel_Rarely"/>
    <n v="0"/>
    <n v="1"/>
    <x v="0"/>
    <n v="0"/>
    <n v="1"/>
    <n v="8"/>
    <n v="8"/>
    <n v="3"/>
    <s v="Life Sciences"/>
    <n v="1"/>
    <n v="0"/>
    <n v="0"/>
    <n v="0"/>
    <n v="0"/>
    <n v="4"/>
    <s v="Male"/>
    <n v="0"/>
    <n v="57"/>
    <n v="4"/>
    <n v="2"/>
    <s v="Sales Executive"/>
    <n v="0"/>
    <n v="1"/>
    <n v="0"/>
    <n v="0"/>
    <n v="0"/>
    <n v="0"/>
    <n v="0"/>
    <n v="0"/>
    <n v="2"/>
    <s v="Married"/>
    <n v="0"/>
    <n v="1"/>
    <n v="4851"/>
    <n v="4851"/>
    <n v="0"/>
    <s v="No"/>
    <n v="0"/>
    <n v="22"/>
    <n v="4"/>
    <n v="3"/>
    <n v="1"/>
    <n v="4"/>
    <x v="20"/>
    <n v="4"/>
    <n v="3"/>
    <n v="3"/>
    <n v="3"/>
    <n v="2"/>
    <n v="1"/>
    <n v="1"/>
    <n v="2"/>
    <n v="2"/>
    <n v="4"/>
    <n v="0"/>
    <n v="1"/>
    <n v="0"/>
    <n v="0"/>
    <n v="0"/>
    <n v="0"/>
    <n v="1"/>
    <n v="0"/>
    <n v="0"/>
    <n v="0"/>
    <n v="2"/>
    <n v="0"/>
    <n v="0"/>
    <n v="4"/>
    <n v="0.35088072567862033"/>
    <n v="0.59502473559756086"/>
    <n v="0.93558618405172878"/>
    <n v="0.65423109602898355"/>
    <n v="0.14709966057360641"/>
    <n v="1.3052350336840246"/>
    <n v="0.36858985273641137"/>
  </r>
  <r>
    <n v="38"/>
    <n v="38"/>
    <s v="No"/>
    <n v="0"/>
    <s v="Travel_Rarely"/>
    <n v="0"/>
    <n v="1"/>
    <x v="0"/>
    <n v="0"/>
    <n v="1"/>
    <n v="7"/>
    <n v="7"/>
    <n v="4"/>
    <s v="Marketing"/>
    <n v="0"/>
    <n v="0"/>
    <n v="0"/>
    <n v="1"/>
    <n v="0"/>
    <n v="4"/>
    <s v="Female"/>
    <n v="1"/>
    <n v="46"/>
    <n v="2"/>
    <n v="2"/>
    <s v="Sales Executive"/>
    <n v="0"/>
    <n v="1"/>
    <n v="0"/>
    <n v="0"/>
    <n v="0"/>
    <n v="0"/>
    <n v="0"/>
    <n v="0"/>
    <n v="4"/>
    <s v="Single"/>
    <n v="1"/>
    <n v="0"/>
    <n v="4028"/>
    <n v="4028"/>
    <n v="0"/>
    <s v="No"/>
    <n v="0"/>
    <n v="20"/>
    <n v="4"/>
    <n v="1"/>
    <n v="0"/>
    <n v="8"/>
    <x v="0"/>
    <n v="2"/>
    <n v="3"/>
    <n v="7"/>
    <n v="7"/>
    <n v="7"/>
    <n v="0"/>
    <n v="0"/>
    <n v="5"/>
    <n v="5"/>
    <n v="10"/>
    <n v="1"/>
    <n v="0"/>
    <n v="0"/>
    <n v="0"/>
    <n v="1"/>
    <n v="0"/>
    <n v="0"/>
    <n v="0"/>
    <n v="0"/>
    <n v="0"/>
    <n v="5"/>
    <n v="0"/>
    <n v="0"/>
    <n v="8"/>
    <n v="0.52569116636801816"/>
    <n v="0.24575036340443959"/>
    <n v="0.42149901815843233"/>
    <n v="1.3324462240916321E-3"/>
    <n v="0.27045191444879263"/>
    <n v="0.11780475942994788"/>
    <n v="0.67891464284095016"/>
  </r>
  <r>
    <n v="29"/>
    <n v="29"/>
    <s v="No"/>
    <n v="0"/>
    <s v="Travel_Frequently"/>
    <n v="1"/>
    <n v="0"/>
    <x v="1"/>
    <n v="1"/>
    <n v="0"/>
    <n v="1"/>
    <n v="1"/>
    <n v="4"/>
    <s v="Life Sciences"/>
    <n v="1"/>
    <n v="0"/>
    <n v="0"/>
    <n v="0"/>
    <n v="0"/>
    <n v="2"/>
    <s v="Male"/>
    <n v="0"/>
    <n v="76"/>
    <n v="1"/>
    <n v="1"/>
    <s v="Research Scientist"/>
    <n v="0"/>
    <n v="0"/>
    <n v="0"/>
    <n v="0"/>
    <n v="0"/>
    <n v="0"/>
    <n v="0"/>
    <n v="1"/>
    <n v="4"/>
    <s v="Divorced"/>
    <n v="0"/>
    <n v="0"/>
    <n v="2720"/>
    <n v="2720"/>
    <n v="1"/>
    <s v="No"/>
    <n v="0"/>
    <n v="18"/>
    <n v="3"/>
    <n v="4"/>
    <n v="1"/>
    <n v="10"/>
    <x v="1"/>
    <n v="5"/>
    <n v="3"/>
    <n v="10"/>
    <n v="10"/>
    <n v="7"/>
    <n v="2"/>
    <n v="2"/>
    <n v="8"/>
    <n v="8"/>
    <n v="8"/>
    <n v="0"/>
    <n v="0"/>
    <n v="1"/>
    <n v="0"/>
    <n v="1"/>
    <n v="0"/>
    <n v="0"/>
    <n v="0"/>
    <n v="0"/>
    <n v="8"/>
    <n v="0"/>
    <n v="0"/>
    <n v="10"/>
    <n v="0"/>
    <n v="0.80351869543452159"/>
    <n v="1.08652546240644"/>
    <n v="0.1644554352117841"/>
    <n v="0.48834154112957734"/>
    <n v="1.01056543769991"/>
    <n v="0.86737663580280233"/>
    <n v="5.8265062631872602E-2"/>
  </r>
  <r>
    <n v="48"/>
    <n v="48"/>
    <s v="No"/>
    <n v="0"/>
    <s v="Travel_Rarely"/>
    <n v="0"/>
    <n v="1"/>
    <x v="0"/>
    <n v="0"/>
    <n v="1"/>
    <n v="2"/>
    <n v="2"/>
    <n v="1"/>
    <s v="Marketing"/>
    <n v="0"/>
    <n v="0"/>
    <n v="0"/>
    <n v="1"/>
    <n v="0"/>
    <n v="2"/>
    <s v="Male"/>
    <n v="0"/>
    <n v="56"/>
    <n v="4"/>
    <n v="2"/>
    <s v="Sales Executive"/>
    <n v="0"/>
    <n v="1"/>
    <n v="0"/>
    <n v="0"/>
    <n v="0"/>
    <n v="0"/>
    <n v="0"/>
    <n v="0"/>
    <n v="2"/>
    <s v="Married"/>
    <n v="0"/>
    <n v="1"/>
    <n v="8120"/>
    <n v="8120"/>
    <n v="3"/>
    <s v="No"/>
    <n v="0"/>
    <n v="12"/>
    <n v="3"/>
    <n v="4"/>
    <n v="0"/>
    <n v="12"/>
    <x v="4"/>
    <n v="3"/>
    <n v="3"/>
    <n v="2"/>
    <n v="2"/>
    <n v="2"/>
    <n v="2"/>
    <n v="2"/>
    <n v="2"/>
    <n v="2"/>
    <n v="4"/>
    <n v="0"/>
    <n v="1"/>
    <n v="0"/>
    <n v="0"/>
    <n v="0"/>
    <n v="0"/>
    <n v="1"/>
    <n v="0"/>
    <n v="0"/>
    <n v="0"/>
    <n v="2"/>
    <n v="0"/>
    <n v="0"/>
    <n v="12"/>
    <n v="0.34347569061985045"/>
    <n v="0.59502473559756086"/>
    <n v="9.2588147734864096E-2"/>
    <n v="0.81745575848020657"/>
    <n v="0.88721318382472392"/>
    <n v="1.2124507541330036"/>
    <n v="5.8265062631872602E-2"/>
  </r>
  <r>
    <n v="27"/>
    <n v="27"/>
    <s v="No"/>
    <n v="0"/>
    <s v="Travel_Frequently"/>
    <n v="1"/>
    <n v="0"/>
    <x v="0"/>
    <n v="0"/>
    <n v="1"/>
    <n v="3"/>
    <n v="3"/>
    <n v="1"/>
    <s v="Medical"/>
    <n v="0"/>
    <n v="0"/>
    <n v="1"/>
    <n v="0"/>
    <n v="0"/>
    <n v="4"/>
    <s v="Female"/>
    <n v="1"/>
    <n v="71"/>
    <n v="4"/>
    <n v="2"/>
    <s v="Sales Executive"/>
    <n v="0"/>
    <n v="1"/>
    <n v="0"/>
    <n v="0"/>
    <n v="0"/>
    <n v="0"/>
    <n v="0"/>
    <n v="0"/>
    <n v="4"/>
    <s v="Divorced"/>
    <n v="0"/>
    <n v="0"/>
    <n v="4647"/>
    <n v="4647"/>
    <n v="1"/>
    <s v="Yes"/>
    <n v="1"/>
    <n v="20"/>
    <n v="4"/>
    <n v="2"/>
    <n v="2"/>
    <n v="6"/>
    <x v="3"/>
    <n v="3"/>
    <n v="3"/>
    <n v="6"/>
    <n v="6"/>
    <n v="5"/>
    <n v="0"/>
    <n v="0"/>
    <n v="4"/>
    <n v="4"/>
    <n v="8"/>
    <n v="0"/>
    <n v="0"/>
    <n v="1"/>
    <n v="0"/>
    <n v="0"/>
    <n v="1"/>
    <n v="0"/>
    <n v="0"/>
    <n v="0"/>
    <n v="0"/>
    <n v="4"/>
    <n v="0"/>
    <n v="0"/>
    <n v="6"/>
    <n v="0.39421162470734106"/>
    <n v="3.4508002929560584E-2"/>
    <n v="0.67854260110508058"/>
    <n v="0.16455710867531462"/>
    <n v="0.76386092994953758"/>
    <n v="1.0863058347434136"/>
    <n v="0.67891464284095016"/>
  </r>
  <r>
    <n v="37"/>
    <n v="37"/>
    <s v="No"/>
    <n v="0"/>
    <s v="Travel_Rarely"/>
    <n v="0"/>
    <n v="1"/>
    <x v="1"/>
    <n v="1"/>
    <n v="0"/>
    <n v="10"/>
    <n v="10"/>
    <n v="2"/>
    <s v="Life Sciences"/>
    <n v="1"/>
    <n v="0"/>
    <n v="0"/>
    <n v="0"/>
    <n v="0"/>
    <n v="4"/>
    <s v="Male"/>
    <n v="0"/>
    <n v="80"/>
    <n v="4"/>
    <n v="1"/>
    <s v="Research Scientist"/>
    <n v="0"/>
    <n v="0"/>
    <n v="0"/>
    <n v="0"/>
    <n v="0"/>
    <n v="0"/>
    <n v="0"/>
    <n v="1"/>
    <n v="4"/>
    <s v="Single"/>
    <n v="1"/>
    <n v="0"/>
    <n v="4680"/>
    <n v="4680"/>
    <n v="3"/>
    <s v="No"/>
    <n v="0"/>
    <n v="17"/>
    <n v="3"/>
    <n v="1"/>
    <n v="0"/>
    <n v="4"/>
    <x v="20"/>
    <n v="2"/>
    <n v="3"/>
    <n v="1"/>
    <n v="1"/>
    <n v="0"/>
    <n v="0"/>
    <n v="0"/>
    <n v="0"/>
    <n v="0"/>
    <n v="0"/>
    <n v="1"/>
    <n v="0"/>
    <n v="0"/>
    <n v="0"/>
    <n v="1"/>
    <n v="0"/>
    <n v="0"/>
    <n v="0"/>
    <n v="0"/>
    <n v="0"/>
    <n v="0"/>
    <n v="0"/>
    <n v="4"/>
    <n v="0"/>
    <n v="0.3872022145703421"/>
    <n v="1.1555414682655611"/>
    <n v="0.93558618405172878"/>
    <n v="0.9806804209314296"/>
    <n v="9.9604847176766084E-2"/>
    <n v="8.3401599596422994E-3"/>
    <n v="0.67891464284095016"/>
  </r>
  <r>
    <n v="50"/>
    <n v="50"/>
    <s v="No"/>
    <n v="0"/>
    <s v="Travel_Rarely"/>
    <n v="0"/>
    <n v="1"/>
    <x v="1"/>
    <n v="1"/>
    <n v="0"/>
    <n v="28"/>
    <n v="28"/>
    <n v="1"/>
    <s v="Medical"/>
    <n v="0"/>
    <n v="0"/>
    <n v="1"/>
    <n v="0"/>
    <n v="0"/>
    <n v="4"/>
    <s v="Male"/>
    <n v="0"/>
    <n v="74"/>
    <n v="4"/>
    <n v="1"/>
    <s v="Laboratory Technician"/>
    <n v="0"/>
    <n v="0"/>
    <n v="1"/>
    <n v="0"/>
    <n v="0"/>
    <n v="0"/>
    <n v="0"/>
    <n v="0"/>
    <n v="3"/>
    <s v="Married"/>
    <n v="0"/>
    <n v="1"/>
    <n v="3221"/>
    <n v="3221"/>
    <n v="1"/>
    <s v="Yes"/>
    <n v="1"/>
    <n v="11"/>
    <n v="3"/>
    <n v="3"/>
    <n v="3"/>
    <n v="20"/>
    <x v="25"/>
    <n v="3"/>
    <n v="3"/>
    <n v="20"/>
    <n v="20"/>
    <n v="8"/>
    <n v="3"/>
    <n v="3"/>
    <n v="8"/>
    <n v="8"/>
    <n v="8"/>
    <n v="0"/>
    <n v="1"/>
    <n v="0"/>
    <n v="0"/>
    <n v="0"/>
    <n v="0"/>
    <n v="0"/>
    <n v="1"/>
    <n v="0"/>
    <n v="8"/>
    <n v="0"/>
    <n v="0"/>
    <n v="20"/>
    <n v="0"/>
    <n v="0.69710310517281038"/>
    <n v="1.08652546240644"/>
    <n v="1.120762479521457"/>
    <n v="2.1205881656418071"/>
    <n v="2.3199454169301186"/>
    <n v="1.4313799530736149"/>
    <n v="0.2520597274726662"/>
  </r>
  <r>
    <n v="34"/>
    <n v="34"/>
    <s v="No"/>
    <n v="0"/>
    <s v="Travel_Rarely"/>
    <n v="0"/>
    <n v="1"/>
    <x v="1"/>
    <n v="1"/>
    <n v="0"/>
    <n v="9"/>
    <n v="9"/>
    <n v="3"/>
    <s v="Medical"/>
    <n v="0"/>
    <n v="0"/>
    <n v="1"/>
    <n v="0"/>
    <n v="0"/>
    <n v="4"/>
    <s v="Female"/>
    <n v="1"/>
    <n v="46"/>
    <n v="2"/>
    <n v="3"/>
    <s v="Healthcare Representative"/>
    <n v="1"/>
    <n v="0"/>
    <n v="0"/>
    <n v="0"/>
    <n v="0"/>
    <n v="0"/>
    <n v="0"/>
    <n v="0"/>
    <n v="2"/>
    <s v="Single"/>
    <n v="1"/>
    <n v="0"/>
    <n v="8621"/>
    <n v="8621"/>
    <n v="1"/>
    <s v="No"/>
    <n v="0"/>
    <n v="14"/>
    <n v="3"/>
    <n v="2"/>
    <n v="0"/>
    <n v="9"/>
    <x v="14"/>
    <n v="3"/>
    <n v="4"/>
    <n v="8"/>
    <n v="8"/>
    <n v="7"/>
    <n v="7"/>
    <n v="7"/>
    <n v="7"/>
    <n v="7"/>
    <n v="21"/>
    <n v="1"/>
    <n v="0"/>
    <n v="0"/>
    <n v="0"/>
    <n v="1"/>
    <n v="0"/>
    <n v="0"/>
    <n v="0"/>
    <n v="0"/>
    <n v="7"/>
    <n v="0"/>
    <n v="0"/>
    <n v="9"/>
    <n v="0"/>
    <n v="0.44989128088156161"/>
    <n v="0.80626709607243985"/>
    <n v="0.29297722668510823"/>
    <n v="0.16189221622713135"/>
    <n v="2.3747406698420157E-2"/>
    <n v="0.32005363845127444"/>
    <n v="1.4933588878908215"/>
  </r>
  <r>
    <n v="24"/>
    <n v="24"/>
    <s v="Yes"/>
    <n v="1"/>
    <s v="Travel_Rarely"/>
    <n v="0"/>
    <n v="1"/>
    <x v="0"/>
    <n v="0"/>
    <n v="1"/>
    <n v="3"/>
    <n v="3"/>
    <n v="2"/>
    <s v="Life Sciences"/>
    <n v="1"/>
    <n v="0"/>
    <n v="0"/>
    <n v="0"/>
    <n v="0"/>
    <n v="1"/>
    <s v="Female"/>
    <n v="1"/>
    <n v="65"/>
    <n v="3"/>
    <n v="2"/>
    <s v="Sales Executive"/>
    <n v="0"/>
    <n v="1"/>
    <n v="0"/>
    <n v="0"/>
    <n v="0"/>
    <n v="0"/>
    <n v="0"/>
    <n v="0"/>
    <n v="3"/>
    <s v="Single"/>
    <n v="1"/>
    <n v="0"/>
    <n v="4577"/>
    <n v="4577"/>
    <n v="9"/>
    <s v="No"/>
    <n v="0"/>
    <n v="14"/>
    <n v="3"/>
    <n v="1"/>
    <n v="0"/>
    <n v="4"/>
    <x v="20"/>
    <n v="3"/>
    <n v="3"/>
    <n v="2"/>
    <n v="2"/>
    <n v="2"/>
    <n v="2"/>
    <n v="2"/>
    <n v="0"/>
    <n v="0"/>
    <n v="0"/>
    <n v="1"/>
    <n v="0"/>
    <n v="0"/>
    <n v="0"/>
    <n v="1"/>
    <n v="0"/>
    <n v="0"/>
    <n v="0"/>
    <n v="0"/>
    <n v="0"/>
    <n v="0"/>
    <n v="0"/>
    <n v="0"/>
    <n v="4"/>
    <n v="0.40908007045249029"/>
    <n v="1.1555414682655611"/>
    <n v="0.93558618405172878"/>
    <n v="0.81745575848020657"/>
    <n v="0.76386092994953758"/>
    <n v="1.4146996331543302"/>
    <n v="5.8265062631872602E-2"/>
  </r>
  <r>
    <n v="39"/>
    <n v="39"/>
    <s v="No"/>
    <n v="0"/>
    <s v="Travel_Rarely"/>
    <n v="0"/>
    <n v="1"/>
    <x v="1"/>
    <n v="1"/>
    <n v="0"/>
    <n v="2"/>
    <n v="2"/>
    <n v="4"/>
    <s v="Technical Degree"/>
    <n v="0"/>
    <n v="0"/>
    <n v="0"/>
    <n v="0"/>
    <n v="1"/>
    <n v="4"/>
    <s v="Female"/>
    <n v="1"/>
    <n v="80"/>
    <n v="2"/>
    <n v="2"/>
    <s v="Healthcare Representative"/>
    <n v="1"/>
    <n v="0"/>
    <n v="0"/>
    <n v="0"/>
    <n v="0"/>
    <n v="0"/>
    <n v="0"/>
    <n v="0"/>
    <n v="3"/>
    <s v="Single"/>
    <n v="1"/>
    <n v="0"/>
    <n v="4553"/>
    <n v="4553"/>
    <n v="1"/>
    <s v="No"/>
    <n v="0"/>
    <n v="11"/>
    <n v="3"/>
    <n v="1"/>
    <n v="0"/>
    <n v="20"/>
    <x v="25"/>
    <n v="4"/>
    <n v="3"/>
    <n v="20"/>
    <n v="20"/>
    <n v="7"/>
    <n v="11"/>
    <n v="11"/>
    <n v="10"/>
    <n v="10"/>
    <n v="20"/>
    <n v="1"/>
    <n v="0"/>
    <n v="0"/>
    <n v="0"/>
    <n v="1"/>
    <n v="0"/>
    <n v="0"/>
    <n v="0"/>
    <n v="0"/>
    <n v="10"/>
    <n v="0"/>
    <n v="0"/>
    <n v="20"/>
    <n v="0"/>
    <n v="0.41417782327939862"/>
    <n v="1.6470421950744405"/>
    <n v="1.120762479521457"/>
    <n v="2.1205881656418071"/>
    <n v="0.88721318382472392"/>
    <n v="0.22726935890025346"/>
    <n v="2.7346580483089769"/>
  </r>
  <r>
    <n v="32"/>
    <n v="32"/>
    <s v="No"/>
    <n v="0"/>
    <s v="Travel_Rarely"/>
    <n v="0"/>
    <n v="1"/>
    <x v="0"/>
    <n v="0"/>
    <n v="1"/>
    <n v="10"/>
    <n v="10"/>
    <n v="3"/>
    <s v="Marketing"/>
    <n v="0"/>
    <n v="0"/>
    <n v="0"/>
    <n v="1"/>
    <n v="0"/>
    <n v="4"/>
    <s v="Male"/>
    <n v="0"/>
    <n v="55"/>
    <n v="3"/>
    <n v="2"/>
    <s v="Sales Executive"/>
    <n v="0"/>
    <n v="1"/>
    <n v="0"/>
    <n v="0"/>
    <n v="0"/>
    <n v="0"/>
    <n v="0"/>
    <n v="0"/>
    <n v="4"/>
    <s v="Single"/>
    <n v="1"/>
    <n v="0"/>
    <n v="5396"/>
    <n v="5396"/>
    <n v="1"/>
    <s v="No"/>
    <n v="0"/>
    <n v="12"/>
    <n v="3"/>
    <n v="4"/>
    <n v="0"/>
    <n v="10"/>
    <x v="1"/>
    <n v="2"/>
    <n v="2"/>
    <n v="10"/>
    <n v="10"/>
    <n v="7"/>
    <n v="0"/>
    <n v="0"/>
    <n v="8"/>
    <n v="8"/>
    <n v="16"/>
    <n v="1"/>
    <n v="0"/>
    <n v="0"/>
    <n v="0"/>
    <n v="1"/>
    <n v="0"/>
    <n v="0"/>
    <n v="0"/>
    <n v="0"/>
    <n v="0"/>
    <n v="8"/>
    <n v="0"/>
    <n v="0"/>
    <n v="10"/>
    <n v="0.23511925523424387"/>
    <n v="1.08652546240644"/>
    <n v="0.1644554352117841"/>
    <n v="0.48834154112957734"/>
    <n v="9.9604847176766084E-2"/>
    <n v="0.53898283739188557"/>
    <n v="0.67891464284095016"/>
  </r>
  <r>
    <n v="50"/>
    <n v="50"/>
    <s v="Yes"/>
    <n v="1"/>
    <s v="Travel_Frequently"/>
    <n v="1"/>
    <n v="0"/>
    <x v="0"/>
    <n v="0"/>
    <n v="1"/>
    <n v="8"/>
    <n v="8"/>
    <n v="2"/>
    <s v="Technical Degree"/>
    <n v="0"/>
    <n v="0"/>
    <n v="0"/>
    <n v="0"/>
    <n v="1"/>
    <n v="2"/>
    <s v="Male"/>
    <n v="0"/>
    <n v="50"/>
    <n v="3"/>
    <n v="2"/>
    <s v="Sales Executive"/>
    <n v="0"/>
    <n v="1"/>
    <n v="0"/>
    <n v="0"/>
    <n v="0"/>
    <n v="0"/>
    <n v="0"/>
    <n v="0"/>
    <n v="3"/>
    <s v="Married"/>
    <n v="0"/>
    <n v="1"/>
    <n v="6796"/>
    <n v="6796"/>
    <n v="3"/>
    <s v="Yes"/>
    <n v="1"/>
    <n v="14"/>
    <n v="3"/>
    <n v="1"/>
    <n v="1"/>
    <n v="18"/>
    <x v="30"/>
    <n v="4"/>
    <n v="3"/>
    <n v="4"/>
    <n v="4"/>
    <n v="3"/>
    <n v="1"/>
    <n v="1"/>
    <n v="3"/>
    <n v="3"/>
    <n v="6"/>
    <n v="0"/>
    <n v="0"/>
    <n v="0"/>
    <n v="1"/>
    <n v="0"/>
    <n v="0"/>
    <n v="0"/>
    <n v="1"/>
    <n v="0"/>
    <n v="0"/>
    <n v="3"/>
    <n v="0"/>
    <n v="0"/>
    <n v="18"/>
    <n v="6.2249659668741457E-2"/>
    <n v="0.31476636926356072"/>
    <n v="0.86371889657480871"/>
    <n v="0.49100643357776058"/>
    <n v="0.14709966057360641"/>
    <n v="1.4313799530736149"/>
    <n v="0.36858985273641137"/>
  </r>
  <r>
    <n v="38"/>
    <n v="38"/>
    <s v="No"/>
    <n v="0"/>
    <s v="Travel_Rarely"/>
    <n v="0"/>
    <n v="1"/>
    <x v="1"/>
    <n v="1"/>
    <n v="0"/>
    <n v="1"/>
    <n v="1"/>
    <n v="4"/>
    <s v="Life Sciences"/>
    <n v="1"/>
    <n v="0"/>
    <n v="0"/>
    <n v="0"/>
    <n v="0"/>
    <n v="2"/>
    <s v="Female"/>
    <n v="1"/>
    <n v="33"/>
    <n v="4"/>
    <n v="2"/>
    <s v="Healthcare Representative"/>
    <n v="1"/>
    <n v="0"/>
    <n v="0"/>
    <n v="0"/>
    <n v="0"/>
    <n v="0"/>
    <n v="0"/>
    <n v="0"/>
    <n v="4"/>
    <s v="Single"/>
    <n v="1"/>
    <n v="0"/>
    <n v="7625"/>
    <n v="7625"/>
    <n v="0"/>
    <s v="No"/>
    <n v="0"/>
    <n v="13"/>
    <n v="3"/>
    <n v="3"/>
    <n v="0"/>
    <n v="10"/>
    <x v="1"/>
    <n v="4"/>
    <n v="2"/>
    <n v="9"/>
    <n v="9"/>
    <n v="7"/>
    <n v="1"/>
    <n v="1"/>
    <n v="8"/>
    <n v="8"/>
    <n v="16"/>
    <n v="1"/>
    <n v="0"/>
    <n v="0"/>
    <n v="0"/>
    <n v="1"/>
    <n v="0"/>
    <n v="0"/>
    <n v="0"/>
    <n v="0"/>
    <n v="8"/>
    <n v="0"/>
    <n v="0"/>
    <n v="10"/>
    <n v="0"/>
    <n v="0.23833453856486636"/>
    <n v="1.08652546240644"/>
    <n v="0.1644554352117841"/>
    <n v="0.32511687867835437"/>
    <n v="1.01056543769991"/>
    <n v="0.11780475942994788"/>
    <n v="0.36858985273641137"/>
  </r>
  <r>
    <n v="27"/>
    <n v="27"/>
    <s v="No"/>
    <n v="0"/>
    <s v="Travel_Rarely"/>
    <n v="0"/>
    <n v="1"/>
    <x v="1"/>
    <n v="1"/>
    <n v="0"/>
    <n v="1"/>
    <n v="1"/>
    <n v="2"/>
    <s v="Life Sciences"/>
    <n v="1"/>
    <n v="0"/>
    <n v="0"/>
    <n v="0"/>
    <n v="0"/>
    <n v="3"/>
    <s v="Female"/>
    <n v="1"/>
    <n v="68"/>
    <n v="3"/>
    <n v="3"/>
    <s v="Manufacturing Director"/>
    <n v="0"/>
    <n v="0"/>
    <n v="0"/>
    <n v="0"/>
    <n v="1"/>
    <n v="1"/>
    <n v="0"/>
    <n v="0"/>
    <n v="1"/>
    <s v="Married"/>
    <n v="0"/>
    <n v="1"/>
    <n v="7412"/>
    <n v="7412"/>
    <n v="1"/>
    <s v="No"/>
    <n v="0"/>
    <n v="11"/>
    <n v="3"/>
    <n v="4"/>
    <n v="0"/>
    <n v="9"/>
    <x v="14"/>
    <n v="3"/>
    <n v="3"/>
    <n v="9"/>
    <n v="9"/>
    <n v="7"/>
    <n v="0"/>
    <n v="0"/>
    <n v="7"/>
    <n v="7"/>
    <n v="21"/>
    <n v="0"/>
    <n v="1"/>
    <n v="0"/>
    <n v="0"/>
    <n v="0"/>
    <n v="0"/>
    <n v="1"/>
    <n v="0"/>
    <n v="0"/>
    <n v="7"/>
    <n v="0"/>
    <n v="0"/>
    <n v="9"/>
    <n v="0"/>
    <n v="0.193091982226055"/>
    <n v="0.80626709607243985"/>
    <n v="0.29297722668510823"/>
    <n v="0.32511687867835437"/>
    <n v="1.01056543769991"/>
    <n v="1.0863058347434136"/>
    <n v="0.67891464284095016"/>
  </r>
  <r>
    <n v="32"/>
    <n v="32"/>
    <s v="No"/>
    <n v="0"/>
    <s v="Travel_Rarely"/>
    <n v="0"/>
    <n v="1"/>
    <x v="1"/>
    <n v="1"/>
    <n v="0"/>
    <n v="3"/>
    <n v="3"/>
    <n v="2"/>
    <s v="Life Sciences"/>
    <n v="1"/>
    <n v="0"/>
    <n v="0"/>
    <n v="0"/>
    <n v="0"/>
    <n v="3"/>
    <s v="Female"/>
    <n v="1"/>
    <n v="39"/>
    <n v="3"/>
    <n v="3"/>
    <s v="Research Director"/>
    <n v="0"/>
    <n v="0"/>
    <n v="0"/>
    <n v="0"/>
    <n v="0"/>
    <n v="0"/>
    <n v="0"/>
    <n v="0"/>
    <n v="4"/>
    <s v="Single"/>
    <n v="1"/>
    <n v="0"/>
    <n v="11159"/>
    <n v="11159"/>
    <n v="3"/>
    <s v="No"/>
    <n v="0"/>
    <n v="15"/>
    <n v="3"/>
    <n v="4"/>
    <n v="0"/>
    <n v="10"/>
    <x v="1"/>
    <n v="6"/>
    <n v="3"/>
    <n v="7"/>
    <n v="7"/>
    <n v="7"/>
    <n v="7"/>
    <n v="7"/>
    <n v="7"/>
    <n v="7"/>
    <n v="21"/>
    <n v="1"/>
    <n v="0"/>
    <n v="0"/>
    <n v="0"/>
    <n v="1"/>
    <n v="0"/>
    <n v="0"/>
    <n v="0"/>
    <n v="0"/>
    <n v="7"/>
    <n v="0"/>
    <n v="0"/>
    <n v="10"/>
    <n v="0"/>
    <n v="0.98897864232711652"/>
    <n v="0.80626709607243985"/>
    <n v="0.1644554352117841"/>
    <n v="1.3324462240916321E-3"/>
    <n v="0.76386092994953758"/>
    <n v="0.53898283739188557"/>
    <n v="1.4933588878908215"/>
  </r>
  <r>
    <n v="47"/>
    <n v="47"/>
    <s v="No"/>
    <n v="0"/>
    <s v="Travel_Rarely"/>
    <n v="0"/>
    <n v="1"/>
    <x v="0"/>
    <n v="0"/>
    <n v="1"/>
    <n v="14"/>
    <n v="14"/>
    <n v="4"/>
    <s v="Marketing"/>
    <n v="0"/>
    <n v="0"/>
    <n v="0"/>
    <n v="1"/>
    <n v="0"/>
    <n v="4"/>
    <s v="Male"/>
    <n v="0"/>
    <n v="42"/>
    <n v="3"/>
    <n v="2"/>
    <s v="Sales Executive"/>
    <n v="0"/>
    <n v="1"/>
    <n v="0"/>
    <n v="0"/>
    <n v="0"/>
    <n v="0"/>
    <n v="0"/>
    <n v="0"/>
    <n v="1"/>
    <s v="Single"/>
    <n v="1"/>
    <n v="0"/>
    <n v="4960"/>
    <n v="4960"/>
    <n v="2"/>
    <s v="No"/>
    <n v="0"/>
    <n v="12"/>
    <n v="3"/>
    <n v="4"/>
    <n v="0"/>
    <n v="20"/>
    <x v="25"/>
    <n v="2"/>
    <n v="3"/>
    <n v="7"/>
    <n v="7"/>
    <n v="7"/>
    <n v="1"/>
    <n v="1"/>
    <n v="7"/>
    <n v="7"/>
    <n v="14"/>
    <n v="1"/>
    <n v="0"/>
    <n v="0"/>
    <n v="0"/>
    <n v="1"/>
    <n v="0"/>
    <n v="0"/>
    <n v="0"/>
    <n v="0"/>
    <n v="0"/>
    <n v="7"/>
    <n v="0"/>
    <n v="0"/>
    <n v="20"/>
    <n v="0.32772843158974502"/>
    <n v="0.80626709607243985"/>
    <n v="1.120762479521457"/>
    <n v="1.3324462240916321E-3"/>
    <n v="0.59301386267751111"/>
    <n v="1.102986154662698"/>
    <n v="0.36858985273641137"/>
  </r>
  <r>
    <n v="40"/>
    <n v="40"/>
    <s v="No"/>
    <n v="0"/>
    <s v="Travel_Frequently"/>
    <n v="1"/>
    <n v="0"/>
    <x v="0"/>
    <n v="0"/>
    <n v="1"/>
    <n v="5"/>
    <n v="5"/>
    <n v="4"/>
    <s v="Life Sciences"/>
    <n v="1"/>
    <n v="0"/>
    <n v="0"/>
    <n v="0"/>
    <n v="0"/>
    <n v="4"/>
    <s v="Male"/>
    <n v="0"/>
    <n v="48"/>
    <n v="2"/>
    <n v="3"/>
    <s v="Sales Executive"/>
    <n v="0"/>
    <n v="1"/>
    <n v="0"/>
    <n v="0"/>
    <n v="0"/>
    <n v="0"/>
    <n v="0"/>
    <n v="0"/>
    <n v="1"/>
    <s v="Married"/>
    <n v="0"/>
    <n v="1"/>
    <n v="10475"/>
    <n v="10475"/>
    <n v="5"/>
    <s v="Yes"/>
    <n v="1"/>
    <n v="21"/>
    <n v="4"/>
    <n v="3"/>
    <n v="1"/>
    <n v="20"/>
    <x v="25"/>
    <n v="2"/>
    <n v="3"/>
    <n v="18"/>
    <n v="18"/>
    <n v="13"/>
    <n v="1"/>
    <n v="1"/>
    <n v="12"/>
    <n v="12"/>
    <n v="36"/>
    <n v="0"/>
    <n v="0"/>
    <n v="0"/>
    <n v="1"/>
    <n v="0"/>
    <n v="0"/>
    <n v="0"/>
    <n v="1"/>
    <n v="0"/>
    <n v="0"/>
    <n v="12"/>
    <n v="0"/>
    <n v="0"/>
    <n v="20"/>
    <n v="0.84369268676022935"/>
    <n v="2.2075589277424408"/>
    <n v="1.120762479521457"/>
    <n v="1.794138840739361"/>
    <n v="0.51715642219916513"/>
    <n v="0.33673395837055903"/>
    <n v="0.36858985273641137"/>
  </r>
  <r>
    <n v="53"/>
    <n v="53"/>
    <s v="No"/>
    <n v="0"/>
    <s v="Travel_Rarely"/>
    <n v="0"/>
    <n v="1"/>
    <x v="1"/>
    <n v="1"/>
    <n v="0"/>
    <n v="7"/>
    <n v="7"/>
    <n v="3"/>
    <s v="Life Sciences"/>
    <n v="1"/>
    <n v="0"/>
    <n v="0"/>
    <n v="0"/>
    <n v="0"/>
    <n v="3"/>
    <s v="Male"/>
    <n v="0"/>
    <n v="59"/>
    <n v="4"/>
    <n v="4"/>
    <s v="Research Director"/>
    <n v="0"/>
    <n v="0"/>
    <n v="0"/>
    <n v="0"/>
    <n v="0"/>
    <n v="0"/>
    <n v="0"/>
    <n v="0"/>
    <n v="3"/>
    <s v="Married"/>
    <n v="0"/>
    <n v="1"/>
    <n v="14814"/>
    <n v="14814"/>
    <n v="3"/>
    <s v="No"/>
    <n v="0"/>
    <n v="19"/>
    <n v="3"/>
    <n v="3"/>
    <n v="0"/>
    <n v="32"/>
    <x v="32"/>
    <n v="3"/>
    <n v="3"/>
    <n v="5"/>
    <n v="5"/>
    <n v="1"/>
    <n v="1"/>
    <n v="1"/>
    <n v="3"/>
    <n v="3"/>
    <n v="12"/>
    <n v="0"/>
    <n v="1"/>
    <n v="0"/>
    <n v="0"/>
    <n v="0"/>
    <n v="0"/>
    <n v="1"/>
    <n v="0"/>
    <n v="0"/>
    <n v="3"/>
    <n v="0"/>
    <n v="0"/>
    <n v="32"/>
    <n v="0"/>
    <n v="1.7653239165916961"/>
    <n v="0.31476636926356072"/>
    <n v="2.663023977201346"/>
    <n v="0.32778177112653761"/>
    <n v="0.27045191444879263"/>
    <n v="1.7597737514845315"/>
    <n v="0.36858985273641137"/>
  </r>
  <r>
    <n v="41"/>
    <n v="41"/>
    <s v="No"/>
    <n v="0"/>
    <s v="Travel_Rarely"/>
    <n v="0"/>
    <n v="1"/>
    <x v="2"/>
    <n v="0"/>
    <n v="0"/>
    <n v="10"/>
    <n v="10"/>
    <n v="4"/>
    <s v="Human Resources"/>
    <n v="0"/>
    <n v="0"/>
    <n v="0"/>
    <n v="0"/>
    <n v="0"/>
    <n v="2"/>
    <s v="Male"/>
    <n v="0"/>
    <n v="73"/>
    <n v="2"/>
    <n v="5"/>
    <s v="Manager"/>
    <n v="0"/>
    <n v="0"/>
    <n v="0"/>
    <n v="1"/>
    <n v="0"/>
    <n v="0"/>
    <n v="0"/>
    <n v="0"/>
    <n v="4"/>
    <s v="Divorced"/>
    <n v="0"/>
    <n v="0"/>
    <n v="19141"/>
    <n v="19141"/>
    <n v="3"/>
    <s v="No"/>
    <n v="0"/>
    <n v="15"/>
    <n v="3"/>
    <n v="2"/>
    <n v="3"/>
    <n v="23"/>
    <x v="17"/>
    <n v="2"/>
    <n v="2"/>
    <n v="21"/>
    <n v="21"/>
    <n v="6"/>
    <n v="12"/>
    <n v="12"/>
    <n v="6"/>
    <n v="6"/>
    <n v="30"/>
    <n v="1"/>
    <n v="0"/>
    <n v="0"/>
    <n v="0"/>
    <n v="1"/>
    <n v="0"/>
    <n v="0"/>
    <n v="0"/>
    <n v="6"/>
    <n v="0"/>
    <n v="0"/>
    <n v="23"/>
    <n v="0"/>
    <n v="0"/>
    <n v="2.6844062700097084"/>
    <n v="0.52600872973843971"/>
    <n v="1.5063278539414293"/>
    <n v="2.2838128280930299"/>
    <n v="9.9604847176766084E-2"/>
    <n v="0.4461985578408646"/>
    <n v="3.0449828384135156"/>
  </r>
  <r>
    <n v="60"/>
    <n v="58.309999999999945"/>
    <s v="No"/>
    <n v="0"/>
    <s v="Travel_Rarely"/>
    <n v="0"/>
    <n v="1"/>
    <x v="0"/>
    <n v="0"/>
    <n v="1"/>
    <n v="16"/>
    <n v="16"/>
    <n v="4"/>
    <s v="Marketing"/>
    <n v="0"/>
    <n v="0"/>
    <n v="0"/>
    <n v="1"/>
    <n v="0"/>
    <n v="1"/>
    <s v="Male"/>
    <n v="0"/>
    <n v="84"/>
    <n v="3"/>
    <n v="2"/>
    <s v="Sales Executive"/>
    <n v="0"/>
    <n v="1"/>
    <n v="0"/>
    <n v="0"/>
    <n v="0"/>
    <n v="0"/>
    <n v="0"/>
    <n v="0"/>
    <n v="1"/>
    <s v="Single"/>
    <n v="1"/>
    <n v="0"/>
    <n v="5405"/>
    <n v="5405"/>
    <n v="8"/>
    <s v="No"/>
    <n v="0"/>
    <n v="14"/>
    <n v="3"/>
    <n v="4"/>
    <n v="0"/>
    <n v="10"/>
    <x v="1"/>
    <n v="1"/>
    <n v="3"/>
    <n v="2"/>
    <n v="2"/>
    <n v="2"/>
    <n v="2"/>
    <n v="2"/>
    <n v="2"/>
    <n v="2"/>
    <n v="4"/>
    <n v="1"/>
    <n v="0"/>
    <n v="0"/>
    <n v="0"/>
    <n v="1"/>
    <n v="0"/>
    <n v="0"/>
    <n v="0"/>
    <n v="0"/>
    <n v="0"/>
    <n v="2"/>
    <n v="0"/>
    <n v="0"/>
    <n v="10"/>
    <n v="0.23320759792415327"/>
    <n v="0.59502473559756086"/>
    <n v="0.1644554352117841"/>
    <n v="0.81745575848020657"/>
    <n v="0.83971837042788355"/>
    <n v="2.5260259477766707"/>
    <n v="5.8265062631872602E-2"/>
  </r>
  <r>
    <n v="27"/>
    <n v="27"/>
    <s v="No"/>
    <n v="0"/>
    <s v="Travel_Frequently"/>
    <n v="1"/>
    <n v="0"/>
    <x v="1"/>
    <n v="1"/>
    <n v="0"/>
    <n v="10"/>
    <n v="10"/>
    <n v="2"/>
    <s v="Life Sciences"/>
    <n v="1"/>
    <n v="0"/>
    <n v="0"/>
    <n v="0"/>
    <n v="0"/>
    <n v="4"/>
    <s v="Male"/>
    <n v="0"/>
    <n v="32"/>
    <n v="3"/>
    <n v="3"/>
    <s v="Manufacturing Director"/>
    <n v="0"/>
    <n v="0"/>
    <n v="0"/>
    <n v="0"/>
    <n v="1"/>
    <n v="1"/>
    <n v="0"/>
    <n v="0"/>
    <n v="1"/>
    <s v="Divorced"/>
    <n v="0"/>
    <n v="0"/>
    <n v="8793"/>
    <n v="8793"/>
    <n v="1"/>
    <s v="No"/>
    <n v="0"/>
    <n v="21"/>
    <n v="4"/>
    <n v="3"/>
    <n v="2"/>
    <n v="9"/>
    <x v="14"/>
    <n v="4"/>
    <n v="2"/>
    <n v="9"/>
    <n v="9"/>
    <n v="7"/>
    <n v="1"/>
    <n v="1"/>
    <n v="7"/>
    <n v="7"/>
    <n v="21"/>
    <n v="0"/>
    <n v="0"/>
    <n v="1"/>
    <n v="0"/>
    <n v="1"/>
    <n v="0"/>
    <n v="0"/>
    <n v="0"/>
    <n v="0"/>
    <n v="7"/>
    <n v="0"/>
    <n v="0"/>
    <n v="9"/>
    <n v="0"/>
    <n v="0.48642517614107128"/>
    <n v="0.80626709607243985"/>
    <n v="0.29297722668510823"/>
    <n v="0.32511687867835437"/>
    <n v="9.9604847176766084E-2"/>
    <n v="1.0863058347434136"/>
    <n v="0.36858985273641137"/>
  </r>
  <r>
    <n v="41"/>
    <n v="41"/>
    <s v="No"/>
    <n v="0"/>
    <s v="Travel_Rarely"/>
    <n v="0"/>
    <n v="1"/>
    <x v="2"/>
    <n v="0"/>
    <n v="0"/>
    <n v="1"/>
    <n v="1"/>
    <n v="3"/>
    <s v="Human Resources"/>
    <n v="0"/>
    <n v="0"/>
    <n v="0"/>
    <n v="0"/>
    <n v="0"/>
    <n v="4"/>
    <s v="Male"/>
    <n v="0"/>
    <n v="59"/>
    <n v="2"/>
    <n v="5"/>
    <s v="Manager"/>
    <n v="0"/>
    <n v="0"/>
    <n v="0"/>
    <n v="1"/>
    <n v="0"/>
    <n v="0"/>
    <n v="0"/>
    <n v="0"/>
    <n v="3"/>
    <s v="Married"/>
    <n v="0"/>
    <n v="1"/>
    <n v="19189"/>
    <n v="19189"/>
    <n v="1"/>
    <s v="No"/>
    <n v="0"/>
    <n v="12"/>
    <n v="3"/>
    <n v="2"/>
    <n v="1"/>
    <n v="22"/>
    <x v="13"/>
    <n v="3"/>
    <n v="3"/>
    <n v="22"/>
    <n v="22"/>
    <n v="7"/>
    <n v="2"/>
    <n v="2"/>
    <n v="10"/>
    <n v="10"/>
    <n v="50"/>
    <n v="0"/>
    <n v="1"/>
    <n v="0"/>
    <n v="0"/>
    <n v="0"/>
    <n v="0"/>
    <n v="1"/>
    <n v="0"/>
    <n v="10"/>
    <n v="0"/>
    <n v="0"/>
    <n v="22"/>
    <n v="0"/>
    <n v="0"/>
    <n v="2.6946017756635254"/>
    <n v="1.6470421950744405"/>
    <n v="1.3778060624681052"/>
    <n v="2.4470374905442531"/>
    <n v="1.01056543769991"/>
    <n v="0.4461985578408646"/>
    <n v="5.8265062631872602E-2"/>
  </r>
  <r>
    <n v="50"/>
    <n v="50"/>
    <s v="No"/>
    <n v="0"/>
    <s v="Travel_Rarely"/>
    <n v="0"/>
    <n v="1"/>
    <x v="0"/>
    <n v="0"/>
    <n v="1"/>
    <n v="8"/>
    <n v="8"/>
    <n v="4"/>
    <s v="Marketing"/>
    <n v="0"/>
    <n v="0"/>
    <n v="0"/>
    <n v="1"/>
    <n v="0"/>
    <n v="4"/>
    <s v="Male"/>
    <n v="0"/>
    <n v="54"/>
    <n v="3"/>
    <n v="1"/>
    <s v="Sales Representative"/>
    <n v="0"/>
    <n v="0"/>
    <n v="0"/>
    <n v="0"/>
    <n v="0"/>
    <n v="0"/>
    <n v="1"/>
    <n v="0"/>
    <n v="2"/>
    <s v="Married"/>
    <n v="0"/>
    <n v="1"/>
    <n v="3875"/>
    <n v="3875"/>
    <n v="7"/>
    <s v="No"/>
    <n v="0"/>
    <n v="15"/>
    <n v="3"/>
    <n v="4"/>
    <n v="1"/>
    <n v="4"/>
    <x v="20"/>
    <n v="2"/>
    <n v="3"/>
    <n v="2"/>
    <n v="2"/>
    <n v="2"/>
    <n v="2"/>
    <n v="2"/>
    <n v="2"/>
    <n v="2"/>
    <n v="2"/>
    <n v="0"/>
    <n v="1"/>
    <n v="0"/>
    <n v="0"/>
    <n v="0"/>
    <n v="0"/>
    <n v="1"/>
    <n v="0"/>
    <n v="0"/>
    <n v="0"/>
    <n v="2"/>
    <n v="0"/>
    <n v="0"/>
    <n v="4"/>
    <n v="0.55818934063955872"/>
    <n v="0.59502473559756086"/>
    <n v="0.93558618405172878"/>
    <n v="0.81745575848020657"/>
    <n v="0.14709966057360641"/>
    <n v="1.4313799530736149"/>
    <n v="5.8265062631872602E-2"/>
  </r>
  <r>
    <n v="28"/>
    <n v="28"/>
    <s v="Yes"/>
    <n v="1"/>
    <s v="Travel_Rarely"/>
    <n v="0"/>
    <n v="1"/>
    <x v="1"/>
    <n v="1"/>
    <n v="0"/>
    <n v="1"/>
    <n v="1"/>
    <n v="2"/>
    <s v="Life Sciences"/>
    <n v="1"/>
    <n v="0"/>
    <n v="0"/>
    <n v="0"/>
    <n v="0"/>
    <n v="1"/>
    <s v="Female"/>
    <n v="1"/>
    <n v="67"/>
    <n v="1"/>
    <n v="1"/>
    <s v="Research Scientist"/>
    <n v="0"/>
    <n v="0"/>
    <n v="0"/>
    <n v="0"/>
    <n v="0"/>
    <n v="0"/>
    <n v="0"/>
    <n v="1"/>
    <n v="2"/>
    <s v="Single"/>
    <n v="1"/>
    <n v="0"/>
    <n v="2216"/>
    <n v="2216"/>
    <n v="7"/>
    <s v="Yes"/>
    <n v="1"/>
    <n v="13"/>
    <n v="3"/>
    <n v="4"/>
    <n v="0"/>
    <n v="10"/>
    <x v="1"/>
    <n v="4"/>
    <n v="3"/>
    <n v="7"/>
    <n v="7"/>
    <n v="7"/>
    <n v="3"/>
    <n v="3"/>
    <n v="7"/>
    <n v="7"/>
    <n v="7"/>
    <n v="1"/>
    <n v="0"/>
    <n v="0"/>
    <n v="0"/>
    <n v="0"/>
    <n v="1"/>
    <n v="0"/>
    <n v="0"/>
    <n v="0"/>
    <n v="7"/>
    <n v="0"/>
    <n v="0"/>
    <n v="10"/>
    <n v="0"/>
    <n v="0.91057150479959625"/>
    <n v="0.80626709607243985"/>
    <n v="0.1644554352117841"/>
    <n v="1.3324462240916321E-3"/>
    <n v="1.01056543769991"/>
    <n v="0.97684123527310796"/>
    <n v="0.2520597274726662"/>
  </r>
  <r>
    <n v="36"/>
    <n v="36"/>
    <s v="No"/>
    <n v="0"/>
    <s v="Non-Travel"/>
    <n v="0"/>
    <n v="0"/>
    <x v="1"/>
    <n v="1"/>
    <n v="0"/>
    <n v="8"/>
    <n v="8"/>
    <n v="3"/>
    <s v="Life Sciences"/>
    <n v="1"/>
    <n v="0"/>
    <n v="0"/>
    <n v="0"/>
    <n v="0"/>
    <n v="1"/>
    <s v="Female"/>
    <n v="1"/>
    <n v="63"/>
    <n v="4"/>
    <n v="3"/>
    <s v="Research Director"/>
    <n v="0"/>
    <n v="0"/>
    <n v="0"/>
    <n v="0"/>
    <n v="0"/>
    <n v="0"/>
    <n v="0"/>
    <n v="0"/>
    <n v="1"/>
    <s v="Married"/>
    <n v="0"/>
    <n v="1"/>
    <n v="11713"/>
    <n v="11713"/>
    <n v="9"/>
    <s v="No"/>
    <n v="0"/>
    <n v="14"/>
    <n v="3"/>
    <n v="1"/>
    <n v="1"/>
    <n v="10"/>
    <x v="1"/>
    <n v="2"/>
    <n v="3"/>
    <n v="8"/>
    <n v="8"/>
    <n v="7"/>
    <n v="0"/>
    <n v="0"/>
    <n v="5"/>
    <n v="5"/>
    <n v="15"/>
    <n v="0"/>
    <n v="1"/>
    <n v="0"/>
    <n v="0"/>
    <n v="0"/>
    <n v="0"/>
    <n v="1"/>
    <n v="0"/>
    <n v="0"/>
    <n v="5"/>
    <n v="0"/>
    <n v="0"/>
    <n v="10"/>
    <n v="0"/>
    <n v="1.1066517700815834"/>
    <n v="0.24575036340443959"/>
    <n v="0.1644554352117841"/>
    <n v="0.16189221622713135"/>
    <n v="0.14709966057360641"/>
    <n v="0.10112443951066327"/>
    <n v="0.67891464284095016"/>
  </r>
  <r>
    <n v="38"/>
    <n v="38"/>
    <s v="No"/>
    <n v="0"/>
    <s v="Travel_Rarely"/>
    <n v="0"/>
    <n v="1"/>
    <x v="1"/>
    <n v="1"/>
    <n v="0"/>
    <n v="1"/>
    <n v="1"/>
    <n v="3"/>
    <s v="Life Sciences"/>
    <n v="1"/>
    <n v="0"/>
    <n v="0"/>
    <n v="0"/>
    <n v="0"/>
    <n v="3"/>
    <s v="Female"/>
    <n v="1"/>
    <n v="81"/>
    <n v="3"/>
    <n v="3"/>
    <s v="Manufacturing Director"/>
    <n v="0"/>
    <n v="0"/>
    <n v="0"/>
    <n v="0"/>
    <n v="1"/>
    <n v="1"/>
    <n v="0"/>
    <n v="0"/>
    <n v="3"/>
    <s v="Single"/>
    <n v="1"/>
    <n v="0"/>
    <n v="7861"/>
    <n v="7861"/>
    <n v="4"/>
    <s v="Yes"/>
    <n v="1"/>
    <n v="14"/>
    <n v="3"/>
    <n v="4"/>
    <n v="0"/>
    <n v="10"/>
    <x v="1"/>
    <n v="4"/>
    <n v="4"/>
    <n v="1"/>
    <n v="1"/>
    <n v="0"/>
    <n v="0"/>
    <n v="0"/>
    <n v="0"/>
    <n v="0"/>
    <n v="0"/>
    <n v="1"/>
    <n v="0"/>
    <n v="0"/>
    <n v="0"/>
    <n v="0"/>
    <n v="1"/>
    <n v="0"/>
    <n v="0"/>
    <n v="0"/>
    <n v="0"/>
    <n v="0"/>
    <n v="0"/>
    <n v="10"/>
    <n v="0"/>
    <n v="0.28846244136279814"/>
    <n v="1.1555414682655611"/>
    <n v="0.1644554352117841"/>
    <n v="0.9806804209314296"/>
    <n v="1.01056543769991"/>
    <n v="0.11780475942994788"/>
    <n v="0.67891464284095016"/>
  </r>
  <r>
    <n v="44"/>
    <n v="44"/>
    <s v="No"/>
    <n v="0"/>
    <s v="Non-Travel"/>
    <n v="0"/>
    <n v="0"/>
    <x v="1"/>
    <n v="1"/>
    <n v="0"/>
    <n v="24"/>
    <n v="24"/>
    <n v="3"/>
    <s v="Medical"/>
    <n v="0"/>
    <n v="0"/>
    <n v="1"/>
    <n v="0"/>
    <n v="0"/>
    <n v="1"/>
    <s v="Male"/>
    <n v="0"/>
    <n v="49"/>
    <n v="1"/>
    <n v="1"/>
    <s v="Laboratory Technician"/>
    <n v="0"/>
    <n v="0"/>
    <n v="1"/>
    <n v="0"/>
    <n v="0"/>
    <n v="0"/>
    <n v="0"/>
    <n v="0"/>
    <n v="3"/>
    <s v="Single"/>
    <n v="1"/>
    <n v="0"/>
    <n v="3708"/>
    <n v="3708"/>
    <n v="2"/>
    <s v="No"/>
    <n v="0"/>
    <n v="14"/>
    <n v="3"/>
    <n v="3"/>
    <n v="0"/>
    <n v="9"/>
    <x v="14"/>
    <n v="5"/>
    <n v="3"/>
    <n v="5"/>
    <n v="5"/>
    <n v="2"/>
    <n v="1"/>
    <n v="1"/>
    <n v="4"/>
    <n v="4"/>
    <n v="4"/>
    <n v="1"/>
    <n v="0"/>
    <n v="0"/>
    <n v="0"/>
    <n v="1"/>
    <n v="0"/>
    <n v="0"/>
    <n v="0"/>
    <n v="0"/>
    <n v="4"/>
    <n v="0"/>
    <n v="0"/>
    <n v="9"/>
    <n v="0"/>
    <n v="0.59366120406012901"/>
    <n v="3.4508002929560584E-2"/>
    <n v="0.29297722668510823"/>
    <n v="0.32778177112653761"/>
    <n v="1.8265364014293735"/>
    <n v="0.77459235625178136"/>
    <n v="0.36858985273641137"/>
  </r>
  <r>
    <n v="47"/>
    <n v="47"/>
    <s v="No"/>
    <n v="0"/>
    <s v="Travel_Frequently"/>
    <n v="1"/>
    <n v="0"/>
    <x v="0"/>
    <n v="0"/>
    <n v="1"/>
    <n v="3"/>
    <n v="3"/>
    <n v="3"/>
    <s v="Medical"/>
    <n v="0"/>
    <n v="0"/>
    <n v="1"/>
    <n v="0"/>
    <n v="0"/>
    <n v="4"/>
    <s v="Female"/>
    <n v="1"/>
    <n v="49"/>
    <n v="3"/>
    <n v="4"/>
    <s v="Sales Executive"/>
    <n v="0"/>
    <n v="1"/>
    <n v="0"/>
    <n v="0"/>
    <n v="0"/>
    <n v="0"/>
    <n v="0"/>
    <n v="0"/>
    <n v="3"/>
    <s v="Divorced"/>
    <n v="0"/>
    <n v="0"/>
    <n v="13770"/>
    <n v="13770"/>
    <n v="9"/>
    <s v="Yes"/>
    <n v="1"/>
    <n v="12"/>
    <n v="3"/>
    <n v="4"/>
    <n v="2"/>
    <n v="28"/>
    <x v="22"/>
    <n v="2"/>
    <n v="2"/>
    <n v="22"/>
    <n v="22"/>
    <n v="2"/>
    <n v="11"/>
    <n v="11"/>
    <n v="13"/>
    <n v="13"/>
    <n v="52"/>
    <n v="0"/>
    <n v="0"/>
    <n v="1"/>
    <n v="0"/>
    <n v="0"/>
    <n v="1"/>
    <n v="0"/>
    <n v="0"/>
    <n v="0"/>
    <n v="0"/>
    <n v="13"/>
    <n v="0"/>
    <n v="0"/>
    <n v="28"/>
    <n v="1.5435716686211842"/>
    <n v="2.4878172940764407"/>
    <n v="2.1489368113080496"/>
    <n v="2.4470374905442531"/>
    <n v="0.76386092994953758"/>
    <n v="1.102986154662698"/>
    <n v="2.7346580483089769"/>
  </r>
  <r>
    <n v="30"/>
    <n v="30"/>
    <s v="No"/>
    <n v="0"/>
    <s v="Travel_Rarely"/>
    <n v="0"/>
    <n v="1"/>
    <x v="0"/>
    <n v="0"/>
    <n v="1"/>
    <n v="27"/>
    <n v="27"/>
    <n v="5"/>
    <s v="Marketing"/>
    <n v="0"/>
    <n v="0"/>
    <n v="0"/>
    <n v="1"/>
    <n v="0"/>
    <n v="3"/>
    <s v="Male"/>
    <n v="0"/>
    <n v="99"/>
    <n v="3"/>
    <n v="2"/>
    <s v="Sales Executive"/>
    <n v="0"/>
    <n v="1"/>
    <n v="0"/>
    <n v="0"/>
    <n v="0"/>
    <n v="0"/>
    <n v="0"/>
    <n v="0"/>
    <n v="4"/>
    <s v="Divorced"/>
    <n v="0"/>
    <n v="0"/>
    <n v="5304"/>
    <n v="5304"/>
    <n v="7"/>
    <s v="No"/>
    <n v="0"/>
    <n v="23"/>
    <n v="4"/>
    <n v="4"/>
    <n v="1"/>
    <n v="10"/>
    <x v="1"/>
    <n v="2"/>
    <n v="2"/>
    <n v="8"/>
    <n v="8"/>
    <n v="7"/>
    <n v="7"/>
    <n v="7"/>
    <n v="7"/>
    <n v="7"/>
    <n v="14"/>
    <n v="1"/>
    <n v="0"/>
    <n v="0"/>
    <n v="0"/>
    <n v="1"/>
    <n v="0"/>
    <n v="0"/>
    <n v="0"/>
    <n v="0"/>
    <n v="0"/>
    <n v="7"/>
    <n v="0"/>
    <n v="0"/>
    <n v="10"/>
    <n v="0.25466064107072578"/>
    <n v="0.80626709607243985"/>
    <n v="0.1644554352117841"/>
    <n v="0.16189221622713135"/>
    <n v="2.1965931630549322"/>
    <n v="0.75791203633249671"/>
    <n v="1.4933588878908215"/>
  </r>
  <r>
    <n v="29"/>
    <n v="29"/>
    <s v="No"/>
    <n v="0"/>
    <s v="Travel_Rarely"/>
    <n v="0"/>
    <n v="1"/>
    <x v="0"/>
    <n v="0"/>
    <n v="1"/>
    <n v="10"/>
    <n v="10"/>
    <n v="3"/>
    <s v="Life Sciences"/>
    <n v="1"/>
    <n v="0"/>
    <n v="0"/>
    <n v="0"/>
    <n v="0"/>
    <n v="3"/>
    <s v="Male"/>
    <n v="0"/>
    <n v="99"/>
    <n v="3"/>
    <n v="1"/>
    <s v="Sales Representative"/>
    <n v="0"/>
    <n v="0"/>
    <n v="0"/>
    <n v="0"/>
    <n v="0"/>
    <n v="0"/>
    <n v="1"/>
    <n v="0"/>
    <n v="3"/>
    <s v="Single"/>
    <n v="1"/>
    <n v="0"/>
    <n v="2642"/>
    <n v="2642"/>
    <n v="1"/>
    <s v="No"/>
    <n v="0"/>
    <n v="11"/>
    <n v="3"/>
    <n v="3"/>
    <n v="0"/>
    <n v="1"/>
    <x v="5"/>
    <n v="6"/>
    <n v="3"/>
    <n v="1"/>
    <n v="1"/>
    <n v="0"/>
    <n v="0"/>
    <n v="0"/>
    <n v="0"/>
    <n v="0"/>
    <n v="0"/>
    <n v="1"/>
    <n v="0"/>
    <n v="0"/>
    <n v="0"/>
    <n v="1"/>
    <n v="0"/>
    <n v="0"/>
    <n v="0"/>
    <n v="0"/>
    <n v="0"/>
    <n v="0"/>
    <n v="0"/>
    <n v="0"/>
    <n v="1"/>
    <n v="0.82008639212197365"/>
    <n v="1.1555414682655611"/>
    <n v="1.3211515584717011"/>
    <n v="0.9806804209314296"/>
    <n v="9.9604847176766084E-2"/>
    <n v="0.86737663580280233"/>
    <n v="0.67891464284095016"/>
  </r>
  <r>
    <n v="42"/>
    <n v="42"/>
    <s v="Yes"/>
    <n v="1"/>
    <s v="Travel_Frequently"/>
    <n v="1"/>
    <n v="0"/>
    <x v="1"/>
    <n v="1"/>
    <n v="0"/>
    <n v="19"/>
    <n v="19"/>
    <n v="3"/>
    <s v="Medical"/>
    <n v="0"/>
    <n v="0"/>
    <n v="1"/>
    <n v="0"/>
    <n v="0"/>
    <n v="3"/>
    <s v="Male"/>
    <n v="0"/>
    <n v="57"/>
    <n v="4"/>
    <n v="1"/>
    <s v="Research Scientist"/>
    <n v="0"/>
    <n v="0"/>
    <n v="0"/>
    <n v="0"/>
    <n v="0"/>
    <n v="0"/>
    <n v="0"/>
    <n v="1"/>
    <n v="3"/>
    <s v="Divorced"/>
    <n v="0"/>
    <n v="0"/>
    <n v="2759"/>
    <n v="2759"/>
    <n v="6"/>
    <s v="Yes"/>
    <n v="1"/>
    <n v="12"/>
    <n v="3"/>
    <n v="4"/>
    <n v="0"/>
    <n v="7"/>
    <x v="2"/>
    <n v="2"/>
    <n v="3"/>
    <n v="2"/>
    <n v="2"/>
    <n v="2"/>
    <n v="2"/>
    <n v="2"/>
    <n v="2"/>
    <n v="2"/>
    <n v="2"/>
    <n v="0"/>
    <n v="0"/>
    <n v="1"/>
    <n v="0"/>
    <n v="0"/>
    <n v="1"/>
    <n v="0"/>
    <n v="0"/>
    <n v="0"/>
    <n v="2"/>
    <n v="0"/>
    <n v="0"/>
    <n v="7"/>
    <n v="0"/>
    <n v="0.7952348470907955"/>
    <n v="0.59502473559756086"/>
    <n v="0.55002080963175637"/>
    <n v="0.81745575848020657"/>
    <n v="1.2097751320534422"/>
    <n v="0.55566315731117022"/>
    <n v="5.8265062631872602E-2"/>
  </r>
  <r>
    <n v="43"/>
    <n v="43"/>
    <s v="No"/>
    <n v="0"/>
    <s v="Travel_Frequently"/>
    <n v="1"/>
    <n v="0"/>
    <x v="0"/>
    <n v="0"/>
    <n v="1"/>
    <n v="15"/>
    <n v="15"/>
    <n v="3"/>
    <s v="Life Sciences"/>
    <n v="1"/>
    <n v="0"/>
    <n v="0"/>
    <n v="0"/>
    <n v="0"/>
    <n v="4"/>
    <s v="Male"/>
    <n v="0"/>
    <n v="47"/>
    <n v="2"/>
    <n v="2"/>
    <s v="Sales Executive"/>
    <n v="0"/>
    <n v="1"/>
    <n v="0"/>
    <n v="0"/>
    <n v="0"/>
    <n v="0"/>
    <n v="0"/>
    <n v="0"/>
    <n v="4"/>
    <s v="Married"/>
    <n v="0"/>
    <n v="1"/>
    <n v="6804"/>
    <n v="6804"/>
    <n v="3"/>
    <s v="No"/>
    <n v="0"/>
    <n v="18"/>
    <n v="3"/>
    <n v="3"/>
    <n v="1"/>
    <n v="7"/>
    <x v="2"/>
    <n v="5"/>
    <n v="3"/>
    <n v="2"/>
    <n v="2"/>
    <n v="2"/>
    <n v="2"/>
    <n v="2"/>
    <n v="2"/>
    <n v="2"/>
    <n v="4"/>
    <n v="0"/>
    <n v="0"/>
    <n v="0"/>
    <n v="1"/>
    <n v="0"/>
    <n v="0"/>
    <n v="1"/>
    <n v="0"/>
    <n v="0"/>
    <n v="0"/>
    <n v="2"/>
    <n v="0"/>
    <n v="0"/>
    <n v="7"/>
    <n v="6.3948910611044227E-2"/>
    <n v="0.59502473559756086"/>
    <n v="0.55002080963175637"/>
    <n v="0.81745575848020657"/>
    <n v="0.71636611655269733"/>
    <n v="0.66512775678147573"/>
    <n v="5.8265062631872602E-2"/>
  </r>
  <r>
    <n v="34"/>
    <n v="34"/>
    <s v="No"/>
    <n v="0"/>
    <s v="Travel_Rarely"/>
    <n v="0"/>
    <n v="1"/>
    <x v="1"/>
    <n v="1"/>
    <n v="0"/>
    <n v="8"/>
    <n v="8"/>
    <n v="2"/>
    <s v="Medical"/>
    <n v="0"/>
    <n v="0"/>
    <n v="1"/>
    <n v="0"/>
    <n v="0"/>
    <n v="2"/>
    <s v="Female"/>
    <n v="1"/>
    <n v="96"/>
    <n v="3"/>
    <n v="2"/>
    <s v="Healthcare Representative"/>
    <n v="1"/>
    <n v="0"/>
    <n v="0"/>
    <n v="0"/>
    <n v="0"/>
    <n v="0"/>
    <n v="0"/>
    <n v="0"/>
    <n v="3"/>
    <s v="Single"/>
    <n v="1"/>
    <n v="0"/>
    <n v="6142"/>
    <n v="6142"/>
    <n v="3"/>
    <s v="No"/>
    <n v="0"/>
    <n v="11"/>
    <n v="3"/>
    <n v="4"/>
    <n v="0"/>
    <n v="10"/>
    <x v="1"/>
    <n v="2"/>
    <n v="3"/>
    <n v="5"/>
    <n v="5"/>
    <n v="1"/>
    <n v="4"/>
    <n v="4"/>
    <n v="3"/>
    <n v="3"/>
    <n v="6"/>
    <n v="1"/>
    <n v="0"/>
    <n v="0"/>
    <n v="0"/>
    <n v="1"/>
    <n v="0"/>
    <n v="0"/>
    <n v="0"/>
    <n v="0"/>
    <n v="3"/>
    <n v="0"/>
    <n v="0"/>
    <n v="10"/>
    <n v="0"/>
    <n v="7.6664104864510266E-2"/>
    <n v="0.31476636926356072"/>
    <n v="0.1644554352117841"/>
    <n v="0.32778177112653761"/>
    <n v="0.14709966057360641"/>
    <n v="0.32005363845127444"/>
    <n v="0.56238451757720498"/>
  </r>
  <r>
    <n v="23"/>
    <n v="23"/>
    <s v="No"/>
    <n v="0"/>
    <s v="Travel_Rarely"/>
    <n v="0"/>
    <n v="1"/>
    <x v="1"/>
    <n v="1"/>
    <n v="0"/>
    <n v="9"/>
    <n v="9"/>
    <n v="1"/>
    <s v="Medical"/>
    <n v="0"/>
    <n v="0"/>
    <n v="1"/>
    <n v="0"/>
    <n v="0"/>
    <n v="2"/>
    <s v="Male"/>
    <n v="0"/>
    <n v="37"/>
    <n v="3"/>
    <n v="1"/>
    <s v="Laboratory Technician"/>
    <n v="0"/>
    <n v="0"/>
    <n v="1"/>
    <n v="0"/>
    <n v="0"/>
    <n v="0"/>
    <n v="0"/>
    <n v="0"/>
    <n v="1"/>
    <s v="Married"/>
    <n v="0"/>
    <n v="1"/>
    <n v="2500"/>
    <n v="2500"/>
    <n v="1"/>
    <s v="No"/>
    <n v="0"/>
    <n v="14"/>
    <n v="3"/>
    <n v="4"/>
    <n v="1"/>
    <n v="5"/>
    <x v="7"/>
    <n v="2"/>
    <n v="4"/>
    <n v="4"/>
    <n v="4"/>
    <n v="3"/>
    <n v="0"/>
    <n v="0"/>
    <n v="2"/>
    <n v="2"/>
    <n v="2"/>
    <n v="0"/>
    <n v="1"/>
    <n v="0"/>
    <n v="0"/>
    <n v="0"/>
    <n v="0"/>
    <n v="1"/>
    <n v="0"/>
    <n v="0"/>
    <n v="2"/>
    <n v="0"/>
    <n v="0"/>
    <n v="5"/>
    <n v="0"/>
    <n v="0.85024809634784781"/>
    <n v="0.59502473559756086"/>
    <n v="0.80706439257840468"/>
    <n v="0.49100643357776058"/>
    <n v="2.3747406698420157E-2"/>
    <n v="1.5241642326246359"/>
    <n v="0.67891464284095016"/>
  </r>
  <r>
    <n v="39"/>
    <n v="39"/>
    <s v="No"/>
    <n v="0"/>
    <s v="Travel_Rarely"/>
    <n v="0"/>
    <n v="1"/>
    <x v="2"/>
    <n v="0"/>
    <n v="0"/>
    <n v="3"/>
    <n v="3"/>
    <n v="3"/>
    <s v="Human Resources"/>
    <n v="0"/>
    <n v="0"/>
    <n v="0"/>
    <n v="0"/>
    <n v="0"/>
    <n v="3"/>
    <s v="Female"/>
    <n v="1"/>
    <n v="44"/>
    <n v="4"/>
    <n v="2"/>
    <s v="Human Resources"/>
    <n v="0"/>
    <n v="0"/>
    <n v="0"/>
    <n v="0"/>
    <n v="0"/>
    <n v="0"/>
    <n v="0"/>
    <n v="0"/>
    <n v="2"/>
    <s v="Married"/>
    <n v="0"/>
    <n v="1"/>
    <n v="6389"/>
    <n v="6389"/>
    <n v="9"/>
    <s v="No"/>
    <n v="0"/>
    <n v="15"/>
    <n v="3"/>
    <n v="3"/>
    <n v="1"/>
    <n v="12"/>
    <x v="4"/>
    <n v="3"/>
    <n v="1"/>
    <n v="8"/>
    <n v="8"/>
    <n v="3"/>
    <n v="3"/>
    <n v="3"/>
    <n v="6"/>
    <n v="6"/>
    <n v="12"/>
    <n v="0"/>
    <n v="1"/>
    <n v="0"/>
    <n v="0"/>
    <n v="0"/>
    <n v="0"/>
    <n v="1"/>
    <n v="0"/>
    <n v="6"/>
    <n v="0"/>
    <n v="0"/>
    <n v="12"/>
    <n v="0"/>
    <n v="0"/>
    <n v="2.4199732020912138E-2"/>
    <n v="0.52600872973843971"/>
    <n v="9.2588147734864096E-2"/>
    <n v="0.16189221622713135"/>
    <n v="0.76386092994953758"/>
    <n v="0.22726935890025346"/>
    <n v="0.2520597274726662"/>
  </r>
  <r>
    <n v="56"/>
    <n v="56"/>
    <s v="No"/>
    <n v="0"/>
    <s v="Travel_Rarely"/>
    <n v="0"/>
    <n v="1"/>
    <x v="1"/>
    <n v="1"/>
    <n v="0"/>
    <n v="9"/>
    <n v="9"/>
    <n v="3"/>
    <s v="Medical"/>
    <n v="0"/>
    <n v="0"/>
    <n v="1"/>
    <n v="0"/>
    <n v="0"/>
    <n v="3"/>
    <s v="Male"/>
    <n v="0"/>
    <n v="81"/>
    <n v="3"/>
    <n v="4"/>
    <s v="Healthcare Representative"/>
    <n v="1"/>
    <n v="0"/>
    <n v="0"/>
    <n v="0"/>
    <n v="0"/>
    <n v="0"/>
    <n v="0"/>
    <n v="0"/>
    <n v="4"/>
    <s v="Married"/>
    <n v="0"/>
    <n v="1"/>
    <n v="11103"/>
    <n v="11103"/>
    <n v="7"/>
    <s v="No"/>
    <n v="0"/>
    <n v="11"/>
    <n v="3"/>
    <n v="3"/>
    <n v="0"/>
    <n v="30"/>
    <x v="29"/>
    <n v="1"/>
    <n v="2"/>
    <n v="10"/>
    <n v="10"/>
    <n v="7"/>
    <n v="1"/>
    <n v="1"/>
    <n v="1"/>
    <n v="1"/>
    <n v="4"/>
    <n v="0"/>
    <n v="1"/>
    <n v="0"/>
    <n v="0"/>
    <n v="0"/>
    <n v="0"/>
    <n v="1"/>
    <n v="0"/>
    <n v="0"/>
    <n v="1"/>
    <n v="0"/>
    <n v="0"/>
    <n v="30"/>
    <n v="0"/>
    <n v="0.97708388573099703"/>
    <n v="0.87528310193156111"/>
    <n v="2.4059803942546978"/>
    <n v="0.48834154112957734"/>
    <n v="2.3747406698420157E-2"/>
    <n v="2.0881675498954482"/>
    <n v="0.36858985273641137"/>
  </r>
  <r>
    <n v="40"/>
    <n v="40"/>
    <s v="No"/>
    <n v="0"/>
    <s v="Travel_Rarely"/>
    <n v="0"/>
    <n v="1"/>
    <x v="1"/>
    <n v="1"/>
    <n v="0"/>
    <n v="2"/>
    <n v="2"/>
    <n v="1"/>
    <s v="Medical"/>
    <n v="0"/>
    <n v="0"/>
    <n v="1"/>
    <n v="0"/>
    <n v="0"/>
    <n v="4"/>
    <s v="Female"/>
    <n v="1"/>
    <n v="86"/>
    <n v="2"/>
    <n v="1"/>
    <s v="Research Scientist"/>
    <n v="0"/>
    <n v="0"/>
    <n v="0"/>
    <n v="0"/>
    <n v="0"/>
    <n v="0"/>
    <n v="0"/>
    <n v="1"/>
    <n v="4"/>
    <s v="Single"/>
    <n v="1"/>
    <n v="0"/>
    <n v="2342"/>
    <n v="2342"/>
    <n v="0"/>
    <s v="Yes"/>
    <n v="1"/>
    <n v="20"/>
    <n v="4"/>
    <n v="4"/>
    <n v="0"/>
    <n v="5"/>
    <x v="7"/>
    <n v="2"/>
    <n v="2"/>
    <n v="4"/>
    <n v="4"/>
    <n v="2"/>
    <n v="2"/>
    <n v="2"/>
    <n v="3"/>
    <n v="3"/>
    <n v="3"/>
    <n v="1"/>
    <n v="0"/>
    <n v="0"/>
    <n v="0"/>
    <n v="0"/>
    <n v="1"/>
    <n v="0"/>
    <n v="0"/>
    <n v="0"/>
    <n v="3"/>
    <n v="0"/>
    <n v="0"/>
    <n v="5"/>
    <n v="0"/>
    <n v="0.88380830245832764"/>
    <n v="0.31476636926356072"/>
    <n v="0.80706439257840468"/>
    <n v="0.49100643357776058"/>
    <n v="0.88721318382472392"/>
    <n v="0.33673395837055903"/>
    <n v="5.8265062631872602E-2"/>
  </r>
  <r>
    <n v="27"/>
    <n v="27"/>
    <s v="No"/>
    <n v="0"/>
    <s v="Travel_Rarely"/>
    <n v="0"/>
    <n v="1"/>
    <x v="1"/>
    <n v="1"/>
    <n v="0"/>
    <n v="7"/>
    <n v="7"/>
    <n v="3"/>
    <s v="Medical"/>
    <n v="0"/>
    <n v="0"/>
    <n v="1"/>
    <n v="0"/>
    <n v="0"/>
    <n v="4"/>
    <s v="Female"/>
    <n v="1"/>
    <n v="55"/>
    <n v="2"/>
    <n v="2"/>
    <s v="Healthcare Representative"/>
    <n v="1"/>
    <n v="0"/>
    <n v="0"/>
    <n v="0"/>
    <n v="0"/>
    <n v="0"/>
    <n v="0"/>
    <n v="0"/>
    <n v="1"/>
    <s v="Single"/>
    <n v="1"/>
    <n v="0"/>
    <n v="6811"/>
    <n v="6811"/>
    <n v="8"/>
    <s v="No"/>
    <n v="0"/>
    <n v="19"/>
    <n v="3"/>
    <n v="1"/>
    <n v="0"/>
    <n v="9"/>
    <x v="14"/>
    <n v="2"/>
    <n v="1"/>
    <n v="7"/>
    <n v="7"/>
    <n v="6"/>
    <n v="0"/>
    <n v="0"/>
    <n v="7"/>
    <n v="7"/>
    <n v="14"/>
    <n v="1"/>
    <n v="0"/>
    <n v="0"/>
    <n v="0"/>
    <n v="1"/>
    <n v="0"/>
    <n v="0"/>
    <n v="0"/>
    <n v="0"/>
    <n v="7"/>
    <n v="0"/>
    <n v="0"/>
    <n v="9"/>
    <n v="0"/>
    <n v="6.5435755185559163E-2"/>
    <n v="0.80626709607243985"/>
    <n v="0.29297722668510823"/>
    <n v="1.3324462240916321E-3"/>
    <n v="0.27045191444879263"/>
    <n v="1.0863058347434136"/>
    <n v="0.67891464284095016"/>
  </r>
  <r>
    <n v="29"/>
    <n v="29"/>
    <s v="No"/>
    <n v="0"/>
    <s v="Travel_Rarely"/>
    <n v="0"/>
    <n v="1"/>
    <x v="0"/>
    <n v="0"/>
    <n v="1"/>
    <n v="10"/>
    <n v="10"/>
    <n v="3"/>
    <s v="Marketing"/>
    <n v="0"/>
    <n v="0"/>
    <n v="0"/>
    <n v="1"/>
    <n v="0"/>
    <n v="4"/>
    <s v="Male"/>
    <n v="0"/>
    <n v="83"/>
    <n v="3"/>
    <n v="1"/>
    <s v="Sales Representative"/>
    <n v="0"/>
    <n v="0"/>
    <n v="0"/>
    <n v="0"/>
    <n v="0"/>
    <n v="0"/>
    <n v="1"/>
    <n v="0"/>
    <n v="2"/>
    <s v="Divorced"/>
    <n v="0"/>
    <n v="0"/>
    <n v="2297"/>
    <n v="2297"/>
    <n v="1"/>
    <s v="No"/>
    <n v="0"/>
    <n v="14"/>
    <n v="3"/>
    <n v="4"/>
    <n v="2"/>
    <n v="2"/>
    <x v="16"/>
    <n v="2"/>
    <n v="3"/>
    <n v="2"/>
    <n v="2"/>
    <n v="2"/>
    <n v="2"/>
    <n v="2"/>
    <n v="2"/>
    <n v="2"/>
    <n v="2"/>
    <n v="1"/>
    <n v="0"/>
    <n v="0"/>
    <n v="0"/>
    <n v="1"/>
    <n v="0"/>
    <n v="0"/>
    <n v="0"/>
    <n v="0"/>
    <n v="0"/>
    <n v="2"/>
    <n v="0"/>
    <n v="0"/>
    <n v="2"/>
    <n v="0.89336658900878074"/>
    <n v="0.59502473559756086"/>
    <n v="1.192629766998377"/>
    <n v="0.81745575848020657"/>
    <n v="9.9604847176766084E-2"/>
    <n v="0.86737663580280233"/>
    <n v="5.8265062631872602E-2"/>
  </r>
  <r>
    <n v="53"/>
    <n v="53"/>
    <s v="No"/>
    <n v="0"/>
    <s v="Travel_Rarely"/>
    <n v="0"/>
    <n v="1"/>
    <x v="1"/>
    <n v="1"/>
    <n v="0"/>
    <n v="6"/>
    <n v="6"/>
    <n v="3"/>
    <s v="Life Sciences"/>
    <n v="1"/>
    <n v="0"/>
    <n v="0"/>
    <n v="0"/>
    <n v="0"/>
    <n v="4"/>
    <s v="Male"/>
    <n v="0"/>
    <n v="86"/>
    <n v="3"/>
    <n v="2"/>
    <s v="Laboratory Technician"/>
    <n v="0"/>
    <n v="0"/>
    <n v="1"/>
    <n v="0"/>
    <n v="0"/>
    <n v="0"/>
    <n v="0"/>
    <n v="0"/>
    <n v="4"/>
    <s v="Single"/>
    <n v="1"/>
    <n v="0"/>
    <n v="2450"/>
    <n v="2450"/>
    <n v="2"/>
    <s v="No"/>
    <n v="0"/>
    <n v="17"/>
    <n v="3"/>
    <n v="4"/>
    <n v="0"/>
    <n v="19"/>
    <x v="15"/>
    <n v="4"/>
    <n v="3"/>
    <n v="2"/>
    <n v="2"/>
    <n v="2"/>
    <n v="2"/>
    <n v="2"/>
    <n v="2"/>
    <n v="2"/>
    <n v="4"/>
    <n v="1"/>
    <n v="0"/>
    <n v="0"/>
    <n v="0"/>
    <n v="1"/>
    <n v="0"/>
    <n v="0"/>
    <n v="0"/>
    <n v="0"/>
    <n v="2"/>
    <n v="0"/>
    <n v="0"/>
    <n v="19"/>
    <n v="0"/>
    <n v="0.86086841473724018"/>
    <n v="0.59502473559756086"/>
    <n v="0.99224068804813281"/>
    <n v="0.81745575848020657"/>
    <n v="0.39380416832397891"/>
    <n v="1.7597737514845315"/>
    <n v="5.8265062631872602E-2"/>
  </r>
  <r>
    <n v="35"/>
    <n v="35"/>
    <s v="No"/>
    <n v="0"/>
    <s v="Non-Travel"/>
    <n v="0"/>
    <n v="0"/>
    <x v="1"/>
    <n v="1"/>
    <n v="0"/>
    <n v="2"/>
    <n v="2"/>
    <n v="4"/>
    <s v="Life Sciences"/>
    <n v="1"/>
    <n v="0"/>
    <n v="0"/>
    <n v="0"/>
    <n v="0"/>
    <n v="4"/>
    <s v="Female"/>
    <n v="1"/>
    <n v="61"/>
    <n v="3"/>
    <n v="2"/>
    <s v="Healthcare Representative"/>
    <n v="1"/>
    <n v="0"/>
    <n v="0"/>
    <n v="0"/>
    <n v="0"/>
    <n v="0"/>
    <n v="0"/>
    <n v="0"/>
    <n v="1"/>
    <s v="Divorced"/>
    <n v="0"/>
    <n v="0"/>
    <n v="5093"/>
    <n v="5093"/>
    <n v="2"/>
    <s v="No"/>
    <n v="0"/>
    <n v="11"/>
    <n v="3"/>
    <n v="1"/>
    <n v="1"/>
    <n v="16"/>
    <x v="27"/>
    <n v="2"/>
    <n v="4"/>
    <n v="1"/>
    <n v="1"/>
    <n v="0"/>
    <n v="0"/>
    <n v="0"/>
    <n v="0"/>
    <n v="0"/>
    <n v="0"/>
    <n v="1"/>
    <n v="0"/>
    <n v="0"/>
    <n v="0"/>
    <n v="1"/>
    <n v="0"/>
    <n v="0"/>
    <n v="0"/>
    <n v="0"/>
    <n v="0"/>
    <n v="0"/>
    <n v="0"/>
    <n v="16"/>
    <n v="0"/>
    <n v="0.29947838467396143"/>
    <n v="1.1555414682655611"/>
    <n v="0.60667531362816052"/>
    <n v="0.9806804209314296"/>
    <n v="0.88721318382472392"/>
    <n v="0.21058903898096887"/>
    <n v="0.67891464284095016"/>
  </r>
  <r>
    <n v="32"/>
    <n v="32"/>
    <s v="No"/>
    <n v="0"/>
    <s v="Travel_Frequently"/>
    <n v="1"/>
    <n v="0"/>
    <x v="1"/>
    <n v="1"/>
    <n v="0"/>
    <n v="24"/>
    <n v="24"/>
    <n v="4"/>
    <s v="Life Sciences"/>
    <n v="1"/>
    <n v="0"/>
    <n v="0"/>
    <n v="0"/>
    <n v="0"/>
    <n v="1"/>
    <s v="Male"/>
    <n v="0"/>
    <n v="80"/>
    <n v="3"/>
    <n v="2"/>
    <s v="Laboratory Technician"/>
    <n v="0"/>
    <n v="0"/>
    <n v="1"/>
    <n v="0"/>
    <n v="0"/>
    <n v="0"/>
    <n v="0"/>
    <n v="0"/>
    <n v="4"/>
    <s v="Married"/>
    <n v="0"/>
    <n v="1"/>
    <n v="5309"/>
    <n v="5309"/>
    <n v="1"/>
    <s v="No"/>
    <n v="0"/>
    <n v="15"/>
    <n v="3"/>
    <n v="4"/>
    <n v="2"/>
    <n v="10"/>
    <x v="1"/>
    <n v="2"/>
    <n v="3"/>
    <n v="10"/>
    <n v="10"/>
    <n v="8"/>
    <n v="4"/>
    <n v="4"/>
    <n v="7"/>
    <n v="7"/>
    <n v="14"/>
    <n v="0"/>
    <n v="0"/>
    <n v="0"/>
    <n v="1"/>
    <n v="0"/>
    <n v="0"/>
    <n v="1"/>
    <n v="0"/>
    <n v="0"/>
    <n v="7"/>
    <n v="0"/>
    <n v="0"/>
    <n v="10"/>
    <n v="0"/>
    <n v="0.25359860923178656"/>
    <n v="0.80626709607243985"/>
    <n v="0.1644554352117841"/>
    <n v="0.48834154112957734"/>
    <n v="1.8265364014293735"/>
    <n v="0.53898283739188557"/>
    <n v="0.56238451757720498"/>
  </r>
  <r>
    <n v="38"/>
    <n v="38"/>
    <s v="No"/>
    <n v="0"/>
    <s v="Travel_Rarely"/>
    <n v="0"/>
    <n v="1"/>
    <x v="1"/>
    <n v="1"/>
    <n v="0"/>
    <n v="2"/>
    <n v="2"/>
    <n v="5"/>
    <s v="Medical"/>
    <n v="0"/>
    <n v="0"/>
    <n v="1"/>
    <n v="0"/>
    <n v="0"/>
    <n v="4"/>
    <s v="Male"/>
    <n v="0"/>
    <n v="92"/>
    <n v="3"/>
    <n v="1"/>
    <s v="Research Scientist"/>
    <n v="0"/>
    <n v="0"/>
    <n v="0"/>
    <n v="0"/>
    <n v="0"/>
    <n v="0"/>
    <n v="0"/>
    <n v="1"/>
    <n v="3"/>
    <s v="Married"/>
    <n v="0"/>
    <n v="1"/>
    <n v="3057"/>
    <n v="3057"/>
    <n v="6"/>
    <s v="Yes"/>
    <n v="1"/>
    <n v="13"/>
    <n v="3"/>
    <n v="2"/>
    <n v="1"/>
    <n v="6"/>
    <x v="3"/>
    <n v="0"/>
    <n v="1"/>
    <n v="1"/>
    <n v="1"/>
    <n v="0"/>
    <n v="0"/>
    <n v="0"/>
    <n v="1"/>
    <n v="1"/>
    <n v="1"/>
    <n v="0"/>
    <n v="1"/>
    <n v="0"/>
    <n v="0"/>
    <n v="0"/>
    <n v="0"/>
    <n v="0"/>
    <n v="1"/>
    <n v="0"/>
    <n v="1"/>
    <n v="0"/>
    <n v="0"/>
    <n v="6"/>
    <n v="0"/>
    <n v="0.73193774949001722"/>
    <n v="0.87528310193156111"/>
    <n v="0.67854260110508058"/>
    <n v="0.9806804209314296"/>
    <n v="0.88721318382472392"/>
    <n v="0.11780475942994788"/>
    <n v="0.67891464284095016"/>
  </r>
  <r>
    <n v="34"/>
    <n v="34"/>
    <s v="No"/>
    <n v="0"/>
    <s v="Travel_Rarely"/>
    <n v="0"/>
    <n v="1"/>
    <x v="1"/>
    <n v="1"/>
    <n v="0"/>
    <n v="8"/>
    <n v="8"/>
    <n v="5"/>
    <s v="Life Sciences"/>
    <n v="1"/>
    <n v="0"/>
    <n v="0"/>
    <n v="0"/>
    <n v="0"/>
    <n v="2"/>
    <s v="Female"/>
    <n v="1"/>
    <n v="32"/>
    <n v="3"/>
    <n v="2"/>
    <s v="Manufacturing Director"/>
    <n v="0"/>
    <n v="0"/>
    <n v="0"/>
    <n v="0"/>
    <n v="1"/>
    <n v="1"/>
    <n v="0"/>
    <n v="0"/>
    <n v="1"/>
    <s v="Divorced"/>
    <n v="0"/>
    <n v="0"/>
    <n v="5121"/>
    <n v="5121"/>
    <n v="3"/>
    <s v="No"/>
    <n v="0"/>
    <n v="14"/>
    <n v="3"/>
    <n v="3"/>
    <n v="1"/>
    <n v="7"/>
    <x v="2"/>
    <n v="3"/>
    <n v="3"/>
    <n v="0"/>
    <n v="0"/>
    <n v="0"/>
    <n v="0"/>
    <n v="0"/>
    <n v="0"/>
    <n v="0"/>
    <n v="0"/>
    <n v="1"/>
    <n v="0"/>
    <n v="0"/>
    <n v="0"/>
    <n v="1"/>
    <n v="0"/>
    <n v="0"/>
    <n v="0"/>
    <n v="0"/>
    <n v="0"/>
    <n v="0"/>
    <n v="0"/>
    <n v="7"/>
    <n v="0"/>
    <n v="0.29353100637590174"/>
    <n v="1.1555414682655611"/>
    <n v="0.55002080963175637"/>
    <n v="1.1439050833826525"/>
    <n v="0.14709966057360641"/>
    <n v="0.32005363845127444"/>
    <n v="0.67891464284095016"/>
  </r>
  <r>
    <n v="52"/>
    <n v="52"/>
    <s v="No"/>
    <n v="0"/>
    <s v="Travel_Rarely"/>
    <n v="0"/>
    <n v="1"/>
    <x v="0"/>
    <n v="0"/>
    <n v="1"/>
    <n v="3"/>
    <n v="3"/>
    <n v="4"/>
    <s v="Marketing"/>
    <n v="0"/>
    <n v="0"/>
    <n v="0"/>
    <n v="1"/>
    <n v="0"/>
    <n v="3"/>
    <s v="Male"/>
    <n v="0"/>
    <n v="31"/>
    <n v="2"/>
    <n v="4"/>
    <s v="Manager"/>
    <n v="0"/>
    <n v="0"/>
    <n v="0"/>
    <n v="1"/>
    <n v="0"/>
    <n v="0"/>
    <n v="0"/>
    <n v="0"/>
    <n v="1"/>
    <s v="Married"/>
    <n v="0"/>
    <n v="1"/>
    <n v="16856"/>
    <n v="16856"/>
    <n v="1"/>
    <s v="No"/>
    <n v="0"/>
    <n v="11"/>
    <n v="3"/>
    <n v="1"/>
    <n v="0"/>
    <n v="34"/>
    <x v="31"/>
    <n v="3"/>
    <n v="4"/>
    <n v="34"/>
    <n v="31"/>
    <n v="6"/>
    <n v="1"/>
    <n v="1"/>
    <n v="16"/>
    <n v="14"/>
    <n v="56"/>
    <n v="0"/>
    <n v="1"/>
    <n v="0"/>
    <n v="0"/>
    <n v="0"/>
    <n v="0"/>
    <n v="1"/>
    <n v="0"/>
    <n v="0"/>
    <n v="0"/>
    <n v="14"/>
    <n v="0"/>
    <n v="0"/>
    <n v="34"/>
    <n v="2.1990577196144789"/>
    <n v="3.3285923930784413"/>
    <n v="2.9200675601479942"/>
    <n v="4.4057334399589285"/>
    <n v="0.76386092994953758"/>
    <n v="1.6503091520142259"/>
    <n v="0.36858985273641137"/>
  </r>
  <r>
    <n v="33"/>
    <n v="33"/>
    <s v="Yes"/>
    <n v="1"/>
    <s v="Travel_Rarely"/>
    <n v="0"/>
    <n v="1"/>
    <x v="1"/>
    <n v="1"/>
    <n v="0"/>
    <n v="1"/>
    <n v="1"/>
    <n v="4"/>
    <s v="Other"/>
    <n v="0"/>
    <n v="1"/>
    <n v="0"/>
    <n v="0"/>
    <n v="0"/>
    <n v="4"/>
    <s v="Male"/>
    <n v="0"/>
    <n v="63"/>
    <n v="3"/>
    <n v="1"/>
    <s v="Research Scientist"/>
    <n v="0"/>
    <n v="0"/>
    <n v="0"/>
    <n v="0"/>
    <n v="0"/>
    <n v="0"/>
    <n v="0"/>
    <n v="1"/>
    <n v="4"/>
    <s v="Single"/>
    <n v="1"/>
    <n v="0"/>
    <n v="2686"/>
    <n v="2686"/>
    <n v="1"/>
    <s v="Yes"/>
    <n v="1"/>
    <n v="13"/>
    <n v="3"/>
    <n v="3"/>
    <n v="0"/>
    <n v="10"/>
    <x v="1"/>
    <n v="2"/>
    <n v="2"/>
    <n v="10"/>
    <n v="10"/>
    <n v="9"/>
    <n v="7"/>
    <n v="7"/>
    <n v="8"/>
    <n v="8"/>
    <n v="8"/>
    <n v="1"/>
    <n v="0"/>
    <n v="0"/>
    <n v="0"/>
    <n v="0"/>
    <n v="1"/>
    <n v="0"/>
    <n v="0"/>
    <n v="0"/>
    <n v="8"/>
    <n v="0"/>
    <n v="0"/>
    <n v="10"/>
    <n v="0"/>
    <n v="0.81074051193930841"/>
    <n v="1.08652546240644"/>
    <n v="0.1644554352117841"/>
    <n v="0.48834154112957734"/>
    <n v="1.01056543769991"/>
    <n v="0.42951823792158"/>
    <n v="1.4933588878908215"/>
  </r>
  <r>
    <n v="25"/>
    <n v="25"/>
    <s v="No"/>
    <n v="0"/>
    <s v="Travel_Rarely"/>
    <n v="0"/>
    <n v="1"/>
    <x v="0"/>
    <n v="0"/>
    <n v="1"/>
    <n v="26"/>
    <n v="26"/>
    <n v="1"/>
    <s v="Medical"/>
    <n v="0"/>
    <n v="0"/>
    <n v="1"/>
    <n v="0"/>
    <n v="0"/>
    <n v="3"/>
    <s v="Female"/>
    <n v="1"/>
    <n v="32"/>
    <n v="3"/>
    <n v="2"/>
    <s v="Sales Executive"/>
    <n v="0"/>
    <n v="1"/>
    <n v="0"/>
    <n v="0"/>
    <n v="0"/>
    <n v="0"/>
    <n v="0"/>
    <n v="0"/>
    <n v="4"/>
    <s v="Single"/>
    <n v="1"/>
    <n v="0"/>
    <n v="6180"/>
    <n v="6180"/>
    <n v="1"/>
    <s v="No"/>
    <n v="0"/>
    <n v="23"/>
    <n v="4"/>
    <n v="2"/>
    <n v="0"/>
    <n v="6"/>
    <x v="3"/>
    <n v="5"/>
    <n v="2"/>
    <n v="6"/>
    <n v="6"/>
    <n v="5"/>
    <n v="1"/>
    <n v="1"/>
    <n v="4"/>
    <n v="4"/>
    <n v="8"/>
    <n v="1"/>
    <n v="0"/>
    <n v="0"/>
    <n v="0"/>
    <n v="1"/>
    <n v="0"/>
    <n v="0"/>
    <n v="0"/>
    <n v="0"/>
    <n v="0"/>
    <n v="4"/>
    <n v="0"/>
    <n v="0"/>
    <n v="6"/>
    <n v="6.859266288857209E-2"/>
    <n v="3.4508002929560584E-2"/>
    <n v="0.67854260110508058"/>
    <n v="0.16455710867531462"/>
    <n v="2.0732409091797459"/>
    <n v="1.3052350336840246"/>
    <n v="0.36858985273641137"/>
  </r>
  <r>
    <n v="45"/>
    <n v="45"/>
    <s v="No"/>
    <n v="0"/>
    <s v="Travel_Rarely"/>
    <n v="0"/>
    <n v="1"/>
    <x v="0"/>
    <n v="0"/>
    <n v="1"/>
    <n v="2"/>
    <n v="2"/>
    <n v="2"/>
    <s v="Technical Degree"/>
    <n v="0"/>
    <n v="0"/>
    <n v="0"/>
    <n v="0"/>
    <n v="1"/>
    <n v="2"/>
    <s v="Male"/>
    <n v="0"/>
    <n v="46"/>
    <n v="1"/>
    <n v="2"/>
    <s v="Sales Representative"/>
    <n v="0"/>
    <n v="0"/>
    <n v="0"/>
    <n v="0"/>
    <n v="0"/>
    <n v="0"/>
    <n v="1"/>
    <n v="0"/>
    <n v="3"/>
    <s v="Single"/>
    <n v="1"/>
    <n v="0"/>
    <n v="6632"/>
    <n v="6632"/>
    <n v="0"/>
    <s v="No"/>
    <n v="0"/>
    <n v="13"/>
    <n v="3"/>
    <n v="1"/>
    <n v="0"/>
    <n v="9"/>
    <x v="14"/>
    <n v="3"/>
    <n v="3"/>
    <n v="8"/>
    <n v="8"/>
    <n v="7"/>
    <n v="3"/>
    <n v="3"/>
    <n v="1"/>
    <n v="1"/>
    <n v="2"/>
    <n v="1"/>
    <n v="0"/>
    <n v="0"/>
    <n v="0"/>
    <n v="1"/>
    <n v="0"/>
    <n v="0"/>
    <n v="0"/>
    <n v="0"/>
    <n v="0"/>
    <n v="1"/>
    <n v="0"/>
    <n v="0"/>
    <n v="9"/>
    <n v="2.7415015351534604E-2"/>
    <n v="0.87528310193156111"/>
    <n v="0.29297722668510823"/>
    <n v="0.16189221622713135"/>
    <n v="0.88721318382472392"/>
    <n v="0.88405695572208698"/>
    <n v="0.2520597274726662"/>
  </r>
  <r>
    <n v="23"/>
    <n v="23"/>
    <s v="No"/>
    <n v="0"/>
    <s v="Travel_Rarely"/>
    <n v="0"/>
    <n v="1"/>
    <x v="1"/>
    <n v="1"/>
    <n v="0"/>
    <n v="10"/>
    <n v="10"/>
    <n v="1"/>
    <s v="Medical"/>
    <n v="0"/>
    <n v="0"/>
    <n v="1"/>
    <n v="0"/>
    <n v="0"/>
    <n v="1"/>
    <s v="Male"/>
    <n v="0"/>
    <n v="79"/>
    <n v="4"/>
    <n v="1"/>
    <s v="Research Scientist"/>
    <n v="0"/>
    <n v="0"/>
    <n v="0"/>
    <n v="0"/>
    <n v="0"/>
    <n v="0"/>
    <n v="0"/>
    <n v="1"/>
    <n v="3"/>
    <s v="Single"/>
    <n v="1"/>
    <n v="0"/>
    <n v="3505"/>
    <n v="3505"/>
    <n v="1"/>
    <s v="No"/>
    <n v="0"/>
    <n v="18"/>
    <n v="3"/>
    <n v="4"/>
    <n v="0"/>
    <n v="2"/>
    <x v="16"/>
    <n v="3"/>
    <n v="3"/>
    <n v="2"/>
    <n v="2"/>
    <n v="2"/>
    <n v="0"/>
    <n v="0"/>
    <n v="2"/>
    <n v="2"/>
    <n v="2"/>
    <n v="1"/>
    <n v="0"/>
    <n v="0"/>
    <n v="0"/>
    <n v="1"/>
    <n v="0"/>
    <n v="0"/>
    <n v="0"/>
    <n v="0"/>
    <n v="2"/>
    <n v="0"/>
    <n v="0"/>
    <n v="2"/>
    <n v="0"/>
    <n v="0.63677969672106194"/>
    <n v="0.59502473559756086"/>
    <n v="1.192629766998377"/>
    <n v="0.81745575848020657"/>
    <n v="9.9604847176766084E-2"/>
    <n v="1.5241642326246359"/>
    <n v="0.67891464284095016"/>
  </r>
  <r>
    <n v="47"/>
    <n v="47"/>
    <s v="Yes"/>
    <n v="1"/>
    <s v="Travel_Frequently"/>
    <n v="1"/>
    <n v="0"/>
    <x v="0"/>
    <n v="0"/>
    <n v="1"/>
    <n v="27"/>
    <n v="27"/>
    <n v="2"/>
    <s v="Life Sciences"/>
    <n v="1"/>
    <n v="0"/>
    <n v="0"/>
    <n v="0"/>
    <n v="0"/>
    <n v="2"/>
    <s v="Female"/>
    <n v="1"/>
    <n v="77"/>
    <n v="4"/>
    <n v="2"/>
    <s v="Sales Executive"/>
    <n v="0"/>
    <n v="1"/>
    <n v="0"/>
    <n v="0"/>
    <n v="0"/>
    <n v="0"/>
    <n v="0"/>
    <n v="0"/>
    <n v="3"/>
    <s v="Single"/>
    <n v="1"/>
    <n v="0"/>
    <n v="6397"/>
    <n v="6397"/>
    <n v="4"/>
    <s v="Yes"/>
    <n v="1"/>
    <n v="12"/>
    <n v="3"/>
    <n v="4"/>
    <n v="0"/>
    <n v="8"/>
    <x v="0"/>
    <n v="2"/>
    <n v="3"/>
    <n v="5"/>
    <n v="5"/>
    <n v="4"/>
    <n v="1"/>
    <n v="1"/>
    <n v="3"/>
    <n v="3"/>
    <n v="6"/>
    <n v="0"/>
    <n v="0"/>
    <n v="1"/>
    <n v="0"/>
    <n v="0"/>
    <n v="1"/>
    <n v="0"/>
    <n v="0"/>
    <n v="0"/>
    <n v="0"/>
    <n v="3"/>
    <n v="0"/>
    <n v="0"/>
    <n v="8"/>
    <n v="2.2500481078609365E-2"/>
    <n v="0.31476636926356072"/>
    <n v="0.42149901815843233"/>
    <n v="0.32778177112653761"/>
    <n v="2.1965931630549322"/>
    <n v="1.102986154662698"/>
    <n v="0.36858985273641137"/>
  </r>
  <r>
    <n v="34"/>
    <n v="34"/>
    <s v="No"/>
    <n v="0"/>
    <s v="Travel_Rarely"/>
    <n v="0"/>
    <n v="1"/>
    <x v="0"/>
    <n v="0"/>
    <n v="1"/>
    <n v="2"/>
    <n v="2"/>
    <n v="3"/>
    <s v="Other"/>
    <n v="0"/>
    <n v="1"/>
    <n v="0"/>
    <n v="0"/>
    <n v="0"/>
    <n v="4"/>
    <s v="Male"/>
    <n v="0"/>
    <n v="60"/>
    <n v="3"/>
    <n v="2"/>
    <s v="Sales Executive"/>
    <n v="0"/>
    <n v="1"/>
    <n v="0"/>
    <n v="0"/>
    <n v="0"/>
    <n v="0"/>
    <n v="0"/>
    <n v="0"/>
    <n v="4"/>
    <s v="Single"/>
    <n v="1"/>
    <n v="0"/>
    <n v="6274"/>
    <n v="6274"/>
    <n v="1"/>
    <s v="No"/>
    <n v="0"/>
    <n v="22"/>
    <n v="4"/>
    <n v="3"/>
    <n v="0"/>
    <n v="6"/>
    <x v="3"/>
    <n v="5"/>
    <n v="3"/>
    <n v="6"/>
    <n v="6"/>
    <n v="5"/>
    <n v="1"/>
    <n v="1"/>
    <n v="4"/>
    <n v="4"/>
    <n v="8"/>
    <n v="1"/>
    <n v="0"/>
    <n v="0"/>
    <n v="0"/>
    <n v="1"/>
    <n v="0"/>
    <n v="0"/>
    <n v="0"/>
    <n v="0"/>
    <n v="0"/>
    <n v="4"/>
    <n v="0"/>
    <n v="0"/>
    <n v="6"/>
    <n v="4.8626464316514503E-2"/>
    <n v="3.4508002929560584E-2"/>
    <n v="0.67854260110508058"/>
    <n v="0.16455710867531462"/>
    <n v="0.88721318382472392"/>
    <n v="0.32005363845127444"/>
    <n v="0.36858985273641137"/>
  </r>
  <r>
    <n v="55"/>
    <n v="55"/>
    <s v="Yes"/>
    <n v="1"/>
    <s v="Travel_Rarely"/>
    <n v="0"/>
    <n v="1"/>
    <x v="1"/>
    <n v="1"/>
    <n v="0"/>
    <n v="2"/>
    <n v="2"/>
    <n v="3"/>
    <s v="Medical"/>
    <n v="0"/>
    <n v="0"/>
    <n v="1"/>
    <n v="0"/>
    <n v="0"/>
    <n v="4"/>
    <s v="Male"/>
    <n v="0"/>
    <n v="78"/>
    <n v="3"/>
    <n v="5"/>
    <s v="Manager"/>
    <n v="0"/>
    <n v="0"/>
    <n v="0"/>
    <n v="1"/>
    <n v="0"/>
    <n v="0"/>
    <n v="0"/>
    <n v="0"/>
    <n v="1"/>
    <s v="Married"/>
    <n v="0"/>
    <n v="1"/>
    <n v="19859"/>
    <n v="19626.310000000001"/>
    <n v="5"/>
    <s v="Yes"/>
    <n v="1"/>
    <n v="13"/>
    <n v="3"/>
    <n v="4"/>
    <n v="1"/>
    <n v="24"/>
    <x v="12"/>
    <n v="2"/>
    <n v="3"/>
    <n v="5"/>
    <n v="5"/>
    <n v="2"/>
    <n v="1"/>
    <n v="1"/>
    <n v="4"/>
    <n v="4"/>
    <n v="20"/>
    <n v="0"/>
    <n v="1"/>
    <n v="0"/>
    <n v="0"/>
    <n v="0"/>
    <n v="0"/>
    <n v="0"/>
    <n v="1"/>
    <n v="0"/>
    <n v="4"/>
    <n v="0"/>
    <n v="0"/>
    <n v="24"/>
    <n v="0"/>
    <n v="2.8369140420813825"/>
    <n v="3.4508002929560584E-2"/>
    <n v="1.6348496454147534"/>
    <n v="0.32778177112653761"/>
    <n v="0.88721318382472392"/>
    <n v="1.9787029504251428"/>
    <n v="0.36858985273641137"/>
  </r>
  <r>
    <n v="36"/>
    <n v="36"/>
    <s v="No"/>
    <n v="0"/>
    <s v="Non-Travel"/>
    <n v="0"/>
    <n v="0"/>
    <x v="0"/>
    <n v="0"/>
    <n v="1"/>
    <n v="8"/>
    <n v="8"/>
    <n v="4"/>
    <s v="Life Sciences"/>
    <n v="1"/>
    <n v="0"/>
    <n v="0"/>
    <n v="0"/>
    <n v="0"/>
    <n v="1"/>
    <s v="Male"/>
    <n v="0"/>
    <n v="76"/>
    <n v="2"/>
    <n v="3"/>
    <s v="Sales Executive"/>
    <n v="0"/>
    <n v="1"/>
    <n v="0"/>
    <n v="0"/>
    <n v="0"/>
    <n v="0"/>
    <n v="0"/>
    <n v="0"/>
    <n v="1"/>
    <s v="Single"/>
    <n v="1"/>
    <n v="0"/>
    <n v="7587"/>
    <n v="7587"/>
    <n v="1"/>
    <s v="No"/>
    <n v="0"/>
    <n v="15"/>
    <n v="3"/>
    <n v="2"/>
    <n v="0"/>
    <n v="10"/>
    <x v="1"/>
    <n v="1"/>
    <n v="3"/>
    <n v="10"/>
    <n v="10"/>
    <n v="7"/>
    <n v="0"/>
    <n v="0"/>
    <n v="9"/>
    <n v="9"/>
    <n v="27"/>
    <n v="1"/>
    <n v="0"/>
    <n v="0"/>
    <n v="0"/>
    <n v="1"/>
    <n v="0"/>
    <n v="0"/>
    <n v="0"/>
    <n v="0"/>
    <n v="0"/>
    <n v="9"/>
    <n v="0"/>
    <n v="0"/>
    <n v="10"/>
    <n v="0.23026309658892818"/>
    <n v="1.3667838287404401"/>
    <n v="0.1644554352117841"/>
    <n v="0.48834154112957734"/>
    <n v="0.14709966057360641"/>
    <n v="0.10112443951066327"/>
    <n v="0.67891464284095016"/>
  </r>
  <r>
    <n v="52"/>
    <n v="52"/>
    <s v="No"/>
    <n v="0"/>
    <s v="Non-Travel"/>
    <n v="0"/>
    <n v="0"/>
    <x v="1"/>
    <n v="1"/>
    <n v="0"/>
    <n v="19"/>
    <n v="19"/>
    <n v="4"/>
    <s v="Medical"/>
    <n v="0"/>
    <n v="0"/>
    <n v="1"/>
    <n v="0"/>
    <n v="0"/>
    <n v="4"/>
    <s v="Male"/>
    <n v="0"/>
    <n v="41"/>
    <n v="3"/>
    <n v="1"/>
    <s v="Research Scientist"/>
    <n v="0"/>
    <n v="0"/>
    <n v="0"/>
    <n v="0"/>
    <n v="0"/>
    <n v="0"/>
    <n v="0"/>
    <n v="1"/>
    <n v="4"/>
    <s v="Married"/>
    <n v="0"/>
    <n v="1"/>
    <n v="4258"/>
    <n v="4258"/>
    <n v="0"/>
    <s v="No"/>
    <n v="0"/>
    <n v="18"/>
    <n v="3"/>
    <n v="1"/>
    <n v="1"/>
    <n v="5"/>
    <x v="7"/>
    <n v="3"/>
    <n v="3"/>
    <n v="4"/>
    <n v="4"/>
    <n v="3"/>
    <n v="1"/>
    <n v="1"/>
    <n v="2"/>
    <n v="2"/>
    <n v="2"/>
    <n v="0"/>
    <n v="1"/>
    <n v="0"/>
    <n v="0"/>
    <n v="0"/>
    <n v="0"/>
    <n v="1"/>
    <n v="0"/>
    <n v="0"/>
    <n v="2"/>
    <n v="0"/>
    <n v="0"/>
    <n v="5"/>
    <n v="0"/>
    <n v="0.47683770177681339"/>
    <n v="0.59502473559756086"/>
    <n v="0.80706439257840468"/>
    <n v="0.49100643357776058"/>
    <n v="1.2097751320534422"/>
    <n v="1.6503091520142259"/>
    <n v="0.36858985273641137"/>
  </r>
  <r>
    <n v="26"/>
    <n v="26"/>
    <s v="No"/>
    <n v="0"/>
    <s v="Travel_Frequently"/>
    <n v="1"/>
    <n v="0"/>
    <x v="1"/>
    <n v="1"/>
    <n v="0"/>
    <n v="1"/>
    <n v="1"/>
    <n v="2"/>
    <s v="Life Sciences"/>
    <n v="1"/>
    <n v="0"/>
    <n v="0"/>
    <n v="0"/>
    <n v="0"/>
    <n v="1"/>
    <s v="Female"/>
    <n v="1"/>
    <n v="71"/>
    <n v="1"/>
    <n v="1"/>
    <s v="Laboratory Technician"/>
    <n v="0"/>
    <n v="0"/>
    <n v="1"/>
    <n v="0"/>
    <n v="0"/>
    <n v="0"/>
    <n v="0"/>
    <n v="0"/>
    <n v="4"/>
    <s v="Divorced"/>
    <n v="0"/>
    <n v="0"/>
    <n v="4364"/>
    <n v="4364"/>
    <n v="3"/>
    <s v="No"/>
    <n v="0"/>
    <n v="14"/>
    <n v="3"/>
    <n v="1"/>
    <n v="1"/>
    <n v="5"/>
    <x v="7"/>
    <n v="2"/>
    <n v="3"/>
    <n v="2"/>
    <n v="2"/>
    <n v="2"/>
    <n v="2"/>
    <n v="2"/>
    <n v="0"/>
    <n v="0"/>
    <n v="0"/>
    <n v="0"/>
    <n v="0"/>
    <n v="1"/>
    <n v="0"/>
    <n v="1"/>
    <n v="0"/>
    <n v="0"/>
    <n v="0"/>
    <n v="0"/>
    <n v="0"/>
    <n v="0"/>
    <n v="0"/>
    <n v="5"/>
    <n v="0"/>
    <n v="0.45432262679130164"/>
    <n v="1.1555414682655611"/>
    <n v="0.80706439257840468"/>
    <n v="0.81745575848020657"/>
    <n v="1.01056543769991"/>
    <n v="1.195770434213719"/>
    <n v="5.8265062631872602E-2"/>
  </r>
  <r>
    <n v="29"/>
    <n v="29"/>
    <s v="No"/>
    <n v="0"/>
    <s v="Travel_Rarely"/>
    <n v="0"/>
    <n v="1"/>
    <x v="1"/>
    <n v="1"/>
    <n v="0"/>
    <n v="27"/>
    <n v="27"/>
    <n v="3"/>
    <s v="Medical"/>
    <n v="0"/>
    <n v="0"/>
    <n v="1"/>
    <n v="0"/>
    <n v="0"/>
    <n v="2"/>
    <s v="Female"/>
    <n v="1"/>
    <n v="66"/>
    <n v="3"/>
    <n v="2"/>
    <s v="Healthcare Representative"/>
    <n v="1"/>
    <n v="0"/>
    <n v="0"/>
    <n v="0"/>
    <n v="0"/>
    <n v="0"/>
    <n v="0"/>
    <n v="0"/>
    <n v="3"/>
    <s v="Married"/>
    <n v="0"/>
    <n v="1"/>
    <n v="4335"/>
    <n v="4335"/>
    <n v="4"/>
    <s v="No"/>
    <n v="0"/>
    <n v="12"/>
    <n v="3"/>
    <n v="1"/>
    <n v="1"/>
    <n v="11"/>
    <x v="26"/>
    <n v="3"/>
    <n v="2"/>
    <n v="8"/>
    <n v="8"/>
    <n v="7"/>
    <n v="1"/>
    <n v="1"/>
    <n v="1"/>
    <n v="1"/>
    <n v="2"/>
    <n v="0"/>
    <n v="1"/>
    <n v="0"/>
    <n v="0"/>
    <n v="0"/>
    <n v="0"/>
    <n v="1"/>
    <n v="0"/>
    <n v="0"/>
    <n v="1"/>
    <n v="0"/>
    <n v="0"/>
    <n v="11"/>
    <n v="0"/>
    <n v="0.46048241145714919"/>
    <n v="0.87528310193156111"/>
    <n v="3.593364373846001E-2"/>
    <n v="0.16189221622713135"/>
    <n v="2.1965931630549322"/>
    <n v="0.86737663580280233"/>
    <n v="0.36858985273641137"/>
  </r>
  <r>
    <n v="26"/>
    <n v="26"/>
    <s v="Yes"/>
    <n v="1"/>
    <s v="Travel_Rarely"/>
    <n v="0"/>
    <n v="1"/>
    <x v="0"/>
    <n v="0"/>
    <n v="1"/>
    <n v="8"/>
    <n v="8"/>
    <n v="3"/>
    <s v="Technical Degree"/>
    <n v="0"/>
    <n v="0"/>
    <n v="0"/>
    <n v="0"/>
    <n v="1"/>
    <n v="4"/>
    <s v="Male"/>
    <n v="0"/>
    <n v="38"/>
    <n v="2"/>
    <n v="2"/>
    <s v="Sales Executive"/>
    <n v="0"/>
    <n v="1"/>
    <n v="0"/>
    <n v="0"/>
    <n v="0"/>
    <n v="0"/>
    <n v="0"/>
    <n v="0"/>
    <n v="1"/>
    <s v="Single"/>
    <n v="1"/>
    <n v="0"/>
    <n v="5326"/>
    <n v="5326"/>
    <n v="6"/>
    <s v="No"/>
    <n v="0"/>
    <n v="17"/>
    <n v="3"/>
    <n v="3"/>
    <n v="0"/>
    <n v="6"/>
    <x v="3"/>
    <n v="2"/>
    <n v="2"/>
    <n v="4"/>
    <n v="4"/>
    <n v="3"/>
    <n v="1"/>
    <n v="1"/>
    <n v="2"/>
    <n v="2"/>
    <n v="4"/>
    <n v="1"/>
    <n v="0"/>
    <n v="0"/>
    <n v="0"/>
    <n v="1"/>
    <n v="0"/>
    <n v="0"/>
    <n v="0"/>
    <n v="0"/>
    <n v="0"/>
    <n v="2"/>
    <n v="0"/>
    <n v="0"/>
    <n v="6"/>
    <n v="0.24998770097939316"/>
    <n v="0.59502473559756086"/>
    <n v="0.67854260110508058"/>
    <n v="0.49100643357776058"/>
    <n v="0.14709966057360641"/>
    <n v="1.195770434213719"/>
    <n v="0.36858985273641137"/>
  </r>
  <r>
    <n v="34"/>
    <n v="34"/>
    <s v="No"/>
    <n v="0"/>
    <s v="Travel_Rarely"/>
    <n v="0"/>
    <n v="1"/>
    <x v="1"/>
    <n v="1"/>
    <n v="0"/>
    <n v="1"/>
    <n v="1"/>
    <n v="4"/>
    <s v="Life Sciences"/>
    <n v="1"/>
    <n v="0"/>
    <n v="0"/>
    <n v="0"/>
    <n v="0"/>
    <n v="2"/>
    <s v="Female"/>
    <n v="1"/>
    <n v="72"/>
    <n v="4"/>
    <n v="1"/>
    <s v="Research Scientist"/>
    <n v="0"/>
    <n v="0"/>
    <n v="0"/>
    <n v="0"/>
    <n v="0"/>
    <n v="0"/>
    <n v="0"/>
    <n v="1"/>
    <n v="4"/>
    <s v="Single"/>
    <n v="1"/>
    <n v="0"/>
    <n v="3280"/>
    <n v="3280"/>
    <n v="2"/>
    <s v="No"/>
    <n v="0"/>
    <n v="16"/>
    <n v="3"/>
    <n v="3"/>
    <n v="0"/>
    <n v="10"/>
    <x v="1"/>
    <n v="2"/>
    <n v="3"/>
    <n v="4"/>
    <n v="4"/>
    <n v="2"/>
    <n v="1"/>
    <n v="1"/>
    <n v="3"/>
    <n v="3"/>
    <n v="3"/>
    <n v="1"/>
    <n v="0"/>
    <n v="0"/>
    <n v="0"/>
    <n v="1"/>
    <n v="0"/>
    <n v="0"/>
    <n v="0"/>
    <n v="0"/>
    <n v="3"/>
    <n v="0"/>
    <n v="0"/>
    <n v="10"/>
    <n v="0"/>
    <n v="0.68457112947332743"/>
    <n v="0.31476636926356072"/>
    <n v="0.1644554352117841"/>
    <n v="0.49100643357776058"/>
    <n v="1.01056543769991"/>
    <n v="0.32005363845127444"/>
    <n v="0.36858985273641137"/>
  </r>
  <r>
    <n v="54"/>
    <n v="54"/>
    <s v="No"/>
    <n v="0"/>
    <s v="Travel_Rarely"/>
    <n v="0"/>
    <n v="1"/>
    <x v="1"/>
    <n v="1"/>
    <n v="0"/>
    <n v="19"/>
    <n v="19"/>
    <n v="4"/>
    <s v="Medical"/>
    <n v="0"/>
    <n v="0"/>
    <n v="1"/>
    <n v="0"/>
    <n v="0"/>
    <n v="4"/>
    <s v="Female"/>
    <n v="1"/>
    <n v="95"/>
    <n v="3"/>
    <n v="2"/>
    <s v="Manufacturing Director"/>
    <n v="0"/>
    <n v="0"/>
    <n v="0"/>
    <n v="0"/>
    <n v="1"/>
    <n v="1"/>
    <n v="0"/>
    <n v="0"/>
    <n v="1"/>
    <s v="Divorced"/>
    <n v="0"/>
    <n v="0"/>
    <n v="5485"/>
    <n v="5485"/>
    <n v="9"/>
    <s v="Yes"/>
    <n v="1"/>
    <n v="11"/>
    <n v="3"/>
    <n v="2"/>
    <n v="2"/>
    <n v="9"/>
    <x v="14"/>
    <n v="4"/>
    <n v="3"/>
    <n v="5"/>
    <n v="5"/>
    <n v="3"/>
    <n v="1"/>
    <n v="1"/>
    <n v="4"/>
    <n v="4"/>
    <n v="8"/>
    <n v="1"/>
    <n v="0"/>
    <n v="0"/>
    <n v="0"/>
    <n v="0"/>
    <n v="1"/>
    <n v="0"/>
    <n v="0"/>
    <n v="0"/>
    <n v="4"/>
    <n v="0"/>
    <n v="0"/>
    <n v="9"/>
    <n v="0"/>
    <n v="0.21621508850112553"/>
    <n v="3.4508002929560584E-2"/>
    <n v="0.29297722668510823"/>
    <n v="0.32778177112653761"/>
    <n v="1.2097751320534422"/>
    <n v="1.8692383509548371"/>
    <n v="0.36858985273641137"/>
  </r>
  <r>
    <n v="27"/>
    <n v="27"/>
    <s v="No"/>
    <n v="0"/>
    <s v="Travel_Frequently"/>
    <n v="1"/>
    <n v="0"/>
    <x v="0"/>
    <n v="0"/>
    <n v="1"/>
    <n v="8"/>
    <n v="8"/>
    <n v="1"/>
    <s v="Marketing"/>
    <n v="0"/>
    <n v="0"/>
    <n v="0"/>
    <n v="1"/>
    <n v="0"/>
    <n v="3"/>
    <s v="Male"/>
    <n v="0"/>
    <n v="84"/>
    <n v="3"/>
    <n v="2"/>
    <s v="Sales Executive"/>
    <n v="0"/>
    <n v="1"/>
    <n v="0"/>
    <n v="0"/>
    <n v="0"/>
    <n v="0"/>
    <n v="0"/>
    <n v="0"/>
    <n v="4"/>
    <s v="Married"/>
    <n v="0"/>
    <n v="1"/>
    <n v="4342"/>
    <n v="4342"/>
    <n v="0"/>
    <s v="No"/>
    <n v="0"/>
    <n v="19"/>
    <n v="3"/>
    <n v="2"/>
    <n v="1"/>
    <n v="5"/>
    <x v="7"/>
    <n v="3"/>
    <n v="3"/>
    <n v="4"/>
    <n v="4"/>
    <n v="2"/>
    <n v="1"/>
    <n v="1"/>
    <n v="1"/>
    <n v="1"/>
    <n v="2"/>
    <n v="0"/>
    <n v="0"/>
    <n v="0"/>
    <n v="1"/>
    <n v="0"/>
    <n v="0"/>
    <n v="1"/>
    <n v="0"/>
    <n v="0"/>
    <n v="0"/>
    <n v="1"/>
    <n v="0"/>
    <n v="0"/>
    <n v="5"/>
    <n v="0.45899556688263426"/>
    <n v="0.87528310193156111"/>
    <n v="0.80706439257840468"/>
    <n v="0.49100643357776058"/>
    <n v="0.14709966057360641"/>
    <n v="1.0863058347434136"/>
    <n v="0.36858985273641137"/>
  </r>
  <r>
    <n v="37"/>
    <n v="37"/>
    <s v="No"/>
    <n v="0"/>
    <s v="Travel_Rarely"/>
    <n v="0"/>
    <n v="1"/>
    <x v="1"/>
    <n v="1"/>
    <n v="0"/>
    <n v="10"/>
    <n v="10"/>
    <n v="1"/>
    <s v="Life Sciences"/>
    <n v="1"/>
    <n v="0"/>
    <n v="0"/>
    <n v="0"/>
    <n v="0"/>
    <n v="4"/>
    <s v="Female"/>
    <n v="1"/>
    <n v="82"/>
    <n v="3"/>
    <n v="1"/>
    <s v="Research Scientist"/>
    <n v="0"/>
    <n v="0"/>
    <n v="0"/>
    <n v="0"/>
    <n v="0"/>
    <n v="0"/>
    <n v="0"/>
    <n v="1"/>
    <n v="1"/>
    <s v="Divorced"/>
    <n v="0"/>
    <n v="0"/>
    <n v="2782"/>
    <n v="2782"/>
    <n v="0"/>
    <s v="Yes"/>
    <n v="1"/>
    <n v="13"/>
    <n v="3"/>
    <n v="2"/>
    <n v="2"/>
    <n v="6"/>
    <x v="3"/>
    <n v="3"/>
    <n v="2"/>
    <n v="5"/>
    <n v="5"/>
    <n v="3"/>
    <n v="4"/>
    <n v="4"/>
    <n v="3"/>
    <n v="3"/>
    <n v="3"/>
    <n v="1"/>
    <n v="0"/>
    <n v="0"/>
    <n v="0"/>
    <n v="0"/>
    <n v="1"/>
    <n v="0"/>
    <n v="0"/>
    <n v="0"/>
    <n v="3"/>
    <n v="0"/>
    <n v="0"/>
    <n v="6"/>
    <n v="0"/>
    <n v="0.79034950063167508"/>
    <n v="0.31476636926356072"/>
    <n v="0.67854260110508058"/>
    <n v="0.32778177112653761"/>
    <n v="9.9604847176766084E-2"/>
    <n v="8.3401599596422994E-3"/>
    <n v="0.56238451757720498"/>
  </r>
  <r>
    <n v="38"/>
    <n v="38"/>
    <s v="No"/>
    <n v="0"/>
    <s v="Travel_Frequently"/>
    <n v="1"/>
    <n v="0"/>
    <x v="1"/>
    <n v="1"/>
    <n v="0"/>
    <n v="2"/>
    <n v="2"/>
    <n v="4"/>
    <s v="Life Sciences"/>
    <n v="1"/>
    <n v="0"/>
    <n v="0"/>
    <n v="0"/>
    <n v="0"/>
    <n v="1"/>
    <s v="Female"/>
    <n v="1"/>
    <n v="75"/>
    <n v="4"/>
    <n v="2"/>
    <s v="Manufacturing Director"/>
    <n v="0"/>
    <n v="0"/>
    <n v="0"/>
    <n v="0"/>
    <n v="1"/>
    <n v="1"/>
    <n v="0"/>
    <n v="0"/>
    <n v="1"/>
    <s v="Single"/>
    <n v="1"/>
    <n v="0"/>
    <n v="5980"/>
    <n v="5980"/>
    <n v="6"/>
    <s v="Yes"/>
    <n v="1"/>
    <n v="12"/>
    <n v="3"/>
    <n v="4"/>
    <n v="0"/>
    <n v="17"/>
    <x v="6"/>
    <n v="2"/>
    <n v="3"/>
    <n v="15"/>
    <n v="15"/>
    <n v="7"/>
    <n v="4"/>
    <n v="4"/>
    <n v="12"/>
    <n v="12"/>
    <n v="24"/>
    <n v="0"/>
    <n v="0"/>
    <n v="1"/>
    <n v="0"/>
    <n v="0"/>
    <n v="1"/>
    <n v="0"/>
    <n v="0"/>
    <n v="0"/>
    <n v="12"/>
    <n v="0"/>
    <n v="0"/>
    <n v="17"/>
    <n v="0"/>
    <n v="0.11107393644614143"/>
    <n v="2.2075589277424408"/>
    <n v="0.73519710510148462"/>
    <n v="1.3044648533856922"/>
    <n v="0.88721318382472392"/>
    <n v="0.11780475942994788"/>
    <n v="0.56238451757720498"/>
  </r>
  <r>
    <n v="34"/>
    <n v="34"/>
    <s v="No"/>
    <n v="0"/>
    <s v="Travel_Rarely"/>
    <n v="0"/>
    <n v="1"/>
    <x v="1"/>
    <n v="1"/>
    <n v="0"/>
    <n v="2"/>
    <n v="2"/>
    <n v="4"/>
    <s v="Medical"/>
    <n v="0"/>
    <n v="0"/>
    <n v="1"/>
    <n v="0"/>
    <n v="0"/>
    <n v="3"/>
    <s v="Female"/>
    <n v="1"/>
    <n v="86"/>
    <n v="2"/>
    <n v="1"/>
    <s v="Research Scientist"/>
    <n v="0"/>
    <n v="0"/>
    <n v="0"/>
    <n v="0"/>
    <n v="0"/>
    <n v="0"/>
    <n v="0"/>
    <n v="1"/>
    <n v="1"/>
    <s v="Single"/>
    <n v="1"/>
    <n v="0"/>
    <n v="4381"/>
    <n v="4381"/>
    <n v="1"/>
    <s v="No"/>
    <n v="0"/>
    <n v="11"/>
    <n v="3"/>
    <n v="3"/>
    <n v="0"/>
    <n v="6"/>
    <x v="3"/>
    <n v="3"/>
    <n v="3"/>
    <n v="6"/>
    <n v="6"/>
    <n v="5"/>
    <n v="1"/>
    <n v="1"/>
    <n v="3"/>
    <n v="3"/>
    <n v="3"/>
    <n v="1"/>
    <n v="0"/>
    <n v="0"/>
    <n v="0"/>
    <n v="1"/>
    <n v="0"/>
    <n v="0"/>
    <n v="0"/>
    <n v="0"/>
    <n v="3"/>
    <n v="0"/>
    <n v="0"/>
    <n v="6"/>
    <n v="0"/>
    <n v="0.45071171853890823"/>
    <n v="0.31476636926356072"/>
    <n v="0.67854260110508058"/>
    <n v="0.16455710867531462"/>
    <n v="0.88721318382472392"/>
    <n v="0.32005363845127444"/>
    <n v="0.36858985273641137"/>
  </r>
  <r>
    <n v="35"/>
    <n v="35"/>
    <s v="No"/>
    <n v="0"/>
    <s v="Travel_Rarely"/>
    <n v="0"/>
    <n v="1"/>
    <x v="0"/>
    <n v="0"/>
    <n v="1"/>
    <n v="8"/>
    <n v="8"/>
    <n v="4"/>
    <s v="Life Sciences"/>
    <n v="1"/>
    <n v="0"/>
    <n v="0"/>
    <n v="0"/>
    <n v="0"/>
    <n v="1"/>
    <s v="Female"/>
    <n v="1"/>
    <n v="72"/>
    <n v="3"/>
    <n v="1"/>
    <s v="Sales Representative"/>
    <n v="0"/>
    <n v="0"/>
    <n v="0"/>
    <n v="0"/>
    <n v="0"/>
    <n v="0"/>
    <n v="1"/>
    <n v="0"/>
    <n v="4"/>
    <s v="Married"/>
    <n v="0"/>
    <n v="1"/>
    <n v="2572"/>
    <n v="2572"/>
    <n v="1"/>
    <s v="No"/>
    <n v="0"/>
    <n v="16"/>
    <n v="3"/>
    <n v="2"/>
    <n v="1"/>
    <n v="3"/>
    <x v="8"/>
    <n v="1"/>
    <n v="2"/>
    <n v="3"/>
    <n v="3"/>
    <n v="2"/>
    <n v="0"/>
    <n v="0"/>
    <n v="2"/>
    <n v="2"/>
    <n v="2"/>
    <n v="0"/>
    <n v="1"/>
    <n v="0"/>
    <n v="0"/>
    <n v="0"/>
    <n v="0"/>
    <n v="1"/>
    <n v="0"/>
    <n v="0"/>
    <n v="0"/>
    <n v="2"/>
    <n v="0"/>
    <n v="0"/>
    <n v="3"/>
    <n v="0.83495483786712288"/>
    <n v="0.59502473559756086"/>
    <n v="1.0641079755250529"/>
    <n v="0.65423109602898355"/>
    <n v="0.14709966057360641"/>
    <n v="0.21058903898096887"/>
    <n v="0.67891464284095016"/>
  </r>
  <r>
    <n v="30"/>
    <n v="30"/>
    <s v="No"/>
    <n v="0"/>
    <s v="Travel_Rarely"/>
    <n v="0"/>
    <n v="1"/>
    <x v="1"/>
    <n v="1"/>
    <n v="0"/>
    <n v="1"/>
    <n v="1"/>
    <n v="3"/>
    <s v="Life Sciences"/>
    <n v="1"/>
    <n v="0"/>
    <n v="0"/>
    <n v="0"/>
    <n v="0"/>
    <n v="4"/>
    <s v="Male"/>
    <n v="0"/>
    <n v="38"/>
    <n v="1"/>
    <n v="1"/>
    <s v="Laboratory Technician"/>
    <n v="0"/>
    <n v="0"/>
    <n v="1"/>
    <n v="0"/>
    <n v="0"/>
    <n v="0"/>
    <n v="0"/>
    <n v="0"/>
    <n v="3"/>
    <s v="Married"/>
    <n v="0"/>
    <n v="1"/>
    <n v="3833"/>
    <n v="3833"/>
    <n v="3"/>
    <s v="No"/>
    <n v="0"/>
    <n v="21"/>
    <n v="4"/>
    <n v="3"/>
    <n v="2"/>
    <n v="7"/>
    <x v="2"/>
    <n v="2"/>
    <n v="3"/>
    <n v="2"/>
    <n v="2"/>
    <n v="2"/>
    <n v="0"/>
    <n v="0"/>
    <n v="2"/>
    <n v="2"/>
    <n v="2"/>
    <n v="0"/>
    <n v="1"/>
    <n v="0"/>
    <n v="0"/>
    <n v="0"/>
    <n v="0"/>
    <n v="1"/>
    <n v="0"/>
    <n v="0"/>
    <n v="2"/>
    <n v="0"/>
    <n v="0"/>
    <n v="7"/>
    <n v="0"/>
    <n v="0.56711040808664825"/>
    <n v="0.59502473559756086"/>
    <n v="0.55002080963175637"/>
    <n v="0.81745575848020657"/>
    <n v="1.01056543769991"/>
    <n v="0.75791203633249671"/>
    <n v="0.67891464284095016"/>
  </r>
  <r>
    <n v="40"/>
    <n v="40"/>
    <s v="No"/>
    <n v="0"/>
    <s v="Travel_Frequently"/>
    <n v="1"/>
    <n v="0"/>
    <x v="1"/>
    <n v="1"/>
    <n v="0"/>
    <n v="2"/>
    <n v="2"/>
    <n v="2"/>
    <s v="Medical"/>
    <n v="0"/>
    <n v="0"/>
    <n v="1"/>
    <n v="0"/>
    <n v="0"/>
    <n v="3"/>
    <s v="Female"/>
    <n v="1"/>
    <n v="38"/>
    <n v="4"/>
    <n v="2"/>
    <s v="Healthcare Representative"/>
    <n v="1"/>
    <n v="0"/>
    <n v="0"/>
    <n v="0"/>
    <n v="0"/>
    <n v="0"/>
    <n v="0"/>
    <n v="0"/>
    <n v="2"/>
    <s v="Married"/>
    <n v="0"/>
    <n v="1"/>
    <n v="4244"/>
    <n v="4244"/>
    <n v="1"/>
    <s v="No"/>
    <n v="0"/>
    <n v="24"/>
    <n v="4"/>
    <n v="4"/>
    <n v="1"/>
    <n v="8"/>
    <x v="0"/>
    <n v="2"/>
    <n v="3"/>
    <n v="8"/>
    <n v="8"/>
    <n v="7"/>
    <n v="3"/>
    <n v="3"/>
    <n v="7"/>
    <n v="7"/>
    <n v="14"/>
    <n v="0"/>
    <n v="0"/>
    <n v="0"/>
    <n v="1"/>
    <n v="0"/>
    <n v="0"/>
    <n v="1"/>
    <n v="0"/>
    <n v="0"/>
    <n v="7"/>
    <n v="0"/>
    <n v="0"/>
    <n v="8"/>
    <n v="0"/>
    <n v="0.47981139092584324"/>
    <n v="0.80626709607243985"/>
    <n v="0.42149901815843233"/>
    <n v="0.16189221622713135"/>
    <n v="0.88721318382472392"/>
    <n v="0.33673395837055903"/>
    <n v="0.2520597274726662"/>
  </r>
  <r>
    <n v="34"/>
    <n v="34"/>
    <s v="No"/>
    <n v="0"/>
    <s v="Travel_Rarely"/>
    <n v="0"/>
    <n v="1"/>
    <x v="0"/>
    <n v="0"/>
    <n v="1"/>
    <n v="8"/>
    <n v="8"/>
    <n v="2"/>
    <s v="Life Sciences"/>
    <n v="1"/>
    <n v="0"/>
    <n v="0"/>
    <n v="0"/>
    <n v="0"/>
    <n v="3"/>
    <s v="Female"/>
    <n v="1"/>
    <n v="93"/>
    <n v="3"/>
    <n v="2"/>
    <s v="Sales Executive"/>
    <n v="0"/>
    <n v="1"/>
    <n v="0"/>
    <n v="0"/>
    <n v="0"/>
    <n v="0"/>
    <n v="0"/>
    <n v="0"/>
    <n v="1"/>
    <s v="Married"/>
    <n v="0"/>
    <n v="1"/>
    <n v="6500"/>
    <n v="6500"/>
    <n v="5"/>
    <s v="No"/>
    <n v="0"/>
    <n v="17"/>
    <n v="3"/>
    <n v="2"/>
    <n v="1"/>
    <n v="6"/>
    <x v="3"/>
    <n v="1"/>
    <n v="3"/>
    <n v="3"/>
    <n v="3"/>
    <n v="2"/>
    <n v="1"/>
    <n v="1"/>
    <n v="2"/>
    <n v="2"/>
    <n v="4"/>
    <n v="0"/>
    <n v="1"/>
    <n v="0"/>
    <n v="0"/>
    <n v="0"/>
    <n v="0"/>
    <n v="1"/>
    <n v="0"/>
    <n v="0"/>
    <n v="0"/>
    <n v="2"/>
    <n v="0"/>
    <n v="0"/>
    <n v="6"/>
    <n v="6.226251964611565E-4"/>
    <n v="0.59502473559756086"/>
    <n v="0.67854260110508058"/>
    <n v="0.65423109602898355"/>
    <n v="0.14709966057360641"/>
    <n v="0.32005363845127444"/>
    <n v="0.36858985273641137"/>
  </r>
  <r>
    <n v="42"/>
    <n v="42"/>
    <s v="No"/>
    <n v="0"/>
    <s v="Travel_Frequently"/>
    <n v="1"/>
    <n v="0"/>
    <x v="1"/>
    <n v="1"/>
    <n v="0"/>
    <n v="8"/>
    <n v="8"/>
    <n v="3"/>
    <s v="Life Sciences"/>
    <n v="1"/>
    <n v="0"/>
    <n v="0"/>
    <n v="0"/>
    <n v="0"/>
    <n v="2"/>
    <s v="Male"/>
    <n v="0"/>
    <n v="66"/>
    <n v="3"/>
    <n v="5"/>
    <s v="Manager"/>
    <n v="0"/>
    <n v="0"/>
    <n v="0"/>
    <n v="1"/>
    <n v="0"/>
    <n v="0"/>
    <n v="0"/>
    <n v="0"/>
    <n v="4"/>
    <s v="Divorced"/>
    <n v="0"/>
    <n v="0"/>
    <n v="18430"/>
    <n v="18430"/>
    <n v="1"/>
    <s v="No"/>
    <n v="0"/>
    <n v="13"/>
    <n v="3"/>
    <n v="2"/>
    <n v="1"/>
    <n v="24"/>
    <x v="12"/>
    <n v="4"/>
    <n v="2"/>
    <n v="24"/>
    <n v="24"/>
    <n v="7"/>
    <n v="14"/>
    <n v="14"/>
    <n v="9"/>
    <n v="9"/>
    <n v="45"/>
    <n v="0"/>
    <n v="0"/>
    <n v="1"/>
    <n v="0"/>
    <n v="1"/>
    <n v="0"/>
    <n v="0"/>
    <n v="0"/>
    <n v="0"/>
    <n v="9"/>
    <n v="0"/>
    <n v="0"/>
    <n v="24"/>
    <n v="0"/>
    <n v="2.5333853425125494"/>
    <n v="1.3667838287404401"/>
    <n v="1.6348496454147534"/>
    <n v="2.7734868154466992"/>
    <n v="0.14709966057360641"/>
    <n v="0.55566315731117022"/>
    <n v="3.665632418622593"/>
  </r>
  <r>
    <n v="23"/>
    <n v="23"/>
    <s v="Yes"/>
    <n v="1"/>
    <s v="Travel_Rarely"/>
    <n v="0"/>
    <n v="1"/>
    <x v="1"/>
    <n v="1"/>
    <n v="0"/>
    <n v="6"/>
    <n v="6"/>
    <n v="3"/>
    <s v="Life Sciences"/>
    <n v="1"/>
    <n v="0"/>
    <n v="0"/>
    <n v="0"/>
    <n v="0"/>
    <n v="3"/>
    <s v="Male"/>
    <n v="0"/>
    <n v="63"/>
    <n v="4"/>
    <n v="1"/>
    <s v="Laboratory Technician"/>
    <n v="0"/>
    <n v="0"/>
    <n v="1"/>
    <n v="0"/>
    <n v="0"/>
    <n v="0"/>
    <n v="0"/>
    <n v="0"/>
    <n v="1"/>
    <s v="Married"/>
    <n v="0"/>
    <n v="1"/>
    <n v="1601"/>
    <n v="1601"/>
    <n v="1"/>
    <s v="Yes"/>
    <n v="1"/>
    <n v="21"/>
    <n v="4"/>
    <n v="3"/>
    <n v="2"/>
    <n v="1"/>
    <x v="5"/>
    <n v="2"/>
    <n v="3"/>
    <n v="0"/>
    <n v="0"/>
    <n v="0"/>
    <n v="0"/>
    <n v="0"/>
    <n v="0"/>
    <n v="0"/>
    <n v="0"/>
    <n v="0"/>
    <n v="1"/>
    <n v="0"/>
    <n v="0"/>
    <n v="0"/>
    <n v="0"/>
    <n v="0"/>
    <n v="1"/>
    <n v="0"/>
    <n v="0"/>
    <n v="0"/>
    <n v="0"/>
    <n v="1"/>
    <n v="0"/>
    <n v="1.0412014209891221"/>
    <n v="1.1555414682655611"/>
    <n v="1.3211515584717011"/>
    <n v="1.1439050833826525"/>
    <n v="0.39380416832397891"/>
    <n v="1.5241642326246359"/>
    <n v="0.67891464284095016"/>
  </r>
  <r>
    <n v="24"/>
    <n v="24"/>
    <s v="No"/>
    <n v="0"/>
    <s v="Non-Travel"/>
    <n v="0"/>
    <n v="0"/>
    <x v="1"/>
    <n v="1"/>
    <n v="0"/>
    <n v="9"/>
    <n v="9"/>
    <n v="3"/>
    <s v="Life Sciences"/>
    <n v="1"/>
    <n v="0"/>
    <n v="0"/>
    <n v="0"/>
    <n v="0"/>
    <n v="3"/>
    <s v="Male"/>
    <n v="0"/>
    <n v="60"/>
    <n v="2"/>
    <n v="1"/>
    <s v="Laboratory Technician"/>
    <n v="0"/>
    <n v="0"/>
    <n v="1"/>
    <n v="0"/>
    <n v="0"/>
    <n v="0"/>
    <n v="0"/>
    <n v="0"/>
    <n v="2"/>
    <s v="Divorced"/>
    <n v="0"/>
    <n v="0"/>
    <n v="2694"/>
    <n v="2694"/>
    <n v="1"/>
    <s v="No"/>
    <n v="0"/>
    <n v="11"/>
    <n v="3"/>
    <n v="3"/>
    <n v="3"/>
    <n v="1"/>
    <x v="5"/>
    <n v="4"/>
    <n v="3"/>
    <n v="1"/>
    <n v="1"/>
    <n v="0"/>
    <n v="0"/>
    <n v="0"/>
    <n v="0"/>
    <n v="0"/>
    <n v="0"/>
    <n v="1"/>
    <n v="0"/>
    <n v="0"/>
    <n v="0"/>
    <n v="1"/>
    <n v="0"/>
    <n v="0"/>
    <n v="0"/>
    <n v="0"/>
    <n v="0"/>
    <n v="0"/>
    <n v="0"/>
    <n v="1"/>
    <n v="0"/>
    <n v="0.80904126099700557"/>
    <n v="1.1555414682655611"/>
    <n v="1.3211515584717011"/>
    <n v="0.9806804209314296"/>
    <n v="2.3747406698420157E-2"/>
    <n v="1.4146996331543302"/>
    <n v="0.67891464284095016"/>
  </r>
  <r>
    <n v="52"/>
    <n v="52"/>
    <s v="No"/>
    <n v="0"/>
    <s v="Travel_Rarely"/>
    <n v="0"/>
    <n v="1"/>
    <x v="1"/>
    <n v="1"/>
    <n v="0"/>
    <n v="11"/>
    <n v="11"/>
    <n v="4"/>
    <s v="Life Sciences"/>
    <n v="1"/>
    <n v="0"/>
    <n v="0"/>
    <n v="0"/>
    <n v="0"/>
    <n v="4"/>
    <s v="Female"/>
    <n v="1"/>
    <n v="82"/>
    <n v="3"/>
    <n v="2"/>
    <s v="Laboratory Technician"/>
    <n v="0"/>
    <n v="0"/>
    <n v="1"/>
    <n v="0"/>
    <n v="0"/>
    <n v="0"/>
    <n v="0"/>
    <n v="0"/>
    <n v="3"/>
    <s v="Married"/>
    <n v="0"/>
    <n v="1"/>
    <n v="3149"/>
    <n v="3149"/>
    <n v="8"/>
    <s v="No"/>
    <n v="0"/>
    <n v="20"/>
    <n v="4"/>
    <n v="2"/>
    <n v="1"/>
    <n v="9"/>
    <x v="14"/>
    <n v="3"/>
    <n v="3"/>
    <n v="5"/>
    <n v="5"/>
    <n v="2"/>
    <n v="1"/>
    <n v="1"/>
    <n v="4"/>
    <n v="4"/>
    <n v="8"/>
    <n v="0"/>
    <n v="1"/>
    <n v="0"/>
    <n v="0"/>
    <n v="0"/>
    <n v="0"/>
    <n v="1"/>
    <n v="0"/>
    <n v="0"/>
    <n v="4"/>
    <n v="0"/>
    <n v="0"/>
    <n v="9"/>
    <n v="0"/>
    <n v="0.71239636365353531"/>
    <n v="3.4508002929560584E-2"/>
    <n v="0.29297722668510823"/>
    <n v="0.32778177112653761"/>
    <n v="0.22295710105195232"/>
    <n v="1.6503091520142259"/>
    <n v="0.36858985273641137"/>
  </r>
  <r>
    <n v="50"/>
    <n v="50"/>
    <s v="No"/>
    <n v="0"/>
    <s v="Travel_Rarely"/>
    <n v="0"/>
    <n v="1"/>
    <x v="1"/>
    <n v="1"/>
    <n v="0"/>
    <n v="2"/>
    <n v="2"/>
    <n v="3"/>
    <s v="Medical"/>
    <n v="0"/>
    <n v="0"/>
    <n v="1"/>
    <n v="0"/>
    <n v="0"/>
    <n v="3"/>
    <s v="Male"/>
    <n v="0"/>
    <n v="64"/>
    <n v="3"/>
    <n v="4"/>
    <s v="Research Director"/>
    <n v="0"/>
    <n v="0"/>
    <n v="0"/>
    <n v="0"/>
    <n v="0"/>
    <n v="0"/>
    <n v="0"/>
    <n v="0"/>
    <n v="3"/>
    <s v="Married"/>
    <n v="0"/>
    <n v="1"/>
    <n v="17639"/>
    <n v="17639"/>
    <n v="5"/>
    <s v="No"/>
    <n v="0"/>
    <n v="16"/>
    <n v="3"/>
    <n v="4"/>
    <n v="0"/>
    <n v="30"/>
    <x v="29"/>
    <n v="3"/>
    <n v="3"/>
    <n v="4"/>
    <n v="4"/>
    <n v="3"/>
    <n v="0"/>
    <n v="0"/>
    <n v="3"/>
    <n v="3"/>
    <n v="12"/>
    <n v="0"/>
    <n v="1"/>
    <n v="0"/>
    <n v="0"/>
    <n v="0"/>
    <n v="0"/>
    <n v="1"/>
    <n v="0"/>
    <n v="0"/>
    <n v="3"/>
    <n v="0"/>
    <n v="0"/>
    <n v="30"/>
    <n v="0"/>
    <n v="2.365371905592363"/>
    <n v="0.31476636926356072"/>
    <n v="2.4059803942546978"/>
    <n v="0.49100643357776058"/>
    <n v="0.88721318382472392"/>
    <n v="1.4313799530736149"/>
    <n v="0.67891464284095016"/>
  </r>
  <r>
    <n v="29"/>
    <n v="29"/>
    <s v="Yes"/>
    <n v="1"/>
    <s v="Travel_Rarely"/>
    <n v="0"/>
    <n v="1"/>
    <x v="1"/>
    <n v="1"/>
    <n v="0"/>
    <n v="1"/>
    <n v="1"/>
    <n v="2"/>
    <s v="Life Sciences"/>
    <n v="1"/>
    <n v="0"/>
    <n v="0"/>
    <n v="0"/>
    <n v="0"/>
    <n v="2"/>
    <s v="Female"/>
    <n v="1"/>
    <n v="36"/>
    <n v="2"/>
    <n v="1"/>
    <s v="Laboratory Technician"/>
    <n v="0"/>
    <n v="0"/>
    <n v="1"/>
    <n v="0"/>
    <n v="0"/>
    <n v="0"/>
    <n v="0"/>
    <n v="0"/>
    <n v="1"/>
    <s v="Married"/>
    <n v="0"/>
    <n v="1"/>
    <n v="2319"/>
    <n v="2319"/>
    <n v="1"/>
    <s v="Yes"/>
    <n v="1"/>
    <n v="11"/>
    <n v="3"/>
    <n v="4"/>
    <n v="1"/>
    <n v="1"/>
    <x v="5"/>
    <n v="1"/>
    <n v="3"/>
    <n v="1"/>
    <n v="1"/>
    <n v="0"/>
    <n v="0"/>
    <n v="0"/>
    <n v="0"/>
    <n v="0"/>
    <n v="0"/>
    <n v="0"/>
    <n v="1"/>
    <n v="0"/>
    <n v="0"/>
    <n v="0"/>
    <n v="0"/>
    <n v="0"/>
    <n v="1"/>
    <n v="0"/>
    <n v="0"/>
    <n v="0"/>
    <n v="0"/>
    <n v="1"/>
    <n v="0"/>
    <n v="0.88869364891744806"/>
    <n v="1.1555414682655611"/>
    <n v="1.3211515584717011"/>
    <n v="0.9806804209314296"/>
    <n v="1.01056543769991"/>
    <n v="0.86737663580280233"/>
    <n v="0.67891464284095016"/>
  </r>
  <r>
    <n v="33"/>
    <n v="33"/>
    <s v="No"/>
    <n v="0"/>
    <s v="Travel_Rarely"/>
    <n v="0"/>
    <n v="1"/>
    <x v="1"/>
    <n v="1"/>
    <n v="0"/>
    <n v="7"/>
    <n v="7"/>
    <n v="3"/>
    <s v="Medical"/>
    <n v="0"/>
    <n v="0"/>
    <n v="1"/>
    <n v="0"/>
    <n v="0"/>
    <n v="3"/>
    <s v="Male"/>
    <n v="0"/>
    <n v="49"/>
    <n v="3"/>
    <n v="3"/>
    <s v="Research Director"/>
    <n v="0"/>
    <n v="0"/>
    <n v="0"/>
    <n v="0"/>
    <n v="0"/>
    <n v="0"/>
    <n v="0"/>
    <n v="0"/>
    <n v="3"/>
    <s v="Married"/>
    <n v="0"/>
    <n v="1"/>
    <n v="11691"/>
    <n v="11691"/>
    <n v="0"/>
    <s v="No"/>
    <n v="0"/>
    <n v="11"/>
    <n v="3"/>
    <n v="4"/>
    <n v="0"/>
    <n v="14"/>
    <x v="18"/>
    <n v="3"/>
    <n v="4"/>
    <n v="13"/>
    <n v="13"/>
    <n v="9"/>
    <n v="3"/>
    <n v="3"/>
    <n v="7"/>
    <n v="7"/>
    <n v="21"/>
    <n v="0"/>
    <n v="1"/>
    <n v="0"/>
    <n v="0"/>
    <n v="0"/>
    <n v="0"/>
    <n v="1"/>
    <n v="0"/>
    <n v="0"/>
    <n v="7"/>
    <n v="0"/>
    <n v="0"/>
    <n v="14"/>
    <n v="0"/>
    <n v="1.1019788299902509"/>
    <n v="0.80626709607243985"/>
    <n v="0.34963173068151232"/>
    <n v="0.97801552848324624"/>
    <n v="0.27045191444879263"/>
    <n v="0.42951823792158"/>
    <n v="0.2520597274726662"/>
  </r>
  <r>
    <n v="33"/>
    <n v="33"/>
    <s v="Yes"/>
    <n v="1"/>
    <s v="Travel_Rarely"/>
    <n v="0"/>
    <n v="1"/>
    <x v="0"/>
    <n v="0"/>
    <n v="1"/>
    <n v="16"/>
    <n v="16"/>
    <n v="3"/>
    <s v="Marketing"/>
    <n v="0"/>
    <n v="0"/>
    <n v="0"/>
    <n v="1"/>
    <n v="0"/>
    <n v="1"/>
    <s v="Female"/>
    <n v="1"/>
    <n v="69"/>
    <n v="3"/>
    <n v="2"/>
    <s v="Sales Executive"/>
    <n v="0"/>
    <n v="1"/>
    <n v="0"/>
    <n v="0"/>
    <n v="0"/>
    <n v="0"/>
    <n v="0"/>
    <n v="0"/>
    <n v="1"/>
    <s v="Single"/>
    <n v="1"/>
    <n v="0"/>
    <n v="5324"/>
    <n v="5324"/>
    <n v="5"/>
    <s v="No"/>
    <n v="0"/>
    <n v="15"/>
    <n v="3"/>
    <n v="3"/>
    <n v="0"/>
    <n v="6"/>
    <x v="3"/>
    <n v="3"/>
    <n v="3"/>
    <n v="3"/>
    <n v="3"/>
    <n v="2"/>
    <n v="0"/>
    <n v="0"/>
    <n v="2"/>
    <n v="2"/>
    <n v="4"/>
    <n v="1"/>
    <n v="0"/>
    <n v="0"/>
    <n v="0"/>
    <n v="1"/>
    <n v="0"/>
    <n v="0"/>
    <n v="0"/>
    <n v="0"/>
    <n v="0"/>
    <n v="2"/>
    <n v="0"/>
    <n v="0"/>
    <n v="6"/>
    <n v="0.25041251371496887"/>
    <n v="0.59502473559756086"/>
    <n v="0.67854260110508058"/>
    <n v="0.65423109602898355"/>
    <n v="0.83971837042788355"/>
    <n v="0.42951823792158"/>
    <n v="0.67891464284095016"/>
  </r>
  <r>
    <n v="47"/>
    <n v="47"/>
    <s v="No"/>
    <n v="0"/>
    <s v="Travel_Rarely"/>
    <n v="0"/>
    <n v="1"/>
    <x v="1"/>
    <n v="1"/>
    <n v="0"/>
    <n v="2"/>
    <n v="2"/>
    <n v="2"/>
    <s v="Other"/>
    <n v="0"/>
    <n v="1"/>
    <n v="0"/>
    <n v="0"/>
    <n v="0"/>
    <n v="3"/>
    <s v="Female"/>
    <n v="1"/>
    <n v="33"/>
    <n v="3"/>
    <n v="4"/>
    <s v="Manager"/>
    <n v="0"/>
    <n v="0"/>
    <n v="0"/>
    <n v="1"/>
    <n v="0"/>
    <n v="0"/>
    <n v="0"/>
    <n v="0"/>
    <n v="4"/>
    <s v="Married"/>
    <n v="0"/>
    <n v="1"/>
    <n v="16752"/>
    <n v="16752"/>
    <n v="1"/>
    <s v="Yes"/>
    <n v="1"/>
    <n v="11"/>
    <n v="3"/>
    <n v="3"/>
    <n v="1"/>
    <n v="26"/>
    <x v="11"/>
    <n v="3"/>
    <n v="2"/>
    <n v="26"/>
    <n v="26"/>
    <n v="14"/>
    <n v="3"/>
    <n v="3"/>
    <n v="0"/>
    <n v="0"/>
    <n v="0"/>
    <n v="0"/>
    <n v="1"/>
    <n v="0"/>
    <n v="0"/>
    <n v="0"/>
    <n v="0"/>
    <n v="0"/>
    <n v="1"/>
    <n v="0"/>
    <n v="0"/>
    <n v="0"/>
    <n v="0"/>
    <n v="26"/>
    <n v="0"/>
    <n v="2.176967457364543"/>
    <n v="1.1555414682655611"/>
    <n v="1.8918932283614016"/>
    <n v="3.0999361403491448"/>
    <n v="0.88721318382472392"/>
    <n v="1.102986154662698"/>
    <n v="0.2520597274726662"/>
  </r>
  <r>
    <n v="36"/>
    <n v="36"/>
    <s v="No"/>
    <n v="0"/>
    <s v="Travel_Rarely"/>
    <n v="0"/>
    <n v="1"/>
    <x v="1"/>
    <n v="1"/>
    <n v="0"/>
    <n v="1"/>
    <n v="1"/>
    <n v="3"/>
    <s v="Other"/>
    <n v="0"/>
    <n v="1"/>
    <n v="0"/>
    <n v="0"/>
    <n v="0"/>
    <n v="3"/>
    <s v="Female"/>
    <n v="1"/>
    <n v="35"/>
    <n v="3"/>
    <n v="2"/>
    <s v="Manufacturing Director"/>
    <n v="0"/>
    <n v="0"/>
    <n v="0"/>
    <n v="0"/>
    <n v="1"/>
    <n v="1"/>
    <n v="0"/>
    <n v="0"/>
    <n v="2"/>
    <s v="Married"/>
    <n v="0"/>
    <n v="1"/>
    <n v="5228"/>
    <n v="5228"/>
    <n v="0"/>
    <s v="No"/>
    <n v="0"/>
    <n v="15"/>
    <n v="3"/>
    <n v="1"/>
    <n v="1"/>
    <n v="10"/>
    <x v="1"/>
    <n v="2"/>
    <n v="3"/>
    <n v="9"/>
    <n v="9"/>
    <n v="7"/>
    <n v="0"/>
    <n v="0"/>
    <n v="5"/>
    <n v="5"/>
    <n v="10"/>
    <n v="0"/>
    <n v="1"/>
    <n v="0"/>
    <n v="0"/>
    <n v="0"/>
    <n v="0"/>
    <n v="1"/>
    <n v="0"/>
    <n v="0"/>
    <n v="5"/>
    <n v="0"/>
    <n v="0"/>
    <n v="10"/>
    <n v="0"/>
    <n v="0.27080352502260213"/>
    <n v="0.24575036340443959"/>
    <n v="0.1644554352117841"/>
    <n v="0.32511687867835437"/>
    <n v="1.01056543769991"/>
    <n v="0.10112443951066327"/>
    <n v="0.67891464284095016"/>
  </r>
  <r>
    <n v="29"/>
    <n v="29"/>
    <s v="No"/>
    <n v="0"/>
    <s v="Travel_Rarely"/>
    <n v="0"/>
    <n v="1"/>
    <x v="1"/>
    <n v="1"/>
    <n v="0"/>
    <n v="23"/>
    <n v="23"/>
    <n v="2"/>
    <s v="Life Sciences"/>
    <n v="1"/>
    <n v="0"/>
    <n v="0"/>
    <n v="0"/>
    <n v="0"/>
    <n v="3"/>
    <s v="Male"/>
    <n v="0"/>
    <n v="81"/>
    <n v="4"/>
    <n v="1"/>
    <s v="Research Scientist"/>
    <n v="0"/>
    <n v="0"/>
    <n v="0"/>
    <n v="0"/>
    <n v="0"/>
    <n v="0"/>
    <n v="0"/>
    <n v="1"/>
    <n v="3"/>
    <s v="Married"/>
    <n v="0"/>
    <n v="1"/>
    <n v="2700"/>
    <n v="2700"/>
    <n v="1"/>
    <s v="No"/>
    <n v="0"/>
    <n v="24"/>
    <n v="4"/>
    <n v="3"/>
    <n v="1"/>
    <n v="10"/>
    <x v="1"/>
    <n v="3"/>
    <n v="3"/>
    <n v="10"/>
    <n v="10"/>
    <n v="7"/>
    <n v="0"/>
    <n v="0"/>
    <n v="7"/>
    <n v="7"/>
    <n v="7"/>
    <n v="0"/>
    <n v="1"/>
    <n v="0"/>
    <n v="0"/>
    <n v="0"/>
    <n v="0"/>
    <n v="1"/>
    <n v="0"/>
    <n v="0"/>
    <n v="7"/>
    <n v="0"/>
    <n v="0"/>
    <n v="10"/>
    <n v="0"/>
    <n v="0.80776682279027856"/>
    <n v="0.80626709607243985"/>
    <n v="0.1644554352117841"/>
    <n v="0.48834154112957734"/>
    <n v="1.7031841475541873"/>
    <n v="0.86737663580280233"/>
    <n v="0.67891464284095016"/>
  </r>
  <r>
    <n v="58"/>
    <n v="58"/>
    <s v="Yes"/>
    <n v="1"/>
    <s v="Travel_Rarely"/>
    <n v="0"/>
    <n v="1"/>
    <x v="1"/>
    <n v="1"/>
    <n v="0"/>
    <n v="2"/>
    <n v="2"/>
    <n v="4"/>
    <s v="Life Sciences"/>
    <n v="1"/>
    <n v="0"/>
    <n v="0"/>
    <n v="0"/>
    <n v="0"/>
    <n v="4"/>
    <s v="Male"/>
    <n v="0"/>
    <n v="31"/>
    <n v="3"/>
    <n v="5"/>
    <s v="Research Director"/>
    <n v="0"/>
    <n v="0"/>
    <n v="0"/>
    <n v="0"/>
    <n v="0"/>
    <n v="0"/>
    <n v="0"/>
    <n v="0"/>
    <n v="2"/>
    <s v="Single"/>
    <n v="1"/>
    <n v="0"/>
    <n v="19246"/>
    <n v="19246"/>
    <n v="7"/>
    <s v="Yes"/>
    <n v="1"/>
    <n v="12"/>
    <n v="3"/>
    <n v="4"/>
    <n v="0"/>
    <n v="40"/>
    <x v="28"/>
    <n v="2"/>
    <n v="3"/>
    <n v="31"/>
    <n v="31"/>
    <n v="15"/>
    <n v="13"/>
    <n v="13"/>
    <n v="8"/>
    <n v="8"/>
    <n v="40"/>
    <n v="1"/>
    <n v="0"/>
    <n v="0"/>
    <n v="0"/>
    <n v="0"/>
    <n v="1"/>
    <n v="0"/>
    <n v="0"/>
    <n v="0"/>
    <n v="8"/>
    <n v="0"/>
    <n v="0"/>
    <n v="35"/>
    <n v="0"/>
    <n v="2.7067089386274326"/>
    <n v="1.08652546240644"/>
    <n v="3.6911983089879388"/>
    <n v="3.9160594526052601"/>
    <n v="0.88721318382472392"/>
    <n v="2.3070967488360594"/>
    <n v="3.3553076285180543"/>
  </r>
  <r>
    <n v="35"/>
    <n v="35"/>
    <s v="No"/>
    <n v="0"/>
    <s v="Travel_Rarely"/>
    <n v="0"/>
    <n v="1"/>
    <x v="1"/>
    <n v="1"/>
    <n v="0"/>
    <n v="1"/>
    <n v="1"/>
    <n v="4"/>
    <s v="Life Sciences"/>
    <n v="1"/>
    <n v="0"/>
    <n v="0"/>
    <n v="0"/>
    <n v="0"/>
    <n v="4"/>
    <s v="Female"/>
    <n v="1"/>
    <n v="40"/>
    <n v="4"/>
    <n v="1"/>
    <s v="Research Scientist"/>
    <n v="0"/>
    <n v="0"/>
    <n v="0"/>
    <n v="0"/>
    <n v="0"/>
    <n v="0"/>
    <n v="0"/>
    <n v="1"/>
    <n v="3"/>
    <s v="Single"/>
    <n v="1"/>
    <n v="0"/>
    <n v="2506"/>
    <n v="2506"/>
    <n v="3"/>
    <s v="No"/>
    <n v="0"/>
    <n v="13"/>
    <n v="3"/>
    <n v="3"/>
    <n v="0"/>
    <n v="7"/>
    <x v="2"/>
    <n v="0"/>
    <n v="3"/>
    <n v="2"/>
    <n v="2"/>
    <n v="2"/>
    <n v="2"/>
    <n v="2"/>
    <n v="2"/>
    <n v="2"/>
    <n v="2"/>
    <n v="1"/>
    <n v="0"/>
    <n v="0"/>
    <n v="0"/>
    <n v="1"/>
    <n v="0"/>
    <n v="0"/>
    <n v="0"/>
    <n v="0"/>
    <n v="2"/>
    <n v="0"/>
    <n v="0"/>
    <n v="7"/>
    <n v="0"/>
    <n v="0.8489736581411208"/>
    <n v="0.59502473559756086"/>
    <n v="0.55002080963175637"/>
    <n v="0.81745575848020657"/>
    <n v="1.01056543769991"/>
    <n v="0.21058903898096887"/>
    <n v="5.8265062631872602E-2"/>
  </r>
  <r>
    <n v="42"/>
    <n v="42"/>
    <s v="No"/>
    <n v="0"/>
    <s v="Travel_Rarely"/>
    <n v="0"/>
    <n v="1"/>
    <x v="1"/>
    <n v="1"/>
    <n v="0"/>
    <n v="1"/>
    <n v="1"/>
    <n v="2"/>
    <s v="Life Sciences"/>
    <n v="1"/>
    <n v="0"/>
    <n v="0"/>
    <n v="0"/>
    <n v="0"/>
    <n v="4"/>
    <s v="Female"/>
    <n v="1"/>
    <n v="43"/>
    <n v="2"/>
    <n v="2"/>
    <s v="Manufacturing Director"/>
    <n v="0"/>
    <n v="0"/>
    <n v="0"/>
    <n v="0"/>
    <n v="1"/>
    <n v="1"/>
    <n v="0"/>
    <n v="0"/>
    <n v="4"/>
    <s v="Married"/>
    <n v="0"/>
    <n v="1"/>
    <n v="6062"/>
    <n v="6062"/>
    <n v="9"/>
    <s v="Yes"/>
    <n v="1"/>
    <n v="13"/>
    <n v="3"/>
    <n v="4"/>
    <n v="1"/>
    <n v="8"/>
    <x v="0"/>
    <n v="4"/>
    <n v="3"/>
    <n v="4"/>
    <n v="4"/>
    <n v="3"/>
    <n v="0"/>
    <n v="0"/>
    <n v="2"/>
    <n v="2"/>
    <n v="4"/>
    <n v="0"/>
    <n v="1"/>
    <n v="0"/>
    <n v="0"/>
    <n v="0"/>
    <n v="0"/>
    <n v="0"/>
    <n v="1"/>
    <n v="0"/>
    <n v="2"/>
    <n v="0"/>
    <n v="0"/>
    <n v="8"/>
    <n v="0"/>
    <n v="9.3656614287537993E-2"/>
    <n v="0.59502473559756086"/>
    <n v="0.42149901815843233"/>
    <n v="0.49100643357776058"/>
    <n v="1.01056543769991"/>
    <n v="0.55566315731117022"/>
    <n v="0.67891464284095016"/>
  </r>
  <r>
    <n v="28"/>
    <n v="28"/>
    <s v="Yes"/>
    <n v="1"/>
    <s v="Travel_Rarely"/>
    <n v="0"/>
    <n v="1"/>
    <x v="1"/>
    <n v="1"/>
    <n v="0"/>
    <n v="2"/>
    <n v="2"/>
    <n v="4"/>
    <s v="Medical"/>
    <n v="0"/>
    <n v="0"/>
    <n v="1"/>
    <n v="0"/>
    <n v="0"/>
    <n v="3"/>
    <s v="Male"/>
    <n v="0"/>
    <n v="46"/>
    <n v="3"/>
    <n v="1"/>
    <s v="Research Scientist"/>
    <n v="0"/>
    <n v="0"/>
    <n v="0"/>
    <n v="0"/>
    <n v="0"/>
    <n v="0"/>
    <n v="0"/>
    <n v="1"/>
    <n v="3"/>
    <s v="Single"/>
    <n v="1"/>
    <n v="0"/>
    <n v="4382"/>
    <n v="4382"/>
    <n v="6"/>
    <s v="No"/>
    <n v="0"/>
    <n v="17"/>
    <n v="3"/>
    <n v="4"/>
    <n v="0"/>
    <n v="5"/>
    <x v="7"/>
    <n v="3"/>
    <n v="2"/>
    <n v="2"/>
    <n v="2"/>
    <n v="2"/>
    <n v="2"/>
    <n v="2"/>
    <n v="1"/>
    <n v="1"/>
    <n v="1"/>
    <n v="1"/>
    <n v="0"/>
    <n v="0"/>
    <n v="0"/>
    <n v="1"/>
    <n v="0"/>
    <n v="0"/>
    <n v="0"/>
    <n v="0"/>
    <n v="1"/>
    <n v="0"/>
    <n v="0"/>
    <n v="5"/>
    <n v="0"/>
    <n v="0.45049931217112038"/>
    <n v="0.87528310193156111"/>
    <n v="0.80706439257840468"/>
    <n v="0.81745575848020657"/>
    <n v="0.88721318382472392"/>
    <n v="0.97684123527310796"/>
    <n v="5.8265062631872602E-2"/>
  </r>
  <r>
    <n v="36"/>
    <n v="36"/>
    <s v="No"/>
    <n v="0"/>
    <s v="Travel_Rarely"/>
    <n v="0"/>
    <n v="1"/>
    <x v="2"/>
    <n v="0"/>
    <n v="0"/>
    <n v="13"/>
    <n v="13"/>
    <n v="3"/>
    <s v="Human Resources"/>
    <n v="0"/>
    <n v="0"/>
    <n v="0"/>
    <n v="0"/>
    <n v="0"/>
    <n v="3"/>
    <s v="Male"/>
    <n v="0"/>
    <n v="36"/>
    <n v="3"/>
    <n v="1"/>
    <s v="Human Resources"/>
    <n v="0"/>
    <n v="0"/>
    <n v="0"/>
    <n v="0"/>
    <n v="0"/>
    <n v="0"/>
    <n v="0"/>
    <n v="0"/>
    <n v="2"/>
    <s v="Married"/>
    <n v="0"/>
    <n v="1"/>
    <n v="2143"/>
    <n v="2143"/>
    <n v="4"/>
    <s v="No"/>
    <n v="0"/>
    <n v="13"/>
    <n v="3"/>
    <n v="2"/>
    <n v="1"/>
    <n v="8"/>
    <x v="0"/>
    <n v="2"/>
    <n v="3"/>
    <n v="5"/>
    <n v="5"/>
    <n v="2"/>
    <n v="0"/>
    <n v="0"/>
    <n v="4"/>
    <n v="4"/>
    <n v="4"/>
    <n v="0"/>
    <n v="1"/>
    <n v="0"/>
    <n v="0"/>
    <n v="0"/>
    <n v="0"/>
    <n v="1"/>
    <n v="0"/>
    <n v="4"/>
    <n v="0"/>
    <n v="0"/>
    <n v="8"/>
    <n v="0"/>
    <n v="0"/>
    <n v="0.92607716964810916"/>
    <n v="3.4508002929560584E-2"/>
    <n v="0.42149901815843233"/>
    <n v="0.32778177112653761"/>
    <n v="0.46966160880232483"/>
    <n v="0.10112443951066327"/>
    <n v="0.67891464284095016"/>
  </r>
  <r>
    <n v="32"/>
    <n v="32"/>
    <s v="No"/>
    <n v="0"/>
    <s v="Travel_Rarely"/>
    <n v="0"/>
    <n v="1"/>
    <x v="1"/>
    <n v="1"/>
    <n v="0"/>
    <n v="4"/>
    <n v="4"/>
    <n v="3"/>
    <s v="Life Sciences"/>
    <n v="1"/>
    <n v="0"/>
    <n v="0"/>
    <n v="0"/>
    <n v="0"/>
    <n v="3"/>
    <s v="Female"/>
    <n v="1"/>
    <n v="98"/>
    <n v="2"/>
    <n v="2"/>
    <s v="Manufacturing Director"/>
    <n v="0"/>
    <n v="0"/>
    <n v="0"/>
    <n v="0"/>
    <n v="1"/>
    <n v="1"/>
    <n v="0"/>
    <n v="0"/>
    <n v="3"/>
    <s v="Married"/>
    <n v="0"/>
    <n v="1"/>
    <n v="6162"/>
    <n v="6162"/>
    <n v="1"/>
    <s v="No"/>
    <n v="0"/>
    <n v="12"/>
    <n v="3"/>
    <n v="3"/>
    <n v="1"/>
    <n v="14"/>
    <x v="18"/>
    <n v="3"/>
    <n v="3"/>
    <n v="14"/>
    <n v="14"/>
    <n v="13"/>
    <n v="6"/>
    <n v="6"/>
    <n v="8"/>
    <n v="8"/>
    <n v="16"/>
    <n v="0"/>
    <n v="1"/>
    <n v="0"/>
    <n v="0"/>
    <n v="0"/>
    <n v="0"/>
    <n v="1"/>
    <n v="0"/>
    <n v="0"/>
    <n v="8"/>
    <n v="0"/>
    <n v="0"/>
    <n v="14"/>
    <n v="0"/>
    <n v="7.2415977508753337E-2"/>
    <n v="1.08652546240644"/>
    <n v="0.34963173068151232"/>
    <n v="1.1412401909344694"/>
    <n v="0.64050867607435136"/>
    <n v="0.53898283739188557"/>
    <n v="1.1830340977862825"/>
  </r>
  <r>
    <n v="40"/>
    <n v="40"/>
    <s v="No"/>
    <n v="0"/>
    <s v="Travel_Frequently"/>
    <n v="1"/>
    <n v="0"/>
    <x v="1"/>
    <n v="1"/>
    <n v="0"/>
    <n v="16"/>
    <n v="16"/>
    <n v="4"/>
    <s v="Medical"/>
    <n v="0"/>
    <n v="0"/>
    <n v="1"/>
    <n v="0"/>
    <n v="0"/>
    <n v="1"/>
    <s v="Male"/>
    <n v="0"/>
    <n v="51"/>
    <n v="2"/>
    <n v="2"/>
    <s v="Laboratory Technician"/>
    <n v="0"/>
    <n v="0"/>
    <n v="1"/>
    <n v="0"/>
    <n v="0"/>
    <n v="0"/>
    <n v="0"/>
    <n v="0"/>
    <n v="3"/>
    <s v="Single"/>
    <n v="1"/>
    <n v="0"/>
    <n v="5094"/>
    <n v="5094"/>
    <n v="6"/>
    <s v="No"/>
    <n v="0"/>
    <n v="14"/>
    <n v="3"/>
    <n v="4"/>
    <n v="0"/>
    <n v="10"/>
    <x v="1"/>
    <n v="6"/>
    <n v="3"/>
    <n v="1"/>
    <n v="1"/>
    <n v="0"/>
    <n v="0"/>
    <n v="0"/>
    <n v="0"/>
    <n v="0"/>
    <n v="0"/>
    <n v="0"/>
    <n v="0"/>
    <n v="1"/>
    <n v="0"/>
    <n v="1"/>
    <n v="0"/>
    <n v="0"/>
    <n v="0"/>
    <n v="0"/>
    <n v="0"/>
    <n v="0"/>
    <n v="0"/>
    <n v="10"/>
    <n v="0"/>
    <n v="0.29926597830617357"/>
    <n v="1.1555414682655611"/>
    <n v="0.1644554352117841"/>
    <n v="0.9806804209314296"/>
    <n v="0.83971837042788355"/>
    <n v="0.33673395837055903"/>
    <n v="0.67891464284095016"/>
  </r>
  <r>
    <n v="30"/>
    <n v="30"/>
    <s v="No"/>
    <n v="0"/>
    <s v="Travel_Rarely"/>
    <n v="0"/>
    <n v="1"/>
    <x v="1"/>
    <n v="1"/>
    <n v="0"/>
    <n v="2"/>
    <n v="2"/>
    <n v="3"/>
    <s v="Medical"/>
    <n v="0"/>
    <n v="0"/>
    <n v="1"/>
    <n v="0"/>
    <n v="0"/>
    <n v="3"/>
    <s v="Female"/>
    <n v="1"/>
    <n v="52"/>
    <n v="2"/>
    <n v="2"/>
    <s v="Manufacturing Director"/>
    <n v="0"/>
    <n v="0"/>
    <n v="0"/>
    <n v="0"/>
    <n v="1"/>
    <n v="1"/>
    <n v="0"/>
    <n v="0"/>
    <n v="4"/>
    <s v="Single"/>
    <n v="1"/>
    <n v="0"/>
    <n v="6877"/>
    <n v="6877"/>
    <n v="5"/>
    <s v="Yes"/>
    <n v="1"/>
    <n v="24"/>
    <n v="4"/>
    <n v="2"/>
    <n v="0"/>
    <n v="12"/>
    <x v="4"/>
    <n v="4"/>
    <n v="2"/>
    <n v="0"/>
    <n v="0"/>
    <n v="0"/>
    <n v="0"/>
    <n v="0"/>
    <n v="0"/>
    <n v="0"/>
    <n v="0"/>
    <n v="1"/>
    <n v="0"/>
    <n v="0"/>
    <n v="0"/>
    <n v="0"/>
    <n v="1"/>
    <n v="0"/>
    <n v="0"/>
    <n v="0"/>
    <n v="0"/>
    <n v="0"/>
    <n v="0"/>
    <n v="12"/>
    <n v="0"/>
    <n v="7.9454575459557045E-2"/>
    <n v="1.1555414682655611"/>
    <n v="9.2588147734864096E-2"/>
    <n v="1.1439050833826525"/>
    <n v="0.88721318382472392"/>
    <n v="0.75791203633249671"/>
    <n v="0.67891464284095016"/>
  </r>
  <r>
    <n v="45"/>
    <n v="45"/>
    <s v="No"/>
    <n v="0"/>
    <s v="Travel_Rarely"/>
    <n v="0"/>
    <n v="1"/>
    <x v="1"/>
    <n v="1"/>
    <n v="0"/>
    <n v="2"/>
    <n v="2"/>
    <n v="3"/>
    <s v="Life Sciences"/>
    <n v="1"/>
    <n v="0"/>
    <n v="0"/>
    <n v="0"/>
    <n v="0"/>
    <n v="2"/>
    <s v="Female"/>
    <n v="1"/>
    <n v="95"/>
    <n v="2"/>
    <n v="1"/>
    <s v="Research Scientist"/>
    <n v="0"/>
    <n v="0"/>
    <n v="0"/>
    <n v="0"/>
    <n v="0"/>
    <n v="0"/>
    <n v="0"/>
    <n v="1"/>
    <n v="3"/>
    <s v="Single"/>
    <n v="1"/>
    <n v="0"/>
    <n v="2274"/>
    <n v="2274"/>
    <n v="1"/>
    <s v="No"/>
    <n v="0"/>
    <n v="14"/>
    <n v="3"/>
    <n v="4"/>
    <n v="0"/>
    <n v="1"/>
    <x v="5"/>
    <n v="3"/>
    <n v="3"/>
    <n v="1"/>
    <n v="1"/>
    <n v="0"/>
    <n v="0"/>
    <n v="0"/>
    <n v="0"/>
    <n v="0"/>
    <n v="0"/>
    <n v="1"/>
    <n v="0"/>
    <n v="0"/>
    <n v="0"/>
    <n v="1"/>
    <n v="0"/>
    <n v="0"/>
    <n v="0"/>
    <n v="0"/>
    <n v="0"/>
    <n v="0"/>
    <n v="0"/>
    <n v="1"/>
    <n v="0"/>
    <n v="0.89825193546790116"/>
    <n v="1.1555414682655611"/>
    <n v="1.3211515584717011"/>
    <n v="0.9806804209314296"/>
    <n v="0.88721318382472392"/>
    <n v="0.88405695572208698"/>
    <n v="0.67891464284095016"/>
  </r>
  <r>
    <n v="42"/>
    <n v="42"/>
    <s v="No"/>
    <n v="0"/>
    <s v="Travel_Rarely"/>
    <n v="0"/>
    <n v="1"/>
    <x v="1"/>
    <n v="1"/>
    <n v="0"/>
    <n v="29"/>
    <n v="29"/>
    <n v="3"/>
    <s v="Life Sciences"/>
    <n v="1"/>
    <n v="0"/>
    <n v="0"/>
    <n v="0"/>
    <n v="0"/>
    <n v="2"/>
    <s v="Male"/>
    <n v="0"/>
    <n v="98"/>
    <n v="3"/>
    <n v="2"/>
    <s v="Manufacturing Director"/>
    <n v="0"/>
    <n v="0"/>
    <n v="0"/>
    <n v="0"/>
    <n v="1"/>
    <n v="1"/>
    <n v="0"/>
    <n v="0"/>
    <n v="2"/>
    <s v="Married"/>
    <n v="0"/>
    <n v="1"/>
    <n v="4434"/>
    <n v="4434"/>
    <n v="1"/>
    <s v="No"/>
    <n v="0"/>
    <n v="13"/>
    <n v="3"/>
    <n v="4"/>
    <n v="1"/>
    <n v="10"/>
    <x v="1"/>
    <n v="3"/>
    <n v="2"/>
    <n v="9"/>
    <n v="9"/>
    <n v="8"/>
    <n v="7"/>
    <n v="7"/>
    <n v="8"/>
    <n v="8"/>
    <n v="16"/>
    <n v="0"/>
    <n v="1"/>
    <n v="0"/>
    <n v="0"/>
    <n v="0"/>
    <n v="0"/>
    <n v="1"/>
    <n v="0"/>
    <n v="0"/>
    <n v="8"/>
    <n v="0"/>
    <n v="0"/>
    <n v="10"/>
    <n v="0"/>
    <n v="0.43945418104615236"/>
    <n v="1.08652546240644"/>
    <n v="0.1644554352117841"/>
    <n v="0.32511687867835437"/>
    <n v="2.4432976708053049"/>
    <n v="0.55566315731117022"/>
    <n v="1.4933588878908215"/>
  </r>
  <r>
    <n v="38"/>
    <n v="38"/>
    <s v="No"/>
    <n v="0"/>
    <s v="Travel_Frequently"/>
    <n v="1"/>
    <n v="0"/>
    <x v="1"/>
    <n v="1"/>
    <n v="0"/>
    <n v="12"/>
    <n v="12"/>
    <n v="3"/>
    <s v="Life Sciences"/>
    <n v="1"/>
    <n v="0"/>
    <n v="0"/>
    <n v="0"/>
    <n v="0"/>
    <n v="1"/>
    <s v="Male"/>
    <n v="0"/>
    <n v="45"/>
    <n v="2"/>
    <n v="2"/>
    <s v="Healthcare Representative"/>
    <n v="1"/>
    <n v="0"/>
    <n v="0"/>
    <n v="0"/>
    <n v="0"/>
    <n v="0"/>
    <n v="0"/>
    <n v="0"/>
    <n v="1"/>
    <s v="Divorced"/>
    <n v="0"/>
    <n v="0"/>
    <n v="6288"/>
    <n v="6288"/>
    <n v="2"/>
    <s v="No"/>
    <n v="0"/>
    <n v="15"/>
    <n v="3"/>
    <n v="3"/>
    <n v="1"/>
    <n v="13"/>
    <x v="10"/>
    <n v="3"/>
    <n v="2"/>
    <n v="4"/>
    <n v="4"/>
    <n v="3"/>
    <n v="1"/>
    <n v="1"/>
    <n v="2"/>
    <n v="2"/>
    <n v="4"/>
    <n v="0"/>
    <n v="0"/>
    <n v="1"/>
    <n v="0"/>
    <n v="1"/>
    <n v="0"/>
    <n v="0"/>
    <n v="0"/>
    <n v="0"/>
    <n v="2"/>
    <n v="0"/>
    <n v="0"/>
    <n v="13"/>
    <n v="0"/>
    <n v="4.5652775167484651E-2"/>
    <n v="0.59502473559756086"/>
    <n v="0.22110993920818819"/>
    <n v="0.49100643357776058"/>
    <n v="0.3463093549271386"/>
    <n v="0.11780475942994788"/>
    <n v="0.36858985273641137"/>
  </r>
  <r>
    <n v="34"/>
    <n v="34"/>
    <s v="No"/>
    <n v="0"/>
    <s v="Travel_Frequently"/>
    <n v="1"/>
    <n v="0"/>
    <x v="1"/>
    <n v="1"/>
    <n v="0"/>
    <n v="16"/>
    <n v="16"/>
    <n v="4"/>
    <s v="Life Sciences"/>
    <n v="1"/>
    <n v="0"/>
    <n v="0"/>
    <n v="0"/>
    <n v="0"/>
    <n v="3"/>
    <s v="Female"/>
    <n v="1"/>
    <n v="100"/>
    <n v="2"/>
    <n v="1"/>
    <s v="Research Scientist"/>
    <n v="0"/>
    <n v="0"/>
    <n v="0"/>
    <n v="0"/>
    <n v="0"/>
    <n v="0"/>
    <n v="0"/>
    <n v="1"/>
    <n v="4"/>
    <s v="Single"/>
    <n v="1"/>
    <n v="0"/>
    <n v="2553"/>
    <n v="2553"/>
    <n v="1"/>
    <s v="No"/>
    <n v="0"/>
    <n v="16"/>
    <n v="3"/>
    <n v="3"/>
    <n v="0"/>
    <n v="6"/>
    <x v="3"/>
    <n v="3"/>
    <n v="3"/>
    <n v="5"/>
    <n v="5"/>
    <n v="2"/>
    <n v="1"/>
    <n v="1"/>
    <n v="3"/>
    <n v="3"/>
    <n v="3"/>
    <n v="0"/>
    <n v="0"/>
    <n v="1"/>
    <n v="0"/>
    <n v="1"/>
    <n v="0"/>
    <n v="0"/>
    <n v="0"/>
    <n v="0"/>
    <n v="3"/>
    <n v="0"/>
    <n v="0"/>
    <n v="6"/>
    <n v="0"/>
    <n v="0.83899055885509199"/>
    <n v="0.31476636926356072"/>
    <n v="0.67854260110508058"/>
    <n v="0.32778177112653761"/>
    <n v="0.83971837042788355"/>
    <n v="0.32005363845127444"/>
    <n v="0.36858985273641137"/>
  </r>
  <r>
    <n v="49"/>
    <n v="49"/>
    <s v="Yes"/>
    <n v="1"/>
    <s v="Travel_Rarely"/>
    <n v="0"/>
    <n v="1"/>
    <x v="0"/>
    <n v="0"/>
    <n v="1"/>
    <n v="11"/>
    <n v="11"/>
    <n v="3"/>
    <s v="Marketing"/>
    <n v="0"/>
    <n v="0"/>
    <n v="0"/>
    <n v="1"/>
    <n v="0"/>
    <n v="3"/>
    <s v="Female"/>
    <n v="1"/>
    <n v="43"/>
    <n v="3"/>
    <n v="3"/>
    <s v="Sales Executive"/>
    <n v="0"/>
    <n v="1"/>
    <n v="0"/>
    <n v="0"/>
    <n v="0"/>
    <n v="0"/>
    <n v="0"/>
    <n v="0"/>
    <n v="4"/>
    <s v="Married"/>
    <n v="0"/>
    <n v="1"/>
    <n v="7654"/>
    <n v="7654"/>
    <n v="1"/>
    <s v="No"/>
    <n v="0"/>
    <n v="18"/>
    <n v="3"/>
    <n v="1"/>
    <n v="2"/>
    <n v="9"/>
    <x v="14"/>
    <n v="3"/>
    <n v="4"/>
    <n v="9"/>
    <n v="9"/>
    <n v="8"/>
    <n v="7"/>
    <n v="7"/>
    <n v="7"/>
    <n v="7"/>
    <n v="21"/>
    <n v="0"/>
    <n v="1"/>
    <n v="0"/>
    <n v="0"/>
    <n v="0"/>
    <n v="0"/>
    <n v="1"/>
    <n v="0"/>
    <n v="0"/>
    <n v="0"/>
    <n v="7"/>
    <n v="0"/>
    <n v="0"/>
    <n v="9"/>
    <n v="0.24449432323071391"/>
    <n v="0.80626709607243985"/>
    <n v="0.29297722668510823"/>
    <n v="0.32511687867835437"/>
    <n v="0.22295710105195232"/>
    <n v="1.3219153536033093"/>
    <n v="1.4933588878908215"/>
  </r>
  <r>
    <n v="55"/>
    <n v="55"/>
    <s v="Yes"/>
    <n v="1"/>
    <s v="Travel_Rarely"/>
    <n v="0"/>
    <n v="1"/>
    <x v="0"/>
    <n v="0"/>
    <n v="1"/>
    <n v="2"/>
    <n v="2"/>
    <n v="1"/>
    <s v="Medical"/>
    <n v="0"/>
    <n v="0"/>
    <n v="1"/>
    <n v="0"/>
    <n v="0"/>
    <n v="3"/>
    <s v="Male"/>
    <n v="0"/>
    <n v="37"/>
    <n v="3"/>
    <n v="2"/>
    <s v="Sales Executive"/>
    <n v="0"/>
    <n v="1"/>
    <n v="0"/>
    <n v="0"/>
    <n v="0"/>
    <n v="0"/>
    <n v="0"/>
    <n v="0"/>
    <n v="4"/>
    <s v="Single"/>
    <n v="1"/>
    <n v="0"/>
    <n v="5160"/>
    <n v="5160"/>
    <n v="4"/>
    <s v="No"/>
    <n v="0"/>
    <n v="16"/>
    <n v="3"/>
    <n v="3"/>
    <n v="0"/>
    <n v="12"/>
    <x v="4"/>
    <n v="3"/>
    <n v="2"/>
    <n v="9"/>
    <n v="9"/>
    <n v="7"/>
    <n v="7"/>
    <n v="7"/>
    <n v="3"/>
    <n v="3"/>
    <n v="6"/>
    <n v="1"/>
    <n v="0"/>
    <n v="0"/>
    <n v="0"/>
    <n v="1"/>
    <n v="0"/>
    <n v="0"/>
    <n v="0"/>
    <n v="0"/>
    <n v="0"/>
    <n v="3"/>
    <n v="0"/>
    <n v="0"/>
    <n v="12"/>
    <n v="0.28524715803217571"/>
    <n v="0.31476636926356072"/>
    <n v="9.2588147734864096E-2"/>
    <n v="0.32511687867835437"/>
    <n v="0.88721318382472392"/>
    <n v="1.9787029504251428"/>
    <n v="1.4933588878908215"/>
  </r>
  <r>
    <n v="43"/>
    <n v="43"/>
    <s v="No"/>
    <n v="0"/>
    <s v="Travel_Rarely"/>
    <n v="0"/>
    <n v="1"/>
    <x v="1"/>
    <n v="1"/>
    <n v="0"/>
    <n v="14"/>
    <n v="14"/>
    <n v="2"/>
    <s v="Life Sciences"/>
    <n v="1"/>
    <n v="0"/>
    <n v="0"/>
    <n v="0"/>
    <n v="0"/>
    <n v="2"/>
    <s v="Male"/>
    <n v="0"/>
    <n v="94"/>
    <n v="3"/>
    <n v="4"/>
    <s v="Research Director"/>
    <n v="0"/>
    <n v="0"/>
    <n v="0"/>
    <n v="0"/>
    <n v="0"/>
    <n v="0"/>
    <n v="0"/>
    <n v="0"/>
    <n v="1"/>
    <s v="Married"/>
    <n v="0"/>
    <n v="1"/>
    <n v="17159"/>
    <n v="17159"/>
    <n v="6"/>
    <s v="No"/>
    <n v="0"/>
    <n v="24"/>
    <n v="4"/>
    <n v="3"/>
    <n v="1"/>
    <n v="22"/>
    <x v="13"/>
    <n v="3"/>
    <n v="3"/>
    <n v="4"/>
    <n v="4"/>
    <n v="1"/>
    <n v="1"/>
    <n v="1"/>
    <n v="0"/>
    <n v="0"/>
    <n v="0"/>
    <n v="0"/>
    <n v="1"/>
    <n v="0"/>
    <n v="0"/>
    <n v="0"/>
    <n v="0"/>
    <n v="1"/>
    <n v="0"/>
    <n v="0"/>
    <n v="0"/>
    <n v="0"/>
    <n v="0"/>
    <n v="22"/>
    <n v="0"/>
    <n v="2.2634168490541966"/>
    <n v="1.1555414682655611"/>
    <n v="1.3778060624681052"/>
    <n v="0.49100643357776058"/>
    <n v="0.59301386267751111"/>
    <n v="0.66512775678147573"/>
    <n v="0.36858985273641137"/>
  </r>
  <r>
    <n v="27"/>
    <n v="27"/>
    <s v="No"/>
    <n v="0"/>
    <s v="Travel_Rarely"/>
    <n v="0"/>
    <n v="1"/>
    <x v="1"/>
    <n v="1"/>
    <n v="0"/>
    <n v="5"/>
    <n v="5"/>
    <n v="1"/>
    <s v="Technical Degree"/>
    <n v="0"/>
    <n v="0"/>
    <n v="0"/>
    <n v="0"/>
    <n v="1"/>
    <n v="3"/>
    <s v="Male"/>
    <n v="0"/>
    <n v="42"/>
    <n v="2"/>
    <n v="3"/>
    <s v="Research Director"/>
    <n v="0"/>
    <n v="0"/>
    <n v="0"/>
    <n v="0"/>
    <n v="0"/>
    <n v="0"/>
    <n v="0"/>
    <n v="0"/>
    <n v="4"/>
    <s v="Divorced"/>
    <n v="0"/>
    <n v="0"/>
    <n v="12808"/>
    <n v="12808"/>
    <n v="1"/>
    <s v="Yes"/>
    <n v="1"/>
    <n v="16"/>
    <n v="3"/>
    <n v="2"/>
    <n v="1"/>
    <n v="9"/>
    <x v="14"/>
    <n v="3"/>
    <n v="3"/>
    <n v="9"/>
    <n v="9"/>
    <n v="8"/>
    <n v="0"/>
    <n v="0"/>
    <n v="8"/>
    <n v="8"/>
    <n v="24"/>
    <n v="1"/>
    <n v="0"/>
    <n v="0"/>
    <n v="0"/>
    <n v="0"/>
    <n v="1"/>
    <n v="0"/>
    <n v="0"/>
    <n v="0"/>
    <n v="8"/>
    <n v="0"/>
    <n v="0"/>
    <n v="9"/>
    <n v="0"/>
    <n v="1.3392367428092757"/>
    <n v="1.08652546240644"/>
    <n v="0.29297722668510823"/>
    <n v="0.32511687867835437"/>
    <n v="0.51715642219916513"/>
    <n v="1.0863058347434136"/>
    <n v="0.67891464284095016"/>
  </r>
  <r>
    <n v="35"/>
    <n v="35"/>
    <s v="No"/>
    <n v="0"/>
    <s v="Travel_Rarely"/>
    <n v="0"/>
    <n v="1"/>
    <x v="1"/>
    <n v="1"/>
    <n v="0"/>
    <n v="7"/>
    <n v="7"/>
    <n v="3"/>
    <s v="Other"/>
    <n v="0"/>
    <n v="1"/>
    <n v="0"/>
    <n v="0"/>
    <n v="0"/>
    <n v="3"/>
    <s v="Male"/>
    <n v="0"/>
    <n v="59"/>
    <n v="3"/>
    <n v="3"/>
    <s v="Manufacturing Director"/>
    <n v="0"/>
    <n v="0"/>
    <n v="0"/>
    <n v="0"/>
    <n v="1"/>
    <n v="1"/>
    <n v="0"/>
    <n v="0"/>
    <n v="3"/>
    <s v="Single"/>
    <n v="1"/>
    <n v="0"/>
    <n v="10221"/>
    <n v="10221"/>
    <n v="3"/>
    <s v="No"/>
    <n v="0"/>
    <n v="21"/>
    <n v="4"/>
    <n v="2"/>
    <n v="0"/>
    <n v="17"/>
    <x v="6"/>
    <n v="3"/>
    <n v="4"/>
    <n v="8"/>
    <n v="8"/>
    <n v="5"/>
    <n v="1"/>
    <n v="1"/>
    <n v="6"/>
    <n v="6"/>
    <n v="18"/>
    <n v="1"/>
    <n v="0"/>
    <n v="0"/>
    <n v="0"/>
    <n v="1"/>
    <n v="0"/>
    <n v="0"/>
    <n v="0"/>
    <n v="0"/>
    <n v="6"/>
    <n v="0"/>
    <n v="0"/>
    <n v="17"/>
    <n v="0"/>
    <n v="0.78974146934211631"/>
    <n v="0.52600872973843971"/>
    <n v="0.73519710510148462"/>
    <n v="0.16189221622713135"/>
    <n v="0.27045191444879263"/>
    <n v="0.21058903898096887"/>
    <n v="0.36858985273641137"/>
  </r>
  <r>
    <n v="28"/>
    <n v="28"/>
    <s v="No"/>
    <n v="0"/>
    <s v="Travel_Rarely"/>
    <n v="0"/>
    <n v="1"/>
    <x v="0"/>
    <n v="0"/>
    <n v="1"/>
    <n v="2"/>
    <n v="2"/>
    <n v="4"/>
    <s v="Marketing"/>
    <n v="0"/>
    <n v="0"/>
    <n v="0"/>
    <n v="1"/>
    <n v="0"/>
    <n v="2"/>
    <s v="Female"/>
    <n v="1"/>
    <n v="81"/>
    <n v="3"/>
    <n v="2"/>
    <s v="Sales Executive"/>
    <n v="0"/>
    <n v="1"/>
    <n v="0"/>
    <n v="0"/>
    <n v="0"/>
    <n v="0"/>
    <n v="0"/>
    <n v="0"/>
    <n v="2"/>
    <s v="Married"/>
    <n v="0"/>
    <n v="1"/>
    <n v="4779"/>
    <n v="4779"/>
    <n v="1"/>
    <s v="Yes"/>
    <n v="1"/>
    <n v="20"/>
    <n v="4"/>
    <n v="1"/>
    <n v="0"/>
    <n v="8"/>
    <x v="0"/>
    <n v="2"/>
    <n v="3"/>
    <n v="8"/>
    <n v="8"/>
    <n v="7"/>
    <n v="7"/>
    <n v="7"/>
    <n v="5"/>
    <n v="5"/>
    <n v="10"/>
    <n v="0"/>
    <n v="1"/>
    <n v="0"/>
    <n v="0"/>
    <n v="0"/>
    <n v="0"/>
    <n v="0"/>
    <n v="1"/>
    <n v="0"/>
    <n v="0"/>
    <n v="5"/>
    <n v="0"/>
    <n v="0"/>
    <n v="8"/>
    <n v="0.36617398415934527"/>
    <n v="0.24575036340443959"/>
    <n v="0.42149901815843233"/>
    <n v="0.16189221622713135"/>
    <n v="0.88721318382472392"/>
    <n v="0.97684123527310796"/>
    <n v="1.4933588878908215"/>
  </r>
  <r>
    <n v="34"/>
    <n v="34"/>
    <s v="No"/>
    <n v="0"/>
    <s v="Travel_Rarely"/>
    <n v="0"/>
    <n v="1"/>
    <x v="2"/>
    <n v="0"/>
    <n v="0"/>
    <n v="3"/>
    <n v="3"/>
    <n v="2"/>
    <s v="Human Resources"/>
    <n v="0"/>
    <n v="0"/>
    <n v="0"/>
    <n v="0"/>
    <n v="0"/>
    <n v="3"/>
    <s v="Male"/>
    <n v="0"/>
    <n v="88"/>
    <n v="3"/>
    <n v="1"/>
    <s v="Human Resources"/>
    <n v="0"/>
    <n v="0"/>
    <n v="0"/>
    <n v="0"/>
    <n v="0"/>
    <n v="0"/>
    <n v="0"/>
    <n v="0"/>
    <n v="4"/>
    <s v="Married"/>
    <n v="0"/>
    <n v="1"/>
    <n v="3737"/>
    <n v="3737"/>
    <n v="0"/>
    <s v="No"/>
    <n v="0"/>
    <n v="19"/>
    <n v="3"/>
    <n v="3"/>
    <n v="1"/>
    <n v="4"/>
    <x v="20"/>
    <n v="1"/>
    <n v="1"/>
    <n v="3"/>
    <n v="3"/>
    <n v="2"/>
    <n v="0"/>
    <n v="0"/>
    <n v="2"/>
    <n v="2"/>
    <n v="2"/>
    <n v="0"/>
    <n v="1"/>
    <n v="0"/>
    <n v="0"/>
    <n v="0"/>
    <n v="0"/>
    <n v="1"/>
    <n v="0"/>
    <n v="2"/>
    <n v="0"/>
    <n v="0"/>
    <n v="4"/>
    <n v="0"/>
    <n v="0"/>
    <n v="0.58750141939428147"/>
    <n v="0.59502473559756086"/>
    <n v="0.93558618405172878"/>
    <n v="0.65423109602898355"/>
    <n v="0.76386092994953758"/>
    <n v="0.32005363845127444"/>
    <n v="0.67891464284095016"/>
  </r>
  <r>
    <n v="26"/>
    <n v="26"/>
    <s v="Yes"/>
    <n v="1"/>
    <s v="Travel_Frequently"/>
    <n v="1"/>
    <n v="0"/>
    <x v="1"/>
    <n v="1"/>
    <n v="0"/>
    <n v="5"/>
    <n v="5"/>
    <n v="2"/>
    <s v="Medical"/>
    <n v="0"/>
    <n v="0"/>
    <n v="1"/>
    <n v="0"/>
    <n v="0"/>
    <n v="3"/>
    <s v="Female"/>
    <n v="1"/>
    <n v="88"/>
    <n v="2"/>
    <n v="1"/>
    <s v="Research Scientist"/>
    <n v="0"/>
    <n v="0"/>
    <n v="0"/>
    <n v="0"/>
    <n v="0"/>
    <n v="0"/>
    <n v="0"/>
    <n v="1"/>
    <n v="3"/>
    <s v="Married"/>
    <n v="0"/>
    <n v="1"/>
    <n v="2366"/>
    <n v="2366"/>
    <n v="1"/>
    <s v="Yes"/>
    <n v="1"/>
    <n v="14"/>
    <n v="3"/>
    <n v="1"/>
    <n v="1"/>
    <n v="8"/>
    <x v="0"/>
    <n v="2"/>
    <n v="3"/>
    <n v="8"/>
    <n v="8"/>
    <n v="7"/>
    <n v="1"/>
    <n v="1"/>
    <n v="7"/>
    <n v="7"/>
    <n v="7"/>
    <n v="0"/>
    <n v="0"/>
    <n v="0"/>
    <n v="1"/>
    <n v="0"/>
    <n v="0"/>
    <n v="0"/>
    <n v="1"/>
    <n v="0"/>
    <n v="7"/>
    <n v="0"/>
    <n v="0"/>
    <n v="8"/>
    <n v="0"/>
    <n v="0.87871054963141926"/>
    <n v="0.80626709607243985"/>
    <n v="0.42149901815843233"/>
    <n v="0.16189221622713135"/>
    <n v="0.51715642219916513"/>
    <n v="1.195770434213719"/>
    <n v="0.36858985273641137"/>
  </r>
  <r>
    <n v="27"/>
    <n v="27"/>
    <s v="No"/>
    <n v="0"/>
    <s v="Non-Travel"/>
    <n v="0"/>
    <n v="0"/>
    <x v="1"/>
    <n v="1"/>
    <n v="0"/>
    <n v="3"/>
    <n v="3"/>
    <n v="3"/>
    <s v="Medical"/>
    <n v="0"/>
    <n v="0"/>
    <n v="1"/>
    <n v="0"/>
    <n v="0"/>
    <n v="4"/>
    <s v="Male"/>
    <n v="0"/>
    <n v="50"/>
    <n v="3"/>
    <n v="1"/>
    <s v="Research Scientist"/>
    <n v="0"/>
    <n v="0"/>
    <n v="0"/>
    <n v="0"/>
    <n v="0"/>
    <n v="0"/>
    <n v="0"/>
    <n v="1"/>
    <n v="4"/>
    <s v="Married"/>
    <n v="0"/>
    <n v="1"/>
    <n v="1706"/>
    <n v="1706"/>
    <n v="1"/>
    <s v="No"/>
    <n v="0"/>
    <n v="11"/>
    <n v="3"/>
    <n v="3"/>
    <n v="3"/>
    <n v="0"/>
    <x v="5"/>
    <n v="6"/>
    <n v="2"/>
    <n v="0"/>
    <n v="0"/>
    <n v="0"/>
    <n v="0"/>
    <n v="0"/>
    <n v="0"/>
    <n v="0"/>
    <n v="0"/>
    <n v="0"/>
    <n v="1"/>
    <n v="0"/>
    <n v="0"/>
    <n v="0"/>
    <n v="0"/>
    <n v="1"/>
    <n v="0"/>
    <n v="0"/>
    <n v="0"/>
    <n v="0"/>
    <n v="0"/>
    <n v="1"/>
    <n v="0"/>
    <n v="1.0188987523713982"/>
    <n v="1.1555414682655611"/>
    <n v="1.4496733499450252"/>
    <n v="1.1439050833826525"/>
    <n v="0.76386092994953758"/>
    <n v="1.0863058347434136"/>
    <n v="0.67891464284095016"/>
  </r>
  <r>
    <n v="51"/>
    <n v="51"/>
    <s v="No"/>
    <n v="0"/>
    <s v="Travel_Rarely"/>
    <n v="0"/>
    <n v="1"/>
    <x v="0"/>
    <n v="0"/>
    <n v="1"/>
    <n v="26"/>
    <n v="26"/>
    <n v="4"/>
    <s v="Marketing"/>
    <n v="0"/>
    <n v="0"/>
    <n v="0"/>
    <n v="1"/>
    <n v="0"/>
    <n v="1"/>
    <s v="Female"/>
    <n v="1"/>
    <n v="66"/>
    <n v="3"/>
    <n v="4"/>
    <s v="Manager"/>
    <n v="0"/>
    <n v="0"/>
    <n v="0"/>
    <n v="1"/>
    <n v="0"/>
    <n v="0"/>
    <n v="0"/>
    <n v="0"/>
    <n v="3"/>
    <s v="Married"/>
    <n v="0"/>
    <n v="1"/>
    <n v="16307"/>
    <n v="16307"/>
    <n v="2"/>
    <s v="No"/>
    <n v="0"/>
    <n v="14"/>
    <n v="3"/>
    <n v="3"/>
    <n v="1"/>
    <n v="29"/>
    <x v="21"/>
    <n v="2"/>
    <n v="2"/>
    <n v="20"/>
    <n v="20"/>
    <n v="6"/>
    <n v="4"/>
    <n v="4"/>
    <n v="17"/>
    <n v="14"/>
    <n v="56"/>
    <n v="0"/>
    <n v="1"/>
    <n v="0"/>
    <n v="0"/>
    <n v="0"/>
    <n v="0"/>
    <n v="1"/>
    <n v="0"/>
    <n v="0"/>
    <n v="0"/>
    <n v="14"/>
    <n v="0"/>
    <n v="0"/>
    <n v="29"/>
    <n v="2.0824466236989512"/>
    <n v="3.6088507594124417"/>
    <n v="2.2774586027813735"/>
    <n v="2.1205881656418071"/>
    <n v="2.0732409091797459"/>
    <n v="1.5408445525439205"/>
    <n v="0.56238451757720498"/>
  </r>
  <r>
    <n v="44"/>
    <n v="44"/>
    <s v="No"/>
    <n v="0"/>
    <s v="Travel_Rarely"/>
    <n v="0"/>
    <n v="1"/>
    <x v="1"/>
    <n v="1"/>
    <n v="0"/>
    <n v="4"/>
    <n v="4"/>
    <n v="3"/>
    <s v="Medical"/>
    <n v="0"/>
    <n v="0"/>
    <n v="1"/>
    <n v="0"/>
    <n v="0"/>
    <n v="4"/>
    <s v="Male"/>
    <n v="0"/>
    <n v="50"/>
    <n v="3"/>
    <n v="2"/>
    <s v="Healthcare Representative"/>
    <n v="1"/>
    <n v="0"/>
    <n v="0"/>
    <n v="0"/>
    <n v="0"/>
    <n v="0"/>
    <n v="0"/>
    <n v="0"/>
    <n v="2"/>
    <s v="Single"/>
    <n v="1"/>
    <n v="0"/>
    <n v="5933"/>
    <n v="5933"/>
    <n v="9"/>
    <s v="No"/>
    <n v="0"/>
    <n v="12"/>
    <n v="3"/>
    <n v="4"/>
    <n v="0"/>
    <n v="10"/>
    <x v="1"/>
    <n v="2"/>
    <n v="2"/>
    <n v="5"/>
    <n v="5"/>
    <n v="2"/>
    <n v="2"/>
    <n v="2"/>
    <n v="3"/>
    <n v="3"/>
    <n v="6"/>
    <n v="1"/>
    <n v="0"/>
    <n v="0"/>
    <n v="0"/>
    <n v="1"/>
    <n v="0"/>
    <n v="0"/>
    <n v="0"/>
    <n v="0"/>
    <n v="3"/>
    <n v="0"/>
    <n v="0"/>
    <n v="10"/>
    <n v="0"/>
    <n v="0.12105703573217022"/>
    <n v="0.31476636926356072"/>
    <n v="0.1644554352117841"/>
    <n v="0.32778177112653761"/>
    <n v="0.64050867607435136"/>
    <n v="0.77459235625178136"/>
    <n v="5.8265062631872602E-2"/>
  </r>
  <r>
    <n v="25"/>
    <n v="25"/>
    <s v="No"/>
    <n v="0"/>
    <s v="Travel_Rarely"/>
    <n v="0"/>
    <n v="1"/>
    <x v="1"/>
    <n v="1"/>
    <n v="0"/>
    <n v="2"/>
    <n v="2"/>
    <n v="1"/>
    <s v="Medical"/>
    <n v="0"/>
    <n v="0"/>
    <n v="1"/>
    <n v="0"/>
    <n v="0"/>
    <n v="1"/>
    <s v="Male"/>
    <n v="0"/>
    <n v="65"/>
    <n v="4"/>
    <n v="1"/>
    <s v="Research Scientist"/>
    <n v="0"/>
    <n v="0"/>
    <n v="0"/>
    <n v="0"/>
    <n v="0"/>
    <n v="0"/>
    <n v="0"/>
    <n v="1"/>
    <n v="1"/>
    <s v="Single"/>
    <n v="1"/>
    <n v="0"/>
    <n v="3424"/>
    <n v="3424"/>
    <n v="7"/>
    <s v="No"/>
    <n v="0"/>
    <n v="13"/>
    <n v="3"/>
    <n v="3"/>
    <n v="0"/>
    <n v="6"/>
    <x v="3"/>
    <n v="3"/>
    <n v="2"/>
    <n v="4"/>
    <n v="4"/>
    <n v="3"/>
    <n v="0"/>
    <n v="0"/>
    <n v="1"/>
    <n v="1"/>
    <n v="1"/>
    <n v="1"/>
    <n v="0"/>
    <n v="0"/>
    <n v="0"/>
    <n v="1"/>
    <n v="0"/>
    <n v="0"/>
    <n v="0"/>
    <n v="0"/>
    <n v="1"/>
    <n v="0"/>
    <n v="0"/>
    <n v="6"/>
    <n v="0"/>
    <n v="0.65398461251187756"/>
    <n v="0.87528310193156111"/>
    <n v="0.67854260110508058"/>
    <n v="0.49100643357776058"/>
    <n v="0.88721318382472392"/>
    <n v="1.3052350336840246"/>
    <n v="0.67891464284095016"/>
  </r>
  <r>
    <n v="33"/>
    <n v="33"/>
    <s v="No"/>
    <n v="0"/>
    <s v="Travel_Rarely"/>
    <n v="0"/>
    <n v="1"/>
    <x v="0"/>
    <n v="0"/>
    <n v="1"/>
    <n v="1"/>
    <n v="1"/>
    <n v="3"/>
    <s v="Medical"/>
    <n v="0"/>
    <n v="0"/>
    <n v="1"/>
    <n v="0"/>
    <n v="0"/>
    <n v="1"/>
    <s v="Male"/>
    <n v="0"/>
    <n v="48"/>
    <n v="4"/>
    <n v="2"/>
    <s v="Sales Executive"/>
    <n v="0"/>
    <n v="1"/>
    <n v="0"/>
    <n v="0"/>
    <n v="0"/>
    <n v="0"/>
    <n v="0"/>
    <n v="0"/>
    <n v="1"/>
    <s v="Divorced"/>
    <n v="0"/>
    <n v="0"/>
    <n v="4037"/>
    <n v="4037"/>
    <n v="1"/>
    <s v="No"/>
    <n v="0"/>
    <n v="22"/>
    <n v="4"/>
    <n v="1"/>
    <n v="1"/>
    <n v="9"/>
    <x v="14"/>
    <n v="5"/>
    <n v="3"/>
    <n v="9"/>
    <n v="9"/>
    <n v="8"/>
    <n v="0"/>
    <n v="0"/>
    <n v="8"/>
    <n v="8"/>
    <n v="16"/>
    <n v="1"/>
    <n v="0"/>
    <n v="0"/>
    <n v="0"/>
    <n v="1"/>
    <n v="0"/>
    <n v="0"/>
    <n v="0"/>
    <n v="0"/>
    <n v="0"/>
    <n v="8"/>
    <n v="0"/>
    <n v="0"/>
    <n v="9"/>
    <n v="0.52377950905792747"/>
    <n v="1.08652546240644"/>
    <n v="0.29297722668510823"/>
    <n v="0.32511687867835437"/>
    <n v="1.01056543769991"/>
    <n v="0.42951823792158"/>
    <n v="0.67891464284095016"/>
  </r>
  <r>
    <n v="35"/>
    <n v="35"/>
    <s v="No"/>
    <n v="0"/>
    <s v="Travel_Rarely"/>
    <n v="0"/>
    <n v="1"/>
    <x v="1"/>
    <n v="1"/>
    <n v="0"/>
    <n v="27"/>
    <n v="27"/>
    <n v="1"/>
    <s v="Medical"/>
    <n v="0"/>
    <n v="0"/>
    <n v="1"/>
    <n v="0"/>
    <n v="0"/>
    <n v="3"/>
    <s v="Female"/>
    <n v="1"/>
    <n v="53"/>
    <n v="2"/>
    <n v="1"/>
    <s v="Research Scientist"/>
    <n v="0"/>
    <n v="0"/>
    <n v="0"/>
    <n v="0"/>
    <n v="0"/>
    <n v="0"/>
    <n v="0"/>
    <n v="1"/>
    <n v="1"/>
    <s v="Single"/>
    <n v="1"/>
    <n v="0"/>
    <n v="2559"/>
    <n v="2559"/>
    <n v="1"/>
    <s v="No"/>
    <n v="0"/>
    <n v="11"/>
    <n v="3"/>
    <n v="4"/>
    <n v="0"/>
    <n v="6"/>
    <x v="3"/>
    <n v="3"/>
    <n v="2"/>
    <n v="6"/>
    <n v="6"/>
    <n v="5"/>
    <n v="1"/>
    <n v="1"/>
    <n v="1"/>
    <n v="1"/>
    <n v="1"/>
    <n v="1"/>
    <n v="0"/>
    <n v="0"/>
    <n v="0"/>
    <n v="1"/>
    <n v="0"/>
    <n v="0"/>
    <n v="0"/>
    <n v="0"/>
    <n v="1"/>
    <n v="0"/>
    <n v="0"/>
    <n v="6"/>
    <n v="0"/>
    <n v="0.83771612064836487"/>
    <n v="0.87528310193156111"/>
    <n v="0.67854260110508058"/>
    <n v="0.16455710867531462"/>
    <n v="2.1965931630549322"/>
    <n v="0.21058903898096887"/>
    <n v="0.36858985273641137"/>
  </r>
  <r>
    <n v="36"/>
    <n v="36"/>
    <s v="No"/>
    <n v="0"/>
    <s v="Travel_Rarely"/>
    <n v="0"/>
    <n v="1"/>
    <x v="0"/>
    <n v="0"/>
    <n v="1"/>
    <n v="1"/>
    <n v="1"/>
    <n v="2"/>
    <s v="Life Sciences"/>
    <n v="1"/>
    <n v="0"/>
    <n v="0"/>
    <n v="0"/>
    <n v="0"/>
    <n v="2"/>
    <s v="Male"/>
    <n v="0"/>
    <n v="56"/>
    <n v="3"/>
    <n v="2"/>
    <s v="Sales Executive"/>
    <n v="0"/>
    <n v="1"/>
    <n v="0"/>
    <n v="0"/>
    <n v="0"/>
    <n v="0"/>
    <n v="0"/>
    <n v="0"/>
    <n v="4"/>
    <s v="Married"/>
    <n v="0"/>
    <n v="1"/>
    <n v="6201"/>
    <n v="6201"/>
    <n v="1"/>
    <s v="Yes"/>
    <n v="1"/>
    <n v="14"/>
    <n v="3"/>
    <n v="4"/>
    <n v="1"/>
    <n v="18"/>
    <x v="30"/>
    <n v="1"/>
    <n v="2"/>
    <n v="18"/>
    <n v="18"/>
    <n v="14"/>
    <n v="4"/>
    <n v="4"/>
    <n v="11"/>
    <n v="11"/>
    <n v="22"/>
    <n v="0"/>
    <n v="1"/>
    <n v="0"/>
    <n v="0"/>
    <n v="0"/>
    <n v="0"/>
    <n v="0"/>
    <n v="1"/>
    <n v="0"/>
    <n v="0"/>
    <n v="11"/>
    <n v="0"/>
    <n v="0"/>
    <n v="18"/>
    <n v="6.4132129165027307E-2"/>
    <n v="1.9273005614084406"/>
    <n v="0.86371889657480871"/>
    <n v="1.794138840739361"/>
    <n v="1.01056543769991"/>
    <n v="0.10112443951066327"/>
    <n v="0.56238451757720498"/>
  </r>
  <r>
    <n v="32"/>
    <n v="32"/>
    <s v="No"/>
    <n v="0"/>
    <s v="Travel_Rarely"/>
    <n v="0"/>
    <n v="1"/>
    <x v="0"/>
    <n v="0"/>
    <n v="1"/>
    <n v="13"/>
    <n v="13"/>
    <n v="4"/>
    <s v="Life Sciences"/>
    <n v="1"/>
    <n v="0"/>
    <n v="0"/>
    <n v="0"/>
    <n v="0"/>
    <n v="2"/>
    <s v="Male"/>
    <n v="0"/>
    <n v="73"/>
    <n v="3"/>
    <n v="2"/>
    <s v="Sales Executive"/>
    <n v="0"/>
    <n v="1"/>
    <n v="0"/>
    <n v="0"/>
    <n v="0"/>
    <n v="0"/>
    <n v="0"/>
    <n v="0"/>
    <n v="4"/>
    <s v="Divorced"/>
    <n v="0"/>
    <n v="0"/>
    <n v="4403"/>
    <n v="4403"/>
    <n v="2"/>
    <s v="No"/>
    <n v="0"/>
    <n v="11"/>
    <n v="3"/>
    <n v="3"/>
    <n v="1"/>
    <n v="8"/>
    <x v="0"/>
    <n v="3"/>
    <n v="2"/>
    <n v="5"/>
    <n v="5"/>
    <n v="2"/>
    <n v="0"/>
    <n v="0"/>
    <n v="3"/>
    <n v="3"/>
    <n v="6"/>
    <n v="1"/>
    <n v="0"/>
    <n v="0"/>
    <n v="0"/>
    <n v="1"/>
    <n v="0"/>
    <n v="0"/>
    <n v="0"/>
    <n v="0"/>
    <n v="0"/>
    <n v="3"/>
    <n v="0"/>
    <n v="0"/>
    <n v="8"/>
    <n v="0.44603877844757561"/>
    <n v="0.31476636926356072"/>
    <n v="0.42149901815843233"/>
    <n v="0.32778177112653761"/>
    <n v="0.46966160880232483"/>
    <n v="0.53898283739188557"/>
    <n v="0.67891464284095016"/>
  </r>
  <r>
    <n v="30"/>
    <n v="30"/>
    <s v="No"/>
    <n v="0"/>
    <s v="Travel_Frequently"/>
    <n v="1"/>
    <n v="0"/>
    <x v="1"/>
    <n v="1"/>
    <n v="0"/>
    <n v="5"/>
    <n v="5"/>
    <n v="4"/>
    <s v="Life Sciences"/>
    <n v="1"/>
    <n v="0"/>
    <n v="0"/>
    <n v="0"/>
    <n v="0"/>
    <n v="2"/>
    <s v="Male"/>
    <n v="0"/>
    <n v="75"/>
    <n v="2"/>
    <n v="1"/>
    <s v="Research Scientist"/>
    <n v="0"/>
    <n v="0"/>
    <n v="0"/>
    <n v="0"/>
    <n v="0"/>
    <n v="0"/>
    <n v="0"/>
    <n v="1"/>
    <n v="4"/>
    <s v="Divorced"/>
    <n v="0"/>
    <n v="0"/>
    <n v="3761"/>
    <n v="3761"/>
    <n v="9"/>
    <s v="No"/>
    <n v="0"/>
    <n v="12"/>
    <n v="3"/>
    <n v="2"/>
    <n v="1"/>
    <n v="10"/>
    <x v="1"/>
    <n v="3"/>
    <n v="2"/>
    <n v="5"/>
    <n v="5"/>
    <n v="4"/>
    <n v="0"/>
    <n v="0"/>
    <n v="3"/>
    <n v="3"/>
    <n v="3"/>
    <n v="0"/>
    <n v="0"/>
    <n v="1"/>
    <n v="0"/>
    <n v="1"/>
    <n v="0"/>
    <n v="0"/>
    <n v="0"/>
    <n v="0"/>
    <n v="3"/>
    <n v="0"/>
    <n v="0"/>
    <n v="10"/>
    <n v="0"/>
    <n v="0.58240366656737319"/>
    <n v="0.31476636926356072"/>
    <n v="0.1644554352117841"/>
    <n v="0.32778177112653761"/>
    <n v="0.51715642219916513"/>
    <n v="0.75791203633249671"/>
    <n v="0.67891464284095016"/>
  </r>
  <r>
    <n v="53"/>
    <n v="53"/>
    <s v="No"/>
    <n v="0"/>
    <s v="Travel_Rarely"/>
    <n v="0"/>
    <n v="1"/>
    <x v="0"/>
    <n v="0"/>
    <n v="1"/>
    <n v="7"/>
    <n v="7"/>
    <n v="2"/>
    <s v="Marketing"/>
    <n v="0"/>
    <n v="0"/>
    <n v="0"/>
    <n v="1"/>
    <n v="0"/>
    <n v="1"/>
    <s v="Female"/>
    <n v="1"/>
    <n v="78"/>
    <n v="2"/>
    <n v="3"/>
    <s v="Sales Executive"/>
    <n v="0"/>
    <n v="1"/>
    <n v="0"/>
    <n v="0"/>
    <n v="0"/>
    <n v="0"/>
    <n v="0"/>
    <n v="0"/>
    <n v="4"/>
    <s v="Married"/>
    <n v="0"/>
    <n v="1"/>
    <n v="10934"/>
    <n v="10934"/>
    <n v="7"/>
    <s v="Yes"/>
    <n v="1"/>
    <n v="18"/>
    <n v="3"/>
    <n v="4"/>
    <n v="1"/>
    <n v="35"/>
    <x v="28"/>
    <n v="3"/>
    <n v="3"/>
    <n v="5"/>
    <n v="5"/>
    <n v="2"/>
    <n v="0"/>
    <n v="0"/>
    <n v="4"/>
    <n v="4"/>
    <n v="12"/>
    <n v="0"/>
    <n v="1"/>
    <n v="0"/>
    <n v="0"/>
    <n v="0"/>
    <n v="0"/>
    <n v="0"/>
    <n v="1"/>
    <n v="0"/>
    <n v="0"/>
    <n v="4"/>
    <n v="0"/>
    <n v="0"/>
    <n v="35"/>
    <n v="0.94118720957485102"/>
    <n v="3.4508002929560584E-2"/>
    <n v="3.0485893516213181"/>
    <n v="0.32778177112653761"/>
    <n v="0.27045191444879263"/>
    <n v="1.7597737514845315"/>
    <n v="0.67891464284095016"/>
  </r>
  <r>
    <n v="45"/>
    <n v="45"/>
    <s v="No"/>
    <n v="0"/>
    <s v="Travel_Rarely"/>
    <n v="0"/>
    <n v="1"/>
    <x v="0"/>
    <n v="0"/>
    <n v="1"/>
    <n v="9"/>
    <n v="9"/>
    <n v="3"/>
    <s v="Marketing"/>
    <n v="0"/>
    <n v="0"/>
    <n v="0"/>
    <n v="1"/>
    <n v="0"/>
    <n v="4"/>
    <s v="Male"/>
    <n v="0"/>
    <n v="74"/>
    <n v="3"/>
    <n v="3"/>
    <s v="Sales Executive"/>
    <n v="0"/>
    <n v="1"/>
    <n v="0"/>
    <n v="0"/>
    <n v="0"/>
    <n v="0"/>
    <n v="0"/>
    <n v="0"/>
    <n v="1"/>
    <s v="Divorced"/>
    <n v="0"/>
    <n v="0"/>
    <n v="10761"/>
    <n v="10761"/>
    <n v="4"/>
    <s v="Yes"/>
    <n v="1"/>
    <n v="12"/>
    <n v="3"/>
    <n v="3"/>
    <n v="1"/>
    <n v="18"/>
    <x v="30"/>
    <n v="2"/>
    <n v="3"/>
    <n v="5"/>
    <n v="5"/>
    <n v="4"/>
    <n v="0"/>
    <n v="0"/>
    <n v="2"/>
    <n v="2"/>
    <n v="6"/>
    <n v="1"/>
    <n v="0"/>
    <n v="0"/>
    <n v="0"/>
    <n v="0"/>
    <n v="1"/>
    <n v="0"/>
    <n v="0"/>
    <n v="0"/>
    <n v="0"/>
    <n v="2"/>
    <n v="0"/>
    <n v="0"/>
    <n v="18"/>
    <n v="0.9044409079475535"/>
    <n v="0.59502473559756086"/>
    <n v="0.86371889657480871"/>
    <n v="0.32778177112653761"/>
    <n v="2.3747406698420157E-2"/>
    <n v="0.88405695572208698"/>
    <n v="0.67891464284095016"/>
  </r>
  <r>
    <n v="32"/>
    <n v="32"/>
    <s v="No"/>
    <n v="0"/>
    <s v="Travel_Rarely"/>
    <n v="0"/>
    <n v="1"/>
    <x v="1"/>
    <n v="1"/>
    <n v="0"/>
    <n v="8"/>
    <n v="8"/>
    <n v="2"/>
    <s v="Medical"/>
    <n v="0"/>
    <n v="0"/>
    <n v="1"/>
    <n v="0"/>
    <n v="0"/>
    <n v="3"/>
    <s v="Female"/>
    <n v="1"/>
    <n v="91"/>
    <n v="4"/>
    <n v="2"/>
    <s v="Research Scientist"/>
    <n v="0"/>
    <n v="0"/>
    <n v="0"/>
    <n v="0"/>
    <n v="0"/>
    <n v="0"/>
    <n v="0"/>
    <n v="1"/>
    <n v="3"/>
    <s v="Married"/>
    <n v="0"/>
    <n v="1"/>
    <n v="5175"/>
    <n v="5175"/>
    <n v="5"/>
    <s v="No"/>
    <n v="0"/>
    <n v="12"/>
    <n v="3"/>
    <n v="3"/>
    <n v="1"/>
    <n v="9"/>
    <x v="14"/>
    <n v="3"/>
    <n v="2"/>
    <n v="5"/>
    <n v="5"/>
    <n v="3"/>
    <n v="1"/>
    <n v="1"/>
    <n v="3"/>
    <n v="3"/>
    <n v="6"/>
    <n v="0"/>
    <n v="1"/>
    <n v="0"/>
    <n v="0"/>
    <n v="0"/>
    <n v="0"/>
    <n v="1"/>
    <n v="0"/>
    <n v="0"/>
    <n v="3"/>
    <n v="0"/>
    <n v="0"/>
    <n v="9"/>
    <n v="0"/>
    <n v="0.28206106251535801"/>
    <n v="0.31476636926356072"/>
    <n v="0.29297722668510823"/>
    <n v="0.32778177112653761"/>
    <n v="0.14709966057360641"/>
    <n v="0.53898283739188557"/>
    <n v="0.36858985273641137"/>
  </r>
  <r>
    <n v="52"/>
    <n v="52"/>
    <s v="No"/>
    <n v="0"/>
    <s v="Travel_Frequently"/>
    <n v="1"/>
    <n v="0"/>
    <x v="1"/>
    <n v="1"/>
    <n v="0"/>
    <n v="25"/>
    <n v="25"/>
    <n v="4"/>
    <s v="Medical"/>
    <n v="0"/>
    <n v="0"/>
    <n v="1"/>
    <n v="0"/>
    <n v="0"/>
    <n v="3"/>
    <s v="Female"/>
    <n v="1"/>
    <n v="81"/>
    <n v="2"/>
    <n v="4"/>
    <s v="Manufacturing Director"/>
    <n v="0"/>
    <n v="0"/>
    <n v="0"/>
    <n v="0"/>
    <n v="1"/>
    <n v="1"/>
    <n v="0"/>
    <n v="0"/>
    <n v="4"/>
    <s v="Married"/>
    <n v="0"/>
    <n v="1"/>
    <n v="13826"/>
    <n v="13826"/>
    <n v="3"/>
    <s v="No"/>
    <n v="0"/>
    <n v="22"/>
    <n v="4"/>
    <n v="3"/>
    <n v="0"/>
    <n v="31"/>
    <x v="9"/>
    <n v="3"/>
    <n v="3"/>
    <n v="9"/>
    <n v="9"/>
    <n v="8"/>
    <n v="0"/>
    <n v="0"/>
    <n v="0"/>
    <n v="0"/>
    <n v="0"/>
    <n v="0"/>
    <n v="0"/>
    <n v="0"/>
    <n v="1"/>
    <n v="0"/>
    <n v="0"/>
    <n v="1"/>
    <n v="0"/>
    <n v="0"/>
    <n v="0"/>
    <n v="0"/>
    <n v="0"/>
    <n v="31"/>
    <n v="0"/>
    <n v="1.5554664252173036"/>
    <n v="1.1555414682655611"/>
    <n v="2.5345021857280217"/>
    <n v="0.32511687867835437"/>
    <n v="1.9498886553045598"/>
    <n v="1.6503091520142259"/>
    <n v="0.67891464284095016"/>
  </r>
  <r>
    <n v="37"/>
    <n v="37"/>
    <s v="No"/>
    <n v="0"/>
    <s v="Travel_Rarely"/>
    <n v="0"/>
    <n v="1"/>
    <x v="0"/>
    <n v="0"/>
    <n v="1"/>
    <n v="16"/>
    <n v="16"/>
    <n v="4"/>
    <s v="Marketing"/>
    <n v="0"/>
    <n v="0"/>
    <n v="0"/>
    <n v="1"/>
    <n v="0"/>
    <n v="4"/>
    <s v="Male"/>
    <n v="0"/>
    <n v="66"/>
    <n v="2"/>
    <n v="2"/>
    <s v="Sales Executive"/>
    <n v="0"/>
    <n v="1"/>
    <n v="0"/>
    <n v="0"/>
    <n v="0"/>
    <n v="0"/>
    <n v="0"/>
    <n v="0"/>
    <n v="3"/>
    <s v="Divorced"/>
    <n v="0"/>
    <n v="0"/>
    <n v="6334"/>
    <n v="6334"/>
    <n v="4"/>
    <s v="No"/>
    <n v="0"/>
    <n v="19"/>
    <n v="3"/>
    <n v="4"/>
    <n v="2"/>
    <n v="9"/>
    <x v="14"/>
    <n v="2"/>
    <n v="3"/>
    <n v="1"/>
    <n v="1"/>
    <n v="0"/>
    <n v="0"/>
    <n v="0"/>
    <n v="0"/>
    <n v="0"/>
    <n v="0"/>
    <n v="1"/>
    <n v="0"/>
    <n v="0"/>
    <n v="0"/>
    <n v="1"/>
    <n v="0"/>
    <n v="0"/>
    <n v="0"/>
    <n v="0"/>
    <n v="0"/>
    <n v="0"/>
    <n v="0"/>
    <n v="0"/>
    <n v="9"/>
    <n v="3.5882082249243705E-2"/>
    <n v="1.1555414682655611"/>
    <n v="0.29297722668510823"/>
    <n v="0.9806804209314296"/>
    <n v="0.83971837042788355"/>
    <n v="8.3401599596422994E-3"/>
    <n v="0.67891464284095016"/>
  </r>
  <r>
    <n v="28"/>
    <n v="28"/>
    <s v="No"/>
    <n v="0"/>
    <s v="Travel_Rarely"/>
    <n v="0"/>
    <n v="1"/>
    <x v="2"/>
    <n v="0"/>
    <n v="0"/>
    <n v="8"/>
    <n v="8"/>
    <n v="2"/>
    <s v="Medical"/>
    <n v="0"/>
    <n v="0"/>
    <n v="1"/>
    <n v="0"/>
    <n v="0"/>
    <n v="2"/>
    <s v="Male"/>
    <n v="0"/>
    <n v="63"/>
    <n v="2"/>
    <n v="1"/>
    <s v="Human Resources"/>
    <n v="0"/>
    <n v="0"/>
    <n v="0"/>
    <n v="0"/>
    <n v="0"/>
    <n v="0"/>
    <n v="0"/>
    <n v="0"/>
    <n v="4"/>
    <s v="Divorced"/>
    <n v="0"/>
    <n v="0"/>
    <n v="4936"/>
    <n v="4936"/>
    <n v="1"/>
    <s v="No"/>
    <n v="0"/>
    <n v="13"/>
    <n v="3"/>
    <n v="4"/>
    <n v="1"/>
    <n v="6"/>
    <x v="3"/>
    <n v="6"/>
    <n v="3"/>
    <n v="5"/>
    <n v="5"/>
    <n v="1"/>
    <n v="0"/>
    <n v="0"/>
    <n v="4"/>
    <n v="4"/>
    <n v="4"/>
    <n v="1"/>
    <n v="0"/>
    <n v="0"/>
    <n v="0"/>
    <n v="1"/>
    <n v="0"/>
    <n v="0"/>
    <n v="0"/>
    <n v="4"/>
    <n v="0"/>
    <n v="0"/>
    <n v="6"/>
    <n v="0"/>
    <n v="0"/>
    <n v="0.33282618441665335"/>
    <n v="3.4508002929560584E-2"/>
    <n v="0.67854260110508058"/>
    <n v="0.32778177112653761"/>
    <n v="0.14709966057360641"/>
    <n v="0.97684123527310796"/>
    <n v="0.67891464284095016"/>
  </r>
  <r>
    <n v="22"/>
    <n v="22"/>
    <s v="No"/>
    <n v="0"/>
    <s v="Travel_Rarely"/>
    <n v="0"/>
    <n v="1"/>
    <x v="1"/>
    <n v="1"/>
    <n v="0"/>
    <n v="1"/>
    <n v="1"/>
    <n v="2"/>
    <s v="Life Sciences"/>
    <n v="1"/>
    <n v="0"/>
    <n v="0"/>
    <n v="0"/>
    <n v="0"/>
    <n v="4"/>
    <s v="Male"/>
    <n v="0"/>
    <n v="33"/>
    <n v="2"/>
    <n v="2"/>
    <s v="Manufacturing Director"/>
    <n v="0"/>
    <n v="0"/>
    <n v="0"/>
    <n v="0"/>
    <n v="1"/>
    <n v="1"/>
    <n v="0"/>
    <n v="0"/>
    <n v="4"/>
    <s v="Married"/>
    <n v="0"/>
    <n v="1"/>
    <n v="4775"/>
    <n v="4775"/>
    <n v="6"/>
    <s v="No"/>
    <n v="0"/>
    <n v="22"/>
    <n v="4"/>
    <n v="1"/>
    <n v="2"/>
    <n v="4"/>
    <x v="20"/>
    <n v="2"/>
    <n v="1"/>
    <n v="2"/>
    <n v="2"/>
    <n v="2"/>
    <n v="2"/>
    <n v="2"/>
    <n v="2"/>
    <n v="2"/>
    <n v="4"/>
    <n v="0"/>
    <n v="1"/>
    <n v="0"/>
    <n v="0"/>
    <n v="0"/>
    <n v="0"/>
    <n v="1"/>
    <n v="0"/>
    <n v="0"/>
    <n v="2"/>
    <n v="0"/>
    <n v="0"/>
    <n v="4"/>
    <n v="0"/>
    <n v="0.36702360963049668"/>
    <n v="0.59502473559756086"/>
    <n v="0.93558618405172878"/>
    <n v="0.81745575848020657"/>
    <n v="1.01056543769991"/>
    <n v="1.6336288320949415"/>
    <n v="5.8265062631872602E-2"/>
  </r>
  <r>
    <n v="44"/>
    <n v="44"/>
    <s v="No"/>
    <n v="0"/>
    <s v="Travel_Rarely"/>
    <n v="0"/>
    <n v="1"/>
    <x v="1"/>
    <n v="1"/>
    <n v="0"/>
    <n v="8"/>
    <n v="8"/>
    <n v="4"/>
    <s v="Life Sciences"/>
    <n v="1"/>
    <n v="0"/>
    <n v="0"/>
    <n v="0"/>
    <n v="0"/>
    <n v="1"/>
    <s v="Male"/>
    <n v="0"/>
    <n v="62"/>
    <n v="4"/>
    <n v="1"/>
    <s v="Laboratory Technician"/>
    <n v="0"/>
    <n v="0"/>
    <n v="1"/>
    <n v="0"/>
    <n v="0"/>
    <n v="0"/>
    <n v="0"/>
    <n v="0"/>
    <n v="4"/>
    <s v="Married"/>
    <n v="0"/>
    <n v="1"/>
    <n v="2818"/>
    <n v="2818"/>
    <n v="2"/>
    <s v="Yes"/>
    <n v="1"/>
    <n v="24"/>
    <n v="4"/>
    <n v="3"/>
    <n v="1"/>
    <n v="10"/>
    <x v="1"/>
    <n v="2"/>
    <n v="2"/>
    <n v="3"/>
    <n v="3"/>
    <n v="2"/>
    <n v="0"/>
    <n v="0"/>
    <n v="2"/>
    <n v="2"/>
    <n v="2"/>
    <n v="0"/>
    <n v="1"/>
    <n v="0"/>
    <n v="0"/>
    <n v="0"/>
    <n v="0"/>
    <n v="0"/>
    <n v="1"/>
    <n v="0"/>
    <n v="2"/>
    <n v="0"/>
    <n v="0"/>
    <n v="10"/>
    <n v="0"/>
    <n v="0.78270287139131256"/>
    <n v="0.59502473559756086"/>
    <n v="0.1644554352117841"/>
    <n v="0.65423109602898355"/>
    <n v="0.14709966057360641"/>
    <n v="0.77459235625178136"/>
    <n v="0.67891464284095016"/>
  </r>
  <r>
    <n v="42"/>
    <n v="42"/>
    <s v="No"/>
    <n v="0"/>
    <s v="Travel_Frequently"/>
    <n v="1"/>
    <n v="0"/>
    <x v="1"/>
    <n v="1"/>
    <n v="0"/>
    <n v="2"/>
    <n v="2"/>
    <n v="1"/>
    <s v="Medical"/>
    <n v="0"/>
    <n v="0"/>
    <n v="1"/>
    <n v="0"/>
    <n v="0"/>
    <n v="2"/>
    <s v="Male"/>
    <n v="0"/>
    <n v="35"/>
    <n v="3"/>
    <n v="1"/>
    <s v="Research Scientist"/>
    <n v="0"/>
    <n v="0"/>
    <n v="0"/>
    <n v="0"/>
    <n v="0"/>
    <n v="0"/>
    <n v="0"/>
    <n v="1"/>
    <n v="4"/>
    <s v="Single"/>
    <n v="1"/>
    <n v="0"/>
    <n v="2515"/>
    <n v="2515"/>
    <n v="5"/>
    <s v="Yes"/>
    <n v="1"/>
    <n v="14"/>
    <n v="3"/>
    <n v="4"/>
    <n v="0"/>
    <n v="8"/>
    <x v="0"/>
    <n v="2"/>
    <n v="3"/>
    <n v="2"/>
    <n v="2"/>
    <n v="1"/>
    <n v="2"/>
    <n v="2"/>
    <n v="2"/>
    <n v="2"/>
    <n v="2"/>
    <n v="0"/>
    <n v="0"/>
    <n v="1"/>
    <n v="0"/>
    <n v="0"/>
    <n v="1"/>
    <n v="0"/>
    <n v="0"/>
    <n v="0"/>
    <n v="2"/>
    <n v="0"/>
    <n v="0"/>
    <n v="8"/>
    <n v="0"/>
    <n v="0.84706200083103012"/>
    <n v="0.59502473559756086"/>
    <n v="0.42149901815843233"/>
    <n v="0.81745575848020657"/>
    <n v="0.88721318382472392"/>
    <n v="0.55566315731117022"/>
    <n v="5.8265062631872602E-2"/>
  </r>
  <r>
    <n v="36"/>
    <n v="36"/>
    <s v="No"/>
    <n v="0"/>
    <s v="Travel_Rarely"/>
    <n v="0"/>
    <n v="1"/>
    <x v="2"/>
    <n v="0"/>
    <n v="0"/>
    <n v="8"/>
    <n v="8"/>
    <n v="3"/>
    <s v="Life Sciences"/>
    <n v="1"/>
    <n v="0"/>
    <n v="0"/>
    <n v="0"/>
    <n v="0"/>
    <n v="1"/>
    <s v="Male"/>
    <n v="0"/>
    <n v="77"/>
    <n v="2"/>
    <n v="1"/>
    <s v="Human Resources"/>
    <n v="0"/>
    <n v="0"/>
    <n v="0"/>
    <n v="0"/>
    <n v="0"/>
    <n v="0"/>
    <n v="0"/>
    <n v="0"/>
    <n v="1"/>
    <s v="Married"/>
    <n v="0"/>
    <n v="1"/>
    <n v="2342"/>
    <n v="2342"/>
    <n v="0"/>
    <s v="No"/>
    <n v="0"/>
    <n v="21"/>
    <n v="4"/>
    <n v="3"/>
    <n v="0"/>
    <n v="6"/>
    <x v="3"/>
    <n v="3"/>
    <n v="3"/>
    <n v="5"/>
    <n v="5"/>
    <n v="4"/>
    <n v="0"/>
    <n v="0"/>
    <n v="3"/>
    <n v="3"/>
    <n v="3"/>
    <n v="0"/>
    <n v="1"/>
    <n v="0"/>
    <n v="0"/>
    <n v="0"/>
    <n v="0"/>
    <n v="1"/>
    <n v="0"/>
    <n v="3"/>
    <n v="0"/>
    <n v="0"/>
    <n v="6"/>
    <n v="0"/>
    <n v="0"/>
    <n v="0.88380830245832764"/>
    <n v="0.31476636926356072"/>
    <n v="0.67854260110508058"/>
    <n v="0.32778177112653761"/>
    <n v="0.14709966057360641"/>
    <n v="0.10112443951066327"/>
    <n v="0.67891464284095016"/>
  </r>
  <r>
    <n v="25"/>
    <n v="25"/>
    <s v="No"/>
    <n v="0"/>
    <s v="Travel_Rarely"/>
    <n v="0"/>
    <n v="1"/>
    <x v="0"/>
    <n v="0"/>
    <n v="1"/>
    <n v="3"/>
    <n v="3"/>
    <n v="1"/>
    <s v="Other"/>
    <n v="0"/>
    <n v="1"/>
    <n v="0"/>
    <n v="0"/>
    <n v="0"/>
    <n v="3"/>
    <s v="Male"/>
    <n v="0"/>
    <n v="98"/>
    <n v="3"/>
    <n v="2"/>
    <s v="Sales Executive"/>
    <n v="0"/>
    <n v="1"/>
    <n v="0"/>
    <n v="0"/>
    <n v="0"/>
    <n v="0"/>
    <n v="0"/>
    <n v="0"/>
    <n v="1"/>
    <s v="Married"/>
    <n v="0"/>
    <n v="1"/>
    <n v="4194"/>
    <n v="4194"/>
    <n v="1"/>
    <s v="Yes"/>
    <n v="1"/>
    <n v="18"/>
    <n v="3"/>
    <n v="4"/>
    <n v="0"/>
    <n v="5"/>
    <x v="7"/>
    <n v="3"/>
    <n v="3"/>
    <n v="5"/>
    <n v="5"/>
    <n v="3"/>
    <n v="0"/>
    <n v="0"/>
    <n v="3"/>
    <n v="3"/>
    <n v="6"/>
    <n v="0"/>
    <n v="1"/>
    <n v="0"/>
    <n v="0"/>
    <n v="0"/>
    <n v="0"/>
    <n v="0"/>
    <n v="1"/>
    <n v="0"/>
    <n v="0"/>
    <n v="3"/>
    <n v="0"/>
    <n v="0"/>
    <n v="5"/>
    <n v="0.49043170931523555"/>
    <n v="0.31476636926356072"/>
    <n v="0.80706439257840468"/>
    <n v="0.32778177112653761"/>
    <n v="0.76386092994953758"/>
    <n v="1.3052350336840246"/>
    <n v="0.67891464284095016"/>
  </r>
  <r>
    <n v="35"/>
    <n v="35"/>
    <s v="No"/>
    <n v="0"/>
    <s v="Travel_Rarely"/>
    <n v="0"/>
    <n v="1"/>
    <x v="1"/>
    <n v="1"/>
    <n v="0"/>
    <n v="9"/>
    <n v="9"/>
    <n v="3"/>
    <s v="Life Sciences"/>
    <n v="1"/>
    <n v="0"/>
    <n v="0"/>
    <n v="0"/>
    <n v="0"/>
    <n v="4"/>
    <s v="Female"/>
    <n v="1"/>
    <n v="66"/>
    <n v="2"/>
    <n v="3"/>
    <s v="Manufacturing Director"/>
    <n v="0"/>
    <n v="0"/>
    <n v="0"/>
    <n v="0"/>
    <n v="1"/>
    <n v="1"/>
    <n v="0"/>
    <n v="0"/>
    <n v="3"/>
    <s v="Married"/>
    <n v="0"/>
    <n v="1"/>
    <n v="10685"/>
    <n v="10685"/>
    <n v="1"/>
    <s v="Yes"/>
    <n v="1"/>
    <n v="20"/>
    <n v="4"/>
    <n v="2"/>
    <n v="1"/>
    <n v="17"/>
    <x v="6"/>
    <n v="2"/>
    <n v="3"/>
    <n v="17"/>
    <n v="17"/>
    <n v="14"/>
    <n v="5"/>
    <n v="5"/>
    <n v="15"/>
    <n v="14"/>
    <n v="42"/>
    <n v="0"/>
    <n v="1"/>
    <n v="0"/>
    <n v="0"/>
    <n v="0"/>
    <n v="0"/>
    <n v="0"/>
    <n v="1"/>
    <n v="0"/>
    <n v="14"/>
    <n v="0"/>
    <n v="0"/>
    <n v="17"/>
    <n v="0"/>
    <n v="0.88829802399567714"/>
    <n v="3.048334026744441"/>
    <n v="0.73519710510148462"/>
    <n v="1.630914178288138"/>
    <n v="2.3747406698420157E-2"/>
    <n v="0.21058903898096887"/>
    <n v="0.87270930768174382"/>
  </r>
  <r>
    <n v="35"/>
    <n v="35"/>
    <s v="Yes"/>
    <n v="1"/>
    <s v="Travel_Frequently"/>
    <n v="1"/>
    <n v="0"/>
    <x v="1"/>
    <n v="1"/>
    <n v="0"/>
    <n v="25"/>
    <n v="25"/>
    <n v="4"/>
    <s v="Life Sciences"/>
    <n v="1"/>
    <n v="0"/>
    <n v="0"/>
    <n v="0"/>
    <n v="0"/>
    <n v="4"/>
    <s v="Female"/>
    <n v="1"/>
    <n v="96"/>
    <n v="3"/>
    <n v="1"/>
    <s v="Research Scientist"/>
    <n v="0"/>
    <n v="0"/>
    <n v="0"/>
    <n v="0"/>
    <n v="0"/>
    <n v="0"/>
    <n v="0"/>
    <n v="1"/>
    <n v="2"/>
    <s v="Divorced"/>
    <n v="0"/>
    <n v="0"/>
    <n v="2022"/>
    <n v="2022"/>
    <n v="1"/>
    <s v="Yes"/>
    <n v="1"/>
    <n v="19"/>
    <n v="3"/>
    <n v="1"/>
    <n v="1"/>
    <n v="10"/>
    <x v="1"/>
    <n v="3"/>
    <n v="2"/>
    <n v="10"/>
    <n v="10"/>
    <n v="2"/>
    <n v="7"/>
    <n v="7"/>
    <n v="8"/>
    <n v="8"/>
    <n v="8"/>
    <n v="0"/>
    <n v="0"/>
    <n v="1"/>
    <n v="0"/>
    <n v="0"/>
    <n v="1"/>
    <n v="0"/>
    <n v="0"/>
    <n v="0"/>
    <n v="8"/>
    <n v="0"/>
    <n v="0"/>
    <n v="10"/>
    <n v="0"/>
    <n v="0.9517783401504385"/>
    <n v="1.08652546240644"/>
    <n v="0.1644554352117841"/>
    <n v="0.48834154112957734"/>
    <n v="1.9498886553045598"/>
    <n v="0.21058903898096887"/>
    <n v="1.4933588878908215"/>
  </r>
  <r>
    <n v="32"/>
    <n v="32"/>
    <s v="No"/>
    <n v="0"/>
    <s v="Non-Travel"/>
    <n v="0"/>
    <n v="0"/>
    <x v="1"/>
    <n v="1"/>
    <n v="0"/>
    <n v="1"/>
    <n v="1"/>
    <n v="3"/>
    <s v="Life Sciences"/>
    <n v="1"/>
    <n v="0"/>
    <n v="0"/>
    <n v="0"/>
    <n v="0"/>
    <n v="4"/>
    <s v="Male"/>
    <n v="0"/>
    <n v="61"/>
    <n v="3"/>
    <n v="1"/>
    <s v="Laboratory Technician"/>
    <n v="0"/>
    <n v="0"/>
    <n v="1"/>
    <n v="0"/>
    <n v="0"/>
    <n v="0"/>
    <n v="0"/>
    <n v="0"/>
    <n v="4"/>
    <s v="Divorced"/>
    <n v="0"/>
    <n v="0"/>
    <n v="2314"/>
    <n v="2314"/>
    <n v="0"/>
    <s v="No"/>
    <n v="0"/>
    <n v="12"/>
    <n v="3"/>
    <n v="2"/>
    <n v="1"/>
    <n v="4"/>
    <x v="20"/>
    <n v="2"/>
    <n v="3"/>
    <n v="3"/>
    <n v="3"/>
    <n v="0"/>
    <n v="0"/>
    <n v="0"/>
    <n v="2"/>
    <n v="2"/>
    <n v="2"/>
    <n v="1"/>
    <n v="0"/>
    <n v="0"/>
    <n v="0"/>
    <n v="1"/>
    <n v="0"/>
    <n v="0"/>
    <n v="0"/>
    <n v="0"/>
    <n v="2"/>
    <n v="0"/>
    <n v="0"/>
    <n v="4"/>
    <n v="0"/>
    <n v="0.88975568075638733"/>
    <n v="0.59502473559756086"/>
    <n v="0.93558618405172878"/>
    <n v="0.65423109602898355"/>
    <n v="1.01056543769991"/>
    <n v="0.53898283739188557"/>
    <n v="0.67891464284095016"/>
  </r>
  <r>
    <n v="25"/>
    <n v="25"/>
    <s v="No"/>
    <n v="0"/>
    <s v="Travel_Rarely"/>
    <n v="0"/>
    <n v="1"/>
    <x v="0"/>
    <n v="0"/>
    <n v="1"/>
    <n v="4"/>
    <n v="4"/>
    <n v="1"/>
    <s v="Marketing"/>
    <n v="0"/>
    <n v="0"/>
    <n v="0"/>
    <n v="1"/>
    <n v="0"/>
    <n v="3"/>
    <s v="Male"/>
    <n v="0"/>
    <n v="87"/>
    <n v="2"/>
    <n v="2"/>
    <s v="Sales Executive"/>
    <n v="0"/>
    <n v="1"/>
    <n v="0"/>
    <n v="0"/>
    <n v="0"/>
    <n v="0"/>
    <n v="0"/>
    <n v="0"/>
    <n v="1"/>
    <s v="Married"/>
    <n v="0"/>
    <n v="1"/>
    <n v="4256"/>
    <n v="4256"/>
    <n v="1"/>
    <s v="No"/>
    <n v="0"/>
    <n v="12"/>
    <n v="3"/>
    <n v="1"/>
    <n v="0"/>
    <n v="5"/>
    <x v="7"/>
    <n v="1"/>
    <n v="4"/>
    <n v="5"/>
    <n v="5"/>
    <n v="2"/>
    <n v="0"/>
    <n v="0"/>
    <n v="3"/>
    <n v="3"/>
    <n v="6"/>
    <n v="0"/>
    <n v="1"/>
    <n v="0"/>
    <n v="0"/>
    <n v="0"/>
    <n v="0"/>
    <n v="1"/>
    <n v="0"/>
    <n v="0"/>
    <n v="0"/>
    <n v="3"/>
    <n v="0"/>
    <n v="0"/>
    <n v="5"/>
    <n v="0.4772625145123891"/>
    <n v="0.31476636926356072"/>
    <n v="0.80706439257840468"/>
    <n v="0.32778177112653761"/>
    <n v="0.64050867607435136"/>
    <n v="1.3052350336840246"/>
    <n v="0.67891464284095016"/>
  </r>
  <r>
    <n v="49"/>
    <n v="49"/>
    <s v="No"/>
    <n v="0"/>
    <s v="Travel_Rarely"/>
    <n v="0"/>
    <n v="1"/>
    <x v="1"/>
    <n v="1"/>
    <n v="0"/>
    <n v="1"/>
    <n v="1"/>
    <n v="3"/>
    <s v="Technical Degree"/>
    <n v="0"/>
    <n v="0"/>
    <n v="0"/>
    <n v="0"/>
    <n v="1"/>
    <n v="3"/>
    <s v="Female"/>
    <n v="1"/>
    <n v="36"/>
    <n v="3"/>
    <n v="1"/>
    <s v="Research Scientist"/>
    <n v="0"/>
    <n v="0"/>
    <n v="0"/>
    <n v="0"/>
    <n v="0"/>
    <n v="0"/>
    <n v="0"/>
    <n v="1"/>
    <n v="1"/>
    <s v="Married"/>
    <n v="0"/>
    <n v="1"/>
    <n v="3580"/>
    <n v="3580"/>
    <n v="2"/>
    <s v="No"/>
    <n v="0"/>
    <n v="16"/>
    <n v="3"/>
    <n v="2"/>
    <n v="1"/>
    <n v="7"/>
    <x v="2"/>
    <n v="2"/>
    <n v="3"/>
    <n v="4"/>
    <n v="4"/>
    <n v="2"/>
    <n v="0"/>
    <n v="0"/>
    <n v="2"/>
    <n v="2"/>
    <n v="2"/>
    <n v="0"/>
    <n v="1"/>
    <n v="0"/>
    <n v="0"/>
    <n v="0"/>
    <n v="0"/>
    <n v="1"/>
    <n v="0"/>
    <n v="0"/>
    <n v="2"/>
    <n v="0"/>
    <n v="0"/>
    <n v="7"/>
    <n v="0"/>
    <n v="0.62084921913697344"/>
    <n v="0.59502473559756086"/>
    <n v="0.55002080963175637"/>
    <n v="0.49100643357776058"/>
    <n v="1.01056543769991"/>
    <n v="1.3219153536033093"/>
    <n v="0.67891464284095016"/>
  </r>
  <r>
    <n v="24"/>
    <n v="24"/>
    <s v="No"/>
    <n v="0"/>
    <s v="Non-Travel"/>
    <n v="0"/>
    <n v="0"/>
    <x v="1"/>
    <n v="1"/>
    <n v="0"/>
    <n v="4"/>
    <n v="4"/>
    <n v="1"/>
    <s v="Life Sciences"/>
    <n v="1"/>
    <n v="0"/>
    <n v="0"/>
    <n v="0"/>
    <n v="0"/>
    <n v="1"/>
    <s v="Male"/>
    <n v="0"/>
    <n v="46"/>
    <n v="2"/>
    <n v="1"/>
    <s v="Laboratory Technician"/>
    <n v="0"/>
    <n v="0"/>
    <n v="1"/>
    <n v="0"/>
    <n v="0"/>
    <n v="0"/>
    <n v="0"/>
    <n v="0"/>
    <n v="4"/>
    <s v="Married"/>
    <n v="0"/>
    <n v="1"/>
    <n v="3162"/>
    <n v="3162"/>
    <n v="0"/>
    <s v="No"/>
    <n v="0"/>
    <n v="17"/>
    <n v="3"/>
    <n v="4"/>
    <n v="0"/>
    <n v="6"/>
    <x v="3"/>
    <n v="2"/>
    <n v="2"/>
    <n v="5"/>
    <n v="5"/>
    <n v="2"/>
    <n v="3"/>
    <n v="3"/>
    <n v="4"/>
    <n v="4"/>
    <n v="4"/>
    <n v="0"/>
    <n v="1"/>
    <n v="0"/>
    <n v="0"/>
    <n v="0"/>
    <n v="0"/>
    <n v="1"/>
    <n v="0"/>
    <n v="0"/>
    <n v="4"/>
    <n v="0"/>
    <n v="0"/>
    <n v="6"/>
    <n v="0"/>
    <n v="0.70963508087229332"/>
    <n v="3.4508002929560584E-2"/>
    <n v="0.67854260110508058"/>
    <n v="0.32778177112653761"/>
    <n v="0.64050867607435136"/>
    <n v="1.4146996331543302"/>
    <n v="0.2520597274726662"/>
  </r>
  <r>
    <n v="32"/>
    <n v="32"/>
    <s v="No"/>
    <n v="0"/>
    <s v="Travel_Frequently"/>
    <n v="1"/>
    <n v="0"/>
    <x v="0"/>
    <n v="0"/>
    <n v="1"/>
    <n v="5"/>
    <n v="5"/>
    <n v="2"/>
    <s v="Life Sciences"/>
    <n v="1"/>
    <n v="0"/>
    <n v="0"/>
    <n v="0"/>
    <n v="0"/>
    <n v="2"/>
    <s v="Male"/>
    <n v="0"/>
    <n v="48"/>
    <n v="3"/>
    <n v="2"/>
    <s v="Sales Executive"/>
    <n v="0"/>
    <n v="1"/>
    <n v="0"/>
    <n v="0"/>
    <n v="0"/>
    <n v="0"/>
    <n v="0"/>
    <n v="0"/>
    <n v="2"/>
    <s v="Married"/>
    <n v="0"/>
    <n v="1"/>
    <n v="6524"/>
    <n v="6524"/>
    <n v="1"/>
    <s v="No"/>
    <n v="0"/>
    <n v="14"/>
    <n v="3"/>
    <n v="4"/>
    <n v="1"/>
    <n v="10"/>
    <x v="1"/>
    <n v="3"/>
    <n v="3"/>
    <n v="10"/>
    <n v="10"/>
    <n v="8"/>
    <n v="5"/>
    <n v="5"/>
    <n v="3"/>
    <n v="3"/>
    <n v="6"/>
    <n v="0"/>
    <n v="0"/>
    <n v="0"/>
    <n v="1"/>
    <n v="0"/>
    <n v="0"/>
    <n v="1"/>
    <n v="0"/>
    <n v="0"/>
    <n v="0"/>
    <n v="3"/>
    <n v="0"/>
    <n v="0"/>
    <n v="10"/>
    <n v="4.4751276304471638E-3"/>
    <n v="0.31476636926356072"/>
    <n v="0.1644554352117841"/>
    <n v="0.48834154112957734"/>
    <n v="0.51715642219916513"/>
    <n v="0.53898283739188557"/>
    <n v="0.87270930768174382"/>
  </r>
  <r>
    <n v="38"/>
    <n v="38"/>
    <s v="No"/>
    <n v="0"/>
    <s v="Travel_Rarely"/>
    <n v="0"/>
    <n v="1"/>
    <x v="0"/>
    <n v="0"/>
    <n v="1"/>
    <n v="9"/>
    <n v="9"/>
    <n v="3"/>
    <s v="Marketing"/>
    <n v="0"/>
    <n v="0"/>
    <n v="0"/>
    <n v="1"/>
    <n v="0"/>
    <n v="2"/>
    <s v="Male"/>
    <n v="0"/>
    <n v="98"/>
    <n v="2"/>
    <n v="1"/>
    <s v="Sales Representative"/>
    <n v="0"/>
    <n v="0"/>
    <n v="0"/>
    <n v="0"/>
    <n v="0"/>
    <n v="0"/>
    <n v="1"/>
    <n v="0"/>
    <n v="2"/>
    <s v="Married"/>
    <n v="0"/>
    <n v="1"/>
    <n v="2899"/>
    <n v="2899"/>
    <n v="0"/>
    <s v="No"/>
    <n v="0"/>
    <n v="19"/>
    <n v="3"/>
    <n v="4"/>
    <n v="1"/>
    <n v="3"/>
    <x v="8"/>
    <n v="3"/>
    <n v="3"/>
    <n v="2"/>
    <n v="2"/>
    <n v="2"/>
    <n v="1"/>
    <n v="1"/>
    <n v="2"/>
    <n v="2"/>
    <n v="2"/>
    <n v="0"/>
    <n v="1"/>
    <n v="0"/>
    <n v="0"/>
    <n v="0"/>
    <n v="0"/>
    <n v="1"/>
    <n v="0"/>
    <n v="0"/>
    <n v="0"/>
    <n v="2"/>
    <n v="0"/>
    <n v="0"/>
    <n v="3"/>
    <n v="0.76549795560049705"/>
    <n v="0.59502473559756086"/>
    <n v="1.0641079755250529"/>
    <n v="0.81745575848020657"/>
    <n v="2.3747406698420157E-2"/>
    <n v="0.11780475942994788"/>
    <n v="0.36858985273641137"/>
  </r>
  <r>
    <n v="42"/>
    <n v="42"/>
    <s v="No"/>
    <n v="0"/>
    <s v="Travel_Rarely"/>
    <n v="0"/>
    <n v="1"/>
    <x v="1"/>
    <n v="1"/>
    <n v="0"/>
    <n v="3"/>
    <n v="3"/>
    <n v="3"/>
    <s v="Life Sciences"/>
    <n v="1"/>
    <n v="0"/>
    <n v="0"/>
    <n v="0"/>
    <n v="0"/>
    <n v="3"/>
    <s v="Female"/>
    <n v="1"/>
    <n v="95"/>
    <n v="4"/>
    <n v="2"/>
    <s v="Laboratory Technician"/>
    <n v="0"/>
    <n v="0"/>
    <n v="1"/>
    <n v="0"/>
    <n v="0"/>
    <n v="0"/>
    <n v="0"/>
    <n v="0"/>
    <n v="4"/>
    <s v="Married"/>
    <n v="0"/>
    <n v="1"/>
    <n v="5231"/>
    <n v="5231"/>
    <n v="2"/>
    <s v="Yes"/>
    <n v="1"/>
    <n v="13"/>
    <n v="3"/>
    <n v="2"/>
    <n v="1"/>
    <n v="17"/>
    <x v="6"/>
    <n v="1"/>
    <n v="2"/>
    <n v="5"/>
    <n v="5"/>
    <n v="3"/>
    <n v="1"/>
    <n v="1"/>
    <n v="3"/>
    <n v="3"/>
    <n v="6"/>
    <n v="0"/>
    <n v="1"/>
    <n v="0"/>
    <n v="0"/>
    <n v="0"/>
    <n v="0"/>
    <n v="0"/>
    <n v="1"/>
    <n v="0"/>
    <n v="3"/>
    <n v="0"/>
    <n v="0"/>
    <n v="17"/>
    <n v="0"/>
    <n v="0.27016630591923857"/>
    <n v="0.31476636926356072"/>
    <n v="0.73519710510148462"/>
    <n v="0.32778177112653761"/>
    <n v="0.76386092994953758"/>
    <n v="0.55566315731117022"/>
    <n v="0.36858985273641137"/>
  </r>
  <r>
    <n v="31"/>
    <n v="31"/>
    <s v="No"/>
    <n v="0"/>
    <s v="Travel_Rarely"/>
    <n v="0"/>
    <n v="1"/>
    <x v="1"/>
    <n v="1"/>
    <n v="0"/>
    <n v="11"/>
    <n v="11"/>
    <n v="4"/>
    <s v="Life Sciences"/>
    <n v="1"/>
    <n v="0"/>
    <n v="0"/>
    <n v="0"/>
    <n v="0"/>
    <n v="4"/>
    <s v="Male"/>
    <n v="0"/>
    <n v="48"/>
    <n v="3"/>
    <n v="1"/>
    <s v="Research Scientist"/>
    <n v="0"/>
    <n v="0"/>
    <n v="0"/>
    <n v="0"/>
    <n v="0"/>
    <n v="0"/>
    <n v="0"/>
    <n v="1"/>
    <n v="4"/>
    <s v="Married"/>
    <n v="0"/>
    <n v="1"/>
    <n v="2356"/>
    <n v="2356"/>
    <n v="3"/>
    <s v="Yes"/>
    <n v="1"/>
    <n v="19"/>
    <n v="3"/>
    <n v="2"/>
    <n v="1"/>
    <n v="8"/>
    <x v="0"/>
    <n v="2"/>
    <n v="3"/>
    <n v="6"/>
    <n v="6"/>
    <n v="4"/>
    <n v="0"/>
    <n v="0"/>
    <n v="2"/>
    <n v="2"/>
    <n v="2"/>
    <n v="0"/>
    <n v="1"/>
    <n v="0"/>
    <n v="0"/>
    <n v="0"/>
    <n v="0"/>
    <n v="0"/>
    <n v="1"/>
    <n v="0"/>
    <n v="2"/>
    <n v="0"/>
    <n v="0"/>
    <n v="8"/>
    <n v="0"/>
    <n v="0.8808346133092978"/>
    <n v="0.59502473559756086"/>
    <n v="0.42149901815843233"/>
    <n v="0.16455710867531462"/>
    <n v="0.22295710105195232"/>
    <n v="0.6484474368621912"/>
    <n v="0.67891464284095016"/>
  </r>
  <r>
    <n v="29"/>
    <n v="29"/>
    <s v="Yes"/>
    <n v="1"/>
    <s v="Travel_Rarely"/>
    <n v="0"/>
    <n v="1"/>
    <x v="0"/>
    <n v="0"/>
    <n v="1"/>
    <n v="1"/>
    <n v="1"/>
    <n v="3"/>
    <s v="Medical"/>
    <n v="0"/>
    <n v="0"/>
    <n v="1"/>
    <n v="0"/>
    <n v="0"/>
    <n v="2"/>
    <s v="Female"/>
    <n v="1"/>
    <n v="48"/>
    <n v="2"/>
    <n v="1"/>
    <s v="Sales Representative"/>
    <n v="0"/>
    <n v="0"/>
    <n v="0"/>
    <n v="0"/>
    <n v="0"/>
    <n v="0"/>
    <n v="1"/>
    <n v="0"/>
    <n v="3"/>
    <s v="Divorced"/>
    <n v="0"/>
    <n v="0"/>
    <n v="2800"/>
    <n v="2800"/>
    <n v="6"/>
    <s v="Yes"/>
    <n v="1"/>
    <n v="19"/>
    <n v="3"/>
    <n v="3"/>
    <n v="3"/>
    <n v="5"/>
    <x v="7"/>
    <n v="3"/>
    <n v="3"/>
    <n v="3"/>
    <n v="3"/>
    <n v="2"/>
    <n v="0"/>
    <n v="0"/>
    <n v="2"/>
    <n v="2"/>
    <n v="2"/>
    <n v="1"/>
    <n v="0"/>
    <n v="0"/>
    <n v="0"/>
    <n v="0"/>
    <n v="1"/>
    <n v="0"/>
    <n v="0"/>
    <n v="0"/>
    <n v="0"/>
    <n v="2"/>
    <n v="0"/>
    <n v="0"/>
    <n v="5"/>
    <n v="0.78652618601149382"/>
    <n v="0.59502473559756086"/>
    <n v="0.80706439257840468"/>
    <n v="0.65423109602898355"/>
    <n v="1.01056543769991"/>
    <n v="0.86737663580280233"/>
    <n v="0.67891464284095016"/>
  </r>
  <r>
    <n v="53"/>
    <n v="53"/>
    <s v="No"/>
    <n v="0"/>
    <s v="Travel_Rarely"/>
    <n v="0"/>
    <n v="1"/>
    <x v="0"/>
    <n v="0"/>
    <n v="1"/>
    <n v="8"/>
    <n v="8"/>
    <n v="3"/>
    <s v="Marketing"/>
    <n v="0"/>
    <n v="0"/>
    <n v="0"/>
    <n v="1"/>
    <n v="0"/>
    <n v="1"/>
    <s v="Male"/>
    <n v="0"/>
    <n v="73"/>
    <n v="3"/>
    <n v="4"/>
    <s v="Sales Executive"/>
    <n v="0"/>
    <n v="1"/>
    <n v="0"/>
    <n v="0"/>
    <n v="0"/>
    <n v="0"/>
    <n v="0"/>
    <n v="0"/>
    <n v="4"/>
    <s v="Married"/>
    <n v="0"/>
    <n v="1"/>
    <n v="11836"/>
    <n v="11836"/>
    <n v="5"/>
    <s v="No"/>
    <n v="0"/>
    <n v="14"/>
    <n v="3"/>
    <n v="3"/>
    <n v="1"/>
    <n v="28"/>
    <x v="22"/>
    <n v="3"/>
    <n v="3"/>
    <n v="2"/>
    <n v="2"/>
    <n v="0"/>
    <n v="2"/>
    <n v="2"/>
    <n v="2"/>
    <n v="2"/>
    <n v="8"/>
    <n v="0"/>
    <n v="1"/>
    <n v="0"/>
    <n v="0"/>
    <n v="0"/>
    <n v="0"/>
    <n v="1"/>
    <n v="0"/>
    <n v="0"/>
    <n v="0"/>
    <n v="2"/>
    <n v="0"/>
    <n v="0"/>
    <n v="28"/>
    <n v="1.1327777533194887"/>
    <n v="0.59502473559756086"/>
    <n v="2.1489368113080496"/>
    <n v="0.81745575848020657"/>
    <n v="0.14709966057360641"/>
    <n v="1.7597737514845315"/>
    <n v="5.8265062631872602E-2"/>
  </r>
  <r>
    <n v="35"/>
    <n v="35"/>
    <s v="No"/>
    <n v="0"/>
    <s v="Travel_Rarely"/>
    <n v="0"/>
    <n v="1"/>
    <x v="1"/>
    <n v="1"/>
    <n v="0"/>
    <n v="25"/>
    <n v="25"/>
    <n v="3"/>
    <s v="Technical Degree"/>
    <n v="0"/>
    <n v="0"/>
    <n v="0"/>
    <n v="0"/>
    <n v="1"/>
    <n v="4"/>
    <s v="Male"/>
    <n v="0"/>
    <n v="78"/>
    <n v="2"/>
    <n v="3"/>
    <s v="Manufacturing Director"/>
    <n v="0"/>
    <n v="0"/>
    <n v="0"/>
    <n v="0"/>
    <n v="1"/>
    <n v="1"/>
    <n v="0"/>
    <n v="0"/>
    <n v="2"/>
    <s v="Married"/>
    <n v="0"/>
    <n v="1"/>
    <n v="10903"/>
    <n v="10903"/>
    <n v="3"/>
    <s v="No"/>
    <n v="0"/>
    <n v="16"/>
    <n v="3"/>
    <n v="1"/>
    <n v="0"/>
    <n v="16"/>
    <x v="27"/>
    <n v="2"/>
    <n v="3"/>
    <n v="13"/>
    <n v="13"/>
    <n v="10"/>
    <n v="4"/>
    <n v="4"/>
    <n v="8"/>
    <n v="8"/>
    <n v="24"/>
    <n v="0"/>
    <n v="1"/>
    <n v="0"/>
    <n v="0"/>
    <n v="0"/>
    <n v="0"/>
    <n v="1"/>
    <n v="0"/>
    <n v="0"/>
    <n v="8"/>
    <n v="0"/>
    <n v="0"/>
    <n v="16"/>
    <n v="0"/>
    <n v="0.93460261217342777"/>
    <n v="1.08652546240644"/>
    <n v="0.60667531362816052"/>
    <n v="0.97801552848324624"/>
    <n v="1.9498886553045598"/>
    <n v="0.21058903898096887"/>
    <n v="0.56238451757720498"/>
  </r>
  <r>
    <n v="37"/>
    <n v="37"/>
    <s v="No"/>
    <n v="0"/>
    <s v="Travel_Frequently"/>
    <n v="1"/>
    <n v="0"/>
    <x v="0"/>
    <n v="0"/>
    <n v="1"/>
    <n v="21"/>
    <n v="21"/>
    <n v="2"/>
    <s v="Medical"/>
    <n v="0"/>
    <n v="0"/>
    <n v="1"/>
    <n v="0"/>
    <n v="0"/>
    <n v="3"/>
    <s v="Female"/>
    <n v="1"/>
    <n v="54"/>
    <n v="3"/>
    <n v="1"/>
    <s v="Sales Representative"/>
    <n v="0"/>
    <n v="0"/>
    <n v="0"/>
    <n v="0"/>
    <n v="0"/>
    <n v="0"/>
    <n v="1"/>
    <n v="0"/>
    <n v="4"/>
    <s v="Married"/>
    <n v="0"/>
    <n v="1"/>
    <n v="2973"/>
    <n v="2973"/>
    <n v="5"/>
    <s v="No"/>
    <n v="0"/>
    <n v="15"/>
    <n v="3"/>
    <n v="2"/>
    <n v="1"/>
    <n v="10"/>
    <x v="1"/>
    <n v="3"/>
    <n v="3"/>
    <n v="5"/>
    <n v="5"/>
    <n v="4"/>
    <n v="0"/>
    <n v="0"/>
    <n v="0"/>
    <n v="0"/>
    <n v="0"/>
    <n v="0"/>
    <n v="0"/>
    <n v="0"/>
    <n v="1"/>
    <n v="0"/>
    <n v="0"/>
    <n v="1"/>
    <n v="0"/>
    <n v="0"/>
    <n v="0"/>
    <n v="0"/>
    <n v="0"/>
    <n v="0"/>
    <n v="10"/>
    <n v="0.7497798843841964"/>
    <n v="1.1555414682655611"/>
    <n v="0.1644554352117841"/>
    <n v="0.32778177112653761"/>
    <n v="1.4564796398038149"/>
    <n v="8.3401599596422994E-3"/>
    <n v="0.67891464284095016"/>
  </r>
  <r>
    <n v="53"/>
    <n v="53"/>
    <s v="No"/>
    <n v="0"/>
    <s v="Travel_Rarely"/>
    <n v="0"/>
    <n v="1"/>
    <x v="1"/>
    <n v="1"/>
    <n v="0"/>
    <n v="23"/>
    <n v="23"/>
    <n v="4"/>
    <s v="Life Sciences"/>
    <n v="1"/>
    <n v="0"/>
    <n v="0"/>
    <n v="0"/>
    <n v="0"/>
    <n v="4"/>
    <s v="Female"/>
    <n v="1"/>
    <n v="72"/>
    <n v="3"/>
    <n v="4"/>
    <s v="Research Director"/>
    <n v="0"/>
    <n v="0"/>
    <n v="0"/>
    <n v="0"/>
    <n v="0"/>
    <n v="0"/>
    <n v="0"/>
    <n v="0"/>
    <n v="4"/>
    <s v="Single"/>
    <n v="1"/>
    <n v="0"/>
    <n v="14275"/>
    <n v="14275"/>
    <n v="6"/>
    <s v="No"/>
    <n v="0"/>
    <n v="18"/>
    <n v="3"/>
    <n v="3"/>
    <n v="0"/>
    <n v="33"/>
    <x v="33"/>
    <n v="0"/>
    <n v="3"/>
    <n v="12"/>
    <n v="12"/>
    <n v="9"/>
    <n v="3"/>
    <n v="3"/>
    <n v="8"/>
    <n v="8"/>
    <n v="32"/>
    <n v="1"/>
    <n v="0"/>
    <n v="0"/>
    <n v="0"/>
    <n v="1"/>
    <n v="0"/>
    <n v="0"/>
    <n v="0"/>
    <n v="0"/>
    <n v="8"/>
    <n v="0"/>
    <n v="0"/>
    <n v="33"/>
    <n v="0"/>
    <n v="1.6508368843540466"/>
    <n v="1.08652546240644"/>
    <n v="2.7915457686746699"/>
    <n v="0.81479086603202333"/>
    <n v="1.7031841475541873"/>
    <n v="1.7597737514845315"/>
    <n v="0.2520597274726662"/>
  </r>
  <r>
    <n v="43"/>
    <n v="43"/>
    <s v="No"/>
    <n v="0"/>
    <s v="Travel_Frequently"/>
    <n v="1"/>
    <n v="0"/>
    <x v="1"/>
    <n v="1"/>
    <n v="0"/>
    <n v="1"/>
    <n v="1"/>
    <n v="3"/>
    <s v="Life Sciences"/>
    <n v="1"/>
    <n v="0"/>
    <n v="0"/>
    <n v="0"/>
    <n v="0"/>
    <n v="4"/>
    <s v="Female"/>
    <n v="1"/>
    <n v="33"/>
    <n v="3"/>
    <n v="2"/>
    <s v="Healthcare Representative"/>
    <n v="1"/>
    <n v="0"/>
    <n v="0"/>
    <n v="0"/>
    <n v="0"/>
    <n v="0"/>
    <n v="0"/>
    <n v="0"/>
    <n v="4"/>
    <s v="Married"/>
    <n v="0"/>
    <n v="1"/>
    <n v="5562"/>
    <n v="5562"/>
    <n v="4"/>
    <s v="No"/>
    <n v="0"/>
    <n v="13"/>
    <n v="3"/>
    <n v="2"/>
    <n v="1"/>
    <n v="12"/>
    <x v="4"/>
    <n v="2"/>
    <n v="2"/>
    <n v="5"/>
    <n v="5"/>
    <n v="2"/>
    <n v="2"/>
    <n v="2"/>
    <n v="2"/>
    <n v="2"/>
    <n v="4"/>
    <n v="0"/>
    <n v="0"/>
    <n v="0"/>
    <n v="1"/>
    <n v="0"/>
    <n v="0"/>
    <n v="1"/>
    <n v="0"/>
    <n v="0"/>
    <n v="2"/>
    <n v="0"/>
    <n v="0"/>
    <n v="12"/>
    <n v="0"/>
    <n v="0.19985979818146132"/>
    <n v="0.59502473559756086"/>
    <n v="9.2588147734864096E-2"/>
    <n v="0.32778177112653761"/>
    <n v="1.01056543769991"/>
    <n v="0.66512775678147573"/>
    <n v="5.8265062631872602E-2"/>
  </r>
  <r>
    <n v="47"/>
    <n v="47"/>
    <s v="No"/>
    <n v="0"/>
    <s v="Travel_Rarely"/>
    <n v="0"/>
    <n v="1"/>
    <x v="0"/>
    <n v="0"/>
    <n v="1"/>
    <n v="2"/>
    <n v="2"/>
    <n v="2"/>
    <s v="Marketing"/>
    <n v="0"/>
    <n v="0"/>
    <n v="0"/>
    <n v="1"/>
    <n v="0"/>
    <n v="3"/>
    <s v="Female"/>
    <n v="1"/>
    <n v="35"/>
    <n v="3"/>
    <n v="2"/>
    <s v="Sales Executive"/>
    <n v="0"/>
    <n v="1"/>
    <n v="0"/>
    <n v="0"/>
    <n v="0"/>
    <n v="0"/>
    <n v="0"/>
    <n v="0"/>
    <n v="4"/>
    <s v="Married"/>
    <n v="0"/>
    <n v="1"/>
    <n v="4537"/>
    <n v="4537"/>
    <n v="0"/>
    <s v="Yes"/>
    <n v="1"/>
    <n v="22"/>
    <n v="4"/>
    <n v="1"/>
    <n v="1"/>
    <n v="8"/>
    <x v="0"/>
    <n v="2"/>
    <n v="3"/>
    <n v="7"/>
    <n v="7"/>
    <n v="6"/>
    <n v="7"/>
    <n v="7"/>
    <n v="7"/>
    <n v="7"/>
    <n v="14"/>
    <n v="0"/>
    <n v="1"/>
    <n v="0"/>
    <n v="0"/>
    <n v="0"/>
    <n v="0"/>
    <n v="0"/>
    <n v="1"/>
    <n v="0"/>
    <n v="0"/>
    <n v="7"/>
    <n v="0"/>
    <n v="0"/>
    <n v="8"/>
    <n v="0.41757632516400417"/>
    <n v="0.80626709607243985"/>
    <n v="0.42149901815843233"/>
    <n v="1.3324462240916321E-3"/>
    <n v="0.88721318382472392"/>
    <n v="1.102986154662698"/>
    <n v="1.4933588878908215"/>
  </r>
  <r>
    <n v="37"/>
    <n v="37"/>
    <s v="No"/>
    <n v="0"/>
    <s v="Non-Travel"/>
    <n v="0"/>
    <n v="0"/>
    <x v="0"/>
    <n v="0"/>
    <n v="1"/>
    <n v="19"/>
    <n v="19"/>
    <n v="2"/>
    <s v="Medical"/>
    <n v="0"/>
    <n v="0"/>
    <n v="1"/>
    <n v="0"/>
    <n v="0"/>
    <n v="1"/>
    <s v="Male"/>
    <n v="0"/>
    <n v="32"/>
    <n v="3"/>
    <n v="3"/>
    <s v="Sales Executive"/>
    <n v="0"/>
    <n v="1"/>
    <n v="0"/>
    <n v="0"/>
    <n v="0"/>
    <n v="0"/>
    <n v="0"/>
    <n v="0"/>
    <n v="2"/>
    <s v="Single"/>
    <n v="1"/>
    <n v="0"/>
    <n v="7642"/>
    <n v="7642"/>
    <n v="1"/>
    <s v="Yes"/>
    <n v="1"/>
    <n v="13"/>
    <n v="3"/>
    <n v="4"/>
    <n v="0"/>
    <n v="10"/>
    <x v="1"/>
    <n v="2"/>
    <n v="3"/>
    <n v="10"/>
    <n v="10"/>
    <n v="0"/>
    <n v="0"/>
    <n v="0"/>
    <n v="9"/>
    <n v="9"/>
    <n v="27"/>
    <n v="1"/>
    <n v="0"/>
    <n v="0"/>
    <n v="0"/>
    <n v="0"/>
    <n v="1"/>
    <n v="0"/>
    <n v="0"/>
    <n v="0"/>
    <n v="0"/>
    <n v="9"/>
    <n v="0"/>
    <n v="0"/>
    <n v="10"/>
    <n v="0.24194544681725974"/>
    <n v="1.3667838287404401"/>
    <n v="0.1644554352117841"/>
    <n v="0.48834154112957734"/>
    <n v="1.2097751320534422"/>
    <n v="8.3401599596422994E-3"/>
    <n v="0.67891464284095016"/>
  </r>
  <r>
    <n v="50"/>
    <n v="50"/>
    <s v="No"/>
    <n v="0"/>
    <s v="Non-Travel"/>
    <n v="0"/>
    <n v="0"/>
    <x v="1"/>
    <n v="1"/>
    <n v="0"/>
    <n v="2"/>
    <n v="2"/>
    <n v="4"/>
    <s v="Life Sciences"/>
    <n v="1"/>
    <n v="0"/>
    <n v="0"/>
    <n v="0"/>
    <n v="0"/>
    <n v="1"/>
    <s v="Male"/>
    <n v="0"/>
    <n v="98"/>
    <n v="3"/>
    <n v="4"/>
    <s v="Manager"/>
    <n v="0"/>
    <n v="0"/>
    <n v="0"/>
    <n v="1"/>
    <n v="0"/>
    <n v="0"/>
    <n v="0"/>
    <n v="0"/>
    <n v="1"/>
    <s v="Divorced"/>
    <n v="0"/>
    <n v="0"/>
    <n v="17924"/>
    <n v="17924"/>
    <n v="1"/>
    <s v="No"/>
    <n v="0"/>
    <n v="11"/>
    <n v="3"/>
    <n v="4"/>
    <n v="1"/>
    <n v="31"/>
    <x v="9"/>
    <n v="3"/>
    <n v="3"/>
    <n v="31"/>
    <n v="31"/>
    <n v="6"/>
    <n v="14"/>
    <n v="14"/>
    <n v="7"/>
    <n v="7"/>
    <n v="28"/>
    <n v="1"/>
    <n v="0"/>
    <n v="0"/>
    <n v="0"/>
    <n v="1"/>
    <n v="0"/>
    <n v="0"/>
    <n v="0"/>
    <n v="0"/>
    <n v="7"/>
    <n v="0"/>
    <n v="0"/>
    <n v="31"/>
    <n v="0"/>
    <n v="2.4259077204118991"/>
    <n v="0.80626709607243985"/>
    <n v="2.5345021857280217"/>
    <n v="3.9160594526052601"/>
    <n v="0.88721318382472392"/>
    <n v="1.4313799530736149"/>
    <n v="3.665632418622593"/>
  </r>
  <r>
    <n v="39"/>
    <n v="39"/>
    <s v="No"/>
    <n v="0"/>
    <s v="Travel_Rarely"/>
    <n v="0"/>
    <n v="1"/>
    <x v="2"/>
    <n v="0"/>
    <n v="0"/>
    <n v="2"/>
    <n v="2"/>
    <n v="3"/>
    <s v="Life Sciences"/>
    <n v="1"/>
    <n v="0"/>
    <n v="0"/>
    <n v="0"/>
    <n v="0"/>
    <n v="4"/>
    <s v="Female"/>
    <n v="1"/>
    <n v="42"/>
    <n v="2"/>
    <n v="2"/>
    <s v="Human Resources"/>
    <n v="0"/>
    <n v="0"/>
    <n v="0"/>
    <n v="0"/>
    <n v="0"/>
    <n v="0"/>
    <n v="0"/>
    <n v="0"/>
    <n v="4"/>
    <s v="Married"/>
    <n v="0"/>
    <n v="1"/>
    <n v="5204"/>
    <n v="5204"/>
    <n v="8"/>
    <s v="No"/>
    <n v="0"/>
    <n v="11"/>
    <n v="3"/>
    <n v="3"/>
    <n v="2"/>
    <n v="13"/>
    <x v="10"/>
    <n v="2"/>
    <n v="3"/>
    <n v="5"/>
    <n v="5"/>
    <n v="4"/>
    <n v="0"/>
    <n v="0"/>
    <n v="4"/>
    <n v="4"/>
    <n v="8"/>
    <n v="0"/>
    <n v="1"/>
    <n v="0"/>
    <n v="0"/>
    <n v="0"/>
    <n v="0"/>
    <n v="1"/>
    <n v="0"/>
    <n v="4"/>
    <n v="0"/>
    <n v="0"/>
    <n v="13"/>
    <n v="0"/>
    <n v="0"/>
    <n v="0.27590127784951046"/>
    <n v="3.4508002929560584E-2"/>
    <n v="0.22110993920818819"/>
    <n v="0.32778177112653761"/>
    <n v="0.88721318382472392"/>
    <n v="0.22726935890025346"/>
    <n v="0.67891464284095016"/>
  </r>
  <r>
    <n v="33"/>
    <n v="33"/>
    <s v="No"/>
    <n v="0"/>
    <s v="Travel_Rarely"/>
    <n v="0"/>
    <n v="1"/>
    <x v="2"/>
    <n v="0"/>
    <n v="0"/>
    <n v="3"/>
    <n v="3"/>
    <n v="2"/>
    <s v="Human Resources"/>
    <n v="0"/>
    <n v="0"/>
    <n v="0"/>
    <n v="0"/>
    <n v="0"/>
    <n v="4"/>
    <s v="Male"/>
    <n v="0"/>
    <n v="57"/>
    <n v="3"/>
    <n v="1"/>
    <s v="Human Resources"/>
    <n v="0"/>
    <n v="0"/>
    <n v="0"/>
    <n v="0"/>
    <n v="0"/>
    <n v="0"/>
    <n v="0"/>
    <n v="0"/>
    <n v="2"/>
    <s v="Divorced"/>
    <n v="0"/>
    <n v="0"/>
    <n v="2277"/>
    <n v="2277"/>
    <n v="3"/>
    <s v="Yes"/>
    <n v="1"/>
    <n v="11"/>
    <n v="3"/>
    <n v="3"/>
    <n v="1"/>
    <n v="7"/>
    <x v="2"/>
    <n v="4"/>
    <n v="4"/>
    <n v="4"/>
    <n v="4"/>
    <n v="3"/>
    <n v="0"/>
    <n v="0"/>
    <n v="3"/>
    <n v="3"/>
    <n v="3"/>
    <n v="1"/>
    <n v="0"/>
    <n v="0"/>
    <n v="0"/>
    <n v="0"/>
    <n v="1"/>
    <n v="0"/>
    <n v="0"/>
    <n v="3"/>
    <n v="0"/>
    <n v="0"/>
    <n v="7"/>
    <n v="0"/>
    <n v="0"/>
    <n v="0.8976147163645376"/>
    <n v="0.31476636926356072"/>
    <n v="0.55002080963175637"/>
    <n v="0.49100643357776058"/>
    <n v="0.76386092994953758"/>
    <n v="0.42951823792158"/>
    <n v="0.67891464284095016"/>
  </r>
  <r>
    <n v="32"/>
    <n v="32"/>
    <s v="Yes"/>
    <n v="1"/>
    <s v="Travel_Rarely"/>
    <n v="0"/>
    <n v="1"/>
    <x v="1"/>
    <n v="1"/>
    <n v="0"/>
    <n v="25"/>
    <n v="25"/>
    <n v="4"/>
    <s v="Life Sciences"/>
    <n v="1"/>
    <n v="0"/>
    <n v="0"/>
    <n v="0"/>
    <n v="0"/>
    <n v="1"/>
    <s v="Male"/>
    <n v="0"/>
    <n v="87"/>
    <n v="3"/>
    <n v="1"/>
    <s v="Laboratory Technician"/>
    <n v="0"/>
    <n v="0"/>
    <n v="1"/>
    <n v="0"/>
    <n v="0"/>
    <n v="0"/>
    <n v="0"/>
    <n v="0"/>
    <n v="4"/>
    <s v="Single"/>
    <n v="1"/>
    <n v="0"/>
    <n v="2795"/>
    <n v="2795"/>
    <n v="1"/>
    <s v="Yes"/>
    <n v="1"/>
    <n v="24"/>
    <n v="4"/>
    <n v="3"/>
    <n v="0"/>
    <n v="1"/>
    <x v="5"/>
    <n v="2"/>
    <n v="1"/>
    <n v="1"/>
    <n v="1"/>
    <n v="0"/>
    <n v="0"/>
    <n v="0"/>
    <n v="1"/>
    <n v="1"/>
    <n v="1"/>
    <n v="1"/>
    <n v="0"/>
    <n v="0"/>
    <n v="0"/>
    <n v="0"/>
    <n v="1"/>
    <n v="0"/>
    <n v="0"/>
    <n v="0"/>
    <n v="1"/>
    <n v="0"/>
    <n v="0"/>
    <n v="1"/>
    <n v="0"/>
    <n v="0.78758821785043309"/>
    <n v="0.87528310193156111"/>
    <n v="1.3211515584717011"/>
    <n v="0.9806804209314296"/>
    <n v="1.9498886553045598"/>
    <n v="0.53898283739188557"/>
    <n v="0.67891464284095016"/>
  </r>
  <r>
    <n v="29"/>
    <n v="29"/>
    <s v="No"/>
    <n v="0"/>
    <s v="Travel_Rarely"/>
    <n v="0"/>
    <n v="1"/>
    <x v="1"/>
    <n v="1"/>
    <n v="0"/>
    <n v="7"/>
    <n v="7"/>
    <n v="1"/>
    <s v="Medical"/>
    <n v="0"/>
    <n v="0"/>
    <n v="1"/>
    <n v="0"/>
    <n v="0"/>
    <n v="1"/>
    <s v="Female"/>
    <n v="1"/>
    <n v="62"/>
    <n v="2"/>
    <n v="1"/>
    <s v="Laboratory Technician"/>
    <n v="0"/>
    <n v="0"/>
    <n v="1"/>
    <n v="0"/>
    <n v="0"/>
    <n v="0"/>
    <n v="0"/>
    <n v="0"/>
    <n v="4"/>
    <s v="Divorced"/>
    <n v="0"/>
    <n v="0"/>
    <n v="2532"/>
    <n v="2532"/>
    <n v="6"/>
    <s v="No"/>
    <n v="0"/>
    <n v="14"/>
    <n v="3"/>
    <n v="3"/>
    <n v="3"/>
    <n v="8"/>
    <x v="0"/>
    <n v="5"/>
    <n v="3"/>
    <n v="4"/>
    <n v="4"/>
    <n v="3"/>
    <n v="0"/>
    <n v="0"/>
    <n v="3"/>
    <n v="3"/>
    <n v="3"/>
    <n v="1"/>
    <n v="0"/>
    <n v="0"/>
    <n v="0"/>
    <n v="1"/>
    <n v="0"/>
    <n v="0"/>
    <n v="0"/>
    <n v="0"/>
    <n v="3"/>
    <n v="0"/>
    <n v="0"/>
    <n v="8"/>
    <n v="0"/>
    <n v="0.84345109257863671"/>
    <n v="0.31476636926356072"/>
    <n v="0.42149901815843233"/>
    <n v="0.49100643357776058"/>
    <n v="0.27045191444879263"/>
    <n v="0.86737663580280233"/>
    <n v="0.67891464284095016"/>
  </r>
  <r>
    <n v="44"/>
    <n v="44"/>
    <s v="No"/>
    <n v="0"/>
    <s v="Travel_Rarely"/>
    <n v="0"/>
    <n v="1"/>
    <x v="1"/>
    <n v="1"/>
    <n v="0"/>
    <n v="9"/>
    <n v="9"/>
    <n v="2"/>
    <s v="Life Sciences"/>
    <n v="1"/>
    <n v="0"/>
    <n v="0"/>
    <n v="0"/>
    <n v="0"/>
    <n v="2"/>
    <s v="Male"/>
    <n v="0"/>
    <n v="61"/>
    <n v="3"/>
    <n v="1"/>
    <s v="Research Scientist"/>
    <n v="0"/>
    <n v="0"/>
    <n v="0"/>
    <n v="0"/>
    <n v="0"/>
    <n v="0"/>
    <n v="0"/>
    <n v="1"/>
    <n v="1"/>
    <s v="Married"/>
    <n v="0"/>
    <n v="1"/>
    <n v="2559"/>
    <n v="2559"/>
    <n v="1"/>
    <s v="Yes"/>
    <n v="1"/>
    <n v="13"/>
    <n v="3"/>
    <n v="4"/>
    <n v="0"/>
    <n v="8"/>
    <x v="0"/>
    <n v="0"/>
    <n v="3"/>
    <n v="8"/>
    <n v="8"/>
    <n v="7"/>
    <n v="7"/>
    <n v="7"/>
    <n v="1"/>
    <n v="1"/>
    <n v="1"/>
    <n v="0"/>
    <n v="1"/>
    <n v="0"/>
    <n v="0"/>
    <n v="0"/>
    <n v="0"/>
    <n v="0"/>
    <n v="1"/>
    <n v="0"/>
    <n v="1"/>
    <n v="0"/>
    <n v="0"/>
    <n v="8"/>
    <n v="0"/>
    <n v="0.83771612064836487"/>
    <n v="0.87528310193156111"/>
    <n v="0.42149901815843233"/>
    <n v="0.16189221622713135"/>
    <n v="2.3747406698420157E-2"/>
    <n v="0.77459235625178136"/>
    <n v="1.4933588878908215"/>
  </r>
  <r>
    <n v="28"/>
    <n v="28"/>
    <s v="No"/>
    <n v="0"/>
    <s v="Travel_Rarely"/>
    <n v="0"/>
    <n v="1"/>
    <x v="0"/>
    <n v="0"/>
    <n v="1"/>
    <n v="5"/>
    <n v="5"/>
    <n v="4"/>
    <s v="Medical"/>
    <n v="0"/>
    <n v="0"/>
    <n v="1"/>
    <n v="0"/>
    <n v="0"/>
    <n v="1"/>
    <s v="Male"/>
    <n v="0"/>
    <n v="98"/>
    <n v="3"/>
    <n v="2"/>
    <s v="Sales Executive"/>
    <n v="0"/>
    <n v="1"/>
    <n v="0"/>
    <n v="0"/>
    <n v="0"/>
    <n v="0"/>
    <n v="0"/>
    <n v="0"/>
    <n v="4"/>
    <s v="Single"/>
    <n v="1"/>
    <n v="0"/>
    <n v="4908"/>
    <n v="4908"/>
    <n v="1"/>
    <s v="No"/>
    <n v="0"/>
    <n v="14"/>
    <n v="3"/>
    <n v="2"/>
    <n v="0"/>
    <n v="4"/>
    <x v="20"/>
    <n v="3"/>
    <n v="3"/>
    <n v="4"/>
    <n v="4"/>
    <n v="2"/>
    <n v="0"/>
    <n v="0"/>
    <n v="2"/>
    <n v="2"/>
    <n v="4"/>
    <n v="1"/>
    <n v="0"/>
    <n v="0"/>
    <n v="0"/>
    <n v="1"/>
    <n v="0"/>
    <n v="0"/>
    <n v="0"/>
    <n v="0"/>
    <n v="0"/>
    <n v="2"/>
    <n v="0"/>
    <n v="0"/>
    <n v="4"/>
    <n v="0.33877356271471304"/>
    <n v="0.59502473559756086"/>
    <n v="0.93558618405172878"/>
    <n v="0.49100643357776058"/>
    <n v="0.51715642219916513"/>
    <n v="0.97684123527310796"/>
    <n v="0.67891464284095016"/>
  </r>
  <r>
    <n v="58"/>
    <n v="58"/>
    <s v="Yes"/>
    <n v="1"/>
    <s v="Travel_Frequently"/>
    <n v="1"/>
    <n v="0"/>
    <x v="1"/>
    <n v="1"/>
    <n v="0"/>
    <n v="2"/>
    <n v="2"/>
    <n v="1"/>
    <s v="Life Sciences"/>
    <n v="1"/>
    <n v="0"/>
    <n v="0"/>
    <n v="0"/>
    <n v="0"/>
    <n v="4"/>
    <s v="Male"/>
    <n v="0"/>
    <n v="57"/>
    <n v="2"/>
    <n v="1"/>
    <s v="Laboratory Technician"/>
    <n v="0"/>
    <n v="0"/>
    <n v="1"/>
    <n v="0"/>
    <n v="0"/>
    <n v="0"/>
    <n v="0"/>
    <n v="0"/>
    <n v="4"/>
    <s v="Divorced"/>
    <n v="0"/>
    <n v="0"/>
    <n v="2380"/>
    <n v="2380"/>
    <n v="9"/>
    <s v="Yes"/>
    <n v="1"/>
    <n v="14"/>
    <n v="3"/>
    <n v="4"/>
    <n v="1"/>
    <n v="3"/>
    <x v="8"/>
    <n v="3"/>
    <n v="2"/>
    <n v="1"/>
    <n v="1"/>
    <n v="0"/>
    <n v="0"/>
    <n v="0"/>
    <n v="0"/>
    <n v="0"/>
    <n v="0"/>
    <n v="0"/>
    <n v="0"/>
    <n v="1"/>
    <n v="0"/>
    <n v="0"/>
    <n v="1"/>
    <n v="0"/>
    <n v="0"/>
    <n v="0"/>
    <n v="0"/>
    <n v="0"/>
    <n v="0"/>
    <n v="3"/>
    <n v="0"/>
    <n v="0.87573686048238941"/>
    <n v="1.1555414682655611"/>
    <n v="1.0641079755250529"/>
    <n v="0.9806804209314296"/>
    <n v="0.88721318382472392"/>
    <n v="2.3070967488360594"/>
    <n v="0.67891464284095016"/>
  </r>
  <r>
    <n v="43"/>
    <n v="43"/>
    <s v="No"/>
    <n v="0"/>
    <s v="Travel_Rarely"/>
    <n v="0"/>
    <n v="1"/>
    <x v="1"/>
    <n v="1"/>
    <n v="0"/>
    <n v="8"/>
    <n v="8"/>
    <n v="3"/>
    <s v="Life Sciences"/>
    <n v="1"/>
    <n v="0"/>
    <n v="0"/>
    <n v="0"/>
    <n v="0"/>
    <n v="1"/>
    <s v="Female"/>
    <n v="1"/>
    <n v="55"/>
    <n v="3"/>
    <n v="2"/>
    <s v="Manufacturing Director"/>
    <n v="0"/>
    <n v="0"/>
    <n v="0"/>
    <n v="0"/>
    <n v="1"/>
    <n v="1"/>
    <n v="0"/>
    <n v="0"/>
    <n v="2"/>
    <s v="Divorced"/>
    <n v="0"/>
    <n v="0"/>
    <n v="4765"/>
    <n v="4765"/>
    <n v="4"/>
    <s v="No"/>
    <n v="0"/>
    <n v="21"/>
    <n v="4"/>
    <n v="3"/>
    <n v="1"/>
    <n v="4"/>
    <x v="20"/>
    <n v="2"/>
    <n v="4"/>
    <n v="1"/>
    <n v="1"/>
    <n v="0"/>
    <n v="0"/>
    <n v="0"/>
    <n v="0"/>
    <n v="0"/>
    <n v="0"/>
    <n v="1"/>
    <n v="0"/>
    <n v="0"/>
    <n v="0"/>
    <n v="1"/>
    <n v="0"/>
    <n v="0"/>
    <n v="0"/>
    <n v="0"/>
    <n v="0"/>
    <n v="0"/>
    <n v="0"/>
    <n v="4"/>
    <n v="0"/>
    <n v="0.36914767330837511"/>
    <n v="1.1555414682655611"/>
    <n v="0.93558618405172878"/>
    <n v="0.9806804209314296"/>
    <n v="0.14709966057360641"/>
    <n v="0.66512775678147573"/>
    <n v="0.67891464284095016"/>
  </r>
  <r>
    <n v="20"/>
    <n v="20"/>
    <s v="Yes"/>
    <n v="1"/>
    <s v="Travel_Rarely"/>
    <n v="0"/>
    <n v="1"/>
    <x v="0"/>
    <n v="0"/>
    <n v="1"/>
    <n v="2"/>
    <n v="2"/>
    <n v="3"/>
    <s v="Medical"/>
    <n v="0"/>
    <n v="0"/>
    <n v="1"/>
    <n v="0"/>
    <n v="0"/>
    <n v="3"/>
    <s v="Female"/>
    <n v="1"/>
    <n v="49"/>
    <n v="2"/>
    <n v="1"/>
    <s v="Sales Representative"/>
    <n v="0"/>
    <n v="0"/>
    <n v="0"/>
    <n v="0"/>
    <n v="0"/>
    <n v="0"/>
    <n v="1"/>
    <n v="0"/>
    <n v="3"/>
    <s v="Single"/>
    <n v="1"/>
    <n v="0"/>
    <n v="2044"/>
    <n v="2044"/>
    <n v="1"/>
    <s v="No"/>
    <n v="0"/>
    <n v="13"/>
    <n v="3"/>
    <n v="4"/>
    <n v="0"/>
    <n v="2"/>
    <x v="16"/>
    <n v="3"/>
    <n v="2"/>
    <n v="2"/>
    <n v="2"/>
    <n v="2"/>
    <n v="0"/>
    <n v="0"/>
    <n v="2"/>
    <n v="2"/>
    <n v="2"/>
    <n v="1"/>
    <n v="0"/>
    <n v="0"/>
    <n v="0"/>
    <n v="1"/>
    <n v="0"/>
    <n v="0"/>
    <n v="0"/>
    <n v="0"/>
    <n v="0"/>
    <n v="2"/>
    <n v="0"/>
    <n v="0"/>
    <n v="2"/>
    <n v="0.94710540005910593"/>
    <n v="0.59502473559756086"/>
    <n v="1.192629766998377"/>
    <n v="0.81745575848020657"/>
    <n v="0.88721318382472392"/>
    <n v="1.8525580310355525"/>
    <n v="0.67891464284095016"/>
  </r>
  <r>
    <n v="21"/>
    <n v="21"/>
    <s v="Yes"/>
    <n v="1"/>
    <s v="Travel_Rarely"/>
    <n v="0"/>
    <n v="1"/>
    <x v="1"/>
    <n v="1"/>
    <n v="0"/>
    <n v="18"/>
    <n v="18"/>
    <n v="1"/>
    <s v="Other"/>
    <n v="0"/>
    <n v="1"/>
    <n v="0"/>
    <n v="0"/>
    <n v="0"/>
    <n v="4"/>
    <s v="Female"/>
    <n v="1"/>
    <n v="65"/>
    <n v="3"/>
    <n v="1"/>
    <s v="Research Scientist"/>
    <n v="0"/>
    <n v="0"/>
    <n v="0"/>
    <n v="0"/>
    <n v="0"/>
    <n v="0"/>
    <n v="0"/>
    <n v="1"/>
    <n v="4"/>
    <s v="Single"/>
    <n v="1"/>
    <n v="0"/>
    <n v="2693"/>
    <n v="2693"/>
    <n v="1"/>
    <s v="No"/>
    <n v="0"/>
    <n v="19"/>
    <n v="3"/>
    <n v="1"/>
    <n v="0"/>
    <n v="1"/>
    <x v="5"/>
    <n v="3"/>
    <n v="2"/>
    <n v="1"/>
    <n v="1"/>
    <n v="0"/>
    <n v="0"/>
    <n v="0"/>
    <n v="0"/>
    <n v="0"/>
    <n v="0"/>
    <n v="1"/>
    <n v="0"/>
    <n v="0"/>
    <n v="0"/>
    <n v="1"/>
    <n v="0"/>
    <n v="0"/>
    <n v="0"/>
    <n v="0"/>
    <n v="0"/>
    <n v="0"/>
    <n v="0"/>
    <n v="1"/>
    <n v="0"/>
    <n v="0.80925366736479343"/>
    <n v="1.1555414682655611"/>
    <n v="1.3211515584717011"/>
    <n v="0.9806804209314296"/>
    <n v="1.0864228781782561"/>
    <n v="1.7430934315652469"/>
    <n v="0.67891464284095016"/>
  </r>
  <r>
    <n v="36"/>
    <n v="36"/>
    <s v="No"/>
    <n v="0"/>
    <s v="Travel_Rarely"/>
    <n v="0"/>
    <n v="1"/>
    <x v="1"/>
    <n v="1"/>
    <n v="0"/>
    <n v="14"/>
    <n v="14"/>
    <n v="1"/>
    <s v="Life Sciences"/>
    <n v="1"/>
    <n v="0"/>
    <n v="0"/>
    <n v="0"/>
    <n v="0"/>
    <n v="3"/>
    <s v="Male"/>
    <n v="0"/>
    <n v="68"/>
    <n v="3"/>
    <n v="2"/>
    <s v="Healthcare Representative"/>
    <n v="1"/>
    <n v="0"/>
    <n v="0"/>
    <n v="0"/>
    <n v="0"/>
    <n v="0"/>
    <n v="0"/>
    <n v="0"/>
    <n v="4"/>
    <s v="Married"/>
    <n v="0"/>
    <n v="1"/>
    <n v="6586"/>
    <n v="6586"/>
    <n v="0"/>
    <s v="Yes"/>
    <n v="1"/>
    <n v="17"/>
    <n v="3"/>
    <n v="1"/>
    <n v="1"/>
    <n v="17"/>
    <x v="6"/>
    <n v="2"/>
    <n v="2"/>
    <n v="16"/>
    <n v="16"/>
    <n v="8"/>
    <n v="4"/>
    <n v="4"/>
    <n v="11"/>
    <n v="11"/>
    <n v="22"/>
    <n v="0"/>
    <n v="1"/>
    <n v="0"/>
    <n v="0"/>
    <n v="0"/>
    <n v="0"/>
    <n v="0"/>
    <n v="1"/>
    <n v="0"/>
    <n v="11"/>
    <n v="0"/>
    <n v="0"/>
    <n v="17"/>
    <n v="0"/>
    <n v="1.7644322433293658E-2"/>
    <n v="1.9273005614084406"/>
    <n v="0.73519710510148462"/>
    <n v="1.4676895158369152"/>
    <n v="0.59301386267751111"/>
    <n v="0.10112443951066327"/>
    <n v="0.56238451757720498"/>
  </r>
  <r>
    <n v="47"/>
    <n v="47"/>
    <s v="No"/>
    <n v="0"/>
    <s v="Travel_Rarely"/>
    <n v="0"/>
    <n v="1"/>
    <x v="0"/>
    <n v="0"/>
    <n v="1"/>
    <n v="2"/>
    <n v="2"/>
    <n v="4"/>
    <s v="Life Sciences"/>
    <n v="1"/>
    <n v="0"/>
    <n v="0"/>
    <n v="0"/>
    <n v="0"/>
    <n v="4"/>
    <s v="Female"/>
    <n v="1"/>
    <n v="65"/>
    <n v="2"/>
    <n v="1"/>
    <s v="Sales Representative"/>
    <n v="0"/>
    <n v="0"/>
    <n v="0"/>
    <n v="0"/>
    <n v="0"/>
    <n v="0"/>
    <n v="1"/>
    <n v="0"/>
    <n v="4"/>
    <s v="Single"/>
    <n v="1"/>
    <n v="0"/>
    <n v="3294"/>
    <n v="3294"/>
    <n v="1"/>
    <s v="Yes"/>
    <n v="1"/>
    <n v="18"/>
    <n v="3"/>
    <n v="1"/>
    <n v="0"/>
    <n v="3"/>
    <x v="8"/>
    <n v="3"/>
    <n v="2"/>
    <n v="3"/>
    <n v="3"/>
    <n v="2"/>
    <n v="1"/>
    <n v="1"/>
    <n v="2"/>
    <n v="2"/>
    <n v="2"/>
    <n v="1"/>
    <n v="0"/>
    <n v="0"/>
    <n v="0"/>
    <n v="0"/>
    <n v="1"/>
    <n v="0"/>
    <n v="0"/>
    <n v="0"/>
    <n v="0"/>
    <n v="2"/>
    <n v="0"/>
    <n v="0"/>
    <n v="3"/>
    <n v="0.68159744032429759"/>
    <n v="0.59502473559756086"/>
    <n v="1.0641079755250529"/>
    <n v="0.65423109602898355"/>
    <n v="0.88721318382472392"/>
    <n v="1.102986154662698"/>
    <n v="0.36858985273641137"/>
  </r>
  <r>
    <n v="22"/>
    <n v="22"/>
    <s v="Yes"/>
    <n v="1"/>
    <s v="Travel_Rarely"/>
    <n v="0"/>
    <n v="1"/>
    <x v="1"/>
    <n v="1"/>
    <n v="0"/>
    <n v="3"/>
    <n v="3"/>
    <n v="1"/>
    <s v="Life Sciences"/>
    <n v="1"/>
    <n v="0"/>
    <n v="0"/>
    <n v="0"/>
    <n v="0"/>
    <n v="2"/>
    <s v="Female"/>
    <n v="1"/>
    <n v="34"/>
    <n v="3"/>
    <n v="2"/>
    <s v="Manufacturing Director"/>
    <n v="0"/>
    <n v="0"/>
    <n v="0"/>
    <n v="0"/>
    <n v="1"/>
    <n v="1"/>
    <n v="0"/>
    <n v="0"/>
    <n v="3"/>
    <s v="Married"/>
    <n v="0"/>
    <n v="1"/>
    <n v="4171"/>
    <n v="4171"/>
    <n v="0"/>
    <s v="Yes"/>
    <n v="1"/>
    <n v="19"/>
    <n v="3"/>
    <n v="1"/>
    <n v="1"/>
    <n v="4"/>
    <x v="20"/>
    <n v="3"/>
    <n v="4"/>
    <n v="3"/>
    <n v="3"/>
    <n v="2"/>
    <n v="0"/>
    <n v="0"/>
    <n v="2"/>
    <n v="2"/>
    <n v="4"/>
    <n v="0"/>
    <n v="1"/>
    <n v="0"/>
    <n v="0"/>
    <n v="0"/>
    <n v="0"/>
    <n v="0"/>
    <n v="1"/>
    <n v="0"/>
    <n v="2"/>
    <n v="0"/>
    <n v="0"/>
    <n v="4"/>
    <n v="0"/>
    <n v="0.49531705577435603"/>
    <n v="0.59502473559756086"/>
    <n v="0.93558618405172878"/>
    <n v="0.65423109602898355"/>
    <n v="0.76386092994953758"/>
    <n v="1.6336288320949415"/>
    <n v="0.67891464284095016"/>
  </r>
  <r>
    <n v="41"/>
    <n v="41"/>
    <s v="Yes"/>
    <n v="1"/>
    <s v="Travel_Rarely"/>
    <n v="0"/>
    <n v="1"/>
    <x v="1"/>
    <n v="1"/>
    <n v="0"/>
    <n v="2"/>
    <n v="2"/>
    <n v="4"/>
    <s v="Life Sciences"/>
    <n v="1"/>
    <n v="0"/>
    <n v="0"/>
    <n v="0"/>
    <n v="0"/>
    <n v="2"/>
    <s v="Female"/>
    <n v="1"/>
    <n v="57"/>
    <n v="1"/>
    <n v="1"/>
    <s v="Laboratory Technician"/>
    <n v="0"/>
    <n v="0"/>
    <n v="1"/>
    <n v="0"/>
    <n v="0"/>
    <n v="0"/>
    <n v="0"/>
    <n v="0"/>
    <n v="4"/>
    <s v="Divorced"/>
    <n v="0"/>
    <n v="0"/>
    <n v="2778"/>
    <n v="2778"/>
    <n v="4"/>
    <s v="Yes"/>
    <n v="1"/>
    <n v="13"/>
    <n v="3"/>
    <n v="3"/>
    <n v="1"/>
    <n v="10"/>
    <x v="1"/>
    <n v="1"/>
    <n v="2"/>
    <n v="7"/>
    <n v="7"/>
    <n v="7"/>
    <n v="1"/>
    <n v="1"/>
    <n v="0"/>
    <n v="0"/>
    <n v="0"/>
    <n v="1"/>
    <n v="0"/>
    <n v="0"/>
    <n v="0"/>
    <n v="0"/>
    <n v="1"/>
    <n v="0"/>
    <n v="0"/>
    <n v="0"/>
    <n v="0"/>
    <n v="0"/>
    <n v="0"/>
    <n v="10"/>
    <n v="0"/>
    <n v="0.7911991261028265"/>
    <n v="1.1555414682655611"/>
    <n v="0.1644554352117841"/>
    <n v="1.3324462240916321E-3"/>
    <n v="0.88721318382472392"/>
    <n v="0.4461985578408646"/>
    <n v="0.36858985273641137"/>
  </r>
  <r>
    <n v="28"/>
    <n v="28"/>
    <s v="No"/>
    <n v="0"/>
    <s v="Travel_Rarely"/>
    <n v="0"/>
    <n v="1"/>
    <x v="1"/>
    <n v="1"/>
    <n v="0"/>
    <n v="9"/>
    <n v="9"/>
    <n v="3"/>
    <s v="Medical"/>
    <n v="0"/>
    <n v="0"/>
    <n v="1"/>
    <n v="0"/>
    <n v="0"/>
    <n v="3"/>
    <s v="Female"/>
    <n v="1"/>
    <n v="77"/>
    <n v="3"/>
    <n v="1"/>
    <s v="Research Scientist"/>
    <n v="0"/>
    <n v="0"/>
    <n v="0"/>
    <n v="0"/>
    <n v="0"/>
    <n v="0"/>
    <n v="0"/>
    <n v="1"/>
    <n v="3"/>
    <s v="Divorced"/>
    <n v="0"/>
    <n v="0"/>
    <n v="2377"/>
    <n v="2377"/>
    <n v="5"/>
    <s v="No"/>
    <n v="0"/>
    <n v="18"/>
    <n v="3"/>
    <n v="2"/>
    <n v="1"/>
    <n v="6"/>
    <x v="3"/>
    <n v="2"/>
    <n v="3"/>
    <n v="2"/>
    <n v="2"/>
    <n v="2"/>
    <n v="2"/>
    <n v="2"/>
    <n v="2"/>
    <n v="2"/>
    <n v="2"/>
    <n v="1"/>
    <n v="0"/>
    <n v="0"/>
    <n v="0"/>
    <n v="1"/>
    <n v="0"/>
    <n v="0"/>
    <n v="0"/>
    <n v="0"/>
    <n v="2"/>
    <n v="0"/>
    <n v="0"/>
    <n v="6"/>
    <n v="0"/>
    <n v="0.87637407958575297"/>
    <n v="0.59502473559756086"/>
    <n v="0.67854260110508058"/>
    <n v="0.81745575848020657"/>
    <n v="2.3747406698420157E-2"/>
    <n v="0.97684123527310796"/>
    <n v="5.8265062631872602E-2"/>
  </r>
  <r>
    <n v="39"/>
    <n v="39"/>
    <s v="Yes"/>
    <n v="1"/>
    <s v="Travel_Rarely"/>
    <n v="0"/>
    <n v="1"/>
    <x v="1"/>
    <n v="1"/>
    <n v="0"/>
    <n v="6"/>
    <n v="6"/>
    <n v="3"/>
    <s v="Medical"/>
    <n v="0"/>
    <n v="0"/>
    <n v="1"/>
    <n v="0"/>
    <n v="0"/>
    <n v="4"/>
    <s v="Male"/>
    <n v="0"/>
    <n v="70"/>
    <n v="3"/>
    <n v="1"/>
    <s v="Laboratory Technician"/>
    <n v="0"/>
    <n v="0"/>
    <n v="1"/>
    <n v="0"/>
    <n v="0"/>
    <n v="0"/>
    <n v="0"/>
    <n v="0"/>
    <n v="1"/>
    <s v="Married"/>
    <n v="0"/>
    <n v="1"/>
    <n v="2404"/>
    <n v="2404"/>
    <n v="7"/>
    <s v="Yes"/>
    <n v="1"/>
    <n v="21"/>
    <n v="4"/>
    <n v="4"/>
    <n v="0"/>
    <n v="8"/>
    <x v="0"/>
    <n v="2"/>
    <n v="1"/>
    <n v="2"/>
    <n v="2"/>
    <n v="2"/>
    <n v="2"/>
    <n v="2"/>
    <n v="2"/>
    <n v="2"/>
    <n v="2"/>
    <n v="0"/>
    <n v="1"/>
    <n v="0"/>
    <n v="0"/>
    <n v="0"/>
    <n v="0"/>
    <n v="0"/>
    <n v="1"/>
    <n v="0"/>
    <n v="2"/>
    <n v="0"/>
    <n v="0"/>
    <n v="8"/>
    <n v="0"/>
    <n v="0.87063910765548114"/>
    <n v="0.59502473559756086"/>
    <n v="0.42149901815843233"/>
    <n v="0.81745575848020657"/>
    <n v="0.39380416832397891"/>
    <n v="0.22726935890025346"/>
    <n v="5.8265062631872602E-2"/>
  </r>
  <r>
    <n v="27"/>
    <n v="27"/>
    <s v="No"/>
    <n v="0"/>
    <s v="Travel_Rarely"/>
    <n v="0"/>
    <n v="1"/>
    <x v="1"/>
    <n v="1"/>
    <n v="0"/>
    <n v="4"/>
    <n v="4"/>
    <n v="3"/>
    <s v="Life Sciences"/>
    <n v="1"/>
    <n v="0"/>
    <n v="0"/>
    <n v="0"/>
    <n v="0"/>
    <n v="2"/>
    <s v="Female"/>
    <n v="1"/>
    <n v="76"/>
    <n v="3"/>
    <n v="1"/>
    <s v="Research Scientist"/>
    <n v="0"/>
    <n v="0"/>
    <n v="0"/>
    <n v="0"/>
    <n v="0"/>
    <n v="0"/>
    <n v="0"/>
    <n v="1"/>
    <n v="3"/>
    <s v="Single"/>
    <n v="1"/>
    <n v="0"/>
    <n v="2318"/>
    <n v="2318"/>
    <n v="1"/>
    <s v="No"/>
    <n v="0"/>
    <n v="19"/>
    <n v="3"/>
    <n v="3"/>
    <n v="0"/>
    <n v="1"/>
    <x v="5"/>
    <n v="2"/>
    <n v="3"/>
    <n v="1"/>
    <n v="1"/>
    <n v="1"/>
    <n v="0"/>
    <n v="0"/>
    <n v="0"/>
    <n v="0"/>
    <n v="0"/>
    <n v="1"/>
    <n v="0"/>
    <n v="0"/>
    <n v="0"/>
    <n v="1"/>
    <n v="0"/>
    <n v="0"/>
    <n v="0"/>
    <n v="0"/>
    <n v="0"/>
    <n v="0"/>
    <n v="0"/>
    <n v="1"/>
    <n v="0"/>
    <n v="0.88890605528523592"/>
    <n v="1.1555414682655611"/>
    <n v="1.3211515584717011"/>
    <n v="0.9806804209314296"/>
    <n v="0.64050867607435136"/>
    <n v="1.0863058347434136"/>
    <n v="0.67891464284095016"/>
  </r>
  <r>
    <n v="34"/>
    <n v="34"/>
    <s v="No"/>
    <n v="0"/>
    <s v="Travel_Rarely"/>
    <n v="0"/>
    <n v="1"/>
    <x v="1"/>
    <n v="1"/>
    <n v="0"/>
    <n v="10"/>
    <n v="10"/>
    <n v="3"/>
    <s v="Life Sciences"/>
    <n v="1"/>
    <n v="0"/>
    <n v="0"/>
    <n v="0"/>
    <n v="0"/>
    <n v="2"/>
    <s v="Male"/>
    <n v="0"/>
    <n v="83"/>
    <n v="3"/>
    <n v="1"/>
    <s v="Laboratory Technician"/>
    <n v="0"/>
    <n v="0"/>
    <n v="1"/>
    <n v="0"/>
    <n v="0"/>
    <n v="0"/>
    <n v="0"/>
    <n v="0"/>
    <n v="2"/>
    <s v="Divorced"/>
    <n v="0"/>
    <n v="0"/>
    <n v="2008"/>
    <n v="2008"/>
    <n v="1"/>
    <s v="No"/>
    <n v="0"/>
    <n v="14"/>
    <n v="3"/>
    <n v="2"/>
    <n v="2"/>
    <n v="1"/>
    <x v="5"/>
    <n v="3"/>
    <n v="3"/>
    <n v="1"/>
    <n v="1"/>
    <n v="0"/>
    <n v="1"/>
    <n v="1"/>
    <n v="0"/>
    <n v="0"/>
    <n v="0"/>
    <n v="1"/>
    <n v="0"/>
    <n v="0"/>
    <n v="0"/>
    <n v="1"/>
    <n v="0"/>
    <n v="0"/>
    <n v="0"/>
    <n v="0"/>
    <n v="0"/>
    <n v="0"/>
    <n v="0"/>
    <n v="1"/>
    <n v="0"/>
    <n v="0.95475202929946845"/>
    <n v="1.1555414682655611"/>
    <n v="1.3211515584717011"/>
    <n v="0.9806804209314296"/>
    <n v="9.9604847176766084E-2"/>
    <n v="0.32005363845127444"/>
    <n v="0.36858985273641137"/>
  </r>
  <r>
    <n v="42"/>
    <n v="42"/>
    <s v="No"/>
    <n v="0"/>
    <s v="Travel_Rarely"/>
    <n v="0"/>
    <n v="1"/>
    <x v="0"/>
    <n v="0"/>
    <n v="1"/>
    <n v="14"/>
    <n v="14"/>
    <n v="2"/>
    <s v="Medical"/>
    <n v="0"/>
    <n v="0"/>
    <n v="1"/>
    <n v="0"/>
    <n v="0"/>
    <n v="3"/>
    <s v="Female"/>
    <n v="1"/>
    <n v="68"/>
    <n v="2"/>
    <n v="2"/>
    <s v="Sales Executive"/>
    <n v="0"/>
    <n v="1"/>
    <n v="0"/>
    <n v="0"/>
    <n v="0"/>
    <n v="0"/>
    <n v="0"/>
    <n v="0"/>
    <n v="3"/>
    <s v="Single"/>
    <n v="1"/>
    <n v="0"/>
    <n v="6244"/>
    <n v="6244"/>
    <n v="7"/>
    <s v="No"/>
    <n v="0"/>
    <n v="17"/>
    <n v="3"/>
    <n v="1"/>
    <n v="0"/>
    <n v="10"/>
    <x v="1"/>
    <n v="6"/>
    <n v="3"/>
    <n v="5"/>
    <n v="5"/>
    <n v="4"/>
    <n v="0"/>
    <n v="0"/>
    <n v="3"/>
    <n v="3"/>
    <n v="6"/>
    <n v="1"/>
    <n v="0"/>
    <n v="0"/>
    <n v="0"/>
    <n v="1"/>
    <n v="0"/>
    <n v="0"/>
    <n v="0"/>
    <n v="0"/>
    <n v="0"/>
    <n v="3"/>
    <n v="0"/>
    <n v="0"/>
    <n v="10"/>
    <n v="5.4998655350149903E-2"/>
    <n v="0.31476636926356072"/>
    <n v="0.1644554352117841"/>
    <n v="0.32778177112653761"/>
    <n v="0.59301386267751111"/>
    <n v="0.55566315731117022"/>
    <n v="0.67891464284095016"/>
  </r>
  <r>
    <n v="33"/>
    <n v="33"/>
    <s v="No"/>
    <n v="0"/>
    <s v="Travel_Rarely"/>
    <n v="0"/>
    <n v="1"/>
    <x v="1"/>
    <n v="1"/>
    <n v="0"/>
    <n v="1"/>
    <n v="1"/>
    <n v="4"/>
    <s v="Other"/>
    <n v="0"/>
    <n v="1"/>
    <n v="0"/>
    <n v="0"/>
    <n v="0"/>
    <n v="3"/>
    <s v="Male"/>
    <n v="0"/>
    <n v="100"/>
    <n v="2"/>
    <n v="1"/>
    <s v="Research Scientist"/>
    <n v="0"/>
    <n v="0"/>
    <n v="0"/>
    <n v="0"/>
    <n v="0"/>
    <n v="0"/>
    <n v="0"/>
    <n v="1"/>
    <n v="1"/>
    <s v="Single"/>
    <n v="1"/>
    <n v="0"/>
    <n v="2799"/>
    <n v="2799"/>
    <n v="3"/>
    <s v="Yes"/>
    <n v="1"/>
    <n v="11"/>
    <n v="3"/>
    <n v="2"/>
    <n v="0"/>
    <n v="6"/>
    <x v="3"/>
    <n v="1"/>
    <n v="3"/>
    <n v="3"/>
    <n v="3"/>
    <n v="2"/>
    <n v="0"/>
    <n v="0"/>
    <n v="2"/>
    <n v="2"/>
    <n v="2"/>
    <n v="1"/>
    <n v="0"/>
    <n v="0"/>
    <n v="0"/>
    <n v="0"/>
    <n v="1"/>
    <n v="0"/>
    <n v="0"/>
    <n v="0"/>
    <n v="2"/>
    <n v="0"/>
    <n v="0"/>
    <n v="6"/>
    <n v="0"/>
    <n v="0.78673859237928168"/>
    <n v="0.59502473559756086"/>
    <n v="0.67854260110508058"/>
    <n v="0.65423109602898355"/>
    <n v="1.01056543769991"/>
    <n v="0.42951823792158"/>
    <n v="0.67891464284095016"/>
  </r>
  <r>
    <n v="58"/>
    <n v="58"/>
    <s v="No"/>
    <n v="0"/>
    <s v="Travel_Rarely"/>
    <n v="0"/>
    <n v="1"/>
    <x v="1"/>
    <n v="1"/>
    <n v="0"/>
    <n v="5"/>
    <n v="5"/>
    <n v="3"/>
    <s v="Technical Degree"/>
    <n v="0"/>
    <n v="0"/>
    <n v="0"/>
    <n v="0"/>
    <n v="1"/>
    <n v="3"/>
    <s v="Female"/>
    <n v="1"/>
    <n v="37"/>
    <n v="2"/>
    <n v="3"/>
    <s v="Healthcare Representative"/>
    <n v="1"/>
    <n v="0"/>
    <n v="0"/>
    <n v="0"/>
    <n v="0"/>
    <n v="0"/>
    <n v="0"/>
    <n v="0"/>
    <n v="2"/>
    <s v="Divorced"/>
    <n v="0"/>
    <n v="0"/>
    <n v="10552"/>
    <n v="10552"/>
    <n v="2"/>
    <s v="Yes"/>
    <n v="1"/>
    <n v="13"/>
    <n v="3"/>
    <n v="4"/>
    <n v="1"/>
    <n v="24"/>
    <x v="12"/>
    <n v="3"/>
    <n v="3"/>
    <n v="6"/>
    <n v="6"/>
    <n v="0"/>
    <n v="0"/>
    <n v="0"/>
    <n v="4"/>
    <n v="4"/>
    <n v="12"/>
    <n v="1"/>
    <n v="0"/>
    <n v="0"/>
    <n v="0"/>
    <n v="0"/>
    <n v="1"/>
    <n v="0"/>
    <n v="0"/>
    <n v="0"/>
    <n v="4"/>
    <n v="0"/>
    <n v="0"/>
    <n v="24"/>
    <n v="0"/>
    <n v="0.86004797707989356"/>
    <n v="3.4508002929560584E-2"/>
    <n v="1.6348496454147534"/>
    <n v="0.16455710867531462"/>
    <n v="0.51715642219916513"/>
    <n v="2.3070967488360594"/>
    <n v="0.67891464284095016"/>
  </r>
  <r>
    <n v="31"/>
    <n v="31"/>
    <s v="No"/>
    <n v="0"/>
    <s v="Travel_Rarely"/>
    <n v="0"/>
    <n v="1"/>
    <x v="0"/>
    <n v="0"/>
    <n v="1"/>
    <n v="7"/>
    <n v="7"/>
    <n v="4"/>
    <s v="Life Sciences"/>
    <n v="1"/>
    <n v="0"/>
    <n v="0"/>
    <n v="0"/>
    <n v="0"/>
    <n v="2"/>
    <s v="Male"/>
    <n v="0"/>
    <n v="41"/>
    <n v="2"/>
    <n v="1"/>
    <s v="Sales Representative"/>
    <n v="0"/>
    <n v="0"/>
    <n v="0"/>
    <n v="0"/>
    <n v="0"/>
    <n v="0"/>
    <n v="1"/>
    <n v="0"/>
    <n v="3"/>
    <s v="Married"/>
    <n v="0"/>
    <n v="1"/>
    <n v="2329"/>
    <n v="2329"/>
    <n v="3"/>
    <s v="No"/>
    <n v="0"/>
    <n v="15"/>
    <n v="3"/>
    <n v="2"/>
    <n v="0"/>
    <n v="13"/>
    <x v="10"/>
    <n v="2"/>
    <n v="4"/>
    <n v="7"/>
    <n v="7"/>
    <n v="7"/>
    <n v="5"/>
    <n v="5"/>
    <n v="2"/>
    <n v="2"/>
    <n v="2"/>
    <n v="0"/>
    <n v="1"/>
    <n v="0"/>
    <n v="0"/>
    <n v="0"/>
    <n v="0"/>
    <n v="1"/>
    <n v="0"/>
    <n v="0"/>
    <n v="0"/>
    <n v="2"/>
    <n v="0"/>
    <n v="0"/>
    <n v="13"/>
    <n v="0.88656958523956964"/>
    <n v="0.59502473559756086"/>
    <n v="0.22110993920818819"/>
    <n v="1.3324462240916321E-3"/>
    <n v="0.27045191444879263"/>
    <n v="0.6484474368621912"/>
    <n v="0.87270930768174382"/>
  </r>
  <r>
    <n v="35"/>
    <n v="35"/>
    <s v="No"/>
    <n v="0"/>
    <s v="Travel_Rarely"/>
    <n v="0"/>
    <n v="1"/>
    <x v="1"/>
    <n v="1"/>
    <n v="0"/>
    <n v="21"/>
    <n v="21"/>
    <n v="1"/>
    <s v="Life Sciences"/>
    <n v="1"/>
    <n v="0"/>
    <n v="0"/>
    <n v="0"/>
    <n v="0"/>
    <n v="4"/>
    <s v="Female"/>
    <n v="1"/>
    <n v="51"/>
    <n v="3"/>
    <n v="2"/>
    <s v="Healthcare Representative"/>
    <n v="1"/>
    <n v="0"/>
    <n v="0"/>
    <n v="0"/>
    <n v="0"/>
    <n v="0"/>
    <n v="0"/>
    <n v="0"/>
    <n v="4"/>
    <s v="Married"/>
    <n v="0"/>
    <n v="1"/>
    <n v="4014"/>
    <n v="4014"/>
    <n v="1"/>
    <s v="Yes"/>
    <n v="1"/>
    <n v="25"/>
    <n v="4"/>
    <n v="4"/>
    <n v="1"/>
    <n v="10"/>
    <x v="1"/>
    <n v="2"/>
    <n v="1"/>
    <n v="10"/>
    <n v="10"/>
    <n v="6"/>
    <n v="0"/>
    <n v="0"/>
    <n v="7"/>
    <n v="7"/>
    <n v="14"/>
    <n v="0"/>
    <n v="1"/>
    <n v="0"/>
    <n v="0"/>
    <n v="0"/>
    <n v="0"/>
    <n v="0"/>
    <n v="1"/>
    <n v="0"/>
    <n v="7"/>
    <n v="0"/>
    <n v="0"/>
    <n v="10"/>
    <n v="0"/>
    <n v="0.528664855517048"/>
    <n v="0.80626709607243985"/>
    <n v="0.1644554352117841"/>
    <n v="0.48834154112957734"/>
    <n v="1.4564796398038149"/>
    <n v="0.21058903898096887"/>
    <n v="0.67891464284095016"/>
  </r>
  <r>
    <n v="49"/>
    <n v="49"/>
    <s v="No"/>
    <n v="0"/>
    <s v="Travel_Rarely"/>
    <n v="0"/>
    <n v="1"/>
    <x v="1"/>
    <n v="1"/>
    <n v="0"/>
    <n v="8"/>
    <n v="8"/>
    <n v="2"/>
    <s v="Other"/>
    <n v="0"/>
    <n v="1"/>
    <n v="0"/>
    <n v="0"/>
    <n v="0"/>
    <n v="1"/>
    <s v="Female"/>
    <n v="1"/>
    <n v="51"/>
    <n v="3"/>
    <n v="3"/>
    <s v="Laboratory Technician"/>
    <n v="0"/>
    <n v="0"/>
    <n v="1"/>
    <n v="0"/>
    <n v="0"/>
    <n v="0"/>
    <n v="0"/>
    <n v="0"/>
    <n v="2"/>
    <s v="Married"/>
    <n v="0"/>
    <n v="1"/>
    <n v="7403"/>
    <n v="7403"/>
    <n v="4"/>
    <s v="No"/>
    <n v="0"/>
    <n v="11"/>
    <n v="3"/>
    <n v="3"/>
    <n v="1"/>
    <n v="29"/>
    <x v="21"/>
    <n v="3"/>
    <n v="2"/>
    <n v="26"/>
    <n v="26"/>
    <n v="9"/>
    <n v="1"/>
    <n v="1"/>
    <n v="7"/>
    <n v="7"/>
    <n v="21"/>
    <n v="0"/>
    <n v="1"/>
    <n v="0"/>
    <n v="0"/>
    <n v="0"/>
    <n v="0"/>
    <n v="1"/>
    <n v="0"/>
    <n v="0"/>
    <n v="7"/>
    <n v="0"/>
    <n v="0"/>
    <n v="29"/>
    <n v="0"/>
    <n v="0.1911803249159644"/>
    <n v="0.80626709607243985"/>
    <n v="2.2774586027813735"/>
    <n v="3.0999361403491448"/>
    <n v="0.14709966057360641"/>
    <n v="1.3219153536033093"/>
    <n v="0.36858985273641137"/>
  </r>
  <r>
    <n v="48"/>
    <n v="48"/>
    <s v="No"/>
    <n v="0"/>
    <s v="Travel_Rarely"/>
    <n v="0"/>
    <n v="1"/>
    <x v="1"/>
    <n v="1"/>
    <n v="0"/>
    <n v="20"/>
    <n v="20"/>
    <n v="4"/>
    <s v="Medical"/>
    <n v="0"/>
    <n v="0"/>
    <n v="1"/>
    <n v="0"/>
    <n v="0"/>
    <n v="4"/>
    <s v="Male"/>
    <n v="0"/>
    <n v="51"/>
    <n v="3"/>
    <n v="1"/>
    <s v="Research Scientist"/>
    <n v="0"/>
    <n v="0"/>
    <n v="0"/>
    <n v="0"/>
    <n v="0"/>
    <n v="0"/>
    <n v="0"/>
    <n v="1"/>
    <n v="3"/>
    <s v="Married"/>
    <n v="0"/>
    <n v="1"/>
    <n v="2259"/>
    <n v="2259"/>
    <n v="4"/>
    <s v="No"/>
    <n v="0"/>
    <n v="17"/>
    <n v="3"/>
    <n v="1"/>
    <n v="2"/>
    <n v="13"/>
    <x v="10"/>
    <n v="2"/>
    <n v="2"/>
    <n v="0"/>
    <n v="0"/>
    <n v="0"/>
    <n v="0"/>
    <n v="0"/>
    <n v="0"/>
    <n v="0"/>
    <n v="0"/>
    <n v="0"/>
    <n v="1"/>
    <n v="0"/>
    <n v="0"/>
    <n v="0"/>
    <n v="0"/>
    <n v="1"/>
    <n v="0"/>
    <n v="0"/>
    <n v="0"/>
    <n v="0"/>
    <n v="0"/>
    <n v="13"/>
    <n v="0"/>
    <n v="0.90143803098471886"/>
    <n v="1.1555414682655611"/>
    <n v="0.22110993920818819"/>
    <n v="1.1439050833826525"/>
    <n v="1.3331273859286286"/>
    <n v="1.2124507541330036"/>
    <n v="0.67891464284095016"/>
  </r>
  <r>
    <n v="31"/>
    <n v="31"/>
    <s v="No"/>
    <n v="0"/>
    <s v="Non-Travel"/>
    <n v="0"/>
    <n v="0"/>
    <x v="0"/>
    <n v="0"/>
    <n v="1"/>
    <n v="20"/>
    <n v="20"/>
    <n v="2"/>
    <s v="Marketing"/>
    <n v="0"/>
    <n v="0"/>
    <n v="0"/>
    <n v="1"/>
    <n v="0"/>
    <n v="4"/>
    <s v="Female"/>
    <n v="1"/>
    <n v="45"/>
    <n v="3"/>
    <n v="2"/>
    <s v="Sales Executive"/>
    <n v="0"/>
    <n v="1"/>
    <n v="0"/>
    <n v="0"/>
    <n v="0"/>
    <n v="0"/>
    <n v="0"/>
    <n v="0"/>
    <n v="3"/>
    <s v="Married"/>
    <n v="0"/>
    <n v="1"/>
    <n v="6932"/>
    <n v="6932"/>
    <n v="1"/>
    <s v="No"/>
    <n v="0"/>
    <n v="13"/>
    <n v="3"/>
    <n v="4"/>
    <n v="1"/>
    <n v="9"/>
    <x v="14"/>
    <n v="2"/>
    <n v="2"/>
    <n v="9"/>
    <n v="9"/>
    <n v="8"/>
    <n v="0"/>
    <n v="0"/>
    <n v="0"/>
    <n v="0"/>
    <n v="0"/>
    <n v="0"/>
    <n v="1"/>
    <n v="0"/>
    <n v="0"/>
    <n v="0"/>
    <n v="0"/>
    <n v="1"/>
    <n v="0"/>
    <n v="0"/>
    <n v="0"/>
    <n v="0"/>
    <n v="0"/>
    <n v="0"/>
    <n v="9"/>
    <n v="9.1136925687888601E-2"/>
    <n v="1.1555414682655611"/>
    <n v="0.29297722668510823"/>
    <n v="0.32511687867835437"/>
    <n v="1.3331273859286286"/>
    <n v="0.6484474368621912"/>
    <n v="0.67891464284095016"/>
  </r>
  <r>
    <n v="36"/>
    <n v="36"/>
    <s v="No"/>
    <n v="0"/>
    <s v="Travel_Rarely"/>
    <n v="0"/>
    <n v="1"/>
    <x v="1"/>
    <n v="1"/>
    <n v="0"/>
    <n v="7"/>
    <n v="7"/>
    <n v="4"/>
    <s v="Other"/>
    <n v="0"/>
    <n v="1"/>
    <n v="0"/>
    <n v="0"/>
    <n v="0"/>
    <n v="2"/>
    <s v="Male"/>
    <n v="0"/>
    <n v="65"/>
    <n v="3"/>
    <n v="1"/>
    <s v="Research Scientist"/>
    <n v="0"/>
    <n v="0"/>
    <n v="0"/>
    <n v="0"/>
    <n v="0"/>
    <n v="0"/>
    <n v="0"/>
    <n v="1"/>
    <n v="4"/>
    <s v="Single"/>
    <n v="1"/>
    <n v="0"/>
    <n v="4678"/>
    <n v="4678"/>
    <n v="2"/>
    <s v="No"/>
    <n v="0"/>
    <n v="18"/>
    <n v="3"/>
    <n v="3"/>
    <n v="0"/>
    <n v="8"/>
    <x v="0"/>
    <n v="6"/>
    <n v="3"/>
    <n v="6"/>
    <n v="6"/>
    <n v="2"/>
    <n v="0"/>
    <n v="0"/>
    <n v="1"/>
    <n v="1"/>
    <n v="1"/>
    <n v="1"/>
    <n v="0"/>
    <n v="0"/>
    <n v="0"/>
    <n v="1"/>
    <n v="0"/>
    <n v="0"/>
    <n v="0"/>
    <n v="0"/>
    <n v="1"/>
    <n v="0"/>
    <n v="0"/>
    <n v="8"/>
    <n v="0"/>
    <n v="0.3876270273059178"/>
    <n v="0.87528310193156111"/>
    <n v="0.42149901815843233"/>
    <n v="0.16455710867531462"/>
    <n v="0.27045191444879263"/>
    <n v="0.10112443951066327"/>
    <n v="0.67891464284095016"/>
  </r>
  <r>
    <n v="38"/>
    <n v="38"/>
    <s v="No"/>
    <n v="0"/>
    <s v="Travel_Rarely"/>
    <n v="0"/>
    <n v="1"/>
    <x v="1"/>
    <n v="1"/>
    <n v="0"/>
    <n v="1"/>
    <n v="1"/>
    <n v="3"/>
    <s v="Technical Degree"/>
    <n v="0"/>
    <n v="0"/>
    <n v="0"/>
    <n v="0"/>
    <n v="1"/>
    <n v="4"/>
    <s v="Female"/>
    <n v="1"/>
    <n v="80"/>
    <n v="3"/>
    <n v="3"/>
    <s v="Research Director"/>
    <n v="0"/>
    <n v="0"/>
    <n v="0"/>
    <n v="0"/>
    <n v="0"/>
    <n v="0"/>
    <n v="0"/>
    <n v="0"/>
    <n v="1"/>
    <s v="Married"/>
    <n v="0"/>
    <n v="1"/>
    <n v="13582"/>
    <n v="13582"/>
    <n v="1"/>
    <s v="No"/>
    <n v="0"/>
    <n v="13"/>
    <n v="3"/>
    <n v="2"/>
    <n v="1"/>
    <n v="15"/>
    <x v="19"/>
    <n v="3"/>
    <n v="3"/>
    <n v="15"/>
    <n v="15"/>
    <n v="12"/>
    <n v="5"/>
    <n v="5"/>
    <n v="11"/>
    <n v="11"/>
    <n v="33"/>
    <n v="0"/>
    <n v="1"/>
    <n v="0"/>
    <n v="0"/>
    <n v="0"/>
    <n v="0"/>
    <n v="1"/>
    <n v="0"/>
    <n v="0"/>
    <n v="11"/>
    <n v="0"/>
    <n v="0"/>
    <n v="15"/>
    <n v="0"/>
    <n v="1.503639271477069"/>
    <n v="1.9273005614084406"/>
    <n v="0.47815352215483642"/>
    <n v="1.3044648533856922"/>
    <n v="1.01056543769991"/>
    <n v="0.11780475942994788"/>
    <n v="0.87270930768174382"/>
  </r>
  <r>
    <n v="32"/>
    <n v="32"/>
    <s v="No"/>
    <n v="0"/>
    <s v="Non-Travel"/>
    <n v="0"/>
    <n v="0"/>
    <x v="1"/>
    <n v="1"/>
    <n v="0"/>
    <n v="1"/>
    <n v="1"/>
    <n v="3"/>
    <s v="Life Sciences"/>
    <n v="1"/>
    <n v="0"/>
    <n v="0"/>
    <n v="0"/>
    <n v="0"/>
    <n v="3"/>
    <s v="Female"/>
    <n v="1"/>
    <n v="70"/>
    <n v="2"/>
    <n v="1"/>
    <s v="Laboratory Technician"/>
    <n v="0"/>
    <n v="0"/>
    <n v="1"/>
    <n v="0"/>
    <n v="0"/>
    <n v="0"/>
    <n v="0"/>
    <n v="0"/>
    <n v="2"/>
    <s v="Married"/>
    <n v="0"/>
    <n v="1"/>
    <n v="2332"/>
    <n v="2332"/>
    <n v="6"/>
    <s v="No"/>
    <n v="0"/>
    <n v="20"/>
    <n v="4"/>
    <n v="3"/>
    <n v="0"/>
    <n v="5"/>
    <x v="7"/>
    <n v="3"/>
    <n v="3"/>
    <n v="3"/>
    <n v="3"/>
    <n v="0"/>
    <n v="0"/>
    <n v="0"/>
    <n v="2"/>
    <n v="2"/>
    <n v="2"/>
    <n v="0"/>
    <n v="1"/>
    <n v="0"/>
    <n v="0"/>
    <n v="0"/>
    <n v="0"/>
    <n v="1"/>
    <n v="0"/>
    <n v="0"/>
    <n v="2"/>
    <n v="0"/>
    <n v="0"/>
    <n v="5"/>
    <n v="0"/>
    <n v="0.88593236613620607"/>
    <n v="0.59502473559756086"/>
    <n v="0.80706439257840468"/>
    <n v="0.65423109602898355"/>
    <n v="1.01056543769991"/>
    <n v="0.53898283739188557"/>
    <n v="0.67891464284095016"/>
  </r>
  <r>
    <n v="25"/>
    <n v="25"/>
    <s v="Yes"/>
    <n v="1"/>
    <s v="Travel_Rarely"/>
    <n v="0"/>
    <n v="1"/>
    <x v="0"/>
    <n v="0"/>
    <n v="1"/>
    <n v="19"/>
    <n v="19"/>
    <n v="2"/>
    <s v="Marketing"/>
    <n v="0"/>
    <n v="0"/>
    <n v="0"/>
    <n v="1"/>
    <n v="0"/>
    <n v="3"/>
    <s v="Male"/>
    <n v="0"/>
    <n v="36"/>
    <n v="2"/>
    <n v="1"/>
    <s v="Sales Representative"/>
    <n v="0"/>
    <n v="0"/>
    <n v="0"/>
    <n v="0"/>
    <n v="0"/>
    <n v="0"/>
    <n v="1"/>
    <n v="0"/>
    <n v="2"/>
    <s v="Married"/>
    <n v="0"/>
    <n v="1"/>
    <n v="2413"/>
    <n v="2413"/>
    <n v="1"/>
    <s v="Yes"/>
    <n v="1"/>
    <n v="18"/>
    <n v="3"/>
    <n v="3"/>
    <n v="3"/>
    <n v="1"/>
    <x v="5"/>
    <n v="2"/>
    <n v="3"/>
    <n v="1"/>
    <n v="1"/>
    <n v="0"/>
    <n v="0"/>
    <n v="0"/>
    <n v="0"/>
    <n v="0"/>
    <n v="0"/>
    <n v="0"/>
    <n v="1"/>
    <n v="0"/>
    <n v="0"/>
    <n v="0"/>
    <n v="0"/>
    <n v="0"/>
    <n v="1"/>
    <n v="0"/>
    <n v="0"/>
    <n v="0"/>
    <n v="0"/>
    <n v="0"/>
    <n v="1"/>
    <n v="0.86872745034539045"/>
    <n v="1.1555414682655611"/>
    <n v="1.3211515584717011"/>
    <n v="0.9806804209314296"/>
    <n v="1.2097751320534422"/>
    <n v="1.3052350336840246"/>
    <n v="0.67891464284095016"/>
  </r>
  <r>
    <n v="40"/>
    <n v="40"/>
    <s v="No"/>
    <n v="0"/>
    <s v="Travel_Rarely"/>
    <n v="0"/>
    <n v="1"/>
    <x v="0"/>
    <n v="0"/>
    <n v="1"/>
    <n v="10"/>
    <n v="10"/>
    <n v="4"/>
    <s v="Marketing"/>
    <n v="0"/>
    <n v="0"/>
    <n v="0"/>
    <n v="1"/>
    <n v="0"/>
    <n v="1"/>
    <s v="Male"/>
    <n v="0"/>
    <n v="67"/>
    <n v="2"/>
    <n v="3"/>
    <s v="Sales Executive"/>
    <n v="0"/>
    <n v="1"/>
    <n v="0"/>
    <n v="0"/>
    <n v="0"/>
    <n v="0"/>
    <n v="0"/>
    <n v="0"/>
    <n v="2"/>
    <s v="Divorced"/>
    <n v="0"/>
    <n v="0"/>
    <n v="9705"/>
    <n v="9705"/>
    <n v="2"/>
    <s v="No"/>
    <n v="0"/>
    <n v="12"/>
    <n v="3"/>
    <n v="2"/>
    <n v="1"/>
    <n v="11"/>
    <x v="26"/>
    <n v="2"/>
    <n v="2"/>
    <n v="1"/>
    <n v="1"/>
    <n v="0"/>
    <n v="0"/>
    <n v="0"/>
    <n v="0"/>
    <n v="0"/>
    <n v="0"/>
    <n v="1"/>
    <n v="0"/>
    <n v="0"/>
    <n v="0"/>
    <n v="1"/>
    <n v="0"/>
    <n v="0"/>
    <n v="0"/>
    <n v="0"/>
    <n v="0"/>
    <n v="0"/>
    <n v="0"/>
    <n v="0"/>
    <n v="11"/>
    <n v="0.6801397835635874"/>
    <n v="1.1555414682655611"/>
    <n v="3.593364373846001E-2"/>
    <n v="0.9806804209314296"/>
    <n v="9.9604847176766084E-2"/>
    <n v="0.33673395837055903"/>
    <n v="0.67891464284095016"/>
  </r>
  <r>
    <n v="26"/>
    <n v="26"/>
    <s v="No"/>
    <n v="0"/>
    <s v="Travel_Frequently"/>
    <n v="1"/>
    <n v="0"/>
    <x v="0"/>
    <n v="0"/>
    <n v="1"/>
    <n v="1"/>
    <n v="1"/>
    <n v="3"/>
    <s v="Medical"/>
    <n v="0"/>
    <n v="0"/>
    <n v="1"/>
    <n v="0"/>
    <n v="0"/>
    <n v="3"/>
    <s v="Male"/>
    <n v="0"/>
    <n v="52"/>
    <n v="2"/>
    <n v="2"/>
    <s v="Sales Executive"/>
    <n v="0"/>
    <n v="1"/>
    <n v="0"/>
    <n v="0"/>
    <n v="0"/>
    <n v="0"/>
    <n v="0"/>
    <n v="0"/>
    <n v="1"/>
    <s v="Single"/>
    <n v="1"/>
    <n v="0"/>
    <n v="4294"/>
    <n v="4294"/>
    <n v="1"/>
    <s v="No"/>
    <n v="0"/>
    <n v="12"/>
    <n v="3"/>
    <n v="2"/>
    <n v="0"/>
    <n v="7"/>
    <x v="2"/>
    <n v="2"/>
    <n v="3"/>
    <n v="7"/>
    <n v="7"/>
    <n v="7"/>
    <n v="0"/>
    <n v="0"/>
    <n v="7"/>
    <n v="7"/>
    <n v="14"/>
    <n v="0"/>
    <n v="0"/>
    <n v="1"/>
    <n v="0"/>
    <n v="1"/>
    <n v="0"/>
    <n v="0"/>
    <n v="0"/>
    <n v="0"/>
    <n v="0"/>
    <n v="7"/>
    <n v="0"/>
    <n v="0"/>
    <n v="7"/>
    <n v="0.46919107253645093"/>
    <n v="0.80626709607243985"/>
    <n v="0.55002080963175637"/>
    <n v="1.3324462240916321E-3"/>
    <n v="1.01056543769991"/>
    <n v="1.195770434213719"/>
    <n v="0.67891464284095016"/>
  </r>
  <r>
    <n v="41"/>
    <n v="41"/>
    <s v="No"/>
    <n v="0"/>
    <s v="Travel_Rarely"/>
    <n v="0"/>
    <n v="1"/>
    <x v="1"/>
    <n v="1"/>
    <n v="0"/>
    <n v="6"/>
    <n v="6"/>
    <n v="3"/>
    <s v="Medical"/>
    <n v="0"/>
    <n v="0"/>
    <n v="1"/>
    <n v="0"/>
    <n v="0"/>
    <n v="4"/>
    <s v="Male"/>
    <n v="0"/>
    <n v="59"/>
    <n v="3"/>
    <n v="1"/>
    <s v="Laboratory Technician"/>
    <n v="0"/>
    <n v="0"/>
    <n v="1"/>
    <n v="0"/>
    <n v="0"/>
    <n v="0"/>
    <n v="0"/>
    <n v="0"/>
    <n v="1"/>
    <s v="Single"/>
    <n v="1"/>
    <n v="0"/>
    <n v="4721"/>
    <n v="4721"/>
    <n v="2"/>
    <s v="Yes"/>
    <n v="1"/>
    <n v="13"/>
    <n v="3"/>
    <n v="3"/>
    <n v="0"/>
    <n v="20"/>
    <x v="25"/>
    <n v="3"/>
    <n v="3"/>
    <n v="18"/>
    <n v="18"/>
    <n v="13"/>
    <n v="2"/>
    <n v="2"/>
    <n v="17"/>
    <n v="14"/>
    <n v="14"/>
    <n v="1"/>
    <n v="0"/>
    <n v="0"/>
    <n v="0"/>
    <n v="0"/>
    <n v="1"/>
    <n v="0"/>
    <n v="0"/>
    <n v="0"/>
    <n v="14"/>
    <n v="0"/>
    <n v="0"/>
    <n v="20"/>
    <n v="0"/>
    <n v="0.37849355349104036"/>
    <n v="3.6088507594124417"/>
    <n v="1.120762479521457"/>
    <n v="1.794138840739361"/>
    <n v="0.39380416832397891"/>
    <n v="0.4461985578408646"/>
    <n v="5.8265062631872602E-2"/>
  </r>
  <r>
    <n v="36"/>
    <n v="36"/>
    <s v="No"/>
    <n v="0"/>
    <s v="Travel_Rarely"/>
    <n v="0"/>
    <n v="1"/>
    <x v="1"/>
    <n v="1"/>
    <n v="0"/>
    <n v="2"/>
    <n v="2"/>
    <n v="4"/>
    <s v="Medical"/>
    <n v="0"/>
    <n v="0"/>
    <n v="1"/>
    <n v="0"/>
    <n v="0"/>
    <n v="3"/>
    <s v="Male"/>
    <n v="0"/>
    <n v="79"/>
    <n v="3"/>
    <n v="1"/>
    <s v="Laboratory Technician"/>
    <n v="0"/>
    <n v="0"/>
    <n v="1"/>
    <n v="0"/>
    <n v="0"/>
    <n v="0"/>
    <n v="0"/>
    <n v="0"/>
    <n v="3"/>
    <s v="Single"/>
    <n v="1"/>
    <n v="0"/>
    <n v="2519"/>
    <n v="2519"/>
    <n v="4"/>
    <s v="No"/>
    <n v="0"/>
    <n v="21"/>
    <n v="4"/>
    <n v="3"/>
    <n v="0"/>
    <n v="16"/>
    <x v="27"/>
    <n v="6"/>
    <n v="3"/>
    <n v="11"/>
    <n v="11"/>
    <n v="8"/>
    <n v="3"/>
    <n v="3"/>
    <n v="9"/>
    <n v="9"/>
    <n v="9"/>
    <n v="1"/>
    <n v="0"/>
    <n v="0"/>
    <n v="0"/>
    <n v="1"/>
    <n v="0"/>
    <n v="0"/>
    <n v="0"/>
    <n v="0"/>
    <n v="9"/>
    <n v="0"/>
    <n v="0"/>
    <n v="16"/>
    <n v="0"/>
    <n v="0.8462123753598787"/>
    <n v="1.3667838287404401"/>
    <n v="0.60667531362816052"/>
    <n v="0.65156620358080031"/>
    <n v="0.88721318382472392"/>
    <n v="0.10112443951066327"/>
    <n v="0.2520597274726662"/>
  </r>
  <r>
    <n v="19"/>
    <n v="19"/>
    <s v="Yes"/>
    <n v="1"/>
    <s v="Travel_Rarely"/>
    <n v="0"/>
    <n v="1"/>
    <x v="0"/>
    <n v="0"/>
    <n v="1"/>
    <n v="21"/>
    <n v="21"/>
    <n v="3"/>
    <s v="Other"/>
    <n v="0"/>
    <n v="1"/>
    <n v="0"/>
    <n v="0"/>
    <n v="0"/>
    <n v="4"/>
    <s v="Male"/>
    <n v="0"/>
    <n v="37"/>
    <n v="2"/>
    <n v="1"/>
    <s v="Sales Representative"/>
    <n v="0"/>
    <n v="0"/>
    <n v="0"/>
    <n v="0"/>
    <n v="0"/>
    <n v="0"/>
    <n v="1"/>
    <n v="0"/>
    <n v="2"/>
    <s v="Single"/>
    <n v="1"/>
    <n v="0"/>
    <n v="2121"/>
    <n v="2121"/>
    <n v="1"/>
    <s v="Yes"/>
    <n v="1"/>
    <n v="13"/>
    <n v="3"/>
    <n v="2"/>
    <n v="0"/>
    <n v="1"/>
    <x v="5"/>
    <n v="3"/>
    <n v="4"/>
    <n v="1"/>
    <n v="1"/>
    <n v="0"/>
    <n v="0"/>
    <n v="0"/>
    <n v="0"/>
    <n v="0"/>
    <n v="0"/>
    <n v="1"/>
    <n v="0"/>
    <n v="0"/>
    <n v="0"/>
    <n v="0"/>
    <n v="1"/>
    <n v="0"/>
    <n v="0"/>
    <n v="0"/>
    <n v="0"/>
    <n v="0"/>
    <n v="0"/>
    <n v="0"/>
    <n v="1"/>
    <n v="0.93075010973944172"/>
    <n v="1.1555414682655611"/>
    <n v="1.3211515584717011"/>
    <n v="0.9806804209314296"/>
    <n v="1.4564796398038149"/>
    <n v="1.9620226305058581"/>
    <n v="0.67891464284095016"/>
  </r>
  <r>
    <n v="20"/>
    <n v="20"/>
    <s v="Yes"/>
    <n v="1"/>
    <s v="Travel_Rarely"/>
    <n v="0"/>
    <n v="1"/>
    <x v="1"/>
    <n v="1"/>
    <n v="0"/>
    <n v="4"/>
    <n v="4"/>
    <n v="3"/>
    <s v="Technical Degree"/>
    <n v="0"/>
    <n v="0"/>
    <n v="0"/>
    <n v="0"/>
    <n v="1"/>
    <n v="1"/>
    <s v="Male"/>
    <n v="0"/>
    <n v="84"/>
    <n v="3"/>
    <n v="1"/>
    <s v="Laboratory Technician"/>
    <n v="0"/>
    <n v="0"/>
    <n v="1"/>
    <n v="0"/>
    <n v="0"/>
    <n v="0"/>
    <n v="0"/>
    <n v="0"/>
    <n v="1"/>
    <s v="Single"/>
    <n v="1"/>
    <n v="0"/>
    <n v="2973"/>
    <n v="2973"/>
    <n v="1"/>
    <s v="No"/>
    <n v="0"/>
    <n v="19"/>
    <n v="3"/>
    <n v="2"/>
    <n v="0"/>
    <n v="1"/>
    <x v="5"/>
    <n v="2"/>
    <n v="3"/>
    <n v="1"/>
    <n v="1"/>
    <n v="0"/>
    <n v="0"/>
    <n v="0"/>
    <n v="0"/>
    <n v="0"/>
    <n v="0"/>
    <n v="1"/>
    <n v="0"/>
    <n v="0"/>
    <n v="0"/>
    <n v="1"/>
    <n v="0"/>
    <n v="0"/>
    <n v="0"/>
    <n v="0"/>
    <n v="0"/>
    <n v="0"/>
    <n v="0"/>
    <n v="1"/>
    <n v="0"/>
    <n v="0.7497798843841964"/>
    <n v="1.1555414682655611"/>
    <n v="1.3211515584717011"/>
    <n v="0.9806804209314296"/>
    <n v="0.64050867607435136"/>
    <n v="1.8525580310355525"/>
    <n v="0.67891464284095016"/>
  </r>
  <r>
    <n v="31"/>
    <n v="31"/>
    <s v="No"/>
    <n v="0"/>
    <s v="Travel_Rarely"/>
    <n v="0"/>
    <n v="1"/>
    <x v="1"/>
    <n v="1"/>
    <n v="0"/>
    <n v="12"/>
    <n v="12"/>
    <n v="3"/>
    <s v="Medical"/>
    <n v="0"/>
    <n v="0"/>
    <n v="1"/>
    <n v="0"/>
    <n v="0"/>
    <n v="4"/>
    <s v="Female"/>
    <n v="1"/>
    <n v="41"/>
    <n v="3"/>
    <n v="2"/>
    <s v="Healthcare Representative"/>
    <n v="1"/>
    <n v="0"/>
    <n v="0"/>
    <n v="0"/>
    <n v="0"/>
    <n v="0"/>
    <n v="0"/>
    <n v="0"/>
    <n v="4"/>
    <s v="Married"/>
    <n v="0"/>
    <n v="1"/>
    <n v="5855"/>
    <n v="5855"/>
    <n v="0"/>
    <s v="Yes"/>
    <n v="1"/>
    <n v="11"/>
    <n v="3"/>
    <n v="3"/>
    <n v="2"/>
    <n v="10"/>
    <x v="1"/>
    <n v="2"/>
    <n v="1"/>
    <n v="9"/>
    <n v="9"/>
    <n v="7"/>
    <n v="8"/>
    <n v="8"/>
    <n v="5"/>
    <n v="5"/>
    <n v="10"/>
    <n v="0"/>
    <n v="1"/>
    <n v="0"/>
    <n v="0"/>
    <n v="0"/>
    <n v="0"/>
    <n v="0"/>
    <n v="1"/>
    <n v="0"/>
    <n v="5"/>
    <n v="0"/>
    <n v="0"/>
    <n v="10"/>
    <n v="0"/>
    <n v="0.13762473241962225"/>
    <n v="0.24575036340443959"/>
    <n v="0.1644554352117841"/>
    <n v="0.32511687867835437"/>
    <n v="0.3463093549271386"/>
    <n v="0.6484474368621912"/>
    <n v="1.8036836779953602"/>
  </r>
  <r>
    <n v="40"/>
    <n v="40"/>
    <s v="No"/>
    <n v="0"/>
    <s v="Travel_Frequently"/>
    <n v="1"/>
    <n v="0"/>
    <x v="1"/>
    <n v="1"/>
    <n v="0"/>
    <n v="9"/>
    <n v="9"/>
    <n v="4"/>
    <s v="Medical"/>
    <n v="0"/>
    <n v="0"/>
    <n v="1"/>
    <n v="0"/>
    <n v="0"/>
    <n v="4"/>
    <s v="Male"/>
    <n v="0"/>
    <n v="35"/>
    <n v="3"/>
    <n v="1"/>
    <s v="Research Scientist"/>
    <n v="0"/>
    <n v="0"/>
    <n v="0"/>
    <n v="0"/>
    <n v="0"/>
    <n v="0"/>
    <n v="0"/>
    <n v="1"/>
    <n v="2"/>
    <s v="Divorced"/>
    <n v="0"/>
    <n v="0"/>
    <n v="3617"/>
    <n v="3617"/>
    <n v="8"/>
    <s v="Yes"/>
    <n v="1"/>
    <n v="14"/>
    <n v="3"/>
    <n v="4"/>
    <n v="1"/>
    <n v="3"/>
    <x v="8"/>
    <n v="2"/>
    <n v="3"/>
    <n v="1"/>
    <n v="1"/>
    <n v="1"/>
    <n v="0"/>
    <n v="0"/>
    <n v="0"/>
    <n v="0"/>
    <n v="0"/>
    <n v="0"/>
    <n v="0"/>
    <n v="1"/>
    <n v="0"/>
    <n v="0"/>
    <n v="1"/>
    <n v="0"/>
    <n v="0"/>
    <n v="0"/>
    <n v="0"/>
    <n v="0"/>
    <n v="0"/>
    <n v="3"/>
    <n v="0"/>
    <n v="0.61299018352882306"/>
    <n v="1.1555414682655611"/>
    <n v="1.0641079755250529"/>
    <n v="0.9806804209314296"/>
    <n v="2.3747406698420157E-2"/>
    <n v="0.33673395837055903"/>
    <n v="0.67891464284095016"/>
  </r>
  <r>
    <n v="32"/>
    <n v="32"/>
    <s v="No"/>
    <n v="0"/>
    <s v="Travel_Rarely"/>
    <n v="0"/>
    <n v="1"/>
    <x v="1"/>
    <n v="1"/>
    <n v="0"/>
    <n v="3"/>
    <n v="3"/>
    <n v="4"/>
    <s v="Medical"/>
    <n v="0"/>
    <n v="0"/>
    <n v="1"/>
    <n v="0"/>
    <n v="0"/>
    <n v="3"/>
    <s v="Female"/>
    <n v="1"/>
    <n v="93"/>
    <n v="3"/>
    <n v="2"/>
    <s v="Manufacturing Director"/>
    <n v="0"/>
    <n v="0"/>
    <n v="0"/>
    <n v="0"/>
    <n v="1"/>
    <n v="1"/>
    <n v="0"/>
    <n v="0"/>
    <n v="1"/>
    <s v="Married"/>
    <n v="0"/>
    <n v="1"/>
    <n v="6725"/>
    <n v="6725"/>
    <n v="1"/>
    <s v="No"/>
    <n v="0"/>
    <n v="12"/>
    <n v="3"/>
    <n v="3"/>
    <n v="1"/>
    <n v="8"/>
    <x v="0"/>
    <n v="2"/>
    <n v="4"/>
    <n v="8"/>
    <n v="8"/>
    <n v="7"/>
    <n v="6"/>
    <n v="6"/>
    <n v="3"/>
    <n v="3"/>
    <n v="6"/>
    <n v="0"/>
    <n v="1"/>
    <n v="0"/>
    <n v="0"/>
    <n v="0"/>
    <n v="0"/>
    <n v="1"/>
    <n v="0"/>
    <n v="0"/>
    <n v="3"/>
    <n v="0"/>
    <n v="0"/>
    <n v="8"/>
    <n v="0"/>
    <n v="4.7168807555804347E-2"/>
    <n v="0.31476636926356072"/>
    <n v="0.42149901815843233"/>
    <n v="0.16189221622713135"/>
    <n v="0.76386092994953758"/>
    <n v="0.53898283739188557"/>
    <n v="1.1830340977862825"/>
  </r>
  <r>
    <n v="36"/>
    <n v="36"/>
    <s v="Yes"/>
    <n v="1"/>
    <s v="Travel_Rarely"/>
    <n v="0"/>
    <n v="1"/>
    <x v="0"/>
    <n v="0"/>
    <n v="1"/>
    <n v="3"/>
    <n v="3"/>
    <n v="1"/>
    <s v="Life Sciences"/>
    <n v="1"/>
    <n v="0"/>
    <n v="0"/>
    <n v="0"/>
    <n v="0"/>
    <n v="3"/>
    <s v="Male"/>
    <n v="0"/>
    <n v="51"/>
    <n v="2"/>
    <n v="3"/>
    <s v="Sales Executive"/>
    <n v="0"/>
    <n v="1"/>
    <n v="0"/>
    <n v="0"/>
    <n v="0"/>
    <n v="0"/>
    <n v="0"/>
    <n v="0"/>
    <n v="4"/>
    <s v="Married"/>
    <n v="0"/>
    <n v="1"/>
    <n v="10325"/>
    <n v="10325"/>
    <n v="1"/>
    <s v="Yes"/>
    <n v="1"/>
    <n v="11"/>
    <n v="3"/>
    <n v="1"/>
    <n v="1"/>
    <n v="16"/>
    <x v="27"/>
    <n v="6"/>
    <n v="3"/>
    <n v="16"/>
    <n v="16"/>
    <n v="7"/>
    <n v="3"/>
    <n v="3"/>
    <n v="7"/>
    <n v="7"/>
    <n v="21"/>
    <n v="0"/>
    <n v="1"/>
    <n v="0"/>
    <n v="0"/>
    <n v="0"/>
    <n v="0"/>
    <n v="0"/>
    <n v="1"/>
    <n v="0"/>
    <n v="0"/>
    <n v="7"/>
    <n v="0"/>
    <n v="0"/>
    <n v="16"/>
    <n v="0.81183173159205235"/>
    <n v="0.80626709607243985"/>
    <n v="0.60667531362816052"/>
    <n v="1.4676895158369152"/>
    <n v="0.76386092994953758"/>
    <n v="0.10112443951066327"/>
    <n v="0.2520597274726662"/>
  </r>
  <r>
    <n v="33"/>
    <n v="33"/>
    <s v="No"/>
    <n v="0"/>
    <s v="Travel_Rarely"/>
    <n v="0"/>
    <n v="1"/>
    <x v="1"/>
    <n v="1"/>
    <n v="0"/>
    <n v="1"/>
    <n v="1"/>
    <n v="3"/>
    <s v="Life Sciences"/>
    <n v="1"/>
    <n v="0"/>
    <n v="0"/>
    <n v="0"/>
    <n v="0"/>
    <n v="2"/>
    <s v="Female"/>
    <n v="1"/>
    <n v="42"/>
    <n v="2"/>
    <n v="2"/>
    <s v="Healthcare Representative"/>
    <n v="1"/>
    <n v="0"/>
    <n v="0"/>
    <n v="0"/>
    <n v="0"/>
    <n v="0"/>
    <n v="0"/>
    <n v="0"/>
    <n v="4"/>
    <s v="Single"/>
    <n v="1"/>
    <n v="0"/>
    <n v="6949"/>
    <n v="6949"/>
    <n v="0"/>
    <s v="No"/>
    <n v="0"/>
    <n v="14"/>
    <n v="3"/>
    <n v="1"/>
    <n v="0"/>
    <n v="6"/>
    <x v="3"/>
    <n v="3"/>
    <n v="3"/>
    <n v="5"/>
    <n v="5"/>
    <n v="0"/>
    <n v="1"/>
    <n v="1"/>
    <n v="4"/>
    <n v="4"/>
    <n v="8"/>
    <n v="1"/>
    <n v="0"/>
    <n v="0"/>
    <n v="0"/>
    <n v="1"/>
    <n v="0"/>
    <n v="0"/>
    <n v="0"/>
    <n v="0"/>
    <n v="4"/>
    <n v="0"/>
    <n v="0"/>
    <n v="6"/>
    <n v="0"/>
    <n v="9.4747833940281995E-2"/>
    <n v="3.4508002929560584E-2"/>
    <n v="0.67854260110508058"/>
    <n v="0.32778177112653761"/>
    <n v="1.01056543769991"/>
    <n v="0.42951823792158"/>
    <n v="0.36858985273641137"/>
  </r>
  <r>
    <n v="37"/>
    <n v="37"/>
    <s v="Yes"/>
    <n v="1"/>
    <s v="Travel_Rarely"/>
    <n v="0"/>
    <n v="1"/>
    <x v="0"/>
    <n v="0"/>
    <n v="1"/>
    <n v="1"/>
    <n v="1"/>
    <n v="4"/>
    <s v="Life Sciences"/>
    <n v="1"/>
    <n v="0"/>
    <n v="0"/>
    <n v="0"/>
    <n v="0"/>
    <n v="1"/>
    <s v="Male"/>
    <n v="0"/>
    <n v="46"/>
    <n v="2"/>
    <n v="3"/>
    <s v="Sales Executive"/>
    <n v="0"/>
    <n v="1"/>
    <n v="0"/>
    <n v="0"/>
    <n v="0"/>
    <n v="0"/>
    <n v="0"/>
    <n v="0"/>
    <n v="3"/>
    <s v="Married"/>
    <n v="0"/>
    <n v="1"/>
    <n v="10609"/>
    <n v="10609"/>
    <n v="5"/>
    <s v="No"/>
    <n v="0"/>
    <n v="11"/>
    <n v="3"/>
    <n v="3"/>
    <n v="0"/>
    <n v="17"/>
    <x v="6"/>
    <n v="2"/>
    <n v="1"/>
    <n v="14"/>
    <n v="14"/>
    <n v="1"/>
    <n v="11"/>
    <n v="11"/>
    <n v="7"/>
    <n v="7"/>
    <n v="21"/>
    <n v="0"/>
    <n v="1"/>
    <n v="0"/>
    <n v="0"/>
    <n v="0"/>
    <n v="0"/>
    <n v="1"/>
    <n v="0"/>
    <n v="0"/>
    <n v="0"/>
    <n v="7"/>
    <n v="0"/>
    <n v="0"/>
    <n v="17"/>
    <n v="0.87215514004380079"/>
    <n v="0.80626709607243985"/>
    <n v="0.73519710510148462"/>
    <n v="1.1412401909344694"/>
    <n v="1.01056543769991"/>
    <n v="8.3401599596422994E-3"/>
    <n v="2.7346580483089769"/>
  </r>
  <r>
    <n v="45"/>
    <n v="45"/>
    <s v="No"/>
    <n v="0"/>
    <s v="Non-Travel"/>
    <n v="0"/>
    <n v="0"/>
    <x v="1"/>
    <n v="1"/>
    <n v="0"/>
    <n v="4"/>
    <n v="4"/>
    <n v="2"/>
    <s v="Life Sciences"/>
    <n v="1"/>
    <n v="0"/>
    <n v="0"/>
    <n v="0"/>
    <n v="0"/>
    <n v="3"/>
    <s v="Male"/>
    <n v="0"/>
    <n v="57"/>
    <n v="3"/>
    <n v="2"/>
    <s v="Laboratory Technician"/>
    <n v="0"/>
    <n v="0"/>
    <n v="1"/>
    <n v="0"/>
    <n v="0"/>
    <n v="0"/>
    <n v="0"/>
    <n v="0"/>
    <n v="2"/>
    <s v="Married"/>
    <n v="0"/>
    <n v="1"/>
    <n v="4447"/>
    <n v="4447"/>
    <n v="1"/>
    <s v="No"/>
    <n v="0"/>
    <n v="12"/>
    <n v="3"/>
    <n v="2"/>
    <n v="0"/>
    <n v="9"/>
    <x v="14"/>
    <n v="5"/>
    <n v="2"/>
    <n v="9"/>
    <n v="9"/>
    <n v="7"/>
    <n v="0"/>
    <n v="0"/>
    <n v="8"/>
    <n v="8"/>
    <n v="16"/>
    <n v="0"/>
    <n v="1"/>
    <n v="0"/>
    <n v="0"/>
    <n v="0"/>
    <n v="0"/>
    <n v="1"/>
    <n v="0"/>
    <n v="0"/>
    <n v="8"/>
    <n v="0"/>
    <n v="0"/>
    <n v="9"/>
    <n v="0"/>
    <n v="0.43669289826491037"/>
    <n v="1.08652546240644"/>
    <n v="0.29297722668510823"/>
    <n v="0.32511687867835437"/>
    <n v="0.64050867607435136"/>
    <n v="0.88405695572208698"/>
    <n v="0.67891464284095016"/>
  </r>
  <r>
    <n v="29"/>
    <n v="29"/>
    <s v="No"/>
    <n v="0"/>
    <s v="Travel_Frequently"/>
    <n v="1"/>
    <n v="0"/>
    <x v="0"/>
    <n v="0"/>
    <n v="1"/>
    <n v="20"/>
    <n v="20"/>
    <n v="3"/>
    <s v="Technical Degree"/>
    <n v="0"/>
    <n v="0"/>
    <n v="0"/>
    <n v="0"/>
    <n v="1"/>
    <n v="3"/>
    <s v="Female"/>
    <n v="1"/>
    <n v="84"/>
    <n v="3"/>
    <n v="1"/>
    <s v="Sales Representative"/>
    <n v="0"/>
    <n v="0"/>
    <n v="0"/>
    <n v="0"/>
    <n v="0"/>
    <n v="0"/>
    <n v="1"/>
    <n v="0"/>
    <n v="4"/>
    <s v="Married"/>
    <n v="0"/>
    <n v="1"/>
    <n v="2157"/>
    <n v="2157"/>
    <n v="1"/>
    <s v="No"/>
    <n v="0"/>
    <n v="15"/>
    <n v="3"/>
    <n v="2"/>
    <n v="1"/>
    <n v="3"/>
    <x v="8"/>
    <n v="5"/>
    <n v="3"/>
    <n v="3"/>
    <n v="3"/>
    <n v="1"/>
    <n v="0"/>
    <n v="0"/>
    <n v="2"/>
    <n v="2"/>
    <n v="2"/>
    <n v="0"/>
    <n v="0"/>
    <n v="0"/>
    <n v="1"/>
    <n v="0"/>
    <n v="0"/>
    <n v="1"/>
    <n v="0"/>
    <n v="0"/>
    <n v="0"/>
    <n v="2"/>
    <n v="0"/>
    <n v="0"/>
    <n v="3"/>
    <n v="0.9231034804990792"/>
    <n v="0.59502473559756086"/>
    <n v="1.0641079755250529"/>
    <n v="0.65423109602898355"/>
    <n v="1.3331273859286286"/>
    <n v="0.86737663580280233"/>
    <n v="0.67891464284095016"/>
  </r>
  <r>
    <n v="35"/>
    <n v="35"/>
    <s v="No"/>
    <n v="0"/>
    <s v="Travel_Rarely"/>
    <n v="0"/>
    <n v="1"/>
    <x v="0"/>
    <n v="0"/>
    <n v="1"/>
    <n v="18"/>
    <n v="18"/>
    <n v="3"/>
    <s v="Medical"/>
    <n v="0"/>
    <n v="0"/>
    <n v="1"/>
    <n v="0"/>
    <n v="0"/>
    <n v="3"/>
    <s v="Female"/>
    <n v="1"/>
    <n v="86"/>
    <n v="3"/>
    <n v="2"/>
    <s v="Sales Executive"/>
    <n v="0"/>
    <n v="1"/>
    <n v="0"/>
    <n v="0"/>
    <n v="0"/>
    <n v="0"/>
    <n v="0"/>
    <n v="0"/>
    <n v="3"/>
    <s v="Married"/>
    <n v="0"/>
    <n v="1"/>
    <n v="4601"/>
    <n v="4601"/>
    <n v="1"/>
    <s v="No"/>
    <n v="0"/>
    <n v="16"/>
    <n v="3"/>
    <n v="2"/>
    <n v="0"/>
    <n v="5"/>
    <x v="7"/>
    <n v="3"/>
    <n v="3"/>
    <n v="5"/>
    <n v="5"/>
    <n v="2"/>
    <n v="1"/>
    <n v="1"/>
    <n v="0"/>
    <n v="0"/>
    <n v="0"/>
    <n v="0"/>
    <n v="1"/>
    <n v="0"/>
    <n v="0"/>
    <n v="0"/>
    <n v="0"/>
    <n v="1"/>
    <n v="0"/>
    <n v="0"/>
    <n v="0"/>
    <n v="0"/>
    <n v="0"/>
    <n v="0"/>
    <n v="5"/>
    <n v="0.40398231762558201"/>
    <n v="1.1555414682655611"/>
    <n v="0.80706439257840468"/>
    <n v="0.32778177112653761"/>
    <n v="1.0864228781782561"/>
    <n v="0.21058903898096887"/>
    <n v="0.36858985273641137"/>
  </r>
  <r>
    <n v="52"/>
    <n v="52"/>
    <s v="No"/>
    <n v="0"/>
    <s v="Travel_Rarely"/>
    <n v="0"/>
    <n v="1"/>
    <x v="1"/>
    <n v="1"/>
    <n v="0"/>
    <n v="1"/>
    <n v="1"/>
    <n v="2"/>
    <s v="Life Sciences"/>
    <n v="1"/>
    <n v="0"/>
    <n v="0"/>
    <n v="0"/>
    <n v="0"/>
    <n v="4"/>
    <s v="Male"/>
    <n v="0"/>
    <n v="70"/>
    <n v="3"/>
    <n v="4"/>
    <s v="Manager"/>
    <n v="0"/>
    <n v="0"/>
    <n v="0"/>
    <n v="1"/>
    <n v="0"/>
    <n v="0"/>
    <n v="0"/>
    <n v="0"/>
    <n v="4"/>
    <s v="Married"/>
    <n v="0"/>
    <n v="1"/>
    <n v="17099"/>
    <n v="17099"/>
    <n v="2"/>
    <s v="No"/>
    <n v="0"/>
    <n v="15"/>
    <n v="3"/>
    <n v="2"/>
    <n v="1"/>
    <n v="26"/>
    <x v="11"/>
    <n v="2"/>
    <n v="2"/>
    <n v="9"/>
    <n v="9"/>
    <n v="8"/>
    <n v="7"/>
    <n v="7"/>
    <n v="8"/>
    <n v="8"/>
    <n v="32"/>
    <n v="0"/>
    <n v="1"/>
    <n v="0"/>
    <n v="0"/>
    <n v="0"/>
    <n v="0"/>
    <n v="1"/>
    <n v="0"/>
    <n v="0"/>
    <n v="8"/>
    <n v="0"/>
    <n v="0"/>
    <n v="26"/>
    <n v="0"/>
    <n v="2.2506724669869258"/>
    <n v="1.08652546240644"/>
    <n v="1.8918932283614016"/>
    <n v="0.32511687867835437"/>
    <n v="1.01056543769991"/>
    <n v="1.6503091520142259"/>
    <n v="1.4933588878908215"/>
  </r>
  <r>
    <n v="58"/>
    <n v="58"/>
    <s v="Yes"/>
    <n v="1"/>
    <s v="Travel_Rarely"/>
    <n v="0"/>
    <n v="1"/>
    <x v="1"/>
    <n v="1"/>
    <n v="0"/>
    <n v="2"/>
    <n v="2"/>
    <n v="3"/>
    <s v="Technical Degree"/>
    <n v="0"/>
    <n v="0"/>
    <n v="0"/>
    <n v="0"/>
    <n v="1"/>
    <n v="4"/>
    <s v="Male"/>
    <n v="0"/>
    <n v="51"/>
    <n v="3"/>
    <n v="1"/>
    <s v="Research Scientist"/>
    <n v="0"/>
    <n v="0"/>
    <n v="0"/>
    <n v="0"/>
    <n v="0"/>
    <n v="0"/>
    <n v="0"/>
    <n v="1"/>
    <n v="3"/>
    <s v="Single"/>
    <n v="1"/>
    <n v="0"/>
    <n v="2479"/>
    <n v="2479"/>
    <n v="4"/>
    <s v="No"/>
    <n v="0"/>
    <n v="24"/>
    <n v="4"/>
    <n v="1"/>
    <n v="0"/>
    <n v="7"/>
    <x v="2"/>
    <n v="4"/>
    <n v="3"/>
    <n v="1"/>
    <n v="1"/>
    <n v="0"/>
    <n v="0"/>
    <n v="0"/>
    <n v="0"/>
    <n v="0"/>
    <n v="0"/>
    <n v="1"/>
    <n v="0"/>
    <n v="0"/>
    <n v="0"/>
    <n v="1"/>
    <n v="0"/>
    <n v="0"/>
    <n v="0"/>
    <n v="0"/>
    <n v="0"/>
    <n v="0"/>
    <n v="0"/>
    <n v="7"/>
    <n v="0"/>
    <n v="0.85470863007139264"/>
    <n v="1.1555414682655611"/>
    <n v="0.55002080963175637"/>
    <n v="0.9806804209314296"/>
    <n v="0.88721318382472392"/>
    <n v="2.3070967488360594"/>
    <n v="0.67891464284095016"/>
  </r>
  <r>
    <n v="53"/>
    <n v="53"/>
    <s v="No"/>
    <n v="0"/>
    <s v="Travel_Rarely"/>
    <n v="0"/>
    <n v="1"/>
    <x v="0"/>
    <n v="0"/>
    <n v="1"/>
    <n v="2"/>
    <n v="2"/>
    <n v="2"/>
    <s v="Medical"/>
    <n v="0"/>
    <n v="0"/>
    <n v="1"/>
    <n v="0"/>
    <n v="0"/>
    <n v="3"/>
    <s v="Male"/>
    <n v="0"/>
    <n v="45"/>
    <n v="3"/>
    <n v="4"/>
    <s v="Manager"/>
    <n v="0"/>
    <n v="0"/>
    <n v="0"/>
    <n v="1"/>
    <n v="0"/>
    <n v="0"/>
    <n v="0"/>
    <n v="0"/>
    <n v="3"/>
    <s v="Divorced"/>
    <n v="0"/>
    <n v="0"/>
    <n v="14852"/>
    <n v="14852"/>
    <n v="6"/>
    <s v="No"/>
    <n v="0"/>
    <n v="13"/>
    <n v="3"/>
    <n v="3"/>
    <n v="1"/>
    <n v="22"/>
    <x v="13"/>
    <n v="3"/>
    <n v="4"/>
    <n v="17"/>
    <n v="17"/>
    <n v="13"/>
    <n v="15"/>
    <n v="14"/>
    <n v="2"/>
    <n v="2"/>
    <n v="8"/>
    <n v="1"/>
    <n v="0"/>
    <n v="0"/>
    <n v="0"/>
    <n v="1"/>
    <n v="0"/>
    <n v="0"/>
    <n v="0"/>
    <n v="0"/>
    <n v="0"/>
    <n v="2"/>
    <n v="0"/>
    <n v="0"/>
    <n v="22"/>
    <n v="1.7733953585676343"/>
    <n v="0.59502473559756086"/>
    <n v="1.3778060624681052"/>
    <n v="1.630914178288138"/>
    <n v="0.88721318382472392"/>
    <n v="1.7597737514845315"/>
    <n v="3.9759572087271318"/>
  </r>
  <r>
    <n v="30"/>
    <n v="30"/>
    <s v="No"/>
    <n v="0"/>
    <s v="Travel_Rarely"/>
    <n v="0"/>
    <n v="1"/>
    <x v="0"/>
    <n v="0"/>
    <n v="1"/>
    <n v="8"/>
    <n v="8"/>
    <n v="2"/>
    <s v="Other"/>
    <n v="0"/>
    <n v="1"/>
    <n v="0"/>
    <n v="0"/>
    <n v="0"/>
    <n v="3"/>
    <s v="Male"/>
    <n v="0"/>
    <n v="62"/>
    <n v="3"/>
    <n v="3"/>
    <s v="Sales Executive"/>
    <n v="0"/>
    <n v="1"/>
    <n v="0"/>
    <n v="0"/>
    <n v="0"/>
    <n v="0"/>
    <n v="0"/>
    <n v="0"/>
    <n v="3"/>
    <s v="Divorced"/>
    <n v="0"/>
    <n v="0"/>
    <n v="7264"/>
    <n v="7264"/>
    <n v="5"/>
    <s v="No"/>
    <n v="0"/>
    <n v="11"/>
    <n v="3"/>
    <n v="1"/>
    <n v="1"/>
    <n v="10"/>
    <x v="1"/>
    <n v="2"/>
    <n v="4"/>
    <n v="8"/>
    <n v="8"/>
    <n v="4"/>
    <n v="7"/>
    <n v="7"/>
    <n v="7"/>
    <n v="7"/>
    <n v="21"/>
    <n v="1"/>
    <n v="0"/>
    <n v="0"/>
    <n v="0"/>
    <n v="1"/>
    <n v="0"/>
    <n v="0"/>
    <n v="0"/>
    <n v="0"/>
    <n v="0"/>
    <n v="7"/>
    <n v="0"/>
    <n v="0"/>
    <n v="10"/>
    <n v="0.16165583979345369"/>
    <n v="0.80626709607243985"/>
    <n v="0.1644554352117841"/>
    <n v="0.16189221622713135"/>
    <n v="0.14709966057360641"/>
    <n v="0.75791203633249671"/>
    <n v="1.4933588878908215"/>
  </r>
  <r>
    <n v="38"/>
    <n v="38"/>
    <s v="No"/>
    <n v="0"/>
    <s v="Non-Travel"/>
    <n v="0"/>
    <n v="0"/>
    <x v="0"/>
    <n v="0"/>
    <n v="1"/>
    <n v="10"/>
    <n v="10"/>
    <n v="3"/>
    <s v="Technical Degree"/>
    <n v="0"/>
    <n v="0"/>
    <n v="0"/>
    <n v="0"/>
    <n v="1"/>
    <n v="3"/>
    <s v="Female"/>
    <n v="1"/>
    <n v="85"/>
    <n v="3"/>
    <n v="2"/>
    <s v="Sales Executive"/>
    <n v="0"/>
    <n v="1"/>
    <n v="0"/>
    <n v="0"/>
    <n v="0"/>
    <n v="0"/>
    <n v="0"/>
    <n v="0"/>
    <n v="4"/>
    <s v="Single"/>
    <n v="1"/>
    <n v="0"/>
    <n v="5666"/>
    <n v="5666"/>
    <n v="1"/>
    <s v="Yes"/>
    <n v="1"/>
    <n v="13"/>
    <n v="3"/>
    <n v="2"/>
    <n v="0"/>
    <n v="6"/>
    <x v="3"/>
    <n v="1"/>
    <n v="3"/>
    <n v="5"/>
    <n v="5"/>
    <n v="3"/>
    <n v="1"/>
    <n v="1"/>
    <n v="3"/>
    <n v="3"/>
    <n v="6"/>
    <n v="1"/>
    <n v="0"/>
    <n v="0"/>
    <n v="0"/>
    <n v="0"/>
    <n v="1"/>
    <n v="0"/>
    <n v="0"/>
    <n v="0"/>
    <n v="0"/>
    <n v="3"/>
    <n v="0"/>
    <n v="0"/>
    <n v="6"/>
    <n v="0.17776953593152528"/>
    <n v="0.31476636926356072"/>
    <n v="0.67854260110508058"/>
    <n v="0.32778177112653761"/>
    <n v="9.9604847176766084E-2"/>
    <n v="0.11780475942994788"/>
    <n v="0.36858985273641137"/>
  </r>
  <r>
    <n v="35"/>
    <n v="35"/>
    <s v="No"/>
    <n v="0"/>
    <s v="Travel_Rarely"/>
    <n v="0"/>
    <n v="1"/>
    <x v="0"/>
    <n v="0"/>
    <n v="1"/>
    <n v="3"/>
    <n v="3"/>
    <n v="4"/>
    <s v="Life Sciences"/>
    <n v="1"/>
    <n v="0"/>
    <n v="0"/>
    <n v="0"/>
    <n v="0"/>
    <n v="4"/>
    <s v="Male"/>
    <n v="0"/>
    <n v="92"/>
    <n v="3"/>
    <n v="3"/>
    <s v="Sales Executive"/>
    <n v="0"/>
    <n v="1"/>
    <n v="0"/>
    <n v="0"/>
    <n v="0"/>
    <n v="0"/>
    <n v="0"/>
    <n v="0"/>
    <n v="4"/>
    <s v="Divorced"/>
    <n v="0"/>
    <n v="0"/>
    <n v="7823"/>
    <n v="7823"/>
    <n v="6"/>
    <s v="No"/>
    <n v="0"/>
    <n v="13"/>
    <n v="3"/>
    <n v="2"/>
    <n v="1"/>
    <n v="12"/>
    <x v="4"/>
    <n v="2"/>
    <n v="3"/>
    <n v="10"/>
    <n v="10"/>
    <n v="9"/>
    <n v="0"/>
    <n v="0"/>
    <n v="8"/>
    <n v="8"/>
    <n v="24"/>
    <n v="1"/>
    <n v="0"/>
    <n v="0"/>
    <n v="0"/>
    <n v="1"/>
    <n v="0"/>
    <n v="0"/>
    <n v="0"/>
    <n v="0"/>
    <n v="0"/>
    <n v="8"/>
    <n v="0"/>
    <n v="0"/>
    <n v="12"/>
    <n v="0.28039099938685996"/>
    <n v="1.08652546240644"/>
    <n v="9.2588147734864096E-2"/>
    <n v="0.48834154112957734"/>
    <n v="0.76386092994953758"/>
    <n v="0.21058903898096887"/>
    <n v="0.67891464284095016"/>
  </r>
  <r>
    <n v="39"/>
    <n v="39"/>
    <s v="No"/>
    <n v="0"/>
    <s v="Travel_Rarely"/>
    <n v="0"/>
    <n v="1"/>
    <x v="0"/>
    <n v="0"/>
    <n v="1"/>
    <n v="2"/>
    <n v="2"/>
    <n v="5"/>
    <s v="Life Sciences"/>
    <n v="1"/>
    <n v="0"/>
    <n v="0"/>
    <n v="0"/>
    <n v="0"/>
    <n v="1"/>
    <s v="Male"/>
    <n v="0"/>
    <n v="41"/>
    <n v="4"/>
    <n v="3"/>
    <s v="Sales Executive"/>
    <n v="0"/>
    <n v="1"/>
    <n v="0"/>
    <n v="0"/>
    <n v="0"/>
    <n v="0"/>
    <n v="0"/>
    <n v="0"/>
    <n v="3"/>
    <s v="Single"/>
    <n v="1"/>
    <n v="0"/>
    <n v="7880"/>
    <n v="7880"/>
    <n v="0"/>
    <s v="No"/>
    <n v="0"/>
    <n v="18"/>
    <n v="3"/>
    <n v="4"/>
    <n v="0"/>
    <n v="9"/>
    <x v="14"/>
    <n v="3"/>
    <n v="3"/>
    <n v="8"/>
    <n v="8"/>
    <n v="7"/>
    <n v="0"/>
    <n v="0"/>
    <n v="7"/>
    <n v="7"/>
    <n v="21"/>
    <n v="1"/>
    <n v="0"/>
    <n v="0"/>
    <n v="0"/>
    <n v="1"/>
    <n v="0"/>
    <n v="0"/>
    <n v="0"/>
    <n v="0"/>
    <n v="0"/>
    <n v="7"/>
    <n v="0"/>
    <n v="0"/>
    <n v="9"/>
    <n v="0.29249816235076725"/>
    <n v="0.80626709607243985"/>
    <n v="0.29297722668510823"/>
    <n v="0.16189221622713135"/>
    <n v="0.88721318382472392"/>
    <n v="0.22726935890025346"/>
    <n v="0.67891464284095016"/>
  </r>
  <r>
    <n v="40"/>
    <n v="40"/>
    <s v="Yes"/>
    <n v="1"/>
    <s v="Non-Travel"/>
    <n v="0"/>
    <n v="0"/>
    <x v="0"/>
    <n v="0"/>
    <n v="1"/>
    <n v="24"/>
    <n v="24"/>
    <n v="3"/>
    <s v="Life Sciences"/>
    <n v="1"/>
    <n v="0"/>
    <n v="0"/>
    <n v="0"/>
    <n v="0"/>
    <n v="2"/>
    <s v="Female"/>
    <n v="1"/>
    <n v="100"/>
    <n v="4"/>
    <n v="4"/>
    <s v="Sales Executive"/>
    <n v="0"/>
    <n v="1"/>
    <n v="0"/>
    <n v="0"/>
    <n v="0"/>
    <n v="0"/>
    <n v="0"/>
    <n v="0"/>
    <n v="2"/>
    <s v="Single"/>
    <n v="1"/>
    <n v="0"/>
    <n v="13194"/>
    <n v="13194"/>
    <n v="4"/>
    <s v="Yes"/>
    <n v="1"/>
    <n v="16"/>
    <n v="3"/>
    <n v="4"/>
    <n v="0"/>
    <n v="22"/>
    <x v="13"/>
    <n v="2"/>
    <n v="2"/>
    <n v="1"/>
    <n v="1"/>
    <n v="0"/>
    <n v="0"/>
    <n v="0"/>
    <n v="0"/>
    <n v="0"/>
    <n v="0"/>
    <n v="1"/>
    <n v="0"/>
    <n v="0"/>
    <n v="0"/>
    <n v="0"/>
    <n v="1"/>
    <n v="0"/>
    <n v="0"/>
    <n v="0"/>
    <n v="0"/>
    <n v="0"/>
    <n v="0"/>
    <n v="0"/>
    <n v="22"/>
    <n v="1.4212256007753845"/>
    <n v="1.1555414682655611"/>
    <n v="1.3778060624681052"/>
    <n v="0.9806804209314296"/>
    <n v="1.8265364014293735"/>
    <n v="0.33673395837055903"/>
    <n v="0.67891464284095016"/>
  </r>
  <r>
    <n v="47"/>
    <n v="47"/>
    <s v="No"/>
    <n v="0"/>
    <s v="Travel_Frequently"/>
    <n v="1"/>
    <n v="0"/>
    <x v="1"/>
    <n v="1"/>
    <n v="0"/>
    <n v="16"/>
    <n v="16"/>
    <n v="4"/>
    <s v="Medical"/>
    <n v="0"/>
    <n v="0"/>
    <n v="1"/>
    <n v="0"/>
    <n v="0"/>
    <n v="3"/>
    <s v="Male"/>
    <n v="0"/>
    <n v="64"/>
    <n v="4"/>
    <n v="2"/>
    <s v="Manufacturing Director"/>
    <n v="0"/>
    <n v="0"/>
    <n v="0"/>
    <n v="0"/>
    <n v="1"/>
    <n v="1"/>
    <n v="0"/>
    <n v="0"/>
    <n v="3"/>
    <s v="Divorced"/>
    <n v="0"/>
    <n v="0"/>
    <n v="5067"/>
    <n v="5067"/>
    <n v="1"/>
    <s v="Yes"/>
    <n v="1"/>
    <n v="19"/>
    <n v="3"/>
    <n v="3"/>
    <n v="0"/>
    <n v="20"/>
    <x v="25"/>
    <n v="3"/>
    <n v="4"/>
    <n v="19"/>
    <n v="19"/>
    <n v="10"/>
    <n v="2"/>
    <n v="2"/>
    <n v="7"/>
    <n v="7"/>
    <n v="14"/>
    <n v="0"/>
    <n v="0"/>
    <n v="1"/>
    <n v="0"/>
    <n v="0"/>
    <n v="1"/>
    <n v="0"/>
    <n v="0"/>
    <n v="0"/>
    <n v="7"/>
    <n v="0"/>
    <n v="0"/>
    <n v="20"/>
    <n v="0"/>
    <n v="0.30500095023644541"/>
    <n v="0.80626709607243985"/>
    <n v="1.120762479521457"/>
    <n v="1.9573635031905841"/>
    <n v="0.83971837042788355"/>
    <n v="1.102986154662698"/>
    <n v="5.8265062631872602E-2"/>
  </r>
  <r>
    <n v="36"/>
    <n v="36"/>
    <s v="No"/>
    <n v="0"/>
    <s v="Non-Travel"/>
    <n v="0"/>
    <n v="0"/>
    <x v="0"/>
    <n v="0"/>
    <n v="1"/>
    <n v="8"/>
    <n v="8"/>
    <n v="4"/>
    <s v="Technical Degree"/>
    <n v="0"/>
    <n v="0"/>
    <n v="0"/>
    <n v="0"/>
    <n v="1"/>
    <n v="1"/>
    <s v="Male"/>
    <n v="0"/>
    <n v="84"/>
    <n v="3"/>
    <n v="2"/>
    <s v="Sales Executive"/>
    <n v="0"/>
    <n v="1"/>
    <n v="0"/>
    <n v="0"/>
    <n v="0"/>
    <n v="0"/>
    <n v="0"/>
    <n v="0"/>
    <n v="4"/>
    <s v="Divorced"/>
    <n v="0"/>
    <n v="0"/>
    <n v="5079"/>
    <n v="5079"/>
    <n v="4"/>
    <s v="No"/>
    <n v="0"/>
    <n v="13"/>
    <n v="3"/>
    <n v="4"/>
    <n v="2"/>
    <n v="12"/>
    <x v="4"/>
    <n v="3"/>
    <n v="3"/>
    <n v="7"/>
    <n v="7"/>
    <n v="7"/>
    <n v="0"/>
    <n v="0"/>
    <n v="7"/>
    <n v="7"/>
    <n v="14"/>
    <n v="1"/>
    <n v="0"/>
    <n v="0"/>
    <n v="0"/>
    <n v="1"/>
    <n v="0"/>
    <n v="0"/>
    <n v="0"/>
    <n v="0"/>
    <n v="0"/>
    <n v="7"/>
    <n v="0"/>
    <n v="0"/>
    <n v="12"/>
    <n v="0.30245207382299127"/>
    <n v="0.80626709607243985"/>
    <n v="9.2588147734864096E-2"/>
    <n v="1.3324462240916321E-3"/>
    <n v="0.14709966057360641"/>
    <n v="0.10112443951066327"/>
    <n v="0.67891464284095016"/>
  </r>
  <r>
    <n v="31"/>
    <n v="31"/>
    <s v="Yes"/>
    <n v="1"/>
    <s v="Non-Travel"/>
    <n v="0"/>
    <n v="0"/>
    <x v="1"/>
    <n v="1"/>
    <n v="0"/>
    <n v="9"/>
    <n v="9"/>
    <n v="2"/>
    <s v="Medical"/>
    <n v="0"/>
    <n v="0"/>
    <n v="1"/>
    <n v="0"/>
    <n v="0"/>
    <n v="3"/>
    <s v="Male"/>
    <n v="0"/>
    <n v="46"/>
    <n v="2"/>
    <n v="1"/>
    <s v="Research Scientist"/>
    <n v="0"/>
    <n v="0"/>
    <n v="0"/>
    <n v="0"/>
    <n v="0"/>
    <n v="0"/>
    <n v="0"/>
    <n v="1"/>
    <n v="1"/>
    <s v="Single"/>
    <n v="1"/>
    <n v="0"/>
    <n v="2321"/>
    <n v="2321"/>
    <n v="0"/>
    <s v="Yes"/>
    <n v="1"/>
    <n v="22"/>
    <n v="4"/>
    <n v="1"/>
    <n v="0"/>
    <n v="4"/>
    <x v="20"/>
    <n v="0"/>
    <n v="3"/>
    <n v="3"/>
    <n v="3"/>
    <n v="2"/>
    <n v="1"/>
    <n v="1"/>
    <n v="2"/>
    <n v="2"/>
    <n v="2"/>
    <n v="1"/>
    <n v="0"/>
    <n v="0"/>
    <n v="0"/>
    <n v="0"/>
    <n v="1"/>
    <n v="0"/>
    <n v="0"/>
    <n v="0"/>
    <n v="2"/>
    <n v="0"/>
    <n v="0"/>
    <n v="4"/>
    <n v="0"/>
    <n v="0.88826883618187236"/>
    <n v="0.59502473559756086"/>
    <n v="0.93558618405172878"/>
    <n v="0.65423109602898355"/>
    <n v="2.3747406698420157E-2"/>
    <n v="0.6484474368621912"/>
    <n v="0.36858985273641137"/>
  </r>
  <r>
    <n v="33"/>
    <n v="33"/>
    <s v="No"/>
    <n v="0"/>
    <s v="Non-Travel"/>
    <n v="0"/>
    <n v="0"/>
    <x v="0"/>
    <n v="0"/>
    <n v="1"/>
    <n v="17"/>
    <n v="17"/>
    <n v="3"/>
    <s v="Life Sciences"/>
    <n v="1"/>
    <n v="0"/>
    <n v="0"/>
    <n v="0"/>
    <n v="0"/>
    <n v="4"/>
    <s v="Male"/>
    <n v="0"/>
    <n v="38"/>
    <n v="3"/>
    <n v="4"/>
    <s v="Manager"/>
    <n v="0"/>
    <n v="0"/>
    <n v="0"/>
    <n v="1"/>
    <n v="0"/>
    <n v="0"/>
    <n v="0"/>
    <n v="0"/>
    <n v="3"/>
    <s v="Single"/>
    <n v="1"/>
    <n v="0"/>
    <n v="17444"/>
    <n v="17444"/>
    <n v="1"/>
    <s v="No"/>
    <n v="0"/>
    <n v="11"/>
    <n v="3"/>
    <n v="4"/>
    <n v="0"/>
    <n v="10"/>
    <x v="1"/>
    <n v="2"/>
    <n v="3"/>
    <n v="10"/>
    <n v="10"/>
    <n v="8"/>
    <n v="6"/>
    <n v="6"/>
    <n v="0"/>
    <n v="0"/>
    <n v="0"/>
    <n v="1"/>
    <n v="0"/>
    <n v="0"/>
    <n v="0"/>
    <n v="1"/>
    <n v="0"/>
    <n v="0"/>
    <n v="0"/>
    <n v="0"/>
    <n v="0"/>
    <n v="0"/>
    <n v="0"/>
    <n v="0"/>
    <n v="10"/>
    <n v="2.3239526638737327"/>
    <n v="1.1555414682655611"/>
    <n v="0.1644554352117841"/>
    <n v="0.48834154112957734"/>
    <n v="0.96307062430306978"/>
    <n v="0.42951823792158"/>
    <n v="1.1830340977862825"/>
  </r>
  <r>
    <n v="29"/>
    <n v="29"/>
    <s v="Yes"/>
    <n v="1"/>
    <s v="Travel_Rarely"/>
    <n v="0"/>
    <n v="1"/>
    <x v="1"/>
    <n v="1"/>
    <n v="0"/>
    <n v="10"/>
    <n v="10"/>
    <n v="3"/>
    <s v="Life Sciences"/>
    <n v="1"/>
    <n v="0"/>
    <n v="0"/>
    <n v="0"/>
    <n v="0"/>
    <n v="4"/>
    <s v="Female"/>
    <n v="1"/>
    <n v="92"/>
    <n v="2"/>
    <n v="1"/>
    <s v="Research Scientist"/>
    <n v="0"/>
    <n v="0"/>
    <n v="0"/>
    <n v="0"/>
    <n v="0"/>
    <n v="0"/>
    <n v="0"/>
    <n v="1"/>
    <n v="1"/>
    <s v="Single"/>
    <n v="1"/>
    <n v="0"/>
    <n v="2404"/>
    <n v="2404"/>
    <n v="6"/>
    <s v="Yes"/>
    <n v="1"/>
    <n v="20"/>
    <n v="4"/>
    <n v="3"/>
    <n v="0"/>
    <n v="3"/>
    <x v="8"/>
    <n v="5"/>
    <n v="3"/>
    <n v="0"/>
    <n v="0"/>
    <n v="0"/>
    <n v="0"/>
    <n v="0"/>
    <n v="0"/>
    <n v="0"/>
    <n v="0"/>
    <n v="1"/>
    <n v="0"/>
    <n v="0"/>
    <n v="0"/>
    <n v="0"/>
    <n v="1"/>
    <n v="0"/>
    <n v="0"/>
    <n v="0"/>
    <n v="0"/>
    <n v="0"/>
    <n v="0"/>
    <n v="3"/>
    <n v="0"/>
    <n v="0.87063910765548114"/>
    <n v="1.1555414682655611"/>
    <n v="1.0641079755250529"/>
    <n v="1.1439050833826525"/>
    <n v="9.9604847176766084E-2"/>
    <n v="0.86737663580280233"/>
    <n v="0.67891464284095016"/>
  </r>
  <r>
    <n v="33"/>
    <n v="33"/>
    <s v="No"/>
    <n v="0"/>
    <s v="Travel_Rarely"/>
    <n v="0"/>
    <n v="1"/>
    <x v="1"/>
    <n v="1"/>
    <n v="0"/>
    <n v="13"/>
    <n v="13"/>
    <n v="1"/>
    <s v="Life Sciences"/>
    <n v="1"/>
    <n v="0"/>
    <n v="0"/>
    <n v="0"/>
    <n v="0"/>
    <n v="2"/>
    <s v="Female"/>
    <n v="1"/>
    <n v="53"/>
    <n v="3"/>
    <n v="1"/>
    <s v="Research Scientist"/>
    <n v="0"/>
    <n v="0"/>
    <n v="0"/>
    <n v="0"/>
    <n v="0"/>
    <n v="0"/>
    <n v="0"/>
    <n v="1"/>
    <n v="4"/>
    <s v="Single"/>
    <n v="1"/>
    <n v="0"/>
    <n v="3452"/>
    <n v="3452"/>
    <n v="3"/>
    <s v="No"/>
    <n v="0"/>
    <n v="18"/>
    <n v="3"/>
    <n v="1"/>
    <n v="0"/>
    <n v="5"/>
    <x v="7"/>
    <n v="4"/>
    <n v="3"/>
    <n v="3"/>
    <n v="3"/>
    <n v="2"/>
    <n v="0"/>
    <n v="0"/>
    <n v="2"/>
    <n v="2"/>
    <n v="2"/>
    <n v="1"/>
    <n v="0"/>
    <n v="0"/>
    <n v="0"/>
    <n v="1"/>
    <n v="0"/>
    <n v="0"/>
    <n v="0"/>
    <n v="0"/>
    <n v="2"/>
    <n v="0"/>
    <n v="0"/>
    <n v="5"/>
    <n v="0"/>
    <n v="0.64803723421381776"/>
    <n v="0.59502473559756086"/>
    <n v="0.80706439257840468"/>
    <n v="0.65423109602898355"/>
    <n v="0.46966160880232483"/>
    <n v="0.42951823792158"/>
    <n v="0.67891464284095016"/>
  </r>
  <r>
    <n v="45"/>
    <n v="45"/>
    <s v="No"/>
    <n v="0"/>
    <s v="Travel_Rarely"/>
    <n v="0"/>
    <n v="1"/>
    <x v="1"/>
    <n v="1"/>
    <n v="0"/>
    <n v="1"/>
    <n v="1"/>
    <n v="4"/>
    <s v="Medical"/>
    <n v="0"/>
    <n v="0"/>
    <n v="1"/>
    <n v="0"/>
    <n v="0"/>
    <n v="4"/>
    <s v="Female"/>
    <n v="1"/>
    <n v="91"/>
    <n v="3"/>
    <n v="1"/>
    <s v="Laboratory Technician"/>
    <n v="0"/>
    <n v="0"/>
    <n v="1"/>
    <n v="0"/>
    <n v="0"/>
    <n v="0"/>
    <n v="0"/>
    <n v="0"/>
    <n v="4"/>
    <s v="Divorced"/>
    <n v="0"/>
    <n v="0"/>
    <n v="2270"/>
    <n v="2270"/>
    <n v="3"/>
    <s v="No"/>
    <n v="0"/>
    <n v="14"/>
    <n v="3"/>
    <n v="4"/>
    <n v="2"/>
    <n v="8"/>
    <x v="0"/>
    <n v="2"/>
    <n v="3"/>
    <n v="5"/>
    <n v="5"/>
    <n v="3"/>
    <n v="0"/>
    <n v="0"/>
    <n v="2"/>
    <n v="2"/>
    <n v="2"/>
    <n v="1"/>
    <n v="0"/>
    <n v="0"/>
    <n v="0"/>
    <n v="1"/>
    <n v="0"/>
    <n v="0"/>
    <n v="0"/>
    <n v="0"/>
    <n v="2"/>
    <n v="0"/>
    <n v="0"/>
    <n v="8"/>
    <n v="0"/>
    <n v="0.89910156093905258"/>
    <n v="0.59502473559756086"/>
    <n v="0.42149901815843233"/>
    <n v="0.32778177112653761"/>
    <n v="1.01056543769991"/>
    <n v="0.88405695572208698"/>
    <n v="0.67891464284095016"/>
  </r>
  <r>
    <n v="50"/>
    <n v="50"/>
    <s v="No"/>
    <n v="0"/>
    <s v="Travel_Rarely"/>
    <n v="0"/>
    <n v="1"/>
    <x v="1"/>
    <n v="1"/>
    <n v="0"/>
    <n v="1"/>
    <n v="1"/>
    <n v="2"/>
    <s v="Medical"/>
    <n v="0"/>
    <n v="0"/>
    <n v="1"/>
    <n v="0"/>
    <n v="0"/>
    <n v="4"/>
    <s v="Male"/>
    <n v="0"/>
    <n v="66"/>
    <n v="3"/>
    <n v="4"/>
    <s v="Research Director"/>
    <n v="0"/>
    <n v="0"/>
    <n v="0"/>
    <n v="0"/>
    <n v="0"/>
    <n v="0"/>
    <n v="0"/>
    <n v="0"/>
    <n v="4"/>
    <s v="Divorced"/>
    <n v="0"/>
    <n v="0"/>
    <n v="17399"/>
    <n v="17399"/>
    <n v="9"/>
    <s v="No"/>
    <n v="0"/>
    <n v="22"/>
    <n v="4"/>
    <n v="3"/>
    <n v="1"/>
    <n v="32"/>
    <x v="32"/>
    <n v="1"/>
    <n v="2"/>
    <n v="5"/>
    <n v="5"/>
    <n v="4"/>
    <n v="1"/>
    <n v="1"/>
    <n v="3"/>
    <n v="3"/>
    <n v="12"/>
    <n v="1"/>
    <n v="0"/>
    <n v="0"/>
    <n v="0"/>
    <n v="1"/>
    <n v="0"/>
    <n v="0"/>
    <n v="0"/>
    <n v="0"/>
    <n v="3"/>
    <n v="0"/>
    <n v="0"/>
    <n v="32"/>
    <n v="0"/>
    <n v="2.3143943773232798"/>
    <n v="0.31476636926356072"/>
    <n v="2.663023977201346"/>
    <n v="0.32778177112653761"/>
    <n v="1.01056543769991"/>
    <n v="1.4313799530736149"/>
    <n v="0.36858985273641137"/>
  </r>
  <r>
    <n v="33"/>
    <n v="33"/>
    <s v="No"/>
    <n v="0"/>
    <s v="Travel_Frequently"/>
    <n v="1"/>
    <n v="0"/>
    <x v="1"/>
    <n v="1"/>
    <n v="0"/>
    <n v="1"/>
    <n v="1"/>
    <n v="4"/>
    <s v="Other"/>
    <n v="0"/>
    <n v="1"/>
    <n v="0"/>
    <n v="0"/>
    <n v="0"/>
    <n v="3"/>
    <s v="Female"/>
    <n v="1"/>
    <n v="84"/>
    <n v="4"/>
    <n v="2"/>
    <s v="Healthcare Representative"/>
    <n v="1"/>
    <n v="0"/>
    <n v="0"/>
    <n v="0"/>
    <n v="0"/>
    <n v="0"/>
    <n v="0"/>
    <n v="0"/>
    <n v="2"/>
    <s v="Married"/>
    <n v="0"/>
    <n v="1"/>
    <n v="5488"/>
    <n v="5488"/>
    <n v="1"/>
    <s v="Yes"/>
    <n v="1"/>
    <n v="13"/>
    <n v="3"/>
    <n v="1"/>
    <n v="1"/>
    <n v="6"/>
    <x v="3"/>
    <n v="2"/>
    <n v="3"/>
    <n v="6"/>
    <n v="6"/>
    <n v="5"/>
    <n v="1"/>
    <n v="1"/>
    <n v="2"/>
    <n v="2"/>
    <n v="4"/>
    <n v="0"/>
    <n v="0"/>
    <n v="0"/>
    <n v="1"/>
    <n v="0"/>
    <n v="0"/>
    <n v="0"/>
    <n v="1"/>
    <n v="0"/>
    <n v="2"/>
    <n v="0"/>
    <n v="0"/>
    <n v="6"/>
    <n v="0"/>
    <n v="0.215577869397762"/>
    <n v="0.59502473559756086"/>
    <n v="0.67854260110508058"/>
    <n v="0.16455710867531462"/>
    <n v="1.01056543769991"/>
    <n v="0.42951823792158"/>
    <n v="0.36858985273641137"/>
  </r>
  <r>
    <n v="41"/>
    <n v="41"/>
    <s v="No"/>
    <n v="0"/>
    <s v="Travel_Frequently"/>
    <n v="1"/>
    <n v="0"/>
    <x v="1"/>
    <n v="1"/>
    <n v="0"/>
    <n v="9"/>
    <n v="9"/>
    <n v="3"/>
    <s v="Medical"/>
    <n v="0"/>
    <n v="0"/>
    <n v="1"/>
    <n v="0"/>
    <n v="0"/>
    <n v="1"/>
    <s v="Male"/>
    <n v="0"/>
    <n v="64"/>
    <n v="3"/>
    <n v="5"/>
    <s v="Research Director"/>
    <n v="0"/>
    <n v="0"/>
    <n v="0"/>
    <n v="0"/>
    <n v="0"/>
    <n v="0"/>
    <n v="0"/>
    <n v="0"/>
    <n v="3"/>
    <s v="Divorced"/>
    <n v="0"/>
    <n v="0"/>
    <n v="19419"/>
    <n v="19419"/>
    <n v="2"/>
    <s v="No"/>
    <n v="0"/>
    <n v="17"/>
    <n v="3"/>
    <n v="2"/>
    <n v="1"/>
    <n v="21"/>
    <x v="23"/>
    <n v="2"/>
    <n v="4"/>
    <n v="18"/>
    <n v="18"/>
    <n v="16"/>
    <n v="0"/>
    <n v="0"/>
    <n v="11"/>
    <n v="11"/>
    <n v="55"/>
    <n v="0"/>
    <n v="0"/>
    <n v="1"/>
    <n v="0"/>
    <n v="1"/>
    <n v="0"/>
    <n v="0"/>
    <n v="0"/>
    <n v="0"/>
    <n v="11"/>
    <n v="0"/>
    <n v="0"/>
    <n v="21"/>
    <n v="0"/>
    <n v="2.7434552402547299"/>
    <n v="1.9273005614084406"/>
    <n v="1.2492842709947811"/>
    <n v="1.794138840739361"/>
    <n v="2.3747406698420157E-2"/>
    <n v="0.4461985578408646"/>
    <n v="0.67891464284095016"/>
  </r>
  <r>
    <n v="27"/>
    <n v="27"/>
    <s v="No"/>
    <n v="0"/>
    <s v="Travel_Rarely"/>
    <n v="0"/>
    <n v="1"/>
    <x v="1"/>
    <n v="1"/>
    <n v="0"/>
    <n v="16"/>
    <n v="16"/>
    <n v="4"/>
    <s v="Technical Degree"/>
    <n v="0"/>
    <n v="0"/>
    <n v="0"/>
    <n v="0"/>
    <n v="1"/>
    <n v="3"/>
    <s v="Female"/>
    <n v="1"/>
    <n v="37"/>
    <n v="3"/>
    <n v="1"/>
    <s v="Laboratory Technician"/>
    <n v="0"/>
    <n v="0"/>
    <n v="1"/>
    <n v="0"/>
    <n v="0"/>
    <n v="0"/>
    <n v="0"/>
    <n v="0"/>
    <n v="2"/>
    <s v="Married"/>
    <n v="0"/>
    <n v="1"/>
    <n v="2811"/>
    <n v="2811"/>
    <n v="9"/>
    <s v="No"/>
    <n v="0"/>
    <n v="14"/>
    <n v="3"/>
    <n v="2"/>
    <n v="1"/>
    <n v="4"/>
    <x v="20"/>
    <n v="2"/>
    <n v="3"/>
    <n v="2"/>
    <n v="2"/>
    <n v="2"/>
    <n v="2"/>
    <n v="2"/>
    <n v="2"/>
    <n v="2"/>
    <n v="2"/>
    <n v="0"/>
    <n v="1"/>
    <n v="0"/>
    <n v="0"/>
    <n v="0"/>
    <n v="0"/>
    <n v="1"/>
    <n v="0"/>
    <n v="0"/>
    <n v="2"/>
    <n v="0"/>
    <n v="0"/>
    <n v="4"/>
    <n v="0"/>
    <n v="0.78418971596582754"/>
    <n v="0.59502473559756086"/>
    <n v="0.93558618405172878"/>
    <n v="0.81745575848020657"/>
    <n v="0.83971837042788355"/>
    <n v="1.0863058347434136"/>
    <n v="5.8265062631872602E-2"/>
  </r>
  <r>
    <n v="45"/>
    <n v="45"/>
    <s v="No"/>
    <n v="0"/>
    <s v="Non-Travel"/>
    <n v="0"/>
    <n v="0"/>
    <x v="1"/>
    <n v="1"/>
    <n v="0"/>
    <n v="23"/>
    <n v="23"/>
    <n v="2"/>
    <s v="Life Sciences"/>
    <n v="1"/>
    <n v="0"/>
    <n v="0"/>
    <n v="0"/>
    <n v="0"/>
    <n v="4"/>
    <s v="Male"/>
    <n v="0"/>
    <n v="42"/>
    <n v="3"/>
    <n v="2"/>
    <s v="Laboratory Technician"/>
    <n v="0"/>
    <n v="0"/>
    <n v="1"/>
    <n v="0"/>
    <n v="0"/>
    <n v="0"/>
    <n v="0"/>
    <n v="0"/>
    <n v="1"/>
    <s v="Married"/>
    <n v="0"/>
    <n v="1"/>
    <n v="3633"/>
    <n v="3633"/>
    <n v="1"/>
    <s v="Yes"/>
    <n v="1"/>
    <n v="15"/>
    <n v="3"/>
    <n v="3"/>
    <n v="1"/>
    <n v="9"/>
    <x v="14"/>
    <n v="2"/>
    <n v="3"/>
    <n v="9"/>
    <n v="9"/>
    <n v="8"/>
    <n v="0"/>
    <n v="0"/>
    <n v="8"/>
    <n v="8"/>
    <n v="16"/>
    <n v="0"/>
    <n v="1"/>
    <n v="0"/>
    <n v="0"/>
    <n v="0"/>
    <n v="0"/>
    <n v="0"/>
    <n v="1"/>
    <n v="0"/>
    <n v="8"/>
    <n v="0"/>
    <n v="0"/>
    <n v="9"/>
    <n v="0"/>
    <n v="0.60959168164421751"/>
    <n v="1.08652546240644"/>
    <n v="0.29297722668510823"/>
    <n v="0.32511687867835437"/>
    <n v="1.7031841475541873"/>
    <n v="0.88405695572208698"/>
    <n v="0.67891464284095016"/>
  </r>
  <r>
    <n v="47"/>
    <n v="47"/>
    <s v="No"/>
    <n v="0"/>
    <s v="Travel_Rarely"/>
    <n v="0"/>
    <n v="1"/>
    <x v="0"/>
    <n v="0"/>
    <n v="1"/>
    <n v="4"/>
    <n v="4"/>
    <n v="2"/>
    <s v="Life Sciences"/>
    <n v="1"/>
    <n v="0"/>
    <n v="0"/>
    <n v="0"/>
    <n v="0"/>
    <n v="4"/>
    <s v="Female"/>
    <n v="1"/>
    <n v="83"/>
    <n v="3"/>
    <n v="2"/>
    <s v="Sales Executive"/>
    <n v="0"/>
    <n v="1"/>
    <n v="0"/>
    <n v="0"/>
    <n v="0"/>
    <n v="0"/>
    <n v="0"/>
    <n v="0"/>
    <n v="4"/>
    <s v="Single"/>
    <n v="1"/>
    <n v="0"/>
    <n v="4163"/>
    <n v="4163"/>
    <n v="1"/>
    <s v="Yes"/>
    <n v="1"/>
    <n v="17"/>
    <n v="3"/>
    <n v="3"/>
    <n v="0"/>
    <n v="9"/>
    <x v="14"/>
    <n v="0"/>
    <n v="3"/>
    <n v="9"/>
    <n v="9"/>
    <n v="0"/>
    <n v="0"/>
    <n v="0"/>
    <n v="7"/>
    <n v="7"/>
    <n v="14"/>
    <n v="1"/>
    <n v="0"/>
    <n v="0"/>
    <n v="0"/>
    <n v="0"/>
    <n v="1"/>
    <n v="0"/>
    <n v="0"/>
    <n v="0"/>
    <n v="0"/>
    <n v="7"/>
    <n v="0"/>
    <n v="0"/>
    <n v="9"/>
    <n v="0.49701630671665881"/>
    <n v="0.80626709607243985"/>
    <n v="0.29297722668510823"/>
    <n v="0.32511687867835437"/>
    <n v="0.64050867607435136"/>
    <n v="1.102986154662698"/>
    <n v="0.67891464284095016"/>
  </r>
  <r>
    <n v="30"/>
    <n v="30"/>
    <s v="Yes"/>
    <n v="1"/>
    <s v="Travel_Rarely"/>
    <n v="0"/>
    <n v="1"/>
    <x v="1"/>
    <n v="1"/>
    <n v="0"/>
    <n v="22"/>
    <n v="22"/>
    <n v="3"/>
    <s v="Life Sciences"/>
    <n v="1"/>
    <n v="0"/>
    <n v="0"/>
    <n v="0"/>
    <n v="0"/>
    <n v="1"/>
    <s v="Female"/>
    <n v="1"/>
    <n v="48"/>
    <n v="3"/>
    <n v="1"/>
    <s v="Research Scientist"/>
    <n v="0"/>
    <n v="0"/>
    <n v="0"/>
    <n v="0"/>
    <n v="0"/>
    <n v="0"/>
    <n v="0"/>
    <n v="1"/>
    <n v="3"/>
    <s v="Married"/>
    <n v="0"/>
    <n v="1"/>
    <n v="2132"/>
    <n v="2132"/>
    <n v="4"/>
    <s v="Yes"/>
    <n v="1"/>
    <n v="11"/>
    <n v="3"/>
    <n v="2"/>
    <n v="0"/>
    <n v="7"/>
    <x v="2"/>
    <n v="2"/>
    <n v="3"/>
    <n v="5"/>
    <n v="5"/>
    <n v="2"/>
    <n v="0"/>
    <n v="0"/>
    <n v="1"/>
    <n v="1"/>
    <n v="1"/>
    <n v="0"/>
    <n v="1"/>
    <n v="0"/>
    <n v="0"/>
    <n v="0"/>
    <n v="0"/>
    <n v="0"/>
    <n v="1"/>
    <n v="0"/>
    <n v="1"/>
    <n v="0"/>
    <n v="0"/>
    <n v="7"/>
    <n v="0"/>
    <n v="0.92841363969377544"/>
    <n v="0.87528310193156111"/>
    <n v="0.55002080963175637"/>
    <n v="0.32778177112653761"/>
    <n v="1.579831893679001"/>
    <n v="0.75791203633249671"/>
    <n v="0.67891464284095016"/>
  </r>
  <r>
    <n v="50"/>
    <n v="50"/>
    <s v="No"/>
    <n v="0"/>
    <s v="Travel_Rarely"/>
    <n v="0"/>
    <n v="1"/>
    <x v="1"/>
    <n v="1"/>
    <n v="0"/>
    <n v="24"/>
    <n v="24"/>
    <n v="3"/>
    <s v="Life Sciences"/>
    <n v="1"/>
    <n v="0"/>
    <n v="0"/>
    <n v="0"/>
    <n v="0"/>
    <n v="4"/>
    <s v="Male"/>
    <n v="0"/>
    <n v="95"/>
    <n v="3"/>
    <n v="4"/>
    <s v="Manufacturing Director"/>
    <n v="0"/>
    <n v="0"/>
    <n v="0"/>
    <n v="0"/>
    <n v="1"/>
    <n v="1"/>
    <n v="0"/>
    <n v="0"/>
    <n v="3"/>
    <s v="Married"/>
    <n v="0"/>
    <n v="1"/>
    <n v="13973"/>
    <n v="13973"/>
    <n v="3"/>
    <s v="Yes"/>
    <n v="1"/>
    <n v="18"/>
    <n v="3"/>
    <n v="4"/>
    <n v="1"/>
    <n v="22"/>
    <x v="13"/>
    <n v="2"/>
    <n v="3"/>
    <n v="12"/>
    <n v="12"/>
    <n v="11"/>
    <n v="1"/>
    <n v="1"/>
    <n v="5"/>
    <n v="5"/>
    <n v="20"/>
    <n v="0"/>
    <n v="1"/>
    <n v="0"/>
    <n v="0"/>
    <n v="0"/>
    <n v="0"/>
    <n v="0"/>
    <n v="1"/>
    <n v="0"/>
    <n v="5"/>
    <n v="0"/>
    <n v="0"/>
    <n v="22"/>
    <n v="0"/>
    <n v="1.5866901612821169"/>
    <n v="0.24575036340443959"/>
    <n v="1.3778060624681052"/>
    <n v="0.81479086603202333"/>
    <n v="1.8265364014293735"/>
    <n v="1.4313799530736149"/>
    <n v="0.36858985273641137"/>
  </r>
  <r>
    <n v="38"/>
    <n v="38"/>
    <s v="No"/>
    <n v="0"/>
    <s v="Travel_Frequently"/>
    <n v="1"/>
    <n v="0"/>
    <x v="1"/>
    <n v="1"/>
    <n v="0"/>
    <n v="10"/>
    <n v="10"/>
    <n v="1"/>
    <s v="Medical"/>
    <n v="0"/>
    <n v="0"/>
    <n v="1"/>
    <n v="0"/>
    <n v="0"/>
    <n v="3"/>
    <s v="Male"/>
    <n v="0"/>
    <n v="66"/>
    <n v="3"/>
    <n v="1"/>
    <s v="Research Scientist"/>
    <n v="0"/>
    <n v="0"/>
    <n v="0"/>
    <n v="0"/>
    <n v="0"/>
    <n v="0"/>
    <n v="0"/>
    <n v="1"/>
    <n v="3"/>
    <s v="Married"/>
    <n v="0"/>
    <n v="1"/>
    <n v="2684"/>
    <n v="2684"/>
    <n v="0"/>
    <s v="No"/>
    <n v="0"/>
    <n v="17"/>
    <n v="3"/>
    <n v="2"/>
    <n v="1"/>
    <n v="3"/>
    <x v="8"/>
    <n v="0"/>
    <n v="2"/>
    <n v="2"/>
    <n v="2"/>
    <n v="1"/>
    <n v="0"/>
    <n v="0"/>
    <n v="2"/>
    <n v="2"/>
    <n v="2"/>
    <n v="0"/>
    <n v="0"/>
    <n v="0"/>
    <n v="1"/>
    <n v="0"/>
    <n v="0"/>
    <n v="1"/>
    <n v="0"/>
    <n v="0"/>
    <n v="2"/>
    <n v="0"/>
    <n v="0"/>
    <n v="3"/>
    <n v="0"/>
    <n v="0.811165324674884"/>
    <n v="0.59502473559756086"/>
    <n v="1.0641079755250529"/>
    <n v="0.81745575848020657"/>
    <n v="9.9604847176766084E-2"/>
    <n v="0.11780475942994788"/>
    <n v="0.67891464284095016"/>
  </r>
  <r>
    <n v="46"/>
    <n v="46"/>
    <s v="No"/>
    <n v="0"/>
    <s v="Travel_Rarely"/>
    <n v="0"/>
    <n v="1"/>
    <x v="1"/>
    <n v="1"/>
    <n v="0"/>
    <n v="7"/>
    <n v="7"/>
    <n v="2"/>
    <s v="Medical"/>
    <n v="0"/>
    <n v="0"/>
    <n v="1"/>
    <n v="0"/>
    <n v="0"/>
    <n v="4"/>
    <s v="Male"/>
    <n v="0"/>
    <n v="75"/>
    <n v="3"/>
    <n v="3"/>
    <s v="Manufacturing Director"/>
    <n v="0"/>
    <n v="0"/>
    <n v="0"/>
    <n v="0"/>
    <n v="1"/>
    <n v="1"/>
    <n v="0"/>
    <n v="0"/>
    <n v="3"/>
    <s v="Divorced"/>
    <n v="0"/>
    <n v="0"/>
    <n v="10845"/>
    <n v="10845"/>
    <n v="6"/>
    <s v="No"/>
    <n v="0"/>
    <n v="13"/>
    <n v="3"/>
    <n v="2"/>
    <n v="1"/>
    <n v="13"/>
    <x v="10"/>
    <n v="3"/>
    <n v="3"/>
    <n v="8"/>
    <n v="8"/>
    <n v="7"/>
    <n v="0"/>
    <n v="0"/>
    <n v="7"/>
    <n v="7"/>
    <n v="21"/>
    <n v="1"/>
    <n v="0"/>
    <n v="0"/>
    <n v="0"/>
    <n v="1"/>
    <n v="0"/>
    <n v="0"/>
    <n v="0"/>
    <n v="0"/>
    <n v="7"/>
    <n v="0"/>
    <n v="0"/>
    <n v="13"/>
    <n v="0"/>
    <n v="0.92228304284173268"/>
    <n v="0.80626709607243985"/>
    <n v="0.22110993920818819"/>
    <n v="0.16189221622713135"/>
    <n v="0.27045191444879263"/>
    <n v="0.99352155519239249"/>
    <n v="0.67891464284095016"/>
  </r>
  <r>
    <n v="24"/>
    <n v="24"/>
    <s v="No"/>
    <n v="0"/>
    <s v="Travel_Rarely"/>
    <n v="0"/>
    <n v="1"/>
    <x v="1"/>
    <n v="1"/>
    <n v="0"/>
    <n v="17"/>
    <n v="17"/>
    <n v="1"/>
    <s v="Medical"/>
    <n v="0"/>
    <n v="0"/>
    <n v="1"/>
    <n v="0"/>
    <n v="0"/>
    <n v="4"/>
    <s v="Female"/>
    <n v="1"/>
    <n v="41"/>
    <n v="2"/>
    <n v="2"/>
    <s v="Manufacturing Director"/>
    <n v="0"/>
    <n v="0"/>
    <n v="0"/>
    <n v="0"/>
    <n v="1"/>
    <n v="1"/>
    <n v="0"/>
    <n v="0"/>
    <n v="3"/>
    <s v="Divorced"/>
    <n v="0"/>
    <n v="0"/>
    <n v="4377"/>
    <n v="4377"/>
    <n v="1"/>
    <s v="No"/>
    <n v="0"/>
    <n v="15"/>
    <n v="3"/>
    <n v="2"/>
    <n v="2"/>
    <n v="5"/>
    <x v="7"/>
    <n v="6"/>
    <n v="3"/>
    <n v="4"/>
    <n v="4"/>
    <n v="2"/>
    <n v="3"/>
    <n v="3"/>
    <n v="2"/>
    <n v="2"/>
    <n v="4"/>
    <n v="1"/>
    <n v="0"/>
    <n v="0"/>
    <n v="0"/>
    <n v="1"/>
    <n v="0"/>
    <n v="0"/>
    <n v="0"/>
    <n v="0"/>
    <n v="2"/>
    <n v="0"/>
    <n v="0"/>
    <n v="5"/>
    <n v="0"/>
    <n v="0.45156134401005965"/>
    <n v="0.59502473559756086"/>
    <n v="0.80706439257840468"/>
    <n v="0.49100643357776058"/>
    <n v="0.96307062430306978"/>
    <n v="1.4146996331543302"/>
    <n v="0.2520597274726662"/>
  </r>
  <r>
    <n v="35"/>
    <n v="35"/>
    <s v="Yes"/>
    <n v="1"/>
    <s v="Travel_Rarely"/>
    <n v="0"/>
    <n v="1"/>
    <x v="1"/>
    <n v="1"/>
    <n v="0"/>
    <n v="14"/>
    <n v="14"/>
    <n v="4"/>
    <s v="Other"/>
    <n v="0"/>
    <n v="1"/>
    <n v="0"/>
    <n v="0"/>
    <n v="0"/>
    <n v="3"/>
    <s v="Male"/>
    <n v="0"/>
    <n v="39"/>
    <n v="2"/>
    <n v="1"/>
    <s v="Laboratory Technician"/>
    <n v="0"/>
    <n v="0"/>
    <n v="1"/>
    <n v="0"/>
    <n v="0"/>
    <n v="0"/>
    <n v="0"/>
    <n v="0"/>
    <n v="2"/>
    <s v="Divorced"/>
    <n v="0"/>
    <n v="0"/>
    <n v="3743"/>
    <n v="3743"/>
    <n v="1"/>
    <s v="Yes"/>
    <n v="1"/>
    <n v="24"/>
    <n v="4"/>
    <n v="4"/>
    <n v="1"/>
    <n v="5"/>
    <x v="7"/>
    <n v="2"/>
    <n v="1"/>
    <n v="4"/>
    <n v="4"/>
    <n v="2"/>
    <n v="0"/>
    <n v="0"/>
    <n v="2"/>
    <n v="2"/>
    <n v="2"/>
    <n v="1"/>
    <n v="0"/>
    <n v="0"/>
    <n v="0"/>
    <n v="0"/>
    <n v="1"/>
    <n v="0"/>
    <n v="0"/>
    <n v="0"/>
    <n v="2"/>
    <n v="0"/>
    <n v="0"/>
    <n v="5"/>
    <n v="0"/>
    <n v="0.58622698118755445"/>
    <n v="0.59502473559756086"/>
    <n v="0.80706439257840468"/>
    <n v="0.49100643357776058"/>
    <n v="0.59301386267751111"/>
    <n v="0.21058903898096887"/>
    <n v="0.67891464284095016"/>
  </r>
  <r>
    <n v="31"/>
    <n v="31"/>
    <s v="No"/>
    <n v="0"/>
    <s v="Travel_Frequently"/>
    <n v="1"/>
    <n v="0"/>
    <x v="1"/>
    <n v="1"/>
    <n v="0"/>
    <n v="1"/>
    <n v="1"/>
    <n v="1"/>
    <s v="Life Sciences"/>
    <n v="1"/>
    <n v="0"/>
    <n v="0"/>
    <n v="0"/>
    <n v="0"/>
    <n v="3"/>
    <s v="Female"/>
    <n v="1"/>
    <n v="96"/>
    <n v="3"/>
    <n v="2"/>
    <s v="Manufacturing Director"/>
    <n v="0"/>
    <n v="0"/>
    <n v="0"/>
    <n v="0"/>
    <n v="1"/>
    <n v="1"/>
    <n v="0"/>
    <n v="0"/>
    <n v="1"/>
    <s v="Married"/>
    <n v="0"/>
    <n v="1"/>
    <n v="4148"/>
    <n v="4148"/>
    <n v="1"/>
    <s v="No"/>
    <n v="0"/>
    <n v="12"/>
    <n v="3"/>
    <n v="3"/>
    <n v="1"/>
    <n v="4"/>
    <x v="20"/>
    <n v="1"/>
    <n v="3"/>
    <n v="4"/>
    <n v="4"/>
    <n v="3"/>
    <n v="0"/>
    <n v="0"/>
    <n v="3"/>
    <n v="3"/>
    <n v="6"/>
    <n v="0"/>
    <n v="0"/>
    <n v="0"/>
    <n v="1"/>
    <n v="0"/>
    <n v="0"/>
    <n v="1"/>
    <n v="0"/>
    <n v="0"/>
    <n v="3"/>
    <n v="0"/>
    <n v="0"/>
    <n v="4"/>
    <n v="0"/>
    <n v="0.50020240223347656"/>
    <n v="0.31476636926356072"/>
    <n v="0.93558618405172878"/>
    <n v="0.49100643357776058"/>
    <n v="1.01056543769991"/>
    <n v="0.6484474368621912"/>
    <n v="0.67891464284095016"/>
  </r>
  <r>
    <n v="18"/>
    <n v="19"/>
    <s v="No"/>
    <n v="0"/>
    <s v="Non-Travel"/>
    <n v="0"/>
    <n v="0"/>
    <x v="1"/>
    <n v="1"/>
    <n v="0"/>
    <n v="5"/>
    <n v="5"/>
    <n v="2"/>
    <s v="Life Sciences"/>
    <n v="1"/>
    <n v="0"/>
    <n v="0"/>
    <n v="0"/>
    <n v="0"/>
    <n v="2"/>
    <s v="Male"/>
    <n v="0"/>
    <n v="73"/>
    <n v="3"/>
    <n v="1"/>
    <s v="Research Scientist"/>
    <n v="0"/>
    <n v="0"/>
    <n v="0"/>
    <n v="0"/>
    <n v="0"/>
    <n v="0"/>
    <n v="0"/>
    <n v="1"/>
    <n v="4"/>
    <s v="Single"/>
    <n v="1"/>
    <n v="0"/>
    <n v="1051"/>
    <n v="1382.46"/>
    <n v="1"/>
    <s v="No"/>
    <n v="0"/>
    <n v="15"/>
    <n v="3"/>
    <n v="4"/>
    <n v="0"/>
    <n v="0"/>
    <x v="5"/>
    <n v="2"/>
    <n v="3"/>
    <n v="0"/>
    <n v="0"/>
    <n v="0"/>
    <n v="0"/>
    <n v="0"/>
    <n v="0"/>
    <n v="0"/>
    <n v="0"/>
    <n v="1"/>
    <n v="0"/>
    <n v="0"/>
    <n v="0"/>
    <n v="1"/>
    <n v="0"/>
    <n v="0"/>
    <n v="0"/>
    <n v="0"/>
    <n v="0"/>
    <n v="0"/>
    <n v="0"/>
    <n v="1"/>
    <n v="0"/>
    <n v="1.1580249232724376"/>
    <n v="1.1555414682655611"/>
    <n v="1.4496733499450252"/>
    <n v="1.1439050833826525"/>
    <n v="0.51715642219916513"/>
    <n v="2.0714872299761637"/>
    <n v="0.67891464284095016"/>
  </r>
  <r>
    <n v="54"/>
    <n v="54"/>
    <s v="No"/>
    <n v="0"/>
    <s v="Travel_Rarely"/>
    <n v="0"/>
    <n v="1"/>
    <x v="1"/>
    <n v="1"/>
    <n v="0"/>
    <n v="17"/>
    <n v="17"/>
    <n v="3"/>
    <s v="Technical Degree"/>
    <n v="0"/>
    <n v="0"/>
    <n v="0"/>
    <n v="0"/>
    <n v="1"/>
    <n v="3"/>
    <s v="Female"/>
    <n v="1"/>
    <n v="56"/>
    <n v="3"/>
    <n v="3"/>
    <s v="Manufacturing Director"/>
    <n v="0"/>
    <n v="0"/>
    <n v="0"/>
    <n v="0"/>
    <n v="1"/>
    <n v="1"/>
    <n v="0"/>
    <n v="0"/>
    <n v="3"/>
    <s v="Married"/>
    <n v="0"/>
    <n v="1"/>
    <n v="10739"/>
    <n v="10739"/>
    <n v="8"/>
    <s v="No"/>
    <n v="0"/>
    <n v="11"/>
    <n v="3"/>
    <n v="3"/>
    <n v="1"/>
    <n v="22"/>
    <x v="13"/>
    <n v="2"/>
    <n v="3"/>
    <n v="10"/>
    <n v="10"/>
    <n v="7"/>
    <n v="0"/>
    <n v="0"/>
    <n v="8"/>
    <n v="8"/>
    <n v="24"/>
    <n v="0"/>
    <n v="1"/>
    <n v="0"/>
    <n v="0"/>
    <n v="0"/>
    <n v="0"/>
    <n v="1"/>
    <n v="0"/>
    <n v="0"/>
    <n v="8"/>
    <n v="0"/>
    <n v="0"/>
    <n v="22"/>
    <n v="0"/>
    <n v="0.89976796785622093"/>
    <n v="1.08652546240644"/>
    <n v="1.3778060624681052"/>
    <n v="0.48834154112957734"/>
    <n v="0.96307062430306978"/>
    <n v="1.8692383509548371"/>
    <n v="0.67891464284095016"/>
  </r>
  <r>
    <n v="35"/>
    <n v="35"/>
    <s v="No"/>
    <n v="0"/>
    <s v="Travel_Rarely"/>
    <n v="0"/>
    <n v="1"/>
    <x v="1"/>
    <n v="1"/>
    <n v="0"/>
    <n v="25"/>
    <n v="25"/>
    <n v="4"/>
    <s v="Medical"/>
    <n v="0"/>
    <n v="0"/>
    <n v="1"/>
    <n v="0"/>
    <n v="0"/>
    <n v="3"/>
    <s v="Female"/>
    <n v="1"/>
    <n v="57"/>
    <n v="3"/>
    <n v="3"/>
    <s v="Healthcare Representative"/>
    <n v="1"/>
    <n v="0"/>
    <n v="0"/>
    <n v="0"/>
    <n v="0"/>
    <n v="0"/>
    <n v="0"/>
    <n v="0"/>
    <n v="3"/>
    <s v="Divorced"/>
    <n v="0"/>
    <n v="0"/>
    <n v="10388"/>
    <n v="10388"/>
    <n v="1"/>
    <s v="Yes"/>
    <n v="1"/>
    <n v="11"/>
    <n v="3"/>
    <n v="3"/>
    <n v="1"/>
    <n v="16"/>
    <x v="27"/>
    <n v="3"/>
    <n v="2"/>
    <n v="16"/>
    <n v="16"/>
    <n v="10"/>
    <n v="10"/>
    <n v="10"/>
    <n v="1"/>
    <n v="1"/>
    <n v="3"/>
    <n v="1"/>
    <n v="0"/>
    <n v="0"/>
    <n v="0"/>
    <n v="0"/>
    <n v="1"/>
    <n v="0"/>
    <n v="0"/>
    <n v="0"/>
    <n v="1"/>
    <n v="0"/>
    <n v="0"/>
    <n v="16"/>
    <n v="0"/>
    <n v="0.82521333276268671"/>
    <n v="0.87528310193156111"/>
    <n v="0.60667531362816052"/>
    <n v="1.4676895158369152"/>
    <n v="1.9498886553045598"/>
    <n v="0.21058903898096887"/>
    <n v="2.4243332582044381"/>
  </r>
  <r>
    <n v="30"/>
    <n v="30"/>
    <s v="No"/>
    <n v="0"/>
    <s v="Travel_Rarely"/>
    <n v="0"/>
    <n v="1"/>
    <x v="1"/>
    <n v="1"/>
    <n v="0"/>
    <n v="8"/>
    <n v="8"/>
    <n v="2"/>
    <s v="Life Sciences"/>
    <n v="1"/>
    <n v="0"/>
    <n v="0"/>
    <n v="0"/>
    <n v="0"/>
    <n v="2"/>
    <s v="Female"/>
    <n v="1"/>
    <n v="73"/>
    <n v="4"/>
    <n v="3"/>
    <s v="Research Director"/>
    <n v="0"/>
    <n v="0"/>
    <n v="0"/>
    <n v="0"/>
    <n v="0"/>
    <n v="0"/>
    <n v="0"/>
    <n v="0"/>
    <n v="1"/>
    <s v="Married"/>
    <n v="0"/>
    <n v="1"/>
    <n v="11416"/>
    <n v="11416"/>
    <n v="0"/>
    <s v="Yes"/>
    <n v="1"/>
    <n v="12"/>
    <n v="3"/>
    <n v="3"/>
    <n v="3"/>
    <n v="9"/>
    <x v="14"/>
    <n v="4"/>
    <n v="2"/>
    <n v="8"/>
    <n v="8"/>
    <n v="7"/>
    <n v="1"/>
    <n v="1"/>
    <n v="7"/>
    <n v="7"/>
    <n v="21"/>
    <n v="0"/>
    <n v="1"/>
    <n v="0"/>
    <n v="0"/>
    <n v="0"/>
    <n v="0"/>
    <n v="0"/>
    <n v="1"/>
    <n v="0"/>
    <n v="7"/>
    <n v="0"/>
    <n v="0"/>
    <n v="9"/>
    <n v="0"/>
    <n v="1.0435670788485931"/>
    <n v="0.80626709607243985"/>
    <n v="0.29297722668510823"/>
    <n v="0.16189221622713135"/>
    <n v="0.14709966057360641"/>
    <n v="0.75791203633249671"/>
    <n v="0.36858985273641137"/>
  </r>
  <r>
    <n v="20"/>
    <n v="20"/>
    <s v="Yes"/>
    <n v="1"/>
    <s v="Travel_Rarely"/>
    <n v="0"/>
    <n v="1"/>
    <x v="1"/>
    <n v="1"/>
    <n v="0"/>
    <n v="11"/>
    <n v="11"/>
    <n v="3"/>
    <s v="Medical"/>
    <n v="0"/>
    <n v="0"/>
    <n v="1"/>
    <n v="0"/>
    <n v="0"/>
    <n v="4"/>
    <s v="Female"/>
    <n v="1"/>
    <n v="98"/>
    <n v="2"/>
    <n v="1"/>
    <s v="Research Scientist"/>
    <n v="0"/>
    <n v="0"/>
    <n v="0"/>
    <n v="0"/>
    <n v="0"/>
    <n v="0"/>
    <n v="0"/>
    <n v="1"/>
    <n v="1"/>
    <s v="Single"/>
    <n v="1"/>
    <n v="0"/>
    <n v="2600"/>
    <n v="2600"/>
    <n v="1"/>
    <s v="Yes"/>
    <n v="1"/>
    <n v="15"/>
    <n v="3"/>
    <n v="1"/>
    <n v="0"/>
    <n v="1"/>
    <x v="5"/>
    <n v="2"/>
    <n v="3"/>
    <n v="1"/>
    <n v="1"/>
    <n v="0"/>
    <n v="0"/>
    <n v="0"/>
    <n v="0"/>
    <n v="0"/>
    <n v="0"/>
    <n v="1"/>
    <n v="0"/>
    <n v="0"/>
    <n v="0"/>
    <n v="0"/>
    <n v="1"/>
    <n v="0"/>
    <n v="0"/>
    <n v="0"/>
    <n v="0"/>
    <n v="0"/>
    <n v="0"/>
    <n v="1"/>
    <n v="0"/>
    <n v="0.82900745956906319"/>
    <n v="1.1555414682655611"/>
    <n v="1.3211515584717011"/>
    <n v="0.9806804209314296"/>
    <n v="0.22295710105195232"/>
    <n v="1.8525580310355525"/>
    <n v="0.67891464284095016"/>
  </r>
  <r>
    <n v="30"/>
    <n v="30"/>
    <s v="Yes"/>
    <n v="1"/>
    <s v="Travel_Frequently"/>
    <n v="1"/>
    <n v="0"/>
    <x v="1"/>
    <n v="1"/>
    <n v="0"/>
    <n v="5"/>
    <n v="5"/>
    <n v="3"/>
    <s v="Medical"/>
    <n v="0"/>
    <n v="0"/>
    <n v="1"/>
    <n v="0"/>
    <n v="0"/>
    <n v="2"/>
    <s v="Female"/>
    <n v="1"/>
    <n v="60"/>
    <n v="3"/>
    <n v="1"/>
    <s v="Laboratory Technician"/>
    <n v="0"/>
    <n v="0"/>
    <n v="1"/>
    <n v="0"/>
    <n v="0"/>
    <n v="0"/>
    <n v="0"/>
    <n v="0"/>
    <n v="2"/>
    <s v="Single"/>
    <n v="1"/>
    <n v="0"/>
    <n v="2422"/>
    <n v="2422"/>
    <n v="0"/>
    <s v="No"/>
    <n v="0"/>
    <n v="17"/>
    <n v="3"/>
    <n v="1"/>
    <n v="0"/>
    <n v="4"/>
    <x v="20"/>
    <n v="3"/>
    <n v="3"/>
    <n v="3"/>
    <n v="3"/>
    <n v="2"/>
    <n v="1"/>
    <n v="1"/>
    <n v="2"/>
    <n v="2"/>
    <n v="2"/>
    <n v="0"/>
    <n v="0"/>
    <n v="1"/>
    <n v="0"/>
    <n v="1"/>
    <n v="0"/>
    <n v="0"/>
    <n v="0"/>
    <n v="0"/>
    <n v="2"/>
    <n v="0"/>
    <n v="0"/>
    <n v="4"/>
    <n v="0"/>
    <n v="0.86681579303529988"/>
    <n v="0.59502473559756086"/>
    <n v="0.93558618405172878"/>
    <n v="0.65423109602898355"/>
    <n v="0.51715642219916513"/>
    <n v="0.75791203633249671"/>
    <n v="0.36858985273641137"/>
  </r>
  <r>
    <n v="26"/>
    <n v="26"/>
    <s v="No"/>
    <n v="0"/>
    <s v="Travel_Rarely"/>
    <n v="0"/>
    <n v="1"/>
    <x v="1"/>
    <n v="1"/>
    <n v="0"/>
    <n v="2"/>
    <n v="2"/>
    <n v="2"/>
    <s v="Medical"/>
    <n v="0"/>
    <n v="0"/>
    <n v="1"/>
    <n v="0"/>
    <n v="0"/>
    <n v="4"/>
    <s v="Male"/>
    <n v="0"/>
    <n v="32"/>
    <n v="4"/>
    <n v="2"/>
    <s v="Manufacturing Director"/>
    <n v="0"/>
    <n v="0"/>
    <n v="0"/>
    <n v="0"/>
    <n v="1"/>
    <n v="1"/>
    <n v="0"/>
    <n v="0"/>
    <n v="4"/>
    <s v="Married"/>
    <n v="0"/>
    <n v="1"/>
    <n v="5472"/>
    <n v="5472"/>
    <n v="1"/>
    <s v="No"/>
    <n v="0"/>
    <n v="12"/>
    <n v="3"/>
    <n v="2"/>
    <n v="0"/>
    <n v="8"/>
    <x v="0"/>
    <n v="2"/>
    <n v="3"/>
    <n v="8"/>
    <n v="8"/>
    <n v="7"/>
    <n v="1"/>
    <n v="1"/>
    <n v="3"/>
    <n v="3"/>
    <n v="6"/>
    <n v="0"/>
    <n v="1"/>
    <n v="0"/>
    <n v="0"/>
    <n v="0"/>
    <n v="0"/>
    <n v="1"/>
    <n v="0"/>
    <n v="0"/>
    <n v="3"/>
    <n v="0"/>
    <n v="0"/>
    <n v="8"/>
    <n v="0"/>
    <n v="0.21897637128236752"/>
    <n v="0.31476636926356072"/>
    <n v="0.42149901815843233"/>
    <n v="0.16189221622713135"/>
    <n v="0.88721318382472392"/>
    <n v="1.195770434213719"/>
    <n v="0.36858985273641137"/>
  </r>
  <r>
    <n v="22"/>
    <n v="22"/>
    <s v="No"/>
    <n v="0"/>
    <s v="Travel_Rarely"/>
    <n v="0"/>
    <n v="1"/>
    <x v="1"/>
    <n v="1"/>
    <n v="0"/>
    <n v="8"/>
    <n v="8"/>
    <n v="1"/>
    <s v="Life Sciences"/>
    <n v="1"/>
    <n v="0"/>
    <n v="0"/>
    <n v="0"/>
    <n v="0"/>
    <n v="2"/>
    <s v="Male"/>
    <n v="0"/>
    <n v="94"/>
    <n v="1"/>
    <n v="1"/>
    <s v="Laboratory Technician"/>
    <n v="0"/>
    <n v="0"/>
    <n v="1"/>
    <n v="0"/>
    <n v="0"/>
    <n v="0"/>
    <n v="0"/>
    <n v="0"/>
    <n v="1"/>
    <s v="Married"/>
    <n v="0"/>
    <n v="1"/>
    <n v="2451"/>
    <n v="2451"/>
    <n v="1"/>
    <s v="No"/>
    <n v="0"/>
    <n v="15"/>
    <n v="3"/>
    <n v="1"/>
    <n v="1"/>
    <n v="4"/>
    <x v="20"/>
    <n v="3"/>
    <n v="2"/>
    <n v="4"/>
    <n v="4"/>
    <n v="3"/>
    <n v="1"/>
    <n v="1"/>
    <n v="1"/>
    <n v="1"/>
    <n v="1"/>
    <n v="0"/>
    <n v="1"/>
    <n v="0"/>
    <n v="0"/>
    <n v="0"/>
    <n v="0"/>
    <n v="1"/>
    <n v="0"/>
    <n v="0"/>
    <n v="1"/>
    <n v="0"/>
    <n v="0"/>
    <n v="4"/>
    <n v="0"/>
    <n v="0.86065600836945233"/>
    <n v="0.87528310193156111"/>
    <n v="0.93558618405172878"/>
    <n v="0.49100643357776058"/>
    <n v="0.14709966057360641"/>
    <n v="1.6336288320949415"/>
    <n v="0.36858985273641137"/>
  </r>
  <r>
    <n v="48"/>
    <n v="48"/>
    <s v="No"/>
    <n v="0"/>
    <s v="Travel_Rarely"/>
    <n v="0"/>
    <n v="1"/>
    <x v="1"/>
    <n v="1"/>
    <n v="0"/>
    <n v="6"/>
    <n v="6"/>
    <n v="3"/>
    <s v="Life Sciences"/>
    <n v="1"/>
    <n v="0"/>
    <n v="0"/>
    <n v="0"/>
    <n v="0"/>
    <n v="1"/>
    <s v="Male"/>
    <n v="0"/>
    <n v="97"/>
    <n v="2"/>
    <n v="2"/>
    <s v="Healthcare Representative"/>
    <n v="1"/>
    <n v="0"/>
    <n v="0"/>
    <n v="0"/>
    <n v="0"/>
    <n v="0"/>
    <n v="0"/>
    <n v="0"/>
    <n v="3"/>
    <s v="Single"/>
    <n v="1"/>
    <n v="0"/>
    <n v="4240"/>
    <n v="4240"/>
    <n v="2"/>
    <s v="No"/>
    <n v="0"/>
    <n v="13"/>
    <n v="3"/>
    <n v="4"/>
    <n v="0"/>
    <n v="19"/>
    <x v="15"/>
    <n v="0"/>
    <n v="3"/>
    <n v="2"/>
    <n v="2"/>
    <n v="2"/>
    <n v="2"/>
    <n v="2"/>
    <n v="2"/>
    <n v="2"/>
    <n v="4"/>
    <n v="1"/>
    <n v="0"/>
    <n v="0"/>
    <n v="0"/>
    <n v="1"/>
    <n v="0"/>
    <n v="0"/>
    <n v="0"/>
    <n v="0"/>
    <n v="2"/>
    <n v="0"/>
    <n v="0"/>
    <n v="19"/>
    <n v="0"/>
    <n v="0.48066101639699466"/>
    <n v="0.59502473559756086"/>
    <n v="0.99224068804813281"/>
    <n v="0.81745575848020657"/>
    <n v="0.39380416832397891"/>
    <n v="1.2124507541330036"/>
    <n v="5.8265062631872602E-2"/>
  </r>
  <r>
    <n v="48"/>
    <n v="48"/>
    <s v="No"/>
    <n v="0"/>
    <s v="Travel_Rarely"/>
    <n v="0"/>
    <n v="1"/>
    <x v="1"/>
    <n v="1"/>
    <n v="0"/>
    <n v="4"/>
    <n v="4"/>
    <n v="4"/>
    <s v="Life Sciences"/>
    <n v="1"/>
    <n v="0"/>
    <n v="0"/>
    <n v="0"/>
    <n v="0"/>
    <n v="3"/>
    <s v="Male"/>
    <n v="0"/>
    <n v="78"/>
    <n v="2"/>
    <n v="3"/>
    <s v="Healthcare Representative"/>
    <n v="1"/>
    <n v="0"/>
    <n v="0"/>
    <n v="0"/>
    <n v="0"/>
    <n v="0"/>
    <n v="0"/>
    <n v="0"/>
    <n v="3"/>
    <s v="Single"/>
    <n v="1"/>
    <n v="0"/>
    <n v="10999"/>
    <n v="10999"/>
    <n v="7"/>
    <s v="No"/>
    <n v="0"/>
    <n v="14"/>
    <n v="3"/>
    <n v="2"/>
    <n v="0"/>
    <n v="27"/>
    <x v="34"/>
    <n v="3"/>
    <n v="3"/>
    <n v="15"/>
    <n v="15"/>
    <n v="11"/>
    <n v="4"/>
    <n v="4"/>
    <n v="8"/>
    <n v="8"/>
    <n v="24"/>
    <n v="1"/>
    <n v="0"/>
    <n v="0"/>
    <n v="0"/>
    <n v="1"/>
    <n v="0"/>
    <n v="0"/>
    <n v="0"/>
    <n v="0"/>
    <n v="8"/>
    <n v="0"/>
    <n v="0"/>
    <n v="27"/>
    <n v="0"/>
    <n v="0.95499362348106098"/>
    <n v="1.08652546240644"/>
    <n v="2.0204150198347257"/>
    <n v="1.3044648533856922"/>
    <n v="0.64050867607435136"/>
    <n v="1.2124507541330036"/>
    <n v="0.56238451757720498"/>
  </r>
  <r>
    <n v="41"/>
    <n v="41"/>
    <s v="No"/>
    <n v="0"/>
    <s v="Travel_Rarely"/>
    <n v="0"/>
    <n v="1"/>
    <x v="1"/>
    <n v="1"/>
    <n v="0"/>
    <n v="7"/>
    <n v="7"/>
    <n v="2"/>
    <s v="Medical"/>
    <n v="0"/>
    <n v="0"/>
    <n v="1"/>
    <n v="0"/>
    <n v="0"/>
    <n v="4"/>
    <s v="Female"/>
    <n v="1"/>
    <n v="42"/>
    <n v="3"/>
    <n v="2"/>
    <s v="Manufacturing Director"/>
    <n v="0"/>
    <n v="0"/>
    <n v="0"/>
    <n v="0"/>
    <n v="1"/>
    <n v="1"/>
    <n v="0"/>
    <n v="0"/>
    <n v="3"/>
    <s v="Single"/>
    <n v="1"/>
    <n v="0"/>
    <n v="5003"/>
    <n v="5003"/>
    <n v="6"/>
    <s v="No"/>
    <n v="0"/>
    <n v="14"/>
    <n v="3"/>
    <n v="2"/>
    <n v="0"/>
    <n v="8"/>
    <x v="0"/>
    <n v="6"/>
    <n v="3"/>
    <n v="2"/>
    <n v="2"/>
    <n v="2"/>
    <n v="2"/>
    <n v="2"/>
    <n v="1"/>
    <n v="1"/>
    <n v="2"/>
    <n v="1"/>
    <n v="0"/>
    <n v="0"/>
    <n v="0"/>
    <n v="1"/>
    <n v="0"/>
    <n v="0"/>
    <n v="0"/>
    <n v="0"/>
    <n v="1"/>
    <n v="0"/>
    <n v="0"/>
    <n v="8"/>
    <n v="0"/>
    <n v="0.31859495777486763"/>
    <n v="0.87528310193156111"/>
    <n v="0.42149901815843233"/>
    <n v="0.81745575848020657"/>
    <n v="0.27045191444879263"/>
    <n v="0.4461985578408646"/>
    <n v="5.8265062631872602E-2"/>
  </r>
  <r>
    <n v="39"/>
    <n v="39"/>
    <s v="No"/>
    <n v="0"/>
    <s v="Travel_Rarely"/>
    <n v="0"/>
    <n v="1"/>
    <x v="1"/>
    <n v="1"/>
    <n v="0"/>
    <n v="1"/>
    <n v="1"/>
    <n v="1"/>
    <s v="Life Sciences"/>
    <n v="1"/>
    <n v="0"/>
    <n v="0"/>
    <n v="0"/>
    <n v="0"/>
    <n v="4"/>
    <s v="Female"/>
    <n v="1"/>
    <n v="65"/>
    <n v="2"/>
    <n v="4"/>
    <s v="Manufacturing Director"/>
    <n v="0"/>
    <n v="0"/>
    <n v="0"/>
    <n v="0"/>
    <n v="1"/>
    <n v="1"/>
    <n v="0"/>
    <n v="0"/>
    <n v="4"/>
    <s v="Married"/>
    <n v="0"/>
    <n v="1"/>
    <n v="12742"/>
    <n v="12742"/>
    <n v="1"/>
    <s v="No"/>
    <n v="0"/>
    <n v="16"/>
    <n v="3"/>
    <n v="3"/>
    <n v="1"/>
    <n v="21"/>
    <x v="23"/>
    <n v="3"/>
    <n v="3"/>
    <n v="21"/>
    <n v="21"/>
    <n v="6"/>
    <n v="11"/>
    <n v="11"/>
    <n v="8"/>
    <n v="8"/>
    <n v="32"/>
    <n v="0"/>
    <n v="1"/>
    <n v="0"/>
    <n v="0"/>
    <n v="0"/>
    <n v="0"/>
    <n v="1"/>
    <n v="0"/>
    <n v="0"/>
    <n v="8"/>
    <n v="0"/>
    <n v="0"/>
    <n v="21"/>
    <n v="0"/>
    <n v="1.3252179225352778"/>
    <n v="1.08652546240644"/>
    <n v="1.2492842709947811"/>
    <n v="2.2838128280930299"/>
    <n v="1.01056543769991"/>
    <n v="0.22726935890025346"/>
    <n v="2.7346580483089769"/>
  </r>
  <r>
    <n v="27"/>
    <n v="27"/>
    <s v="No"/>
    <n v="0"/>
    <s v="Travel_Rarely"/>
    <n v="0"/>
    <n v="1"/>
    <x v="1"/>
    <n v="1"/>
    <n v="0"/>
    <n v="2"/>
    <n v="2"/>
    <n v="4"/>
    <s v="Life Sciences"/>
    <n v="1"/>
    <n v="0"/>
    <n v="0"/>
    <n v="0"/>
    <n v="0"/>
    <n v="1"/>
    <s v="Female"/>
    <n v="1"/>
    <n v="47"/>
    <n v="3"/>
    <n v="2"/>
    <s v="Manufacturing Director"/>
    <n v="0"/>
    <n v="0"/>
    <n v="0"/>
    <n v="0"/>
    <n v="1"/>
    <n v="1"/>
    <n v="0"/>
    <n v="0"/>
    <n v="4"/>
    <s v="Married"/>
    <n v="0"/>
    <n v="1"/>
    <n v="4227"/>
    <n v="4227"/>
    <n v="0"/>
    <s v="No"/>
    <n v="0"/>
    <n v="18"/>
    <n v="3"/>
    <n v="2"/>
    <n v="1"/>
    <n v="4"/>
    <x v="20"/>
    <n v="2"/>
    <n v="3"/>
    <n v="3"/>
    <n v="3"/>
    <n v="2"/>
    <n v="2"/>
    <n v="2"/>
    <n v="2"/>
    <n v="2"/>
    <n v="4"/>
    <n v="0"/>
    <n v="1"/>
    <n v="0"/>
    <n v="0"/>
    <n v="0"/>
    <n v="0"/>
    <n v="1"/>
    <n v="0"/>
    <n v="0"/>
    <n v="2"/>
    <n v="0"/>
    <n v="0"/>
    <n v="4"/>
    <n v="0"/>
    <n v="0.48342229917823665"/>
    <n v="0.59502473559756086"/>
    <n v="0.93558618405172878"/>
    <n v="0.65423109602898355"/>
    <n v="0.88721318382472392"/>
    <n v="1.0863058347434136"/>
    <n v="5.8265062631872602E-2"/>
  </r>
  <r>
    <n v="35"/>
    <n v="35"/>
    <s v="No"/>
    <n v="0"/>
    <s v="Travel_Rarely"/>
    <n v="0"/>
    <n v="1"/>
    <x v="1"/>
    <n v="1"/>
    <n v="0"/>
    <n v="10"/>
    <n v="10"/>
    <n v="3"/>
    <s v="Other"/>
    <n v="0"/>
    <n v="1"/>
    <n v="0"/>
    <n v="0"/>
    <n v="0"/>
    <n v="2"/>
    <s v="Male"/>
    <n v="0"/>
    <n v="45"/>
    <n v="3"/>
    <n v="1"/>
    <s v="Laboratory Technician"/>
    <n v="0"/>
    <n v="0"/>
    <n v="1"/>
    <n v="0"/>
    <n v="0"/>
    <n v="0"/>
    <n v="0"/>
    <n v="0"/>
    <n v="4"/>
    <s v="Divorced"/>
    <n v="0"/>
    <n v="0"/>
    <n v="3917"/>
    <n v="3917"/>
    <n v="1"/>
    <s v="No"/>
    <n v="0"/>
    <n v="20"/>
    <n v="4"/>
    <n v="1"/>
    <n v="1"/>
    <n v="3"/>
    <x v="8"/>
    <n v="4"/>
    <n v="2"/>
    <n v="3"/>
    <n v="3"/>
    <n v="2"/>
    <n v="1"/>
    <n v="1"/>
    <n v="2"/>
    <n v="2"/>
    <n v="2"/>
    <n v="1"/>
    <n v="0"/>
    <n v="0"/>
    <n v="0"/>
    <n v="1"/>
    <n v="0"/>
    <n v="0"/>
    <n v="0"/>
    <n v="0"/>
    <n v="2"/>
    <n v="0"/>
    <n v="0"/>
    <n v="3"/>
    <n v="0"/>
    <n v="0.54926827319246907"/>
    <n v="0.59502473559756086"/>
    <n v="1.0641079755250529"/>
    <n v="0.65423109602898355"/>
    <n v="9.9604847176766084E-2"/>
    <n v="0.21058903898096887"/>
    <n v="0.36858985273641137"/>
  </r>
  <r>
    <n v="42"/>
    <n v="42"/>
    <s v="No"/>
    <n v="0"/>
    <s v="Travel_Rarely"/>
    <n v="0"/>
    <n v="1"/>
    <x v="0"/>
    <n v="0"/>
    <n v="1"/>
    <n v="5"/>
    <n v="5"/>
    <n v="2"/>
    <s v="Marketing"/>
    <n v="0"/>
    <n v="0"/>
    <n v="0"/>
    <n v="1"/>
    <n v="0"/>
    <n v="4"/>
    <s v="Male"/>
    <n v="0"/>
    <n v="90"/>
    <n v="3"/>
    <n v="5"/>
    <s v="Manager"/>
    <n v="0"/>
    <n v="0"/>
    <n v="0"/>
    <n v="1"/>
    <n v="0"/>
    <n v="0"/>
    <n v="0"/>
    <n v="0"/>
    <n v="3"/>
    <s v="Married"/>
    <n v="0"/>
    <n v="1"/>
    <n v="18303"/>
    <n v="18303"/>
    <n v="6"/>
    <s v="No"/>
    <n v="0"/>
    <n v="13"/>
    <n v="3"/>
    <n v="2"/>
    <n v="0"/>
    <n v="21"/>
    <x v="23"/>
    <n v="3"/>
    <n v="4"/>
    <n v="1"/>
    <n v="1"/>
    <n v="0"/>
    <n v="0"/>
    <n v="0"/>
    <n v="0"/>
    <n v="0"/>
    <n v="0"/>
    <n v="0"/>
    <n v="1"/>
    <n v="0"/>
    <n v="0"/>
    <n v="0"/>
    <n v="0"/>
    <n v="1"/>
    <n v="0"/>
    <n v="0"/>
    <n v="0"/>
    <n v="0"/>
    <n v="0"/>
    <n v="0"/>
    <n v="21"/>
    <n v="2.5064097338034932"/>
    <n v="1.1555414682655611"/>
    <n v="1.2492842709947811"/>
    <n v="0.9806804209314296"/>
    <n v="0.51715642219916513"/>
    <n v="0.55566315731117022"/>
    <n v="0.67891464284095016"/>
  </r>
  <r>
    <n v="50"/>
    <n v="50"/>
    <s v="No"/>
    <n v="0"/>
    <s v="Travel_Rarely"/>
    <n v="0"/>
    <n v="1"/>
    <x v="1"/>
    <n v="1"/>
    <n v="0"/>
    <n v="9"/>
    <n v="9"/>
    <n v="3"/>
    <s v="Life Sciences"/>
    <n v="1"/>
    <n v="0"/>
    <n v="0"/>
    <n v="0"/>
    <n v="0"/>
    <n v="1"/>
    <s v="Male"/>
    <n v="0"/>
    <n v="64"/>
    <n v="3"/>
    <n v="1"/>
    <s v="Laboratory Technician"/>
    <n v="0"/>
    <n v="0"/>
    <n v="1"/>
    <n v="0"/>
    <n v="0"/>
    <n v="0"/>
    <n v="0"/>
    <n v="0"/>
    <n v="4"/>
    <s v="Married"/>
    <n v="0"/>
    <n v="1"/>
    <n v="2380"/>
    <n v="2380"/>
    <n v="4"/>
    <s v="No"/>
    <n v="0"/>
    <n v="18"/>
    <n v="3"/>
    <n v="2"/>
    <n v="0"/>
    <n v="8"/>
    <x v="0"/>
    <n v="5"/>
    <n v="3"/>
    <n v="1"/>
    <n v="1"/>
    <n v="0"/>
    <n v="0"/>
    <n v="0"/>
    <n v="0"/>
    <n v="0"/>
    <n v="0"/>
    <n v="0"/>
    <n v="1"/>
    <n v="0"/>
    <n v="0"/>
    <n v="0"/>
    <n v="0"/>
    <n v="1"/>
    <n v="0"/>
    <n v="0"/>
    <n v="0"/>
    <n v="0"/>
    <n v="0"/>
    <n v="8"/>
    <n v="0"/>
    <n v="0.87573686048238941"/>
    <n v="1.1555414682655611"/>
    <n v="0.42149901815843233"/>
    <n v="0.9806804209314296"/>
    <n v="2.3747406698420157E-2"/>
    <n v="1.4313799530736149"/>
    <n v="0.67891464284095016"/>
  </r>
  <r>
    <n v="59"/>
    <n v="58.309999999999945"/>
    <s v="No"/>
    <n v="0"/>
    <s v="Travel_Rarely"/>
    <n v="0"/>
    <n v="1"/>
    <x v="1"/>
    <n v="1"/>
    <n v="0"/>
    <n v="2"/>
    <n v="2"/>
    <n v="3"/>
    <s v="Life Sciences"/>
    <n v="1"/>
    <n v="0"/>
    <n v="0"/>
    <n v="0"/>
    <n v="0"/>
    <n v="3"/>
    <s v="Female"/>
    <n v="1"/>
    <n v="69"/>
    <n v="2"/>
    <n v="4"/>
    <s v="Manufacturing Director"/>
    <n v="0"/>
    <n v="0"/>
    <n v="0"/>
    <n v="0"/>
    <n v="1"/>
    <n v="1"/>
    <n v="0"/>
    <n v="0"/>
    <n v="4"/>
    <s v="Single"/>
    <n v="1"/>
    <n v="0"/>
    <n v="13726"/>
    <n v="13726"/>
    <n v="3"/>
    <s v="Yes"/>
    <n v="1"/>
    <n v="13"/>
    <n v="3"/>
    <n v="1"/>
    <n v="0"/>
    <n v="30"/>
    <x v="29"/>
    <n v="4"/>
    <n v="3"/>
    <n v="5"/>
    <n v="5"/>
    <n v="3"/>
    <n v="4"/>
    <n v="4"/>
    <n v="3"/>
    <n v="3"/>
    <n v="12"/>
    <n v="1"/>
    <n v="0"/>
    <n v="0"/>
    <n v="0"/>
    <n v="0"/>
    <n v="1"/>
    <n v="0"/>
    <n v="0"/>
    <n v="0"/>
    <n v="3"/>
    <n v="0"/>
    <n v="0"/>
    <n v="30"/>
    <n v="0"/>
    <n v="1.5342257884385189"/>
    <n v="0.31476636926356072"/>
    <n v="2.4059803942546978"/>
    <n v="0.32778177112653761"/>
    <n v="0.88721318382472392"/>
    <n v="2.4165613483063648"/>
    <n v="0.56238451757720498"/>
  </r>
  <r>
    <n v="37"/>
    <n v="37"/>
    <s v="Yes"/>
    <n v="1"/>
    <s v="Travel_Rarely"/>
    <n v="0"/>
    <n v="1"/>
    <x v="1"/>
    <n v="1"/>
    <n v="0"/>
    <n v="11"/>
    <n v="11"/>
    <n v="2"/>
    <s v="Medical"/>
    <n v="0"/>
    <n v="0"/>
    <n v="1"/>
    <n v="0"/>
    <n v="0"/>
    <n v="1"/>
    <s v="Female"/>
    <n v="1"/>
    <n v="61"/>
    <n v="1"/>
    <n v="2"/>
    <s v="Healthcare Representative"/>
    <n v="1"/>
    <n v="0"/>
    <n v="0"/>
    <n v="0"/>
    <n v="0"/>
    <n v="0"/>
    <n v="0"/>
    <n v="0"/>
    <n v="2"/>
    <s v="Married"/>
    <n v="0"/>
    <n v="1"/>
    <n v="4777"/>
    <n v="4777"/>
    <n v="5"/>
    <s v="No"/>
    <n v="0"/>
    <n v="15"/>
    <n v="3"/>
    <n v="1"/>
    <n v="0"/>
    <n v="15"/>
    <x v="19"/>
    <n v="2"/>
    <n v="1"/>
    <n v="1"/>
    <n v="1"/>
    <n v="0"/>
    <n v="0"/>
    <n v="0"/>
    <n v="0"/>
    <n v="0"/>
    <n v="0"/>
    <n v="0"/>
    <n v="1"/>
    <n v="0"/>
    <n v="0"/>
    <n v="0"/>
    <n v="0"/>
    <n v="1"/>
    <n v="0"/>
    <n v="0"/>
    <n v="0"/>
    <n v="0"/>
    <n v="0"/>
    <n v="15"/>
    <n v="0"/>
    <n v="0.36659879689492098"/>
    <n v="1.1555414682655611"/>
    <n v="0.47815352215483642"/>
    <n v="0.9806804209314296"/>
    <n v="0.22295710105195232"/>
    <n v="8.3401599596422994E-3"/>
    <n v="0.67891464284095016"/>
  </r>
  <r>
    <n v="55"/>
    <n v="55"/>
    <s v="No"/>
    <n v="0"/>
    <s v="Travel_Frequently"/>
    <n v="1"/>
    <n v="0"/>
    <x v="1"/>
    <n v="1"/>
    <n v="0"/>
    <n v="18"/>
    <n v="18"/>
    <n v="4"/>
    <s v="Medical"/>
    <n v="0"/>
    <n v="0"/>
    <n v="1"/>
    <n v="0"/>
    <n v="0"/>
    <n v="3"/>
    <s v="Male"/>
    <n v="0"/>
    <n v="62"/>
    <n v="3"/>
    <n v="2"/>
    <s v="Healthcare Representative"/>
    <n v="1"/>
    <n v="0"/>
    <n v="0"/>
    <n v="0"/>
    <n v="0"/>
    <n v="0"/>
    <n v="0"/>
    <n v="0"/>
    <n v="2"/>
    <s v="Married"/>
    <n v="0"/>
    <n v="1"/>
    <n v="6385"/>
    <n v="6385"/>
    <n v="3"/>
    <s v="Yes"/>
    <n v="1"/>
    <n v="14"/>
    <n v="3"/>
    <n v="4"/>
    <n v="2"/>
    <n v="17"/>
    <x v="6"/>
    <n v="3"/>
    <n v="3"/>
    <n v="8"/>
    <n v="8"/>
    <n v="7"/>
    <n v="6"/>
    <n v="6"/>
    <n v="7"/>
    <n v="7"/>
    <n v="14"/>
    <n v="0"/>
    <n v="0"/>
    <n v="0"/>
    <n v="1"/>
    <n v="0"/>
    <n v="0"/>
    <n v="0"/>
    <n v="1"/>
    <n v="0"/>
    <n v="7"/>
    <n v="0"/>
    <n v="0"/>
    <n v="17"/>
    <n v="0"/>
    <n v="2.5049357492063523E-2"/>
    <n v="0.80626709607243985"/>
    <n v="0.73519710510148462"/>
    <n v="0.16189221622713135"/>
    <n v="1.0864228781782561"/>
    <n v="1.9787029504251428"/>
    <n v="1.1830340977862825"/>
  </r>
  <r>
    <n v="41"/>
    <n v="41"/>
    <s v="No"/>
    <n v="0"/>
    <s v="Non-Travel"/>
    <n v="0"/>
    <n v="0"/>
    <x v="1"/>
    <n v="1"/>
    <n v="0"/>
    <n v="7"/>
    <n v="7"/>
    <n v="1"/>
    <s v="Life Sciences"/>
    <n v="1"/>
    <n v="0"/>
    <n v="0"/>
    <n v="0"/>
    <n v="0"/>
    <n v="2"/>
    <s v="Female"/>
    <n v="1"/>
    <n v="55"/>
    <n v="1"/>
    <n v="5"/>
    <s v="Research Director"/>
    <n v="0"/>
    <n v="0"/>
    <n v="0"/>
    <n v="0"/>
    <n v="0"/>
    <n v="0"/>
    <n v="0"/>
    <n v="0"/>
    <n v="3"/>
    <s v="Divorced"/>
    <n v="0"/>
    <n v="0"/>
    <n v="19973"/>
    <n v="19626.310000000001"/>
    <n v="1"/>
    <s v="No"/>
    <n v="0"/>
    <n v="22"/>
    <n v="4"/>
    <n v="2"/>
    <n v="2"/>
    <n v="21"/>
    <x v="23"/>
    <n v="3"/>
    <n v="3"/>
    <n v="21"/>
    <n v="21"/>
    <n v="16"/>
    <n v="5"/>
    <n v="5"/>
    <n v="10"/>
    <n v="10"/>
    <n v="50"/>
    <n v="1"/>
    <n v="0"/>
    <n v="0"/>
    <n v="0"/>
    <n v="1"/>
    <n v="0"/>
    <n v="0"/>
    <n v="0"/>
    <n v="0"/>
    <n v="10"/>
    <n v="0"/>
    <n v="0"/>
    <n v="21"/>
    <n v="0"/>
    <n v="2.8611283680091972"/>
    <n v="1.6470421950744405"/>
    <n v="1.2492842709947811"/>
    <n v="2.2838128280930299"/>
    <n v="0.27045191444879263"/>
    <n v="0.4461985578408646"/>
    <n v="0.87270930768174382"/>
  </r>
  <r>
    <n v="38"/>
    <n v="38"/>
    <s v="No"/>
    <n v="0"/>
    <s v="Travel_Rarely"/>
    <n v="0"/>
    <n v="1"/>
    <x v="0"/>
    <n v="0"/>
    <n v="1"/>
    <n v="3"/>
    <n v="3"/>
    <n v="4"/>
    <s v="Life Sciences"/>
    <n v="1"/>
    <n v="0"/>
    <n v="0"/>
    <n v="0"/>
    <n v="0"/>
    <n v="2"/>
    <s v="Male"/>
    <n v="0"/>
    <n v="42"/>
    <n v="3"/>
    <n v="2"/>
    <s v="Sales Executive"/>
    <n v="0"/>
    <n v="1"/>
    <n v="0"/>
    <n v="0"/>
    <n v="0"/>
    <n v="0"/>
    <n v="0"/>
    <n v="0"/>
    <n v="4"/>
    <s v="Single"/>
    <n v="1"/>
    <n v="0"/>
    <n v="6861"/>
    <n v="6861"/>
    <n v="8"/>
    <s v="Yes"/>
    <n v="1"/>
    <n v="12"/>
    <n v="3"/>
    <n v="3"/>
    <n v="0"/>
    <n v="19"/>
    <x v="15"/>
    <n v="1"/>
    <n v="3"/>
    <n v="1"/>
    <n v="1"/>
    <n v="0"/>
    <n v="0"/>
    <n v="0"/>
    <n v="0"/>
    <n v="0"/>
    <n v="0"/>
    <n v="1"/>
    <n v="0"/>
    <n v="0"/>
    <n v="0"/>
    <n v="0"/>
    <n v="1"/>
    <n v="0"/>
    <n v="0"/>
    <n v="0"/>
    <n v="0"/>
    <n v="0"/>
    <n v="0"/>
    <n v="0"/>
    <n v="19"/>
    <n v="7.6056073574951491E-2"/>
    <n v="1.1555414682655611"/>
    <n v="0.99224068804813281"/>
    <n v="0.9806804209314296"/>
    <n v="0.76386092994953758"/>
    <n v="0.11780475942994788"/>
    <n v="0.67891464284095016"/>
  </r>
  <r>
    <n v="26"/>
    <n v="26"/>
    <s v="Yes"/>
    <n v="1"/>
    <s v="Non-Travel"/>
    <n v="0"/>
    <n v="0"/>
    <x v="0"/>
    <n v="0"/>
    <n v="1"/>
    <n v="29"/>
    <n v="29"/>
    <n v="2"/>
    <s v="Medical"/>
    <n v="0"/>
    <n v="0"/>
    <n v="1"/>
    <n v="0"/>
    <n v="0"/>
    <n v="2"/>
    <s v="Male"/>
    <n v="0"/>
    <n v="79"/>
    <n v="1"/>
    <n v="2"/>
    <s v="Sales Executive"/>
    <n v="0"/>
    <n v="1"/>
    <n v="0"/>
    <n v="0"/>
    <n v="0"/>
    <n v="0"/>
    <n v="0"/>
    <n v="0"/>
    <n v="1"/>
    <s v="Single"/>
    <n v="1"/>
    <n v="0"/>
    <n v="4969"/>
    <n v="4969"/>
    <n v="8"/>
    <s v="No"/>
    <n v="0"/>
    <n v="18"/>
    <n v="3"/>
    <n v="4"/>
    <n v="0"/>
    <n v="7"/>
    <x v="2"/>
    <n v="6"/>
    <n v="3"/>
    <n v="2"/>
    <n v="2"/>
    <n v="2"/>
    <n v="2"/>
    <n v="2"/>
    <n v="2"/>
    <n v="2"/>
    <n v="4"/>
    <n v="1"/>
    <n v="0"/>
    <n v="0"/>
    <n v="0"/>
    <n v="1"/>
    <n v="0"/>
    <n v="0"/>
    <n v="0"/>
    <n v="0"/>
    <n v="0"/>
    <n v="2"/>
    <n v="0"/>
    <n v="0"/>
    <n v="7"/>
    <n v="0.32581677427965439"/>
    <n v="0.59502473559756086"/>
    <n v="0.55002080963175637"/>
    <n v="0.81745575848020657"/>
    <n v="2.4432976708053049"/>
    <n v="1.195770434213719"/>
    <n v="5.8265062631872602E-2"/>
  </r>
  <r>
    <n v="52"/>
    <n v="52"/>
    <s v="Yes"/>
    <n v="1"/>
    <s v="Travel_Rarely"/>
    <n v="0"/>
    <n v="1"/>
    <x v="0"/>
    <n v="0"/>
    <n v="1"/>
    <n v="2"/>
    <n v="2"/>
    <n v="1"/>
    <s v="Marketing"/>
    <n v="0"/>
    <n v="0"/>
    <n v="0"/>
    <n v="1"/>
    <n v="0"/>
    <n v="1"/>
    <s v="Female"/>
    <n v="1"/>
    <n v="57"/>
    <n v="1"/>
    <n v="5"/>
    <s v="Manager"/>
    <n v="0"/>
    <n v="0"/>
    <n v="0"/>
    <n v="1"/>
    <n v="0"/>
    <n v="0"/>
    <n v="0"/>
    <n v="0"/>
    <n v="4"/>
    <s v="Married"/>
    <n v="0"/>
    <n v="1"/>
    <n v="19845"/>
    <n v="19626.310000000001"/>
    <n v="1"/>
    <s v="No"/>
    <n v="0"/>
    <n v="15"/>
    <n v="3"/>
    <n v="4"/>
    <n v="1"/>
    <n v="33"/>
    <x v="33"/>
    <n v="3"/>
    <n v="3"/>
    <n v="32"/>
    <n v="31"/>
    <n v="14"/>
    <n v="6"/>
    <n v="6"/>
    <n v="9"/>
    <n v="9"/>
    <n v="45"/>
    <n v="0"/>
    <n v="1"/>
    <n v="0"/>
    <n v="0"/>
    <n v="0"/>
    <n v="0"/>
    <n v="1"/>
    <n v="0"/>
    <n v="0"/>
    <n v="0"/>
    <n v="9"/>
    <n v="0"/>
    <n v="0"/>
    <n v="33"/>
    <n v="2.8339403529323528"/>
    <n v="1.3667838287404401"/>
    <n v="2.7915457686746699"/>
    <n v="4.0792841150564829"/>
    <n v="0.88721318382472392"/>
    <n v="1.6503091520142259"/>
    <n v="1.1830340977862825"/>
  </r>
  <r>
    <n v="44"/>
    <n v="44"/>
    <s v="No"/>
    <n v="0"/>
    <s v="Travel_Rarely"/>
    <n v="0"/>
    <n v="1"/>
    <x v="0"/>
    <n v="0"/>
    <n v="1"/>
    <n v="28"/>
    <n v="28"/>
    <n v="3"/>
    <s v="Medical"/>
    <n v="0"/>
    <n v="0"/>
    <n v="1"/>
    <n v="0"/>
    <n v="0"/>
    <n v="4"/>
    <s v="Female"/>
    <n v="1"/>
    <n v="53"/>
    <n v="4"/>
    <n v="4"/>
    <s v="Sales Executive"/>
    <n v="0"/>
    <n v="1"/>
    <n v="0"/>
    <n v="0"/>
    <n v="0"/>
    <n v="0"/>
    <n v="0"/>
    <n v="0"/>
    <n v="4"/>
    <s v="Married"/>
    <n v="0"/>
    <n v="1"/>
    <n v="13320"/>
    <n v="13320"/>
    <n v="3"/>
    <s v="Yes"/>
    <n v="1"/>
    <n v="18"/>
    <n v="3"/>
    <n v="3"/>
    <n v="1"/>
    <n v="23"/>
    <x v="17"/>
    <n v="2"/>
    <n v="3"/>
    <n v="12"/>
    <n v="12"/>
    <n v="11"/>
    <n v="11"/>
    <n v="11"/>
    <n v="11"/>
    <n v="11"/>
    <n v="44"/>
    <n v="0"/>
    <n v="1"/>
    <n v="0"/>
    <n v="0"/>
    <n v="0"/>
    <n v="0"/>
    <n v="0"/>
    <n v="1"/>
    <n v="0"/>
    <n v="0"/>
    <n v="11"/>
    <n v="0"/>
    <n v="0"/>
    <n v="23"/>
    <n v="1.4479888031166532"/>
    <n v="1.9273005614084406"/>
    <n v="1.5063278539414293"/>
    <n v="0.81479086603202333"/>
    <n v="2.3199454169301186"/>
    <n v="0.77459235625178136"/>
    <n v="2.7346580483089769"/>
  </r>
  <r>
    <n v="50"/>
    <n v="50"/>
    <s v="No"/>
    <n v="0"/>
    <s v="Non-Travel"/>
    <n v="0"/>
    <n v="0"/>
    <x v="0"/>
    <n v="0"/>
    <n v="1"/>
    <n v="1"/>
    <n v="1"/>
    <n v="3"/>
    <s v="Life Sciences"/>
    <n v="1"/>
    <n v="0"/>
    <n v="0"/>
    <n v="0"/>
    <n v="0"/>
    <n v="4"/>
    <s v="Female"/>
    <n v="1"/>
    <n v="95"/>
    <n v="3"/>
    <n v="2"/>
    <s v="Sales Executive"/>
    <n v="0"/>
    <n v="1"/>
    <n v="0"/>
    <n v="0"/>
    <n v="0"/>
    <n v="0"/>
    <n v="0"/>
    <n v="0"/>
    <n v="3"/>
    <s v="Married"/>
    <n v="0"/>
    <n v="1"/>
    <n v="6347"/>
    <n v="6347"/>
    <n v="0"/>
    <s v="No"/>
    <n v="0"/>
    <n v="12"/>
    <n v="3"/>
    <n v="1"/>
    <n v="1"/>
    <n v="19"/>
    <x v="15"/>
    <n v="3"/>
    <n v="3"/>
    <n v="18"/>
    <n v="18"/>
    <n v="7"/>
    <n v="0"/>
    <n v="0"/>
    <n v="13"/>
    <n v="13"/>
    <n v="26"/>
    <n v="0"/>
    <n v="1"/>
    <n v="0"/>
    <n v="0"/>
    <n v="0"/>
    <n v="0"/>
    <n v="1"/>
    <n v="0"/>
    <n v="0"/>
    <n v="0"/>
    <n v="13"/>
    <n v="0"/>
    <n v="0"/>
    <n v="19"/>
    <n v="3.3120799468001699E-2"/>
    <n v="2.4878172940764407"/>
    <n v="0.99224068804813281"/>
    <n v="1.794138840739361"/>
    <n v="1.01056543769991"/>
    <n v="1.4313799530736149"/>
    <n v="0.67891464284095016"/>
  </r>
  <r>
    <n v="36"/>
    <n v="36"/>
    <s v="Yes"/>
    <n v="1"/>
    <s v="Travel_Rarely"/>
    <n v="0"/>
    <n v="1"/>
    <x v="1"/>
    <n v="1"/>
    <n v="0"/>
    <n v="16"/>
    <n v="16"/>
    <n v="4"/>
    <s v="Life Sciences"/>
    <n v="1"/>
    <n v="0"/>
    <n v="0"/>
    <n v="0"/>
    <n v="0"/>
    <n v="3"/>
    <s v="Female"/>
    <n v="1"/>
    <n v="43"/>
    <n v="4"/>
    <n v="1"/>
    <s v="Laboratory Technician"/>
    <n v="0"/>
    <n v="0"/>
    <n v="1"/>
    <n v="0"/>
    <n v="0"/>
    <n v="0"/>
    <n v="0"/>
    <n v="0"/>
    <n v="1"/>
    <s v="Single"/>
    <n v="1"/>
    <n v="0"/>
    <n v="2743"/>
    <n v="2743"/>
    <n v="1"/>
    <s v="No"/>
    <n v="0"/>
    <n v="16"/>
    <n v="3"/>
    <n v="3"/>
    <n v="0"/>
    <n v="18"/>
    <x v="30"/>
    <n v="1"/>
    <n v="3"/>
    <n v="17"/>
    <n v="17"/>
    <n v="13"/>
    <n v="15"/>
    <n v="14"/>
    <n v="14"/>
    <n v="14"/>
    <n v="14"/>
    <n v="1"/>
    <n v="0"/>
    <n v="0"/>
    <n v="0"/>
    <n v="1"/>
    <n v="0"/>
    <n v="0"/>
    <n v="0"/>
    <n v="0"/>
    <n v="14"/>
    <n v="0"/>
    <n v="0"/>
    <n v="18"/>
    <n v="0"/>
    <n v="0.79863334897540106"/>
    <n v="2.7680756604104411"/>
    <n v="0.86371889657480871"/>
    <n v="1.630914178288138"/>
    <n v="0.83971837042788355"/>
    <n v="0.10112443951066327"/>
    <n v="3.9759572087271318"/>
  </r>
  <r>
    <n v="39"/>
    <n v="39"/>
    <s v="No"/>
    <n v="0"/>
    <s v="Travel_Frequently"/>
    <n v="1"/>
    <n v="0"/>
    <x v="1"/>
    <n v="1"/>
    <n v="0"/>
    <n v="22"/>
    <n v="22"/>
    <n v="3"/>
    <s v="Medical"/>
    <n v="0"/>
    <n v="0"/>
    <n v="1"/>
    <n v="0"/>
    <n v="0"/>
    <n v="4"/>
    <s v="Female"/>
    <n v="1"/>
    <n v="82"/>
    <n v="3"/>
    <n v="3"/>
    <s v="Manufacturing Director"/>
    <n v="0"/>
    <n v="0"/>
    <n v="0"/>
    <n v="0"/>
    <n v="1"/>
    <n v="1"/>
    <n v="0"/>
    <n v="0"/>
    <n v="1"/>
    <s v="Single"/>
    <n v="1"/>
    <n v="0"/>
    <n v="10880"/>
    <n v="10880"/>
    <n v="1"/>
    <s v="Yes"/>
    <n v="1"/>
    <n v="13"/>
    <n v="3"/>
    <n v="3"/>
    <n v="0"/>
    <n v="21"/>
    <x v="23"/>
    <n v="2"/>
    <n v="3"/>
    <n v="21"/>
    <n v="21"/>
    <n v="6"/>
    <n v="2"/>
    <n v="2"/>
    <n v="8"/>
    <n v="8"/>
    <n v="24"/>
    <n v="0"/>
    <n v="0"/>
    <n v="1"/>
    <n v="0"/>
    <n v="0"/>
    <n v="1"/>
    <n v="0"/>
    <n v="0"/>
    <n v="0"/>
    <n v="8"/>
    <n v="0"/>
    <n v="0"/>
    <n v="21"/>
    <n v="0"/>
    <n v="0.92971726571430724"/>
    <n v="1.08652546240644"/>
    <n v="1.2492842709947811"/>
    <n v="2.2838128280930299"/>
    <n v="1.579831893679001"/>
    <n v="0.22726935890025346"/>
    <n v="5.8265062631872602E-2"/>
  </r>
  <r>
    <n v="33"/>
    <n v="33"/>
    <s v="No"/>
    <n v="0"/>
    <s v="Non-Travel"/>
    <n v="0"/>
    <n v="0"/>
    <x v="0"/>
    <n v="0"/>
    <n v="1"/>
    <n v="8"/>
    <n v="8"/>
    <n v="1"/>
    <s v="Life Sciences"/>
    <n v="1"/>
    <n v="0"/>
    <n v="0"/>
    <n v="0"/>
    <n v="0"/>
    <n v="2"/>
    <s v="Female"/>
    <n v="1"/>
    <n v="88"/>
    <n v="2"/>
    <n v="1"/>
    <s v="Sales Representative"/>
    <n v="0"/>
    <n v="0"/>
    <n v="0"/>
    <n v="0"/>
    <n v="0"/>
    <n v="0"/>
    <n v="1"/>
    <n v="0"/>
    <n v="4"/>
    <s v="Single"/>
    <n v="1"/>
    <n v="0"/>
    <n v="2342"/>
    <n v="2342"/>
    <n v="0"/>
    <s v="No"/>
    <n v="0"/>
    <n v="19"/>
    <n v="3"/>
    <n v="4"/>
    <n v="0"/>
    <n v="3"/>
    <x v="8"/>
    <n v="2"/>
    <n v="2"/>
    <n v="2"/>
    <n v="2"/>
    <n v="2"/>
    <n v="2"/>
    <n v="2"/>
    <n v="2"/>
    <n v="2"/>
    <n v="2"/>
    <n v="1"/>
    <n v="0"/>
    <n v="0"/>
    <n v="0"/>
    <n v="1"/>
    <n v="0"/>
    <n v="0"/>
    <n v="0"/>
    <n v="0"/>
    <n v="0"/>
    <n v="2"/>
    <n v="0"/>
    <n v="0"/>
    <n v="3"/>
    <n v="0.88380830245832764"/>
    <n v="0.59502473559756086"/>
    <n v="1.0641079755250529"/>
    <n v="0.81745575848020657"/>
    <n v="0.14709966057360641"/>
    <n v="0.42951823792158"/>
    <n v="5.8265062631872602E-2"/>
  </r>
  <r>
    <n v="45"/>
    <n v="45"/>
    <s v="No"/>
    <n v="0"/>
    <s v="Travel_Rarely"/>
    <n v="0"/>
    <n v="1"/>
    <x v="0"/>
    <n v="0"/>
    <n v="1"/>
    <n v="11"/>
    <n v="11"/>
    <n v="2"/>
    <s v="Life Sciences"/>
    <n v="1"/>
    <n v="0"/>
    <n v="0"/>
    <n v="0"/>
    <n v="0"/>
    <n v="4"/>
    <s v="Female"/>
    <n v="1"/>
    <n v="90"/>
    <n v="3"/>
    <n v="4"/>
    <s v="Manager"/>
    <n v="0"/>
    <n v="0"/>
    <n v="0"/>
    <n v="1"/>
    <n v="0"/>
    <n v="0"/>
    <n v="0"/>
    <n v="0"/>
    <n v="4"/>
    <s v="Married"/>
    <n v="0"/>
    <n v="1"/>
    <n v="17650"/>
    <n v="17650"/>
    <n v="3"/>
    <s v="No"/>
    <n v="0"/>
    <n v="13"/>
    <n v="3"/>
    <n v="2"/>
    <n v="1"/>
    <n v="26"/>
    <x v="11"/>
    <n v="4"/>
    <n v="4"/>
    <n v="9"/>
    <n v="9"/>
    <n v="3"/>
    <n v="1"/>
    <n v="1"/>
    <n v="1"/>
    <n v="1"/>
    <n v="4"/>
    <n v="0"/>
    <n v="1"/>
    <n v="0"/>
    <n v="0"/>
    <n v="0"/>
    <n v="0"/>
    <n v="1"/>
    <n v="0"/>
    <n v="0"/>
    <n v="0"/>
    <n v="1"/>
    <n v="0"/>
    <n v="0"/>
    <n v="26"/>
    <n v="2.3677083756380291"/>
    <n v="0.87528310193156111"/>
    <n v="1.8918932283614016"/>
    <n v="0.32511687867835437"/>
    <n v="0.22295710105195232"/>
    <n v="0.88405695572208698"/>
    <n v="0.36858985273641137"/>
  </r>
  <r>
    <n v="32"/>
    <n v="32"/>
    <s v="No"/>
    <n v="0"/>
    <s v="Non-Travel"/>
    <n v="0"/>
    <n v="0"/>
    <x v="1"/>
    <n v="1"/>
    <n v="0"/>
    <n v="29"/>
    <n v="29"/>
    <n v="4"/>
    <s v="Medical"/>
    <n v="0"/>
    <n v="0"/>
    <n v="1"/>
    <n v="0"/>
    <n v="0"/>
    <n v="4"/>
    <s v="Female"/>
    <n v="1"/>
    <n v="69"/>
    <n v="3"/>
    <n v="1"/>
    <s v="Laboratory Technician"/>
    <n v="0"/>
    <n v="0"/>
    <n v="1"/>
    <n v="0"/>
    <n v="0"/>
    <n v="0"/>
    <n v="0"/>
    <n v="0"/>
    <n v="3"/>
    <s v="Single"/>
    <n v="1"/>
    <n v="0"/>
    <n v="4025"/>
    <n v="4025"/>
    <n v="9"/>
    <s v="No"/>
    <n v="0"/>
    <n v="12"/>
    <n v="3"/>
    <n v="2"/>
    <n v="0"/>
    <n v="10"/>
    <x v="1"/>
    <n v="2"/>
    <n v="3"/>
    <n v="8"/>
    <n v="8"/>
    <n v="7"/>
    <n v="7"/>
    <n v="7"/>
    <n v="7"/>
    <n v="7"/>
    <n v="7"/>
    <n v="1"/>
    <n v="0"/>
    <n v="0"/>
    <n v="0"/>
    <n v="1"/>
    <n v="0"/>
    <n v="0"/>
    <n v="0"/>
    <n v="0"/>
    <n v="7"/>
    <n v="0"/>
    <n v="0"/>
    <n v="10"/>
    <n v="0"/>
    <n v="0.52632838547138172"/>
    <n v="0.80626709607243985"/>
    <n v="0.1644554352117841"/>
    <n v="0.16189221622713135"/>
    <n v="2.4432976708053049"/>
    <n v="0.53898283739188557"/>
    <n v="1.4933588878908215"/>
  </r>
  <r>
    <n v="34"/>
    <n v="34"/>
    <s v="No"/>
    <n v="0"/>
    <s v="Travel_Rarely"/>
    <n v="0"/>
    <n v="1"/>
    <x v="0"/>
    <n v="0"/>
    <n v="1"/>
    <n v="1"/>
    <n v="1"/>
    <n v="4"/>
    <s v="Marketing"/>
    <n v="0"/>
    <n v="0"/>
    <n v="0"/>
    <n v="1"/>
    <n v="0"/>
    <n v="2"/>
    <s v="Male"/>
    <n v="0"/>
    <n v="75"/>
    <n v="4"/>
    <n v="2"/>
    <s v="Sales Executive"/>
    <n v="0"/>
    <n v="1"/>
    <n v="0"/>
    <n v="0"/>
    <n v="0"/>
    <n v="0"/>
    <n v="0"/>
    <n v="0"/>
    <n v="4"/>
    <s v="Divorced"/>
    <n v="0"/>
    <n v="0"/>
    <n v="9725"/>
    <n v="9725"/>
    <n v="0"/>
    <s v="No"/>
    <n v="0"/>
    <n v="11"/>
    <n v="3"/>
    <n v="4"/>
    <n v="1"/>
    <n v="16"/>
    <x v="27"/>
    <n v="2"/>
    <n v="2"/>
    <n v="15"/>
    <n v="15"/>
    <n v="1"/>
    <n v="0"/>
    <n v="0"/>
    <n v="9"/>
    <n v="9"/>
    <n v="18"/>
    <n v="1"/>
    <n v="0"/>
    <n v="0"/>
    <n v="0"/>
    <n v="1"/>
    <n v="0"/>
    <n v="0"/>
    <n v="0"/>
    <n v="0"/>
    <n v="0"/>
    <n v="9"/>
    <n v="0"/>
    <n v="0"/>
    <n v="16"/>
    <n v="0.68438791091934437"/>
    <n v="1.3667838287404401"/>
    <n v="0.60667531362816052"/>
    <n v="1.3044648533856922"/>
    <n v="1.01056543769991"/>
    <n v="0.32005363845127444"/>
    <n v="0.67891464284095016"/>
  </r>
  <r>
    <n v="59"/>
    <n v="58.309999999999945"/>
    <s v="No"/>
    <n v="0"/>
    <s v="Travel_Rarely"/>
    <n v="0"/>
    <n v="1"/>
    <x v="0"/>
    <n v="0"/>
    <n v="1"/>
    <n v="1"/>
    <n v="1"/>
    <n v="2"/>
    <s v="Technical Degree"/>
    <n v="0"/>
    <n v="0"/>
    <n v="0"/>
    <n v="0"/>
    <n v="1"/>
    <n v="2"/>
    <s v="Male"/>
    <n v="0"/>
    <n v="66"/>
    <n v="3"/>
    <n v="3"/>
    <s v="Manager"/>
    <n v="0"/>
    <n v="0"/>
    <n v="0"/>
    <n v="1"/>
    <n v="0"/>
    <n v="0"/>
    <n v="0"/>
    <n v="0"/>
    <n v="4"/>
    <s v="Married"/>
    <n v="0"/>
    <n v="1"/>
    <n v="11904"/>
    <n v="11904"/>
    <n v="3"/>
    <s v="Yes"/>
    <n v="1"/>
    <n v="14"/>
    <n v="3"/>
    <n v="3"/>
    <n v="1"/>
    <n v="14"/>
    <x v="18"/>
    <n v="1"/>
    <n v="1"/>
    <n v="6"/>
    <n v="6"/>
    <n v="4"/>
    <n v="0"/>
    <n v="0"/>
    <n v="4"/>
    <n v="4"/>
    <n v="12"/>
    <n v="0"/>
    <n v="1"/>
    <n v="0"/>
    <n v="0"/>
    <n v="0"/>
    <n v="0"/>
    <n v="0"/>
    <n v="1"/>
    <n v="0"/>
    <n v="0"/>
    <n v="4"/>
    <n v="0"/>
    <n v="0"/>
    <n v="14"/>
    <n v="1.1472213863290623"/>
    <n v="3.4508002929560584E-2"/>
    <n v="0.34963173068151232"/>
    <n v="0.16455710867531462"/>
    <n v="1.01056543769991"/>
    <n v="2.4165613483063648"/>
    <n v="0.67891464284095016"/>
  </r>
  <r>
    <n v="45"/>
    <n v="45"/>
    <s v="No"/>
    <n v="0"/>
    <s v="Travel_Rarely"/>
    <n v="0"/>
    <n v="1"/>
    <x v="2"/>
    <n v="0"/>
    <n v="0"/>
    <n v="24"/>
    <n v="24"/>
    <n v="4"/>
    <s v="Medical"/>
    <n v="0"/>
    <n v="0"/>
    <n v="1"/>
    <n v="0"/>
    <n v="0"/>
    <n v="2"/>
    <s v="Male"/>
    <n v="0"/>
    <n v="36"/>
    <n v="3"/>
    <n v="1"/>
    <s v="Human Resources"/>
    <n v="0"/>
    <n v="0"/>
    <n v="0"/>
    <n v="0"/>
    <n v="0"/>
    <n v="0"/>
    <n v="0"/>
    <n v="0"/>
    <n v="2"/>
    <s v="Single"/>
    <n v="1"/>
    <n v="0"/>
    <n v="2177"/>
    <n v="2177"/>
    <n v="1"/>
    <s v="No"/>
    <n v="0"/>
    <n v="16"/>
    <n v="3"/>
    <n v="1"/>
    <n v="0"/>
    <n v="6"/>
    <x v="3"/>
    <n v="3"/>
    <n v="3"/>
    <n v="6"/>
    <n v="6"/>
    <n v="3"/>
    <n v="0"/>
    <n v="0"/>
    <n v="4"/>
    <n v="4"/>
    <n v="4"/>
    <n v="1"/>
    <n v="0"/>
    <n v="0"/>
    <n v="0"/>
    <n v="1"/>
    <n v="0"/>
    <n v="0"/>
    <n v="0"/>
    <n v="4"/>
    <n v="0"/>
    <n v="0"/>
    <n v="6"/>
    <n v="0"/>
    <n v="0"/>
    <n v="0.91885535314332234"/>
    <n v="3.4508002929560584E-2"/>
    <n v="0.67854260110508058"/>
    <n v="0.16455710867531462"/>
    <n v="1.8265364014293735"/>
    <n v="0.88405695572208698"/>
    <n v="0.67891464284095016"/>
  </r>
  <r>
    <n v="53"/>
    <n v="53"/>
    <s v="No"/>
    <n v="0"/>
    <s v="Travel_Frequently"/>
    <n v="1"/>
    <n v="0"/>
    <x v="0"/>
    <n v="0"/>
    <n v="1"/>
    <n v="2"/>
    <n v="2"/>
    <n v="3"/>
    <s v="Marketing"/>
    <n v="0"/>
    <n v="0"/>
    <n v="0"/>
    <n v="1"/>
    <n v="0"/>
    <n v="3"/>
    <s v="Female"/>
    <n v="1"/>
    <n v="38"/>
    <n v="2"/>
    <n v="3"/>
    <s v="Sales Executive"/>
    <n v="0"/>
    <n v="1"/>
    <n v="0"/>
    <n v="0"/>
    <n v="0"/>
    <n v="0"/>
    <n v="0"/>
    <n v="0"/>
    <n v="2"/>
    <s v="Married"/>
    <n v="0"/>
    <n v="1"/>
    <n v="7525"/>
    <n v="7525"/>
    <n v="2"/>
    <s v="No"/>
    <n v="0"/>
    <n v="12"/>
    <n v="3"/>
    <n v="1"/>
    <n v="1"/>
    <n v="30"/>
    <x v="29"/>
    <n v="2"/>
    <n v="3"/>
    <n v="15"/>
    <n v="15"/>
    <n v="7"/>
    <n v="6"/>
    <n v="6"/>
    <n v="12"/>
    <n v="12"/>
    <n v="36"/>
    <n v="0"/>
    <n v="0"/>
    <n v="0"/>
    <n v="1"/>
    <n v="0"/>
    <n v="0"/>
    <n v="1"/>
    <n v="0"/>
    <n v="0"/>
    <n v="0"/>
    <n v="12"/>
    <n v="0"/>
    <n v="0"/>
    <n v="30"/>
    <n v="0.21709390178608168"/>
    <n v="2.2075589277424408"/>
    <n v="2.4059803942546978"/>
    <n v="1.3044648533856922"/>
    <n v="0.88721318382472392"/>
    <n v="1.7597737514845315"/>
    <n v="1.1830340977862825"/>
  </r>
  <r>
    <n v="36"/>
    <n v="36"/>
    <s v="Yes"/>
    <n v="1"/>
    <s v="Travel_Rarely"/>
    <n v="0"/>
    <n v="1"/>
    <x v="1"/>
    <n v="1"/>
    <n v="0"/>
    <n v="15"/>
    <n v="15"/>
    <n v="3"/>
    <s v="Other"/>
    <n v="0"/>
    <n v="1"/>
    <n v="0"/>
    <n v="0"/>
    <n v="0"/>
    <n v="1"/>
    <s v="Male"/>
    <n v="0"/>
    <n v="81"/>
    <n v="3"/>
    <n v="2"/>
    <s v="Laboratory Technician"/>
    <n v="0"/>
    <n v="0"/>
    <n v="1"/>
    <n v="0"/>
    <n v="0"/>
    <n v="0"/>
    <n v="0"/>
    <n v="0"/>
    <n v="3"/>
    <s v="Divorced"/>
    <n v="0"/>
    <n v="0"/>
    <n v="4834"/>
    <n v="4834"/>
    <n v="7"/>
    <s v="No"/>
    <n v="0"/>
    <n v="14"/>
    <n v="3"/>
    <n v="2"/>
    <n v="1"/>
    <n v="9"/>
    <x v="14"/>
    <n v="3"/>
    <n v="2"/>
    <n v="1"/>
    <n v="1"/>
    <n v="0"/>
    <n v="0"/>
    <n v="0"/>
    <n v="0"/>
    <n v="0"/>
    <n v="0"/>
    <n v="1"/>
    <n v="0"/>
    <n v="0"/>
    <n v="0"/>
    <n v="1"/>
    <n v="0"/>
    <n v="0"/>
    <n v="0"/>
    <n v="0"/>
    <n v="0"/>
    <n v="0"/>
    <n v="0"/>
    <n v="9"/>
    <n v="0"/>
    <n v="0.35449163393101368"/>
    <n v="1.1555414682655611"/>
    <n v="0.29297722668510823"/>
    <n v="0.9806804209314296"/>
    <n v="0.71636611655269733"/>
    <n v="0.10112443951066327"/>
    <n v="0.67891464284095016"/>
  </r>
  <r>
    <n v="26"/>
    <n v="26"/>
    <s v="Yes"/>
    <n v="1"/>
    <s v="Travel_Frequently"/>
    <n v="1"/>
    <n v="0"/>
    <x v="1"/>
    <n v="1"/>
    <n v="0"/>
    <n v="2"/>
    <n v="2"/>
    <n v="3"/>
    <s v="Life Sciences"/>
    <n v="1"/>
    <n v="0"/>
    <n v="0"/>
    <n v="0"/>
    <n v="0"/>
    <n v="1"/>
    <s v="Male"/>
    <n v="0"/>
    <n v="57"/>
    <n v="3"/>
    <n v="1"/>
    <s v="Research Scientist"/>
    <n v="0"/>
    <n v="0"/>
    <n v="0"/>
    <n v="0"/>
    <n v="0"/>
    <n v="0"/>
    <n v="0"/>
    <n v="1"/>
    <n v="1"/>
    <s v="Married"/>
    <n v="0"/>
    <n v="1"/>
    <n v="2042"/>
    <n v="2042"/>
    <n v="6"/>
    <s v="Yes"/>
    <n v="1"/>
    <n v="14"/>
    <n v="3"/>
    <n v="2"/>
    <n v="1"/>
    <n v="6"/>
    <x v="3"/>
    <n v="2"/>
    <n v="3"/>
    <n v="3"/>
    <n v="3"/>
    <n v="2"/>
    <n v="1"/>
    <n v="1"/>
    <n v="2"/>
    <n v="2"/>
    <n v="2"/>
    <n v="0"/>
    <n v="0"/>
    <n v="0"/>
    <n v="1"/>
    <n v="0"/>
    <n v="0"/>
    <n v="0"/>
    <n v="1"/>
    <n v="0"/>
    <n v="2"/>
    <n v="0"/>
    <n v="0"/>
    <n v="6"/>
    <n v="0"/>
    <n v="0.94753021279468164"/>
    <n v="0.59502473559756086"/>
    <n v="0.67854260110508058"/>
    <n v="0.65423109602898355"/>
    <n v="0.88721318382472392"/>
    <n v="1.195770434213719"/>
    <n v="0.36858985273641137"/>
  </r>
  <r>
    <n v="34"/>
    <n v="34"/>
    <s v="No"/>
    <n v="0"/>
    <s v="Travel_Rarely"/>
    <n v="0"/>
    <n v="1"/>
    <x v="0"/>
    <n v="0"/>
    <n v="1"/>
    <n v="10"/>
    <n v="10"/>
    <n v="4"/>
    <s v="Life Sciences"/>
    <n v="1"/>
    <n v="0"/>
    <n v="0"/>
    <n v="0"/>
    <n v="0"/>
    <n v="3"/>
    <s v="Female"/>
    <n v="1"/>
    <n v="87"/>
    <n v="3"/>
    <n v="1"/>
    <s v="Sales Representative"/>
    <n v="0"/>
    <n v="0"/>
    <n v="0"/>
    <n v="0"/>
    <n v="0"/>
    <n v="0"/>
    <n v="1"/>
    <n v="0"/>
    <n v="3"/>
    <s v="Married"/>
    <n v="0"/>
    <n v="1"/>
    <n v="2220"/>
    <n v="2220"/>
    <n v="1"/>
    <s v="Yes"/>
    <n v="1"/>
    <n v="19"/>
    <n v="3"/>
    <n v="4"/>
    <n v="1"/>
    <n v="1"/>
    <x v="5"/>
    <n v="2"/>
    <n v="3"/>
    <n v="1"/>
    <n v="1"/>
    <n v="1"/>
    <n v="0"/>
    <n v="0"/>
    <n v="0"/>
    <n v="0"/>
    <n v="0"/>
    <n v="0"/>
    <n v="1"/>
    <n v="0"/>
    <n v="0"/>
    <n v="0"/>
    <n v="0"/>
    <n v="0"/>
    <n v="1"/>
    <n v="0"/>
    <n v="0"/>
    <n v="0"/>
    <n v="0"/>
    <n v="0"/>
    <n v="1"/>
    <n v="0.90972187932844495"/>
    <n v="1.1555414682655611"/>
    <n v="1.3211515584717011"/>
    <n v="0.9806804209314296"/>
    <n v="9.9604847176766084E-2"/>
    <n v="0.32005363845127444"/>
    <n v="0.67891464284095016"/>
  </r>
  <r>
    <n v="28"/>
    <n v="28"/>
    <s v="No"/>
    <n v="0"/>
    <s v="Travel_Rarely"/>
    <n v="0"/>
    <n v="1"/>
    <x v="0"/>
    <n v="0"/>
    <n v="1"/>
    <n v="10"/>
    <n v="10"/>
    <n v="1"/>
    <s v="Medical"/>
    <n v="0"/>
    <n v="0"/>
    <n v="1"/>
    <n v="0"/>
    <n v="0"/>
    <n v="4"/>
    <s v="Male"/>
    <n v="0"/>
    <n v="74"/>
    <n v="3"/>
    <n v="1"/>
    <s v="Sales Representative"/>
    <n v="0"/>
    <n v="0"/>
    <n v="0"/>
    <n v="0"/>
    <n v="0"/>
    <n v="0"/>
    <n v="1"/>
    <n v="0"/>
    <n v="2"/>
    <s v="Married"/>
    <n v="0"/>
    <n v="1"/>
    <n v="1052"/>
    <n v="1382.46"/>
    <n v="1"/>
    <s v="No"/>
    <n v="0"/>
    <n v="22"/>
    <n v="4"/>
    <n v="2"/>
    <n v="0"/>
    <n v="1"/>
    <x v="5"/>
    <n v="5"/>
    <n v="3"/>
    <n v="1"/>
    <n v="1"/>
    <n v="0"/>
    <n v="0"/>
    <n v="0"/>
    <n v="0"/>
    <n v="0"/>
    <n v="0"/>
    <n v="0"/>
    <n v="1"/>
    <n v="0"/>
    <n v="0"/>
    <n v="0"/>
    <n v="0"/>
    <n v="1"/>
    <n v="0"/>
    <n v="0"/>
    <n v="0"/>
    <n v="0"/>
    <n v="0"/>
    <n v="0"/>
    <n v="1"/>
    <n v="1.1578125169046498"/>
    <n v="1.1555414682655611"/>
    <n v="1.3211515584717011"/>
    <n v="0.9806804209314296"/>
    <n v="9.9604847176766084E-2"/>
    <n v="0.97684123527310796"/>
    <n v="0.67891464284095016"/>
  </r>
  <r>
    <n v="38"/>
    <n v="38"/>
    <s v="No"/>
    <n v="0"/>
    <s v="Travel_Frequently"/>
    <n v="1"/>
    <n v="0"/>
    <x v="1"/>
    <n v="1"/>
    <n v="0"/>
    <n v="3"/>
    <n v="3"/>
    <n v="4"/>
    <s v="Other"/>
    <n v="0"/>
    <n v="1"/>
    <n v="0"/>
    <n v="0"/>
    <n v="0"/>
    <n v="3"/>
    <s v="Male"/>
    <n v="0"/>
    <n v="44"/>
    <n v="3"/>
    <n v="1"/>
    <s v="Research Scientist"/>
    <n v="0"/>
    <n v="0"/>
    <n v="0"/>
    <n v="0"/>
    <n v="0"/>
    <n v="0"/>
    <n v="0"/>
    <n v="1"/>
    <n v="3"/>
    <s v="Married"/>
    <n v="0"/>
    <n v="1"/>
    <n v="2821"/>
    <n v="2821"/>
    <n v="3"/>
    <s v="No"/>
    <n v="0"/>
    <n v="16"/>
    <n v="3"/>
    <n v="1"/>
    <n v="1"/>
    <n v="8"/>
    <x v="0"/>
    <n v="2"/>
    <n v="3"/>
    <n v="2"/>
    <n v="2"/>
    <n v="2"/>
    <n v="2"/>
    <n v="2"/>
    <n v="2"/>
    <n v="2"/>
    <n v="2"/>
    <n v="0"/>
    <n v="0"/>
    <n v="0"/>
    <n v="1"/>
    <n v="0"/>
    <n v="0"/>
    <n v="1"/>
    <n v="0"/>
    <n v="0"/>
    <n v="2"/>
    <n v="0"/>
    <n v="0"/>
    <n v="8"/>
    <n v="0"/>
    <n v="0.78206565228794911"/>
    <n v="0.59502473559756086"/>
    <n v="0.42149901815843233"/>
    <n v="0.81745575848020657"/>
    <n v="0.76386092994953758"/>
    <n v="0.11780475942994788"/>
    <n v="5.8265062631872602E-2"/>
  </r>
  <r>
    <n v="50"/>
    <n v="50"/>
    <s v="No"/>
    <n v="0"/>
    <s v="Travel_Rarely"/>
    <n v="0"/>
    <n v="1"/>
    <x v="1"/>
    <n v="1"/>
    <n v="0"/>
    <n v="2"/>
    <n v="2"/>
    <n v="4"/>
    <s v="Medical"/>
    <n v="0"/>
    <n v="0"/>
    <n v="1"/>
    <n v="0"/>
    <n v="0"/>
    <n v="2"/>
    <s v="Male"/>
    <n v="0"/>
    <n v="62"/>
    <n v="3"/>
    <n v="5"/>
    <s v="Research Director"/>
    <n v="0"/>
    <n v="0"/>
    <n v="0"/>
    <n v="0"/>
    <n v="0"/>
    <n v="0"/>
    <n v="0"/>
    <n v="0"/>
    <n v="3"/>
    <s v="Married"/>
    <n v="0"/>
    <n v="1"/>
    <n v="19237"/>
    <n v="19237"/>
    <n v="2"/>
    <s v="Yes"/>
    <n v="1"/>
    <n v="11"/>
    <n v="3"/>
    <n v="4"/>
    <n v="1"/>
    <n v="29"/>
    <x v="21"/>
    <n v="2"/>
    <n v="2"/>
    <n v="8"/>
    <n v="8"/>
    <n v="1"/>
    <n v="7"/>
    <n v="7"/>
    <n v="7"/>
    <n v="7"/>
    <n v="35"/>
    <n v="0"/>
    <n v="1"/>
    <n v="0"/>
    <n v="0"/>
    <n v="0"/>
    <n v="0"/>
    <n v="0"/>
    <n v="1"/>
    <n v="0"/>
    <n v="7"/>
    <n v="0"/>
    <n v="0"/>
    <n v="29"/>
    <n v="0"/>
    <n v="2.704797281317342"/>
    <n v="0.80626709607243985"/>
    <n v="2.2774586027813735"/>
    <n v="0.16189221622713135"/>
    <n v="0.88721318382472392"/>
    <n v="1.4313799530736149"/>
    <n v="1.4933588878908215"/>
  </r>
  <r>
    <n v="37"/>
    <n v="37"/>
    <s v="No"/>
    <n v="0"/>
    <s v="Travel_Rarely"/>
    <n v="0"/>
    <n v="1"/>
    <x v="1"/>
    <n v="1"/>
    <n v="0"/>
    <n v="3"/>
    <n v="3"/>
    <n v="3"/>
    <s v="Other"/>
    <n v="0"/>
    <n v="1"/>
    <n v="0"/>
    <n v="0"/>
    <n v="0"/>
    <n v="4"/>
    <s v="Female"/>
    <n v="1"/>
    <n v="35"/>
    <n v="3"/>
    <n v="2"/>
    <s v="Healthcare Representative"/>
    <n v="1"/>
    <n v="0"/>
    <n v="0"/>
    <n v="0"/>
    <n v="0"/>
    <n v="0"/>
    <n v="0"/>
    <n v="0"/>
    <n v="2"/>
    <s v="Single"/>
    <n v="1"/>
    <n v="0"/>
    <n v="4107"/>
    <n v="4107"/>
    <n v="3"/>
    <s v="No"/>
    <n v="0"/>
    <n v="15"/>
    <n v="3"/>
    <n v="1"/>
    <n v="0"/>
    <n v="8"/>
    <x v="0"/>
    <n v="3"/>
    <n v="2"/>
    <n v="4"/>
    <n v="4"/>
    <n v="3"/>
    <n v="0"/>
    <n v="0"/>
    <n v="1"/>
    <n v="1"/>
    <n v="2"/>
    <n v="1"/>
    <n v="0"/>
    <n v="0"/>
    <n v="0"/>
    <n v="1"/>
    <n v="0"/>
    <n v="0"/>
    <n v="0"/>
    <n v="0"/>
    <n v="1"/>
    <n v="0"/>
    <n v="0"/>
    <n v="8"/>
    <n v="0"/>
    <n v="0.50891106331277824"/>
    <n v="0.87528310193156111"/>
    <n v="0.42149901815843233"/>
    <n v="0.49100643357776058"/>
    <n v="0.76386092994953758"/>
    <n v="8.3401599596422994E-3"/>
    <n v="0.67891464284095016"/>
  </r>
  <r>
    <n v="40"/>
    <n v="40"/>
    <s v="No"/>
    <n v="0"/>
    <s v="Travel_Rarely"/>
    <n v="0"/>
    <n v="1"/>
    <x v="0"/>
    <n v="0"/>
    <n v="1"/>
    <n v="26"/>
    <n v="26"/>
    <n v="3"/>
    <s v="Marketing"/>
    <n v="0"/>
    <n v="0"/>
    <n v="0"/>
    <n v="1"/>
    <n v="0"/>
    <n v="3"/>
    <s v="Male"/>
    <n v="0"/>
    <n v="74"/>
    <n v="3"/>
    <n v="2"/>
    <s v="Sales Executive"/>
    <n v="0"/>
    <n v="1"/>
    <n v="0"/>
    <n v="0"/>
    <n v="0"/>
    <n v="0"/>
    <n v="0"/>
    <n v="0"/>
    <n v="1"/>
    <s v="Married"/>
    <n v="0"/>
    <n v="1"/>
    <n v="8396"/>
    <n v="8396"/>
    <n v="1"/>
    <s v="No"/>
    <n v="0"/>
    <n v="14"/>
    <n v="3"/>
    <n v="2"/>
    <n v="1"/>
    <n v="8"/>
    <x v="0"/>
    <n v="3"/>
    <n v="2"/>
    <n v="7"/>
    <n v="7"/>
    <n v="7"/>
    <n v="7"/>
    <n v="7"/>
    <n v="5"/>
    <n v="5"/>
    <n v="10"/>
    <n v="0"/>
    <n v="1"/>
    <n v="0"/>
    <n v="0"/>
    <n v="0"/>
    <n v="0"/>
    <n v="1"/>
    <n v="0"/>
    <n v="0"/>
    <n v="0"/>
    <n v="5"/>
    <n v="0"/>
    <n v="0"/>
    <n v="8"/>
    <n v="0.40209984812929611"/>
    <n v="0.24575036340443959"/>
    <n v="0.42149901815843233"/>
    <n v="1.3324462240916321E-3"/>
    <n v="2.0732409091797459"/>
    <n v="0.33673395837055903"/>
    <n v="1.4933588878908215"/>
  </r>
  <r>
    <n v="26"/>
    <n v="26"/>
    <s v="No"/>
    <n v="0"/>
    <s v="Travel_Frequently"/>
    <n v="1"/>
    <n v="0"/>
    <x v="1"/>
    <n v="1"/>
    <n v="0"/>
    <n v="1"/>
    <n v="1"/>
    <n v="1"/>
    <s v="Medical"/>
    <n v="0"/>
    <n v="0"/>
    <n v="1"/>
    <n v="0"/>
    <n v="0"/>
    <n v="1"/>
    <s v="Female"/>
    <n v="1"/>
    <n v="66"/>
    <n v="2"/>
    <n v="1"/>
    <s v="Research Scientist"/>
    <n v="0"/>
    <n v="0"/>
    <n v="0"/>
    <n v="0"/>
    <n v="0"/>
    <n v="0"/>
    <n v="0"/>
    <n v="1"/>
    <n v="3"/>
    <s v="Divorced"/>
    <n v="0"/>
    <n v="0"/>
    <n v="2007"/>
    <n v="2007"/>
    <n v="1"/>
    <s v="No"/>
    <n v="0"/>
    <n v="13"/>
    <n v="3"/>
    <n v="3"/>
    <n v="2"/>
    <n v="5"/>
    <x v="7"/>
    <n v="5"/>
    <n v="3"/>
    <n v="5"/>
    <n v="5"/>
    <n v="3"/>
    <n v="1"/>
    <n v="1"/>
    <n v="3"/>
    <n v="3"/>
    <n v="3"/>
    <n v="0"/>
    <n v="0"/>
    <n v="1"/>
    <n v="0"/>
    <n v="1"/>
    <n v="0"/>
    <n v="0"/>
    <n v="0"/>
    <n v="0"/>
    <n v="3"/>
    <n v="0"/>
    <n v="0"/>
    <n v="5"/>
    <n v="0"/>
    <n v="0.9549644356672562"/>
    <n v="0.31476636926356072"/>
    <n v="0.80706439257840468"/>
    <n v="0.32778177112653761"/>
    <n v="1.01056543769991"/>
    <n v="1.195770434213719"/>
    <n v="0.36858985273641137"/>
  </r>
  <r>
    <n v="46"/>
    <n v="46"/>
    <s v="No"/>
    <n v="0"/>
    <s v="Travel_Rarely"/>
    <n v="0"/>
    <n v="1"/>
    <x v="1"/>
    <n v="1"/>
    <n v="0"/>
    <n v="1"/>
    <n v="1"/>
    <n v="4"/>
    <s v="Medical"/>
    <n v="0"/>
    <n v="0"/>
    <n v="1"/>
    <n v="0"/>
    <n v="0"/>
    <n v="4"/>
    <s v="Male"/>
    <n v="0"/>
    <n v="40"/>
    <n v="3"/>
    <n v="5"/>
    <s v="Research Director"/>
    <n v="0"/>
    <n v="0"/>
    <n v="0"/>
    <n v="0"/>
    <n v="0"/>
    <n v="0"/>
    <n v="0"/>
    <n v="0"/>
    <n v="4"/>
    <s v="Divorced"/>
    <n v="0"/>
    <n v="0"/>
    <n v="19627"/>
    <n v="19626.310000000001"/>
    <n v="9"/>
    <s v="No"/>
    <n v="0"/>
    <n v="17"/>
    <n v="3"/>
    <n v="4"/>
    <n v="2"/>
    <n v="23"/>
    <x v="17"/>
    <n v="0"/>
    <n v="3"/>
    <n v="2"/>
    <n v="2"/>
    <n v="2"/>
    <n v="2"/>
    <n v="2"/>
    <n v="2"/>
    <n v="2"/>
    <n v="10"/>
    <n v="1"/>
    <n v="0"/>
    <n v="0"/>
    <n v="0"/>
    <n v="1"/>
    <n v="0"/>
    <n v="0"/>
    <n v="0"/>
    <n v="0"/>
    <n v="2"/>
    <n v="0"/>
    <n v="0"/>
    <n v="23"/>
    <n v="0"/>
    <n v="2.7876357647546022"/>
    <n v="0.59502473559756086"/>
    <n v="1.5063278539414293"/>
    <n v="0.81745575848020657"/>
    <n v="1.01056543769991"/>
    <n v="0.99352155519239249"/>
    <n v="5.8265062631872602E-2"/>
  </r>
  <r>
    <n v="54"/>
    <n v="54"/>
    <s v="No"/>
    <n v="0"/>
    <s v="Travel_Rarely"/>
    <n v="0"/>
    <n v="1"/>
    <x v="0"/>
    <n v="0"/>
    <n v="1"/>
    <n v="2"/>
    <n v="2"/>
    <n v="4"/>
    <s v="Life Sciences"/>
    <n v="1"/>
    <n v="0"/>
    <n v="0"/>
    <n v="0"/>
    <n v="0"/>
    <n v="3"/>
    <s v="Female"/>
    <n v="1"/>
    <n v="41"/>
    <n v="2"/>
    <n v="3"/>
    <s v="Sales Executive"/>
    <n v="0"/>
    <n v="1"/>
    <n v="0"/>
    <n v="0"/>
    <n v="0"/>
    <n v="0"/>
    <n v="0"/>
    <n v="0"/>
    <n v="3"/>
    <s v="Married"/>
    <n v="0"/>
    <n v="1"/>
    <n v="10686"/>
    <n v="10686"/>
    <n v="6"/>
    <s v="No"/>
    <n v="0"/>
    <n v="11"/>
    <n v="3"/>
    <n v="2"/>
    <n v="1"/>
    <n v="13"/>
    <x v="10"/>
    <n v="4"/>
    <n v="3"/>
    <n v="9"/>
    <n v="9"/>
    <n v="4"/>
    <n v="7"/>
    <n v="7"/>
    <n v="0"/>
    <n v="0"/>
    <n v="0"/>
    <n v="0"/>
    <n v="1"/>
    <n v="0"/>
    <n v="0"/>
    <n v="0"/>
    <n v="0"/>
    <n v="1"/>
    <n v="0"/>
    <n v="0"/>
    <n v="0"/>
    <n v="0"/>
    <n v="0"/>
    <n v="0"/>
    <n v="13"/>
    <n v="0.888510430363465"/>
    <n v="1.1555414682655611"/>
    <n v="0.22110993920818819"/>
    <n v="0.32511687867835437"/>
    <n v="0.88721318382472392"/>
    <n v="1.8692383509548371"/>
    <n v="1.4933588878908215"/>
  </r>
  <r>
    <n v="56"/>
    <n v="56"/>
    <s v="No"/>
    <n v="0"/>
    <s v="Travel_Frequently"/>
    <n v="1"/>
    <n v="0"/>
    <x v="1"/>
    <n v="1"/>
    <n v="0"/>
    <n v="9"/>
    <n v="9"/>
    <n v="3"/>
    <s v="Medical"/>
    <n v="0"/>
    <n v="0"/>
    <n v="1"/>
    <n v="0"/>
    <n v="0"/>
    <n v="1"/>
    <s v="Female"/>
    <n v="1"/>
    <n v="63"/>
    <n v="3"/>
    <n v="1"/>
    <s v="Research Scientist"/>
    <n v="0"/>
    <n v="0"/>
    <n v="0"/>
    <n v="0"/>
    <n v="0"/>
    <n v="0"/>
    <n v="0"/>
    <n v="1"/>
    <n v="3"/>
    <s v="Married"/>
    <n v="0"/>
    <n v="1"/>
    <n v="2942"/>
    <n v="2942"/>
    <n v="2"/>
    <s v="No"/>
    <n v="0"/>
    <n v="19"/>
    <n v="3"/>
    <n v="2"/>
    <n v="1"/>
    <n v="18"/>
    <x v="30"/>
    <n v="4"/>
    <n v="3"/>
    <n v="5"/>
    <n v="5"/>
    <n v="4"/>
    <n v="0"/>
    <n v="0"/>
    <n v="3"/>
    <n v="3"/>
    <n v="3"/>
    <n v="0"/>
    <n v="0"/>
    <n v="0"/>
    <n v="1"/>
    <n v="0"/>
    <n v="0"/>
    <n v="1"/>
    <n v="0"/>
    <n v="0"/>
    <n v="3"/>
    <n v="0"/>
    <n v="0"/>
    <n v="18"/>
    <n v="0"/>
    <n v="0.75636448178561966"/>
    <n v="0.31476636926356072"/>
    <n v="0.86371889657480871"/>
    <n v="0.32778177112653761"/>
    <n v="2.3747406698420157E-2"/>
    <n v="2.0881675498954482"/>
    <n v="0.67891464284095016"/>
  </r>
  <r>
    <n v="36"/>
    <n v="36"/>
    <s v="No"/>
    <n v="0"/>
    <s v="Travel_Rarely"/>
    <n v="0"/>
    <n v="1"/>
    <x v="1"/>
    <n v="1"/>
    <n v="0"/>
    <n v="12"/>
    <n v="12"/>
    <n v="5"/>
    <s v="Medical"/>
    <n v="0"/>
    <n v="0"/>
    <n v="1"/>
    <n v="0"/>
    <n v="0"/>
    <n v="4"/>
    <s v="Female"/>
    <n v="1"/>
    <n v="51"/>
    <n v="2"/>
    <n v="3"/>
    <s v="Manufacturing Director"/>
    <n v="0"/>
    <n v="0"/>
    <n v="0"/>
    <n v="0"/>
    <n v="1"/>
    <n v="1"/>
    <n v="0"/>
    <n v="0"/>
    <n v="4"/>
    <s v="Single"/>
    <n v="1"/>
    <n v="0"/>
    <n v="8858"/>
    <n v="8858"/>
    <n v="0"/>
    <s v="No"/>
    <n v="0"/>
    <n v="11"/>
    <n v="3"/>
    <n v="2"/>
    <n v="0"/>
    <n v="15"/>
    <x v="19"/>
    <n v="2"/>
    <n v="2"/>
    <n v="14"/>
    <n v="14"/>
    <n v="8"/>
    <n v="7"/>
    <n v="7"/>
    <n v="8"/>
    <n v="8"/>
    <n v="24"/>
    <n v="1"/>
    <n v="0"/>
    <n v="0"/>
    <n v="0"/>
    <n v="1"/>
    <n v="0"/>
    <n v="0"/>
    <n v="0"/>
    <n v="0"/>
    <n v="8"/>
    <n v="0"/>
    <n v="0"/>
    <n v="15"/>
    <n v="0"/>
    <n v="0.50023159004728135"/>
    <n v="1.08652546240644"/>
    <n v="0.47815352215483642"/>
    <n v="1.1412401909344694"/>
    <n v="0.3463093549271386"/>
    <n v="0.10112443951066327"/>
    <n v="1.4933588878908215"/>
  </r>
  <r>
    <n v="55"/>
    <n v="55"/>
    <s v="No"/>
    <n v="0"/>
    <s v="Non-Travel"/>
    <n v="0"/>
    <n v="0"/>
    <x v="1"/>
    <n v="1"/>
    <n v="0"/>
    <n v="2"/>
    <n v="2"/>
    <n v="1"/>
    <s v="Medical"/>
    <n v="0"/>
    <n v="0"/>
    <n v="1"/>
    <n v="0"/>
    <n v="0"/>
    <n v="3"/>
    <s v="Male"/>
    <n v="0"/>
    <n v="40"/>
    <n v="2"/>
    <n v="4"/>
    <s v="Manager"/>
    <n v="0"/>
    <n v="0"/>
    <n v="0"/>
    <n v="1"/>
    <n v="0"/>
    <n v="0"/>
    <n v="0"/>
    <n v="0"/>
    <n v="1"/>
    <s v="Single"/>
    <n v="1"/>
    <n v="0"/>
    <n v="16756"/>
    <n v="16756"/>
    <n v="7"/>
    <s v="No"/>
    <n v="0"/>
    <n v="15"/>
    <n v="3"/>
    <n v="2"/>
    <n v="0"/>
    <n v="31"/>
    <x v="9"/>
    <n v="3"/>
    <n v="4"/>
    <n v="9"/>
    <n v="9"/>
    <n v="7"/>
    <n v="6"/>
    <n v="6"/>
    <n v="2"/>
    <n v="2"/>
    <n v="8"/>
    <n v="1"/>
    <n v="0"/>
    <n v="0"/>
    <n v="0"/>
    <n v="1"/>
    <n v="0"/>
    <n v="0"/>
    <n v="0"/>
    <n v="0"/>
    <n v="2"/>
    <n v="0"/>
    <n v="0"/>
    <n v="31"/>
    <n v="0"/>
    <n v="2.1778170828356944"/>
    <n v="0.59502473559756086"/>
    <n v="2.5345021857280217"/>
    <n v="0.32511687867835437"/>
    <n v="0.88721318382472392"/>
    <n v="1.9787029504251428"/>
    <n v="1.1830340977862825"/>
  </r>
  <r>
    <n v="43"/>
    <n v="43"/>
    <s v="No"/>
    <n v="0"/>
    <s v="Travel_Rarely"/>
    <n v="0"/>
    <n v="1"/>
    <x v="0"/>
    <n v="0"/>
    <n v="1"/>
    <n v="25"/>
    <n v="25"/>
    <n v="3"/>
    <s v="Medical"/>
    <n v="0"/>
    <n v="0"/>
    <n v="1"/>
    <n v="0"/>
    <n v="0"/>
    <n v="3"/>
    <s v="Male"/>
    <n v="0"/>
    <n v="79"/>
    <n v="2"/>
    <n v="3"/>
    <s v="Sales Executive"/>
    <n v="0"/>
    <n v="1"/>
    <n v="0"/>
    <n v="0"/>
    <n v="0"/>
    <n v="0"/>
    <n v="0"/>
    <n v="0"/>
    <n v="4"/>
    <s v="Divorced"/>
    <n v="0"/>
    <n v="0"/>
    <n v="10798"/>
    <n v="10798"/>
    <n v="5"/>
    <s v="No"/>
    <n v="0"/>
    <n v="13"/>
    <n v="3"/>
    <n v="3"/>
    <n v="1"/>
    <n v="18"/>
    <x v="30"/>
    <n v="5"/>
    <n v="3"/>
    <n v="1"/>
    <n v="1"/>
    <n v="0"/>
    <n v="0"/>
    <n v="0"/>
    <n v="0"/>
    <n v="0"/>
    <n v="0"/>
    <n v="1"/>
    <n v="0"/>
    <n v="0"/>
    <n v="0"/>
    <n v="1"/>
    <n v="0"/>
    <n v="0"/>
    <n v="0"/>
    <n v="0"/>
    <n v="0"/>
    <n v="0"/>
    <n v="0"/>
    <n v="0"/>
    <n v="18"/>
    <n v="0.91229994355570387"/>
    <n v="1.1555414682655611"/>
    <n v="0.86371889657480871"/>
    <n v="0.9806804209314296"/>
    <n v="1.9498886553045598"/>
    <n v="0.66512775678147573"/>
    <n v="0.67891464284095016"/>
  </r>
  <r>
    <n v="20"/>
    <n v="20"/>
    <s v="Yes"/>
    <n v="1"/>
    <s v="Travel_Frequently"/>
    <n v="1"/>
    <n v="0"/>
    <x v="0"/>
    <n v="0"/>
    <n v="1"/>
    <n v="9"/>
    <n v="9"/>
    <n v="3"/>
    <s v="Marketing"/>
    <n v="0"/>
    <n v="0"/>
    <n v="0"/>
    <n v="1"/>
    <n v="0"/>
    <n v="4"/>
    <s v="Female"/>
    <n v="1"/>
    <n v="54"/>
    <n v="3"/>
    <n v="1"/>
    <s v="Sales Representative"/>
    <n v="0"/>
    <n v="0"/>
    <n v="0"/>
    <n v="0"/>
    <n v="0"/>
    <n v="0"/>
    <n v="1"/>
    <n v="0"/>
    <n v="4"/>
    <s v="Single"/>
    <n v="1"/>
    <n v="0"/>
    <n v="2323"/>
    <n v="2323"/>
    <n v="1"/>
    <s v="Yes"/>
    <n v="1"/>
    <n v="14"/>
    <n v="3"/>
    <n v="2"/>
    <n v="0"/>
    <n v="2"/>
    <x v="16"/>
    <n v="3"/>
    <n v="3"/>
    <n v="2"/>
    <n v="2"/>
    <n v="2"/>
    <n v="0"/>
    <n v="0"/>
    <n v="2"/>
    <n v="2"/>
    <n v="2"/>
    <n v="0"/>
    <n v="0"/>
    <n v="1"/>
    <n v="0"/>
    <n v="0"/>
    <n v="1"/>
    <n v="0"/>
    <n v="0"/>
    <n v="0"/>
    <n v="0"/>
    <n v="2"/>
    <n v="0"/>
    <n v="0"/>
    <n v="2"/>
    <n v="0.88784402344629665"/>
    <n v="0.59502473559756086"/>
    <n v="1.192629766998377"/>
    <n v="0.81745575848020657"/>
    <n v="2.3747406698420157E-2"/>
    <n v="1.8525580310355525"/>
    <n v="0.67891464284095016"/>
  </r>
  <r>
    <n v="21"/>
    <n v="21"/>
    <s v="Yes"/>
    <n v="1"/>
    <s v="Travel_Rarely"/>
    <n v="0"/>
    <n v="1"/>
    <x v="1"/>
    <n v="1"/>
    <n v="0"/>
    <n v="10"/>
    <n v="10"/>
    <n v="3"/>
    <s v="Life Sciences"/>
    <n v="1"/>
    <n v="0"/>
    <n v="0"/>
    <n v="0"/>
    <n v="0"/>
    <n v="3"/>
    <s v="Female"/>
    <n v="1"/>
    <n v="36"/>
    <n v="2"/>
    <n v="1"/>
    <s v="Laboratory Technician"/>
    <n v="0"/>
    <n v="0"/>
    <n v="1"/>
    <n v="0"/>
    <n v="0"/>
    <n v="0"/>
    <n v="0"/>
    <n v="0"/>
    <n v="1"/>
    <s v="Single"/>
    <n v="1"/>
    <n v="0"/>
    <n v="1416"/>
    <n v="1416"/>
    <n v="1"/>
    <s v="No"/>
    <n v="0"/>
    <n v="13"/>
    <n v="3"/>
    <n v="1"/>
    <n v="0"/>
    <n v="1"/>
    <x v="5"/>
    <n v="6"/>
    <n v="2"/>
    <n v="1"/>
    <n v="1"/>
    <n v="0"/>
    <n v="1"/>
    <n v="1"/>
    <n v="0"/>
    <n v="0"/>
    <n v="0"/>
    <n v="1"/>
    <n v="0"/>
    <n v="0"/>
    <n v="0"/>
    <n v="1"/>
    <n v="0"/>
    <n v="0"/>
    <n v="0"/>
    <n v="0"/>
    <n v="0"/>
    <n v="0"/>
    <n v="0"/>
    <n v="1"/>
    <n v="0"/>
    <n v="1.0804965990298736"/>
    <n v="1.1555414682655611"/>
    <n v="1.3211515584717011"/>
    <n v="0.9806804209314296"/>
    <n v="9.9604847176766084E-2"/>
    <n v="1.7430934315652469"/>
    <n v="0.36858985273641137"/>
  </r>
  <r>
    <n v="46"/>
    <n v="46"/>
    <s v="No"/>
    <n v="0"/>
    <s v="Travel_Rarely"/>
    <n v="0"/>
    <n v="1"/>
    <x v="1"/>
    <n v="1"/>
    <n v="0"/>
    <n v="8"/>
    <n v="8"/>
    <n v="4"/>
    <s v="Life Sciences"/>
    <n v="1"/>
    <n v="0"/>
    <n v="0"/>
    <n v="0"/>
    <n v="0"/>
    <n v="4"/>
    <s v="Female"/>
    <n v="1"/>
    <n v="74"/>
    <n v="2"/>
    <n v="2"/>
    <s v="Research Scientist"/>
    <n v="0"/>
    <n v="0"/>
    <n v="0"/>
    <n v="0"/>
    <n v="0"/>
    <n v="0"/>
    <n v="0"/>
    <n v="1"/>
    <n v="1"/>
    <s v="Divorced"/>
    <n v="0"/>
    <n v="0"/>
    <n v="4615"/>
    <n v="4615"/>
    <n v="8"/>
    <s v="Yes"/>
    <n v="1"/>
    <n v="23"/>
    <n v="4"/>
    <n v="1"/>
    <n v="3"/>
    <n v="19"/>
    <x v="15"/>
    <n v="2"/>
    <n v="3"/>
    <n v="16"/>
    <n v="16"/>
    <n v="13"/>
    <n v="1"/>
    <n v="1"/>
    <n v="7"/>
    <n v="7"/>
    <n v="14"/>
    <n v="1"/>
    <n v="0"/>
    <n v="0"/>
    <n v="0"/>
    <n v="0"/>
    <n v="1"/>
    <n v="0"/>
    <n v="0"/>
    <n v="0"/>
    <n v="7"/>
    <n v="0"/>
    <n v="0"/>
    <n v="19"/>
    <n v="0"/>
    <n v="0.40100862847655211"/>
    <n v="0.80626709607243985"/>
    <n v="0.99224068804813281"/>
    <n v="1.4676895158369152"/>
    <n v="0.14709966057360641"/>
    <n v="0.99352155519239249"/>
    <n v="0.36858985273641137"/>
  </r>
  <r>
    <n v="51"/>
    <n v="51"/>
    <s v="Yes"/>
    <n v="1"/>
    <s v="Travel_Rarely"/>
    <n v="0"/>
    <n v="1"/>
    <x v="1"/>
    <n v="1"/>
    <n v="0"/>
    <n v="4"/>
    <n v="4"/>
    <n v="4"/>
    <s v="Life Sciences"/>
    <n v="1"/>
    <n v="0"/>
    <n v="0"/>
    <n v="0"/>
    <n v="0"/>
    <n v="1"/>
    <s v="Male"/>
    <n v="0"/>
    <n v="34"/>
    <n v="3"/>
    <n v="1"/>
    <s v="Research Scientist"/>
    <n v="0"/>
    <n v="0"/>
    <n v="0"/>
    <n v="0"/>
    <n v="0"/>
    <n v="0"/>
    <n v="0"/>
    <n v="1"/>
    <n v="3"/>
    <s v="Married"/>
    <n v="0"/>
    <n v="1"/>
    <n v="2461"/>
    <n v="2461"/>
    <n v="9"/>
    <s v="Yes"/>
    <n v="1"/>
    <n v="12"/>
    <n v="3"/>
    <n v="3"/>
    <n v="3"/>
    <n v="18"/>
    <x v="30"/>
    <n v="2"/>
    <n v="4"/>
    <n v="10"/>
    <n v="10"/>
    <n v="0"/>
    <n v="2"/>
    <n v="2"/>
    <n v="7"/>
    <n v="7"/>
    <n v="7"/>
    <n v="0"/>
    <n v="1"/>
    <n v="0"/>
    <n v="0"/>
    <n v="0"/>
    <n v="0"/>
    <n v="0"/>
    <n v="1"/>
    <n v="0"/>
    <n v="7"/>
    <n v="0"/>
    <n v="0"/>
    <n v="18"/>
    <n v="0"/>
    <n v="0.8585319446915739"/>
    <n v="0.80626709607243985"/>
    <n v="0.86371889657480871"/>
    <n v="0.48834154112957734"/>
    <n v="0.64050867607435136"/>
    <n v="1.5408445525439205"/>
    <n v="5.8265062631872602E-2"/>
  </r>
  <r>
    <n v="28"/>
    <n v="28"/>
    <s v="Yes"/>
    <n v="1"/>
    <s v="Non-Travel"/>
    <n v="0"/>
    <n v="0"/>
    <x v="1"/>
    <n v="1"/>
    <n v="0"/>
    <n v="24"/>
    <n v="24"/>
    <n v="2"/>
    <s v="Technical Degree"/>
    <n v="0"/>
    <n v="0"/>
    <n v="0"/>
    <n v="0"/>
    <n v="1"/>
    <n v="2"/>
    <s v="Male"/>
    <n v="0"/>
    <n v="72"/>
    <n v="2"/>
    <n v="3"/>
    <s v="Healthcare Representative"/>
    <n v="1"/>
    <n v="0"/>
    <n v="0"/>
    <n v="0"/>
    <n v="0"/>
    <n v="0"/>
    <n v="0"/>
    <n v="0"/>
    <n v="1"/>
    <s v="Single"/>
    <n v="1"/>
    <n v="0"/>
    <n v="8722"/>
    <n v="8722"/>
    <n v="1"/>
    <s v="No"/>
    <n v="0"/>
    <n v="12"/>
    <n v="3"/>
    <n v="1"/>
    <n v="0"/>
    <n v="10"/>
    <x v="1"/>
    <n v="2"/>
    <n v="2"/>
    <n v="10"/>
    <n v="10"/>
    <n v="7"/>
    <n v="1"/>
    <n v="1"/>
    <n v="9"/>
    <n v="9"/>
    <n v="27"/>
    <n v="1"/>
    <n v="0"/>
    <n v="0"/>
    <n v="0"/>
    <n v="1"/>
    <n v="0"/>
    <n v="0"/>
    <n v="0"/>
    <n v="0"/>
    <n v="9"/>
    <n v="0"/>
    <n v="0"/>
    <n v="10"/>
    <n v="0"/>
    <n v="0.47134432402813414"/>
    <n v="1.3667838287404401"/>
    <n v="0.1644554352117841"/>
    <n v="0.48834154112957734"/>
    <n v="1.8265364014293735"/>
    <n v="0.97684123527310796"/>
    <n v="0.36858985273641137"/>
  </r>
  <r>
    <n v="26"/>
    <n v="26"/>
    <s v="No"/>
    <n v="0"/>
    <s v="Travel_Rarely"/>
    <n v="0"/>
    <n v="1"/>
    <x v="1"/>
    <n v="1"/>
    <n v="0"/>
    <n v="1"/>
    <n v="1"/>
    <n v="2"/>
    <s v="Medical"/>
    <n v="0"/>
    <n v="0"/>
    <n v="1"/>
    <n v="0"/>
    <n v="0"/>
    <n v="1"/>
    <s v="Male"/>
    <n v="0"/>
    <n v="59"/>
    <n v="2"/>
    <n v="1"/>
    <s v="Laboratory Technician"/>
    <n v="0"/>
    <n v="0"/>
    <n v="1"/>
    <n v="0"/>
    <n v="0"/>
    <n v="0"/>
    <n v="0"/>
    <n v="0"/>
    <n v="1"/>
    <s v="Married"/>
    <n v="0"/>
    <n v="1"/>
    <n v="3955"/>
    <n v="3955"/>
    <n v="1"/>
    <s v="No"/>
    <n v="0"/>
    <n v="16"/>
    <n v="3"/>
    <n v="1"/>
    <n v="2"/>
    <n v="6"/>
    <x v="3"/>
    <n v="2"/>
    <n v="3"/>
    <n v="5"/>
    <n v="5"/>
    <n v="3"/>
    <n v="1"/>
    <n v="1"/>
    <n v="3"/>
    <n v="3"/>
    <n v="3"/>
    <n v="0"/>
    <n v="1"/>
    <n v="0"/>
    <n v="0"/>
    <n v="0"/>
    <n v="0"/>
    <n v="1"/>
    <n v="0"/>
    <n v="0"/>
    <n v="3"/>
    <n v="0"/>
    <n v="0"/>
    <n v="6"/>
    <n v="0"/>
    <n v="0.54119683121653095"/>
    <n v="0.31476636926356072"/>
    <n v="0.67854260110508058"/>
    <n v="0.32778177112653761"/>
    <n v="1.01056543769991"/>
    <n v="1.195770434213719"/>
    <n v="0.36858985273641137"/>
  </r>
  <r>
    <n v="30"/>
    <n v="30"/>
    <s v="No"/>
    <n v="0"/>
    <s v="Travel_Rarely"/>
    <n v="0"/>
    <n v="1"/>
    <x v="1"/>
    <n v="1"/>
    <n v="0"/>
    <n v="20"/>
    <n v="20"/>
    <n v="3"/>
    <s v="Other"/>
    <n v="0"/>
    <n v="1"/>
    <n v="0"/>
    <n v="0"/>
    <n v="0"/>
    <n v="3"/>
    <s v="Male"/>
    <n v="0"/>
    <n v="85"/>
    <n v="3"/>
    <n v="2"/>
    <s v="Manufacturing Director"/>
    <n v="0"/>
    <n v="0"/>
    <n v="0"/>
    <n v="0"/>
    <n v="1"/>
    <n v="1"/>
    <n v="0"/>
    <n v="0"/>
    <n v="1"/>
    <s v="Married"/>
    <n v="0"/>
    <n v="1"/>
    <n v="9957"/>
    <n v="9957"/>
    <n v="0"/>
    <s v="No"/>
    <n v="0"/>
    <n v="15"/>
    <n v="3"/>
    <n v="3"/>
    <n v="1"/>
    <n v="7"/>
    <x v="2"/>
    <n v="1"/>
    <n v="2"/>
    <n v="6"/>
    <n v="6"/>
    <n v="2"/>
    <n v="0"/>
    <n v="0"/>
    <n v="2"/>
    <n v="2"/>
    <n v="4"/>
    <n v="0"/>
    <n v="1"/>
    <n v="0"/>
    <n v="0"/>
    <n v="0"/>
    <n v="0"/>
    <n v="1"/>
    <n v="0"/>
    <n v="0"/>
    <n v="2"/>
    <n v="0"/>
    <n v="0"/>
    <n v="7"/>
    <n v="0"/>
    <n v="0.73366618824612484"/>
    <n v="0.59502473559756086"/>
    <n v="0.55002080963175637"/>
    <n v="0.16455710867531462"/>
    <n v="1.3331273859286286"/>
    <n v="0.75791203633249671"/>
    <n v="0.67891464284095016"/>
  </r>
  <r>
    <n v="41"/>
    <n v="41"/>
    <s v="No"/>
    <n v="0"/>
    <s v="Travel_Rarely"/>
    <n v="0"/>
    <n v="1"/>
    <x v="1"/>
    <n v="1"/>
    <n v="0"/>
    <n v="7"/>
    <n v="7"/>
    <n v="2"/>
    <s v="Technical Degree"/>
    <n v="0"/>
    <n v="0"/>
    <n v="0"/>
    <n v="0"/>
    <n v="1"/>
    <n v="2"/>
    <s v="Female"/>
    <n v="1"/>
    <n v="43"/>
    <n v="4"/>
    <n v="1"/>
    <s v="Research Scientist"/>
    <n v="0"/>
    <n v="0"/>
    <n v="0"/>
    <n v="0"/>
    <n v="0"/>
    <n v="0"/>
    <n v="0"/>
    <n v="1"/>
    <n v="3"/>
    <s v="Married"/>
    <n v="0"/>
    <n v="1"/>
    <n v="3376"/>
    <n v="3376"/>
    <n v="1"/>
    <s v="No"/>
    <n v="0"/>
    <n v="13"/>
    <n v="3"/>
    <n v="3"/>
    <n v="0"/>
    <n v="10"/>
    <x v="1"/>
    <n v="3"/>
    <n v="3"/>
    <n v="10"/>
    <n v="10"/>
    <n v="6"/>
    <n v="0"/>
    <n v="0"/>
    <n v="8"/>
    <n v="8"/>
    <n v="8"/>
    <n v="0"/>
    <n v="1"/>
    <n v="0"/>
    <n v="0"/>
    <n v="0"/>
    <n v="0"/>
    <n v="1"/>
    <n v="0"/>
    <n v="0"/>
    <n v="8"/>
    <n v="0"/>
    <n v="0"/>
    <n v="10"/>
    <n v="0"/>
    <n v="0.66418011816569411"/>
    <n v="1.08652546240644"/>
    <n v="0.1644554352117841"/>
    <n v="0.48834154112957734"/>
    <n v="0.27045191444879263"/>
    <n v="0.4461985578408646"/>
    <n v="0.67891464284095016"/>
  </r>
  <r>
    <n v="38"/>
    <n v="38"/>
    <s v="No"/>
    <n v="0"/>
    <s v="Travel_Rarely"/>
    <n v="0"/>
    <n v="1"/>
    <x v="1"/>
    <n v="1"/>
    <n v="0"/>
    <n v="17"/>
    <n v="17"/>
    <n v="1"/>
    <s v="Life Sciences"/>
    <n v="1"/>
    <n v="0"/>
    <n v="0"/>
    <n v="0"/>
    <n v="0"/>
    <n v="3"/>
    <s v="Female"/>
    <n v="1"/>
    <n v="65"/>
    <n v="2"/>
    <n v="3"/>
    <s v="Healthcare Representative"/>
    <n v="1"/>
    <n v="0"/>
    <n v="0"/>
    <n v="0"/>
    <n v="0"/>
    <n v="0"/>
    <n v="0"/>
    <n v="0"/>
    <n v="3"/>
    <s v="Married"/>
    <n v="0"/>
    <n v="1"/>
    <n v="8823"/>
    <n v="8823"/>
    <n v="0"/>
    <s v="No"/>
    <n v="0"/>
    <n v="18"/>
    <n v="3"/>
    <n v="1"/>
    <n v="1"/>
    <n v="20"/>
    <x v="25"/>
    <n v="4"/>
    <n v="2"/>
    <n v="19"/>
    <n v="19"/>
    <n v="9"/>
    <n v="1"/>
    <n v="1"/>
    <n v="9"/>
    <n v="9"/>
    <n v="27"/>
    <n v="0"/>
    <n v="1"/>
    <n v="0"/>
    <n v="0"/>
    <n v="0"/>
    <n v="0"/>
    <n v="1"/>
    <n v="0"/>
    <n v="0"/>
    <n v="9"/>
    <n v="0"/>
    <n v="0"/>
    <n v="20"/>
    <n v="0"/>
    <n v="0.49279736717470668"/>
    <n v="1.3667838287404401"/>
    <n v="1.120762479521457"/>
    <n v="1.9573635031905841"/>
    <n v="0.96307062430306978"/>
    <n v="0.11780475942994788"/>
    <n v="0.36858985273641137"/>
  </r>
  <r>
    <n v="40"/>
    <n v="40"/>
    <s v="No"/>
    <n v="0"/>
    <s v="Travel_Rarely"/>
    <n v="0"/>
    <n v="1"/>
    <x v="1"/>
    <n v="1"/>
    <n v="0"/>
    <n v="20"/>
    <n v="20"/>
    <n v="4"/>
    <s v="Technical Degree"/>
    <n v="0"/>
    <n v="0"/>
    <n v="0"/>
    <n v="0"/>
    <n v="1"/>
    <n v="1"/>
    <s v="Male"/>
    <n v="0"/>
    <n v="61"/>
    <n v="3"/>
    <n v="3"/>
    <s v="Healthcare Representative"/>
    <n v="1"/>
    <n v="0"/>
    <n v="0"/>
    <n v="0"/>
    <n v="0"/>
    <n v="0"/>
    <n v="0"/>
    <n v="0"/>
    <n v="4"/>
    <s v="Married"/>
    <n v="0"/>
    <n v="1"/>
    <n v="10322"/>
    <n v="10322"/>
    <n v="4"/>
    <s v="No"/>
    <n v="0"/>
    <n v="20"/>
    <n v="4"/>
    <n v="4"/>
    <n v="1"/>
    <n v="14"/>
    <x v="18"/>
    <n v="6"/>
    <n v="3"/>
    <n v="11"/>
    <n v="11"/>
    <n v="10"/>
    <n v="11"/>
    <n v="11"/>
    <n v="1"/>
    <n v="1"/>
    <n v="3"/>
    <n v="0"/>
    <n v="1"/>
    <n v="0"/>
    <n v="0"/>
    <n v="0"/>
    <n v="0"/>
    <n v="1"/>
    <n v="0"/>
    <n v="0"/>
    <n v="1"/>
    <n v="0"/>
    <n v="0"/>
    <n v="14"/>
    <n v="0"/>
    <n v="0.81119451248868879"/>
    <n v="0.87528310193156111"/>
    <n v="0.34963173068151232"/>
    <n v="0.65156620358080031"/>
    <n v="1.3331273859286286"/>
    <n v="0.33673395837055903"/>
    <n v="2.7346580483089769"/>
  </r>
  <r>
    <n v="27"/>
    <n v="27"/>
    <s v="No"/>
    <n v="0"/>
    <s v="Non-Travel"/>
    <n v="0"/>
    <n v="0"/>
    <x v="1"/>
    <n v="1"/>
    <n v="0"/>
    <n v="8"/>
    <n v="8"/>
    <n v="5"/>
    <s v="Life Sciences"/>
    <n v="1"/>
    <n v="0"/>
    <n v="0"/>
    <n v="0"/>
    <n v="0"/>
    <n v="1"/>
    <s v="Male"/>
    <n v="0"/>
    <n v="87"/>
    <n v="1"/>
    <n v="1"/>
    <s v="Laboratory Technician"/>
    <n v="0"/>
    <n v="0"/>
    <n v="1"/>
    <n v="0"/>
    <n v="0"/>
    <n v="0"/>
    <n v="0"/>
    <n v="0"/>
    <n v="3"/>
    <s v="Married"/>
    <n v="0"/>
    <n v="1"/>
    <n v="4621"/>
    <n v="4621"/>
    <n v="1"/>
    <s v="No"/>
    <n v="0"/>
    <n v="19"/>
    <n v="3"/>
    <n v="4"/>
    <n v="3"/>
    <n v="3"/>
    <x v="8"/>
    <n v="4"/>
    <n v="3"/>
    <n v="3"/>
    <n v="3"/>
    <n v="2"/>
    <n v="1"/>
    <n v="1"/>
    <n v="2"/>
    <n v="2"/>
    <n v="2"/>
    <n v="0"/>
    <n v="1"/>
    <n v="0"/>
    <n v="0"/>
    <n v="0"/>
    <n v="0"/>
    <n v="1"/>
    <n v="0"/>
    <n v="0"/>
    <n v="2"/>
    <n v="0"/>
    <n v="0"/>
    <n v="3"/>
    <n v="0"/>
    <n v="0.39973419026982504"/>
    <n v="0.59502473559756086"/>
    <n v="1.0641079755250529"/>
    <n v="0.65423109602898355"/>
    <n v="0.14709966057360641"/>
    <n v="1.0863058347434136"/>
    <n v="0.36858985273641137"/>
  </r>
  <r>
    <n v="55"/>
    <n v="55"/>
    <s v="No"/>
    <n v="0"/>
    <s v="Travel_Frequently"/>
    <n v="1"/>
    <n v="0"/>
    <x v="1"/>
    <n v="1"/>
    <n v="0"/>
    <n v="2"/>
    <n v="2"/>
    <n v="1"/>
    <s v="Life Sciences"/>
    <n v="1"/>
    <n v="0"/>
    <n v="0"/>
    <n v="0"/>
    <n v="0"/>
    <n v="4"/>
    <s v="Male"/>
    <n v="0"/>
    <n v="65"/>
    <n v="3"/>
    <n v="3"/>
    <s v="Manufacturing Director"/>
    <n v="0"/>
    <n v="0"/>
    <n v="0"/>
    <n v="0"/>
    <n v="1"/>
    <n v="1"/>
    <n v="0"/>
    <n v="0"/>
    <n v="2"/>
    <s v="Married"/>
    <n v="0"/>
    <n v="1"/>
    <n v="10976"/>
    <n v="10976"/>
    <n v="3"/>
    <s v="No"/>
    <n v="0"/>
    <n v="18"/>
    <n v="3"/>
    <n v="2"/>
    <n v="1"/>
    <n v="23"/>
    <x v="17"/>
    <n v="4"/>
    <n v="3"/>
    <n v="3"/>
    <n v="3"/>
    <n v="2"/>
    <n v="1"/>
    <n v="1"/>
    <n v="2"/>
    <n v="2"/>
    <n v="6"/>
    <n v="0"/>
    <n v="0"/>
    <n v="0"/>
    <n v="1"/>
    <n v="0"/>
    <n v="0"/>
    <n v="1"/>
    <n v="0"/>
    <n v="0"/>
    <n v="2"/>
    <n v="0"/>
    <n v="0"/>
    <n v="23"/>
    <n v="0"/>
    <n v="0.95010827702194056"/>
    <n v="0.59502473559756086"/>
    <n v="1.5063278539414293"/>
    <n v="0.65423109602898355"/>
    <n v="0.88721318382472392"/>
    <n v="1.9787029504251428"/>
    <n v="0.36858985273641137"/>
  </r>
  <r>
    <n v="28"/>
    <n v="28"/>
    <s v="No"/>
    <n v="0"/>
    <s v="Travel_Rarely"/>
    <n v="0"/>
    <n v="1"/>
    <x v="1"/>
    <n v="1"/>
    <n v="0"/>
    <n v="10"/>
    <n v="10"/>
    <n v="3"/>
    <s v="Other"/>
    <n v="0"/>
    <n v="1"/>
    <n v="0"/>
    <n v="0"/>
    <n v="0"/>
    <n v="3"/>
    <s v="Female"/>
    <n v="1"/>
    <n v="59"/>
    <n v="3"/>
    <n v="2"/>
    <s v="Research Scientist"/>
    <n v="0"/>
    <n v="0"/>
    <n v="0"/>
    <n v="0"/>
    <n v="0"/>
    <n v="0"/>
    <n v="0"/>
    <n v="1"/>
    <n v="3"/>
    <s v="Single"/>
    <n v="1"/>
    <n v="0"/>
    <n v="3660"/>
    <n v="3660"/>
    <n v="3"/>
    <s v="No"/>
    <n v="0"/>
    <n v="13"/>
    <n v="3"/>
    <n v="4"/>
    <n v="0"/>
    <n v="10"/>
    <x v="1"/>
    <n v="4"/>
    <n v="4"/>
    <n v="8"/>
    <n v="8"/>
    <n v="7"/>
    <n v="1"/>
    <n v="1"/>
    <n v="7"/>
    <n v="7"/>
    <n v="14"/>
    <n v="1"/>
    <n v="0"/>
    <n v="0"/>
    <n v="0"/>
    <n v="1"/>
    <n v="0"/>
    <n v="0"/>
    <n v="0"/>
    <n v="0"/>
    <n v="7"/>
    <n v="0"/>
    <n v="0"/>
    <n v="10"/>
    <n v="0"/>
    <n v="0.60385670971394567"/>
    <n v="0.80626709607243985"/>
    <n v="0.1644554352117841"/>
    <n v="0.16189221622713135"/>
    <n v="9.9604847176766084E-2"/>
    <n v="0.97684123527310796"/>
    <n v="0.36858985273641137"/>
  </r>
  <r>
    <n v="44"/>
    <n v="44"/>
    <s v="Yes"/>
    <n v="1"/>
    <s v="Travel_Rarely"/>
    <n v="0"/>
    <n v="1"/>
    <x v="2"/>
    <n v="0"/>
    <n v="0"/>
    <n v="1"/>
    <n v="1"/>
    <n v="2"/>
    <s v="Medical"/>
    <n v="0"/>
    <n v="0"/>
    <n v="1"/>
    <n v="0"/>
    <n v="0"/>
    <n v="2"/>
    <s v="Male"/>
    <n v="0"/>
    <n v="91"/>
    <n v="2"/>
    <n v="3"/>
    <s v="Human Resources"/>
    <n v="0"/>
    <n v="0"/>
    <n v="0"/>
    <n v="0"/>
    <n v="0"/>
    <n v="0"/>
    <n v="0"/>
    <n v="0"/>
    <n v="1"/>
    <s v="Married"/>
    <n v="0"/>
    <n v="1"/>
    <n v="10482"/>
    <n v="10482"/>
    <n v="9"/>
    <s v="No"/>
    <n v="0"/>
    <n v="14"/>
    <n v="3"/>
    <n v="4"/>
    <n v="1"/>
    <n v="24"/>
    <x v="12"/>
    <n v="1"/>
    <n v="3"/>
    <n v="20"/>
    <n v="20"/>
    <n v="6"/>
    <n v="3"/>
    <n v="3"/>
    <n v="6"/>
    <n v="6"/>
    <n v="18"/>
    <n v="0"/>
    <n v="1"/>
    <n v="0"/>
    <n v="0"/>
    <n v="0"/>
    <n v="0"/>
    <n v="1"/>
    <n v="0"/>
    <n v="6"/>
    <n v="0"/>
    <n v="0"/>
    <n v="24"/>
    <n v="0"/>
    <n v="0"/>
    <n v="0.84517953133474433"/>
    <n v="0.52600872973843971"/>
    <n v="1.6348496454147534"/>
    <n v="2.1205881656418071"/>
    <n v="1.01056543769991"/>
    <n v="0.77459235625178136"/>
    <n v="0.2520597274726662"/>
  </r>
  <r>
    <n v="33"/>
    <n v="33"/>
    <s v="No"/>
    <n v="0"/>
    <s v="Travel_Rarely"/>
    <n v="0"/>
    <n v="1"/>
    <x v="1"/>
    <n v="1"/>
    <n v="0"/>
    <n v="5"/>
    <n v="5"/>
    <n v="3"/>
    <s v="Life Sciences"/>
    <n v="1"/>
    <n v="0"/>
    <n v="0"/>
    <n v="0"/>
    <n v="0"/>
    <n v="4"/>
    <s v="Male"/>
    <n v="0"/>
    <n v="34"/>
    <n v="2"/>
    <n v="3"/>
    <s v="Healthcare Representative"/>
    <n v="1"/>
    <n v="0"/>
    <n v="0"/>
    <n v="0"/>
    <n v="0"/>
    <n v="0"/>
    <n v="0"/>
    <n v="0"/>
    <n v="4"/>
    <s v="Divorced"/>
    <n v="0"/>
    <n v="0"/>
    <n v="7119"/>
    <n v="7119"/>
    <n v="4"/>
    <s v="No"/>
    <n v="0"/>
    <n v="15"/>
    <n v="3"/>
    <n v="3"/>
    <n v="1"/>
    <n v="9"/>
    <x v="14"/>
    <n v="2"/>
    <n v="3"/>
    <n v="3"/>
    <n v="3"/>
    <n v="2"/>
    <n v="1"/>
    <n v="1"/>
    <n v="2"/>
    <n v="2"/>
    <n v="6"/>
    <n v="1"/>
    <n v="0"/>
    <n v="0"/>
    <n v="0"/>
    <n v="1"/>
    <n v="0"/>
    <n v="0"/>
    <n v="0"/>
    <n v="0"/>
    <n v="2"/>
    <n v="0"/>
    <n v="0"/>
    <n v="9"/>
    <n v="0"/>
    <n v="0.13085691646421593"/>
    <n v="0.59502473559756086"/>
    <n v="0.29297722668510823"/>
    <n v="0.65423109602898355"/>
    <n v="0.51715642219916513"/>
    <n v="0.42951823792158"/>
    <n v="0.36858985273641137"/>
  </r>
  <r>
    <n v="35"/>
    <n v="35"/>
    <s v="Yes"/>
    <n v="1"/>
    <s v="Travel_Rarely"/>
    <n v="0"/>
    <n v="1"/>
    <x v="0"/>
    <n v="0"/>
    <n v="1"/>
    <n v="4"/>
    <n v="4"/>
    <n v="3"/>
    <s v="Technical Degree"/>
    <n v="0"/>
    <n v="0"/>
    <n v="0"/>
    <n v="0"/>
    <n v="1"/>
    <n v="4"/>
    <s v="Male"/>
    <n v="0"/>
    <n v="86"/>
    <n v="3"/>
    <n v="3"/>
    <s v="Sales Executive"/>
    <n v="0"/>
    <n v="1"/>
    <n v="0"/>
    <n v="0"/>
    <n v="0"/>
    <n v="0"/>
    <n v="0"/>
    <n v="0"/>
    <n v="1"/>
    <s v="Single"/>
    <n v="1"/>
    <n v="0"/>
    <n v="9582"/>
    <n v="9582"/>
    <n v="0"/>
    <s v="Yes"/>
    <n v="1"/>
    <n v="22"/>
    <n v="4"/>
    <n v="1"/>
    <n v="0"/>
    <n v="9"/>
    <x v="14"/>
    <n v="2"/>
    <n v="3"/>
    <n v="8"/>
    <n v="8"/>
    <n v="7"/>
    <n v="4"/>
    <n v="4"/>
    <n v="7"/>
    <n v="7"/>
    <n v="21"/>
    <n v="1"/>
    <n v="0"/>
    <n v="0"/>
    <n v="0"/>
    <n v="0"/>
    <n v="1"/>
    <n v="0"/>
    <n v="0"/>
    <n v="0"/>
    <n v="0"/>
    <n v="7"/>
    <n v="0"/>
    <n v="0"/>
    <n v="9"/>
    <n v="0.65401380032568224"/>
    <n v="0.80626709607243985"/>
    <n v="0.29297722668510823"/>
    <n v="0.16189221622713135"/>
    <n v="0.64050867607435136"/>
    <n v="0.21058903898096887"/>
    <n v="0.56238451757720498"/>
  </r>
  <r>
    <n v="33"/>
    <n v="33"/>
    <s v="Yes"/>
    <n v="1"/>
    <s v="Travel_Frequently"/>
    <n v="1"/>
    <n v="0"/>
    <x v="1"/>
    <n v="1"/>
    <n v="0"/>
    <n v="29"/>
    <n v="29"/>
    <n v="4"/>
    <s v="Medical"/>
    <n v="0"/>
    <n v="0"/>
    <n v="1"/>
    <n v="0"/>
    <n v="0"/>
    <n v="1"/>
    <s v="Female"/>
    <n v="1"/>
    <n v="54"/>
    <n v="2"/>
    <n v="2"/>
    <s v="Research Scientist"/>
    <n v="0"/>
    <n v="0"/>
    <n v="0"/>
    <n v="0"/>
    <n v="0"/>
    <n v="0"/>
    <n v="0"/>
    <n v="1"/>
    <n v="3"/>
    <s v="Single"/>
    <n v="1"/>
    <n v="0"/>
    <n v="4508"/>
    <n v="4508"/>
    <n v="1"/>
    <s v="No"/>
    <n v="0"/>
    <n v="22"/>
    <n v="4"/>
    <n v="2"/>
    <n v="0"/>
    <n v="14"/>
    <x v="18"/>
    <n v="4"/>
    <n v="3"/>
    <n v="13"/>
    <n v="13"/>
    <n v="7"/>
    <n v="3"/>
    <n v="3"/>
    <n v="8"/>
    <n v="8"/>
    <n v="16"/>
    <n v="0"/>
    <n v="0"/>
    <n v="1"/>
    <n v="0"/>
    <n v="1"/>
    <n v="0"/>
    <n v="0"/>
    <n v="0"/>
    <n v="0"/>
    <n v="8"/>
    <n v="0"/>
    <n v="0"/>
    <n v="14"/>
    <n v="0"/>
    <n v="0.42373610982985171"/>
    <n v="1.08652546240644"/>
    <n v="0.34963173068151232"/>
    <n v="0.97801552848324624"/>
    <n v="2.4432976708053049"/>
    <n v="0.42951823792158"/>
    <n v="0.2520597274726662"/>
  </r>
  <r>
    <n v="28"/>
    <n v="28"/>
    <s v="No"/>
    <n v="0"/>
    <s v="Travel_Rarely"/>
    <n v="0"/>
    <n v="1"/>
    <x v="1"/>
    <n v="1"/>
    <n v="0"/>
    <n v="15"/>
    <n v="15"/>
    <n v="2"/>
    <s v="Life Sciences"/>
    <n v="1"/>
    <n v="0"/>
    <n v="0"/>
    <n v="0"/>
    <n v="0"/>
    <n v="1"/>
    <s v="Male"/>
    <n v="0"/>
    <n v="50"/>
    <n v="3"/>
    <n v="1"/>
    <s v="Laboratory Technician"/>
    <n v="0"/>
    <n v="0"/>
    <n v="1"/>
    <n v="0"/>
    <n v="0"/>
    <n v="0"/>
    <n v="0"/>
    <n v="0"/>
    <n v="3"/>
    <s v="Divorced"/>
    <n v="0"/>
    <n v="0"/>
    <n v="2207"/>
    <n v="2207"/>
    <n v="1"/>
    <s v="No"/>
    <n v="0"/>
    <n v="16"/>
    <n v="3"/>
    <n v="4"/>
    <n v="1"/>
    <n v="4"/>
    <x v="20"/>
    <n v="5"/>
    <n v="2"/>
    <n v="4"/>
    <n v="4"/>
    <n v="2"/>
    <n v="2"/>
    <n v="2"/>
    <n v="2"/>
    <n v="2"/>
    <n v="2"/>
    <n v="1"/>
    <n v="0"/>
    <n v="0"/>
    <n v="0"/>
    <n v="1"/>
    <n v="0"/>
    <n v="0"/>
    <n v="0"/>
    <n v="0"/>
    <n v="2"/>
    <n v="0"/>
    <n v="0"/>
    <n v="4"/>
    <n v="0"/>
    <n v="0.91248316210968694"/>
    <n v="0.59502473559756086"/>
    <n v="0.93558618405172878"/>
    <n v="0.49100643357776058"/>
    <n v="0.71636611655269733"/>
    <n v="0.97684123527310796"/>
    <n v="5.8265062631872602E-2"/>
  </r>
  <r>
    <n v="34"/>
    <n v="34"/>
    <s v="No"/>
    <n v="0"/>
    <s v="Travel_Frequently"/>
    <n v="1"/>
    <n v="0"/>
    <x v="1"/>
    <n v="1"/>
    <n v="0"/>
    <n v="3"/>
    <n v="3"/>
    <n v="1"/>
    <s v="Life Sciences"/>
    <n v="1"/>
    <n v="0"/>
    <n v="0"/>
    <n v="0"/>
    <n v="0"/>
    <n v="1"/>
    <s v="Male"/>
    <n v="0"/>
    <n v="45"/>
    <n v="3"/>
    <n v="2"/>
    <s v="Healthcare Representative"/>
    <n v="1"/>
    <n v="0"/>
    <n v="0"/>
    <n v="0"/>
    <n v="0"/>
    <n v="0"/>
    <n v="0"/>
    <n v="0"/>
    <n v="4"/>
    <s v="Single"/>
    <n v="1"/>
    <n v="0"/>
    <n v="7756"/>
    <n v="7756"/>
    <n v="0"/>
    <s v="No"/>
    <n v="0"/>
    <n v="17"/>
    <n v="3"/>
    <n v="3"/>
    <n v="0"/>
    <n v="7"/>
    <x v="2"/>
    <n v="1"/>
    <n v="2"/>
    <n v="6"/>
    <n v="6"/>
    <n v="2"/>
    <n v="0"/>
    <n v="0"/>
    <n v="4"/>
    <n v="4"/>
    <n v="8"/>
    <n v="0"/>
    <n v="0"/>
    <n v="1"/>
    <n v="0"/>
    <n v="1"/>
    <n v="0"/>
    <n v="0"/>
    <n v="0"/>
    <n v="0"/>
    <n v="4"/>
    <n v="0"/>
    <n v="0"/>
    <n v="7"/>
    <n v="0"/>
    <n v="0.26615977274507424"/>
    <n v="3.4508002929560584E-2"/>
    <n v="0.55002080963175637"/>
    <n v="0.16455710867531462"/>
    <n v="0.76386092994953758"/>
    <n v="0.32005363845127444"/>
    <n v="0.67891464284095016"/>
  </r>
  <r>
    <n v="37"/>
    <n v="37"/>
    <s v="No"/>
    <n v="0"/>
    <s v="Travel_Rarely"/>
    <n v="0"/>
    <n v="1"/>
    <x v="0"/>
    <n v="0"/>
    <n v="1"/>
    <n v="10"/>
    <n v="10"/>
    <n v="4"/>
    <s v="Life Sciences"/>
    <n v="1"/>
    <n v="0"/>
    <n v="0"/>
    <n v="0"/>
    <n v="0"/>
    <n v="4"/>
    <s v="Female"/>
    <n v="1"/>
    <n v="88"/>
    <n v="2"/>
    <n v="2"/>
    <s v="Sales Executive"/>
    <n v="0"/>
    <n v="1"/>
    <n v="0"/>
    <n v="0"/>
    <n v="0"/>
    <n v="0"/>
    <n v="0"/>
    <n v="0"/>
    <n v="4"/>
    <s v="Divorced"/>
    <n v="0"/>
    <n v="0"/>
    <n v="6694"/>
    <n v="6694"/>
    <n v="2"/>
    <s v="Yes"/>
    <n v="1"/>
    <n v="14"/>
    <n v="3"/>
    <n v="3"/>
    <n v="3"/>
    <n v="8"/>
    <x v="0"/>
    <n v="5"/>
    <n v="3"/>
    <n v="1"/>
    <n v="1"/>
    <n v="0"/>
    <n v="0"/>
    <n v="0"/>
    <n v="0"/>
    <n v="0"/>
    <n v="0"/>
    <n v="1"/>
    <n v="0"/>
    <n v="0"/>
    <n v="0"/>
    <n v="0"/>
    <n v="1"/>
    <n v="0"/>
    <n v="0"/>
    <n v="0"/>
    <n v="0"/>
    <n v="0"/>
    <n v="0"/>
    <n v="0"/>
    <n v="8"/>
    <n v="4.0584210154381101E-2"/>
    <n v="1.1555414682655611"/>
    <n v="0.42149901815843233"/>
    <n v="0.9806804209314296"/>
    <n v="9.9604847176766084E-2"/>
    <n v="8.3401599596422994E-3"/>
    <n v="0.67891464284095016"/>
  </r>
  <r>
    <n v="25"/>
    <n v="25"/>
    <s v="Yes"/>
    <n v="1"/>
    <s v="Travel_Rarely"/>
    <n v="0"/>
    <n v="1"/>
    <x v="1"/>
    <n v="1"/>
    <n v="0"/>
    <n v="4"/>
    <n v="4"/>
    <n v="1"/>
    <s v="Technical Degree"/>
    <n v="0"/>
    <n v="0"/>
    <n v="0"/>
    <n v="0"/>
    <n v="1"/>
    <n v="4"/>
    <s v="Male"/>
    <n v="0"/>
    <n v="32"/>
    <n v="3"/>
    <n v="1"/>
    <s v="Laboratory Technician"/>
    <n v="0"/>
    <n v="0"/>
    <n v="1"/>
    <n v="0"/>
    <n v="0"/>
    <n v="0"/>
    <n v="0"/>
    <n v="0"/>
    <n v="4"/>
    <s v="Married"/>
    <n v="0"/>
    <n v="1"/>
    <n v="3691"/>
    <n v="3691"/>
    <n v="1"/>
    <s v="Yes"/>
    <n v="1"/>
    <n v="15"/>
    <n v="3"/>
    <n v="2"/>
    <n v="1"/>
    <n v="7"/>
    <x v="2"/>
    <n v="3"/>
    <n v="4"/>
    <n v="7"/>
    <n v="7"/>
    <n v="7"/>
    <n v="5"/>
    <n v="5"/>
    <n v="6"/>
    <n v="6"/>
    <n v="6"/>
    <n v="0"/>
    <n v="1"/>
    <n v="0"/>
    <n v="0"/>
    <n v="0"/>
    <n v="0"/>
    <n v="0"/>
    <n v="1"/>
    <n v="0"/>
    <n v="6"/>
    <n v="0"/>
    <n v="0"/>
    <n v="7"/>
    <n v="0"/>
    <n v="0.59727211231252242"/>
    <n v="0.52600872973843971"/>
    <n v="0.55002080963175637"/>
    <n v="1.3324462240916321E-3"/>
    <n v="0.64050867607435136"/>
    <n v="1.3052350336840246"/>
    <n v="0.87270930768174382"/>
  </r>
  <r>
    <n v="26"/>
    <n v="26"/>
    <s v="Yes"/>
    <n v="1"/>
    <s v="Travel_Rarely"/>
    <n v="0"/>
    <n v="1"/>
    <x v="1"/>
    <n v="1"/>
    <n v="0"/>
    <n v="21"/>
    <n v="21"/>
    <n v="3"/>
    <s v="Medical"/>
    <n v="0"/>
    <n v="0"/>
    <n v="1"/>
    <n v="0"/>
    <n v="0"/>
    <n v="1"/>
    <s v="Male"/>
    <n v="0"/>
    <n v="37"/>
    <n v="3"/>
    <n v="1"/>
    <s v="Laboratory Technician"/>
    <n v="0"/>
    <n v="0"/>
    <n v="1"/>
    <n v="0"/>
    <n v="0"/>
    <n v="0"/>
    <n v="0"/>
    <n v="0"/>
    <n v="3"/>
    <s v="Divorced"/>
    <n v="0"/>
    <n v="0"/>
    <n v="2377"/>
    <n v="2377"/>
    <n v="1"/>
    <s v="No"/>
    <n v="0"/>
    <n v="20"/>
    <n v="4"/>
    <n v="3"/>
    <n v="1"/>
    <n v="1"/>
    <x v="5"/>
    <n v="0"/>
    <n v="2"/>
    <n v="1"/>
    <n v="1"/>
    <n v="1"/>
    <n v="0"/>
    <n v="0"/>
    <n v="0"/>
    <n v="0"/>
    <n v="0"/>
    <n v="1"/>
    <n v="0"/>
    <n v="0"/>
    <n v="0"/>
    <n v="1"/>
    <n v="0"/>
    <n v="0"/>
    <n v="0"/>
    <n v="0"/>
    <n v="0"/>
    <n v="0"/>
    <n v="0"/>
    <n v="1"/>
    <n v="0"/>
    <n v="0.87637407958575297"/>
    <n v="1.1555414682655611"/>
    <n v="1.3211515584717011"/>
    <n v="0.9806804209314296"/>
    <n v="1.4564796398038149"/>
    <n v="1.195770434213719"/>
    <n v="0.67891464284095016"/>
  </r>
  <r>
    <n v="33"/>
    <n v="33"/>
    <s v="Yes"/>
    <n v="1"/>
    <s v="Travel_Rarely"/>
    <n v="0"/>
    <n v="1"/>
    <x v="1"/>
    <n v="1"/>
    <n v="0"/>
    <n v="25"/>
    <n v="25"/>
    <n v="3"/>
    <s v="Medical"/>
    <n v="0"/>
    <n v="0"/>
    <n v="1"/>
    <n v="0"/>
    <n v="0"/>
    <n v="1"/>
    <s v="Male"/>
    <n v="0"/>
    <n v="55"/>
    <n v="2"/>
    <n v="1"/>
    <s v="Research Scientist"/>
    <n v="0"/>
    <n v="0"/>
    <n v="0"/>
    <n v="0"/>
    <n v="0"/>
    <n v="0"/>
    <n v="0"/>
    <n v="1"/>
    <n v="2"/>
    <s v="Single"/>
    <n v="1"/>
    <n v="0"/>
    <n v="2313"/>
    <n v="2313"/>
    <n v="4"/>
    <s v="Yes"/>
    <n v="1"/>
    <n v="20"/>
    <n v="4"/>
    <n v="2"/>
    <n v="0"/>
    <n v="5"/>
    <x v="7"/>
    <n v="0"/>
    <n v="3"/>
    <n v="2"/>
    <n v="2"/>
    <n v="2"/>
    <n v="2"/>
    <n v="2"/>
    <n v="2"/>
    <n v="2"/>
    <n v="2"/>
    <n v="1"/>
    <n v="0"/>
    <n v="0"/>
    <n v="0"/>
    <n v="0"/>
    <n v="1"/>
    <n v="0"/>
    <n v="0"/>
    <n v="0"/>
    <n v="2"/>
    <n v="0"/>
    <n v="0"/>
    <n v="5"/>
    <n v="0"/>
    <n v="0.88996808712417519"/>
    <n v="0.59502473559756086"/>
    <n v="0.80706439257840468"/>
    <n v="0.81745575848020657"/>
    <n v="1.9498886553045598"/>
    <n v="0.42951823792158"/>
    <n v="5.8265062631872602E-2"/>
  </r>
  <r>
    <n v="42"/>
    <n v="42"/>
    <s v="No"/>
    <n v="0"/>
    <s v="Travel_Rarely"/>
    <n v="0"/>
    <n v="1"/>
    <x v="1"/>
    <n v="1"/>
    <n v="0"/>
    <n v="2"/>
    <n v="2"/>
    <n v="2"/>
    <s v="Medical"/>
    <n v="0"/>
    <n v="0"/>
    <n v="1"/>
    <n v="0"/>
    <n v="0"/>
    <n v="4"/>
    <s v="Male"/>
    <n v="0"/>
    <n v="35"/>
    <n v="3"/>
    <n v="4"/>
    <s v="Manager"/>
    <n v="0"/>
    <n v="0"/>
    <n v="0"/>
    <n v="1"/>
    <n v="0"/>
    <n v="0"/>
    <n v="0"/>
    <n v="0"/>
    <n v="1"/>
    <s v="Married"/>
    <n v="0"/>
    <n v="1"/>
    <n v="17665"/>
    <n v="17665"/>
    <n v="0"/>
    <s v="No"/>
    <n v="0"/>
    <n v="17"/>
    <n v="3"/>
    <n v="4"/>
    <n v="1"/>
    <n v="23"/>
    <x v="17"/>
    <n v="3"/>
    <n v="3"/>
    <n v="22"/>
    <n v="22"/>
    <n v="6"/>
    <n v="13"/>
    <n v="13"/>
    <n v="7"/>
    <n v="7"/>
    <n v="28"/>
    <n v="0"/>
    <n v="1"/>
    <n v="0"/>
    <n v="0"/>
    <n v="0"/>
    <n v="0"/>
    <n v="1"/>
    <n v="0"/>
    <n v="0"/>
    <n v="7"/>
    <n v="0"/>
    <n v="0"/>
    <n v="23"/>
    <n v="0"/>
    <n v="2.370894471154847"/>
    <n v="0.80626709607243985"/>
    <n v="1.5063278539414293"/>
    <n v="2.4470374905442531"/>
    <n v="0.88721318382472392"/>
    <n v="0.55566315731117022"/>
    <n v="3.3553076285180543"/>
  </r>
  <r>
    <n v="28"/>
    <n v="28"/>
    <s v="Yes"/>
    <n v="1"/>
    <s v="Travel_Frequently"/>
    <n v="1"/>
    <n v="0"/>
    <x v="1"/>
    <n v="1"/>
    <n v="0"/>
    <n v="1"/>
    <n v="1"/>
    <n v="3"/>
    <s v="Medical"/>
    <n v="0"/>
    <n v="0"/>
    <n v="1"/>
    <n v="0"/>
    <n v="0"/>
    <n v="1"/>
    <s v="Male"/>
    <n v="0"/>
    <n v="45"/>
    <n v="2"/>
    <n v="1"/>
    <s v="Laboratory Technician"/>
    <n v="0"/>
    <n v="0"/>
    <n v="1"/>
    <n v="0"/>
    <n v="0"/>
    <n v="0"/>
    <n v="0"/>
    <n v="0"/>
    <n v="2"/>
    <s v="Divorced"/>
    <n v="0"/>
    <n v="0"/>
    <n v="2596"/>
    <n v="2596"/>
    <n v="1"/>
    <s v="No"/>
    <n v="0"/>
    <n v="15"/>
    <n v="3"/>
    <n v="1"/>
    <n v="2"/>
    <n v="1"/>
    <x v="5"/>
    <n v="2"/>
    <n v="3"/>
    <n v="1"/>
    <n v="1"/>
    <n v="0"/>
    <n v="0"/>
    <n v="0"/>
    <n v="0"/>
    <n v="0"/>
    <n v="0"/>
    <n v="0"/>
    <n v="0"/>
    <n v="1"/>
    <n v="0"/>
    <n v="1"/>
    <n v="0"/>
    <n v="0"/>
    <n v="0"/>
    <n v="0"/>
    <n v="0"/>
    <n v="0"/>
    <n v="0"/>
    <n v="1"/>
    <n v="0"/>
    <n v="0.8298570850402146"/>
    <n v="1.1555414682655611"/>
    <n v="1.3211515584717011"/>
    <n v="0.9806804209314296"/>
    <n v="1.01056543769991"/>
    <n v="0.97684123527310796"/>
    <n v="0.67891464284095016"/>
  </r>
  <r>
    <n v="50"/>
    <n v="50"/>
    <s v="Yes"/>
    <n v="1"/>
    <s v="Travel_Frequently"/>
    <n v="1"/>
    <n v="0"/>
    <x v="0"/>
    <n v="0"/>
    <n v="1"/>
    <n v="1"/>
    <n v="1"/>
    <n v="4"/>
    <s v="Other"/>
    <n v="0"/>
    <n v="1"/>
    <n v="0"/>
    <n v="0"/>
    <n v="0"/>
    <n v="4"/>
    <s v="Male"/>
    <n v="0"/>
    <n v="81"/>
    <n v="3"/>
    <n v="2"/>
    <s v="Sales Executive"/>
    <n v="0"/>
    <n v="1"/>
    <n v="0"/>
    <n v="0"/>
    <n v="0"/>
    <n v="0"/>
    <n v="0"/>
    <n v="0"/>
    <n v="3"/>
    <s v="Single"/>
    <n v="1"/>
    <n v="0"/>
    <n v="4728"/>
    <n v="4728"/>
    <n v="3"/>
    <s v="Yes"/>
    <n v="1"/>
    <n v="14"/>
    <n v="3"/>
    <n v="4"/>
    <n v="0"/>
    <n v="5"/>
    <x v="7"/>
    <n v="4"/>
    <n v="3"/>
    <n v="0"/>
    <n v="0"/>
    <n v="0"/>
    <n v="0"/>
    <n v="0"/>
    <n v="0"/>
    <n v="0"/>
    <n v="0"/>
    <n v="0"/>
    <n v="0"/>
    <n v="1"/>
    <n v="0"/>
    <n v="0"/>
    <n v="1"/>
    <n v="0"/>
    <n v="0"/>
    <n v="0"/>
    <n v="0"/>
    <n v="0"/>
    <n v="0"/>
    <n v="0"/>
    <n v="5"/>
    <n v="0.37700670891652543"/>
    <n v="1.1555414682655611"/>
    <n v="0.80706439257840468"/>
    <n v="1.1439050833826525"/>
    <n v="1.01056543769991"/>
    <n v="1.4313799530736149"/>
    <n v="0.67891464284095016"/>
  </r>
  <r>
    <n v="33"/>
    <n v="33"/>
    <s v="No"/>
    <n v="0"/>
    <s v="Travel_Frequently"/>
    <n v="1"/>
    <n v="0"/>
    <x v="0"/>
    <n v="0"/>
    <n v="1"/>
    <n v="7"/>
    <n v="7"/>
    <n v="3"/>
    <s v="Life Sciences"/>
    <n v="1"/>
    <n v="0"/>
    <n v="0"/>
    <n v="0"/>
    <n v="0"/>
    <n v="4"/>
    <s v="Female"/>
    <n v="1"/>
    <n v="30"/>
    <n v="3"/>
    <n v="2"/>
    <s v="Sales Executive"/>
    <n v="0"/>
    <n v="1"/>
    <n v="0"/>
    <n v="0"/>
    <n v="0"/>
    <n v="0"/>
    <n v="0"/>
    <n v="0"/>
    <n v="2"/>
    <s v="Married"/>
    <n v="0"/>
    <n v="1"/>
    <n v="4302"/>
    <n v="4302"/>
    <n v="0"/>
    <s v="No"/>
    <n v="0"/>
    <n v="17"/>
    <n v="3"/>
    <n v="3"/>
    <n v="1"/>
    <n v="4"/>
    <x v="20"/>
    <n v="3"/>
    <n v="3"/>
    <n v="3"/>
    <n v="3"/>
    <n v="2"/>
    <n v="0"/>
    <n v="0"/>
    <n v="2"/>
    <n v="2"/>
    <n v="4"/>
    <n v="0"/>
    <n v="0"/>
    <n v="0"/>
    <n v="1"/>
    <n v="0"/>
    <n v="0"/>
    <n v="1"/>
    <n v="0"/>
    <n v="0"/>
    <n v="0"/>
    <n v="2"/>
    <n v="0"/>
    <n v="0"/>
    <n v="4"/>
    <n v="0.46749182159414815"/>
    <n v="0.59502473559756086"/>
    <n v="0.93558618405172878"/>
    <n v="0.65423109602898355"/>
    <n v="0.27045191444879263"/>
    <n v="0.42951823792158"/>
    <n v="0.67891464284095016"/>
  </r>
  <r>
    <n v="34"/>
    <n v="34"/>
    <s v="No"/>
    <n v="0"/>
    <s v="Non-Travel"/>
    <n v="0"/>
    <n v="0"/>
    <x v="1"/>
    <n v="1"/>
    <n v="0"/>
    <n v="3"/>
    <n v="3"/>
    <n v="4"/>
    <s v="Life Sciences"/>
    <n v="1"/>
    <n v="0"/>
    <n v="0"/>
    <n v="0"/>
    <n v="0"/>
    <n v="3"/>
    <s v="Male"/>
    <n v="0"/>
    <n v="40"/>
    <n v="2"/>
    <n v="1"/>
    <s v="Research Scientist"/>
    <n v="0"/>
    <n v="0"/>
    <n v="0"/>
    <n v="0"/>
    <n v="0"/>
    <n v="0"/>
    <n v="0"/>
    <n v="1"/>
    <n v="4"/>
    <s v="Married"/>
    <n v="0"/>
    <n v="1"/>
    <n v="2979"/>
    <n v="2979"/>
    <n v="3"/>
    <s v="No"/>
    <n v="0"/>
    <n v="17"/>
    <n v="3"/>
    <n v="4"/>
    <n v="3"/>
    <n v="6"/>
    <x v="3"/>
    <n v="2"/>
    <n v="3"/>
    <n v="0"/>
    <n v="0"/>
    <n v="0"/>
    <n v="0"/>
    <n v="0"/>
    <n v="0"/>
    <n v="0"/>
    <n v="0"/>
    <n v="0"/>
    <n v="1"/>
    <n v="0"/>
    <n v="0"/>
    <n v="0"/>
    <n v="0"/>
    <n v="1"/>
    <n v="0"/>
    <n v="0"/>
    <n v="0"/>
    <n v="0"/>
    <n v="0"/>
    <n v="6"/>
    <n v="0"/>
    <n v="0.74850544617746928"/>
    <n v="1.1555414682655611"/>
    <n v="0.67854260110508058"/>
    <n v="1.1439050833826525"/>
    <n v="0.76386092994953758"/>
    <n v="0.32005363845127444"/>
    <n v="0.67891464284095016"/>
  </r>
  <r>
    <n v="48"/>
    <n v="48"/>
    <s v="No"/>
    <n v="0"/>
    <s v="Non-Travel"/>
    <n v="0"/>
    <n v="0"/>
    <x v="1"/>
    <n v="1"/>
    <n v="0"/>
    <n v="1"/>
    <n v="1"/>
    <n v="4"/>
    <s v="Medical"/>
    <n v="0"/>
    <n v="0"/>
    <n v="1"/>
    <n v="0"/>
    <n v="0"/>
    <n v="1"/>
    <s v="Male"/>
    <n v="0"/>
    <n v="35"/>
    <n v="4"/>
    <n v="4"/>
    <s v="Manager"/>
    <n v="0"/>
    <n v="0"/>
    <n v="0"/>
    <n v="1"/>
    <n v="0"/>
    <n v="0"/>
    <n v="0"/>
    <n v="0"/>
    <n v="4"/>
    <s v="Single"/>
    <n v="1"/>
    <n v="0"/>
    <n v="16885"/>
    <n v="16885"/>
    <n v="2"/>
    <s v="No"/>
    <n v="0"/>
    <n v="22"/>
    <n v="4"/>
    <n v="3"/>
    <n v="0"/>
    <n v="27"/>
    <x v="34"/>
    <n v="3"/>
    <n v="2"/>
    <n v="5"/>
    <n v="5"/>
    <n v="4"/>
    <n v="2"/>
    <n v="2"/>
    <n v="1"/>
    <n v="1"/>
    <n v="4"/>
    <n v="1"/>
    <n v="0"/>
    <n v="0"/>
    <n v="0"/>
    <n v="1"/>
    <n v="0"/>
    <n v="0"/>
    <n v="0"/>
    <n v="0"/>
    <n v="1"/>
    <n v="0"/>
    <n v="0"/>
    <n v="27"/>
    <n v="0"/>
    <n v="2.2052175042803266"/>
    <n v="0.87528310193156111"/>
    <n v="2.0204150198347257"/>
    <n v="0.32778177112653761"/>
    <n v="1.01056543769991"/>
    <n v="1.2124507541330036"/>
    <n v="5.8265062631872602E-2"/>
  </r>
  <r>
    <n v="45"/>
    <n v="45"/>
    <s v="No"/>
    <n v="0"/>
    <s v="Non-Travel"/>
    <n v="0"/>
    <n v="0"/>
    <x v="0"/>
    <n v="0"/>
    <n v="1"/>
    <n v="9"/>
    <n v="9"/>
    <n v="4"/>
    <s v="Life Sciences"/>
    <n v="1"/>
    <n v="0"/>
    <n v="0"/>
    <n v="0"/>
    <n v="0"/>
    <n v="2"/>
    <s v="Female"/>
    <n v="1"/>
    <n v="65"/>
    <n v="2"/>
    <n v="2"/>
    <s v="Sales Executive"/>
    <n v="0"/>
    <n v="1"/>
    <n v="0"/>
    <n v="0"/>
    <n v="0"/>
    <n v="0"/>
    <n v="0"/>
    <n v="0"/>
    <n v="3"/>
    <s v="Married"/>
    <n v="0"/>
    <n v="1"/>
    <n v="5593"/>
    <n v="5593"/>
    <n v="1"/>
    <s v="No"/>
    <n v="0"/>
    <n v="13"/>
    <n v="3"/>
    <n v="4"/>
    <n v="1"/>
    <n v="15"/>
    <x v="19"/>
    <n v="2"/>
    <n v="3"/>
    <n v="15"/>
    <n v="15"/>
    <n v="10"/>
    <n v="4"/>
    <n v="4"/>
    <n v="12"/>
    <n v="12"/>
    <n v="24"/>
    <n v="0"/>
    <n v="1"/>
    <n v="0"/>
    <n v="0"/>
    <n v="0"/>
    <n v="0"/>
    <n v="1"/>
    <n v="0"/>
    <n v="0"/>
    <n v="0"/>
    <n v="12"/>
    <n v="0"/>
    <n v="0"/>
    <n v="15"/>
    <n v="0.1932752007800381"/>
    <n v="2.2075589277424408"/>
    <n v="0.47815352215483642"/>
    <n v="1.3044648533856922"/>
    <n v="2.3747406698420157E-2"/>
    <n v="0.88405695572208698"/>
    <n v="0.56238451757720498"/>
  </r>
  <r>
    <n v="52"/>
    <n v="52"/>
    <s v="No"/>
    <n v="0"/>
    <s v="Travel_Rarely"/>
    <n v="0"/>
    <n v="1"/>
    <x v="1"/>
    <n v="1"/>
    <n v="0"/>
    <n v="7"/>
    <n v="7"/>
    <n v="4"/>
    <s v="Life Sciences"/>
    <n v="1"/>
    <n v="0"/>
    <n v="0"/>
    <n v="0"/>
    <n v="0"/>
    <n v="2"/>
    <s v="Male"/>
    <n v="0"/>
    <n v="87"/>
    <n v="3"/>
    <n v="3"/>
    <s v="Healthcare Representative"/>
    <n v="1"/>
    <n v="0"/>
    <n v="0"/>
    <n v="0"/>
    <n v="0"/>
    <n v="0"/>
    <n v="0"/>
    <n v="0"/>
    <n v="2"/>
    <s v="Single"/>
    <n v="1"/>
    <n v="0"/>
    <n v="10445"/>
    <n v="10445"/>
    <n v="7"/>
    <s v="No"/>
    <n v="0"/>
    <n v="19"/>
    <n v="3"/>
    <n v="4"/>
    <n v="0"/>
    <n v="18"/>
    <x v="30"/>
    <n v="4"/>
    <n v="3"/>
    <n v="8"/>
    <n v="8"/>
    <n v="6"/>
    <n v="4"/>
    <n v="4"/>
    <n v="0"/>
    <n v="0"/>
    <n v="0"/>
    <n v="1"/>
    <n v="0"/>
    <n v="0"/>
    <n v="0"/>
    <n v="1"/>
    <n v="0"/>
    <n v="0"/>
    <n v="0"/>
    <n v="0"/>
    <n v="0"/>
    <n v="0"/>
    <n v="0"/>
    <n v="18"/>
    <n v="0"/>
    <n v="0.83732049572659395"/>
    <n v="1.1555414682655611"/>
    <n v="0.86371889657480871"/>
    <n v="0.16189221622713135"/>
    <n v="0.27045191444879263"/>
    <n v="1.6503091520142259"/>
    <n v="0.56238451757720498"/>
  </r>
  <r>
    <n v="38"/>
    <n v="38"/>
    <s v="No"/>
    <n v="0"/>
    <s v="Travel_Rarely"/>
    <n v="0"/>
    <n v="1"/>
    <x v="0"/>
    <n v="0"/>
    <n v="1"/>
    <n v="10"/>
    <n v="10"/>
    <n v="4"/>
    <s v="Marketing"/>
    <n v="0"/>
    <n v="0"/>
    <n v="0"/>
    <n v="1"/>
    <n v="0"/>
    <n v="3"/>
    <s v="Male"/>
    <n v="0"/>
    <n v="73"/>
    <n v="2"/>
    <n v="3"/>
    <s v="Sales Executive"/>
    <n v="0"/>
    <n v="1"/>
    <n v="0"/>
    <n v="0"/>
    <n v="0"/>
    <n v="0"/>
    <n v="0"/>
    <n v="0"/>
    <n v="3"/>
    <s v="Divorced"/>
    <n v="0"/>
    <n v="0"/>
    <n v="8740"/>
    <n v="8740"/>
    <n v="0"/>
    <s v="Yes"/>
    <n v="1"/>
    <n v="14"/>
    <n v="3"/>
    <n v="2"/>
    <n v="2"/>
    <n v="9"/>
    <x v="14"/>
    <n v="2"/>
    <n v="3"/>
    <n v="8"/>
    <n v="8"/>
    <n v="7"/>
    <n v="2"/>
    <n v="2"/>
    <n v="7"/>
    <n v="7"/>
    <n v="21"/>
    <n v="1"/>
    <n v="0"/>
    <n v="0"/>
    <n v="0"/>
    <n v="0"/>
    <n v="1"/>
    <n v="0"/>
    <n v="0"/>
    <n v="0"/>
    <n v="0"/>
    <n v="7"/>
    <n v="0"/>
    <n v="0"/>
    <n v="9"/>
    <n v="0.4751676386483154"/>
    <n v="0.80626709607243985"/>
    <n v="0.29297722668510823"/>
    <n v="0.16189221622713135"/>
    <n v="9.9604847176766084E-2"/>
    <n v="0.11780475942994788"/>
    <n v="5.8265062631872602E-2"/>
  </r>
  <r>
    <n v="29"/>
    <n v="29"/>
    <s v="No"/>
    <n v="0"/>
    <s v="Travel_Rarely"/>
    <n v="0"/>
    <n v="1"/>
    <x v="1"/>
    <n v="1"/>
    <n v="0"/>
    <n v="28"/>
    <n v="28"/>
    <n v="4"/>
    <s v="Life Sciences"/>
    <n v="1"/>
    <n v="0"/>
    <n v="0"/>
    <n v="0"/>
    <n v="0"/>
    <n v="3"/>
    <s v="Female"/>
    <n v="1"/>
    <n v="93"/>
    <n v="3"/>
    <n v="1"/>
    <s v="Research Scientist"/>
    <n v="0"/>
    <n v="0"/>
    <n v="0"/>
    <n v="0"/>
    <n v="0"/>
    <n v="0"/>
    <n v="0"/>
    <n v="1"/>
    <n v="4"/>
    <s v="Divorced"/>
    <n v="0"/>
    <n v="0"/>
    <n v="2514"/>
    <n v="2514"/>
    <n v="4"/>
    <s v="No"/>
    <n v="0"/>
    <n v="22"/>
    <n v="4"/>
    <n v="1"/>
    <n v="1"/>
    <n v="11"/>
    <x v="26"/>
    <n v="1"/>
    <n v="3"/>
    <n v="7"/>
    <n v="7"/>
    <n v="5"/>
    <n v="1"/>
    <n v="1"/>
    <n v="7"/>
    <n v="7"/>
    <n v="7"/>
    <n v="1"/>
    <n v="0"/>
    <n v="0"/>
    <n v="0"/>
    <n v="1"/>
    <n v="0"/>
    <n v="0"/>
    <n v="0"/>
    <n v="0"/>
    <n v="7"/>
    <n v="0"/>
    <n v="0"/>
    <n v="11"/>
    <n v="0"/>
    <n v="0.84727440719881797"/>
    <n v="0.80626709607243985"/>
    <n v="3.593364373846001E-2"/>
    <n v="1.3324462240916321E-3"/>
    <n v="2.3199454169301186"/>
    <n v="0.86737663580280233"/>
    <n v="0.36858985273641137"/>
  </r>
  <r>
    <n v="28"/>
    <n v="28"/>
    <s v="No"/>
    <n v="0"/>
    <s v="Travel_Rarely"/>
    <n v="0"/>
    <n v="1"/>
    <x v="1"/>
    <n v="1"/>
    <n v="0"/>
    <n v="3"/>
    <n v="3"/>
    <n v="3"/>
    <s v="Medical"/>
    <n v="0"/>
    <n v="0"/>
    <n v="1"/>
    <n v="0"/>
    <n v="0"/>
    <n v="4"/>
    <s v="Female"/>
    <n v="1"/>
    <n v="93"/>
    <n v="3"/>
    <n v="3"/>
    <s v="Manufacturing Director"/>
    <n v="0"/>
    <n v="0"/>
    <n v="0"/>
    <n v="0"/>
    <n v="1"/>
    <n v="1"/>
    <n v="0"/>
    <n v="0"/>
    <n v="2"/>
    <s v="Divorced"/>
    <n v="0"/>
    <n v="0"/>
    <n v="7655"/>
    <n v="7655"/>
    <n v="0"/>
    <s v="No"/>
    <n v="0"/>
    <n v="17"/>
    <n v="3"/>
    <n v="2"/>
    <n v="3"/>
    <n v="10"/>
    <x v="1"/>
    <n v="3"/>
    <n v="2"/>
    <n v="9"/>
    <n v="9"/>
    <n v="7"/>
    <n v="1"/>
    <n v="1"/>
    <n v="7"/>
    <n v="7"/>
    <n v="21"/>
    <n v="1"/>
    <n v="0"/>
    <n v="0"/>
    <n v="0"/>
    <n v="1"/>
    <n v="0"/>
    <n v="0"/>
    <n v="0"/>
    <n v="0"/>
    <n v="7"/>
    <n v="0"/>
    <n v="0"/>
    <n v="10"/>
    <n v="0"/>
    <n v="0.24470672959850176"/>
    <n v="0.80626709607243985"/>
    <n v="0.1644554352117841"/>
    <n v="0.32511687867835437"/>
    <n v="0.76386092994953758"/>
    <n v="0.97684123527310796"/>
    <n v="0.36858985273641137"/>
  </r>
  <r>
    <n v="46"/>
    <n v="46"/>
    <s v="No"/>
    <n v="0"/>
    <s v="Travel_Rarely"/>
    <n v="0"/>
    <n v="1"/>
    <x v="0"/>
    <n v="0"/>
    <n v="1"/>
    <n v="3"/>
    <n v="3"/>
    <n v="1"/>
    <s v="Marketing"/>
    <n v="0"/>
    <n v="0"/>
    <n v="0"/>
    <n v="1"/>
    <n v="0"/>
    <n v="1"/>
    <s v="Male"/>
    <n v="0"/>
    <n v="52"/>
    <n v="3"/>
    <n v="4"/>
    <s v="Manager"/>
    <n v="0"/>
    <n v="0"/>
    <n v="0"/>
    <n v="1"/>
    <n v="0"/>
    <n v="0"/>
    <n v="0"/>
    <n v="0"/>
    <n v="3"/>
    <s v="Married"/>
    <n v="0"/>
    <n v="1"/>
    <n v="17465"/>
    <n v="17465"/>
    <n v="3"/>
    <s v="No"/>
    <n v="0"/>
    <n v="12"/>
    <n v="3"/>
    <n v="4"/>
    <n v="1"/>
    <n v="23"/>
    <x v="17"/>
    <n v="3"/>
    <n v="3"/>
    <n v="12"/>
    <n v="12"/>
    <n v="9"/>
    <n v="4"/>
    <n v="4"/>
    <n v="9"/>
    <n v="9"/>
    <n v="36"/>
    <n v="0"/>
    <n v="1"/>
    <n v="0"/>
    <n v="0"/>
    <n v="0"/>
    <n v="0"/>
    <n v="1"/>
    <n v="0"/>
    <n v="0"/>
    <n v="0"/>
    <n v="9"/>
    <n v="0"/>
    <n v="0"/>
    <n v="23"/>
    <n v="2.3284131975972775"/>
    <n v="1.3667838287404401"/>
    <n v="1.5063278539414293"/>
    <n v="0.81479086603202333"/>
    <n v="0.76386092994953758"/>
    <n v="0.99352155519239249"/>
    <n v="0.56238451757720498"/>
  </r>
  <r>
    <n v="38"/>
    <n v="38"/>
    <s v="No"/>
    <n v="0"/>
    <s v="Travel_Rarely"/>
    <n v="0"/>
    <n v="1"/>
    <x v="0"/>
    <n v="0"/>
    <n v="1"/>
    <n v="2"/>
    <n v="2"/>
    <n v="2"/>
    <s v="Marketing"/>
    <n v="0"/>
    <n v="0"/>
    <n v="0"/>
    <n v="1"/>
    <n v="0"/>
    <n v="4"/>
    <s v="Male"/>
    <n v="0"/>
    <n v="32"/>
    <n v="3"/>
    <n v="3"/>
    <s v="Sales Executive"/>
    <n v="0"/>
    <n v="1"/>
    <n v="0"/>
    <n v="0"/>
    <n v="0"/>
    <n v="0"/>
    <n v="0"/>
    <n v="0"/>
    <n v="2"/>
    <s v="Single"/>
    <n v="1"/>
    <n v="0"/>
    <n v="7351"/>
    <n v="7351"/>
    <n v="7"/>
    <s v="No"/>
    <n v="0"/>
    <n v="16"/>
    <n v="3"/>
    <n v="3"/>
    <n v="0"/>
    <n v="10"/>
    <x v="1"/>
    <n v="2"/>
    <n v="3"/>
    <n v="1"/>
    <n v="1"/>
    <n v="0"/>
    <n v="0"/>
    <n v="0"/>
    <n v="0"/>
    <n v="0"/>
    <n v="0"/>
    <n v="1"/>
    <n v="0"/>
    <n v="0"/>
    <n v="0"/>
    <n v="1"/>
    <n v="0"/>
    <n v="0"/>
    <n v="0"/>
    <n v="0"/>
    <n v="0"/>
    <n v="0"/>
    <n v="0"/>
    <n v="0"/>
    <n v="10"/>
    <n v="0.18013519379099635"/>
    <n v="1.1555414682655611"/>
    <n v="0.1644554352117841"/>
    <n v="0.9806804209314296"/>
    <n v="0.88721318382472392"/>
    <n v="0.11780475942994788"/>
    <n v="0.67891464284095016"/>
  </r>
  <r>
    <n v="43"/>
    <n v="43"/>
    <s v="No"/>
    <n v="0"/>
    <s v="Travel_Frequently"/>
    <n v="1"/>
    <n v="0"/>
    <x v="1"/>
    <n v="1"/>
    <n v="0"/>
    <n v="27"/>
    <n v="27"/>
    <n v="3"/>
    <s v="Life Sciences"/>
    <n v="1"/>
    <n v="0"/>
    <n v="0"/>
    <n v="0"/>
    <n v="0"/>
    <n v="3"/>
    <s v="Female"/>
    <n v="1"/>
    <n v="83"/>
    <n v="3"/>
    <n v="3"/>
    <s v="Manufacturing Director"/>
    <n v="0"/>
    <n v="0"/>
    <n v="0"/>
    <n v="0"/>
    <n v="1"/>
    <n v="1"/>
    <n v="0"/>
    <n v="0"/>
    <n v="1"/>
    <s v="Married"/>
    <n v="0"/>
    <n v="1"/>
    <n v="10820"/>
    <n v="10820"/>
    <n v="8"/>
    <s v="No"/>
    <n v="0"/>
    <n v="11"/>
    <n v="3"/>
    <n v="3"/>
    <n v="1"/>
    <n v="18"/>
    <x v="30"/>
    <n v="1"/>
    <n v="3"/>
    <n v="8"/>
    <n v="8"/>
    <n v="7"/>
    <n v="0"/>
    <n v="0"/>
    <n v="1"/>
    <n v="1"/>
    <n v="3"/>
    <n v="0"/>
    <n v="0"/>
    <n v="0"/>
    <n v="1"/>
    <n v="0"/>
    <n v="0"/>
    <n v="1"/>
    <n v="0"/>
    <n v="0"/>
    <n v="1"/>
    <n v="0"/>
    <n v="0"/>
    <n v="18"/>
    <n v="0"/>
    <n v="0.91697288364703644"/>
    <n v="0.87528310193156111"/>
    <n v="0.86371889657480871"/>
    <n v="0.16189221622713135"/>
    <n v="2.1965931630549322"/>
    <n v="0.66512775678147573"/>
    <n v="0.67891464284095016"/>
  </r>
  <r>
    <n v="39"/>
    <n v="39"/>
    <s v="Yes"/>
    <n v="1"/>
    <s v="Travel_Frequently"/>
    <n v="1"/>
    <n v="0"/>
    <x v="1"/>
    <n v="1"/>
    <n v="0"/>
    <n v="2"/>
    <n v="2"/>
    <n v="3"/>
    <s v="Life Sciences"/>
    <n v="1"/>
    <n v="0"/>
    <n v="0"/>
    <n v="0"/>
    <n v="0"/>
    <n v="1"/>
    <s v="Male"/>
    <n v="0"/>
    <n v="84"/>
    <n v="3"/>
    <n v="4"/>
    <s v="Healthcare Representative"/>
    <n v="1"/>
    <n v="0"/>
    <n v="0"/>
    <n v="0"/>
    <n v="0"/>
    <n v="0"/>
    <n v="0"/>
    <n v="0"/>
    <n v="4"/>
    <s v="Divorced"/>
    <n v="0"/>
    <n v="0"/>
    <n v="12169"/>
    <n v="12169"/>
    <n v="7"/>
    <s v="No"/>
    <n v="0"/>
    <n v="11"/>
    <n v="3"/>
    <n v="4"/>
    <n v="3"/>
    <n v="21"/>
    <x v="23"/>
    <n v="4"/>
    <n v="3"/>
    <n v="18"/>
    <n v="18"/>
    <n v="7"/>
    <n v="11"/>
    <n v="11"/>
    <n v="5"/>
    <n v="5"/>
    <n v="20"/>
    <n v="0"/>
    <n v="0"/>
    <n v="1"/>
    <n v="0"/>
    <n v="1"/>
    <n v="0"/>
    <n v="0"/>
    <n v="0"/>
    <n v="0"/>
    <n v="5"/>
    <n v="0"/>
    <n v="0"/>
    <n v="21"/>
    <n v="0"/>
    <n v="1.2035090737928416"/>
    <n v="0.24575036340443959"/>
    <n v="1.2492842709947811"/>
    <n v="1.794138840739361"/>
    <n v="0.88721318382472392"/>
    <n v="0.22726935890025346"/>
    <n v="2.7346580483089769"/>
  </r>
  <r>
    <n v="40"/>
    <n v="40"/>
    <s v="No"/>
    <n v="0"/>
    <s v="Travel_Rarely"/>
    <n v="0"/>
    <n v="1"/>
    <x v="1"/>
    <n v="1"/>
    <n v="0"/>
    <n v="14"/>
    <n v="14"/>
    <n v="3"/>
    <s v="Medical"/>
    <n v="0"/>
    <n v="0"/>
    <n v="1"/>
    <n v="0"/>
    <n v="0"/>
    <n v="3"/>
    <s v="Male"/>
    <n v="0"/>
    <n v="44"/>
    <n v="2"/>
    <n v="5"/>
    <s v="Research Director"/>
    <n v="0"/>
    <n v="0"/>
    <n v="0"/>
    <n v="0"/>
    <n v="0"/>
    <n v="0"/>
    <n v="0"/>
    <n v="0"/>
    <n v="3"/>
    <s v="Single"/>
    <n v="1"/>
    <n v="0"/>
    <n v="19626"/>
    <n v="19626"/>
    <n v="1"/>
    <s v="No"/>
    <n v="0"/>
    <n v="14"/>
    <n v="3"/>
    <n v="1"/>
    <n v="0"/>
    <n v="21"/>
    <x v="23"/>
    <n v="2"/>
    <n v="4"/>
    <n v="20"/>
    <n v="20"/>
    <n v="7"/>
    <n v="4"/>
    <n v="4"/>
    <n v="9"/>
    <n v="9"/>
    <n v="45"/>
    <n v="1"/>
    <n v="0"/>
    <n v="0"/>
    <n v="0"/>
    <n v="1"/>
    <n v="0"/>
    <n v="0"/>
    <n v="0"/>
    <n v="0"/>
    <n v="9"/>
    <n v="0"/>
    <n v="0"/>
    <n v="21"/>
    <n v="0"/>
    <n v="2.7874233583868144"/>
    <n v="1.3667838287404401"/>
    <n v="1.2492842709947811"/>
    <n v="2.1205881656418071"/>
    <n v="0.59301386267751111"/>
    <n v="0.33673395837055903"/>
    <n v="0.56238451757720498"/>
  </r>
  <r>
    <n v="21"/>
    <n v="21"/>
    <s v="No"/>
    <n v="0"/>
    <s v="Travel_Rarely"/>
    <n v="0"/>
    <n v="1"/>
    <x v="1"/>
    <n v="1"/>
    <n v="0"/>
    <n v="1"/>
    <n v="1"/>
    <n v="1"/>
    <s v="Technical Degree"/>
    <n v="0"/>
    <n v="0"/>
    <n v="0"/>
    <n v="0"/>
    <n v="1"/>
    <n v="4"/>
    <s v="Female"/>
    <n v="1"/>
    <n v="70"/>
    <n v="2"/>
    <n v="1"/>
    <s v="Research Scientist"/>
    <n v="0"/>
    <n v="0"/>
    <n v="0"/>
    <n v="0"/>
    <n v="0"/>
    <n v="0"/>
    <n v="0"/>
    <n v="1"/>
    <n v="2"/>
    <s v="Single"/>
    <n v="1"/>
    <n v="0"/>
    <n v="2070"/>
    <n v="2070"/>
    <n v="1"/>
    <s v="Yes"/>
    <n v="1"/>
    <n v="11"/>
    <n v="3"/>
    <n v="3"/>
    <n v="0"/>
    <n v="2"/>
    <x v="16"/>
    <n v="6"/>
    <n v="4"/>
    <n v="2"/>
    <n v="2"/>
    <n v="2"/>
    <n v="2"/>
    <n v="2"/>
    <n v="2"/>
    <n v="2"/>
    <n v="2"/>
    <n v="1"/>
    <n v="0"/>
    <n v="0"/>
    <n v="0"/>
    <n v="0"/>
    <n v="1"/>
    <n v="0"/>
    <n v="0"/>
    <n v="0"/>
    <n v="2"/>
    <n v="0"/>
    <n v="0"/>
    <n v="2"/>
    <n v="0"/>
    <n v="0.94158283449662195"/>
    <n v="0.59502473559756086"/>
    <n v="1.192629766998377"/>
    <n v="0.81745575848020657"/>
    <n v="1.01056543769991"/>
    <n v="1.7430934315652469"/>
    <n v="5.8265062631872602E-2"/>
  </r>
  <r>
    <n v="39"/>
    <n v="39"/>
    <s v="No"/>
    <n v="0"/>
    <s v="Non-Travel"/>
    <n v="0"/>
    <n v="0"/>
    <x v="1"/>
    <n v="1"/>
    <n v="0"/>
    <n v="9"/>
    <n v="9"/>
    <n v="3"/>
    <s v="Life Sciences"/>
    <n v="1"/>
    <n v="0"/>
    <n v="0"/>
    <n v="0"/>
    <n v="0"/>
    <n v="3"/>
    <s v="Male"/>
    <n v="0"/>
    <n v="70"/>
    <n v="3"/>
    <n v="2"/>
    <s v="Laboratory Technician"/>
    <n v="0"/>
    <n v="0"/>
    <n v="1"/>
    <n v="0"/>
    <n v="0"/>
    <n v="0"/>
    <n v="0"/>
    <n v="0"/>
    <n v="2"/>
    <s v="Single"/>
    <n v="1"/>
    <n v="0"/>
    <n v="6782"/>
    <n v="6782"/>
    <n v="9"/>
    <s v="No"/>
    <n v="0"/>
    <n v="15"/>
    <n v="3"/>
    <n v="3"/>
    <n v="0"/>
    <n v="9"/>
    <x v="14"/>
    <n v="2"/>
    <n v="2"/>
    <n v="5"/>
    <n v="5"/>
    <n v="4"/>
    <n v="0"/>
    <n v="0"/>
    <n v="3"/>
    <n v="3"/>
    <n v="6"/>
    <n v="1"/>
    <n v="0"/>
    <n v="0"/>
    <n v="0"/>
    <n v="1"/>
    <n v="0"/>
    <n v="0"/>
    <n v="0"/>
    <n v="0"/>
    <n v="3"/>
    <n v="0"/>
    <n v="0"/>
    <n v="9"/>
    <n v="0"/>
    <n v="5.9275970519711604E-2"/>
    <n v="0.31476636926356072"/>
    <n v="0.29297722668510823"/>
    <n v="0.32778177112653761"/>
    <n v="2.3747406698420157E-2"/>
    <n v="0.22726935890025346"/>
    <n v="0.67891464284095016"/>
  </r>
  <r>
    <n v="36"/>
    <n v="36"/>
    <s v="No"/>
    <n v="0"/>
    <s v="Non-Travel"/>
    <n v="0"/>
    <n v="0"/>
    <x v="1"/>
    <n v="1"/>
    <n v="0"/>
    <n v="18"/>
    <n v="18"/>
    <n v="4"/>
    <s v="Life Sciences"/>
    <n v="1"/>
    <n v="0"/>
    <n v="0"/>
    <n v="0"/>
    <n v="0"/>
    <n v="1"/>
    <s v="Male"/>
    <n v="0"/>
    <n v="78"/>
    <n v="3"/>
    <n v="2"/>
    <s v="Manufacturing Director"/>
    <n v="0"/>
    <n v="0"/>
    <n v="0"/>
    <n v="0"/>
    <n v="1"/>
    <n v="1"/>
    <n v="0"/>
    <n v="0"/>
    <n v="4"/>
    <s v="Single"/>
    <n v="1"/>
    <n v="0"/>
    <n v="7779"/>
    <n v="7779"/>
    <n v="2"/>
    <s v="No"/>
    <n v="0"/>
    <n v="20"/>
    <n v="4"/>
    <n v="1"/>
    <n v="0"/>
    <n v="18"/>
    <x v="30"/>
    <n v="0"/>
    <n v="3"/>
    <n v="11"/>
    <n v="11"/>
    <n v="9"/>
    <n v="0"/>
    <n v="0"/>
    <n v="9"/>
    <n v="9"/>
    <n v="18"/>
    <n v="1"/>
    <n v="0"/>
    <n v="0"/>
    <n v="0"/>
    <n v="1"/>
    <n v="0"/>
    <n v="0"/>
    <n v="0"/>
    <n v="0"/>
    <n v="9"/>
    <n v="0"/>
    <n v="0"/>
    <n v="18"/>
    <n v="0"/>
    <n v="0.27104511920419472"/>
    <n v="1.3667838287404401"/>
    <n v="0.86371889657480871"/>
    <n v="0.65156620358080031"/>
    <n v="1.0864228781782561"/>
    <n v="0.10112443951066327"/>
    <n v="0.67891464284095016"/>
  </r>
  <r>
    <n v="31"/>
    <n v="31"/>
    <s v="No"/>
    <n v="0"/>
    <s v="Travel_Frequently"/>
    <n v="1"/>
    <n v="0"/>
    <x v="0"/>
    <n v="0"/>
    <n v="1"/>
    <n v="20"/>
    <n v="20"/>
    <n v="3"/>
    <s v="Life Sciences"/>
    <n v="1"/>
    <n v="0"/>
    <n v="0"/>
    <n v="0"/>
    <n v="0"/>
    <n v="3"/>
    <s v="Male"/>
    <n v="0"/>
    <n v="67"/>
    <n v="4"/>
    <n v="1"/>
    <s v="Sales Representative"/>
    <n v="0"/>
    <n v="0"/>
    <n v="0"/>
    <n v="0"/>
    <n v="0"/>
    <n v="0"/>
    <n v="1"/>
    <n v="0"/>
    <n v="4"/>
    <s v="Married"/>
    <n v="0"/>
    <n v="1"/>
    <n v="2791"/>
    <n v="2791"/>
    <n v="0"/>
    <s v="No"/>
    <n v="0"/>
    <n v="12"/>
    <n v="3"/>
    <n v="1"/>
    <n v="1"/>
    <n v="3"/>
    <x v="8"/>
    <n v="4"/>
    <n v="3"/>
    <n v="2"/>
    <n v="2"/>
    <n v="2"/>
    <n v="2"/>
    <n v="2"/>
    <n v="2"/>
    <n v="2"/>
    <n v="2"/>
    <n v="0"/>
    <n v="0"/>
    <n v="0"/>
    <n v="1"/>
    <n v="0"/>
    <n v="0"/>
    <n v="1"/>
    <n v="0"/>
    <n v="0"/>
    <n v="0"/>
    <n v="2"/>
    <n v="0"/>
    <n v="0"/>
    <n v="3"/>
    <n v="0.78843784332158451"/>
    <n v="0.59502473559756086"/>
    <n v="1.0641079755250529"/>
    <n v="0.81745575848020657"/>
    <n v="1.3331273859286286"/>
    <n v="0.6484474368621912"/>
    <n v="5.8265062631872602E-2"/>
  </r>
  <r>
    <n v="28"/>
    <n v="28"/>
    <s v="No"/>
    <n v="0"/>
    <s v="Travel_Rarely"/>
    <n v="0"/>
    <n v="1"/>
    <x v="1"/>
    <n v="1"/>
    <n v="0"/>
    <n v="2"/>
    <n v="2"/>
    <n v="1"/>
    <s v="Life Sciences"/>
    <n v="1"/>
    <n v="0"/>
    <n v="0"/>
    <n v="0"/>
    <n v="0"/>
    <n v="1"/>
    <s v="Male"/>
    <n v="0"/>
    <n v="67"/>
    <n v="2"/>
    <n v="1"/>
    <s v="Research Scientist"/>
    <n v="0"/>
    <n v="0"/>
    <n v="0"/>
    <n v="0"/>
    <n v="0"/>
    <n v="0"/>
    <n v="0"/>
    <n v="1"/>
    <n v="2"/>
    <s v="Married"/>
    <n v="0"/>
    <n v="1"/>
    <n v="3201"/>
    <n v="3201"/>
    <n v="0"/>
    <s v="No"/>
    <n v="0"/>
    <n v="17"/>
    <n v="3"/>
    <n v="1"/>
    <n v="0"/>
    <n v="6"/>
    <x v="3"/>
    <n v="2"/>
    <n v="1"/>
    <n v="5"/>
    <n v="5"/>
    <n v="3"/>
    <n v="0"/>
    <n v="0"/>
    <n v="4"/>
    <n v="4"/>
    <n v="4"/>
    <n v="0"/>
    <n v="1"/>
    <n v="0"/>
    <n v="0"/>
    <n v="0"/>
    <n v="0"/>
    <n v="1"/>
    <n v="0"/>
    <n v="0"/>
    <n v="4"/>
    <n v="0"/>
    <n v="0"/>
    <n v="6"/>
    <n v="0"/>
    <n v="0.70135123252856735"/>
    <n v="3.4508002929560584E-2"/>
    <n v="0.67854260110508058"/>
    <n v="0.32778177112653761"/>
    <n v="0.88721318382472392"/>
    <n v="0.97684123527310796"/>
    <n v="0.67891464284095016"/>
  </r>
  <r>
    <n v="35"/>
    <n v="35"/>
    <s v="No"/>
    <n v="0"/>
    <s v="Travel_Frequently"/>
    <n v="1"/>
    <n v="0"/>
    <x v="0"/>
    <n v="0"/>
    <n v="1"/>
    <n v="11"/>
    <n v="11"/>
    <n v="2"/>
    <s v="Marketing"/>
    <n v="0"/>
    <n v="0"/>
    <n v="0"/>
    <n v="1"/>
    <n v="0"/>
    <n v="4"/>
    <s v="Male"/>
    <n v="0"/>
    <n v="54"/>
    <n v="3"/>
    <n v="2"/>
    <s v="Sales Executive"/>
    <n v="0"/>
    <n v="1"/>
    <n v="0"/>
    <n v="0"/>
    <n v="0"/>
    <n v="0"/>
    <n v="0"/>
    <n v="0"/>
    <n v="4"/>
    <s v="Divorced"/>
    <n v="0"/>
    <n v="0"/>
    <n v="4968"/>
    <n v="4968"/>
    <n v="1"/>
    <s v="No"/>
    <n v="0"/>
    <n v="11"/>
    <n v="3"/>
    <n v="4"/>
    <n v="1"/>
    <n v="5"/>
    <x v="7"/>
    <n v="3"/>
    <n v="3"/>
    <n v="5"/>
    <n v="5"/>
    <n v="2"/>
    <n v="0"/>
    <n v="0"/>
    <n v="2"/>
    <n v="2"/>
    <n v="4"/>
    <n v="0"/>
    <n v="0"/>
    <n v="1"/>
    <n v="0"/>
    <n v="1"/>
    <n v="0"/>
    <n v="0"/>
    <n v="0"/>
    <n v="0"/>
    <n v="0"/>
    <n v="2"/>
    <n v="0"/>
    <n v="0"/>
    <n v="5"/>
    <n v="0.32602918064744224"/>
    <n v="0.59502473559756086"/>
    <n v="0.80706439257840468"/>
    <n v="0.32778177112653761"/>
    <n v="0.22295710105195232"/>
    <n v="0.21058903898096887"/>
    <n v="0.67891464284095016"/>
  </r>
  <r>
    <n v="49"/>
    <n v="49"/>
    <s v="No"/>
    <n v="0"/>
    <s v="Travel_Rarely"/>
    <n v="0"/>
    <n v="1"/>
    <x v="0"/>
    <n v="0"/>
    <n v="1"/>
    <n v="8"/>
    <n v="8"/>
    <n v="4"/>
    <s v="Technical Degree"/>
    <n v="0"/>
    <n v="0"/>
    <n v="0"/>
    <n v="0"/>
    <n v="1"/>
    <n v="4"/>
    <s v="Male"/>
    <n v="0"/>
    <n v="56"/>
    <n v="2"/>
    <n v="4"/>
    <s v="Sales Executive"/>
    <n v="0"/>
    <n v="1"/>
    <n v="0"/>
    <n v="0"/>
    <n v="0"/>
    <n v="0"/>
    <n v="0"/>
    <n v="0"/>
    <n v="2"/>
    <s v="Married"/>
    <n v="0"/>
    <n v="1"/>
    <n v="13120"/>
    <n v="13120"/>
    <n v="6"/>
    <s v="No"/>
    <n v="0"/>
    <n v="17"/>
    <n v="3"/>
    <n v="2"/>
    <n v="1"/>
    <n v="22"/>
    <x v="13"/>
    <n v="3"/>
    <n v="3"/>
    <n v="9"/>
    <n v="9"/>
    <n v="8"/>
    <n v="2"/>
    <n v="2"/>
    <n v="3"/>
    <n v="3"/>
    <n v="12"/>
    <n v="0"/>
    <n v="1"/>
    <n v="0"/>
    <n v="0"/>
    <n v="0"/>
    <n v="0"/>
    <n v="1"/>
    <n v="0"/>
    <n v="0"/>
    <n v="0"/>
    <n v="3"/>
    <n v="0"/>
    <n v="0"/>
    <n v="22"/>
    <n v="1.4055075295590838"/>
    <n v="0.31476636926356072"/>
    <n v="1.3778060624681052"/>
    <n v="0.32511687867835437"/>
    <n v="0.14709966057360641"/>
    <n v="1.3219153536033093"/>
    <n v="5.8265062631872602E-2"/>
  </r>
  <r>
    <n v="34"/>
    <n v="34"/>
    <s v="No"/>
    <n v="0"/>
    <s v="Travel_Frequently"/>
    <n v="1"/>
    <n v="0"/>
    <x v="1"/>
    <n v="1"/>
    <n v="0"/>
    <n v="2"/>
    <n v="2"/>
    <n v="2"/>
    <s v="Life Sciences"/>
    <n v="1"/>
    <n v="0"/>
    <n v="0"/>
    <n v="0"/>
    <n v="0"/>
    <n v="4"/>
    <s v="Male"/>
    <n v="0"/>
    <n v="95"/>
    <n v="3"/>
    <n v="2"/>
    <s v="Manufacturing Director"/>
    <n v="0"/>
    <n v="0"/>
    <n v="0"/>
    <n v="0"/>
    <n v="1"/>
    <n v="1"/>
    <n v="0"/>
    <n v="0"/>
    <n v="3"/>
    <s v="Single"/>
    <n v="1"/>
    <n v="0"/>
    <n v="4033"/>
    <n v="4033"/>
    <n v="2"/>
    <s v="No"/>
    <n v="0"/>
    <n v="11"/>
    <n v="3"/>
    <n v="4"/>
    <n v="0"/>
    <n v="5"/>
    <x v="7"/>
    <n v="3"/>
    <n v="2"/>
    <n v="3"/>
    <n v="3"/>
    <n v="2"/>
    <n v="0"/>
    <n v="0"/>
    <n v="2"/>
    <n v="2"/>
    <n v="4"/>
    <n v="0"/>
    <n v="0"/>
    <n v="1"/>
    <n v="0"/>
    <n v="1"/>
    <n v="0"/>
    <n v="0"/>
    <n v="0"/>
    <n v="0"/>
    <n v="2"/>
    <n v="0"/>
    <n v="0"/>
    <n v="5"/>
    <n v="0"/>
    <n v="0.52462913452907889"/>
    <n v="0.59502473559756086"/>
    <n v="0.80706439257840468"/>
    <n v="0.65423109602898355"/>
    <n v="0.88721318382472392"/>
    <n v="0.32005363845127444"/>
    <n v="0.67891464284095016"/>
  </r>
  <r>
    <n v="29"/>
    <n v="29"/>
    <s v="No"/>
    <n v="0"/>
    <s v="Travel_Frequently"/>
    <n v="1"/>
    <n v="0"/>
    <x v="1"/>
    <n v="1"/>
    <n v="0"/>
    <n v="10"/>
    <n v="10"/>
    <n v="3"/>
    <s v="Life Sciences"/>
    <n v="1"/>
    <n v="0"/>
    <n v="0"/>
    <n v="0"/>
    <n v="0"/>
    <n v="4"/>
    <s v="Female"/>
    <n v="1"/>
    <n v="61"/>
    <n v="3"/>
    <n v="1"/>
    <s v="Research Scientist"/>
    <n v="0"/>
    <n v="0"/>
    <n v="0"/>
    <n v="0"/>
    <n v="0"/>
    <n v="0"/>
    <n v="0"/>
    <n v="1"/>
    <n v="2"/>
    <s v="Divorced"/>
    <n v="0"/>
    <n v="0"/>
    <n v="3291"/>
    <n v="3291"/>
    <n v="0"/>
    <s v="No"/>
    <n v="0"/>
    <n v="14"/>
    <n v="3"/>
    <n v="4"/>
    <n v="2"/>
    <n v="8"/>
    <x v="0"/>
    <n v="2"/>
    <n v="2"/>
    <n v="7"/>
    <n v="7"/>
    <n v="5"/>
    <n v="1"/>
    <n v="1"/>
    <n v="1"/>
    <n v="1"/>
    <n v="1"/>
    <n v="0"/>
    <n v="0"/>
    <n v="1"/>
    <n v="0"/>
    <n v="1"/>
    <n v="0"/>
    <n v="0"/>
    <n v="0"/>
    <n v="0"/>
    <n v="1"/>
    <n v="0"/>
    <n v="0"/>
    <n v="8"/>
    <n v="0"/>
    <n v="0.68223465942766115"/>
    <n v="0.87528310193156111"/>
    <n v="0.42149901815843233"/>
    <n v="1.3324462240916321E-3"/>
    <n v="9.9604847176766084E-2"/>
    <n v="0.86737663580280233"/>
    <n v="0.36858985273641137"/>
  </r>
  <r>
    <n v="42"/>
    <n v="42"/>
    <s v="No"/>
    <n v="0"/>
    <s v="Travel_Rarely"/>
    <n v="0"/>
    <n v="1"/>
    <x v="1"/>
    <n v="1"/>
    <n v="0"/>
    <n v="29"/>
    <n v="29"/>
    <n v="3"/>
    <s v="Medical"/>
    <n v="0"/>
    <n v="0"/>
    <n v="1"/>
    <n v="0"/>
    <n v="0"/>
    <n v="2"/>
    <s v="Male"/>
    <n v="0"/>
    <n v="56"/>
    <n v="1"/>
    <n v="2"/>
    <s v="Laboratory Technician"/>
    <n v="0"/>
    <n v="0"/>
    <n v="1"/>
    <n v="0"/>
    <n v="0"/>
    <n v="0"/>
    <n v="0"/>
    <n v="0"/>
    <n v="4"/>
    <s v="Single"/>
    <n v="1"/>
    <n v="0"/>
    <n v="4272"/>
    <n v="4272"/>
    <n v="4"/>
    <s v="No"/>
    <n v="0"/>
    <n v="19"/>
    <n v="3"/>
    <n v="1"/>
    <n v="0"/>
    <n v="16"/>
    <x v="27"/>
    <n v="3"/>
    <n v="3"/>
    <n v="1"/>
    <n v="1"/>
    <n v="0"/>
    <n v="0"/>
    <n v="0"/>
    <n v="0"/>
    <n v="0"/>
    <n v="0"/>
    <n v="1"/>
    <n v="0"/>
    <n v="0"/>
    <n v="0"/>
    <n v="1"/>
    <n v="0"/>
    <n v="0"/>
    <n v="0"/>
    <n v="0"/>
    <n v="0"/>
    <n v="0"/>
    <n v="0"/>
    <n v="16"/>
    <n v="0"/>
    <n v="0.47386401262778355"/>
    <n v="1.1555414682655611"/>
    <n v="0.60667531362816052"/>
    <n v="0.9806804209314296"/>
    <n v="2.4432976708053049"/>
    <n v="0.55566315731117022"/>
    <n v="0.67891464284095016"/>
  </r>
  <r>
    <n v="29"/>
    <n v="29"/>
    <s v="No"/>
    <n v="0"/>
    <s v="Travel_Rarely"/>
    <n v="0"/>
    <n v="1"/>
    <x v="1"/>
    <n v="1"/>
    <n v="0"/>
    <n v="8"/>
    <n v="8"/>
    <n v="1"/>
    <s v="Medical"/>
    <n v="0"/>
    <n v="0"/>
    <n v="1"/>
    <n v="0"/>
    <n v="0"/>
    <n v="2"/>
    <s v="Male"/>
    <n v="0"/>
    <n v="79"/>
    <n v="2"/>
    <n v="2"/>
    <s v="Manufacturing Director"/>
    <n v="0"/>
    <n v="0"/>
    <n v="0"/>
    <n v="0"/>
    <n v="1"/>
    <n v="1"/>
    <n v="0"/>
    <n v="0"/>
    <n v="4"/>
    <s v="Married"/>
    <n v="0"/>
    <n v="1"/>
    <n v="5056"/>
    <n v="5056"/>
    <n v="1"/>
    <s v="Yes"/>
    <n v="1"/>
    <n v="15"/>
    <n v="3"/>
    <n v="3"/>
    <n v="1"/>
    <n v="10"/>
    <x v="1"/>
    <n v="2"/>
    <n v="2"/>
    <n v="10"/>
    <n v="10"/>
    <n v="7"/>
    <n v="1"/>
    <n v="1"/>
    <n v="2"/>
    <n v="2"/>
    <n v="4"/>
    <n v="0"/>
    <n v="1"/>
    <n v="0"/>
    <n v="0"/>
    <n v="0"/>
    <n v="0"/>
    <n v="0"/>
    <n v="1"/>
    <n v="0"/>
    <n v="2"/>
    <n v="0"/>
    <n v="0"/>
    <n v="10"/>
    <n v="0"/>
    <n v="0.30733742028211175"/>
    <n v="0.59502473559756086"/>
    <n v="0.1644554352117841"/>
    <n v="0.48834154112957734"/>
    <n v="0.14709966057360641"/>
    <n v="0.86737663580280233"/>
    <n v="0.36858985273641137"/>
  </r>
  <r>
    <n v="38"/>
    <n v="38"/>
    <s v="No"/>
    <n v="0"/>
    <s v="Travel_Rarely"/>
    <n v="0"/>
    <n v="1"/>
    <x v="2"/>
    <n v="0"/>
    <n v="0"/>
    <n v="1"/>
    <n v="1"/>
    <n v="3"/>
    <s v="Human Resources"/>
    <n v="0"/>
    <n v="0"/>
    <n v="0"/>
    <n v="0"/>
    <n v="0"/>
    <n v="3"/>
    <s v="Male"/>
    <n v="0"/>
    <n v="37"/>
    <n v="4"/>
    <n v="1"/>
    <s v="Human Resources"/>
    <n v="0"/>
    <n v="0"/>
    <n v="0"/>
    <n v="0"/>
    <n v="0"/>
    <n v="0"/>
    <n v="0"/>
    <n v="0"/>
    <n v="3"/>
    <s v="Married"/>
    <n v="0"/>
    <n v="1"/>
    <n v="2844"/>
    <n v="2844"/>
    <n v="1"/>
    <s v="No"/>
    <n v="0"/>
    <n v="13"/>
    <n v="3"/>
    <n v="4"/>
    <n v="1"/>
    <n v="7"/>
    <x v="2"/>
    <n v="2"/>
    <n v="4"/>
    <n v="7"/>
    <n v="7"/>
    <n v="6"/>
    <n v="5"/>
    <n v="5"/>
    <n v="0"/>
    <n v="0"/>
    <n v="0"/>
    <n v="0"/>
    <n v="1"/>
    <n v="0"/>
    <n v="0"/>
    <n v="0"/>
    <n v="0"/>
    <n v="1"/>
    <n v="0"/>
    <n v="0"/>
    <n v="0"/>
    <n v="0"/>
    <n v="7"/>
    <n v="0"/>
    <n v="0"/>
    <n v="0.77718030582882858"/>
    <n v="1.1555414682655611"/>
    <n v="0.55002080963175637"/>
    <n v="1.3324462240916321E-3"/>
    <n v="1.01056543769991"/>
    <n v="0.11780475942994788"/>
    <n v="0.87270930768174382"/>
  </r>
  <r>
    <n v="28"/>
    <n v="28"/>
    <s v="No"/>
    <n v="0"/>
    <s v="Travel_Frequently"/>
    <n v="1"/>
    <n v="0"/>
    <x v="1"/>
    <n v="1"/>
    <n v="0"/>
    <n v="6"/>
    <n v="6"/>
    <n v="3"/>
    <s v="Life Sciences"/>
    <n v="1"/>
    <n v="0"/>
    <n v="0"/>
    <n v="0"/>
    <n v="0"/>
    <n v="3"/>
    <s v="Male"/>
    <n v="0"/>
    <n v="39"/>
    <n v="2"/>
    <n v="1"/>
    <s v="Research Scientist"/>
    <n v="0"/>
    <n v="0"/>
    <n v="0"/>
    <n v="0"/>
    <n v="0"/>
    <n v="0"/>
    <n v="0"/>
    <n v="1"/>
    <n v="3"/>
    <s v="Divorced"/>
    <n v="0"/>
    <n v="0"/>
    <n v="2703"/>
    <n v="2703"/>
    <n v="1"/>
    <s v="Yes"/>
    <n v="1"/>
    <n v="14"/>
    <n v="3"/>
    <n v="4"/>
    <n v="1"/>
    <n v="3"/>
    <x v="8"/>
    <n v="2"/>
    <n v="3"/>
    <n v="3"/>
    <n v="3"/>
    <n v="1"/>
    <n v="0"/>
    <n v="0"/>
    <n v="2"/>
    <n v="2"/>
    <n v="2"/>
    <n v="0"/>
    <n v="0"/>
    <n v="1"/>
    <n v="0"/>
    <n v="0"/>
    <n v="1"/>
    <n v="0"/>
    <n v="0"/>
    <n v="0"/>
    <n v="2"/>
    <n v="0"/>
    <n v="0"/>
    <n v="3"/>
    <n v="0"/>
    <n v="0.807129603686915"/>
    <n v="0.59502473559756086"/>
    <n v="1.0641079755250529"/>
    <n v="0.65423109602898355"/>
    <n v="0.39380416832397891"/>
    <n v="0.97684123527310796"/>
    <n v="0.67891464284095016"/>
  </r>
  <r>
    <n v="18"/>
    <n v="19"/>
    <s v="Yes"/>
    <n v="1"/>
    <s v="Non-Travel"/>
    <n v="0"/>
    <n v="0"/>
    <x v="1"/>
    <n v="1"/>
    <n v="0"/>
    <n v="8"/>
    <n v="8"/>
    <n v="1"/>
    <s v="Medical"/>
    <n v="0"/>
    <n v="0"/>
    <n v="1"/>
    <n v="0"/>
    <n v="0"/>
    <n v="3"/>
    <s v="Male"/>
    <n v="0"/>
    <n v="80"/>
    <n v="3"/>
    <n v="1"/>
    <s v="Laboratory Technician"/>
    <n v="0"/>
    <n v="0"/>
    <n v="1"/>
    <n v="0"/>
    <n v="0"/>
    <n v="0"/>
    <n v="0"/>
    <n v="0"/>
    <n v="3"/>
    <s v="Single"/>
    <n v="1"/>
    <n v="0"/>
    <n v="1904"/>
    <n v="1904"/>
    <n v="1"/>
    <s v="No"/>
    <n v="0"/>
    <n v="12"/>
    <n v="3"/>
    <n v="4"/>
    <n v="0"/>
    <n v="0"/>
    <x v="5"/>
    <n v="0"/>
    <n v="3"/>
    <n v="0"/>
    <n v="0"/>
    <n v="0"/>
    <n v="0"/>
    <n v="0"/>
    <n v="0"/>
    <n v="0"/>
    <n v="0"/>
    <n v="1"/>
    <n v="0"/>
    <n v="0"/>
    <n v="0"/>
    <n v="1"/>
    <n v="0"/>
    <n v="0"/>
    <n v="0"/>
    <n v="0"/>
    <n v="0"/>
    <n v="0"/>
    <n v="0"/>
    <n v="1"/>
    <n v="0"/>
    <n v="0.9768422915494045"/>
    <n v="1.1555414682655611"/>
    <n v="1.4496733499450252"/>
    <n v="1.1439050833826525"/>
    <n v="0.14709966057360641"/>
    <n v="2.0714872299761637"/>
    <n v="0.67891464284095016"/>
  </r>
  <r>
    <n v="33"/>
    <n v="33"/>
    <s v="Yes"/>
    <n v="1"/>
    <s v="Travel_Rarely"/>
    <n v="0"/>
    <n v="1"/>
    <x v="0"/>
    <n v="0"/>
    <n v="1"/>
    <n v="9"/>
    <n v="9"/>
    <n v="4"/>
    <s v="Marketing"/>
    <n v="0"/>
    <n v="0"/>
    <n v="0"/>
    <n v="1"/>
    <n v="0"/>
    <n v="1"/>
    <s v="Female"/>
    <n v="1"/>
    <n v="77"/>
    <n v="3"/>
    <n v="2"/>
    <s v="Sales Executive"/>
    <n v="0"/>
    <n v="1"/>
    <n v="0"/>
    <n v="0"/>
    <n v="0"/>
    <n v="0"/>
    <n v="0"/>
    <n v="0"/>
    <n v="1"/>
    <s v="Single"/>
    <n v="1"/>
    <n v="0"/>
    <n v="8224"/>
    <n v="8224"/>
    <n v="0"/>
    <s v="Yes"/>
    <n v="1"/>
    <n v="17"/>
    <n v="3"/>
    <n v="1"/>
    <n v="0"/>
    <n v="6"/>
    <x v="3"/>
    <n v="3"/>
    <n v="3"/>
    <n v="5"/>
    <n v="5"/>
    <n v="2"/>
    <n v="0"/>
    <n v="0"/>
    <n v="3"/>
    <n v="3"/>
    <n v="6"/>
    <n v="1"/>
    <n v="0"/>
    <n v="0"/>
    <n v="0"/>
    <n v="0"/>
    <n v="1"/>
    <n v="0"/>
    <n v="0"/>
    <n v="0"/>
    <n v="0"/>
    <n v="3"/>
    <n v="0"/>
    <n v="0"/>
    <n v="6"/>
    <n v="0.36556595286978649"/>
    <n v="0.31476636926356072"/>
    <n v="0.67854260110508058"/>
    <n v="0.32778177112653761"/>
    <n v="2.3747406698420157E-2"/>
    <n v="0.42951823792158"/>
    <n v="0.67891464284095016"/>
  </r>
  <r>
    <n v="41"/>
    <n v="41"/>
    <s v="No"/>
    <n v="0"/>
    <s v="Travel_Rarely"/>
    <n v="0"/>
    <n v="1"/>
    <x v="1"/>
    <n v="1"/>
    <n v="0"/>
    <n v="12"/>
    <n v="12"/>
    <n v="4"/>
    <s v="Life Sciences"/>
    <n v="1"/>
    <n v="0"/>
    <n v="0"/>
    <n v="0"/>
    <n v="0"/>
    <n v="2"/>
    <s v="Male"/>
    <n v="0"/>
    <n v="46"/>
    <n v="3"/>
    <n v="1"/>
    <s v="Laboratory Technician"/>
    <n v="0"/>
    <n v="0"/>
    <n v="1"/>
    <n v="0"/>
    <n v="0"/>
    <n v="0"/>
    <n v="0"/>
    <n v="0"/>
    <n v="4"/>
    <s v="Married"/>
    <n v="0"/>
    <n v="1"/>
    <n v="4766"/>
    <n v="4766"/>
    <n v="3"/>
    <s v="Yes"/>
    <n v="1"/>
    <n v="11"/>
    <n v="3"/>
    <n v="1"/>
    <n v="1"/>
    <n v="6"/>
    <x v="3"/>
    <n v="4"/>
    <n v="3"/>
    <n v="1"/>
    <n v="1"/>
    <n v="0"/>
    <n v="0"/>
    <n v="0"/>
    <n v="0"/>
    <n v="0"/>
    <n v="0"/>
    <n v="0"/>
    <n v="1"/>
    <n v="0"/>
    <n v="0"/>
    <n v="0"/>
    <n v="0"/>
    <n v="0"/>
    <n v="1"/>
    <n v="0"/>
    <n v="0"/>
    <n v="0"/>
    <n v="0"/>
    <n v="6"/>
    <n v="0"/>
    <n v="0.36893526694058726"/>
    <n v="1.1555414682655611"/>
    <n v="0.67854260110508058"/>
    <n v="0.9806804209314296"/>
    <n v="0.3463093549271386"/>
    <n v="0.4461985578408646"/>
    <n v="0.67891464284095016"/>
  </r>
  <r>
    <n v="31"/>
    <n v="31"/>
    <s v="Yes"/>
    <n v="1"/>
    <s v="Travel_Frequently"/>
    <n v="1"/>
    <n v="0"/>
    <x v="1"/>
    <n v="1"/>
    <n v="0"/>
    <n v="15"/>
    <n v="15"/>
    <n v="3"/>
    <s v="Medical"/>
    <n v="0"/>
    <n v="0"/>
    <n v="1"/>
    <n v="0"/>
    <n v="0"/>
    <n v="3"/>
    <s v="Male"/>
    <n v="0"/>
    <n v="72"/>
    <n v="3"/>
    <n v="1"/>
    <s v="Laboratory Technician"/>
    <n v="0"/>
    <n v="0"/>
    <n v="1"/>
    <n v="0"/>
    <n v="0"/>
    <n v="0"/>
    <n v="0"/>
    <n v="0"/>
    <n v="3"/>
    <s v="Married"/>
    <n v="0"/>
    <n v="1"/>
    <n v="2610"/>
    <n v="2610"/>
    <n v="1"/>
    <s v="No"/>
    <n v="0"/>
    <n v="12"/>
    <n v="3"/>
    <n v="3"/>
    <n v="1"/>
    <n v="2"/>
    <x v="16"/>
    <n v="5"/>
    <n v="2"/>
    <n v="2"/>
    <n v="2"/>
    <n v="2"/>
    <n v="2"/>
    <n v="2"/>
    <n v="2"/>
    <n v="2"/>
    <n v="2"/>
    <n v="0"/>
    <n v="0"/>
    <n v="0"/>
    <n v="1"/>
    <n v="0"/>
    <n v="0"/>
    <n v="1"/>
    <n v="0"/>
    <n v="0"/>
    <n v="2"/>
    <n v="0"/>
    <n v="0"/>
    <n v="2"/>
    <n v="0"/>
    <n v="0.82688339589118476"/>
    <n v="0.59502473559756086"/>
    <n v="1.192629766998377"/>
    <n v="0.81745575848020657"/>
    <n v="0.71636611655269733"/>
    <n v="0.6484474368621912"/>
    <n v="5.8265062631872602E-2"/>
  </r>
  <r>
    <n v="37"/>
    <n v="37"/>
    <s v="No"/>
    <n v="0"/>
    <s v="Travel_Rarely"/>
    <n v="0"/>
    <n v="1"/>
    <x v="1"/>
    <n v="1"/>
    <n v="0"/>
    <n v="25"/>
    <n v="25"/>
    <n v="2"/>
    <s v="Medical"/>
    <n v="0"/>
    <n v="0"/>
    <n v="1"/>
    <n v="0"/>
    <n v="0"/>
    <n v="3"/>
    <s v="Female"/>
    <n v="1"/>
    <n v="52"/>
    <n v="2"/>
    <n v="2"/>
    <s v="Healthcare Representative"/>
    <n v="1"/>
    <n v="0"/>
    <n v="0"/>
    <n v="0"/>
    <n v="0"/>
    <n v="0"/>
    <n v="0"/>
    <n v="0"/>
    <n v="4"/>
    <s v="Divorced"/>
    <n v="0"/>
    <n v="0"/>
    <n v="5731"/>
    <n v="5731"/>
    <n v="7"/>
    <s v="No"/>
    <n v="0"/>
    <n v="13"/>
    <n v="3"/>
    <n v="3"/>
    <n v="2"/>
    <n v="9"/>
    <x v="14"/>
    <n v="2"/>
    <n v="3"/>
    <n v="6"/>
    <n v="6"/>
    <n v="2"/>
    <n v="1"/>
    <n v="1"/>
    <n v="3"/>
    <n v="3"/>
    <n v="6"/>
    <n v="1"/>
    <n v="0"/>
    <n v="0"/>
    <n v="0"/>
    <n v="1"/>
    <n v="0"/>
    <n v="0"/>
    <n v="0"/>
    <n v="0"/>
    <n v="3"/>
    <n v="0"/>
    <n v="0"/>
    <n v="9"/>
    <n v="0"/>
    <n v="0.16396312202531524"/>
    <n v="0.31476636926356072"/>
    <n v="0.29297722668510823"/>
    <n v="0.16455710867531462"/>
    <n v="1.9498886553045598"/>
    <n v="8.3401599596422994E-3"/>
    <n v="0.36858985273641137"/>
  </r>
  <r>
    <n v="27"/>
    <n v="27"/>
    <s v="No"/>
    <n v="0"/>
    <s v="Travel_Rarely"/>
    <n v="0"/>
    <n v="1"/>
    <x v="1"/>
    <n v="1"/>
    <n v="0"/>
    <n v="6"/>
    <n v="6"/>
    <n v="3"/>
    <s v="Life Sciences"/>
    <n v="1"/>
    <n v="0"/>
    <n v="0"/>
    <n v="0"/>
    <n v="0"/>
    <n v="4"/>
    <s v="Male"/>
    <n v="0"/>
    <n v="55"/>
    <n v="2"/>
    <n v="1"/>
    <s v="Research Scientist"/>
    <n v="0"/>
    <n v="0"/>
    <n v="0"/>
    <n v="0"/>
    <n v="0"/>
    <n v="0"/>
    <n v="0"/>
    <n v="1"/>
    <n v="3"/>
    <s v="Married"/>
    <n v="0"/>
    <n v="1"/>
    <n v="2539"/>
    <n v="2539"/>
    <n v="1"/>
    <s v="No"/>
    <n v="0"/>
    <n v="13"/>
    <n v="3"/>
    <n v="3"/>
    <n v="1"/>
    <n v="4"/>
    <x v="20"/>
    <n v="0"/>
    <n v="3"/>
    <n v="4"/>
    <n v="4"/>
    <n v="2"/>
    <n v="2"/>
    <n v="2"/>
    <n v="2"/>
    <n v="2"/>
    <n v="2"/>
    <n v="0"/>
    <n v="1"/>
    <n v="0"/>
    <n v="0"/>
    <n v="0"/>
    <n v="0"/>
    <n v="1"/>
    <n v="0"/>
    <n v="0"/>
    <n v="2"/>
    <n v="0"/>
    <n v="0"/>
    <n v="4"/>
    <n v="0"/>
    <n v="0.84196424800412184"/>
    <n v="0.59502473559756086"/>
    <n v="0.93558618405172878"/>
    <n v="0.49100643357776058"/>
    <n v="0.39380416832397891"/>
    <n v="1.0863058347434136"/>
    <n v="5.8265062631872602E-2"/>
  </r>
  <r>
    <n v="34"/>
    <n v="34"/>
    <s v="No"/>
    <n v="0"/>
    <s v="Travel_Rarely"/>
    <n v="0"/>
    <n v="1"/>
    <x v="0"/>
    <n v="0"/>
    <n v="1"/>
    <n v="9"/>
    <n v="9"/>
    <n v="1"/>
    <s v="Life Sciences"/>
    <n v="1"/>
    <n v="0"/>
    <n v="0"/>
    <n v="0"/>
    <n v="0"/>
    <n v="2"/>
    <s v="Female"/>
    <n v="1"/>
    <n v="70"/>
    <n v="3"/>
    <n v="2"/>
    <s v="Sales Executive"/>
    <n v="0"/>
    <n v="1"/>
    <n v="0"/>
    <n v="0"/>
    <n v="0"/>
    <n v="0"/>
    <n v="0"/>
    <n v="0"/>
    <n v="3"/>
    <s v="Married"/>
    <n v="0"/>
    <n v="1"/>
    <n v="5714"/>
    <n v="5714"/>
    <n v="1"/>
    <s v="No"/>
    <n v="0"/>
    <n v="20"/>
    <n v="4"/>
    <n v="1"/>
    <n v="0"/>
    <n v="6"/>
    <x v="3"/>
    <n v="3"/>
    <n v="2"/>
    <n v="6"/>
    <n v="6"/>
    <n v="5"/>
    <n v="1"/>
    <n v="1"/>
    <n v="3"/>
    <n v="3"/>
    <n v="6"/>
    <n v="0"/>
    <n v="1"/>
    <n v="0"/>
    <n v="0"/>
    <n v="0"/>
    <n v="0"/>
    <n v="1"/>
    <n v="0"/>
    <n v="0"/>
    <n v="0"/>
    <n v="3"/>
    <n v="0"/>
    <n v="0"/>
    <n v="6"/>
    <n v="0.16757403027770865"/>
    <n v="0.31476636926356072"/>
    <n v="0.67854260110508058"/>
    <n v="0.16455710867531462"/>
    <n v="2.3747406698420157E-2"/>
    <n v="0.32005363845127444"/>
    <n v="0.36858985273641137"/>
  </r>
  <r>
    <n v="35"/>
    <n v="35"/>
    <s v="No"/>
    <n v="0"/>
    <s v="Travel_Rarely"/>
    <n v="0"/>
    <n v="1"/>
    <x v="2"/>
    <n v="0"/>
    <n v="0"/>
    <n v="8"/>
    <n v="8"/>
    <n v="4"/>
    <s v="Technical Degree"/>
    <n v="0"/>
    <n v="0"/>
    <n v="0"/>
    <n v="0"/>
    <n v="1"/>
    <n v="3"/>
    <s v="Male"/>
    <n v="0"/>
    <n v="100"/>
    <n v="3"/>
    <n v="1"/>
    <s v="Human Resources"/>
    <n v="0"/>
    <n v="0"/>
    <n v="0"/>
    <n v="0"/>
    <n v="0"/>
    <n v="0"/>
    <n v="0"/>
    <n v="0"/>
    <n v="3"/>
    <s v="Single"/>
    <n v="1"/>
    <n v="0"/>
    <n v="4323"/>
    <n v="4323"/>
    <n v="1"/>
    <s v="No"/>
    <n v="0"/>
    <n v="17"/>
    <n v="3"/>
    <n v="2"/>
    <n v="0"/>
    <n v="6"/>
    <x v="3"/>
    <n v="2"/>
    <n v="1"/>
    <n v="5"/>
    <n v="5"/>
    <n v="4"/>
    <n v="1"/>
    <n v="1"/>
    <n v="4"/>
    <n v="4"/>
    <n v="4"/>
    <n v="1"/>
    <n v="0"/>
    <n v="0"/>
    <n v="0"/>
    <n v="1"/>
    <n v="0"/>
    <n v="0"/>
    <n v="0"/>
    <n v="4"/>
    <n v="0"/>
    <n v="0"/>
    <n v="6"/>
    <n v="0"/>
    <n v="0"/>
    <n v="0.46303128787060338"/>
    <n v="3.4508002929560584E-2"/>
    <n v="0.67854260110508058"/>
    <n v="0.32778177112653761"/>
    <n v="0.14709966057360641"/>
    <n v="0.21058903898096887"/>
    <n v="0.36858985273641137"/>
  </r>
  <r>
    <n v="29"/>
    <n v="29"/>
    <s v="Yes"/>
    <n v="1"/>
    <s v="Travel_Rarely"/>
    <n v="0"/>
    <n v="1"/>
    <x v="0"/>
    <n v="0"/>
    <n v="1"/>
    <n v="23"/>
    <n v="23"/>
    <n v="1"/>
    <s v="Life Sciences"/>
    <n v="1"/>
    <n v="0"/>
    <n v="0"/>
    <n v="0"/>
    <n v="0"/>
    <n v="4"/>
    <s v="Female"/>
    <n v="1"/>
    <n v="45"/>
    <n v="2"/>
    <n v="3"/>
    <s v="Sales Executive"/>
    <n v="0"/>
    <n v="1"/>
    <n v="0"/>
    <n v="0"/>
    <n v="0"/>
    <n v="0"/>
    <n v="0"/>
    <n v="0"/>
    <n v="1"/>
    <s v="Married"/>
    <n v="0"/>
    <n v="1"/>
    <n v="7336"/>
    <n v="7336"/>
    <n v="1"/>
    <s v="No"/>
    <n v="0"/>
    <n v="13"/>
    <n v="3"/>
    <n v="1"/>
    <n v="1"/>
    <n v="11"/>
    <x v="26"/>
    <n v="3"/>
    <n v="1"/>
    <n v="11"/>
    <n v="11"/>
    <n v="8"/>
    <n v="3"/>
    <n v="3"/>
    <n v="10"/>
    <n v="10"/>
    <n v="30"/>
    <n v="0"/>
    <n v="1"/>
    <n v="0"/>
    <n v="0"/>
    <n v="0"/>
    <n v="0"/>
    <n v="1"/>
    <n v="0"/>
    <n v="0"/>
    <n v="0"/>
    <n v="10"/>
    <n v="0"/>
    <n v="0"/>
    <n v="11"/>
    <n v="0.17694909827417865"/>
    <n v="1.6470421950744405"/>
    <n v="3.593364373846001E-2"/>
    <n v="0.65156620358080031"/>
    <n v="1.7031841475541873"/>
    <n v="0.86737663580280233"/>
    <n v="0.2520597274726662"/>
  </r>
  <r>
    <n v="40"/>
    <n v="40"/>
    <s v="No"/>
    <n v="0"/>
    <s v="Travel_Frequently"/>
    <n v="1"/>
    <n v="0"/>
    <x v="1"/>
    <n v="1"/>
    <n v="0"/>
    <n v="9"/>
    <n v="9"/>
    <n v="4"/>
    <s v="Medical"/>
    <n v="0"/>
    <n v="0"/>
    <n v="1"/>
    <n v="0"/>
    <n v="0"/>
    <n v="2"/>
    <s v="Female"/>
    <n v="1"/>
    <n v="88"/>
    <n v="3"/>
    <n v="3"/>
    <s v="Research Director"/>
    <n v="0"/>
    <n v="0"/>
    <n v="0"/>
    <n v="0"/>
    <n v="0"/>
    <n v="0"/>
    <n v="0"/>
    <n v="0"/>
    <n v="3"/>
    <s v="Single"/>
    <n v="1"/>
    <n v="0"/>
    <n v="13499"/>
    <n v="13499"/>
    <n v="9"/>
    <s v="No"/>
    <n v="0"/>
    <n v="17"/>
    <n v="3"/>
    <n v="3"/>
    <n v="0"/>
    <n v="20"/>
    <x v="25"/>
    <n v="3"/>
    <n v="2"/>
    <n v="18"/>
    <n v="18"/>
    <n v="7"/>
    <n v="2"/>
    <n v="2"/>
    <n v="13"/>
    <n v="13"/>
    <n v="39"/>
    <n v="0"/>
    <n v="0"/>
    <n v="1"/>
    <n v="0"/>
    <n v="1"/>
    <n v="0"/>
    <n v="0"/>
    <n v="0"/>
    <n v="0"/>
    <n v="13"/>
    <n v="0"/>
    <n v="0"/>
    <n v="20"/>
    <n v="0"/>
    <n v="1.4860095429506777"/>
    <n v="2.4878172940764407"/>
    <n v="1.120762479521457"/>
    <n v="1.794138840739361"/>
    <n v="2.3747406698420157E-2"/>
    <n v="0.33673395837055903"/>
    <n v="5.8265062631872602E-2"/>
  </r>
  <r>
    <n v="42"/>
    <n v="42"/>
    <s v="Yes"/>
    <n v="1"/>
    <s v="Travel_Frequently"/>
    <n v="1"/>
    <n v="0"/>
    <x v="0"/>
    <n v="0"/>
    <n v="1"/>
    <n v="12"/>
    <n v="12"/>
    <n v="3"/>
    <s v="Life Sciences"/>
    <n v="1"/>
    <n v="0"/>
    <n v="0"/>
    <n v="0"/>
    <n v="0"/>
    <n v="3"/>
    <s v="Male"/>
    <n v="0"/>
    <n v="44"/>
    <n v="3"/>
    <n v="4"/>
    <s v="Sales Executive"/>
    <n v="0"/>
    <n v="1"/>
    <n v="0"/>
    <n v="0"/>
    <n v="0"/>
    <n v="0"/>
    <n v="0"/>
    <n v="0"/>
    <n v="1"/>
    <s v="Single"/>
    <n v="1"/>
    <n v="0"/>
    <n v="13758"/>
    <n v="13758"/>
    <n v="0"/>
    <s v="Yes"/>
    <n v="1"/>
    <n v="12"/>
    <n v="3"/>
    <n v="2"/>
    <n v="0"/>
    <n v="22"/>
    <x v="13"/>
    <n v="2"/>
    <n v="2"/>
    <n v="21"/>
    <n v="21"/>
    <n v="9"/>
    <n v="13"/>
    <n v="13"/>
    <n v="14"/>
    <n v="14"/>
    <n v="56"/>
    <n v="0"/>
    <n v="0"/>
    <n v="1"/>
    <n v="0"/>
    <n v="0"/>
    <n v="1"/>
    <n v="0"/>
    <n v="0"/>
    <n v="0"/>
    <n v="0"/>
    <n v="14"/>
    <n v="0"/>
    <n v="0"/>
    <n v="22"/>
    <n v="1.54102279220773"/>
    <n v="2.7680756604104411"/>
    <n v="1.3778060624681052"/>
    <n v="2.2838128280930299"/>
    <n v="0.3463093549271386"/>
    <n v="0.55566315731117022"/>
    <n v="3.3553076285180543"/>
  </r>
  <r>
    <n v="42"/>
    <n v="42"/>
    <s v="No"/>
    <n v="0"/>
    <s v="Travel_Rarely"/>
    <n v="0"/>
    <n v="1"/>
    <x v="0"/>
    <n v="0"/>
    <n v="1"/>
    <n v="4"/>
    <n v="4"/>
    <n v="4"/>
    <s v="Marketing"/>
    <n v="0"/>
    <n v="0"/>
    <n v="0"/>
    <n v="1"/>
    <n v="0"/>
    <n v="2"/>
    <s v="Male"/>
    <n v="0"/>
    <n v="45"/>
    <n v="3"/>
    <n v="2"/>
    <s v="Sales Executive"/>
    <n v="0"/>
    <n v="1"/>
    <n v="0"/>
    <n v="0"/>
    <n v="0"/>
    <n v="0"/>
    <n v="0"/>
    <n v="0"/>
    <n v="1"/>
    <s v="Single"/>
    <n v="1"/>
    <n v="0"/>
    <n v="5155"/>
    <n v="5155"/>
    <n v="7"/>
    <s v="No"/>
    <n v="0"/>
    <n v="13"/>
    <n v="3"/>
    <n v="4"/>
    <n v="0"/>
    <n v="9"/>
    <x v="14"/>
    <n v="3"/>
    <n v="4"/>
    <n v="6"/>
    <n v="6"/>
    <n v="4"/>
    <n v="1"/>
    <n v="1"/>
    <n v="5"/>
    <n v="5"/>
    <n v="10"/>
    <n v="1"/>
    <n v="0"/>
    <n v="0"/>
    <n v="0"/>
    <n v="1"/>
    <n v="0"/>
    <n v="0"/>
    <n v="0"/>
    <n v="0"/>
    <n v="0"/>
    <n v="5"/>
    <n v="0"/>
    <n v="0"/>
    <n v="9"/>
    <n v="0.28630918987111492"/>
    <n v="0.24575036340443959"/>
    <n v="0.29297722668510823"/>
    <n v="0.16455710867531462"/>
    <n v="0.64050867607435136"/>
    <n v="0.55566315731117022"/>
    <n v="0.36858985273641137"/>
  </r>
  <r>
    <n v="35"/>
    <n v="35"/>
    <s v="No"/>
    <n v="0"/>
    <s v="Travel_Rarely"/>
    <n v="0"/>
    <n v="1"/>
    <x v="1"/>
    <n v="1"/>
    <n v="0"/>
    <n v="1"/>
    <n v="1"/>
    <n v="4"/>
    <s v="Medical"/>
    <n v="0"/>
    <n v="0"/>
    <n v="1"/>
    <n v="0"/>
    <n v="0"/>
    <n v="4"/>
    <s v="Male"/>
    <n v="0"/>
    <n v="58"/>
    <n v="2"/>
    <n v="1"/>
    <s v="Laboratory Technician"/>
    <n v="0"/>
    <n v="0"/>
    <n v="1"/>
    <n v="0"/>
    <n v="0"/>
    <n v="0"/>
    <n v="0"/>
    <n v="0"/>
    <n v="3"/>
    <s v="Married"/>
    <n v="0"/>
    <n v="1"/>
    <n v="2258"/>
    <n v="2258"/>
    <n v="6"/>
    <s v="No"/>
    <n v="0"/>
    <n v="12"/>
    <n v="3"/>
    <n v="2"/>
    <n v="1"/>
    <n v="10"/>
    <x v="1"/>
    <n v="2"/>
    <n v="3"/>
    <n v="8"/>
    <n v="8"/>
    <n v="0"/>
    <n v="1"/>
    <n v="1"/>
    <n v="7"/>
    <n v="7"/>
    <n v="7"/>
    <n v="0"/>
    <n v="1"/>
    <n v="0"/>
    <n v="0"/>
    <n v="0"/>
    <n v="0"/>
    <n v="1"/>
    <n v="0"/>
    <n v="0"/>
    <n v="7"/>
    <n v="0"/>
    <n v="0"/>
    <n v="10"/>
    <n v="0"/>
    <n v="0.90165043735250672"/>
    <n v="0.80626709607243985"/>
    <n v="0.1644554352117841"/>
    <n v="0.16189221622713135"/>
    <n v="1.01056543769991"/>
    <n v="0.21058903898096887"/>
    <n v="0.36858985273641137"/>
  </r>
  <r>
    <n v="24"/>
    <n v="24"/>
    <s v="No"/>
    <n v="0"/>
    <s v="Travel_Rarely"/>
    <n v="0"/>
    <n v="1"/>
    <x v="1"/>
    <n v="1"/>
    <n v="0"/>
    <n v="24"/>
    <n v="24"/>
    <n v="3"/>
    <s v="Medical"/>
    <n v="0"/>
    <n v="0"/>
    <n v="1"/>
    <n v="0"/>
    <n v="0"/>
    <n v="4"/>
    <s v="Male"/>
    <n v="0"/>
    <n v="49"/>
    <n v="3"/>
    <n v="1"/>
    <s v="Laboratory Technician"/>
    <n v="0"/>
    <n v="0"/>
    <n v="1"/>
    <n v="0"/>
    <n v="0"/>
    <n v="0"/>
    <n v="0"/>
    <n v="0"/>
    <n v="2"/>
    <s v="Single"/>
    <n v="1"/>
    <n v="0"/>
    <n v="3597"/>
    <n v="3597"/>
    <n v="8"/>
    <s v="No"/>
    <n v="0"/>
    <n v="22"/>
    <n v="4"/>
    <n v="4"/>
    <n v="0"/>
    <n v="6"/>
    <x v="3"/>
    <n v="2"/>
    <n v="3"/>
    <n v="4"/>
    <n v="4"/>
    <n v="3"/>
    <n v="1"/>
    <n v="1"/>
    <n v="2"/>
    <n v="2"/>
    <n v="2"/>
    <n v="1"/>
    <n v="0"/>
    <n v="0"/>
    <n v="0"/>
    <n v="1"/>
    <n v="0"/>
    <n v="0"/>
    <n v="0"/>
    <n v="0"/>
    <n v="2"/>
    <n v="0"/>
    <n v="0"/>
    <n v="6"/>
    <n v="0"/>
    <n v="0.61723831088458003"/>
    <n v="0.59502473559756086"/>
    <n v="0.67854260110508058"/>
    <n v="0.49100643357776058"/>
    <n v="1.8265364014293735"/>
    <n v="1.4146996331543302"/>
    <n v="0.36858985273641137"/>
  </r>
  <r>
    <n v="28"/>
    <n v="28"/>
    <s v="Yes"/>
    <n v="1"/>
    <s v="Travel_Rarely"/>
    <n v="0"/>
    <n v="1"/>
    <x v="1"/>
    <n v="1"/>
    <n v="0"/>
    <n v="12"/>
    <n v="12"/>
    <n v="1"/>
    <s v="Life Sciences"/>
    <n v="1"/>
    <n v="0"/>
    <n v="0"/>
    <n v="0"/>
    <n v="0"/>
    <n v="3"/>
    <s v="Female"/>
    <n v="1"/>
    <n v="79"/>
    <n v="3"/>
    <n v="1"/>
    <s v="Laboratory Technician"/>
    <n v="0"/>
    <n v="0"/>
    <n v="1"/>
    <n v="0"/>
    <n v="0"/>
    <n v="0"/>
    <n v="0"/>
    <n v="0"/>
    <n v="4"/>
    <s v="Married"/>
    <n v="0"/>
    <n v="1"/>
    <n v="2515"/>
    <n v="2515"/>
    <n v="1"/>
    <s v="Yes"/>
    <n v="1"/>
    <n v="11"/>
    <n v="3"/>
    <n v="4"/>
    <n v="0"/>
    <n v="1"/>
    <x v="5"/>
    <n v="4"/>
    <n v="2"/>
    <n v="1"/>
    <n v="1"/>
    <n v="1"/>
    <n v="0"/>
    <n v="0"/>
    <n v="0"/>
    <n v="0"/>
    <n v="0"/>
    <n v="0"/>
    <n v="1"/>
    <n v="0"/>
    <n v="0"/>
    <n v="0"/>
    <n v="0"/>
    <n v="0"/>
    <n v="1"/>
    <n v="0"/>
    <n v="0"/>
    <n v="0"/>
    <n v="0"/>
    <n v="1"/>
    <n v="0"/>
    <n v="0.84706200083103012"/>
    <n v="1.1555414682655611"/>
    <n v="1.3211515584717011"/>
    <n v="0.9806804209314296"/>
    <n v="0.3463093549271386"/>
    <n v="0.97684123527310796"/>
    <n v="0.67891464284095016"/>
  </r>
  <r>
    <n v="26"/>
    <n v="26"/>
    <s v="No"/>
    <n v="0"/>
    <s v="Travel_Rarely"/>
    <n v="0"/>
    <n v="1"/>
    <x v="1"/>
    <n v="1"/>
    <n v="0"/>
    <n v="3"/>
    <n v="3"/>
    <n v="4"/>
    <s v="Medical"/>
    <n v="0"/>
    <n v="0"/>
    <n v="1"/>
    <n v="0"/>
    <n v="0"/>
    <n v="1"/>
    <s v="Male"/>
    <n v="0"/>
    <n v="82"/>
    <n v="4"/>
    <n v="1"/>
    <s v="Laboratory Technician"/>
    <n v="0"/>
    <n v="0"/>
    <n v="1"/>
    <n v="0"/>
    <n v="0"/>
    <n v="0"/>
    <n v="0"/>
    <n v="0"/>
    <n v="4"/>
    <s v="Married"/>
    <n v="0"/>
    <n v="1"/>
    <n v="4420"/>
    <n v="4420"/>
    <n v="1"/>
    <s v="No"/>
    <n v="0"/>
    <n v="22"/>
    <n v="4"/>
    <n v="2"/>
    <n v="1"/>
    <n v="8"/>
    <x v="0"/>
    <n v="2"/>
    <n v="3"/>
    <n v="8"/>
    <n v="8"/>
    <n v="7"/>
    <n v="0"/>
    <n v="0"/>
    <n v="7"/>
    <n v="7"/>
    <n v="7"/>
    <n v="0"/>
    <n v="1"/>
    <n v="0"/>
    <n v="0"/>
    <n v="0"/>
    <n v="0"/>
    <n v="1"/>
    <n v="0"/>
    <n v="0"/>
    <n v="7"/>
    <n v="0"/>
    <n v="0"/>
    <n v="8"/>
    <n v="0"/>
    <n v="0.44242787019518226"/>
    <n v="0.80626709607243985"/>
    <n v="0.42149901815843233"/>
    <n v="0.16189221622713135"/>
    <n v="0.76386092994953758"/>
    <n v="1.195770434213719"/>
    <n v="0.67891464284095016"/>
  </r>
  <r>
    <n v="30"/>
    <n v="30"/>
    <s v="No"/>
    <n v="0"/>
    <s v="Travel_Rarely"/>
    <n v="0"/>
    <n v="1"/>
    <x v="0"/>
    <n v="0"/>
    <n v="1"/>
    <n v="10"/>
    <n v="10"/>
    <n v="3"/>
    <s v="Marketing"/>
    <n v="0"/>
    <n v="0"/>
    <n v="0"/>
    <n v="1"/>
    <n v="0"/>
    <n v="3"/>
    <s v="Male"/>
    <n v="0"/>
    <n v="72"/>
    <n v="2"/>
    <n v="2"/>
    <s v="Sales Executive"/>
    <n v="0"/>
    <n v="1"/>
    <n v="0"/>
    <n v="0"/>
    <n v="0"/>
    <n v="0"/>
    <n v="0"/>
    <n v="0"/>
    <n v="3"/>
    <s v="Married"/>
    <n v="0"/>
    <n v="1"/>
    <n v="6578"/>
    <n v="6578"/>
    <n v="1"/>
    <s v="No"/>
    <n v="0"/>
    <n v="18"/>
    <n v="3"/>
    <n v="1"/>
    <n v="1"/>
    <n v="10"/>
    <x v="1"/>
    <n v="3"/>
    <n v="3"/>
    <n v="10"/>
    <n v="10"/>
    <n v="3"/>
    <n v="1"/>
    <n v="1"/>
    <n v="4"/>
    <n v="4"/>
    <n v="8"/>
    <n v="0"/>
    <n v="1"/>
    <n v="0"/>
    <n v="0"/>
    <n v="0"/>
    <n v="0"/>
    <n v="1"/>
    <n v="0"/>
    <n v="0"/>
    <n v="0"/>
    <n v="4"/>
    <n v="0"/>
    <n v="0"/>
    <n v="10"/>
    <n v="1.5945071490990885E-2"/>
    <n v="3.4508002929560584E-2"/>
    <n v="0.1644554352117841"/>
    <n v="0.48834154112957734"/>
    <n v="9.9604847176766084E-2"/>
    <n v="0.75791203633249671"/>
    <n v="0.36858985273641137"/>
  </r>
  <r>
    <n v="40"/>
    <n v="40"/>
    <s v="No"/>
    <n v="0"/>
    <s v="Travel_Frequently"/>
    <n v="1"/>
    <n v="0"/>
    <x v="1"/>
    <n v="1"/>
    <n v="0"/>
    <n v="26"/>
    <n v="26"/>
    <n v="2"/>
    <s v="Medical"/>
    <n v="0"/>
    <n v="0"/>
    <n v="1"/>
    <n v="0"/>
    <n v="0"/>
    <n v="3"/>
    <s v="Female"/>
    <n v="1"/>
    <n v="92"/>
    <n v="2"/>
    <n v="2"/>
    <s v="Research Scientist"/>
    <n v="0"/>
    <n v="0"/>
    <n v="0"/>
    <n v="0"/>
    <n v="0"/>
    <n v="0"/>
    <n v="0"/>
    <n v="1"/>
    <n v="4"/>
    <s v="Married"/>
    <n v="0"/>
    <n v="1"/>
    <n v="4422"/>
    <n v="4422"/>
    <n v="3"/>
    <s v="Yes"/>
    <n v="1"/>
    <n v="13"/>
    <n v="3"/>
    <n v="4"/>
    <n v="1"/>
    <n v="16"/>
    <x v="27"/>
    <n v="3"/>
    <n v="1"/>
    <n v="1"/>
    <n v="1"/>
    <n v="1"/>
    <n v="0"/>
    <n v="0"/>
    <n v="0"/>
    <n v="0"/>
    <n v="0"/>
    <n v="0"/>
    <n v="0"/>
    <n v="0"/>
    <n v="1"/>
    <n v="0"/>
    <n v="0"/>
    <n v="0"/>
    <n v="1"/>
    <n v="0"/>
    <n v="0"/>
    <n v="0"/>
    <n v="0"/>
    <n v="16"/>
    <n v="0"/>
    <n v="0.44200305745960655"/>
    <n v="1.1555414682655611"/>
    <n v="0.60667531362816052"/>
    <n v="0.9806804209314296"/>
    <n v="2.0732409091797459"/>
    <n v="0.33673395837055903"/>
    <n v="0.67891464284095016"/>
  </r>
  <r>
    <n v="35"/>
    <n v="35"/>
    <s v="No"/>
    <n v="0"/>
    <s v="Travel_Rarely"/>
    <n v="0"/>
    <n v="1"/>
    <x v="1"/>
    <n v="1"/>
    <n v="0"/>
    <n v="2"/>
    <n v="2"/>
    <n v="3"/>
    <s v="Life Sciences"/>
    <n v="1"/>
    <n v="0"/>
    <n v="0"/>
    <n v="0"/>
    <n v="0"/>
    <n v="3"/>
    <s v="Male"/>
    <n v="0"/>
    <n v="44"/>
    <n v="2"/>
    <n v="3"/>
    <s v="Manufacturing Director"/>
    <n v="0"/>
    <n v="0"/>
    <n v="0"/>
    <n v="0"/>
    <n v="1"/>
    <n v="1"/>
    <n v="0"/>
    <n v="0"/>
    <n v="2"/>
    <s v="Divorced"/>
    <n v="0"/>
    <n v="0"/>
    <n v="10274"/>
    <n v="10274"/>
    <n v="2"/>
    <s v="No"/>
    <n v="0"/>
    <n v="18"/>
    <n v="3"/>
    <n v="2"/>
    <n v="1"/>
    <n v="15"/>
    <x v="19"/>
    <n v="2"/>
    <n v="4"/>
    <n v="7"/>
    <n v="7"/>
    <n v="7"/>
    <n v="6"/>
    <n v="6"/>
    <n v="4"/>
    <n v="4"/>
    <n v="12"/>
    <n v="1"/>
    <n v="0"/>
    <n v="0"/>
    <n v="0"/>
    <n v="1"/>
    <n v="0"/>
    <n v="0"/>
    <n v="0"/>
    <n v="0"/>
    <n v="4"/>
    <n v="0"/>
    <n v="0"/>
    <n v="15"/>
    <n v="0"/>
    <n v="0.80099900683487213"/>
    <n v="3.4508002929560584E-2"/>
    <n v="0.47815352215483642"/>
    <n v="1.3324462240916321E-3"/>
    <n v="0.88721318382472392"/>
    <n v="0.21058903898096887"/>
    <n v="1.1830340977862825"/>
  </r>
  <r>
    <n v="34"/>
    <n v="34"/>
    <s v="No"/>
    <n v="0"/>
    <s v="Travel_Frequently"/>
    <n v="1"/>
    <n v="0"/>
    <x v="1"/>
    <n v="1"/>
    <n v="0"/>
    <n v="1"/>
    <n v="1"/>
    <n v="3"/>
    <s v="Medical"/>
    <n v="0"/>
    <n v="0"/>
    <n v="1"/>
    <n v="0"/>
    <n v="0"/>
    <n v="4"/>
    <s v="Male"/>
    <n v="0"/>
    <n v="97"/>
    <n v="2"/>
    <n v="2"/>
    <s v="Healthcare Representative"/>
    <n v="1"/>
    <n v="0"/>
    <n v="0"/>
    <n v="0"/>
    <n v="0"/>
    <n v="0"/>
    <n v="0"/>
    <n v="0"/>
    <n v="1"/>
    <s v="Single"/>
    <n v="1"/>
    <n v="0"/>
    <n v="5343"/>
    <n v="5343"/>
    <n v="0"/>
    <s v="No"/>
    <n v="0"/>
    <n v="20"/>
    <n v="4"/>
    <n v="3"/>
    <n v="0"/>
    <n v="14"/>
    <x v="18"/>
    <n v="3"/>
    <n v="3"/>
    <n v="13"/>
    <n v="13"/>
    <n v="9"/>
    <n v="4"/>
    <n v="4"/>
    <n v="9"/>
    <n v="9"/>
    <n v="18"/>
    <n v="0"/>
    <n v="0"/>
    <n v="1"/>
    <n v="0"/>
    <n v="1"/>
    <n v="0"/>
    <n v="0"/>
    <n v="0"/>
    <n v="0"/>
    <n v="9"/>
    <n v="0"/>
    <n v="0"/>
    <n v="14"/>
    <n v="0"/>
    <n v="0.24637679272699975"/>
    <n v="1.3667838287404401"/>
    <n v="0.34963173068151232"/>
    <n v="0.97801552848324624"/>
    <n v="1.01056543769991"/>
    <n v="0.32005363845127444"/>
    <n v="0.56238451757720498"/>
  </r>
  <r>
    <n v="35"/>
    <n v="35"/>
    <s v="No"/>
    <n v="0"/>
    <s v="Travel_Frequently"/>
    <n v="1"/>
    <n v="0"/>
    <x v="1"/>
    <n v="1"/>
    <n v="0"/>
    <n v="4"/>
    <n v="4"/>
    <n v="4"/>
    <s v="Other"/>
    <n v="0"/>
    <n v="1"/>
    <n v="0"/>
    <n v="0"/>
    <n v="0"/>
    <n v="4"/>
    <s v="Male"/>
    <n v="0"/>
    <n v="47"/>
    <n v="2"/>
    <n v="1"/>
    <s v="Laboratory Technician"/>
    <n v="0"/>
    <n v="0"/>
    <n v="1"/>
    <n v="0"/>
    <n v="0"/>
    <n v="0"/>
    <n v="0"/>
    <n v="0"/>
    <n v="4"/>
    <s v="Married"/>
    <n v="0"/>
    <n v="1"/>
    <n v="2376"/>
    <n v="2376"/>
    <n v="1"/>
    <s v="No"/>
    <n v="0"/>
    <n v="13"/>
    <n v="3"/>
    <n v="2"/>
    <n v="1"/>
    <n v="2"/>
    <x v="16"/>
    <n v="2"/>
    <n v="4"/>
    <n v="2"/>
    <n v="2"/>
    <n v="2"/>
    <n v="2"/>
    <n v="2"/>
    <n v="2"/>
    <n v="2"/>
    <n v="2"/>
    <n v="0"/>
    <n v="0"/>
    <n v="0"/>
    <n v="1"/>
    <n v="0"/>
    <n v="0"/>
    <n v="1"/>
    <n v="0"/>
    <n v="0"/>
    <n v="2"/>
    <n v="0"/>
    <n v="0"/>
    <n v="2"/>
    <n v="0"/>
    <n v="0.87658648595354083"/>
    <n v="0.59502473559756086"/>
    <n v="1.192629766998377"/>
    <n v="0.81745575848020657"/>
    <n v="0.64050867607435136"/>
    <n v="0.21058903898096887"/>
    <n v="5.8265062631872602E-2"/>
  </r>
  <r>
    <n v="43"/>
    <n v="43"/>
    <s v="Yes"/>
    <n v="1"/>
    <s v="Travel_Rarely"/>
    <n v="0"/>
    <n v="1"/>
    <x v="0"/>
    <n v="0"/>
    <n v="1"/>
    <n v="9"/>
    <n v="9"/>
    <n v="3"/>
    <s v="Marketing"/>
    <n v="0"/>
    <n v="0"/>
    <n v="0"/>
    <n v="1"/>
    <n v="0"/>
    <n v="1"/>
    <s v="Female"/>
    <n v="1"/>
    <n v="85"/>
    <n v="1"/>
    <n v="2"/>
    <s v="Sales Executive"/>
    <n v="0"/>
    <n v="1"/>
    <n v="0"/>
    <n v="0"/>
    <n v="0"/>
    <n v="0"/>
    <n v="0"/>
    <n v="0"/>
    <n v="3"/>
    <s v="Single"/>
    <n v="1"/>
    <n v="0"/>
    <n v="5346"/>
    <n v="5346"/>
    <n v="8"/>
    <s v="No"/>
    <n v="0"/>
    <n v="13"/>
    <n v="3"/>
    <n v="2"/>
    <n v="0"/>
    <n v="7"/>
    <x v="2"/>
    <n v="2"/>
    <n v="2"/>
    <n v="4"/>
    <n v="4"/>
    <n v="3"/>
    <n v="1"/>
    <n v="1"/>
    <n v="3"/>
    <n v="3"/>
    <n v="6"/>
    <n v="1"/>
    <n v="0"/>
    <n v="0"/>
    <n v="0"/>
    <n v="1"/>
    <n v="0"/>
    <n v="0"/>
    <n v="0"/>
    <n v="0"/>
    <n v="0"/>
    <n v="3"/>
    <n v="0"/>
    <n v="0"/>
    <n v="7"/>
    <n v="0.24573957362363621"/>
    <n v="0.31476636926356072"/>
    <n v="0.55002080963175637"/>
    <n v="0.49100643357776058"/>
    <n v="2.3747406698420157E-2"/>
    <n v="0.66512775678147573"/>
    <n v="0.36858985273641137"/>
  </r>
  <r>
    <n v="32"/>
    <n v="32"/>
    <s v="No"/>
    <n v="0"/>
    <s v="Non-Travel"/>
    <n v="0"/>
    <n v="0"/>
    <x v="0"/>
    <n v="0"/>
    <n v="1"/>
    <n v="2"/>
    <n v="2"/>
    <n v="1"/>
    <s v="Life Sciences"/>
    <n v="1"/>
    <n v="0"/>
    <n v="0"/>
    <n v="0"/>
    <n v="0"/>
    <n v="3"/>
    <s v="Female"/>
    <n v="1"/>
    <n v="76"/>
    <n v="3"/>
    <n v="1"/>
    <s v="Sales Representative"/>
    <n v="0"/>
    <n v="0"/>
    <n v="0"/>
    <n v="0"/>
    <n v="0"/>
    <n v="0"/>
    <n v="1"/>
    <n v="0"/>
    <n v="1"/>
    <s v="Divorced"/>
    <n v="0"/>
    <n v="0"/>
    <n v="2827"/>
    <n v="2827"/>
    <n v="1"/>
    <s v="No"/>
    <n v="0"/>
    <n v="12"/>
    <n v="3"/>
    <n v="3"/>
    <n v="3"/>
    <n v="1"/>
    <x v="5"/>
    <n v="3"/>
    <n v="3"/>
    <n v="1"/>
    <n v="1"/>
    <n v="0"/>
    <n v="0"/>
    <n v="0"/>
    <n v="0"/>
    <n v="0"/>
    <n v="0"/>
    <n v="1"/>
    <n v="0"/>
    <n v="0"/>
    <n v="0"/>
    <n v="1"/>
    <n v="0"/>
    <n v="0"/>
    <n v="0"/>
    <n v="0"/>
    <n v="0"/>
    <n v="0"/>
    <n v="0"/>
    <n v="0"/>
    <n v="1"/>
    <n v="0.78079121408122198"/>
    <n v="1.1555414682655611"/>
    <n v="1.3211515584717011"/>
    <n v="0.9806804209314296"/>
    <n v="0.88721318382472392"/>
    <n v="0.53898283739188557"/>
    <n v="0.67891464284095016"/>
  </r>
  <r>
    <n v="56"/>
    <n v="56"/>
    <s v="No"/>
    <n v="0"/>
    <s v="Travel_Rarely"/>
    <n v="0"/>
    <n v="1"/>
    <x v="1"/>
    <n v="1"/>
    <n v="0"/>
    <n v="4"/>
    <n v="4"/>
    <n v="4"/>
    <s v="Technical Degree"/>
    <n v="0"/>
    <n v="0"/>
    <n v="0"/>
    <n v="0"/>
    <n v="1"/>
    <n v="4"/>
    <s v="Female"/>
    <n v="1"/>
    <n v="92"/>
    <n v="3"/>
    <n v="5"/>
    <s v="Manager"/>
    <n v="0"/>
    <n v="0"/>
    <n v="0"/>
    <n v="1"/>
    <n v="0"/>
    <n v="0"/>
    <n v="0"/>
    <n v="0"/>
    <n v="1"/>
    <s v="Divorced"/>
    <n v="0"/>
    <n v="0"/>
    <n v="19943"/>
    <n v="19626.310000000001"/>
    <n v="4"/>
    <s v="No"/>
    <n v="0"/>
    <n v="13"/>
    <n v="3"/>
    <n v="4"/>
    <n v="1"/>
    <n v="28"/>
    <x v="22"/>
    <n v="2"/>
    <n v="3"/>
    <n v="5"/>
    <n v="5"/>
    <n v="2"/>
    <n v="4"/>
    <n v="4"/>
    <n v="2"/>
    <n v="2"/>
    <n v="10"/>
    <n v="1"/>
    <n v="0"/>
    <n v="0"/>
    <n v="0"/>
    <n v="1"/>
    <n v="0"/>
    <n v="0"/>
    <n v="0"/>
    <n v="0"/>
    <n v="2"/>
    <n v="0"/>
    <n v="0"/>
    <n v="28"/>
    <n v="0"/>
    <n v="2.8547561769755618"/>
    <n v="0.59502473559756086"/>
    <n v="2.1489368113080496"/>
    <n v="0.32778177112653761"/>
    <n v="0.64050867607435136"/>
    <n v="2.0881675498954482"/>
    <n v="0.56238451757720498"/>
  </r>
  <r>
    <n v="29"/>
    <n v="29"/>
    <s v="No"/>
    <n v="0"/>
    <s v="Travel_Rarely"/>
    <n v="0"/>
    <n v="1"/>
    <x v="1"/>
    <n v="1"/>
    <n v="0"/>
    <n v="6"/>
    <n v="6"/>
    <n v="1"/>
    <s v="Medical"/>
    <n v="0"/>
    <n v="0"/>
    <n v="1"/>
    <n v="0"/>
    <n v="0"/>
    <n v="2"/>
    <s v="Female"/>
    <n v="1"/>
    <n v="54"/>
    <n v="3"/>
    <n v="1"/>
    <s v="Laboratory Technician"/>
    <n v="0"/>
    <n v="0"/>
    <n v="1"/>
    <n v="0"/>
    <n v="0"/>
    <n v="0"/>
    <n v="0"/>
    <n v="0"/>
    <n v="4"/>
    <s v="Married"/>
    <n v="0"/>
    <n v="1"/>
    <n v="3131"/>
    <n v="3131"/>
    <n v="1"/>
    <s v="No"/>
    <n v="0"/>
    <n v="13"/>
    <n v="3"/>
    <n v="1"/>
    <n v="1"/>
    <n v="10"/>
    <x v="1"/>
    <n v="5"/>
    <n v="3"/>
    <n v="10"/>
    <n v="10"/>
    <n v="8"/>
    <n v="0"/>
    <n v="0"/>
    <n v="8"/>
    <n v="8"/>
    <n v="8"/>
    <n v="0"/>
    <n v="1"/>
    <n v="0"/>
    <n v="0"/>
    <n v="0"/>
    <n v="0"/>
    <n v="1"/>
    <n v="0"/>
    <n v="0"/>
    <n v="8"/>
    <n v="0"/>
    <n v="0"/>
    <n v="10"/>
    <n v="0"/>
    <n v="0.71621967827371658"/>
    <n v="1.08652546240644"/>
    <n v="0.1644554352117841"/>
    <n v="0.48834154112957734"/>
    <n v="0.39380416832397891"/>
    <n v="0.86737663580280233"/>
    <n v="0.67891464284095016"/>
  </r>
  <r>
    <n v="19"/>
    <n v="19"/>
    <s v="No"/>
    <n v="0"/>
    <s v="Travel_Rarely"/>
    <n v="0"/>
    <n v="1"/>
    <x v="1"/>
    <n v="1"/>
    <n v="0"/>
    <n v="9"/>
    <n v="9"/>
    <n v="2"/>
    <s v="Life Sciences"/>
    <n v="1"/>
    <n v="0"/>
    <n v="0"/>
    <n v="0"/>
    <n v="0"/>
    <n v="3"/>
    <s v="Male"/>
    <n v="0"/>
    <n v="54"/>
    <n v="3"/>
    <n v="1"/>
    <s v="Research Scientist"/>
    <n v="0"/>
    <n v="0"/>
    <n v="0"/>
    <n v="0"/>
    <n v="0"/>
    <n v="0"/>
    <n v="0"/>
    <n v="1"/>
    <n v="1"/>
    <s v="Single"/>
    <n v="1"/>
    <n v="0"/>
    <n v="2552"/>
    <n v="2552"/>
    <n v="1"/>
    <s v="No"/>
    <n v="0"/>
    <n v="25"/>
    <n v="4"/>
    <n v="3"/>
    <n v="0"/>
    <n v="1"/>
    <x v="5"/>
    <n v="4"/>
    <n v="3"/>
    <n v="1"/>
    <n v="1"/>
    <n v="1"/>
    <n v="0"/>
    <n v="0"/>
    <n v="0"/>
    <n v="0"/>
    <n v="0"/>
    <n v="1"/>
    <n v="0"/>
    <n v="0"/>
    <n v="0"/>
    <n v="1"/>
    <n v="0"/>
    <n v="0"/>
    <n v="0"/>
    <n v="0"/>
    <n v="0"/>
    <n v="0"/>
    <n v="0"/>
    <n v="1"/>
    <n v="0"/>
    <n v="0.83920296522287985"/>
    <n v="1.1555414682655611"/>
    <n v="1.3211515584717011"/>
    <n v="0.9806804209314296"/>
    <n v="2.3747406698420157E-2"/>
    <n v="1.9620226305058581"/>
    <n v="0.67891464284095016"/>
  </r>
  <r>
    <n v="45"/>
    <n v="45"/>
    <s v="No"/>
    <n v="0"/>
    <s v="Travel_Rarely"/>
    <n v="0"/>
    <n v="1"/>
    <x v="1"/>
    <n v="1"/>
    <n v="0"/>
    <n v="7"/>
    <n v="7"/>
    <n v="3"/>
    <s v="Medical"/>
    <n v="0"/>
    <n v="0"/>
    <n v="1"/>
    <n v="0"/>
    <n v="0"/>
    <n v="1"/>
    <s v="Female"/>
    <n v="1"/>
    <n v="83"/>
    <n v="3"/>
    <n v="1"/>
    <s v="Research Scientist"/>
    <n v="0"/>
    <n v="0"/>
    <n v="0"/>
    <n v="0"/>
    <n v="0"/>
    <n v="0"/>
    <n v="0"/>
    <n v="1"/>
    <n v="3"/>
    <s v="Married"/>
    <n v="0"/>
    <n v="1"/>
    <n v="4477"/>
    <n v="4477"/>
    <n v="4"/>
    <s v="Yes"/>
    <n v="1"/>
    <n v="19"/>
    <n v="3"/>
    <n v="3"/>
    <n v="1"/>
    <n v="7"/>
    <x v="2"/>
    <n v="2"/>
    <n v="2"/>
    <n v="3"/>
    <n v="3"/>
    <n v="2"/>
    <n v="0"/>
    <n v="0"/>
    <n v="2"/>
    <n v="2"/>
    <n v="2"/>
    <n v="0"/>
    <n v="1"/>
    <n v="0"/>
    <n v="0"/>
    <n v="0"/>
    <n v="0"/>
    <n v="0"/>
    <n v="1"/>
    <n v="0"/>
    <n v="2"/>
    <n v="0"/>
    <n v="0"/>
    <n v="7"/>
    <n v="0"/>
    <n v="0.43032070723127497"/>
    <n v="0.59502473559756086"/>
    <n v="0.55002080963175637"/>
    <n v="0.65423109602898355"/>
    <n v="0.27045191444879263"/>
    <n v="0.88405695572208698"/>
    <n v="0.67891464284095016"/>
  </r>
  <r>
    <n v="37"/>
    <n v="37"/>
    <s v="No"/>
    <n v="0"/>
    <s v="Travel_Rarely"/>
    <n v="0"/>
    <n v="1"/>
    <x v="1"/>
    <n v="1"/>
    <n v="0"/>
    <n v="1"/>
    <n v="1"/>
    <n v="3"/>
    <s v="Life Sciences"/>
    <n v="1"/>
    <n v="0"/>
    <n v="0"/>
    <n v="0"/>
    <n v="0"/>
    <n v="4"/>
    <s v="Female"/>
    <n v="1"/>
    <n v="56"/>
    <n v="2"/>
    <n v="2"/>
    <s v="Manufacturing Director"/>
    <n v="0"/>
    <n v="0"/>
    <n v="0"/>
    <n v="0"/>
    <n v="1"/>
    <n v="1"/>
    <n v="0"/>
    <n v="0"/>
    <n v="4"/>
    <s v="Married"/>
    <n v="0"/>
    <n v="1"/>
    <n v="6474"/>
    <n v="6474"/>
    <n v="1"/>
    <s v="No"/>
    <n v="0"/>
    <n v="13"/>
    <n v="3"/>
    <n v="2"/>
    <n v="1"/>
    <n v="14"/>
    <x v="18"/>
    <n v="2"/>
    <n v="2"/>
    <n v="14"/>
    <n v="14"/>
    <n v="8"/>
    <n v="3"/>
    <n v="3"/>
    <n v="11"/>
    <n v="11"/>
    <n v="22"/>
    <n v="0"/>
    <n v="1"/>
    <n v="0"/>
    <n v="0"/>
    <n v="0"/>
    <n v="0"/>
    <n v="1"/>
    <n v="0"/>
    <n v="0"/>
    <n v="11"/>
    <n v="0"/>
    <n v="0"/>
    <n v="14"/>
    <n v="0"/>
    <n v="6.1451907589451698E-3"/>
    <n v="1.9273005614084406"/>
    <n v="0.34963173068151232"/>
    <n v="1.1412401909344694"/>
    <n v="1.01056543769991"/>
    <n v="8.3401599596422994E-3"/>
    <n v="0.2520597274726662"/>
  </r>
  <r>
    <n v="20"/>
    <n v="20"/>
    <s v="No"/>
    <n v="0"/>
    <s v="Travel_Rarely"/>
    <n v="0"/>
    <n v="1"/>
    <x v="1"/>
    <n v="1"/>
    <n v="0"/>
    <n v="3"/>
    <n v="3"/>
    <n v="3"/>
    <s v="Life Sciences"/>
    <n v="1"/>
    <n v="0"/>
    <n v="0"/>
    <n v="0"/>
    <n v="0"/>
    <n v="1"/>
    <s v="Male"/>
    <n v="0"/>
    <n v="87"/>
    <n v="2"/>
    <n v="1"/>
    <s v="Laboratory Technician"/>
    <n v="0"/>
    <n v="0"/>
    <n v="1"/>
    <n v="0"/>
    <n v="0"/>
    <n v="0"/>
    <n v="0"/>
    <n v="0"/>
    <n v="3"/>
    <s v="Single"/>
    <n v="1"/>
    <n v="0"/>
    <n v="3033"/>
    <n v="3033"/>
    <n v="1"/>
    <s v="No"/>
    <n v="0"/>
    <n v="12"/>
    <n v="3"/>
    <n v="1"/>
    <n v="0"/>
    <n v="2"/>
    <x v="16"/>
    <n v="2"/>
    <n v="2"/>
    <n v="2"/>
    <n v="2"/>
    <n v="2"/>
    <n v="1"/>
    <n v="1"/>
    <n v="2"/>
    <n v="2"/>
    <n v="2"/>
    <n v="1"/>
    <n v="0"/>
    <n v="0"/>
    <n v="0"/>
    <n v="1"/>
    <n v="0"/>
    <n v="0"/>
    <n v="0"/>
    <n v="0"/>
    <n v="2"/>
    <n v="0"/>
    <n v="0"/>
    <n v="2"/>
    <n v="0"/>
    <n v="0.73703550231692561"/>
    <n v="0.59502473559756086"/>
    <n v="1.192629766998377"/>
    <n v="0.81745575848020657"/>
    <n v="0.76386092994953758"/>
    <n v="1.8525580310355525"/>
    <n v="0.36858985273641137"/>
  </r>
  <r>
    <n v="44"/>
    <n v="44"/>
    <s v="Yes"/>
    <n v="1"/>
    <s v="Travel_Rarely"/>
    <n v="0"/>
    <n v="1"/>
    <x v="1"/>
    <n v="1"/>
    <n v="0"/>
    <n v="10"/>
    <n v="10"/>
    <n v="4"/>
    <s v="Life Sciences"/>
    <n v="1"/>
    <n v="0"/>
    <n v="0"/>
    <n v="0"/>
    <n v="0"/>
    <n v="3"/>
    <s v="Male"/>
    <n v="0"/>
    <n v="96"/>
    <n v="3"/>
    <n v="1"/>
    <s v="Research Scientist"/>
    <n v="0"/>
    <n v="0"/>
    <n v="0"/>
    <n v="0"/>
    <n v="0"/>
    <n v="0"/>
    <n v="0"/>
    <n v="1"/>
    <n v="3"/>
    <s v="Single"/>
    <n v="1"/>
    <n v="0"/>
    <n v="2936"/>
    <n v="2936"/>
    <n v="1"/>
    <s v="Yes"/>
    <n v="1"/>
    <n v="11"/>
    <n v="3"/>
    <n v="3"/>
    <n v="0"/>
    <n v="6"/>
    <x v="3"/>
    <n v="4"/>
    <n v="3"/>
    <n v="6"/>
    <n v="6"/>
    <n v="4"/>
    <n v="0"/>
    <n v="0"/>
    <n v="2"/>
    <n v="2"/>
    <n v="2"/>
    <n v="1"/>
    <n v="0"/>
    <n v="0"/>
    <n v="0"/>
    <n v="0"/>
    <n v="1"/>
    <n v="0"/>
    <n v="0"/>
    <n v="0"/>
    <n v="2"/>
    <n v="0"/>
    <n v="0"/>
    <n v="6"/>
    <n v="0"/>
    <n v="0.75763891999234667"/>
    <n v="0.59502473559756086"/>
    <n v="0.67854260110508058"/>
    <n v="0.16455710867531462"/>
    <n v="9.9604847176766084E-2"/>
    <n v="0.77459235625178136"/>
    <n v="0.67891464284095016"/>
  </r>
  <r>
    <n v="53"/>
    <n v="53"/>
    <s v="No"/>
    <n v="0"/>
    <s v="Travel_Rarely"/>
    <n v="0"/>
    <n v="1"/>
    <x v="1"/>
    <n v="1"/>
    <n v="0"/>
    <n v="7"/>
    <n v="7"/>
    <n v="2"/>
    <s v="Medical"/>
    <n v="0"/>
    <n v="0"/>
    <n v="1"/>
    <n v="0"/>
    <n v="0"/>
    <n v="4"/>
    <s v="Female"/>
    <n v="1"/>
    <n v="50"/>
    <n v="3"/>
    <n v="5"/>
    <s v="Manager"/>
    <n v="0"/>
    <n v="0"/>
    <n v="0"/>
    <n v="1"/>
    <n v="0"/>
    <n v="0"/>
    <n v="0"/>
    <n v="0"/>
    <n v="3"/>
    <s v="Divorced"/>
    <n v="0"/>
    <n v="0"/>
    <n v="18606"/>
    <n v="18606"/>
    <n v="3"/>
    <s v="No"/>
    <n v="0"/>
    <n v="18"/>
    <n v="3"/>
    <n v="2"/>
    <n v="1"/>
    <n v="26"/>
    <x v="11"/>
    <n v="6"/>
    <n v="3"/>
    <n v="7"/>
    <n v="7"/>
    <n v="7"/>
    <n v="4"/>
    <n v="4"/>
    <n v="7"/>
    <n v="7"/>
    <n v="35"/>
    <n v="1"/>
    <n v="0"/>
    <n v="0"/>
    <n v="0"/>
    <n v="1"/>
    <n v="0"/>
    <n v="0"/>
    <n v="0"/>
    <n v="0"/>
    <n v="7"/>
    <n v="0"/>
    <n v="0"/>
    <n v="26"/>
    <n v="0"/>
    <n v="2.5707688632432109"/>
    <n v="0.80626709607243985"/>
    <n v="1.8918932283614016"/>
    <n v="1.3324462240916321E-3"/>
    <n v="0.27045191444879263"/>
    <n v="1.7597737514845315"/>
    <n v="0.56238451757720498"/>
  </r>
  <r>
    <n v="29"/>
    <n v="29"/>
    <s v="No"/>
    <n v="0"/>
    <s v="Travel_Rarely"/>
    <n v="0"/>
    <n v="1"/>
    <x v="1"/>
    <n v="1"/>
    <n v="0"/>
    <n v="15"/>
    <n v="15"/>
    <n v="1"/>
    <s v="Life Sciences"/>
    <n v="1"/>
    <n v="0"/>
    <n v="0"/>
    <n v="0"/>
    <n v="0"/>
    <n v="2"/>
    <s v="Female"/>
    <n v="1"/>
    <n v="69"/>
    <n v="1"/>
    <n v="1"/>
    <s v="Research Scientist"/>
    <n v="0"/>
    <n v="0"/>
    <n v="0"/>
    <n v="0"/>
    <n v="0"/>
    <n v="0"/>
    <n v="0"/>
    <n v="1"/>
    <n v="4"/>
    <s v="Married"/>
    <n v="0"/>
    <n v="1"/>
    <n v="2168"/>
    <n v="2168"/>
    <n v="0"/>
    <s v="Yes"/>
    <n v="1"/>
    <n v="18"/>
    <n v="3"/>
    <n v="1"/>
    <n v="1"/>
    <n v="6"/>
    <x v="3"/>
    <n v="2"/>
    <n v="2"/>
    <n v="5"/>
    <n v="5"/>
    <n v="4"/>
    <n v="1"/>
    <n v="1"/>
    <n v="3"/>
    <n v="3"/>
    <n v="3"/>
    <n v="0"/>
    <n v="1"/>
    <n v="0"/>
    <n v="0"/>
    <n v="0"/>
    <n v="0"/>
    <n v="0"/>
    <n v="1"/>
    <n v="0"/>
    <n v="3"/>
    <n v="0"/>
    <n v="0"/>
    <n v="6"/>
    <n v="0"/>
    <n v="0.92076701045341292"/>
    <n v="0.31476636926356072"/>
    <n v="0.67854260110508058"/>
    <n v="0.32778177112653761"/>
    <n v="0.71636611655269733"/>
    <n v="0.86737663580280233"/>
    <n v="0.36858985273641137"/>
  </r>
  <r>
    <n v="22"/>
    <n v="22"/>
    <s v="Yes"/>
    <n v="1"/>
    <s v="Travel_Frequently"/>
    <n v="1"/>
    <n v="0"/>
    <x v="1"/>
    <n v="1"/>
    <n v="0"/>
    <n v="3"/>
    <n v="3"/>
    <n v="4"/>
    <s v="Life Sciences"/>
    <n v="1"/>
    <n v="0"/>
    <n v="0"/>
    <n v="0"/>
    <n v="0"/>
    <n v="3"/>
    <s v="Male"/>
    <n v="0"/>
    <n v="48"/>
    <n v="2"/>
    <n v="1"/>
    <s v="Research Scientist"/>
    <n v="0"/>
    <n v="0"/>
    <n v="0"/>
    <n v="0"/>
    <n v="0"/>
    <n v="0"/>
    <n v="0"/>
    <n v="1"/>
    <n v="4"/>
    <s v="Married"/>
    <n v="0"/>
    <n v="1"/>
    <n v="2853"/>
    <n v="2853"/>
    <n v="0"/>
    <s v="Yes"/>
    <n v="1"/>
    <n v="11"/>
    <n v="3"/>
    <n v="2"/>
    <n v="1"/>
    <n v="1"/>
    <x v="5"/>
    <n v="5"/>
    <n v="3"/>
    <n v="0"/>
    <n v="0"/>
    <n v="0"/>
    <n v="0"/>
    <n v="0"/>
    <n v="0"/>
    <n v="0"/>
    <n v="0"/>
    <n v="0"/>
    <n v="0"/>
    <n v="0"/>
    <n v="1"/>
    <n v="0"/>
    <n v="0"/>
    <n v="0"/>
    <n v="1"/>
    <n v="0"/>
    <n v="0"/>
    <n v="0"/>
    <n v="0"/>
    <n v="1"/>
    <n v="0"/>
    <n v="0.775268648518738"/>
    <n v="1.1555414682655611"/>
    <n v="1.3211515584717011"/>
    <n v="1.1439050833826525"/>
    <n v="0.76386092994953758"/>
    <n v="1.6336288320949415"/>
    <n v="0.67891464284095016"/>
  </r>
  <r>
    <n v="46"/>
    <n v="46"/>
    <s v="No"/>
    <n v="0"/>
    <s v="Travel_Rarely"/>
    <n v="0"/>
    <n v="1"/>
    <x v="0"/>
    <n v="0"/>
    <n v="1"/>
    <n v="2"/>
    <n v="2"/>
    <n v="3"/>
    <s v="Marketing"/>
    <n v="0"/>
    <n v="0"/>
    <n v="0"/>
    <n v="1"/>
    <n v="0"/>
    <n v="3"/>
    <s v="Female"/>
    <n v="1"/>
    <n v="69"/>
    <n v="3"/>
    <n v="4"/>
    <s v="Manager"/>
    <n v="0"/>
    <n v="0"/>
    <n v="0"/>
    <n v="1"/>
    <n v="0"/>
    <n v="0"/>
    <n v="0"/>
    <n v="0"/>
    <n v="1"/>
    <s v="Married"/>
    <n v="0"/>
    <n v="1"/>
    <n v="17048"/>
    <n v="17048"/>
    <n v="8"/>
    <s v="No"/>
    <n v="0"/>
    <n v="23"/>
    <n v="4"/>
    <n v="1"/>
    <n v="0"/>
    <n v="28"/>
    <x v="22"/>
    <n v="2"/>
    <n v="3"/>
    <n v="26"/>
    <n v="26"/>
    <n v="15"/>
    <n v="15"/>
    <n v="14"/>
    <n v="9"/>
    <n v="9"/>
    <n v="36"/>
    <n v="0"/>
    <n v="1"/>
    <n v="0"/>
    <n v="0"/>
    <n v="0"/>
    <n v="0"/>
    <n v="1"/>
    <n v="0"/>
    <n v="0"/>
    <n v="0"/>
    <n v="9"/>
    <n v="0"/>
    <n v="0"/>
    <n v="28"/>
    <n v="2.2398397422297456"/>
    <n v="1.3667838287404401"/>
    <n v="2.1489368113080496"/>
    <n v="3.0999361403491448"/>
    <n v="0.88721318382472392"/>
    <n v="0.99352155519239249"/>
    <n v="3.9759572087271318"/>
  </r>
  <r>
    <n v="44"/>
    <n v="44"/>
    <s v="No"/>
    <n v="0"/>
    <s v="Non-Travel"/>
    <n v="0"/>
    <n v="0"/>
    <x v="1"/>
    <n v="1"/>
    <n v="0"/>
    <n v="17"/>
    <n v="17"/>
    <n v="3"/>
    <s v="Life Sciences"/>
    <n v="1"/>
    <n v="0"/>
    <n v="0"/>
    <n v="0"/>
    <n v="0"/>
    <n v="4"/>
    <s v="Male"/>
    <n v="0"/>
    <n v="74"/>
    <n v="1"/>
    <n v="1"/>
    <s v="Research Scientist"/>
    <n v="0"/>
    <n v="0"/>
    <n v="0"/>
    <n v="0"/>
    <n v="0"/>
    <n v="0"/>
    <n v="0"/>
    <n v="1"/>
    <n v="3"/>
    <s v="Single"/>
    <n v="1"/>
    <n v="0"/>
    <n v="2290"/>
    <n v="2290"/>
    <n v="2"/>
    <s v="No"/>
    <n v="0"/>
    <n v="13"/>
    <n v="3"/>
    <n v="4"/>
    <n v="0"/>
    <n v="6"/>
    <x v="3"/>
    <n v="3"/>
    <n v="3"/>
    <n v="0"/>
    <n v="0"/>
    <n v="0"/>
    <n v="0"/>
    <n v="0"/>
    <n v="0"/>
    <n v="0"/>
    <n v="0"/>
    <n v="1"/>
    <n v="0"/>
    <n v="0"/>
    <n v="0"/>
    <n v="1"/>
    <n v="0"/>
    <n v="0"/>
    <n v="0"/>
    <n v="0"/>
    <n v="0"/>
    <n v="0"/>
    <n v="0"/>
    <n v="6"/>
    <n v="0"/>
    <n v="0.89485343358329561"/>
    <n v="1.1555414682655611"/>
    <n v="0.67854260110508058"/>
    <n v="1.1439050833826525"/>
    <n v="0.96307062430306978"/>
    <n v="0.77459235625178136"/>
    <n v="0.67891464284095016"/>
  </r>
  <r>
    <n v="33"/>
    <n v="33"/>
    <s v="No"/>
    <n v="0"/>
    <s v="Travel_Rarely"/>
    <n v="0"/>
    <n v="1"/>
    <x v="2"/>
    <n v="0"/>
    <n v="0"/>
    <n v="2"/>
    <n v="2"/>
    <n v="3"/>
    <s v="Human Resources"/>
    <n v="0"/>
    <n v="0"/>
    <n v="0"/>
    <n v="0"/>
    <n v="0"/>
    <n v="2"/>
    <s v="Male"/>
    <n v="0"/>
    <n v="99"/>
    <n v="3"/>
    <n v="1"/>
    <s v="Human Resources"/>
    <n v="0"/>
    <n v="0"/>
    <n v="0"/>
    <n v="0"/>
    <n v="0"/>
    <n v="0"/>
    <n v="0"/>
    <n v="0"/>
    <n v="3"/>
    <s v="Married"/>
    <n v="0"/>
    <n v="1"/>
    <n v="3600"/>
    <n v="3600"/>
    <n v="1"/>
    <s v="No"/>
    <n v="0"/>
    <n v="13"/>
    <n v="3"/>
    <n v="4"/>
    <n v="1"/>
    <n v="5"/>
    <x v="7"/>
    <n v="2"/>
    <n v="3"/>
    <n v="5"/>
    <n v="5"/>
    <n v="4"/>
    <n v="1"/>
    <n v="1"/>
    <n v="4"/>
    <n v="4"/>
    <n v="4"/>
    <n v="0"/>
    <n v="1"/>
    <n v="0"/>
    <n v="0"/>
    <n v="0"/>
    <n v="0"/>
    <n v="1"/>
    <n v="0"/>
    <n v="4"/>
    <n v="0"/>
    <n v="0"/>
    <n v="5"/>
    <n v="0"/>
    <n v="0"/>
    <n v="0.61660109178121647"/>
    <n v="3.4508002929560584E-2"/>
    <n v="0.80706439257840468"/>
    <n v="0.32778177112653761"/>
    <n v="0.88721318382472392"/>
    <n v="0.42951823792158"/>
    <n v="0.36858985273641137"/>
  </r>
  <r>
    <n v="41"/>
    <n v="41"/>
    <s v="Yes"/>
    <n v="1"/>
    <s v="Non-Travel"/>
    <n v="0"/>
    <n v="0"/>
    <x v="1"/>
    <n v="1"/>
    <n v="0"/>
    <n v="5"/>
    <n v="5"/>
    <n v="2"/>
    <s v="Life Sciences"/>
    <n v="1"/>
    <n v="0"/>
    <n v="0"/>
    <n v="0"/>
    <n v="0"/>
    <n v="1"/>
    <s v="Male"/>
    <n v="0"/>
    <n v="95"/>
    <n v="2"/>
    <n v="1"/>
    <s v="Research Scientist"/>
    <n v="0"/>
    <n v="0"/>
    <n v="0"/>
    <n v="0"/>
    <n v="0"/>
    <n v="0"/>
    <n v="0"/>
    <n v="1"/>
    <n v="1"/>
    <s v="Divorced"/>
    <n v="0"/>
    <n v="0"/>
    <n v="2107"/>
    <n v="2107"/>
    <n v="6"/>
    <s v="No"/>
    <n v="0"/>
    <n v="17"/>
    <n v="3"/>
    <n v="1"/>
    <n v="1"/>
    <n v="5"/>
    <x v="7"/>
    <n v="2"/>
    <n v="1"/>
    <n v="1"/>
    <n v="1"/>
    <n v="0"/>
    <n v="0"/>
    <n v="0"/>
    <n v="0"/>
    <n v="0"/>
    <n v="0"/>
    <n v="1"/>
    <n v="0"/>
    <n v="0"/>
    <n v="0"/>
    <n v="1"/>
    <n v="0"/>
    <n v="0"/>
    <n v="0"/>
    <n v="0"/>
    <n v="0"/>
    <n v="0"/>
    <n v="0"/>
    <n v="5"/>
    <n v="0"/>
    <n v="0.93372379888847157"/>
    <n v="1.1555414682655611"/>
    <n v="0.80706439257840468"/>
    <n v="0.9806804209314296"/>
    <n v="0.51715642219916513"/>
    <n v="0.4461985578408646"/>
    <n v="0.67891464284095016"/>
  </r>
  <r>
    <n v="30"/>
    <n v="30"/>
    <s v="No"/>
    <n v="0"/>
    <s v="Travel_Rarely"/>
    <n v="0"/>
    <n v="1"/>
    <x v="0"/>
    <n v="0"/>
    <n v="1"/>
    <n v="29"/>
    <n v="29"/>
    <n v="4"/>
    <s v="Life Sciences"/>
    <n v="1"/>
    <n v="0"/>
    <n v="0"/>
    <n v="0"/>
    <n v="0"/>
    <n v="3"/>
    <s v="Male"/>
    <n v="0"/>
    <n v="61"/>
    <n v="3"/>
    <n v="2"/>
    <s v="Sales Executive"/>
    <n v="0"/>
    <n v="1"/>
    <n v="0"/>
    <n v="0"/>
    <n v="0"/>
    <n v="0"/>
    <n v="0"/>
    <n v="0"/>
    <n v="1"/>
    <s v="Divorced"/>
    <n v="0"/>
    <n v="0"/>
    <n v="4115"/>
    <n v="4115"/>
    <n v="8"/>
    <s v="No"/>
    <n v="0"/>
    <n v="19"/>
    <n v="3"/>
    <n v="3"/>
    <n v="3"/>
    <n v="8"/>
    <x v="0"/>
    <n v="3"/>
    <n v="3"/>
    <n v="4"/>
    <n v="4"/>
    <n v="3"/>
    <n v="0"/>
    <n v="0"/>
    <n v="3"/>
    <n v="3"/>
    <n v="6"/>
    <n v="1"/>
    <n v="0"/>
    <n v="0"/>
    <n v="0"/>
    <n v="1"/>
    <n v="0"/>
    <n v="0"/>
    <n v="0"/>
    <n v="0"/>
    <n v="0"/>
    <n v="3"/>
    <n v="0"/>
    <n v="0"/>
    <n v="8"/>
    <n v="0.50721181237047541"/>
    <n v="0.31476636926356072"/>
    <n v="0.42149901815843233"/>
    <n v="0.49100643357776058"/>
    <n v="2.4432976708053049"/>
    <n v="0.75791203633249671"/>
    <n v="0.67891464284095016"/>
  </r>
  <r>
    <n v="40"/>
    <n v="40"/>
    <s v="No"/>
    <n v="0"/>
    <s v="Travel_Frequently"/>
    <n v="1"/>
    <n v="0"/>
    <x v="0"/>
    <n v="0"/>
    <n v="1"/>
    <n v="2"/>
    <n v="2"/>
    <n v="4"/>
    <s v="Medical"/>
    <n v="0"/>
    <n v="0"/>
    <n v="1"/>
    <n v="0"/>
    <n v="0"/>
    <n v="2"/>
    <s v="Male"/>
    <n v="0"/>
    <n v="62"/>
    <n v="3"/>
    <n v="2"/>
    <s v="Sales Executive"/>
    <n v="0"/>
    <n v="1"/>
    <n v="0"/>
    <n v="0"/>
    <n v="0"/>
    <n v="0"/>
    <n v="0"/>
    <n v="0"/>
    <n v="2"/>
    <s v="Married"/>
    <n v="0"/>
    <n v="1"/>
    <n v="4327"/>
    <n v="4327"/>
    <n v="5"/>
    <s v="No"/>
    <n v="0"/>
    <n v="12"/>
    <n v="3"/>
    <n v="4"/>
    <n v="3"/>
    <n v="5"/>
    <x v="7"/>
    <n v="2"/>
    <n v="3"/>
    <n v="0"/>
    <n v="0"/>
    <n v="0"/>
    <n v="0"/>
    <n v="0"/>
    <n v="0"/>
    <n v="0"/>
    <n v="0"/>
    <n v="0"/>
    <n v="0"/>
    <n v="0"/>
    <n v="1"/>
    <n v="0"/>
    <n v="0"/>
    <n v="1"/>
    <n v="0"/>
    <n v="0"/>
    <n v="0"/>
    <n v="0"/>
    <n v="0"/>
    <n v="0"/>
    <n v="5"/>
    <n v="0.46218166239945196"/>
    <n v="1.1555414682655611"/>
    <n v="0.80706439257840468"/>
    <n v="1.1439050833826525"/>
    <n v="0.88721318382472392"/>
    <n v="0.33673395837055903"/>
    <n v="0.67891464284095016"/>
  </r>
  <r>
    <n v="50"/>
    <n v="50"/>
    <s v="No"/>
    <n v="0"/>
    <s v="Travel_Frequently"/>
    <n v="1"/>
    <n v="0"/>
    <x v="1"/>
    <n v="1"/>
    <n v="0"/>
    <n v="2"/>
    <n v="2"/>
    <n v="3"/>
    <s v="Medical"/>
    <n v="0"/>
    <n v="0"/>
    <n v="1"/>
    <n v="0"/>
    <n v="0"/>
    <n v="4"/>
    <s v="Female"/>
    <n v="1"/>
    <n v="30"/>
    <n v="3"/>
    <n v="4"/>
    <s v="Manager"/>
    <n v="0"/>
    <n v="0"/>
    <n v="0"/>
    <n v="1"/>
    <n v="0"/>
    <n v="0"/>
    <n v="0"/>
    <n v="0"/>
    <n v="1"/>
    <s v="Married"/>
    <n v="0"/>
    <n v="1"/>
    <n v="17856"/>
    <n v="17856"/>
    <n v="2"/>
    <s v="No"/>
    <n v="0"/>
    <n v="22"/>
    <n v="4"/>
    <n v="3"/>
    <n v="1"/>
    <n v="32"/>
    <x v="32"/>
    <n v="3"/>
    <n v="3"/>
    <n v="2"/>
    <n v="2"/>
    <n v="2"/>
    <n v="2"/>
    <n v="2"/>
    <n v="2"/>
    <n v="2"/>
    <n v="8"/>
    <n v="0"/>
    <n v="0"/>
    <n v="0"/>
    <n v="1"/>
    <n v="0"/>
    <n v="0"/>
    <n v="1"/>
    <n v="0"/>
    <n v="0"/>
    <n v="2"/>
    <n v="0"/>
    <n v="0"/>
    <n v="32"/>
    <n v="0"/>
    <n v="2.4114640874023254"/>
    <n v="0.59502473559756086"/>
    <n v="2.663023977201346"/>
    <n v="0.81745575848020657"/>
    <n v="0.88721318382472392"/>
    <n v="1.4313799530736149"/>
    <n v="5.8265062631872602E-2"/>
  </r>
  <r>
    <n v="28"/>
    <n v="28"/>
    <s v="No"/>
    <n v="0"/>
    <s v="Travel_Rarely"/>
    <n v="0"/>
    <n v="1"/>
    <x v="1"/>
    <n v="1"/>
    <n v="0"/>
    <n v="19"/>
    <n v="19"/>
    <n v="4"/>
    <s v="Medical"/>
    <n v="0"/>
    <n v="0"/>
    <n v="1"/>
    <n v="0"/>
    <n v="0"/>
    <n v="4"/>
    <s v="Male"/>
    <n v="0"/>
    <n v="78"/>
    <n v="2"/>
    <n v="1"/>
    <s v="Laboratory Technician"/>
    <n v="0"/>
    <n v="0"/>
    <n v="1"/>
    <n v="0"/>
    <n v="0"/>
    <n v="0"/>
    <n v="0"/>
    <n v="0"/>
    <n v="1"/>
    <s v="Married"/>
    <n v="0"/>
    <n v="1"/>
    <n v="3196"/>
    <n v="3196"/>
    <n v="1"/>
    <s v="No"/>
    <n v="0"/>
    <n v="12"/>
    <n v="3"/>
    <n v="3"/>
    <n v="3"/>
    <n v="6"/>
    <x v="3"/>
    <n v="2"/>
    <n v="3"/>
    <n v="6"/>
    <n v="6"/>
    <n v="5"/>
    <n v="3"/>
    <n v="3"/>
    <n v="3"/>
    <n v="3"/>
    <n v="3"/>
    <n v="0"/>
    <n v="1"/>
    <n v="0"/>
    <n v="0"/>
    <n v="0"/>
    <n v="0"/>
    <n v="1"/>
    <n v="0"/>
    <n v="0"/>
    <n v="3"/>
    <n v="0"/>
    <n v="0"/>
    <n v="6"/>
    <n v="0"/>
    <n v="0.70241326436750651"/>
    <n v="0.31476636926356072"/>
    <n v="0.67854260110508058"/>
    <n v="0.16455710867531462"/>
    <n v="1.2097751320534422"/>
    <n v="0.97684123527310796"/>
    <n v="0.2520597274726662"/>
  </r>
  <r>
    <n v="46"/>
    <n v="46"/>
    <s v="No"/>
    <n v="0"/>
    <s v="Travel_Rarely"/>
    <n v="0"/>
    <n v="1"/>
    <x v="1"/>
    <n v="1"/>
    <n v="0"/>
    <n v="15"/>
    <n v="15"/>
    <n v="2"/>
    <s v="Life Sciences"/>
    <n v="1"/>
    <n v="0"/>
    <n v="0"/>
    <n v="0"/>
    <n v="0"/>
    <n v="4"/>
    <s v="Male"/>
    <n v="0"/>
    <n v="52"/>
    <n v="3"/>
    <n v="5"/>
    <s v="Research Director"/>
    <n v="0"/>
    <n v="0"/>
    <n v="0"/>
    <n v="0"/>
    <n v="0"/>
    <n v="0"/>
    <n v="0"/>
    <n v="0"/>
    <n v="2"/>
    <s v="Married"/>
    <n v="0"/>
    <n v="1"/>
    <n v="19081"/>
    <n v="19081"/>
    <n v="5"/>
    <s v="No"/>
    <n v="0"/>
    <n v="11"/>
    <n v="3"/>
    <n v="1"/>
    <n v="1"/>
    <n v="25"/>
    <x v="24"/>
    <n v="2"/>
    <n v="3"/>
    <n v="4"/>
    <n v="4"/>
    <n v="2"/>
    <n v="0"/>
    <n v="0"/>
    <n v="3"/>
    <n v="3"/>
    <n v="15"/>
    <n v="0"/>
    <n v="1"/>
    <n v="0"/>
    <n v="0"/>
    <n v="0"/>
    <n v="0"/>
    <n v="1"/>
    <n v="0"/>
    <n v="0"/>
    <n v="3"/>
    <n v="0"/>
    <n v="0"/>
    <n v="25"/>
    <n v="0"/>
    <n v="2.6716618879424376"/>
    <n v="0.31476636926356072"/>
    <n v="1.7633714368880775"/>
    <n v="0.49100643357776058"/>
    <n v="0.71636611655269733"/>
    <n v="0.99352155519239249"/>
    <n v="0.67891464284095016"/>
  </r>
  <r>
    <n v="35"/>
    <n v="35"/>
    <s v="No"/>
    <n v="0"/>
    <s v="Travel_Rarely"/>
    <n v="0"/>
    <n v="1"/>
    <x v="0"/>
    <n v="0"/>
    <n v="1"/>
    <n v="17"/>
    <n v="17"/>
    <n v="4"/>
    <s v="Life Sciences"/>
    <n v="1"/>
    <n v="0"/>
    <n v="0"/>
    <n v="0"/>
    <n v="0"/>
    <n v="3"/>
    <s v="Male"/>
    <n v="0"/>
    <n v="94"/>
    <n v="3"/>
    <n v="2"/>
    <s v="Sales Executive"/>
    <n v="0"/>
    <n v="1"/>
    <n v="0"/>
    <n v="0"/>
    <n v="0"/>
    <n v="0"/>
    <n v="0"/>
    <n v="0"/>
    <n v="1"/>
    <s v="Married"/>
    <n v="0"/>
    <n v="1"/>
    <n v="8966"/>
    <n v="8966"/>
    <n v="3"/>
    <s v="Yes"/>
    <n v="1"/>
    <n v="15"/>
    <n v="3"/>
    <n v="4"/>
    <n v="3"/>
    <n v="15"/>
    <x v="19"/>
    <n v="2"/>
    <n v="3"/>
    <n v="7"/>
    <n v="7"/>
    <n v="7"/>
    <n v="1"/>
    <n v="1"/>
    <n v="7"/>
    <n v="7"/>
    <n v="14"/>
    <n v="0"/>
    <n v="1"/>
    <n v="0"/>
    <n v="0"/>
    <n v="0"/>
    <n v="0"/>
    <n v="0"/>
    <n v="1"/>
    <n v="0"/>
    <n v="0"/>
    <n v="7"/>
    <n v="0"/>
    <n v="0"/>
    <n v="15"/>
    <n v="0.5231714777683687"/>
    <n v="0.80626709607243985"/>
    <n v="0.47815352215483642"/>
    <n v="1.3324462240916321E-3"/>
    <n v="0.96307062430306978"/>
    <n v="0.21058903898096887"/>
    <n v="0.36858985273641137"/>
  </r>
  <r>
    <n v="24"/>
    <n v="24"/>
    <s v="Yes"/>
    <n v="1"/>
    <s v="Travel_Rarely"/>
    <n v="0"/>
    <n v="1"/>
    <x v="1"/>
    <n v="1"/>
    <n v="0"/>
    <n v="17"/>
    <n v="17"/>
    <n v="2"/>
    <s v="Life Sciences"/>
    <n v="1"/>
    <n v="0"/>
    <n v="0"/>
    <n v="0"/>
    <n v="0"/>
    <n v="4"/>
    <s v="Female"/>
    <n v="1"/>
    <n v="97"/>
    <n v="3"/>
    <n v="1"/>
    <s v="Laboratory Technician"/>
    <n v="0"/>
    <n v="0"/>
    <n v="1"/>
    <n v="0"/>
    <n v="0"/>
    <n v="0"/>
    <n v="0"/>
    <n v="0"/>
    <n v="2"/>
    <s v="Married"/>
    <n v="0"/>
    <n v="1"/>
    <n v="2210"/>
    <n v="2210"/>
    <n v="1"/>
    <s v="No"/>
    <n v="0"/>
    <n v="13"/>
    <n v="3"/>
    <n v="1"/>
    <n v="1"/>
    <n v="1"/>
    <x v="5"/>
    <n v="3"/>
    <n v="1"/>
    <n v="1"/>
    <n v="1"/>
    <n v="0"/>
    <n v="0"/>
    <n v="0"/>
    <n v="0"/>
    <n v="0"/>
    <n v="0"/>
    <n v="0"/>
    <n v="1"/>
    <n v="0"/>
    <n v="0"/>
    <n v="0"/>
    <n v="0"/>
    <n v="1"/>
    <n v="0"/>
    <n v="0"/>
    <n v="0"/>
    <n v="0"/>
    <n v="0"/>
    <n v="1"/>
    <n v="0"/>
    <n v="0.91184594300632338"/>
    <n v="1.1555414682655611"/>
    <n v="1.3211515584717011"/>
    <n v="0.9806804209314296"/>
    <n v="0.96307062430306978"/>
    <n v="1.4146996331543302"/>
    <n v="0.67891464284095016"/>
  </r>
  <r>
    <n v="33"/>
    <n v="33"/>
    <s v="No"/>
    <n v="0"/>
    <s v="Travel_Frequently"/>
    <n v="1"/>
    <n v="0"/>
    <x v="0"/>
    <n v="0"/>
    <n v="1"/>
    <n v="25"/>
    <n v="25"/>
    <n v="3"/>
    <s v="Medical"/>
    <n v="0"/>
    <n v="0"/>
    <n v="1"/>
    <n v="0"/>
    <n v="0"/>
    <n v="2"/>
    <s v="Female"/>
    <n v="1"/>
    <n v="82"/>
    <n v="3"/>
    <n v="2"/>
    <s v="Sales Executive"/>
    <n v="0"/>
    <n v="1"/>
    <n v="0"/>
    <n v="0"/>
    <n v="0"/>
    <n v="0"/>
    <n v="0"/>
    <n v="0"/>
    <n v="3"/>
    <s v="Married"/>
    <n v="0"/>
    <n v="1"/>
    <n v="4539"/>
    <n v="4539"/>
    <n v="1"/>
    <s v="No"/>
    <n v="0"/>
    <n v="12"/>
    <n v="3"/>
    <n v="1"/>
    <n v="1"/>
    <n v="10"/>
    <x v="1"/>
    <n v="3"/>
    <n v="2"/>
    <n v="10"/>
    <n v="10"/>
    <n v="7"/>
    <n v="0"/>
    <n v="0"/>
    <n v="1"/>
    <n v="1"/>
    <n v="2"/>
    <n v="0"/>
    <n v="0"/>
    <n v="0"/>
    <n v="1"/>
    <n v="0"/>
    <n v="0"/>
    <n v="1"/>
    <n v="0"/>
    <n v="0"/>
    <n v="0"/>
    <n v="1"/>
    <n v="0"/>
    <n v="0"/>
    <n v="10"/>
    <n v="0.41715151242842846"/>
    <n v="0.87528310193156111"/>
    <n v="0.1644554352117841"/>
    <n v="0.48834154112957734"/>
    <n v="1.9498886553045598"/>
    <n v="0.42951823792158"/>
    <n v="0.67891464284095016"/>
  </r>
  <r>
    <n v="36"/>
    <n v="36"/>
    <s v="No"/>
    <n v="0"/>
    <s v="Travel_Rarely"/>
    <n v="0"/>
    <n v="1"/>
    <x v="1"/>
    <n v="1"/>
    <n v="0"/>
    <n v="6"/>
    <n v="6"/>
    <n v="4"/>
    <s v="Life Sciences"/>
    <n v="1"/>
    <n v="0"/>
    <n v="0"/>
    <n v="0"/>
    <n v="0"/>
    <n v="3"/>
    <s v="Male"/>
    <n v="0"/>
    <n v="60"/>
    <n v="1"/>
    <n v="1"/>
    <s v="Laboratory Technician"/>
    <n v="0"/>
    <n v="0"/>
    <n v="1"/>
    <n v="0"/>
    <n v="0"/>
    <n v="0"/>
    <n v="0"/>
    <n v="0"/>
    <n v="3"/>
    <s v="Divorced"/>
    <n v="0"/>
    <n v="0"/>
    <n v="2741"/>
    <n v="2741"/>
    <n v="1"/>
    <s v="No"/>
    <n v="0"/>
    <n v="14"/>
    <n v="3"/>
    <n v="3"/>
    <n v="1"/>
    <n v="7"/>
    <x v="2"/>
    <n v="4"/>
    <n v="3"/>
    <n v="7"/>
    <n v="7"/>
    <n v="7"/>
    <n v="1"/>
    <n v="1"/>
    <n v="7"/>
    <n v="7"/>
    <n v="7"/>
    <n v="1"/>
    <n v="0"/>
    <n v="0"/>
    <n v="0"/>
    <n v="1"/>
    <n v="0"/>
    <n v="0"/>
    <n v="0"/>
    <n v="0"/>
    <n v="7"/>
    <n v="0"/>
    <n v="0"/>
    <n v="7"/>
    <n v="0"/>
    <n v="0.79905816171097677"/>
    <n v="0.80626709607243985"/>
    <n v="0.55002080963175637"/>
    <n v="1.3324462240916321E-3"/>
    <n v="0.39380416832397891"/>
    <n v="0.10112443951066327"/>
    <n v="0.36858985273641137"/>
  </r>
  <r>
    <n v="30"/>
    <n v="30"/>
    <s v="No"/>
    <n v="0"/>
    <s v="Travel_Rarely"/>
    <n v="0"/>
    <n v="1"/>
    <x v="1"/>
    <n v="1"/>
    <n v="0"/>
    <n v="7"/>
    <n v="7"/>
    <n v="4"/>
    <s v="Life Sciences"/>
    <n v="1"/>
    <n v="0"/>
    <n v="0"/>
    <n v="0"/>
    <n v="0"/>
    <n v="3"/>
    <s v="Male"/>
    <n v="0"/>
    <n v="49"/>
    <n v="3"/>
    <n v="2"/>
    <s v="Laboratory Technician"/>
    <n v="0"/>
    <n v="0"/>
    <n v="1"/>
    <n v="0"/>
    <n v="0"/>
    <n v="0"/>
    <n v="0"/>
    <n v="0"/>
    <n v="3"/>
    <s v="Divorced"/>
    <n v="0"/>
    <n v="0"/>
    <n v="3491"/>
    <n v="3491"/>
    <n v="1"/>
    <s v="No"/>
    <n v="0"/>
    <n v="13"/>
    <n v="3"/>
    <n v="1"/>
    <n v="3"/>
    <n v="10"/>
    <x v="1"/>
    <n v="4"/>
    <n v="2"/>
    <n v="10"/>
    <n v="10"/>
    <n v="7"/>
    <n v="8"/>
    <n v="8"/>
    <n v="9"/>
    <n v="9"/>
    <n v="18"/>
    <n v="1"/>
    <n v="0"/>
    <n v="0"/>
    <n v="0"/>
    <n v="1"/>
    <n v="0"/>
    <n v="0"/>
    <n v="0"/>
    <n v="0"/>
    <n v="9"/>
    <n v="0"/>
    <n v="0"/>
    <n v="10"/>
    <n v="0"/>
    <n v="0.63975338587009178"/>
    <n v="1.3667838287404401"/>
    <n v="0.1644554352117841"/>
    <n v="0.48834154112957734"/>
    <n v="0.27045191444879263"/>
    <n v="0.75791203633249671"/>
    <n v="1.8036836779953602"/>
  </r>
  <r>
    <n v="44"/>
    <n v="44"/>
    <s v="No"/>
    <n v="0"/>
    <s v="Travel_Rarely"/>
    <n v="0"/>
    <n v="1"/>
    <x v="1"/>
    <n v="1"/>
    <n v="0"/>
    <n v="29"/>
    <n v="29"/>
    <n v="4"/>
    <s v="Other"/>
    <n v="0"/>
    <n v="1"/>
    <n v="0"/>
    <n v="0"/>
    <n v="0"/>
    <n v="4"/>
    <s v="Male"/>
    <n v="0"/>
    <n v="32"/>
    <n v="3"/>
    <n v="2"/>
    <s v="Research Scientist"/>
    <n v="0"/>
    <n v="0"/>
    <n v="0"/>
    <n v="0"/>
    <n v="0"/>
    <n v="0"/>
    <n v="0"/>
    <n v="1"/>
    <n v="4"/>
    <s v="Single"/>
    <n v="1"/>
    <n v="0"/>
    <n v="4541"/>
    <n v="4541"/>
    <n v="1"/>
    <s v="No"/>
    <n v="0"/>
    <n v="25"/>
    <n v="4"/>
    <n v="2"/>
    <n v="0"/>
    <n v="20"/>
    <x v="25"/>
    <n v="3"/>
    <n v="3"/>
    <n v="20"/>
    <n v="20"/>
    <n v="11"/>
    <n v="13"/>
    <n v="13"/>
    <n v="17"/>
    <n v="14"/>
    <n v="28"/>
    <n v="1"/>
    <n v="0"/>
    <n v="0"/>
    <n v="0"/>
    <n v="1"/>
    <n v="0"/>
    <n v="0"/>
    <n v="0"/>
    <n v="0"/>
    <n v="14"/>
    <n v="0"/>
    <n v="0"/>
    <n v="20"/>
    <n v="0"/>
    <n v="0.41672669969285281"/>
    <n v="3.6088507594124417"/>
    <n v="1.120762479521457"/>
    <n v="2.1205881656418071"/>
    <n v="2.4432976708053049"/>
    <n v="0.77459235625178136"/>
    <n v="3.3553076285180543"/>
  </r>
  <r>
    <n v="20"/>
    <n v="20"/>
    <s v="No"/>
    <n v="0"/>
    <s v="Travel_Rarely"/>
    <n v="0"/>
    <n v="1"/>
    <x v="0"/>
    <n v="0"/>
    <n v="1"/>
    <n v="21"/>
    <n v="21"/>
    <n v="3"/>
    <s v="Marketing"/>
    <n v="0"/>
    <n v="0"/>
    <n v="0"/>
    <n v="1"/>
    <n v="0"/>
    <n v="3"/>
    <s v="Male"/>
    <n v="0"/>
    <n v="43"/>
    <n v="4"/>
    <n v="1"/>
    <s v="Sales Representative"/>
    <n v="0"/>
    <n v="0"/>
    <n v="0"/>
    <n v="0"/>
    <n v="0"/>
    <n v="0"/>
    <n v="1"/>
    <n v="0"/>
    <n v="4"/>
    <s v="Single"/>
    <n v="1"/>
    <n v="0"/>
    <n v="2678"/>
    <n v="2678"/>
    <n v="1"/>
    <s v="No"/>
    <n v="0"/>
    <n v="17"/>
    <n v="3"/>
    <n v="4"/>
    <n v="0"/>
    <n v="2"/>
    <x v="16"/>
    <n v="2"/>
    <n v="3"/>
    <n v="2"/>
    <n v="2"/>
    <n v="1"/>
    <n v="2"/>
    <n v="2"/>
    <n v="2"/>
    <n v="2"/>
    <n v="2"/>
    <n v="1"/>
    <n v="0"/>
    <n v="0"/>
    <n v="0"/>
    <n v="1"/>
    <n v="0"/>
    <n v="0"/>
    <n v="0"/>
    <n v="0"/>
    <n v="0"/>
    <n v="2"/>
    <n v="0"/>
    <n v="0"/>
    <n v="2"/>
    <n v="0.81243976288161113"/>
    <n v="0.59502473559756086"/>
    <n v="1.192629766998377"/>
    <n v="0.81745575848020657"/>
    <n v="1.4564796398038149"/>
    <n v="1.8525580310355525"/>
    <n v="5.8265062631872602E-2"/>
  </r>
  <r>
    <n v="46"/>
    <n v="46"/>
    <s v="No"/>
    <n v="0"/>
    <s v="Travel_Rarely"/>
    <n v="0"/>
    <n v="1"/>
    <x v="1"/>
    <n v="1"/>
    <n v="0"/>
    <n v="2"/>
    <n v="2"/>
    <n v="4"/>
    <s v="Technical Degree"/>
    <n v="0"/>
    <n v="0"/>
    <n v="0"/>
    <n v="0"/>
    <n v="1"/>
    <n v="4"/>
    <s v="Male"/>
    <n v="0"/>
    <n v="60"/>
    <n v="3"/>
    <n v="2"/>
    <s v="Manufacturing Director"/>
    <n v="0"/>
    <n v="0"/>
    <n v="0"/>
    <n v="0"/>
    <n v="1"/>
    <n v="1"/>
    <n v="0"/>
    <n v="0"/>
    <n v="4"/>
    <s v="Divorced"/>
    <n v="0"/>
    <n v="0"/>
    <n v="7379"/>
    <n v="7379"/>
    <n v="2"/>
    <s v="No"/>
    <n v="0"/>
    <n v="11"/>
    <n v="3"/>
    <n v="3"/>
    <n v="1"/>
    <n v="12"/>
    <x v="4"/>
    <n v="3"/>
    <n v="2"/>
    <n v="6"/>
    <n v="6"/>
    <n v="3"/>
    <n v="1"/>
    <n v="1"/>
    <n v="4"/>
    <n v="4"/>
    <n v="8"/>
    <n v="1"/>
    <n v="0"/>
    <n v="0"/>
    <n v="0"/>
    <n v="1"/>
    <n v="0"/>
    <n v="0"/>
    <n v="0"/>
    <n v="0"/>
    <n v="4"/>
    <n v="0"/>
    <n v="0"/>
    <n v="12"/>
    <n v="0"/>
    <n v="0.18608257208905607"/>
    <n v="3.4508002929560584E-2"/>
    <n v="9.2588147734864096E-2"/>
    <n v="0.16455710867531462"/>
    <n v="0.88721318382472392"/>
    <n v="0.99352155519239249"/>
    <n v="0.36858985273641137"/>
  </r>
  <r>
    <n v="42"/>
    <n v="42"/>
    <s v="No"/>
    <n v="0"/>
    <s v="Non-Travel"/>
    <n v="0"/>
    <n v="0"/>
    <x v="2"/>
    <n v="0"/>
    <n v="0"/>
    <n v="2"/>
    <n v="2"/>
    <n v="5"/>
    <s v="Medical"/>
    <n v="0"/>
    <n v="0"/>
    <n v="1"/>
    <n v="0"/>
    <n v="0"/>
    <n v="4"/>
    <s v="Male"/>
    <n v="0"/>
    <n v="79"/>
    <n v="4"/>
    <n v="2"/>
    <s v="Human Resources"/>
    <n v="0"/>
    <n v="0"/>
    <n v="0"/>
    <n v="0"/>
    <n v="0"/>
    <n v="0"/>
    <n v="0"/>
    <n v="0"/>
    <n v="1"/>
    <s v="Married"/>
    <n v="0"/>
    <n v="1"/>
    <n v="6272"/>
    <n v="6272"/>
    <n v="7"/>
    <s v="No"/>
    <n v="0"/>
    <n v="16"/>
    <n v="3"/>
    <n v="1"/>
    <n v="1"/>
    <n v="10"/>
    <x v="1"/>
    <n v="3"/>
    <n v="4"/>
    <n v="4"/>
    <n v="4"/>
    <n v="3"/>
    <n v="0"/>
    <n v="0"/>
    <n v="3"/>
    <n v="3"/>
    <n v="6"/>
    <n v="0"/>
    <n v="1"/>
    <n v="0"/>
    <n v="0"/>
    <n v="0"/>
    <n v="0"/>
    <n v="1"/>
    <n v="0"/>
    <n v="3"/>
    <n v="0"/>
    <n v="0"/>
    <n v="10"/>
    <n v="0"/>
    <n v="0"/>
    <n v="4.9051277052090198E-2"/>
    <n v="0.31476636926356072"/>
    <n v="0.1644554352117841"/>
    <n v="0.49100643357776058"/>
    <n v="0.88721318382472392"/>
    <n v="0.55566315731117022"/>
    <n v="0.67891464284095016"/>
  </r>
  <r>
    <n v="60"/>
    <n v="58.309999999999945"/>
    <s v="No"/>
    <n v="0"/>
    <s v="Travel_Rarely"/>
    <n v="0"/>
    <n v="1"/>
    <x v="0"/>
    <n v="0"/>
    <n v="1"/>
    <n v="7"/>
    <n v="7"/>
    <n v="4"/>
    <s v="Marketing"/>
    <n v="0"/>
    <n v="0"/>
    <n v="0"/>
    <n v="1"/>
    <n v="0"/>
    <n v="2"/>
    <s v="Male"/>
    <n v="0"/>
    <n v="52"/>
    <n v="4"/>
    <n v="2"/>
    <s v="Sales Executive"/>
    <n v="0"/>
    <n v="1"/>
    <n v="0"/>
    <n v="0"/>
    <n v="0"/>
    <n v="0"/>
    <n v="0"/>
    <n v="0"/>
    <n v="4"/>
    <s v="Divorced"/>
    <n v="0"/>
    <n v="0"/>
    <n v="5220"/>
    <n v="5220"/>
    <n v="0"/>
    <s v="Yes"/>
    <n v="1"/>
    <n v="18"/>
    <n v="3"/>
    <n v="2"/>
    <n v="1"/>
    <n v="12"/>
    <x v="4"/>
    <n v="3"/>
    <n v="3"/>
    <n v="11"/>
    <n v="11"/>
    <n v="7"/>
    <n v="1"/>
    <n v="1"/>
    <n v="9"/>
    <n v="9"/>
    <n v="18"/>
    <n v="1"/>
    <n v="0"/>
    <n v="0"/>
    <n v="0"/>
    <n v="0"/>
    <n v="1"/>
    <n v="0"/>
    <n v="0"/>
    <n v="0"/>
    <n v="0"/>
    <n v="9"/>
    <n v="0"/>
    <n v="0"/>
    <n v="12"/>
    <n v="0.27250277596490491"/>
    <n v="1.3667838287404401"/>
    <n v="9.2588147734864096E-2"/>
    <n v="0.65156620358080031"/>
    <n v="0.27045191444879263"/>
    <n v="2.5260259477766707"/>
    <n v="0.36858985273641137"/>
  </r>
  <r>
    <n v="32"/>
    <n v="32"/>
    <s v="No"/>
    <n v="0"/>
    <s v="Travel_Frequently"/>
    <n v="1"/>
    <n v="0"/>
    <x v="1"/>
    <n v="1"/>
    <n v="0"/>
    <n v="13"/>
    <n v="13"/>
    <n v="3"/>
    <s v="Other"/>
    <n v="0"/>
    <n v="1"/>
    <n v="0"/>
    <n v="0"/>
    <n v="0"/>
    <n v="3"/>
    <s v="Female"/>
    <n v="1"/>
    <n v="77"/>
    <n v="2"/>
    <n v="1"/>
    <s v="Laboratory Technician"/>
    <n v="0"/>
    <n v="0"/>
    <n v="1"/>
    <n v="0"/>
    <n v="0"/>
    <n v="0"/>
    <n v="0"/>
    <n v="0"/>
    <n v="2"/>
    <s v="Married"/>
    <n v="0"/>
    <n v="1"/>
    <n v="2743"/>
    <n v="2743"/>
    <n v="1"/>
    <s v="No"/>
    <n v="0"/>
    <n v="20"/>
    <n v="4"/>
    <n v="3"/>
    <n v="1"/>
    <n v="2"/>
    <x v="16"/>
    <n v="2"/>
    <n v="3"/>
    <n v="2"/>
    <n v="2"/>
    <n v="2"/>
    <n v="2"/>
    <n v="2"/>
    <n v="2"/>
    <n v="2"/>
    <n v="2"/>
    <n v="0"/>
    <n v="0"/>
    <n v="0"/>
    <n v="1"/>
    <n v="0"/>
    <n v="0"/>
    <n v="1"/>
    <n v="0"/>
    <n v="0"/>
    <n v="2"/>
    <n v="0"/>
    <n v="0"/>
    <n v="2"/>
    <n v="0"/>
    <n v="0.79863334897540106"/>
    <n v="0.59502473559756086"/>
    <n v="1.192629766998377"/>
    <n v="0.81745575848020657"/>
    <n v="0.46966160880232483"/>
    <n v="0.53898283739188557"/>
    <n v="5.8265062631872602E-2"/>
  </r>
  <r>
    <n v="32"/>
    <n v="32"/>
    <s v="No"/>
    <n v="0"/>
    <s v="Travel_Frequently"/>
    <n v="1"/>
    <n v="0"/>
    <x v="1"/>
    <n v="1"/>
    <n v="0"/>
    <n v="2"/>
    <n v="2"/>
    <n v="2"/>
    <s v="Life Sciences"/>
    <n v="1"/>
    <n v="0"/>
    <n v="0"/>
    <n v="0"/>
    <n v="0"/>
    <n v="4"/>
    <s v="Female"/>
    <n v="1"/>
    <n v="38"/>
    <n v="3"/>
    <n v="2"/>
    <s v="Research Scientist"/>
    <n v="0"/>
    <n v="0"/>
    <n v="0"/>
    <n v="0"/>
    <n v="0"/>
    <n v="0"/>
    <n v="0"/>
    <n v="1"/>
    <n v="3"/>
    <s v="Single"/>
    <n v="1"/>
    <n v="0"/>
    <n v="4998"/>
    <n v="4998"/>
    <n v="4"/>
    <s v="Yes"/>
    <n v="1"/>
    <n v="14"/>
    <n v="3"/>
    <n v="4"/>
    <n v="0"/>
    <n v="10"/>
    <x v="1"/>
    <n v="2"/>
    <n v="3"/>
    <n v="8"/>
    <n v="8"/>
    <n v="7"/>
    <n v="0"/>
    <n v="0"/>
    <n v="7"/>
    <n v="7"/>
    <n v="14"/>
    <n v="0"/>
    <n v="0"/>
    <n v="1"/>
    <n v="0"/>
    <n v="0"/>
    <n v="1"/>
    <n v="0"/>
    <n v="0"/>
    <n v="0"/>
    <n v="7"/>
    <n v="0"/>
    <n v="0"/>
    <n v="10"/>
    <n v="0"/>
    <n v="0.31965698961380684"/>
    <n v="0.80626709607243985"/>
    <n v="0.1644554352117841"/>
    <n v="0.16189221622713135"/>
    <n v="0.88721318382472392"/>
    <n v="0.53898283739188557"/>
    <n v="0.67891464284095016"/>
  </r>
  <r>
    <n v="36"/>
    <n v="36"/>
    <s v="No"/>
    <n v="0"/>
    <s v="Travel_Rarely"/>
    <n v="0"/>
    <n v="1"/>
    <x v="1"/>
    <n v="1"/>
    <n v="0"/>
    <n v="1"/>
    <n v="1"/>
    <n v="3"/>
    <s v="Technical Degree"/>
    <n v="0"/>
    <n v="0"/>
    <n v="0"/>
    <n v="0"/>
    <n v="1"/>
    <n v="3"/>
    <s v="Female"/>
    <n v="1"/>
    <n v="77"/>
    <n v="1"/>
    <n v="3"/>
    <s v="Manufacturing Director"/>
    <n v="0"/>
    <n v="0"/>
    <n v="0"/>
    <n v="0"/>
    <n v="1"/>
    <n v="1"/>
    <n v="0"/>
    <n v="0"/>
    <n v="1"/>
    <s v="Divorced"/>
    <n v="0"/>
    <n v="0"/>
    <n v="10252"/>
    <n v="10252"/>
    <n v="2"/>
    <s v="Yes"/>
    <n v="1"/>
    <n v="21"/>
    <n v="4"/>
    <n v="3"/>
    <n v="1"/>
    <n v="17"/>
    <x v="6"/>
    <n v="2"/>
    <n v="3"/>
    <n v="7"/>
    <n v="7"/>
    <n v="7"/>
    <n v="7"/>
    <n v="7"/>
    <n v="7"/>
    <n v="7"/>
    <n v="21"/>
    <n v="1"/>
    <n v="0"/>
    <n v="0"/>
    <n v="0"/>
    <n v="0"/>
    <n v="1"/>
    <n v="0"/>
    <n v="0"/>
    <n v="0"/>
    <n v="7"/>
    <n v="0"/>
    <n v="0"/>
    <n v="17"/>
    <n v="0"/>
    <n v="0.79632606674353956"/>
    <n v="0.80626709607243985"/>
    <n v="0.73519710510148462"/>
    <n v="1.3324462240916321E-3"/>
    <n v="1.01056543769991"/>
    <n v="0.10112443951066327"/>
    <n v="1.4933588878908215"/>
  </r>
  <r>
    <n v="33"/>
    <n v="33"/>
    <s v="No"/>
    <n v="0"/>
    <s v="Travel_Rarely"/>
    <n v="0"/>
    <n v="1"/>
    <x v="1"/>
    <n v="1"/>
    <n v="0"/>
    <n v="9"/>
    <n v="9"/>
    <n v="3"/>
    <s v="Medical"/>
    <n v="0"/>
    <n v="0"/>
    <n v="1"/>
    <n v="0"/>
    <n v="0"/>
    <n v="1"/>
    <s v="Male"/>
    <n v="0"/>
    <n v="60"/>
    <n v="3"/>
    <n v="1"/>
    <s v="Research Scientist"/>
    <n v="0"/>
    <n v="0"/>
    <n v="0"/>
    <n v="0"/>
    <n v="0"/>
    <n v="0"/>
    <n v="0"/>
    <n v="1"/>
    <n v="4"/>
    <s v="Married"/>
    <n v="0"/>
    <n v="1"/>
    <n v="2781"/>
    <n v="2781"/>
    <n v="0"/>
    <s v="No"/>
    <n v="0"/>
    <n v="13"/>
    <n v="3"/>
    <n v="2"/>
    <n v="1"/>
    <n v="15"/>
    <x v="19"/>
    <n v="5"/>
    <n v="3"/>
    <n v="14"/>
    <n v="14"/>
    <n v="10"/>
    <n v="4"/>
    <n v="4"/>
    <n v="10"/>
    <n v="10"/>
    <n v="10"/>
    <n v="0"/>
    <n v="1"/>
    <n v="0"/>
    <n v="0"/>
    <n v="0"/>
    <n v="0"/>
    <n v="1"/>
    <n v="0"/>
    <n v="0"/>
    <n v="10"/>
    <n v="0"/>
    <n v="0"/>
    <n v="15"/>
    <n v="0"/>
    <n v="0.79056190699946294"/>
    <n v="1.6470421950744405"/>
    <n v="0.47815352215483642"/>
    <n v="1.1412401909344694"/>
    <n v="2.3747406698420157E-2"/>
    <n v="0.42951823792158"/>
    <n v="0.56238451757720498"/>
  </r>
  <r>
    <n v="40"/>
    <n v="40"/>
    <s v="No"/>
    <n v="0"/>
    <s v="Travel_Rarely"/>
    <n v="0"/>
    <n v="1"/>
    <x v="0"/>
    <n v="0"/>
    <n v="1"/>
    <n v="10"/>
    <n v="10"/>
    <n v="3"/>
    <s v="Technical Degree"/>
    <n v="0"/>
    <n v="0"/>
    <n v="0"/>
    <n v="0"/>
    <n v="1"/>
    <n v="2"/>
    <s v="Female"/>
    <n v="1"/>
    <n v="84"/>
    <n v="2"/>
    <n v="2"/>
    <s v="Sales Executive"/>
    <n v="0"/>
    <n v="1"/>
    <n v="0"/>
    <n v="0"/>
    <n v="0"/>
    <n v="0"/>
    <n v="0"/>
    <n v="0"/>
    <n v="2"/>
    <s v="Divorced"/>
    <n v="0"/>
    <n v="0"/>
    <n v="6852"/>
    <n v="6852"/>
    <n v="7"/>
    <s v="No"/>
    <n v="0"/>
    <n v="12"/>
    <n v="3"/>
    <n v="2"/>
    <n v="1"/>
    <n v="7"/>
    <x v="2"/>
    <n v="2"/>
    <n v="4"/>
    <n v="5"/>
    <n v="5"/>
    <n v="1"/>
    <n v="1"/>
    <n v="1"/>
    <n v="3"/>
    <n v="3"/>
    <n v="6"/>
    <n v="1"/>
    <n v="0"/>
    <n v="0"/>
    <n v="0"/>
    <n v="1"/>
    <n v="0"/>
    <n v="0"/>
    <n v="0"/>
    <n v="0"/>
    <n v="0"/>
    <n v="3"/>
    <n v="0"/>
    <n v="0"/>
    <n v="7"/>
    <n v="7.4144416264860874E-2"/>
    <n v="0.31476636926356072"/>
    <n v="0.55002080963175637"/>
    <n v="0.32778177112653761"/>
    <n v="9.9604847176766084E-2"/>
    <n v="0.33673395837055903"/>
    <n v="0.36858985273641137"/>
  </r>
  <r>
    <n v="25"/>
    <n v="25"/>
    <s v="No"/>
    <n v="0"/>
    <s v="Travel_Rarely"/>
    <n v="0"/>
    <n v="1"/>
    <x v="0"/>
    <n v="0"/>
    <n v="1"/>
    <n v="10"/>
    <n v="10"/>
    <n v="4"/>
    <s v="Life Sciences"/>
    <n v="1"/>
    <n v="0"/>
    <n v="0"/>
    <n v="0"/>
    <n v="0"/>
    <n v="3"/>
    <s v="Male"/>
    <n v="0"/>
    <n v="57"/>
    <n v="3"/>
    <n v="2"/>
    <s v="Sales Executive"/>
    <n v="0"/>
    <n v="1"/>
    <n v="0"/>
    <n v="0"/>
    <n v="0"/>
    <n v="0"/>
    <n v="0"/>
    <n v="0"/>
    <n v="4"/>
    <s v="Single"/>
    <n v="1"/>
    <n v="0"/>
    <n v="4950"/>
    <n v="4950"/>
    <n v="0"/>
    <s v="No"/>
    <n v="0"/>
    <n v="14"/>
    <n v="3"/>
    <n v="2"/>
    <n v="0"/>
    <n v="5"/>
    <x v="7"/>
    <n v="4"/>
    <n v="3"/>
    <n v="4"/>
    <n v="4"/>
    <n v="3"/>
    <n v="1"/>
    <n v="1"/>
    <n v="1"/>
    <n v="1"/>
    <n v="2"/>
    <n v="1"/>
    <n v="0"/>
    <n v="0"/>
    <n v="0"/>
    <n v="1"/>
    <n v="0"/>
    <n v="0"/>
    <n v="0"/>
    <n v="0"/>
    <n v="0"/>
    <n v="1"/>
    <n v="0"/>
    <n v="0"/>
    <n v="5"/>
    <n v="0.3298524952676235"/>
    <n v="0.87528310193156111"/>
    <n v="0.80706439257840468"/>
    <n v="0.49100643357776058"/>
    <n v="9.9604847176766084E-2"/>
    <n v="1.3052350336840246"/>
    <n v="0.36858985273641137"/>
  </r>
  <r>
    <n v="30"/>
    <n v="30"/>
    <s v="No"/>
    <n v="0"/>
    <s v="Travel_Rarely"/>
    <n v="0"/>
    <n v="1"/>
    <x v="1"/>
    <n v="1"/>
    <n v="0"/>
    <n v="1"/>
    <n v="1"/>
    <n v="3"/>
    <s v="Medical"/>
    <n v="0"/>
    <n v="0"/>
    <n v="1"/>
    <n v="0"/>
    <n v="0"/>
    <n v="4"/>
    <s v="Male"/>
    <n v="0"/>
    <n v="63"/>
    <n v="3"/>
    <n v="1"/>
    <s v="Research Scientist"/>
    <n v="0"/>
    <n v="0"/>
    <n v="0"/>
    <n v="0"/>
    <n v="0"/>
    <n v="0"/>
    <n v="0"/>
    <n v="1"/>
    <n v="2"/>
    <s v="Married"/>
    <n v="0"/>
    <n v="1"/>
    <n v="3579"/>
    <n v="3579"/>
    <n v="0"/>
    <s v="Yes"/>
    <n v="1"/>
    <n v="21"/>
    <n v="4"/>
    <n v="1"/>
    <n v="1"/>
    <n v="12"/>
    <x v="4"/>
    <n v="2"/>
    <n v="3"/>
    <n v="11"/>
    <n v="11"/>
    <n v="9"/>
    <n v="5"/>
    <n v="5"/>
    <n v="7"/>
    <n v="7"/>
    <n v="7"/>
    <n v="0"/>
    <n v="1"/>
    <n v="0"/>
    <n v="0"/>
    <n v="0"/>
    <n v="0"/>
    <n v="0"/>
    <n v="1"/>
    <n v="0"/>
    <n v="7"/>
    <n v="0"/>
    <n v="0"/>
    <n v="12"/>
    <n v="0"/>
    <n v="0.62106162550476129"/>
    <n v="0.80626709607243985"/>
    <n v="9.2588147734864096E-2"/>
    <n v="0.65156620358080031"/>
    <n v="1.01056543769991"/>
    <n v="0.75791203633249671"/>
    <n v="0.87270930768174382"/>
  </r>
  <r>
    <n v="42"/>
    <n v="42"/>
    <s v="No"/>
    <n v="0"/>
    <s v="Travel_Frequently"/>
    <n v="1"/>
    <n v="0"/>
    <x v="1"/>
    <n v="1"/>
    <n v="0"/>
    <n v="26"/>
    <n v="26"/>
    <n v="5"/>
    <s v="Medical"/>
    <n v="0"/>
    <n v="0"/>
    <n v="1"/>
    <n v="0"/>
    <n v="0"/>
    <n v="1"/>
    <s v="Female"/>
    <n v="1"/>
    <n v="60"/>
    <n v="3"/>
    <n v="3"/>
    <s v="Research Director"/>
    <n v="0"/>
    <n v="0"/>
    <n v="0"/>
    <n v="0"/>
    <n v="0"/>
    <n v="0"/>
    <n v="0"/>
    <n v="0"/>
    <n v="1"/>
    <s v="Married"/>
    <n v="0"/>
    <n v="1"/>
    <n v="13191"/>
    <n v="13191"/>
    <n v="3"/>
    <s v="Yes"/>
    <n v="1"/>
    <n v="17"/>
    <n v="3"/>
    <n v="3"/>
    <n v="0"/>
    <n v="20"/>
    <x v="25"/>
    <n v="6"/>
    <n v="3"/>
    <n v="1"/>
    <n v="1"/>
    <n v="0"/>
    <n v="0"/>
    <n v="0"/>
    <n v="0"/>
    <n v="0"/>
    <n v="0"/>
    <n v="0"/>
    <n v="0"/>
    <n v="0"/>
    <n v="1"/>
    <n v="0"/>
    <n v="0"/>
    <n v="0"/>
    <n v="1"/>
    <n v="0"/>
    <n v="0"/>
    <n v="0"/>
    <n v="0"/>
    <n v="20"/>
    <n v="0"/>
    <n v="1.4205883816720208"/>
    <n v="1.1555414682655611"/>
    <n v="1.120762479521457"/>
    <n v="0.9806804209314296"/>
    <n v="2.0732409091797459"/>
    <n v="0.55566315731117022"/>
    <n v="0.67891464284095016"/>
  </r>
  <r>
    <n v="35"/>
    <n v="35"/>
    <s v="No"/>
    <n v="0"/>
    <s v="Non-Travel"/>
    <n v="0"/>
    <n v="0"/>
    <x v="0"/>
    <n v="0"/>
    <n v="1"/>
    <n v="8"/>
    <n v="8"/>
    <n v="2"/>
    <s v="Marketing"/>
    <n v="0"/>
    <n v="0"/>
    <n v="0"/>
    <n v="1"/>
    <n v="0"/>
    <n v="3"/>
    <s v="Female"/>
    <n v="1"/>
    <n v="78"/>
    <n v="2"/>
    <n v="3"/>
    <s v="Sales Executive"/>
    <n v="0"/>
    <n v="1"/>
    <n v="0"/>
    <n v="0"/>
    <n v="0"/>
    <n v="0"/>
    <n v="0"/>
    <n v="0"/>
    <n v="4"/>
    <s v="Married"/>
    <n v="0"/>
    <n v="1"/>
    <n v="10377"/>
    <n v="10377"/>
    <n v="4"/>
    <s v="Yes"/>
    <n v="1"/>
    <n v="11"/>
    <n v="3"/>
    <n v="2"/>
    <n v="1"/>
    <n v="16"/>
    <x v="27"/>
    <n v="6"/>
    <n v="2"/>
    <n v="13"/>
    <n v="13"/>
    <n v="2"/>
    <n v="4"/>
    <n v="4"/>
    <n v="12"/>
    <n v="12"/>
    <n v="36"/>
    <n v="0"/>
    <n v="1"/>
    <n v="0"/>
    <n v="0"/>
    <n v="0"/>
    <n v="0"/>
    <n v="0"/>
    <n v="1"/>
    <n v="0"/>
    <n v="0"/>
    <n v="12"/>
    <n v="0"/>
    <n v="0"/>
    <n v="16"/>
    <n v="0.82287686271702043"/>
    <n v="2.2075589277424408"/>
    <n v="0.60667531362816052"/>
    <n v="0.97801552848324624"/>
    <n v="0.14709966057360641"/>
    <n v="0.21058903898096887"/>
    <n v="0.56238451757720498"/>
  </r>
  <r>
    <n v="27"/>
    <n v="27"/>
    <s v="No"/>
    <n v="0"/>
    <s v="Travel_Rarely"/>
    <n v="0"/>
    <n v="1"/>
    <x v="1"/>
    <n v="1"/>
    <n v="0"/>
    <n v="14"/>
    <n v="14"/>
    <n v="3"/>
    <s v="Life Sciences"/>
    <n v="1"/>
    <n v="0"/>
    <n v="0"/>
    <n v="0"/>
    <n v="0"/>
    <n v="1"/>
    <s v="Male"/>
    <n v="0"/>
    <n v="42"/>
    <n v="3"/>
    <n v="1"/>
    <s v="Research Scientist"/>
    <n v="0"/>
    <n v="0"/>
    <n v="0"/>
    <n v="0"/>
    <n v="0"/>
    <n v="0"/>
    <n v="0"/>
    <n v="1"/>
    <n v="1"/>
    <s v="Married"/>
    <n v="0"/>
    <n v="1"/>
    <n v="2235"/>
    <n v="2235"/>
    <n v="1"/>
    <s v="Yes"/>
    <n v="1"/>
    <n v="14"/>
    <n v="3"/>
    <n v="4"/>
    <n v="2"/>
    <n v="9"/>
    <x v="14"/>
    <n v="3"/>
    <n v="2"/>
    <n v="9"/>
    <n v="9"/>
    <n v="7"/>
    <n v="6"/>
    <n v="6"/>
    <n v="8"/>
    <n v="8"/>
    <n v="8"/>
    <n v="0"/>
    <n v="1"/>
    <n v="0"/>
    <n v="0"/>
    <n v="0"/>
    <n v="0"/>
    <n v="0"/>
    <n v="1"/>
    <n v="0"/>
    <n v="8"/>
    <n v="0"/>
    <n v="0"/>
    <n v="9"/>
    <n v="0"/>
    <n v="0.90653578381162725"/>
    <n v="1.08652546240644"/>
    <n v="0.29297722668510823"/>
    <n v="0.32511687867835437"/>
    <n v="0.59301386267751111"/>
    <n v="1.0863058347434136"/>
    <n v="1.1830340977862825"/>
  </r>
  <r>
    <n v="54"/>
    <n v="54"/>
    <s v="No"/>
    <n v="0"/>
    <s v="Travel_Frequently"/>
    <n v="1"/>
    <n v="0"/>
    <x v="1"/>
    <n v="1"/>
    <n v="0"/>
    <n v="1"/>
    <n v="1"/>
    <n v="4"/>
    <s v="Life Sciences"/>
    <n v="1"/>
    <n v="0"/>
    <n v="0"/>
    <n v="0"/>
    <n v="0"/>
    <n v="4"/>
    <s v="Female"/>
    <n v="1"/>
    <n v="53"/>
    <n v="3"/>
    <n v="3"/>
    <s v="Manufacturing Director"/>
    <n v="0"/>
    <n v="0"/>
    <n v="0"/>
    <n v="0"/>
    <n v="1"/>
    <n v="1"/>
    <n v="0"/>
    <n v="0"/>
    <n v="3"/>
    <s v="Divorced"/>
    <n v="0"/>
    <n v="0"/>
    <n v="10502"/>
    <n v="10502"/>
    <n v="7"/>
    <s v="No"/>
    <n v="0"/>
    <n v="17"/>
    <n v="3"/>
    <n v="1"/>
    <n v="1"/>
    <n v="33"/>
    <x v="33"/>
    <n v="2"/>
    <n v="1"/>
    <n v="5"/>
    <n v="5"/>
    <n v="4"/>
    <n v="1"/>
    <n v="1"/>
    <n v="4"/>
    <n v="4"/>
    <n v="12"/>
    <n v="0"/>
    <n v="0"/>
    <n v="1"/>
    <n v="0"/>
    <n v="1"/>
    <n v="0"/>
    <n v="0"/>
    <n v="0"/>
    <n v="0"/>
    <n v="4"/>
    <n v="0"/>
    <n v="0"/>
    <n v="33"/>
    <n v="0"/>
    <n v="0.84942765869050119"/>
    <n v="3.4508002929560584E-2"/>
    <n v="2.7915457686746699"/>
    <n v="0.32778177112653761"/>
    <n v="1.01056543769991"/>
    <n v="1.8692383509548371"/>
    <n v="0.36858985273641137"/>
  </r>
  <r>
    <n v="44"/>
    <n v="44"/>
    <s v="No"/>
    <n v="0"/>
    <s v="Travel_Rarely"/>
    <n v="0"/>
    <n v="1"/>
    <x v="1"/>
    <n v="1"/>
    <n v="0"/>
    <n v="2"/>
    <n v="2"/>
    <n v="1"/>
    <s v="Life Sciences"/>
    <n v="1"/>
    <n v="0"/>
    <n v="0"/>
    <n v="0"/>
    <n v="0"/>
    <n v="1"/>
    <s v="Female"/>
    <n v="1"/>
    <n v="72"/>
    <n v="4"/>
    <n v="1"/>
    <s v="Research Scientist"/>
    <n v="0"/>
    <n v="0"/>
    <n v="0"/>
    <n v="0"/>
    <n v="0"/>
    <n v="0"/>
    <n v="0"/>
    <n v="1"/>
    <n v="4"/>
    <s v="Married"/>
    <n v="0"/>
    <n v="1"/>
    <n v="2011"/>
    <n v="2011"/>
    <n v="1"/>
    <s v="No"/>
    <n v="0"/>
    <n v="13"/>
    <n v="3"/>
    <n v="4"/>
    <n v="1"/>
    <n v="10"/>
    <x v="1"/>
    <n v="5"/>
    <n v="3"/>
    <n v="10"/>
    <n v="10"/>
    <n v="5"/>
    <n v="7"/>
    <n v="7"/>
    <n v="7"/>
    <n v="7"/>
    <n v="7"/>
    <n v="0"/>
    <n v="1"/>
    <n v="0"/>
    <n v="0"/>
    <n v="0"/>
    <n v="0"/>
    <n v="1"/>
    <n v="0"/>
    <n v="0"/>
    <n v="7"/>
    <n v="0"/>
    <n v="0"/>
    <n v="10"/>
    <n v="0"/>
    <n v="0.95411481019610489"/>
    <n v="0.80626709607243985"/>
    <n v="0.1644554352117841"/>
    <n v="0.48834154112957734"/>
    <n v="0.88721318382472392"/>
    <n v="0.77459235625178136"/>
    <n v="1.4933588878908215"/>
  </r>
  <r>
    <n v="19"/>
    <n v="19"/>
    <s v="Yes"/>
    <n v="1"/>
    <s v="Non-Travel"/>
    <n v="0"/>
    <n v="0"/>
    <x v="1"/>
    <n v="1"/>
    <n v="0"/>
    <n v="10"/>
    <n v="10"/>
    <n v="3"/>
    <s v="Medical"/>
    <n v="0"/>
    <n v="0"/>
    <n v="1"/>
    <n v="0"/>
    <n v="0"/>
    <n v="1"/>
    <s v="Female"/>
    <n v="1"/>
    <n v="96"/>
    <n v="2"/>
    <n v="1"/>
    <s v="Research Scientist"/>
    <n v="0"/>
    <n v="0"/>
    <n v="0"/>
    <n v="0"/>
    <n v="0"/>
    <n v="0"/>
    <n v="0"/>
    <n v="1"/>
    <n v="2"/>
    <s v="Single"/>
    <n v="1"/>
    <n v="0"/>
    <n v="1859"/>
    <n v="1859"/>
    <n v="1"/>
    <s v="Yes"/>
    <n v="1"/>
    <n v="25"/>
    <n v="4"/>
    <n v="2"/>
    <n v="0"/>
    <n v="1"/>
    <x v="5"/>
    <n v="2"/>
    <n v="4"/>
    <n v="1"/>
    <n v="1"/>
    <n v="1"/>
    <n v="0"/>
    <n v="0"/>
    <n v="0"/>
    <n v="0"/>
    <n v="0"/>
    <n v="1"/>
    <n v="0"/>
    <n v="0"/>
    <n v="0"/>
    <n v="0"/>
    <n v="1"/>
    <n v="0"/>
    <n v="0"/>
    <n v="0"/>
    <n v="0"/>
    <n v="0"/>
    <n v="0"/>
    <n v="1"/>
    <n v="0"/>
    <n v="0.98640057809985759"/>
    <n v="1.1555414682655611"/>
    <n v="1.3211515584717011"/>
    <n v="0.9806804209314296"/>
    <n v="9.9604847176766084E-2"/>
    <n v="1.9620226305058581"/>
    <n v="0.67891464284095016"/>
  </r>
  <r>
    <n v="29"/>
    <n v="29"/>
    <s v="No"/>
    <n v="0"/>
    <s v="Travel_Rarely"/>
    <n v="0"/>
    <n v="1"/>
    <x v="1"/>
    <n v="1"/>
    <n v="0"/>
    <n v="1"/>
    <n v="1"/>
    <n v="3"/>
    <s v="Life Sciences"/>
    <n v="1"/>
    <n v="0"/>
    <n v="0"/>
    <n v="0"/>
    <n v="0"/>
    <n v="1"/>
    <s v="Female"/>
    <n v="1"/>
    <n v="97"/>
    <n v="3"/>
    <n v="1"/>
    <s v="Research Scientist"/>
    <n v="0"/>
    <n v="0"/>
    <n v="0"/>
    <n v="0"/>
    <n v="0"/>
    <n v="0"/>
    <n v="0"/>
    <n v="1"/>
    <n v="4"/>
    <s v="Divorced"/>
    <n v="0"/>
    <n v="0"/>
    <n v="3760"/>
    <n v="3760"/>
    <n v="1"/>
    <s v="No"/>
    <n v="0"/>
    <n v="15"/>
    <n v="3"/>
    <n v="1"/>
    <n v="3"/>
    <n v="3"/>
    <x v="8"/>
    <n v="5"/>
    <n v="3"/>
    <n v="3"/>
    <n v="3"/>
    <n v="2"/>
    <n v="1"/>
    <n v="1"/>
    <n v="2"/>
    <n v="2"/>
    <n v="2"/>
    <n v="1"/>
    <n v="0"/>
    <n v="0"/>
    <n v="0"/>
    <n v="1"/>
    <n v="0"/>
    <n v="0"/>
    <n v="0"/>
    <n v="0"/>
    <n v="2"/>
    <n v="0"/>
    <n v="0"/>
    <n v="3"/>
    <n v="0"/>
    <n v="0.58261607293516104"/>
    <n v="0.59502473559756086"/>
    <n v="1.0641079755250529"/>
    <n v="0.65423109602898355"/>
    <n v="1.01056543769991"/>
    <n v="0.86737663580280233"/>
    <n v="0.36858985273641137"/>
  </r>
  <r>
    <n v="54"/>
    <n v="54"/>
    <s v="No"/>
    <n v="0"/>
    <s v="Travel_Rarely"/>
    <n v="0"/>
    <n v="1"/>
    <x v="1"/>
    <n v="1"/>
    <n v="0"/>
    <n v="3"/>
    <n v="3"/>
    <n v="3"/>
    <s v="Life Sciences"/>
    <n v="1"/>
    <n v="0"/>
    <n v="0"/>
    <n v="0"/>
    <n v="0"/>
    <n v="4"/>
    <s v="Male"/>
    <n v="0"/>
    <n v="85"/>
    <n v="3"/>
    <n v="4"/>
    <s v="Research Director"/>
    <n v="0"/>
    <n v="0"/>
    <n v="0"/>
    <n v="0"/>
    <n v="0"/>
    <n v="0"/>
    <n v="0"/>
    <n v="0"/>
    <n v="4"/>
    <s v="Married"/>
    <n v="0"/>
    <n v="1"/>
    <n v="17779"/>
    <n v="17779"/>
    <n v="3"/>
    <s v="No"/>
    <n v="0"/>
    <n v="14"/>
    <n v="3"/>
    <n v="1"/>
    <n v="0"/>
    <n v="36"/>
    <x v="28"/>
    <n v="2"/>
    <n v="3"/>
    <n v="10"/>
    <n v="10"/>
    <n v="9"/>
    <n v="0"/>
    <n v="0"/>
    <n v="9"/>
    <n v="9"/>
    <n v="36"/>
    <n v="0"/>
    <n v="1"/>
    <n v="0"/>
    <n v="0"/>
    <n v="0"/>
    <n v="0"/>
    <n v="1"/>
    <n v="0"/>
    <n v="0"/>
    <n v="9"/>
    <n v="0"/>
    <n v="0"/>
    <n v="35"/>
    <n v="0"/>
    <n v="2.3951087970826617"/>
    <n v="1.3667838287404401"/>
    <n v="3.1771111430946424"/>
    <n v="0.48834154112957734"/>
    <n v="0.76386092994953758"/>
    <n v="1.8692383509548371"/>
    <n v="0.67891464284095016"/>
  </r>
  <r>
    <n v="31"/>
    <n v="31"/>
    <s v="No"/>
    <n v="0"/>
    <s v="Travel_Rarely"/>
    <n v="0"/>
    <n v="1"/>
    <x v="1"/>
    <n v="1"/>
    <n v="0"/>
    <n v="11"/>
    <n v="11"/>
    <n v="2"/>
    <s v="Medical"/>
    <n v="0"/>
    <n v="0"/>
    <n v="1"/>
    <n v="0"/>
    <n v="0"/>
    <n v="3"/>
    <s v="Male"/>
    <n v="0"/>
    <n v="80"/>
    <n v="3"/>
    <n v="2"/>
    <s v="Healthcare Representative"/>
    <n v="1"/>
    <n v="0"/>
    <n v="0"/>
    <n v="0"/>
    <n v="0"/>
    <n v="0"/>
    <n v="0"/>
    <n v="0"/>
    <n v="1"/>
    <s v="Married"/>
    <n v="0"/>
    <n v="1"/>
    <n v="6833"/>
    <n v="6833"/>
    <n v="1"/>
    <s v="Yes"/>
    <n v="1"/>
    <n v="12"/>
    <n v="3"/>
    <n v="4"/>
    <n v="0"/>
    <n v="6"/>
    <x v="3"/>
    <n v="2"/>
    <n v="2"/>
    <n v="6"/>
    <n v="6"/>
    <n v="5"/>
    <n v="0"/>
    <n v="0"/>
    <n v="1"/>
    <n v="1"/>
    <n v="2"/>
    <n v="0"/>
    <n v="1"/>
    <n v="0"/>
    <n v="0"/>
    <n v="0"/>
    <n v="0"/>
    <n v="0"/>
    <n v="1"/>
    <n v="0"/>
    <n v="1"/>
    <n v="0"/>
    <n v="0"/>
    <n v="6"/>
    <n v="0"/>
    <n v="7.0108695276891786E-2"/>
    <n v="0.87528310193156111"/>
    <n v="0.67854260110508058"/>
    <n v="0.16455710867531462"/>
    <n v="0.22295710105195232"/>
    <n v="0.6484474368621912"/>
    <n v="0.67891464284095016"/>
  </r>
  <r>
    <n v="31"/>
    <n v="31"/>
    <s v="No"/>
    <n v="0"/>
    <s v="Travel_Rarely"/>
    <n v="0"/>
    <n v="1"/>
    <x v="1"/>
    <n v="1"/>
    <n v="0"/>
    <n v="24"/>
    <n v="24"/>
    <n v="3"/>
    <s v="Medical"/>
    <n v="0"/>
    <n v="0"/>
    <n v="1"/>
    <n v="0"/>
    <n v="0"/>
    <n v="3"/>
    <s v="Female"/>
    <n v="1"/>
    <n v="96"/>
    <n v="2"/>
    <n v="2"/>
    <s v="Healthcare Representative"/>
    <n v="1"/>
    <n v="0"/>
    <n v="0"/>
    <n v="0"/>
    <n v="0"/>
    <n v="0"/>
    <n v="0"/>
    <n v="0"/>
    <n v="1"/>
    <s v="Single"/>
    <n v="1"/>
    <n v="0"/>
    <n v="6812"/>
    <n v="6812"/>
    <n v="1"/>
    <s v="No"/>
    <n v="0"/>
    <n v="19"/>
    <n v="3"/>
    <n v="2"/>
    <n v="0"/>
    <n v="10"/>
    <x v="1"/>
    <n v="2"/>
    <n v="3"/>
    <n v="10"/>
    <n v="10"/>
    <n v="9"/>
    <n v="1"/>
    <n v="1"/>
    <n v="8"/>
    <n v="8"/>
    <n v="16"/>
    <n v="1"/>
    <n v="0"/>
    <n v="0"/>
    <n v="0"/>
    <n v="1"/>
    <n v="0"/>
    <n v="0"/>
    <n v="0"/>
    <n v="0"/>
    <n v="8"/>
    <n v="0"/>
    <n v="0"/>
    <n v="10"/>
    <n v="0"/>
    <n v="6.5648161553347004E-2"/>
    <n v="1.08652546240644"/>
    <n v="0.1644554352117841"/>
    <n v="0.48834154112957734"/>
    <n v="1.8265364014293735"/>
    <n v="0.6484474368621912"/>
    <n v="0.36858985273641137"/>
  </r>
  <r>
    <n v="59"/>
    <n v="58.309999999999945"/>
    <s v="No"/>
    <n v="0"/>
    <s v="Travel_Rarely"/>
    <n v="0"/>
    <n v="1"/>
    <x v="0"/>
    <n v="0"/>
    <n v="1"/>
    <n v="3"/>
    <n v="3"/>
    <n v="3"/>
    <s v="Life Sciences"/>
    <n v="1"/>
    <n v="0"/>
    <n v="0"/>
    <n v="0"/>
    <n v="0"/>
    <n v="3"/>
    <s v="Female"/>
    <n v="1"/>
    <n v="48"/>
    <n v="2"/>
    <n v="2"/>
    <s v="Sales Executive"/>
    <n v="0"/>
    <n v="1"/>
    <n v="0"/>
    <n v="0"/>
    <n v="0"/>
    <n v="0"/>
    <n v="0"/>
    <n v="0"/>
    <n v="4"/>
    <s v="Single"/>
    <n v="1"/>
    <n v="0"/>
    <n v="5171"/>
    <n v="5171"/>
    <n v="5"/>
    <s v="No"/>
    <n v="0"/>
    <n v="17"/>
    <n v="3"/>
    <n v="4"/>
    <n v="0"/>
    <n v="13"/>
    <x v="10"/>
    <n v="2"/>
    <n v="3"/>
    <n v="6"/>
    <n v="6"/>
    <n v="1"/>
    <n v="0"/>
    <n v="0"/>
    <n v="5"/>
    <n v="5"/>
    <n v="10"/>
    <n v="1"/>
    <n v="0"/>
    <n v="0"/>
    <n v="0"/>
    <n v="1"/>
    <n v="0"/>
    <n v="0"/>
    <n v="0"/>
    <n v="0"/>
    <n v="0"/>
    <n v="5"/>
    <n v="0"/>
    <n v="0"/>
    <n v="13"/>
    <n v="0.28291068798650937"/>
    <n v="0.24575036340443959"/>
    <n v="0.22110993920818819"/>
    <n v="0.16455710867531462"/>
    <n v="0.76386092994953758"/>
    <n v="2.4165613483063648"/>
    <n v="0.67891464284095016"/>
  </r>
  <r>
    <n v="43"/>
    <n v="43"/>
    <s v="No"/>
    <n v="0"/>
    <s v="Travel_Rarely"/>
    <n v="0"/>
    <n v="1"/>
    <x v="1"/>
    <n v="1"/>
    <n v="0"/>
    <n v="3"/>
    <n v="3"/>
    <n v="3"/>
    <s v="Life Sciences"/>
    <n v="1"/>
    <n v="0"/>
    <n v="0"/>
    <n v="0"/>
    <n v="0"/>
    <n v="3"/>
    <s v="Male"/>
    <n v="0"/>
    <n v="96"/>
    <n v="1"/>
    <n v="5"/>
    <s v="Research Director"/>
    <n v="0"/>
    <n v="0"/>
    <n v="0"/>
    <n v="0"/>
    <n v="0"/>
    <n v="0"/>
    <n v="0"/>
    <n v="0"/>
    <n v="4"/>
    <s v="Married"/>
    <n v="0"/>
    <n v="1"/>
    <n v="19740"/>
    <n v="19626.310000000001"/>
    <n v="3"/>
    <s v="No"/>
    <n v="0"/>
    <n v="14"/>
    <n v="3"/>
    <n v="2"/>
    <n v="1"/>
    <n v="25"/>
    <x v="24"/>
    <n v="2"/>
    <n v="3"/>
    <n v="8"/>
    <n v="8"/>
    <n v="7"/>
    <n v="0"/>
    <n v="0"/>
    <n v="7"/>
    <n v="7"/>
    <n v="35"/>
    <n v="0"/>
    <n v="1"/>
    <n v="0"/>
    <n v="0"/>
    <n v="0"/>
    <n v="0"/>
    <n v="1"/>
    <n v="0"/>
    <n v="0"/>
    <n v="7"/>
    <n v="0"/>
    <n v="0"/>
    <n v="25"/>
    <n v="0"/>
    <n v="2.8116376843146287"/>
    <n v="0.80626709607243985"/>
    <n v="1.7633714368880775"/>
    <n v="0.16189221622713135"/>
    <n v="0.76386092994953758"/>
    <n v="0.66512775678147573"/>
    <n v="0.67891464284095016"/>
  </r>
  <r>
    <n v="49"/>
    <n v="49"/>
    <s v="No"/>
    <n v="0"/>
    <s v="Travel_Rarely"/>
    <n v="0"/>
    <n v="1"/>
    <x v="1"/>
    <n v="1"/>
    <n v="0"/>
    <n v="4"/>
    <n v="4"/>
    <n v="2"/>
    <s v="Medical"/>
    <n v="0"/>
    <n v="0"/>
    <n v="1"/>
    <n v="0"/>
    <n v="0"/>
    <n v="1"/>
    <s v="Male"/>
    <n v="0"/>
    <n v="85"/>
    <n v="2"/>
    <n v="5"/>
    <s v="Manager"/>
    <n v="0"/>
    <n v="0"/>
    <n v="0"/>
    <n v="1"/>
    <n v="0"/>
    <n v="0"/>
    <n v="0"/>
    <n v="0"/>
    <n v="3"/>
    <s v="Married"/>
    <n v="0"/>
    <n v="1"/>
    <n v="18711"/>
    <n v="18711"/>
    <n v="2"/>
    <s v="No"/>
    <n v="0"/>
    <n v="13"/>
    <n v="3"/>
    <n v="3"/>
    <n v="1"/>
    <n v="23"/>
    <x v="17"/>
    <n v="2"/>
    <n v="4"/>
    <n v="1"/>
    <n v="1"/>
    <n v="0"/>
    <n v="0"/>
    <n v="0"/>
    <n v="0"/>
    <n v="0"/>
    <n v="0"/>
    <n v="0"/>
    <n v="1"/>
    <n v="0"/>
    <n v="0"/>
    <n v="0"/>
    <n v="0"/>
    <n v="1"/>
    <n v="0"/>
    <n v="0"/>
    <n v="0"/>
    <n v="0"/>
    <n v="0"/>
    <n v="23"/>
    <n v="0"/>
    <n v="2.5930715318609345"/>
    <n v="1.1555414682655611"/>
    <n v="1.5063278539414293"/>
    <n v="0.9806804209314296"/>
    <n v="0.64050867607435136"/>
    <n v="1.3219153536033093"/>
    <n v="0.67891464284095016"/>
  </r>
  <r>
    <n v="36"/>
    <n v="36"/>
    <s v="No"/>
    <n v="0"/>
    <s v="Travel_Frequently"/>
    <n v="1"/>
    <n v="0"/>
    <x v="1"/>
    <n v="1"/>
    <n v="0"/>
    <n v="3"/>
    <n v="3"/>
    <n v="3"/>
    <s v="Technical Degree"/>
    <n v="0"/>
    <n v="0"/>
    <n v="0"/>
    <n v="0"/>
    <n v="1"/>
    <n v="3"/>
    <s v="Male"/>
    <n v="0"/>
    <n v="46"/>
    <n v="3"/>
    <n v="1"/>
    <s v="Research Scientist"/>
    <n v="0"/>
    <n v="0"/>
    <n v="0"/>
    <n v="0"/>
    <n v="0"/>
    <n v="0"/>
    <n v="0"/>
    <n v="1"/>
    <n v="2"/>
    <s v="Married"/>
    <n v="0"/>
    <n v="1"/>
    <n v="3692"/>
    <n v="3692"/>
    <n v="1"/>
    <s v="No"/>
    <n v="0"/>
    <n v="12"/>
    <n v="3"/>
    <n v="3"/>
    <n v="0"/>
    <n v="12"/>
    <x v="4"/>
    <n v="2"/>
    <n v="2"/>
    <n v="11"/>
    <n v="11"/>
    <n v="10"/>
    <n v="0"/>
    <n v="0"/>
    <n v="7"/>
    <n v="7"/>
    <n v="7"/>
    <n v="0"/>
    <n v="0"/>
    <n v="0"/>
    <n v="1"/>
    <n v="0"/>
    <n v="0"/>
    <n v="1"/>
    <n v="0"/>
    <n v="0"/>
    <n v="7"/>
    <n v="0"/>
    <n v="0"/>
    <n v="12"/>
    <n v="0"/>
    <n v="0.59705970594473456"/>
    <n v="0.80626709607243985"/>
    <n v="9.2588147734864096E-2"/>
    <n v="0.65156620358080031"/>
    <n v="0.76386092994953758"/>
    <n v="0.10112443951066327"/>
    <n v="0.67891464284095016"/>
  </r>
  <r>
    <n v="48"/>
    <n v="48"/>
    <s v="No"/>
    <n v="0"/>
    <s v="Travel_Rarely"/>
    <n v="0"/>
    <n v="1"/>
    <x v="1"/>
    <n v="1"/>
    <n v="0"/>
    <n v="2"/>
    <n v="2"/>
    <n v="2"/>
    <s v="Technical Degree"/>
    <n v="0"/>
    <n v="0"/>
    <n v="0"/>
    <n v="0"/>
    <n v="1"/>
    <n v="4"/>
    <s v="Male"/>
    <n v="0"/>
    <n v="76"/>
    <n v="4"/>
    <n v="1"/>
    <s v="Laboratory Technician"/>
    <n v="0"/>
    <n v="0"/>
    <n v="1"/>
    <n v="0"/>
    <n v="0"/>
    <n v="0"/>
    <n v="0"/>
    <n v="0"/>
    <n v="2"/>
    <s v="Single"/>
    <n v="1"/>
    <n v="0"/>
    <n v="2559"/>
    <n v="2559"/>
    <n v="5"/>
    <s v="No"/>
    <n v="0"/>
    <n v="11"/>
    <n v="3"/>
    <n v="3"/>
    <n v="0"/>
    <n v="7"/>
    <x v="2"/>
    <n v="4"/>
    <n v="2"/>
    <n v="1"/>
    <n v="1"/>
    <n v="0"/>
    <n v="0"/>
    <n v="0"/>
    <n v="0"/>
    <n v="0"/>
    <n v="0"/>
    <n v="1"/>
    <n v="0"/>
    <n v="0"/>
    <n v="0"/>
    <n v="1"/>
    <n v="0"/>
    <n v="0"/>
    <n v="0"/>
    <n v="0"/>
    <n v="0"/>
    <n v="0"/>
    <n v="0"/>
    <n v="7"/>
    <n v="0"/>
    <n v="0.83771612064836487"/>
    <n v="1.1555414682655611"/>
    <n v="0.55002080963175637"/>
    <n v="0.9806804209314296"/>
    <n v="0.88721318382472392"/>
    <n v="1.2124507541330036"/>
    <n v="0.67891464284095016"/>
  </r>
  <r>
    <n v="27"/>
    <n v="27"/>
    <s v="No"/>
    <n v="0"/>
    <s v="Travel_Rarely"/>
    <n v="0"/>
    <n v="1"/>
    <x v="1"/>
    <n v="1"/>
    <n v="0"/>
    <n v="4"/>
    <n v="4"/>
    <n v="2"/>
    <s v="Life Sciences"/>
    <n v="1"/>
    <n v="0"/>
    <n v="0"/>
    <n v="0"/>
    <n v="0"/>
    <n v="1"/>
    <s v="Male"/>
    <n v="0"/>
    <n v="76"/>
    <n v="3"/>
    <n v="1"/>
    <s v="Research Scientist"/>
    <n v="0"/>
    <n v="0"/>
    <n v="0"/>
    <n v="0"/>
    <n v="0"/>
    <n v="0"/>
    <n v="0"/>
    <n v="1"/>
    <n v="3"/>
    <s v="Divorced"/>
    <n v="0"/>
    <n v="0"/>
    <n v="2517"/>
    <n v="2517"/>
    <n v="1"/>
    <s v="No"/>
    <n v="0"/>
    <n v="11"/>
    <n v="3"/>
    <n v="2"/>
    <n v="3"/>
    <n v="5"/>
    <x v="7"/>
    <n v="2"/>
    <n v="3"/>
    <n v="5"/>
    <n v="5"/>
    <n v="3"/>
    <n v="0"/>
    <n v="0"/>
    <n v="3"/>
    <n v="3"/>
    <n v="3"/>
    <n v="1"/>
    <n v="0"/>
    <n v="0"/>
    <n v="0"/>
    <n v="1"/>
    <n v="0"/>
    <n v="0"/>
    <n v="0"/>
    <n v="0"/>
    <n v="3"/>
    <n v="0"/>
    <n v="0"/>
    <n v="5"/>
    <n v="0"/>
    <n v="0.84663718809545441"/>
    <n v="0.31476636926356072"/>
    <n v="0.80706439257840468"/>
    <n v="0.32778177112653761"/>
    <n v="0.64050867607435136"/>
    <n v="1.0863058347434136"/>
    <n v="0.67891464284095016"/>
  </r>
  <r>
    <n v="29"/>
    <n v="29"/>
    <s v="No"/>
    <n v="0"/>
    <s v="Travel_Rarely"/>
    <n v="0"/>
    <n v="1"/>
    <x v="1"/>
    <n v="1"/>
    <n v="0"/>
    <n v="7"/>
    <n v="7"/>
    <n v="3"/>
    <s v="Life Sciences"/>
    <n v="1"/>
    <n v="0"/>
    <n v="0"/>
    <n v="0"/>
    <n v="0"/>
    <n v="3"/>
    <s v="Male"/>
    <n v="0"/>
    <n v="82"/>
    <n v="3"/>
    <n v="2"/>
    <s v="Healthcare Representative"/>
    <n v="1"/>
    <n v="0"/>
    <n v="0"/>
    <n v="0"/>
    <n v="0"/>
    <n v="0"/>
    <n v="0"/>
    <n v="0"/>
    <n v="4"/>
    <s v="Divorced"/>
    <n v="0"/>
    <n v="0"/>
    <n v="6623"/>
    <n v="6623"/>
    <n v="1"/>
    <s v="Yes"/>
    <n v="1"/>
    <n v="11"/>
    <n v="3"/>
    <n v="2"/>
    <n v="2"/>
    <n v="6"/>
    <x v="3"/>
    <n v="2"/>
    <n v="3"/>
    <n v="6"/>
    <n v="6"/>
    <n v="0"/>
    <n v="1"/>
    <n v="1"/>
    <n v="0"/>
    <n v="0"/>
    <n v="0"/>
    <n v="1"/>
    <n v="0"/>
    <n v="0"/>
    <n v="0"/>
    <n v="0"/>
    <n v="1"/>
    <n v="0"/>
    <n v="0"/>
    <n v="0"/>
    <n v="0"/>
    <n v="0"/>
    <n v="0"/>
    <n v="6"/>
    <n v="0"/>
    <n v="2.5503358041443984E-2"/>
    <n v="1.1555414682655611"/>
    <n v="0.67854260110508058"/>
    <n v="0.16455710867531462"/>
    <n v="0.27045191444879263"/>
    <n v="0.86737663580280233"/>
    <n v="0.36858985273641137"/>
  </r>
  <r>
    <n v="48"/>
    <n v="48"/>
    <s v="No"/>
    <n v="0"/>
    <s v="Travel_Rarely"/>
    <n v="0"/>
    <n v="1"/>
    <x v="1"/>
    <n v="1"/>
    <n v="0"/>
    <n v="1"/>
    <n v="1"/>
    <n v="3"/>
    <s v="Life Sciences"/>
    <n v="1"/>
    <n v="0"/>
    <n v="0"/>
    <n v="0"/>
    <n v="0"/>
    <n v="4"/>
    <s v="Male"/>
    <n v="0"/>
    <n v="76"/>
    <n v="2"/>
    <n v="5"/>
    <s v="Research Director"/>
    <n v="0"/>
    <n v="0"/>
    <n v="0"/>
    <n v="0"/>
    <n v="0"/>
    <n v="0"/>
    <n v="0"/>
    <n v="0"/>
    <n v="4"/>
    <s v="Single"/>
    <n v="1"/>
    <n v="0"/>
    <n v="18265"/>
    <n v="18265"/>
    <n v="6"/>
    <s v="No"/>
    <n v="0"/>
    <n v="12"/>
    <n v="3"/>
    <n v="3"/>
    <n v="0"/>
    <n v="25"/>
    <x v="24"/>
    <n v="3"/>
    <n v="4"/>
    <n v="1"/>
    <n v="1"/>
    <n v="0"/>
    <n v="0"/>
    <n v="0"/>
    <n v="0"/>
    <n v="0"/>
    <n v="0"/>
    <n v="1"/>
    <n v="0"/>
    <n v="0"/>
    <n v="0"/>
    <n v="1"/>
    <n v="0"/>
    <n v="0"/>
    <n v="0"/>
    <n v="0"/>
    <n v="0"/>
    <n v="0"/>
    <n v="0"/>
    <n v="25"/>
    <n v="0"/>
    <n v="2.498338291827555"/>
    <n v="1.1555414682655611"/>
    <n v="1.7633714368880775"/>
    <n v="0.9806804209314296"/>
    <n v="1.01056543769991"/>
    <n v="1.2124507541330036"/>
    <n v="0.67891464284095016"/>
  </r>
  <r>
    <n v="29"/>
    <n v="29"/>
    <s v="No"/>
    <n v="0"/>
    <s v="Travel_Rarely"/>
    <n v="0"/>
    <n v="1"/>
    <x v="1"/>
    <n v="1"/>
    <n v="0"/>
    <n v="1"/>
    <n v="1"/>
    <n v="3"/>
    <s v="Life Sciences"/>
    <n v="1"/>
    <n v="0"/>
    <n v="0"/>
    <n v="0"/>
    <n v="0"/>
    <n v="4"/>
    <s v="Female"/>
    <n v="1"/>
    <n v="87"/>
    <n v="2"/>
    <n v="4"/>
    <s v="Research Director"/>
    <n v="0"/>
    <n v="0"/>
    <n v="0"/>
    <n v="0"/>
    <n v="0"/>
    <n v="0"/>
    <n v="0"/>
    <n v="0"/>
    <n v="4"/>
    <s v="Divorced"/>
    <n v="0"/>
    <n v="0"/>
    <n v="16124"/>
    <n v="16124"/>
    <n v="3"/>
    <s v="No"/>
    <n v="0"/>
    <n v="14"/>
    <n v="3"/>
    <n v="2"/>
    <n v="2"/>
    <n v="9"/>
    <x v="14"/>
    <n v="2"/>
    <n v="2"/>
    <n v="7"/>
    <n v="7"/>
    <n v="7"/>
    <n v="1"/>
    <n v="1"/>
    <n v="7"/>
    <n v="7"/>
    <n v="28"/>
    <n v="1"/>
    <n v="0"/>
    <n v="0"/>
    <n v="0"/>
    <n v="1"/>
    <n v="0"/>
    <n v="0"/>
    <n v="0"/>
    <n v="0"/>
    <n v="7"/>
    <n v="0"/>
    <n v="0"/>
    <n v="9"/>
    <n v="0"/>
    <n v="2.0435762583937751"/>
    <n v="0.80626709607243985"/>
    <n v="0.29297722668510823"/>
    <n v="1.3324462240916321E-3"/>
    <n v="1.01056543769991"/>
    <n v="0.86737663580280233"/>
    <n v="0.36858985273641137"/>
  </r>
  <r>
    <n v="34"/>
    <n v="34"/>
    <s v="No"/>
    <n v="0"/>
    <s v="Travel_Rarely"/>
    <n v="0"/>
    <n v="1"/>
    <x v="1"/>
    <n v="1"/>
    <n v="0"/>
    <n v="20"/>
    <n v="20"/>
    <n v="3"/>
    <s v="Technical Degree"/>
    <n v="0"/>
    <n v="0"/>
    <n v="0"/>
    <n v="0"/>
    <n v="1"/>
    <n v="3"/>
    <s v="Female"/>
    <n v="1"/>
    <n v="89"/>
    <n v="4"/>
    <n v="1"/>
    <s v="Research Scientist"/>
    <n v="0"/>
    <n v="0"/>
    <n v="0"/>
    <n v="0"/>
    <n v="0"/>
    <n v="0"/>
    <n v="0"/>
    <n v="1"/>
    <n v="3"/>
    <s v="Married"/>
    <n v="0"/>
    <n v="1"/>
    <n v="2585"/>
    <n v="2585"/>
    <n v="0"/>
    <s v="No"/>
    <n v="0"/>
    <n v="17"/>
    <n v="3"/>
    <n v="4"/>
    <n v="0"/>
    <n v="2"/>
    <x v="16"/>
    <n v="5"/>
    <n v="2"/>
    <n v="1"/>
    <n v="1"/>
    <n v="0"/>
    <n v="0"/>
    <n v="0"/>
    <n v="0"/>
    <n v="0"/>
    <n v="0"/>
    <n v="0"/>
    <n v="1"/>
    <n v="0"/>
    <n v="0"/>
    <n v="0"/>
    <n v="0"/>
    <n v="1"/>
    <n v="0"/>
    <n v="0"/>
    <n v="0"/>
    <n v="0"/>
    <n v="0"/>
    <n v="2"/>
    <n v="0"/>
    <n v="0.83219355508588089"/>
    <n v="1.1555414682655611"/>
    <n v="1.192629766998377"/>
    <n v="0.9806804209314296"/>
    <n v="1.3331273859286286"/>
    <n v="0.32005363845127444"/>
    <n v="0.67891464284095016"/>
  </r>
  <r>
    <n v="44"/>
    <n v="44"/>
    <s v="No"/>
    <n v="0"/>
    <s v="Travel_Rarely"/>
    <n v="0"/>
    <n v="1"/>
    <x v="0"/>
    <n v="0"/>
    <n v="1"/>
    <n v="5"/>
    <n v="5"/>
    <n v="3"/>
    <s v="Marketing"/>
    <n v="0"/>
    <n v="0"/>
    <n v="0"/>
    <n v="1"/>
    <n v="0"/>
    <n v="2"/>
    <s v="Male"/>
    <n v="0"/>
    <n v="88"/>
    <n v="3"/>
    <n v="5"/>
    <s v="Manager"/>
    <n v="0"/>
    <n v="0"/>
    <n v="0"/>
    <n v="1"/>
    <n v="0"/>
    <n v="0"/>
    <n v="0"/>
    <n v="0"/>
    <n v="2"/>
    <s v="Married"/>
    <n v="0"/>
    <n v="1"/>
    <n v="18213"/>
    <n v="18213"/>
    <n v="7"/>
    <s v="No"/>
    <n v="0"/>
    <n v="11"/>
    <n v="3"/>
    <n v="3"/>
    <n v="1"/>
    <n v="26"/>
    <x v="11"/>
    <n v="5"/>
    <n v="3"/>
    <n v="22"/>
    <n v="22"/>
    <n v="9"/>
    <n v="3"/>
    <n v="3"/>
    <n v="10"/>
    <n v="10"/>
    <n v="50"/>
    <n v="0"/>
    <n v="1"/>
    <n v="0"/>
    <n v="0"/>
    <n v="0"/>
    <n v="0"/>
    <n v="1"/>
    <n v="0"/>
    <n v="0"/>
    <n v="0"/>
    <n v="10"/>
    <n v="0"/>
    <n v="0"/>
    <n v="26"/>
    <n v="2.487293160702587"/>
    <n v="1.6470421950744405"/>
    <n v="1.8918932283614016"/>
    <n v="2.4470374905442531"/>
    <n v="0.51715642219916513"/>
    <n v="0.77459235625178136"/>
    <n v="0.2520597274726662"/>
  </r>
  <r>
    <n v="33"/>
    <n v="33"/>
    <s v="No"/>
    <n v="0"/>
    <s v="Travel_Rarely"/>
    <n v="0"/>
    <n v="1"/>
    <x v="0"/>
    <n v="0"/>
    <n v="1"/>
    <n v="10"/>
    <n v="10"/>
    <n v="5"/>
    <s v="Marketing"/>
    <n v="0"/>
    <n v="0"/>
    <n v="0"/>
    <n v="1"/>
    <n v="0"/>
    <n v="4"/>
    <s v="Male"/>
    <n v="0"/>
    <n v="82"/>
    <n v="4"/>
    <n v="3"/>
    <s v="Sales Executive"/>
    <n v="0"/>
    <n v="1"/>
    <n v="0"/>
    <n v="0"/>
    <n v="0"/>
    <n v="0"/>
    <n v="0"/>
    <n v="0"/>
    <n v="3"/>
    <s v="Divorced"/>
    <n v="0"/>
    <n v="0"/>
    <n v="8380"/>
    <n v="8380"/>
    <n v="0"/>
    <s v="Yes"/>
    <n v="1"/>
    <n v="14"/>
    <n v="3"/>
    <n v="4"/>
    <n v="2"/>
    <n v="10"/>
    <x v="1"/>
    <n v="3"/>
    <n v="3"/>
    <n v="9"/>
    <n v="9"/>
    <n v="8"/>
    <n v="0"/>
    <n v="0"/>
    <n v="8"/>
    <n v="8"/>
    <n v="24"/>
    <n v="1"/>
    <n v="0"/>
    <n v="0"/>
    <n v="0"/>
    <n v="0"/>
    <n v="1"/>
    <n v="0"/>
    <n v="0"/>
    <n v="0"/>
    <n v="0"/>
    <n v="8"/>
    <n v="0"/>
    <n v="0"/>
    <n v="10"/>
    <n v="0.39870134624469056"/>
    <n v="1.08652546240644"/>
    <n v="0.1644554352117841"/>
    <n v="0.32511687867835437"/>
    <n v="9.9604847176766084E-2"/>
    <n v="0.42951823792158"/>
    <n v="0.67891464284095016"/>
  </r>
  <r>
    <n v="19"/>
    <n v="19"/>
    <s v="No"/>
    <n v="0"/>
    <s v="Travel_Rarely"/>
    <n v="0"/>
    <n v="1"/>
    <x v="1"/>
    <n v="1"/>
    <n v="0"/>
    <n v="25"/>
    <n v="25"/>
    <n v="3"/>
    <s v="Life Sciences"/>
    <n v="1"/>
    <n v="0"/>
    <n v="0"/>
    <n v="0"/>
    <n v="0"/>
    <n v="2"/>
    <s v="Female"/>
    <n v="1"/>
    <n v="57"/>
    <n v="4"/>
    <n v="1"/>
    <s v="Research Scientist"/>
    <n v="0"/>
    <n v="0"/>
    <n v="0"/>
    <n v="0"/>
    <n v="0"/>
    <n v="0"/>
    <n v="0"/>
    <n v="1"/>
    <n v="4"/>
    <s v="Single"/>
    <n v="1"/>
    <n v="0"/>
    <n v="2994"/>
    <n v="2994"/>
    <n v="1"/>
    <s v="Yes"/>
    <n v="1"/>
    <n v="12"/>
    <n v="3"/>
    <n v="4"/>
    <n v="0"/>
    <n v="1"/>
    <x v="5"/>
    <n v="2"/>
    <n v="3"/>
    <n v="1"/>
    <n v="1"/>
    <n v="0"/>
    <n v="0"/>
    <n v="0"/>
    <n v="1"/>
    <n v="1"/>
    <n v="1"/>
    <n v="1"/>
    <n v="0"/>
    <n v="0"/>
    <n v="0"/>
    <n v="0"/>
    <n v="1"/>
    <n v="0"/>
    <n v="0"/>
    <n v="0"/>
    <n v="1"/>
    <n v="0"/>
    <n v="0"/>
    <n v="1"/>
    <n v="0"/>
    <n v="0.74531935066065158"/>
    <n v="0.87528310193156111"/>
    <n v="1.3211515584717011"/>
    <n v="0.9806804209314296"/>
    <n v="1.9498886553045598"/>
    <n v="1.9620226305058581"/>
    <n v="0.67891464284095016"/>
  </r>
  <r>
    <n v="23"/>
    <n v="23"/>
    <s v="No"/>
    <n v="0"/>
    <s v="Travel_Rarely"/>
    <n v="0"/>
    <n v="1"/>
    <x v="1"/>
    <n v="1"/>
    <n v="0"/>
    <n v="1"/>
    <n v="1"/>
    <n v="2"/>
    <s v="Life Sciences"/>
    <n v="1"/>
    <n v="0"/>
    <n v="0"/>
    <n v="0"/>
    <n v="0"/>
    <n v="4"/>
    <s v="Male"/>
    <n v="0"/>
    <n v="47"/>
    <n v="3"/>
    <n v="1"/>
    <s v="Research Scientist"/>
    <n v="0"/>
    <n v="0"/>
    <n v="0"/>
    <n v="0"/>
    <n v="0"/>
    <n v="0"/>
    <n v="0"/>
    <n v="1"/>
    <n v="3"/>
    <s v="Married"/>
    <n v="0"/>
    <n v="1"/>
    <n v="1223"/>
    <n v="1382.46"/>
    <n v="1"/>
    <s v="No"/>
    <n v="0"/>
    <n v="22"/>
    <n v="4"/>
    <n v="4"/>
    <n v="1"/>
    <n v="1"/>
    <x v="5"/>
    <n v="2"/>
    <n v="3"/>
    <n v="1"/>
    <n v="1"/>
    <n v="0"/>
    <n v="0"/>
    <n v="0"/>
    <n v="1"/>
    <n v="1"/>
    <n v="1"/>
    <n v="0"/>
    <n v="1"/>
    <n v="0"/>
    <n v="0"/>
    <n v="0"/>
    <n v="0"/>
    <n v="1"/>
    <n v="0"/>
    <n v="0"/>
    <n v="1"/>
    <n v="0"/>
    <n v="0"/>
    <n v="1"/>
    <n v="0"/>
    <n v="1.121491028012928"/>
    <n v="0.87528310193156111"/>
    <n v="1.3211515584717011"/>
    <n v="0.9806804209314296"/>
    <n v="1.01056543769991"/>
    <n v="1.5241642326246359"/>
    <n v="0.67891464284095016"/>
  </r>
  <r>
    <n v="25"/>
    <n v="25"/>
    <s v="Yes"/>
    <n v="1"/>
    <s v="Travel_Frequently"/>
    <n v="1"/>
    <n v="0"/>
    <x v="0"/>
    <n v="0"/>
    <n v="1"/>
    <n v="24"/>
    <n v="24"/>
    <n v="1"/>
    <s v="Life Sciences"/>
    <n v="1"/>
    <n v="0"/>
    <n v="0"/>
    <n v="0"/>
    <n v="0"/>
    <n v="3"/>
    <s v="Male"/>
    <n v="0"/>
    <n v="73"/>
    <n v="1"/>
    <n v="1"/>
    <s v="Sales Representative"/>
    <n v="0"/>
    <n v="0"/>
    <n v="0"/>
    <n v="0"/>
    <n v="0"/>
    <n v="0"/>
    <n v="1"/>
    <n v="0"/>
    <n v="4"/>
    <s v="Single"/>
    <n v="1"/>
    <n v="0"/>
    <n v="1118"/>
    <n v="1382.46"/>
    <n v="1"/>
    <s v="Yes"/>
    <n v="1"/>
    <n v="14"/>
    <n v="3"/>
    <n v="4"/>
    <n v="0"/>
    <n v="1"/>
    <x v="5"/>
    <n v="4"/>
    <n v="3"/>
    <n v="1"/>
    <n v="1"/>
    <n v="0"/>
    <n v="1"/>
    <n v="1"/>
    <n v="0"/>
    <n v="0"/>
    <n v="0"/>
    <n v="0"/>
    <n v="0"/>
    <n v="1"/>
    <n v="0"/>
    <n v="0"/>
    <n v="1"/>
    <n v="0"/>
    <n v="0"/>
    <n v="0"/>
    <n v="0"/>
    <n v="0"/>
    <n v="0"/>
    <n v="0"/>
    <n v="1"/>
    <n v="1.1437936966306519"/>
    <n v="1.1555414682655611"/>
    <n v="1.3211515584717011"/>
    <n v="0.9806804209314296"/>
    <n v="1.8265364014293735"/>
    <n v="1.3052350336840246"/>
    <n v="0.36858985273641137"/>
  </r>
  <r>
    <n v="26"/>
    <n v="26"/>
    <s v="No"/>
    <n v="0"/>
    <s v="Travel_Rarely"/>
    <n v="0"/>
    <n v="1"/>
    <x v="1"/>
    <n v="1"/>
    <n v="0"/>
    <n v="4"/>
    <n v="4"/>
    <n v="2"/>
    <s v="Life Sciences"/>
    <n v="1"/>
    <n v="0"/>
    <n v="0"/>
    <n v="0"/>
    <n v="0"/>
    <n v="3"/>
    <s v="Male"/>
    <n v="0"/>
    <n v="53"/>
    <n v="3"/>
    <n v="1"/>
    <s v="Research Scientist"/>
    <n v="0"/>
    <n v="0"/>
    <n v="0"/>
    <n v="0"/>
    <n v="0"/>
    <n v="0"/>
    <n v="0"/>
    <n v="1"/>
    <n v="4"/>
    <s v="Single"/>
    <n v="1"/>
    <n v="0"/>
    <n v="2875"/>
    <n v="2875"/>
    <n v="1"/>
    <s v="Yes"/>
    <n v="1"/>
    <n v="20"/>
    <n v="4"/>
    <n v="2"/>
    <n v="0"/>
    <n v="8"/>
    <x v="0"/>
    <n v="2"/>
    <n v="2"/>
    <n v="8"/>
    <n v="8"/>
    <n v="5"/>
    <n v="2"/>
    <n v="2"/>
    <n v="2"/>
    <n v="2"/>
    <n v="2"/>
    <n v="1"/>
    <n v="0"/>
    <n v="0"/>
    <n v="0"/>
    <n v="0"/>
    <n v="1"/>
    <n v="0"/>
    <n v="0"/>
    <n v="0"/>
    <n v="2"/>
    <n v="0"/>
    <n v="0"/>
    <n v="8"/>
    <n v="0"/>
    <n v="0.77059570842740532"/>
    <n v="0.59502473559756086"/>
    <n v="0.42149901815843233"/>
    <n v="0.16189221622713135"/>
    <n v="0.64050867607435136"/>
    <n v="1.195770434213719"/>
    <n v="5.8265062631872602E-2"/>
  </r>
  <r>
    <n v="45"/>
    <n v="45"/>
    <s v="Yes"/>
    <n v="1"/>
    <s v="Travel_Rarely"/>
    <n v="0"/>
    <n v="1"/>
    <x v="0"/>
    <n v="0"/>
    <n v="1"/>
    <n v="2"/>
    <n v="2"/>
    <n v="3"/>
    <s v="Marketing"/>
    <n v="0"/>
    <n v="0"/>
    <n v="0"/>
    <n v="1"/>
    <n v="0"/>
    <n v="1"/>
    <s v="Female"/>
    <n v="1"/>
    <n v="94"/>
    <n v="1"/>
    <n v="5"/>
    <s v="Manager"/>
    <n v="0"/>
    <n v="0"/>
    <n v="0"/>
    <n v="1"/>
    <n v="0"/>
    <n v="0"/>
    <n v="0"/>
    <n v="0"/>
    <n v="2"/>
    <s v="Single"/>
    <n v="1"/>
    <n v="0"/>
    <n v="18824"/>
    <n v="18824"/>
    <n v="2"/>
    <s v="Yes"/>
    <n v="1"/>
    <n v="16"/>
    <n v="3"/>
    <n v="1"/>
    <n v="0"/>
    <n v="26"/>
    <x v="11"/>
    <n v="2"/>
    <n v="3"/>
    <n v="24"/>
    <n v="24"/>
    <n v="10"/>
    <n v="1"/>
    <n v="1"/>
    <n v="11"/>
    <n v="11"/>
    <n v="55"/>
    <n v="1"/>
    <n v="0"/>
    <n v="0"/>
    <n v="0"/>
    <n v="0"/>
    <n v="1"/>
    <n v="0"/>
    <n v="0"/>
    <n v="0"/>
    <n v="0"/>
    <n v="11"/>
    <n v="0"/>
    <n v="0"/>
    <n v="26"/>
    <n v="2.617073451420961"/>
    <n v="1.9273005614084406"/>
    <n v="1.8918932283614016"/>
    <n v="2.7734868154466992"/>
    <n v="0.88721318382472392"/>
    <n v="0.88405695572208698"/>
    <n v="0.36858985273641137"/>
  </r>
  <r>
    <n v="55"/>
    <n v="55"/>
    <s v="No"/>
    <n v="0"/>
    <s v="Non-Travel"/>
    <n v="0"/>
    <n v="0"/>
    <x v="1"/>
    <n v="1"/>
    <n v="0"/>
    <n v="8"/>
    <n v="8"/>
    <n v="1"/>
    <s v="Medical"/>
    <n v="0"/>
    <n v="0"/>
    <n v="1"/>
    <n v="0"/>
    <n v="0"/>
    <n v="4"/>
    <s v="Male"/>
    <n v="0"/>
    <n v="37"/>
    <n v="2"/>
    <n v="4"/>
    <s v="Healthcare Representative"/>
    <n v="1"/>
    <n v="0"/>
    <n v="0"/>
    <n v="0"/>
    <n v="0"/>
    <n v="0"/>
    <n v="0"/>
    <n v="0"/>
    <n v="2"/>
    <s v="Divorced"/>
    <n v="0"/>
    <n v="0"/>
    <n v="13577"/>
    <n v="13577"/>
    <n v="1"/>
    <s v="Yes"/>
    <n v="1"/>
    <n v="15"/>
    <n v="3"/>
    <n v="4"/>
    <n v="1"/>
    <n v="34"/>
    <x v="31"/>
    <n v="3"/>
    <n v="3"/>
    <n v="33"/>
    <n v="31"/>
    <n v="9"/>
    <n v="15"/>
    <n v="14"/>
    <n v="0"/>
    <n v="0"/>
    <n v="0"/>
    <n v="1"/>
    <n v="0"/>
    <n v="0"/>
    <n v="0"/>
    <n v="0"/>
    <n v="1"/>
    <n v="0"/>
    <n v="0"/>
    <n v="0"/>
    <n v="0"/>
    <n v="0"/>
    <n v="0"/>
    <n v="34"/>
    <n v="0"/>
    <n v="1.5025772396381298"/>
    <n v="1.1555414682655611"/>
    <n v="2.9200675601479942"/>
    <n v="4.2425087775077062"/>
    <n v="0.14709966057360641"/>
    <n v="1.9787029504251428"/>
    <n v="3.9759572087271318"/>
  </r>
  <r>
    <n v="21"/>
    <n v="21"/>
    <s v="Yes"/>
    <n v="1"/>
    <s v="Travel_Frequently"/>
    <n v="1"/>
    <n v="0"/>
    <x v="1"/>
    <n v="1"/>
    <n v="0"/>
    <n v="10"/>
    <n v="10"/>
    <n v="2"/>
    <s v="Life Sciences"/>
    <n v="1"/>
    <n v="0"/>
    <n v="0"/>
    <n v="0"/>
    <n v="0"/>
    <n v="1"/>
    <s v="Female"/>
    <n v="1"/>
    <n v="45"/>
    <n v="2"/>
    <n v="1"/>
    <s v="Laboratory Technician"/>
    <n v="0"/>
    <n v="0"/>
    <n v="1"/>
    <n v="0"/>
    <n v="0"/>
    <n v="0"/>
    <n v="0"/>
    <n v="0"/>
    <n v="3"/>
    <s v="Single"/>
    <n v="1"/>
    <n v="0"/>
    <n v="2625"/>
    <n v="2625"/>
    <n v="1"/>
    <s v="No"/>
    <n v="0"/>
    <n v="20"/>
    <n v="4"/>
    <n v="3"/>
    <n v="0"/>
    <n v="2"/>
    <x v="16"/>
    <n v="2"/>
    <n v="1"/>
    <n v="2"/>
    <n v="2"/>
    <n v="2"/>
    <n v="2"/>
    <n v="2"/>
    <n v="2"/>
    <n v="2"/>
    <n v="2"/>
    <n v="0"/>
    <n v="0"/>
    <n v="1"/>
    <n v="0"/>
    <n v="1"/>
    <n v="0"/>
    <n v="0"/>
    <n v="0"/>
    <n v="0"/>
    <n v="2"/>
    <n v="0"/>
    <n v="0"/>
    <n v="2"/>
    <n v="0"/>
    <n v="0.82369730037436706"/>
    <n v="0.59502473559756086"/>
    <n v="1.192629766998377"/>
    <n v="0.81745575848020657"/>
    <n v="9.9604847176766084E-2"/>
    <n v="1.7430934315652469"/>
    <n v="5.8265062631872602E-2"/>
  </r>
  <r>
    <n v="46"/>
    <n v="46"/>
    <s v="No"/>
    <n v="0"/>
    <s v="Travel_Rarely"/>
    <n v="0"/>
    <n v="1"/>
    <x v="0"/>
    <n v="0"/>
    <n v="1"/>
    <n v="4"/>
    <n v="4"/>
    <n v="2"/>
    <s v="Marketing"/>
    <n v="0"/>
    <n v="0"/>
    <n v="0"/>
    <n v="1"/>
    <n v="0"/>
    <n v="4"/>
    <s v="Female"/>
    <n v="1"/>
    <n v="33"/>
    <n v="2"/>
    <n v="5"/>
    <s v="Manager"/>
    <n v="0"/>
    <n v="0"/>
    <n v="0"/>
    <n v="1"/>
    <n v="0"/>
    <n v="0"/>
    <n v="0"/>
    <n v="0"/>
    <n v="2"/>
    <s v="Married"/>
    <n v="0"/>
    <n v="1"/>
    <n v="18789"/>
    <n v="18789"/>
    <n v="2"/>
    <s v="No"/>
    <n v="0"/>
    <n v="14"/>
    <n v="3"/>
    <n v="3"/>
    <n v="1"/>
    <n v="26"/>
    <x v="11"/>
    <n v="2"/>
    <n v="3"/>
    <n v="11"/>
    <n v="11"/>
    <n v="4"/>
    <n v="0"/>
    <n v="0"/>
    <n v="8"/>
    <n v="8"/>
    <n v="40"/>
    <n v="0"/>
    <n v="1"/>
    <n v="0"/>
    <n v="0"/>
    <n v="0"/>
    <n v="0"/>
    <n v="1"/>
    <n v="0"/>
    <n v="0"/>
    <n v="0"/>
    <n v="8"/>
    <n v="0"/>
    <n v="0"/>
    <n v="26"/>
    <n v="2.6096392285483865"/>
    <n v="1.08652546240644"/>
    <n v="1.8918932283614016"/>
    <n v="0.65156620358080031"/>
    <n v="0.64050867607435136"/>
    <n v="0.99352155519239249"/>
    <n v="0.67891464284095016"/>
  </r>
  <r>
    <n v="34"/>
    <n v="34"/>
    <s v="No"/>
    <n v="0"/>
    <s v="Travel_Rarely"/>
    <n v="0"/>
    <n v="1"/>
    <x v="0"/>
    <n v="0"/>
    <n v="1"/>
    <n v="2"/>
    <n v="2"/>
    <n v="3"/>
    <s v="Marketing"/>
    <n v="0"/>
    <n v="0"/>
    <n v="0"/>
    <n v="1"/>
    <n v="0"/>
    <n v="3"/>
    <s v="Female"/>
    <n v="1"/>
    <n v="86"/>
    <n v="3"/>
    <n v="2"/>
    <s v="Sales Executive"/>
    <n v="0"/>
    <n v="1"/>
    <n v="0"/>
    <n v="0"/>
    <n v="0"/>
    <n v="0"/>
    <n v="0"/>
    <n v="0"/>
    <n v="1"/>
    <s v="Single"/>
    <n v="1"/>
    <n v="0"/>
    <n v="4538"/>
    <n v="4538"/>
    <n v="0"/>
    <s v="Yes"/>
    <n v="1"/>
    <n v="12"/>
    <n v="3"/>
    <n v="4"/>
    <n v="0"/>
    <n v="4"/>
    <x v="20"/>
    <n v="3"/>
    <n v="3"/>
    <n v="3"/>
    <n v="3"/>
    <n v="2"/>
    <n v="0"/>
    <n v="0"/>
    <n v="2"/>
    <n v="2"/>
    <n v="4"/>
    <n v="1"/>
    <n v="0"/>
    <n v="0"/>
    <n v="0"/>
    <n v="0"/>
    <n v="1"/>
    <n v="0"/>
    <n v="0"/>
    <n v="0"/>
    <n v="0"/>
    <n v="2"/>
    <n v="0"/>
    <n v="0"/>
    <n v="4"/>
    <n v="0.41736391879621632"/>
    <n v="0.59502473559756086"/>
    <n v="0.93558618405172878"/>
    <n v="0.65423109602898355"/>
    <n v="0.88721318382472392"/>
    <n v="0.32005363845127444"/>
    <n v="0.67891464284095016"/>
  </r>
  <r>
    <n v="51"/>
    <n v="51"/>
    <s v="No"/>
    <n v="0"/>
    <s v="Travel_Frequently"/>
    <n v="1"/>
    <n v="0"/>
    <x v="0"/>
    <n v="0"/>
    <n v="1"/>
    <n v="9"/>
    <n v="9"/>
    <n v="3"/>
    <s v="Life Sciences"/>
    <n v="1"/>
    <n v="0"/>
    <n v="0"/>
    <n v="0"/>
    <n v="0"/>
    <n v="4"/>
    <s v="Male"/>
    <n v="0"/>
    <n v="83"/>
    <n v="3"/>
    <n v="5"/>
    <s v="Manager"/>
    <n v="0"/>
    <n v="0"/>
    <n v="0"/>
    <n v="1"/>
    <n v="0"/>
    <n v="0"/>
    <n v="0"/>
    <n v="0"/>
    <n v="2"/>
    <s v="Divorced"/>
    <n v="0"/>
    <n v="0"/>
    <n v="19847"/>
    <n v="19626.310000000001"/>
    <n v="4"/>
    <s v="Yes"/>
    <n v="1"/>
    <n v="24"/>
    <n v="4"/>
    <n v="1"/>
    <n v="1"/>
    <n v="31"/>
    <x v="9"/>
    <n v="5"/>
    <n v="2"/>
    <n v="29"/>
    <n v="29"/>
    <n v="10"/>
    <n v="11"/>
    <n v="11"/>
    <n v="10"/>
    <n v="10"/>
    <n v="50"/>
    <n v="0"/>
    <n v="0"/>
    <n v="1"/>
    <n v="0"/>
    <n v="0"/>
    <n v="1"/>
    <n v="0"/>
    <n v="0"/>
    <n v="0"/>
    <n v="0"/>
    <n v="10"/>
    <n v="0"/>
    <n v="0"/>
    <n v="31"/>
    <n v="2.8343651656679283"/>
    <n v="1.6470421950744405"/>
    <n v="2.5345021857280217"/>
    <n v="3.5896101277028141"/>
    <n v="2.3747406698420157E-2"/>
    <n v="1.5408445525439205"/>
    <n v="2.7346580483089769"/>
  </r>
  <r>
    <n v="59"/>
    <n v="58.309999999999945"/>
    <s v="No"/>
    <n v="0"/>
    <s v="Travel_Rarely"/>
    <n v="0"/>
    <n v="1"/>
    <x v="1"/>
    <n v="1"/>
    <n v="0"/>
    <n v="18"/>
    <n v="18"/>
    <n v="4"/>
    <s v="Medical"/>
    <n v="0"/>
    <n v="0"/>
    <n v="1"/>
    <n v="0"/>
    <n v="0"/>
    <n v="4"/>
    <s v="Male"/>
    <n v="0"/>
    <n v="67"/>
    <n v="3"/>
    <n v="3"/>
    <s v="Manufacturing Director"/>
    <n v="0"/>
    <n v="0"/>
    <n v="0"/>
    <n v="0"/>
    <n v="1"/>
    <n v="1"/>
    <n v="0"/>
    <n v="0"/>
    <n v="4"/>
    <s v="Single"/>
    <n v="1"/>
    <n v="0"/>
    <n v="10512"/>
    <n v="10512"/>
    <n v="6"/>
    <s v="No"/>
    <n v="0"/>
    <n v="12"/>
    <n v="3"/>
    <n v="4"/>
    <n v="0"/>
    <n v="25"/>
    <x v="24"/>
    <n v="6"/>
    <n v="2"/>
    <n v="9"/>
    <n v="9"/>
    <n v="7"/>
    <n v="5"/>
    <n v="5"/>
    <n v="4"/>
    <n v="4"/>
    <n v="12"/>
    <n v="1"/>
    <n v="0"/>
    <n v="0"/>
    <n v="0"/>
    <n v="1"/>
    <n v="0"/>
    <n v="0"/>
    <n v="0"/>
    <n v="0"/>
    <n v="4"/>
    <n v="0"/>
    <n v="0"/>
    <n v="25"/>
    <n v="0"/>
    <n v="0.85155172236837973"/>
    <n v="3.4508002929560584E-2"/>
    <n v="1.7633714368880775"/>
    <n v="0.32511687867835437"/>
    <n v="1.0864228781782561"/>
    <n v="2.4165613483063648"/>
    <n v="0.87270930768174382"/>
  </r>
  <r>
    <n v="34"/>
    <n v="34"/>
    <s v="No"/>
    <n v="0"/>
    <s v="Travel_Frequently"/>
    <n v="1"/>
    <n v="0"/>
    <x v="1"/>
    <n v="1"/>
    <n v="0"/>
    <n v="19"/>
    <n v="19"/>
    <n v="3"/>
    <s v="Medical"/>
    <n v="0"/>
    <n v="0"/>
    <n v="1"/>
    <n v="0"/>
    <n v="0"/>
    <n v="3"/>
    <s v="Female"/>
    <n v="1"/>
    <n v="46"/>
    <n v="3"/>
    <n v="2"/>
    <s v="Laboratory Technician"/>
    <n v="0"/>
    <n v="0"/>
    <n v="1"/>
    <n v="0"/>
    <n v="0"/>
    <n v="0"/>
    <n v="0"/>
    <n v="0"/>
    <n v="2"/>
    <s v="Divorced"/>
    <n v="0"/>
    <n v="0"/>
    <n v="4444"/>
    <n v="4444"/>
    <n v="4"/>
    <s v="No"/>
    <n v="0"/>
    <n v="13"/>
    <n v="3"/>
    <n v="3"/>
    <n v="2"/>
    <n v="15"/>
    <x v="19"/>
    <n v="2"/>
    <n v="4"/>
    <n v="11"/>
    <n v="11"/>
    <n v="8"/>
    <n v="5"/>
    <n v="5"/>
    <n v="10"/>
    <n v="10"/>
    <n v="20"/>
    <n v="0"/>
    <n v="0"/>
    <n v="1"/>
    <n v="0"/>
    <n v="1"/>
    <n v="0"/>
    <n v="0"/>
    <n v="0"/>
    <n v="0"/>
    <n v="10"/>
    <n v="0"/>
    <n v="0"/>
    <n v="15"/>
    <n v="0"/>
    <n v="0.43733011736827393"/>
    <n v="1.6470421950744405"/>
    <n v="0.47815352215483642"/>
    <n v="0.65156620358080031"/>
    <n v="1.2097751320534422"/>
    <n v="0.32005363845127444"/>
    <n v="0.87270930768174382"/>
  </r>
  <r>
    <n v="28"/>
    <n v="28"/>
    <s v="No"/>
    <n v="0"/>
    <s v="Travel_Frequently"/>
    <n v="1"/>
    <n v="0"/>
    <x v="1"/>
    <n v="1"/>
    <n v="0"/>
    <n v="1"/>
    <n v="1"/>
    <n v="4"/>
    <s v="Medical"/>
    <n v="0"/>
    <n v="0"/>
    <n v="1"/>
    <n v="0"/>
    <n v="0"/>
    <n v="4"/>
    <s v="Male"/>
    <n v="0"/>
    <n v="44"/>
    <n v="3"/>
    <n v="1"/>
    <s v="Laboratory Technician"/>
    <n v="0"/>
    <n v="0"/>
    <n v="1"/>
    <n v="0"/>
    <n v="0"/>
    <n v="0"/>
    <n v="0"/>
    <n v="0"/>
    <n v="3"/>
    <s v="Single"/>
    <n v="1"/>
    <n v="0"/>
    <n v="2154"/>
    <n v="2154"/>
    <n v="0"/>
    <s v="Yes"/>
    <n v="1"/>
    <n v="11"/>
    <n v="3"/>
    <n v="3"/>
    <n v="0"/>
    <n v="5"/>
    <x v="7"/>
    <n v="2"/>
    <n v="2"/>
    <n v="4"/>
    <n v="4"/>
    <n v="2"/>
    <n v="0"/>
    <n v="0"/>
    <n v="2"/>
    <n v="2"/>
    <n v="2"/>
    <n v="0"/>
    <n v="0"/>
    <n v="1"/>
    <n v="0"/>
    <n v="0"/>
    <n v="1"/>
    <n v="0"/>
    <n v="0"/>
    <n v="0"/>
    <n v="2"/>
    <n v="0"/>
    <n v="0"/>
    <n v="5"/>
    <n v="0"/>
    <n v="0.92374069960244276"/>
    <n v="0.59502473559756086"/>
    <n v="0.80706439257840468"/>
    <n v="0.49100643357776058"/>
    <n v="1.01056543769991"/>
    <n v="0.97684123527310796"/>
    <n v="0.67891464284095016"/>
  </r>
  <r>
    <n v="44"/>
    <n v="44"/>
    <s v="No"/>
    <n v="0"/>
    <s v="Travel_Rarely"/>
    <n v="0"/>
    <n v="1"/>
    <x v="1"/>
    <n v="1"/>
    <n v="0"/>
    <n v="4"/>
    <n v="4"/>
    <n v="2"/>
    <s v="Life Sciences"/>
    <n v="1"/>
    <n v="0"/>
    <n v="0"/>
    <n v="0"/>
    <n v="0"/>
    <n v="3"/>
    <s v="Male"/>
    <n v="0"/>
    <n v="92"/>
    <n v="4"/>
    <n v="5"/>
    <s v="Manager"/>
    <n v="0"/>
    <n v="0"/>
    <n v="0"/>
    <n v="1"/>
    <n v="0"/>
    <n v="0"/>
    <n v="0"/>
    <n v="0"/>
    <n v="1"/>
    <s v="Divorced"/>
    <n v="0"/>
    <n v="0"/>
    <n v="19190"/>
    <n v="19190"/>
    <n v="1"/>
    <s v="No"/>
    <n v="0"/>
    <n v="14"/>
    <n v="3"/>
    <n v="4"/>
    <n v="2"/>
    <n v="26"/>
    <x v="11"/>
    <n v="4"/>
    <n v="2"/>
    <n v="25"/>
    <n v="25"/>
    <n v="9"/>
    <n v="14"/>
    <n v="14"/>
    <n v="13"/>
    <n v="13"/>
    <n v="65"/>
    <n v="1"/>
    <n v="0"/>
    <n v="0"/>
    <n v="0"/>
    <n v="1"/>
    <n v="0"/>
    <n v="0"/>
    <n v="0"/>
    <n v="0"/>
    <n v="13"/>
    <n v="0"/>
    <n v="0"/>
    <n v="26"/>
    <n v="0"/>
    <n v="2.6948141820313132"/>
    <n v="2.4878172940764407"/>
    <n v="1.8918932283614016"/>
    <n v="2.936711477897922"/>
    <n v="0.64050867607435136"/>
    <n v="0.77459235625178136"/>
    <n v="3.665632418622593"/>
  </r>
  <r>
    <n v="34"/>
    <n v="34"/>
    <s v="No"/>
    <n v="0"/>
    <s v="Travel_Frequently"/>
    <n v="1"/>
    <n v="0"/>
    <x v="2"/>
    <n v="0"/>
    <n v="0"/>
    <n v="11"/>
    <n v="11"/>
    <n v="3"/>
    <s v="Life Sciences"/>
    <n v="1"/>
    <n v="0"/>
    <n v="0"/>
    <n v="0"/>
    <n v="0"/>
    <n v="3"/>
    <s v="Male"/>
    <n v="0"/>
    <n v="56"/>
    <n v="2"/>
    <n v="2"/>
    <s v="Human Resources"/>
    <n v="0"/>
    <n v="0"/>
    <n v="0"/>
    <n v="0"/>
    <n v="0"/>
    <n v="0"/>
    <n v="0"/>
    <n v="0"/>
    <n v="2"/>
    <s v="Married"/>
    <n v="0"/>
    <n v="1"/>
    <n v="4490"/>
    <n v="4490"/>
    <n v="4"/>
    <s v="No"/>
    <n v="0"/>
    <n v="11"/>
    <n v="3"/>
    <n v="4"/>
    <n v="2"/>
    <n v="14"/>
    <x v="18"/>
    <n v="5"/>
    <n v="4"/>
    <n v="10"/>
    <n v="10"/>
    <n v="9"/>
    <n v="1"/>
    <n v="1"/>
    <n v="8"/>
    <n v="8"/>
    <n v="16"/>
    <n v="0"/>
    <n v="0"/>
    <n v="0"/>
    <n v="1"/>
    <n v="0"/>
    <n v="0"/>
    <n v="1"/>
    <n v="0"/>
    <n v="8"/>
    <n v="0"/>
    <n v="0"/>
    <n v="14"/>
    <n v="0"/>
    <n v="0"/>
    <n v="0.42755942445003298"/>
    <n v="1.08652546240644"/>
    <n v="0.34963173068151232"/>
    <n v="0.48834154112957734"/>
    <n v="0.22295710105195232"/>
    <n v="0.32005363845127444"/>
    <n v="0.36858985273641137"/>
  </r>
  <r>
    <n v="35"/>
    <n v="35"/>
    <s v="No"/>
    <n v="0"/>
    <s v="Travel_Rarely"/>
    <n v="0"/>
    <n v="1"/>
    <x v="1"/>
    <n v="1"/>
    <n v="0"/>
    <n v="6"/>
    <n v="6"/>
    <n v="1"/>
    <s v="Life Sciences"/>
    <n v="1"/>
    <n v="0"/>
    <n v="0"/>
    <n v="0"/>
    <n v="0"/>
    <n v="3"/>
    <s v="Male"/>
    <n v="0"/>
    <n v="66"/>
    <n v="3"/>
    <n v="1"/>
    <s v="Research Scientist"/>
    <n v="0"/>
    <n v="0"/>
    <n v="0"/>
    <n v="0"/>
    <n v="0"/>
    <n v="0"/>
    <n v="0"/>
    <n v="1"/>
    <n v="3"/>
    <s v="Married"/>
    <n v="0"/>
    <n v="1"/>
    <n v="3506"/>
    <n v="3506"/>
    <n v="0"/>
    <s v="Yes"/>
    <n v="1"/>
    <n v="14"/>
    <n v="3"/>
    <n v="4"/>
    <n v="0"/>
    <n v="4"/>
    <x v="20"/>
    <n v="3"/>
    <n v="3"/>
    <n v="3"/>
    <n v="3"/>
    <n v="2"/>
    <n v="2"/>
    <n v="2"/>
    <n v="2"/>
    <n v="2"/>
    <n v="2"/>
    <n v="0"/>
    <n v="1"/>
    <n v="0"/>
    <n v="0"/>
    <n v="0"/>
    <n v="0"/>
    <n v="0"/>
    <n v="1"/>
    <n v="0"/>
    <n v="2"/>
    <n v="0"/>
    <n v="0"/>
    <n v="4"/>
    <n v="0"/>
    <n v="0.63656729035327408"/>
    <n v="0.59502473559756086"/>
    <n v="0.93558618405172878"/>
    <n v="0.65423109602898355"/>
    <n v="0.39380416832397891"/>
    <n v="0.21058903898096887"/>
    <n v="5.8265062631872602E-2"/>
  </r>
  <r>
    <n v="42"/>
    <n v="42"/>
    <s v="No"/>
    <n v="0"/>
    <s v="Travel_Rarely"/>
    <n v="0"/>
    <n v="1"/>
    <x v="1"/>
    <n v="1"/>
    <n v="0"/>
    <n v="7"/>
    <n v="7"/>
    <n v="4"/>
    <s v="Medical"/>
    <n v="0"/>
    <n v="0"/>
    <n v="1"/>
    <n v="0"/>
    <n v="0"/>
    <n v="2"/>
    <s v="Female"/>
    <n v="1"/>
    <n v="78"/>
    <n v="4"/>
    <n v="2"/>
    <s v="Research Scientist"/>
    <n v="0"/>
    <n v="0"/>
    <n v="0"/>
    <n v="0"/>
    <n v="0"/>
    <n v="0"/>
    <n v="0"/>
    <n v="1"/>
    <n v="2"/>
    <s v="Married"/>
    <n v="0"/>
    <n v="1"/>
    <n v="2372"/>
    <n v="2372"/>
    <n v="6"/>
    <s v="Yes"/>
    <n v="1"/>
    <n v="16"/>
    <n v="3"/>
    <n v="4"/>
    <n v="0"/>
    <n v="18"/>
    <x v="30"/>
    <n v="2"/>
    <n v="3"/>
    <n v="1"/>
    <n v="1"/>
    <n v="0"/>
    <n v="0"/>
    <n v="0"/>
    <n v="0"/>
    <n v="0"/>
    <n v="0"/>
    <n v="0"/>
    <n v="1"/>
    <n v="0"/>
    <n v="0"/>
    <n v="0"/>
    <n v="0"/>
    <n v="0"/>
    <n v="1"/>
    <n v="0"/>
    <n v="0"/>
    <n v="0"/>
    <n v="0"/>
    <n v="18"/>
    <n v="0"/>
    <n v="0.87743611142469224"/>
    <n v="1.1555414682655611"/>
    <n v="0.86371889657480871"/>
    <n v="0.9806804209314296"/>
    <n v="0.27045191444879263"/>
    <n v="0.55566315731117022"/>
    <n v="0.67891464284095016"/>
  </r>
  <r>
    <n v="43"/>
    <n v="43"/>
    <s v="No"/>
    <n v="0"/>
    <s v="Travel_Rarely"/>
    <n v="0"/>
    <n v="1"/>
    <x v="0"/>
    <n v="0"/>
    <n v="1"/>
    <n v="4"/>
    <n v="4"/>
    <n v="4"/>
    <s v="Marketing"/>
    <n v="0"/>
    <n v="0"/>
    <n v="0"/>
    <n v="1"/>
    <n v="0"/>
    <n v="4"/>
    <s v="Female"/>
    <n v="1"/>
    <n v="56"/>
    <n v="2"/>
    <n v="3"/>
    <s v="Sales Executive"/>
    <n v="0"/>
    <n v="1"/>
    <n v="0"/>
    <n v="0"/>
    <n v="0"/>
    <n v="0"/>
    <n v="0"/>
    <n v="0"/>
    <n v="4"/>
    <s v="Single"/>
    <n v="1"/>
    <n v="0"/>
    <n v="10231"/>
    <n v="10231"/>
    <n v="3"/>
    <s v="No"/>
    <n v="0"/>
    <n v="14"/>
    <n v="3"/>
    <n v="4"/>
    <n v="0"/>
    <n v="23"/>
    <x v="17"/>
    <n v="3"/>
    <n v="4"/>
    <n v="21"/>
    <n v="21"/>
    <n v="7"/>
    <n v="15"/>
    <n v="14"/>
    <n v="17"/>
    <n v="14"/>
    <n v="42"/>
    <n v="1"/>
    <n v="0"/>
    <n v="0"/>
    <n v="0"/>
    <n v="1"/>
    <n v="0"/>
    <n v="0"/>
    <n v="0"/>
    <n v="0"/>
    <n v="0"/>
    <n v="14"/>
    <n v="0"/>
    <n v="0"/>
    <n v="23"/>
    <n v="0.79186553301999474"/>
    <n v="3.6088507594124417"/>
    <n v="1.5063278539414293"/>
    <n v="2.2838128280930299"/>
    <n v="0.64050867607435136"/>
    <n v="0.66512775678147573"/>
    <n v="3.9759572087271318"/>
  </r>
  <r>
    <n v="36"/>
    <n v="36"/>
    <s v="No"/>
    <n v="0"/>
    <s v="Travel_Rarely"/>
    <n v="0"/>
    <n v="1"/>
    <x v="1"/>
    <n v="1"/>
    <n v="0"/>
    <n v="2"/>
    <n v="2"/>
    <n v="4"/>
    <s v="Life Sciences"/>
    <n v="1"/>
    <n v="0"/>
    <n v="0"/>
    <n v="0"/>
    <n v="0"/>
    <n v="3"/>
    <s v="Female"/>
    <n v="1"/>
    <n v="53"/>
    <n v="3"/>
    <n v="2"/>
    <s v="Manufacturing Director"/>
    <n v="0"/>
    <n v="0"/>
    <n v="0"/>
    <n v="0"/>
    <n v="1"/>
    <n v="1"/>
    <n v="0"/>
    <n v="0"/>
    <n v="2"/>
    <s v="Single"/>
    <n v="1"/>
    <n v="0"/>
    <n v="5410"/>
    <n v="5410"/>
    <n v="9"/>
    <s v="Yes"/>
    <n v="1"/>
    <n v="11"/>
    <n v="3"/>
    <n v="4"/>
    <n v="0"/>
    <n v="18"/>
    <x v="30"/>
    <n v="2"/>
    <n v="3"/>
    <n v="16"/>
    <n v="16"/>
    <n v="14"/>
    <n v="5"/>
    <n v="5"/>
    <n v="12"/>
    <n v="12"/>
    <n v="24"/>
    <n v="1"/>
    <n v="0"/>
    <n v="0"/>
    <n v="0"/>
    <n v="0"/>
    <n v="1"/>
    <n v="0"/>
    <n v="0"/>
    <n v="0"/>
    <n v="12"/>
    <n v="0"/>
    <n v="0"/>
    <n v="18"/>
    <n v="0"/>
    <n v="0.23214556608521403"/>
    <n v="2.2075589277424408"/>
    <n v="0.86371889657480871"/>
    <n v="1.4676895158369152"/>
    <n v="0.88721318382472392"/>
    <n v="0.10112443951066327"/>
    <n v="0.87270930768174382"/>
  </r>
  <r>
    <n v="44"/>
    <n v="44"/>
    <s v="Yes"/>
    <n v="1"/>
    <s v="Travel_Rarely"/>
    <n v="0"/>
    <n v="1"/>
    <x v="1"/>
    <n v="1"/>
    <n v="0"/>
    <n v="15"/>
    <n v="15"/>
    <n v="3"/>
    <s v="Medical"/>
    <n v="0"/>
    <n v="0"/>
    <n v="1"/>
    <n v="0"/>
    <n v="0"/>
    <n v="1"/>
    <s v="Female"/>
    <n v="1"/>
    <n v="73"/>
    <n v="3"/>
    <n v="3"/>
    <s v="Healthcare Representative"/>
    <n v="1"/>
    <n v="0"/>
    <n v="0"/>
    <n v="0"/>
    <n v="0"/>
    <n v="0"/>
    <n v="0"/>
    <n v="0"/>
    <n v="4"/>
    <s v="Married"/>
    <n v="0"/>
    <n v="1"/>
    <n v="7978"/>
    <n v="7978"/>
    <n v="1"/>
    <s v="No"/>
    <n v="0"/>
    <n v="11"/>
    <n v="3"/>
    <n v="4"/>
    <n v="1"/>
    <n v="10"/>
    <x v="1"/>
    <n v="2"/>
    <n v="3"/>
    <n v="10"/>
    <n v="10"/>
    <n v="7"/>
    <n v="0"/>
    <n v="0"/>
    <n v="5"/>
    <n v="5"/>
    <n v="15"/>
    <n v="0"/>
    <n v="1"/>
    <n v="0"/>
    <n v="0"/>
    <n v="0"/>
    <n v="0"/>
    <n v="1"/>
    <n v="0"/>
    <n v="0"/>
    <n v="5"/>
    <n v="0"/>
    <n v="0"/>
    <n v="10"/>
    <n v="0"/>
    <n v="0.31331398639397623"/>
    <n v="0.24575036340443959"/>
    <n v="0.1644554352117841"/>
    <n v="0.48834154112957734"/>
    <n v="0.71636611655269733"/>
    <n v="0.77459235625178136"/>
    <n v="0.67891464284095016"/>
  </r>
  <r>
    <n v="28"/>
    <n v="28"/>
    <s v="No"/>
    <n v="0"/>
    <s v="Travel_Frequently"/>
    <n v="1"/>
    <n v="0"/>
    <x v="1"/>
    <n v="1"/>
    <n v="0"/>
    <n v="2"/>
    <n v="2"/>
    <n v="3"/>
    <s v="Life Sciences"/>
    <n v="1"/>
    <n v="0"/>
    <n v="0"/>
    <n v="0"/>
    <n v="0"/>
    <n v="4"/>
    <s v="Male"/>
    <n v="0"/>
    <n v="52"/>
    <n v="2"/>
    <n v="1"/>
    <s v="Laboratory Technician"/>
    <n v="0"/>
    <n v="0"/>
    <n v="1"/>
    <n v="0"/>
    <n v="0"/>
    <n v="0"/>
    <n v="0"/>
    <n v="0"/>
    <n v="4"/>
    <s v="Married"/>
    <n v="0"/>
    <n v="1"/>
    <n v="3867"/>
    <n v="3867"/>
    <n v="1"/>
    <s v="Yes"/>
    <n v="1"/>
    <n v="12"/>
    <n v="3"/>
    <n v="2"/>
    <n v="1"/>
    <n v="2"/>
    <x v="16"/>
    <n v="2"/>
    <n v="3"/>
    <n v="2"/>
    <n v="2"/>
    <n v="2"/>
    <n v="2"/>
    <n v="2"/>
    <n v="2"/>
    <n v="2"/>
    <n v="2"/>
    <n v="0"/>
    <n v="0"/>
    <n v="0"/>
    <n v="1"/>
    <n v="0"/>
    <n v="0"/>
    <n v="0"/>
    <n v="1"/>
    <n v="0"/>
    <n v="2"/>
    <n v="0"/>
    <n v="0"/>
    <n v="2"/>
    <n v="0"/>
    <n v="0.55988859158186144"/>
    <n v="0.59502473559756086"/>
    <n v="1.192629766998377"/>
    <n v="0.81745575848020657"/>
    <n v="0.88721318382472392"/>
    <n v="0.97684123527310796"/>
    <n v="5.8265062631872602E-2"/>
  </r>
  <r>
    <n v="51"/>
    <n v="51"/>
    <s v="No"/>
    <n v="0"/>
    <s v="Travel_Frequently"/>
    <n v="1"/>
    <n v="0"/>
    <x v="1"/>
    <n v="1"/>
    <n v="0"/>
    <n v="6"/>
    <n v="6"/>
    <n v="2"/>
    <s v="Medical"/>
    <n v="0"/>
    <n v="0"/>
    <n v="1"/>
    <n v="0"/>
    <n v="0"/>
    <n v="2"/>
    <s v="Female"/>
    <n v="1"/>
    <n v="40"/>
    <n v="2"/>
    <n v="1"/>
    <s v="Laboratory Technician"/>
    <n v="0"/>
    <n v="0"/>
    <n v="1"/>
    <n v="0"/>
    <n v="0"/>
    <n v="0"/>
    <n v="0"/>
    <n v="0"/>
    <n v="3"/>
    <s v="Single"/>
    <n v="1"/>
    <n v="0"/>
    <n v="2838"/>
    <n v="2838"/>
    <n v="0"/>
    <s v="No"/>
    <n v="0"/>
    <n v="14"/>
    <n v="3"/>
    <n v="2"/>
    <n v="0"/>
    <n v="8"/>
    <x v="0"/>
    <n v="6"/>
    <n v="2"/>
    <n v="7"/>
    <n v="7"/>
    <n v="0"/>
    <n v="7"/>
    <n v="7"/>
    <n v="7"/>
    <n v="7"/>
    <n v="7"/>
    <n v="0"/>
    <n v="0"/>
    <n v="1"/>
    <n v="0"/>
    <n v="1"/>
    <n v="0"/>
    <n v="0"/>
    <n v="0"/>
    <n v="0"/>
    <n v="7"/>
    <n v="0"/>
    <n v="0"/>
    <n v="8"/>
    <n v="0"/>
    <n v="0.7784547440355557"/>
    <n v="0.80626709607243985"/>
    <n v="0.42149901815843233"/>
    <n v="1.3324462240916321E-3"/>
    <n v="0.39380416832397891"/>
    <n v="1.5408445525439205"/>
    <n v="1.4933588878908215"/>
  </r>
  <r>
    <n v="30"/>
    <n v="30"/>
    <s v="No"/>
    <n v="0"/>
    <s v="Non-Travel"/>
    <n v="0"/>
    <n v="0"/>
    <x v="1"/>
    <n v="1"/>
    <n v="0"/>
    <n v="9"/>
    <n v="9"/>
    <n v="2"/>
    <s v="Medical"/>
    <n v="0"/>
    <n v="0"/>
    <n v="1"/>
    <n v="0"/>
    <n v="0"/>
    <n v="3"/>
    <s v="Female"/>
    <n v="1"/>
    <n v="72"/>
    <n v="3"/>
    <n v="2"/>
    <s v="Manufacturing Director"/>
    <n v="0"/>
    <n v="0"/>
    <n v="0"/>
    <n v="0"/>
    <n v="1"/>
    <n v="1"/>
    <n v="0"/>
    <n v="0"/>
    <n v="3"/>
    <s v="Single"/>
    <n v="1"/>
    <n v="0"/>
    <n v="4695"/>
    <n v="4695"/>
    <n v="7"/>
    <s v="Yes"/>
    <n v="1"/>
    <n v="18"/>
    <n v="3"/>
    <n v="3"/>
    <n v="0"/>
    <n v="10"/>
    <x v="1"/>
    <n v="3"/>
    <n v="3"/>
    <n v="8"/>
    <n v="8"/>
    <n v="4"/>
    <n v="1"/>
    <n v="1"/>
    <n v="7"/>
    <n v="7"/>
    <n v="14"/>
    <n v="1"/>
    <n v="0"/>
    <n v="0"/>
    <n v="0"/>
    <n v="0"/>
    <n v="1"/>
    <n v="0"/>
    <n v="0"/>
    <n v="0"/>
    <n v="7"/>
    <n v="0"/>
    <n v="0"/>
    <n v="10"/>
    <n v="0"/>
    <n v="0.3840161190535244"/>
    <n v="0.80626709607243985"/>
    <n v="0.1644554352117841"/>
    <n v="0.16189221622713135"/>
    <n v="2.3747406698420157E-2"/>
    <n v="0.75791203633249671"/>
    <n v="0.36858985273641137"/>
  </r>
  <r>
    <n v="29"/>
    <n v="29"/>
    <s v="Yes"/>
    <n v="1"/>
    <s v="Travel_Rarely"/>
    <n v="0"/>
    <n v="1"/>
    <x v="1"/>
    <n v="1"/>
    <n v="0"/>
    <n v="7"/>
    <n v="7"/>
    <n v="3"/>
    <s v="Technical Degree"/>
    <n v="0"/>
    <n v="0"/>
    <n v="0"/>
    <n v="0"/>
    <n v="1"/>
    <n v="2"/>
    <s v="Female"/>
    <n v="1"/>
    <n v="39"/>
    <n v="3"/>
    <n v="1"/>
    <s v="Laboratory Technician"/>
    <n v="0"/>
    <n v="0"/>
    <n v="1"/>
    <n v="0"/>
    <n v="0"/>
    <n v="0"/>
    <n v="0"/>
    <n v="0"/>
    <n v="3"/>
    <s v="Divorced"/>
    <n v="0"/>
    <n v="0"/>
    <n v="3339"/>
    <n v="3339"/>
    <n v="3"/>
    <s v="Yes"/>
    <n v="1"/>
    <n v="13"/>
    <n v="3"/>
    <n v="1"/>
    <n v="2"/>
    <n v="10"/>
    <x v="1"/>
    <n v="2"/>
    <n v="3"/>
    <n v="7"/>
    <n v="7"/>
    <n v="7"/>
    <n v="7"/>
    <n v="7"/>
    <n v="7"/>
    <n v="7"/>
    <n v="7"/>
    <n v="1"/>
    <n v="0"/>
    <n v="0"/>
    <n v="0"/>
    <n v="0"/>
    <n v="1"/>
    <n v="0"/>
    <n v="0"/>
    <n v="0"/>
    <n v="7"/>
    <n v="0"/>
    <n v="0"/>
    <n v="10"/>
    <n v="0"/>
    <n v="0.67203915377384449"/>
    <n v="0.80626709607243985"/>
    <n v="0.1644554352117841"/>
    <n v="1.3324462240916321E-3"/>
    <n v="0.27045191444879263"/>
    <n v="0.86737663580280233"/>
    <n v="1.4933588878908215"/>
  </r>
  <r>
    <n v="28"/>
    <n v="28"/>
    <s v="No"/>
    <n v="0"/>
    <s v="Travel_Rarely"/>
    <n v="0"/>
    <n v="1"/>
    <x v="1"/>
    <n v="1"/>
    <n v="0"/>
    <n v="1"/>
    <n v="1"/>
    <n v="3"/>
    <s v="Technical Degree"/>
    <n v="0"/>
    <n v="0"/>
    <n v="0"/>
    <n v="0"/>
    <n v="1"/>
    <n v="4"/>
    <s v="Male"/>
    <n v="0"/>
    <n v="84"/>
    <n v="3"/>
    <n v="1"/>
    <s v="Research Scientist"/>
    <n v="0"/>
    <n v="0"/>
    <n v="0"/>
    <n v="0"/>
    <n v="0"/>
    <n v="0"/>
    <n v="0"/>
    <n v="1"/>
    <n v="1"/>
    <s v="Single"/>
    <n v="1"/>
    <n v="0"/>
    <n v="2080"/>
    <n v="2080"/>
    <n v="2"/>
    <s v="No"/>
    <n v="0"/>
    <n v="11"/>
    <n v="3"/>
    <n v="2"/>
    <n v="0"/>
    <n v="5"/>
    <x v="7"/>
    <n v="2"/>
    <n v="2"/>
    <n v="3"/>
    <n v="3"/>
    <n v="2"/>
    <n v="1"/>
    <n v="1"/>
    <n v="2"/>
    <n v="2"/>
    <n v="2"/>
    <n v="1"/>
    <n v="0"/>
    <n v="0"/>
    <n v="0"/>
    <n v="1"/>
    <n v="0"/>
    <n v="0"/>
    <n v="0"/>
    <n v="0"/>
    <n v="2"/>
    <n v="0"/>
    <n v="0"/>
    <n v="5"/>
    <n v="0"/>
    <n v="0.9394587708187434"/>
    <n v="0.59502473559756086"/>
    <n v="0.80706439257840468"/>
    <n v="0.65423109602898355"/>
    <n v="1.01056543769991"/>
    <n v="0.97684123527310796"/>
    <n v="0.36858985273641137"/>
  </r>
  <r>
    <n v="25"/>
    <n v="25"/>
    <s v="No"/>
    <n v="0"/>
    <s v="Travel_Rarely"/>
    <n v="0"/>
    <n v="1"/>
    <x v="1"/>
    <n v="1"/>
    <n v="0"/>
    <n v="1"/>
    <n v="1"/>
    <n v="3"/>
    <s v="Medical"/>
    <n v="0"/>
    <n v="0"/>
    <n v="1"/>
    <n v="0"/>
    <n v="0"/>
    <n v="4"/>
    <s v="Female"/>
    <n v="1"/>
    <n v="40"/>
    <n v="3"/>
    <n v="1"/>
    <s v="Research Scientist"/>
    <n v="0"/>
    <n v="0"/>
    <n v="0"/>
    <n v="0"/>
    <n v="0"/>
    <n v="0"/>
    <n v="0"/>
    <n v="1"/>
    <n v="2"/>
    <s v="Single"/>
    <n v="1"/>
    <n v="0"/>
    <n v="2096"/>
    <n v="2096"/>
    <n v="1"/>
    <s v="No"/>
    <n v="0"/>
    <n v="18"/>
    <n v="3"/>
    <n v="4"/>
    <n v="0"/>
    <n v="2"/>
    <x v="16"/>
    <n v="3"/>
    <n v="2"/>
    <n v="2"/>
    <n v="2"/>
    <n v="2"/>
    <n v="2"/>
    <n v="2"/>
    <n v="1"/>
    <n v="1"/>
    <n v="1"/>
    <n v="1"/>
    <n v="0"/>
    <n v="0"/>
    <n v="0"/>
    <n v="1"/>
    <n v="0"/>
    <n v="0"/>
    <n v="0"/>
    <n v="0"/>
    <n v="1"/>
    <n v="0"/>
    <n v="0"/>
    <n v="2"/>
    <n v="0"/>
    <n v="0.93606026893413785"/>
    <n v="0.87528310193156111"/>
    <n v="1.192629766998377"/>
    <n v="0.81745575848020657"/>
    <n v="1.01056543769991"/>
    <n v="1.3052350336840246"/>
    <n v="5.8265062631872602E-2"/>
  </r>
  <r>
    <n v="32"/>
    <n v="32"/>
    <s v="No"/>
    <n v="0"/>
    <s v="Travel_Rarely"/>
    <n v="0"/>
    <n v="1"/>
    <x v="0"/>
    <n v="0"/>
    <n v="1"/>
    <n v="8"/>
    <n v="8"/>
    <n v="3"/>
    <s v="Medical"/>
    <n v="0"/>
    <n v="0"/>
    <n v="1"/>
    <n v="0"/>
    <n v="0"/>
    <n v="3"/>
    <s v="Male"/>
    <n v="0"/>
    <n v="56"/>
    <n v="4"/>
    <n v="2"/>
    <s v="Sales Executive"/>
    <n v="0"/>
    <n v="1"/>
    <n v="0"/>
    <n v="0"/>
    <n v="0"/>
    <n v="0"/>
    <n v="0"/>
    <n v="0"/>
    <n v="4"/>
    <s v="Married"/>
    <n v="0"/>
    <n v="1"/>
    <n v="6209"/>
    <n v="6209"/>
    <n v="1"/>
    <s v="No"/>
    <n v="0"/>
    <n v="15"/>
    <n v="3"/>
    <n v="3"/>
    <n v="2"/>
    <n v="10"/>
    <x v="1"/>
    <n v="4"/>
    <n v="4"/>
    <n v="10"/>
    <n v="10"/>
    <n v="7"/>
    <n v="0"/>
    <n v="0"/>
    <n v="8"/>
    <n v="8"/>
    <n v="16"/>
    <n v="0"/>
    <n v="1"/>
    <n v="0"/>
    <n v="0"/>
    <n v="0"/>
    <n v="0"/>
    <n v="1"/>
    <n v="0"/>
    <n v="0"/>
    <n v="0"/>
    <n v="8"/>
    <n v="0"/>
    <n v="0"/>
    <n v="10"/>
    <n v="6.2432878222724537E-2"/>
    <n v="1.08652546240644"/>
    <n v="0.1644554352117841"/>
    <n v="0.48834154112957734"/>
    <n v="0.14709966057360641"/>
    <n v="0.53898283739188557"/>
    <n v="0.67891464284095016"/>
  </r>
  <r>
    <n v="45"/>
    <n v="45"/>
    <s v="No"/>
    <n v="0"/>
    <s v="Travel_Frequently"/>
    <n v="1"/>
    <n v="0"/>
    <x v="1"/>
    <n v="1"/>
    <n v="0"/>
    <n v="25"/>
    <n v="25"/>
    <n v="3"/>
    <s v="Medical"/>
    <n v="0"/>
    <n v="0"/>
    <n v="1"/>
    <n v="0"/>
    <n v="0"/>
    <n v="2"/>
    <s v="Female"/>
    <n v="1"/>
    <n v="83"/>
    <n v="3"/>
    <n v="5"/>
    <s v="Manager"/>
    <n v="0"/>
    <n v="0"/>
    <n v="0"/>
    <n v="1"/>
    <n v="0"/>
    <n v="0"/>
    <n v="0"/>
    <n v="0"/>
    <n v="2"/>
    <s v="Single"/>
    <n v="1"/>
    <n v="0"/>
    <n v="18061"/>
    <n v="18061"/>
    <n v="3"/>
    <s v="No"/>
    <n v="0"/>
    <n v="22"/>
    <n v="4"/>
    <n v="3"/>
    <n v="0"/>
    <n v="22"/>
    <x v="13"/>
    <n v="4"/>
    <n v="3"/>
    <n v="0"/>
    <n v="0"/>
    <n v="0"/>
    <n v="0"/>
    <n v="0"/>
    <n v="0"/>
    <n v="0"/>
    <n v="0"/>
    <n v="0"/>
    <n v="0"/>
    <n v="1"/>
    <n v="0"/>
    <n v="1"/>
    <n v="0"/>
    <n v="0"/>
    <n v="0"/>
    <n v="0"/>
    <n v="0"/>
    <n v="0"/>
    <n v="0"/>
    <n v="22"/>
    <n v="0"/>
    <n v="2.4550073927988341"/>
    <n v="1.1555414682655611"/>
    <n v="1.3778060624681052"/>
    <n v="1.1439050833826525"/>
    <n v="1.9498886553045598"/>
    <n v="0.88405695572208698"/>
    <n v="0.67891464284095016"/>
  </r>
  <r>
    <n v="39"/>
    <n v="39"/>
    <s v="No"/>
    <n v="0"/>
    <s v="Travel_Rarely"/>
    <n v="0"/>
    <n v="1"/>
    <x v="1"/>
    <n v="1"/>
    <n v="0"/>
    <n v="13"/>
    <n v="13"/>
    <n v="4"/>
    <s v="Medical"/>
    <n v="0"/>
    <n v="0"/>
    <n v="1"/>
    <n v="0"/>
    <n v="0"/>
    <n v="3"/>
    <s v="Female"/>
    <n v="1"/>
    <n v="94"/>
    <n v="2"/>
    <n v="4"/>
    <s v="Manager"/>
    <n v="0"/>
    <n v="0"/>
    <n v="0"/>
    <n v="1"/>
    <n v="0"/>
    <n v="0"/>
    <n v="0"/>
    <n v="0"/>
    <n v="2"/>
    <s v="Divorced"/>
    <n v="0"/>
    <n v="0"/>
    <n v="17123"/>
    <n v="17123"/>
    <n v="6"/>
    <s v="Yes"/>
    <n v="1"/>
    <n v="13"/>
    <n v="3"/>
    <n v="4"/>
    <n v="2"/>
    <n v="21"/>
    <x v="23"/>
    <n v="4"/>
    <n v="3"/>
    <n v="19"/>
    <n v="19"/>
    <n v="9"/>
    <n v="15"/>
    <n v="14"/>
    <n v="2"/>
    <n v="2"/>
    <n v="8"/>
    <n v="1"/>
    <n v="0"/>
    <n v="0"/>
    <n v="0"/>
    <n v="0"/>
    <n v="1"/>
    <n v="0"/>
    <n v="0"/>
    <n v="0"/>
    <n v="2"/>
    <n v="0"/>
    <n v="0"/>
    <n v="21"/>
    <n v="0"/>
    <n v="2.2557702198138339"/>
    <n v="0.59502473559756086"/>
    <n v="1.2492842709947811"/>
    <n v="1.9573635031905841"/>
    <n v="0.46966160880232483"/>
    <n v="0.22726935890025346"/>
    <n v="3.9759572087271318"/>
  </r>
  <r>
    <n v="58"/>
    <n v="58"/>
    <s v="No"/>
    <n v="0"/>
    <s v="Travel_Rarely"/>
    <n v="0"/>
    <n v="1"/>
    <x v="1"/>
    <n v="1"/>
    <n v="0"/>
    <n v="23"/>
    <n v="23"/>
    <n v="4"/>
    <s v="Life Sciences"/>
    <n v="1"/>
    <n v="0"/>
    <n v="0"/>
    <n v="0"/>
    <n v="0"/>
    <n v="1"/>
    <s v="Male"/>
    <n v="0"/>
    <n v="88"/>
    <n v="3"/>
    <n v="1"/>
    <s v="Research Scientist"/>
    <n v="0"/>
    <n v="0"/>
    <n v="0"/>
    <n v="0"/>
    <n v="0"/>
    <n v="0"/>
    <n v="0"/>
    <n v="1"/>
    <n v="3"/>
    <s v="Divorced"/>
    <n v="0"/>
    <n v="0"/>
    <n v="2372"/>
    <n v="2372"/>
    <n v="1"/>
    <s v="No"/>
    <n v="0"/>
    <n v="12"/>
    <n v="3"/>
    <n v="4"/>
    <n v="2"/>
    <n v="2"/>
    <x v="16"/>
    <n v="3"/>
    <n v="3"/>
    <n v="2"/>
    <n v="2"/>
    <n v="2"/>
    <n v="2"/>
    <n v="2"/>
    <n v="2"/>
    <n v="2"/>
    <n v="2"/>
    <n v="1"/>
    <n v="0"/>
    <n v="0"/>
    <n v="0"/>
    <n v="1"/>
    <n v="0"/>
    <n v="0"/>
    <n v="0"/>
    <n v="0"/>
    <n v="2"/>
    <n v="0"/>
    <n v="0"/>
    <n v="2"/>
    <n v="0"/>
    <n v="0.87743611142469224"/>
    <n v="0.59502473559756086"/>
    <n v="1.192629766998377"/>
    <n v="0.81745575848020657"/>
    <n v="1.7031841475541873"/>
    <n v="2.3070967488360594"/>
    <n v="5.8265062631872602E-2"/>
  </r>
  <r>
    <n v="32"/>
    <n v="32"/>
    <s v="Yes"/>
    <n v="1"/>
    <s v="Travel_Rarely"/>
    <n v="0"/>
    <n v="1"/>
    <x v="1"/>
    <n v="1"/>
    <n v="0"/>
    <n v="7"/>
    <n v="7"/>
    <n v="2"/>
    <s v="Life Sciences"/>
    <n v="1"/>
    <n v="0"/>
    <n v="0"/>
    <n v="0"/>
    <n v="0"/>
    <n v="4"/>
    <s v="Male"/>
    <n v="0"/>
    <n v="79"/>
    <n v="3"/>
    <n v="2"/>
    <s v="Laboratory Technician"/>
    <n v="0"/>
    <n v="0"/>
    <n v="1"/>
    <n v="0"/>
    <n v="0"/>
    <n v="0"/>
    <n v="0"/>
    <n v="0"/>
    <n v="3"/>
    <s v="Married"/>
    <n v="0"/>
    <n v="1"/>
    <n v="4883"/>
    <n v="4883"/>
    <n v="1"/>
    <s v="No"/>
    <n v="0"/>
    <n v="18"/>
    <n v="3"/>
    <n v="1"/>
    <n v="1"/>
    <n v="10"/>
    <x v="1"/>
    <n v="3"/>
    <n v="3"/>
    <n v="10"/>
    <n v="10"/>
    <n v="4"/>
    <n v="1"/>
    <n v="1"/>
    <n v="1"/>
    <n v="1"/>
    <n v="2"/>
    <n v="0"/>
    <n v="1"/>
    <n v="0"/>
    <n v="0"/>
    <n v="0"/>
    <n v="0"/>
    <n v="1"/>
    <n v="0"/>
    <n v="0"/>
    <n v="1"/>
    <n v="0"/>
    <n v="0"/>
    <n v="10"/>
    <n v="0"/>
    <n v="0.34408372190940922"/>
    <n v="0.87528310193156111"/>
    <n v="0.1644554352117841"/>
    <n v="0.48834154112957734"/>
    <n v="0.27045191444879263"/>
    <n v="0.53898283739188557"/>
    <n v="0.36858985273641137"/>
  </r>
  <r>
    <n v="39"/>
    <n v="39"/>
    <s v="Yes"/>
    <n v="1"/>
    <s v="Travel_Rarely"/>
    <n v="0"/>
    <n v="1"/>
    <x v="1"/>
    <n v="1"/>
    <n v="0"/>
    <n v="23"/>
    <n v="23"/>
    <n v="3"/>
    <s v="Medical"/>
    <n v="0"/>
    <n v="0"/>
    <n v="1"/>
    <n v="0"/>
    <n v="0"/>
    <n v="3"/>
    <s v="Male"/>
    <n v="0"/>
    <n v="93"/>
    <n v="3"/>
    <n v="1"/>
    <s v="Research Scientist"/>
    <n v="0"/>
    <n v="0"/>
    <n v="0"/>
    <n v="0"/>
    <n v="0"/>
    <n v="0"/>
    <n v="0"/>
    <n v="1"/>
    <n v="1"/>
    <s v="Single"/>
    <n v="1"/>
    <n v="0"/>
    <n v="3904"/>
    <n v="3904"/>
    <n v="0"/>
    <s v="No"/>
    <n v="0"/>
    <n v="13"/>
    <n v="3"/>
    <n v="1"/>
    <n v="0"/>
    <n v="6"/>
    <x v="3"/>
    <n v="2"/>
    <n v="3"/>
    <n v="5"/>
    <n v="5"/>
    <n v="2"/>
    <n v="0"/>
    <n v="0"/>
    <n v="3"/>
    <n v="3"/>
    <n v="3"/>
    <n v="1"/>
    <n v="0"/>
    <n v="0"/>
    <n v="0"/>
    <n v="1"/>
    <n v="0"/>
    <n v="0"/>
    <n v="0"/>
    <n v="0"/>
    <n v="3"/>
    <n v="0"/>
    <n v="0"/>
    <n v="6"/>
    <n v="0"/>
    <n v="0.55202955597371106"/>
    <n v="0.31476636926356072"/>
    <n v="0.67854260110508058"/>
    <n v="0.32778177112653761"/>
    <n v="1.7031841475541873"/>
    <n v="0.22726935890025346"/>
    <n v="0.67891464284095016"/>
  </r>
  <r>
    <n v="30"/>
    <n v="30"/>
    <s v="No"/>
    <n v="0"/>
    <s v="Travel_Rarely"/>
    <n v="0"/>
    <n v="1"/>
    <x v="1"/>
    <n v="1"/>
    <n v="0"/>
    <n v="6"/>
    <n v="6"/>
    <n v="3"/>
    <s v="Technical Degree"/>
    <n v="0"/>
    <n v="0"/>
    <n v="0"/>
    <n v="0"/>
    <n v="1"/>
    <n v="1"/>
    <s v="Female"/>
    <n v="1"/>
    <n v="48"/>
    <n v="2"/>
    <n v="2"/>
    <s v="Laboratory Technician"/>
    <n v="0"/>
    <n v="0"/>
    <n v="1"/>
    <n v="0"/>
    <n v="0"/>
    <n v="0"/>
    <n v="0"/>
    <n v="0"/>
    <n v="4"/>
    <s v="Married"/>
    <n v="0"/>
    <n v="1"/>
    <n v="4627"/>
    <n v="4627"/>
    <n v="0"/>
    <s v="No"/>
    <n v="0"/>
    <n v="12"/>
    <n v="3"/>
    <n v="1"/>
    <n v="1"/>
    <n v="10"/>
    <x v="1"/>
    <n v="6"/>
    <n v="3"/>
    <n v="9"/>
    <n v="9"/>
    <n v="2"/>
    <n v="6"/>
    <n v="6"/>
    <n v="7"/>
    <n v="7"/>
    <n v="14"/>
    <n v="0"/>
    <n v="1"/>
    <n v="0"/>
    <n v="0"/>
    <n v="0"/>
    <n v="0"/>
    <n v="1"/>
    <n v="0"/>
    <n v="0"/>
    <n v="7"/>
    <n v="0"/>
    <n v="0"/>
    <n v="10"/>
    <n v="0"/>
    <n v="0.39845975206309797"/>
    <n v="0.80626709607243985"/>
    <n v="0.1644554352117841"/>
    <n v="0.32511687867835437"/>
    <n v="0.39380416832397891"/>
    <n v="0.75791203633249671"/>
    <n v="1.1830340977862825"/>
  </r>
  <r>
    <n v="36"/>
    <n v="36"/>
    <s v="No"/>
    <n v="0"/>
    <s v="Travel_Rarely"/>
    <n v="0"/>
    <n v="1"/>
    <x v="1"/>
    <n v="1"/>
    <n v="0"/>
    <n v="10"/>
    <n v="10"/>
    <n v="4"/>
    <s v="Technical Degree"/>
    <n v="0"/>
    <n v="0"/>
    <n v="0"/>
    <n v="0"/>
    <n v="1"/>
    <n v="4"/>
    <s v="Female"/>
    <n v="1"/>
    <n v="63"/>
    <n v="3"/>
    <n v="3"/>
    <s v="Healthcare Representative"/>
    <n v="1"/>
    <n v="0"/>
    <n v="0"/>
    <n v="0"/>
    <n v="0"/>
    <n v="0"/>
    <n v="0"/>
    <n v="0"/>
    <n v="3"/>
    <s v="Married"/>
    <n v="0"/>
    <n v="1"/>
    <n v="7094"/>
    <n v="7094"/>
    <n v="3"/>
    <s v="No"/>
    <n v="0"/>
    <n v="12"/>
    <n v="3"/>
    <n v="1"/>
    <n v="0"/>
    <n v="10"/>
    <x v="1"/>
    <n v="0"/>
    <n v="3"/>
    <n v="7"/>
    <n v="7"/>
    <n v="7"/>
    <n v="1"/>
    <n v="1"/>
    <n v="7"/>
    <n v="7"/>
    <n v="21"/>
    <n v="0"/>
    <n v="1"/>
    <n v="0"/>
    <n v="0"/>
    <n v="0"/>
    <n v="0"/>
    <n v="1"/>
    <n v="0"/>
    <n v="0"/>
    <n v="7"/>
    <n v="0"/>
    <n v="0"/>
    <n v="10"/>
    <n v="0"/>
    <n v="0.12554675726951978"/>
    <n v="0.80626709607243985"/>
    <n v="0.1644554352117841"/>
    <n v="1.3324462240916321E-3"/>
    <n v="9.9604847176766084E-2"/>
    <n v="0.10112443951066327"/>
    <n v="0.36858985273641137"/>
  </r>
  <r>
    <n v="46"/>
    <n v="46"/>
    <s v="No"/>
    <n v="0"/>
    <s v="Travel_Rarely"/>
    <n v="0"/>
    <n v="1"/>
    <x v="2"/>
    <n v="0"/>
    <n v="0"/>
    <n v="1"/>
    <n v="1"/>
    <n v="2"/>
    <s v="Life Sciences"/>
    <n v="1"/>
    <n v="0"/>
    <n v="0"/>
    <n v="0"/>
    <n v="0"/>
    <n v="4"/>
    <s v="Female"/>
    <n v="1"/>
    <n v="44"/>
    <n v="3"/>
    <n v="1"/>
    <s v="Human Resources"/>
    <n v="0"/>
    <n v="0"/>
    <n v="0"/>
    <n v="0"/>
    <n v="0"/>
    <n v="0"/>
    <n v="0"/>
    <n v="0"/>
    <n v="1"/>
    <s v="Single"/>
    <n v="1"/>
    <n v="0"/>
    <n v="3423"/>
    <n v="3423"/>
    <n v="6"/>
    <s v="No"/>
    <n v="0"/>
    <n v="12"/>
    <n v="3"/>
    <n v="3"/>
    <n v="0"/>
    <n v="10"/>
    <x v="1"/>
    <n v="3"/>
    <n v="4"/>
    <n v="7"/>
    <n v="7"/>
    <n v="6"/>
    <n v="5"/>
    <n v="5"/>
    <n v="7"/>
    <n v="7"/>
    <n v="7"/>
    <n v="1"/>
    <n v="0"/>
    <n v="0"/>
    <n v="0"/>
    <n v="1"/>
    <n v="0"/>
    <n v="0"/>
    <n v="0"/>
    <n v="7"/>
    <n v="0"/>
    <n v="0"/>
    <n v="10"/>
    <n v="0"/>
    <n v="0"/>
    <n v="0.65419701887966542"/>
    <n v="0.80626709607243985"/>
    <n v="0.1644554352117841"/>
    <n v="1.3324462240916321E-3"/>
    <n v="1.01056543769991"/>
    <n v="0.99352155519239249"/>
    <n v="0.87270930768174382"/>
  </r>
  <r>
    <n v="28"/>
    <n v="28"/>
    <s v="No"/>
    <n v="0"/>
    <s v="Non-Travel"/>
    <n v="0"/>
    <n v="0"/>
    <x v="1"/>
    <n v="1"/>
    <n v="0"/>
    <n v="1"/>
    <n v="1"/>
    <n v="3"/>
    <s v="Life Sciences"/>
    <n v="1"/>
    <n v="0"/>
    <n v="0"/>
    <n v="0"/>
    <n v="0"/>
    <n v="3"/>
    <s v="Female"/>
    <n v="1"/>
    <n v="55"/>
    <n v="1"/>
    <n v="2"/>
    <s v="Laboratory Technician"/>
    <n v="0"/>
    <n v="0"/>
    <n v="1"/>
    <n v="0"/>
    <n v="0"/>
    <n v="0"/>
    <n v="0"/>
    <n v="0"/>
    <n v="4"/>
    <s v="Married"/>
    <n v="0"/>
    <n v="1"/>
    <n v="6674"/>
    <n v="6674"/>
    <n v="0"/>
    <s v="No"/>
    <n v="0"/>
    <n v="11"/>
    <n v="3"/>
    <n v="1"/>
    <n v="3"/>
    <n v="10"/>
    <x v="1"/>
    <n v="6"/>
    <n v="3"/>
    <n v="9"/>
    <n v="9"/>
    <n v="8"/>
    <n v="7"/>
    <n v="7"/>
    <n v="5"/>
    <n v="5"/>
    <n v="10"/>
    <n v="0"/>
    <n v="1"/>
    <n v="0"/>
    <n v="0"/>
    <n v="0"/>
    <n v="0"/>
    <n v="1"/>
    <n v="0"/>
    <n v="0"/>
    <n v="5"/>
    <n v="0"/>
    <n v="0"/>
    <n v="10"/>
    <n v="0"/>
    <n v="3.6336082798624166E-2"/>
    <n v="0.24575036340443959"/>
    <n v="0.1644554352117841"/>
    <n v="0.32511687867835437"/>
    <n v="1.01056543769991"/>
    <n v="0.97684123527310796"/>
    <n v="1.4933588878908215"/>
  </r>
  <r>
    <n v="50"/>
    <n v="50"/>
    <s v="No"/>
    <n v="0"/>
    <s v="Travel_Rarely"/>
    <n v="0"/>
    <n v="1"/>
    <x v="1"/>
    <n v="1"/>
    <n v="0"/>
    <n v="28"/>
    <n v="28"/>
    <n v="3"/>
    <s v="Life Sciences"/>
    <n v="1"/>
    <n v="0"/>
    <n v="0"/>
    <n v="0"/>
    <n v="0"/>
    <n v="4"/>
    <s v="Female"/>
    <n v="1"/>
    <n v="43"/>
    <n v="3"/>
    <n v="4"/>
    <s v="Research Director"/>
    <n v="0"/>
    <n v="0"/>
    <n v="0"/>
    <n v="0"/>
    <n v="0"/>
    <n v="0"/>
    <n v="0"/>
    <n v="0"/>
    <n v="1"/>
    <s v="Married"/>
    <n v="0"/>
    <n v="1"/>
    <n v="16880"/>
    <n v="16880"/>
    <n v="4"/>
    <s v="Yes"/>
    <n v="1"/>
    <n v="11"/>
    <n v="3"/>
    <n v="2"/>
    <n v="0"/>
    <n v="25"/>
    <x v="24"/>
    <n v="2"/>
    <n v="3"/>
    <n v="3"/>
    <n v="3"/>
    <n v="2"/>
    <n v="1"/>
    <n v="1"/>
    <n v="2"/>
    <n v="2"/>
    <n v="8"/>
    <n v="0"/>
    <n v="1"/>
    <n v="0"/>
    <n v="0"/>
    <n v="0"/>
    <n v="0"/>
    <n v="0"/>
    <n v="1"/>
    <n v="0"/>
    <n v="2"/>
    <n v="0"/>
    <n v="0"/>
    <n v="25"/>
    <n v="0"/>
    <n v="2.2041554724413874"/>
    <n v="0.59502473559756086"/>
    <n v="1.7633714368880775"/>
    <n v="0.65423109602898355"/>
    <n v="2.3199454169301186"/>
    <n v="1.4313799530736149"/>
    <n v="0.36858985273641137"/>
  </r>
  <r>
    <n v="40"/>
    <n v="40"/>
    <s v="Yes"/>
    <n v="1"/>
    <s v="Travel_Rarely"/>
    <n v="0"/>
    <n v="1"/>
    <x v="0"/>
    <n v="0"/>
    <n v="1"/>
    <n v="25"/>
    <n v="25"/>
    <n v="4"/>
    <s v="Marketing"/>
    <n v="0"/>
    <n v="0"/>
    <n v="0"/>
    <n v="1"/>
    <n v="0"/>
    <n v="4"/>
    <s v="Male"/>
    <n v="0"/>
    <n v="57"/>
    <n v="2"/>
    <n v="3"/>
    <s v="Sales Executive"/>
    <n v="0"/>
    <n v="1"/>
    <n v="0"/>
    <n v="0"/>
    <n v="0"/>
    <n v="0"/>
    <n v="0"/>
    <n v="0"/>
    <n v="2"/>
    <s v="Single"/>
    <n v="1"/>
    <n v="0"/>
    <n v="9094"/>
    <n v="9094"/>
    <n v="2"/>
    <s v="Yes"/>
    <n v="1"/>
    <n v="12"/>
    <n v="3"/>
    <n v="3"/>
    <n v="0"/>
    <n v="9"/>
    <x v="14"/>
    <n v="2"/>
    <n v="3"/>
    <n v="5"/>
    <n v="5"/>
    <n v="4"/>
    <n v="1"/>
    <n v="1"/>
    <n v="0"/>
    <n v="0"/>
    <n v="0"/>
    <n v="1"/>
    <n v="0"/>
    <n v="0"/>
    <n v="0"/>
    <n v="0"/>
    <n v="1"/>
    <n v="0"/>
    <n v="0"/>
    <n v="0"/>
    <n v="0"/>
    <n v="0"/>
    <n v="0"/>
    <n v="0"/>
    <n v="9"/>
    <n v="0.55035949284521313"/>
    <n v="1.1555414682655611"/>
    <n v="0.29297722668510823"/>
    <n v="0.32778177112653761"/>
    <n v="1.9498886553045598"/>
    <n v="0.33673395837055903"/>
    <n v="0.36858985273641137"/>
  </r>
  <r>
    <n v="52"/>
    <n v="52"/>
    <s v="Yes"/>
    <n v="1"/>
    <s v="Travel_Rarely"/>
    <n v="0"/>
    <n v="1"/>
    <x v="0"/>
    <n v="0"/>
    <n v="1"/>
    <n v="5"/>
    <n v="5"/>
    <n v="3"/>
    <s v="Life Sciences"/>
    <n v="1"/>
    <n v="0"/>
    <n v="0"/>
    <n v="0"/>
    <n v="0"/>
    <n v="2"/>
    <s v="Male"/>
    <n v="0"/>
    <n v="64"/>
    <n v="3"/>
    <n v="3"/>
    <s v="Sales Executive"/>
    <n v="0"/>
    <n v="1"/>
    <n v="0"/>
    <n v="0"/>
    <n v="0"/>
    <n v="0"/>
    <n v="0"/>
    <n v="0"/>
    <n v="2"/>
    <s v="Single"/>
    <n v="1"/>
    <n v="0"/>
    <n v="8446"/>
    <n v="8446"/>
    <n v="9"/>
    <s v="Yes"/>
    <n v="1"/>
    <n v="19"/>
    <n v="3"/>
    <n v="3"/>
    <n v="0"/>
    <n v="10"/>
    <x v="1"/>
    <n v="2"/>
    <n v="2"/>
    <n v="8"/>
    <n v="8"/>
    <n v="7"/>
    <n v="7"/>
    <n v="7"/>
    <n v="7"/>
    <n v="7"/>
    <n v="21"/>
    <n v="1"/>
    <n v="0"/>
    <n v="0"/>
    <n v="0"/>
    <n v="0"/>
    <n v="1"/>
    <n v="0"/>
    <n v="0"/>
    <n v="0"/>
    <n v="0"/>
    <n v="7"/>
    <n v="0"/>
    <n v="0"/>
    <n v="10"/>
    <n v="0.41272016651868848"/>
    <n v="0.80626709607243985"/>
    <n v="0.1644554352117841"/>
    <n v="0.16189221622713135"/>
    <n v="0.51715642219916513"/>
    <n v="1.6503091520142259"/>
    <n v="1.4933588878908215"/>
  </r>
  <r>
    <n v="30"/>
    <n v="30"/>
    <s v="No"/>
    <n v="0"/>
    <s v="Travel_Rarely"/>
    <n v="0"/>
    <n v="1"/>
    <x v="1"/>
    <n v="1"/>
    <n v="0"/>
    <n v="17"/>
    <n v="17"/>
    <n v="4"/>
    <s v="Medical"/>
    <n v="0"/>
    <n v="0"/>
    <n v="1"/>
    <n v="0"/>
    <n v="0"/>
    <n v="2"/>
    <s v="Female"/>
    <n v="1"/>
    <n v="95"/>
    <n v="3"/>
    <n v="3"/>
    <s v="Manager"/>
    <n v="0"/>
    <n v="0"/>
    <n v="0"/>
    <n v="1"/>
    <n v="0"/>
    <n v="0"/>
    <n v="0"/>
    <n v="0"/>
    <n v="1"/>
    <s v="Married"/>
    <n v="0"/>
    <n v="1"/>
    <n v="11916"/>
    <n v="11916"/>
    <n v="1"/>
    <s v="Yes"/>
    <n v="1"/>
    <n v="23"/>
    <n v="4"/>
    <n v="4"/>
    <n v="2"/>
    <n v="9"/>
    <x v="14"/>
    <n v="2"/>
    <n v="3"/>
    <n v="9"/>
    <n v="9"/>
    <n v="1"/>
    <n v="0"/>
    <n v="0"/>
    <n v="8"/>
    <n v="8"/>
    <n v="24"/>
    <n v="0"/>
    <n v="1"/>
    <n v="0"/>
    <n v="0"/>
    <n v="0"/>
    <n v="0"/>
    <n v="0"/>
    <n v="1"/>
    <n v="0"/>
    <n v="8"/>
    <n v="0"/>
    <n v="0"/>
    <n v="9"/>
    <n v="0"/>
    <n v="1.1497702627425164"/>
    <n v="1.08652546240644"/>
    <n v="0.29297722668510823"/>
    <n v="0.32511687867835437"/>
    <n v="0.96307062430306978"/>
    <n v="0.75791203633249671"/>
    <n v="0.67891464284095016"/>
  </r>
  <r>
    <n v="39"/>
    <n v="39"/>
    <s v="No"/>
    <n v="0"/>
    <s v="Travel_Rarely"/>
    <n v="0"/>
    <n v="1"/>
    <x v="1"/>
    <n v="1"/>
    <n v="0"/>
    <n v="18"/>
    <n v="18"/>
    <n v="2"/>
    <s v="Life Sciences"/>
    <n v="1"/>
    <n v="0"/>
    <n v="0"/>
    <n v="0"/>
    <n v="0"/>
    <n v="1"/>
    <s v="Male"/>
    <n v="0"/>
    <n v="32"/>
    <n v="3"/>
    <n v="2"/>
    <s v="Manufacturing Director"/>
    <n v="0"/>
    <n v="0"/>
    <n v="0"/>
    <n v="0"/>
    <n v="1"/>
    <n v="1"/>
    <n v="0"/>
    <n v="0"/>
    <n v="3"/>
    <s v="Single"/>
    <n v="1"/>
    <n v="0"/>
    <n v="4534"/>
    <n v="4534"/>
    <n v="0"/>
    <s v="No"/>
    <n v="0"/>
    <n v="11"/>
    <n v="3"/>
    <n v="1"/>
    <n v="0"/>
    <n v="9"/>
    <x v="14"/>
    <n v="6"/>
    <n v="3"/>
    <n v="8"/>
    <n v="8"/>
    <n v="7"/>
    <n v="1"/>
    <n v="1"/>
    <n v="7"/>
    <n v="7"/>
    <n v="14"/>
    <n v="1"/>
    <n v="0"/>
    <n v="0"/>
    <n v="0"/>
    <n v="1"/>
    <n v="0"/>
    <n v="0"/>
    <n v="0"/>
    <n v="0"/>
    <n v="7"/>
    <n v="0"/>
    <n v="0"/>
    <n v="9"/>
    <n v="0"/>
    <n v="0.41821354426736773"/>
    <n v="0.80626709607243985"/>
    <n v="0.29297722668510823"/>
    <n v="0.16189221622713135"/>
    <n v="1.0864228781782561"/>
    <n v="0.22726935890025346"/>
    <n v="0.36858985273641137"/>
  </r>
  <r>
    <n v="31"/>
    <n v="31"/>
    <s v="No"/>
    <n v="0"/>
    <s v="Non-Travel"/>
    <n v="0"/>
    <n v="0"/>
    <x v="0"/>
    <n v="0"/>
    <n v="1"/>
    <n v="2"/>
    <n v="2"/>
    <n v="4"/>
    <s v="Life Sciences"/>
    <n v="1"/>
    <n v="0"/>
    <n v="0"/>
    <n v="0"/>
    <n v="0"/>
    <n v="4"/>
    <s v="Female"/>
    <n v="1"/>
    <n v="57"/>
    <n v="3"/>
    <n v="3"/>
    <s v="Sales Executive"/>
    <n v="0"/>
    <n v="1"/>
    <n v="0"/>
    <n v="0"/>
    <n v="0"/>
    <n v="0"/>
    <n v="0"/>
    <n v="0"/>
    <n v="3"/>
    <s v="Divorced"/>
    <n v="0"/>
    <n v="0"/>
    <n v="9852"/>
    <n v="9852"/>
    <n v="1"/>
    <s v="Yes"/>
    <n v="1"/>
    <n v="19"/>
    <n v="3"/>
    <n v="1"/>
    <n v="1"/>
    <n v="10"/>
    <x v="1"/>
    <n v="5"/>
    <n v="2"/>
    <n v="10"/>
    <n v="10"/>
    <n v="8"/>
    <n v="9"/>
    <n v="9"/>
    <n v="6"/>
    <n v="6"/>
    <n v="18"/>
    <n v="1"/>
    <n v="0"/>
    <n v="0"/>
    <n v="0"/>
    <n v="0"/>
    <n v="1"/>
    <n v="0"/>
    <n v="0"/>
    <n v="0"/>
    <n v="0"/>
    <n v="6"/>
    <n v="0"/>
    <n v="0"/>
    <n v="10"/>
    <n v="0.71136351962840083"/>
    <n v="0.52600872973843971"/>
    <n v="0.1644554352117841"/>
    <n v="0.48834154112957734"/>
    <n v="0.88721318382472392"/>
    <n v="0.6484474368621912"/>
    <n v="2.114008468099899"/>
  </r>
  <r>
    <n v="41"/>
    <n v="41"/>
    <s v="No"/>
    <n v="0"/>
    <s v="Non-Travel"/>
    <n v="0"/>
    <n v="0"/>
    <x v="0"/>
    <n v="0"/>
    <n v="1"/>
    <n v="10"/>
    <n v="10"/>
    <n v="2"/>
    <s v="Medical"/>
    <n v="0"/>
    <n v="0"/>
    <n v="1"/>
    <n v="0"/>
    <n v="0"/>
    <n v="3"/>
    <s v="Male"/>
    <n v="0"/>
    <n v="40"/>
    <n v="1"/>
    <n v="2"/>
    <s v="Sales Executive"/>
    <n v="0"/>
    <n v="1"/>
    <n v="0"/>
    <n v="0"/>
    <n v="0"/>
    <n v="0"/>
    <n v="0"/>
    <n v="0"/>
    <n v="2"/>
    <s v="Single"/>
    <n v="1"/>
    <n v="0"/>
    <n v="6151"/>
    <n v="6151"/>
    <n v="1"/>
    <s v="No"/>
    <n v="0"/>
    <n v="13"/>
    <n v="3"/>
    <n v="1"/>
    <n v="0"/>
    <n v="19"/>
    <x v="15"/>
    <n v="4"/>
    <n v="3"/>
    <n v="19"/>
    <n v="19"/>
    <n v="2"/>
    <n v="11"/>
    <n v="11"/>
    <n v="9"/>
    <n v="9"/>
    <n v="18"/>
    <n v="1"/>
    <n v="0"/>
    <n v="0"/>
    <n v="0"/>
    <n v="1"/>
    <n v="0"/>
    <n v="0"/>
    <n v="0"/>
    <n v="0"/>
    <n v="0"/>
    <n v="9"/>
    <n v="0"/>
    <n v="0"/>
    <n v="19"/>
    <n v="7.4752447554419649E-2"/>
    <n v="1.3667838287404401"/>
    <n v="0.99224068804813281"/>
    <n v="1.9573635031905841"/>
    <n v="9.9604847176766084E-2"/>
    <n v="0.4461985578408646"/>
    <n v="2.7346580483089769"/>
  </r>
  <r>
    <n v="31"/>
    <n v="31"/>
    <s v="Yes"/>
    <n v="1"/>
    <s v="Travel_Frequently"/>
    <n v="1"/>
    <n v="0"/>
    <x v="0"/>
    <n v="0"/>
    <n v="1"/>
    <n v="1"/>
    <n v="1"/>
    <n v="3"/>
    <s v="Life Sciences"/>
    <n v="1"/>
    <n v="0"/>
    <n v="0"/>
    <n v="0"/>
    <n v="0"/>
    <n v="4"/>
    <s v="Female"/>
    <n v="1"/>
    <n v="54"/>
    <n v="3"/>
    <n v="1"/>
    <s v="Sales Representative"/>
    <n v="0"/>
    <n v="0"/>
    <n v="0"/>
    <n v="0"/>
    <n v="0"/>
    <n v="0"/>
    <n v="1"/>
    <n v="0"/>
    <n v="2"/>
    <s v="Single"/>
    <n v="1"/>
    <n v="0"/>
    <n v="2302"/>
    <n v="2302"/>
    <n v="1"/>
    <s v="Yes"/>
    <n v="1"/>
    <n v="11"/>
    <n v="3"/>
    <n v="1"/>
    <n v="0"/>
    <n v="3"/>
    <x v="8"/>
    <n v="2"/>
    <n v="4"/>
    <n v="3"/>
    <n v="3"/>
    <n v="2"/>
    <n v="2"/>
    <n v="2"/>
    <n v="2"/>
    <n v="2"/>
    <n v="2"/>
    <n v="0"/>
    <n v="0"/>
    <n v="1"/>
    <n v="0"/>
    <n v="0"/>
    <n v="1"/>
    <n v="0"/>
    <n v="0"/>
    <n v="0"/>
    <n v="0"/>
    <n v="2"/>
    <n v="0"/>
    <n v="0"/>
    <n v="3"/>
    <n v="0.89230455716984147"/>
    <n v="0.59502473559756086"/>
    <n v="1.0641079755250529"/>
    <n v="0.65423109602898355"/>
    <n v="1.01056543769991"/>
    <n v="0.6484474368621912"/>
    <n v="5.8265062631872602E-2"/>
  </r>
  <r>
    <n v="44"/>
    <n v="44"/>
    <s v="Yes"/>
    <n v="1"/>
    <s v="Travel_Rarely"/>
    <n v="0"/>
    <n v="1"/>
    <x v="1"/>
    <n v="1"/>
    <n v="0"/>
    <n v="3"/>
    <n v="3"/>
    <n v="3"/>
    <s v="Life Sciences"/>
    <n v="1"/>
    <n v="0"/>
    <n v="0"/>
    <n v="0"/>
    <n v="0"/>
    <n v="1"/>
    <s v="Male"/>
    <n v="0"/>
    <n v="89"/>
    <n v="3"/>
    <n v="1"/>
    <s v="Laboratory Technician"/>
    <n v="0"/>
    <n v="0"/>
    <n v="1"/>
    <n v="0"/>
    <n v="0"/>
    <n v="0"/>
    <n v="0"/>
    <n v="0"/>
    <n v="1"/>
    <s v="Married"/>
    <n v="0"/>
    <n v="1"/>
    <n v="2362"/>
    <n v="2362"/>
    <n v="4"/>
    <s v="No"/>
    <n v="0"/>
    <n v="12"/>
    <n v="3"/>
    <n v="3"/>
    <n v="0"/>
    <n v="10"/>
    <x v="1"/>
    <n v="4"/>
    <n v="4"/>
    <n v="3"/>
    <n v="3"/>
    <n v="2"/>
    <n v="1"/>
    <n v="1"/>
    <n v="2"/>
    <n v="2"/>
    <n v="2"/>
    <n v="0"/>
    <n v="1"/>
    <n v="0"/>
    <n v="0"/>
    <n v="0"/>
    <n v="0"/>
    <n v="1"/>
    <n v="0"/>
    <n v="0"/>
    <n v="2"/>
    <n v="0"/>
    <n v="0"/>
    <n v="10"/>
    <n v="0"/>
    <n v="0.87956017510257067"/>
    <n v="0.59502473559756086"/>
    <n v="0.1644554352117841"/>
    <n v="0.65423109602898355"/>
    <n v="0.76386092994953758"/>
    <n v="0.77459235625178136"/>
    <n v="0.36858985273641137"/>
  </r>
  <r>
    <n v="42"/>
    <n v="42"/>
    <s v="No"/>
    <n v="0"/>
    <s v="Non-Travel"/>
    <n v="0"/>
    <n v="0"/>
    <x v="1"/>
    <n v="1"/>
    <n v="0"/>
    <n v="2"/>
    <n v="2"/>
    <n v="1"/>
    <s v="Life Sciences"/>
    <n v="1"/>
    <n v="0"/>
    <n v="0"/>
    <n v="0"/>
    <n v="0"/>
    <n v="3"/>
    <s v="Male"/>
    <n v="0"/>
    <n v="37"/>
    <n v="3"/>
    <n v="4"/>
    <s v="Manager"/>
    <n v="0"/>
    <n v="0"/>
    <n v="0"/>
    <n v="1"/>
    <n v="0"/>
    <n v="0"/>
    <n v="0"/>
    <n v="0"/>
    <n v="3"/>
    <s v="Married"/>
    <n v="0"/>
    <n v="1"/>
    <n v="17861"/>
    <n v="17861"/>
    <n v="0"/>
    <s v="Yes"/>
    <n v="1"/>
    <n v="13"/>
    <n v="3"/>
    <n v="4"/>
    <n v="0"/>
    <n v="21"/>
    <x v="23"/>
    <n v="3"/>
    <n v="2"/>
    <n v="20"/>
    <n v="20"/>
    <n v="8"/>
    <n v="2"/>
    <n v="2"/>
    <n v="10"/>
    <n v="10"/>
    <n v="40"/>
    <n v="0"/>
    <n v="1"/>
    <n v="0"/>
    <n v="0"/>
    <n v="0"/>
    <n v="0"/>
    <n v="0"/>
    <n v="1"/>
    <n v="0"/>
    <n v="10"/>
    <n v="0"/>
    <n v="0"/>
    <n v="21"/>
    <n v="0"/>
    <n v="2.412526119241265"/>
    <n v="1.6470421950744405"/>
    <n v="1.2492842709947811"/>
    <n v="2.1205881656418071"/>
    <n v="0.88721318382472392"/>
    <n v="0.55566315731117022"/>
    <n v="5.8265062631872602E-2"/>
  </r>
  <r>
    <n v="55"/>
    <n v="55"/>
    <s v="No"/>
    <n v="0"/>
    <s v="Travel_Rarely"/>
    <n v="0"/>
    <n v="1"/>
    <x v="1"/>
    <n v="1"/>
    <n v="0"/>
    <n v="2"/>
    <n v="2"/>
    <n v="2"/>
    <s v="Medical"/>
    <n v="0"/>
    <n v="0"/>
    <n v="1"/>
    <n v="0"/>
    <n v="0"/>
    <n v="4"/>
    <s v="Female"/>
    <n v="1"/>
    <n v="58"/>
    <n v="1"/>
    <n v="5"/>
    <s v="Manager"/>
    <n v="0"/>
    <n v="0"/>
    <n v="0"/>
    <n v="1"/>
    <n v="0"/>
    <n v="0"/>
    <n v="0"/>
    <n v="0"/>
    <n v="3"/>
    <s v="Married"/>
    <n v="0"/>
    <n v="1"/>
    <n v="19187"/>
    <n v="19187"/>
    <n v="4"/>
    <s v="No"/>
    <n v="0"/>
    <n v="14"/>
    <n v="3"/>
    <n v="4"/>
    <n v="1"/>
    <n v="23"/>
    <x v="17"/>
    <n v="5"/>
    <n v="3"/>
    <n v="19"/>
    <n v="19"/>
    <n v="9"/>
    <n v="9"/>
    <n v="9"/>
    <n v="11"/>
    <n v="11"/>
    <n v="55"/>
    <n v="0"/>
    <n v="1"/>
    <n v="0"/>
    <n v="0"/>
    <n v="0"/>
    <n v="0"/>
    <n v="1"/>
    <n v="0"/>
    <n v="0"/>
    <n v="11"/>
    <n v="0"/>
    <n v="0"/>
    <n v="23"/>
    <n v="0"/>
    <n v="2.6941769629279495"/>
    <n v="1.9273005614084406"/>
    <n v="1.5063278539414293"/>
    <n v="1.9573635031905841"/>
    <n v="0.88721318382472392"/>
    <n v="1.9787029504251428"/>
    <n v="2.114008468099899"/>
  </r>
  <r>
    <n v="56"/>
    <n v="56"/>
    <s v="No"/>
    <n v="0"/>
    <s v="Travel_Rarely"/>
    <n v="0"/>
    <n v="1"/>
    <x v="2"/>
    <n v="0"/>
    <n v="0"/>
    <n v="8"/>
    <n v="8"/>
    <n v="4"/>
    <s v="Life Sciences"/>
    <n v="1"/>
    <n v="0"/>
    <n v="0"/>
    <n v="0"/>
    <n v="0"/>
    <n v="4"/>
    <s v="Male"/>
    <n v="0"/>
    <n v="99"/>
    <n v="3"/>
    <n v="5"/>
    <s v="Manager"/>
    <n v="0"/>
    <n v="0"/>
    <n v="0"/>
    <n v="1"/>
    <n v="0"/>
    <n v="0"/>
    <n v="0"/>
    <n v="0"/>
    <n v="2"/>
    <s v="Single"/>
    <n v="1"/>
    <n v="0"/>
    <n v="19717"/>
    <n v="19626.310000000001"/>
    <n v="6"/>
    <s v="No"/>
    <n v="0"/>
    <n v="14"/>
    <n v="3"/>
    <n v="1"/>
    <n v="0"/>
    <n v="36"/>
    <x v="28"/>
    <n v="4"/>
    <n v="3"/>
    <n v="7"/>
    <n v="7"/>
    <n v="3"/>
    <n v="7"/>
    <n v="7"/>
    <n v="7"/>
    <n v="7"/>
    <n v="35"/>
    <n v="1"/>
    <n v="0"/>
    <n v="0"/>
    <n v="0"/>
    <n v="1"/>
    <n v="0"/>
    <n v="0"/>
    <n v="0"/>
    <n v="7"/>
    <n v="0"/>
    <n v="0"/>
    <n v="35"/>
    <n v="0"/>
    <n v="0"/>
    <n v="2.8067523378555084"/>
    <n v="0.80626709607243985"/>
    <n v="3.1771111430946424"/>
    <n v="1.3324462240916321E-3"/>
    <n v="0.14709966057360641"/>
    <n v="2.0881675498954482"/>
    <n v="1.4933588878908215"/>
  </r>
  <r>
    <n v="40"/>
    <n v="40"/>
    <s v="No"/>
    <n v="0"/>
    <s v="Non-Travel"/>
    <n v="0"/>
    <n v="0"/>
    <x v="1"/>
    <n v="1"/>
    <n v="0"/>
    <n v="16"/>
    <n v="16"/>
    <n v="2"/>
    <s v="Life Sciences"/>
    <n v="1"/>
    <n v="0"/>
    <n v="0"/>
    <n v="0"/>
    <n v="0"/>
    <n v="3"/>
    <s v="Male"/>
    <n v="0"/>
    <n v="74"/>
    <n v="3"/>
    <n v="1"/>
    <s v="Research Scientist"/>
    <n v="0"/>
    <n v="0"/>
    <n v="0"/>
    <n v="0"/>
    <n v="0"/>
    <n v="0"/>
    <n v="0"/>
    <n v="1"/>
    <n v="3"/>
    <s v="Divorced"/>
    <n v="0"/>
    <n v="0"/>
    <n v="3544"/>
    <n v="3544"/>
    <n v="9"/>
    <s v="No"/>
    <n v="0"/>
    <n v="16"/>
    <n v="3"/>
    <n v="2"/>
    <n v="1"/>
    <n v="6"/>
    <x v="3"/>
    <n v="0"/>
    <n v="3"/>
    <n v="4"/>
    <n v="4"/>
    <n v="2"/>
    <n v="0"/>
    <n v="0"/>
    <n v="0"/>
    <n v="0"/>
    <n v="0"/>
    <n v="1"/>
    <n v="0"/>
    <n v="0"/>
    <n v="0"/>
    <n v="1"/>
    <n v="0"/>
    <n v="0"/>
    <n v="0"/>
    <n v="0"/>
    <n v="0"/>
    <n v="0"/>
    <n v="0"/>
    <n v="6"/>
    <n v="0"/>
    <n v="0.62849584837733596"/>
    <n v="1.1555414682655611"/>
    <n v="0.67854260110508058"/>
    <n v="0.49100643357776058"/>
    <n v="0.83971837042788355"/>
    <n v="0.33673395837055903"/>
    <n v="0.67891464284095016"/>
  </r>
  <r>
    <n v="34"/>
    <n v="34"/>
    <s v="No"/>
    <n v="0"/>
    <s v="Travel_Rarely"/>
    <n v="0"/>
    <n v="1"/>
    <x v="1"/>
    <n v="1"/>
    <n v="0"/>
    <n v="9"/>
    <n v="9"/>
    <n v="3"/>
    <s v="Life Sciences"/>
    <n v="1"/>
    <n v="0"/>
    <n v="0"/>
    <n v="0"/>
    <n v="0"/>
    <n v="4"/>
    <s v="Male"/>
    <n v="0"/>
    <n v="86"/>
    <n v="3"/>
    <n v="3"/>
    <s v="Healthcare Representative"/>
    <n v="1"/>
    <n v="0"/>
    <n v="0"/>
    <n v="0"/>
    <n v="0"/>
    <n v="0"/>
    <n v="0"/>
    <n v="0"/>
    <n v="4"/>
    <s v="Divorced"/>
    <n v="0"/>
    <n v="0"/>
    <n v="8500"/>
    <n v="8500"/>
    <n v="0"/>
    <s v="No"/>
    <n v="0"/>
    <n v="11"/>
    <n v="3"/>
    <n v="4"/>
    <n v="1"/>
    <n v="10"/>
    <x v="1"/>
    <n v="0"/>
    <n v="2"/>
    <n v="9"/>
    <n v="9"/>
    <n v="7"/>
    <n v="1"/>
    <n v="1"/>
    <n v="6"/>
    <n v="6"/>
    <n v="18"/>
    <n v="1"/>
    <n v="0"/>
    <n v="0"/>
    <n v="0"/>
    <n v="1"/>
    <n v="0"/>
    <n v="0"/>
    <n v="0"/>
    <n v="0"/>
    <n v="6"/>
    <n v="0"/>
    <n v="0"/>
    <n v="10"/>
    <n v="0"/>
    <n v="0.42419011037923221"/>
    <n v="0.52600872973843971"/>
    <n v="0.1644554352117841"/>
    <n v="0.32511687867835437"/>
    <n v="2.3747406698420157E-2"/>
    <n v="0.32005363845127444"/>
    <n v="0.36858985273641137"/>
  </r>
  <r>
    <n v="40"/>
    <n v="40"/>
    <s v="No"/>
    <n v="0"/>
    <s v="Travel_Rarely"/>
    <n v="0"/>
    <n v="1"/>
    <x v="1"/>
    <n v="1"/>
    <n v="0"/>
    <n v="2"/>
    <n v="2"/>
    <n v="3"/>
    <s v="Life Sciences"/>
    <n v="1"/>
    <n v="0"/>
    <n v="0"/>
    <n v="0"/>
    <n v="0"/>
    <n v="3"/>
    <s v="Male"/>
    <n v="0"/>
    <n v="98"/>
    <n v="3"/>
    <n v="2"/>
    <s v="Research Scientist"/>
    <n v="0"/>
    <n v="0"/>
    <n v="0"/>
    <n v="0"/>
    <n v="0"/>
    <n v="0"/>
    <n v="0"/>
    <n v="1"/>
    <n v="4"/>
    <s v="Single"/>
    <n v="1"/>
    <n v="0"/>
    <n v="4661"/>
    <n v="4661"/>
    <n v="1"/>
    <s v="No"/>
    <n v="0"/>
    <n v="13"/>
    <n v="3"/>
    <n v="3"/>
    <n v="0"/>
    <n v="9"/>
    <x v="14"/>
    <n v="4"/>
    <n v="3"/>
    <n v="9"/>
    <n v="9"/>
    <n v="8"/>
    <n v="8"/>
    <n v="8"/>
    <n v="8"/>
    <n v="8"/>
    <n v="16"/>
    <n v="1"/>
    <n v="0"/>
    <n v="0"/>
    <n v="0"/>
    <n v="1"/>
    <n v="0"/>
    <n v="0"/>
    <n v="0"/>
    <n v="0"/>
    <n v="8"/>
    <n v="0"/>
    <n v="0"/>
    <n v="9"/>
    <n v="0"/>
    <n v="0.39123793555831121"/>
    <n v="1.08652546240644"/>
    <n v="0.29297722668510823"/>
    <n v="0.32511687867835437"/>
    <n v="0.88721318382472392"/>
    <n v="0.33673395837055903"/>
    <n v="1.8036836779953602"/>
  </r>
  <r>
    <n v="41"/>
    <n v="41"/>
    <s v="No"/>
    <n v="0"/>
    <s v="Travel_Frequently"/>
    <n v="1"/>
    <n v="0"/>
    <x v="0"/>
    <n v="0"/>
    <n v="1"/>
    <n v="1"/>
    <n v="1"/>
    <n v="3"/>
    <s v="Marketing"/>
    <n v="0"/>
    <n v="0"/>
    <n v="0"/>
    <n v="1"/>
    <n v="0"/>
    <n v="3"/>
    <s v="Female"/>
    <n v="1"/>
    <n v="66"/>
    <n v="3"/>
    <n v="2"/>
    <s v="Sales Executive"/>
    <n v="0"/>
    <n v="1"/>
    <n v="0"/>
    <n v="0"/>
    <n v="0"/>
    <n v="0"/>
    <n v="0"/>
    <n v="0"/>
    <n v="1"/>
    <s v="Divorced"/>
    <n v="0"/>
    <n v="0"/>
    <n v="4103"/>
    <n v="4103"/>
    <n v="0"/>
    <s v="No"/>
    <n v="0"/>
    <n v="17"/>
    <n v="3"/>
    <n v="4"/>
    <n v="1"/>
    <n v="10"/>
    <x v="1"/>
    <n v="2"/>
    <n v="3"/>
    <n v="9"/>
    <n v="9"/>
    <n v="3"/>
    <n v="1"/>
    <n v="1"/>
    <n v="7"/>
    <n v="7"/>
    <n v="14"/>
    <n v="0"/>
    <n v="0"/>
    <n v="1"/>
    <n v="0"/>
    <n v="1"/>
    <n v="0"/>
    <n v="0"/>
    <n v="0"/>
    <n v="0"/>
    <n v="0"/>
    <n v="7"/>
    <n v="0"/>
    <n v="0"/>
    <n v="10"/>
    <n v="0.50976068878392966"/>
    <n v="0.80626709607243985"/>
    <n v="0.1644554352117841"/>
    <n v="0.32511687867835437"/>
    <n v="1.01056543769991"/>
    <n v="0.4461985578408646"/>
    <n v="0.36858985273641137"/>
  </r>
  <r>
    <n v="35"/>
    <n v="35"/>
    <s v="No"/>
    <n v="0"/>
    <s v="Travel_Frequently"/>
    <n v="1"/>
    <n v="0"/>
    <x v="1"/>
    <n v="1"/>
    <n v="0"/>
    <n v="4"/>
    <n v="4"/>
    <n v="4"/>
    <s v="Life Sciences"/>
    <n v="1"/>
    <n v="0"/>
    <n v="0"/>
    <n v="0"/>
    <n v="0"/>
    <n v="3"/>
    <s v="Male"/>
    <n v="0"/>
    <n v="87"/>
    <n v="3"/>
    <n v="2"/>
    <s v="Research Scientist"/>
    <n v="0"/>
    <n v="0"/>
    <n v="0"/>
    <n v="0"/>
    <n v="0"/>
    <n v="0"/>
    <n v="0"/>
    <n v="1"/>
    <n v="3"/>
    <s v="Single"/>
    <n v="1"/>
    <n v="0"/>
    <n v="4249"/>
    <n v="4249"/>
    <n v="1"/>
    <s v="Yes"/>
    <n v="1"/>
    <n v="11"/>
    <n v="3"/>
    <n v="2"/>
    <n v="0"/>
    <n v="9"/>
    <x v="14"/>
    <n v="3"/>
    <n v="3"/>
    <n v="9"/>
    <n v="9"/>
    <n v="6"/>
    <n v="1"/>
    <n v="1"/>
    <n v="1"/>
    <n v="1"/>
    <n v="2"/>
    <n v="0"/>
    <n v="0"/>
    <n v="1"/>
    <n v="0"/>
    <n v="0"/>
    <n v="1"/>
    <n v="0"/>
    <n v="0"/>
    <n v="0"/>
    <n v="1"/>
    <n v="0"/>
    <n v="0"/>
    <n v="9"/>
    <n v="0"/>
    <n v="0.47874935908690402"/>
    <n v="0.87528310193156111"/>
    <n v="0.29297722668510823"/>
    <n v="0.32511687867835437"/>
    <n v="0.64050867607435136"/>
    <n v="0.21058903898096887"/>
    <n v="0.36858985273641137"/>
  </r>
  <r>
    <n v="51"/>
    <n v="51"/>
    <s v="No"/>
    <n v="0"/>
    <s v="Travel_Rarely"/>
    <n v="0"/>
    <n v="1"/>
    <x v="2"/>
    <n v="0"/>
    <n v="0"/>
    <n v="5"/>
    <n v="5"/>
    <n v="3"/>
    <s v="Life Sciences"/>
    <n v="1"/>
    <n v="0"/>
    <n v="0"/>
    <n v="0"/>
    <n v="0"/>
    <n v="3"/>
    <s v="Male"/>
    <n v="0"/>
    <n v="84"/>
    <n v="3"/>
    <n v="4"/>
    <s v="Manager"/>
    <n v="0"/>
    <n v="0"/>
    <n v="0"/>
    <n v="1"/>
    <n v="0"/>
    <n v="0"/>
    <n v="0"/>
    <n v="0"/>
    <n v="2"/>
    <s v="Divorced"/>
    <n v="0"/>
    <n v="0"/>
    <n v="14026"/>
    <n v="14026"/>
    <n v="1"/>
    <s v="Yes"/>
    <n v="1"/>
    <n v="11"/>
    <n v="3"/>
    <n v="2"/>
    <n v="1"/>
    <n v="33"/>
    <x v="33"/>
    <n v="2"/>
    <n v="3"/>
    <n v="33"/>
    <n v="31"/>
    <n v="9"/>
    <n v="0"/>
    <n v="0"/>
    <n v="10"/>
    <n v="10"/>
    <n v="40"/>
    <n v="1"/>
    <n v="0"/>
    <n v="0"/>
    <n v="0"/>
    <n v="0"/>
    <n v="1"/>
    <n v="0"/>
    <n v="0"/>
    <n v="10"/>
    <n v="0"/>
    <n v="0"/>
    <n v="33"/>
    <n v="0"/>
    <n v="0"/>
    <n v="1.5979476987748729"/>
    <n v="1.6470421950744405"/>
    <n v="2.7915457686746699"/>
    <n v="4.2425087775077062"/>
    <n v="0.51715642219916513"/>
    <n v="1.5408445525439205"/>
    <n v="0.67891464284095016"/>
  </r>
  <r>
    <n v="38"/>
    <n v="38"/>
    <s v="No"/>
    <n v="0"/>
    <s v="Travel_Rarely"/>
    <n v="0"/>
    <n v="1"/>
    <x v="0"/>
    <n v="0"/>
    <n v="1"/>
    <n v="2"/>
    <n v="2"/>
    <n v="2"/>
    <s v="Life Sciences"/>
    <n v="1"/>
    <n v="0"/>
    <n v="0"/>
    <n v="0"/>
    <n v="0"/>
    <n v="2"/>
    <s v="Female"/>
    <n v="1"/>
    <n v="31"/>
    <n v="3"/>
    <n v="2"/>
    <s v="Sales Executive"/>
    <n v="0"/>
    <n v="1"/>
    <n v="0"/>
    <n v="0"/>
    <n v="0"/>
    <n v="0"/>
    <n v="0"/>
    <n v="0"/>
    <n v="1"/>
    <s v="Divorced"/>
    <n v="0"/>
    <n v="0"/>
    <n v="6893"/>
    <n v="6893"/>
    <n v="3"/>
    <s v="No"/>
    <n v="0"/>
    <n v="15"/>
    <n v="3"/>
    <n v="4"/>
    <n v="1"/>
    <n v="11"/>
    <x v="26"/>
    <n v="3"/>
    <n v="3"/>
    <n v="7"/>
    <n v="7"/>
    <n v="7"/>
    <n v="1"/>
    <n v="1"/>
    <n v="7"/>
    <n v="7"/>
    <n v="14"/>
    <n v="1"/>
    <n v="0"/>
    <n v="0"/>
    <n v="0"/>
    <n v="1"/>
    <n v="0"/>
    <n v="0"/>
    <n v="0"/>
    <n v="0"/>
    <n v="0"/>
    <n v="7"/>
    <n v="0"/>
    <n v="0"/>
    <n v="11"/>
    <n v="8.2853077344162585E-2"/>
    <n v="0.80626709607243985"/>
    <n v="3.593364373846001E-2"/>
    <n v="1.3324462240916321E-3"/>
    <n v="0.88721318382472392"/>
    <n v="0.11780475942994788"/>
    <n v="0.36858985273641137"/>
  </r>
  <r>
    <n v="34"/>
    <n v="34"/>
    <s v="No"/>
    <n v="0"/>
    <s v="Travel_Rarely"/>
    <n v="0"/>
    <n v="1"/>
    <x v="0"/>
    <n v="0"/>
    <n v="1"/>
    <n v="15"/>
    <n v="15"/>
    <n v="2"/>
    <s v="Medical"/>
    <n v="0"/>
    <n v="0"/>
    <n v="1"/>
    <n v="0"/>
    <n v="0"/>
    <n v="3"/>
    <s v="Female"/>
    <n v="1"/>
    <n v="66"/>
    <n v="3"/>
    <n v="2"/>
    <s v="Sales Executive"/>
    <n v="0"/>
    <n v="1"/>
    <n v="0"/>
    <n v="0"/>
    <n v="0"/>
    <n v="0"/>
    <n v="0"/>
    <n v="0"/>
    <n v="1"/>
    <s v="Single"/>
    <n v="1"/>
    <n v="0"/>
    <n v="6125"/>
    <n v="6125"/>
    <n v="1"/>
    <s v="No"/>
    <n v="0"/>
    <n v="12"/>
    <n v="3"/>
    <n v="4"/>
    <n v="0"/>
    <n v="10"/>
    <x v="1"/>
    <n v="6"/>
    <n v="4"/>
    <n v="10"/>
    <n v="10"/>
    <n v="8"/>
    <n v="9"/>
    <n v="9"/>
    <n v="6"/>
    <n v="6"/>
    <n v="12"/>
    <n v="1"/>
    <n v="0"/>
    <n v="0"/>
    <n v="0"/>
    <n v="1"/>
    <n v="0"/>
    <n v="0"/>
    <n v="0"/>
    <n v="0"/>
    <n v="0"/>
    <n v="6"/>
    <n v="0"/>
    <n v="0"/>
    <n v="10"/>
    <n v="8.027501311690366E-2"/>
    <n v="0.52600872973843971"/>
    <n v="0.1644554352117841"/>
    <n v="0.48834154112957734"/>
    <n v="0.71636611655269733"/>
    <n v="0.32005363845127444"/>
    <n v="2.114008468099899"/>
  </r>
  <r>
    <n v="25"/>
    <n v="25"/>
    <s v="No"/>
    <n v="0"/>
    <s v="Travel_Rarely"/>
    <n v="0"/>
    <n v="1"/>
    <x v="1"/>
    <n v="1"/>
    <n v="0"/>
    <n v="19"/>
    <n v="19"/>
    <n v="1"/>
    <s v="Medical"/>
    <n v="0"/>
    <n v="0"/>
    <n v="1"/>
    <n v="0"/>
    <n v="0"/>
    <n v="4"/>
    <s v="Male"/>
    <n v="0"/>
    <n v="67"/>
    <n v="3"/>
    <n v="1"/>
    <s v="Laboratory Technician"/>
    <n v="0"/>
    <n v="0"/>
    <n v="1"/>
    <n v="0"/>
    <n v="0"/>
    <n v="0"/>
    <n v="0"/>
    <n v="0"/>
    <n v="4"/>
    <s v="Married"/>
    <n v="0"/>
    <n v="1"/>
    <n v="3669"/>
    <n v="3669"/>
    <n v="3"/>
    <s v="No"/>
    <n v="0"/>
    <n v="11"/>
    <n v="3"/>
    <n v="3"/>
    <n v="3"/>
    <n v="7"/>
    <x v="2"/>
    <n v="6"/>
    <n v="2"/>
    <n v="3"/>
    <n v="3"/>
    <n v="2"/>
    <n v="1"/>
    <n v="1"/>
    <n v="2"/>
    <n v="2"/>
    <n v="2"/>
    <n v="0"/>
    <n v="1"/>
    <n v="0"/>
    <n v="0"/>
    <n v="0"/>
    <n v="0"/>
    <n v="1"/>
    <n v="0"/>
    <n v="0"/>
    <n v="2"/>
    <n v="0"/>
    <n v="0"/>
    <n v="7"/>
    <n v="0"/>
    <n v="0.6019450524038551"/>
    <n v="0.59502473559756086"/>
    <n v="0.55002080963175637"/>
    <n v="0.65423109602898355"/>
    <n v="1.2097751320534422"/>
    <n v="1.3052350336840246"/>
    <n v="0.36858985273641137"/>
  </r>
  <r>
    <n v="58"/>
    <n v="58"/>
    <s v="Yes"/>
    <n v="1"/>
    <s v="Travel_Rarely"/>
    <n v="0"/>
    <n v="1"/>
    <x v="1"/>
    <n v="1"/>
    <n v="0"/>
    <n v="7"/>
    <n v="7"/>
    <n v="4"/>
    <s v="Medical"/>
    <n v="0"/>
    <n v="0"/>
    <n v="1"/>
    <n v="0"/>
    <n v="0"/>
    <n v="3"/>
    <s v="Female"/>
    <n v="1"/>
    <n v="53"/>
    <n v="2"/>
    <n v="3"/>
    <s v="Manufacturing Director"/>
    <n v="0"/>
    <n v="0"/>
    <n v="0"/>
    <n v="0"/>
    <n v="1"/>
    <n v="1"/>
    <n v="0"/>
    <n v="0"/>
    <n v="1"/>
    <s v="Married"/>
    <n v="0"/>
    <n v="1"/>
    <n v="10008"/>
    <n v="10008"/>
    <n v="7"/>
    <s v="Yes"/>
    <n v="1"/>
    <n v="14"/>
    <n v="3"/>
    <n v="4"/>
    <n v="0"/>
    <n v="31"/>
    <x v="9"/>
    <n v="0"/>
    <n v="2"/>
    <n v="10"/>
    <n v="10"/>
    <n v="9"/>
    <n v="5"/>
    <n v="5"/>
    <n v="9"/>
    <n v="9"/>
    <n v="27"/>
    <n v="0"/>
    <n v="1"/>
    <n v="0"/>
    <n v="0"/>
    <n v="0"/>
    <n v="0"/>
    <n v="0"/>
    <n v="1"/>
    <n v="0"/>
    <n v="9"/>
    <n v="0"/>
    <n v="0"/>
    <n v="31"/>
    <n v="0"/>
    <n v="0.74449891300330495"/>
    <n v="1.3667838287404401"/>
    <n v="2.5345021857280217"/>
    <n v="0.48834154112957734"/>
    <n v="0.27045191444879263"/>
    <n v="2.3070967488360594"/>
    <n v="0.87270930768174382"/>
  </r>
  <r>
    <n v="40"/>
    <n v="40"/>
    <s v="No"/>
    <n v="0"/>
    <s v="Travel_Rarely"/>
    <n v="0"/>
    <n v="1"/>
    <x v="1"/>
    <n v="1"/>
    <n v="0"/>
    <n v="1"/>
    <n v="1"/>
    <n v="4"/>
    <s v="Life Sciences"/>
    <n v="1"/>
    <n v="0"/>
    <n v="0"/>
    <n v="0"/>
    <n v="0"/>
    <n v="2"/>
    <s v="Male"/>
    <n v="0"/>
    <n v="88"/>
    <n v="3"/>
    <n v="1"/>
    <s v="Laboratory Technician"/>
    <n v="0"/>
    <n v="0"/>
    <n v="1"/>
    <n v="0"/>
    <n v="0"/>
    <n v="0"/>
    <n v="0"/>
    <n v="0"/>
    <n v="2"/>
    <s v="Married"/>
    <n v="0"/>
    <n v="1"/>
    <n v="2387"/>
    <n v="2387"/>
    <n v="3"/>
    <s v="No"/>
    <n v="0"/>
    <n v="22"/>
    <n v="4"/>
    <n v="3"/>
    <n v="1"/>
    <n v="7"/>
    <x v="2"/>
    <n v="3"/>
    <n v="3"/>
    <n v="4"/>
    <n v="4"/>
    <n v="2"/>
    <n v="0"/>
    <n v="0"/>
    <n v="3"/>
    <n v="3"/>
    <n v="3"/>
    <n v="0"/>
    <n v="1"/>
    <n v="0"/>
    <n v="0"/>
    <n v="0"/>
    <n v="0"/>
    <n v="1"/>
    <n v="0"/>
    <n v="0"/>
    <n v="3"/>
    <n v="0"/>
    <n v="0"/>
    <n v="7"/>
    <n v="0"/>
    <n v="0.87425001590787454"/>
    <n v="0.31476636926356072"/>
    <n v="0.55002080963175637"/>
    <n v="0.49100643357776058"/>
    <n v="1.01056543769991"/>
    <n v="0.33673395837055903"/>
    <n v="0.67891464284095016"/>
  </r>
  <r>
    <n v="36"/>
    <n v="36"/>
    <s v="No"/>
    <n v="0"/>
    <s v="Travel_Frequently"/>
    <n v="1"/>
    <n v="0"/>
    <x v="0"/>
    <n v="0"/>
    <n v="1"/>
    <n v="7"/>
    <n v="7"/>
    <n v="3"/>
    <s v="Marketing"/>
    <n v="0"/>
    <n v="0"/>
    <n v="0"/>
    <n v="1"/>
    <n v="0"/>
    <n v="1"/>
    <s v="Female"/>
    <n v="1"/>
    <n v="83"/>
    <n v="4"/>
    <n v="2"/>
    <s v="Sales Executive"/>
    <n v="0"/>
    <n v="1"/>
    <n v="0"/>
    <n v="0"/>
    <n v="0"/>
    <n v="0"/>
    <n v="0"/>
    <n v="0"/>
    <n v="1"/>
    <s v="Married"/>
    <n v="0"/>
    <n v="1"/>
    <n v="4639"/>
    <n v="4639"/>
    <n v="2"/>
    <s v="No"/>
    <n v="0"/>
    <n v="16"/>
    <n v="3"/>
    <n v="4"/>
    <n v="1"/>
    <n v="17"/>
    <x v="6"/>
    <n v="2"/>
    <n v="2"/>
    <n v="15"/>
    <n v="15"/>
    <n v="7"/>
    <n v="6"/>
    <n v="6"/>
    <n v="13"/>
    <n v="13"/>
    <n v="26"/>
    <n v="0"/>
    <n v="0"/>
    <n v="0"/>
    <n v="1"/>
    <n v="0"/>
    <n v="0"/>
    <n v="1"/>
    <n v="0"/>
    <n v="0"/>
    <n v="0"/>
    <n v="13"/>
    <n v="0"/>
    <n v="0"/>
    <n v="17"/>
    <n v="0.39591087564964383"/>
    <n v="2.4878172940764407"/>
    <n v="0.73519710510148462"/>
    <n v="1.3044648533856922"/>
    <n v="0.27045191444879263"/>
    <n v="0.10112443951066327"/>
    <n v="1.1830340977862825"/>
  </r>
  <r>
    <n v="48"/>
    <n v="48"/>
    <s v="No"/>
    <n v="0"/>
    <s v="Travel_Rarely"/>
    <n v="0"/>
    <n v="1"/>
    <x v="1"/>
    <n v="1"/>
    <n v="0"/>
    <n v="4"/>
    <n v="4"/>
    <n v="3"/>
    <s v="Life Sciences"/>
    <n v="1"/>
    <n v="0"/>
    <n v="0"/>
    <n v="0"/>
    <n v="0"/>
    <n v="4"/>
    <s v="Male"/>
    <n v="0"/>
    <n v="54"/>
    <n v="3"/>
    <n v="3"/>
    <s v="Manufacturing Director"/>
    <n v="0"/>
    <n v="0"/>
    <n v="0"/>
    <n v="0"/>
    <n v="1"/>
    <n v="1"/>
    <n v="0"/>
    <n v="0"/>
    <n v="4"/>
    <s v="Single"/>
    <n v="1"/>
    <n v="0"/>
    <n v="7898"/>
    <n v="7898"/>
    <n v="1"/>
    <s v="No"/>
    <n v="0"/>
    <n v="11"/>
    <n v="3"/>
    <n v="3"/>
    <n v="0"/>
    <n v="11"/>
    <x v="26"/>
    <n v="2"/>
    <n v="3"/>
    <n v="10"/>
    <n v="10"/>
    <n v="9"/>
    <n v="0"/>
    <n v="0"/>
    <n v="8"/>
    <n v="8"/>
    <n v="24"/>
    <n v="1"/>
    <n v="0"/>
    <n v="0"/>
    <n v="0"/>
    <n v="1"/>
    <n v="0"/>
    <n v="0"/>
    <n v="0"/>
    <n v="0"/>
    <n v="8"/>
    <n v="0"/>
    <n v="0"/>
    <n v="11"/>
    <n v="0"/>
    <n v="0.29632147697094852"/>
    <n v="1.08652546240644"/>
    <n v="3.593364373846001E-2"/>
    <n v="0.48834154112957734"/>
    <n v="0.64050867607435136"/>
    <n v="1.2124507541330036"/>
    <n v="0.67891464284095016"/>
  </r>
  <r>
    <n v="27"/>
    <n v="27"/>
    <s v="No"/>
    <n v="0"/>
    <s v="Travel_Rarely"/>
    <n v="0"/>
    <n v="1"/>
    <x v="0"/>
    <n v="0"/>
    <n v="1"/>
    <n v="11"/>
    <n v="11"/>
    <n v="3"/>
    <s v="Medical"/>
    <n v="0"/>
    <n v="0"/>
    <n v="1"/>
    <n v="0"/>
    <n v="0"/>
    <n v="3"/>
    <s v="Female"/>
    <n v="1"/>
    <n v="98"/>
    <n v="4"/>
    <n v="1"/>
    <s v="Sales Representative"/>
    <n v="0"/>
    <n v="0"/>
    <n v="0"/>
    <n v="0"/>
    <n v="0"/>
    <n v="0"/>
    <n v="1"/>
    <n v="0"/>
    <n v="4"/>
    <s v="Married"/>
    <n v="0"/>
    <n v="1"/>
    <n v="2534"/>
    <n v="2534"/>
    <n v="8"/>
    <s v="No"/>
    <n v="0"/>
    <n v="14"/>
    <n v="3"/>
    <n v="2"/>
    <n v="1"/>
    <n v="5"/>
    <x v="7"/>
    <n v="4"/>
    <n v="3"/>
    <n v="1"/>
    <n v="1"/>
    <n v="0"/>
    <n v="0"/>
    <n v="0"/>
    <n v="0"/>
    <n v="0"/>
    <n v="0"/>
    <n v="0"/>
    <n v="1"/>
    <n v="0"/>
    <n v="0"/>
    <n v="0"/>
    <n v="0"/>
    <n v="1"/>
    <n v="0"/>
    <n v="0"/>
    <n v="0"/>
    <n v="0"/>
    <n v="0"/>
    <n v="0"/>
    <n v="5"/>
    <n v="0.843026279843061"/>
    <n v="1.1555414682655611"/>
    <n v="0.80706439257840468"/>
    <n v="0.9806804209314296"/>
    <n v="0.22295710105195232"/>
    <n v="1.0863058347434136"/>
    <n v="0.67891464284095016"/>
  </r>
  <r>
    <n v="51"/>
    <n v="51"/>
    <s v="No"/>
    <n v="0"/>
    <s v="Travel_Rarely"/>
    <n v="0"/>
    <n v="1"/>
    <x v="1"/>
    <n v="1"/>
    <n v="0"/>
    <n v="11"/>
    <n v="11"/>
    <n v="2"/>
    <s v="Technical Degree"/>
    <n v="0"/>
    <n v="0"/>
    <n v="0"/>
    <n v="0"/>
    <n v="1"/>
    <n v="4"/>
    <s v="Female"/>
    <n v="1"/>
    <n v="82"/>
    <n v="2"/>
    <n v="4"/>
    <s v="Manufacturing Director"/>
    <n v="0"/>
    <n v="0"/>
    <n v="0"/>
    <n v="0"/>
    <n v="1"/>
    <n v="1"/>
    <n v="0"/>
    <n v="0"/>
    <n v="2"/>
    <s v="Single"/>
    <n v="1"/>
    <n v="0"/>
    <n v="13142"/>
    <n v="13142"/>
    <n v="3"/>
    <s v="No"/>
    <n v="0"/>
    <n v="16"/>
    <n v="3"/>
    <n v="2"/>
    <n v="0"/>
    <n v="29"/>
    <x v="21"/>
    <n v="1"/>
    <n v="2"/>
    <n v="5"/>
    <n v="5"/>
    <n v="2"/>
    <n v="0"/>
    <n v="0"/>
    <n v="3"/>
    <n v="3"/>
    <n v="12"/>
    <n v="1"/>
    <n v="0"/>
    <n v="0"/>
    <n v="0"/>
    <n v="1"/>
    <n v="0"/>
    <n v="0"/>
    <n v="0"/>
    <n v="0"/>
    <n v="3"/>
    <n v="0"/>
    <n v="0"/>
    <n v="29"/>
    <n v="0"/>
    <n v="1.4101804696504163"/>
    <n v="0.31476636926356072"/>
    <n v="2.2774586027813735"/>
    <n v="0.32778177112653761"/>
    <n v="0.22295710105195232"/>
    <n v="1.5408445525439205"/>
    <n v="0.67891464284095016"/>
  </r>
  <r>
    <n v="18"/>
    <n v="19"/>
    <s v="No"/>
    <n v="0"/>
    <s v="Non-Travel"/>
    <n v="0"/>
    <n v="0"/>
    <x v="1"/>
    <n v="1"/>
    <n v="0"/>
    <n v="1"/>
    <n v="1"/>
    <n v="3"/>
    <s v="Life Sciences"/>
    <n v="1"/>
    <n v="0"/>
    <n v="0"/>
    <n v="0"/>
    <n v="0"/>
    <n v="4"/>
    <s v="Female"/>
    <n v="1"/>
    <n v="97"/>
    <n v="3"/>
    <n v="1"/>
    <s v="Laboratory Technician"/>
    <n v="0"/>
    <n v="0"/>
    <n v="1"/>
    <n v="0"/>
    <n v="0"/>
    <n v="0"/>
    <n v="0"/>
    <n v="0"/>
    <n v="4"/>
    <s v="Single"/>
    <n v="1"/>
    <n v="0"/>
    <n v="1611"/>
    <n v="1611"/>
    <n v="1"/>
    <s v="No"/>
    <n v="0"/>
    <n v="15"/>
    <n v="3"/>
    <n v="3"/>
    <n v="0"/>
    <n v="0"/>
    <x v="5"/>
    <n v="5"/>
    <n v="4"/>
    <n v="0"/>
    <n v="0"/>
    <n v="0"/>
    <n v="0"/>
    <n v="0"/>
    <n v="0"/>
    <n v="0"/>
    <n v="0"/>
    <n v="1"/>
    <n v="0"/>
    <n v="0"/>
    <n v="0"/>
    <n v="1"/>
    <n v="0"/>
    <n v="0"/>
    <n v="0"/>
    <n v="0"/>
    <n v="0"/>
    <n v="0"/>
    <n v="0"/>
    <n v="1"/>
    <n v="0"/>
    <n v="1.0390773573112435"/>
    <n v="1.1555414682655611"/>
    <n v="1.4496733499450252"/>
    <n v="1.1439050833826525"/>
    <n v="1.01056543769991"/>
    <n v="2.0714872299761637"/>
    <n v="0.67891464284095016"/>
  </r>
  <r>
    <n v="35"/>
    <n v="35"/>
    <s v="No"/>
    <n v="0"/>
    <s v="Travel_Rarely"/>
    <n v="0"/>
    <n v="1"/>
    <x v="1"/>
    <n v="1"/>
    <n v="0"/>
    <n v="1"/>
    <n v="1"/>
    <n v="3"/>
    <s v="Medical"/>
    <n v="0"/>
    <n v="0"/>
    <n v="1"/>
    <n v="0"/>
    <n v="0"/>
    <n v="4"/>
    <s v="Female"/>
    <n v="1"/>
    <n v="60"/>
    <n v="2"/>
    <n v="2"/>
    <s v="Laboratory Technician"/>
    <n v="0"/>
    <n v="0"/>
    <n v="1"/>
    <n v="0"/>
    <n v="0"/>
    <n v="0"/>
    <n v="0"/>
    <n v="0"/>
    <n v="4"/>
    <s v="Married"/>
    <n v="0"/>
    <n v="1"/>
    <n v="5363"/>
    <n v="5363"/>
    <n v="0"/>
    <s v="No"/>
    <n v="0"/>
    <n v="12"/>
    <n v="3"/>
    <n v="2"/>
    <n v="1"/>
    <n v="10"/>
    <x v="1"/>
    <n v="0"/>
    <n v="3"/>
    <n v="9"/>
    <n v="9"/>
    <n v="7"/>
    <n v="0"/>
    <n v="0"/>
    <n v="0"/>
    <n v="0"/>
    <n v="0"/>
    <n v="0"/>
    <n v="1"/>
    <n v="0"/>
    <n v="0"/>
    <n v="0"/>
    <n v="0"/>
    <n v="1"/>
    <n v="0"/>
    <n v="0"/>
    <n v="0"/>
    <n v="0"/>
    <n v="0"/>
    <n v="10"/>
    <n v="0"/>
    <n v="0.24212866537124283"/>
    <n v="1.1555414682655611"/>
    <n v="0.1644554352117841"/>
    <n v="0.32511687867835437"/>
    <n v="1.01056543769991"/>
    <n v="0.21058903898096887"/>
    <n v="0.67891464284095016"/>
  </r>
  <r>
    <n v="27"/>
    <n v="27"/>
    <s v="No"/>
    <n v="0"/>
    <s v="Travel_Frequently"/>
    <n v="1"/>
    <n v="0"/>
    <x v="0"/>
    <n v="0"/>
    <n v="1"/>
    <n v="2"/>
    <n v="2"/>
    <n v="1"/>
    <s v="Life Sciences"/>
    <n v="1"/>
    <n v="0"/>
    <n v="0"/>
    <n v="0"/>
    <n v="0"/>
    <n v="4"/>
    <s v="Male"/>
    <n v="0"/>
    <n v="43"/>
    <n v="1"/>
    <n v="2"/>
    <s v="Sales Executive"/>
    <n v="0"/>
    <n v="1"/>
    <n v="0"/>
    <n v="0"/>
    <n v="0"/>
    <n v="0"/>
    <n v="0"/>
    <n v="0"/>
    <n v="4"/>
    <s v="Single"/>
    <n v="1"/>
    <n v="0"/>
    <n v="5071"/>
    <n v="5071"/>
    <n v="3"/>
    <s v="No"/>
    <n v="0"/>
    <n v="20"/>
    <n v="4"/>
    <n v="2"/>
    <n v="0"/>
    <n v="8"/>
    <x v="0"/>
    <n v="3"/>
    <n v="3"/>
    <n v="6"/>
    <n v="6"/>
    <n v="2"/>
    <n v="0"/>
    <n v="0"/>
    <n v="0"/>
    <n v="0"/>
    <n v="0"/>
    <n v="0"/>
    <n v="0"/>
    <n v="1"/>
    <n v="0"/>
    <n v="1"/>
    <n v="0"/>
    <n v="0"/>
    <n v="0"/>
    <n v="0"/>
    <n v="0"/>
    <n v="0"/>
    <n v="0"/>
    <n v="0"/>
    <n v="8"/>
    <n v="0.30415132476529405"/>
    <n v="1.1555414682655611"/>
    <n v="0.42149901815843233"/>
    <n v="0.16455710867531462"/>
    <n v="0.88721318382472392"/>
    <n v="1.0863058347434136"/>
    <n v="0.67891464284095016"/>
  </r>
  <r>
    <n v="55"/>
    <n v="55"/>
    <s v="Yes"/>
    <n v="1"/>
    <s v="Travel_Rarely"/>
    <n v="0"/>
    <n v="1"/>
    <x v="0"/>
    <n v="0"/>
    <n v="1"/>
    <n v="13"/>
    <n v="13"/>
    <n v="4"/>
    <s v="Marketing"/>
    <n v="0"/>
    <n v="0"/>
    <n v="0"/>
    <n v="1"/>
    <n v="0"/>
    <n v="1"/>
    <s v="Male"/>
    <n v="0"/>
    <n v="85"/>
    <n v="4"/>
    <n v="4"/>
    <s v="Sales Executive"/>
    <n v="0"/>
    <n v="1"/>
    <n v="0"/>
    <n v="0"/>
    <n v="0"/>
    <n v="0"/>
    <n v="0"/>
    <n v="0"/>
    <n v="3"/>
    <s v="Single"/>
    <n v="1"/>
    <n v="0"/>
    <n v="13695"/>
    <n v="13695"/>
    <n v="6"/>
    <s v="Yes"/>
    <n v="1"/>
    <n v="17"/>
    <n v="3"/>
    <n v="3"/>
    <n v="0"/>
    <n v="24"/>
    <x v="12"/>
    <n v="2"/>
    <n v="2"/>
    <n v="19"/>
    <n v="19"/>
    <n v="7"/>
    <n v="3"/>
    <n v="3"/>
    <n v="8"/>
    <n v="8"/>
    <n v="32"/>
    <n v="1"/>
    <n v="0"/>
    <n v="0"/>
    <n v="0"/>
    <n v="0"/>
    <n v="1"/>
    <n v="0"/>
    <n v="0"/>
    <n v="0"/>
    <n v="0"/>
    <n v="8"/>
    <n v="0"/>
    <n v="0"/>
    <n v="24"/>
    <n v="1.5276411910370957"/>
    <n v="1.08652546240644"/>
    <n v="1.6348496454147534"/>
    <n v="1.9573635031905841"/>
    <n v="0.46966160880232483"/>
    <n v="1.9787029504251428"/>
    <n v="0.2520597274726662"/>
  </r>
  <r>
    <n v="56"/>
    <n v="56"/>
    <s v="No"/>
    <n v="0"/>
    <s v="Travel_Rarely"/>
    <n v="0"/>
    <n v="1"/>
    <x v="1"/>
    <n v="1"/>
    <n v="0"/>
    <n v="23"/>
    <n v="23"/>
    <n v="3"/>
    <s v="Life Sciences"/>
    <n v="1"/>
    <n v="0"/>
    <n v="0"/>
    <n v="0"/>
    <n v="0"/>
    <n v="4"/>
    <s v="Male"/>
    <n v="0"/>
    <n v="68"/>
    <n v="3"/>
    <n v="4"/>
    <s v="Manufacturing Director"/>
    <n v="0"/>
    <n v="0"/>
    <n v="0"/>
    <n v="0"/>
    <n v="1"/>
    <n v="1"/>
    <n v="0"/>
    <n v="0"/>
    <n v="2"/>
    <s v="Married"/>
    <n v="0"/>
    <n v="1"/>
    <n v="13402"/>
    <n v="13402"/>
    <n v="4"/>
    <s v="Yes"/>
    <n v="1"/>
    <n v="12"/>
    <n v="3"/>
    <n v="1"/>
    <n v="1"/>
    <n v="33"/>
    <x v="33"/>
    <n v="0"/>
    <n v="3"/>
    <n v="19"/>
    <n v="19"/>
    <n v="16"/>
    <n v="15"/>
    <n v="14"/>
    <n v="9"/>
    <n v="9"/>
    <n v="36"/>
    <n v="0"/>
    <n v="1"/>
    <n v="0"/>
    <n v="0"/>
    <n v="0"/>
    <n v="0"/>
    <n v="0"/>
    <n v="1"/>
    <n v="0"/>
    <n v="9"/>
    <n v="0"/>
    <n v="0"/>
    <n v="33"/>
    <n v="0"/>
    <n v="1.4654061252752566"/>
    <n v="1.3667838287404401"/>
    <n v="2.7915457686746699"/>
    <n v="1.9573635031905841"/>
    <n v="1.7031841475541873"/>
    <n v="2.0881675498954482"/>
    <n v="3.9759572087271318"/>
  </r>
  <r>
    <n v="34"/>
    <n v="34"/>
    <s v="No"/>
    <n v="0"/>
    <s v="Non-Travel"/>
    <n v="0"/>
    <n v="0"/>
    <x v="1"/>
    <n v="1"/>
    <n v="0"/>
    <n v="26"/>
    <n v="26"/>
    <n v="1"/>
    <s v="Technical Degree"/>
    <n v="0"/>
    <n v="0"/>
    <n v="0"/>
    <n v="0"/>
    <n v="1"/>
    <n v="1"/>
    <s v="Female"/>
    <n v="1"/>
    <n v="92"/>
    <n v="2"/>
    <n v="1"/>
    <s v="Research Scientist"/>
    <n v="0"/>
    <n v="0"/>
    <n v="0"/>
    <n v="0"/>
    <n v="0"/>
    <n v="0"/>
    <n v="0"/>
    <n v="1"/>
    <n v="3"/>
    <s v="Divorced"/>
    <n v="0"/>
    <n v="0"/>
    <n v="2029"/>
    <n v="2029"/>
    <n v="1"/>
    <s v="No"/>
    <n v="0"/>
    <n v="20"/>
    <n v="4"/>
    <n v="3"/>
    <n v="3"/>
    <n v="5"/>
    <x v="7"/>
    <n v="2"/>
    <n v="3"/>
    <n v="5"/>
    <n v="5"/>
    <n v="4"/>
    <n v="0"/>
    <n v="0"/>
    <n v="0"/>
    <n v="0"/>
    <n v="0"/>
    <n v="1"/>
    <n v="0"/>
    <n v="0"/>
    <n v="0"/>
    <n v="1"/>
    <n v="0"/>
    <n v="0"/>
    <n v="0"/>
    <n v="0"/>
    <n v="0"/>
    <n v="0"/>
    <n v="0"/>
    <n v="5"/>
    <n v="0"/>
    <n v="0.95029149557592363"/>
    <n v="1.1555414682655611"/>
    <n v="0.80706439257840468"/>
    <n v="0.32778177112653761"/>
    <n v="2.0732409091797459"/>
    <n v="0.32005363845127444"/>
    <n v="0.67891464284095016"/>
  </r>
  <r>
    <n v="40"/>
    <n v="40"/>
    <s v="No"/>
    <n v="0"/>
    <s v="Travel_Rarely"/>
    <n v="0"/>
    <n v="1"/>
    <x v="1"/>
    <n v="1"/>
    <n v="0"/>
    <n v="2"/>
    <n v="2"/>
    <n v="1"/>
    <s v="Medical"/>
    <n v="0"/>
    <n v="0"/>
    <n v="1"/>
    <n v="0"/>
    <n v="0"/>
    <n v="2"/>
    <s v="Female"/>
    <n v="1"/>
    <n v="89"/>
    <n v="4"/>
    <n v="2"/>
    <s v="Healthcare Representative"/>
    <n v="1"/>
    <n v="0"/>
    <n v="0"/>
    <n v="0"/>
    <n v="0"/>
    <n v="0"/>
    <n v="0"/>
    <n v="0"/>
    <n v="3"/>
    <s v="Divorced"/>
    <n v="0"/>
    <n v="0"/>
    <n v="6377"/>
    <n v="6377"/>
    <n v="5"/>
    <s v="No"/>
    <n v="0"/>
    <n v="20"/>
    <n v="4"/>
    <n v="2"/>
    <n v="3"/>
    <n v="15"/>
    <x v="19"/>
    <n v="0"/>
    <n v="3"/>
    <n v="12"/>
    <n v="12"/>
    <n v="11"/>
    <n v="11"/>
    <n v="11"/>
    <n v="8"/>
    <n v="8"/>
    <n v="16"/>
    <n v="1"/>
    <n v="0"/>
    <n v="0"/>
    <n v="0"/>
    <n v="1"/>
    <n v="0"/>
    <n v="0"/>
    <n v="0"/>
    <n v="0"/>
    <n v="8"/>
    <n v="0"/>
    <n v="0"/>
    <n v="15"/>
    <n v="0"/>
    <n v="2.6748608434366297E-2"/>
    <n v="1.08652546240644"/>
    <n v="0.47815352215483642"/>
    <n v="0.81479086603202333"/>
    <n v="0.88721318382472392"/>
    <n v="0.33673395837055903"/>
    <n v="2.7346580483089769"/>
  </r>
  <r>
    <n v="34"/>
    <n v="34"/>
    <s v="No"/>
    <n v="0"/>
    <s v="Travel_Rarely"/>
    <n v="0"/>
    <n v="1"/>
    <x v="1"/>
    <n v="1"/>
    <n v="0"/>
    <n v="29"/>
    <n v="29"/>
    <n v="3"/>
    <s v="Medical"/>
    <n v="0"/>
    <n v="0"/>
    <n v="1"/>
    <n v="0"/>
    <n v="0"/>
    <n v="2"/>
    <s v="Male"/>
    <n v="0"/>
    <n v="86"/>
    <n v="3"/>
    <n v="2"/>
    <s v="Laboratory Technician"/>
    <n v="0"/>
    <n v="0"/>
    <n v="1"/>
    <n v="0"/>
    <n v="0"/>
    <n v="0"/>
    <n v="0"/>
    <n v="0"/>
    <n v="3"/>
    <s v="Married"/>
    <n v="0"/>
    <n v="1"/>
    <n v="5429"/>
    <n v="5429"/>
    <n v="4"/>
    <s v="No"/>
    <n v="0"/>
    <n v="13"/>
    <n v="3"/>
    <n v="1"/>
    <n v="2"/>
    <n v="10"/>
    <x v="1"/>
    <n v="1"/>
    <n v="3"/>
    <n v="8"/>
    <n v="8"/>
    <n v="7"/>
    <n v="7"/>
    <n v="7"/>
    <n v="7"/>
    <n v="7"/>
    <n v="14"/>
    <n v="0"/>
    <n v="1"/>
    <n v="0"/>
    <n v="0"/>
    <n v="0"/>
    <n v="0"/>
    <n v="1"/>
    <n v="0"/>
    <n v="0"/>
    <n v="7"/>
    <n v="0"/>
    <n v="0"/>
    <n v="10"/>
    <n v="0"/>
    <n v="0.22810984509724494"/>
    <n v="0.80626709607243985"/>
    <n v="0.1644554352117841"/>
    <n v="0.16189221622713135"/>
    <n v="2.4432976708053049"/>
    <n v="0.32005363845127444"/>
    <n v="1.4933588878908215"/>
  </r>
  <r>
    <n v="31"/>
    <n v="31"/>
    <s v="Yes"/>
    <n v="1"/>
    <s v="Travel_Frequently"/>
    <n v="1"/>
    <n v="0"/>
    <x v="0"/>
    <n v="0"/>
    <n v="1"/>
    <n v="2"/>
    <n v="2"/>
    <n v="3"/>
    <s v="Life Sciences"/>
    <n v="1"/>
    <n v="0"/>
    <n v="0"/>
    <n v="0"/>
    <n v="0"/>
    <n v="3"/>
    <s v="Female"/>
    <n v="1"/>
    <n v="90"/>
    <n v="2"/>
    <n v="1"/>
    <s v="Sales Representative"/>
    <n v="0"/>
    <n v="0"/>
    <n v="0"/>
    <n v="0"/>
    <n v="0"/>
    <n v="0"/>
    <n v="1"/>
    <n v="0"/>
    <n v="4"/>
    <s v="Single"/>
    <n v="1"/>
    <n v="0"/>
    <n v="2785"/>
    <n v="2785"/>
    <n v="7"/>
    <s v="No"/>
    <n v="0"/>
    <n v="14"/>
    <n v="3"/>
    <n v="3"/>
    <n v="0"/>
    <n v="3"/>
    <x v="8"/>
    <n v="3"/>
    <n v="4"/>
    <n v="1"/>
    <n v="1"/>
    <n v="0"/>
    <n v="0"/>
    <n v="0"/>
    <n v="0"/>
    <n v="0"/>
    <n v="0"/>
    <n v="0"/>
    <n v="0"/>
    <n v="1"/>
    <n v="0"/>
    <n v="1"/>
    <n v="0"/>
    <n v="0"/>
    <n v="0"/>
    <n v="0"/>
    <n v="0"/>
    <n v="0"/>
    <n v="0"/>
    <n v="0"/>
    <n v="3"/>
    <n v="0.78971228152831152"/>
    <n v="1.1555414682655611"/>
    <n v="1.0641079755250529"/>
    <n v="0.9806804209314296"/>
    <n v="0.88721318382472392"/>
    <n v="0.6484474368621912"/>
    <n v="0.67891464284095016"/>
  </r>
  <r>
    <n v="35"/>
    <n v="35"/>
    <s v="Yes"/>
    <n v="1"/>
    <s v="Travel_Frequently"/>
    <n v="1"/>
    <n v="0"/>
    <x v="0"/>
    <n v="0"/>
    <n v="1"/>
    <n v="18"/>
    <n v="18"/>
    <n v="4"/>
    <s v="Marketing"/>
    <n v="0"/>
    <n v="0"/>
    <n v="0"/>
    <n v="1"/>
    <n v="0"/>
    <n v="4"/>
    <s v="Female"/>
    <n v="1"/>
    <n v="67"/>
    <n v="3"/>
    <n v="2"/>
    <s v="Sales Executive"/>
    <n v="0"/>
    <n v="1"/>
    <n v="0"/>
    <n v="0"/>
    <n v="0"/>
    <n v="0"/>
    <n v="0"/>
    <n v="0"/>
    <n v="3"/>
    <s v="Married"/>
    <n v="0"/>
    <n v="1"/>
    <n v="4614"/>
    <n v="4614"/>
    <n v="0"/>
    <s v="Yes"/>
    <n v="1"/>
    <n v="18"/>
    <n v="3"/>
    <n v="3"/>
    <n v="1"/>
    <n v="5"/>
    <x v="7"/>
    <n v="0"/>
    <n v="2"/>
    <n v="4"/>
    <n v="4"/>
    <n v="2"/>
    <n v="3"/>
    <n v="3"/>
    <n v="2"/>
    <n v="2"/>
    <n v="4"/>
    <n v="0"/>
    <n v="0"/>
    <n v="0"/>
    <n v="1"/>
    <n v="0"/>
    <n v="0"/>
    <n v="0"/>
    <n v="1"/>
    <n v="0"/>
    <n v="0"/>
    <n v="2"/>
    <n v="0"/>
    <n v="0"/>
    <n v="5"/>
    <n v="0.40122103484433996"/>
    <n v="0.59502473559756086"/>
    <n v="0.80706439257840468"/>
    <n v="0.49100643357776058"/>
    <n v="1.0864228781782561"/>
    <n v="0.21058903898096887"/>
    <n v="0.2520597274726662"/>
  </r>
  <r>
    <n v="38"/>
    <n v="38"/>
    <s v="No"/>
    <n v="0"/>
    <s v="Travel_Frequently"/>
    <n v="1"/>
    <n v="0"/>
    <x v="1"/>
    <n v="1"/>
    <n v="0"/>
    <n v="7"/>
    <n v="7"/>
    <n v="3"/>
    <s v="Life Sciences"/>
    <n v="1"/>
    <n v="0"/>
    <n v="0"/>
    <n v="0"/>
    <n v="0"/>
    <n v="4"/>
    <s v="Male"/>
    <n v="0"/>
    <n v="57"/>
    <n v="4"/>
    <n v="1"/>
    <s v="Research Scientist"/>
    <n v="0"/>
    <n v="0"/>
    <n v="0"/>
    <n v="0"/>
    <n v="0"/>
    <n v="0"/>
    <n v="0"/>
    <n v="1"/>
    <n v="3"/>
    <s v="Divorced"/>
    <n v="0"/>
    <n v="0"/>
    <n v="2610"/>
    <n v="2610"/>
    <n v="1"/>
    <s v="No"/>
    <n v="0"/>
    <n v="11"/>
    <n v="3"/>
    <n v="4"/>
    <n v="3"/>
    <n v="4"/>
    <x v="20"/>
    <n v="2"/>
    <n v="3"/>
    <n v="4"/>
    <n v="4"/>
    <n v="2"/>
    <n v="0"/>
    <n v="0"/>
    <n v="3"/>
    <n v="3"/>
    <n v="3"/>
    <n v="0"/>
    <n v="0"/>
    <n v="1"/>
    <n v="0"/>
    <n v="1"/>
    <n v="0"/>
    <n v="0"/>
    <n v="0"/>
    <n v="0"/>
    <n v="3"/>
    <n v="0"/>
    <n v="0"/>
    <n v="4"/>
    <n v="0"/>
    <n v="0.82688339589118476"/>
    <n v="0.31476636926356072"/>
    <n v="0.93558618405172878"/>
    <n v="0.49100643357776058"/>
    <n v="0.27045191444879263"/>
    <n v="0.11780475942994788"/>
    <n v="0.67891464284095016"/>
  </r>
  <r>
    <n v="34"/>
    <n v="34"/>
    <s v="No"/>
    <n v="0"/>
    <s v="Travel_Rarely"/>
    <n v="0"/>
    <n v="1"/>
    <x v="1"/>
    <n v="1"/>
    <n v="0"/>
    <n v="2"/>
    <n v="2"/>
    <n v="4"/>
    <s v="Technical Degree"/>
    <n v="0"/>
    <n v="0"/>
    <n v="0"/>
    <n v="0"/>
    <n v="1"/>
    <n v="3"/>
    <s v="Female"/>
    <n v="1"/>
    <n v="98"/>
    <n v="3"/>
    <n v="2"/>
    <s v="Healthcare Representative"/>
    <n v="1"/>
    <n v="0"/>
    <n v="0"/>
    <n v="0"/>
    <n v="0"/>
    <n v="0"/>
    <n v="0"/>
    <n v="0"/>
    <n v="4"/>
    <s v="Single"/>
    <n v="1"/>
    <n v="0"/>
    <n v="6687"/>
    <n v="6687"/>
    <n v="1"/>
    <s v="No"/>
    <n v="0"/>
    <n v="11"/>
    <n v="3"/>
    <n v="4"/>
    <n v="0"/>
    <n v="14"/>
    <x v="18"/>
    <n v="2"/>
    <n v="4"/>
    <n v="14"/>
    <n v="14"/>
    <n v="11"/>
    <n v="4"/>
    <n v="4"/>
    <n v="11"/>
    <n v="11"/>
    <n v="22"/>
    <n v="1"/>
    <n v="0"/>
    <n v="0"/>
    <n v="0"/>
    <n v="1"/>
    <n v="0"/>
    <n v="0"/>
    <n v="0"/>
    <n v="0"/>
    <n v="11"/>
    <n v="0"/>
    <n v="0"/>
    <n v="14"/>
    <n v="0"/>
    <n v="3.9097365579866171E-2"/>
    <n v="1.9273005614084406"/>
    <n v="0.34963173068151232"/>
    <n v="1.1412401909344694"/>
    <n v="0.88721318382472392"/>
    <n v="0.32005363845127444"/>
    <n v="0.56238451757720498"/>
  </r>
  <r>
    <n v="28"/>
    <n v="28"/>
    <s v="No"/>
    <n v="0"/>
    <s v="Travel_Rarely"/>
    <n v="0"/>
    <n v="1"/>
    <x v="0"/>
    <n v="0"/>
    <n v="1"/>
    <n v="26"/>
    <n v="26"/>
    <n v="3"/>
    <s v="Life Sciences"/>
    <n v="1"/>
    <n v="0"/>
    <n v="0"/>
    <n v="0"/>
    <n v="0"/>
    <n v="3"/>
    <s v="Male"/>
    <n v="0"/>
    <n v="48"/>
    <n v="2"/>
    <n v="2"/>
    <s v="Sales Executive"/>
    <n v="0"/>
    <n v="1"/>
    <n v="0"/>
    <n v="0"/>
    <n v="0"/>
    <n v="0"/>
    <n v="0"/>
    <n v="0"/>
    <n v="1"/>
    <s v="Married"/>
    <n v="0"/>
    <n v="1"/>
    <n v="4724"/>
    <n v="4724"/>
    <n v="1"/>
    <s v="No"/>
    <n v="0"/>
    <n v="11"/>
    <n v="3"/>
    <n v="3"/>
    <n v="1"/>
    <n v="5"/>
    <x v="7"/>
    <n v="0"/>
    <n v="3"/>
    <n v="5"/>
    <n v="5"/>
    <n v="3"/>
    <n v="0"/>
    <n v="0"/>
    <n v="4"/>
    <n v="4"/>
    <n v="8"/>
    <n v="0"/>
    <n v="1"/>
    <n v="0"/>
    <n v="0"/>
    <n v="0"/>
    <n v="0"/>
    <n v="1"/>
    <n v="0"/>
    <n v="0"/>
    <n v="0"/>
    <n v="4"/>
    <n v="0"/>
    <n v="0"/>
    <n v="5"/>
    <n v="0.37785633438767685"/>
    <n v="3.4508002929560584E-2"/>
    <n v="0.80706439257840468"/>
    <n v="0.32778177112653761"/>
    <n v="2.0732409091797459"/>
    <n v="0.97684123527310796"/>
    <n v="0.67891464284095016"/>
  </r>
  <r>
    <n v="31"/>
    <n v="31"/>
    <s v="Yes"/>
    <n v="1"/>
    <s v="Travel_Rarely"/>
    <n v="0"/>
    <n v="1"/>
    <x v="1"/>
    <n v="1"/>
    <n v="0"/>
    <n v="22"/>
    <n v="22"/>
    <n v="4"/>
    <s v="Medical"/>
    <n v="0"/>
    <n v="0"/>
    <n v="1"/>
    <n v="0"/>
    <n v="0"/>
    <n v="4"/>
    <s v="Male"/>
    <n v="0"/>
    <n v="98"/>
    <n v="3"/>
    <n v="2"/>
    <s v="Manufacturing Director"/>
    <n v="0"/>
    <n v="0"/>
    <n v="0"/>
    <n v="0"/>
    <n v="1"/>
    <n v="1"/>
    <n v="0"/>
    <n v="0"/>
    <n v="3"/>
    <s v="Married"/>
    <n v="0"/>
    <n v="1"/>
    <n v="6179"/>
    <n v="6179"/>
    <n v="1"/>
    <s v="Yes"/>
    <n v="1"/>
    <n v="15"/>
    <n v="3"/>
    <n v="4"/>
    <n v="2"/>
    <n v="10"/>
    <x v="1"/>
    <n v="3"/>
    <n v="2"/>
    <n v="10"/>
    <n v="10"/>
    <n v="2"/>
    <n v="6"/>
    <n v="6"/>
    <n v="7"/>
    <n v="7"/>
    <n v="14"/>
    <n v="0"/>
    <n v="1"/>
    <n v="0"/>
    <n v="0"/>
    <n v="0"/>
    <n v="0"/>
    <n v="0"/>
    <n v="1"/>
    <n v="0"/>
    <n v="7"/>
    <n v="0"/>
    <n v="0"/>
    <n v="10"/>
    <n v="0"/>
    <n v="6.8805069256359944E-2"/>
    <n v="0.80626709607243985"/>
    <n v="0.1644554352117841"/>
    <n v="0.48834154112957734"/>
    <n v="1.579831893679001"/>
    <n v="0.6484474368621912"/>
    <n v="1.1830340977862825"/>
  </r>
  <r>
    <n v="39"/>
    <n v="39"/>
    <s v="No"/>
    <n v="0"/>
    <s v="Travel_Rarely"/>
    <n v="0"/>
    <n v="1"/>
    <x v="0"/>
    <n v="0"/>
    <n v="1"/>
    <n v="21"/>
    <n v="21"/>
    <n v="4"/>
    <s v="Life Sciences"/>
    <n v="1"/>
    <n v="0"/>
    <n v="0"/>
    <n v="0"/>
    <n v="0"/>
    <n v="1"/>
    <s v="Male"/>
    <n v="0"/>
    <n v="44"/>
    <n v="2"/>
    <n v="2"/>
    <s v="Sales Executive"/>
    <n v="0"/>
    <n v="1"/>
    <n v="0"/>
    <n v="0"/>
    <n v="0"/>
    <n v="0"/>
    <n v="0"/>
    <n v="0"/>
    <n v="4"/>
    <s v="Married"/>
    <n v="0"/>
    <n v="1"/>
    <n v="6120"/>
    <n v="6120"/>
    <n v="3"/>
    <s v="Yes"/>
    <n v="1"/>
    <n v="12"/>
    <n v="3"/>
    <n v="4"/>
    <n v="2"/>
    <n v="8"/>
    <x v="0"/>
    <n v="2"/>
    <n v="4"/>
    <n v="5"/>
    <n v="5"/>
    <n v="4"/>
    <n v="1"/>
    <n v="1"/>
    <n v="4"/>
    <n v="4"/>
    <n v="8"/>
    <n v="0"/>
    <n v="1"/>
    <n v="0"/>
    <n v="0"/>
    <n v="0"/>
    <n v="0"/>
    <n v="0"/>
    <n v="1"/>
    <n v="0"/>
    <n v="0"/>
    <n v="4"/>
    <n v="0"/>
    <n v="0"/>
    <n v="8"/>
    <n v="8.1337044955842888E-2"/>
    <n v="3.4508002929560584E-2"/>
    <n v="0.42149901815843233"/>
    <n v="0.32778177112653761"/>
    <n v="1.4564796398038149"/>
    <n v="0.22726935890025346"/>
    <n v="0.36858985273641137"/>
  </r>
  <r>
    <n v="51"/>
    <n v="51"/>
    <s v="No"/>
    <n v="0"/>
    <s v="Travel_Frequently"/>
    <n v="1"/>
    <n v="0"/>
    <x v="0"/>
    <n v="0"/>
    <n v="1"/>
    <n v="2"/>
    <n v="2"/>
    <n v="3"/>
    <s v="Marketing"/>
    <n v="0"/>
    <n v="0"/>
    <n v="0"/>
    <n v="1"/>
    <n v="0"/>
    <n v="2"/>
    <s v="Male"/>
    <n v="0"/>
    <n v="52"/>
    <n v="3"/>
    <n v="3"/>
    <s v="Sales Executive"/>
    <n v="0"/>
    <n v="1"/>
    <n v="0"/>
    <n v="0"/>
    <n v="0"/>
    <n v="0"/>
    <n v="0"/>
    <n v="0"/>
    <n v="2"/>
    <s v="Married"/>
    <n v="0"/>
    <n v="1"/>
    <n v="10596"/>
    <n v="10596"/>
    <n v="2"/>
    <s v="No"/>
    <n v="0"/>
    <n v="11"/>
    <n v="3"/>
    <n v="2"/>
    <n v="0"/>
    <n v="14"/>
    <x v="18"/>
    <n v="5"/>
    <n v="3"/>
    <n v="4"/>
    <n v="4"/>
    <n v="2"/>
    <n v="3"/>
    <n v="3"/>
    <n v="2"/>
    <n v="2"/>
    <n v="6"/>
    <n v="0"/>
    <n v="0"/>
    <n v="0"/>
    <n v="1"/>
    <n v="0"/>
    <n v="0"/>
    <n v="1"/>
    <n v="0"/>
    <n v="0"/>
    <n v="0"/>
    <n v="2"/>
    <n v="0"/>
    <n v="0"/>
    <n v="14"/>
    <n v="0.8693938572625588"/>
    <n v="0.59502473559756086"/>
    <n v="0.34963173068151232"/>
    <n v="0.49100643357776058"/>
    <n v="0.88721318382472392"/>
    <n v="1.5408445525439205"/>
    <n v="0.2520597274726662"/>
  </r>
  <r>
    <n v="41"/>
    <n v="41"/>
    <s v="No"/>
    <n v="0"/>
    <s v="Travel_Frequently"/>
    <n v="1"/>
    <n v="0"/>
    <x v="1"/>
    <n v="1"/>
    <n v="0"/>
    <n v="22"/>
    <n v="22"/>
    <n v="3"/>
    <s v="Life Sciences"/>
    <n v="1"/>
    <n v="0"/>
    <n v="0"/>
    <n v="0"/>
    <n v="0"/>
    <n v="4"/>
    <s v="Female"/>
    <n v="1"/>
    <n v="75"/>
    <n v="3"/>
    <n v="2"/>
    <s v="Research Scientist"/>
    <n v="0"/>
    <n v="0"/>
    <n v="0"/>
    <n v="0"/>
    <n v="0"/>
    <n v="0"/>
    <n v="0"/>
    <n v="1"/>
    <n v="4"/>
    <s v="Divorced"/>
    <n v="0"/>
    <n v="0"/>
    <n v="5467"/>
    <n v="5467"/>
    <n v="3"/>
    <s v="Yes"/>
    <n v="1"/>
    <n v="14"/>
    <n v="3"/>
    <n v="1"/>
    <n v="2"/>
    <n v="12"/>
    <x v="4"/>
    <n v="4"/>
    <n v="2"/>
    <n v="6"/>
    <n v="6"/>
    <n v="2"/>
    <n v="3"/>
    <n v="3"/>
    <n v="3"/>
    <n v="3"/>
    <n v="6"/>
    <n v="0"/>
    <n v="0"/>
    <n v="1"/>
    <n v="0"/>
    <n v="0"/>
    <n v="1"/>
    <n v="0"/>
    <n v="0"/>
    <n v="0"/>
    <n v="3"/>
    <n v="0"/>
    <n v="0"/>
    <n v="12"/>
    <n v="0"/>
    <n v="0.22003840312130676"/>
    <n v="0.31476636926356072"/>
    <n v="9.2588147734864096E-2"/>
    <n v="0.16455710867531462"/>
    <n v="1.579831893679001"/>
    <n v="0.4461985578408646"/>
    <n v="0.2520597274726662"/>
  </r>
  <r>
    <n v="37"/>
    <n v="37"/>
    <s v="No"/>
    <n v="0"/>
    <s v="Travel_Rarely"/>
    <n v="0"/>
    <n v="1"/>
    <x v="1"/>
    <n v="1"/>
    <n v="0"/>
    <n v="4"/>
    <n v="4"/>
    <n v="1"/>
    <s v="Life Sciences"/>
    <n v="1"/>
    <n v="0"/>
    <n v="0"/>
    <n v="0"/>
    <n v="0"/>
    <n v="3"/>
    <s v="Male"/>
    <n v="0"/>
    <n v="54"/>
    <n v="3"/>
    <n v="1"/>
    <s v="Research Scientist"/>
    <n v="0"/>
    <n v="0"/>
    <n v="0"/>
    <n v="0"/>
    <n v="0"/>
    <n v="0"/>
    <n v="0"/>
    <n v="1"/>
    <n v="3"/>
    <s v="Married"/>
    <n v="0"/>
    <n v="1"/>
    <n v="2996"/>
    <n v="2996"/>
    <n v="7"/>
    <s v="Yes"/>
    <n v="1"/>
    <n v="15"/>
    <n v="3"/>
    <n v="4"/>
    <n v="0"/>
    <n v="8"/>
    <x v="0"/>
    <n v="2"/>
    <n v="3"/>
    <n v="6"/>
    <n v="6"/>
    <n v="4"/>
    <n v="1"/>
    <n v="1"/>
    <n v="3"/>
    <n v="3"/>
    <n v="3"/>
    <n v="0"/>
    <n v="1"/>
    <n v="0"/>
    <n v="0"/>
    <n v="0"/>
    <n v="0"/>
    <n v="0"/>
    <n v="1"/>
    <n v="0"/>
    <n v="3"/>
    <n v="0"/>
    <n v="0"/>
    <n v="8"/>
    <n v="0"/>
    <n v="0.74489453792507587"/>
    <n v="0.31476636926356072"/>
    <n v="0.42149901815843233"/>
    <n v="0.16455710867531462"/>
    <n v="0.64050867607435136"/>
    <n v="8.3401599596422994E-3"/>
    <n v="0.36858985273641137"/>
  </r>
  <r>
    <n v="33"/>
    <n v="33"/>
    <s v="No"/>
    <n v="0"/>
    <s v="Travel_Frequently"/>
    <n v="1"/>
    <n v="0"/>
    <x v="0"/>
    <n v="0"/>
    <n v="1"/>
    <n v="5"/>
    <n v="5"/>
    <n v="1"/>
    <s v="Life Sciences"/>
    <n v="1"/>
    <n v="0"/>
    <n v="0"/>
    <n v="0"/>
    <n v="0"/>
    <n v="2"/>
    <s v="Male"/>
    <n v="0"/>
    <n v="61"/>
    <n v="3"/>
    <n v="2"/>
    <s v="Sales Executive"/>
    <n v="0"/>
    <n v="1"/>
    <n v="0"/>
    <n v="0"/>
    <n v="0"/>
    <n v="0"/>
    <n v="0"/>
    <n v="0"/>
    <n v="4"/>
    <s v="Married"/>
    <n v="0"/>
    <n v="1"/>
    <n v="9998"/>
    <n v="9998"/>
    <n v="6"/>
    <s v="No"/>
    <n v="0"/>
    <n v="13"/>
    <n v="3"/>
    <n v="1"/>
    <n v="0"/>
    <n v="8"/>
    <x v="0"/>
    <n v="2"/>
    <n v="4"/>
    <n v="5"/>
    <n v="5"/>
    <n v="4"/>
    <n v="1"/>
    <n v="1"/>
    <n v="2"/>
    <n v="2"/>
    <n v="4"/>
    <n v="0"/>
    <n v="0"/>
    <n v="0"/>
    <n v="1"/>
    <n v="0"/>
    <n v="0"/>
    <n v="1"/>
    <n v="0"/>
    <n v="0"/>
    <n v="0"/>
    <n v="2"/>
    <n v="0"/>
    <n v="0"/>
    <n v="8"/>
    <n v="0.74237484932542652"/>
    <n v="0.59502473559756086"/>
    <n v="0.42149901815843233"/>
    <n v="0.32778177112653761"/>
    <n v="0.51715642219916513"/>
    <n v="0.42951823792158"/>
    <n v="0.36858985273641137"/>
  </r>
  <r>
    <n v="32"/>
    <n v="32"/>
    <s v="No"/>
    <n v="0"/>
    <s v="Travel_Rarely"/>
    <n v="0"/>
    <n v="1"/>
    <x v="0"/>
    <n v="0"/>
    <n v="1"/>
    <n v="2"/>
    <n v="2"/>
    <n v="1"/>
    <s v="Marketing"/>
    <n v="0"/>
    <n v="0"/>
    <n v="0"/>
    <n v="1"/>
    <n v="0"/>
    <n v="3"/>
    <s v="Male"/>
    <n v="0"/>
    <n v="36"/>
    <n v="3"/>
    <n v="2"/>
    <s v="Sales Executive"/>
    <n v="0"/>
    <n v="1"/>
    <n v="0"/>
    <n v="0"/>
    <n v="0"/>
    <n v="0"/>
    <n v="0"/>
    <n v="0"/>
    <n v="2"/>
    <s v="Married"/>
    <n v="0"/>
    <n v="1"/>
    <n v="4078"/>
    <n v="4078"/>
    <n v="0"/>
    <s v="Yes"/>
    <n v="1"/>
    <n v="13"/>
    <n v="3"/>
    <n v="1"/>
    <n v="3"/>
    <n v="4"/>
    <x v="20"/>
    <n v="3"/>
    <n v="2"/>
    <n v="3"/>
    <n v="3"/>
    <n v="2"/>
    <n v="1"/>
    <n v="1"/>
    <n v="2"/>
    <n v="2"/>
    <n v="4"/>
    <n v="0"/>
    <n v="1"/>
    <n v="0"/>
    <n v="0"/>
    <n v="0"/>
    <n v="0"/>
    <n v="0"/>
    <n v="1"/>
    <n v="0"/>
    <n v="0"/>
    <n v="2"/>
    <n v="0"/>
    <n v="0"/>
    <n v="4"/>
    <n v="0.51507084797862579"/>
    <n v="0.59502473559756086"/>
    <n v="0.93558618405172878"/>
    <n v="0.65423109602898355"/>
    <n v="0.88721318382472392"/>
    <n v="0.53898283739188557"/>
    <n v="0.36858985273641137"/>
  </r>
  <r>
    <n v="39"/>
    <n v="39"/>
    <s v="No"/>
    <n v="0"/>
    <s v="Non-Travel"/>
    <n v="0"/>
    <n v="0"/>
    <x v="1"/>
    <n v="1"/>
    <n v="0"/>
    <n v="25"/>
    <n v="25"/>
    <n v="2"/>
    <s v="Life Sciences"/>
    <n v="1"/>
    <n v="0"/>
    <n v="0"/>
    <n v="0"/>
    <n v="0"/>
    <n v="3"/>
    <s v="Male"/>
    <n v="0"/>
    <n v="71"/>
    <n v="3"/>
    <n v="3"/>
    <s v="Healthcare Representative"/>
    <n v="1"/>
    <n v="0"/>
    <n v="0"/>
    <n v="0"/>
    <n v="0"/>
    <n v="0"/>
    <n v="0"/>
    <n v="0"/>
    <n v="3"/>
    <s v="Married"/>
    <n v="0"/>
    <n v="1"/>
    <n v="10920"/>
    <n v="10920"/>
    <n v="3"/>
    <s v="No"/>
    <n v="0"/>
    <n v="21"/>
    <n v="4"/>
    <n v="2"/>
    <n v="1"/>
    <n v="13"/>
    <x v="10"/>
    <n v="2"/>
    <n v="3"/>
    <n v="6"/>
    <n v="6"/>
    <n v="4"/>
    <n v="0"/>
    <n v="0"/>
    <n v="5"/>
    <n v="5"/>
    <n v="15"/>
    <n v="0"/>
    <n v="1"/>
    <n v="0"/>
    <n v="0"/>
    <n v="0"/>
    <n v="0"/>
    <n v="1"/>
    <n v="0"/>
    <n v="0"/>
    <n v="5"/>
    <n v="0"/>
    <n v="0"/>
    <n v="13"/>
    <n v="0"/>
    <n v="0.93821352042582118"/>
    <n v="0.24575036340443959"/>
    <n v="0.22110993920818819"/>
    <n v="0.16455710867531462"/>
    <n v="1.9498886553045598"/>
    <n v="0.22726935890025346"/>
    <n v="0.67891464284095016"/>
  </r>
  <r>
    <n v="25"/>
    <n v="25"/>
    <s v="No"/>
    <n v="0"/>
    <s v="Travel_Rarely"/>
    <n v="0"/>
    <n v="1"/>
    <x v="0"/>
    <n v="0"/>
    <n v="1"/>
    <n v="18"/>
    <n v="18"/>
    <n v="1"/>
    <s v="Life Sciences"/>
    <n v="1"/>
    <n v="0"/>
    <n v="0"/>
    <n v="0"/>
    <n v="0"/>
    <n v="1"/>
    <s v="Male"/>
    <n v="0"/>
    <n v="93"/>
    <n v="4"/>
    <n v="2"/>
    <s v="Sales Executive"/>
    <n v="0"/>
    <n v="1"/>
    <n v="0"/>
    <n v="0"/>
    <n v="0"/>
    <n v="0"/>
    <n v="0"/>
    <n v="0"/>
    <n v="3"/>
    <s v="Married"/>
    <n v="0"/>
    <n v="1"/>
    <n v="6232"/>
    <n v="6232"/>
    <n v="2"/>
    <s v="No"/>
    <n v="0"/>
    <n v="11"/>
    <n v="3"/>
    <n v="2"/>
    <n v="0"/>
    <n v="6"/>
    <x v="3"/>
    <n v="3"/>
    <n v="2"/>
    <n v="3"/>
    <n v="3"/>
    <n v="2"/>
    <n v="1"/>
    <n v="1"/>
    <n v="2"/>
    <n v="2"/>
    <n v="4"/>
    <n v="0"/>
    <n v="1"/>
    <n v="0"/>
    <n v="0"/>
    <n v="0"/>
    <n v="0"/>
    <n v="1"/>
    <n v="0"/>
    <n v="0"/>
    <n v="0"/>
    <n v="2"/>
    <n v="0"/>
    <n v="0"/>
    <n v="6"/>
    <n v="5.7547531763604061E-2"/>
    <n v="0.59502473559756086"/>
    <n v="0.67854260110508058"/>
    <n v="0.65423109602898355"/>
    <n v="1.0864228781782561"/>
    <n v="1.3052350336840246"/>
    <n v="0.36858985273641137"/>
  </r>
  <r>
    <n v="52"/>
    <n v="52"/>
    <s v="No"/>
    <n v="0"/>
    <s v="Travel_Frequently"/>
    <n v="1"/>
    <n v="0"/>
    <x v="1"/>
    <n v="1"/>
    <n v="0"/>
    <n v="28"/>
    <n v="28"/>
    <n v="2"/>
    <s v="Medical"/>
    <n v="0"/>
    <n v="0"/>
    <n v="1"/>
    <n v="0"/>
    <n v="0"/>
    <n v="4"/>
    <s v="Female"/>
    <n v="1"/>
    <n v="59"/>
    <n v="4"/>
    <n v="4"/>
    <s v="Manufacturing Director"/>
    <n v="0"/>
    <n v="0"/>
    <n v="0"/>
    <n v="0"/>
    <n v="1"/>
    <n v="1"/>
    <n v="0"/>
    <n v="0"/>
    <n v="3"/>
    <s v="Married"/>
    <n v="0"/>
    <n v="1"/>
    <n v="13247"/>
    <n v="13247"/>
    <n v="2"/>
    <s v="Yes"/>
    <n v="1"/>
    <n v="11"/>
    <n v="3"/>
    <n v="2"/>
    <n v="1"/>
    <n v="24"/>
    <x v="12"/>
    <n v="3"/>
    <n v="2"/>
    <n v="5"/>
    <n v="5"/>
    <n v="3"/>
    <n v="0"/>
    <n v="0"/>
    <n v="2"/>
    <n v="2"/>
    <n v="8"/>
    <n v="0"/>
    <n v="0"/>
    <n v="0"/>
    <n v="1"/>
    <n v="0"/>
    <n v="0"/>
    <n v="0"/>
    <n v="1"/>
    <n v="0"/>
    <n v="2"/>
    <n v="0"/>
    <n v="0"/>
    <n v="24"/>
    <n v="0"/>
    <n v="1.4324831382681404"/>
    <n v="0.59502473559756086"/>
    <n v="1.6348496454147534"/>
    <n v="0.32778177112653761"/>
    <n v="2.3199454169301186"/>
    <n v="1.6503091520142259"/>
    <n v="0.67891464284095016"/>
  </r>
  <r>
    <n v="43"/>
    <n v="43"/>
    <s v="No"/>
    <n v="0"/>
    <s v="Travel_Rarely"/>
    <n v="0"/>
    <n v="1"/>
    <x v="1"/>
    <n v="1"/>
    <n v="0"/>
    <n v="6"/>
    <n v="6"/>
    <n v="3"/>
    <s v="Medical"/>
    <n v="0"/>
    <n v="0"/>
    <n v="1"/>
    <n v="0"/>
    <n v="0"/>
    <n v="1"/>
    <s v="Female"/>
    <n v="1"/>
    <n v="73"/>
    <n v="2"/>
    <n v="2"/>
    <s v="Research Scientist"/>
    <n v="0"/>
    <n v="0"/>
    <n v="0"/>
    <n v="0"/>
    <n v="0"/>
    <n v="0"/>
    <n v="0"/>
    <n v="1"/>
    <n v="3"/>
    <s v="Single"/>
    <n v="1"/>
    <n v="0"/>
    <n v="4081"/>
    <n v="4081"/>
    <n v="1"/>
    <s v="Yes"/>
    <n v="1"/>
    <n v="14"/>
    <n v="3"/>
    <n v="1"/>
    <n v="0"/>
    <n v="20"/>
    <x v="25"/>
    <n v="3"/>
    <n v="1"/>
    <n v="20"/>
    <n v="20"/>
    <n v="7"/>
    <n v="1"/>
    <n v="1"/>
    <n v="8"/>
    <n v="8"/>
    <n v="16"/>
    <n v="1"/>
    <n v="0"/>
    <n v="0"/>
    <n v="0"/>
    <n v="0"/>
    <n v="1"/>
    <n v="0"/>
    <n v="0"/>
    <n v="0"/>
    <n v="8"/>
    <n v="0"/>
    <n v="0"/>
    <n v="20"/>
    <n v="0"/>
    <n v="0.51443362887526223"/>
    <n v="1.08652546240644"/>
    <n v="1.120762479521457"/>
    <n v="2.1205881656418071"/>
    <n v="0.39380416832397891"/>
    <n v="0.66512775678147573"/>
    <n v="0.36858985273641137"/>
  </r>
  <r>
    <n v="27"/>
    <n v="27"/>
    <s v="No"/>
    <n v="0"/>
    <s v="Travel_Rarely"/>
    <n v="0"/>
    <n v="1"/>
    <x v="0"/>
    <n v="0"/>
    <n v="1"/>
    <n v="10"/>
    <n v="10"/>
    <n v="3"/>
    <s v="Marketing"/>
    <n v="0"/>
    <n v="0"/>
    <n v="0"/>
    <n v="1"/>
    <n v="0"/>
    <n v="4"/>
    <s v="Female"/>
    <n v="1"/>
    <n v="98"/>
    <n v="2"/>
    <n v="2"/>
    <s v="Sales Executive"/>
    <n v="0"/>
    <n v="1"/>
    <n v="0"/>
    <n v="0"/>
    <n v="0"/>
    <n v="0"/>
    <n v="0"/>
    <n v="0"/>
    <n v="4"/>
    <s v="Married"/>
    <n v="0"/>
    <n v="1"/>
    <n v="5769"/>
    <n v="5769"/>
    <n v="1"/>
    <s v="Yes"/>
    <n v="1"/>
    <n v="11"/>
    <n v="3"/>
    <n v="4"/>
    <n v="0"/>
    <n v="6"/>
    <x v="3"/>
    <n v="3"/>
    <n v="3"/>
    <n v="6"/>
    <n v="6"/>
    <n v="2"/>
    <n v="4"/>
    <n v="4"/>
    <n v="4"/>
    <n v="4"/>
    <n v="8"/>
    <n v="0"/>
    <n v="1"/>
    <n v="0"/>
    <n v="0"/>
    <n v="0"/>
    <n v="0"/>
    <n v="0"/>
    <n v="1"/>
    <n v="0"/>
    <n v="0"/>
    <n v="4"/>
    <n v="0"/>
    <n v="0"/>
    <n v="6"/>
    <n v="0.15589168004937706"/>
    <n v="3.4508002929560584E-2"/>
    <n v="0.67854260110508058"/>
    <n v="0.16455710867531462"/>
    <n v="9.9604847176766084E-2"/>
    <n v="1.0863058347434136"/>
    <n v="0.56238451757720498"/>
  </r>
  <r>
    <n v="27"/>
    <n v="27"/>
    <s v="Yes"/>
    <n v="1"/>
    <s v="Travel_Rarely"/>
    <n v="0"/>
    <n v="1"/>
    <x v="1"/>
    <n v="1"/>
    <n v="0"/>
    <n v="17"/>
    <n v="17"/>
    <n v="4"/>
    <s v="Life Sciences"/>
    <n v="1"/>
    <n v="0"/>
    <n v="0"/>
    <n v="0"/>
    <n v="0"/>
    <n v="4"/>
    <s v="Female"/>
    <n v="1"/>
    <n v="51"/>
    <n v="3"/>
    <n v="1"/>
    <s v="Research Scientist"/>
    <n v="0"/>
    <n v="0"/>
    <n v="0"/>
    <n v="0"/>
    <n v="0"/>
    <n v="0"/>
    <n v="0"/>
    <n v="1"/>
    <n v="3"/>
    <s v="Single"/>
    <n v="1"/>
    <n v="0"/>
    <n v="2394"/>
    <n v="2394"/>
    <n v="1"/>
    <s v="Yes"/>
    <n v="1"/>
    <n v="13"/>
    <n v="3"/>
    <n v="4"/>
    <n v="0"/>
    <n v="8"/>
    <x v="0"/>
    <n v="2"/>
    <n v="3"/>
    <n v="8"/>
    <n v="8"/>
    <n v="2"/>
    <n v="7"/>
    <n v="7"/>
    <n v="7"/>
    <n v="7"/>
    <n v="7"/>
    <n v="1"/>
    <n v="0"/>
    <n v="0"/>
    <n v="0"/>
    <n v="0"/>
    <n v="1"/>
    <n v="0"/>
    <n v="0"/>
    <n v="0"/>
    <n v="7"/>
    <n v="0"/>
    <n v="0"/>
    <n v="8"/>
    <n v="0"/>
    <n v="0.87276317133335957"/>
    <n v="0.80626709607243985"/>
    <n v="0.42149901815843233"/>
    <n v="0.16189221622713135"/>
    <n v="0.96307062430306978"/>
    <n v="1.0863058347434136"/>
    <n v="1.4933588878908215"/>
  </r>
  <r>
    <n v="26"/>
    <n v="26"/>
    <s v="No"/>
    <n v="0"/>
    <s v="Travel_Rarely"/>
    <n v="0"/>
    <n v="1"/>
    <x v="1"/>
    <n v="1"/>
    <n v="0"/>
    <n v="2"/>
    <n v="2"/>
    <n v="1"/>
    <s v="Medical"/>
    <n v="0"/>
    <n v="0"/>
    <n v="1"/>
    <n v="0"/>
    <n v="0"/>
    <n v="1"/>
    <s v="Male"/>
    <n v="0"/>
    <n v="36"/>
    <n v="2"/>
    <n v="1"/>
    <s v="Research Scientist"/>
    <n v="0"/>
    <n v="0"/>
    <n v="0"/>
    <n v="0"/>
    <n v="0"/>
    <n v="0"/>
    <n v="0"/>
    <n v="1"/>
    <n v="4"/>
    <s v="Single"/>
    <n v="1"/>
    <n v="0"/>
    <n v="3904"/>
    <n v="3904"/>
    <n v="0"/>
    <s v="No"/>
    <n v="0"/>
    <n v="12"/>
    <n v="3"/>
    <n v="4"/>
    <n v="0"/>
    <n v="5"/>
    <x v="7"/>
    <n v="2"/>
    <n v="3"/>
    <n v="4"/>
    <n v="4"/>
    <n v="3"/>
    <n v="1"/>
    <n v="1"/>
    <n v="1"/>
    <n v="1"/>
    <n v="1"/>
    <n v="1"/>
    <n v="0"/>
    <n v="0"/>
    <n v="0"/>
    <n v="1"/>
    <n v="0"/>
    <n v="0"/>
    <n v="0"/>
    <n v="0"/>
    <n v="1"/>
    <n v="0"/>
    <n v="0"/>
    <n v="5"/>
    <n v="0"/>
    <n v="0.55202955597371106"/>
    <n v="0.87528310193156111"/>
    <n v="0.80706439257840468"/>
    <n v="0.49100643357776058"/>
    <n v="0.88721318382472392"/>
    <n v="1.195770434213719"/>
    <n v="0.36858985273641137"/>
  </r>
  <r>
    <n v="42"/>
    <n v="42"/>
    <s v="No"/>
    <n v="0"/>
    <s v="Travel_Rarely"/>
    <n v="0"/>
    <n v="1"/>
    <x v="2"/>
    <n v="0"/>
    <n v="0"/>
    <n v="10"/>
    <n v="10"/>
    <n v="3"/>
    <s v="Human Resources"/>
    <n v="0"/>
    <n v="0"/>
    <n v="0"/>
    <n v="0"/>
    <n v="0"/>
    <n v="3"/>
    <s v="Female"/>
    <n v="1"/>
    <n v="31"/>
    <n v="3"/>
    <n v="4"/>
    <s v="Manager"/>
    <n v="0"/>
    <n v="0"/>
    <n v="0"/>
    <n v="1"/>
    <n v="0"/>
    <n v="0"/>
    <n v="0"/>
    <n v="0"/>
    <n v="1"/>
    <s v="Married"/>
    <n v="0"/>
    <n v="1"/>
    <n v="16799"/>
    <n v="16799"/>
    <n v="0"/>
    <s v="No"/>
    <n v="0"/>
    <n v="14"/>
    <n v="3"/>
    <n v="3"/>
    <n v="1"/>
    <n v="21"/>
    <x v="23"/>
    <n v="5"/>
    <n v="3"/>
    <n v="20"/>
    <n v="20"/>
    <n v="7"/>
    <n v="0"/>
    <n v="0"/>
    <n v="9"/>
    <n v="9"/>
    <n v="36"/>
    <n v="0"/>
    <n v="1"/>
    <n v="0"/>
    <n v="0"/>
    <n v="0"/>
    <n v="0"/>
    <n v="1"/>
    <n v="0"/>
    <n v="9"/>
    <n v="0"/>
    <n v="0"/>
    <n v="21"/>
    <n v="0"/>
    <n v="0"/>
    <n v="2.1869505566505718"/>
    <n v="1.3667838287404401"/>
    <n v="1.2492842709947811"/>
    <n v="2.1205881656418071"/>
    <n v="9.9604847176766084E-2"/>
    <n v="0.55566315731117022"/>
    <n v="0.67891464284095016"/>
  </r>
  <r>
    <n v="52"/>
    <n v="52"/>
    <s v="No"/>
    <n v="0"/>
    <s v="Travel_Rarely"/>
    <n v="0"/>
    <n v="1"/>
    <x v="1"/>
    <n v="1"/>
    <n v="0"/>
    <n v="8"/>
    <n v="8"/>
    <n v="4"/>
    <s v="Other"/>
    <n v="0"/>
    <n v="1"/>
    <n v="0"/>
    <n v="0"/>
    <n v="0"/>
    <n v="3"/>
    <s v="Female"/>
    <n v="1"/>
    <n v="54"/>
    <n v="3"/>
    <n v="1"/>
    <s v="Laboratory Technician"/>
    <n v="0"/>
    <n v="0"/>
    <n v="1"/>
    <n v="0"/>
    <n v="0"/>
    <n v="0"/>
    <n v="0"/>
    <n v="0"/>
    <n v="1"/>
    <s v="Married"/>
    <n v="0"/>
    <n v="1"/>
    <n v="2950"/>
    <n v="2950"/>
    <n v="9"/>
    <s v="No"/>
    <n v="0"/>
    <n v="13"/>
    <n v="3"/>
    <n v="3"/>
    <n v="0"/>
    <n v="12"/>
    <x v="4"/>
    <n v="2"/>
    <n v="1"/>
    <n v="5"/>
    <n v="5"/>
    <n v="4"/>
    <n v="0"/>
    <n v="0"/>
    <n v="4"/>
    <n v="4"/>
    <n v="4"/>
    <n v="0"/>
    <n v="1"/>
    <n v="0"/>
    <n v="0"/>
    <n v="0"/>
    <n v="0"/>
    <n v="1"/>
    <n v="0"/>
    <n v="0"/>
    <n v="4"/>
    <n v="0"/>
    <n v="0"/>
    <n v="12"/>
    <n v="0"/>
    <n v="0.75466523084331683"/>
    <n v="3.4508002929560584E-2"/>
    <n v="9.2588147734864096E-2"/>
    <n v="0.32778177112653761"/>
    <n v="0.14709966057360641"/>
    <n v="1.6503091520142259"/>
    <n v="0.67891464284095016"/>
  </r>
  <r>
    <n v="37"/>
    <n v="37"/>
    <s v="No"/>
    <n v="0"/>
    <s v="Travel_Rarely"/>
    <n v="0"/>
    <n v="1"/>
    <x v="1"/>
    <n v="1"/>
    <n v="0"/>
    <n v="11"/>
    <n v="11"/>
    <n v="3"/>
    <s v="Medical"/>
    <n v="0"/>
    <n v="0"/>
    <n v="1"/>
    <n v="0"/>
    <n v="0"/>
    <n v="1"/>
    <s v="Female"/>
    <n v="1"/>
    <n v="94"/>
    <n v="3"/>
    <n v="1"/>
    <s v="Laboratory Technician"/>
    <n v="0"/>
    <n v="0"/>
    <n v="1"/>
    <n v="0"/>
    <n v="0"/>
    <n v="0"/>
    <n v="0"/>
    <n v="0"/>
    <n v="3"/>
    <s v="Single"/>
    <n v="1"/>
    <n v="0"/>
    <n v="3629"/>
    <n v="3629"/>
    <n v="4"/>
    <s v="No"/>
    <n v="0"/>
    <n v="18"/>
    <n v="3"/>
    <n v="1"/>
    <n v="0"/>
    <n v="8"/>
    <x v="0"/>
    <n v="6"/>
    <n v="3"/>
    <n v="3"/>
    <n v="3"/>
    <n v="2"/>
    <n v="0"/>
    <n v="0"/>
    <n v="2"/>
    <n v="2"/>
    <n v="2"/>
    <n v="1"/>
    <n v="0"/>
    <n v="0"/>
    <n v="0"/>
    <n v="1"/>
    <n v="0"/>
    <n v="0"/>
    <n v="0"/>
    <n v="0"/>
    <n v="2"/>
    <n v="0"/>
    <n v="0"/>
    <n v="8"/>
    <n v="0"/>
    <n v="0.61044130711536893"/>
    <n v="0.59502473559756086"/>
    <n v="0.42149901815843233"/>
    <n v="0.65423109602898355"/>
    <n v="0.22295710105195232"/>
    <n v="8.3401599596422994E-3"/>
    <n v="0.67891464284095016"/>
  </r>
  <r>
    <n v="35"/>
    <n v="35"/>
    <s v="No"/>
    <n v="0"/>
    <s v="Travel_Frequently"/>
    <n v="1"/>
    <n v="0"/>
    <x v="1"/>
    <n v="1"/>
    <n v="0"/>
    <n v="18"/>
    <n v="18"/>
    <n v="2"/>
    <s v="Life Sciences"/>
    <n v="1"/>
    <n v="0"/>
    <n v="0"/>
    <n v="0"/>
    <n v="0"/>
    <n v="3"/>
    <s v="Male"/>
    <n v="0"/>
    <n v="60"/>
    <n v="3"/>
    <n v="3"/>
    <s v="Manufacturing Director"/>
    <n v="0"/>
    <n v="0"/>
    <n v="0"/>
    <n v="0"/>
    <n v="1"/>
    <n v="1"/>
    <n v="0"/>
    <n v="0"/>
    <n v="4"/>
    <s v="Single"/>
    <n v="1"/>
    <n v="0"/>
    <n v="9362"/>
    <n v="9362"/>
    <n v="2"/>
    <s v="No"/>
    <n v="0"/>
    <n v="11"/>
    <n v="3"/>
    <n v="3"/>
    <n v="0"/>
    <n v="10"/>
    <x v="1"/>
    <n v="2"/>
    <n v="3"/>
    <n v="2"/>
    <n v="2"/>
    <n v="2"/>
    <n v="2"/>
    <n v="2"/>
    <n v="2"/>
    <n v="2"/>
    <n v="6"/>
    <n v="0"/>
    <n v="0"/>
    <n v="1"/>
    <n v="0"/>
    <n v="1"/>
    <n v="0"/>
    <n v="0"/>
    <n v="0"/>
    <n v="0"/>
    <n v="2"/>
    <n v="0"/>
    <n v="0"/>
    <n v="10"/>
    <n v="0"/>
    <n v="0.60728439941235601"/>
    <n v="0.59502473559756086"/>
    <n v="0.1644554352117841"/>
    <n v="0.81745575848020657"/>
    <n v="1.0864228781782561"/>
    <n v="0.21058903898096887"/>
    <n v="5.8265062631872602E-2"/>
  </r>
  <r>
    <n v="25"/>
    <n v="25"/>
    <s v="No"/>
    <n v="0"/>
    <s v="Travel_Rarely"/>
    <n v="0"/>
    <n v="1"/>
    <x v="1"/>
    <n v="1"/>
    <n v="0"/>
    <n v="1"/>
    <n v="1"/>
    <n v="3"/>
    <s v="Technical Degree"/>
    <n v="0"/>
    <n v="0"/>
    <n v="0"/>
    <n v="0"/>
    <n v="1"/>
    <n v="1"/>
    <s v="Male"/>
    <n v="0"/>
    <n v="81"/>
    <n v="3"/>
    <n v="1"/>
    <s v="Laboratory Technician"/>
    <n v="0"/>
    <n v="0"/>
    <n v="1"/>
    <n v="0"/>
    <n v="0"/>
    <n v="0"/>
    <n v="0"/>
    <n v="0"/>
    <n v="4"/>
    <s v="Married"/>
    <n v="0"/>
    <n v="1"/>
    <n v="3229"/>
    <n v="3229"/>
    <n v="4"/>
    <s v="No"/>
    <n v="0"/>
    <n v="11"/>
    <n v="3"/>
    <n v="2"/>
    <n v="1"/>
    <n v="7"/>
    <x v="2"/>
    <n v="2"/>
    <n v="2"/>
    <n v="3"/>
    <n v="3"/>
    <n v="2"/>
    <n v="0"/>
    <n v="0"/>
    <n v="2"/>
    <n v="2"/>
    <n v="2"/>
    <n v="0"/>
    <n v="1"/>
    <n v="0"/>
    <n v="0"/>
    <n v="0"/>
    <n v="0"/>
    <n v="1"/>
    <n v="0"/>
    <n v="0"/>
    <n v="2"/>
    <n v="0"/>
    <n v="0"/>
    <n v="7"/>
    <n v="0"/>
    <n v="0.69540385423050766"/>
    <n v="0.59502473559756086"/>
    <n v="0.55002080963175637"/>
    <n v="0.65423109602898355"/>
    <n v="1.01056543769991"/>
    <n v="1.3052350336840246"/>
    <n v="0.67891464284095016"/>
  </r>
  <r>
    <n v="26"/>
    <n v="26"/>
    <s v="No"/>
    <n v="0"/>
    <s v="Travel_Rarely"/>
    <n v="0"/>
    <n v="1"/>
    <x v="1"/>
    <n v="1"/>
    <n v="0"/>
    <n v="7"/>
    <n v="7"/>
    <n v="3"/>
    <s v="Other"/>
    <n v="0"/>
    <n v="1"/>
    <n v="0"/>
    <n v="0"/>
    <n v="0"/>
    <n v="3"/>
    <s v="Male"/>
    <n v="0"/>
    <n v="100"/>
    <n v="4"/>
    <n v="1"/>
    <s v="Laboratory Technician"/>
    <n v="0"/>
    <n v="0"/>
    <n v="1"/>
    <n v="0"/>
    <n v="0"/>
    <n v="0"/>
    <n v="0"/>
    <n v="0"/>
    <n v="1"/>
    <s v="Single"/>
    <n v="1"/>
    <n v="0"/>
    <n v="3578"/>
    <n v="3578"/>
    <n v="0"/>
    <s v="No"/>
    <n v="0"/>
    <n v="12"/>
    <n v="3"/>
    <n v="4"/>
    <n v="0"/>
    <n v="8"/>
    <x v="0"/>
    <n v="2"/>
    <n v="3"/>
    <n v="7"/>
    <n v="7"/>
    <n v="7"/>
    <n v="0"/>
    <n v="0"/>
    <n v="7"/>
    <n v="7"/>
    <n v="7"/>
    <n v="1"/>
    <n v="0"/>
    <n v="0"/>
    <n v="0"/>
    <n v="1"/>
    <n v="0"/>
    <n v="0"/>
    <n v="0"/>
    <n v="0"/>
    <n v="7"/>
    <n v="0"/>
    <n v="0"/>
    <n v="8"/>
    <n v="0"/>
    <n v="0.62127403187254915"/>
    <n v="0.80626709607243985"/>
    <n v="0.42149901815843233"/>
    <n v="1.3324462240916321E-3"/>
    <n v="0.27045191444879263"/>
    <n v="1.195770434213719"/>
    <n v="0.67891464284095016"/>
  </r>
  <r>
    <n v="29"/>
    <n v="29"/>
    <s v="No"/>
    <n v="0"/>
    <s v="Travel_Rarely"/>
    <n v="0"/>
    <n v="1"/>
    <x v="2"/>
    <n v="0"/>
    <n v="0"/>
    <n v="17"/>
    <n v="17"/>
    <n v="3"/>
    <s v="Other"/>
    <n v="0"/>
    <n v="1"/>
    <n v="0"/>
    <n v="0"/>
    <n v="0"/>
    <n v="2"/>
    <s v="Male"/>
    <n v="0"/>
    <n v="51"/>
    <n v="2"/>
    <n v="3"/>
    <s v="Human Resources"/>
    <n v="0"/>
    <n v="0"/>
    <n v="0"/>
    <n v="0"/>
    <n v="0"/>
    <n v="0"/>
    <n v="0"/>
    <n v="0"/>
    <n v="1"/>
    <s v="Single"/>
    <n v="1"/>
    <n v="0"/>
    <n v="7988"/>
    <n v="7988"/>
    <n v="1"/>
    <s v="No"/>
    <n v="0"/>
    <n v="13"/>
    <n v="3"/>
    <n v="1"/>
    <n v="0"/>
    <n v="10"/>
    <x v="1"/>
    <n v="3"/>
    <n v="2"/>
    <n v="10"/>
    <n v="10"/>
    <n v="9"/>
    <n v="0"/>
    <n v="0"/>
    <n v="9"/>
    <n v="9"/>
    <n v="27"/>
    <n v="1"/>
    <n v="0"/>
    <n v="0"/>
    <n v="0"/>
    <n v="1"/>
    <n v="0"/>
    <n v="0"/>
    <n v="0"/>
    <n v="9"/>
    <n v="0"/>
    <n v="0"/>
    <n v="10"/>
    <n v="0"/>
    <n v="0"/>
    <n v="0.31543805007185471"/>
    <n v="1.3667838287404401"/>
    <n v="0.1644554352117841"/>
    <n v="0.48834154112957734"/>
    <n v="0.96307062430306978"/>
    <n v="0.86737663580280233"/>
    <n v="0.67891464284095016"/>
  </r>
  <r>
    <n v="49"/>
    <n v="49"/>
    <s v="Yes"/>
    <n v="1"/>
    <s v="Travel_Frequently"/>
    <n v="1"/>
    <n v="0"/>
    <x v="1"/>
    <n v="1"/>
    <n v="0"/>
    <n v="28"/>
    <n v="28"/>
    <n v="2"/>
    <s v="Life Sciences"/>
    <n v="1"/>
    <n v="0"/>
    <n v="0"/>
    <n v="0"/>
    <n v="0"/>
    <n v="1"/>
    <s v="Male"/>
    <n v="0"/>
    <n v="97"/>
    <n v="2"/>
    <n v="2"/>
    <s v="Laboratory Technician"/>
    <n v="0"/>
    <n v="0"/>
    <n v="1"/>
    <n v="0"/>
    <n v="0"/>
    <n v="0"/>
    <n v="0"/>
    <n v="0"/>
    <n v="1"/>
    <s v="Single"/>
    <n v="1"/>
    <n v="0"/>
    <n v="4284"/>
    <n v="4284"/>
    <n v="3"/>
    <s v="No"/>
    <n v="0"/>
    <n v="20"/>
    <n v="4"/>
    <n v="1"/>
    <n v="0"/>
    <n v="20"/>
    <x v="25"/>
    <n v="2"/>
    <n v="3"/>
    <n v="4"/>
    <n v="4"/>
    <n v="3"/>
    <n v="1"/>
    <n v="1"/>
    <n v="3"/>
    <n v="3"/>
    <n v="6"/>
    <n v="0"/>
    <n v="0"/>
    <n v="1"/>
    <n v="0"/>
    <n v="1"/>
    <n v="0"/>
    <n v="0"/>
    <n v="0"/>
    <n v="0"/>
    <n v="3"/>
    <n v="0"/>
    <n v="0"/>
    <n v="20"/>
    <n v="0"/>
    <n v="0.47131513621432936"/>
    <n v="0.31476636926356072"/>
    <n v="1.120762479521457"/>
    <n v="0.49100643357776058"/>
    <n v="2.3199454169301186"/>
    <n v="1.3219153536033093"/>
    <n v="0.36858985273641137"/>
  </r>
  <r>
    <n v="29"/>
    <n v="29"/>
    <s v="Yes"/>
    <n v="1"/>
    <s v="Travel_Frequently"/>
    <n v="1"/>
    <n v="0"/>
    <x v="1"/>
    <n v="1"/>
    <n v="0"/>
    <n v="14"/>
    <n v="14"/>
    <n v="1"/>
    <s v="Other"/>
    <n v="0"/>
    <n v="1"/>
    <n v="0"/>
    <n v="0"/>
    <n v="0"/>
    <n v="3"/>
    <s v="Female"/>
    <n v="1"/>
    <n v="84"/>
    <n v="3"/>
    <n v="3"/>
    <s v="Healthcare Representative"/>
    <n v="1"/>
    <n v="0"/>
    <n v="0"/>
    <n v="0"/>
    <n v="0"/>
    <n v="0"/>
    <n v="0"/>
    <n v="0"/>
    <n v="4"/>
    <s v="Single"/>
    <n v="1"/>
    <n v="0"/>
    <n v="7553"/>
    <n v="7553"/>
    <n v="0"/>
    <s v="Yes"/>
    <n v="1"/>
    <n v="12"/>
    <n v="3"/>
    <n v="1"/>
    <n v="0"/>
    <n v="9"/>
    <x v="14"/>
    <n v="1"/>
    <n v="3"/>
    <n v="8"/>
    <n v="8"/>
    <n v="7"/>
    <n v="7"/>
    <n v="7"/>
    <n v="7"/>
    <n v="7"/>
    <n v="21"/>
    <n v="0"/>
    <n v="0"/>
    <n v="1"/>
    <n v="0"/>
    <n v="0"/>
    <n v="1"/>
    <n v="0"/>
    <n v="0"/>
    <n v="0"/>
    <n v="7"/>
    <n v="0"/>
    <n v="0"/>
    <n v="9"/>
    <n v="0"/>
    <n v="0.2230412800841414"/>
    <n v="0.80626709607243985"/>
    <n v="0.29297722668510823"/>
    <n v="0.16189221622713135"/>
    <n v="0.59301386267751111"/>
    <n v="0.86737663580280233"/>
    <n v="1.4933588878908215"/>
  </r>
  <r>
    <n v="54"/>
    <n v="54"/>
    <s v="No"/>
    <n v="0"/>
    <s v="Travel_Rarely"/>
    <n v="0"/>
    <n v="1"/>
    <x v="1"/>
    <n v="1"/>
    <n v="0"/>
    <n v="1"/>
    <n v="1"/>
    <n v="3"/>
    <s v="Medical"/>
    <n v="0"/>
    <n v="0"/>
    <n v="1"/>
    <n v="0"/>
    <n v="0"/>
    <n v="4"/>
    <s v="Female"/>
    <n v="1"/>
    <n v="54"/>
    <n v="3"/>
    <n v="4"/>
    <s v="Research Director"/>
    <n v="0"/>
    <n v="0"/>
    <n v="0"/>
    <n v="0"/>
    <n v="0"/>
    <n v="0"/>
    <n v="0"/>
    <n v="0"/>
    <n v="4"/>
    <s v="Single"/>
    <n v="1"/>
    <n v="0"/>
    <n v="17328"/>
    <n v="17328"/>
    <n v="6"/>
    <s v="No"/>
    <n v="0"/>
    <n v="19"/>
    <n v="3"/>
    <n v="4"/>
    <n v="0"/>
    <n v="29"/>
    <x v="21"/>
    <n v="3"/>
    <n v="2"/>
    <n v="20"/>
    <n v="20"/>
    <n v="7"/>
    <n v="12"/>
    <n v="12"/>
    <n v="7"/>
    <n v="7"/>
    <n v="28"/>
    <n v="1"/>
    <n v="0"/>
    <n v="0"/>
    <n v="0"/>
    <n v="1"/>
    <n v="0"/>
    <n v="0"/>
    <n v="0"/>
    <n v="0"/>
    <n v="7"/>
    <n v="0"/>
    <n v="0"/>
    <n v="29"/>
    <n v="0"/>
    <n v="2.2993135252103425"/>
    <n v="0.80626709607243985"/>
    <n v="2.2774586027813735"/>
    <n v="2.1205881656418071"/>
    <n v="1.01056543769991"/>
    <n v="1.8692383509548371"/>
    <n v="3.0449828384135156"/>
  </r>
  <r>
    <n v="58"/>
    <n v="58"/>
    <s v="No"/>
    <n v="0"/>
    <s v="Travel_Rarely"/>
    <n v="0"/>
    <n v="1"/>
    <x v="1"/>
    <n v="1"/>
    <n v="0"/>
    <n v="1"/>
    <n v="1"/>
    <n v="3"/>
    <s v="Medical"/>
    <n v="0"/>
    <n v="0"/>
    <n v="1"/>
    <n v="0"/>
    <n v="0"/>
    <n v="4"/>
    <s v="Female"/>
    <n v="1"/>
    <n v="76"/>
    <n v="3"/>
    <n v="5"/>
    <s v="Research Director"/>
    <n v="0"/>
    <n v="0"/>
    <n v="0"/>
    <n v="0"/>
    <n v="0"/>
    <n v="0"/>
    <n v="0"/>
    <n v="0"/>
    <n v="1"/>
    <s v="Married"/>
    <n v="0"/>
    <n v="1"/>
    <n v="19701"/>
    <n v="19626.310000000001"/>
    <n v="3"/>
    <s v="Yes"/>
    <n v="1"/>
    <n v="21"/>
    <n v="4"/>
    <n v="3"/>
    <n v="1"/>
    <n v="32"/>
    <x v="32"/>
    <n v="3"/>
    <n v="3"/>
    <n v="9"/>
    <n v="9"/>
    <n v="8"/>
    <n v="1"/>
    <n v="1"/>
    <n v="5"/>
    <n v="5"/>
    <n v="25"/>
    <n v="0"/>
    <n v="1"/>
    <n v="0"/>
    <n v="0"/>
    <n v="0"/>
    <n v="0"/>
    <n v="0"/>
    <n v="1"/>
    <n v="0"/>
    <n v="5"/>
    <n v="0"/>
    <n v="0"/>
    <n v="32"/>
    <n v="0"/>
    <n v="2.8033538359709027"/>
    <n v="0.24575036340443959"/>
    <n v="2.663023977201346"/>
    <n v="0.32511687867835437"/>
    <n v="1.01056543769991"/>
    <n v="2.3070967488360594"/>
    <n v="0.36858985273641137"/>
  </r>
  <r>
    <n v="55"/>
    <n v="55"/>
    <s v="No"/>
    <n v="0"/>
    <s v="Travel_Rarely"/>
    <n v="0"/>
    <n v="1"/>
    <x v="1"/>
    <n v="1"/>
    <n v="0"/>
    <n v="1"/>
    <n v="1"/>
    <n v="4"/>
    <s v="Medical"/>
    <n v="0"/>
    <n v="0"/>
    <n v="1"/>
    <n v="0"/>
    <n v="0"/>
    <n v="2"/>
    <s v="Male"/>
    <n v="0"/>
    <n v="81"/>
    <n v="4"/>
    <n v="4"/>
    <s v="Research Director"/>
    <n v="0"/>
    <n v="0"/>
    <n v="0"/>
    <n v="0"/>
    <n v="0"/>
    <n v="0"/>
    <n v="0"/>
    <n v="0"/>
    <n v="4"/>
    <s v="Divorced"/>
    <n v="0"/>
    <n v="0"/>
    <n v="14732"/>
    <n v="14732"/>
    <n v="2"/>
    <s v="No"/>
    <n v="0"/>
    <n v="13"/>
    <n v="3"/>
    <n v="4"/>
    <n v="2"/>
    <n v="31"/>
    <x v="9"/>
    <n v="4"/>
    <n v="4"/>
    <n v="7"/>
    <n v="7"/>
    <n v="7"/>
    <n v="0"/>
    <n v="0"/>
    <n v="0"/>
    <n v="0"/>
    <n v="0"/>
    <n v="1"/>
    <n v="0"/>
    <n v="0"/>
    <n v="0"/>
    <n v="1"/>
    <n v="0"/>
    <n v="0"/>
    <n v="0"/>
    <n v="0"/>
    <n v="0"/>
    <n v="0"/>
    <n v="0"/>
    <n v="31"/>
    <n v="0"/>
    <n v="1.7479065944330927"/>
    <n v="1.1555414682655611"/>
    <n v="2.5345021857280217"/>
    <n v="1.3324462240916321E-3"/>
    <n v="1.01056543769991"/>
    <n v="1.9787029504251428"/>
    <n v="0.67891464284095016"/>
  </r>
  <r>
    <n v="36"/>
    <n v="36"/>
    <s v="No"/>
    <n v="0"/>
    <s v="Travel_Rarely"/>
    <n v="0"/>
    <n v="1"/>
    <x v="0"/>
    <n v="0"/>
    <n v="1"/>
    <n v="3"/>
    <n v="3"/>
    <n v="4"/>
    <s v="Marketing"/>
    <n v="0"/>
    <n v="0"/>
    <n v="0"/>
    <n v="1"/>
    <n v="0"/>
    <n v="1"/>
    <s v="Female"/>
    <n v="1"/>
    <n v="99"/>
    <n v="3"/>
    <n v="2"/>
    <s v="Sales Executive"/>
    <n v="0"/>
    <n v="1"/>
    <n v="0"/>
    <n v="0"/>
    <n v="0"/>
    <n v="0"/>
    <n v="0"/>
    <n v="0"/>
    <n v="2"/>
    <s v="Single"/>
    <n v="1"/>
    <n v="0"/>
    <n v="9278"/>
    <n v="9278"/>
    <n v="3"/>
    <s v="Yes"/>
    <n v="1"/>
    <n v="16"/>
    <n v="3"/>
    <n v="4"/>
    <n v="0"/>
    <n v="15"/>
    <x v="19"/>
    <n v="3"/>
    <n v="3"/>
    <n v="5"/>
    <n v="5"/>
    <n v="4"/>
    <n v="0"/>
    <n v="0"/>
    <n v="1"/>
    <n v="1"/>
    <n v="2"/>
    <n v="1"/>
    <n v="0"/>
    <n v="0"/>
    <n v="0"/>
    <n v="0"/>
    <n v="1"/>
    <n v="0"/>
    <n v="0"/>
    <n v="0"/>
    <n v="0"/>
    <n v="1"/>
    <n v="0"/>
    <n v="0"/>
    <n v="15"/>
    <n v="0.58944226451817694"/>
    <n v="0.87528310193156111"/>
    <n v="0.47815352215483642"/>
    <n v="0.32778177112653761"/>
    <n v="0.76386092994953758"/>
    <n v="0.10112443951066327"/>
    <n v="0.67891464284095016"/>
  </r>
  <r>
    <n v="31"/>
    <n v="31"/>
    <s v="Yes"/>
    <n v="1"/>
    <s v="Travel_Frequently"/>
    <n v="1"/>
    <n v="0"/>
    <x v="0"/>
    <n v="0"/>
    <n v="1"/>
    <n v="1"/>
    <n v="1"/>
    <n v="4"/>
    <s v="Life Sciences"/>
    <n v="1"/>
    <n v="0"/>
    <n v="0"/>
    <n v="0"/>
    <n v="0"/>
    <n v="2"/>
    <s v="Female"/>
    <n v="1"/>
    <n v="50"/>
    <n v="1"/>
    <n v="1"/>
    <s v="Sales Representative"/>
    <n v="0"/>
    <n v="0"/>
    <n v="0"/>
    <n v="0"/>
    <n v="0"/>
    <n v="0"/>
    <n v="1"/>
    <n v="0"/>
    <n v="3"/>
    <s v="Single"/>
    <n v="1"/>
    <n v="0"/>
    <n v="1359"/>
    <n v="1382.46"/>
    <n v="1"/>
    <s v="No"/>
    <n v="0"/>
    <n v="12"/>
    <n v="3"/>
    <n v="2"/>
    <n v="0"/>
    <n v="1"/>
    <x v="5"/>
    <n v="3"/>
    <n v="3"/>
    <n v="1"/>
    <n v="1"/>
    <n v="0"/>
    <n v="0"/>
    <n v="0"/>
    <n v="0"/>
    <n v="0"/>
    <n v="0"/>
    <n v="0"/>
    <n v="0"/>
    <n v="1"/>
    <n v="0"/>
    <n v="1"/>
    <n v="0"/>
    <n v="0"/>
    <n v="0"/>
    <n v="0"/>
    <n v="0"/>
    <n v="0"/>
    <n v="0"/>
    <n v="0"/>
    <n v="1"/>
    <n v="1.092603761993781"/>
    <n v="1.1555414682655611"/>
    <n v="1.3211515584717011"/>
    <n v="0.9806804209314296"/>
    <n v="1.01056543769991"/>
    <n v="0.6484474368621912"/>
    <n v="0.67891464284095016"/>
  </r>
  <r>
    <n v="30"/>
    <n v="30"/>
    <s v="No"/>
    <n v="0"/>
    <s v="Travel_Rarely"/>
    <n v="0"/>
    <n v="1"/>
    <x v="0"/>
    <n v="0"/>
    <n v="1"/>
    <n v="7"/>
    <n v="7"/>
    <n v="4"/>
    <s v="Marketing"/>
    <n v="0"/>
    <n v="0"/>
    <n v="0"/>
    <n v="1"/>
    <n v="0"/>
    <n v="4"/>
    <s v="Female"/>
    <n v="1"/>
    <n v="73"/>
    <n v="3"/>
    <n v="2"/>
    <s v="Sales Executive"/>
    <n v="0"/>
    <n v="1"/>
    <n v="0"/>
    <n v="0"/>
    <n v="0"/>
    <n v="0"/>
    <n v="0"/>
    <n v="0"/>
    <n v="1"/>
    <s v="Divorced"/>
    <n v="0"/>
    <n v="0"/>
    <n v="4779"/>
    <n v="4779"/>
    <n v="7"/>
    <s v="No"/>
    <n v="0"/>
    <n v="14"/>
    <n v="3"/>
    <n v="2"/>
    <n v="2"/>
    <n v="8"/>
    <x v="0"/>
    <n v="3"/>
    <n v="3"/>
    <n v="3"/>
    <n v="3"/>
    <n v="2"/>
    <n v="0"/>
    <n v="0"/>
    <n v="2"/>
    <n v="2"/>
    <n v="4"/>
    <n v="1"/>
    <n v="0"/>
    <n v="0"/>
    <n v="0"/>
    <n v="1"/>
    <n v="0"/>
    <n v="0"/>
    <n v="0"/>
    <n v="0"/>
    <n v="0"/>
    <n v="2"/>
    <n v="0"/>
    <n v="0"/>
    <n v="8"/>
    <n v="0.36617398415934527"/>
    <n v="0.59502473559756086"/>
    <n v="0.42149901815843233"/>
    <n v="0.65423109602898355"/>
    <n v="0.27045191444879263"/>
    <n v="0.75791203633249671"/>
    <n v="0.67891464284095016"/>
  </r>
  <r>
    <n v="31"/>
    <n v="31"/>
    <s v="No"/>
    <n v="0"/>
    <s v="Travel_Rarely"/>
    <n v="0"/>
    <n v="1"/>
    <x v="1"/>
    <n v="1"/>
    <n v="0"/>
    <n v="8"/>
    <n v="8"/>
    <n v="5"/>
    <s v="Life Sciences"/>
    <n v="1"/>
    <n v="0"/>
    <n v="0"/>
    <n v="0"/>
    <n v="0"/>
    <n v="1"/>
    <s v="Female"/>
    <n v="1"/>
    <n v="93"/>
    <n v="3"/>
    <n v="4"/>
    <s v="Research Director"/>
    <n v="0"/>
    <n v="0"/>
    <n v="0"/>
    <n v="0"/>
    <n v="0"/>
    <n v="0"/>
    <n v="0"/>
    <n v="0"/>
    <n v="2"/>
    <s v="Single"/>
    <n v="1"/>
    <n v="0"/>
    <n v="16422"/>
    <n v="16422"/>
    <n v="3"/>
    <s v="No"/>
    <n v="0"/>
    <n v="11"/>
    <n v="3"/>
    <n v="3"/>
    <n v="0"/>
    <n v="9"/>
    <x v="14"/>
    <n v="3"/>
    <n v="4"/>
    <n v="3"/>
    <n v="3"/>
    <n v="2"/>
    <n v="1"/>
    <n v="1"/>
    <n v="0"/>
    <n v="0"/>
    <n v="0"/>
    <n v="1"/>
    <n v="0"/>
    <n v="0"/>
    <n v="0"/>
    <n v="1"/>
    <n v="0"/>
    <n v="0"/>
    <n v="0"/>
    <n v="0"/>
    <n v="0"/>
    <n v="0"/>
    <n v="0"/>
    <n v="9"/>
    <n v="0"/>
    <n v="2.1068733559945536"/>
    <n v="1.1555414682655611"/>
    <n v="0.29297722668510823"/>
    <n v="0.65423109602898355"/>
    <n v="0.14709966057360641"/>
    <n v="0.6484474368621912"/>
    <n v="0.36858985273641137"/>
  </r>
  <r>
    <n v="34"/>
    <n v="34"/>
    <s v="No"/>
    <n v="0"/>
    <s v="Travel_Frequently"/>
    <n v="1"/>
    <n v="0"/>
    <x v="1"/>
    <n v="1"/>
    <n v="0"/>
    <n v="1"/>
    <n v="1"/>
    <n v="4"/>
    <s v="Other"/>
    <n v="0"/>
    <n v="1"/>
    <n v="0"/>
    <n v="0"/>
    <n v="0"/>
    <n v="4"/>
    <s v="Male"/>
    <n v="0"/>
    <n v="91"/>
    <n v="3"/>
    <n v="1"/>
    <s v="Research Scientist"/>
    <n v="0"/>
    <n v="0"/>
    <n v="0"/>
    <n v="0"/>
    <n v="0"/>
    <n v="0"/>
    <n v="0"/>
    <n v="1"/>
    <n v="1"/>
    <s v="Divorced"/>
    <n v="0"/>
    <n v="0"/>
    <n v="2996"/>
    <n v="2996"/>
    <n v="5"/>
    <s v="No"/>
    <n v="0"/>
    <n v="14"/>
    <n v="3"/>
    <n v="3"/>
    <n v="2"/>
    <n v="10"/>
    <x v="1"/>
    <n v="2"/>
    <n v="3"/>
    <n v="4"/>
    <n v="4"/>
    <n v="3"/>
    <n v="1"/>
    <n v="1"/>
    <n v="3"/>
    <n v="3"/>
    <n v="3"/>
    <n v="0"/>
    <n v="0"/>
    <n v="1"/>
    <n v="0"/>
    <n v="1"/>
    <n v="0"/>
    <n v="0"/>
    <n v="0"/>
    <n v="0"/>
    <n v="3"/>
    <n v="0"/>
    <n v="0"/>
    <n v="10"/>
    <n v="0"/>
    <n v="0.74489453792507587"/>
    <n v="0.31476636926356072"/>
    <n v="0.1644554352117841"/>
    <n v="0.49100643357776058"/>
    <n v="1.01056543769991"/>
    <n v="0.32005363845127444"/>
    <n v="0.36858985273641137"/>
  </r>
  <r>
    <n v="31"/>
    <n v="31"/>
    <s v="Yes"/>
    <n v="1"/>
    <s v="Travel_Rarely"/>
    <n v="0"/>
    <n v="1"/>
    <x v="1"/>
    <n v="1"/>
    <n v="0"/>
    <n v="8"/>
    <n v="8"/>
    <n v="3"/>
    <s v="Life Sciences"/>
    <n v="1"/>
    <n v="0"/>
    <n v="0"/>
    <n v="0"/>
    <n v="0"/>
    <n v="1"/>
    <s v="Female"/>
    <n v="1"/>
    <n v="34"/>
    <n v="2"/>
    <n v="1"/>
    <s v="Research Scientist"/>
    <n v="0"/>
    <n v="0"/>
    <n v="0"/>
    <n v="0"/>
    <n v="0"/>
    <n v="0"/>
    <n v="0"/>
    <n v="1"/>
    <n v="2"/>
    <s v="Single"/>
    <n v="1"/>
    <n v="0"/>
    <n v="1261"/>
    <n v="1382.46"/>
    <n v="1"/>
    <s v="No"/>
    <n v="0"/>
    <n v="12"/>
    <n v="3"/>
    <n v="3"/>
    <n v="0"/>
    <n v="1"/>
    <x v="5"/>
    <n v="3"/>
    <n v="4"/>
    <n v="1"/>
    <n v="1"/>
    <n v="0"/>
    <n v="0"/>
    <n v="0"/>
    <n v="0"/>
    <n v="0"/>
    <n v="0"/>
    <n v="1"/>
    <n v="0"/>
    <n v="0"/>
    <n v="0"/>
    <n v="1"/>
    <n v="0"/>
    <n v="0"/>
    <n v="0"/>
    <n v="0"/>
    <n v="0"/>
    <n v="0"/>
    <n v="0"/>
    <n v="1"/>
    <n v="0"/>
    <n v="1.1134195860369898"/>
    <n v="1.1555414682655611"/>
    <n v="1.3211515584717011"/>
    <n v="0.9806804209314296"/>
    <n v="0.14709966057360641"/>
    <n v="0.6484474368621912"/>
    <n v="0.67891464284095016"/>
  </r>
  <r>
    <n v="27"/>
    <n v="27"/>
    <s v="No"/>
    <n v="0"/>
    <s v="Travel_Rarely"/>
    <n v="0"/>
    <n v="1"/>
    <x v="1"/>
    <n v="1"/>
    <n v="0"/>
    <n v="11"/>
    <n v="11"/>
    <n v="1"/>
    <s v="Life Sciences"/>
    <n v="1"/>
    <n v="0"/>
    <n v="0"/>
    <n v="0"/>
    <n v="0"/>
    <n v="2"/>
    <s v="Male"/>
    <n v="0"/>
    <n v="91"/>
    <n v="3"/>
    <n v="1"/>
    <s v="Laboratory Technician"/>
    <n v="0"/>
    <n v="0"/>
    <n v="1"/>
    <n v="0"/>
    <n v="0"/>
    <n v="0"/>
    <n v="0"/>
    <n v="0"/>
    <n v="1"/>
    <s v="Married"/>
    <n v="0"/>
    <n v="1"/>
    <n v="2099"/>
    <n v="2099"/>
    <n v="0"/>
    <s v="No"/>
    <n v="0"/>
    <n v="14"/>
    <n v="3"/>
    <n v="2"/>
    <n v="0"/>
    <n v="6"/>
    <x v="3"/>
    <n v="3"/>
    <n v="4"/>
    <n v="5"/>
    <n v="5"/>
    <n v="0"/>
    <n v="1"/>
    <n v="1"/>
    <n v="4"/>
    <n v="4"/>
    <n v="4"/>
    <n v="0"/>
    <n v="1"/>
    <n v="0"/>
    <n v="0"/>
    <n v="0"/>
    <n v="0"/>
    <n v="1"/>
    <n v="0"/>
    <n v="0"/>
    <n v="4"/>
    <n v="0"/>
    <n v="0"/>
    <n v="6"/>
    <n v="0"/>
    <n v="0.9354230498307744"/>
    <n v="3.4508002929560584E-2"/>
    <n v="0.67854260110508058"/>
    <n v="0.32778177112653761"/>
    <n v="0.22295710105195232"/>
    <n v="1.0863058347434136"/>
    <n v="0.36858985273641137"/>
  </r>
  <r>
    <n v="36"/>
    <n v="36"/>
    <s v="No"/>
    <n v="0"/>
    <s v="Travel_Rarely"/>
    <n v="0"/>
    <n v="1"/>
    <x v="1"/>
    <n v="1"/>
    <n v="0"/>
    <n v="4"/>
    <n v="4"/>
    <n v="4"/>
    <s v="Life Sciences"/>
    <n v="1"/>
    <n v="0"/>
    <n v="0"/>
    <n v="0"/>
    <n v="0"/>
    <n v="1"/>
    <s v="Male"/>
    <n v="0"/>
    <n v="37"/>
    <n v="2"/>
    <n v="2"/>
    <s v="Laboratory Technician"/>
    <n v="0"/>
    <n v="0"/>
    <n v="1"/>
    <n v="0"/>
    <n v="0"/>
    <n v="0"/>
    <n v="0"/>
    <n v="0"/>
    <n v="4"/>
    <s v="Single"/>
    <n v="1"/>
    <n v="0"/>
    <n v="5810"/>
    <n v="5810"/>
    <n v="1"/>
    <s v="No"/>
    <n v="0"/>
    <n v="16"/>
    <n v="3"/>
    <n v="3"/>
    <n v="0"/>
    <n v="10"/>
    <x v="1"/>
    <n v="2"/>
    <n v="2"/>
    <n v="10"/>
    <n v="10"/>
    <n v="4"/>
    <n v="1"/>
    <n v="1"/>
    <n v="8"/>
    <n v="8"/>
    <n v="16"/>
    <n v="1"/>
    <n v="0"/>
    <n v="0"/>
    <n v="0"/>
    <n v="1"/>
    <n v="0"/>
    <n v="0"/>
    <n v="0"/>
    <n v="0"/>
    <n v="8"/>
    <n v="0"/>
    <n v="0"/>
    <n v="10"/>
    <n v="0"/>
    <n v="0.14718301897007535"/>
    <n v="1.08652546240644"/>
    <n v="0.1644554352117841"/>
    <n v="0.48834154112957734"/>
    <n v="0.64050867607435136"/>
    <n v="0.10112443951066327"/>
    <n v="0.36858985273641137"/>
  </r>
  <r>
    <n v="36"/>
    <n v="36"/>
    <s v="No"/>
    <n v="0"/>
    <s v="Travel_Rarely"/>
    <n v="0"/>
    <n v="1"/>
    <x v="0"/>
    <n v="0"/>
    <n v="1"/>
    <n v="16"/>
    <n v="16"/>
    <n v="4"/>
    <s v="Marketing"/>
    <n v="0"/>
    <n v="0"/>
    <n v="0"/>
    <n v="1"/>
    <n v="0"/>
    <n v="3"/>
    <s v="Female"/>
    <n v="1"/>
    <n v="98"/>
    <n v="2"/>
    <n v="2"/>
    <s v="Sales Executive"/>
    <n v="0"/>
    <n v="1"/>
    <n v="0"/>
    <n v="0"/>
    <n v="0"/>
    <n v="0"/>
    <n v="0"/>
    <n v="0"/>
    <n v="1"/>
    <s v="Married"/>
    <n v="0"/>
    <n v="1"/>
    <n v="5647"/>
    <n v="5647"/>
    <n v="4"/>
    <s v="No"/>
    <n v="0"/>
    <n v="13"/>
    <n v="3"/>
    <n v="1"/>
    <n v="2"/>
    <n v="11"/>
    <x v="26"/>
    <n v="3"/>
    <n v="2"/>
    <n v="3"/>
    <n v="3"/>
    <n v="2"/>
    <n v="0"/>
    <n v="0"/>
    <n v="2"/>
    <n v="2"/>
    <n v="4"/>
    <n v="0"/>
    <n v="1"/>
    <n v="0"/>
    <n v="0"/>
    <n v="0"/>
    <n v="0"/>
    <n v="1"/>
    <n v="0"/>
    <n v="0"/>
    <n v="0"/>
    <n v="2"/>
    <n v="0"/>
    <n v="0"/>
    <n v="11"/>
    <n v="0.18180525691949437"/>
    <n v="0.59502473559756086"/>
    <n v="3.593364373846001E-2"/>
    <n v="0.65423109602898355"/>
    <n v="0.83971837042788355"/>
    <n v="0.10112443951066327"/>
    <n v="0.67891464284095016"/>
  </r>
  <r>
    <n v="47"/>
    <n v="47"/>
    <s v="No"/>
    <n v="0"/>
    <s v="Travel_Rarely"/>
    <n v="0"/>
    <n v="1"/>
    <x v="1"/>
    <n v="1"/>
    <n v="0"/>
    <n v="1"/>
    <n v="1"/>
    <n v="3"/>
    <s v="Technical Degree"/>
    <n v="0"/>
    <n v="0"/>
    <n v="0"/>
    <n v="0"/>
    <n v="1"/>
    <n v="1"/>
    <s v="Male"/>
    <n v="0"/>
    <n v="74"/>
    <n v="3"/>
    <n v="1"/>
    <s v="Research Scientist"/>
    <n v="0"/>
    <n v="0"/>
    <n v="0"/>
    <n v="0"/>
    <n v="0"/>
    <n v="0"/>
    <n v="0"/>
    <n v="1"/>
    <n v="4"/>
    <s v="Married"/>
    <n v="0"/>
    <n v="1"/>
    <n v="3420"/>
    <n v="3420"/>
    <n v="7"/>
    <s v="No"/>
    <n v="0"/>
    <n v="12"/>
    <n v="3"/>
    <n v="3"/>
    <n v="1"/>
    <n v="17"/>
    <x v="6"/>
    <n v="2"/>
    <n v="2"/>
    <n v="6"/>
    <n v="6"/>
    <n v="5"/>
    <n v="1"/>
    <n v="1"/>
    <n v="2"/>
    <n v="2"/>
    <n v="2"/>
    <n v="0"/>
    <n v="1"/>
    <n v="0"/>
    <n v="0"/>
    <n v="0"/>
    <n v="0"/>
    <n v="1"/>
    <n v="0"/>
    <n v="0"/>
    <n v="2"/>
    <n v="0"/>
    <n v="0"/>
    <n v="17"/>
    <n v="0"/>
    <n v="0.65483423798302887"/>
    <n v="0.59502473559756086"/>
    <n v="0.73519710510148462"/>
    <n v="0.16455710867531462"/>
    <n v="1.01056543769991"/>
    <n v="1.102986154662698"/>
    <n v="0.36858985273641137"/>
  </r>
  <r>
    <n v="25"/>
    <n v="25"/>
    <s v="Yes"/>
    <n v="1"/>
    <s v="Travel_Rarely"/>
    <n v="0"/>
    <n v="1"/>
    <x v="0"/>
    <n v="0"/>
    <n v="1"/>
    <n v="9"/>
    <n v="9"/>
    <n v="2"/>
    <s v="Life Sciences"/>
    <n v="1"/>
    <n v="0"/>
    <n v="0"/>
    <n v="0"/>
    <n v="0"/>
    <n v="1"/>
    <s v="Male"/>
    <n v="0"/>
    <n v="68"/>
    <n v="2"/>
    <n v="1"/>
    <s v="Sales Representative"/>
    <n v="0"/>
    <n v="0"/>
    <n v="0"/>
    <n v="0"/>
    <n v="0"/>
    <n v="0"/>
    <n v="1"/>
    <n v="0"/>
    <n v="1"/>
    <s v="Married"/>
    <n v="0"/>
    <n v="1"/>
    <n v="4400"/>
    <n v="4400"/>
    <n v="3"/>
    <s v="No"/>
    <n v="0"/>
    <n v="12"/>
    <n v="3"/>
    <n v="1"/>
    <n v="0"/>
    <n v="6"/>
    <x v="3"/>
    <n v="2"/>
    <n v="3"/>
    <n v="3"/>
    <n v="3"/>
    <n v="2"/>
    <n v="2"/>
    <n v="2"/>
    <n v="2"/>
    <n v="2"/>
    <n v="2"/>
    <n v="0"/>
    <n v="1"/>
    <n v="0"/>
    <n v="0"/>
    <n v="0"/>
    <n v="0"/>
    <n v="1"/>
    <n v="0"/>
    <n v="0"/>
    <n v="0"/>
    <n v="2"/>
    <n v="0"/>
    <n v="0"/>
    <n v="6"/>
    <n v="0.44667599755093917"/>
    <n v="0.59502473559756086"/>
    <n v="0.67854260110508058"/>
    <n v="0.65423109602898355"/>
    <n v="2.3747406698420157E-2"/>
    <n v="1.3052350336840246"/>
    <n v="5.8265062631872602E-2"/>
  </r>
  <r>
    <n v="37"/>
    <n v="37"/>
    <s v="No"/>
    <n v="0"/>
    <s v="Non-Travel"/>
    <n v="0"/>
    <n v="0"/>
    <x v="1"/>
    <n v="1"/>
    <n v="0"/>
    <n v="5"/>
    <n v="5"/>
    <n v="2"/>
    <s v="Technical Degree"/>
    <n v="0"/>
    <n v="0"/>
    <n v="0"/>
    <n v="0"/>
    <n v="1"/>
    <n v="3"/>
    <s v="Male"/>
    <n v="0"/>
    <n v="84"/>
    <n v="4"/>
    <n v="1"/>
    <s v="Laboratory Technician"/>
    <n v="0"/>
    <n v="0"/>
    <n v="1"/>
    <n v="0"/>
    <n v="0"/>
    <n v="0"/>
    <n v="0"/>
    <n v="0"/>
    <n v="3"/>
    <s v="Single"/>
    <n v="1"/>
    <n v="0"/>
    <n v="3500"/>
    <n v="3500"/>
    <n v="0"/>
    <s v="No"/>
    <n v="0"/>
    <n v="14"/>
    <n v="3"/>
    <n v="1"/>
    <n v="0"/>
    <n v="7"/>
    <x v="2"/>
    <n v="2"/>
    <n v="1"/>
    <n v="6"/>
    <n v="6"/>
    <n v="5"/>
    <n v="1"/>
    <n v="1"/>
    <n v="3"/>
    <n v="3"/>
    <n v="3"/>
    <n v="1"/>
    <n v="0"/>
    <n v="0"/>
    <n v="0"/>
    <n v="1"/>
    <n v="0"/>
    <n v="0"/>
    <n v="0"/>
    <n v="0"/>
    <n v="3"/>
    <n v="0"/>
    <n v="0"/>
    <n v="7"/>
    <n v="0"/>
    <n v="0.63784172856000121"/>
    <n v="0.31476636926356072"/>
    <n v="0.55002080963175637"/>
    <n v="0.16455710867531462"/>
    <n v="0.51715642219916513"/>
    <n v="8.3401599596422994E-3"/>
    <n v="0.36858985273641137"/>
  </r>
  <r>
    <n v="56"/>
    <n v="56"/>
    <s v="No"/>
    <n v="0"/>
    <s v="Travel_Rarely"/>
    <n v="0"/>
    <n v="1"/>
    <x v="1"/>
    <n v="1"/>
    <n v="0"/>
    <n v="1"/>
    <n v="1"/>
    <n v="2"/>
    <s v="Life Sciences"/>
    <n v="1"/>
    <n v="0"/>
    <n v="0"/>
    <n v="0"/>
    <n v="0"/>
    <n v="1"/>
    <s v="Female"/>
    <n v="1"/>
    <n v="90"/>
    <n v="3"/>
    <n v="1"/>
    <s v="Research Scientist"/>
    <n v="0"/>
    <n v="0"/>
    <n v="0"/>
    <n v="0"/>
    <n v="0"/>
    <n v="0"/>
    <n v="0"/>
    <n v="1"/>
    <n v="1"/>
    <s v="Married"/>
    <n v="0"/>
    <n v="1"/>
    <n v="2066"/>
    <n v="2066"/>
    <n v="2"/>
    <s v="No"/>
    <n v="0"/>
    <n v="22"/>
    <n v="4"/>
    <n v="4"/>
    <n v="1"/>
    <n v="5"/>
    <x v="7"/>
    <n v="3"/>
    <n v="4"/>
    <n v="3"/>
    <n v="3"/>
    <n v="2"/>
    <n v="1"/>
    <n v="1"/>
    <n v="0"/>
    <n v="0"/>
    <n v="0"/>
    <n v="0"/>
    <n v="1"/>
    <n v="0"/>
    <n v="0"/>
    <n v="0"/>
    <n v="0"/>
    <n v="1"/>
    <n v="0"/>
    <n v="0"/>
    <n v="0"/>
    <n v="0"/>
    <n v="0"/>
    <n v="5"/>
    <n v="0"/>
    <n v="0.94243245996777325"/>
    <n v="1.1555414682655611"/>
    <n v="0.80706439257840468"/>
    <n v="0.65423109602898355"/>
    <n v="1.01056543769991"/>
    <n v="2.0881675498954482"/>
    <n v="0.36858985273641137"/>
  </r>
  <r>
    <n v="47"/>
    <n v="47"/>
    <s v="No"/>
    <n v="0"/>
    <s v="Travel_Rarely"/>
    <n v="0"/>
    <n v="1"/>
    <x v="1"/>
    <n v="1"/>
    <n v="0"/>
    <n v="2"/>
    <n v="2"/>
    <n v="4"/>
    <s v="Medical"/>
    <n v="0"/>
    <n v="0"/>
    <n v="1"/>
    <n v="0"/>
    <n v="0"/>
    <n v="1"/>
    <s v="Female"/>
    <n v="1"/>
    <n v="82"/>
    <n v="3"/>
    <n v="4"/>
    <s v="Research Director"/>
    <n v="0"/>
    <n v="0"/>
    <n v="0"/>
    <n v="0"/>
    <n v="0"/>
    <n v="0"/>
    <n v="0"/>
    <n v="0"/>
    <n v="3"/>
    <s v="Married"/>
    <n v="0"/>
    <n v="1"/>
    <n v="17169"/>
    <n v="17169"/>
    <n v="3"/>
    <s v="No"/>
    <n v="0"/>
    <n v="19"/>
    <n v="3"/>
    <n v="2"/>
    <n v="2"/>
    <n v="26"/>
    <x v="11"/>
    <n v="2"/>
    <n v="4"/>
    <n v="20"/>
    <n v="20"/>
    <n v="17"/>
    <n v="5"/>
    <n v="5"/>
    <n v="6"/>
    <n v="6"/>
    <n v="24"/>
    <n v="0"/>
    <n v="1"/>
    <n v="0"/>
    <n v="0"/>
    <n v="0"/>
    <n v="0"/>
    <n v="1"/>
    <n v="0"/>
    <n v="0"/>
    <n v="6"/>
    <n v="0"/>
    <n v="0"/>
    <n v="26"/>
    <n v="0"/>
    <n v="2.2655409127320749"/>
    <n v="0.52600872973843971"/>
    <n v="1.8918932283614016"/>
    <n v="2.1205881656418071"/>
    <n v="0.88721318382472392"/>
    <n v="1.102986154662698"/>
    <n v="0.87270930768174382"/>
  </r>
  <r>
    <n v="24"/>
    <n v="24"/>
    <s v="No"/>
    <n v="0"/>
    <s v="Travel_Rarely"/>
    <n v="0"/>
    <n v="1"/>
    <x v="0"/>
    <n v="0"/>
    <n v="1"/>
    <n v="4"/>
    <n v="4"/>
    <n v="1"/>
    <s v="Medical"/>
    <n v="0"/>
    <n v="0"/>
    <n v="1"/>
    <n v="0"/>
    <n v="0"/>
    <n v="4"/>
    <s v="Female"/>
    <n v="1"/>
    <n v="42"/>
    <n v="3"/>
    <n v="2"/>
    <s v="Sales Executive"/>
    <n v="0"/>
    <n v="1"/>
    <n v="0"/>
    <n v="0"/>
    <n v="0"/>
    <n v="0"/>
    <n v="0"/>
    <n v="0"/>
    <n v="3"/>
    <s v="Married"/>
    <n v="0"/>
    <n v="1"/>
    <n v="4162"/>
    <n v="4162"/>
    <n v="1"/>
    <s v="Yes"/>
    <n v="1"/>
    <n v="12"/>
    <n v="3"/>
    <n v="3"/>
    <n v="2"/>
    <n v="5"/>
    <x v="7"/>
    <n v="3"/>
    <n v="3"/>
    <n v="5"/>
    <n v="5"/>
    <n v="4"/>
    <n v="0"/>
    <n v="0"/>
    <n v="3"/>
    <n v="3"/>
    <n v="6"/>
    <n v="0"/>
    <n v="1"/>
    <n v="0"/>
    <n v="0"/>
    <n v="0"/>
    <n v="0"/>
    <n v="0"/>
    <n v="1"/>
    <n v="0"/>
    <n v="0"/>
    <n v="3"/>
    <n v="0"/>
    <n v="0"/>
    <n v="5"/>
    <n v="0.49722871308444666"/>
    <n v="0.31476636926356072"/>
    <n v="0.80706439257840468"/>
    <n v="0.32778177112653761"/>
    <n v="0.64050867607435136"/>
    <n v="1.4146996331543302"/>
    <n v="0.67891464284095016"/>
  </r>
  <r>
    <n v="32"/>
    <n v="32"/>
    <s v="No"/>
    <n v="0"/>
    <s v="Travel_Rarely"/>
    <n v="0"/>
    <n v="1"/>
    <x v="0"/>
    <n v="0"/>
    <n v="1"/>
    <n v="7"/>
    <n v="7"/>
    <n v="5"/>
    <s v="Marketing"/>
    <n v="0"/>
    <n v="0"/>
    <n v="0"/>
    <n v="1"/>
    <n v="0"/>
    <n v="4"/>
    <s v="Male"/>
    <n v="0"/>
    <n v="97"/>
    <n v="3"/>
    <n v="2"/>
    <s v="Sales Executive"/>
    <n v="0"/>
    <n v="1"/>
    <n v="0"/>
    <n v="0"/>
    <n v="0"/>
    <n v="0"/>
    <n v="0"/>
    <n v="0"/>
    <n v="4"/>
    <s v="Married"/>
    <n v="0"/>
    <n v="1"/>
    <n v="9204"/>
    <n v="9204"/>
    <n v="4"/>
    <s v="No"/>
    <n v="0"/>
    <n v="12"/>
    <n v="3"/>
    <n v="3"/>
    <n v="1"/>
    <n v="7"/>
    <x v="2"/>
    <n v="3"/>
    <n v="2"/>
    <n v="4"/>
    <n v="4"/>
    <n v="3"/>
    <n v="0"/>
    <n v="0"/>
    <n v="3"/>
    <n v="3"/>
    <n v="6"/>
    <n v="0"/>
    <n v="1"/>
    <n v="0"/>
    <n v="0"/>
    <n v="0"/>
    <n v="0"/>
    <n v="1"/>
    <n v="0"/>
    <n v="0"/>
    <n v="0"/>
    <n v="3"/>
    <n v="0"/>
    <n v="0"/>
    <n v="7"/>
    <n v="0.5737241933018763"/>
    <n v="0.31476636926356072"/>
    <n v="0.55002080963175637"/>
    <n v="0.49100643357776058"/>
    <n v="0.27045191444879263"/>
    <n v="0.53898283739188557"/>
    <n v="0.67891464284095016"/>
  </r>
  <r>
    <n v="34"/>
    <n v="34"/>
    <s v="No"/>
    <n v="0"/>
    <s v="Travel_Rarely"/>
    <n v="0"/>
    <n v="1"/>
    <x v="1"/>
    <n v="1"/>
    <n v="0"/>
    <n v="1"/>
    <n v="1"/>
    <n v="3"/>
    <s v="Life Sciences"/>
    <n v="1"/>
    <n v="0"/>
    <n v="0"/>
    <n v="0"/>
    <n v="0"/>
    <n v="4"/>
    <s v="Female"/>
    <n v="1"/>
    <n v="86"/>
    <n v="2"/>
    <n v="1"/>
    <s v="Laboratory Technician"/>
    <n v="0"/>
    <n v="0"/>
    <n v="1"/>
    <n v="0"/>
    <n v="0"/>
    <n v="0"/>
    <n v="0"/>
    <n v="0"/>
    <n v="2"/>
    <s v="Married"/>
    <n v="0"/>
    <n v="1"/>
    <n v="3294"/>
    <n v="3294"/>
    <n v="5"/>
    <s v="No"/>
    <n v="0"/>
    <n v="17"/>
    <n v="3"/>
    <n v="1"/>
    <n v="1"/>
    <n v="7"/>
    <x v="2"/>
    <n v="2"/>
    <n v="2"/>
    <n v="5"/>
    <n v="5"/>
    <n v="4"/>
    <n v="0"/>
    <n v="0"/>
    <n v="2"/>
    <n v="2"/>
    <n v="2"/>
    <n v="0"/>
    <n v="1"/>
    <n v="0"/>
    <n v="0"/>
    <n v="0"/>
    <n v="0"/>
    <n v="1"/>
    <n v="0"/>
    <n v="0"/>
    <n v="2"/>
    <n v="0"/>
    <n v="0"/>
    <n v="7"/>
    <n v="0"/>
    <n v="0.68159744032429759"/>
    <n v="0.59502473559756086"/>
    <n v="0.55002080963175637"/>
    <n v="0.32778177112653761"/>
    <n v="1.01056543769991"/>
    <n v="0.32005363845127444"/>
    <n v="0.67891464284095016"/>
  </r>
  <r>
    <n v="41"/>
    <n v="41"/>
    <s v="No"/>
    <n v="0"/>
    <s v="Travel_Rarely"/>
    <n v="0"/>
    <n v="1"/>
    <x v="1"/>
    <n v="1"/>
    <n v="0"/>
    <n v="5"/>
    <n v="5"/>
    <n v="5"/>
    <s v="Medical"/>
    <n v="0"/>
    <n v="0"/>
    <n v="1"/>
    <n v="0"/>
    <n v="0"/>
    <n v="2"/>
    <s v="Male"/>
    <n v="0"/>
    <n v="90"/>
    <n v="4"/>
    <n v="1"/>
    <s v="Research Scientist"/>
    <n v="0"/>
    <n v="0"/>
    <n v="0"/>
    <n v="0"/>
    <n v="0"/>
    <n v="0"/>
    <n v="0"/>
    <n v="1"/>
    <n v="3"/>
    <s v="Married"/>
    <n v="0"/>
    <n v="1"/>
    <n v="2127"/>
    <n v="2127"/>
    <n v="2"/>
    <s v="Yes"/>
    <n v="1"/>
    <n v="12"/>
    <n v="3"/>
    <n v="1"/>
    <n v="0"/>
    <n v="7"/>
    <x v="2"/>
    <n v="5"/>
    <n v="2"/>
    <n v="4"/>
    <n v="4"/>
    <n v="2"/>
    <n v="0"/>
    <n v="0"/>
    <n v="3"/>
    <n v="3"/>
    <n v="3"/>
    <n v="0"/>
    <n v="1"/>
    <n v="0"/>
    <n v="0"/>
    <n v="0"/>
    <n v="0"/>
    <n v="0"/>
    <n v="1"/>
    <n v="0"/>
    <n v="3"/>
    <n v="0"/>
    <n v="0"/>
    <n v="7"/>
    <n v="0"/>
    <n v="0.9294756715327146"/>
    <n v="0.31476636926356072"/>
    <n v="0.55002080963175637"/>
    <n v="0.49100643357776058"/>
    <n v="0.51715642219916513"/>
    <n v="0.4461985578408646"/>
    <n v="0.67891464284095016"/>
  </r>
  <r>
    <n v="40"/>
    <n v="40"/>
    <s v="No"/>
    <n v="0"/>
    <s v="Non-Travel"/>
    <n v="0"/>
    <n v="0"/>
    <x v="1"/>
    <n v="1"/>
    <n v="0"/>
    <n v="9"/>
    <n v="9"/>
    <n v="4"/>
    <s v="Other"/>
    <n v="0"/>
    <n v="1"/>
    <n v="0"/>
    <n v="0"/>
    <n v="0"/>
    <n v="3"/>
    <s v="Male"/>
    <n v="0"/>
    <n v="81"/>
    <n v="3"/>
    <n v="2"/>
    <s v="Laboratory Technician"/>
    <n v="0"/>
    <n v="0"/>
    <n v="1"/>
    <n v="0"/>
    <n v="0"/>
    <n v="0"/>
    <n v="0"/>
    <n v="0"/>
    <n v="3"/>
    <s v="Divorced"/>
    <n v="0"/>
    <n v="0"/>
    <n v="3975"/>
    <n v="3975"/>
    <n v="3"/>
    <s v="No"/>
    <n v="0"/>
    <n v="11"/>
    <n v="3"/>
    <n v="3"/>
    <n v="2"/>
    <n v="11"/>
    <x v="26"/>
    <n v="2"/>
    <n v="4"/>
    <n v="8"/>
    <n v="8"/>
    <n v="7"/>
    <n v="0"/>
    <n v="0"/>
    <n v="7"/>
    <n v="7"/>
    <n v="14"/>
    <n v="1"/>
    <n v="0"/>
    <n v="0"/>
    <n v="0"/>
    <n v="1"/>
    <n v="0"/>
    <n v="0"/>
    <n v="0"/>
    <n v="0"/>
    <n v="7"/>
    <n v="0"/>
    <n v="0"/>
    <n v="11"/>
    <n v="0"/>
    <n v="0.53694870386077398"/>
    <n v="0.80626709607243985"/>
    <n v="3.593364373846001E-2"/>
    <n v="0.16189221622713135"/>
    <n v="2.3747406698420157E-2"/>
    <n v="0.33673395837055903"/>
    <n v="0.67891464284095016"/>
  </r>
  <r>
    <n v="31"/>
    <n v="31"/>
    <s v="No"/>
    <n v="0"/>
    <s v="Travel_Rarely"/>
    <n v="0"/>
    <n v="1"/>
    <x v="0"/>
    <n v="0"/>
    <n v="1"/>
    <n v="8"/>
    <n v="8"/>
    <n v="2"/>
    <s v="Life Sciences"/>
    <n v="1"/>
    <n v="0"/>
    <n v="0"/>
    <n v="0"/>
    <n v="0"/>
    <n v="1"/>
    <s v="Male"/>
    <n v="0"/>
    <n v="31"/>
    <n v="3"/>
    <n v="3"/>
    <s v="Sales Executive"/>
    <n v="0"/>
    <n v="1"/>
    <n v="0"/>
    <n v="0"/>
    <n v="0"/>
    <n v="0"/>
    <n v="0"/>
    <n v="0"/>
    <n v="4"/>
    <s v="Divorced"/>
    <n v="0"/>
    <n v="0"/>
    <n v="10793"/>
    <n v="10793"/>
    <n v="1"/>
    <s v="No"/>
    <n v="0"/>
    <n v="18"/>
    <n v="3"/>
    <n v="1"/>
    <n v="1"/>
    <n v="13"/>
    <x v="10"/>
    <n v="5"/>
    <n v="3"/>
    <n v="13"/>
    <n v="13"/>
    <n v="7"/>
    <n v="9"/>
    <n v="9"/>
    <n v="9"/>
    <n v="9"/>
    <n v="27"/>
    <n v="1"/>
    <n v="0"/>
    <n v="0"/>
    <n v="0"/>
    <n v="1"/>
    <n v="0"/>
    <n v="0"/>
    <n v="0"/>
    <n v="0"/>
    <n v="0"/>
    <n v="9"/>
    <n v="0"/>
    <n v="0"/>
    <n v="13"/>
    <n v="0.9112379117167646"/>
    <n v="1.3667838287404401"/>
    <n v="0.22110993920818819"/>
    <n v="0.97801552848324624"/>
    <n v="0.14709966057360641"/>
    <n v="0.6484474368621912"/>
    <n v="2.114008468099899"/>
  </r>
  <r>
    <n v="46"/>
    <n v="46"/>
    <s v="Yes"/>
    <n v="1"/>
    <s v="Travel_Rarely"/>
    <n v="0"/>
    <n v="1"/>
    <x v="0"/>
    <n v="0"/>
    <n v="1"/>
    <n v="9"/>
    <n v="9"/>
    <n v="3"/>
    <s v="Marketing"/>
    <n v="0"/>
    <n v="0"/>
    <n v="0"/>
    <n v="1"/>
    <n v="0"/>
    <n v="1"/>
    <s v="Male"/>
    <n v="0"/>
    <n v="52"/>
    <n v="3"/>
    <n v="3"/>
    <s v="Sales Executive"/>
    <n v="0"/>
    <n v="1"/>
    <n v="0"/>
    <n v="0"/>
    <n v="0"/>
    <n v="0"/>
    <n v="0"/>
    <n v="0"/>
    <n v="4"/>
    <s v="Divorced"/>
    <n v="0"/>
    <n v="0"/>
    <n v="10096"/>
    <n v="10096"/>
    <n v="4"/>
    <s v="No"/>
    <n v="0"/>
    <n v="11"/>
    <n v="3"/>
    <n v="1"/>
    <n v="1"/>
    <n v="28"/>
    <x v="22"/>
    <n v="1"/>
    <n v="4"/>
    <n v="7"/>
    <n v="7"/>
    <n v="7"/>
    <n v="4"/>
    <n v="4"/>
    <n v="3"/>
    <n v="3"/>
    <n v="9"/>
    <n v="1"/>
    <n v="0"/>
    <n v="0"/>
    <n v="0"/>
    <n v="1"/>
    <n v="0"/>
    <n v="0"/>
    <n v="0"/>
    <n v="0"/>
    <n v="0"/>
    <n v="3"/>
    <n v="0"/>
    <n v="0"/>
    <n v="28"/>
    <n v="0.76319067336863544"/>
    <n v="0.31476636926356072"/>
    <n v="2.1489368113080496"/>
    <n v="1.3324462240916321E-3"/>
    <n v="2.3747406698420157E-2"/>
    <n v="0.99352155519239249"/>
    <n v="0.56238451757720498"/>
  </r>
  <r>
    <n v="39"/>
    <n v="39"/>
    <s v="Yes"/>
    <n v="1"/>
    <s v="Non-Travel"/>
    <n v="0"/>
    <n v="0"/>
    <x v="1"/>
    <n v="1"/>
    <n v="0"/>
    <n v="2"/>
    <n v="2"/>
    <n v="3"/>
    <s v="Life Sciences"/>
    <n v="1"/>
    <n v="0"/>
    <n v="0"/>
    <n v="0"/>
    <n v="0"/>
    <n v="1"/>
    <s v="Female"/>
    <n v="1"/>
    <n v="54"/>
    <n v="2"/>
    <n v="1"/>
    <s v="Laboratory Technician"/>
    <n v="0"/>
    <n v="0"/>
    <n v="1"/>
    <n v="0"/>
    <n v="0"/>
    <n v="0"/>
    <n v="0"/>
    <n v="0"/>
    <n v="1"/>
    <s v="Single"/>
    <n v="1"/>
    <n v="0"/>
    <n v="3646"/>
    <n v="3646"/>
    <n v="2"/>
    <s v="Yes"/>
    <n v="1"/>
    <n v="23"/>
    <n v="4"/>
    <n v="2"/>
    <n v="0"/>
    <n v="11"/>
    <x v="26"/>
    <n v="2"/>
    <n v="4"/>
    <n v="1"/>
    <n v="1"/>
    <n v="0"/>
    <n v="0"/>
    <n v="0"/>
    <n v="0"/>
    <n v="0"/>
    <n v="0"/>
    <n v="1"/>
    <n v="0"/>
    <n v="0"/>
    <n v="0"/>
    <n v="0"/>
    <n v="1"/>
    <n v="0"/>
    <n v="0"/>
    <n v="0"/>
    <n v="0"/>
    <n v="0"/>
    <n v="0"/>
    <n v="11"/>
    <n v="0"/>
    <n v="0.60683039886297552"/>
    <n v="1.1555414682655611"/>
    <n v="3.593364373846001E-2"/>
    <n v="0.9806804209314296"/>
    <n v="0.88721318382472392"/>
    <n v="0.22726935890025346"/>
    <n v="0.67891464284095016"/>
  </r>
  <r>
    <n v="31"/>
    <n v="31"/>
    <s v="Yes"/>
    <n v="1"/>
    <s v="Travel_Frequently"/>
    <n v="1"/>
    <n v="0"/>
    <x v="1"/>
    <n v="1"/>
    <n v="0"/>
    <n v="1"/>
    <n v="1"/>
    <n v="5"/>
    <s v="Life Sciences"/>
    <n v="1"/>
    <n v="0"/>
    <n v="0"/>
    <n v="0"/>
    <n v="0"/>
    <n v="3"/>
    <s v="Female"/>
    <n v="1"/>
    <n v="100"/>
    <n v="4"/>
    <n v="3"/>
    <s v="Manufacturing Director"/>
    <n v="0"/>
    <n v="0"/>
    <n v="0"/>
    <n v="0"/>
    <n v="1"/>
    <n v="1"/>
    <n v="0"/>
    <n v="0"/>
    <n v="2"/>
    <s v="Single"/>
    <n v="1"/>
    <n v="0"/>
    <n v="7446"/>
    <n v="7446"/>
    <n v="1"/>
    <s v="No"/>
    <n v="0"/>
    <n v="11"/>
    <n v="3"/>
    <n v="1"/>
    <n v="0"/>
    <n v="10"/>
    <x v="1"/>
    <n v="2"/>
    <n v="3"/>
    <n v="10"/>
    <n v="10"/>
    <n v="8"/>
    <n v="4"/>
    <n v="4"/>
    <n v="7"/>
    <n v="7"/>
    <n v="21"/>
    <n v="0"/>
    <n v="0"/>
    <n v="1"/>
    <n v="0"/>
    <n v="1"/>
    <n v="0"/>
    <n v="0"/>
    <n v="0"/>
    <n v="0"/>
    <n v="7"/>
    <n v="0"/>
    <n v="0"/>
    <n v="10"/>
    <n v="0"/>
    <n v="0.20031379873084179"/>
    <n v="0.80626709607243985"/>
    <n v="0.1644554352117841"/>
    <n v="0.48834154112957734"/>
    <n v="1.01056543769991"/>
    <n v="0.6484474368621912"/>
    <n v="0.56238451757720498"/>
  </r>
  <r>
    <n v="45"/>
    <n v="45"/>
    <s v="No"/>
    <n v="0"/>
    <s v="Travel_Rarely"/>
    <n v="0"/>
    <n v="1"/>
    <x v="1"/>
    <n v="1"/>
    <n v="0"/>
    <n v="20"/>
    <n v="20"/>
    <n v="3"/>
    <s v="Medical"/>
    <n v="0"/>
    <n v="0"/>
    <n v="1"/>
    <n v="0"/>
    <n v="0"/>
    <n v="2"/>
    <s v="Male"/>
    <n v="0"/>
    <n v="95"/>
    <n v="1"/>
    <n v="3"/>
    <s v="Healthcare Representative"/>
    <n v="1"/>
    <n v="0"/>
    <n v="0"/>
    <n v="0"/>
    <n v="0"/>
    <n v="0"/>
    <n v="0"/>
    <n v="0"/>
    <n v="1"/>
    <s v="Divorced"/>
    <n v="0"/>
    <n v="0"/>
    <n v="10851"/>
    <n v="10851"/>
    <n v="2"/>
    <s v="Yes"/>
    <n v="1"/>
    <n v="18"/>
    <n v="3"/>
    <n v="2"/>
    <n v="1"/>
    <n v="24"/>
    <x v="12"/>
    <n v="2"/>
    <n v="3"/>
    <n v="7"/>
    <n v="7"/>
    <n v="7"/>
    <n v="0"/>
    <n v="0"/>
    <n v="7"/>
    <n v="7"/>
    <n v="21"/>
    <n v="1"/>
    <n v="0"/>
    <n v="0"/>
    <n v="0"/>
    <n v="0"/>
    <n v="1"/>
    <n v="0"/>
    <n v="0"/>
    <n v="0"/>
    <n v="7"/>
    <n v="0"/>
    <n v="0"/>
    <n v="24"/>
    <n v="0"/>
    <n v="0.92355748104845969"/>
    <n v="0.80626709607243985"/>
    <n v="1.6348496454147534"/>
    <n v="1.3324462240916321E-3"/>
    <n v="1.3331273859286286"/>
    <n v="0.88405695572208698"/>
    <n v="0.67891464284095016"/>
  </r>
  <r>
    <n v="31"/>
    <n v="31"/>
    <s v="No"/>
    <n v="0"/>
    <s v="Travel_Rarely"/>
    <n v="0"/>
    <n v="1"/>
    <x v="2"/>
    <n v="0"/>
    <n v="0"/>
    <n v="8"/>
    <n v="8"/>
    <n v="2"/>
    <s v="Medical"/>
    <n v="0"/>
    <n v="0"/>
    <n v="1"/>
    <n v="0"/>
    <n v="0"/>
    <n v="4"/>
    <s v="Female"/>
    <n v="1"/>
    <n v="96"/>
    <n v="4"/>
    <n v="1"/>
    <s v="Human Resources"/>
    <n v="0"/>
    <n v="0"/>
    <n v="0"/>
    <n v="0"/>
    <n v="0"/>
    <n v="0"/>
    <n v="0"/>
    <n v="0"/>
    <n v="2"/>
    <s v="Single"/>
    <n v="1"/>
    <n v="0"/>
    <n v="2109"/>
    <n v="2109"/>
    <n v="9"/>
    <s v="No"/>
    <n v="0"/>
    <n v="18"/>
    <n v="3"/>
    <n v="4"/>
    <n v="0"/>
    <n v="8"/>
    <x v="0"/>
    <n v="3"/>
    <n v="3"/>
    <n v="3"/>
    <n v="3"/>
    <n v="2"/>
    <n v="0"/>
    <n v="0"/>
    <n v="2"/>
    <n v="2"/>
    <n v="2"/>
    <n v="1"/>
    <n v="0"/>
    <n v="0"/>
    <n v="0"/>
    <n v="1"/>
    <n v="0"/>
    <n v="0"/>
    <n v="0"/>
    <n v="2"/>
    <n v="0"/>
    <n v="0"/>
    <n v="8"/>
    <n v="0"/>
    <n v="0"/>
    <n v="0.93329898615289586"/>
    <n v="0.59502473559756086"/>
    <n v="0.42149901815843233"/>
    <n v="0.65423109602898355"/>
    <n v="0.14709966057360641"/>
    <n v="0.6484474368621912"/>
    <n v="0.67891464284095016"/>
  </r>
  <r>
    <n v="31"/>
    <n v="31"/>
    <s v="Yes"/>
    <n v="1"/>
    <s v="Travel_Frequently"/>
    <n v="1"/>
    <n v="0"/>
    <x v="1"/>
    <n v="1"/>
    <n v="0"/>
    <n v="2"/>
    <n v="2"/>
    <n v="3"/>
    <s v="Life Sciences"/>
    <n v="1"/>
    <n v="0"/>
    <n v="0"/>
    <n v="0"/>
    <n v="0"/>
    <n v="2"/>
    <s v="Male"/>
    <n v="0"/>
    <n v="94"/>
    <n v="3"/>
    <n v="1"/>
    <s v="Laboratory Technician"/>
    <n v="0"/>
    <n v="0"/>
    <n v="1"/>
    <n v="0"/>
    <n v="0"/>
    <n v="0"/>
    <n v="0"/>
    <n v="0"/>
    <n v="4"/>
    <s v="Married"/>
    <n v="0"/>
    <n v="1"/>
    <n v="3722"/>
    <n v="3722"/>
    <n v="6"/>
    <s v="Yes"/>
    <n v="1"/>
    <n v="13"/>
    <n v="3"/>
    <n v="3"/>
    <n v="1"/>
    <n v="7"/>
    <x v="2"/>
    <n v="2"/>
    <n v="1"/>
    <n v="2"/>
    <n v="2"/>
    <n v="2"/>
    <n v="2"/>
    <n v="2"/>
    <n v="2"/>
    <n v="2"/>
    <n v="2"/>
    <n v="0"/>
    <n v="0"/>
    <n v="0"/>
    <n v="1"/>
    <n v="0"/>
    <n v="0"/>
    <n v="0"/>
    <n v="1"/>
    <n v="0"/>
    <n v="2"/>
    <n v="0"/>
    <n v="0"/>
    <n v="7"/>
    <n v="0"/>
    <n v="0.59068751491109917"/>
    <n v="0.59502473559756086"/>
    <n v="0.55002080963175637"/>
    <n v="0.81745575848020657"/>
    <n v="0.88721318382472392"/>
    <n v="0.6484474368621912"/>
    <n v="5.8265062631872602E-2"/>
  </r>
  <r>
    <n v="45"/>
    <n v="45"/>
    <s v="No"/>
    <n v="0"/>
    <s v="Travel_Rarely"/>
    <n v="0"/>
    <n v="1"/>
    <x v="1"/>
    <n v="1"/>
    <n v="0"/>
    <n v="29"/>
    <n v="29"/>
    <n v="3"/>
    <s v="Technical Degree"/>
    <n v="0"/>
    <n v="0"/>
    <n v="0"/>
    <n v="0"/>
    <n v="1"/>
    <n v="2"/>
    <s v="Male"/>
    <n v="0"/>
    <n v="55"/>
    <n v="3"/>
    <n v="3"/>
    <s v="Manufacturing Director"/>
    <n v="0"/>
    <n v="0"/>
    <n v="0"/>
    <n v="0"/>
    <n v="1"/>
    <n v="1"/>
    <n v="0"/>
    <n v="0"/>
    <n v="4"/>
    <s v="Married"/>
    <n v="0"/>
    <n v="1"/>
    <n v="9380"/>
    <n v="9380"/>
    <n v="4"/>
    <s v="Yes"/>
    <n v="1"/>
    <n v="18"/>
    <n v="3"/>
    <n v="4"/>
    <n v="2"/>
    <n v="10"/>
    <x v="1"/>
    <n v="4"/>
    <n v="4"/>
    <n v="3"/>
    <n v="3"/>
    <n v="1"/>
    <n v="1"/>
    <n v="1"/>
    <n v="2"/>
    <n v="2"/>
    <n v="6"/>
    <n v="0"/>
    <n v="1"/>
    <n v="0"/>
    <n v="0"/>
    <n v="0"/>
    <n v="0"/>
    <n v="0"/>
    <n v="1"/>
    <n v="0"/>
    <n v="2"/>
    <n v="0"/>
    <n v="0"/>
    <n v="10"/>
    <n v="0"/>
    <n v="0.61110771403253727"/>
    <n v="0.59502473559756086"/>
    <n v="0.1644554352117841"/>
    <n v="0.65423109602898355"/>
    <n v="2.4432976708053049"/>
    <n v="0.88405695572208698"/>
    <n v="0.36858985273641137"/>
  </r>
  <r>
    <n v="48"/>
    <n v="48"/>
    <s v="No"/>
    <n v="0"/>
    <s v="Travel_Rarely"/>
    <n v="0"/>
    <n v="1"/>
    <x v="0"/>
    <n v="0"/>
    <n v="1"/>
    <n v="7"/>
    <n v="7"/>
    <n v="3"/>
    <s v="Marketing"/>
    <n v="0"/>
    <n v="0"/>
    <n v="0"/>
    <n v="1"/>
    <n v="0"/>
    <n v="3"/>
    <s v="Male"/>
    <n v="0"/>
    <n v="96"/>
    <n v="3"/>
    <n v="2"/>
    <s v="Sales Executive"/>
    <n v="0"/>
    <n v="1"/>
    <n v="0"/>
    <n v="0"/>
    <n v="0"/>
    <n v="0"/>
    <n v="0"/>
    <n v="0"/>
    <n v="1"/>
    <s v="Divorced"/>
    <n v="0"/>
    <n v="0"/>
    <n v="5486"/>
    <n v="5486"/>
    <n v="4"/>
    <s v="No"/>
    <n v="0"/>
    <n v="11"/>
    <n v="3"/>
    <n v="1"/>
    <n v="3"/>
    <n v="15"/>
    <x v="19"/>
    <n v="3"/>
    <n v="3"/>
    <n v="2"/>
    <n v="2"/>
    <n v="2"/>
    <n v="2"/>
    <n v="2"/>
    <n v="2"/>
    <n v="2"/>
    <n v="4"/>
    <n v="1"/>
    <n v="0"/>
    <n v="0"/>
    <n v="0"/>
    <n v="1"/>
    <n v="0"/>
    <n v="0"/>
    <n v="0"/>
    <n v="0"/>
    <n v="0"/>
    <n v="2"/>
    <n v="0"/>
    <n v="0"/>
    <n v="15"/>
    <n v="0.21600268213333768"/>
    <n v="0.59502473559756086"/>
    <n v="0.47815352215483642"/>
    <n v="0.81745575848020657"/>
    <n v="0.27045191444879263"/>
    <n v="1.2124507541330036"/>
    <n v="5.8265062631872602E-2"/>
  </r>
  <r>
    <n v="34"/>
    <n v="34"/>
    <s v="Yes"/>
    <n v="1"/>
    <s v="Travel_Rarely"/>
    <n v="0"/>
    <n v="1"/>
    <x v="2"/>
    <n v="0"/>
    <n v="0"/>
    <n v="9"/>
    <n v="9"/>
    <n v="4"/>
    <s v="Technical Degree"/>
    <n v="0"/>
    <n v="0"/>
    <n v="0"/>
    <n v="0"/>
    <n v="1"/>
    <n v="1"/>
    <s v="Female"/>
    <n v="1"/>
    <n v="52"/>
    <n v="3"/>
    <n v="1"/>
    <s v="Human Resources"/>
    <n v="0"/>
    <n v="0"/>
    <n v="0"/>
    <n v="0"/>
    <n v="0"/>
    <n v="0"/>
    <n v="0"/>
    <n v="0"/>
    <n v="3"/>
    <s v="Married"/>
    <n v="0"/>
    <n v="1"/>
    <n v="2742"/>
    <n v="2742"/>
    <n v="1"/>
    <s v="No"/>
    <n v="0"/>
    <n v="15"/>
    <n v="3"/>
    <n v="4"/>
    <n v="0"/>
    <n v="2"/>
    <x v="16"/>
    <n v="0"/>
    <n v="3"/>
    <n v="2"/>
    <n v="2"/>
    <n v="2"/>
    <n v="2"/>
    <n v="2"/>
    <n v="2"/>
    <n v="2"/>
    <n v="2"/>
    <n v="0"/>
    <n v="1"/>
    <n v="0"/>
    <n v="0"/>
    <n v="0"/>
    <n v="0"/>
    <n v="1"/>
    <n v="0"/>
    <n v="2"/>
    <n v="0"/>
    <n v="0"/>
    <n v="2"/>
    <n v="0"/>
    <n v="0"/>
    <n v="0.79884575534318891"/>
    <n v="0.59502473559756086"/>
    <n v="1.192629766998377"/>
    <n v="0.81745575848020657"/>
    <n v="2.3747406698420157E-2"/>
    <n v="0.32005363845127444"/>
    <n v="5.8265062631872602E-2"/>
  </r>
  <r>
    <n v="40"/>
    <n v="40"/>
    <s v="No"/>
    <n v="0"/>
    <s v="Non-Travel"/>
    <n v="0"/>
    <n v="0"/>
    <x v="1"/>
    <n v="1"/>
    <n v="0"/>
    <n v="8"/>
    <n v="8"/>
    <n v="1"/>
    <s v="Medical"/>
    <n v="0"/>
    <n v="0"/>
    <n v="1"/>
    <n v="0"/>
    <n v="0"/>
    <n v="4"/>
    <s v="Male"/>
    <n v="0"/>
    <n v="55"/>
    <n v="2"/>
    <n v="3"/>
    <s v="Research Director"/>
    <n v="0"/>
    <n v="0"/>
    <n v="0"/>
    <n v="0"/>
    <n v="0"/>
    <n v="0"/>
    <n v="0"/>
    <n v="0"/>
    <n v="2"/>
    <s v="Divorced"/>
    <n v="0"/>
    <n v="0"/>
    <n v="13757"/>
    <n v="13757"/>
    <n v="2"/>
    <s v="No"/>
    <n v="0"/>
    <n v="11"/>
    <n v="3"/>
    <n v="3"/>
    <n v="1"/>
    <n v="16"/>
    <x v="27"/>
    <n v="5"/>
    <n v="3"/>
    <n v="9"/>
    <n v="9"/>
    <n v="8"/>
    <n v="4"/>
    <n v="4"/>
    <n v="8"/>
    <n v="8"/>
    <n v="24"/>
    <n v="1"/>
    <n v="0"/>
    <n v="0"/>
    <n v="0"/>
    <n v="1"/>
    <n v="0"/>
    <n v="0"/>
    <n v="0"/>
    <n v="0"/>
    <n v="8"/>
    <n v="0"/>
    <n v="0"/>
    <n v="16"/>
    <n v="0"/>
    <n v="1.5408103858399422"/>
    <n v="1.08652546240644"/>
    <n v="0.60667531362816052"/>
    <n v="0.32511687867835437"/>
    <n v="0.14709966057360641"/>
    <n v="0.33673395837055903"/>
    <n v="0.56238451757720498"/>
  </r>
  <r>
    <n v="28"/>
    <n v="28"/>
    <s v="No"/>
    <n v="0"/>
    <s v="Travel_Rarely"/>
    <n v="0"/>
    <n v="1"/>
    <x v="0"/>
    <n v="0"/>
    <n v="1"/>
    <n v="5"/>
    <n v="5"/>
    <n v="3"/>
    <s v="Medical"/>
    <n v="0"/>
    <n v="0"/>
    <n v="1"/>
    <n v="0"/>
    <n v="0"/>
    <n v="4"/>
    <s v="Male"/>
    <n v="0"/>
    <n v="84"/>
    <n v="3"/>
    <n v="2"/>
    <s v="Sales Executive"/>
    <n v="0"/>
    <n v="1"/>
    <n v="0"/>
    <n v="0"/>
    <n v="0"/>
    <n v="0"/>
    <n v="0"/>
    <n v="0"/>
    <n v="1"/>
    <s v="Single"/>
    <n v="1"/>
    <n v="0"/>
    <n v="8463"/>
    <n v="8463"/>
    <n v="0"/>
    <s v="No"/>
    <n v="0"/>
    <n v="18"/>
    <n v="3"/>
    <n v="4"/>
    <n v="0"/>
    <n v="6"/>
    <x v="3"/>
    <n v="4"/>
    <n v="3"/>
    <n v="5"/>
    <n v="5"/>
    <n v="4"/>
    <n v="1"/>
    <n v="1"/>
    <n v="3"/>
    <n v="3"/>
    <n v="6"/>
    <n v="1"/>
    <n v="0"/>
    <n v="0"/>
    <n v="0"/>
    <n v="1"/>
    <n v="0"/>
    <n v="0"/>
    <n v="0"/>
    <n v="0"/>
    <n v="0"/>
    <n v="3"/>
    <n v="0"/>
    <n v="0"/>
    <n v="6"/>
    <n v="0.41633107477108183"/>
    <n v="0.31476636926356072"/>
    <n v="0.67854260110508058"/>
    <n v="0.32778177112653761"/>
    <n v="0.51715642219916513"/>
    <n v="0.97684123527310796"/>
    <n v="0.36858985273641137"/>
  </r>
  <r>
    <n v="44"/>
    <n v="44"/>
    <s v="No"/>
    <n v="0"/>
    <s v="Non-Travel"/>
    <n v="0"/>
    <n v="0"/>
    <x v="1"/>
    <n v="1"/>
    <n v="0"/>
    <n v="5"/>
    <n v="5"/>
    <n v="3"/>
    <s v="Life Sciences"/>
    <n v="1"/>
    <n v="0"/>
    <n v="0"/>
    <n v="0"/>
    <n v="0"/>
    <n v="3"/>
    <s v="Male"/>
    <n v="0"/>
    <n v="90"/>
    <n v="2"/>
    <n v="1"/>
    <s v="Laboratory Technician"/>
    <n v="0"/>
    <n v="0"/>
    <n v="1"/>
    <n v="0"/>
    <n v="0"/>
    <n v="0"/>
    <n v="0"/>
    <n v="0"/>
    <n v="3"/>
    <s v="Single"/>
    <n v="1"/>
    <n v="0"/>
    <n v="3162"/>
    <n v="3162"/>
    <n v="3"/>
    <s v="No"/>
    <n v="0"/>
    <n v="14"/>
    <n v="3"/>
    <n v="4"/>
    <n v="0"/>
    <n v="7"/>
    <x v="2"/>
    <n v="5"/>
    <n v="3"/>
    <n v="5"/>
    <n v="5"/>
    <n v="2"/>
    <n v="0"/>
    <n v="0"/>
    <n v="3"/>
    <n v="3"/>
    <n v="3"/>
    <n v="1"/>
    <n v="0"/>
    <n v="0"/>
    <n v="0"/>
    <n v="1"/>
    <n v="0"/>
    <n v="0"/>
    <n v="0"/>
    <n v="0"/>
    <n v="3"/>
    <n v="0"/>
    <n v="0"/>
    <n v="7"/>
    <n v="0"/>
    <n v="0.70963508087229332"/>
    <n v="0.31476636926356072"/>
    <n v="0.55002080963175637"/>
    <n v="0.32778177112653761"/>
    <n v="0.51715642219916513"/>
    <n v="0.77459235625178136"/>
    <n v="0.67891464284095016"/>
  </r>
  <r>
    <n v="53"/>
    <n v="53"/>
    <s v="No"/>
    <n v="0"/>
    <s v="Travel_Rarely"/>
    <n v="0"/>
    <n v="1"/>
    <x v="1"/>
    <n v="1"/>
    <n v="0"/>
    <n v="2"/>
    <n v="2"/>
    <n v="3"/>
    <s v="Medical"/>
    <n v="0"/>
    <n v="0"/>
    <n v="1"/>
    <n v="0"/>
    <n v="0"/>
    <n v="4"/>
    <s v="Male"/>
    <n v="0"/>
    <n v="39"/>
    <n v="4"/>
    <n v="4"/>
    <s v="Research Director"/>
    <n v="0"/>
    <n v="0"/>
    <n v="0"/>
    <n v="0"/>
    <n v="0"/>
    <n v="0"/>
    <n v="0"/>
    <n v="0"/>
    <n v="2"/>
    <s v="Single"/>
    <n v="1"/>
    <n v="0"/>
    <n v="16598"/>
    <n v="16598"/>
    <n v="4"/>
    <s v="No"/>
    <n v="0"/>
    <n v="12"/>
    <n v="3"/>
    <n v="2"/>
    <n v="0"/>
    <n v="35"/>
    <x v="28"/>
    <n v="2"/>
    <n v="2"/>
    <n v="9"/>
    <n v="9"/>
    <n v="8"/>
    <n v="8"/>
    <n v="8"/>
    <n v="8"/>
    <n v="8"/>
    <n v="32"/>
    <n v="1"/>
    <n v="0"/>
    <n v="0"/>
    <n v="0"/>
    <n v="1"/>
    <n v="0"/>
    <n v="0"/>
    <n v="0"/>
    <n v="0"/>
    <n v="8"/>
    <n v="0"/>
    <n v="0"/>
    <n v="35"/>
    <n v="0"/>
    <n v="2.1442568767252146"/>
    <n v="1.08652546240644"/>
    <n v="3.0485893516213181"/>
    <n v="0.32511687867835437"/>
    <n v="0.88721318382472392"/>
    <n v="1.7597737514845315"/>
    <n v="1.8036836779953602"/>
  </r>
  <r>
    <n v="49"/>
    <n v="49"/>
    <s v="No"/>
    <n v="0"/>
    <s v="Travel_Rarely"/>
    <n v="0"/>
    <n v="1"/>
    <x v="1"/>
    <n v="1"/>
    <n v="0"/>
    <n v="5"/>
    <n v="5"/>
    <n v="4"/>
    <s v="Technical Degree"/>
    <n v="0"/>
    <n v="0"/>
    <n v="0"/>
    <n v="0"/>
    <n v="1"/>
    <n v="1"/>
    <s v="Male"/>
    <n v="0"/>
    <n v="96"/>
    <n v="3"/>
    <n v="2"/>
    <s v="Healthcare Representative"/>
    <n v="1"/>
    <n v="0"/>
    <n v="0"/>
    <n v="0"/>
    <n v="0"/>
    <n v="0"/>
    <n v="0"/>
    <n v="0"/>
    <n v="3"/>
    <s v="Married"/>
    <n v="0"/>
    <n v="1"/>
    <n v="6651"/>
    <n v="6651"/>
    <n v="2"/>
    <s v="No"/>
    <n v="0"/>
    <n v="14"/>
    <n v="3"/>
    <n v="2"/>
    <n v="1"/>
    <n v="20"/>
    <x v="25"/>
    <n v="0"/>
    <n v="2"/>
    <n v="3"/>
    <n v="3"/>
    <n v="2"/>
    <n v="1"/>
    <n v="1"/>
    <n v="2"/>
    <n v="2"/>
    <n v="4"/>
    <n v="0"/>
    <n v="1"/>
    <n v="0"/>
    <n v="0"/>
    <n v="0"/>
    <n v="0"/>
    <n v="1"/>
    <n v="0"/>
    <n v="0"/>
    <n v="2"/>
    <n v="0"/>
    <n v="0"/>
    <n v="20"/>
    <n v="0"/>
    <n v="3.1450736339503689E-2"/>
    <n v="0.59502473559756086"/>
    <n v="1.120762479521457"/>
    <n v="0.65423109602898355"/>
    <n v="0.51715642219916513"/>
    <n v="1.3219153536033093"/>
    <n v="0.36858985273641137"/>
  </r>
  <r>
    <n v="40"/>
    <n v="40"/>
    <s v="No"/>
    <n v="0"/>
    <s v="Travel_Rarely"/>
    <n v="0"/>
    <n v="1"/>
    <x v="1"/>
    <n v="1"/>
    <n v="0"/>
    <n v="2"/>
    <n v="2"/>
    <n v="3"/>
    <s v="Medical"/>
    <n v="0"/>
    <n v="0"/>
    <n v="1"/>
    <n v="0"/>
    <n v="0"/>
    <n v="3"/>
    <s v="Male"/>
    <n v="0"/>
    <n v="68"/>
    <n v="3"/>
    <n v="1"/>
    <s v="Research Scientist"/>
    <n v="0"/>
    <n v="0"/>
    <n v="0"/>
    <n v="0"/>
    <n v="0"/>
    <n v="0"/>
    <n v="0"/>
    <n v="1"/>
    <n v="3"/>
    <s v="Divorced"/>
    <n v="0"/>
    <n v="0"/>
    <n v="2345"/>
    <n v="2345"/>
    <n v="2"/>
    <s v="No"/>
    <n v="0"/>
    <n v="14"/>
    <n v="3"/>
    <n v="3"/>
    <n v="1"/>
    <n v="8"/>
    <x v="0"/>
    <n v="3"/>
    <n v="4"/>
    <n v="3"/>
    <n v="3"/>
    <n v="1"/>
    <n v="1"/>
    <n v="1"/>
    <n v="2"/>
    <n v="2"/>
    <n v="2"/>
    <n v="1"/>
    <n v="0"/>
    <n v="0"/>
    <n v="0"/>
    <n v="1"/>
    <n v="0"/>
    <n v="0"/>
    <n v="0"/>
    <n v="0"/>
    <n v="2"/>
    <n v="0"/>
    <n v="0"/>
    <n v="8"/>
    <n v="0"/>
    <n v="0.88317108335496408"/>
    <n v="0.59502473559756086"/>
    <n v="0.42149901815843233"/>
    <n v="0.65423109602898355"/>
    <n v="0.88721318382472392"/>
    <n v="0.33673395837055903"/>
    <n v="0.36858985273641137"/>
  </r>
  <r>
    <n v="44"/>
    <n v="44"/>
    <s v="No"/>
    <n v="0"/>
    <s v="Travel_Rarely"/>
    <n v="0"/>
    <n v="1"/>
    <x v="1"/>
    <n v="1"/>
    <n v="0"/>
    <n v="20"/>
    <n v="20"/>
    <n v="3"/>
    <s v="Life Sciences"/>
    <n v="1"/>
    <n v="0"/>
    <n v="0"/>
    <n v="0"/>
    <n v="0"/>
    <n v="4"/>
    <s v="Male"/>
    <n v="0"/>
    <n v="49"/>
    <n v="3"/>
    <n v="1"/>
    <s v="Research Scientist"/>
    <n v="0"/>
    <n v="0"/>
    <n v="0"/>
    <n v="0"/>
    <n v="0"/>
    <n v="0"/>
    <n v="0"/>
    <n v="1"/>
    <n v="2"/>
    <s v="Single"/>
    <n v="1"/>
    <n v="0"/>
    <n v="3420"/>
    <n v="3420"/>
    <n v="1"/>
    <s v="No"/>
    <n v="0"/>
    <n v="13"/>
    <n v="3"/>
    <n v="3"/>
    <n v="0"/>
    <n v="6"/>
    <x v="3"/>
    <n v="3"/>
    <n v="2"/>
    <n v="5"/>
    <n v="5"/>
    <n v="2"/>
    <n v="1"/>
    <n v="1"/>
    <n v="3"/>
    <n v="3"/>
    <n v="3"/>
    <n v="1"/>
    <n v="0"/>
    <n v="0"/>
    <n v="0"/>
    <n v="1"/>
    <n v="0"/>
    <n v="0"/>
    <n v="0"/>
    <n v="0"/>
    <n v="3"/>
    <n v="0"/>
    <n v="0"/>
    <n v="6"/>
    <n v="0"/>
    <n v="0.65483423798302887"/>
    <n v="0.31476636926356072"/>
    <n v="0.67854260110508058"/>
    <n v="0.32778177112653761"/>
    <n v="1.3331273859286286"/>
    <n v="0.77459235625178136"/>
    <n v="0.36858985273641137"/>
  </r>
  <r>
    <n v="33"/>
    <n v="33"/>
    <s v="No"/>
    <n v="0"/>
    <s v="Travel_Frequently"/>
    <n v="1"/>
    <n v="0"/>
    <x v="0"/>
    <n v="0"/>
    <n v="1"/>
    <n v="7"/>
    <n v="7"/>
    <n v="3"/>
    <s v="Medical"/>
    <n v="0"/>
    <n v="0"/>
    <n v="1"/>
    <n v="0"/>
    <n v="0"/>
    <n v="4"/>
    <s v="Male"/>
    <n v="0"/>
    <n v="54"/>
    <n v="3"/>
    <n v="2"/>
    <s v="Sales Executive"/>
    <n v="0"/>
    <n v="1"/>
    <n v="0"/>
    <n v="0"/>
    <n v="0"/>
    <n v="0"/>
    <n v="0"/>
    <n v="0"/>
    <n v="1"/>
    <s v="Married"/>
    <n v="0"/>
    <n v="1"/>
    <n v="4373"/>
    <n v="4373"/>
    <n v="0"/>
    <s v="No"/>
    <n v="0"/>
    <n v="14"/>
    <n v="3"/>
    <n v="1"/>
    <n v="2"/>
    <n v="5"/>
    <x v="7"/>
    <n v="2"/>
    <n v="3"/>
    <n v="4"/>
    <n v="4"/>
    <n v="3"/>
    <n v="0"/>
    <n v="0"/>
    <n v="3"/>
    <n v="3"/>
    <n v="6"/>
    <n v="0"/>
    <n v="0"/>
    <n v="0"/>
    <n v="1"/>
    <n v="0"/>
    <n v="0"/>
    <n v="1"/>
    <n v="0"/>
    <n v="0"/>
    <n v="0"/>
    <n v="3"/>
    <n v="0"/>
    <n v="0"/>
    <n v="5"/>
    <n v="0.45241096948121101"/>
    <n v="0.31476636926356072"/>
    <n v="0.80706439257840468"/>
    <n v="0.49100643357776058"/>
    <n v="0.27045191444879263"/>
    <n v="0.42951823792158"/>
    <n v="0.67891464284095016"/>
  </r>
  <r>
    <n v="34"/>
    <n v="34"/>
    <s v="No"/>
    <n v="0"/>
    <s v="Travel_Rarely"/>
    <n v="0"/>
    <n v="1"/>
    <x v="0"/>
    <n v="0"/>
    <n v="1"/>
    <n v="3"/>
    <n v="3"/>
    <n v="3"/>
    <s v="Other"/>
    <n v="0"/>
    <n v="1"/>
    <n v="0"/>
    <n v="0"/>
    <n v="0"/>
    <n v="4"/>
    <s v="Male"/>
    <n v="0"/>
    <n v="81"/>
    <n v="1"/>
    <n v="2"/>
    <s v="Sales Executive"/>
    <n v="0"/>
    <n v="1"/>
    <n v="0"/>
    <n v="0"/>
    <n v="0"/>
    <n v="0"/>
    <n v="0"/>
    <n v="0"/>
    <n v="1"/>
    <s v="Single"/>
    <n v="1"/>
    <n v="0"/>
    <n v="4759"/>
    <n v="4759"/>
    <n v="3"/>
    <s v="No"/>
    <n v="0"/>
    <n v="18"/>
    <n v="3"/>
    <n v="4"/>
    <n v="0"/>
    <n v="15"/>
    <x v="19"/>
    <n v="2"/>
    <n v="3"/>
    <n v="13"/>
    <n v="13"/>
    <n v="9"/>
    <n v="3"/>
    <n v="3"/>
    <n v="12"/>
    <n v="12"/>
    <n v="24"/>
    <n v="1"/>
    <n v="0"/>
    <n v="0"/>
    <n v="0"/>
    <n v="1"/>
    <n v="0"/>
    <n v="0"/>
    <n v="0"/>
    <n v="0"/>
    <n v="0"/>
    <n v="12"/>
    <n v="0"/>
    <n v="0"/>
    <n v="15"/>
    <n v="0.37042211151510224"/>
    <n v="2.2075589277424408"/>
    <n v="0.47815352215483642"/>
    <n v="0.97801552848324624"/>
    <n v="0.76386092994953758"/>
    <n v="0.32005363845127444"/>
    <n v="0.2520597274726662"/>
  </r>
  <r>
    <n v="30"/>
    <n v="30"/>
    <s v="No"/>
    <n v="0"/>
    <s v="Travel_Rarely"/>
    <n v="0"/>
    <n v="1"/>
    <x v="0"/>
    <n v="0"/>
    <n v="1"/>
    <n v="16"/>
    <n v="16"/>
    <n v="1"/>
    <s v="Life Sciences"/>
    <n v="1"/>
    <n v="0"/>
    <n v="0"/>
    <n v="0"/>
    <n v="0"/>
    <n v="4"/>
    <s v="Male"/>
    <n v="0"/>
    <n v="96"/>
    <n v="3"/>
    <n v="2"/>
    <s v="Sales Executive"/>
    <n v="0"/>
    <n v="1"/>
    <n v="0"/>
    <n v="0"/>
    <n v="0"/>
    <n v="0"/>
    <n v="0"/>
    <n v="0"/>
    <n v="3"/>
    <s v="Married"/>
    <n v="0"/>
    <n v="1"/>
    <n v="5301"/>
    <n v="5301"/>
    <n v="8"/>
    <s v="No"/>
    <n v="0"/>
    <n v="15"/>
    <n v="3"/>
    <n v="3"/>
    <n v="2"/>
    <n v="4"/>
    <x v="20"/>
    <n v="2"/>
    <n v="2"/>
    <n v="2"/>
    <n v="2"/>
    <n v="1"/>
    <n v="2"/>
    <n v="2"/>
    <n v="2"/>
    <n v="2"/>
    <n v="4"/>
    <n v="0"/>
    <n v="1"/>
    <n v="0"/>
    <n v="0"/>
    <n v="0"/>
    <n v="0"/>
    <n v="1"/>
    <n v="0"/>
    <n v="0"/>
    <n v="0"/>
    <n v="2"/>
    <n v="0"/>
    <n v="0"/>
    <n v="4"/>
    <n v="0.25529786017408934"/>
    <n v="0.59502473559756086"/>
    <n v="0.93558618405172878"/>
    <n v="0.81745575848020657"/>
    <n v="0.83971837042788355"/>
    <n v="0.75791203633249671"/>
    <n v="5.8265062631872602E-2"/>
  </r>
  <r>
    <n v="42"/>
    <n v="42"/>
    <s v="No"/>
    <n v="0"/>
    <s v="Travel_Frequently"/>
    <n v="1"/>
    <n v="0"/>
    <x v="1"/>
    <n v="1"/>
    <n v="0"/>
    <n v="9"/>
    <n v="9"/>
    <n v="2"/>
    <s v="Medical"/>
    <n v="0"/>
    <n v="0"/>
    <n v="1"/>
    <n v="0"/>
    <n v="0"/>
    <n v="1"/>
    <s v="Female"/>
    <n v="1"/>
    <n v="74"/>
    <n v="3"/>
    <n v="1"/>
    <s v="Laboratory Technician"/>
    <n v="0"/>
    <n v="0"/>
    <n v="1"/>
    <n v="0"/>
    <n v="0"/>
    <n v="0"/>
    <n v="0"/>
    <n v="0"/>
    <n v="4"/>
    <s v="Single"/>
    <n v="1"/>
    <n v="0"/>
    <n v="3673"/>
    <n v="3673"/>
    <n v="1"/>
    <s v="No"/>
    <n v="0"/>
    <n v="13"/>
    <n v="3"/>
    <n v="3"/>
    <n v="0"/>
    <n v="12"/>
    <x v="4"/>
    <n v="3"/>
    <n v="3"/>
    <n v="12"/>
    <n v="12"/>
    <n v="9"/>
    <n v="5"/>
    <n v="5"/>
    <n v="8"/>
    <n v="8"/>
    <n v="8"/>
    <n v="0"/>
    <n v="0"/>
    <n v="1"/>
    <n v="0"/>
    <n v="1"/>
    <n v="0"/>
    <n v="0"/>
    <n v="0"/>
    <n v="0"/>
    <n v="8"/>
    <n v="0"/>
    <n v="0"/>
    <n v="12"/>
    <n v="0"/>
    <n v="0.60109542693270368"/>
    <n v="1.08652546240644"/>
    <n v="9.2588147734864096E-2"/>
    <n v="0.81479086603202333"/>
    <n v="2.3747406698420157E-2"/>
    <n v="0.55566315731117022"/>
    <n v="0.87270930768174382"/>
  </r>
  <r>
    <n v="44"/>
    <n v="44"/>
    <s v="No"/>
    <n v="0"/>
    <s v="Travel_Frequently"/>
    <n v="1"/>
    <n v="0"/>
    <x v="0"/>
    <n v="0"/>
    <n v="1"/>
    <n v="1"/>
    <n v="1"/>
    <n v="5"/>
    <s v="Marketing"/>
    <n v="0"/>
    <n v="0"/>
    <n v="0"/>
    <n v="1"/>
    <n v="0"/>
    <n v="1"/>
    <s v="Female"/>
    <n v="1"/>
    <n v="79"/>
    <n v="3"/>
    <n v="2"/>
    <s v="Sales Executive"/>
    <n v="0"/>
    <n v="1"/>
    <n v="0"/>
    <n v="0"/>
    <n v="0"/>
    <n v="0"/>
    <n v="0"/>
    <n v="0"/>
    <n v="3"/>
    <s v="Married"/>
    <n v="0"/>
    <n v="1"/>
    <n v="4768"/>
    <n v="4768"/>
    <n v="7"/>
    <s v="No"/>
    <n v="0"/>
    <n v="12"/>
    <n v="3"/>
    <n v="3"/>
    <n v="1"/>
    <n v="11"/>
    <x v="26"/>
    <n v="4"/>
    <n v="2"/>
    <n v="1"/>
    <n v="1"/>
    <n v="0"/>
    <n v="0"/>
    <n v="0"/>
    <n v="0"/>
    <n v="0"/>
    <n v="0"/>
    <n v="0"/>
    <n v="0"/>
    <n v="0"/>
    <n v="1"/>
    <n v="0"/>
    <n v="0"/>
    <n v="1"/>
    <n v="0"/>
    <n v="0"/>
    <n v="0"/>
    <n v="0"/>
    <n v="0"/>
    <n v="0"/>
    <n v="11"/>
    <n v="0.36851045420501161"/>
    <n v="1.1555414682655611"/>
    <n v="3.593364373846001E-2"/>
    <n v="0.9806804209314296"/>
    <n v="1.01056543769991"/>
    <n v="0.77459235625178136"/>
    <n v="0.67891464284095016"/>
  </r>
  <r>
    <n v="30"/>
    <n v="30"/>
    <s v="No"/>
    <n v="0"/>
    <s v="Non-Travel"/>
    <n v="0"/>
    <n v="0"/>
    <x v="1"/>
    <n v="1"/>
    <n v="0"/>
    <n v="7"/>
    <n v="7"/>
    <n v="3"/>
    <s v="Technical Degree"/>
    <n v="0"/>
    <n v="0"/>
    <n v="0"/>
    <n v="0"/>
    <n v="1"/>
    <n v="3"/>
    <s v="Male"/>
    <n v="0"/>
    <n v="64"/>
    <n v="3"/>
    <n v="1"/>
    <s v="Research Scientist"/>
    <n v="0"/>
    <n v="0"/>
    <n v="0"/>
    <n v="0"/>
    <n v="0"/>
    <n v="0"/>
    <n v="0"/>
    <n v="1"/>
    <n v="3"/>
    <s v="Divorced"/>
    <n v="0"/>
    <n v="0"/>
    <n v="1274"/>
    <n v="1382.46"/>
    <n v="1"/>
    <s v="No"/>
    <n v="0"/>
    <n v="13"/>
    <n v="3"/>
    <n v="2"/>
    <n v="2"/>
    <n v="1"/>
    <x v="5"/>
    <n v="2"/>
    <n v="2"/>
    <n v="1"/>
    <n v="1"/>
    <n v="0"/>
    <n v="0"/>
    <n v="0"/>
    <n v="0"/>
    <n v="0"/>
    <n v="0"/>
    <n v="1"/>
    <n v="0"/>
    <n v="0"/>
    <n v="0"/>
    <n v="1"/>
    <n v="0"/>
    <n v="0"/>
    <n v="0"/>
    <n v="0"/>
    <n v="0"/>
    <n v="0"/>
    <n v="0"/>
    <n v="1"/>
    <n v="0"/>
    <n v="1.1106583032557478"/>
    <n v="1.1555414682655611"/>
    <n v="1.3211515584717011"/>
    <n v="0.9806804209314296"/>
    <n v="0.27045191444879263"/>
    <n v="0.75791203633249671"/>
    <n v="0.67891464284095016"/>
  </r>
  <r>
    <n v="57"/>
    <n v="57"/>
    <s v="No"/>
    <n v="0"/>
    <s v="Travel_Rarely"/>
    <n v="0"/>
    <n v="1"/>
    <x v="1"/>
    <n v="1"/>
    <n v="0"/>
    <n v="1"/>
    <n v="1"/>
    <n v="2"/>
    <s v="Life Sciences"/>
    <n v="1"/>
    <n v="0"/>
    <n v="0"/>
    <n v="0"/>
    <n v="0"/>
    <n v="2"/>
    <s v="Male"/>
    <n v="0"/>
    <n v="93"/>
    <n v="4"/>
    <n v="2"/>
    <s v="Research Scientist"/>
    <n v="0"/>
    <n v="0"/>
    <n v="0"/>
    <n v="0"/>
    <n v="0"/>
    <n v="0"/>
    <n v="0"/>
    <n v="1"/>
    <n v="3"/>
    <s v="Married"/>
    <n v="0"/>
    <n v="1"/>
    <n v="4900"/>
    <n v="4900"/>
    <n v="0"/>
    <s v="No"/>
    <n v="0"/>
    <n v="24"/>
    <n v="4"/>
    <n v="1"/>
    <n v="1"/>
    <n v="13"/>
    <x v="10"/>
    <n v="2"/>
    <n v="2"/>
    <n v="12"/>
    <n v="12"/>
    <n v="9"/>
    <n v="2"/>
    <n v="2"/>
    <n v="8"/>
    <n v="8"/>
    <n v="16"/>
    <n v="0"/>
    <n v="1"/>
    <n v="0"/>
    <n v="0"/>
    <n v="0"/>
    <n v="0"/>
    <n v="1"/>
    <n v="0"/>
    <n v="0"/>
    <n v="8"/>
    <n v="0"/>
    <n v="0"/>
    <n v="13"/>
    <n v="0"/>
    <n v="0.34047281365701582"/>
    <n v="1.08652546240644"/>
    <n v="0.22110993920818819"/>
    <n v="0.81479086603202333"/>
    <n v="1.01056543769991"/>
    <n v="2.197632149365754"/>
    <n v="5.8265062631872602E-2"/>
  </r>
  <r>
    <n v="49"/>
    <n v="49"/>
    <s v="No"/>
    <n v="0"/>
    <s v="Travel_Rarely"/>
    <n v="0"/>
    <n v="1"/>
    <x v="1"/>
    <n v="1"/>
    <n v="0"/>
    <n v="7"/>
    <n v="7"/>
    <n v="4"/>
    <s v="Life Sciences"/>
    <n v="1"/>
    <n v="0"/>
    <n v="0"/>
    <n v="0"/>
    <n v="0"/>
    <n v="3"/>
    <s v="Male"/>
    <n v="0"/>
    <n v="35"/>
    <n v="3"/>
    <n v="3"/>
    <s v="Healthcare Representative"/>
    <n v="1"/>
    <n v="0"/>
    <n v="0"/>
    <n v="0"/>
    <n v="0"/>
    <n v="0"/>
    <n v="0"/>
    <n v="0"/>
    <n v="2"/>
    <s v="Divorced"/>
    <n v="0"/>
    <n v="0"/>
    <n v="10466"/>
    <n v="10466"/>
    <n v="3"/>
    <s v="No"/>
    <n v="0"/>
    <n v="14"/>
    <n v="3"/>
    <n v="2"/>
    <n v="2"/>
    <n v="29"/>
    <x v="21"/>
    <n v="3"/>
    <n v="3"/>
    <n v="8"/>
    <n v="8"/>
    <n v="7"/>
    <n v="0"/>
    <n v="0"/>
    <n v="7"/>
    <n v="7"/>
    <n v="21"/>
    <n v="1"/>
    <n v="0"/>
    <n v="0"/>
    <n v="0"/>
    <n v="1"/>
    <n v="0"/>
    <n v="0"/>
    <n v="0"/>
    <n v="0"/>
    <n v="7"/>
    <n v="0"/>
    <n v="0"/>
    <n v="29"/>
    <n v="0"/>
    <n v="0.84178102945013877"/>
    <n v="0.80626709607243985"/>
    <n v="2.2774586027813735"/>
    <n v="0.16189221622713135"/>
    <n v="0.27045191444879263"/>
    <n v="1.3219153536033093"/>
    <n v="0.67891464284095016"/>
  </r>
  <r>
    <n v="34"/>
    <n v="34"/>
    <s v="No"/>
    <n v="0"/>
    <s v="Travel_Frequently"/>
    <n v="1"/>
    <n v="0"/>
    <x v="1"/>
    <n v="1"/>
    <n v="0"/>
    <n v="15"/>
    <n v="15"/>
    <n v="3"/>
    <s v="Medical"/>
    <n v="0"/>
    <n v="0"/>
    <n v="1"/>
    <n v="0"/>
    <n v="0"/>
    <n v="2"/>
    <s v="Male"/>
    <n v="0"/>
    <n v="71"/>
    <n v="3"/>
    <n v="4"/>
    <s v="Research Director"/>
    <n v="0"/>
    <n v="0"/>
    <n v="0"/>
    <n v="0"/>
    <n v="0"/>
    <n v="0"/>
    <n v="0"/>
    <n v="0"/>
    <n v="1"/>
    <s v="Divorced"/>
    <n v="0"/>
    <n v="0"/>
    <n v="17007"/>
    <n v="17007"/>
    <n v="7"/>
    <s v="No"/>
    <n v="0"/>
    <n v="14"/>
    <n v="3"/>
    <n v="4"/>
    <n v="2"/>
    <n v="16"/>
    <x v="27"/>
    <n v="3"/>
    <n v="2"/>
    <n v="14"/>
    <n v="14"/>
    <n v="8"/>
    <n v="6"/>
    <n v="6"/>
    <n v="9"/>
    <n v="9"/>
    <n v="36"/>
    <n v="0"/>
    <n v="0"/>
    <n v="1"/>
    <n v="0"/>
    <n v="1"/>
    <n v="0"/>
    <n v="0"/>
    <n v="0"/>
    <n v="0"/>
    <n v="9"/>
    <n v="0"/>
    <n v="0"/>
    <n v="16"/>
    <n v="0"/>
    <n v="2.2311310811504437"/>
    <n v="1.3667838287404401"/>
    <n v="0.60667531362816052"/>
    <n v="1.1412401909344694"/>
    <n v="0.71636611655269733"/>
    <n v="0.32005363845127444"/>
    <n v="1.1830340977862825"/>
  </r>
  <r>
    <n v="28"/>
    <n v="28"/>
    <s v="Yes"/>
    <n v="1"/>
    <s v="Travel_Frequently"/>
    <n v="1"/>
    <n v="0"/>
    <x v="0"/>
    <n v="0"/>
    <n v="1"/>
    <n v="1"/>
    <n v="1"/>
    <n v="3"/>
    <s v="Technical Degree"/>
    <n v="0"/>
    <n v="0"/>
    <n v="0"/>
    <n v="0"/>
    <n v="1"/>
    <n v="1"/>
    <s v="Male"/>
    <n v="0"/>
    <n v="92"/>
    <n v="3"/>
    <n v="1"/>
    <s v="Sales Representative"/>
    <n v="0"/>
    <n v="0"/>
    <n v="0"/>
    <n v="0"/>
    <n v="0"/>
    <n v="0"/>
    <n v="1"/>
    <n v="0"/>
    <n v="3"/>
    <s v="Married"/>
    <n v="0"/>
    <n v="1"/>
    <n v="2909"/>
    <n v="2909"/>
    <n v="3"/>
    <s v="No"/>
    <n v="0"/>
    <n v="15"/>
    <n v="3"/>
    <n v="4"/>
    <n v="1"/>
    <n v="5"/>
    <x v="7"/>
    <n v="3"/>
    <n v="4"/>
    <n v="3"/>
    <n v="3"/>
    <n v="2"/>
    <n v="1"/>
    <n v="1"/>
    <n v="2"/>
    <n v="2"/>
    <n v="2"/>
    <n v="0"/>
    <n v="0"/>
    <n v="0"/>
    <n v="1"/>
    <n v="0"/>
    <n v="0"/>
    <n v="1"/>
    <n v="0"/>
    <n v="0"/>
    <n v="0"/>
    <n v="2"/>
    <n v="0"/>
    <n v="0"/>
    <n v="5"/>
    <n v="0.76337389192261851"/>
    <n v="0.59502473559756086"/>
    <n v="0.80706439257840468"/>
    <n v="0.65423109602898355"/>
    <n v="1.01056543769991"/>
    <n v="0.97684123527310796"/>
    <n v="0.36858985273641137"/>
  </r>
  <r>
    <n v="29"/>
    <n v="29"/>
    <s v="Yes"/>
    <n v="1"/>
    <s v="Travel_Frequently"/>
    <n v="1"/>
    <n v="0"/>
    <x v="0"/>
    <n v="0"/>
    <n v="1"/>
    <n v="13"/>
    <n v="13"/>
    <n v="3"/>
    <s v="Technical Degree"/>
    <n v="0"/>
    <n v="0"/>
    <n v="0"/>
    <n v="0"/>
    <n v="1"/>
    <n v="1"/>
    <s v="Female"/>
    <n v="1"/>
    <n v="51"/>
    <n v="3"/>
    <n v="2"/>
    <s v="Sales Executive"/>
    <n v="0"/>
    <n v="1"/>
    <n v="0"/>
    <n v="0"/>
    <n v="0"/>
    <n v="0"/>
    <n v="0"/>
    <n v="0"/>
    <n v="2"/>
    <s v="Single"/>
    <n v="1"/>
    <n v="0"/>
    <n v="5765"/>
    <n v="5765"/>
    <n v="5"/>
    <s v="No"/>
    <n v="0"/>
    <n v="11"/>
    <n v="3"/>
    <n v="1"/>
    <n v="0"/>
    <n v="7"/>
    <x v="2"/>
    <n v="4"/>
    <n v="1"/>
    <n v="5"/>
    <n v="5"/>
    <n v="3"/>
    <n v="0"/>
    <n v="0"/>
    <n v="0"/>
    <n v="0"/>
    <n v="0"/>
    <n v="0"/>
    <n v="0"/>
    <n v="1"/>
    <n v="0"/>
    <n v="1"/>
    <n v="0"/>
    <n v="0"/>
    <n v="0"/>
    <n v="0"/>
    <n v="0"/>
    <n v="0"/>
    <n v="0"/>
    <n v="0"/>
    <n v="7"/>
    <n v="0.15674130552052845"/>
    <n v="1.1555414682655611"/>
    <n v="0.55002080963175637"/>
    <n v="0.32778177112653761"/>
    <n v="0.46966160880232483"/>
    <n v="0.86737663580280233"/>
    <n v="0.67891464284095016"/>
  </r>
  <r>
    <n v="34"/>
    <n v="34"/>
    <s v="Yes"/>
    <n v="1"/>
    <s v="Travel_Rarely"/>
    <n v="0"/>
    <n v="1"/>
    <x v="0"/>
    <n v="0"/>
    <n v="1"/>
    <n v="24"/>
    <n v="24"/>
    <n v="4"/>
    <s v="Medical"/>
    <n v="0"/>
    <n v="0"/>
    <n v="1"/>
    <n v="0"/>
    <n v="0"/>
    <n v="1"/>
    <s v="Female"/>
    <n v="1"/>
    <n v="40"/>
    <n v="2"/>
    <n v="2"/>
    <s v="Sales Executive"/>
    <n v="0"/>
    <n v="1"/>
    <n v="0"/>
    <n v="0"/>
    <n v="0"/>
    <n v="0"/>
    <n v="0"/>
    <n v="0"/>
    <n v="2"/>
    <s v="Single"/>
    <n v="1"/>
    <n v="0"/>
    <n v="4599"/>
    <n v="4599"/>
    <n v="0"/>
    <s v="Yes"/>
    <n v="1"/>
    <n v="23"/>
    <n v="4"/>
    <n v="3"/>
    <n v="0"/>
    <n v="16"/>
    <x v="27"/>
    <n v="2"/>
    <n v="4"/>
    <n v="15"/>
    <n v="15"/>
    <n v="9"/>
    <n v="10"/>
    <n v="10"/>
    <n v="10"/>
    <n v="10"/>
    <n v="20"/>
    <n v="1"/>
    <n v="0"/>
    <n v="0"/>
    <n v="0"/>
    <n v="0"/>
    <n v="1"/>
    <n v="0"/>
    <n v="0"/>
    <n v="0"/>
    <n v="0"/>
    <n v="10"/>
    <n v="0"/>
    <n v="0"/>
    <n v="16"/>
    <n v="0.40440713036115766"/>
    <n v="1.6470421950744405"/>
    <n v="0.60667531362816052"/>
    <n v="1.3044648533856922"/>
    <n v="1.8265364014293735"/>
    <n v="0.32005363845127444"/>
    <n v="2.4243332582044381"/>
  </r>
  <r>
    <n v="35"/>
    <n v="35"/>
    <s v="No"/>
    <n v="0"/>
    <s v="Travel_Rarely"/>
    <n v="0"/>
    <n v="1"/>
    <x v="0"/>
    <n v="0"/>
    <n v="1"/>
    <n v="7"/>
    <n v="7"/>
    <n v="1"/>
    <s v="Life Sciences"/>
    <n v="1"/>
    <n v="0"/>
    <n v="0"/>
    <n v="0"/>
    <n v="0"/>
    <n v="4"/>
    <s v="Male"/>
    <n v="0"/>
    <n v="76"/>
    <n v="3"/>
    <n v="1"/>
    <s v="Sales Representative"/>
    <n v="0"/>
    <n v="0"/>
    <n v="0"/>
    <n v="0"/>
    <n v="0"/>
    <n v="0"/>
    <n v="1"/>
    <n v="0"/>
    <n v="3"/>
    <s v="Married"/>
    <n v="0"/>
    <n v="1"/>
    <n v="2404"/>
    <n v="2404"/>
    <n v="1"/>
    <s v="No"/>
    <n v="0"/>
    <n v="13"/>
    <n v="3"/>
    <n v="1"/>
    <n v="1"/>
    <n v="1"/>
    <x v="5"/>
    <n v="3"/>
    <n v="3"/>
    <n v="1"/>
    <n v="1"/>
    <n v="0"/>
    <n v="0"/>
    <n v="0"/>
    <n v="0"/>
    <n v="0"/>
    <n v="0"/>
    <n v="0"/>
    <n v="1"/>
    <n v="0"/>
    <n v="0"/>
    <n v="0"/>
    <n v="0"/>
    <n v="1"/>
    <n v="0"/>
    <n v="0"/>
    <n v="0"/>
    <n v="0"/>
    <n v="0"/>
    <n v="0"/>
    <n v="1"/>
    <n v="0.87063910765548114"/>
    <n v="1.1555414682655611"/>
    <n v="1.3211515584717011"/>
    <n v="0.9806804209314296"/>
    <n v="0.27045191444879263"/>
    <n v="0.21058903898096887"/>
    <n v="0.67891464284095016"/>
  </r>
  <r>
    <n v="24"/>
    <n v="24"/>
    <s v="Yes"/>
    <n v="1"/>
    <s v="Travel_Frequently"/>
    <n v="1"/>
    <n v="0"/>
    <x v="1"/>
    <n v="1"/>
    <n v="0"/>
    <n v="9"/>
    <n v="9"/>
    <n v="3"/>
    <s v="Medical"/>
    <n v="0"/>
    <n v="0"/>
    <n v="1"/>
    <n v="0"/>
    <n v="0"/>
    <n v="2"/>
    <s v="Male"/>
    <n v="0"/>
    <n v="89"/>
    <n v="3"/>
    <n v="1"/>
    <s v="Laboratory Technician"/>
    <n v="0"/>
    <n v="0"/>
    <n v="1"/>
    <n v="0"/>
    <n v="0"/>
    <n v="0"/>
    <n v="0"/>
    <n v="0"/>
    <n v="1"/>
    <s v="Single"/>
    <n v="1"/>
    <n v="0"/>
    <n v="3172"/>
    <n v="3172"/>
    <n v="2"/>
    <s v="Yes"/>
    <n v="1"/>
    <n v="11"/>
    <n v="3"/>
    <n v="3"/>
    <n v="0"/>
    <n v="4"/>
    <x v="20"/>
    <n v="2"/>
    <n v="2"/>
    <n v="0"/>
    <n v="0"/>
    <n v="0"/>
    <n v="0"/>
    <n v="0"/>
    <n v="0"/>
    <n v="0"/>
    <n v="0"/>
    <n v="0"/>
    <n v="0"/>
    <n v="1"/>
    <n v="0"/>
    <n v="0"/>
    <n v="1"/>
    <n v="0"/>
    <n v="0"/>
    <n v="0"/>
    <n v="0"/>
    <n v="0"/>
    <n v="0"/>
    <n v="4"/>
    <n v="0"/>
    <n v="0.70751101719441489"/>
    <n v="1.1555414682655611"/>
    <n v="0.93558618405172878"/>
    <n v="1.1439050833826525"/>
    <n v="2.3747406698420157E-2"/>
    <n v="1.4146996331543302"/>
    <n v="0.67891464284095016"/>
  </r>
  <r>
    <n v="24"/>
    <n v="24"/>
    <s v="No"/>
    <n v="0"/>
    <s v="Non-Travel"/>
    <n v="0"/>
    <n v="0"/>
    <x v="0"/>
    <n v="0"/>
    <n v="1"/>
    <n v="13"/>
    <n v="13"/>
    <n v="2"/>
    <s v="Life Sciences"/>
    <n v="1"/>
    <n v="0"/>
    <n v="0"/>
    <n v="0"/>
    <n v="0"/>
    <n v="4"/>
    <s v="Female"/>
    <n v="1"/>
    <n v="78"/>
    <n v="3"/>
    <n v="1"/>
    <s v="Sales Representative"/>
    <n v="0"/>
    <n v="0"/>
    <n v="0"/>
    <n v="0"/>
    <n v="0"/>
    <n v="0"/>
    <n v="1"/>
    <n v="0"/>
    <n v="2"/>
    <s v="Married"/>
    <n v="0"/>
    <n v="1"/>
    <n v="2033"/>
    <n v="2033"/>
    <n v="1"/>
    <s v="No"/>
    <n v="0"/>
    <n v="13"/>
    <n v="3"/>
    <n v="3"/>
    <n v="1"/>
    <n v="1"/>
    <x v="5"/>
    <n v="2"/>
    <n v="3"/>
    <n v="1"/>
    <n v="1"/>
    <n v="0"/>
    <n v="0"/>
    <n v="0"/>
    <n v="0"/>
    <n v="0"/>
    <n v="0"/>
    <n v="0"/>
    <n v="1"/>
    <n v="0"/>
    <n v="0"/>
    <n v="0"/>
    <n v="0"/>
    <n v="1"/>
    <n v="0"/>
    <n v="0"/>
    <n v="0"/>
    <n v="0"/>
    <n v="0"/>
    <n v="0"/>
    <n v="1"/>
    <n v="0.94944187010477221"/>
    <n v="1.1555414682655611"/>
    <n v="1.3211515584717011"/>
    <n v="0.9806804209314296"/>
    <n v="0.46966160880232483"/>
    <n v="1.4146996331543302"/>
    <n v="0.67891464284095016"/>
  </r>
  <r>
    <n v="44"/>
    <n v="44"/>
    <s v="No"/>
    <n v="0"/>
    <s v="Travel_Frequently"/>
    <n v="1"/>
    <n v="0"/>
    <x v="1"/>
    <n v="1"/>
    <n v="0"/>
    <n v="2"/>
    <n v="2"/>
    <n v="1"/>
    <s v="Medical"/>
    <n v="0"/>
    <n v="0"/>
    <n v="1"/>
    <n v="0"/>
    <n v="0"/>
    <n v="2"/>
    <s v="Male"/>
    <n v="0"/>
    <n v="86"/>
    <n v="3"/>
    <n v="3"/>
    <s v="Manufacturing Director"/>
    <n v="0"/>
    <n v="0"/>
    <n v="0"/>
    <n v="0"/>
    <n v="1"/>
    <n v="1"/>
    <n v="0"/>
    <n v="0"/>
    <n v="3"/>
    <s v="Single"/>
    <n v="1"/>
    <n v="0"/>
    <n v="10209"/>
    <n v="10209"/>
    <n v="5"/>
    <s v="Yes"/>
    <n v="1"/>
    <n v="18"/>
    <n v="3"/>
    <n v="2"/>
    <n v="0"/>
    <n v="16"/>
    <x v="27"/>
    <n v="2"/>
    <n v="2"/>
    <n v="2"/>
    <n v="2"/>
    <n v="2"/>
    <n v="2"/>
    <n v="2"/>
    <n v="2"/>
    <n v="2"/>
    <n v="6"/>
    <n v="0"/>
    <n v="0"/>
    <n v="1"/>
    <n v="0"/>
    <n v="0"/>
    <n v="1"/>
    <n v="0"/>
    <n v="0"/>
    <n v="0"/>
    <n v="2"/>
    <n v="0"/>
    <n v="0"/>
    <n v="16"/>
    <n v="0"/>
    <n v="0.78719259292866217"/>
    <n v="0.59502473559756086"/>
    <n v="0.60667531362816052"/>
    <n v="0.81745575848020657"/>
    <n v="0.88721318382472392"/>
    <n v="0.77459235625178136"/>
    <n v="5.8265062631872602E-2"/>
  </r>
  <r>
    <n v="29"/>
    <n v="29"/>
    <s v="No"/>
    <n v="0"/>
    <s v="Travel_Rarely"/>
    <n v="0"/>
    <n v="1"/>
    <x v="0"/>
    <n v="0"/>
    <n v="1"/>
    <n v="19"/>
    <n v="19"/>
    <n v="3"/>
    <s v="Life Sciences"/>
    <n v="1"/>
    <n v="0"/>
    <n v="0"/>
    <n v="0"/>
    <n v="0"/>
    <n v="3"/>
    <s v="Male"/>
    <n v="0"/>
    <n v="77"/>
    <n v="2"/>
    <n v="2"/>
    <s v="Sales Executive"/>
    <n v="0"/>
    <n v="1"/>
    <n v="0"/>
    <n v="0"/>
    <n v="0"/>
    <n v="0"/>
    <n v="0"/>
    <n v="0"/>
    <n v="3"/>
    <s v="Divorced"/>
    <n v="0"/>
    <n v="0"/>
    <n v="8620"/>
    <n v="8620"/>
    <n v="1"/>
    <s v="No"/>
    <n v="0"/>
    <n v="14"/>
    <n v="3"/>
    <n v="3"/>
    <n v="2"/>
    <n v="10"/>
    <x v="1"/>
    <n v="3"/>
    <n v="3"/>
    <n v="10"/>
    <n v="10"/>
    <n v="7"/>
    <n v="0"/>
    <n v="0"/>
    <n v="4"/>
    <n v="4"/>
    <n v="8"/>
    <n v="1"/>
    <n v="0"/>
    <n v="0"/>
    <n v="0"/>
    <n v="1"/>
    <n v="0"/>
    <n v="0"/>
    <n v="0"/>
    <n v="0"/>
    <n v="0"/>
    <n v="4"/>
    <n v="0"/>
    <n v="0"/>
    <n v="10"/>
    <n v="0.44967887451377381"/>
    <n v="3.4508002929560584E-2"/>
    <n v="0.1644554352117841"/>
    <n v="0.48834154112957734"/>
    <n v="1.2097751320534422"/>
    <n v="0.86737663580280233"/>
    <n v="0.67891464284095016"/>
  </r>
  <r>
    <n v="30"/>
    <n v="30"/>
    <s v="No"/>
    <n v="0"/>
    <s v="Travel_Rarely"/>
    <n v="0"/>
    <n v="1"/>
    <x v="2"/>
    <n v="0"/>
    <n v="0"/>
    <n v="1"/>
    <n v="1"/>
    <n v="3"/>
    <s v="Life Sciences"/>
    <n v="1"/>
    <n v="0"/>
    <n v="0"/>
    <n v="0"/>
    <n v="0"/>
    <n v="3"/>
    <s v="Male"/>
    <n v="0"/>
    <n v="46"/>
    <n v="3"/>
    <n v="1"/>
    <s v="Human Resources"/>
    <n v="0"/>
    <n v="0"/>
    <n v="0"/>
    <n v="0"/>
    <n v="0"/>
    <n v="0"/>
    <n v="0"/>
    <n v="0"/>
    <n v="3"/>
    <s v="Divorced"/>
    <n v="0"/>
    <n v="0"/>
    <n v="2064"/>
    <n v="2064"/>
    <n v="0"/>
    <s v="No"/>
    <n v="0"/>
    <n v="21"/>
    <n v="4"/>
    <n v="1"/>
    <n v="1"/>
    <n v="6"/>
    <x v="3"/>
    <n v="3"/>
    <n v="4"/>
    <n v="5"/>
    <n v="5"/>
    <n v="3"/>
    <n v="1"/>
    <n v="1"/>
    <n v="3"/>
    <n v="3"/>
    <n v="3"/>
    <n v="1"/>
    <n v="0"/>
    <n v="0"/>
    <n v="0"/>
    <n v="1"/>
    <n v="0"/>
    <n v="0"/>
    <n v="0"/>
    <n v="3"/>
    <n v="0"/>
    <n v="0"/>
    <n v="6"/>
    <n v="0"/>
    <n v="0"/>
    <n v="0.94285727270334896"/>
    <n v="0.31476636926356072"/>
    <n v="0.67854260110508058"/>
    <n v="0.32778177112653761"/>
    <n v="1.01056543769991"/>
    <n v="0.75791203633249671"/>
    <n v="0.36858985273641137"/>
  </r>
  <r>
    <n v="55"/>
    <n v="55"/>
    <s v="No"/>
    <n v="0"/>
    <s v="Travel_Rarely"/>
    <n v="0"/>
    <n v="1"/>
    <x v="1"/>
    <n v="1"/>
    <n v="0"/>
    <n v="4"/>
    <n v="4"/>
    <n v="4"/>
    <s v="Life Sciences"/>
    <n v="1"/>
    <n v="0"/>
    <n v="0"/>
    <n v="0"/>
    <n v="0"/>
    <n v="4"/>
    <s v="Male"/>
    <n v="0"/>
    <n v="30"/>
    <n v="3"/>
    <n v="2"/>
    <s v="Healthcare Representative"/>
    <n v="1"/>
    <n v="0"/>
    <n v="0"/>
    <n v="0"/>
    <n v="0"/>
    <n v="0"/>
    <n v="0"/>
    <n v="0"/>
    <n v="3"/>
    <s v="Married"/>
    <n v="0"/>
    <n v="1"/>
    <n v="4035"/>
    <n v="4035"/>
    <n v="0"/>
    <s v="Yes"/>
    <n v="1"/>
    <n v="16"/>
    <n v="3"/>
    <n v="2"/>
    <n v="0"/>
    <n v="4"/>
    <x v="20"/>
    <n v="2"/>
    <n v="3"/>
    <n v="3"/>
    <n v="3"/>
    <n v="2"/>
    <n v="1"/>
    <n v="1"/>
    <n v="2"/>
    <n v="2"/>
    <n v="4"/>
    <n v="0"/>
    <n v="1"/>
    <n v="0"/>
    <n v="0"/>
    <n v="0"/>
    <n v="0"/>
    <n v="0"/>
    <n v="1"/>
    <n v="0"/>
    <n v="2"/>
    <n v="0"/>
    <n v="0"/>
    <n v="4"/>
    <n v="0"/>
    <n v="0.52420432179350318"/>
    <n v="0.59502473559756086"/>
    <n v="0.93558618405172878"/>
    <n v="0.65423109602898355"/>
    <n v="0.64050867607435136"/>
    <n v="1.9787029504251428"/>
    <n v="0.36858985273641137"/>
  </r>
  <r>
    <n v="33"/>
    <n v="33"/>
    <s v="No"/>
    <n v="0"/>
    <s v="Travel_Rarely"/>
    <n v="0"/>
    <n v="1"/>
    <x v="1"/>
    <n v="1"/>
    <n v="0"/>
    <n v="4"/>
    <n v="4"/>
    <n v="4"/>
    <s v="Medical"/>
    <n v="0"/>
    <n v="0"/>
    <n v="1"/>
    <n v="0"/>
    <n v="0"/>
    <n v="1"/>
    <s v="Female"/>
    <n v="1"/>
    <n v="82"/>
    <n v="2"/>
    <n v="1"/>
    <s v="Laboratory Technician"/>
    <n v="0"/>
    <n v="0"/>
    <n v="1"/>
    <n v="0"/>
    <n v="0"/>
    <n v="0"/>
    <n v="0"/>
    <n v="0"/>
    <n v="2"/>
    <s v="Married"/>
    <n v="0"/>
    <n v="1"/>
    <n v="3838"/>
    <n v="3838"/>
    <n v="8"/>
    <s v="No"/>
    <n v="0"/>
    <n v="11"/>
    <n v="3"/>
    <n v="4"/>
    <n v="0"/>
    <n v="8"/>
    <x v="0"/>
    <n v="5"/>
    <n v="3"/>
    <n v="5"/>
    <n v="5"/>
    <n v="4"/>
    <n v="0"/>
    <n v="0"/>
    <n v="2"/>
    <n v="2"/>
    <n v="2"/>
    <n v="0"/>
    <n v="1"/>
    <n v="0"/>
    <n v="0"/>
    <n v="0"/>
    <n v="0"/>
    <n v="1"/>
    <n v="0"/>
    <n v="0"/>
    <n v="2"/>
    <n v="0"/>
    <n v="0"/>
    <n v="8"/>
    <n v="0"/>
    <n v="0.56604837624770898"/>
    <n v="0.59502473559756086"/>
    <n v="0.42149901815843233"/>
    <n v="0.32778177112653761"/>
    <n v="0.64050867607435136"/>
    <n v="0.42951823792158"/>
    <n v="0.67891464284095016"/>
  </r>
  <r>
    <n v="47"/>
    <n v="47"/>
    <s v="No"/>
    <n v="0"/>
    <s v="Travel_Rarely"/>
    <n v="0"/>
    <n v="1"/>
    <x v="0"/>
    <n v="0"/>
    <n v="1"/>
    <n v="14"/>
    <n v="14"/>
    <n v="3"/>
    <s v="Medical"/>
    <n v="0"/>
    <n v="0"/>
    <n v="1"/>
    <n v="0"/>
    <n v="0"/>
    <n v="3"/>
    <s v="Female"/>
    <n v="1"/>
    <n v="78"/>
    <n v="3"/>
    <n v="2"/>
    <s v="Sales Executive"/>
    <n v="0"/>
    <n v="1"/>
    <n v="0"/>
    <n v="0"/>
    <n v="0"/>
    <n v="0"/>
    <n v="0"/>
    <n v="0"/>
    <n v="3"/>
    <s v="Married"/>
    <n v="0"/>
    <n v="1"/>
    <n v="4591"/>
    <n v="4591"/>
    <n v="3"/>
    <s v="Yes"/>
    <n v="1"/>
    <n v="17"/>
    <n v="3"/>
    <n v="3"/>
    <n v="1"/>
    <n v="11"/>
    <x v="26"/>
    <n v="4"/>
    <n v="2"/>
    <n v="5"/>
    <n v="5"/>
    <n v="4"/>
    <n v="1"/>
    <n v="1"/>
    <n v="2"/>
    <n v="2"/>
    <n v="4"/>
    <n v="0"/>
    <n v="1"/>
    <n v="0"/>
    <n v="0"/>
    <n v="0"/>
    <n v="0"/>
    <n v="0"/>
    <n v="1"/>
    <n v="0"/>
    <n v="0"/>
    <n v="2"/>
    <n v="0"/>
    <n v="0"/>
    <n v="11"/>
    <n v="0.40610638130346044"/>
    <n v="0.59502473559756086"/>
    <n v="3.593364373846001E-2"/>
    <n v="0.32778177112653761"/>
    <n v="0.59301386267751111"/>
    <n v="1.102986154662698"/>
    <n v="0.36858985273641137"/>
  </r>
  <r>
    <n v="28"/>
    <n v="28"/>
    <s v="Yes"/>
    <n v="1"/>
    <s v="Travel_Frequently"/>
    <n v="1"/>
    <n v="0"/>
    <x v="1"/>
    <n v="1"/>
    <n v="0"/>
    <n v="2"/>
    <n v="2"/>
    <n v="2"/>
    <s v="Medical"/>
    <n v="0"/>
    <n v="0"/>
    <n v="1"/>
    <n v="0"/>
    <n v="0"/>
    <n v="3"/>
    <s v="Male"/>
    <n v="0"/>
    <n v="38"/>
    <n v="2"/>
    <n v="1"/>
    <s v="Laboratory Technician"/>
    <n v="0"/>
    <n v="0"/>
    <n v="1"/>
    <n v="0"/>
    <n v="0"/>
    <n v="0"/>
    <n v="0"/>
    <n v="0"/>
    <n v="1"/>
    <s v="Single"/>
    <n v="1"/>
    <n v="0"/>
    <n v="2561"/>
    <n v="2561"/>
    <n v="7"/>
    <s v="No"/>
    <n v="0"/>
    <n v="11"/>
    <n v="3"/>
    <n v="3"/>
    <n v="0"/>
    <n v="8"/>
    <x v="0"/>
    <n v="2"/>
    <n v="2"/>
    <n v="0"/>
    <n v="0"/>
    <n v="0"/>
    <n v="0"/>
    <n v="0"/>
    <n v="0"/>
    <n v="0"/>
    <n v="0"/>
    <n v="0"/>
    <n v="0"/>
    <n v="1"/>
    <n v="0"/>
    <n v="1"/>
    <n v="0"/>
    <n v="0"/>
    <n v="0"/>
    <n v="0"/>
    <n v="0"/>
    <n v="0"/>
    <n v="0"/>
    <n v="8"/>
    <n v="0"/>
    <n v="0.83729130791278916"/>
    <n v="1.1555414682655611"/>
    <n v="0.42149901815843233"/>
    <n v="1.1439050833826525"/>
    <n v="0.88721318382472392"/>
    <n v="0.97684123527310796"/>
    <n v="0.67891464284095016"/>
  </r>
  <r>
    <n v="28"/>
    <n v="28"/>
    <s v="No"/>
    <n v="0"/>
    <s v="Travel_Rarely"/>
    <n v="0"/>
    <n v="1"/>
    <x v="1"/>
    <n v="1"/>
    <n v="0"/>
    <n v="1"/>
    <n v="1"/>
    <n v="3"/>
    <s v="Life Sciences"/>
    <n v="1"/>
    <n v="0"/>
    <n v="0"/>
    <n v="0"/>
    <n v="0"/>
    <n v="1"/>
    <s v="Male"/>
    <n v="0"/>
    <n v="72"/>
    <n v="2"/>
    <n v="1"/>
    <s v="Research Scientist"/>
    <n v="0"/>
    <n v="0"/>
    <n v="0"/>
    <n v="0"/>
    <n v="0"/>
    <n v="0"/>
    <n v="0"/>
    <n v="1"/>
    <n v="3"/>
    <s v="Divorced"/>
    <n v="0"/>
    <n v="0"/>
    <n v="1563"/>
    <n v="1563"/>
    <n v="1"/>
    <s v="No"/>
    <n v="0"/>
    <n v="14"/>
    <n v="3"/>
    <n v="4"/>
    <n v="1"/>
    <n v="1"/>
    <x v="5"/>
    <n v="2"/>
    <n v="1"/>
    <n v="1"/>
    <n v="1"/>
    <n v="0"/>
    <n v="0"/>
    <n v="0"/>
    <n v="0"/>
    <n v="0"/>
    <n v="0"/>
    <n v="1"/>
    <n v="0"/>
    <n v="0"/>
    <n v="0"/>
    <n v="1"/>
    <n v="0"/>
    <n v="0"/>
    <n v="0"/>
    <n v="0"/>
    <n v="0"/>
    <n v="0"/>
    <n v="0"/>
    <n v="1"/>
    <n v="0"/>
    <n v="1.0492728629650603"/>
    <n v="1.1555414682655611"/>
    <n v="1.3211515584717011"/>
    <n v="0.9806804209314296"/>
    <n v="1.01056543769991"/>
    <n v="0.97684123527310796"/>
    <n v="0.67891464284095016"/>
  </r>
  <r>
    <n v="28"/>
    <n v="28"/>
    <s v="No"/>
    <n v="0"/>
    <s v="Travel_Frequently"/>
    <n v="1"/>
    <n v="0"/>
    <x v="0"/>
    <n v="0"/>
    <n v="1"/>
    <n v="7"/>
    <n v="7"/>
    <n v="3"/>
    <s v="Life Sciences"/>
    <n v="1"/>
    <n v="0"/>
    <n v="0"/>
    <n v="0"/>
    <n v="0"/>
    <n v="3"/>
    <s v="Male"/>
    <n v="0"/>
    <n v="55"/>
    <n v="3"/>
    <n v="2"/>
    <s v="Sales Executive"/>
    <n v="0"/>
    <n v="1"/>
    <n v="0"/>
    <n v="0"/>
    <n v="0"/>
    <n v="0"/>
    <n v="0"/>
    <n v="0"/>
    <n v="1"/>
    <s v="Single"/>
    <n v="1"/>
    <n v="0"/>
    <n v="4898"/>
    <n v="4898"/>
    <n v="0"/>
    <s v="No"/>
    <n v="0"/>
    <n v="14"/>
    <n v="3"/>
    <n v="4"/>
    <n v="0"/>
    <n v="5"/>
    <x v="7"/>
    <n v="5"/>
    <n v="3"/>
    <n v="4"/>
    <n v="4"/>
    <n v="2"/>
    <n v="1"/>
    <n v="1"/>
    <n v="3"/>
    <n v="3"/>
    <n v="6"/>
    <n v="0"/>
    <n v="0"/>
    <n v="1"/>
    <n v="0"/>
    <n v="1"/>
    <n v="0"/>
    <n v="0"/>
    <n v="0"/>
    <n v="0"/>
    <n v="0"/>
    <n v="3"/>
    <n v="0"/>
    <n v="0"/>
    <n v="5"/>
    <n v="0.34089762639259152"/>
    <n v="0.31476636926356072"/>
    <n v="0.80706439257840468"/>
    <n v="0.49100643357776058"/>
    <n v="0.27045191444879263"/>
    <n v="0.97684123527310796"/>
    <n v="0.36858985273641137"/>
  </r>
  <r>
    <n v="49"/>
    <n v="49"/>
    <s v="No"/>
    <n v="0"/>
    <s v="Travel_Rarely"/>
    <n v="0"/>
    <n v="1"/>
    <x v="1"/>
    <n v="1"/>
    <n v="0"/>
    <n v="3"/>
    <n v="3"/>
    <n v="2"/>
    <s v="Medical"/>
    <n v="0"/>
    <n v="0"/>
    <n v="1"/>
    <n v="0"/>
    <n v="0"/>
    <n v="3"/>
    <s v="Female"/>
    <n v="1"/>
    <n v="43"/>
    <n v="2"/>
    <n v="2"/>
    <s v="Laboratory Technician"/>
    <n v="0"/>
    <n v="0"/>
    <n v="1"/>
    <n v="0"/>
    <n v="0"/>
    <n v="0"/>
    <n v="0"/>
    <n v="0"/>
    <n v="1"/>
    <s v="Married"/>
    <n v="0"/>
    <n v="1"/>
    <n v="4789"/>
    <n v="4789"/>
    <n v="4"/>
    <s v="No"/>
    <n v="0"/>
    <n v="25"/>
    <n v="4"/>
    <n v="1"/>
    <n v="1"/>
    <n v="10"/>
    <x v="1"/>
    <n v="3"/>
    <n v="3"/>
    <n v="3"/>
    <n v="3"/>
    <n v="2"/>
    <n v="1"/>
    <n v="1"/>
    <n v="2"/>
    <n v="2"/>
    <n v="4"/>
    <n v="0"/>
    <n v="1"/>
    <n v="0"/>
    <n v="0"/>
    <n v="0"/>
    <n v="0"/>
    <n v="1"/>
    <n v="0"/>
    <n v="0"/>
    <n v="2"/>
    <n v="0"/>
    <n v="0"/>
    <n v="10"/>
    <n v="0"/>
    <n v="0.36404992048146684"/>
    <n v="0.59502473559756086"/>
    <n v="0.1644554352117841"/>
    <n v="0.65423109602898355"/>
    <n v="0.76386092994953758"/>
    <n v="1.3219153536033093"/>
    <n v="0.36858985273641137"/>
  </r>
  <r>
    <n v="29"/>
    <n v="29"/>
    <s v="No"/>
    <n v="0"/>
    <s v="Travel_Frequently"/>
    <n v="1"/>
    <n v="0"/>
    <x v="1"/>
    <n v="1"/>
    <n v="0"/>
    <n v="2"/>
    <n v="2"/>
    <n v="1"/>
    <s v="Life Sciences"/>
    <n v="1"/>
    <n v="0"/>
    <n v="0"/>
    <n v="0"/>
    <n v="0"/>
    <n v="4"/>
    <s v="Female"/>
    <n v="1"/>
    <n v="97"/>
    <n v="3"/>
    <n v="1"/>
    <s v="Laboratory Technician"/>
    <n v="0"/>
    <n v="0"/>
    <n v="1"/>
    <n v="0"/>
    <n v="0"/>
    <n v="0"/>
    <n v="0"/>
    <n v="0"/>
    <n v="2"/>
    <s v="Married"/>
    <n v="0"/>
    <n v="1"/>
    <n v="3180"/>
    <n v="3180"/>
    <n v="0"/>
    <s v="No"/>
    <n v="0"/>
    <n v="13"/>
    <n v="3"/>
    <n v="3"/>
    <n v="3"/>
    <n v="4"/>
    <x v="20"/>
    <n v="3"/>
    <n v="3"/>
    <n v="3"/>
    <n v="3"/>
    <n v="2"/>
    <n v="0"/>
    <n v="0"/>
    <n v="2"/>
    <n v="2"/>
    <n v="2"/>
    <n v="0"/>
    <n v="0"/>
    <n v="0"/>
    <n v="1"/>
    <n v="0"/>
    <n v="0"/>
    <n v="1"/>
    <n v="0"/>
    <n v="0"/>
    <n v="2"/>
    <n v="0"/>
    <n v="0"/>
    <n v="4"/>
    <n v="0"/>
    <n v="0.70581176625211206"/>
    <n v="0.59502473559756086"/>
    <n v="0.93558618405172878"/>
    <n v="0.65423109602898355"/>
    <n v="0.88721318382472392"/>
    <n v="0.86737663580280233"/>
    <n v="0.67891464284095016"/>
  </r>
  <r>
    <n v="28"/>
    <n v="28"/>
    <s v="No"/>
    <n v="0"/>
    <s v="Travel_Rarely"/>
    <n v="0"/>
    <n v="1"/>
    <x v="1"/>
    <n v="1"/>
    <n v="0"/>
    <n v="29"/>
    <n v="29"/>
    <n v="1"/>
    <s v="Life Sciences"/>
    <n v="1"/>
    <n v="0"/>
    <n v="0"/>
    <n v="0"/>
    <n v="0"/>
    <n v="3"/>
    <s v="Male"/>
    <n v="0"/>
    <n v="96"/>
    <n v="1"/>
    <n v="2"/>
    <s v="Manufacturing Director"/>
    <n v="0"/>
    <n v="0"/>
    <n v="0"/>
    <n v="0"/>
    <n v="1"/>
    <n v="1"/>
    <n v="0"/>
    <n v="0"/>
    <n v="2"/>
    <s v="Married"/>
    <n v="0"/>
    <n v="1"/>
    <n v="6549"/>
    <n v="6549"/>
    <n v="1"/>
    <s v="No"/>
    <n v="0"/>
    <n v="14"/>
    <n v="3"/>
    <n v="2"/>
    <n v="2"/>
    <n v="8"/>
    <x v="0"/>
    <n v="2"/>
    <n v="2"/>
    <n v="8"/>
    <n v="8"/>
    <n v="6"/>
    <n v="1"/>
    <n v="1"/>
    <n v="7"/>
    <n v="7"/>
    <n v="14"/>
    <n v="0"/>
    <n v="1"/>
    <n v="0"/>
    <n v="0"/>
    <n v="0"/>
    <n v="0"/>
    <n v="1"/>
    <n v="0"/>
    <n v="0"/>
    <n v="7"/>
    <n v="0"/>
    <n v="0"/>
    <n v="8"/>
    <n v="0"/>
    <n v="9.7852868251433311E-3"/>
    <n v="0.80626709607243985"/>
    <n v="0.42149901815843233"/>
    <n v="0.16189221622713135"/>
    <n v="2.4432976708053049"/>
    <n v="0.97684123527310796"/>
    <n v="0.36858985273641137"/>
  </r>
  <r>
    <n v="33"/>
    <n v="33"/>
    <s v="No"/>
    <n v="0"/>
    <s v="Travel_Rarely"/>
    <n v="0"/>
    <n v="1"/>
    <x v="1"/>
    <n v="1"/>
    <n v="0"/>
    <n v="8"/>
    <n v="8"/>
    <n v="5"/>
    <s v="Life Sciences"/>
    <n v="1"/>
    <n v="0"/>
    <n v="0"/>
    <n v="0"/>
    <n v="0"/>
    <n v="4"/>
    <s v="Male"/>
    <n v="0"/>
    <n v="69"/>
    <n v="3"/>
    <n v="2"/>
    <s v="Healthcare Representative"/>
    <n v="1"/>
    <n v="0"/>
    <n v="0"/>
    <n v="0"/>
    <n v="0"/>
    <n v="0"/>
    <n v="0"/>
    <n v="0"/>
    <n v="3"/>
    <s v="Single"/>
    <n v="1"/>
    <n v="0"/>
    <n v="6388"/>
    <n v="6388"/>
    <n v="2"/>
    <s v="Yes"/>
    <n v="1"/>
    <n v="17"/>
    <n v="3"/>
    <n v="1"/>
    <n v="0"/>
    <n v="14"/>
    <x v="18"/>
    <n v="6"/>
    <n v="3"/>
    <n v="0"/>
    <n v="0"/>
    <n v="0"/>
    <n v="0"/>
    <n v="0"/>
    <n v="0"/>
    <n v="0"/>
    <n v="0"/>
    <n v="1"/>
    <n v="0"/>
    <n v="0"/>
    <n v="0"/>
    <n v="0"/>
    <n v="1"/>
    <n v="0"/>
    <n v="0"/>
    <n v="0"/>
    <n v="0"/>
    <n v="0"/>
    <n v="0"/>
    <n v="14"/>
    <n v="0"/>
    <n v="2.4412138388699985E-2"/>
    <n v="1.1555414682655611"/>
    <n v="0.34963173068151232"/>
    <n v="1.1439050833826525"/>
    <n v="0.14709966057360641"/>
    <n v="0.42951823792158"/>
    <n v="0.67891464284095016"/>
  </r>
  <r>
    <n v="32"/>
    <n v="32"/>
    <s v="No"/>
    <n v="0"/>
    <s v="Travel_Rarely"/>
    <n v="0"/>
    <n v="1"/>
    <x v="1"/>
    <n v="1"/>
    <n v="0"/>
    <n v="10"/>
    <n v="10"/>
    <n v="3"/>
    <s v="Medical"/>
    <n v="0"/>
    <n v="0"/>
    <n v="1"/>
    <n v="0"/>
    <n v="0"/>
    <n v="3"/>
    <s v="Male"/>
    <n v="0"/>
    <n v="64"/>
    <n v="3"/>
    <n v="3"/>
    <s v="Manager"/>
    <n v="0"/>
    <n v="0"/>
    <n v="0"/>
    <n v="1"/>
    <n v="0"/>
    <n v="0"/>
    <n v="0"/>
    <n v="0"/>
    <n v="4"/>
    <s v="Single"/>
    <n v="1"/>
    <n v="0"/>
    <n v="11244"/>
    <n v="11244"/>
    <n v="2"/>
    <s v="No"/>
    <n v="0"/>
    <n v="25"/>
    <n v="4"/>
    <n v="2"/>
    <n v="0"/>
    <n v="10"/>
    <x v="1"/>
    <n v="5"/>
    <n v="4"/>
    <n v="5"/>
    <n v="5"/>
    <n v="2"/>
    <n v="0"/>
    <n v="0"/>
    <n v="0"/>
    <n v="0"/>
    <n v="0"/>
    <n v="1"/>
    <n v="0"/>
    <n v="0"/>
    <n v="0"/>
    <n v="1"/>
    <n v="0"/>
    <n v="0"/>
    <n v="0"/>
    <n v="0"/>
    <n v="0"/>
    <n v="0"/>
    <n v="0"/>
    <n v="10"/>
    <n v="0"/>
    <n v="1.0070331835890836"/>
    <n v="1.1555414682655611"/>
    <n v="0.1644554352117841"/>
    <n v="0.32778177112653761"/>
    <n v="9.9604847176766084E-2"/>
    <n v="0.53898283739188557"/>
    <n v="0.67891464284095016"/>
  </r>
  <r>
    <n v="54"/>
    <n v="54"/>
    <s v="No"/>
    <n v="0"/>
    <s v="Travel_Frequently"/>
    <n v="1"/>
    <n v="0"/>
    <x v="1"/>
    <n v="1"/>
    <n v="0"/>
    <n v="11"/>
    <n v="11"/>
    <n v="4"/>
    <s v="Medical"/>
    <n v="0"/>
    <n v="0"/>
    <n v="1"/>
    <n v="0"/>
    <n v="0"/>
    <n v="2"/>
    <s v="Female"/>
    <n v="1"/>
    <n v="87"/>
    <n v="3"/>
    <n v="4"/>
    <s v="Manager"/>
    <n v="0"/>
    <n v="0"/>
    <n v="0"/>
    <n v="1"/>
    <n v="0"/>
    <n v="0"/>
    <n v="0"/>
    <n v="0"/>
    <n v="4"/>
    <s v="Divorced"/>
    <n v="0"/>
    <n v="0"/>
    <n v="16032"/>
    <n v="16032"/>
    <n v="3"/>
    <s v="No"/>
    <n v="0"/>
    <n v="20"/>
    <n v="4"/>
    <n v="1"/>
    <n v="1"/>
    <n v="26"/>
    <x v="11"/>
    <n v="2"/>
    <n v="3"/>
    <n v="14"/>
    <n v="14"/>
    <n v="9"/>
    <n v="1"/>
    <n v="1"/>
    <n v="12"/>
    <n v="12"/>
    <n v="48"/>
    <n v="0"/>
    <n v="0"/>
    <n v="1"/>
    <n v="0"/>
    <n v="1"/>
    <n v="0"/>
    <n v="0"/>
    <n v="0"/>
    <n v="0"/>
    <n v="12"/>
    <n v="0"/>
    <n v="0"/>
    <n v="26"/>
    <n v="0"/>
    <n v="2.0240348725572934"/>
    <n v="2.2075589277424408"/>
    <n v="1.8918932283614016"/>
    <n v="1.1412401909344694"/>
    <n v="0.22295710105195232"/>
    <n v="1.8692383509548371"/>
    <n v="0.36858985273641137"/>
  </r>
  <r>
    <n v="29"/>
    <n v="29"/>
    <s v="Yes"/>
    <n v="1"/>
    <s v="Travel_Rarely"/>
    <n v="0"/>
    <n v="1"/>
    <x v="1"/>
    <n v="1"/>
    <n v="0"/>
    <n v="1"/>
    <n v="1"/>
    <n v="4"/>
    <s v="Technical Degree"/>
    <n v="0"/>
    <n v="0"/>
    <n v="0"/>
    <n v="0"/>
    <n v="1"/>
    <n v="1"/>
    <s v="Male"/>
    <n v="0"/>
    <n v="100"/>
    <n v="2"/>
    <n v="1"/>
    <s v="Research Scientist"/>
    <n v="0"/>
    <n v="0"/>
    <n v="0"/>
    <n v="0"/>
    <n v="0"/>
    <n v="0"/>
    <n v="0"/>
    <n v="1"/>
    <n v="1"/>
    <s v="Single"/>
    <n v="1"/>
    <n v="0"/>
    <n v="2362"/>
    <n v="2362"/>
    <n v="6"/>
    <s v="No"/>
    <n v="0"/>
    <n v="13"/>
    <n v="3"/>
    <n v="3"/>
    <n v="0"/>
    <n v="11"/>
    <x v="26"/>
    <n v="2"/>
    <n v="1"/>
    <n v="9"/>
    <n v="9"/>
    <n v="7"/>
    <n v="0"/>
    <n v="0"/>
    <n v="7"/>
    <n v="7"/>
    <n v="7"/>
    <n v="1"/>
    <n v="0"/>
    <n v="0"/>
    <n v="0"/>
    <n v="1"/>
    <n v="0"/>
    <n v="0"/>
    <n v="0"/>
    <n v="0"/>
    <n v="7"/>
    <n v="0"/>
    <n v="0"/>
    <n v="11"/>
    <n v="0"/>
    <n v="0.87956017510257067"/>
    <n v="0.80626709607243985"/>
    <n v="3.593364373846001E-2"/>
    <n v="0.32511687867835437"/>
    <n v="1.01056543769991"/>
    <n v="0.86737663580280233"/>
    <n v="0.67891464284095016"/>
  </r>
  <r>
    <n v="44"/>
    <n v="44"/>
    <s v="No"/>
    <n v="0"/>
    <s v="Travel_Rarely"/>
    <n v="0"/>
    <n v="1"/>
    <x v="1"/>
    <n v="1"/>
    <n v="0"/>
    <n v="28"/>
    <n v="28"/>
    <n v="3"/>
    <s v="Life Sciences"/>
    <n v="1"/>
    <n v="0"/>
    <n v="0"/>
    <n v="0"/>
    <n v="0"/>
    <n v="4"/>
    <s v="Male"/>
    <n v="0"/>
    <n v="32"/>
    <n v="3"/>
    <n v="4"/>
    <s v="Research Director"/>
    <n v="0"/>
    <n v="0"/>
    <n v="0"/>
    <n v="0"/>
    <n v="0"/>
    <n v="0"/>
    <n v="0"/>
    <n v="0"/>
    <n v="1"/>
    <s v="Married"/>
    <n v="0"/>
    <n v="1"/>
    <n v="16328"/>
    <n v="16328"/>
    <n v="3"/>
    <s v="No"/>
    <n v="0"/>
    <n v="13"/>
    <n v="3"/>
    <n v="3"/>
    <n v="1"/>
    <n v="24"/>
    <x v="12"/>
    <n v="1"/>
    <n v="4"/>
    <n v="20"/>
    <n v="20"/>
    <n v="6"/>
    <n v="14"/>
    <n v="14"/>
    <n v="17"/>
    <n v="14"/>
    <n v="56"/>
    <n v="0"/>
    <n v="1"/>
    <n v="0"/>
    <n v="0"/>
    <n v="0"/>
    <n v="0"/>
    <n v="1"/>
    <n v="0"/>
    <n v="0"/>
    <n v="14"/>
    <n v="0"/>
    <n v="0"/>
    <n v="24"/>
    <n v="0"/>
    <n v="2.086907157422496"/>
    <n v="3.6088507594124417"/>
    <n v="1.6348496454147534"/>
    <n v="2.1205881656418071"/>
    <n v="2.3199454169301186"/>
    <n v="0.77459235625178136"/>
    <n v="3.665632418622593"/>
  </r>
  <r>
    <n v="39"/>
    <n v="39"/>
    <s v="No"/>
    <n v="0"/>
    <s v="Travel_Rarely"/>
    <n v="0"/>
    <n v="1"/>
    <x v="1"/>
    <n v="1"/>
    <n v="0"/>
    <n v="6"/>
    <n v="6"/>
    <n v="3"/>
    <s v="Life Sciences"/>
    <n v="1"/>
    <n v="0"/>
    <n v="0"/>
    <n v="0"/>
    <n v="0"/>
    <n v="2"/>
    <s v="Female"/>
    <n v="1"/>
    <n v="32"/>
    <n v="3"/>
    <n v="3"/>
    <s v="Manufacturing Director"/>
    <n v="0"/>
    <n v="0"/>
    <n v="0"/>
    <n v="0"/>
    <n v="1"/>
    <n v="1"/>
    <n v="0"/>
    <n v="0"/>
    <n v="2"/>
    <s v="Single"/>
    <n v="1"/>
    <n v="0"/>
    <n v="8376"/>
    <n v="8376"/>
    <n v="4"/>
    <s v="No"/>
    <n v="0"/>
    <n v="18"/>
    <n v="3"/>
    <n v="4"/>
    <n v="0"/>
    <n v="9"/>
    <x v="14"/>
    <n v="3"/>
    <n v="3"/>
    <n v="2"/>
    <n v="2"/>
    <n v="0"/>
    <n v="2"/>
    <n v="2"/>
    <n v="2"/>
    <n v="2"/>
    <n v="6"/>
    <n v="1"/>
    <n v="0"/>
    <n v="0"/>
    <n v="0"/>
    <n v="1"/>
    <n v="0"/>
    <n v="0"/>
    <n v="0"/>
    <n v="0"/>
    <n v="2"/>
    <n v="0"/>
    <n v="0"/>
    <n v="9"/>
    <n v="0"/>
    <n v="0.3978517207735392"/>
    <n v="0.59502473559756086"/>
    <n v="0.29297722668510823"/>
    <n v="0.81745575848020657"/>
    <n v="0.39380416832397891"/>
    <n v="0.22726935890025346"/>
    <n v="5.8265062631872602E-2"/>
  </r>
  <r>
    <n v="46"/>
    <n v="46"/>
    <s v="No"/>
    <n v="0"/>
    <s v="Travel_Rarely"/>
    <n v="0"/>
    <n v="1"/>
    <x v="0"/>
    <n v="0"/>
    <n v="1"/>
    <n v="3"/>
    <n v="3"/>
    <n v="3"/>
    <s v="Life Sciences"/>
    <n v="1"/>
    <n v="0"/>
    <n v="0"/>
    <n v="0"/>
    <n v="0"/>
    <n v="3"/>
    <s v="Female"/>
    <n v="1"/>
    <n v="51"/>
    <n v="3"/>
    <n v="4"/>
    <s v="Manager"/>
    <n v="0"/>
    <n v="0"/>
    <n v="0"/>
    <n v="1"/>
    <n v="0"/>
    <n v="0"/>
    <n v="0"/>
    <n v="0"/>
    <n v="2"/>
    <s v="Married"/>
    <n v="0"/>
    <n v="1"/>
    <n v="16606"/>
    <n v="16606"/>
    <n v="8"/>
    <s v="No"/>
    <n v="0"/>
    <n v="12"/>
    <n v="3"/>
    <n v="4"/>
    <n v="1"/>
    <n v="23"/>
    <x v="17"/>
    <n v="2"/>
    <n v="4"/>
    <n v="13"/>
    <n v="13"/>
    <n v="12"/>
    <n v="5"/>
    <n v="5"/>
    <n v="1"/>
    <n v="1"/>
    <n v="4"/>
    <n v="0"/>
    <n v="1"/>
    <n v="0"/>
    <n v="0"/>
    <n v="0"/>
    <n v="0"/>
    <n v="1"/>
    <n v="0"/>
    <n v="0"/>
    <n v="0"/>
    <n v="1"/>
    <n v="0"/>
    <n v="0"/>
    <n v="23"/>
    <n v="2.1459561276675174"/>
    <n v="0.87528310193156111"/>
    <n v="1.5063278539414293"/>
    <n v="0.97801552848324624"/>
    <n v="0.76386092994953758"/>
    <n v="0.99352155519239249"/>
    <n v="0.87270930768174382"/>
  </r>
  <r>
    <n v="35"/>
    <n v="35"/>
    <s v="No"/>
    <n v="0"/>
    <s v="Travel_Rarely"/>
    <n v="0"/>
    <n v="1"/>
    <x v="1"/>
    <n v="1"/>
    <n v="0"/>
    <n v="16"/>
    <n v="16"/>
    <n v="3"/>
    <s v="Life Sciences"/>
    <n v="1"/>
    <n v="0"/>
    <n v="0"/>
    <n v="0"/>
    <n v="0"/>
    <n v="4"/>
    <s v="Female"/>
    <n v="1"/>
    <n v="91"/>
    <n v="2"/>
    <n v="3"/>
    <s v="Healthcare Representative"/>
    <n v="1"/>
    <n v="0"/>
    <n v="0"/>
    <n v="0"/>
    <n v="0"/>
    <n v="0"/>
    <n v="0"/>
    <n v="0"/>
    <n v="2"/>
    <s v="Single"/>
    <n v="1"/>
    <n v="0"/>
    <n v="8606"/>
    <n v="8606"/>
    <n v="1"/>
    <s v="No"/>
    <n v="0"/>
    <n v="19"/>
    <n v="3"/>
    <n v="4"/>
    <n v="0"/>
    <n v="11"/>
    <x v="26"/>
    <n v="3"/>
    <n v="1"/>
    <n v="11"/>
    <n v="11"/>
    <n v="8"/>
    <n v="3"/>
    <n v="3"/>
    <n v="3"/>
    <n v="3"/>
    <n v="9"/>
    <n v="1"/>
    <n v="0"/>
    <n v="0"/>
    <n v="0"/>
    <n v="1"/>
    <n v="0"/>
    <n v="0"/>
    <n v="0"/>
    <n v="0"/>
    <n v="3"/>
    <n v="0"/>
    <n v="0"/>
    <n v="11"/>
    <n v="0"/>
    <n v="0.44670518536474391"/>
    <n v="0.31476636926356072"/>
    <n v="3.593364373846001E-2"/>
    <n v="0.65156620358080031"/>
    <n v="0.83971837042788355"/>
    <n v="0.21058903898096887"/>
    <n v="0.2520597274726662"/>
  </r>
  <r>
    <n v="23"/>
    <n v="23"/>
    <s v="No"/>
    <n v="0"/>
    <s v="Travel_Rarely"/>
    <n v="0"/>
    <n v="1"/>
    <x v="1"/>
    <n v="1"/>
    <n v="0"/>
    <n v="20"/>
    <n v="20"/>
    <n v="1"/>
    <s v="Life Sciences"/>
    <n v="1"/>
    <n v="0"/>
    <n v="0"/>
    <n v="0"/>
    <n v="0"/>
    <n v="1"/>
    <s v="Male"/>
    <n v="0"/>
    <n v="97"/>
    <n v="3"/>
    <n v="2"/>
    <s v="Laboratory Technician"/>
    <n v="0"/>
    <n v="0"/>
    <n v="1"/>
    <n v="0"/>
    <n v="0"/>
    <n v="0"/>
    <n v="0"/>
    <n v="0"/>
    <n v="3"/>
    <s v="Single"/>
    <n v="1"/>
    <n v="0"/>
    <n v="2272"/>
    <n v="2272"/>
    <n v="0"/>
    <s v="No"/>
    <n v="0"/>
    <n v="14"/>
    <n v="3"/>
    <n v="2"/>
    <n v="0"/>
    <n v="5"/>
    <x v="7"/>
    <n v="2"/>
    <n v="3"/>
    <n v="4"/>
    <n v="4"/>
    <n v="3"/>
    <n v="1"/>
    <n v="1"/>
    <n v="2"/>
    <n v="2"/>
    <n v="4"/>
    <n v="1"/>
    <n v="0"/>
    <n v="0"/>
    <n v="0"/>
    <n v="1"/>
    <n v="0"/>
    <n v="0"/>
    <n v="0"/>
    <n v="0"/>
    <n v="2"/>
    <n v="0"/>
    <n v="0"/>
    <n v="5"/>
    <n v="0"/>
    <n v="0.89867674820347687"/>
    <n v="0.59502473559756086"/>
    <n v="0.80706439257840468"/>
    <n v="0.49100643357776058"/>
    <n v="1.3331273859286286"/>
    <n v="1.5241642326246359"/>
    <n v="0.36858985273641137"/>
  </r>
  <r>
    <n v="40"/>
    <n v="40"/>
    <s v="Yes"/>
    <n v="1"/>
    <s v="Travel_Rarely"/>
    <n v="0"/>
    <n v="1"/>
    <x v="1"/>
    <n v="1"/>
    <n v="0"/>
    <n v="9"/>
    <n v="9"/>
    <n v="4"/>
    <s v="Life Sciences"/>
    <n v="1"/>
    <n v="0"/>
    <n v="0"/>
    <n v="0"/>
    <n v="0"/>
    <n v="4"/>
    <s v="Male"/>
    <n v="0"/>
    <n v="86"/>
    <n v="3"/>
    <n v="1"/>
    <s v="Laboratory Technician"/>
    <n v="0"/>
    <n v="0"/>
    <n v="1"/>
    <n v="0"/>
    <n v="0"/>
    <n v="0"/>
    <n v="0"/>
    <n v="0"/>
    <n v="1"/>
    <s v="Single"/>
    <n v="1"/>
    <n v="0"/>
    <n v="2018"/>
    <n v="2018"/>
    <n v="3"/>
    <s v="No"/>
    <n v="0"/>
    <n v="14"/>
    <n v="3"/>
    <n v="2"/>
    <n v="0"/>
    <n v="15"/>
    <x v="19"/>
    <n v="3"/>
    <n v="1"/>
    <n v="5"/>
    <n v="5"/>
    <n v="4"/>
    <n v="1"/>
    <n v="1"/>
    <n v="0"/>
    <n v="0"/>
    <n v="0"/>
    <n v="1"/>
    <n v="0"/>
    <n v="0"/>
    <n v="0"/>
    <n v="1"/>
    <n v="0"/>
    <n v="0"/>
    <n v="0"/>
    <n v="0"/>
    <n v="0"/>
    <n v="0"/>
    <n v="0"/>
    <n v="15"/>
    <n v="0"/>
    <n v="0.95262796562158991"/>
    <n v="1.1555414682655611"/>
    <n v="0.47815352215483642"/>
    <n v="0.32778177112653761"/>
    <n v="2.3747406698420157E-2"/>
    <n v="0.33673395837055903"/>
    <n v="0.36858985273641137"/>
  </r>
  <r>
    <n v="34"/>
    <n v="34"/>
    <s v="No"/>
    <n v="0"/>
    <s v="Travel_Rarely"/>
    <n v="0"/>
    <n v="1"/>
    <x v="0"/>
    <n v="0"/>
    <n v="1"/>
    <n v="1"/>
    <n v="1"/>
    <n v="3"/>
    <s v="Technical Degree"/>
    <n v="0"/>
    <n v="0"/>
    <n v="0"/>
    <n v="0"/>
    <n v="1"/>
    <n v="4"/>
    <s v="Male"/>
    <n v="0"/>
    <n v="64"/>
    <n v="2"/>
    <n v="3"/>
    <s v="Sales Executive"/>
    <n v="0"/>
    <n v="1"/>
    <n v="0"/>
    <n v="0"/>
    <n v="0"/>
    <n v="0"/>
    <n v="0"/>
    <n v="0"/>
    <n v="3"/>
    <s v="Married"/>
    <n v="0"/>
    <n v="1"/>
    <n v="7083"/>
    <n v="7083"/>
    <n v="1"/>
    <s v="Yes"/>
    <n v="1"/>
    <n v="14"/>
    <n v="3"/>
    <n v="4"/>
    <n v="0"/>
    <n v="10"/>
    <x v="1"/>
    <n v="3"/>
    <n v="3"/>
    <n v="10"/>
    <n v="10"/>
    <n v="9"/>
    <n v="8"/>
    <n v="8"/>
    <n v="6"/>
    <n v="6"/>
    <n v="18"/>
    <n v="0"/>
    <n v="1"/>
    <n v="0"/>
    <n v="0"/>
    <n v="0"/>
    <n v="0"/>
    <n v="0"/>
    <n v="1"/>
    <n v="0"/>
    <n v="0"/>
    <n v="6"/>
    <n v="0"/>
    <n v="0"/>
    <n v="10"/>
    <n v="0.12321028722385345"/>
    <n v="0.52600872973843971"/>
    <n v="0.1644554352117841"/>
    <n v="0.48834154112957734"/>
    <n v="1.01056543769991"/>
    <n v="0.32005363845127444"/>
    <n v="1.8036836779953602"/>
  </r>
  <r>
    <n v="31"/>
    <n v="31"/>
    <s v="Yes"/>
    <n v="1"/>
    <s v="Travel_Frequently"/>
    <n v="1"/>
    <n v="0"/>
    <x v="1"/>
    <n v="1"/>
    <n v="0"/>
    <n v="3"/>
    <n v="3"/>
    <n v="3"/>
    <s v="Life Sciences"/>
    <n v="1"/>
    <n v="0"/>
    <n v="0"/>
    <n v="0"/>
    <n v="0"/>
    <n v="4"/>
    <s v="Female"/>
    <n v="1"/>
    <n v="33"/>
    <n v="3"/>
    <n v="1"/>
    <s v="Research Scientist"/>
    <n v="0"/>
    <n v="0"/>
    <n v="0"/>
    <n v="0"/>
    <n v="0"/>
    <n v="0"/>
    <n v="0"/>
    <n v="1"/>
    <n v="3"/>
    <s v="Single"/>
    <n v="1"/>
    <n v="0"/>
    <n v="4084"/>
    <n v="4084"/>
    <n v="1"/>
    <s v="No"/>
    <n v="0"/>
    <n v="12"/>
    <n v="3"/>
    <n v="1"/>
    <n v="0"/>
    <n v="7"/>
    <x v="2"/>
    <n v="2"/>
    <n v="1"/>
    <n v="7"/>
    <n v="7"/>
    <n v="2"/>
    <n v="7"/>
    <n v="7"/>
    <n v="7"/>
    <n v="7"/>
    <n v="7"/>
    <n v="0"/>
    <n v="0"/>
    <n v="1"/>
    <n v="0"/>
    <n v="1"/>
    <n v="0"/>
    <n v="0"/>
    <n v="0"/>
    <n v="0"/>
    <n v="7"/>
    <n v="0"/>
    <n v="0"/>
    <n v="7"/>
    <n v="0"/>
    <n v="0.51379640977189867"/>
    <n v="0.80626709607243985"/>
    <n v="0.55002080963175637"/>
    <n v="1.3324462240916321E-3"/>
    <n v="0.76386092994953758"/>
    <n v="0.6484474368621912"/>
    <n v="1.4933588878908215"/>
  </r>
  <r>
    <n v="50"/>
    <n v="50"/>
    <s v="No"/>
    <n v="0"/>
    <s v="Travel_Frequently"/>
    <n v="1"/>
    <n v="0"/>
    <x v="1"/>
    <n v="1"/>
    <n v="0"/>
    <n v="22"/>
    <n v="22"/>
    <n v="5"/>
    <s v="Medical"/>
    <n v="0"/>
    <n v="0"/>
    <n v="1"/>
    <n v="0"/>
    <n v="0"/>
    <n v="3"/>
    <s v="Male"/>
    <n v="0"/>
    <n v="88"/>
    <n v="1"/>
    <n v="4"/>
    <s v="Research Director"/>
    <n v="0"/>
    <n v="0"/>
    <n v="0"/>
    <n v="0"/>
    <n v="0"/>
    <n v="0"/>
    <n v="0"/>
    <n v="0"/>
    <n v="4"/>
    <s v="Single"/>
    <n v="1"/>
    <n v="0"/>
    <n v="14411"/>
    <n v="14411"/>
    <n v="1"/>
    <s v="Yes"/>
    <n v="1"/>
    <n v="13"/>
    <n v="3"/>
    <n v="4"/>
    <n v="0"/>
    <n v="32"/>
    <x v="32"/>
    <n v="2"/>
    <n v="3"/>
    <n v="32"/>
    <n v="31"/>
    <n v="6"/>
    <n v="13"/>
    <n v="13"/>
    <n v="9"/>
    <n v="9"/>
    <n v="36"/>
    <n v="0"/>
    <n v="0"/>
    <n v="1"/>
    <n v="0"/>
    <n v="0"/>
    <n v="1"/>
    <n v="0"/>
    <n v="0"/>
    <n v="0"/>
    <n v="9"/>
    <n v="0"/>
    <n v="0"/>
    <n v="32"/>
    <n v="0"/>
    <n v="1.6797241503731939"/>
    <n v="1.3667838287404401"/>
    <n v="2.663023977201346"/>
    <n v="4.0792841150564829"/>
    <n v="1.579831893679001"/>
    <n v="1.4313799530736149"/>
    <n v="3.3553076285180543"/>
  </r>
  <r>
    <n v="34"/>
    <n v="34"/>
    <s v="No"/>
    <n v="0"/>
    <s v="Travel_Rarely"/>
    <n v="0"/>
    <n v="1"/>
    <x v="0"/>
    <n v="0"/>
    <n v="1"/>
    <n v="7"/>
    <n v="7"/>
    <n v="2"/>
    <s v="Technical Degree"/>
    <n v="0"/>
    <n v="0"/>
    <n v="0"/>
    <n v="0"/>
    <n v="1"/>
    <n v="2"/>
    <s v="Male"/>
    <n v="0"/>
    <n v="55"/>
    <n v="3"/>
    <n v="1"/>
    <s v="Sales Representative"/>
    <n v="0"/>
    <n v="0"/>
    <n v="0"/>
    <n v="0"/>
    <n v="0"/>
    <n v="0"/>
    <n v="1"/>
    <n v="0"/>
    <n v="3"/>
    <s v="Married"/>
    <n v="0"/>
    <n v="1"/>
    <n v="2308"/>
    <n v="2308"/>
    <n v="0"/>
    <s v="Yes"/>
    <n v="1"/>
    <n v="25"/>
    <n v="4"/>
    <n v="2"/>
    <n v="1"/>
    <n v="12"/>
    <x v="4"/>
    <n v="4"/>
    <n v="3"/>
    <n v="11"/>
    <n v="11"/>
    <n v="10"/>
    <n v="5"/>
    <n v="5"/>
    <n v="7"/>
    <n v="7"/>
    <n v="7"/>
    <n v="0"/>
    <n v="1"/>
    <n v="0"/>
    <n v="0"/>
    <n v="0"/>
    <n v="0"/>
    <n v="0"/>
    <n v="1"/>
    <n v="0"/>
    <n v="0"/>
    <n v="7"/>
    <n v="0"/>
    <n v="0"/>
    <n v="12"/>
    <n v="0.89103011896311435"/>
    <n v="0.80626709607243985"/>
    <n v="9.2588147734864096E-2"/>
    <n v="0.65156620358080031"/>
    <n v="0.27045191444879263"/>
    <n v="0.32005363845127444"/>
    <n v="0.87270930768174382"/>
  </r>
  <r>
    <n v="42"/>
    <n v="42"/>
    <s v="No"/>
    <n v="0"/>
    <s v="Travel_Rarely"/>
    <n v="0"/>
    <n v="1"/>
    <x v="1"/>
    <n v="1"/>
    <n v="0"/>
    <n v="2"/>
    <n v="2"/>
    <n v="3"/>
    <s v="Medical"/>
    <n v="0"/>
    <n v="0"/>
    <n v="1"/>
    <n v="0"/>
    <n v="0"/>
    <n v="3"/>
    <s v="Male"/>
    <n v="0"/>
    <n v="68"/>
    <n v="2"/>
    <n v="1"/>
    <s v="Laboratory Technician"/>
    <n v="0"/>
    <n v="0"/>
    <n v="1"/>
    <n v="0"/>
    <n v="0"/>
    <n v="0"/>
    <n v="0"/>
    <n v="0"/>
    <n v="2"/>
    <s v="Married"/>
    <n v="0"/>
    <n v="1"/>
    <n v="4841"/>
    <n v="4841"/>
    <n v="4"/>
    <s v="No"/>
    <n v="0"/>
    <n v="14"/>
    <n v="3"/>
    <n v="2"/>
    <n v="1"/>
    <n v="4"/>
    <x v="20"/>
    <n v="3"/>
    <n v="3"/>
    <n v="1"/>
    <n v="1"/>
    <n v="0"/>
    <n v="0"/>
    <n v="0"/>
    <n v="0"/>
    <n v="0"/>
    <n v="0"/>
    <n v="0"/>
    <n v="1"/>
    <n v="0"/>
    <n v="0"/>
    <n v="0"/>
    <n v="0"/>
    <n v="1"/>
    <n v="0"/>
    <n v="0"/>
    <n v="0"/>
    <n v="0"/>
    <n v="0"/>
    <n v="4"/>
    <n v="0"/>
    <n v="0.35300478935649876"/>
    <n v="1.1555414682655611"/>
    <n v="0.93558618405172878"/>
    <n v="0.9806804209314296"/>
    <n v="0.88721318382472392"/>
    <n v="0.55566315731117022"/>
    <n v="0.67891464284095016"/>
  </r>
  <r>
    <n v="37"/>
    <n v="37"/>
    <s v="No"/>
    <n v="0"/>
    <s v="Travel_Rarely"/>
    <n v="0"/>
    <n v="1"/>
    <x v="1"/>
    <n v="1"/>
    <n v="0"/>
    <n v="13"/>
    <n v="13"/>
    <n v="3"/>
    <s v="Medical"/>
    <n v="0"/>
    <n v="0"/>
    <n v="1"/>
    <n v="0"/>
    <n v="0"/>
    <n v="1"/>
    <s v="Male"/>
    <n v="0"/>
    <n v="47"/>
    <n v="3"/>
    <n v="2"/>
    <s v="Research Scientist"/>
    <n v="0"/>
    <n v="0"/>
    <n v="0"/>
    <n v="0"/>
    <n v="0"/>
    <n v="0"/>
    <n v="0"/>
    <n v="1"/>
    <n v="4"/>
    <s v="Married"/>
    <n v="0"/>
    <n v="1"/>
    <n v="4285"/>
    <n v="4285"/>
    <n v="1"/>
    <s v="No"/>
    <n v="0"/>
    <n v="17"/>
    <n v="3"/>
    <n v="1"/>
    <n v="0"/>
    <n v="10"/>
    <x v="1"/>
    <n v="2"/>
    <n v="3"/>
    <n v="10"/>
    <n v="10"/>
    <n v="8"/>
    <n v="3"/>
    <n v="3"/>
    <n v="7"/>
    <n v="7"/>
    <n v="14"/>
    <n v="0"/>
    <n v="1"/>
    <n v="0"/>
    <n v="0"/>
    <n v="0"/>
    <n v="0"/>
    <n v="1"/>
    <n v="0"/>
    <n v="0"/>
    <n v="7"/>
    <n v="0"/>
    <n v="0"/>
    <n v="10"/>
    <n v="0"/>
    <n v="0.47110272984654156"/>
    <n v="0.80626709607243985"/>
    <n v="0.1644554352117841"/>
    <n v="0.48834154112957734"/>
    <n v="0.46966160880232483"/>
    <n v="8.3401599596422994E-3"/>
    <n v="0.2520597274726662"/>
  </r>
  <r>
    <n v="29"/>
    <n v="29"/>
    <s v="No"/>
    <n v="0"/>
    <s v="Travel_Rarely"/>
    <n v="0"/>
    <n v="1"/>
    <x v="1"/>
    <n v="1"/>
    <n v="0"/>
    <n v="8"/>
    <n v="8"/>
    <n v="1"/>
    <s v="Other"/>
    <n v="0"/>
    <n v="1"/>
    <n v="0"/>
    <n v="0"/>
    <n v="0"/>
    <n v="3"/>
    <s v="Female"/>
    <n v="1"/>
    <n v="39"/>
    <n v="1"/>
    <n v="2"/>
    <s v="Healthcare Representative"/>
    <n v="1"/>
    <n v="0"/>
    <n v="0"/>
    <n v="0"/>
    <n v="0"/>
    <n v="0"/>
    <n v="0"/>
    <n v="0"/>
    <n v="1"/>
    <s v="Married"/>
    <n v="0"/>
    <n v="1"/>
    <n v="9715"/>
    <n v="9715"/>
    <n v="3"/>
    <s v="No"/>
    <n v="0"/>
    <n v="13"/>
    <n v="3"/>
    <n v="3"/>
    <n v="1"/>
    <n v="9"/>
    <x v="14"/>
    <n v="3"/>
    <n v="3"/>
    <n v="7"/>
    <n v="7"/>
    <n v="7"/>
    <n v="0"/>
    <n v="0"/>
    <n v="7"/>
    <n v="7"/>
    <n v="14"/>
    <n v="0"/>
    <n v="1"/>
    <n v="0"/>
    <n v="0"/>
    <n v="0"/>
    <n v="0"/>
    <n v="1"/>
    <n v="0"/>
    <n v="0"/>
    <n v="7"/>
    <n v="0"/>
    <n v="0"/>
    <n v="9"/>
    <n v="0"/>
    <n v="0.68226384724146594"/>
    <n v="0.80626709607243985"/>
    <n v="0.29297722668510823"/>
    <n v="1.3324462240916321E-3"/>
    <n v="0.14709966057360641"/>
    <n v="0.86737663580280233"/>
    <n v="0.67891464284095016"/>
  </r>
  <r>
    <n v="33"/>
    <n v="33"/>
    <s v="No"/>
    <n v="0"/>
    <s v="Travel_Rarely"/>
    <n v="0"/>
    <n v="1"/>
    <x v="1"/>
    <n v="1"/>
    <n v="0"/>
    <n v="25"/>
    <n v="25"/>
    <n v="3"/>
    <s v="Life Sciences"/>
    <n v="1"/>
    <n v="0"/>
    <n v="0"/>
    <n v="0"/>
    <n v="0"/>
    <n v="4"/>
    <s v="Male"/>
    <n v="0"/>
    <n v="44"/>
    <n v="2"/>
    <n v="2"/>
    <s v="Manufacturing Director"/>
    <n v="0"/>
    <n v="0"/>
    <n v="0"/>
    <n v="0"/>
    <n v="1"/>
    <n v="1"/>
    <n v="0"/>
    <n v="0"/>
    <n v="2"/>
    <s v="Single"/>
    <n v="1"/>
    <n v="0"/>
    <n v="4320"/>
    <n v="4320"/>
    <n v="1"/>
    <s v="No"/>
    <n v="0"/>
    <n v="13"/>
    <n v="3"/>
    <n v="4"/>
    <n v="0"/>
    <n v="5"/>
    <x v="7"/>
    <n v="2"/>
    <n v="3"/>
    <n v="5"/>
    <n v="5"/>
    <n v="3"/>
    <n v="0"/>
    <n v="0"/>
    <n v="2"/>
    <n v="2"/>
    <n v="4"/>
    <n v="1"/>
    <n v="0"/>
    <n v="0"/>
    <n v="0"/>
    <n v="1"/>
    <n v="0"/>
    <n v="0"/>
    <n v="0"/>
    <n v="0"/>
    <n v="2"/>
    <n v="0"/>
    <n v="0"/>
    <n v="5"/>
    <n v="0"/>
    <n v="0.46366850697396689"/>
    <n v="0.59502473559756086"/>
    <n v="0.80706439257840468"/>
    <n v="0.32778177112653761"/>
    <n v="1.9498886553045598"/>
    <n v="0.42951823792158"/>
    <n v="0.67891464284095016"/>
  </r>
  <r>
    <n v="45"/>
    <n v="45"/>
    <s v="No"/>
    <n v="0"/>
    <s v="Travel_Rarely"/>
    <n v="0"/>
    <n v="1"/>
    <x v="1"/>
    <n v="1"/>
    <n v="0"/>
    <n v="28"/>
    <n v="28"/>
    <n v="3"/>
    <s v="Technical Degree"/>
    <n v="0"/>
    <n v="0"/>
    <n v="0"/>
    <n v="0"/>
    <n v="1"/>
    <n v="4"/>
    <s v="Male"/>
    <n v="0"/>
    <n v="97"/>
    <n v="3"/>
    <n v="1"/>
    <s v="Research Scientist"/>
    <n v="0"/>
    <n v="0"/>
    <n v="0"/>
    <n v="0"/>
    <n v="0"/>
    <n v="0"/>
    <n v="0"/>
    <n v="1"/>
    <n v="4"/>
    <s v="Married"/>
    <n v="0"/>
    <n v="1"/>
    <n v="2132"/>
    <n v="2132"/>
    <n v="4"/>
    <s v="No"/>
    <n v="0"/>
    <n v="20"/>
    <n v="4"/>
    <n v="4"/>
    <n v="1"/>
    <n v="8"/>
    <x v="0"/>
    <n v="3"/>
    <n v="3"/>
    <n v="5"/>
    <n v="5"/>
    <n v="4"/>
    <n v="0"/>
    <n v="0"/>
    <n v="3"/>
    <n v="3"/>
    <n v="3"/>
    <n v="0"/>
    <n v="1"/>
    <n v="0"/>
    <n v="0"/>
    <n v="0"/>
    <n v="0"/>
    <n v="1"/>
    <n v="0"/>
    <n v="0"/>
    <n v="3"/>
    <n v="0"/>
    <n v="0"/>
    <n v="8"/>
    <n v="0"/>
    <n v="0.92841363969377544"/>
    <n v="0.31476636926356072"/>
    <n v="0.42149901815843233"/>
    <n v="0.32778177112653761"/>
    <n v="2.3199454169301186"/>
    <n v="0.88405695572208698"/>
    <n v="0.67891464284095016"/>
  </r>
  <r>
    <n v="42"/>
    <n v="42"/>
    <s v="No"/>
    <n v="0"/>
    <s v="Travel_Frequently"/>
    <n v="1"/>
    <n v="0"/>
    <x v="1"/>
    <n v="1"/>
    <n v="0"/>
    <n v="2"/>
    <n v="2"/>
    <n v="3"/>
    <s v="Life Sciences"/>
    <n v="1"/>
    <n v="0"/>
    <n v="0"/>
    <n v="0"/>
    <n v="0"/>
    <n v="4"/>
    <s v="Male"/>
    <n v="0"/>
    <n v="40"/>
    <n v="3"/>
    <n v="3"/>
    <s v="Healthcare Representative"/>
    <n v="1"/>
    <n v="0"/>
    <n v="0"/>
    <n v="0"/>
    <n v="0"/>
    <n v="0"/>
    <n v="0"/>
    <n v="0"/>
    <n v="4"/>
    <s v="Married"/>
    <n v="0"/>
    <n v="1"/>
    <n v="10124"/>
    <n v="10124"/>
    <n v="2"/>
    <s v="Yes"/>
    <n v="1"/>
    <n v="14"/>
    <n v="3"/>
    <n v="3"/>
    <n v="1"/>
    <n v="24"/>
    <x v="12"/>
    <n v="3"/>
    <n v="1"/>
    <n v="20"/>
    <n v="20"/>
    <n v="8"/>
    <n v="13"/>
    <n v="13"/>
    <n v="9"/>
    <n v="9"/>
    <n v="27"/>
    <n v="0"/>
    <n v="0"/>
    <n v="0"/>
    <n v="1"/>
    <n v="0"/>
    <n v="0"/>
    <n v="0"/>
    <n v="1"/>
    <n v="0"/>
    <n v="9"/>
    <n v="0"/>
    <n v="0"/>
    <n v="24"/>
    <n v="0"/>
    <n v="0.76913805166669513"/>
    <n v="1.3667838287404401"/>
    <n v="1.6348496454147534"/>
    <n v="2.1205881656418071"/>
    <n v="0.88721318382472392"/>
    <n v="0.55566315731117022"/>
    <n v="3.3553076285180543"/>
  </r>
  <r>
    <n v="40"/>
    <n v="40"/>
    <s v="No"/>
    <n v="0"/>
    <s v="Travel_Rarely"/>
    <n v="0"/>
    <n v="1"/>
    <x v="0"/>
    <n v="0"/>
    <n v="1"/>
    <n v="9"/>
    <n v="9"/>
    <n v="2"/>
    <s v="Medical"/>
    <n v="0"/>
    <n v="0"/>
    <n v="1"/>
    <n v="0"/>
    <n v="0"/>
    <n v="1"/>
    <s v="Male"/>
    <n v="0"/>
    <n v="47"/>
    <n v="3"/>
    <n v="2"/>
    <s v="Sales Executive"/>
    <n v="0"/>
    <n v="1"/>
    <n v="0"/>
    <n v="0"/>
    <n v="0"/>
    <n v="0"/>
    <n v="0"/>
    <n v="0"/>
    <n v="1"/>
    <s v="Married"/>
    <n v="0"/>
    <n v="1"/>
    <n v="5473"/>
    <n v="5473"/>
    <n v="0"/>
    <s v="No"/>
    <n v="0"/>
    <n v="12"/>
    <n v="3"/>
    <n v="4"/>
    <n v="0"/>
    <n v="9"/>
    <x v="14"/>
    <n v="5"/>
    <n v="4"/>
    <n v="8"/>
    <n v="8"/>
    <n v="4"/>
    <n v="7"/>
    <n v="7"/>
    <n v="1"/>
    <n v="1"/>
    <n v="2"/>
    <n v="0"/>
    <n v="1"/>
    <n v="0"/>
    <n v="0"/>
    <n v="0"/>
    <n v="0"/>
    <n v="1"/>
    <n v="0"/>
    <n v="0"/>
    <n v="0"/>
    <n v="1"/>
    <n v="0"/>
    <n v="0"/>
    <n v="9"/>
    <n v="0.21876396491457969"/>
    <n v="0.87528310193156111"/>
    <n v="0.29297722668510823"/>
    <n v="0.16189221622713135"/>
    <n v="2.3747406698420157E-2"/>
    <n v="0.33673395837055903"/>
    <n v="1.4933588878908215"/>
  </r>
  <r>
    <n v="33"/>
    <n v="33"/>
    <s v="No"/>
    <n v="0"/>
    <s v="Travel_Rarely"/>
    <n v="0"/>
    <n v="1"/>
    <x v="1"/>
    <n v="1"/>
    <n v="0"/>
    <n v="28"/>
    <n v="28"/>
    <n v="4"/>
    <s v="Life Sciences"/>
    <n v="1"/>
    <n v="0"/>
    <n v="0"/>
    <n v="0"/>
    <n v="0"/>
    <n v="2"/>
    <s v="Male"/>
    <n v="0"/>
    <n v="79"/>
    <n v="3"/>
    <n v="2"/>
    <s v="Laboratory Technician"/>
    <n v="0"/>
    <n v="0"/>
    <n v="1"/>
    <n v="0"/>
    <n v="0"/>
    <n v="0"/>
    <n v="0"/>
    <n v="0"/>
    <n v="3"/>
    <s v="Married"/>
    <n v="0"/>
    <n v="1"/>
    <n v="5207"/>
    <n v="5207"/>
    <n v="1"/>
    <s v="Yes"/>
    <n v="1"/>
    <n v="12"/>
    <n v="3"/>
    <n v="2"/>
    <n v="1"/>
    <n v="15"/>
    <x v="19"/>
    <n v="3"/>
    <n v="3"/>
    <n v="15"/>
    <n v="15"/>
    <n v="14"/>
    <n v="5"/>
    <n v="5"/>
    <n v="7"/>
    <n v="7"/>
    <n v="14"/>
    <n v="0"/>
    <n v="1"/>
    <n v="0"/>
    <n v="0"/>
    <n v="0"/>
    <n v="0"/>
    <n v="0"/>
    <n v="1"/>
    <n v="0"/>
    <n v="7"/>
    <n v="0"/>
    <n v="0"/>
    <n v="15"/>
    <n v="0"/>
    <n v="0.2752640587461469"/>
    <n v="0.80626709607243985"/>
    <n v="0.47815352215483642"/>
    <n v="1.3044648533856922"/>
    <n v="2.3199454169301186"/>
    <n v="0.42951823792158"/>
    <n v="0.87270930768174382"/>
  </r>
  <r>
    <n v="40"/>
    <n v="40"/>
    <s v="No"/>
    <n v="0"/>
    <s v="Travel_Rarely"/>
    <n v="0"/>
    <n v="1"/>
    <x v="2"/>
    <n v="0"/>
    <n v="0"/>
    <n v="6"/>
    <n v="6"/>
    <n v="2"/>
    <s v="Medical"/>
    <n v="0"/>
    <n v="0"/>
    <n v="1"/>
    <n v="0"/>
    <n v="0"/>
    <n v="3"/>
    <s v="Male"/>
    <n v="0"/>
    <n v="38"/>
    <n v="3"/>
    <n v="4"/>
    <s v="Manager"/>
    <n v="0"/>
    <n v="0"/>
    <n v="0"/>
    <n v="1"/>
    <n v="0"/>
    <n v="0"/>
    <n v="0"/>
    <n v="0"/>
    <n v="4"/>
    <s v="Single"/>
    <n v="1"/>
    <n v="0"/>
    <n v="16437"/>
    <n v="16437"/>
    <n v="1"/>
    <s v="Yes"/>
    <n v="1"/>
    <n v="21"/>
    <n v="4"/>
    <n v="4"/>
    <n v="0"/>
    <n v="21"/>
    <x v="23"/>
    <n v="2"/>
    <n v="3"/>
    <n v="21"/>
    <n v="21"/>
    <n v="7"/>
    <n v="7"/>
    <n v="7"/>
    <n v="7"/>
    <n v="7"/>
    <n v="28"/>
    <n v="1"/>
    <n v="0"/>
    <n v="0"/>
    <n v="0"/>
    <n v="0"/>
    <n v="1"/>
    <n v="0"/>
    <n v="0"/>
    <n v="7"/>
    <n v="0"/>
    <n v="0"/>
    <n v="21"/>
    <n v="0"/>
    <n v="0"/>
    <n v="2.1100594515113711"/>
    <n v="0.80626709607243985"/>
    <n v="1.2492842709947811"/>
    <n v="2.2838128280930299"/>
    <n v="0.39380416832397891"/>
    <n v="0.33673395837055903"/>
    <n v="1.4933588878908215"/>
  </r>
  <r>
    <n v="24"/>
    <n v="24"/>
    <s v="No"/>
    <n v="0"/>
    <s v="Travel_Rarely"/>
    <n v="0"/>
    <n v="1"/>
    <x v="1"/>
    <n v="1"/>
    <n v="0"/>
    <n v="21"/>
    <n v="21"/>
    <n v="2"/>
    <s v="Technical Degree"/>
    <n v="0"/>
    <n v="0"/>
    <n v="0"/>
    <n v="0"/>
    <n v="1"/>
    <n v="3"/>
    <s v="Male"/>
    <n v="0"/>
    <n v="57"/>
    <n v="2"/>
    <n v="1"/>
    <s v="Laboratory Technician"/>
    <n v="0"/>
    <n v="0"/>
    <n v="1"/>
    <n v="0"/>
    <n v="0"/>
    <n v="0"/>
    <n v="0"/>
    <n v="0"/>
    <n v="1"/>
    <s v="Divorced"/>
    <n v="0"/>
    <n v="0"/>
    <n v="2296"/>
    <n v="2296"/>
    <n v="0"/>
    <s v="No"/>
    <n v="0"/>
    <n v="14"/>
    <n v="3"/>
    <n v="2"/>
    <n v="3"/>
    <n v="2"/>
    <x v="16"/>
    <n v="3"/>
    <n v="3"/>
    <n v="1"/>
    <n v="1"/>
    <n v="1"/>
    <n v="0"/>
    <n v="0"/>
    <n v="0"/>
    <n v="0"/>
    <n v="0"/>
    <n v="1"/>
    <n v="0"/>
    <n v="0"/>
    <n v="0"/>
    <n v="1"/>
    <n v="0"/>
    <n v="0"/>
    <n v="0"/>
    <n v="0"/>
    <n v="0"/>
    <n v="0"/>
    <n v="0"/>
    <n v="2"/>
    <n v="0"/>
    <n v="0.8935789953765686"/>
    <n v="1.1555414682655611"/>
    <n v="1.192629766998377"/>
    <n v="0.9806804209314296"/>
    <n v="1.4564796398038149"/>
    <n v="1.4146996331543302"/>
    <n v="0.67891464284095016"/>
  </r>
  <r>
    <n v="40"/>
    <n v="40"/>
    <s v="No"/>
    <n v="0"/>
    <s v="Non-Travel"/>
    <n v="0"/>
    <n v="0"/>
    <x v="1"/>
    <n v="1"/>
    <n v="0"/>
    <n v="8"/>
    <n v="8"/>
    <n v="2"/>
    <s v="Life Sciences"/>
    <n v="1"/>
    <n v="0"/>
    <n v="0"/>
    <n v="0"/>
    <n v="0"/>
    <n v="4"/>
    <s v="Male"/>
    <n v="0"/>
    <n v="72"/>
    <n v="3"/>
    <n v="2"/>
    <s v="Healthcare Representative"/>
    <n v="1"/>
    <n v="0"/>
    <n v="0"/>
    <n v="0"/>
    <n v="0"/>
    <n v="0"/>
    <n v="0"/>
    <n v="0"/>
    <n v="4"/>
    <s v="Divorced"/>
    <n v="0"/>
    <n v="0"/>
    <n v="4069"/>
    <n v="4069"/>
    <n v="3"/>
    <s v="Yes"/>
    <n v="1"/>
    <n v="18"/>
    <n v="3"/>
    <n v="3"/>
    <n v="0"/>
    <n v="8"/>
    <x v="0"/>
    <n v="2"/>
    <n v="3"/>
    <n v="2"/>
    <n v="2"/>
    <n v="2"/>
    <n v="2"/>
    <n v="2"/>
    <n v="2"/>
    <n v="2"/>
    <n v="4"/>
    <n v="1"/>
    <n v="0"/>
    <n v="0"/>
    <n v="0"/>
    <n v="0"/>
    <n v="1"/>
    <n v="0"/>
    <n v="0"/>
    <n v="0"/>
    <n v="2"/>
    <n v="0"/>
    <n v="0"/>
    <n v="8"/>
    <n v="0"/>
    <n v="0.51698250528871637"/>
    <n v="0.59502473559756086"/>
    <n v="0.42149901815843233"/>
    <n v="0.81745575848020657"/>
    <n v="0.14709966057360641"/>
    <n v="0.33673395837055903"/>
    <n v="5.8265062631872602E-2"/>
  </r>
  <r>
    <n v="45"/>
    <n v="45"/>
    <s v="No"/>
    <n v="0"/>
    <s v="Travel_Rarely"/>
    <n v="0"/>
    <n v="1"/>
    <x v="1"/>
    <n v="1"/>
    <n v="0"/>
    <n v="1"/>
    <n v="1"/>
    <n v="4"/>
    <s v="Technical Degree"/>
    <n v="0"/>
    <n v="0"/>
    <n v="0"/>
    <n v="0"/>
    <n v="1"/>
    <n v="1"/>
    <s v="Male"/>
    <n v="0"/>
    <n v="66"/>
    <n v="3"/>
    <n v="3"/>
    <s v="Healthcare Representative"/>
    <n v="1"/>
    <n v="0"/>
    <n v="0"/>
    <n v="0"/>
    <n v="0"/>
    <n v="0"/>
    <n v="0"/>
    <n v="0"/>
    <n v="2"/>
    <s v="Divorced"/>
    <n v="0"/>
    <n v="0"/>
    <n v="7441"/>
    <n v="7441"/>
    <n v="1"/>
    <s v="No"/>
    <n v="0"/>
    <n v="12"/>
    <n v="3"/>
    <n v="1"/>
    <n v="3"/>
    <n v="10"/>
    <x v="1"/>
    <n v="4"/>
    <n v="3"/>
    <n v="10"/>
    <n v="10"/>
    <n v="8"/>
    <n v="7"/>
    <n v="7"/>
    <n v="7"/>
    <n v="7"/>
    <n v="21"/>
    <n v="1"/>
    <n v="0"/>
    <n v="0"/>
    <n v="0"/>
    <n v="1"/>
    <n v="0"/>
    <n v="0"/>
    <n v="0"/>
    <n v="0"/>
    <n v="7"/>
    <n v="0"/>
    <n v="0"/>
    <n v="10"/>
    <n v="0"/>
    <n v="0.19925176689190255"/>
    <n v="0.80626709607243985"/>
    <n v="0.1644554352117841"/>
    <n v="0.48834154112957734"/>
    <n v="1.01056543769991"/>
    <n v="0.88405695572208698"/>
    <n v="1.4933588878908215"/>
  </r>
  <r>
    <n v="35"/>
    <n v="35"/>
    <s v="No"/>
    <n v="0"/>
    <s v="Travel_Rarely"/>
    <n v="0"/>
    <n v="1"/>
    <x v="0"/>
    <n v="0"/>
    <n v="1"/>
    <n v="28"/>
    <n v="28"/>
    <n v="4"/>
    <s v="Life Sciences"/>
    <n v="1"/>
    <n v="0"/>
    <n v="0"/>
    <n v="0"/>
    <n v="0"/>
    <n v="2"/>
    <s v="Female"/>
    <n v="1"/>
    <n v="98"/>
    <n v="2"/>
    <n v="1"/>
    <s v="Sales Representative"/>
    <n v="0"/>
    <n v="0"/>
    <n v="0"/>
    <n v="0"/>
    <n v="0"/>
    <n v="0"/>
    <n v="1"/>
    <n v="0"/>
    <n v="3"/>
    <s v="Married"/>
    <n v="0"/>
    <n v="1"/>
    <n v="2430"/>
    <n v="2430"/>
    <n v="0"/>
    <s v="No"/>
    <n v="0"/>
    <n v="23"/>
    <n v="4"/>
    <n v="1"/>
    <n v="2"/>
    <n v="6"/>
    <x v="3"/>
    <n v="5"/>
    <n v="3"/>
    <n v="5"/>
    <n v="5"/>
    <n v="3"/>
    <n v="4"/>
    <n v="4"/>
    <n v="2"/>
    <n v="2"/>
    <n v="2"/>
    <n v="0"/>
    <n v="1"/>
    <n v="0"/>
    <n v="0"/>
    <n v="0"/>
    <n v="0"/>
    <n v="1"/>
    <n v="0"/>
    <n v="0"/>
    <n v="0"/>
    <n v="2"/>
    <n v="0"/>
    <n v="0"/>
    <n v="6"/>
    <n v="0.86511654209299715"/>
    <n v="0.59502473559756086"/>
    <n v="0.67854260110508058"/>
    <n v="0.32778177112653761"/>
    <n v="2.3199454169301186"/>
    <n v="0.21058903898096887"/>
    <n v="0.56238451757720498"/>
  </r>
  <r>
    <n v="32"/>
    <n v="32"/>
    <s v="No"/>
    <n v="0"/>
    <s v="Travel_Rarely"/>
    <n v="0"/>
    <n v="1"/>
    <x v="1"/>
    <n v="1"/>
    <n v="0"/>
    <n v="5"/>
    <n v="5"/>
    <n v="2"/>
    <s v="Life Sciences"/>
    <n v="1"/>
    <n v="0"/>
    <n v="0"/>
    <n v="0"/>
    <n v="0"/>
    <n v="4"/>
    <s v="Female"/>
    <n v="1"/>
    <n v="67"/>
    <n v="2"/>
    <n v="2"/>
    <s v="Research Scientist"/>
    <n v="0"/>
    <n v="0"/>
    <n v="0"/>
    <n v="0"/>
    <n v="0"/>
    <n v="0"/>
    <n v="0"/>
    <n v="1"/>
    <n v="2"/>
    <s v="Married"/>
    <n v="0"/>
    <n v="1"/>
    <n v="5878"/>
    <n v="5878"/>
    <n v="3"/>
    <s v="No"/>
    <n v="0"/>
    <n v="12"/>
    <n v="3"/>
    <n v="1"/>
    <n v="1"/>
    <n v="12"/>
    <x v="4"/>
    <n v="2"/>
    <n v="3"/>
    <n v="7"/>
    <n v="7"/>
    <n v="1"/>
    <n v="2"/>
    <n v="2"/>
    <n v="5"/>
    <n v="5"/>
    <n v="10"/>
    <n v="0"/>
    <n v="1"/>
    <n v="0"/>
    <n v="0"/>
    <n v="0"/>
    <n v="0"/>
    <n v="1"/>
    <n v="0"/>
    <n v="0"/>
    <n v="5"/>
    <n v="0"/>
    <n v="0"/>
    <n v="12"/>
    <n v="0"/>
    <n v="0.13273938596050178"/>
    <n v="0.24575036340443959"/>
    <n v="9.2588147734864096E-2"/>
    <n v="1.3324462240916321E-3"/>
    <n v="0.51715642219916513"/>
    <n v="0.53898283739188557"/>
    <n v="5.8265062631872602E-2"/>
  </r>
  <r>
    <n v="36"/>
    <n v="36"/>
    <s v="No"/>
    <n v="0"/>
    <s v="Travel_Rarely"/>
    <n v="0"/>
    <n v="1"/>
    <x v="0"/>
    <n v="0"/>
    <n v="1"/>
    <n v="2"/>
    <n v="2"/>
    <n v="4"/>
    <s v="Life Sciences"/>
    <n v="1"/>
    <n v="0"/>
    <n v="0"/>
    <n v="0"/>
    <n v="0"/>
    <n v="3"/>
    <s v="Male"/>
    <n v="0"/>
    <n v="70"/>
    <n v="3"/>
    <n v="1"/>
    <s v="Sales Representative"/>
    <n v="0"/>
    <n v="0"/>
    <n v="0"/>
    <n v="0"/>
    <n v="0"/>
    <n v="0"/>
    <n v="1"/>
    <n v="0"/>
    <n v="4"/>
    <s v="Single"/>
    <n v="1"/>
    <n v="0"/>
    <n v="2644"/>
    <n v="2644"/>
    <n v="3"/>
    <s v="Yes"/>
    <n v="1"/>
    <n v="21"/>
    <n v="4"/>
    <n v="4"/>
    <n v="0"/>
    <n v="7"/>
    <x v="2"/>
    <n v="3"/>
    <n v="2"/>
    <n v="3"/>
    <n v="3"/>
    <n v="2"/>
    <n v="1"/>
    <n v="1"/>
    <n v="2"/>
    <n v="2"/>
    <n v="2"/>
    <n v="1"/>
    <n v="0"/>
    <n v="0"/>
    <n v="0"/>
    <n v="0"/>
    <n v="1"/>
    <n v="0"/>
    <n v="0"/>
    <n v="0"/>
    <n v="0"/>
    <n v="2"/>
    <n v="0"/>
    <n v="0"/>
    <n v="7"/>
    <n v="0.81966157938639794"/>
    <n v="0.59502473559756086"/>
    <n v="0.55002080963175637"/>
    <n v="0.65423109602898355"/>
    <n v="0.88721318382472392"/>
    <n v="0.10112443951066327"/>
    <n v="0.36858985273641137"/>
  </r>
  <r>
    <n v="48"/>
    <n v="48"/>
    <s v="No"/>
    <n v="0"/>
    <s v="Travel_Rarely"/>
    <n v="0"/>
    <n v="1"/>
    <x v="0"/>
    <n v="0"/>
    <n v="1"/>
    <n v="16"/>
    <n v="16"/>
    <n v="4"/>
    <s v="Life Sciences"/>
    <n v="1"/>
    <n v="0"/>
    <n v="0"/>
    <n v="0"/>
    <n v="0"/>
    <n v="3"/>
    <s v="Female"/>
    <n v="1"/>
    <n v="96"/>
    <n v="3"/>
    <n v="2"/>
    <s v="Sales Executive"/>
    <n v="0"/>
    <n v="1"/>
    <n v="0"/>
    <n v="0"/>
    <n v="0"/>
    <n v="0"/>
    <n v="0"/>
    <n v="0"/>
    <n v="3"/>
    <s v="Divorced"/>
    <n v="0"/>
    <n v="0"/>
    <n v="6439"/>
    <n v="6439"/>
    <n v="8"/>
    <s v="No"/>
    <n v="0"/>
    <n v="14"/>
    <n v="3"/>
    <n v="3"/>
    <n v="1"/>
    <n v="18"/>
    <x v="30"/>
    <n v="2"/>
    <n v="3"/>
    <n v="8"/>
    <n v="8"/>
    <n v="7"/>
    <n v="7"/>
    <n v="7"/>
    <n v="7"/>
    <n v="7"/>
    <n v="14"/>
    <n v="1"/>
    <n v="0"/>
    <n v="0"/>
    <n v="0"/>
    <n v="1"/>
    <n v="0"/>
    <n v="0"/>
    <n v="0"/>
    <n v="0"/>
    <n v="0"/>
    <n v="7"/>
    <n v="0"/>
    <n v="0"/>
    <n v="18"/>
    <n v="1.3579413631519804E-2"/>
    <n v="0.80626709607243985"/>
    <n v="0.86371889657480871"/>
    <n v="0.16189221622713135"/>
    <n v="0.83971837042788355"/>
    <n v="1.2124507541330036"/>
    <n v="1.4933588878908215"/>
  </r>
  <r>
    <n v="29"/>
    <n v="29"/>
    <s v="No"/>
    <n v="0"/>
    <s v="Travel_Rarely"/>
    <n v="0"/>
    <n v="1"/>
    <x v="1"/>
    <n v="1"/>
    <n v="0"/>
    <n v="9"/>
    <n v="9"/>
    <n v="3"/>
    <s v="Life Sciences"/>
    <n v="1"/>
    <n v="0"/>
    <n v="0"/>
    <n v="0"/>
    <n v="0"/>
    <n v="3"/>
    <s v="Male"/>
    <n v="0"/>
    <n v="91"/>
    <n v="4"/>
    <n v="1"/>
    <s v="Research Scientist"/>
    <n v="0"/>
    <n v="0"/>
    <n v="0"/>
    <n v="0"/>
    <n v="0"/>
    <n v="0"/>
    <n v="0"/>
    <n v="1"/>
    <n v="3"/>
    <s v="Married"/>
    <n v="0"/>
    <n v="1"/>
    <n v="2451"/>
    <n v="2451"/>
    <n v="6"/>
    <s v="No"/>
    <n v="0"/>
    <n v="18"/>
    <n v="3"/>
    <n v="1"/>
    <n v="2"/>
    <n v="5"/>
    <x v="7"/>
    <n v="2"/>
    <n v="2"/>
    <n v="1"/>
    <n v="1"/>
    <n v="0"/>
    <n v="0"/>
    <n v="0"/>
    <n v="0"/>
    <n v="0"/>
    <n v="0"/>
    <n v="0"/>
    <n v="1"/>
    <n v="0"/>
    <n v="0"/>
    <n v="0"/>
    <n v="0"/>
    <n v="1"/>
    <n v="0"/>
    <n v="0"/>
    <n v="0"/>
    <n v="0"/>
    <n v="0"/>
    <n v="5"/>
    <n v="0"/>
    <n v="0.86065600836945233"/>
    <n v="1.1555414682655611"/>
    <n v="0.80706439257840468"/>
    <n v="0.9806804209314296"/>
    <n v="2.3747406698420157E-2"/>
    <n v="0.86737663580280233"/>
    <n v="0.67891464284095016"/>
  </r>
  <r>
    <n v="33"/>
    <n v="33"/>
    <s v="No"/>
    <n v="0"/>
    <s v="Travel_Rarely"/>
    <n v="0"/>
    <n v="1"/>
    <x v="0"/>
    <n v="0"/>
    <n v="1"/>
    <n v="8"/>
    <n v="8"/>
    <n v="4"/>
    <s v="Life Sciences"/>
    <n v="1"/>
    <n v="0"/>
    <n v="0"/>
    <n v="0"/>
    <n v="0"/>
    <n v="1"/>
    <s v="Male"/>
    <n v="0"/>
    <n v="46"/>
    <n v="3"/>
    <n v="2"/>
    <s v="Sales Executive"/>
    <n v="0"/>
    <n v="1"/>
    <n v="0"/>
    <n v="0"/>
    <n v="0"/>
    <n v="0"/>
    <n v="0"/>
    <n v="0"/>
    <n v="1"/>
    <s v="Married"/>
    <n v="0"/>
    <n v="1"/>
    <n v="6392"/>
    <n v="6392"/>
    <n v="2"/>
    <s v="No"/>
    <n v="0"/>
    <n v="13"/>
    <n v="3"/>
    <n v="4"/>
    <n v="1"/>
    <n v="8"/>
    <x v="0"/>
    <n v="6"/>
    <n v="1"/>
    <n v="2"/>
    <n v="2"/>
    <n v="2"/>
    <n v="2"/>
    <n v="2"/>
    <n v="2"/>
    <n v="2"/>
    <n v="4"/>
    <n v="0"/>
    <n v="1"/>
    <n v="0"/>
    <n v="0"/>
    <n v="0"/>
    <n v="0"/>
    <n v="1"/>
    <n v="0"/>
    <n v="0"/>
    <n v="0"/>
    <n v="2"/>
    <n v="0"/>
    <n v="0"/>
    <n v="8"/>
    <n v="2.3562512917548597E-2"/>
    <n v="0.59502473559756086"/>
    <n v="0.42149901815843233"/>
    <n v="0.81745575848020657"/>
    <n v="0.14709966057360641"/>
    <n v="0.42951823792158"/>
    <n v="5.8265062631872602E-2"/>
  </r>
  <r>
    <n v="30"/>
    <n v="30"/>
    <s v="Yes"/>
    <n v="1"/>
    <s v="Travel_Rarely"/>
    <n v="0"/>
    <n v="1"/>
    <x v="0"/>
    <n v="0"/>
    <n v="1"/>
    <n v="1"/>
    <n v="1"/>
    <n v="3"/>
    <s v="Life Sciences"/>
    <n v="1"/>
    <n v="0"/>
    <n v="0"/>
    <n v="0"/>
    <n v="0"/>
    <n v="2"/>
    <s v="Male"/>
    <n v="0"/>
    <n v="64"/>
    <n v="2"/>
    <n v="2"/>
    <s v="Sales Executive"/>
    <n v="0"/>
    <n v="1"/>
    <n v="0"/>
    <n v="0"/>
    <n v="0"/>
    <n v="0"/>
    <n v="0"/>
    <n v="0"/>
    <n v="1"/>
    <s v="Married"/>
    <n v="0"/>
    <n v="1"/>
    <n v="9714"/>
    <n v="9714"/>
    <n v="1"/>
    <s v="No"/>
    <n v="0"/>
    <n v="11"/>
    <n v="3"/>
    <n v="4"/>
    <n v="1"/>
    <n v="10"/>
    <x v="1"/>
    <n v="4"/>
    <n v="3"/>
    <n v="10"/>
    <n v="10"/>
    <n v="8"/>
    <n v="6"/>
    <n v="6"/>
    <n v="7"/>
    <n v="7"/>
    <n v="14"/>
    <n v="0"/>
    <n v="1"/>
    <n v="0"/>
    <n v="0"/>
    <n v="0"/>
    <n v="0"/>
    <n v="1"/>
    <n v="0"/>
    <n v="0"/>
    <n v="0"/>
    <n v="7"/>
    <n v="0"/>
    <n v="0"/>
    <n v="10"/>
    <n v="0.68205144087367808"/>
    <n v="0.80626709607243985"/>
    <n v="0.1644554352117841"/>
    <n v="0.48834154112957734"/>
    <n v="1.01056543769991"/>
    <n v="0.75791203633249671"/>
    <n v="1.1830340977862825"/>
  </r>
  <r>
    <n v="38"/>
    <n v="38"/>
    <s v="No"/>
    <n v="0"/>
    <s v="Travel_Frequently"/>
    <n v="1"/>
    <n v="0"/>
    <x v="2"/>
    <n v="0"/>
    <n v="0"/>
    <n v="10"/>
    <n v="10"/>
    <n v="4"/>
    <s v="Human Resources"/>
    <n v="0"/>
    <n v="0"/>
    <n v="0"/>
    <n v="0"/>
    <n v="0"/>
    <n v="3"/>
    <s v="Male"/>
    <n v="0"/>
    <n v="71"/>
    <n v="3"/>
    <n v="2"/>
    <s v="Human Resources"/>
    <n v="0"/>
    <n v="0"/>
    <n v="0"/>
    <n v="0"/>
    <n v="0"/>
    <n v="0"/>
    <n v="0"/>
    <n v="0"/>
    <n v="3"/>
    <s v="Married"/>
    <n v="0"/>
    <n v="1"/>
    <n v="6077"/>
    <n v="6077"/>
    <n v="3"/>
    <s v="No"/>
    <n v="0"/>
    <n v="11"/>
    <n v="3"/>
    <n v="3"/>
    <n v="0"/>
    <n v="10"/>
    <x v="1"/>
    <n v="2"/>
    <n v="3"/>
    <n v="6"/>
    <n v="6"/>
    <n v="3"/>
    <n v="1"/>
    <n v="1"/>
    <n v="2"/>
    <n v="2"/>
    <n v="4"/>
    <n v="0"/>
    <n v="0"/>
    <n v="0"/>
    <n v="1"/>
    <n v="0"/>
    <n v="0"/>
    <n v="1"/>
    <n v="0"/>
    <n v="2"/>
    <n v="0"/>
    <n v="0"/>
    <n v="10"/>
    <n v="0"/>
    <n v="0"/>
    <n v="9.0470518770720293E-2"/>
    <n v="0.59502473559756086"/>
    <n v="0.1644554352117841"/>
    <n v="0.16455710867531462"/>
    <n v="9.9604847176766084E-2"/>
    <n v="0.11780475942994788"/>
    <n v="0.36858985273641137"/>
  </r>
  <r>
    <n v="35"/>
    <n v="35"/>
    <s v="No"/>
    <n v="0"/>
    <s v="Travel_Rarely"/>
    <n v="0"/>
    <n v="1"/>
    <x v="1"/>
    <n v="1"/>
    <n v="0"/>
    <n v="1"/>
    <n v="1"/>
    <n v="3"/>
    <s v="Medical"/>
    <n v="0"/>
    <n v="0"/>
    <n v="1"/>
    <n v="0"/>
    <n v="0"/>
    <n v="4"/>
    <s v="Male"/>
    <n v="0"/>
    <n v="68"/>
    <n v="2"/>
    <n v="1"/>
    <s v="Laboratory Technician"/>
    <n v="0"/>
    <n v="0"/>
    <n v="1"/>
    <n v="0"/>
    <n v="0"/>
    <n v="0"/>
    <n v="0"/>
    <n v="0"/>
    <n v="1"/>
    <s v="Single"/>
    <n v="1"/>
    <n v="0"/>
    <n v="2450"/>
    <n v="2450"/>
    <n v="1"/>
    <s v="No"/>
    <n v="0"/>
    <n v="19"/>
    <n v="3"/>
    <n v="2"/>
    <n v="0"/>
    <n v="3"/>
    <x v="8"/>
    <n v="3"/>
    <n v="3"/>
    <n v="3"/>
    <n v="3"/>
    <n v="0"/>
    <n v="1"/>
    <n v="1"/>
    <n v="2"/>
    <n v="2"/>
    <n v="2"/>
    <n v="1"/>
    <n v="0"/>
    <n v="0"/>
    <n v="0"/>
    <n v="1"/>
    <n v="0"/>
    <n v="0"/>
    <n v="0"/>
    <n v="0"/>
    <n v="2"/>
    <n v="0"/>
    <n v="0"/>
    <n v="3"/>
    <n v="0"/>
    <n v="0.86086841473724018"/>
    <n v="0.59502473559756086"/>
    <n v="1.0641079755250529"/>
    <n v="0.65423109602898355"/>
    <n v="1.01056543769991"/>
    <n v="0.21058903898096887"/>
    <n v="0.36858985273641137"/>
  </r>
  <r>
    <n v="30"/>
    <n v="30"/>
    <s v="No"/>
    <n v="0"/>
    <s v="Travel_Rarely"/>
    <n v="0"/>
    <n v="1"/>
    <x v="0"/>
    <n v="0"/>
    <n v="1"/>
    <n v="29"/>
    <n v="29"/>
    <n v="4"/>
    <s v="Technical Degree"/>
    <n v="0"/>
    <n v="0"/>
    <n v="0"/>
    <n v="0"/>
    <n v="1"/>
    <n v="3"/>
    <s v="Male"/>
    <n v="0"/>
    <n v="33"/>
    <n v="3"/>
    <n v="3"/>
    <s v="Sales Executive"/>
    <n v="0"/>
    <n v="1"/>
    <n v="0"/>
    <n v="0"/>
    <n v="0"/>
    <n v="0"/>
    <n v="0"/>
    <n v="0"/>
    <n v="2"/>
    <s v="Married"/>
    <n v="0"/>
    <n v="1"/>
    <n v="9250"/>
    <n v="9250"/>
    <n v="3"/>
    <s v="No"/>
    <n v="0"/>
    <n v="12"/>
    <n v="3"/>
    <n v="2"/>
    <n v="1"/>
    <n v="9"/>
    <x v="14"/>
    <n v="3"/>
    <n v="3"/>
    <n v="4"/>
    <n v="4"/>
    <n v="2"/>
    <n v="1"/>
    <n v="1"/>
    <n v="3"/>
    <n v="3"/>
    <n v="9"/>
    <n v="0"/>
    <n v="1"/>
    <n v="0"/>
    <n v="0"/>
    <n v="0"/>
    <n v="0"/>
    <n v="1"/>
    <n v="0"/>
    <n v="0"/>
    <n v="0"/>
    <n v="3"/>
    <n v="0"/>
    <n v="0"/>
    <n v="9"/>
    <n v="0.58349488622011714"/>
    <n v="0.31476636926356072"/>
    <n v="0.29297722668510823"/>
    <n v="0.49100643357776058"/>
    <n v="2.4432976708053049"/>
    <n v="0.75791203633249671"/>
    <n v="0.36858985273641137"/>
  </r>
  <r>
    <n v="35"/>
    <n v="35"/>
    <s v="Yes"/>
    <n v="1"/>
    <s v="Travel_Rarely"/>
    <n v="0"/>
    <n v="1"/>
    <x v="1"/>
    <n v="1"/>
    <n v="0"/>
    <n v="2"/>
    <n v="2"/>
    <n v="3"/>
    <s v="Life Sciences"/>
    <n v="1"/>
    <n v="0"/>
    <n v="0"/>
    <n v="0"/>
    <n v="0"/>
    <n v="1"/>
    <s v="Female"/>
    <n v="1"/>
    <n v="69"/>
    <n v="3"/>
    <n v="1"/>
    <s v="Laboratory Technician"/>
    <n v="0"/>
    <n v="0"/>
    <n v="1"/>
    <n v="0"/>
    <n v="0"/>
    <n v="0"/>
    <n v="0"/>
    <n v="0"/>
    <n v="1"/>
    <s v="Divorced"/>
    <n v="0"/>
    <n v="0"/>
    <n v="2074"/>
    <n v="2074"/>
    <n v="1"/>
    <s v="Yes"/>
    <n v="1"/>
    <n v="12"/>
    <n v="3"/>
    <n v="4"/>
    <n v="1"/>
    <n v="1"/>
    <x v="5"/>
    <n v="2"/>
    <n v="3"/>
    <n v="1"/>
    <n v="1"/>
    <n v="0"/>
    <n v="0"/>
    <n v="0"/>
    <n v="0"/>
    <n v="0"/>
    <n v="0"/>
    <n v="1"/>
    <n v="0"/>
    <n v="0"/>
    <n v="0"/>
    <n v="0"/>
    <n v="1"/>
    <n v="0"/>
    <n v="0"/>
    <n v="0"/>
    <n v="0"/>
    <n v="0"/>
    <n v="0"/>
    <n v="1"/>
    <n v="0"/>
    <n v="0.94073320902547053"/>
    <n v="1.1555414682655611"/>
    <n v="1.3211515584717011"/>
    <n v="0.9806804209314296"/>
    <n v="0.88721318382472392"/>
    <n v="0.21058903898096887"/>
    <n v="0.67891464284095016"/>
  </r>
  <r>
    <n v="53"/>
    <n v="53"/>
    <s v="Yes"/>
    <n v="1"/>
    <s v="Travel_Rarely"/>
    <n v="0"/>
    <n v="1"/>
    <x v="1"/>
    <n v="1"/>
    <n v="0"/>
    <n v="2"/>
    <n v="2"/>
    <n v="5"/>
    <s v="Technical Degree"/>
    <n v="0"/>
    <n v="0"/>
    <n v="0"/>
    <n v="0"/>
    <n v="1"/>
    <n v="3"/>
    <s v="Female"/>
    <n v="1"/>
    <n v="78"/>
    <n v="2"/>
    <n v="3"/>
    <s v="Manufacturing Director"/>
    <n v="0"/>
    <n v="0"/>
    <n v="0"/>
    <n v="0"/>
    <n v="1"/>
    <n v="1"/>
    <n v="0"/>
    <n v="0"/>
    <n v="4"/>
    <s v="Married"/>
    <n v="0"/>
    <n v="1"/>
    <n v="10169"/>
    <n v="10169"/>
    <n v="0"/>
    <s v="No"/>
    <n v="0"/>
    <n v="16"/>
    <n v="3"/>
    <n v="2"/>
    <n v="1"/>
    <n v="34"/>
    <x v="31"/>
    <n v="4"/>
    <n v="3"/>
    <n v="33"/>
    <n v="31"/>
    <n v="7"/>
    <n v="1"/>
    <n v="1"/>
    <n v="9"/>
    <n v="9"/>
    <n v="27"/>
    <n v="0"/>
    <n v="1"/>
    <n v="0"/>
    <n v="0"/>
    <n v="0"/>
    <n v="0"/>
    <n v="1"/>
    <n v="0"/>
    <n v="0"/>
    <n v="9"/>
    <n v="0"/>
    <n v="0"/>
    <n v="34"/>
    <n v="0"/>
    <n v="0.77869633821714823"/>
    <n v="1.3667838287404401"/>
    <n v="2.9200675601479942"/>
    <n v="4.2425087775077062"/>
    <n v="0.88721318382472392"/>
    <n v="1.7597737514845315"/>
    <n v="0.36858985273641137"/>
  </r>
  <r>
    <n v="38"/>
    <n v="38"/>
    <s v="Yes"/>
    <n v="1"/>
    <s v="Travel_Rarely"/>
    <n v="0"/>
    <n v="1"/>
    <x v="1"/>
    <n v="1"/>
    <n v="0"/>
    <n v="2"/>
    <n v="2"/>
    <n v="3"/>
    <s v="Medical"/>
    <n v="0"/>
    <n v="0"/>
    <n v="1"/>
    <n v="0"/>
    <n v="0"/>
    <n v="3"/>
    <s v="Male"/>
    <n v="0"/>
    <n v="81"/>
    <n v="3"/>
    <n v="2"/>
    <s v="Manufacturing Director"/>
    <n v="0"/>
    <n v="0"/>
    <n v="0"/>
    <n v="0"/>
    <n v="1"/>
    <n v="1"/>
    <n v="0"/>
    <n v="0"/>
    <n v="2"/>
    <s v="Married"/>
    <n v="0"/>
    <n v="1"/>
    <n v="4855"/>
    <n v="4855"/>
    <n v="4"/>
    <s v="No"/>
    <n v="0"/>
    <n v="11"/>
    <n v="3"/>
    <n v="1"/>
    <n v="2"/>
    <n v="7"/>
    <x v="2"/>
    <n v="2"/>
    <n v="3"/>
    <n v="5"/>
    <n v="5"/>
    <n v="2"/>
    <n v="1"/>
    <n v="1"/>
    <n v="4"/>
    <n v="4"/>
    <n v="8"/>
    <n v="0"/>
    <n v="1"/>
    <n v="0"/>
    <n v="0"/>
    <n v="0"/>
    <n v="0"/>
    <n v="1"/>
    <n v="0"/>
    <n v="0"/>
    <n v="4"/>
    <n v="0"/>
    <n v="0"/>
    <n v="7"/>
    <n v="0"/>
    <n v="0.35003110020746891"/>
    <n v="3.4508002929560584E-2"/>
    <n v="0.55002080963175637"/>
    <n v="0.32778177112653761"/>
    <n v="0.88721318382472392"/>
    <n v="0.11780475942994788"/>
    <n v="0.36858985273641137"/>
  </r>
  <r>
    <n v="32"/>
    <n v="32"/>
    <s v="No"/>
    <n v="0"/>
    <s v="Non-Travel"/>
    <n v="0"/>
    <n v="0"/>
    <x v="1"/>
    <n v="1"/>
    <n v="0"/>
    <n v="1"/>
    <n v="1"/>
    <n v="4"/>
    <s v="Technical Degree"/>
    <n v="0"/>
    <n v="0"/>
    <n v="0"/>
    <n v="0"/>
    <n v="1"/>
    <n v="4"/>
    <s v="Male"/>
    <n v="0"/>
    <n v="62"/>
    <n v="3"/>
    <n v="2"/>
    <s v="Research Scientist"/>
    <n v="0"/>
    <n v="0"/>
    <n v="0"/>
    <n v="0"/>
    <n v="0"/>
    <n v="0"/>
    <n v="0"/>
    <n v="1"/>
    <n v="1"/>
    <s v="Married"/>
    <n v="0"/>
    <n v="1"/>
    <n v="4087"/>
    <n v="4087"/>
    <n v="4"/>
    <s v="No"/>
    <n v="0"/>
    <n v="14"/>
    <n v="3"/>
    <n v="2"/>
    <n v="1"/>
    <n v="9"/>
    <x v="14"/>
    <n v="3"/>
    <n v="2"/>
    <n v="6"/>
    <n v="6"/>
    <n v="5"/>
    <n v="1"/>
    <n v="1"/>
    <n v="2"/>
    <n v="2"/>
    <n v="4"/>
    <n v="0"/>
    <n v="1"/>
    <n v="0"/>
    <n v="0"/>
    <n v="0"/>
    <n v="0"/>
    <n v="1"/>
    <n v="0"/>
    <n v="0"/>
    <n v="2"/>
    <n v="0"/>
    <n v="0"/>
    <n v="9"/>
    <n v="0"/>
    <n v="0.51315919066853521"/>
    <n v="0.59502473559756086"/>
    <n v="0.29297722668510823"/>
    <n v="0.16455710867531462"/>
    <n v="1.01056543769991"/>
    <n v="0.53898283739188557"/>
    <n v="0.36858985273641137"/>
  </r>
  <r>
    <n v="48"/>
    <n v="48"/>
    <s v="No"/>
    <n v="0"/>
    <s v="Travel_Rarely"/>
    <n v="0"/>
    <n v="1"/>
    <x v="1"/>
    <n v="1"/>
    <n v="0"/>
    <n v="15"/>
    <n v="15"/>
    <n v="4"/>
    <s v="Other"/>
    <n v="0"/>
    <n v="1"/>
    <n v="0"/>
    <n v="0"/>
    <n v="0"/>
    <n v="3"/>
    <s v="Female"/>
    <n v="1"/>
    <n v="65"/>
    <n v="3"/>
    <n v="1"/>
    <s v="Research Scientist"/>
    <n v="0"/>
    <n v="0"/>
    <n v="0"/>
    <n v="0"/>
    <n v="0"/>
    <n v="0"/>
    <n v="0"/>
    <n v="1"/>
    <n v="1"/>
    <s v="Married"/>
    <n v="0"/>
    <n v="1"/>
    <n v="2367"/>
    <n v="2367"/>
    <n v="8"/>
    <s v="No"/>
    <n v="0"/>
    <n v="12"/>
    <n v="3"/>
    <n v="4"/>
    <n v="1"/>
    <n v="10"/>
    <x v="1"/>
    <n v="3"/>
    <n v="2"/>
    <n v="8"/>
    <n v="8"/>
    <n v="2"/>
    <n v="7"/>
    <n v="7"/>
    <n v="6"/>
    <n v="6"/>
    <n v="6"/>
    <n v="0"/>
    <n v="1"/>
    <n v="0"/>
    <n v="0"/>
    <n v="0"/>
    <n v="0"/>
    <n v="1"/>
    <n v="0"/>
    <n v="0"/>
    <n v="6"/>
    <n v="0"/>
    <n v="0"/>
    <n v="10"/>
    <n v="0"/>
    <n v="0.8784981432636314"/>
    <n v="0.52600872973843971"/>
    <n v="0.1644554352117841"/>
    <n v="0.16189221622713135"/>
    <n v="0.71636611655269733"/>
    <n v="1.2124507541330036"/>
    <n v="1.4933588878908215"/>
  </r>
  <r>
    <n v="34"/>
    <n v="34"/>
    <s v="No"/>
    <n v="0"/>
    <s v="Travel_Rarely"/>
    <n v="0"/>
    <n v="1"/>
    <x v="1"/>
    <n v="1"/>
    <n v="0"/>
    <n v="7"/>
    <n v="7"/>
    <n v="4"/>
    <s v="Medical"/>
    <n v="0"/>
    <n v="0"/>
    <n v="1"/>
    <n v="0"/>
    <n v="0"/>
    <n v="1"/>
    <s v="Male"/>
    <n v="0"/>
    <n v="35"/>
    <n v="3"/>
    <n v="1"/>
    <s v="Research Scientist"/>
    <n v="0"/>
    <n v="0"/>
    <n v="0"/>
    <n v="0"/>
    <n v="0"/>
    <n v="0"/>
    <n v="0"/>
    <n v="1"/>
    <n v="4"/>
    <s v="Single"/>
    <n v="1"/>
    <n v="0"/>
    <n v="2972"/>
    <n v="2972"/>
    <n v="1"/>
    <s v="No"/>
    <n v="0"/>
    <n v="13"/>
    <n v="3"/>
    <n v="3"/>
    <n v="0"/>
    <n v="1"/>
    <x v="5"/>
    <n v="4"/>
    <n v="1"/>
    <n v="1"/>
    <n v="1"/>
    <n v="0"/>
    <n v="0"/>
    <n v="0"/>
    <n v="0"/>
    <n v="0"/>
    <n v="0"/>
    <n v="1"/>
    <n v="0"/>
    <n v="0"/>
    <n v="0"/>
    <n v="1"/>
    <n v="0"/>
    <n v="0"/>
    <n v="0"/>
    <n v="0"/>
    <n v="0"/>
    <n v="0"/>
    <n v="0"/>
    <n v="1"/>
    <n v="0"/>
    <n v="0.74999229075198426"/>
    <n v="1.1555414682655611"/>
    <n v="1.3211515584717011"/>
    <n v="0.9806804209314296"/>
    <n v="0.27045191444879263"/>
    <n v="0.32005363845127444"/>
    <n v="0.67891464284095016"/>
  </r>
  <r>
    <n v="55"/>
    <n v="55"/>
    <s v="No"/>
    <n v="0"/>
    <s v="Travel_Rarely"/>
    <n v="0"/>
    <n v="1"/>
    <x v="0"/>
    <n v="0"/>
    <n v="1"/>
    <n v="26"/>
    <n v="26"/>
    <n v="5"/>
    <s v="Marketing"/>
    <n v="0"/>
    <n v="0"/>
    <n v="0"/>
    <n v="1"/>
    <n v="0"/>
    <n v="3"/>
    <s v="Male"/>
    <n v="0"/>
    <n v="60"/>
    <n v="2"/>
    <n v="5"/>
    <s v="Manager"/>
    <n v="0"/>
    <n v="0"/>
    <n v="0"/>
    <n v="1"/>
    <n v="0"/>
    <n v="0"/>
    <n v="0"/>
    <n v="0"/>
    <n v="4"/>
    <s v="Married"/>
    <n v="0"/>
    <n v="1"/>
    <n v="19586"/>
    <n v="19586"/>
    <n v="1"/>
    <s v="No"/>
    <n v="0"/>
    <n v="21"/>
    <n v="4"/>
    <n v="3"/>
    <n v="1"/>
    <n v="36"/>
    <x v="28"/>
    <n v="3"/>
    <n v="3"/>
    <n v="36"/>
    <n v="31"/>
    <n v="6"/>
    <n v="2"/>
    <n v="2"/>
    <n v="13"/>
    <n v="13"/>
    <n v="65"/>
    <n v="0"/>
    <n v="1"/>
    <n v="0"/>
    <n v="0"/>
    <n v="0"/>
    <n v="0"/>
    <n v="1"/>
    <n v="0"/>
    <n v="0"/>
    <n v="0"/>
    <n v="13"/>
    <n v="0"/>
    <n v="0"/>
    <n v="35"/>
    <n v="2.7789271036753003"/>
    <n v="2.4878172940764407"/>
    <n v="3.1771111430946424"/>
    <n v="4.732182764861375"/>
    <n v="2.0732409091797459"/>
    <n v="1.9787029504251428"/>
    <n v="5.8265062631872602E-2"/>
  </r>
  <r>
    <n v="34"/>
    <n v="34"/>
    <s v="No"/>
    <n v="0"/>
    <s v="Travel_Rarely"/>
    <n v="0"/>
    <n v="1"/>
    <x v="1"/>
    <n v="1"/>
    <n v="0"/>
    <n v="1"/>
    <n v="1"/>
    <n v="4"/>
    <s v="Life Sciences"/>
    <n v="1"/>
    <n v="0"/>
    <n v="0"/>
    <n v="0"/>
    <n v="0"/>
    <n v="2"/>
    <s v="Male"/>
    <n v="0"/>
    <n v="45"/>
    <n v="3"/>
    <n v="2"/>
    <s v="Research Scientist"/>
    <n v="0"/>
    <n v="0"/>
    <n v="0"/>
    <n v="0"/>
    <n v="0"/>
    <n v="0"/>
    <n v="0"/>
    <n v="1"/>
    <n v="4"/>
    <s v="Married"/>
    <n v="0"/>
    <n v="1"/>
    <n v="5484"/>
    <n v="5484"/>
    <n v="9"/>
    <s v="No"/>
    <n v="0"/>
    <n v="17"/>
    <n v="3"/>
    <n v="2"/>
    <n v="1"/>
    <n v="9"/>
    <x v="14"/>
    <n v="3"/>
    <n v="2"/>
    <n v="2"/>
    <n v="2"/>
    <n v="2"/>
    <n v="2"/>
    <n v="2"/>
    <n v="1"/>
    <n v="1"/>
    <n v="2"/>
    <n v="0"/>
    <n v="1"/>
    <n v="0"/>
    <n v="0"/>
    <n v="0"/>
    <n v="0"/>
    <n v="1"/>
    <n v="0"/>
    <n v="0"/>
    <n v="1"/>
    <n v="0"/>
    <n v="0"/>
    <n v="9"/>
    <n v="0"/>
    <n v="0.21642749486891338"/>
    <n v="0.87528310193156111"/>
    <n v="0.29297722668510823"/>
    <n v="0.81745575848020657"/>
    <n v="1.01056543769991"/>
    <n v="0.32005363845127444"/>
    <n v="5.8265062631872602E-2"/>
  </r>
  <r>
    <n v="26"/>
    <n v="26"/>
    <s v="No"/>
    <n v="0"/>
    <s v="Travel_Rarely"/>
    <n v="0"/>
    <n v="1"/>
    <x v="1"/>
    <n v="1"/>
    <n v="0"/>
    <n v="3"/>
    <n v="3"/>
    <n v="3"/>
    <s v="Life Sciences"/>
    <n v="1"/>
    <n v="0"/>
    <n v="0"/>
    <n v="0"/>
    <n v="0"/>
    <n v="1"/>
    <s v="Female"/>
    <n v="1"/>
    <n v="89"/>
    <n v="3"/>
    <n v="1"/>
    <s v="Research Scientist"/>
    <n v="0"/>
    <n v="0"/>
    <n v="0"/>
    <n v="0"/>
    <n v="0"/>
    <n v="0"/>
    <n v="0"/>
    <n v="1"/>
    <n v="4"/>
    <s v="Married"/>
    <n v="0"/>
    <n v="1"/>
    <n v="2061"/>
    <n v="2061"/>
    <n v="1"/>
    <s v="No"/>
    <n v="0"/>
    <n v="21"/>
    <n v="4"/>
    <n v="1"/>
    <n v="0"/>
    <n v="1"/>
    <x v="5"/>
    <n v="5"/>
    <n v="3"/>
    <n v="1"/>
    <n v="1"/>
    <n v="0"/>
    <n v="0"/>
    <n v="0"/>
    <n v="0"/>
    <n v="0"/>
    <n v="0"/>
    <n v="0"/>
    <n v="1"/>
    <n v="0"/>
    <n v="0"/>
    <n v="0"/>
    <n v="0"/>
    <n v="1"/>
    <n v="0"/>
    <n v="0"/>
    <n v="0"/>
    <n v="0"/>
    <n v="0"/>
    <n v="1"/>
    <n v="0"/>
    <n v="0.94349449180671252"/>
    <n v="1.1555414682655611"/>
    <n v="1.3211515584717011"/>
    <n v="0.9806804209314296"/>
    <n v="0.76386092994953758"/>
    <n v="1.195770434213719"/>
    <n v="0.67891464284095016"/>
  </r>
  <r>
    <n v="38"/>
    <n v="38"/>
    <s v="No"/>
    <n v="0"/>
    <s v="Travel_Rarely"/>
    <n v="0"/>
    <n v="1"/>
    <x v="0"/>
    <n v="0"/>
    <n v="1"/>
    <n v="14"/>
    <n v="14"/>
    <n v="3"/>
    <s v="Life Sciences"/>
    <n v="1"/>
    <n v="0"/>
    <n v="0"/>
    <n v="0"/>
    <n v="0"/>
    <n v="3"/>
    <s v="Male"/>
    <n v="0"/>
    <n v="80"/>
    <n v="3"/>
    <n v="2"/>
    <s v="Sales Executive"/>
    <n v="0"/>
    <n v="1"/>
    <n v="0"/>
    <n v="0"/>
    <n v="0"/>
    <n v="0"/>
    <n v="0"/>
    <n v="0"/>
    <n v="2"/>
    <s v="Married"/>
    <n v="0"/>
    <n v="1"/>
    <n v="9924"/>
    <n v="9924"/>
    <n v="0"/>
    <s v="No"/>
    <n v="0"/>
    <n v="11"/>
    <n v="3"/>
    <n v="4"/>
    <n v="1"/>
    <n v="10"/>
    <x v="1"/>
    <n v="3"/>
    <n v="3"/>
    <n v="9"/>
    <n v="9"/>
    <n v="8"/>
    <n v="7"/>
    <n v="7"/>
    <n v="7"/>
    <n v="7"/>
    <n v="14"/>
    <n v="0"/>
    <n v="1"/>
    <n v="0"/>
    <n v="0"/>
    <n v="0"/>
    <n v="0"/>
    <n v="1"/>
    <n v="0"/>
    <n v="0"/>
    <n v="0"/>
    <n v="7"/>
    <n v="0"/>
    <n v="0"/>
    <n v="10"/>
    <n v="0.72665677810912588"/>
    <n v="0.80626709607243985"/>
    <n v="0.1644554352117841"/>
    <n v="0.32511687867835437"/>
    <n v="0.59301386267751111"/>
    <n v="0.11780475942994788"/>
    <n v="1.4933588878908215"/>
  </r>
  <r>
    <n v="38"/>
    <n v="38"/>
    <s v="No"/>
    <n v="0"/>
    <s v="Travel_Rarely"/>
    <n v="0"/>
    <n v="1"/>
    <x v="0"/>
    <n v="0"/>
    <n v="1"/>
    <n v="16"/>
    <n v="16"/>
    <n v="3"/>
    <s v="Life Sciences"/>
    <n v="1"/>
    <n v="0"/>
    <n v="0"/>
    <n v="0"/>
    <n v="0"/>
    <n v="2"/>
    <s v="Female"/>
    <n v="1"/>
    <n v="90"/>
    <n v="3"/>
    <n v="2"/>
    <s v="Sales Executive"/>
    <n v="0"/>
    <n v="1"/>
    <n v="0"/>
    <n v="0"/>
    <n v="0"/>
    <n v="0"/>
    <n v="0"/>
    <n v="0"/>
    <n v="2"/>
    <s v="Single"/>
    <n v="1"/>
    <n v="0"/>
    <n v="4198"/>
    <n v="4198"/>
    <n v="2"/>
    <s v="No"/>
    <n v="0"/>
    <n v="12"/>
    <n v="3"/>
    <n v="2"/>
    <n v="0"/>
    <n v="8"/>
    <x v="0"/>
    <n v="5"/>
    <n v="4"/>
    <n v="3"/>
    <n v="3"/>
    <n v="2"/>
    <n v="1"/>
    <n v="1"/>
    <n v="2"/>
    <n v="2"/>
    <n v="4"/>
    <n v="1"/>
    <n v="0"/>
    <n v="0"/>
    <n v="0"/>
    <n v="1"/>
    <n v="0"/>
    <n v="0"/>
    <n v="0"/>
    <n v="0"/>
    <n v="0"/>
    <n v="2"/>
    <n v="0"/>
    <n v="0"/>
    <n v="8"/>
    <n v="0.48958208384408419"/>
    <n v="0.59502473559756086"/>
    <n v="0.42149901815843233"/>
    <n v="0.65423109602898355"/>
    <n v="0.83971837042788355"/>
    <n v="0.11780475942994788"/>
    <n v="0.36858985273641137"/>
  </r>
  <r>
    <n v="36"/>
    <n v="36"/>
    <s v="No"/>
    <n v="0"/>
    <s v="Travel_Rarely"/>
    <n v="0"/>
    <n v="1"/>
    <x v="0"/>
    <n v="0"/>
    <n v="1"/>
    <n v="1"/>
    <n v="1"/>
    <n v="4"/>
    <s v="Life Sciences"/>
    <n v="1"/>
    <n v="0"/>
    <n v="0"/>
    <n v="0"/>
    <n v="0"/>
    <n v="2"/>
    <s v="Female"/>
    <n v="1"/>
    <n v="73"/>
    <n v="3"/>
    <n v="2"/>
    <s v="Sales Executive"/>
    <n v="0"/>
    <n v="1"/>
    <n v="0"/>
    <n v="0"/>
    <n v="0"/>
    <n v="0"/>
    <n v="0"/>
    <n v="0"/>
    <n v="3"/>
    <s v="Single"/>
    <n v="1"/>
    <n v="0"/>
    <n v="6815"/>
    <n v="6815"/>
    <n v="6"/>
    <s v="No"/>
    <n v="0"/>
    <n v="13"/>
    <n v="3"/>
    <n v="1"/>
    <n v="0"/>
    <n v="15"/>
    <x v="19"/>
    <n v="5"/>
    <n v="3"/>
    <n v="1"/>
    <n v="1"/>
    <n v="0"/>
    <n v="0"/>
    <n v="0"/>
    <n v="0"/>
    <n v="0"/>
    <n v="0"/>
    <n v="1"/>
    <n v="0"/>
    <n v="0"/>
    <n v="0"/>
    <n v="1"/>
    <n v="0"/>
    <n v="0"/>
    <n v="0"/>
    <n v="0"/>
    <n v="0"/>
    <n v="0"/>
    <n v="0"/>
    <n v="0"/>
    <n v="15"/>
    <n v="6.6285380656710538E-2"/>
    <n v="1.1555414682655611"/>
    <n v="0.47815352215483642"/>
    <n v="0.9806804209314296"/>
    <n v="1.01056543769991"/>
    <n v="0.10112443951066327"/>
    <n v="0.67891464284095016"/>
  </r>
  <r>
    <n v="29"/>
    <n v="29"/>
    <s v="No"/>
    <n v="0"/>
    <s v="Travel_Rarely"/>
    <n v="0"/>
    <n v="1"/>
    <x v="1"/>
    <n v="1"/>
    <n v="0"/>
    <n v="3"/>
    <n v="3"/>
    <n v="1"/>
    <s v="Medical"/>
    <n v="0"/>
    <n v="0"/>
    <n v="1"/>
    <n v="0"/>
    <n v="0"/>
    <n v="2"/>
    <s v="Male"/>
    <n v="0"/>
    <n v="87"/>
    <n v="3"/>
    <n v="1"/>
    <s v="Laboratory Technician"/>
    <n v="0"/>
    <n v="0"/>
    <n v="1"/>
    <n v="0"/>
    <n v="0"/>
    <n v="0"/>
    <n v="0"/>
    <n v="0"/>
    <n v="1"/>
    <s v="Single"/>
    <n v="1"/>
    <n v="0"/>
    <n v="4723"/>
    <n v="4723"/>
    <n v="1"/>
    <s v="Yes"/>
    <n v="1"/>
    <n v="18"/>
    <n v="3"/>
    <n v="4"/>
    <n v="0"/>
    <n v="10"/>
    <x v="1"/>
    <n v="3"/>
    <n v="3"/>
    <n v="10"/>
    <n v="10"/>
    <n v="9"/>
    <n v="1"/>
    <n v="1"/>
    <n v="5"/>
    <n v="5"/>
    <n v="5"/>
    <n v="1"/>
    <n v="0"/>
    <n v="0"/>
    <n v="0"/>
    <n v="0"/>
    <n v="1"/>
    <n v="0"/>
    <n v="0"/>
    <n v="0"/>
    <n v="5"/>
    <n v="0"/>
    <n v="0"/>
    <n v="10"/>
    <n v="0"/>
    <n v="0.37806874075546471"/>
    <n v="0.24575036340443959"/>
    <n v="0.1644554352117841"/>
    <n v="0.48834154112957734"/>
    <n v="0.76386092994953758"/>
    <n v="0.86737663580280233"/>
    <n v="0.36858985273641137"/>
  </r>
  <r>
    <n v="35"/>
    <n v="35"/>
    <s v="No"/>
    <n v="0"/>
    <s v="Travel_Rarely"/>
    <n v="0"/>
    <n v="1"/>
    <x v="1"/>
    <n v="1"/>
    <n v="0"/>
    <n v="10"/>
    <n v="10"/>
    <n v="4"/>
    <s v="Medical"/>
    <n v="0"/>
    <n v="0"/>
    <n v="1"/>
    <n v="0"/>
    <n v="0"/>
    <n v="1"/>
    <s v="Female"/>
    <n v="1"/>
    <n v="51"/>
    <n v="3"/>
    <n v="2"/>
    <s v="Healthcare Representative"/>
    <n v="1"/>
    <n v="0"/>
    <n v="0"/>
    <n v="0"/>
    <n v="0"/>
    <n v="0"/>
    <n v="0"/>
    <n v="0"/>
    <n v="3"/>
    <s v="Single"/>
    <n v="1"/>
    <n v="0"/>
    <n v="6142"/>
    <n v="6142"/>
    <n v="3"/>
    <s v="Yes"/>
    <n v="1"/>
    <n v="16"/>
    <n v="3"/>
    <n v="3"/>
    <n v="0"/>
    <n v="10"/>
    <x v="1"/>
    <n v="4"/>
    <n v="3"/>
    <n v="5"/>
    <n v="5"/>
    <n v="2"/>
    <n v="0"/>
    <n v="0"/>
    <n v="4"/>
    <n v="4"/>
    <n v="8"/>
    <n v="1"/>
    <n v="0"/>
    <n v="0"/>
    <n v="0"/>
    <n v="0"/>
    <n v="1"/>
    <n v="0"/>
    <n v="0"/>
    <n v="0"/>
    <n v="4"/>
    <n v="0"/>
    <n v="0"/>
    <n v="10"/>
    <n v="0"/>
    <n v="7.6664104864510266E-2"/>
    <n v="3.4508002929560584E-2"/>
    <n v="0.1644554352117841"/>
    <n v="0.32778177112653761"/>
    <n v="9.9604847176766084E-2"/>
    <n v="0.21058903898096887"/>
    <n v="0.67891464284095016"/>
  </r>
  <r>
    <n v="39"/>
    <n v="39"/>
    <s v="No"/>
    <n v="0"/>
    <s v="Travel_Rarely"/>
    <n v="0"/>
    <n v="1"/>
    <x v="0"/>
    <n v="0"/>
    <n v="1"/>
    <n v="6"/>
    <n v="6"/>
    <n v="3"/>
    <s v="Medical"/>
    <n v="0"/>
    <n v="0"/>
    <n v="1"/>
    <n v="0"/>
    <n v="0"/>
    <n v="4"/>
    <s v="Male"/>
    <n v="0"/>
    <n v="38"/>
    <n v="4"/>
    <n v="3"/>
    <s v="Sales Executive"/>
    <n v="0"/>
    <n v="1"/>
    <n v="0"/>
    <n v="0"/>
    <n v="0"/>
    <n v="0"/>
    <n v="0"/>
    <n v="0"/>
    <n v="3"/>
    <s v="Married"/>
    <n v="0"/>
    <n v="1"/>
    <n v="8237"/>
    <n v="8237"/>
    <n v="2"/>
    <s v="No"/>
    <n v="0"/>
    <n v="11"/>
    <n v="3"/>
    <n v="1"/>
    <n v="1"/>
    <n v="11"/>
    <x v="26"/>
    <n v="3"/>
    <n v="3"/>
    <n v="7"/>
    <n v="7"/>
    <n v="6"/>
    <n v="7"/>
    <n v="7"/>
    <n v="6"/>
    <n v="6"/>
    <n v="18"/>
    <n v="0"/>
    <n v="1"/>
    <n v="0"/>
    <n v="0"/>
    <n v="0"/>
    <n v="0"/>
    <n v="1"/>
    <n v="0"/>
    <n v="0"/>
    <n v="0"/>
    <n v="6"/>
    <n v="0"/>
    <n v="0"/>
    <n v="11"/>
    <n v="0.36832723565102848"/>
    <n v="0.52600872973843971"/>
    <n v="3.593364373846001E-2"/>
    <n v="1.3324462240916321E-3"/>
    <n v="0.39380416832397891"/>
    <n v="0.22726935890025346"/>
    <n v="1.4933588878908215"/>
  </r>
  <r>
    <n v="29"/>
    <n v="29"/>
    <s v="No"/>
    <n v="0"/>
    <s v="Travel_Frequently"/>
    <n v="1"/>
    <n v="0"/>
    <x v="1"/>
    <n v="1"/>
    <n v="0"/>
    <n v="2"/>
    <n v="2"/>
    <n v="1"/>
    <s v="Life Sciences"/>
    <n v="1"/>
    <n v="0"/>
    <n v="0"/>
    <n v="0"/>
    <n v="0"/>
    <n v="1"/>
    <s v="Male"/>
    <n v="0"/>
    <n v="87"/>
    <n v="3"/>
    <n v="2"/>
    <s v="Healthcare Representative"/>
    <n v="1"/>
    <n v="0"/>
    <n v="0"/>
    <n v="0"/>
    <n v="0"/>
    <n v="0"/>
    <n v="0"/>
    <n v="0"/>
    <n v="4"/>
    <s v="Divorced"/>
    <n v="0"/>
    <n v="0"/>
    <n v="8853"/>
    <n v="8853"/>
    <n v="1"/>
    <s v="No"/>
    <n v="0"/>
    <n v="19"/>
    <n v="3"/>
    <n v="4"/>
    <n v="1"/>
    <n v="6"/>
    <x v="3"/>
    <n v="0"/>
    <n v="4"/>
    <n v="6"/>
    <n v="6"/>
    <n v="4"/>
    <n v="1"/>
    <n v="1"/>
    <n v="3"/>
    <n v="3"/>
    <n v="6"/>
    <n v="0"/>
    <n v="0"/>
    <n v="1"/>
    <n v="0"/>
    <n v="1"/>
    <n v="0"/>
    <n v="0"/>
    <n v="0"/>
    <n v="0"/>
    <n v="3"/>
    <n v="0"/>
    <n v="0"/>
    <n v="6"/>
    <n v="0"/>
    <n v="0.49916955820834208"/>
    <n v="0.31476636926356072"/>
    <n v="0.67854260110508058"/>
    <n v="0.16455710867531462"/>
    <n v="0.88721318382472392"/>
    <n v="0.86737663580280233"/>
    <n v="0.36858985273641137"/>
  </r>
  <r>
    <n v="50"/>
    <n v="50"/>
    <s v="No"/>
    <n v="0"/>
    <s v="Travel_Rarely"/>
    <n v="0"/>
    <n v="1"/>
    <x v="0"/>
    <n v="0"/>
    <n v="1"/>
    <n v="9"/>
    <n v="9"/>
    <n v="3"/>
    <s v="Marketing"/>
    <n v="0"/>
    <n v="0"/>
    <n v="0"/>
    <n v="1"/>
    <n v="0"/>
    <n v="3"/>
    <s v="Male"/>
    <n v="0"/>
    <n v="59"/>
    <n v="3"/>
    <n v="5"/>
    <s v="Manager"/>
    <n v="0"/>
    <n v="0"/>
    <n v="0"/>
    <n v="1"/>
    <n v="0"/>
    <n v="0"/>
    <n v="0"/>
    <n v="0"/>
    <n v="3"/>
    <s v="Married"/>
    <n v="0"/>
    <n v="1"/>
    <n v="19331"/>
    <n v="19331"/>
    <n v="4"/>
    <s v="Yes"/>
    <n v="1"/>
    <n v="16"/>
    <n v="3"/>
    <n v="3"/>
    <n v="1"/>
    <n v="27"/>
    <x v="34"/>
    <n v="2"/>
    <n v="3"/>
    <n v="1"/>
    <n v="1"/>
    <n v="0"/>
    <n v="0"/>
    <n v="0"/>
    <n v="0"/>
    <n v="0"/>
    <n v="0"/>
    <n v="0"/>
    <n v="1"/>
    <n v="0"/>
    <n v="0"/>
    <n v="0"/>
    <n v="0"/>
    <n v="0"/>
    <n v="1"/>
    <n v="0"/>
    <n v="0"/>
    <n v="0"/>
    <n v="0"/>
    <n v="0"/>
    <n v="27"/>
    <n v="2.7247634798893996"/>
    <n v="1.1555414682655611"/>
    <n v="2.0204150198347257"/>
    <n v="0.9806804209314296"/>
    <n v="2.3747406698420157E-2"/>
    <n v="1.4313799530736149"/>
    <n v="0.67891464284095016"/>
  </r>
  <r>
    <n v="23"/>
    <n v="23"/>
    <s v="No"/>
    <n v="0"/>
    <s v="Travel_Rarely"/>
    <n v="0"/>
    <n v="1"/>
    <x v="1"/>
    <n v="1"/>
    <n v="0"/>
    <n v="10"/>
    <n v="10"/>
    <n v="3"/>
    <s v="Technical Degree"/>
    <n v="0"/>
    <n v="0"/>
    <n v="0"/>
    <n v="0"/>
    <n v="1"/>
    <n v="4"/>
    <s v="Male"/>
    <n v="0"/>
    <n v="45"/>
    <n v="4"/>
    <n v="1"/>
    <s v="Research Scientist"/>
    <n v="0"/>
    <n v="0"/>
    <n v="0"/>
    <n v="0"/>
    <n v="0"/>
    <n v="0"/>
    <n v="0"/>
    <n v="1"/>
    <n v="3"/>
    <s v="Married"/>
    <n v="0"/>
    <n v="1"/>
    <n v="2073"/>
    <n v="2073"/>
    <n v="2"/>
    <s v="No"/>
    <n v="0"/>
    <n v="16"/>
    <n v="3"/>
    <n v="4"/>
    <n v="1"/>
    <n v="4"/>
    <x v="20"/>
    <n v="2"/>
    <n v="3"/>
    <n v="2"/>
    <n v="2"/>
    <n v="2"/>
    <n v="2"/>
    <n v="2"/>
    <n v="2"/>
    <n v="2"/>
    <n v="2"/>
    <n v="0"/>
    <n v="1"/>
    <n v="0"/>
    <n v="0"/>
    <n v="0"/>
    <n v="0"/>
    <n v="1"/>
    <n v="0"/>
    <n v="0"/>
    <n v="2"/>
    <n v="0"/>
    <n v="0"/>
    <n v="4"/>
    <n v="0"/>
    <n v="0.94094561539325838"/>
    <n v="0.59502473559756086"/>
    <n v="0.93558618405172878"/>
    <n v="0.81745575848020657"/>
    <n v="9.9604847176766084E-2"/>
    <n v="1.5241642326246359"/>
    <n v="5.8265062631872602E-2"/>
  </r>
  <r>
    <n v="36"/>
    <n v="36"/>
    <s v="No"/>
    <n v="0"/>
    <s v="Travel_Frequently"/>
    <n v="1"/>
    <n v="0"/>
    <x v="1"/>
    <n v="1"/>
    <n v="0"/>
    <n v="6"/>
    <n v="6"/>
    <n v="4"/>
    <s v="Life Sciences"/>
    <n v="1"/>
    <n v="0"/>
    <n v="0"/>
    <n v="0"/>
    <n v="0"/>
    <n v="1"/>
    <s v="Male"/>
    <n v="0"/>
    <n v="80"/>
    <n v="4"/>
    <n v="2"/>
    <s v="Laboratory Technician"/>
    <n v="0"/>
    <n v="0"/>
    <n v="1"/>
    <n v="0"/>
    <n v="0"/>
    <n v="0"/>
    <n v="0"/>
    <n v="0"/>
    <n v="1"/>
    <s v="Married"/>
    <n v="0"/>
    <n v="1"/>
    <n v="5562"/>
    <n v="5562"/>
    <n v="3"/>
    <s v="Yes"/>
    <n v="1"/>
    <n v="13"/>
    <n v="3"/>
    <n v="4"/>
    <n v="1"/>
    <n v="9"/>
    <x v="14"/>
    <n v="3"/>
    <n v="3"/>
    <n v="3"/>
    <n v="3"/>
    <n v="2"/>
    <n v="0"/>
    <n v="0"/>
    <n v="2"/>
    <n v="2"/>
    <n v="4"/>
    <n v="0"/>
    <n v="0"/>
    <n v="0"/>
    <n v="1"/>
    <n v="0"/>
    <n v="0"/>
    <n v="0"/>
    <n v="1"/>
    <n v="0"/>
    <n v="2"/>
    <n v="0"/>
    <n v="0"/>
    <n v="9"/>
    <n v="0"/>
    <n v="0.19985979818146132"/>
    <n v="0.59502473559756086"/>
    <n v="0.29297722668510823"/>
    <n v="0.65423109602898355"/>
    <n v="0.39380416832397891"/>
    <n v="0.10112443951066327"/>
    <n v="0.67891464284095016"/>
  </r>
  <r>
    <n v="42"/>
    <n v="42"/>
    <s v="No"/>
    <n v="0"/>
    <s v="Travel_Rarely"/>
    <n v="0"/>
    <n v="1"/>
    <x v="1"/>
    <n v="1"/>
    <n v="0"/>
    <n v="9"/>
    <n v="9"/>
    <n v="2"/>
    <s v="Other"/>
    <n v="0"/>
    <n v="1"/>
    <n v="0"/>
    <n v="0"/>
    <n v="0"/>
    <n v="4"/>
    <s v="Male"/>
    <n v="0"/>
    <n v="93"/>
    <n v="2"/>
    <n v="5"/>
    <s v="Manager"/>
    <n v="0"/>
    <n v="0"/>
    <n v="0"/>
    <n v="1"/>
    <n v="0"/>
    <n v="0"/>
    <n v="0"/>
    <n v="0"/>
    <n v="4"/>
    <s v="Single"/>
    <n v="1"/>
    <n v="0"/>
    <n v="19613"/>
    <n v="19613"/>
    <n v="8"/>
    <s v="No"/>
    <n v="0"/>
    <n v="22"/>
    <n v="4"/>
    <n v="4"/>
    <n v="0"/>
    <n v="24"/>
    <x v="12"/>
    <n v="2"/>
    <n v="3"/>
    <n v="1"/>
    <n v="1"/>
    <n v="0"/>
    <n v="0"/>
    <n v="0"/>
    <n v="1"/>
    <n v="1"/>
    <n v="5"/>
    <n v="1"/>
    <n v="0"/>
    <n v="0"/>
    <n v="0"/>
    <n v="1"/>
    <n v="0"/>
    <n v="0"/>
    <n v="0"/>
    <n v="0"/>
    <n v="1"/>
    <n v="0"/>
    <n v="0"/>
    <n v="24"/>
    <n v="0"/>
    <n v="2.7846620756055724"/>
    <n v="0.87528310193156111"/>
    <n v="1.6348496454147534"/>
    <n v="0.9806804209314296"/>
    <n v="2.3747406698420157E-2"/>
    <n v="0.55566315731117022"/>
    <n v="0.67891464284095016"/>
  </r>
  <r>
    <n v="35"/>
    <n v="35"/>
    <s v="No"/>
    <n v="0"/>
    <s v="Travel_Rarely"/>
    <n v="0"/>
    <n v="1"/>
    <x v="1"/>
    <n v="1"/>
    <n v="0"/>
    <n v="28"/>
    <n v="28"/>
    <n v="3"/>
    <s v="Life Sciences"/>
    <n v="1"/>
    <n v="0"/>
    <n v="0"/>
    <n v="0"/>
    <n v="0"/>
    <n v="2"/>
    <s v="Male"/>
    <n v="0"/>
    <n v="46"/>
    <n v="4"/>
    <n v="2"/>
    <s v="Laboratory Technician"/>
    <n v="0"/>
    <n v="0"/>
    <n v="1"/>
    <n v="0"/>
    <n v="0"/>
    <n v="0"/>
    <n v="0"/>
    <n v="0"/>
    <n v="3"/>
    <s v="Married"/>
    <n v="0"/>
    <n v="1"/>
    <n v="3407"/>
    <n v="3407"/>
    <n v="1"/>
    <s v="No"/>
    <n v="0"/>
    <n v="17"/>
    <n v="3"/>
    <n v="4"/>
    <n v="2"/>
    <n v="10"/>
    <x v="1"/>
    <n v="3"/>
    <n v="2"/>
    <n v="10"/>
    <n v="10"/>
    <n v="9"/>
    <n v="6"/>
    <n v="6"/>
    <n v="8"/>
    <n v="8"/>
    <n v="16"/>
    <n v="0"/>
    <n v="1"/>
    <n v="0"/>
    <n v="0"/>
    <n v="0"/>
    <n v="0"/>
    <n v="1"/>
    <n v="0"/>
    <n v="0"/>
    <n v="8"/>
    <n v="0"/>
    <n v="0"/>
    <n v="10"/>
    <n v="0"/>
    <n v="0.65759552076427086"/>
    <n v="1.08652546240644"/>
    <n v="0.1644554352117841"/>
    <n v="0.48834154112957734"/>
    <n v="2.3199454169301186"/>
    <n v="0.21058903898096887"/>
    <n v="1.1830340977862825"/>
  </r>
  <r>
    <n v="34"/>
    <n v="34"/>
    <s v="No"/>
    <n v="0"/>
    <s v="Travel_Frequently"/>
    <n v="1"/>
    <n v="0"/>
    <x v="1"/>
    <n v="1"/>
    <n v="0"/>
    <n v="10"/>
    <n v="10"/>
    <n v="4"/>
    <s v="Technical Degree"/>
    <n v="0"/>
    <n v="0"/>
    <n v="0"/>
    <n v="0"/>
    <n v="1"/>
    <n v="4"/>
    <s v="Male"/>
    <n v="0"/>
    <n v="92"/>
    <n v="2"/>
    <n v="2"/>
    <s v="Healthcare Representative"/>
    <n v="1"/>
    <n v="0"/>
    <n v="0"/>
    <n v="0"/>
    <n v="0"/>
    <n v="0"/>
    <n v="0"/>
    <n v="0"/>
    <n v="3"/>
    <s v="Married"/>
    <n v="0"/>
    <n v="1"/>
    <n v="5063"/>
    <n v="5063"/>
    <n v="1"/>
    <s v="No"/>
    <n v="0"/>
    <n v="14"/>
    <n v="3"/>
    <n v="2"/>
    <n v="1"/>
    <n v="8"/>
    <x v="0"/>
    <n v="3"/>
    <n v="2"/>
    <n v="8"/>
    <n v="8"/>
    <n v="2"/>
    <n v="7"/>
    <n v="7"/>
    <n v="7"/>
    <n v="7"/>
    <n v="14"/>
    <n v="0"/>
    <n v="0"/>
    <n v="0"/>
    <n v="1"/>
    <n v="0"/>
    <n v="0"/>
    <n v="1"/>
    <n v="0"/>
    <n v="0"/>
    <n v="7"/>
    <n v="0"/>
    <n v="0"/>
    <n v="8"/>
    <n v="0"/>
    <n v="0.30585057570759683"/>
    <n v="0.80626709607243985"/>
    <n v="0.42149901815843233"/>
    <n v="0.16189221622713135"/>
    <n v="9.9604847176766084E-2"/>
    <n v="0.32005363845127444"/>
    <n v="1.4933588878908215"/>
  </r>
  <r>
    <n v="40"/>
    <n v="40"/>
    <s v="No"/>
    <n v="0"/>
    <s v="Travel_Rarely"/>
    <n v="0"/>
    <n v="1"/>
    <x v="0"/>
    <n v="0"/>
    <n v="1"/>
    <n v="14"/>
    <n v="14"/>
    <n v="2"/>
    <s v="Life Sciences"/>
    <n v="1"/>
    <n v="0"/>
    <n v="0"/>
    <n v="0"/>
    <n v="0"/>
    <n v="4"/>
    <s v="Female"/>
    <n v="1"/>
    <n v="84"/>
    <n v="3"/>
    <n v="2"/>
    <s v="Sales Executive"/>
    <n v="0"/>
    <n v="1"/>
    <n v="0"/>
    <n v="0"/>
    <n v="0"/>
    <n v="0"/>
    <n v="0"/>
    <n v="0"/>
    <n v="1"/>
    <s v="Married"/>
    <n v="0"/>
    <n v="1"/>
    <n v="4639"/>
    <n v="4639"/>
    <n v="1"/>
    <s v="No"/>
    <n v="0"/>
    <n v="15"/>
    <n v="3"/>
    <n v="3"/>
    <n v="1"/>
    <n v="5"/>
    <x v="7"/>
    <n v="2"/>
    <n v="3"/>
    <n v="5"/>
    <n v="5"/>
    <n v="4"/>
    <n v="1"/>
    <n v="1"/>
    <n v="2"/>
    <n v="2"/>
    <n v="4"/>
    <n v="0"/>
    <n v="1"/>
    <n v="0"/>
    <n v="0"/>
    <n v="0"/>
    <n v="0"/>
    <n v="1"/>
    <n v="0"/>
    <n v="0"/>
    <n v="0"/>
    <n v="2"/>
    <n v="0"/>
    <n v="0"/>
    <n v="5"/>
    <n v="0.39591087564964383"/>
    <n v="0.59502473559756086"/>
    <n v="0.80706439257840468"/>
    <n v="0.32778177112653761"/>
    <n v="0.59301386267751111"/>
    <n v="0.33673395837055903"/>
    <n v="0.36858985273641137"/>
  </r>
  <r>
    <n v="43"/>
    <n v="43"/>
    <s v="No"/>
    <n v="0"/>
    <s v="Travel_Rarely"/>
    <n v="0"/>
    <n v="1"/>
    <x v="1"/>
    <n v="1"/>
    <n v="0"/>
    <n v="27"/>
    <n v="27"/>
    <n v="3"/>
    <s v="Technical Degree"/>
    <n v="0"/>
    <n v="0"/>
    <n v="0"/>
    <n v="0"/>
    <n v="1"/>
    <n v="4"/>
    <s v="Male"/>
    <n v="0"/>
    <n v="87"/>
    <n v="4"/>
    <n v="1"/>
    <s v="Laboratory Technician"/>
    <n v="0"/>
    <n v="0"/>
    <n v="1"/>
    <n v="0"/>
    <n v="0"/>
    <n v="0"/>
    <n v="0"/>
    <n v="0"/>
    <n v="2"/>
    <s v="Divorced"/>
    <n v="0"/>
    <n v="0"/>
    <n v="4876"/>
    <n v="4876"/>
    <n v="5"/>
    <s v="No"/>
    <n v="0"/>
    <n v="12"/>
    <n v="3"/>
    <n v="3"/>
    <n v="1"/>
    <n v="8"/>
    <x v="0"/>
    <n v="0"/>
    <n v="3"/>
    <n v="6"/>
    <n v="6"/>
    <n v="4"/>
    <n v="0"/>
    <n v="0"/>
    <n v="2"/>
    <n v="2"/>
    <n v="2"/>
    <n v="1"/>
    <n v="0"/>
    <n v="0"/>
    <n v="0"/>
    <n v="1"/>
    <n v="0"/>
    <n v="0"/>
    <n v="0"/>
    <n v="0"/>
    <n v="2"/>
    <n v="0"/>
    <n v="0"/>
    <n v="8"/>
    <n v="0"/>
    <n v="0.34557056648392415"/>
    <n v="0.59502473559756086"/>
    <n v="0.42149901815843233"/>
    <n v="0.16455710867531462"/>
    <n v="2.1965931630549322"/>
    <n v="0.66512775678147573"/>
    <n v="0.67891464284095016"/>
  </r>
  <r>
    <n v="35"/>
    <n v="35"/>
    <s v="No"/>
    <n v="0"/>
    <s v="Travel_Rarely"/>
    <n v="0"/>
    <n v="1"/>
    <x v="1"/>
    <n v="1"/>
    <n v="0"/>
    <n v="7"/>
    <n v="7"/>
    <n v="2"/>
    <s v="Life Sciences"/>
    <n v="1"/>
    <n v="0"/>
    <n v="0"/>
    <n v="0"/>
    <n v="0"/>
    <n v="3"/>
    <s v="Male"/>
    <n v="0"/>
    <n v="63"/>
    <n v="2"/>
    <n v="1"/>
    <s v="Laboratory Technician"/>
    <n v="0"/>
    <n v="0"/>
    <n v="1"/>
    <n v="0"/>
    <n v="0"/>
    <n v="0"/>
    <n v="0"/>
    <n v="0"/>
    <n v="4"/>
    <s v="Married"/>
    <n v="0"/>
    <n v="1"/>
    <n v="2690"/>
    <n v="2690"/>
    <n v="1"/>
    <s v="No"/>
    <n v="0"/>
    <n v="18"/>
    <n v="3"/>
    <n v="4"/>
    <n v="1"/>
    <n v="1"/>
    <x v="5"/>
    <n v="5"/>
    <n v="2"/>
    <n v="1"/>
    <n v="1"/>
    <n v="0"/>
    <n v="0"/>
    <n v="0"/>
    <n v="1"/>
    <n v="1"/>
    <n v="1"/>
    <n v="0"/>
    <n v="1"/>
    <n v="0"/>
    <n v="0"/>
    <n v="0"/>
    <n v="0"/>
    <n v="1"/>
    <n v="0"/>
    <n v="0"/>
    <n v="1"/>
    <n v="0"/>
    <n v="0"/>
    <n v="1"/>
    <n v="0"/>
    <n v="0.80989088646815699"/>
    <n v="0.87528310193156111"/>
    <n v="1.3211515584717011"/>
    <n v="0.9806804209314296"/>
    <n v="0.27045191444879263"/>
    <n v="0.21058903898096887"/>
    <n v="0.67891464284095016"/>
  </r>
  <r>
    <n v="46"/>
    <n v="46"/>
    <s v="No"/>
    <n v="0"/>
    <s v="Travel_Rarely"/>
    <n v="0"/>
    <n v="1"/>
    <x v="0"/>
    <n v="0"/>
    <n v="1"/>
    <n v="1"/>
    <n v="1"/>
    <n v="4"/>
    <s v="Life Sciences"/>
    <n v="1"/>
    <n v="0"/>
    <n v="0"/>
    <n v="0"/>
    <n v="0"/>
    <n v="4"/>
    <s v="Male"/>
    <n v="0"/>
    <n v="56"/>
    <n v="4"/>
    <n v="4"/>
    <s v="Manager"/>
    <n v="0"/>
    <n v="0"/>
    <n v="0"/>
    <n v="1"/>
    <n v="0"/>
    <n v="0"/>
    <n v="0"/>
    <n v="0"/>
    <n v="1"/>
    <s v="Single"/>
    <n v="1"/>
    <n v="0"/>
    <n v="17567"/>
    <n v="17567"/>
    <n v="1"/>
    <s v="No"/>
    <n v="0"/>
    <n v="15"/>
    <n v="3"/>
    <n v="2"/>
    <n v="0"/>
    <n v="27"/>
    <x v="34"/>
    <n v="5"/>
    <n v="1"/>
    <n v="26"/>
    <n v="26"/>
    <n v="0"/>
    <n v="0"/>
    <n v="0"/>
    <n v="12"/>
    <n v="12"/>
    <n v="48"/>
    <n v="1"/>
    <n v="0"/>
    <n v="0"/>
    <n v="0"/>
    <n v="1"/>
    <n v="0"/>
    <n v="0"/>
    <n v="0"/>
    <n v="0"/>
    <n v="0"/>
    <n v="12"/>
    <n v="0"/>
    <n v="0"/>
    <n v="27"/>
    <n v="2.3500786471116379"/>
    <n v="2.2075589277424408"/>
    <n v="2.0204150198347257"/>
    <n v="3.0999361403491448"/>
    <n v="1.01056543769991"/>
    <n v="0.99352155519239249"/>
    <n v="0.67891464284095016"/>
  </r>
  <r>
    <n v="28"/>
    <n v="28"/>
    <s v="Yes"/>
    <n v="1"/>
    <s v="Travel_Rarely"/>
    <n v="0"/>
    <n v="1"/>
    <x v="1"/>
    <n v="1"/>
    <n v="0"/>
    <n v="24"/>
    <n v="24"/>
    <n v="3"/>
    <s v="Medical"/>
    <n v="0"/>
    <n v="0"/>
    <n v="1"/>
    <n v="0"/>
    <n v="0"/>
    <n v="3"/>
    <s v="Male"/>
    <n v="0"/>
    <n v="51"/>
    <n v="3"/>
    <n v="1"/>
    <s v="Laboratory Technician"/>
    <n v="0"/>
    <n v="0"/>
    <n v="1"/>
    <n v="0"/>
    <n v="0"/>
    <n v="0"/>
    <n v="0"/>
    <n v="0"/>
    <n v="2"/>
    <s v="Married"/>
    <n v="0"/>
    <n v="1"/>
    <n v="2408"/>
    <n v="2408"/>
    <n v="1"/>
    <s v="Yes"/>
    <n v="1"/>
    <n v="17"/>
    <n v="3"/>
    <n v="3"/>
    <n v="3"/>
    <n v="1"/>
    <x v="5"/>
    <n v="3"/>
    <n v="3"/>
    <n v="1"/>
    <n v="1"/>
    <n v="1"/>
    <n v="0"/>
    <n v="0"/>
    <n v="0"/>
    <n v="0"/>
    <n v="0"/>
    <n v="0"/>
    <n v="1"/>
    <n v="0"/>
    <n v="0"/>
    <n v="0"/>
    <n v="0"/>
    <n v="0"/>
    <n v="1"/>
    <n v="0"/>
    <n v="0"/>
    <n v="0"/>
    <n v="0"/>
    <n v="1"/>
    <n v="0"/>
    <n v="0.86978948218432972"/>
    <n v="1.1555414682655611"/>
    <n v="1.3211515584717011"/>
    <n v="0.9806804209314296"/>
    <n v="1.8265364014293735"/>
    <n v="0.97684123527310796"/>
    <n v="0.67891464284095016"/>
  </r>
  <r>
    <n v="22"/>
    <n v="22"/>
    <s v="No"/>
    <n v="0"/>
    <s v="Non-Travel"/>
    <n v="0"/>
    <n v="0"/>
    <x v="1"/>
    <n v="1"/>
    <n v="0"/>
    <n v="26"/>
    <n v="26"/>
    <n v="2"/>
    <s v="Other"/>
    <n v="0"/>
    <n v="1"/>
    <n v="0"/>
    <n v="0"/>
    <n v="0"/>
    <n v="2"/>
    <s v="Female"/>
    <n v="1"/>
    <n v="85"/>
    <n v="2"/>
    <n v="1"/>
    <s v="Research Scientist"/>
    <n v="0"/>
    <n v="0"/>
    <n v="0"/>
    <n v="0"/>
    <n v="0"/>
    <n v="0"/>
    <n v="0"/>
    <n v="1"/>
    <n v="3"/>
    <s v="Married"/>
    <n v="0"/>
    <n v="1"/>
    <n v="2814"/>
    <n v="2814"/>
    <n v="1"/>
    <s v="Yes"/>
    <n v="1"/>
    <n v="14"/>
    <n v="3"/>
    <n v="2"/>
    <n v="0"/>
    <n v="4"/>
    <x v="20"/>
    <n v="2"/>
    <n v="2"/>
    <n v="4"/>
    <n v="4"/>
    <n v="2"/>
    <n v="1"/>
    <n v="1"/>
    <n v="3"/>
    <n v="3"/>
    <n v="3"/>
    <n v="0"/>
    <n v="1"/>
    <n v="0"/>
    <n v="0"/>
    <n v="0"/>
    <n v="0"/>
    <n v="0"/>
    <n v="1"/>
    <n v="0"/>
    <n v="3"/>
    <n v="0"/>
    <n v="0"/>
    <n v="4"/>
    <n v="0"/>
    <n v="0.78355249686246398"/>
    <n v="0.31476636926356072"/>
    <n v="0.93558618405172878"/>
    <n v="0.49100643357776058"/>
    <n v="2.0732409091797459"/>
    <n v="1.6336288320949415"/>
    <n v="0.36858985273641137"/>
  </r>
  <r>
    <n v="50"/>
    <n v="50"/>
    <s v="No"/>
    <n v="0"/>
    <s v="Travel_Frequently"/>
    <n v="1"/>
    <n v="0"/>
    <x v="1"/>
    <n v="1"/>
    <n v="0"/>
    <n v="20"/>
    <n v="20"/>
    <n v="5"/>
    <s v="Medical"/>
    <n v="0"/>
    <n v="0"/>
    <n v="1"/>
    <n v="0"/>
    <n v="0"/>
    <n v="2"/>
    <s v="Male"/>
    <n v="0"/>
    <n v="41"/>
    <n v="3"/>
    <n v="4"/>
    <s v="Healthcare Representative"/>
    <n v="1"/>
    <n v="0"/>
    <n v="0"/>
    <n v="0"/>
    <n v="0"/>
    <n v="0"/>
    <n v="0"/>
    <n v="0"/>
    <n v="3"/>
    <s v="Married"/>
    <n v="0"/>
    <n v="1"/>
    <n v="11245"/>
    <n v="11245"/>
    <n v="2"/>
    <s v="Yes"/>
    <n v="1"/>
    <n v="15"/>
    <n v="3"/>
    <n v="3"/>
    <n v="1"/>
    <n v="32"/>
    <x v="32"/>
    <n v="3"/>
    <n v="3"/>
    <n v="30"/>
    <n v="30"/>
    <n v="8"/>
    <n v="12"/>
    <n v="12"/>
    <n v="13"/>
    <n v="13"/>
    <n v="52"/>
    <n v="0"/>
    <n v="0"/>
    <n v="0"/>
    <n v="1"/>
    <n v="0"/>
    <n v="0"/>
    <n v="0"/>
    <n v="1"/>
    <n v="0"/>
    <n v="13"/>
    <n v="0"/>
    <n v="0"/>
    <n v="32"/>
    <n v="0"/>
    <n v="1.0072455899568713"/>
    <n v="2.4878172940764407"/>
    <n v="2.663023977201346"/>
    <n v="3.7528347901540369"/>
    <n v="1.3331273859286286"/>
    <n v="1.4313799530736149"/>
    <n v="3.0449828384135156"/>
  </r>
  <r>
    <n v="32"/>
    <n v="32"/>
    <s v="No"/>
    <n v="0"/>
    <s v="Travel_Rarely"/>
    <n v="0"/>
    <n v="1"/>
    <x v="1"/>
    <n v="1"/>
    <n v="0"/>
    <n v="5"/>
    <n v="5"/>
    <n v="4"/>
    <s v="Other"/>
    <n v="0"/>
    <n v="1"/>
    <n v="0"/>
    <n v="0"/>
    <n v="0"/>
    <n v="2"/>
    <s v="Female"/>
    <n v="1"/>
    <n v="35"/>
    <n v="4"/>
    <n v="1"/>
    <s v="Research Scientist"/>
    <n v="0"/>
    <n v="0"/>
    <n v="0"/>
    <n v="0"/>
    <n v="0"/>
    <n v="0"/>
    <n v="0"/>
    <n v="1"/>
    <n v="4"/>
    <s v="Married"/>
    <n v="0"/>
    <n v="1"/>
    <n v="3312"/>
    <n v="3312"/>
    <n v="3"/>
    <s v="No"/>
    <n v="0"/>
    <n v="17"/>
    <n v="3"/>
    <n v="4"/>
    <n v="2"/>
    <n v="6"/>
    <x v="3"/>
    <n v="3"/>
    <n v="3"/>
    <n v="3"/>
    <n v="3"/>
    <n v="2"/>
    <n v="0"/>
    <n v="0"/>
    <n v="2"/>
    <n v="2"/>
    <n v="2"/>
    <n v="0"/>
    <n v="1"/>
    <n v="0"/>
    <n v="0"/>
    <n v="0"/>
    <n v="0"/>
    <n v="1"/>
    <n v="0"/>
    <n v="0"/>
    <n v="2"/>
    <n v="0"/>
    <n v="0"/>
    <n v="6"/>
    <n v="0"/>
    <n v="0.67777412570411633"/>
    <n v="0.59502473559756086"/>
    <n v="0.67854260110508058"/>
    <n v="0.65423109602898355"/>
    <n v="0.51715642219916513"/>
    <n v="0.53898283739188557"/>
    <n v="0.67891464284095016"/>
  </r>
  <r>
    <n v="44"/>
    <n v="44"/>
    <s v="No"/>
    <n v="0"/>
    <s v="Travel_Rarely"/>
    <n v="0"/>
    <n v="1"/>
    <x v="1"/>
    <n v="1"/>
    <n v="0"/>
    <n v="7"/>
    <n v="7"/>
    <n v="3"/>
    <s v="Medical"/>
    <n v="0"/>
    <n v="0"/>
    <n v="1"/>
    <n v="0"/>
    <n v="0"/>
    <n v="2"/>
    <s v="Female"/>
    <n v="1"/>
    <n v="31"/>
    <n v="3"/>
    <n v="5"/>
    <s v="Research Director"/>
    <n v="0"/>
    <n v="0"/>
    <n v="0"/>
    <n v="0"/>
    <n v="0"/>
    <n v="0"/>
    <n v="0"/>
    <n v="0"/>
    <n v="4"/>
    <s v="Divorced"/>
    <n v="0"/>
    <n v="0"/>
    <n v="19049"/>
    <n v="19049"/>
    <n v="0"/>
    <s v="Yes"/>
    <n v="1"/>
    <n v="14"/>
    <n v="3"/>
    <n v="4"/>
    <n v="1"/>
    <n v="23"/>
    <x v="17"/>
    <n v="4"/>
    <n v="2"/>
    <n v="22"/>
    <n v="22"/>
    <n v="7"/>
    <n v="1"/>
    <n v="1"/>
    <n v="10"/>
    <n v="10"/>
    <n v="50"/>
    <n v="1"/>
    <n v="0"/>
    <n v="0"/>
    <n v="0"/>
    <n v="0"/>
    <n v="1"/>
    <n v="0"/>
    <n v="0"/>
    <n v="0"/>
    <n v="10"/>
    <n v="0"/>
    <n v="0"/>
    <n v="23"/>
    <n v="0"/>
    <n v="2.6648648841732268"/>
    <n v="1.6470421950744405"/>
    <n v="1.5063278539414293"/>
    <n v="2.4470374905442531"/>
    <n v="0.27045191444879263"/>
    <n v="0.77459235625178136"/>
    <n v="0.36858985273641137"/>
  </r>
  <r>
    <n v="30"/>
    <n v="30"/>
    <s v="No"/>
    <n v="0"/>
    <s v="Travel_Rarely"/>
    <n v="0"/>
    <n v="1"/>
    <x v="1"/>
    <n v="1"/>
    <n v="0"/>
    <n v="7"/>
    <n v="7"/>
    <n v="3"/>
    <s v="Medical"/>
    <n v="0"/>
    <n v="0"/>
    <n v="1"/>
    <n v="0"/>
    <n v="0"/>
    <n v="2"/>
    <s v="Male"/>
    <n v="0"/>
    <n v="48"/>
    <n v="2"/>
    <n v="1"/>
    <s v="Research Scientist"/>
    <n v="0"/>
    <n v="0"/>
    <n v="0"/>
    <n v="0"/>
    <n v="0"/>
    <n v="0"/>
    <n v="0"/>
    <n v="1"/>
    <n v="2"/>
    <s v="Married"/>
    <n v="0"/>
    <n v="1"/>
    <n v="2141"/>
    <n v="2141"/>
    <n v="1"/>
    <s v="No"/>
    <n v="0"/>
    <n v="12"/>
    <n v="3"/>
    <n v="2"/>
    <n v="1"/>
    <n v="6"/>
    <x v="3"/>
    <n v="3"/>
    <n v="2"/>
    <n v="6"/>
    <n v="6"/>
    <n v="4"/>
    <n v="1"/>
    <n v="1"/>
    <n v="1"/>
    <n v="1"/>
    <n v="1"/>
    <n v="0"/>
    <n v="1"/>
    <n v="0"/>
    <n v="0"/>
    <n v="0"/>
    <n v="0"/>
    <n v="1"/>
    <n v="0"/>
    <n v="0"/>
    <n v="1"/>
    <n v="0"/>
    <n v="0"/>
    <n v="6"/>
    <n v="0"/>
    <n v="0.92650198238368475"/>
    <n v="0.87528310193156111"/>
    <n v="0.67854260110508058"/>
    <n v="0.16455710867531462"/>
    <n v="0.27045191444879263"/>
    <n v="0.75791203633249671"/>
    <n v="0.36858985273641137"/>
  </r>
  <r>
    <n v="45"/>
    <n v="45"/>
    <s v="No"/>
    <n v="0"/>
    <s v="Travel_Rarely"/>
    <n v="0"/>
    <n v="1"/>
    <x v="1"/>
    <n v="1"/>
    <n v="0"/>
    <n v="5"/>
    <n v="5"/>
    <n v="5"/>
    <s v="Medical"/>
    <n v="0"/>
    <n v="0"/>
    <n v="1"/>
    <n v="0"/>
    <n v="0"/>
    <n v="3"/>
    <s v="Female"/>
    <n v="1"/>
    <n v="50"/>
    <n v="1"/>
    <n v="2"/>
    <s v="Laboratory Technician"/>
    <n v="0"/>
    <n v="0"/>
    <n v="1"/>
    <n v="0"/>
    <n v="0"/>
    <n v="0"/>
    <n v="0"/>
    <n v="0"/>
    <n v="1"/>
    <s v="Single"/>
    <n v="1"/>
    <n v="0"/>
    <n v="5769"/>
    <n v="5769"/>
    <n v="1"/>
    <s v="Yes"/>
    <n v="1"/>
    <n v="14"/>
    <n v="3"/>
    <n v="1"/>
    <n v="0"/>
    <n v="10"/>
    <x v="1"/>
    <n v="3"/>
    <n v="3"/>
    <n v="10"/>
    <n v="10"/>
    <n v="7"/>
    <n v="1"/>
    <n v="1"/>
    <n v="4"/>
    <n v="4"/>
    <n v="8"/>
    <n v="1"/>
    <n v="0"/>
    <n v="0"/>
    <n v="0"/>
    <n v="0"/>
    <n v="1"/>
    <n v="0"/>
    <n v="0"/>
    <n v="0"/>
    <n v="4"/>
    <n v="0"/>
    <n v="0"/>
    <n v="10"/>
    <n v="0"/>
    <n v="0.15589168004937706"/>
    <n v="3.4508002929560584E-2"/>
    <n v="0.1644554352117841"/>
    <n v="0.48834154112957734"/>
    <n v="0.51715642219916513"/>
    <n v="0.88405695572208698"/>
    <n v="0.36858985273641137"/>
  </r>
  <r>
    <n v="45"/>
    <n v="45"/>
    <s v="No"/>
    <n v="0"/>
    <s v="Non-Travel"/>
    <n v="0"/>
    <n v="0"/>
    <x v="0"/>
    <n v="0"/>
    <n v="1"/>
    <n v="26"/>
    <n v="26"/>
    <n v="3"/>
    <s v="Marketing"/>
    <n v="0"/>
    <n v="0"/>
    <n v="0"/>
    <n v="1"/>
    <n v="0"/>
    <n v="1"/>
    <s v="Male"/>
    <n v="0"/>
    <n v="52"/>
    <n v="2"/>
    <n v="2"/>
    <s v="Sales Executive"/>
    <n v="0"/>
    <n v="1"/>
    <n v="0"/>
    <n v="0"/>
    <n v="0"/>
    <n v="0"/>
    <n v="0"/>
    <n v="0"/>
    <n v="1"/>
    <s v="Married"/>
    <n v="0"/>
    <n v="1"/>
    <n v="4385"/>
    <n v="4385"/>
    <n v="1"/>
    <s v="No"/>
    <n v="0"/>
    <n v="15"/>
    <n v="3"/>
    <n v="1"/>
    <n v="1"/>
    <n v="10"/>
    <x v="1"/>
    <n v="2"/>
    <n v="3"/>
    <n v="10"/>
    <n v="10"/>
    <n v="7"/>
    <n v="4"/>
    <n v="4"/>
    <n v="5"/>
    <n v="5"/>
    <n v="10"/>
    <n v="0"/>
    <n v="1"/>
    <n v="0"/>
    <n v="0"/>
    <n v="0"/>
    <n v="0"/>
    <n v="1"/>
    <n v="0"/>
    <n v="0"/>
    <n v="0"/>
    <n v="5"/>
    <n v="0"/>
    <n v="0"/>
    <n v="10"/>
    <n v="0.44986209306775687"/>
    <n v="0.24575036340443959"/>
    <n v="0.1644554352117841"/>
    <n v="0.48834154112957734"/>
    <n v="2.0732409091797459"/>
    <n v="0.88405695572208698"/>
    <n v="0.56238451757720498"/>
  </r>
  <r>
    <n v="31"/>
    <n v="31"/>
    <s v="No"/>
    <n v="0"/>
    <s v="Travel_Frequently"/>
    <n v="1"/>
    <n v="0"/>
    <x v="0"/>
    <n v="0"/>
    <n v="1"/>
    <n v="2"/>
    <n v="2"/>
    <n v="4"/>
    <s v="Other"/>
    <n v="0"/>
    <n v="1"/>
    <n v="0"/>
    <n v="0"/>
    <n v="0"/>
    <n v="4"/>
    <s v="Male"/>
    <n v="0"/>
    <n v="54"/>
    <n v="3"/>
    <n v="2"/>
    <s v="Sales Executive"/>
    <n v="0"/>
    <n v="1"/>
    <n v="0"/>
    <n v="0"/>
    <n v="0"/>
    <n v="0"/>
    <n v="0"/>
    <n v="0"/>
    <n v="1"/>
    <s v="Single"/>
    <n v="1"/>
    <n v="0"/>
    <n v="5332"/>
    <n v="5332"/>
    <n v="7"/>
    <s v="No"/>
    <n v="0"/>
    <n v="13"/>
    <n v="3"/>
    <n v="4"/>
    <n v="0"/>
    <n v="10"/>
    <x v="1"/>
    <n v="3"/>
    <n v="3"/>
    <n v="5"/>
    <n v="5"/>
    <n v="2"/>
    <n v="0"/>
    <n v="0"/>
    <n v="3"/>
    <n v="3"/>
    <n v="6"/>
    <n v="0"/>
    <n v="0"/>
    <n v="1"/>
    <n v="0"/>
    <n v="1"/>
    <n v="0"/>
    <n v="0"/>
    <n v="0"/>
    <n v="0"/>
    <n v="0"/>
    <n v="3"/>
    <n v="0"/>
    <n v="0"/>
    <n v="10"/>
    <n v="0.24871326277266606"/>
    <n v="0.31476636926356072"/>
    <n v="0.1644554352117841"/>
    <n v="0.32778177112653761"/>
    <n v="0.88721318382472392"/>
    <n v="0.6484474368621912"/>
    <n v="0.67891464284095016"/>
  </r>
  <r>
    <n v="36"/>
    <n v="36"/>
    <s v="No"/>
    <n v="0"/>
    <s v="Travel_Rarely"/>
    <n v="0"/>
    <n v="1"/>
    <x v="1"/>
    <n v="1"/>
    <n v="0"/>
    <n v="12"/>
    <n v="12"/>
    <n v="4"/>
    <s v="Life Sciences"/>
    <n v="1"/>
    <n v="0"/>
    <n v="0"/>
    <n v="0"/>
    <n v="0"/>
    <n v="3"/>
    <s v="Female"/>
    <n v="1"/>
    <n v="76"/>
    <n v="3"/>
    <n v="2"/>
    <s v="Manufacturing Director"/>
    <n v="0"/>
    <n v="0"/>
    <n v="0"/>
    <n v="0"/>
    <n v="1"/>
    <n v="1"/>
    <n v="0"/>
    <n v="0"/>
    <n v="3"/>
    <s v="Married"/>
    <n v="0"/>
    <n v="1"/>
    <n v="4663"/>
    <n v="4663"/>
    <n v="9"/>
    <s v="Yes"/>
    <n v="1"/>
    <n v="12"/>
    <n v="3"/>
    <n v="2"/>
    <n v="2"/>
    <n v="7"/>
    <x v="2"/>
    <n v="2"/>
    <n v="3"/>
    <n v="3"/>
    <n v="3"/>
    <n v="2"/>
    <n v="1"/>
    <n v="1"/>
    <n v="1"/>
    <n v="1"/>
    <n v="2"/>
    <n v="0"/>
    <n v="1"/>
    <n v="0"/>
    <n v="0"/>
    <n v="0"/>
    <n v="0"/>
    <n v="0"/>
    <n v="1"/>
    <n v="0"/>
    <n v="1"/>
    <n v="0"/>
    <n v="0"/>
    <n v="7"/>
    <n v="0"/>
    <n v="0.3908131228227355"/>
    <n v="0.87528310193156111"/>
    <n v="0.55002080963175637"/>
    <n v="0.65423109602898355"/>
    <n v="0.3463093549271386"/>
    <n v="0.10112443951066327"/>
    <n v="0.36858985273641137"/>
  </r>
  <r>
    <n v="34"/>
    <n v="34"/>
    <s v="No"/>
    <n v="0"/>
    <s v="Travel_Frequently"/>
    <n v="1"/>
    <n v="0"/>
    <x v="1"/>
    <n v="1"/>
    <n v="0"/>
    <n v="10"/>
    <n v="10"/>
    <n v="4"/>
    <s v="Life Sciences"/>
    <n v="1"/>
    <n v="0"/>
    <n v="0"/>
    <n v="0"/>
    <n v="0"/>
    <n v="3"/>
    <s v="Male"/>
    <n v="0"/>
    <n v="42"/>
    <n v="4"/>
    <n v="2"/>
    <s v="Manufacturing Director"/>
    <n v="0"/>
    <n v="0"/>
    <n v="0"/>
    <n v="0"/>
    <n v="1"/>
    <n v="1"/>
    <n v="0"/>
    <n v="0"/>
    <n v="4"/>
    <s v="Divorced"/>
    <n v="0"/>
    <n v="0"/>
    <n v="4724"/>
    <n v="4724"/>
    <n v="1"/>
    <s v="No"/>
    <n v="0"/>
    <n v="13"/>
    <n v="3"/>
    <n v="1"/>
    <n v="1"/>
    <n v="9"/>
    <x v="14"/>
    <n v="3"/>
    <n v="3"/>
    <n v="9"/>
    <n v="9"/>
    <n v="7"/>
    <n v="7"/>
    <n v="7"/>
    <n v="2"/>
    <n v="2"/>
    <n v="4"/>
    <n v="0"/>
    <n v="0"/>
    <n v="1"/>
    <n v="0"/>
    <n v="1"/>
    <n v="0"/>
    <n v="0"/>
    <n v="0"/>
    <n v="0"/>
    <n v="2"/>
    <n v="0"/>
    <n v="0"/>
    <n v="9"/>
    <n v="0"/>
    <n v="0.37785633438767685"/>
    <n v="0.59502473559756086"/>
    <n v="0.29297722668510823"/>
    <n v="0.32511687867835437"/>
    <n v="9.9604847176766084E-2"/>
    <n v="0.32005363845127444"/>
    <n v="1.4933588878908215"/>
  </r>
  <r>
    <n v="49"/>
    <n v="49"/>
    <s v="No"/>
    <n v="0"/>
    <s v="Travel_Rarely"/>
    <n v="0"/>
    <n v="1"/>
    <x v="1"/>
    <n v="1"/>
    <n v="0"/>
    <n v="25"/>
    <n v="25"/>
    <n v="4"/>
    <s v="Life Sciences"/>
    <n v="1"/>
    <n v="0"/>
    <n v="0"/>
    <n v="0"/>
    <n v="0"/>
    <n v="3"/>
    <s v="Female"/>
    <n v="1"/>
    <n v="84"/>
    <n v="3"/>
    <n v="1"/>
    <s v="Laboratory Technician"/>
    <n v="0"/>
    <n v="0"/>
    <n v="1"/>
    <n v="0"/>
    <n v="0"/>
    <n v="0"/>
    <n v="0"/>
    <n v="0"/>
    <n v="1"/>
    <s v="Married"/>
    <n v="0"/>
    <n v="1"/>
    <n v="3211"/>
    <n v="3211"/>
    <n v="1"/>
    <s v="No"/>
    <n v="0"/>
    <n v="14"/>
    <n v="3"/>
    <n v="4"/>
    <n v="1"/>
    <n v="10"/>
    <x v="1"/>
    <n v="3"/>
    <n v="2"/>
    <n v="9"/>
    <n v="9"/>
    <n v="6"/>
    <n v="1"/>
    <n v="1"/>
    <n v="4"/>
    <n v="4"/>
    <n v="4"/>
    <n v="0"/>
    <n v="1"/>
    <n v="0"/>
    <n v="0"/>
    <n v="0"/>
    <n v="0"/>
    <n v="1"/>
    <n v="0"/>
    <n v="0"/>
    <n v="4"/>
    <n v="0"/>
    <n v="0"/>
    <n v="10"/>
    <n v="0"/>
    <n v="0.69922716885068881"/>
    <n v="3.4508002929560584E-2"/>
    <n v="0.1644554352117841"/>
    <n v="0.32511687867835437"/>
    <n v="1.9498886553045598"/>
    <n v="1.3219153536033093"/>
    <n v="0.36858985273641137"/>
  </r>
  <r>
    <n v="39"/>
    <n v="39"/>
    <s v="No"/>
    <n v="0"/>
    <s v="Travel_Rarely"/>
    <n v="0"/>
    <n v="1"/>
    <x v="1"/>
    <n v="1"/>
    <n v="0"/>
    <n v="10"/>
    <n v="10"/>
    <n v="5"/>
    <s v="Medical"/>
    <n v="0"/>
    <n v="0"/>
    <n v="1"/>
    <n v="0"/>
    <n v="0"/>
    <n v="2"/>
    <s v="Male"/>
    <n v="0"/>
    <n v="76"/>
    <n v="3"/>
    <n v="2"/>
    <s v="Manufacturing Director"/>
    <n v="0"/>
    <n v="0"/>
    <n v="0"/>
    <n v="0"/>
    <n v="1"/>
    <n v="1"/>
    <n v="0"/>
    <n v="0"/>
    <n v="1"/>
    <s v="Married"/>
    <n v="0"/>
    <n v="1"/>
    <n v="5377"/>
    <n v="5377"/>
    <n v="2"/>
    <s v="No"/>
    <n v="0"/>
    <n v="13"/>
    <n v="3"/>
    <n v="4"/>
    <n v="3"/>
    <n v="10"/>
    <x v="1"/>
    <n v="3"/>
    <n v="3"/>
    <n v="7"/>
    <n v="7"/>
    <n v="7"/>
    <n v="7"/>
    <n v="7"/>
    <n v="7"/>
    <n v="7"/>
    <n v="14"/>
    <n v="0"/>
    <n v="1"/>
    <n v="0"/>
    <n v="0"/>
    <n v="0"/>
    <n v="0"/>
    <n v="1"/>
    <n v="0"/>
    <n v="0"/>
    <n v="7"/>
    <n v="0"/>
    <n v="0"/>
    <n v="10"/>
    <n v="0"/>
    <n v="0.23915497622221296"/>
    <n v="0.80626709607243985"/>
    <n v="0.1644554352117841"/>
    <n v="1.3324462240916321E-3"/>
    <n v="9.9604847176766084E-2"/>
    <n v="0.22726935890025346"/>
    <n v="1.4933588878908215"/>
  </r>
  <r>
    <n v="27"/>
    <n v="27"/>
    <s v="No"/>
    <n v="0"/>
    <s v="Travel_Rarely"/>
    <n v="0"/>
    <n v="1"/>
    <x v="1"/>
    <n v="1"/>
    <n v="0"/>
    <n v="19"/>
    <n v="19"/>
    <n v="3"/>
    <s v="Other"/>
    <n v="0"/>
    <n v="1"/>
    <n v="0"/>
    <n v="0"/>
    <n v="0"/>
    <n v="4"/>
    <s v="Male"/>
    <n v="0"/>
    <n v="67"/>
    <n v="2"/>
    <n v="1"/>
    <s v="Laboratory Technician"/>
    <n v="0"/>
    <n v="0"/>
    <n v="1"/>
    <n v="0"/>
    <n v="0"/>
    <n v="0"/>
    <n v="0"/>
    <n v="0"/>
    <n v="1"/>
    <s v="Divorced"/>
    <n v="0"/>
    <n v="0"/>
    <n v="4066"/>
    <n v="4066"/>
    <n v="1"/>
    <s v="No"/>
    <n v="0"/>
    <n v="11"/>
    <n v="3"/>
    <n v="1"/>
    <n v="2"/>
    <n v="7"/>
    <x v="2"/>
    <n v="3"/>
    <n v="3"/>
    <n v="7"/>
    <n v="7"/>
    <n v="7"/>
    <n v="0"/>
    <n v="0"/>
    <n v="7"/>
    <n v="7"/>
    <n v="7"/>
    <n v="1"/>
    <n v="0"/>
    <n v="0"/>
    <n v="0"/>
    <n v="1"/>
    <n v="0"/>
    <n v="0"/>
    <n v="0"/>
    <n v="0"/>
    <n v="7"/>
    <n v="0"/>
    <n v="0"/>
    <n v="7"/>
    <n v="0"/>
    <n v="0.51761972439207993"/>
    <n v="0.80626709607243985"/>
    <n v="0.55002080963175637"/>
    <n v="1.3324462240916321E-3"/>
    <n v="1.2097751320534422"/>
    <n v="1.0863058347434136"/>
    <n v="0.67891464284095016"/>
  </r>
  <r>
    <n v="35"/>
    <n v="35"/>
    <s v="No"/>
    <n v="0"/>
    <s v="Travel_Rarely"/>
    <n v="0"/>
    <n v="1"/>
    <x v="1"/>
    <n v="1"/>
    <n v="0"/>
    <n v="18"/>
    <n v="18"/>
    <n v="5"/>
    <s v="Life Sciences"/>
    <n v="1"/>
    <n v="0"/>
    <n v="0"/>
    <n v="0"/>
    <n v="0"/>
    <n v="2"/>
    <s v="Male"/>
    <n v="0"/>
    <n v="48"/>
    <n v="4"/>
    <n v="2"/>
    <s v="Research Scientist"/>
    <n v="0"/>
    <n v="0"/>
    <n v="0"/>
    <n v="0"/>
    <n v="0"/>
    <n v="0"/>
    <n v="0"/>
    <n v="1"/>
    <n v="1"/>
    <s v="Married"/>
    <n v="0"/>
    <n v="1"/>
    <n v="5208"/>
    <n v="5208"/>
    <n v="1"/>
    <s v="No"/>
    <n v="0"/>
    <n v="11"/>
    <n v="3"/>
    <n v="4"/>
    <n v="0"/>
    <n v="16"/>
    <x v="27"/>
    <n v="2"/>
    <n v="3"/>
    <n v="16"/>
    <n v="16"/>
    <n v="15"/>
    <n v="1"/>
    <n v="1"/>
    <n v="10"/>
    <n v="10"/>
    <n v="20"/>
    <n v="0"/>
    <n v="1"/>
    <n v="0"/>
    <n v="0"/>
    <n v="0"/>
    <n v="0"/>
    <n v="1"/>
    <n v="0"/>
    <n v="0"/>
    <n v="10"/>
    <n v="0"/>
    <n v="0"/>
    <n v="16"/>
    <n v="0"/>
    <n v="0.27505165237835905"/>
    <n v="1.6470421950744405"/>
    <n v="0.60667531362816052"/>
    <n v="1.4676895158369152"/>
    <n v="1.0864228781782561"/>
    <n v="0.21058903898096887"/>
    <n v="0.36858985273641137"/>
  </r>
  <r>
    <n v="28"/>
    <n v="28"/>
    <s v="No"/>
    <n v="0"/>
    <s v="Travel_Rarely"/>
    <n v="0"/>
    <n v="1"/>
    <x v="1"/>
    <n v="1"/>
    <n v="0"/>
    <n v="27"/>
    <n v="27"/>
    <n v="3"/>
    <s v="Medical"/>
    <n v="0"/>
    <n v="0"/>
    <n v="1"/>
    <n v="0"/>
    <n v="0"/>
    <n v="2"/>
    <s v="Female"/>
    <n v="1"/>
    <n v="39"/>
    <n v="1"/>
    <n v="2"/>
    <s v="Manufacturing Director"/>
    <n v="0"/>
    <n v="0"/>
    <n v="0"/>
    <n v="0"/>
    <n v="1"/>
    <n v="1"/>
    <n v="0"/>
    <n v="0"/>
    <n v="1"/>
    <s v="Divorced"/>
    <n v="0"/>
    <n v="0"/>
    <n v="4877"/>
    <n v="4877"/>
    <n v="0"/>
    <s v="No"/>
    <n v="0"/>
    <n v="21"/>
    <n v="4"/>
    <n v="2"/>
    <n v="1"/>
    <n v="6"/>
    <x v="3"/>
    <n v="5"/>
    <n v="2"/>
    <n v="5"/>
    <n v="5"/>
    <n v="3"/>
    <n v="0"/>
    <n v="0"/>
    <n v="0"/>
    <n v="0"/>
    <n v="0"/>
    <n v="1"/>
    <n v="0"/>
    <n v="0"/>
    <n v="0"/>
    <n v="1"/>
    <n v="0"/>
    <n v="0"/>
    <n v="0"/>
    <n v="0"/>
    <n v="0"/>
    <n v="0"/>
    <n v="0"/>
    <n v="6"/>
    <n v="0"/>
    <n v="0.34535816011613629"/>
    <n v="1.1555414682655611"/>
    <n v="0.67854260110508058"/>
    <n v="0.32778177112653761"/>
    <n v="2.1965931630549322"/>
    <n v="0.97684123527310796"/>
    <n v="0.67891464284095016"/>
  </r>
  <r>
    <n v="21"/>
    <n v="21"/>
    <s v="No"/>
    <n v="0"/>
    <s v="Travel_Rarely"/>
    <n v="0"/>
    <n v="1"/>
    <x v="1"/>
    <n v="1"/>
    <n v="0"/>
    <n v="5"/>
    <n v="5"/>
    <n v="1"/>
    <s v="Medical"/>
    <n v="0"/>
    <n v="0"/>
    <n v="1"/>
    <n v="0"/>
    <n v="0"/>
    <n v="3"/>
    <s v="Male"/>
    <n v="0"/>
    <n v="97"/>
    <n v="3"/>
    <n v="1"/>
    <s v="Research Scientist"/>
    <n v="0"/>
    <n v="0"/>
    <n v="0"/>
    <n v="0"/>
    <n v="0"/>
    <n v="0"/>
    <n v="0"/>
    <n v="1"/>
    <n v="4"/>
    <s v="Single"/>
    <n v="1"/>
    <n v="0"/>
    <n v="3117"/>
    <n v="3117"/>
    <n v="1"/>
    <s v="No"/>
    <n v="0"/>
    <n v="18"/>
    <n v="3"/>
    <n v="3"/>
    <n v="0"/>
    <n v="3"/>
    <x v="8"/>
    <n v="2"/>
    <n v="3"/>
    <n v="2"/>
    <n v="2"/>
    <n v="2"/>
    <n v="2"/>
    <n v="2"/>
    <n v="2"/>
    <n v="2"/>
    <n v="2"/>
    <n v="1"/>
    <n v="0"/>
    <n v="0"/>
    <n v="0"/>
    <n v="1"/>
    <n v="0"/>
    <n v="0"/>
    <n v="0"/>
    <n v="0"/>
    <n v="2"/>
    <n v="0"/>
    <n v="0"/>
    <n v="3"/>
    <n v="0"/>
    <n v="0.71919336742274642"/>
    <n v="0.59502473559756086"/>
    <n v="1.0641079755250529"/>
    <n v="0.81745575848020657"/>
    <n v="0.51715642219916513"/>
    <n v="1.7430934315652469"/>
    <n v="5.8265062631872602E-2"/>
  </r>
  <r>
    <n v="18"/>
    <n v="19"/>
    <s v="Yes"/>
    <n v="1"/>
    <s v="Travel_Frequently"/>
    <n v="1"/>
    <n v="0"/>
    <x v="0"/>
    <n v="0"/>
    <n v="1"/>
    <n v="3"/>
    <n v="3"/>
    <n v="2"/>
    <s v="Medical"/>
    <n v="0"/>
    <n v="0"/>
    <n v="1"/>
    <n v="0"/>
    <n v="0"/>
    <n v="2"/>
    <s v="Female"/>
    <n v="1"/>
    <n v="70"/>
    <n v="3"/>
    <n v="1"/>
    <s v="Sales Representative"/>
    <n v="0"/>
    <n v="0"/>
    <n v="0"/>
    <n v="0"/>
    <n v="0"/>
    <n v="0"/>
    <n v="1"/>
    <n v="0"/>
    <n v="4"/>
    <s v="Single"/>
    <n v="1"/>
    <n v="0"/>
    <n v="1569"/>
    <n v="1569"/>
    <n v="1"/>
    <s v="Yes"/>
    <n v="1"/>
    <n v="12"/>
    <n v="3"/>
    <n v="3"/>
    <n v="0"/>
    <n v="0"/>
    <x v="5"/>
    <n v="2"/>
    <n v="4"/>
    <n v="0"/>
    <n v="0"/>
    <n v="0"/>
    <n v="0"/>
    <n v="0"/>
    <n v="0"/>
    <n v="0"/>
    <n v="0"/>
    <n v="0"/>
    <n v="0"/>
    <n v="1"/>
    <n v="0"/>
    <n v="0"/>
    <n v="1"/>
    <n v="0"/>
    <n v="0"/>
    <n v="0"/>
    <n v="0"/>
    <n v="0"/>
    <n v="0"/>
    <n v="0"/>
    <n v="1"/>
    <n v="1.0479984247583332"/>
    <n v="1.1555414682655611"/>
    <n v="1.4496733499450252"/>
    <n v="1.1439050833826525"/>
    <n v="0.76386092994953758"/>
    <n v="2.0714872299761637"/>
    <n v="0.67891464284095016"/>
  </r>
  <r>
    <n v="47"/>
    <n v="47"/>
    <s v="No"/>
    <n v="0"/>
    <s v="Travel_Rarely"/>
    <n v="0"/>
    <n v="1"/>
    <x v="2"/>
    <n v="0"/>
    <n v="0"/>
    <n v="26"/>
    <n v="26"/>
    <n v="4"/>
    <s v="Life Sciences"/>
    <n v="1"/>
    <n v="0"/>
    <n v="0"/>
    <n v="0"/>
    <n v="0"/>
    <n v="4"/>
    <s v="Female"/>
    <n v="1"/>
    <n v="98"/>
    <n v="3"/>
    <n v="5"/>
    <s v="Manager"/>
    <n v="0"/>
    <n v="0"/>
    <n v="0"/>
    <n v="1"/>
    <n v="0"/>
    <n v="0"/>
    <n v="0"/>
    <n v="0"/>
    <n v="3"/>
    <s v="Married"/>
    <n v="0"/>
    <n v="1"/>
    <n v="19658"/>
    <n v="19626.310000000001"/>
    <n v="3"/>
    <s v="No"/>
    <n v="0"/>
    <n v="11"/>
    <n v="3"/>
    <n v="3"/>
    <n v="1"/>
    <n v="27"/>
    <x v="34"/>
    <n v="2"/>
    <n v="3"/>
    <n v="5"/>
    <n v="5"/>
    <n v="2"/>
    <n v="1"/>
    <n v="1"/>
    <n v="0"/>
    <n v="0"/>
    <n v="0"/>
    <n v="0"/>
    <n v="1"/>
    <n v="0"/>
    <n v="0"/>
    <n v="0"/>
    <n v="0"/>
    <n v="1"/>
    <n v="0"/>
    <n v="0"/>
    <n v="0"/>
    <n v="0"/>
    <n v="27"/>
    <n v="0"/>
    <n v="0"/>
    <n v="2.7942203621560253"/>
    <n v="1.1555414682655611"/>
    <n v="2.0204150198347257"/>
    <n v="0.32778177112653761"/>
    <n v="2.0732409091797459"/>
    <n v="1.102986154662698"/>
    <n v="0.36858985273641137"/>
  </r>
  <r>
    <n v="39"/>
    <n v="39"/>
    <s v="No"/>
    <n v="0"/>
    <s v="Travel_Rarely"/>
    <n v="0"/>
    <n v="1"/>
    <x v="1"/>
    <n v="1"/>
    <n v="0"/>
    <n v="3"/>
    <n v="3"/>
    <n v="2"/>
    <s v="Medical"/>
    <n v="0"/>
    <n v="0"/>
    <n v="1"/>
    <n v="0"/>
    <n v="0"/>
    <n v="3"/>
    <s v="Male"/>
    <n v="0"/>
    <n v="76"/>
    <n v="2"/>
    <n v="2"/>
    <s v="Laboratory Technician"/>
    <n v="0"/>
    <n v="0"/>
    <n v="1"/>
    <n v="0"/>
    <n v="0"/>
    <n v="0"/>
    <n v="0"/>
    <n v="0"/>
    <n v="3"/>
    <s v="Divorced"/>
    <n v="0"/>
    <n v="0"/>
    <n v="3069"/>
    <n v="3069"/>
    <n v="0"/>
    <s v="No"/>
    <n v="0"/>
    <n v="15"/>
    <n v="3"/>
    <n v="4"/>
    <n v="1"/>
    <n v="11"/>
    <x v="26"/>
    <n v="3"/>
    <n v="3"/>
    <n v="10"/>
    <n v="10"/>
    <n v="8"/>
    <n v="0"/>
    <n v="0"/>
    <n v="7"/>
    <n v="7"/>
    <n v="14"/>
    <n v="1"/>
    <n v="0"/>
    <n v="0"/>
    <n v="0"/>
    <n v="1"/>
    <n v="0"/>
    <n v="0"/>
    <n v="0"/>
    <n v="0"/>
    <n v="7"/>
    <n v="0"/>
    <n v="0"/>
    <n v="11"/>
    <n v="0"/>
    <n v="0.72938887307656308"/>
    <n v="0.80626709607243985"/>
    <n v="3.593364373846001E-2"/>
    <n v="0.48834154112957734"/>
    <n v="0.76386092994953758"/>
    <n v="0.22726935890025346"/>
    <n v="0.67891464284095016"/>
  </r>
  <r>
    <n v="40"/>
    <n v="40"/>
    <s v="No"/>
    <n v="0"/>
    <s v="Travel_Rarely"/>
    <n v="0"/>
    <n v="1"/>
    <x v="1"/>
    <n v="1"/>
    <n v="0"/>
    <n v="15"/>
    <n v="15"/>
    <n v="3"/>
    <s v="Life Sciences"/>
    <n v="1"/>
    <n v="0"/>
    <n v="0"/>
    <n v="0"/>
    <n v="0"/>
    <n v="1"/>
    <s v="Female"/>
    <n v="1"/>
    <n v="80"/>
    <n v="2"/>
    <n v="3"/>
    <s v="Manufacturing Director"/>
    <n v="0"/>
    <n v="0"/>
    <n v="0"/>
    <n v="0"/>
    <n v="1"/>
    <n v="1"/>
    <n v="0"/>
    <n v="0"/>
    <n v="3"/>
    <s v="Married"/>
    <n v="0"/>
    <n v="1"/>
    <n v="10435"/>
    <n v="10435"/>
    <n v="1"/>
    <s v="No"/>
    <n v="0"/>
    <n v="13"/>
    <n v="3"/>
    <n v="4"/>
    <n v="2"/>
    <n v="18"/>
    <x v="30"/>
    <n v="2"/>
    <n v="3"/>
    <n v="18"/>
    <n v="18"/>
    <n v="15"/>
    <n v="14"/>
    <n v="14"/>
    <n v="12"/>
    <n v="12"/>
    <n v="36"/>
    <n v="0"/>
    <n v="1"/>
    <n v="0"/>
    <n v="0"/>
    <n v="0"/>
    <n v="0"/>
    <n v="1"/>
    <n v="0"/>
    <n v="0"/>
    <n v="12"/>
    <n v="0"/>
    <n v="0"/>
    <n v="18"/>
    <n v="0"/>
    <n v="0.83519643204871552"/>
    <n v="2.2075589277424408"/>
    <n v="0.86371889657480871"/>
    <n v="1.794138840739361"/>
    <n v="0.71636611655269733"/>
    <n v="0.33673395837055903"/>
    <n v="3.665632418622593"/>
  </r>
  <r>
    <n v="35"/>
    <n v="35"/>
    <s v="No"/>
    <n v="0"/>
    <s v="Non-Travel"/>
    <n v="0"/>
    <n v="0"/>
    <x v="1"/>
    <n v="1"/>
    <n v="0"/>
    <n v="8"/>
    <n v="8"/>
    <n v="4"/>
    <s v="Life Sciences"/>
    <n v="1"/>
    <n v="0"/>
    <n v="0"/>
    <n v="0"/>
    <n v="0"/>
    <n v="3"/>
    <s v="Female"/>
    <n v="1"/>
    <n v="52"/>
    <n v="3"/>
    <n v="2"/>
    <s v="Healthcare Representative"/>
    <n v="1"/>
    <n v="0"/>
    <n v="0"/>
    <n v="0"/>
    <n v="0"/>
    <n v="0"/>
    <n v="0"/>
    <n v="0"/>
    <n v="3"/>
    <s v="Married"/>
    <n v="0"/>
    <n v="1"/>
    <n v="4148"/>
    <n v="4148"/>
    <n v="1"/>
    <s v="No"/>
    <n v="0"/>
    <n v="12"/>
    <n v="3"/>
    <n v="4"/>
    <n v="1"/>
    <n v="15"/>
    <x v="19"/>
    <n v="5"/>
    <n v="3"/>
    <n v="14"/>
    <n v="14"/>
    <n v="11"/>
    <n v="2"/>
    <n v="2"/>
    <n v="9"/>
    <n v="9"/>
    <n v="18"/>
    <n v="0"/>
    <n v="1"/>
    <n v="0"/>
    <n v="0"/>
    <n v="0"/>
    <n v="0"/>
    <n v="1"/>
    <n v="0"/>
    <n v="0"/>
    <n v="9"/>
    <n v="0"/>
    <n v="0"/>
    <n v="15"/>
    <n v="0"/>
    <n v="0.50020240223347656"/>
    <n v="1.3667838287404401"/>
    <n v="0.47815352215483642"/>
    <n v="1.1412401909344694"/>
    <n v="0.14709966057360641"/>
    <n v="0.21058903898096887"/>
    <n v="5.8265062631872602E-2"/>
  </r>
  <r>
    <n v="37"/>
    <n v="37"/>
    <s v="No"/>
    <n v="0"/>
    <s v="Travel_Rarely"/>
    <n v="0"/>
    <n v="1"/>
    <x v="1"/>
    <n v="1"/>
    <n v="0"/>
    <n v="19"/>
    <n v="19"/>
    <n v="3"/>
    <s v="Life Sciences"/>
    <n v="1"/>
    <n v="0"/>
    <n v="0"/>
    <n v="0"/>
    <n v="0"/>
    <n v="3"/>
    <s v="Male"/>
    <n v="0"/>
    <n v="85"/>
    <n v="3"/>
    <n v="2"/>
    <s v="Manufacturing Director"/>
    <n v="0"/>
    <n v="0"/>
    <n v="0"/>
    <n v="0"/>
    <n v="1"/>
    <n v="1"/>
    <n v="0"/>
    <n v="0"/>
    <n v="3"/>
    <s v="Married"/>
    <n v="0"/>
    <n v="1"/>
    <n v="5768"/>
    <n v="5768"/>
    <n v="3"/>
    <s v="No"/>
    <n v="0"/>
    <n v="17"/>
    <n v="3"/>
    <n v="1"/>
    <n v="3"/>
    <n v="9"/>
    <x v="14"/>
    <n v="2"/>
    <n v="2"/>
    <n v="4"/>
    <n v="4"/>
    <n v="3"/>
    <n v="0"/>
    <n v="0"/>
    <n v="2"/>
    <n v="2"/>
    <n v="4"/>
    <n v="0"/>
    <n v="1"/>
    <n v="0"/>
    <n v="0"/>
    <n v="0"/>
    <n v="0"/>
    <n v="1"/>
    <n v="0"/>
    <n v="0"/>
    <n v="2"/>
    <n v="0"/>
    <n v="0"/>
    <n v="9"/>
    <n v="0"/>
    <n v="0.15610408641716492"/>
    <n v="0.59502473559756086"/>
    <n v="0.29297722668510823"/>
    <n v="0.49100643357776058"/>
    <n v="1.2097751320534422"/>
    <n v="8.3401599596422994E-3"/>
    <n v="0.67891464284095016"/>
  </r>
  <r>
    <n v="39"/>
    <n v="39"/>
    <s v="No"/>
    <n v="0"/>
    <s v="Travel_Frequently"/>
    <n v="1"/>
    <n v="0"/>
    <x v="1"/>
    <n v="1"/>
    <n v="0"/>
    <n v="4"/>
    <n v="4"/>
    <n v="3"/>
    <s v="Medical"/>
    <n v="0"/>
    <n v="0"/>
    <n v="1"/>
    <n v="0"/>
    <n v="0"/>
    <n v="1"/>
    <s v="Female"/>
    <n v="1"/>
    <n v="81"/>
    <n v="3"/>
    <n v="2"/>
    <s v="Manufacturing Director"/>
    <n v="0"/>
    <n v="0"/>
    <n v="0"/>
    <n v="0"/>
    <n v="1"/>
    <n v="1"/>
    <n v="0"/>
    <n v="0"/>
    <n v="3"/>
    <s v="Single"/>
    <n v="1"/>
    <n v="0"/>
    <n v="5042"/>
    <n v="5042"/>
    <n v="0"/>
    <s v="No"/>
    <n v="0"/>
    <n v="13"/>
    <n v="3"/>
    <n v="4"/>
    <n v="0"/>
    <n v="10"/>
    <x v="1"/>
    <n v="2"/>
    <n v="1"/>
    <n v="9"/>
    <n v="9"/>
    <n v="2"/>
    <n v="3"/>
    <n v="3"/>
    <n v="8"/>
    <n v="8"/>
    <n v="16"/>
    <n v="0"/>
    <n v="0"/>
    <n v="1"/>
    <n v="0"/>
    <n v="1"/>
    <n v="0"/>
    <n v="0"/>
    <n v="0"/>
    <n v="0"/>
    <n v="8"/>
    <n v="0"/>
    <n v="0"/>
    <n v="10"/>
    <n v="0"/>
    <n v="0.3103111094311416"/>
    <n v="1.08652546240644"/>
    <n v="0.1644554352117841"/>
    <n v="0.32511687867835437"/>
    <n v="0.64050867607435136"/>
    <n v="0.22726935890025346"/>
    <n v="0.2520597274726662"/>
  </r>
  <r>
    <n v="45"/>
    <n v="45"/>
    <s v="No"/>
    <n v="0"/>
    <s v="Travel_Rarely"/>
    <n v="0"/>
    <n v="1"/>
    <x v="1"/>
    <n v="1"/>
    <n v="0"/>
    <n v="2"/>
    <n v="2"/>
    <n v="2"/>
    <s v="Other"/>
    <n v="0"/>
    <n v="1"/>
    <n v="0"/>
    <n v="0"/>
    <n v="0"/>
    <n v="4"/>
    <s v="Female"/>
    <n v="1"/>
    <n v="59"/>
    <n v="2"/>
    <n v="2"/>
    <s v="Manufacturing Director"/>
    <n v="0"/>
    <n v="0"/>
    <n v="0"/>
    <n v="0"/>
    <n v="1"/>
    <n v="1"/>
    <n v="0"/>
    <n v="0"/>
    <n v="4"/>
    <s v="Divorced"/>
    <n v="0"/>
    <n v="0"/>
    <n v="5770"/>
    <n v="5770"/>
    <n v="1"/>
    <s v="No"/>
    <n v="0"/>
    <n v="19"/>
    <n v="3"/>
    <n v="1"/>
    <n v="2"/>
    <n v="10"/>
    <x v="1"/>
    <n v="3"/>
    <n v="3"/>
    <n v="10"/>
    <n v="10"/>
    <n v="7"/>
    <n v="3"/>
    <n v="3"/>
    <n v="9"/>
    <n v="9"/>
    <n v="18"/>
    <n v="1"/>
    <n v="0"/>
    <n v="0"/>
    <n v="0"/>
    <n v="1"/>
    <n v="0"/>
    <n v="0"/>
    <n v="0"/>
    <n v="0"/>
    <n v="9"/>
    <n v="0"/>
    <n v="0"/>
    <n v="10"/>
    <n v="0"/>
    <n v="0.15567927368158924"/>
    <n v="1.3667838287404401"/>
    <n v="0.1644554352117841"/>
    <n v="0.48834154112957734"/>
    <n v="0.88721318382472392"/>
    <n v="0.88405695572208698"/>
    <n v="0.2520597274726662"/>
  </r>
  <r>
    <n v="38"/>
    <n v="38"/>
    <s v="No"/>
    <n v="0"/>
    <s v="Travel_Rarely"/>
    <n v="0"/>
    <n v="1"/>
    <x v="1"/>
    <n v="1"/>
    <n v="0"/>
    <n v="2"/>
    <n v="2"/>
    <n v="2"/>
    <s v="Medical"/>
    <n v="0"/>
    <n v="0"/>
    <n v="1"/>
    <n v="0"/>
    <n v="0"/>
    <n v="4"/>
    <s v="Female"/>
    <n v="1"/>
    <n v="54"/>
    <n v="2"/>
    <n v="3"/>
    <s v="Manufacturing Director"/>
    <n v="0"/>
    <n v="0"/>
    <n v="0"/>
    <n v="0"/>
    <n v="1"/>
    <n v="1"/>
    <n v="0"/>
    <n v="0"/>
    <n v="3"/>
    <s v="Married"/>
    <n v="0"/>
    <n v="1"/>
    <n v="7756"/>
    <n v="7756"/>
    <n v="3"/>
    <s v="Yes"/>
    <n v="1"/>
    <n v="19"/>
    <n v="3"/>
    <n v="4"/>
    <n v="1"/>
    <n v="10"/>
    <x v="1"/>
    <n v="6"/>
    <n v="4"/>
    <n v="5"/>
    <n v="5"/>
    <n v="4"/>
    <n v="0"/>
    <n v="0"/>
    <n v="2"/>
    <n v="2"/>
    <n v="6"/>
    <n v="0"/>
    <n v="1"/>
    <n v="0"/>
    <n v="0"/>
    <n v="0"/>
    <n v="0"/>
    <n v="0"/>
    <n v="1"/>
    <n v="0"/>
    <n v="2"/>
    <n v="0"/>
    <n v="0"/>
    <n v="10"/>
    <n v="0"/>
    <n v="0.26615977274507424"/>
    <n v="0.59502473559756086"/>
    <n v="0.1644554352117841"/>
    <n v="0.32778177112653761"/>
    <n v="0.88721318382472392"/>
    <n v="0.11780475942994788"/>
    <n v="0.67891464284095016"/>
  </r>
  <r>
    <n v="35"/>
    <n v="35"/>
    <s v="Yes"/>
    <n v="1"/>
    <s v="Travel_Rarely"/>
    <n v="0"/>
    <n v="1"/>
    <x v="0"/>
    <n v="0"/>
    <n v="1"/>
    <n v="10"/>
    <n v="10"/>
    <n v="3"/>
    <s v="Medical"/>
    <n v="0"/>
    <n v="0"/>
    <n v="1"/>
    <n v="0"/>
    <n v="0"/>
    <n v="4"/>
    <s v="Male"/>
    <n v="0"/>
    <n v="55"/>
    <n v="2"/>
    <n v="3"/>
    <s v="Sales Executive"/>
    <n v="0"/>
    <n v="1"/>
    <n v="0"/>
    <n v="0"/>
    <n v="0"/>
    <n v="0"/>
    <n v="0"/>
    <n v="0"/>
    <n v="1"/>
    <s v="Married"/>
    <n v="0"/>
    <n v="1"/>
    <n v="10306"/>
    <n v="10306"/>
    <n v="9"/>
    <s v="No"/>
    <n v="0"/>
    <n v="17"/>
    <n v="3"/>
    <n v="3"/>
    <n v="0"/>
    <n v="15"/>
    <x v="19"/>
    <n v="3"/>
    <n v="3"/>
    <n v="13"/>
    <n v="13"/>
    <n v="12"/>
    <n v="6"/>
    <n v="6"/>
    <n v="0"/>
    <n v="0"/>
    <n v="0"/>
    <n v="0"/>
    <n v="1"/>
    <n v="0"/>
    <n v="0"/>
    <n v="0"/>
    <n v="0"/>
    <n v="1"/>
    <n v="0"/>
    <n v="0"/>
    <n v="0"/>
    <n v="0"/>
    <n v="0"/>
    <n v="0"/>
    <n v="15"/>
    <n v="0.80779601060408324"/>
    <n v="1.1555414682655611"/>
    <n v="0.47815352215483642"/>
    <n v="0.97801552848324624"/>
    <n v="9.9604847176766084E-2"/>
    <n v="0.21058903898096887"/>
    <n v="1.1830340977862825"/>
  </r>
  <r>
    <n v="37"/>
    <n v="37"/>
    <s v="No"/>
    <n v="0"/>
    <s v="Travel_Rarely"/>
    <n v="0"/>
    <n v="1"/>
    <x v="1"/>
    <n v="1"/>
    <n v="0"/>
    <n v="10"/>
    <n v="10"/>
    <n v="3"/>
    <s v="Medical"/>
    <n v="0"/>
    <n v="0"/>
    <n v="1"/>
    <n v="0"/>
    <n v="0"/>
    <n v="2"/>
    <s v="Female"/>
    <n v="1"/>
    <n v="71"/>
    <n v="3"/>
    <n v="1"/>
    <s v="Research Scientist"/>
    <n v="0"/>
    <n v="0"/>
    <n v="0"/>
    <n v="0"/>
    <n v="0"/>
    <n v="0"/>
    <n v="0"/>
    <n v="1"/>
    <n v="2"/>
    <s v="Married"/>
    <n v="0"/>
    <n v="1"/>
    <n v="3936"/>
    <n v="3936"/>
    <n v="1"/>
    <s v="No"/>
    <n v="0"/>
    <n v="11"/>
    <n v="3"/>
    <n v="1"/>
    <n v="1"/>
    <n v="8"/>
    <x v="0"/>
    <n v="2"/>
    <n v="1"/>
    <n v="8"/>
    <n v="8"/>
    <n v="4"/>
    <n v="7"/>
    <n v="7"/>
    <n v="7"/>
    <n v="7"/>
    <n v="7"/>
    <n v="0"/>
    <n v="1"/>
    <n v="0"/>
    <n v="0"/>
    <n v="0"/>
    <n v="0"/>
    <n v="1"/>
    <n v="0"/>
    <n v="0"/>
    <n v="7"/>
    <n v="0"/>
    <n v="0"/>
    <n v="8"/>
    <n v="0"/>
    <n v="0.54523255220450006"/>
    <n v="0.80626709607243985"/>
    <n v="0.42149901815843233"/>
    <n v="0.16189221622713135"/>
    <n v="9.9604847176766084E-2"/>
    <n v="8.3401599596422994E-3"/>
    <n v="1.4933588878908215"/>
  </r>
  <r>
    <n v="40"/>
    <n v="40"/>
    <s v="No"/>
    <n v="0"/>
    <s v="Travel_Rarely"/>
    <n v="0"/>
    <n v="1"/>
    <x v="1"/>
    <n v="1"/>
    <n v="0"/>
    <n v="16"/>
    <n v="16"/>
    <n v="3"/>
    <s v="Life Sciences"/>
    <n v="1"/>
    <n v="0"/>
    <n v="0"/>
    <n v="0"/>
    <n v="0"/>
    <n v="3"/>
    <s v="Female"/>
    <n v="1"/>
    <n v="84"/>
    <n v="3"/>
    <n v="3"/>
    <s v="Manufacturing Director"/>
    <n v="0"/>
    <n v="0"/>
    <n v="0"/>
    <n v="0"/>
    <n v="1"/>
    <n v="1"/>
    <n v="0"/>
    <n v="0"/>
    <n v="4"/>
    <s v="Single"/>
    <n v="1"/>
    <n v="0"/>
    <n v="7945"/>
    <n v="7945"/>
    <n v="6"/>
    <s v="Yes"/>
    <n v="1"/>
    <n v="15"/>
    <n v="3"/>
    <n v="4"/>
    <n v="0"/>
    <n v="18"/>
    <x v="30"/>
    <n v="2"/>
    <n v="2"/>
    <n v="4"/>
    <n v="4"/>
    <n v="2"/>
    <n v="3"/>
    <n v="3"/>
    <n v="3"/>
    <n v="3"/>
    <n v="9"/>
    <n v="1"/>
    <n v="0"/>
    <n v="0"/>
    <n v="0"/>
    <n v="0"/>
    <n v="1"/>
    <n v="0"/>
    <n v="0"/>
    <n v="0"/>
    <n v="3"/>
    <n v="0"/>
    <n v="0"/>
    <n v="18"/>
    <n v="0"/>
    <n v="0.30630457625697727"/>
    <n v="0.31476636926356072"/>
    <n v="0.86371889657480871"/>
    <n v="0.49100643357776058"/>
    <n v="0.83971837042788355"/>
    <n v="0.33673395837055903"/>
    <n v="0.2520597274726662"/>
  </r>
  <r>
    <n v="44"/>
    <n v="44"/>
    <s v="No"/>
    <n v="0"/>
    <s v="Travel_Frequently"/>
    <n v="1"/>
    <n v="0"/>
    <x v="2"/>
    <n v="0"/>
    <n v="0"/>
    <n v="1"/>
    <n v="1"/>
    <n v="5"/>
    <s v="Human Resources"/>
    <n v="0"/>
    <n v="0"/>
    <n v="0"/>
    <n v="0"/>
    <n v="0"/>
    <n v="1"/>
    <s v="Male"/>
    <n v="0"/>
    <n v="37"/>
    <n v="3"/>
    <n v="2"/>
    <s v="Human Resources"/>
    <n v="0"/>
    <n v="0"/>
    <n v="0"/>
    <n v="0"/>
    <n v="0"/>
    <n v="0"/>
    <n v="0"/>
    <n v="0"/>
    <n v="4"/>
    <s v="Married"/>
    <n v="0"/>
    <n v="1"/>
    <n v="5743"/>
    <n v="5743"/>
    <n v="4"/>
    <s v="Yes"/>
    <n v="1"/>
    <n v="11"/>
    <n v="3"/>
    <n v="3"/>
    <n v="0"/>
    <n v="14"/>
    <x v="18"/>
    <n v="3"/>
    <n v="3"/>
    <n v="10"/>
    <n v="10"/>
    <n v="7"/>
    <n v="0"/>
    <n v="0"/>
    <n v="2"/>
    <n v="2"/>
    <n v="4"/>
    <n v="0"/>
    <n v="0"/>
    <n v="0"/>
    <n v="1"/>
    <n v="0"/>
    <n v="0"/>
    <n v="0"/>
    <n v="1"/>
    <n v="2"/>
    <n v="0"/>
    <n v="0"/>
    <n v="14"/>
    <n v="0"/>
    <n v="0"/>
    <n v="0.16141424561186107"/>
    <n v="0.59502473559756086"/>
    <n v="0.34963173068151232"/>
    <n v="0.48834154112957734"/>
    <n v="1.01056543769991"/>
    <n v="0.77459235625178136"/>
    <n v="0.67891464284095016"/>
  </r>
  <r>
    <n v="48"/>
    <n v="48"/>
    <s v="No"/>
    <n v="0"/>
    <s v="Travel_Frequently"/>
    <n v="1"/>
    <n v="0"/>
    <x v="1"/>
    <n v="1"/>
    <n v="0"/>
    <n v="4"/>
    <n v="4"/>
    <n v="5"/>
    <s v="Medical"/>
    <n v="0"/>
    <n v="0"/>
    <n v="1"/>
    <n v="0"/>
    <n v="0"/>
    <n v="3"/>
    <s v="Male"/>
    <n v="0"/>
    <n v="89"/>
    <n v="2"/>
    <n v="4"/>
    <s v="Manager"/>
    <n v="0"/>
    <n v="0"/>
    <n v="0"/>
    <n v="1"/>
    <n v="0"/>
    <n v="0"/>
    <n v="0"/>
    <n v="0"/>
    <n v="4"/>
    <s v="Married"/>
    <n v="0"/>
    <n v="1"/>
    <n v="15202"/>
    <n v="15202"/>
    <n v="2"/>
    <s v="No"/>
    <n v="0"/>
    <n v="25"/>
    <n v="4"/>
    <n v="2"/>
    <n v="1"/>
    <n v="23"/>
    <x v="17"/>
    <n v="3"/>
    <n v="3"/>
    <n v="2"/>
    <n v="2"/>
    <n v="2"/>
    <n v="2"/>
    <n v="2"/>
    <n v="2"/>
    <n v="2"/>
    <n v="8"/>
    <n v="0"/>
    <n v="0"/>
    <n v="0"/>
    <n v="1"/>
    <n v="0"/>
    <n v="0"/>
    <n v="1"/>
    <n v="0"/>
    <n v="0"/>
    <n v="2"/>
    <n v="0"/>
    <n v="0"/>
    <n v="23"/>
    <n v="0"/>
    <n v="1.8477375872933806"/>
    <n v="0.59502473559756086"/>
    <n v="1.5063278539414293"/>
    <n v="0.81745575848020657"/>
    <n v="0.64050867607435136"/>
    <n v="1.2124507541330036"/>
    <n v="5.8265062631872602E-2"/>
  </r>
  <r>
    <n v="35"/>
    <n v="35"/>
    <s v="Yes"/>
    <n v="1"/>
    <s v="Travel_Rarely"/>
    <n v="0"/>
    <n v="1"/>
    <x v="0"/>
    <n v="0"/>
    <n v="1"/>
    <n v="15"/>
    <n v="15"/>
    <n v="2"/>
    <s v="Medical"/>
    <n v="0"/>
    <n v="0"/>
    <n v="1"/>
    <n v="0"/>
    <n v="0"/>
    <n v="1"/>
    <s v="Male"/>
    <n v="0"/>
    <n v="59"/>
    <n v="1"/>
    <n v="2"/>
    <s v="Sales Executive"/>
    <n v="0"/>
    <n v="1"/>
    <n v="0"/>
    <n v="0"/>
    <n v="0"/>
    <n v="0"/>
    <n v="0"/>
    <n v="0"/>
    <n v="4"/>
    <s v="Divorced"/>
    <n v="0"/>
    <n v="0"/>
    <n v="5440"/>
    <n v="5440"/>
    <n v="6"/>
    <s v="Yes"/>
    <n v="1"/>
    <n v="14"/>
    <n v="3"/>
    <n v="4"/>
    <n v="2"/>
    <n v="7"/>
    <x v="2"/>
    <n v="2"/>
    <n v="2"/>
    <n v="2"/>
    <n v="2"/>
    <n v="2"/>
    <n v="2"/>
    <n v="2"/>
    <n v="2"/>
    <n v="2"/>
    <n v="4"/>
    <n v="1"/>
    <n v="0"/>
    <n v="0"/>
    <n v="0"/>
    <n v="0"/>
    <n v="1"/>
    <n v="0"/>
    <n v="0"/>
    <n v="0"/>
    <n v="0"/>
    <n v="2"/>
    <n v="0"/>
    <n v="0"/>
    <n v="7"/>
    <n v="0.22577337505157863"/>
    <n v="0.59502473559756086"/>
    <n v="0.55002080963175637"/>
    <n v="0.81745575848020657"/>
    <n v="0.71636611655269733"/>
    <n v="0.21058903898096887"/>
    <n v="5.8265062631872602E-2"/>
  </r>
  <r>
    <n v="24"/>
    <n v="24"/>
    <s v="No"/>
    <n v="0"/>
    <s v="Travel_Frequently"/>
    <n v="1"/>
    <n v="0"/>
    <x v="1"/>
    <n v="1"/>
    <n v="0"/>
    <n v="2"/>
    <n v="2"/>
    <n v="1"/>
    <s v="Technical Degree"/>
    <n v="0"/>
    <n v="0"/>
    <n v="0"/>
    <n v="0"/>
    <n v="1"/>
    <n v="1"/>
    <s v="Female"/>
    <n v="1"/>
    <n v="32"/>
    <n v="3"/>
    <n v="1"/>
    <s v="Research Scientist"/>
    <n v="0"/>
    <n v="0"/>
    <n v="0"/>
    <n v="0"/>
    <n v="0"/>
    <n v="0"/>
    <n v="0"/>
    <n v="1"/>
    <n v="4"/>
    <s v="Single"/>
    <n v="1"/>
    <n v="0"/>
    <n v="3760"/>
    <n v="3760"/>
    <n v="1"/>
    <s v="Yes"/>
    <n v="1"/>
    <n v="13"/>
    <n v="3"/>
    <n v="3"/>
    <n v="0"/>
    <n v="6"/>
    <x v="3"/>
    <n v="2"/>
    <n v="3"/>
    <n v="6"/>
    <n v="6"/>
    <n v="3"/>
    <n v="1"/>
    <n v="1"/>
    <n v="3"/>
    <n v="3"/>
    <n v="3"/>
    <n v="0"/>
    <n v="0"/>
    <n v="1"/>
    <n v="0"/>
    <n v="0"/>
    <n v="1"/>
    <n v="0"/>
    <n v="0"/>
    <n v="0"/>
    <n v="3"/>
    <n v="0"/>
    <n v="0"/>
    <n v="6"/>
    <n v="0"/>
    <n v="0.58261607293516104"/>
    <n v="0.31476636926356072"/>
    <n v="0.67854260110508058"/>
    <n v="0.16455710867531462"/>
    <n v="0.88721318382472392"/>
    <n v="1.4146996331543302"/>
    <n v="0.36858985273641137"/>
  </r>
  <r>
    <n v="27"/>
    <n v="27"/>
    <s v="No"/>
    <n v="0"/>
    <s v="Travel_Rarely"/>
    <n v="0"/>
    <n v="1"/>
    <x v="1"/>
    <n v="1"/>
    <n v="0"/>
    <n v="8"/>
    <n v="8"/>
    <n v="3"/>
    <s v="Medical"/>
    <n v="0"/>
    <n v="0"/>
    <n v="1"/>
    <n v="0"/>
    <n v="0"/>
    <n v="2"/>
    <s v="Female"/>
    <n v="1"/>
    <n v="86"/>
    <n v="4"/>
    <n v="1"/>
    <s v="Research Scientist"/>
    <n v="0"/>
    <n v="0"/>
    <n v="0"/>
    <n v="0"/>
    <n v="0"/>
    <n v="0"/>
    <n v="0"/>
    <n v="1"/>
    <n v="3"/>
    <s v="Married"/>
    <n v="0"/>
    <n v="1"/>
    <n v="3517"/>
    <n v="3517"/>
    <n v="7"/>
    <s v="No"/>
    <n v="0"/>
    <n v="17"/>
    <n v="3"/>
    <n v="1"/>
    <n v="0"/>
    <n v="5"/>
    <x v="7"/>
    <n v="0"/>
    <n v="3"/>
    <n v="3"/>
    <n v="3"/>
    <n v="2"/>
    <n v="0"/>
    <n v="0"/>
    <n v="2"/>
    <n v="2"/>
    <n v="2"/>
    <n v="0"/>
    <n v="1"/>
    <n v="0"/>
    <n v="0"/>
    <n v="0"/>
    <n v="0"/>
    <n v="1"/>
    <n v="0"/>
    <n v="0"/>
    <n v="2"/>
    <n v="0"/>
    <n v="0"/>
    <n v="5"/>
    <n v="0"/>
    <n v="0.6342308203076078"/>
    <n v="0.59502473559756086"/>
    <n v="0.80706439257840468"/>
    <n v="0.65423109602898355"/>
    <n v="0.14709966057360641"/>
    <n v="1.0863058347434136"/>
    <n v="0.67891464284095016"/>
  </r>
  <r>
    <n v="27"/>
    <n v="27"/>
    <s v="No"/>
    <n v="0"/>
    <s v="Travel_Frequently"/>
    <n v="1"/>
    <n v="0"/>
    <x v="1"/>
    <n v="1"/>
    <n v="0"/>
    <n v="2"/>
    <n v="2"/>
    <n v="3"/>
    <s v="Medical"/>
    <n v="0"/>
    <n v="0"/>
    <n v="1"/>
    <n v="0"/>
    <n v="0"/>
    <n v="4"/>
    <s v="Male"/>
    <n v="0"/>
    <n v="87"/>
    <n v="3"/>
    <n v="1"/>
    <s v="Research Scientist"/>
    <n v="0"/>
    <n v="0"/>
    <n v="0"/>
    <n v="0"/>
    <n v="0"/>
    <n v="0"/>
    <n v="0"/>
    <n v="1"/>
    <n v="4"/>
    <s v="Single"/>
    <n v="1"/>
    <n v="0"/>
    <n v="2580"/>
    <n v="2580"/>
    <n v="2"/>
    <s v="No"/>
    <n v="0"/>
    <n v="13"/>
    <n v="3"/>
    <n v="3"/>
    <n v="0"/>
    <n v="6"/>
    <x v="3"/>
    <n v="0"/>
    <n v="2"/>
    <n v="4"/>
    <n v="4"/>
    <n v="2"/>
    <n v="1"/>
    <n v="1"/>
    <n v="2"/>
    <n v="2"/>
    <n v="2"/>
    <n v="0"/>
    <n v="0"/>
    <n v="1"/>
    <n v="0"/>
    <n v="1"/>
    <n v="0"/>
    <n v="0"/>
    <n v="0"/>
    <n v="0"/>
    <n v="2"/>
    <n v="0"/>
    <n v="0"/>
    <n v="6"/>
    <n v="0"/>
    <n v="0.83325558692482016"/>
    <n v="0.59502473559756086"/>
    <n v="0.67854260110508058"/>
    <n v="0.49100643357776058"/>
    <n v="0.88721318382472392"/>
    <n v="1.0863058347434136"/>
    <n v="0.36858985273641137"/>
  </r>
  <r>
    <n v="40"/>
    <n v="40"/>
    <s v="Yes"/>
    <n v="1"/>
    <s v="Travel_Rarely"/>
    <n v="0"/>
    <n v="1"/>
    <x v="1"/>
    <n v="1"/>
    <n v="0"/>
    <n v="7"/>
    <n v="7"/>
    <n v="3"/>
    <s v="Life Sciences"/>
    <n v="1"/>
    <n v="0"/>
    <n v="0"/>
    <n v="0"/>
    <n v="0"/>
    <n v="1"/>
    <s v="Male"/>
    <n v="0"/>
    <n v="73"/>
    <n v="3"/>
    <n v="1"/>
    <s v="Laboratory Technician"/>
    <n v="0"/>
    <n v="0"/>
    <n v="1"/>
    <n v="0"/>
    <n v="0"/>
    <n v="0"/>
    <n v="0"/>
    <n v="0"/>
    <n v="1"/>
    <s v="Single"/>
    <n v="1"/>
    <n v="0"/>
    <n v="2166"/>
    <n v="2166"/>
    <n v="3"/>
    <s v="Yes"/>
    <n v="1"/>
    <n v="14"/>
    <n v="3"/>
    <n v="2"/>
    <n v="0"/>
    <n v="10"/>
    <x v="1"/>
    <n v="3"/>
    <n v="1"/>
    <n v="4"/>
    <n v="4"/>
    <n v="2"/>
    <n v="0"/>
    <n v="0"/>
    <n v="3"/>
    <n v="3"/>
    <n v="3"/>
    <n v="1"/>
    <n v="0"/>
    <n v="0"/>
    <n v="0"/>
    <n v="0"/>
    <n v="1"/>
    <n v="0"/>
    <n v="0"/>
    <n v="0"/>
    <n v="3"/>
    <n v="0"/>
    <n v="0"/>
    <n v="10"/>
    <n v="0"/>
    <n v="0.92119182318898862"/>
    <n v="0.31476636926356072"/>
    <n v="0.1644554352117841"/>
    <n v="0.49100643357776058"/>
    <n v="0.27045191444879263"/>
    <n v="0.33673395837055903"/>
    <n v="0.67891464284095016"/>
  </r>
  <r>
    <n v="29"/>
    <n v="29"/>
    <s v="No"/>
    <n v="0"/>
    <s v="Travel_Rarely"/>
    <n v="0"/>
    <n v="1"/>
    <x v="0"/>
    <n v="0"/>
    <n v="1"/>
    <n v="10"/>
    <n v="10"/>
    <n v="3"/>
    <s v="Medical"/>
    <n v="0"/>
    <n v="0"/>
    <n v="1"/>
    <n v="0"/>
    <n v="0"/>
    <n v="3"/>
    <s v="Male"/>
    <n v="0"/>
    <n v="42"/>
    <n v="2"/>
    <n v="2"/>
    <s v="Sales Executive"/>
    <n v="0"/>
    <n v="1"/>
    <n v="0"/>
    <n v="0"/>
    <n v="0"/>
    <n v="0"/>
    <n v="0"/>
    <n v="0"/>
    <n v="3"/>
    <s v="Single"/>
    <n v="1"/>
    <n v="0"/>
    <n v="5869"/>
    <n v="5869"/>
    <n v="9"/>
    <s v="No"/>
    <n v="0"/>
    <n v="11"/>
    <n v="3"/>
    <n v="3"/>
    <n v="0"/>
    <n v="8"/>
    <x v="0"/>
    <n v="2"/>
    <n v="3"/>
    <n v="5"/>
    <n v="5"/>
    <n v="2"/>
    <n v="1"/>
    <n v="1"/>
    <n v="4"/>
    <n v="4"/>
    <n v="8"/>
    <n v="1"/>
    <n v="0"/>
    <n v="0"/>
    <n v="0"/>
    <n v="1"/>
    <n v="0"/>
    <n v="0"/>
    <n v="0"/>
    <n v="0"/>
    <n v="0"/>
    <n v="4"/>
    <n v="0"/>
    <n v="0"/>
    <n v="8"/>
    <n v="0.13465104327059241"/>
    <n v="3.4508002929560584E-2"/>
    <n v="0.42149901815843233"/>
    <n v="0.32778177112653761"/>
    <n v="9.9604847176766084E-2"/>
    <n v="0.86737663580280233"/>
    <n v="0.36858985273641137"/>
  </r>
  <r>
    <n v="36"/>
    <n v="36"/>
    <s v="No"/>
    <n v="0"/>
    <s v="Travel_Rarely"/>
    <n v="0"/>
    <n v="1"/>
    <x v="1"/>
    <n v="1"/>
    <n v="0"/>
    <n v="5"/>
    <n v="5"/>
    <n v="4"/>
    <s v="Life Sciences"/>
    <n v="1"/>
    <n v="0"/>
    <n v="0"/>
    <n v="0"/>
    <n v="0"/>
    <n v="2"/>
    <s v="Female"/>
    <n v="1"/>
    <n v="42"/>
    <n v="3"/>
    <n v="3"/>
    <s v="Healthcare Representative"/>
    <n v="1"/>
    <n v="0"/>
    <n v="0"/>
    <n v="0"/>
    <n v="0"/>
    <n v="0"/>
    <n v="0"/>
    <n v="0"/>
    <n v="1"/>
    <s v="Married"/>
    <n v="0"/>
    <n v="1"/>
    <n v="8008"/>
    <n v="8008"/>
    <n v="4"/>
    <s v="No"/>
    <n v="0"/>
    <n v="12"/>
    <n v="3"/>
    <n v="3"/>
    <n v="2"/>
    <n v="9"/>
    <x v="14"/>
    <n v="6"/>
    <n v="3"/>
    <n v="3"/>
    <n v="3"/>
    <n v="2"/>
    <n v="0"/>
    <n v="0"/>
    <n v="2"/>
    <n v="2"/>
    <n v="6"/>
    <n v="0"/>
    <n v="1"/>
    <n v="0"/>
    <n v="0"/>
    <n v="0"/>
    <n v="0"/>
    <n v="1"/>
    <n v="0"/>
    <n v="0"/>
    <n v="2"/>
    <n v="0"/>
    <n v="0"/>
    <n v="9"/>
    <n v="0"/>
    <n v="0.31968617742761163"/>
    <n v="0.59502473559756086"/>
    <n v="0.29297722668510823"/>
    <n v="0.65423109602898355"/>
    <n v="0.51715642219916513"/>
    <n v="0.10112443951066327"/>
    <n v="0.67891464284095016"/>
  </r>
  <r>
    <n v="25"/>
    <n v="25"/>
    <s v="No"/>
    <n v="0"/>
    <s v="Travel_Frequently"/>
    <n v="1"/>
    <n v="0"/>
    <x v="1"/>
    <n v="1"/>
    <n v="0"/>
    <n v="2"/>
    <n v="2"/>
    <n v="1"/>
    <s v="Life Sciences"/>
    <n v="1"/>
    <n v="0"/>
    <n v="0"/>
    <n v="0"/>
    <n v="0"/>
    <n v="4"/>
    <s v="Male"/>
    <n v="0"/>
    <n v="77"/>
    <n v="4"/>
    <n v="2"/>
    <s v="Manufacturing Director"/>
    <n v="0"/>
    <n v="0"/>
    <n v="0"/>
    <n v="0"/>
    <n v="1"/>
    <n v="1"/>
    <n v="0"/>
    <n v="0"/>
    <n v="3"/>
    <s v="Divorced"/>
    <n v="0"/>
    <n v="0"/>
    <n v="5206"/>
    <n v="5206"/>
    <n v="1"/>
    <s v="No"/>
    <n v="0"/>
    <n v="17"/>
    <n v="3"/>
    <n v="3"/>
    <n v="2"/>
    <n v="7"/>
    <x v="2"/>
    <n v="6"/>
    <n v="3"/>
    <n v="7"/>
    <n v="7"/>
    <n v="7"/>
    <n v="0"/>
    <n v="0"/>
    <n v="7"/>
    <n v="7"/>
    <n v="14"/>
    <n v="0"/>
    <n v="0"/>
    <n v="1"/>
    <n v="0"/>
    <n v="1"/>
    <n v="0"/>
    <n v="0"/>
    <n v="0"/>
    <n v="0"/>
    <n v="7"/>
    <n v="0"/>
    <n v="0"/>
    <n v="7"/>
    <n v="0"/>
    <n v="0.27547646511393475"/>
    <n v="0.80626709607243985"/>
    <n v="0.55002080963175637"/>
    <n v="1.3324462240916321E-3"/>
    <n v="0.88721318382472392"/>
    <n v="1.3052350336840246"/>
    <n v="0.67891464284095016"/>
  </r>
  <r>
    <n v="39"/>
    <n v="39"/>
    <s v="No"/>
    <n v="0"/>
    <s v="Travel_Rarely"/>
    <n v="0"/>
    <n v="1"/>
    <x v="1"/>
    <n v="1"/>
    <n v="0"/>
    <n v="12"/>
    <n v="12"/>
    <n v="3"/>
    <s v="Medical"/>
    <n v="0"/>
    <n v="0"/>
    <n v="1"/>
    <n v="0"/>
    <n v="0"/>
    <n v="4"/>
    <s v="Male"/>
    <n v="0"/>
    <n v="66"/>
    <n v="3"/>
    <n v="2"/>
    <s v="Manufacturing Director"/>
    <n v="0"/>
    <n v="0"/>
    <n v="0"/>
    <n v="0"/>
    <n v="1"/>
    <n v="1"/>
    <n v="0"/>
    <n v="0"/>
    <n v="2"/>
    <s v="Married"/>
    <n v="0"/>
    <n v="1"/>
    <n v="5295"/>
    <n v="5295"/>
    <n v="4"/>
    <s v="No"/>
    <n v="0"/>
    <n v="21"/>
    <n v="4"/>
    <n v="3"/>
    <n v="0"/>
    <n v="7"/>
    <x v="2"/>
    <n v="3"/>
    <n v="3"/>
    <n v="5"/>
    <n v="5"/>
    <n v="4"/>
    <n v="1"/>
    <n v="1"/>
    <n v="0"/>
    <n v="0"/>
    <n v="0"/>
    <n v="0"/>
    <n v="1"/>
    <n v="0"/>
    <n v="0"/>
    <n v="0"/>
    <n v="0"/>
    <n v="1"/>
    <n v="0"/>
    <n v="0"/>
    <n v="0"/>
    <n v="0"/>
    <n v="0"/>
    <n v="7"/>
    <n v="0"/>
    <n v="0.25657229838081641"/>
    <n v="1.1555414682655611"/>
    <n v="0.55002080963175637"/>
    <n v="0.32778177112653761"/>
    <n v="0.3463093549271386"/>
    <n v="0.22726935890025346"/>
    <n v="0.36858985273641137"/>
  </r>
  <r>
    <n v="49"/>
    <n v="49"/>
    <s v="No"/>
    <n v="0"/>
    <s v="Travel_Rarely"/>
    <n v="0"/>
    <n v="1"/>
    <x v="1"/>
    <n v="1"/>
    <n v="0"/>
    <n v="22"/>
    <n v="22"/>
    <n v="4"/>
    <s v="Other"/>
    <n v="0"/>
    <n v="1"/>
    <n v="0"/>
    <n v="0"/>
    <n v="0"/>
    <n v="1"/>
    <s v="Female"/>
    <n v="1"/>
    <n v="72"/>
    <n v="3"/>
    <n v="4"/>
    <s v="Research Director"/>
    <n v="0"/>
    <n v="0"/>
    <n v="0"/>
    <n v="0"/>
    <n v="0"/>
    <n v="0"/>
    <n v="0"/>
    <n v="0"/>
    <n v="2"/>
    <s v="Married"/>
    <n v="0"/>
    <n v="1"/>
    <n v="16413"/>
    <n v="16413"/>
    <n v="3"/>
    <s v="No"/>
    <n v="0"/>
    <n v="16"/>
    <n v="3"/>
    <n v="2"/>
    <n v="2"/>
    <n v="27"/>
    <x v="34"/>
    <n v="2"/>
    <n v="3"/>
    <n v="4"/>
    <n v="4"/>
    <n v="2"/>
    <n v="1"/>
    <n v="1"/>
    <n v="2"/>
    <n v="2"/>
    <n v="8"/>
    <n v="0"/>
    <n v="1"/>
    <n v="0"/>
    <n v="0"/>
    <n v="0"/>
    <n v="0"/>
    <n v="1"/>
    <n v="0"/>
    <n v="0"/>
    <n v="2"/>
    <n v="0"/>
    <n v="0"/>
    <n v="27"/>
    <n v="0"/>
    <n v="2.104961698684463"/>
    <n v="0.59502473559756086"/>
    <n v="2.0204150198347257"/>
    <n v="0.49100643357776058"/>
    <n v="1.579831893679001"/>
    <n v="1.3219153536033093"/>
    <n v="0.36858985273641137"/>
  </r>
  <r>
    <n v="50"/>
    <n v="50"/>
    <s v="No"/>
    <n v="0"/>
    <s v="Travel_Rarely"/>
    <n v="0"/>
    <n v="1"/>
    <x v="1"/>
    <n v="1"/>
    <n v="0"/>
    <n v="17"/>
    <n v="17"/>
    <n v="5"/>
    <s v="Life Sciences"/>
    <n v="1"/>
    <n v="0"/>
    <n v="0"/>
    <n v="0"/>
    <n v="0"/>
    <n v="4"/>
    <s v="Female"/>
    <n v="1"/>
    <n v="50"/>
    <n v="2"/>
    <n v="3"/>
    <s v="Research Director"/>
    <n v="0"/>
    <n v="0"/>
    <n v="0"/>
    <n v="0"/>
    <n v="0"/>
    <n v="0"/>
    <n v="0"/>
    <n v="0"/>
    <n v="1"/>
    <s v="Divorced"/>
    <n v="0"/>
    <n v="0"/>
    <n v="13269"/>
    <n v="13269"/>
    <n v="5"/>
    <s v="No"/>
    <n v="0"/>
    <n v="15"/>
    <n v="3"/>
    <n v="3"/>
    <n v="3"/>
    <n v="19"/>
    <x v="15"/>
    <n v="3"/>
    <n v="3"/>
    <n v="14"/>
    <n v="14"/>
    <n v="11"/>
    <n v="1"/>
    <n v="1"/>
    <n v="11"/>
    <n v="11"/>
    <n v="33"/>
    <n v="1"/>
    <n v="0"/>
    <n v="0"/>
    <n v="0"/>
    <n v="1"/>
    <n v="0"/>
    <n v="0"/>
    <n v="0"/>
    <n v="0"/>
    <n v="11"/>
    <n v="0"/>
    <n v="0"/>
    <n v="19"/>
    <n v="0"/>
    <n v="1.437156078359473"/>
    <n v="1.9273005614084406"/>
    <n v="0.99224068804813281"/>
    <n v="1.1412401909344694"/>
    <n v="0.96307062430306978"/>
    <n v="1.4313799530736149"/>
    <n v="0.36858985273641137"/>
  </r>
  <r>
    <n v="20"/>
    <n v="20"/>
    <s v="No"/>
    <n v="0"/>
    <s v="Travel_Rarely"/>
    <n v="0"/>
    <n v="1"/>
    <x v="0"/>
    <n v="0"/>
    <n v="1"/>
    <n v="2"/>
    <n v="2"/>
    <n v="3"/>
    <s v="Medical"/>
    <n v="0"/>
    <n v="0"/>
    <n v="1"/>
    <n v="0"/>
    <n v="0"/>
    <n v="3"/>
    <s v="Female"/>
    <n v="1"/>
    <n v="31"/>
    <n v="3"/>
    <n v="1"/>
    <s v="Sales Representative"/>
    <n v="0"/>
    <n v="0"/>
    <n v="0"/>
    <n v="0"/>
    <n v="0"/>
    <n v="0"/>
    <n v="1"/>
    <n v="0"/>
    <n v="3"/>
    <s v="Single"/>
    <n v="1"/>
    <n v="0"/>
    <n v="2783"/>
    <n v="2783"/>
    <n v="1"/>
    <s v="No"/>
    <n v="0"/>
    <n v="19"/>
    <n v="3"/>
    <n v="1"/>
    <n v="0"/>
    <n v="2"/>
    <x v="16"/>
    <n v="3"/>
    <n v="3"/>
    <n v="2"/>
    <n v="2"/>
    <n v="2"/>
    <n v="2"/>
    <n v="2"/>
    <n v="2"/>
    <n v="2"/>
    <n v="2"/>
    <n v="1"/>
    <n v="0"/>
    <n v="0"/>
    <n v="0"/>
    <n v="1"/>
    <n v="0"/>
    <n v="0"/>
    <n v="0"/>
    <n v="0"/>
    <n v="0"/>
    <n v="2"/>
    <n v="0"/>
    <n v="0"/>
    <n v="2"/>
    <n v="0.79013709426388723"/>
    <n v="0.59502473559756086"/>
    <n v="1.192629766998377"/>
    <n v="0.81745575848020657"/>
    <n v="0.88721318382472392"/>
    <n v="1.8525580310355525"/>
    <n v="5.8265062631872602E-2"/>
  </r>
  <r>
    <n v="34"/>
    <n v="34"/>
    <s v="No"/>
    <n v="0"/>
    <s v="Travel_Rarely"/>
    <n v="0"/>
    <n v="1"/>
    <x v="1"/>
    <n v="1"/>
    <n v="0"/>
    <n v="3"/>
    <n v="3"/>
    <n v="3"/>
    <s v="Life Sciences"/>
    <n v="1"/>
    <n v="0"/>
    <n v="0"/>
    <n v="0"/>
    <n v="0"/>
    <n v="4"/>
    <s v="Female"/>
    <n v="1"/>
    <n v="66"/>
    <n v="3"/>
    <n v="2"/>
    <s v="Research Scientist"/>
    <n v="0"/>
    <n v="0"/>
    <n v="0"/>
    <n v="0"/>
    <n v="0"/>
    <n v="0"/>
    <n v="0"/>
    <n v="1"/>
    <n v="2"/>
    <s v="Divorced"/>
    <n v="0"/>
    <n v="0"/>
    <n v="5433"/>
    <n v="5433"/>
    <n v="1"/>
    <s v="No"/>
    <n v="0"/>
    <n v="12"/>
    <n v="3"/>
    <n v="3"/>
    <n v="1"/>
    <n v="11"/>
    <x v="26"/>
    <n v="2"/>
    <n v="3"/>
    <n v="11"/>
    <n v="11"/>
    <n v="8"/>
    <n v="7"/>
    <n v="7"/>
    <n v="9"/>
    <n v="9"/>
    <n v="18"/>
    <n v="1"/>
    <n v="0"/>
    <n v="0"/>
    <n v="0"/>
    <n v="1"/>
    <n v="0"/>
    <n v="0"/>
    <n v="0"/>
    <n v="0"/>
    <n v="9"/>
    <n v="0"/>
    <n v="0"/>
    <n v="11"/>
    <n v="0"/>
    <n v="0.22726021962609355"/>
    <n v="1.3667838287404401"/>
    <n v="3.593364373846001E-2"/>
    <n v="0.65156620358080031"/>
    <n v="0.76386092994953758"/>
    <n v="0.32005363845127444"/>
    <n v="1.4933588878908215"/>
  </r>
  <r>
    <n v="36"/>
    <n v="36"/>
    <s v="No"/>
    <n v="0"/>
    <s v="Travel_Rarely"/>
    <n v="0"/>
    <n v="1"/>
    <x v="1"/>
    <n v="1"/>
    <n v="0"/>
    <n v="7"/>
    <n v="7"/>
    <n v="3"/>
    <s v="Life Sciences"/>
    <n v="1"/>
    <n v="0"/>
    <n v="0"/>
    <n v="0"/>
    <n v="0"/>
    <n v="1"/>
    <s v="Male"/>
    <n v="0"/>
    <n v="77"/>
    <n v="3"/>
    <n v="1"/>
    <s v="Laboratory Technician"/>
    <n v="0"/>
    <n v="0"/>
    <n v="1"/>
    <n v="0"/>
    <n v="0"/>
    <n v="0"/>
    <n v="0"/>
    <n v="0"/>
    <n v="2"/>
    <s v="Single"/>
    <n v="1"/>
    <n v="0"/>
    <n v="2013"/>
    <n v="2013"/>
    <n v="2"/>
    <s v="No"/>
    <n v="0"/>
    <n v="11"/>
    <n v="3"/>
    <n v="3"/>
    <n v="0"/>
    <n v="15"/>
    <x v="19"/>
    <n v="4"/>
    <n v="3"/>
    <n v="4"/>
    <n v="4"/>
    <n v="3"/>
    <n v="1"/>
    <n v="1"/>
    <n v="3"/>
    <n v="3"/>
    <n v="3"/>
    <n v="1"/>
    <n v="0"/>
    <n v="0"/>
    <n v="0"/>
    <n v="1"/>
    <n v="0"/>
    <n v="0"/>
    <n v="0"/>
    <n v="0"/>
    <n v="3"/>
    <n v="0"/>
    <n v="0"/>
    <n v="15"/>
    <n v="0"/>
    <n v="0.95368999746052918"/>
    <n v="0.31476636926356072"/>
    <n v="0.47815352215483642"/>
    <n v="0.49100643357776058"/>
    <n v="0.27045191444879263"/>
    <n v="0.10112443951066327"/>
    <n v="0.36858985273641137"/>
  </r>
  <r>
    <n v="49"/>
    <n v="49"/>
    <s v="No"/>
    <n v="0"/>
    <s v="Travel_Rarely"/>
    <n v="0"/>
    <n v="1"/>
    <x v="1"/>
    <n v="1"/>
    <n v="0"/>
    <n v="6"/>
    <n v="6"/>
    <n v="1"/>
    <s v="Life Sciences"/>
    <n v="1"/>
    <n v="0"/>
    <n v="0"/>
    <n v="0"/>
    <n v="0"/>
    <n v="3"/>
    <s v="Female"/>
    <n v="1"/>
    <n v="41"/>
    <n v="2"/>
    <n v="4"/>
    <s v="Healthcare Representative"/>
    <n v="1"/>
    <n v="0"/>
    <n v="0"/>
    <n v="0"/>
    <n v="0"/>
    <n v="0"/>
    <n v="0"/>
    <n v="0"/>
    <n v="3"/>
    <s v="Married"/>
    <n v="0"/>
    <n v="1"/>
    <n v="13966"/>
    <n v="13966"/>
    <n v="2"/>
    <s v="Yes"/>
    <n v="1"/>
    <n v="19"/>
    <n v="3"/>
    <n v="2"/>
    <n v="1"/>
    <n v="30"/>
    <x v="29"/>
    <n v="3"/>
    <n v="3"/>
    <n v="15"/>
    <n v="15"/>
    <n v="11"/>
    <n v="2"/>
    <n v="2"/>
    <n v="12"/>
    <n v="12"/>
    <n v="48"/>
    <n v="0"/>
    <n v="1"/>
    <n v="0"/>
    <n v="0"/>
    <n v="0"/>
    <n v="0"/>
    <n v="0"/>
    <n v="1"/>
    <n v="0"/>
    <n v="12"/>
    <n v="0"/>
    <n v="0"/>
    <n v="30"/>
    <n v="0"/>
    <n v="1.5852033167076021"/>
    <n v="2.2075589277424408"/>
    <n v="2.4059803942546978"/>
    <n v="1.3044648533856922"/>
    <n v="0.39380416832397891"/>
    <n v="1.3219153536033093"/>
    <n v="5.8265062631872602E-2"/>
  </r>
  <r>
    <n v="36"/>
    <n v="36"/>
    <s v="No"/>
    <n v="0"/>
    <s v="Non-Travel"/>
    <n v="0"/>
    <n v="0"/>
    <x v="1"/>
    <n v="1"/>
    <n v="0"/>
    <n v="1"/>
    <n v="1"/>
    <n v="4"/>
    <s v="Medical"/>
    <n v="0"/>
    <n v="0"/>
    <n v="1"/>
    <n v="0"/>
    <n v="0"/>
    <n v="4"/>
    <s v="Female"/>
    <n v="1"/>
    <n v="33"/>
    <n v="2"/>
    <n v="2"/>
    <s v="Manufacturing Director"/>
    <n v="0"/>
    <n v="0"/>
    <n v="0"/>
    <n v="0"/>
    <n v="1"/>
    <n v="1"/>
    <n v="0"/>
    <n v="0"/>
    <n v="3"/>
    <s v="Married"/>
    <n v="0"/>
    <n v="1"/>
    <n v="4374"/>
    <n v="4374"/>
    <n v="0"/>
    <s v="No"/>
    <n v="0"/>
    <n v="15"/>
    <n v="3"/>
    <n v="3"/>
    <n v="0"/>
    <n v="4"/>
    <x v="20"/>
    <n v="6"/>
    <n v="3"/>
    <n v="3"/>
    <n v="3"/>
    <n v="2"/>
    <n v="1"/>
    <n v="1"/>
    <n v="2"/>
    <n v="2"/>
    <n v="4"/>
    <n v="0"/>
    <n v="1"/>
    <n v="0"/>
    <n v="0"/>
    <n v="0"/>
    <n v="0"/>
    <n v="1"/>
    <n v="0"/>
    <n v="0"/>
    <n v="2"/>
    <n v="0"/>
    <n v="0"/>
    <n v="4"/>
    <n v="0"/>
    <n v="0.45219856311342316"/>
    <n v="0.59502473559756086"/>
    <n v="0.93558618405172878"/>
    <n v="0.65423109602898355"/>
    <n v="1.01056543769991"/>
    <n v="0.10112443951066327"/>
    <n v="0.36858985273641137"/>
  </r>
  <r>
    <n v="36"/>
    <n v="36"/>
    <s v="No"/>
    <n v="0"/>
    <s v="Travel_Rarely"/>
    <n v="0"/>
    <n v="1"/>
    <x v="1"/>
    <n v="1"/>
    <n v="0"/>
    <n v="3"/>
    <n v="3"/>
    <n v="2"/>
    <s v="Life Sciences"/>
    <n v="1"/>
    <n v="0"/>
    <n v="0"/>
    <n v="0"/>
    <n v="0"/>
    <n v="4"/>
    <s v="Male"/>
    <n v="0"/>
    <n v="79"/>
    <n v="4"/>
    <n v="2"/>
    <s v="Healthcare Representative"/>
    <n v="1"/>
    <n v="0"/>
    <n v="0"/>
    <n v="0"/>
    <n v="0"/>
    <n v="0"/>
    <n v="0"/>
    <n v="0"/>
    <n v="1"/>
    <s v="Divorced"/>
    <n v="0"/>
    <n v="0"/>
    <n v="6842"/>
    <n v="6842"/>
    <n v="6"/>
    <s v="No"/>
    <n v="0"/>
    <n v="20"/>
    <n v="4"/>
    <n v="1"/>
    <n v="1"/>
    <n v="13"/>
    <x v="10"/>
    <n v="3"/>
    <n v="3"/>
    <n v="5"/>
    <n v="5"/>
    <n v="4"/>
    <n v="0"/>
    <n v="0"/>
    <n v="4"/>
    <n v="4"/>
    <n v="8"/>
    <n v="1"/>
    <n v="0"/>
    <n v="0"/>
    <n v="0"/>
    <n v="1"/>
    <n v="0"/>
    <n v="0"/>
    <n v="0"/>
    <n v="0"/>
    <n v="4"/>
    <n v="0"/>
    <n v="0"/>
    <n v="13"/>
    <n v="0"/>
    <n v="7.2020352586982403E-2"/>
    <n v="3.4508002929560584E-2"/>
    <n v="0.22110993920818819"/>
    <n v="0.32778177112653761"/>
    <n v="0.76386092994953758"/>
    <n v="0.10112443951066327"/>
    <n v="0.67891464284095016"/>
  </r>
  <r>
    <n v="54"/>
    <n v="54"/>
    <s v="No"/>
    <n v="0"/>
    <s v="Travel_Rarely"/>
    <n v="0"/>
    <n v="1"/>
    <x v="1"/>
    <n v="1"/>
    <n v="0"/>
    <n v="22"/>
    <n v="22"/>
    <n v="5"/>
    <s v="Medical"/>
    <n v="0"/>
    <n v="0"/>
    <n v="1"/>
    <n v="0"/>
    <n v="0"/>
    <n v="2"/>
    <s v="Female"/>
    <n v="1"/>
    <n v="91"/>
    <n v="3"/>
    <n v="4"/>
    <s v="Manager"/>
    <n v="0"/>
    <n v="0"/>
    <n v="0"/>
    <n v="1"/>
    <n v="0"/>
    <n v="0"/>
    <n v="0"/>
    <n v="0"/>
    <n v="3"/>
    <s v="Married"/>
    <n v="0"/>
    <n v="1"/>
    <n v="17426"/>
    <n v="17426"/>
    <n v="3"/>
    <s v="No"/>
    <n v="0"/>
    <n v="25"/>
    <n v="4"/>
    <n v="3"/>
    <n v="1"/>
    <n v="36"/>
    <x v="28"/>
    <n v="6"/>
    <n v="3"/>
    <n v="10"/>
    <n v="10"/>
    <n v="8"/>
    <n v="4"/>
    <n v="4"/>
    <n v="7"/>
    <n v="7"/>
    <n v="28"/>
    <n v="0"/>
    <n v="1"/>
    <n v="0"/>
    <n v="0"/>
    <n v="0"/>
    <n v="0"/>
    <n v="1"/>
    <n v="0"/>
    <n v="0"/>
    <n v="7"/>
    <n v="0"/>
    <n v="0"/>
    <n v="35"/>
    <n v="0"/>
    <n v="2.3201293492535515"/>
    <n v="0.80626709607243985"/>
    <n v="3.1771111430946424"/>
    <n v="0.48834154112957734"/>
    <n v="1.579831893679001"/>
    <n v="1.8692383509548371"/>
    <n v="0.56238451757720498"/>
  </r>
  <r>
    <n v="43"/>
    <n v="43"/>
    <s v="No"/>
    <n v="0"/>
    <s v="Travel_Rarely"/>
    <n v="0"/>
    <n v="1"/>
    <x v="1"/>
    <n v="1"/>
    <n v="0"/>
    <n v="15"/>
    <n v="15"/>
    <n v="2"/>
    <s v="Life Sciences"/>
    <n v="1"/>
    <n v="0"/>
    <n v="0"/>
    <n v="0"/>
    <n v="0"/>
    <n v="3"/>
    <s v="Male"/>
    <n v="0"/>
    <n v="65"/>
    <n v="2"/>
    <n v="4"/>
    <s v="Research Director"/>
    <n v="0"/>
    <n v="0"/>
    <n v="0"/>
    <n v="0"/>
    <n v="0"/>
    <n v="0"/>
    <n v="0"/>
    <n v="0"/>
    <n v="3"/>
    <s v="Married"/>
    <n v="0"/>
    <n v="1"/>
    <n v="17603"/>
    <n v="17603"/>
    <n v="1"/>
    <s v="No"/>
    <n v="0"/>
    <n v="24"/>
    <n v="4"/>
    <n v="1"/>
    <n v="1"/>
    <n v="14"/>
    <x v="18"/>
    <n v="3"/>
    <n v="3"/>
    <n v="14"/>
    <n v="14"/>
    <n v="10"/>
    <n v="6"/>
    <n v="6"/>
    <n v="11"/>
    <n v="11"/>
    <n v="44"/>
    <n v="0"/>
    <n v="1"/>
    <n v="0"/>
    <n v="0"/>
    <n v="0"/>
    <n v="0"/>
    <n v="1"/>
    <n v="0"/>
    <n v="0"/>
    <n v="11"/>
    <n v="0"/>
    <n v="0"/>
    <n v="14"/>
    <n v="0"/>
    <n v="2.3577252763520002"/>
    <n v="1.9273005614084406"/>
    <n v="0.34963173068151232"/>
    <n v="1.1412401909344694"/>
    <n v="0.71636611655269733"/>
    <n v="0.66512775678147573"/>
    <n v="1.1830340977862825"/>
  </r>
  <r>
    <n v="35"/>
    <n v="35"/>
    <s v="Yes"/>
    <n v="1"/>
    <s v="Travel_Frequently"/>
    <n v="1"/>
    <n v="0"/>
    <x v="0"/>
    <n v="0"/>
    <n v="1"/>
    <n v="12"/>
    <n v="12"/>
    <n v="4"/>
    <s v="Other"/>
    <n v="0"/>
    <n v="1"/>
    <n v="0"/>
    <n v="0"/>
    <n v="0"/>
    <n v="4"/>
    <s v="Male"/>
    <n v="0"/>
    <n v="36"/>
    <n v="3"/>
    <n v="2"/>
    <s v="Sales Executive"/>
    <n v="0"/>
    <n v="1"/>
    <n v="0"/>
    <n v="0"/>
    <n v="0"/>
    <n v="0"/>
    <n v="0"/>
    <n v="0"/>
    <n v="4"/>
    <s v="Single"/>
    <n v="1"/>
    <n v="0"/>
    <n v="4581"/>
    <n v="4581"/>
    <n v="3"/>
    <s v="Yes"/>
    <n v="1"/>
    <n v="24"/>
    <n v="4"/>
    <n v="1"/>
    <n v="0"/>
    <n v="13"/>
    <x v="10"/>
    <n v="2"/>
    <n v="4"/>
    <n v="11"/>
    <n v="11"/>
    <n v="9"/>
    <n v="6"/>
    <n v="6"/>
    <n v="7"/>
    <n v="7"/>
    <n v="14"/>
    <n v="0"/>
    <n v="0"/>
    <n v="1"/>
    <n v="0"/>
    <n v="0"/>
    <n v="1"/>
    <n v="0"/>
    <n v="0"/>
    <n v="0"/>
    <n v="0"/>
    <n v="7"/>
    <n v="0"/>
    <n v="0"/>
    <n v="13"/>
    <n v="0.40823044498133892"/>
    <n v="0.80626709607243985"/>
    <n v="0.22110993920818819"/>
    <n v="0.65156620358080031"/>
    <n v="0.3463093549271386"/>
    <n v="0.21058903898096887"/>
    <n v="1.1830340977862825"/>
  </r>
  <r>
    <n v="38"/>
    <n v="38"/>
    <s v="No"/>
    <n v="0"/>
    <s v="Travel_Frequently"/>
    <n v="1"/>
    <n v="0"/>
    <x v="1"/>
    <n v="1"/>
    <n v="0"/>
    <n v="1"/>
    <n v="1"/>
    <n v="3"/>
    <s v="Life Sciences"/>
    <n v="1"/>
    <n v="0"/>
    <n v="0"/>
    <n v="0"/>
    <n v="0"/>
    <n v="4"/>
    <s v="Male"/>
    <n v="0"/>
    <n v="90"/>
    <n v="3"/>
    <n v="2"/>
    <s v="Research Scientist"/>
    <n v="0"/>
    <n v="0"/>
    <n v="0"/>
    <n v="0"/>
    <n v="0"/>
    <n v="0"/>
    <n v="0"/>
    <n v="1"/>
    <n v="4"/>
    <s v="Married"/>
    <n v="0"/>
    <n v="1"/>
    <n v="4735"/>
    <n v="4735"/>
    <n v="7"/>
    <s v="No"/>
    <n v="0"/>
    <n v="15"/>
    <n v="3"/>
    <n v="4"/>
    <n v="2"/>
    <n v="19"/>
    <x v="15"/>
    <n v="4"/>
    <n v="4"/>
    <n v="13"/>
    <n v="13"/>
    <n v="11"/>
    <n v="2"/>
    <n v="2"/>
    <n v="9"/>
    <n v="9"/>
    <n v="18"/>
    <n v="0"/>
    <n v="0"/>
    <n v="0"/>
    <n v="1"/>
    <n v="0"/>
    <n v="0"/>
    <n v="1"/>
    <n v="0"/>
    <n v="0"/>
    <n v="9"/>
    <n v="0"/>
    <n v="0"/>
    <n v="19"/>
    <n v="0"/>
    <n v="0.37551986434201051"/>
    <n v="1.3667838287404401"/>
    <n v="0.99224068804813281"/>
    <n v="0.97801552848324624"/>
    <n v="1.01056543769991"/>
    <n v="0.11780475942994788"/>
    <n v="5.8265062631872602E-2"/>
  </r>
  <r>
    <n v="29"/>
    <n v="29"/>
    <s v="No"/>
    <n v="0"/>
    <s v="Travel_Rarely"/>
    <n v="0"/>
    <n v="1"/>
    <x v="0"/>
    <n v="0"/>
    <n v="1"/>
    <n v="5"/>
    <n v="5"/>
    <n v="3"/>
    <s v="Medical"/>
    <n v="0"/>
    <n v="0"/>
    <n v="1"/>
    <n v="0"/>
    <n v="0"/>
    <n v="1"/>
    <s v="Male"/>
    <n v="0"/>
    <n v="43"/>
    <n v="2"/>
    <n v="2"/>
    <s v="Sales Executive"/>
    <n v="0"/>
    <n v="1"/>
    <n v="0"/>
    <n v="0"/>
    <n v="0"/>
    <n v="0"/>
    <n v="0"/>
    <n v="0"/>
    <n v="2"/>
    <s v="Divorced"/>
    <n v="0"/>
    <n v="0"/>
    <n v="4187"/>
    <n v="4187"/>
    <n v="1"/>
    <s v="Yes"/>
    <n v="1"/>
    <n v="13"/>
    <n v="3"/>
    <n v="2"/>
    <n v="1"/>
    <n v="10"/>
    <x v="1"/>
    <n v="3"/>
    <n v="2"/>
    <n v="10"/>
    <n v="10"/>
    <n v="0"/>
    <n v="0"/>
    <n v="0"/>
    <n v="9"/>
    <n v="9"/>
    <n v="18"/>
    <n v="1"/>
    <n v="0"/>
    <n v="0"/>
    <n v="0"/>
    <n v="0"/>
    <n v="1"/>
    <n v="0"/>
    <n v="0"/>
    <n v="0"/>
    <n v="0"/>
    <n v="9"/>
    <n v="0"/>
    <n v="0"/>
    <n v="10"/>
    <n v="0.49191855388975053"/>
    <n v="1.3667838287404401"/>
    <n v="0.1644554352117841"/>
    <n v="0.48834154112957734"/>
    <n v="0.51715642219916513"/>
    <n v="0.86737663580280233"/>
    <n v="0.67891464284095016"/>
  </r>
  <r>
    <n v="33"/>
    <n v="33"/>
    <s v="No"/>
    <n v="0"/>
    <s v="Travel_Rarely"/>
    <n v="0"/>
    <n v="1"/>
    <x v="0"/>
    <n v="0"/>
    <n v="1"/>
    <n v="2"/>
    <n v="2"/>
    <n v="4"/>
    <s v="Medical"/>
    <n v="0"/>
    <n v="0"/>
    <n v="1"/>
    <n v="0"/>
    <n v="0"/>
    <n v="4"/>
    <s v="Male"/>
    <n v="0"/>
    <n v="93"/>
    <n v="3"/>
    <n v="2"/>
    <s v="Sales Executive"/>
    <n v="0"/>
    <n v="1"/>
    <n v="0"/>
    <n v="0"/>
    <n v="0"/>
    <n v="0"/>
    <n v="0"/>
    <n v="0"/>
    <n v="4"/>
    <s v="Divorced"/>
    <n v="0"/>
    <n v="0"/>
    <n v="5505"/>
    <n v="5505"/>
    <n v="1"/>
    <s v="No"/>
    <n v="0"/>
    <n v="14"/>
    <n v="3"/>
    <n v="3"/>
    <n v="2"/>
    <n v="6"/>
    <x v="3"/>
    <n v="5"/>
    <n v="3"/>
    <n v="6"/>
    <n v="6"/>
    <n v="2"/>
    <n v="0"/>
    <n v="0"/>
    <n v="4"/>
    <n v="4"/>
    <n v="8"/>
    <n v="1"/>
    <n v="0"/>
    <n v="0"/>
    <n v="0"/>
    <n v="1"/>
    <n v="0"/>
    <n v="0"/>
    <n v="0"/>
    <n v="0"/>
    <n v="0"/>
    <n v="4"/>
    <n v="0"/>
    <n v="0"/>
    <n v="6"/>
    <n v="0.21196696114536859"/>
    <n v="3.4508002929560584E-2"/>
    <n v="0.67854260110508058"/>
    <n v="0.16455710867531462"/>
    <n v="0.88721318382472392"/>
    <n v="0.42951823792158"/>
    <n v="0.67891464284095016"/>
  </r>
  <r>
    <n v="32"/>
    <n v="32"/>
    <s v="No"/>
    <n v="0"/>
    <s v="Travel_Rarely"/>
    <n v="0"/>
    <n v="1"/>
    <x v="1"/>
    <n v="1"/>
    <n v="0"/>
    <n v="2"/>
    <n v="2"/>
    <n v="3"/>
    <s v="Medical"/>
    <n v="0"/>
    <n v="0"/>
    <n v="1"/>
    <n v="0"/>
    <n v="0"/>
    <n v="4"/>
    <s v="Male"/>
    <n v="0"/>
    <n v="45"/>
    <n v="3"/>
    <n v="2"/>
    <s v="Research Scientist"/>
    <n v="0"/>
    <n v="0"/>
    <n v="0"/>
    <n v="0"/>
    <n v="0"/>
    <n v="0"/>
    <n v="0"/>
    <n v="1"/>
    <n v="2"/>
    <s v="Divorced"/>
    <n v="0"/>
    <n v="0"/>
    <n v="5470"/>
    <n v="5470"/>
    <n v="0"/>
    <s v="No"/>
    <n v="0"/>
    <n v="13"/>
    <n v="3"/>
    <n v="3"/>
    <n v="2"/>
    <n v="10"/>
    <x v="1"/>
    <n v="4"/>
    <n v="2"/>
    <n v="9"/>
    <n v="9"/>
    <n v="5"/>
    <n v="1"/>
    <n v="1"/>
    <n v="6"/>
    <n v="6"/>
    <n v="12"/>
    <n v="1"/>
    <n v="0"/>
    <n v="0"/>
    <n v="0"/>
    <n v="1"/>
    <n v="0"/>
    <n v="0"/>
    <n v="0"/>
    <n v="0"/>
    <n v="6"/>
    <n v="0"/>
    <n v="0"/>
    <n v="10"/>
    <n v="0"/>
    <n v="0.21940118401794323"/>
    <n v="0.52600872973843971"/>
    <n v="0.1644554352117841"/>
    <n v="0.32511687867835437"/>
    <n v="0.88721318382472392"/>
    <n v="0.53898283739188557"/>
    <n v="0.36858985273641137"/>
  </r>
  <r>
    <n v="31"/>
    <n v="31"/>
    <s v="No"/>
    <n v="0"/>
    <s v="Travel_Rarely"/>
    <n v="0"/>
    <n v="1"/>
    <x v="0"/>
    <n v="0"/>
    <n v="1"/>
    <n v="5"/>
    <n v="5"/>
    <n v="4"/>
    <s v="Life Sciences"/>
    <n v="1"/>
    <n v="0"/>
    <n v="0"/>
    <n v="0"/>
    <n v="0"/>
    <n v="1"/>
    <s v="Female"/>
    <n v="1"/>
    <n v="67"/>
    <n v="3"/>
    <n v="2"/>
    <s v="Sales Executive"/>
    <n v="0"/>
    <n v="1"/>
    <n v="0"/>
    <n v="0"/>
    <n v="0"/>
    <n v="0"/>
    <n v="0"/>
    <n v="0"/>
    <n v="4"/>
    <s v="Married"/>
    <n v="0"/>
    <n v="1"/>
    <n v="5476"/>
    <n v="5476"/>
    <n v="1"/>
    <s v="No"/>
    <n v="0"/>
    <n v="11"/>
    <n v="3"/>
    <n v="1"/>
    <n v="2"/>
    <n v="10"/>
    <x v="1"/>
    <n v="2"/>
    <n v="3"/>
    <n v="10"/>
    <n v="10"/>
    <n v="0"/>
    <n v="0"/>
    <n v="0"/>
    <n v="2"/>
    <n v="2"/>
    <n v="4"/>
    <n v="0"/>
    <n v="1"/>
    <n v="0"/>
    <n v="0"/>
    <n v="0"/>
    <n v="0"/>
    <n v="1"/>
    <n v="0"/>
    <n v="0"/>
    <n v="0"/>
    <n v="2"/>
    <n v="0"/>
    <n v="0"/>
    <n v="10"/>
    <n v="0.21812674581121616"/>
    <n v="0.59502473559756086"/>
    <n v="0.1644554352117841"/>
    <n v="0.48834154112957734"/>
    <n v="0.51715642219916513"/>
    <n v="0.6484474368621912"/>
    <n v="0.67891464284095016"/>
  </r>
  <r>
    <n v="49"/>
    <n v="49"/>
    <s v="No"/>
    <n v="0"/>
    <s v="Travel_Rarely"/>
    <n v="0"/>
    <n v="1"/>
    <x v="1"/>
    <n v="1"/>
    <n v="0"/>
    <n v="16"/>
    <n v="16"/>
    <n v="3"/>
    <s v="Medical"/>
    <n v="0"/>
    <n v="0"/>
    <n v="1"/>
    <n v="0"/>
    <n v="0"/>
    <n v="4"/>
    <s v="Female"/>
    <n v="1"/>
    <n v="74"/>
    <n v="3"/>
    <n v="1"/>
    <s v="Laboratory Technician"/>
    <n v="0"/>
    <n v="0"/>
    <n v="1"/>
    <n v="0"/>
    <n v="0"/>
    <n v="0"/>
    <n v="0"/>
    <n v="0"/>
    <n v="1"/>
    <s v="Divorced"/>
    <n v="0"/>
    <n v="0"/>
    <n v="2587"/>
    <n v="2587"/>
    <n v="4"/>
    <s v="Yes"/>
    <n v="1"/>
    <n v="16"/>
    <n v="3"/>
    <n v="2"/>
    <n v="1"/>
    <n v="17"/>
    <x v="6"/>
    <n v="2"/>
    <n v="2"/>
    <n v="2"/>
    <n v="2"/>
    <n v="2"/>
    <n v="2"/>
    <n v="2"/>
    <n v="2"/>
    <n v="2"/>
    <n v="2"/>
    <n v="1"/>
    <n v="0"/>
    <n v="0"/>
    <n v="0"/>
    <n v="0"/>
    <n v="1"/>
    <n v="0"/>
    <n v="0"/>
    <n v="0"/>
    <n v="2"/>
    <n v="0"/>
    <n v="0"/>
    <n v="17"/>
    <n v="0"/>
    <n v="0.83176874235030518"/>
    <n v="0.59502473559756086"/>
    <n v="0.73519710510148462"/>
    <n v="0.81745575848020657"/>
    <n v="0.83971837042788355"/>
    <n v="1.3219153536033093"/>
    <n v="5.8265062631872602E-2"/>
  </r>
  <r>
    <n v="38"/>
    <n v="38"/>
    <s v="No"/>
    <n v="0"/>
    <s v="Travel_Frequently"/>
    <n v="1"/>
    <n v="0"/>
    <x v="1"/>
    <n v="1"/>
    <n v="0"/>
    <n v="2"/>
    <n v="2"/>
    <n v="3"/>
    <s v="Medical"/>
    <n v="0"/>
    <n v="0"/>
    <n v="1"/>
    <n v="0"/>
    <n v="0"/>
    <n v="4"/>
    <s v="Female"/>
    <n v="1"/>
    <n v="42"/>
    <n v="2"/>
    <n v="1"/>
    <s v="Laboratory Technician"/>
    <n v="0"/>
    <n v="0"/>
    <n v="1"/>
    <n v="0"/>
    <n v="0"/>
    <n v="0"/>
    <n v="0"/>
    <n v="0"/>
    <n v="2"/>
    <s v="Single"/>
    <n v="1"/>
    <n v="0"/>
    <n v="2440"/>
    <n v="2440"/>
    <n v="1"/>
    <s v="No"/>
    <n v="0"/>
    <n v="22"/>
    <n v="4"/>
    <n v="2"/>
    <n v="0"/>
    <n v="4"/>
    <x v="20"/>
    <n v="3"/>
    <n v="3"/>
    <n v="4"/>
    <n v="4"/>
    <n v="3"/>
    <n v="3"/>
    <n v="3"/>
    <n v="3"/>
    <n v="3"/>
    <n v="3"/>
    <n v="0"/>
    <n v="0"/>
    <n v="1"/>
    <n v="0"/>
    <n v="1"/>
    <n v="0"/>
    <n v="0"/>
    <n v="0"/>
    <n v="0"/>
    <n v="3"/>
    <n v="0"/>
    <n v="0"/>
    <n v="4"/>
    <n v="0"/>
    <n v="0.86299247841511861"/>
    <n v="0.31476636926356072"/>
    <n v="0.93558618405172878"/>
    <n v="0.49100643357776058"/>
    <n v="0.88721318382472392"/>
    <n v="0.11780475942994788"/>
    <n v="0.2520597274726662"/>
  </r>
  <r>
    <n v="47"/>
    <n v="47"/>
    <s v="No"/>
    <n v="0"/>
    <s v="Travel_Rarely"/>
    <n v="0"/>
    <n v="1"/>
    <x v="0"/>
    <n v="0"/>
    <n v="1"/>
    <n v="2"/>
    <n v="2"/>
    <n v="4"/>
    <s v="Life Sciences"/>
    <n v="1"/>
    <n v="0"/>
    <n v="0"/>
    <n v="0"/>
    <n v="0"/>
    <n v="2"/>
    <s v="Female"/>
    <n v="1"/>
    <n v="47"/>
    <n v="4"/>
    <n v="4"/>
    <s v="Manager"/>
    <n v="0"/>
    <n v="0"/>
    <n v="0"/>
    <n v="1"/>
    <n v="0"/>
    <n v="0"/>
    <n v="0"/>
    <n v="0"/>
    <n v="2"/>
    <s v="Divorced"/>
    <n v="0"/>
    <n v="0"/>
    <n v="15972"/>
    <n v="15972"/>
    <n v="6"/>
    <s v="No"/>
    <n v="0"/>
    <n v="14"/>
    <n v="3"/>
    <n v="3"/>
    <n v="3"/>
    <n v="29"/>
    <x v="21"/>
    <n v="2"/>
    <n v="3"/>
    <n v="3"/>
    <n v="3"/>
    <n v="2"/>
    <n v="1"/>
    <n v="1"/>
    <n v="2"/>
    <n v="2"/>
    <n v="8"/>
    <n v="1"/>
    <n v="0"/>
    <n v="0"/>
    <n v="0"/>
    <n v="1"/>
    <n v="0"/>
    <n v="0"/>
    <n v="0"/>
    <n v="0"/>
    <n v="0"/>
    <n v="2"/>
    <n v="0"/>
    <n v="0"/>
    <n v="29"/>
    <n v="2.0112904904900226"/>
    <n v="0.59502473559756086"/>
    <n v="2.2774586027813735"/>
    <n v="0.65423109602898355"/>
    <n v="0.88721318382472392"/>
    <n v="1.102986154662698"/>
    <n v="0.36858985273641137"/>
  </r>
  <r>
    <n v="49"/>
    <n v="49"/>
    <s v="No"/>
    <n v="0"/>
    <s v="Travel_Rarely"/>
    <n v="0"/>
    <n v="1"/>
    <x v="1"/>
    <n v="1"/>
    <n v="0"/>
    <n v="1"/>
    <n v="1"/>
    <n v="3"/>
    <s v="Life Sciences"/>
    <n v="1"/>
    <n v="0"/>
    <n v="0"/>
    <n v="0"/>
    <n v="0"/>
    <n v="3"/>
    <s v="Male"/>
    <n v="0"/>
    <n v="36"/>
    <n v="3"/>
    <n v="4"/>
    <s v="Manager"/>
    <n v="0"/>
    <n v="0"/>
    <n v="0"/>
    <n v="1"/>
    <n v="0"/>
    <n v="0"/>
    <n v="0"/>
    <n v="0"/>
    <n v="3"/>
    <s v="Single"/>
    <n v="1"/>
    <n v="0"/>
    <n v="15379"/>
    <n v="15379"/>
    <n v="4"/>
    <s v="No"/>
    <n v="0"/>
    <n v="14"/>
    <n v="3"/>
    <n v="1"/>
    <n v="0"/>
    <n v="23"/>
    <x v="17"/>
    <n v="2"/>
    <n v="3"/>
    <n v="8"/>
    <n v="8"/>
    <n v="7"/>
    <n v="0"/>
    <n v="0"/>
    <n v="0"/>
    <n v="0"/>
    <n v="0"/>
    <n v="1"/>
    <n v="0"/>
    <n v="0"/>
    <n v="0"/>
    <n v="1"/>
    <n v="0"/>
    <n v="0"/>
    <n v="0"/>
    <n v="0"/>
    <n v="0"/>
    <n v="0"/>
    <n v="0"/>
    <n v="23"/>
    <n v="0"/>
    <n v="1.8853335143918295"/>
    <n v="1.1555414682655611"/>
    <n v="1.5063278539414293"/>
    <n v="0.16189221622713135"/>
    <n v="1.01056543769991"/>
    <n v="1.3219153536033093"/>
    <n v="0.67891464284095016"/>
  </r>
  <r>
    <n v="41"/>
    <n v="41"/>
    <s v="No"/>
    <n v="0"/>
    <s v="Travel_Rarely"/>
    <n v="0"/>
    <n v="1"/>
    <x v="0"/>
    <n v="0"/>
    <n v="1"/>
    <n v="23"/>
    <n v="23"/>
    <n v="2"/>
    <s v="Life Sciences"/>
    <n v="1"/>
    <n v="0"/>
    <n v="0"/>
    <n v="0"/>
    <n v="0"/>
    <n v="4"/>
    <s v="Male"/>
    <n v="0"/>
    <n v="80"/>
    <n v="3"/>
    <n v="3"/>
    <s v="Sales Executive"/>
    <n v="0"/>
    <n v="1"/>
    <n v="0"/>
    <n v="0"/>
    <n v="0"/>
    <n v="0"/>
    <n v="0"/>
    <n v="0"/>
    <n v="3"/>
    <s v="Single"/>
    <n v="1"/>
    <n v="0"/>
    <n v="7082"/>
    <n v="7082"/>
    <n v="3"/>
    <s v="Yes"/>
    <n v="1"/>
    <n v="16"/>
    <n v="3"/>
    <n v="4"/>
    <n v="0"/>
    <n v="21"/>
    <x v="23"/>
    <n v="2"/>
    <n v="3"/>
    <n v="2"/>
    <n v="2"/>
    <n v="0"/>
    <n v="0"/>
    <n v="0"/>
    <n v="2"/>
    <n v="2"/>
    <n v="6"/>
    <n v="1"/>
    <n v="0"/>
    <n v="0"/>
    <n v="0"/>
    <n v="0"/>
    <n v="1"/>
    <n v="0"/>
    <n v="0"/>
    <n v="0"/>
    <n v="0"/>
    <n v="2"/>
    <n v="0"/>
    <n v="0"/>
    <n v="21"/>
    <n v="0.12299788085606561"/>
    <n v="0.59502473559756086"/>
    <n v="1.2492842709947811"/>
    <n v="0.81745575848020657"/>
    <n v="1.7031841475541873"/>
    <n v="0.4461985578408646"/>
    <n v="0.67891464284095016"/>
  </r>
  <r>
    <n v="20"/>
    <n v="20"/>
    <s v="No"/>
    <n v="0"/>
    <s v="Travel_Rarely"/>
    <n v="0"/>
    <n v="1"/>
    <x v="0"/>
    <n v="0"/>
    <n v="1"/>
    <n v="9"/>
    <n v="9"/>
    <n v="1"/>
    <s v="Life Sciences"/>
    <n v="1"/>
    <n v="0"/>
    <n v="0"/>
    <n v="0"/>
    <n v="0"/>
    <n v="4"/>
    <s v="Male"/>
    <n v="0"/>
    <n v="54"/>
    <n v="3"/>
    <n v="1"/>
    <s v="Sales Representative"/>
    <n v="0"/>
    <n v="0"/>
    <n v="0"/>
    <n v="0"/>
    <n v="0"/>
    <n v="0"/>
    <n v="1"/>
    <n v="0"/>
    <n v="1"/>
    <s v="Single"/>
    <n v="1"/>
    <n v="0"/>
    <n v="2728"/>
    <n v="2728"/>
    <n v="1"/>
    <s v="No"/>
    <n v="0"/>
    <n v="11"/>
    <n v="3"/>
    <n v="1"/>
    <n v="0"/>
    <n v="2"/>
    <x v="16"/>
    <n v="3"/>
    <n v="3"/>
    <n v="2"/>
    <n v="2"/>
    <n v="2"/>
    <n v="0"/>
    <n v="0"/>
    <n v="2"/>
    <n v="2"/>
    <n v="2"/>
    <n v="1"/>
    <n v="0"/>
    <n v="0"/>
    <n v="0"/>
    <n v="1"/>
    <n v="0"/>
    <n v="0"/>
    <n v="0"/>
    <n v="0"/>
    <n v="0"/>
    <n v="2"/>
    <n v="0"/>
    <n v="0"/>
    <n v="2"/>
    <n v="0.80181944449221876"/>
    <n v="0.59502473559756086"/>
    <n v="1.192629766998377"/>
    <n v="0.81745575848020657"/>
    <n v="2.3747406698420157E-2"/>
    <n v="1.8525580310355525"/>
    <n v="0.67891464284095016"/>
  </r>
  <r>
    <n v="33"/>
    <n v="33"/>
    <s v="No"/>
    <n v="0"/>
    <s v="Non-Travel"/>
    <n v="0"/>
    <n v="0"/>
    <x v="0"/>
    <n v="0"/>
    <n v="1"/>
    <n v="16"/>
    <n v="16"/>
    <n v="3"/>
    <s v="Life Sciences"/>
    <n v="1"/>
    <n v="0"/>
    <n v="0"/>
    <n v="0"/>
    <n v="0"/>
    <n v="3"/>
    <s v="Female"/>
    <n v="1"/>
    <n v="36"/>
    <n v="3"/>
    <n v="2"/>
    <s v="Sales Executive"/>
    <n v="0"/>
    <n v="1"/>
    <n v="0"/>
    <n v="0"/>
    <n v="0"/>
    <n v="0"/>
    <n v="0"/>
    <n v="0"/>
    <n v="4"/>
    <s v="Divorced"/>
    <n v="0"/>
    <n v="0"/>
    <n v="5368"/>
    <n v="5368"/>
    <n v="1"/>
    <s v="Yes"/>
    <n v="1"/>
    <n v="25"/>
    <n v="4"/>
    <n v="3"/>
    <n v="1"/>
    <n v="7"/>
    <x v="2"/>
    <n v="2"/>
    <n v="3"/>
    <n v="6"/>
    <n v="6"/>
    <n v="5"/>
    <n v="1"/>
    <n v="1"/>
    <n v="2"/>
    <n v="2"/>
    <n v="4"/>
    <n v="1"/>
    <n v="0"/>
    <n v="0"/>
    <n v="0"/>
    <n v="0"/>
    <n v="1"/>
    <n v="0"/>
    <n v="0"/>
    <n v="0"/>
    <n v="0"/>
    <n v="2"/>
    <n v="0"/>
    <n v="0"/>
    <n v="7"/>
    <n v="0.24106663353230359"/>
    <n v="0.59502473559756086"/>
    <n v="0.55002080963175637"/>
    <n v="0.16455710867531462"/>
    <n v="0.83971837042788355"/>
    <n v="0.42951823792158"/>
    <n v="0.36858985273641137"/>
  </r>
  <r>
    <n v="36"/>
    <n v="36"/>
    <s v="No"/>
    <n v="0"/>
    <s v="Travel_Rarely"/>
    <n v="0"/>
    <n v="1"/>
    <x v="1"/>
    <n v="1"/>
    <n v="0"/>
    <n v="26"/>
    <n v="26"/>
    <n v="4"/>
    <s v="Life Sciences"/>
    <n v="1"/>
    <n v="0"/>
    <n v="0"/>
    <n v="0"/>
    <n v="0"/>
    <n v="1"/>
    <s v="Male"/>
    <n v="0"/>
    <n v="80"/>
    <n v="3"/>
    <n v="2"/>
    <s v="Healthcare Representative"/>
    <n v="1"/>
    <n v="0"/>
    <n v="0"/>
    <n v="0"/>
    <n v="0"/>
    <n v="0"/>
    <n v="0"/>
    <n v="0"/>
    <n v="3"/>
    <s v="Married"/>
    <n v="0"/>
    <n v="1"/>
    <n v="5347"/>
    <n v="5347"/>
    <n v="6"/>
    <s v="No"/>
    <n v="0"/>
    <n v="14"/>
    <n v="3"/>
    <n v="2"/>
    <n v="2"/>
    <n v="10"/>
    <x v="1"/>
    <n v="2"/>
    <n v="2"/>
    <n v="3"/>
    <n v="3"/>
    <n v="2"/>
    <n v="0"/>
    <n v="0"/>
    <n v="2"/>
    <n v="2"/>
    <n v="4"/>
    <n v="0"/>
    <n v="1"/>
    <n v="0"/>
    <n v="0"/>
    <n v="0"/>
    <n v="0"/>
    <n v="1"/>
    <n v="0"/>
    <n v="0"/>
    <n v="2"/>
    <n v="0"/>
    <n v="0"/>
    <n v="10"/>
    <n v="0"/>
    <n v="0.24552716725584836"/>
    <n v="0.59502473559756086"/>
    <n v="0.1644554352117841"/>
    <n v="0.65423109602898355"/>
    <n v="2.0732409091797459"/>
    <n v="0.10112443951066327"/>
    <n v="0.67891464284095016"/>
  </r>
  <r>
    <n v="44"/>
    <n v="44"/>
    <s v="No"/>
    <n v="0"/>
    <s v="Travel_Rarely"/>
    <n v="0"/>
    <n v="1"/>
    <x v="2"/>
    <n v="0"/>
    <n v="0"/>
    <n v="1"/>
    <n v="1"/>
    <n v="3"/>
    <s v="Life Sciences"/>
    <n v="1"/>
    <n v="0"/>
    <n v="0"/>
    <n v="0"/>
    <n v="0"/>
    <n v="3"/>
    <s v="Female"/>
    <n v="1"/>
    <n v="44"/>
    <n v="3"/>
    <n v="1"/>
    <s v="Human Resources"/>
    <n v="0"/>
    <n v="0"/>
    <n v="0"/>
    <n v="0"/>
    <n v="0"/>
    <n v="0"/>
    <n v="0"/>
    <n v="0"/>
    <n v="4"/>
    <s v="Divorced"/>
    <n v="0"/>
    <n v="0"/>
    <n v="3195"/>
    <n v="3195"/>
    <n v="4"/>
    <s v="Yes"/>
    <n v="1"/>
    <n v="18"/>
    <n v="3"/>
    <n v="1"/>
    <n v="3"/>
    <n v="8"/>
    <x v="0"/>
    <n v="2"/>
    <n v="3"/>
    <n v="2"/>
    <n v="2"/>
    <n v="2"/>
    <n v="2"/>
    <n v="2"/>
    <n v="2"/>
    <n v="2"/>
    <n v="2"/>
    <n v="1"/>
    <n v="0"/>
    <n v="0"/>
    <n v="0"/>
    <n v="0"/>
    <n v="1"/>
    <n v="0"/>
    <n v="0"/>
    <n v="2"/>
    <n v="0"/>
    <n v="0"/>
    <n v="8"/>
    <n v="0"/>
    <n v="0"/>
    <n v="0.70262567073529436"/>
    <n v="0.59502473559756086"/>
    <n v="0.42149901815843233"/>
    <n v="0.81745575848020657"/>
    <n v="1.01056543769991"/>
    <n v="0.77459235625178136"/>
    <n v="5.8265062631872602E-2"/>
  </r>
  <r>
    <n v="23"/>
    <n v="23"/>
    <s v="Yes"/>
    <n v="1"/>
    <s v="Travel_Rarely"/>
    <n v="0"/>
    <n v="1"/>
    <x v="1"/>
    <n v="1"/>
    <n v="0"/>
    <n v="8"/>
    <n v="8"/>
    <n v="1"/>
    <s v="Medical"/>
    <n v="0"/>
    <n v="0"/>
    <n v="1"/>
    <n v="0"/>
    <n v="0"/>
    <n v="4"/>
    <s v="Male"/>
    <n v="0"/>
    <n v="93"/>
    <n v="2"/>
    <n v="1"/>
    <s v="Laboratory Technician"/>
    <n v="0"/>
    <n v="0"/>
    <n v="1"/>
    <n v="0"/>
    <n v="0"/>
    <n v="0"/>
    <n v="0"/>
    <n v="0"/>
    <n v="3"/>
    <s v="Single"/>
    <n v="1"/>
    <n v="0"/>
    <n v="3989"/>
    <n v="3989"/>
    <n v="1"/>
    <s v="Yes"/>
    <n v="1"/>
    <n v="11"/>
    <n v="3"/>
    <n v="1"/>
    <n v="0"/>
    <n v="5"/>
    <x v="7"/>
    <n v="2"/>
    <n v="3"/>
    <n v="5"/>
    <n v="5"/>
    <n v="4"/>
    <n v="1"/>
    <n v="1"/>
    <n v="2"/>
    <n v="2"/>
    <n v="2"/>
    <n v="1"/>
    <n v="0"/>
    <n v="0"/>
    <n v="0"/>
    <n v="0"/>
    <n v="1"/>
    <n v="0"/>
    <n v="0"/>
    <n v="0"/>
    <n v="2"/>
    <n v="0"/>
    <n v="0"/>
    <n v="5"/>
    <n v="0"/>
    <n v="0.53397501471174413"/>
    <n v="0.59502473559756086"/>
    <n v="0.80706439257840468"/>
    <n v="0.32778177112653761"/>
    <n v="0.14709966057360641"/>
    <n v="1.5241642326246359"/>
    <n v="0.36858985273641137"/>
  </r>
  <r>
    <n v="38"/>
    <n v="38"/>
    <s v="No"/>
    <n v="0"/>
    <s v="Travel_Rarely"/>
    <n v="0"/>
    <n v="1"/>
    <x v="1"/>
    <n v="1"/>
    <n v="0"/>
    <n v="4"/>
    <n v="4"/>
    <n v="2"/>
    <s v="Medical"/>
    <n v="0"/>
    <n v="0"/>
    <n v="1"/>
    <n v="0"/>
    <n v="0"/>
    <n v="4"/>
    <s v="Female"/>
    <n v="1"/>
    <n v="87"/>
    <n v="3"/>
    <n v="1"/>
    <s v="Laboratory Technician"/>
    <n v="0"/>
    <n v="0"/>
    <n v="1"/>
    <n v="0"/>
    <n v="0"/>
    <n v="0"/>
    <n v="0"/>
    <n v="0"/>
    <n v="3"/>
    <s v="Married"/>
    <n v="0"/>
    <n v="1"/>
    <n v="3306"/>
    <n v="3306"/>
    <n v="7"/>
    <s v="No"/>
    <n v="0"/>
    <n v="19"/>
    <n v="3"/>
    <n v="4"/>
    <n v="1"/>
    <n v="7"/>
    <x v="2"/>
    <n v="5"/>
    <n v="2"/>
    <n v="0"/>
    <n v="0"/>
    <n v="0"/>
    <n v="0"/>
    <n v="0"/>
    <n v="0"/>
    <n v="0"/>
    <n v="0"/>
    <n v="0"/>
    <n v="1"/>
    <n v="0"/>
    <n v="0"/>
    <n v="0"/>
    <n v="0"/>
    <n v="1"/>
    <n v="0"/>
    <n v="0"/>
    <n v="0"/>
    <n v="0"/>
    <n v="0"/>
    <n v="7"/>
    <n v="0"/>
    <n v="0.67904856391084345"/>
    <n v="1.1555414682655611"/>
    <n v="0.55002080963175637"/>
    <n v="1.1439050833826525"/>
    <n v="0.64050867607435136"/>
    <n v="0.11780475942994788"/>
    <n v="0.67891464284095016"/>
  </r>
  <r>
    <n v="53"/>
    <n v="53"/>
    <s v="No"/>
    <n v="0"/>
    <s v="Travel_Rarely"/>
    <n v="0"/>
    <n v="1"/>
    <x v="1"/>
    <n v="1"/>
    <n v="0"/>
    <n v="24"/>
    <n v="24"/>
    <n v="4"/>
    <s v="Medical"/>
    <n v="0"/>
    <n v="0"/>
    <n v="1"/>
    <n v="0"/>
    <n v="0"/>
    <n v="2"/>
    <s v="Male"/>
    <n v="0"/>
    <n v="48"/>
    <n v="4"/>
    <n v="3"/>
    <s v="Healthcare Representative"/>
    <n v="1"/>
    <n v="0"/>
    <n v="0"/>
    <n v="0"/>
    <n v="0"/>
    <n v="0"/>
    <n v="0"/>
    <n v="0"/>
    <n v="4"/>
    <s v="Married"/>
    <n v="0"/>
    <n v="1"/>
    <n v="7005"/>
    <n v="7005"/>
    <n v="3"/>
    <s v="No"/>
    <n v="0"/>
    <n v="15"/>
    <n v="3"/>
    <n v="3"/>
    <n v="0"/>
    <n v="11"/>
    <x v="26"/>
    <n v="2"/>
    <n v="3"/>
    <n v="4"/>
    <n v="4"/>
    <n v="3"/>
    <n v="1"/>
    <n v="1"/>
    <n v="2"/>
    <n v="2"/>
    <n v="6"/>
    <n v="0"/>
    <n v="1"/>
    <n v="0"/>
    <n v="0"/>
    <n v="0"/>
    <n v="0"/>
    <n v="1"/>
    <n v="0"/>
    <n v="0"/>
    <n v="2"/>
    <n v="0"/>
    <n v="0"/>
    <n v="11"/>
    <n v="0"/>
    <n v="0.10664259053640142"/>
    <n v="0.59502473559756086"/>
    <n v="3.593364373846001E-2"/>
    <n v="0.49100643357776058"/>
    <n v="1.8265364014293735"/>
    <n v="1.7597737514845315"/>
    <n v="0.36858985273641137"/>
  </r>
  <r>
    <n v="48"/>
    <n v="48"/>
    <s v="Yes"/>
    <n v="1"/>
    <s v="Travel_Frequently"/>
    <n v="1"/>
    <n v="0"/>
    <x v="0"/>
    <n v="0"/>
    <n v="1"/>
    <n v="7"/>
    <n v="7"/>
    <n v="2"/>
    <s v="Medical"/>
    <n v="0"/>
    <n v="0"/>
    <n v="1"/>
    <n v="0"/>
    <n v="0"/>
    <n v="4"/>
    <s v="Female"/>
    <n v="1"/>
    <n v="95"/>
    <n v="3"/>
    <n v="1"/>
    <s v="Sales Representative"/>
    <n v="0"/>
    <n v="0"/>
    <n v="0"/>
    <n v="0"/>
    <n v="0"/>
    <n v="0"/>
    <n v="1"/>
    <n v="0"/>
    <n v="3"/>
    <s v="Married"/>
    <n v="0"/>
    <n v="1"/>
    <n v="2655"/>
    <n v="2655"/>
    <n v="2"/>
    <s v="Yes"/>
    <n v="1"/>
    <n v="11"/>
    <n v="3"/>
    <n v="3"/>
    <n v="2"/>
    <n v="19"/>
    <x v="15"/>
    <n v="3"/>
    <n v="3"/>
    <n v="9"/>
    <n v="9"/>
    <n v="7"/>
    <n v="7"/>
    <n v="7"/>
    <n v="7"/>
    <n v="7"/>
    <n v="7"/>
    <n v="0"/>
    <n v="0"/>
    <n v="0"/>
    <n v="1"/>
    <n v="0"/>
    <n v="0"/>
    <n v="0"/>
    <n v="1"/>
    <n v="0"/>
    <n v="0"/>
    <n v="7"/>
    <n v="0"/>
    <n v="0"/>
    <n v="19"/>
    <n v="0.81732510934073166"/>
    <n v="0.80626709607243985"/>
    <n v="0.99224068804813281"/>
    <n v="0.32511687867835437"/>
    <n v="0.27045191444879263"/>
    <n v="1.2124507541330036"/>
    <n v="1.4933588878908215"/>
  </r>
  <r>
    <n v="32"/>
    <n v="32"/>
    <s v="Yes"/>
    <n v="1"/>
    <s v="Travel_Rarely"/>
    <n v="0"/>
    <n v="1"/>
    <x v="1"/>
    <n v="1"/>
    <n v="0"/>
    <n v="2"/>
    <n v="2"/>
    <n v="4"/>
    <s v="Life Sciences"/>
    <n v="1"/>
    <n v="0"/>
    <n v="0"/>
    <n v="0"/>
    <n v="0"/>
    <n v="4"/>
    <s v="Male"/>
    <n v="0"/>
    <n v="95"/>
    <n v="3"/>
    <n v="1"/>
    <s v="Laboratory Technician"/>
    <n v="0"/>
    <n v="0"/>
    <n v="1"/>
    <n v="0"/>
    <n v="0"/>
    <n v="0"/>
    <n v="0"/>
    <n v="0"/>
    <n v="2"/>
    <s v="Single"/>
    <n v="1"/>
    <n v="0"/>
    <n v="1393"/>
    <n v="1393"/>
    <n v="1"/>
    <s v="No"/>
    <n v="0"/>
    <n v="12"/>
    <n v="3"/>
    <n v="1"/>
    <n v="0"/>
    <n v="1"/>
    <x v="5"/>
    <n v="2"/>
    <n v="3"/>
    <n v="1"/>
    <n v="1"/>
    <n v="0"/>
    <n v="0"/>
    <n v="0"/>
    <n v="0"/>
    <n v="0"/>
    <n v="0"/>
    <n v="1"/>
    <n v="0"/>
    <n v="0"/>
    <n v="0"/>
    <n v="1"/>
    <n v="0"/>
    <n v="0"/>
    <n v="0"/>
    <n v="0"/>
    <n v="0"/>
    <n v="0"/>
    <n v="0"/>
    <n v="1"/>
    <n v="0"/>
    <n v="1.0853819454889941"/>
    <n v="1.1555414682655611"/>
    <n v="1.3211515584717011"/>
    <n v="0.9806804209314296"/>
    <n v="0.88721318382472392"/>
    <n v="0.53898283739188557"/>
    <n v="0.67891464284095016"/>
  </r>
  <r>
    <n v="26"/>
    <n v="26"/>
    <s v="No"/>
    <n v="0"/>
    <s v="Non-Travel"/>
    <n v="0"/>
    <n v="0"/>
    <x v="1"/>
    <n v="1"/>
    <n v="0"/>
    <n v="7"/>
    <n v="7"/>
    <n v="3"/>
    <s v="Medical"/>
    <n v="0"/>
    <n v="0"/>
    <n v="1"/>
    <n v="0"/>
    <n v="0"/>
    <n v="4"/>
    <s v="Male"/>
    <n v="0"/>
    <n v="76"/>
    <n v="3"/>
    <n v="1"/>
    <s v="Laboratory Technician"/>
    <n v="0"/>
    <n v="0"/>
    <n v="1"/>
    <n v="0"/>
    <n v="0"/>
    <n v="0"/>
    <n v="0"/>
    <n v="0"/>
    <n v="4"/>
    <s v="Single"/>
    <n v="1"/>
    <n v="0"/>
    <n v="2570"/>
    <n v="2570"/>
    <n v="1"/>
    <s v="No"/>
    <n v="0"/>
    <n v="20"/>
    <n v="4"/>
    <n v="3"/>
    <n v="0"/>
    <n v="7"/>
    <x v="2"/>
    <n v="5"/>
    <n v="3"/>
    <n v="7"/>
    <n v="7"/>
    <n v="7"/>
    <n v="5"/>
    <n v="5"/>
    <n v="7"/>
    <n v="7"/>
    <n v="7"/>
    <n v="1"/>
    <n v="0"/>
    <n v="0"/>
    <n v="0"/>
    <n v="1"/>
    <n v="0"/>
    <n v="0"/>
    <n v="0"/>
    <n v="0"/>
    <n v="7"/>
    <n v="0"/>
    <n v="0"/>
    <n v="7"/>
    <n v="0"/>
    <n v="0.83537965060269859"/>
    <n v="0.80626709607243985"/>
    <n v="0.55002080963175637"/>
    <n v="1.3324462240916321E-3"/>
    <n v="0.27045191444879263"/>
    <n v="1.195770434213719"/>
    <n v="0.87270930768174382"/>
  </r>
  <r>
    <n v="55"/>
    <n v="55"/>
    <s v="No"/>
    <n v="0"/>
    <s v="Travel_Rarely"/>
    <n v="0"/>
    <n v="1"/>
    <x v="1"/>
    <n v="1"/>
    <n v="0"/>
    <n v="22"/>
    <n v="22"/>
    <n v="3"/>
    <s v="Technical Degree"/>
    <n v="0"/>
    <n v="0"/>
    <n v="0"/>
    <n v="0"/>
    <n v="1"/>
    <n v="1"/>
    <s v="Male"/>
    <n v="0"/>
    <n v="94"/>
    <n v="2"/>
    <n v="1"/>
    <s v="Research Scientist"/>
    <n v="0"/>
    <n v="0"/>
    <n v="0"/>
    <n v="0"/>
    <n v="0"/>
    <n v="0"/>
    <n v="0"/>
    <n v="1"/>
    <n v="2"/>
    <s v="Divorced"/>
    <n v="0"/>
    <n v="0"/>
    <n v="3537"/>
    <n v="3537"/>
    <n v="5"/>
    <s v="No"/>
    <n v="0"/>
    <n v="12"/>
    <n v="3"/>
    <n v="4"/>
    <n v="1"/>
    <n v="8"/>
    <x v="0"/>
    <n v="1"/>
    <n v="3"/>
    <n v="4"/>
    <n v="4"/>
    <n v="2"/>
    <n v="1"/>
    <n v="1"/>
    <n v="2"/>
    <n v="2"/>
    <n v="2"/>
    <n v="1"/>
    <n v="0"/>
    <n v="0"/>
    <n v="0"/>
    <n v="1"/>
    <n v="0"/>
    <n v="0"/>
    <n v="0"/>
    <n v="0"/>
    <n v="2"/>
    <n v="0"/>
    <n v="0"/>
    <n v="8"/>
    <n v="0"/>
    <n v="0.62998269295185083"/>
    <n v="0.59502473559756086"/>
    <n v="0.42149901815843233"/>
    <n v="0.49100643357776058"/>
    <n v="1.579831893679001"/>
    <n v="1.9787029504251428"/>
    <n v="0.36858985273641137"/>
  </r>
  <r>
    <n v="34"/>
    <n v="34"/>
    <s v="No"/>
    <n v="0"/>
    <s v="Travel_Rarely"/>
    <n v="0"/>
    <n v="1"/>
    <x v="1"/>
    <n v="1"/>
    <n v="0"/>
    <n v="5"/>
    <n v="5"/>
    <n v="2"/>
    <s v="Medical"/>
    <n v="0"/>
    <n v="0"/>
    <n v="1"/>
    <n v="0"/>
    <n v="0"/>
    <n v="2"/>
    <s v="Male"/>
    <n v="0"/>
    <n v="57"/>
    <n v="2"/>
    <n v="2"/>
    <s v="Laboratory Technician"/>
    <n v="0"/>
    <n v="0"/>
    <n v="1"/>
    <n v="0"/>
    <n v="0"/>
    <n v="0"/>
    <n v="0"/>
    <n v="0"/>
    <n v="4"/>
    <s v="Married"/>
    <n v="0"/>
    <n v="1"/>
    <n v="3986"/>
    <n v="3986"/>
    <n v="1"/>
    <s v="No"/>
    <n v="0"/>
    <n v="14"/>
    <n v="3"/>
    <n v="3"/>
    <n v="1"/>
    <n v="15"/>
    <x v="19"/>
    <n v="3"/>
    <n v="4"/>
    <n v="15"/>
    <n v="15"/>
    <n v="10"/>
    <n v="4"/>
    <n v="4"/>
    <n v="13"/>
    <n v="13"/>
    <n v="26"/>
    <n v="0"/>
    <n v="1"/>
    <n v="0"/>
    <n v="0"/>
    <n v="0"/>
    <n v="0"/>
    <n v="1"/>
    <n v="0"/>
    <n v="0"/>
    <n v="13"/>
    <n v="0"/>
    <n v="0"/>
    <n v="15"/>
    <n v="0"/>
    <n v="0.5346122338151077"/>
    <n v="2.4878172940764407"/>
    <n v="0.47815352215483642"/>
    <n v="1.3044648533856922"/>
    <n v="0.51715642219916513"/>
    <n v="0.32005363845127444"/>
    <n v="0.56238451757720498"/>
  </r>
  <r>
    <n v="60"/>
    <n v="58.309999999999945"/>
    <s v="No"/>
    <n v="0"/>
    <s v="Travel_Rarely"/>
    <n v="0"/>
    <n v="1"/>
    <x v="1"/>
    <n v="1"/>
    <n v="0"/>
    <n v="1"/>
    <n v="1"/>
    <n v="4"/>
    <s v="Medical"/>
    <n v="0"/>
    <n v="0"/>
    <n v="1"/>
    <n v="0"/>
    <n v="0"/>
    <n v="3"/>
    <s v="Male"/>
    <n v="0"/>
    <n v="92"/>
    <n v="1"/>
    <n v="3"/>
    <s v="Healthcare Representative"/>
    <n v="1"/>
    <n v="0"/>
    <n v="0"/>
    <n v="0"/>
    <n v="0"/>
    <n v="0"/>
    <n v="0"/>
    <n v="0"/>
    <n v="4"/>
    <s v="Divorced"/>
    <n v="0"/>
    <n v="0"/>
    <n v="10883"/>
    <n v="10883"/>
    <n v="3"/>
    <s v="No"/>
    <n v="0"/>
    <n v="20"/>
    <n v="4"/>
    <n v="3"/>
    <n v="1"/>
    <n v="19"/>
    <x v="15"/>
    <n v="2"/>
    <n v="4"/>
    <n v="1"/>
    <n v="1"/>
    <n v="0"/>
    <n v="0"/>
    <n v="0"/>
    <n v="0"/>
    <n v="0"/>
    <n v="0"/>
    <n v="1"/>
    <n v="0"/>
    <n v="0"/>
    <n v="0"/>
    <n v="1"/>
    <n v="0"/>
    <n v="0"/>
    <n v="0"/>
    <n v="0"/>
    <n v="0"/>
    <n v="0"/>
    <n v="0"/>
    <n v="19"/>
    <n v="0"/>
    <n v="0.9303544848176708"/>
    <n v="1.1555414682655611"/>
    <n v="0.99224068804813281"/>
    <n v="0.9806804209314296"/>
    <n v="1.01056543769991"/>
    <n v="2.5260259477766707"/>
    <n v="0.67891464284095016"/>
  </r>
  <r>
    <n v="33"/>
    <n v="33"/>
    <s v="No"/>
    <n v="0"/>
    <s v="Travel_Rarely"/>
    <n v="0"/>
    <n v="1"/>
    <x v="1"/>
    <n v="1"/>
    <n v="0"/>
    <n v="21"/>
    <n v="21"/>
    <n v="3"/>
    <s v="Medical"/>
    <n v="0"/>
    <n v="0"/>
    <n v="1"/>
    <n v="0"/>
    <n v="0"/>
    <n v="2"/>
    <s v="Male"/>
    <n v="0"/>
    <n v="79"/>
    <n v="4"/>
    <n v="1"/>
    <s v="Laboratory Technician"/>
    <n v="0"/>
    <n v="0"/>
    <n v="1"/>
    <n v="0"/>
    <n v="0"/>
    <n v="0"/>
    <n v="0"/>
    <n v="0"/>
    <n v="2"/>
    <s v="Married"/>
    <n v="0"/>
    <n v="1"/>
    <n v="2028"/>
    <n v="2028"/>
    <n v="1"/>
    <s v="No"/>
    <n v="0"/>
    <n v="18"/>
    <n v="3"/>
    <n v="4"/>
    <n v="3"/>
    <n v="14"/>
    <x v="18"/>
    <n v="6"/>
    <n v="3"/>
    <n v="14"/>
    <n v="14"/>
    <n v="11"/>
    <n v="2"/>
    <n v="2"/>
    <n v="13"/>
    <n v="13"/>
    <n v="13"/>
    <n v="0"/>
    <n v="1"/>
    <n v="0"/>
    <n v="0"/>
    <n v="0"/>
    <n v="0"/>
    <n v="1"/>
    <n v="0"/>
    <n v="0"/>
    <n v="13"/>
    <n v="0"/>
    <n v="0"/>
    <n v="14"/>
    <n v="0"/>
    <n v="0.95050390194371148"/>
    <n v="2.4878172940764407"/>
    <n v="0.34963173068151232"/>
    <n v="1.1412401909344694"/>
    <n v="1.4564796398038149"/>
    <n v="0.42951823792158"/>
    <n v="5.8265062631872602E-2"/>
  </r>
  <r>
    <n v="37"/>
    <n v="37"/>
    <s v="No"/>
    <n v="0"/>
    <s v="Travel_Frequently"/>
    <n v="1"/>
    <n v="0"/>
    <x v="0"/>
    <n v="0"/>
    <n v="1"/>
    <n v="1"/>
    <n v="1"/>
    <n v="4"/>
    <s v="Medical"/>
    <n v="0"/>
    <n v="0"/>
    <n v="1"/>
    <n v="0"/>
    <n v="0"/>
    <n v="3"/>
    <s v="Male"/>
    <n v="0"/>
    <n v="31"/>
    <n v="1"/>
    <n v="2"/>
    <s v="Sales Executive"/>
    <n v="0"/>
    <n v="1"/>
    <n v="0"/>
    <n v="0"/>
    <n v="0"/>
    <n v="0"/>
    <n v="0"/>
    <n v="0"/>
    <n v="4"/>
    <s v="Divorced"/>
    <n v="0"/>
    <n v="0"/>
    <n v="9525"/>
    <n v="9525"/>
    <n v="1"/>
    <s v="No"/>
    <n v="0"/>
    <n v="14"/>
    <n v="3"/>
    <n v="3"/>
    <n v="2"/>
    <n v="6"/>
    <x v="3"/>
    <n v="2"/>
    <n v="2"/>
    <n v="6"/>
    <n v="6"/>
    <n v="3"/>
    <n v="1"/>
    <n v="1"/>
    <n v="3"/>
    <n v="3"/>
    <n v="6"/>
    <n v="0"/>
    <n v="0"/>
    <n v="1"/>
    <n v="0"/>
    <n v="1"/>
    <n v="0"/>
    <n v="0"/>
    <n v="0"/>
    <n v="0"/>
    <n v="0"/>
    <n v="3"/>
    <n v="0"/>
    <n v="0"/>
    <n v="6"/>
    <n v="0.641906637361775"/>
    <n v="0.31476636926356072"/>
    <n v="0.67854260110508058"/>
    <n v="0.16455710867531462"/>
    <n v="1.01056543769991"/>
    <n v="8.3401599596422994E-3"/>
    <n v="0.36858985273641137"/>
  </r>
  <r>
    <n v="34"/>
    <n v="34"/>
    <s v="No"/>
    <n v="0"/>
    <s v="Travel_Rarely"/>
    <n v="0"/>
    <n v="1"/>
    <x v="1"/>
    <n v="1"/>
    <n v="0"/>
    <n v="19"/>
    <n v="19"/>
    <n v="3"/>
    <s v="Life Sciences"/>
    <n v="1"/>
    <n v="0"/>
    <n v="0"/>
    <n v="0"/>
    <n v="0"/>
    <n v="2"/>
    <s v="Female"/>
    <n v="1"/>
    <n v="35"/>
    <n v="2"/>
    <n v="1"/>
    <s v="Research Scientist"/>
    <n v="0"/>
    <n v="0"/>
    <n v="0"/>
    <n v="0"/>
    <n v="0"/>
    <n v="0"/>
    <n v="0"/>
    <n v="1"/>
    <n v="4"/>
    <s v="Married"/>
    <n v="0"/>
    <n v="1"/>
    <n v="2929"/>
    <n v="2929"/>
    <n v="1"/>
    <s v="No"/>
    <n v="0"/>
    <n v="12"/>
    <n v="3"/>
    <n v="2"/>
    <n v="0"/>
    <n v="10"/>
    <x v="1"/>
    <n v="3"/>
    <n v="3"/>
    <n v="10"/>
    <n v="10"/>
    <n v="9"/>
    <n v="8"/>
    <n v="8"/>
    <n v="7"/>
    <n v="7"/>
    <n v="7"/>
    <n v="0"/>
    <n v="1"/>
    <n v="0"/>
    <n v="0"/>
    <n v="0"/>
    <n v="0"/>
    <n v="1"/>
    <n v="0"/>
    <n v="0"/>
    <n v="7"/>
    <n v="0"/>
    <n v="0"/>
    <n v="10"/>
    <n v="0"/>
    <n v="0.75912576456686165"/>
    <n v="0.80626709607243985"/>
    <n v="0.1644554352117841"/>
    <n v="0.48834154112957734"/>
    <n v="1.2097751320534422"/>
    <n v="0.32005363845127444"/>
    <n v="1.8036836779953602"/>
  </r>
  <r>
    <n v="23"/>
    <n v="23"/>
    <s v="Yes"/>
    <n v="1"/>
    <s v="Travel_Rarely"/>
    <n v="0"/>
    <n v="1"/>
    <x v="0"/>
    <n v="0"/>
    <n v="1"/>
    <n v="7"/>
    <n v="7"/>
    <n v="3"/>
    <s v="Life Sciences"/>
    <n v="1"/>
    <n v="0"/>
    <n v="0"/>
    <n v="0"/>
    <n v="0"/>
    <n v="3"/>
    <s v="Male"/>
    <n v="0"/>
    <n v="99"/>
    <n v="3"/>
    <n v="1"/>
    <s v="Sales Representative"/>
    <n v="0"/>
    <n v="0"/>
    <n v="0"/>
    <n v="0"/>
    <n v="0"/>
    <n v="0"/>
    <n v="1"/>
    <n v="0"/>
    <n v="4"/>
    <s v="Divorced"/>
    <n v="0"/>
    <n v="0"/>
    <n v="2275"/>
    <n v="2275"/>
    <n v="1"/>
    <s v="Yes"/>
    <n v="1"/>
    <n v="21"/>
    <n v="4"/>
    <n v="2"/>
    <n v="1"/>
    <n v="3"/>
    <x v="8"/>
    <n v="2"/>
    <n v="3"/>
    <n v="3"/>
    <n v="3"/>
    <n v="2"/>
    <n v="0"/>
    <n v="0"/>
    <n v="2"/>
    <n v="2"/>
    <n v="2"/>
    <n v="1"/>
    <n v="0"/>
    <n v="0"/>
    <n v="0"/>
    <n v="0"/>
    <n v="1"/>
    <n v="0"/>
    <n v="0"/>
    <n v="0"/>
    <n v="0"/>
    <n v="2"/>
    <n v="0"/>
    <n v="0"/>
    <n v="3"/>
    <n v="0.89803952910011331"/>
    <n v="0.59502473559756086"/>
    <n v="1.0641079755250529"/>
    <n v="0.65423109602898355"/>
    <n v="0.27045191444879263"/>
    <n v="1.5241642326246359"/>
    <n v="0.67891464284095016"/>
  </r>
  <r>
    <n v="44"/>
    <n v="44"/>
    <s v="No"/>
    <n v="0"/>
    <s v="Travel_Rarely"/>
    <n v="0"/>
    <n v="1"/>
    <x v="1"/>
    <n v="1"/>
    <n v="0"/>
    <n v="2"/>
    <n v="2"/>
    <n v="3"/>
    <s v="Life Sciences"/>
    <n v="1"/>
    <n v="0"/>
    <n v="0"/>
    <n v="0"/>
    <n v="0"/>
    <n v="3"/>
    <s v="Female"/>
    <n v="1"/>
    <n v="96"/>
    <n v="4"/>
    <n v="3"/>
    <s v="Healthcare Representative"/>
    <n v="1"/>
    <n v="0"/>
    <n v="0"/>
    <n v="0"/>
    <n v="0"/>
    <n v="0"/>
    <n v="0"/>
    <n v="0"/>
    <n v="4"/>
    <s v="Married"/>
    <n v="0"/>
    <n v="1"/>
    <n v="7879"/>
    <n v="7879"/>
    <n v="1"/>
    <s v="Yes"/>
    <n v="1"/>
    <n v="19"/>
    <n v="3"/>
    <n v="2"/>
    <n v="1"/>
    <n v="9"/>
    <x v="14"/>
    <n v="2"/>
    <n v="3"/>
    <n v="8"/>
    <n v="8"/>
    <n v="7"/>
    <n v="6"/>
    <n v="6"/>
    <n v="7"/>
    <n v="7"/>
    <n v="21"/>
    <n v="0"/>
    <n v="1"/>
    <n v="0"/>
    <n v="0"/>
    <n v="0"/>
    <n v="0"/>
    <n v="0"/>
    <n v="1"/>
    <n v="0"/>
    <n v="7"/>
    <n v="0"/>
    <n v="0"/>
    <n v="9"/>
    <n v="0"/>
    <n v="0.2922857559829794"/>
    <n v="0.80626709607243985"/>
    <n v="0.29297722668510823"/>
    <n v="0.16189221622713135"/>
    <n v="0.88721318382472392"/>
    <n v="0.77459235625178136"/>
    <n v="1.1830340977862825"/>
  </r>
  <r>
    <n v="35"/>
    <n v="35"/>
    <s v="No"/>
    <n v="0"/>
    <s v="Travel_Frequently"/>
    <n v="1"/>
    <n v="0"/>
    <x v="1"/>
    <n v="1"/>
    <n v="0"/>
    <n v="2"/>
    <n v="2"/>
    <n v="4"/>
    <s v="Medical"/>
    <n v="0"/>
    <n v="0"/>
    <n v="1"/>
    <n v="0"/>
    <n v="0"/>
    <n v="1"/>
    <s v="Male"/>
    <n v="0"/>
    <n v="79"/>
    <n v="2"/>
    <n v="1"/>
    <s v="Research Scientist"/>
    <n v="0"/>
    <n v="0"/>
    <n v="0"/>
    <n v="0"/>
    <n v="0"/>
    <n v="0"/>
    <n v="0"/>
    <n v="1"/>
    <n v="4"/>
    <s v="Single"/>
    <n v="1"/>
    <n v="0"/>
    <n v="4930"/>
    <n v="4930"/>
    <n v="0"/>
    <s v="Yes"/>
    <n v="1"/>
    <n v="14"/>
    <n v="3"/>
    <n v="3"/>
    <n v="0"/>
    <n v="6"/>
    <x v="3"/>
    <n v="2"/>
    <n v="4"/>
    <n v="5"/>
    <n v="5"/>
    <n v="4"/>
    <n v="1"/>
    <n v="1"/>
    <n v="4"/>
    <n v="4"/>
    <n v="4"/>
    <n v="0"/>
    <n v="0"/>
    <n v="1"/>
    <n v="0"/>
    <n v="0"/>
    <n v="1"/>
    <n v="0"/>
    <n v="0"/>
    <n v="0"/>
    <n v="4"/>
    <n v="0"/>
    <n v="0"/>
    <n v="6"/>
    <n v="0"/>
    <n v="0.33410062262338042"/>
    <n v="3.4508002929560584E-2"/>
    <n v="0.67854260110508058"/>
    <n v="0.32778177112653761"/>
    <n v="0.88721318382472392"/>
    <n v="0.21058903898096887"/>
    <n v="0.36858985273641137"/>
  </r>
  <r>
    <n v="43"/>
    <n v="43"/>
    <s v="No"/>
    <n v="0"/>
    <s v="Travel_Rarely"/>
    <n v="0"/>
    <n v="1"/>
    <x v="0"/>
    <n v="0"/>
    <n v="1"/>
    <n v="2"/>
    <n v="2"/>
    <n v="3"/>
    <s v="Medical"/>
    <n v="0"/>
    <n v="0"/>
    <n v="1"/>
    <n v="0"/>
    <n v="0"/>
    <n v="4"/>
    <s v="Male"/>
    <n v="0"/>
    <n v="73"/>
    <n v="3"/>
    <n v="2"/>
    <s v="Sales Executive"/>
    <n v="0"/>
    <n v="1"/>
    <n v="0"/>
    <n v="0"/>
    <n v="0"/>
    <n v="0"/>
    <n v="0"/>
    <n v="0"/>
    <n v="4"/>
    <s v="Married"/>
    <n v="0"/>
    <n v="1"/>
    <n v="7847"/>
    <n v="7847"/>
    <n v="1"/>
    <s v="Yes"/>
    <n v="1"/>
    <n v="17"/>
    <n v="3"/>
    <n v="1"/>
    <n v="1"/>
    <n v="10"/>
    <x v="1"/>
    <n v="3"/>
    <n v="3"/>
    <n v="10"/>
    <n v="10"/>
    <n v="9"/>
    <n v="8"/>
    <n v="8"/>
    <n v="8"/>
    <n v="8"/>
    <n v="16"/>
    <n v="0"/>
    <n v="1"/>
    <n v="0"/>
    <n v="0"/>
    <n v="0"/>
    <n v="0"/>
    <n v="0"/>
    <n v="1"/>
    <n v="0"/>
    <n v="0"/>
    <n v="8"/>
    <n v="0"/>
    <n v="0"/>
    <n v="10"/>
    <n v="0.28548875221376829"/>
    <n v="1.08652546240644"/>
    <n v="0.1644554352117841"/>
    <n v="0.48834154112957734"/>
    <n v="0.88721318382472392"/>
    <n v="0.66512775678147573"/>
    <n v="1.8036836779953602"/>
  </r>
  <r>
    <n v="24"/>
    <n v="24"/>
    <s v="No"/>
    <n v="0"/>
    <s v="Travel_Rarely"/>
    <n v="0"/>
    <n v="1"/>
    <x v="1"/>
    <n v="1"/>
    <n v="0"/>
    <n v="9"/>
    <n v="9"/>
    <n v="3"/>
    <s v="Medical"/>
    <n v="0"/>
    <n v="0"/>
    <n v="1"/>
    <n v="0"/>
    <n v="0"/>
    <n v="3"/>
    <s v="Male"/>
    <n v="0"/>
    <n v="62"/>
    <n v="4"/>
    <n v="1"/>
    <s v="Research Scientist"/>
    <n v="0"/>
    <n v="0"/>
    <n v="0"/>
    <n v="0"/>
    <n v="0"/>
    <n v="0"/>
    <n v="0"/>
    <n v="1"/>
    <n v="3"/>
    <s v="Married"/>
    <n v="0"/>
    <n v="1"/>
    <n v="4401"/>
    <n v="4401"/>
    <n v="1"/>
    <s v="No"/>
    <n v="0"/>
    <n v="16"/>
    <n v="3"/>
    <n v="4"/>
    <n v="1"/>
    <n v="5"/>
    <x v="7"/>
    <n v="1"/>
    <n v="3"/>
    <n v="5"/>
    <n v="5"/>
    <n v="3"/>
    <n v="0"/>
    <n v="0"/>
    <n v="4"/>
    <n v="4"/>
    <n v="4"/>
    <n v="0"/>
    <n v="1"/>
    <n v="0"/>
    <n v="0"/>
    <n v="0"/>
    <n v="0"/>
    <n v="1"/>
    <n v="0"/>
    <n v="0"/>
    <n v="4"/>
    <n v="0"/>
    <n v="0"/>
    <n v="5"/>
    <n v="0"/>
    <n v="0.44646359118315132"/>
    <n v="3.4508002929560584E-2"/>
    <n v="0.80706439257840468"/>
    <n v="0.32778177112653761"/>
    <n v="2.3747406698420157E-2"/>
    <n v="1.4146996331543302"/>
    <n v="0.67891464284095016"/>
  </r>
  <r>
    <n v="41"/>
    <n v="41"/>
    <s v="No"/>
    <n v="0"/>
    <s v="Travel_Rarely"/>
    <n v="0"/>
    <n v="1"/>
    <x v="0"/>
    <n v="0"/>
    <n v="1"/>
    <n v="6"/>
    <n v="6"/>
    <n v="3"/>
    <s v="Marketing"/>
    <n v="0"/>
    <n v="0"/>
    <n v="0"/>
    <n v="1"/>
    <n v="0"/>
    <n v="4"/>
    <s v="Male"/>
    <n v="0"/>
    <n v="35"/>
    <n v="3"/>
    <n v="3"/>
    <s v="Sales Executive"/>
    <n v="0"/>
    <n v="1"/>
    <n v="0"/>
    <n v="0"/>
    <n v="0"/>
    <n v="0"/>
    <n v="0"/>
    <n v="0"/>
    <n v="3"/>
    <s v="Single"/>
    <n v="1"/>
    <n v="0"/>
    <n v="9241"/>
    <n v="9241"/>
    <n v="1"/>
    <s v="No"/>
    <n v="0"/>
    <n v="12"/>
    <n v="3"/>
    <n v="2"/>
    <n v="0"/>
    <n v="10"/>
    <x v="1"/>
    <n v="3"/>
    <n v="3"/>
    <n v="10"/>
    <n v="10"/>
    <n v="8"/>
    <n v="8"/>
    <n v="8"/>
    <n v="7"/>
    <n v="7"/>
    <n v="21"/>
    <n v="1"/>
    <n v="0"/>
    <n v="0"/>
    <n v="0"/>
    <n v="1"/>
    <n v="0"/>
    <n v="0"/>
    <n v="0"/>
    <n v="0"/>
    <n v="0"/>
    <n v="7"/>
    <n v="0"/>
    <n v="0"/>
    <n v="10"/>
    <n v="0.58158322891002656"/>
    <n v="0.80626709607243985"/>
    <n v="0.1644554352117841"/>
    <n v="0.48834154112957734"/>
    <n v="0.39380416832397891"/>
    <n v="0.4461985578408646"/>
    <n v="1.8036836779953602"/>
  </r>
  <r>
    <n v="29"/>
    <n v="29"/>
    <s v="No"/>
    <n v="0"/>
    <s v="Travel_Rarely"/>
    <n v="0"/>
    <n v="1"/>
    <x v="1"/>
    <n v="1"/>
    <n v="0"/>
    <n v="9"/>
    <n v="9"/>
    <n v="4"/>
    <s v="Medical"/>
    <n v="0"/>
    <n v="0"/>
    <n v="1"/>
    <n v="0"/>
    <n v="0"/>
    <n v="4"/>
    <s v="Female"/>
    <n v="1"/>
    <n v="43"/>
    <n v="3"/>
    <n v="1"/>
    <s v="Laboratory Technician"/>
    <n v="0"/>
    <n v="0"/>
    <n v="1"/>
    <n v="0"/>
    <n v="0"/>
    <n v="0"/>
    <n v="0"/>
    <n v="0"/>
    <n v="3"/>
    <s v="Married"/>
    <n v="0"/>
    <n v="1"/>
    <n v="2974"/>
    <n v="2974"/>
    <n v="9"/>
    <s v="No"/>
    <n v="0"/>
    <n v="17"/>
    <n v="3"/>
    <n v="3"/>
    <n v="1"/>
    <n v="9"/>
    <x v="14"/>
    <n v="2"/>
    <n v="3"/>
    <n v="5"/>
    <n v="5"/>
    <n v="3"/>
    <n v="1"/>
    <n v="1"/>
    <n v="2"/>
    <n v="2"/>
    <n v="2"/>
    <n v="0"/>
    <n v="1"/>
    <n v="0"/>
    <n v="0"/>
    <n v="0"/>
    <n v="0"/>
    <n v="1"/>
    <n v="0"/>
    <n v="0"/>
    <n v="2"/>
    <n v="0"/>
    <n v="0"/>
    <n v="9"/>
    <n v="0"/>
    <n v="0.74956747801640855"/>
    <n v="0.59502473559756086"/>
    <n v="0.29297722668510823"/>
    <n v="0.32778177112653761"/>
    <n v="2.3747406698420157E-2"/>
    <n v="0.86737663580280233"/>
    <n v="0.36858985273641137"/>
  </r>
  <r>
    <n v="36"/>
    <n v="36"/>
    <s v="No"/>
    <n v="0"/>
    <s v="Travel_Rarely"/>
    <n v="0"/>
    <n v="1"/>
    <x v="0"/>
    <n v="0"/>
    <n v="1"/>
    <n v="2"/>
    <n v="2"/>
    <n v="4"/>
    <s v="Life Sciences"/>
    <n v="1"/>
    <n v="0"/>
    <n v="0"/>
    <n v="0"/>
    <n v="0"/>
    <n v="3"/>
    <s v="Female"/>
    <n v="1"/>
    <n v="51"/>
    <n v="3"/>
    <n v="2"/>
    <s v="Sales Representative"/>
    <n v="0"/>
    <n v="0"/>
    <n v="0"/>
    <n v="0"/>
    <n v="0"/>
    <n v="0"/>
    <n v="1"/>
    <n v="0"/>
    <n v="4"/>
    <s v="Single"/>
    <n v="1"/>
    <n v="0"/>
    <n v="4502"/>
    <n v="4502"/>
    <n v="3"/>
    <s v="No"/>
    <n v="0"/>
    <n v="15"/>
    <n v="3"/>
    <n v="3"/>
    <n v="0"/>
    <n v="17"/>
    <x v="6"/>
    <n v="2"/>
    <n v="2"/>
    <n v="13"/>
    <n v="13"/>
    <n v="7"/>
    <n v="6"/>
    <n v="6"/>
    <n v="7"/>
    <n v="7"/>
    <n v="14"/>
    <n v="1"/>
    <n v="0"/>
    <n v="0"/>
    <n v="0"/>
    <n v="1"/>
    <n v="0"/>
    <n v="0"/>
    <n v="0"/>
    <n v="0"/>
    <n v="0"/>
    <n v="7"/>
    <n v="0"/>
    <n v="0"/>
    <n v="17"/>
    <n v="0.42501054803657878"/>
    <n v="0.80626709607243985"/>
    <n v="0.73519710510148462"/>
    <n v="0.97801552848324624"/>
    <n v="0.88721318382472392"/>
    <n v="0.10112443951066327"/>
    <n v="1.1830340977862825"/>
  </r>
  <r>
    <n v="45"/>
    <n v="45"/>
    <s v="No"/>
    <n v="0"/>
    <s v="Non-Travel"/>
    <n v="0"/>
    <n v="0"/>
    <x v="1"/>
    <n v="1"/>
    <n v="0"/>
    <n v="1"/>
    <n v="1"/>
    <n v="1"/>
    <s v="Life Sciences"/>
    <n v="1"/>
    <n v="0"/>
    <n v="0"/>
    <n v="0"/>
    <n v="0"/>
    <n v="3"/>
    <s v="Male"/>
    <n v="0"/>
    <n v="74"/>
    <n v="2"/>
    <n v="3"/>
    <s v="Healthcare Representative"/>
    <n v="1"/>
    <n v="0"/>
    <n v="0"/>
    <n v="0"/>
    <n v="0"/>
    <n v="0"/>
    <n v="0"/>
    <n v="0"/>
    <n v="3"/>
    <s v="Married"/>
    <n v="0"/>
    <n v="1"/>
    <n v="10748"/>
    <n v="10748"/>
    <n v="3"/>
    <s v="No"/>
    <n v="0"/>
    <n v="23"/>
    <n v="4"/>
    <n v="4"/>
    <n v="1"/>
    <n v="25"/>
    <x v="24"/>
    <n v="3"/>
    <n v="2"/>
    <n v="23"/>
    <n v="23"/>
    <n v="15"/>
    <n v="14"/>
    <n v="14"/>
    <n v="4"/>
    <n v="4"/>
    <n v="12"/>
    <n v="0"/>
    <n v="1"/>
    <n v="0"/>
    <n v="0"/>
    <n v="0"/>
    <n v="0"/>
    <n v="1"/>
    <n v="0"/>
    <n v="0"/>
    <n v="4"/>
    <n v="0"/>
    <n v="0"/>
    <n v="25"/>
    <n v="0"/>
    <n v="0.9016796251663115"/>
    <n v="3.4508002929560584E-2"/>
    <n v="1.7633714368880775"/>
    <n v="2.6102621529954759"/>
    <n v="1.01056543769991"/>
    <n v="0.88405695572208698"/>
    <n v="3.665632418622593"/>
  </r>
  <r>
    <n v="24"/>
    <n v="24"/>
    <s v="Yes"/>
    <n v="1"/>
    <s v="Travel_Rarely"/>
    <n v="0"/>
    <n v="1"/>
    <x v="2"/>
    <n v="0"/>
    <n v="0"/>
    <n v="22"/>
    <n v="22"/>
    <n v="1"/>
    <s v="Human Resources"/>
    <n v="0"/>
    <n v="0"/>
    <n v="0"/>
    <n v="0"/>
    <n v="0"/>
    <n v="4"/>
    <s v="Male"/>
    <n v="0"/>
    <n v="58"/>
    <n v="1"/>
    <n v="1"/>
    <s v="Human Resources"/>
    <n v="0"/>
    <n v="0"/>
    <n v="0"/>
    <n v="0"/>
    <n v="0"/>
    <n v="0"/>
    <n v="0"/>
    <n v="0"/>
    <n v="3"/>
    <s v="Married"/>
    <n v="0"/>
    <n v="1"/>
    <n v="1555"/>
    <n v="1555"/>
    <n v="1"/>
    <s v="No"/>
    <n v="0"/>
    <n v="11"/>
    <n v="3"/>
    <n v="3"/>
    <n v="1"/>
    <n v="1"/>
    <x v="5"/>
    <n v="2"/>
    <n v="3"/>
    <n v="1"/>
    <n v="1"/>
    <n v="0"/>
    <n v="0"/>
    <n v="0"/>
    <n v="0"/>
    <n v="0"/>
    <n v="0"/>
    <n v="0"/>
    <n v="1"/>
    <n v="0"/>
    <n v="0"/>
    <n v="0"/>
    <n v="0"/>
    <n v="1"/>
    <n v="0"/>
    <n v="0"/>
    <n v="0"/>
    <n v="0"/>
    <n v="1"/>
    <n v="0"/>
    <n v="0"/>
    <n v="1.0509721139073629"/>
    <n v="1.1555414682655611"/>
    <n v="1.3211515584717011"/>
    <n v="0.9806804209314296"/>
    <n v="1.579831893679001"/>
    <n v="1.4146996331543302"/>
    <n v="0.67891464284095016"/>
  </r>
  <r>
    <n v="47"/>
    <n v="47"/>
    <s v="Yes"/>
    <n v="1"/>
    <s v="Travel_Frequently"/>
    <n v="1"/>
    <n v="0"/>
    <x v="0"/>
    <n v="0"/>
    <n v="1"/>
    <n v="9"/>
    <n v="9"/>
    <n v="3"/>
    <s v="Life Sciences"/>
    <n v="1"/>
    <n v="0"/>
    <n v="0"/>
    <n v="0"/>
    <n v="0"/>
    <n v="3"/>
    <s v="Male"/>
    <n v="0"/>
    <n v="82"/>
    <n v="1"/>
    <n v="4"/>
    <s v="Sales Executive"/>
    <n v="0"/>
    <n v="1"/>
    <n v="0"/>
    <n v="0"/>
    <n v="0"/>
    <n v="0"/>
    <n v="0"/>
    <n v="0"/>
    <n v="3"/>
    <s v="Married"/>
    <n v="0"/>
    <n v="1"/>
    <n v="12936"/>
    <n v="12936"/>
    <n v="7"/>
    <s v="No"/>
    <n v="0"/>
    <n v="11"/>
    <n v="3"/>
    <n v="3"/>
    <n v="0"/>
    <n v="25"/>
    <x v="24"/>
    <n v="3"/>
    <n v="1"/>
    <n v="23"/>
    <n v="23"/>
    <n v="5"/>
    <n v="14"/>
    <n v="14"/>
    <n v="10"/>
    <n v="10"/>
    <n v="40"/>
    <n v="0"/>
    <n v="0"/>
    <n v="0"/>
    <n v="1"/>
    <n v="0"/>
    <n v="0"/>
    <n v="1"/>
    <n v="0"/>
    <n v="0"/>
    <n v="0"/>
    <n v="10"/>
    <n v="0"/>
    <n v="0"/>
    <n v="25"/>
    <n v="1.3664247578861199"/>
    <n v="1.6470421950744405"/>
    <n v="1.7633714368880775"/>
    <n v="2.6102621529954759"/>
    <n v="2.3747406698420157E-2"/>
    <n v="1.102986154662698"/>
    <n v="3.665632418622593"/>
  </r>
  <r>
    <n v="26"/>
    <n v="26"/>
    <s v="No"/>
    <n v="0"/>
    <s v="Travel_Rarely"/>
    <n v="0"/>
    <n v="1"/>
    <x v="1"/>
    <n v="1"/>
    <n v="0"/>
    <n v="17"/>
    <n v="17"/>
    <n v="4"/>
    <s v="Medical"/>
    <n v="0"/>
    <n v="0"/>
    <n v="1"/>
    <n v="0"/>
    <n v="0"/>
    <n v="4"/>
    <s v="Male"/>
    <n v="0"/>
    <n v="62"/>
    <n v="1"/>
    <n v="1"/>
    <s v="Laboratory Technician"/>
    <n v="0"/>
    <n v="0"/>
    <n v="1"/>
    <n v="0"/>
    <n v="0"/>
    <n v="0"/>
    <n v="0"/>
    <n v="0"/>
    <n v="3"/>
    <s v="Married"/>
    <n v="0"/>
    <n v="1"/>
    <n v="2305"/>
    <n v="2305"/>
    <n v="1"/>
    <s v="No"/>
    <n v="0"/>
    <n v="15"/>
    <n v="3"/>
    <n v="3"/>
    <n v="3"/>
    <n v="3"/>
    <x v="8"/>
    <n v="3"/>
    <n v="4"/>
    <n v="3"/>
    <n v="3"/>
    <n v="2"/>
    <n v="0"/>
    <n v="0"/>
    <n v="2"/>
    <n v="2"/>
    <n v="2"/>
    <n v="0"/>
    <n v="1"/>
    <n v="0"/>
    <n v="0"/>
    <n v="0"/>
    <n v="0"/>
    <n v="1"/>
    <n v="0"/>
    <n v="0"/>
    <n v="2"/>
    <n v="0"/>
    <n v="0"/>
    <n v="3"/>
    <n v="0"/>
    <n v="0.89166733806647791"/>
    <n v="0.59502473559756086"/>
    <n v="1.0641079755250529"/>
    <n v="0.65423109602898355"/>
    <n v="0.96307062430306978"/>
    <n v="1.195770434213719"/>
    <n v="0.67891464284095016"/>
  </r>
  <r>
    <n v="45"/>
    <n v="45"/>
    <s v="No"/>
    <n v="0"/>
    <s v="Travel_Rarely"/>
    <n v="0"/>
    <n v="1"/>
    <x v="1"/>
    <n v="1"/>
    <n v="0"/>
    <n v="28"/>
    <n v="28"/>
    <n v="2"/>
    <s v="Technical Degree"/>
    <n v="0"/>
    <n v="0"/>
    <n v="0"/>
    <n v="0"/>
    <n v="1"/>
    <n v="4"/>
    <s v="Female"/>
    <n v="1"/>
    <n v="48"/>
    <n v="2"/>
    <n v="4"/>
    <s v="Research Director"/>
    <n v="0"/>
    <n v="0"/>
    <n v="0"/>
    <n v="0"/>
    <n v="0"/>
    <n v="0"/>
    <n v="0"/>
    <n v="0"/>
    <n v="2"/>
    <s v="Single"/>
    <n v="1"/>
    <n v="0"/>
    <n v="16704"/>
    <n v="16704"/>
    <n v="1"/>
    <s v="No"/>
    <n v="0"/>
    <n v="11"/>
    <n v="3"/>
    <n v="3"/>
    <n v="0"/>
    <n v="21"/>
    <x v="23"/>
    <n v="2"/>
    <n v="3"/>
    <n v="21"/>
    <n v="21"/>
    <n v="6"/>
    <n v="8"/>
    <n v="8"/>
    <n v="6"/>
    <n v="6"/>
    <n v="24"/>
    <n v="1"/>
    <n v="0"/>
    <n v="0"/>
    <n v="0"/>
    <n v="1"/>
    <n v="0"/>
    <n v="0"/>
    <n v="0"/>
    <n v="0"/>
    <n v="6"/>
    <n v="0"/>
    <n v="0"/>
    <n v="21"/>
    <n v="0"/>
    <n v="2.1667719517107265"/>
    <n v="0.52600872973843971"/>
    <n v="1.2492842709947811"/>
    <n v="2.2838128280930299"/>
    <n v="2.3199454169301186"/>
    <n v="0.88405695572208698"/>
    <n v="1.8036836779953602"/>
  </r>
  <r>
    <n v="32"/>
    <n v="32"/>
    <s v="No"/>
    <n v="0"/>
    <s v="Travel_Frequently"/>
    <n v="1"/>
    <n v="0"/>
    <x v="1"/>
    <n v="1"/>
    <n v="0"/>
    <n v="10"/>
    <n v="10"/>
    <n v="3"/>
    <s v="Life Sciences"/>
    <n v="1"/>
    <n v="0"/>
    <n v="0"/>
    <n v="0"/>
    <n v="0"/>
    <n v="1"/>
    <s v="Male"/>
    <n v="0"/>
    <n v="56"/>
    <n v="3"/>
    <n v="1"/>
    <s v="Research Scientist"/>
    <n v="0"/>
    <n v="0"/>
    <n v="0"/>
    <n v="0"/>
    <n v="0"/>
    <n v="0"/>
    <n v="0"/>
    <n v="1"/>
    <n v="3"/>
    <s v="Married"/>
    <n v="0"/>
    <n v="1"/>
    <n v="3433"/>
    <n v="3433"/>
    <n v="6"/>
    <s v="No"/>
    <n v="0"/>
    <n v="13"/>
    <n v="3"/>
    <n v="1"/>
    <n v="1"/>
    <n v="10"/>
    <x v="1"/>
    <n v="3"/>
    <n v="2"/>
    <n v="5"/>
    <n v="5"/>
    <n v="2"/>
    <n v="1"/>
    <n v="1"/>
    <n v="3"/>
    <n v="3"/>
    <n v="3"/>
    <n v="0"/>
    <n v="0"/>
    <n v="0"/>
    <n v="1"/>
    <n v="0"/>
    <n v="0"/>
    <n v="1"/>
    <n v="0"/>
    <n v="0"/>
    <n v="3"/>
    <n v="0"/>
    <n v="0"/>
    <n v="10"/>
    <n v="0"/>
    <n v="0.65207295520178687"/>
    <n v="0.31476636926356072"/>
    <n v="0.1644554352117841"/>
    <n v="0.32778177112653761"/>
    <n v="9.9604847176766084E-2"/>
    <n v="0.53898283739188557"/>
    <n v="0.36858985273641137"/>
  </r>
  <r>
    <n v="31"/>
    <n v="31"/>
    <s v="No"/>
    <n v="0"/>
    <s v="Travel_Rarely"/>
    <n v="0"/>
    <n v="1"/>
    <x v="1"/>
    <n v="1"/>
    <n v="0"/>
    <n v="2"/>
    <n v="2"/>
    <n v="4"/>
    <s v="Life Sciences"/>
    <n v="1"/>
    <n v="0"/>
    <n v="0"/>
    <n v="0"/>
    <n v="0"/>
    <n v="2"/>
    <s v="Male"/>
    <n v="0"/>
    <n v="69"/>
    <n v="3"/>
    <n v="1"/>
    <s v="Laboratory Technician"/>
    <n v="0"/>
    <n v="0"/>
    <n v="1"/>
    <n v="0"/>
    <n v="0"/>
    <n v="0"/>
    <n v="0"/>
    <n v="0"/>
    <n v="3"/>
    <s v="Married"/>
    <n v="0"/>
    <n v="1"/>
    <n v="3477"/>
    <n v="3477"/>
    <n v="1"/>
    <s v="No"/>
    <n v="0"/>
    <n v="14"/>
    <n v="3"/>
    <n v="4"/>
    <n v="1"/>
    <n v="6"/>
    <x v="3"/>
    <n v="2"/>
    <n v="4"/>
    <n v="5"/>
    <n v="5"/>
    <n v="2"/>
    <n v="0"/>
    <n v="0"/>
    <n v="3"/>
    <n v="3"/>
    <n v="3"/>
    <n v="0"/>
    <n v="1"/>
    <n v="0"/>
    <n v="0"/>
    <n v="0"/>
    <n v="0"/>
    <n v="1"/>
    <n v="0"/>
    <n v="0"/>
    <n v="3"/>
    <n v="0"/>
    <n v="0"/>
    <n v="6"/>
    <n v="0"/>
    <n v="0.64272707501912163"/>
    <n v="0.31476636926356072"/>
    <n v="0.67854260110508058"/>
    <n v="0.32778177112653761"/>
    <n v="0.88721318382472392"/>
    <n v="0.6484474368621912"/>
    <n v="0.67891464284095016"/>
  </r>
  <r>
    <n v="41"/>
    <n v="41"/>
    <s v="No"/>
    <n v="0"/>
    <s v="Non-Travel"/>
    <n v="0"/>
    <n v="0"/>
    <x v="2"/>
    <n v="0"/>
    <n v="0"/>
    <n v="4"/>
    <n v="4"/>
    <n v="3"/>
    <s v="Human Resources"/>
    <n v="0"/>
    <n v="0"/>
    <n v="0"/>
    <n v="0"/>
    <n v="0"/>
    <n v="3"/>
    <s v="Male"/>
    <n v="0"/>
    <n v="60"/>
    <n v="1"/>
    <n v="2"/>
    <s v="Human Resources"/>
    <n v="0"/>
    <n v="0"/>
    <n v="0"/>
    <n v="0"/>
    <n v="0"/>
    <n v="0"/>
    <n v="0"/>
    <n v="0"/>
    <n v="2"/>
    <s v="Married"/>
    <n v="0"/>
    <n v="1"/>
    <n v="6430"/>
    <n v="6430"/>
    <n v="6"/>
    <s v="No"/>
    <n v="0"/>
    <n v="19"/>
    <n v="3"/>
    <n v="2"/>
    <n v="1"/>
    <n v="10"/>
    <x v="1"/>
    <n v="4"/>
    <n v="3"/>
    <n v="3"/>
    <n v="3"/>
    <n v="2"/>
    <n v="1"/>
    <n v="1"/>
    <n v="2"/>
    <n v="2"/>
    <n v="4"/>
    <n v="0"/>
    <n v="1"/>
    <n v="0"/>
    <n v="0"/>
    <n v="0"/>
    <n v="0"/>
    <n v="1"/>
    <n v="0"/>
    <n v="2"/>
    <n v="0"/>
    <n v="0"/>
    <n v="10"/>
    <n v="0"/>
    <n v="0"/>
    <n v="1.5491070941610424E-2"/>
    <n v="0.59502473559756086"/>
    <n v="0.1644554352117841"/>
    <n v="0.65423109602898355"/>
    <n v="0.64050867607435136"/>
    <n v="0.4461985578408646"/>
    <n v="0.36858985273641137"/>
  </r>
  <r>
    <n v="40"/>
    <n v="40"/>
    <s v="No"/>
    <n v="0"/>
    <s v="Travel_Rarely"/>
    <n v="0"/>
    <n v="1"/>
    <x v="1"/>
    <n v="1"/>
    <n v="0"/>
    <n v="8"/>
    <n v="8"/>
    <n v="2"/>
    <s v="Life Sciences"/>
    <n v="1"/>
    <n v="0"/>
    <n v="0"/>
    <n v="0"/>
    <n v="0"/>
    <n v="2"/>
    <s v="Female"/>
    <n v="1"/>
    <n v="92"/>
    <n v="3"/>
    <n v="2"/>
    <s v="Manufacturing Director"/>
    <n v="0"/>
    <n v="0"/>
    <n v="0"/>
    <n v="0"/>
    <n v="1"/>
    <n v="1"/>
    <n v="0"/>
    <n v="0"/>
    <n v="1"/>
    <s v="Married"/>
    <n v="0"/>
    <n v="1"/>
    <n v="6516"/>
    <n v="6516"/>
    <n v="2"/>
    <s v="Yes"/>
    <n v="1"/>
    <n v="16"/>
    <n v="3"/>
    <n v="2"/>
    <n v="1"/>
    <n v="18"/>
    <x v="30"/>
    <n v="3"/>
    <n v="3"/>
    <n v="1"/>
    <n v="1"/>
    <n v="0"/>
    <n v="0"/>
    <n v="0"/>
    <n v="0"/>
    <n v="0"/>
    <n v="0"/>
    <n v="0"/>
    <n v="1"/>
    <n v="0"/>
    <n v="0"/>
    <n v="0"/>
    <n v="0"/>
    <n v="0"/>
    <n v="1"/>
    <n v="0"/>
    <n v="0"/>
    <n v="0"/>
    <n v="0"/>
    <n v="18"/>
    <n v="0"/>
    <n v="2.77587668814439E-3"/>
    <n v="1.1555414682655611"/>
    <n v="0.86371889657480871"/>
    <n v="0.9806804209314296"/>
    <n v="0.14709966057360641"/>
    <n v="0.33673395837055903"/>
    <n v="0.67891464284095016"/>
  </r>
  <r>
    <n v="24"/>
    <n v="24"/>
    <s v="No"/>
    <n v="0"/>
    <s v="Travel_Rarely"/>
    <n v="0"/>
    <n v="1"/>
    <x v="1"/>
    <n v="1"/>
    <n v="0"/>
    <n v="29"/>
    <n v="29"/>
    <n v="1"/>
    <s v="Medical"/>
    <n v="0"/>
    <n v="0"/>
    <n v="1"/>
    <n v="0"/>
    <n v="0"/>
    <n v="2"/>
    <s v="Male"/>
    <n v="0"/>
    <n v="91"/>
    <n v="3"/>
    <n v="1"/>
    <s v="Laboratory Technician"/>
    <n v="0"/>
    <n v="0"/>
    <n v="1"/>
    <n v="0"/>
    <n v="0"/>
    <n v="0"/>
    <n v="0"/>
    <n v="0"/>
    <n v="1"/>
    <s v="Divorced"/>
    <n v="0"/>
    <n v="0"/>
    <n v="3907"/>
    <n v="3907"/>
    <n v="1"/>
    <s v="No"/>
    <n v="0"/>
    <n v="13"/>
    <n v="3"/>
    <n v="2"/>
    <n v="3"/>
    <n v="6"/>
    <x v="3"/>
    <n v="2"/>
    <n v="4"/>
    <n v="6"/>
    <n v="6"/>
    <n v="2"/>
    <n v="1"/>
    <n v="1"/>
    <n v="2"/>
    <n v="2"/>
    <n v="2"/>
    <n v="1"/>
    <n v="0"/>
    <n v="0"/>
    <n v="0"/>
    <n v="1"/>
    <n v="0"/>
    <n v="0"/>
    <n v="0"/>
    <n v="0"/>
    <n v="2"/>
    <n v="0"/>
    <n v="0"/>
    <n v="6"/>
    <n v="0"/>
    <n v="0.55139233687034761"/>
    <n v="0.59502473559756086"/>
    <n v="0.67854260110508058"/>
    <n v="0.16455710867531462"/>
    <n v="2.4432976708053049"/>
    <n v="1.4146996331543302"/>
    <n v="0.36858985273641137"/>
  </r>
  <r>
    <n v="46"/>
    <n v="46"/>
    <s v="No"/>
    <n v="0"/>
    <s v="Travel_Rarely"/>
    <n v="0"/>
    <n v="1"/>
    <x v="1"/>
    <n v="1"/>
    <n v="0"/>
    <n v="13"/>
    <n v="13"/>
    <n v="4"/>
    <s v="Life Sciences"/>
    <n v="1"/>
    <n v="0"/>
    <n v="0"/>
    <n v="0"/>
    <n v="0"/>
    <n v="3"/>
    <s v="Male"/>
    <n v="0"/>
    <n v="34"/>
    <n v="3"/>
    <n v="2"/>
    <s v="Healthcare Representative"/>
    <n v="1"/>
    <n v="0"/>
    <n v="0"/>
    <n v="0"/>
    <n v="0"/>
    <n v="0"/>
    <n v="0"/>
    <n v="0"/>
    <n v="2"/>
    <s v="Single"/>
    <n v="1"/>
    <n v="0"/>
    <n v="5562"/>
    <n v="5562"/>
    <n v="6"/>
    <s v="No"/>
    <n v="0"/>
    <n v="14"/>
    <n v="3"/>
    <n v="4"/>
    <n v="0"/>
    <n v="19"/>
    <x v="15"/>
    <n v="3"/>
    <n v="3"/>
    <n v="10"/>
    <n v="10"/>
    <n v="7"/>
    <n v="0"/>
    <n v="0"/>
    <n v="9"/>
    <n v="9"/>
    <n v="18"/>
    <n v="1"/>
    <n v="0"/>
    <n v="0"/>
    <n v="0"/>
    <n v="1"/>
    <n v="0"/>
    <n v="0"/>
    <n v="0"/>
    <n v="0"/>
    <n v="9"/>
    <n v="0"/>
    <n v="0"/>
    <n v="19"/>
    <n v="0"/>
    <n v="0.19985979818146132"/>
    <n v="1.3667838287404401"/>
    <n v="0.99224068804813281"/>
    <n v="0.48834154112957734"/>
    <n v="0.46966160880232483"/>
    <n v="0.99352155519239249"/>
    <n v="0.67891464284095016"/>
  </r>
  <r>
    <n v="35"/>
    <n v="35"/>
    <s v="No"/>
    <n v="0"/>
    <s v="Travel_Rarely"/>
    <n v="0"/>
    <n v="1"/>
    <x v="1"/>
    <n v="1"/>
    <n v="0"/>
    <n v="27"/>
    <n v="27"/>
    <n v="4"/>
    <s v="Life Sciences"/>
    <n v="1"/>
    <n v="0"/>
    <n v="0"/>
    <n v="0"/>
    <n v="0"/>
    <n v="4"/>
    <s v="Male"/>
    <n v="0"/>
    <n v="49"/>
    <n v="3"/>
    <n v="2"/>
    <s v="Manufacturing Director"/>
    <n v="0"/>
    <n v="0"/>
    <n v="0"/>
    <n v="0"/>
    <n v="1"/>
    <n v="1"/>
    <n v="0"/>
    <n v="0"/>
    <n v="3"/>
    <s v="Married"/>
    <n v="0"/>
    <n v="1"/>
    <n v="6883"/>
    <n v="6883"/>
    <n v="2"/>
    <s v="No"/>
    <n v="0"/>
    <n v="16"/>
    <n v="3"/>
    <n v="2"/>
    <n v="1"/>
    <n v="17"/>
    <x v="6"/>
    <n v="3"/>
    <n v="3"/>
    <n v="7"/>
    <n v="7"/>
    <n v="7"/>
    <n v="0"/>
    <n v="0"/>
    <n v="7"/>
    <n v="7"/>
    <n v="14"/>
    <n v="0"/>
    <n v="1"/>
    <n v="0"/>
    <n v="0"/>
    <n v="0"/>
    <n v="0"/>
    <n v="1"/>
    <n v="0"/>
    <n v="0"/>
    <n v="7"/>
    <n v="0"/>
    <n v="0"/>
    <n v="17"/>
    <n v="0"/>
    <n v="8.0729013666284113E-2"/>
    <n v="0.80626709607243985"/>
    <n v="0.73519710510148462"/>
    <n v="1.3324462240916321E-3"/>
    <n v="2.1965931630549322"/>
    <n v="0.21058903898096887"/>
    <n v="0.67891464284095016"/>
  </r>
  <r>
    <n v="30"/>
    <n v="30"/>
    <s v="No"/>
    <n v="0"/>
    <s v="Travel_Rarely"/>
    <n v="0"/>
    <n v="1"/>
    <x v="1"/>
    <n v="1"/>
    <n v="0"/>
    <n v="16"/>
    <n v="16"/>
    <n v="1"/>
    <s v="Life Sciences"/>
    <n v="1"/>
    <n v="0"/>
    <n v="0"/>
    <n v="0"/>
    <n v="0"/>
    <n v="2"/>
    <s v="Male"/>
    <n v="0"/>
    <n v="33"/>
    <n v="3"/>
    <n v="1"/>
    <s v="Research Scientist"/>
    <n v="0"/>
    <n v="0"/>
    <n v="0"/>
    <n v="0"/>
    <n v="0"/>
    <n v="0"/>
    <n v="0"/>
    <n v="1"/>
    <n v="4"/>
    <s v="Married"/>
    <n v="0"/>
    <n v="1"/>
    <n v="2862"/>
    <n v="2862"/>
    <n v="1"/>
    <s v="No"/>
    <n v="0"/>
    <n v="12"/>
    <n v="3"/>
    <n v="2"/>
    <n v="1"/>
    <n v="10"/>
    <x v="1"/>
    <n v="2"/>
    <n v="2"/>
    <n v="10"/>
    <n v="10"/>
    <n v="0"/>
    <n v="0"/>
    <n v="0"/>
    <n v="8"/>
    <n v="8"/>
    <n v="8"/>
    <n v="0"/>
    <n v="1"/>
    <n v="0"/>
    <n v="0"/>
    <n v="0"/>
    <n v="0"/>
    <n v="1"/>
    <n v="0"/>
    <n v="0"/>
    <n v="8"/>
    <n v="0"/>
    <n v="0"/>
    <n v="10"/>
    <n v="0"/>
    <n v="0.77335699120864732"/>
    <n v="1.08652546240644"/>
    <n v="0.1644554352117841"/>
    <n v="0.48834154112957734"/>
    <n v="0.83971837042788355"/>
    <n v="0.75791203633249671"/>
    <n v="0.67891464284095016"/>
  </r>
  <r>
    <n v="47"/>
    <n v="47"/>
    <s v="No"/>
    <n v="0"/>
    <s v="Non-Travel"/>
    <n v="0"/>
    <n v="0"/>
    <x v="0"/>
    <n v="0"/>
    <n v="1"/>
    <n v="2"/>
    <n v="2"/>
    <n v="4"/>
    <s v="Marketing"/>
    <n v="0"/>
    <n v="0"/>
    <n v="0"/>
    <n v="1"/>
    <n v="0"/>
    <n v="3"/>
    <s v="Male"/>
    <n v="0"/>
    <n v="87"/>
    <n v="3"/>
    <n v="2"/>
    <s v="Sales Executive"/>
    <n v="0"/>
    <n v="1"/>
    <n v="0"/>
    <n v="0"/>
    <n v="0"/>
    <n v="0"/>
    <n v="0"/>
    <n v="0"/>
    <n v="2"/>
    <s v="Married"/>
    <n v="0"/>
    <n v="1"/>
    <n v="4978"/>
    <n v="4978"/>
    <n v="7"/>
    <s v="No"/>
    <n v="0"/>
    <n v="11"/>
    <n v="3"/>
    <n v="4"/>
    <n v="1"/>
    <n v="4"/>
    <x v="20"/>
    <n v="3"/>
    <n v="1"/>
    <n v="1"/>
    <n v="1"/>
    <n v="0"/>
    <n v="0"/>
    <n v="0"/>
    <n v="0"/>
    <n v="0"/>
    <n v="0"/>
    <n v="0"/>
    <n v="1"/>
    <n v="0"/>
    <n v="0"/>
    <n v="0"/>
    <n v="0"/>
    <n v="1"/>
    <n v="0"/>
    <n v="0"/>
    <n v="0"/>
    <n v="0"/>
    <n v="0"/>
    <n v="0"/>
    <n v="4"/>
    <n v="0.32390511696956381"/>
    <n v="1.1555414682655611"/>
    <n v="0.93558618405172878"/>
    <n v="0.9806804209314296"/>
    <n v="0.88721318382472392"/>
    <n v="1.102986154662698"/>
    <n v="0.67891464284095016"/>
  </r>
  <r>
    <n v="46"/>
    <n v="46"/>
    <s v="No"/>
    <n v="0"/>
    <s v="Travel_Rarely"/>
    <n v="0"/>
    <n v="1"/>
    <x v="0"/>
    <n v="0"/>
    <n v="1"/>
    <n v="2"/>
    <n v="2"/>
    <n v="3"/>
    <s v="Life Sciences"/>
    <n v="1"/>
    <n v="0"/>
    <n v="0"/>
    <n v="0"/>
    <n v="0"/>
    <n v="3"/>
    <s v="Male"/>
    <n v="0"/>
    <n v="74"/>
    <n v="3"/>
    <n v="3"/>
    <s v="Sales Executive"/>
    <n v="0"/>
    <n v="1"/>
    <n v="0"/>
    <n v="0"/>
    <n v="0"/>
    <n v="0"/>
    <n v="0"/>
    <n v="0"/>
    <n v="4"/>
    <s v="Divorced"/>
    <n v="0"/>
    <n v="0"/>
    <n v="10368"/>
    <n v="10368"/>
    <n v="4"/>
    <s v="Yes"/>
    <n v="1"/>
    <n v="12"/>
    <n v="3"/>
    <n v="2"/>
    <n v="1"/>
    <n v="13"/>
    <x v="10"/>
    <n v="5"/>
    <n v="2"/>
    <n v="10"/>
    <n v="10"/>
    <n v="6"/>
    <n v="0"/>
    <n v="0"/>
    <n v="3"/>
    <n v="3"/>
    <n v="9"/>
    <n v="1"/>
    <n v="0"/>
    <n v="0"/>
    <n v="0"/>
    <n v="0"/>
    <n v="1"/>
    <n v="0"/>
    <n v="0"/>
    <n v="0"/>
    <n v="0"/>
    <n v="3"/>
    <n v="0"/>
    <n v="0"/>
    <n v="13"/>
    <n v="0.82096520540692974"/>
    <n v="0.31476636926356072"/>
    <n v="0.22110993920818819"/>
    <n v="0.48834154112957734"/>
    <n v="0.88721318382472392"/>
    <n v="0.99352155519239249"/>
    <n v="0.67891464284095016"/>
  </r>
  <r>
    <n v="36"/>
    <n v="36"/>
    <s v="Yes"/>
    <n v="1"/>
    <s v="Travel_Rarely"/>
    <n v="0"/>
    <n v="1"/>
    <x v="0"/>
    <n v="0"/>
    <n v="1"/>
    <n v="13"/>
    <n v="13"/>
    <n v="5"/>
    <s v="Marketing"/>
    <n v="0"/>
    <n v="0"/>
    <n v="0"/>
    <n v="1"/>
    <n v="0"/>
    <n v="2"/>
    <s v="Male"/>
    <n v="0"/>
    <n v="96"/>
    <n v="2"/>
    <n v="2"/>
    <s v="Sales Executive"/>
    <n v="0"/>
    <n v="1"/>
    <n v="0"/>
    <n v="0"/>
    <n v="0"/>
    <n v="0"/>
    <n v="0"/>
    <n v="0"/>
    <n v="1"/>
    <s v="Divorced"/>
    <n v="0"/>
    <n v="0"/>
    <n v="6134"/>
    <n v="6134"/>
    <n v="5"/>
    <s v="Yes"/>
    <n v="1"/>
    <n v="13"/>
    <n v="3"/>
    <n v="2"/>
    <n v="3"/>
    <n v="16"/>
    <x v="27"/>
    <n v="3"/>
    <n v="3"/>
    <n v="2"/>
    <n v="2"/>
    <n v="2"/>
    <n v="2"/>
    <n v="2"/>
    <n v="2"/>
    <n v="2"/>
    <n v="4"/>
    <n v="1"/>
    <n v="0"/>
    <n v="0"/>
    <n v="0"/>
    <n v="0"/>
    <n v="1"/>
    <n v="0"/>
    <n v="0"/>
    <n v="0"/>
    <n v="0"/>
    <n v="2"/>
    <n v="0"/>
    <n v="0"/>
    <n v="16"/>
    <n v="7.8363355806813043E-2"/>
    <n v="0.59502473559756086"/>
    <n v="0.60667531362816052"/>
    <n v="0.81745575848020657"/>
    <n v="0.46966160880232483"/>
    <n v="0.10112443951066327"/>
    <n v="5.8265062631872602E-2"/>
  </r>
  <r>
    <n v="32"/>
    <n v="32"/>
    <s v="Yes"/>
    <n v="1"/>
    <s v="Travel_Rarely"/>
    <n v="0"/>
    <n v="1"/>
    <x v="0"/>
    <n v="0"/>
    <n v="1"/>
    <n v="1"/>
    <n v="1"/>
    <n v="2"/>
    <s v="Life Sciences"/>
    <n v="1"/>
    <n v="0"/>
    <n v="0"/>
    <n v="0"/>
    <n v="0"/>
    <n v="1"/>
    <s v="Male"/>
    <n v="0"/>
    <n v="34"/>
    <n v="1"/>
    <n v="2"/>
    <s v="Sales Executive"/>
    <n v="0"/>
    <n v="1"/>
    <n v="0"/>
    <n v="0"/>
    <n v="0"/>
    <n v="0"/>
    <n v="0"/>
    <n v="0"/>
    <n v="2"/>
    <s v="Single"/>
    <n v="1"/>
    <n v="0"/>
    <n v="6735"/>
    <n v="6735"/>
    <n v="6"/>
    <s v="No"/>
    <n v="0"/>
    <n v="15"/>
    <n v="3"/>
    <n v="2"/>
    <n v="0"/>
    <n v="10"/>
    <x v="1"/>
    <n v="2"/>
    <n v="3"/>
    <n v="0"/>
    <n v="0"/>
    <n v="0"/>
    <n v="0"/>
    <n v="0"/>
    <n v="0"/>
    <n v="0"/>
    <n v="0"/>
    <n v="1"/>
    <n v="0"/>
    <n v="0"/>
    <n v="0"/>
    <n v="1"/>
    <n v="0"/>
    <n v="0"/>
    <n v="0"/>
    <n v="0"/>
    <n v="0"/>
    <n v="0"/>
    <n v="0"/>
    <n v="0"/>
    <n v="10"/>
    <n v="4.9292871233682811E-2"/>
    <n v="1.1555414682655611"/>
    <n v="0.1644554352117841"/>
    <n v="1.1439050833826525"/>
    <n v="1.01056543769991"/>
    <n v="0.53898283739188557"/>
    <n v="0.67891464284095016"/>
  </r>
  <r>
    <n v="23"/>
    <n v="23"/>
    <s v="No"/>
    <n v="0"/>
    <s v="Travel_Rarely"/>
    <n v="0"/>
    <n v="1"/>
    <x v="1"/>
    <n v="1"/>
    <n v="0"/>
    <n v="4"/>
    <n v="4"/>
    <n v="1"/>
    <s v="Medical"/>
    <n v="0"/>
    <n v="0"/>
    <n v="1"/>
    <n v="0"/>
    <n v="0"/>
    <n v="3"/>
    <s v="Female"/>
    <n v="1"/>
    <n v="51"/>
    <n v="3"/>
    <n v="1"/>
    <s v="Laboratory Technician"/>
    <n v="0"/>
    <n v="0"/>
    <n v="1"/>
    <n v="0"/>
    <n v="0"/>
    <n v="0"/>
    <n v="0"/>
    <n v="0"/>
    <n v="2"/>
    <s v="Single"/>
    <n v="1"/>
    <n v="0"/>
    <n v="3295"/>
    <n v="3295"/>
    <n v="1"/>
    <s v="No"/>
    <n v="0"/>
    <n v="13"/>
    <n v="3"/>
    <n v="3"/>
    <n v="0"/>
    <n v="3"/>
    <x v="8"/>
    <n v="3"/>
    <n v="1"/>
    <n v="3"/>
    <n v="3"/>
    <n v="2"/>
    <n v="1"/>
    <n v="1"/>
    <n v="2"/>
    <n v="2"/>
    <n v="2"/>
    <n v="1"/>
    <n v="0"/>
    <n v="0"/>
    <n v="0"/>
    <n v="1"/>
    <n v="0"/>
    <n v="0"/>
    <n v="0"/>
    <n v="0"/>
    <n v="2"/>
    <n v="0"/>
    <n v="0"/>
    <n v="3"/>
    <n v="0"/>
    <n v="0.68138503395650973"/>
    <n v="0.59502473559756086"/>
    <n v="1.0641079755250529"/>
    <n v="0.65423109602898355"/>
    <n v="0.64050867607435136"/>
    <n v="1.5241642326246359"/>
    <n v="0.36858985273641137"/>
  </r>
  <r>
    <n v="31"/>
    <n v="31"/>
    <s v="No"/>
    <n v="0"/>
    <s v="Travel_Frequently"/>
    <n v="1"/>
    <n v="0"/>
    <x v="1"/>
    <n v="1"/>
    <n v="0"/>
    <n v="24"/>
    <n v="24"/>
    <n v="1"/>
    <s v="Technical Degree"/>
    <n v="0"/>
    <n v="0"/>
    <n v="0"/>
    <n v="0"/>
    <n v="1"/>
    <n v="4"/>
    <s v="Female"/>
    <n v="1"/>
    <n v="30"/>
    <n v="3"/>
    <n v="2"/>
    <s v="Manufacturing Director"/>
    <n v="0"/>
    <n v="0"/>
    <n v="0"/>
    <n v="0"/>
    <n v="1"/>
    <n v="1"/>
    <n v="0"/>
    <n v="0"/>
    <n v="4"/>
    <s v="Single"/>
    <n v="1"/>
    <n v="0"/>
    <n v="5238"/>
    <n v="5238"/>
    <n v="2"/>
    <s v="No"/>
    <n v="0"/>
    <n v="20"/>
    <n v="4"/>
    <n v="4"/>
    <n v="0"/>
    <n v="9"/>
    <x v="14"/>
    <n v="3"/>
    <n v="2"/>
    <n v="5"/>
    <n v="5"/>
    <n v="4"/>
    <n v="1"/>
    <n v="1"/>
    <n v="4"/>
    <n v="4"/>
    <n v="8"/>
    <n v="0"/>
    <n v="0"/>
    <n v="1"/>
    <n v="0"/>
    <n v="1"/>
    <n v="0"/>
    <n v="0"/>
    <n v="0"/>
    <n v="0"/>
    <n v="4"/>
    <n v="0"/>
    <n v="0"/>
    <n v="9"/>
    <n v="0"/>
    <n v="0.26867946134472365"/>
    <n v="3.4508002929560584E-2"/>
    <n v="0.29297722668510823"/>
    <n v="0.32778177112653761"/>
    <n v="1.8265364014293735"/>
    <n v="0.6484474368621912"/>
    <n v="0.36858985273641137"/>
  </r>
  <r>
    <n v="39"/>
    <n v="39"/>
    <s v="No"/>
    <n v="0"/>
    <s v="Non-Travel"/>
    <n v="0"/>
    <n v="0"/>
    <x v="1"/>
    <n v="1"/>
    <n v="0"/>
    <n v="1"/>
    <n v="1"/>
    <n v="3"/>
    <s v="Life Sciences"/>
    <n v="1"/>
    <n v="0"/>
    <n v="0"/>
    <n v="0"/>
    <n v="0"/>
    <n v="4"/>
    <s v="Male"/>
    <n v="0"/>
    <n v="77"/>
    <n v="3"/>
    <n v="2"/>
    <s v="Laboratory Technician"/>
    <n v="0"/>
    <n v="0"/>
    <n v="1"/>
    <n v="0"/>
    <n v="0"/>
    <n v="0"/>
    <n v="0"/>
    <n v="0"/>
    <n v="4"/>
    <s v="Married"/>
    <n v="0"/>
    <n v="1"/>
    <n v="6472"/>
    <n v="6472"/>
    <n v="1"/>
    <s v="Yes"/>
    <n v="1"/>
    <n v="15"/>
    <n v="3"/>
    <n v="4"/>
    <n v="1"/>
    <n v="9"/>
    <x v="14"/>
    <n v="2"/>
    <n v="3"/>
    <n v="9"/>
    <n v="9"/>
    <n v="8"/>
    <n v="5"/>
    <n v="5"/>
    <n v="8"/>
    <n v="8"/>
    <n v="16"/>
    <n v="0"/>
    <n v="1"/>
    <n v="0"/>
    <n v="0"/>
    <n v="0"/>
    <n v="0"/>
    <n v="0"/>
    <n v="1"/>
    <n v="0"/>
    <n v="8"/>
    <n v="0"/>
    <n v="0"/>
    <n v="9"/>
    <n v="0"/>
    <n v="6.5700034945208631E-3"/>
    <n v="1.08652546240644"/>
    <n v="0.29297722668510823"/>
    <n v="0.32511687867835437"/>
    <n v="1.01056543769991"/>
    <n v="0.22726935890025346"/>
    <n v="0.87270930768174382"/>
  </r>
  <r>
    <n v="32"/>
    <n v="32"/>
    <s v="No"/>
    <n v="0"/>
    <s v="Travel_Rarely"/>
    <n v="0"/>
    <n v="1"/>
    <x v="0"/>
    <n v="0"/>
    <n v="1"/>
    <n v="19"/>
    <n v="19"/>
    <n v="3"/>
    <s v="Life Sciences"/>
    <n v="1"/>
    <n v="0"/>
    <n v="0"/>
    <n v="0"/>
    <n v="0"/>
    <n v="4"/>
    <s v="Male"/>
    <n v="0"/>
    <n v="80"/>
    <n v="1"/>
    <n v="3"/>
    <s v="Sales Executive"/>
    <n v="0"/>
    <n v="1"/>
    <n v="0"/>
    <n v="0"/>
    <n v="0"/>
    <n v="0"/>
    <n v="0"/>
    <n v="0"/>
    <n v="3"/>
    <s v="Married"/>
    <n v="0"/>
    <n v="1"/>
    <n v="9610"/>
    <n v="9610"/>
    <n v="3"/>
    <s v="No"/>
    <n v="0"/>
    <n v="13"/>
    <n v="3"/>
    <n v="3"/>
    <n v="1"/>
    <n v="10"/>
    <x v="1"/>
    <n v="2"/>
    <n v="1"/>
    <n v="4"/>
    <n v="4"/>
    <n v="3"/>
    <n v="0"/>
    <n v="0"/>
    <n v="2"/>
    <n v="2"/>
    <n v="6"/>
    <n v="0"/>
    <n v="1"/>
    <n v="0"/>
    <n v="0"/>
    <n v="0"/>
    <n v="0"/>
    <n v="1"/>
    <n v="0"/>
    <n v="0"/>
    <n v="0"/>
    <n v="2"/>
    <n v="0"/>
    <n v="0"/>
    <n v="10"/>
    <n v="0.65996117862374204"/>
    <n v="0.59502473559756086"/>
    <n v="0.1644554352117841"/>
    <n v="0.49100643357776058"/>
    <n v="1.2097751320534422"/>
    <n v="0.53898283739188557"/>
    <n v="0.67891464284095016"/>
  </r>
  <r>
    <n v="40"/>
    <n v="40"/>
    <s v="No"/>
    <n v="0"/>
    <s v="Travel_Rarely"/>
    <n v="0"/>
    <n v="1"/>
    <x v="0"/>
    <n v="0"/>
    <n v="1"/>
    <n v="7"/>
    <n v="7"/>
    <n v="4"/>
    <s v="Medical"/>
    <n v="0"/>
    <n v="0"/>
    <n v="1"/>
    <n v="0"/>
    <n v="0"/>
    <n v="2"/>
    <s v="Male"/>
    <n v="0"/>
    <n v="88"/>
    <n v="3"/>
    <n v="5"/>
    <s v="Manager"/>
    <n v="0"/>
    <n v="0"/>
    <n v="0"/>
    <n v="1"/>
    <n v="0"/>
    <n v="0"/>
    <n v="0"/>
    <n v="0"/>
    <n v="2"/>
    <s v="Single"/>
    <n v="1"/>
    <n v="0"/>
    <n v="19833"/>
    <n v="19626.310000000001"/>
    <n v="1"/>
    <s v="No"/>
    <n v="0"/>
    <n v="14"/>
    <n v="3"/>
    <n v="2"/>
    <n v="0"/>
    <n v="21"/>
    <x v="23"/>
    <n v="3"/>
    <n v="2"/>
    <n v="21"/>
    <n v="21"/>
    <n v="8"/>
    <n v="12"/>
    <n v="12"/>
    <n v="8"/>
    <n v="8"/>
    <n v="40"/>
    <n v="1"/>
    <n v="0"/>
    <n v="0"/>
    <n v="0"/>
    <n v="1"/>
    <n v="0"/>
    <n v="0"/>
    <n v="0"/>
    <n v="0"/>
    <n v="0"/>
    <n v="8"/>
    <n v="0"/>
    <n v="0"/>
    <n v="21"/>
    <n v="2.8313914765188986"/>
    <n v="1.08652546240644"/>
    <n v="1.2492842709947811"/>
    <n v="2.2838128280930299"/>
    <n v="0.27045191444879263"/>
    <n v="0.33673395837055903"/>
    <n v="3.0449828384135156"/>
  </r>
  <r>
    <n v="45"/>
    <n v="45"/>
    <s v="No"/>
    <n v="0"/>
    <s v="Travel_Rarely"/>
    <n v="0"/>
    <n v="1"/>
    <x v="2"/>
    <n v="0"/>
    <n v="0"/>
    <n v="4"/>
    <n v="4"/>
    <n v="3"/>
    <s v="Life Sciences"/>
    <n v="1"/>
    <n v="0"/>
    <n v="0"/>
    <n v="0"/>
    <n v="0"/>
    <n v="3"/>
    <s v="Female"/>
    <n v="1"/>
    <n v="56"/>
    <n v="1"/>
    <n v="3"/>
    <s v="Human Resources"/>
    <n v="0"/>
    <n v="0"/>
    <n v="0"/>
    <n v="0"/>
    <n v="0"/>
    <n v="0"/>
    <n v="0"/>
    <n v="0"/>
    <n v="3"/>
    <s v="Married"/>
    <n v="0"/>
    <n v="1"/>
    <n v="9756"/>
    <n v="9756"/>
    <n v="4"/>
    <s v="No"/>
    <n v="0"/>
    <n v="21"/>
    <n v="4"/>
    <n v="3"/>
    <n v="2"/>
    <n v="9"/>
    <x v="14"/>
    <n v="2"/>
    <n v="4"/>
    <n v="5"/>
    <n v="5"/>
    <n v="0"/>
    <n v="0"/>
    <n v="0"/>
    <n v="3"/>
    <n v="3"/>
    <n v="9"/>
    <n v="0"/>
    <n v="1"/>
    <n v="0"/>
    <n v="0"/>
    <n v="0"/>
    <n v="0"/>
    <n v="1"/>
    <n v="0"/>
    <n v="3"/>
    <n v="0"/>
    <n v="0"/>
    <n v="9"/>
    <n v="0"/>
    <n v="0"/>
    <n v="0.69097250832076762"/>
    <n v="0.31476636926356072"/>
    <n v="0.29297722668510823"/>
    <n v="0.32778177112653761"/>
    <n v="0.64050867607435136"/>
    <n v="0.88405695572208698"/>
    <n v="0.67891464284095016"/>
  </r>
  <r>
    <n v="30"/>
    <n v="30"/>
    <s v="No"/>
    <n v="0"/>
    <s v="Travel_Frequently"/>
    <n v="1"/>
    <n v="0"/>
    <x v="1"/>
    <n v="1"/>
    <n v="0"/>
    <n v="2"/>
    <n v="2"/>
    <n v="4"/>
    <s v="Technical Degree"/>
    <n v="0"/>
    <n v="0"/>
    <n v="0"/>
    <n v="0"/>
    <n v="1"/>
    <n v="4"/>
    <s v="Female"/>
    <n v="1"/>
    <n v="78"/>
    <n v="2"/>
    <n v="1"/>
    <s v="Research Scientist"/>
    <n v="0"/>
    <n v="0"/>
    <n v="0"/>
    <n v="0"/>
    <n v="0"/>
    <n v="0"/>
    <n v="0"/>
    <n v="1"/>
    <n v="1"/>
    <s v="Single"/>
    <n v="1"/>
    <n v="0"/>
    <n v="4968"/>
    <n v="4968"/>
    <n v="0"/>
    <s v="No"/>
    <n v="0"/>
    <n v="16"/>
    <n v="3"/>
    <n v="4"/>
    <n v="0"/>
    <n v="10"/>
    <x v="1"/>
    <n v="2"/>
    <n v="3"/>
    <n v="9"/>
    <n v="9"/>
    <n v="7"/>
    <n v="0"/>
    <n v="0"/>
    <n v="7"/>
    <n v="7"/>
    <n v="7"/>
    <n v="0"/>
    <n v="0"/>
    <n v="1"/>
    <n v="0"/>
    <n v="1"/>
    <n v="0"/>
    <n v="0"/>
    <n v="0"/>
    <n v="0"/>
    <n v="7"/>
    <n v="0"/>
    <n v="0"/>
    <n v="10"/>
    <n v="0"/>
    <n v="0.32602918064744224"/>
    <n v="0.80626709607243985"/>
    <n v="0.1644554352117841"/>
    <n v="0.32511687867835437"/>
    <n v="0.88721318382472392"/>
    <n v="0.75791203633249671"/>
    <n v="0.67891464284095016"/>
  </r>
  <r>
    <n v="24"/>
    <n v="24"/>
    <s v="No"/>
    <n v="0"/>
    <s v="Travel_Frequently"/>
    <n v="1"/>
    <n v="0"/>
    <x v="2"/>
    <n v="0"/>
    <n v="0"/>
    <n v="10"/>
    <n v="10"/>
    <n v="3"/>
    <s v="Medical"/>
    <n v="0"/>
    <n v="0"/>
    <n v="1"/>
    <n v="0"/>
    <n v="0"/>
    <n v="1"/>
    <s v="Male"/>
    <n v="0"/>
    <n v="59"/>
    <n v="3"/>
    <n v="1"/>
    <s v="Human Resources"/>
    <n v="0"/>
    <n v="0"/>
    <n v="0"/>
    <n v="0"/>
    <n v="0"/>
    <n v="0"/>
    <n v="0"/>
    <n v="0"/>
    <n v="4"/>
    <s v="Married"/>
    <n v="0"/>
    <n v="1"/>
    <n v="2145"/>
    <n v="2145"/>
    <n v="0"/>
    <s v="No"/>
    <n v="0"/>
    <n v="14"/>
    <n v="3"/>
    <n v="4"/>
    <n v="1"/>
    <n v="3"/>
    <x v="8"/>
    <n v="2"/>
    <n v="3"/>
    <n v="2"/>
    <n v="2"/>
    <n v="2"/>
    <n v="2"/>
    <n v="2"/>
    <n v="1"/>
    <n v="1"/>
    <n v="1"/>
    <n v="0"/>
    <n v="0"/>
    <n v="0"/>
    <n v="1"/>
    <n v="0"/>
    <n v="0"/>
    <n v="1"/>
    <n v="0"/>
    <n v="1"/>
    <n v="0"/>
    <n v="0"/>
    <n v="3"/>
    <n v="0"/>
    <n v="0"/>
    <n v="0.92565235691253345"/>
    <n v="0.87528310193156111"/>
    <n v="1.0641079755250529"/>
    <n v="0.81745575848020657"/>
    <n v="9.9604847176766084E-2"/>
    <n v="1.4146996331543302"/>
    <n v="5.8265062631872602E-2"/>
  </r>
  <r>
    <n v="30"/>
    <n v="30"/>
    <s v="Yes"/>
    <n v="1"/>
    <s v="Travel_Frequently"/>
    <n v="1"/>
    <n v="0"/>
    <x v="2"/>
    <n v="0"/>
    <n v="0"/>
    <n v="8"/>
    <n v="8"/>
    <n v="3"/>
    <s v="Human Resources"/>
    <n v="0"/>
    <n v="0"/>
    <n v="0"/>
    <n v="0"/>
    <n v="0"/>
    <n v="3"/>
    <s v="Female"/>
    <n v="1"/>
    <n v="66"/>
    <n v="2"/>
    <n v="1"/>
    <s v="Human Resources"/>
    <n v="0"/>
    <n v="0"/>
    <n v="0"/>
    <n v="0"/>
    <n v="0"/>
    <n v="0"/>
    <n v="0"/>
    <n v="0"/>
    <n v="4"/>
    <s v="Divorced"/>
    <n v="0"/>
    <n v="0"/>
    <n v="2180"/>
    <n v="2180"/>
    <n v="6"/>
    <s v="No"/>
    <n v="0"/>
    <n v="11"/>
    <n v="3"/>
    <n v="3"/>
    <n v="1"/>
    <n v="6"/>
    <x v="3"/>
    <n v="0"/>
    <n v="2"/>
    <n v="4"/>
    <n v="4"/>
    <n v="2"/>
    <n v="1"/>
    <n v="1"/>
    <n v="2"/>
    <n v="2"/>
    <n v="2"/>
    <n v="0"/>
    <n v="0"/>
    <n v="1"/>
    <n v="0"/>
    <n v="1"/>
    <n v="0"/>
    <n v="0"/>
    <n v="0"/>
    <n v="2"/>
    <n v="0"/>
    <n v="0"/>
    <n v="6"/>
    <n v="0"/>
    <n v="0"/>
    <n v="0.91821813403995878"/>
    <n v="0.59502473559756086"/>
    <n v="0.67854260110508058"/>
    <n v="0.49100643357776058"/>
    <n v="0.14709966057360641"/>
    <n v="0.75791203633249671"/>
    <n v="0.36858985273641137"/>
  </r>
  <r>
    <n v="31"/>
    <n v="31"/>
    <s v="No"/>
    <n v="0"/>
    <s v="Travel_Rarely"/>
    <n v="0"/>
    <n v="1"/>
    <x v="0"/>
    <n v="0"/>
    <n v="1"/>
    <n v="5"/>
    <n v="5"/>
    <n v="3"/>
    <s v="Technical Degree"/>
    <n v="0"/>
    <n v="0"/>
    <n v="0"/>
    <n v="0"/>
    <n v="1"/>
    <n v="1"/>
    <s v="Male"/>
    <n v="0"/>
    <n v="51"/>
    <n v="3"/>
    <n v="2"/>
    <s v="Sales Executive"/>
    <n v="0"/>
    <n v="1"/>
    <n v="0"/>
    <n v="0"/>
    <n v="0"/>
    <n v="0"/>
    <n v="0"/>
    <n v="0"/>
    <n v="3"/>
    <s v="Married"/>
    <n v="0"/>
    <n v="1"/>
    <n v="8346"/>
    <n v="8346"/>
    <n v="1"/>
    <s v="No"/>
    <n v="0"/>
    <n v="19"/>
    <n v="3"/>
    <n v="3"/>
    <n v="1"/>
    <n v="6"/>
    <x v="3"/>
    <n v="3"/>
    <n v="3"/>
    <n v="5"/>
    <n v="5"/>
    <n v="2"/>
    <n v="0"/>
    <n v="0"/>
    <n v="2"/>
    <n v="2"/>
    <n v="4"/>
    <n v="0"/>
    <n v="1"/>
    <n v="0"/>
    <n v="0"/>
    <n v="0"/>
    <n v="0"/>
    <n v="1"/>
    <n v="0"/>
    <n v="0"/>
    <n v="0"/>
    <n v="2"/>
    <n v="0"/>
    <n v="0"/>
    <n v="6"/>
    <n v="0.3914795297399038"/>
    <n v="0.59502473559756086"/>
    <n v="0.67854260110508058"/>
    <n v="0.32778177112653761"/>
    <n v="0.51715642219916513"/>
    <n v="0.6484474368621912"/>
    <n v="0.67891464284095016"/>
  </r>
  <r>
    <n v="27"/>
    <n v="27"/>
    <s v="No"/>
    <n v="0"/>
    <s v="Travel_Rarely"/>
    <n v="0"/>
    <n v="1"/>
    <x v="1"/>
    <n v="1"/>
    <n v="0"/>
    <n v="8"/>
    <n v="8"/>
    <n v="3"/>
    <s v="Medical"/>
    <n v="0"/>
    <n v="0"/>
    <n v="1"/>
    <n v="0"/>
    <n v="0"/>
    <n v="3"/>
    <s v="Female"/>
    <n v="1"/>
    <n v="67"/>
    <n v="3"/>
    <n v="1"/>
    <s v="Research Scientist"/>
    <n v="0"/>
    <n v="0"/>
    <n v="0"/>
    <n v="0"/>
    <n v="0"/>
    <n v="0"/>
    <n v="0"/>
    <n v="1"/>
    <n v="4"/>
    <s v="Single"/>
    <n v="1"/>
    <n v="0"/>
    <n v="3445"/>
    <n v="3445"/>
    <n v="1"/>
    <s v="No"/>
    <n v="0"/>
    <n v="11"/>
    <n v="3"/>
    <n v="3"/>
    <n v="0"/>
    <n v="6"/>
    <x v="3"/>
    <n v="5"/>
    <n v="2"/>
    <n v="6"/>
    <n v="6"/>
    <n v="2"/>
    <n v="1"/>
    <n v="1"/>
    <n v="4"/>
    <n v="4"/>
    <n v="4"/>
    <n v="1"/>
    <n v="0"/>
    <n v="0"/>
    <n v="0"/>
    <n v="1"/>
    <n v="0"/>
    <n v="0"/>
    <n v="0"/>
    <n v="0"/>
    <n v="4"/>
    <n v="0"/>
    <n v="0"/>
    <n v="6"/>
    <n v="0"/>
    <n v="0.64952407878833274"/>
    <n v="3.4508002929560584E-2"/>
    <n v="0.67854260110508058"/>
    <n v="0.16455710867531462"/>
    <n v="0.14709966057360641"/>
    <n v="1.0863058347434136"/>
    <n v="0.36858985273641137"/>
  </r>
  <r>
    <n v="29"/>
    <n v="29"/>
    <s v="Yes"/>
    <n v="1"/>
    <s v="Travel_Rarely"/>
    <n v="0"/>
    <n v="1"/>
    <x v="0"/>
    <n v="0"/>
    <n v="1"/>
    <n v="9"/>
    <n v="9"/>
    <n v="3"/>
    <s v="Marketing"/>
    <n v="0"/>
    <n v="0"/>
    <n v="0"/>
    <n v="1"/>
    <n v="0"/>
    <n v="2"/>
    <s v="Female"/>
    <n v="1"/>
    <n v="52"/>
    <n v="1"/>
    <n v="1"/>
    <s v="Sales Representative"/>
    <n v="0"/>
    <n v="0"/>
    <n v="0"/>
    <n v="0"/>
    <n v="0"/>
    <n v="0"/>
    <n v="1"/>
    <n v="0"/>
    <n v="2"/>
    <s v="Single"/>
    <n v="1"/>
    <n v="0"/>
    <n v="2760"/>
    <n v="2760"/>
    <n v="1"/>
    <s v="No"/>
    <n v="0"/>
    <n v="13"/>
    <n v="3"/>
    <n v="3"/>
    <n v="0"/>
    <n v="2"/>
    <x v="16"/>
    <n v="3"/>
    <n v="3"/>
    <n v="2"/>
    <n v="2"/>
    <n v="2"/>
    <n v="2"/>
    <n v="2"/>
    <n v="2"/>
    <n v="2"/>
    <n v="2"/>
    <n v="1"/>
    <n v="0"/>
    <n v="0"/>
    <n v="0"/>
    <n v="1"/>
    <n v="0"/>
    <n v="0"/>
    <n v="0"/>
    <n v="0"/>
    <n v="0"/>
    <n v="2"/>
    <n v="0"/>
    <n v="0"/>
    <n v="2"/>
    <n v="0.79502244072300776"/>
    <n v="0.59502473559756086"/>
    <n v="1.192629766998377"/>
    <n v="0.81745575848020657"/>
    <n v="2.3747406698420157E-2"/>
    <n v="0.86737663580280233"/>
    <n v="5.8265062631872602E-2"/>
  </r>
  <r>
    <n v="29"/>
    <n v="29"/>
    <s v="No"/>
    <n v="0"/>
    <s v="Travel_Frequently"/>
    <n v="1"/>
    <n v="0"/>
    <x v="1"/>
    <n v="1"/>
    <n v="0"/>
    <n v="1"/>
    <n v="1"/>
    <n v="3"/>
    <s v="Life Sciences"/>
    <n v="1"/>
    <n v="0"/>
    <n v="0"/>
    <n v="0"/>
    <n v="0"/>
    <n v="4"/>
    <s v="Male"/>
    <n v="0"/>
    <n v="70"/>
    <n v="4"/>
    <n v="2"/>
    <s v="Healthcare Representative"/>
    <n v="1"/>
    <n v="0"/>
    <n v="0"/>
    <n v="0"/>
    <n v="0"/>
    <n v="0"/>
    <n v="0"/>
    <n v="0"/>
    <n v="3"/>
    <s v="Single"/>
    <n v="1"/>
    <n v="0"/>
    <n v="6294"/>
    <n v="6294"/>
    <n v="8"/>
    <s v="Yes"/>
    <n v="1"/>
    <n v="12"/>
    <n v="3"/>
    <n v="4"/>
    <n v="0"/>
    <n v="10"/>
    <x v="1"/>
    <n v="5"/>
    <n v="4"/>
    <n v="3"/>
    <n v="3"/>
    <n v="2"/>
    <n v="0"/>
    <n v="0"/>
    <n v="2"/>
    <n v="2"/>
    <n v="4"/>
    <n v="0"/>
    <n v="0"/>
    <n v="1"/>
    <n v="0"/>
    <n v="0"/>
    <n v="1"/>
    <n v="0"/>
    <n v="0"/>
    <n v="0"/>
    <n v="2"/>
    <n v="0"/>
    <n v="0"/>
    <n v="10"/>
    <n v="0"/>
    <n v="4.4378336960757568E-2"/>
    <n v="0.59502473559756086"/>
    <n v="0.1644554352117841"/>
    <n v="0.65423109602898355"/>
    <n v="1.01056543769991"/>
    <n v="0.86737663580280233"/>
    <n v="0.67891464284095016"/>
  </r>
  <r>
    <n v="30"/>
    <n v="30"/>
    <s v="No"/>
    <n v="0"/>
    <s v="Travel_Rarely"/>
    <n v="0"/>
    <n v="1"/>
    <x v="0"/>
    <n v="0"/>
    <n v="1"/>
    <n v="15"/>
    <n v="15"/>
    <n v="2"/>
    <s v="Marketing"/>
    <n v="0"/>
    <n v="0"/>
    <n v="0"/>
    <n v="1"/>
    <n v="0"/>
    <n v="3"/>
    <s v="Male"/>
    <n v="0"/>
    <n v="94"/>
    <n v="2"/>
    <n v="3"/>
    <s v="Sales Executive"/>
    <n v="0"/>
    <n v="1"/>
    <n v="0"/>
    <n v="0"/>
    <n v="0"/>
    <n v="0"/>
    <n v="0"/>
    <n v="0"/>
    <n v="1"/>
    <s v="Divorced"/>
    <n v="0"/>
    <n v="0"/>
    <n v="7140"/>
    <n v="7140"/>
    <n v="2"/>
    <s v="No"/>
    <n v="0"/>
    <n v="11"/>
    <n v="3"/>
    <n v="1"/>
    <n v="1"/>
    <n v="12"/>
    <x v="4"/>
    <n v="2"/>
    <n v="3"/>
    <n v="7"/>
    <n v="7"/>
    <n v="7"/>
    <n v="1"/>
    <n v="1"/>
    <n v="7"/>
    <n v="7"/>
    <n v="21"/>
    <n v="1"/>
    <n v="0"/>
    <n v="0"/>
    <n v="0"/>
    <n v="1"/>
    <n v="0"/>
    <n v="0"/>
    <n v="0"/>
    <n v="0"/>
    <n v="0"/>
    <n v="7"/>
    <n v="0"/>
    <n v="0"/>
    <n v="12"/>
    <n v="0.1353174501877607"/>
    <n v="0.80626709607243985"/>
    <n v="9.2588147734864096E-2"/>
    <n v="1.3324462240916321E-3"/>
    <n v="0.71636611655269733"/>
    <n v="0.75791203633249671"/>
    <n v="0.36858985273641137"/>
  </r>
  <r>
    <n v="34"/>
    <n v="34"/>
    <s v="No"/>
    <n v="0"/>
    <s v="Travel_Rarely"/>
    <n v="0"/>
    <n v="1"/>
    <x v="1"/>
    <n v="1"/>
    <n v="0"/>
    <n v="2"/>
    <n v="2"/>
    <n v="4"/>
    <s v="Medical"/>
    <n v="0"/>
    <n v="0"/>
    <n v="1"/>
    <n v="0"/>
    <n v="0"/>
    <n v="4"/>
    <s v="Male"/>
    <n v="0"/>
    <n v="97"/>
    <n v="4"/>
    <n v="1"/>
    <s v="Research Scientist"/>
    <n v="0"/>
    <n v="0"/>
    <n v="0"/>
    <n v="0"/>
    <n v="0"/>
    <n v="0"/>
    <n v="0"/>
    <n v="1"/>
    <n v="4"/>
    <s v="Married"/>
    <n v="0"/>
    <n v="1"/>
    <n v="2932"/>
    <n v="2932"/>
    <n v="0"/>
    <s v="Yes"/>
    <n v="1"/>
    <n v="14"/>
    <n v="3"/>
    <n v="1"/>
    <n v="3"/>
    <n v="6"/>
    <x v="3"/>
    <n v="3"/>
    <n v="3"/>
    <n v="5"/>
    <n v="5"/>
    <n v="0"/>
    <n v="1"/>
    <n v="1"/>
    <n v="2"/>
    <n v="2"/>
    <n v="2"/>
    <n v="0"/>
    <n v="1"/>
    <n v="0"/>
    <n v="0"/>
    <n v="0"/>
    <n v="0"/>
    <n v="0"/>
    <n v="1"/>
    <n v="0"/>
    <n v="2"/>
    <n v="0"/>
    <n v="0"/>
    <n v="6"/>
    <n v="0"/>
    <n v="0.75848854546349809"/>
    <n v="0.59502473559756086"/>
    <n v="0.67854260110508058"/>
    <n v="0.32778177112653761"/>
    <n v="0.88721318382472392"/>
    <n v="0.32005363845127444"/>
    <n v="0.36858985273641137"/>
  </r>
  <r>
    <n v="33"/>
    <n v="33"/>
    <s v="No"/>
    <n v="0"/>
    <s v="Non-Travel"/>
    <n v="0"/>
    <n v="0"/>
    <x v="0"/>
    <n v="0"/>
    <n v="1"/>
    <n v="2"/>
    <n v="2"/>
    <n v="3"/>
    <s v="Marketing"/>
    <n v="0"/>
    <n v="0"/>
    <n v="0"/>
    <n v="1"/>
    <n v="0"/>
    <n v="4"/>
    <s v="Female"/>
    <n v="1"/>
    <n v="62"/>
    <n v="3"/>
    <n v="2"/>
    <s v="Sales Executive"/>
    <n v="0"/>
    <n v="1"/>
    <n v="0"/>
    <n v="0"/>
    <n v="0"/>
    <n v="0"/>
    <n v="0"/>
    <n v="0"/>
    <n v="2"/>
    <s v="Single"/>
    <n v="1"/>
    <n v="0"/>
    <n v="5147"/>
    <n v="5147"/>
    <n v="8"/>
    <s v="No"/>
    <n v="0"/>
    <n v="15"/>
    <n v="3"/>
    <n v="4"/>
    <n v="0"/>
    <n v="13"/>
    <x v="10"/>
    <n v="2"/>
    <n v="2"/>
    <n v="11"/>
    <n v="11"/>
    <n v="7"/>
    <n v="1"/>
    <n v="1"/>
    <n v="7"/>
    <n v="7"/>
    <n v="14"/>
    <n v="1"/>
    <n v="0"/>
    <n v="0"/>
    <n v="0"/>
    <n v="1"/>
    <n v="0"/>
    <n v="0"/>
    <n v="0"/>
    <n v="0"/>
    <n v="0"/>
    <n v="7"/>
    <n v="0"/>
    <n v="0"/>
    <n v="13"/>
    <n v="0.2880084408134177"/>
    <n v="0.80626709607243985"/>
    <n v="0.22110993920818819"/>
    <n v="0.65156620358080031"/>
    <n v="0.88721318382472392"/>
    <n v="0.42951823792158"/>
    <n v="0.36858985273641137"/>
  </r>
  <r>
    <n v="49"/>
    <n v="49"/>
    <s v="No"/>
    <n v="0"/>
    <s v="Travel_Rarely"/>
    <n v="0"/>
    <n v="1"/>
    <x v="0"/>
    <n v="0"/>
    <n v="1"/>
    <n v="11"/>
    <n v="11"/>
    <n v="4"/>
    <s v="Marketing"/>
    <n v="0"/>
    <n v="0"/>
    <n v="0"/>
    <n v="1"/>
    <n v="0"/>
    <n v="4"/>
    <s v="Female"/>
    <n v="1"/>
    <n v="80"/>
    <n v="3"/>
    <n v="2"/>
    <s v="Sales Executive"/>
    <n v="0"/>
    <n v="1"/>
    <n v="0"/>
    <n v="0"/>
    <n v="0"/>
    <n v="0"/>
    <n v="0"/>
    <n v="0"/>
    <n v="4"/>
    <s v="Single"/>
    <n v="1"/>
    <n v="0"/>
    <n v="4507"/>
    <n v="4507"/>
    <n v="3"/>
    <s v="No"/>
    <n v="0"/>
    <n v="12"/>
    <n v="3"/>
    <n v="3"/>
    <n v="0"/>
    <n v="8"/>
    <x v="0"/>
    <n v="1"/>
    <n v="4"/>
    <n v="5"/>
    <n v="5"/>
    <n v="1"/>
    <n v="0"/>
    <n v="0"/>
    <n v="4"/>
    <n v="4"/>
    <n v="8"/>
    <n v="1"/>
    <n v="0"/>
    <n v="0"/>
    <n v="0"/>
    <n v="1"/>
    <n v="0"/>
    <n v="0"/>
    <n v="0"/>
    <n v="0"/>
    <n v="0"/>
    <n v="4"/>
    <n v="0"/>
    <n v="0"/>
    <n v="8"/>
    <n v="0.42394851619763957"/>
    <n v="3.4508002929560584E-2"/>
    <n v="0.42149901815843233"/>
    <n v="0.32778177112653761"/>
    <n v="0.22295710105195232"/>
    <n v="1.3219153536033093"/>
    <n v="0.67891464284095016"/>
  </r>
  <r>
    <n v="33"/>
    <n v="33"/>
    <s v="Yes"/>
    <n v="1"/>
    <s v="Travel_Rarely"/>
    <n v="0"/>
    <n v="1"/>
    <x v="0"/>
    <n v="0"/>
    <n v="1"/>
    <n v="16"/>
    <n v="16"/>
    <n v="3"/>
    <s v="Life Sciences"/>
    <n v="1"/>
    <n v="0"/>
    <n v="0"/>
    <n v="0"/>
    <n v="0"/>
    <n v="1"/>
    <s v="Female"/>
    <n v="1"/>
    <n v="74"/>
    <n v="3"/>
    <n v="3"/>
    <s v="Sales Executive"/>
    <n v="0"/>
    <n v="1"/>
    <n v="0"/>
    <n v="0"/>
    <n v="0"/>
    <n v="0"/>
    <n v="0"/>
    <n v="0"/>
    <n v="1"/>
    <s v="Single"/>
    <n v="1"/>
    <n v="0"/>
    <n v="8564"/>
    <n v="8564"/>
    <n v="2"/>
    <s v="Yes"/>
    <n v="1"/>
    <n v="20"/>
    <n v="4"/>
    <n v="3"/>
    <n v="0"/>
    <n v="11"/>
    <x v="26"/>
    <n v="2"/>
    <n v="2"/>
    <n v="0"/>
    <n v="0"/>
    <n v="0"/>
    <n v="0"/>
    <n v="0"/>
    <n v="0"/>
    <n v="0"/>
    <n v="0"/>
    <n v="1"/>
    <n v="0"/>
    <n v="0"/>
    <n v="0"/>
    <n v="0"/>
    <n v="1"/>
    <n v="0"/>
    <n v="0"/>
    <n v="0"/>
    <n v="0"/>
    <n v="0"/>
    <n v="0"/>
    <n v="0"/>
    <n v="11"/>
    <n v="0.43778411791765437"/>
    <n v="1.1555414682655611"/>
    <n v="3.593364373846001E-2"/>
    <n v="1.1439050833826525"/>
    <n v="0.83971837042788355"/>
    <n v="0.42951823792158"/>
    <n v="0.67891464284095016"/>
  </r>
  <r>
    <n v="38"/>
    <n v="38"/>
    <s v="No"/>
    <n v="0"/>
    <s v="Travel_Frequently"/>
    <n v="1"/>
    <n v="0"/>
    <x v="1"/>
    <n v="1"/>
    <n v="0"/>
    <n v="2"/>
    <n v="2"/>
    <n v="2"/>
    <s v="Medical"/>
    <n v="0"/>
    <n v="0"/>
    <n v="1"/>
    <n v="0"/>
    <n v="0"/>
    <n v="3"/>
    <s v="Female"/>
    <n v="1"/>
    <n v="75"/>
    <n v="2"/>
    <n v="1"/>
    <s v="Laboratory Technician"/>
    <n v="0"/>
    <n v="0"/>
    <n v="1"/>
    <n v="0"/>
    <n v="0"/>
    <n v="0"/>
    <n v="0"/>
    <n v="0"/>
    <n v="2"/>
    <s v="Married"/>
    <n v="0"/>
    <n v="1"/>
    <n v="2468"/>
    <n v="2468"/>
    <n v="4"/>
    <s v="No"/>
    <n v="0"/>
    <n v="14"/>
    <n v="3"/>
    <n v="2"/>
    <n v="1"/>
    <n v="9"/>
    <x v="14"/>
    <n v="4"/>
    <n v="2"/>
    <n v="6"/>
    <n v="6"/>
    <n v="1"/>
    <n v="0"/>
    <n v="0"/>
    <n v="5"/>
    <n v="5"/>
    <n v="5"/>
    <n v="0"/>
    <n v="0"/>
    <n v="0"/>
    <n v="1"/>
    <n v="0"/>
    <n v="0"/>
    <n v="1"/>
    <n v="0"/>
    <n v="0"/>
    <n v="5"/>
    <n v="0"/>
    <n v="0"/>
    <n v="9"/>
    <n v="0"/>
    <n v="0.85704510011705892"/>
    <n v="0.24575036340443959"/>
    <n v="0.29297722668510823"/>
    <n v="0.16455710867531462"/>
    <n v="0.88721318382472392"/>
    <n v="0.11780475942994788"/>
    <n v="0.67891464284095016"/>
  </r>
  <r>
    <n v="31"/>
    <n v="31"/>
    <s v="Yes"/>
    <n v="1"/>
    <s v="Travel_Rarely"/>
    <n v="0"/>
    <n v="1"/>
    <x v="0"/>
    <n v="0"/>
    <n v="1"/>
    <n v="16"/>
    <n v="16"/>
    <n v="4"/>
    <s v="Marketing"/>
    <n v="0"/>
    <n v="0"/>
    <n v="0"/>
    <n v="1"/>
    <n v="0"/>
    <n v="1"/>
    <s v="Male"/>
    <n v="0"/>
    <n v="70"/>
    <n v="3"/>
    <n v="3"/>
    <s v="Sales Executive"/>
    <n v="0"/>
    <n v="1"/>
    <n v="0"/>
    <n v="0"/>
    <n v="0"/>
    <n v="0"/>
    <n v="0"/>
    <n v="0"/>
    <n v="3"/>
    <s v="Married"/>
    <n v="0"/>
    <n v="1"/>
    <n v="8161"/>
    <n v="8161"/>
    <n v="2"/>
    <s v="No"/>
    <n v="0"/>
    <n v="13"/>
    <n v="3"/>
    <n v="1"/>
    <n v="3"/>
    <n v="10"/>
    <x v="1"/>
    <n v="2"/>
    <n v="3"/>
    <n v="1"/>
    <n v="1"/>
    <n v="0"/>
    <n v="0"/>
    <n v="0"/>
    <n v="0"/>
    <n v="0"/>
    <n v="0"/>
    <n v="0"/>
    <n v="1"/>
    <n v="0"/>
    <n v="0"/>
    <n v="0"/>
    <n v="0"/>
    <n v="1"/>
    <n v="0"/>
    <n v="0"/>
    <n v="0"/>
    <n v="0"/>
    <n v="0"/>
    <n v="0"/>
    <n v="10"/>
    <n v="0.35218435169915219"/>
    <n v="1.1555414682655611"/>
    <n v="0.1644554352117841"/>
    <n v="0.9806804209314296"/>
    <n v="0.83971837042788355"/>
    <n v="0.6484474368621912"/>
    <n v="0.67891464284095016"/>
  </r>
  <r>
    <n v="29"/>
    <n v="29"/>
    <s v="No"/>
    <n v="0"/>
    <s v="Travel_Rarely"/>
    <n v="0"/>
    <n v="1"/>
    <x v="1"/>
    <n v="1"/>
    <n v="0"/>
    <n v="4"/>
    <n v="4"/>
    <n v="3"/>
    <s v="Technical Degree"/>
    <n v="0"/>
    <n v="0"/>
    <n v="0"/>
    <n v="0"/>
    <n v="1"/>
    <n v="4"/>
    <s v="Female"/>
    <n v="1"/>
    <n v="91"/>
    <n v="2"/>
    <n v="1"/>
    <s v="Research Scientist"/>
    <n v="0"/>
    <n v="0"/>
    <n v="0"/>
    <n v="0"/>
    <n v="0"/>
    <n v="0"/>
    <n v="0"/>
    <n v="1"/>
    <n v="1"/>
    <s v="Divorced"/>
    <n v="0"/>
    <n v="0"/>
    <n v="2109"/>
    <n v="2109"/>
    <n v="1"/>
    <s v="No"/>
    <n v="0"/>
    <n v="13"/>
    <n v="3"/>
    <n v="3"/>
    <n v="1"/>
    <n v="1"/>
    <x v="5"/>
    <n v="2"/>
    <n v="3"/>
    <n v="1"/>
    <n v="1"/>
    <n v="0"/>
    <n v="0"/>
    <n v="0"/>
    <n v="0"/>
    <n v="0"/>
    <n v="0"/>
    <n v="1"/>
    <n v="0"/>
    <n v="0"/>
    <n v="0"/>
    <n v="1"/>
    <n v="0"/>
    <n v="0"/>
    <n v="0"/>
    <n v="0"/>
    <n v="0"/>
    <n v="0"/>
    <n v="0"/>
    <n v="1"/>
    <n v="0"/>
    <n v="0.93329898615289586"/>
    <n v="1.1555414682655611"/>
    <n v="1.3211515584717011"/>
    <n v="0.9806804209314296"/>
    <n v="0.64050867607435136"/>
    <n v="0.86737663580280233"/>
    <n v="0.67891464284095016"/>
  </r>
  <r>
    <n v="30"/>
    <n v="30"/>
    <s v="No"/>
    <n v="0"/>
    <s v="Travel_Rarely"/>
    <n v="0"/>
    <n v="1"/>
    <x v="1"/>
    <n v="1"/>
    <n v="0"/>
    <n v="16"/>
    <n v="16"/>
    <n v="3"/>
    <s v="Life Sciences"/>
    <n v="1"/>
    <n v="0"/>
    <n v="0"/>
    <n v="0"/>
    <n v="0"/>
    <n v="3"/>
    <s v="Male"/>
    <n v="0"/>
    <n v="58"/>
    <n v="4"/>
    <n v="2"/>
    <s v="Healthcare Representative"/>
    <n v="1"/>
    <n v="0"/>
    <n v="0"/>
    <n v="0"/>
    <n v="0"/>
    <n v="0"/>
    <n v="0"/>
    <n v="0"/>
    <n v="3"/>
    <s v="Married"/>
    <n v="0"/>
    <n v="1"/>
    <n v="5294"/>
    <n v="5294"/>
    <n v="3"/>
    <s v="No"/>
    <n v="0"/>
    <n v="16"/>
    <n v="3"/>
    <n v="3"/>
    <n v="1"/>
    <n v="10"/>
    <x v="1"/>
    <n v="3"/>
    <n v="3"/>
    <n v="7"/>
    <n v="7"/>
    <n v="0"/>
    <n v="1"/>
    <n v="1"/>
    <n v="7"/>
    <n v="7"/>
    <n v="14"/>
    <n v="0"/>
    <n v="1"/>
    <n v="0"/>
    <n v="0"/>
    <n v="0"/>
    <n v="0"/>
    <n v="1"/>
    <n v="0"/>
    <n v="0"/>
    <n v="7"/>
    <n v="0"/>
    <n v="0"/>
    <n v="10"/>
    <n v="0"/>
    <n v="0.25678470474860426"/>
    <n v="0.80626709607243985"/>
    <n v="0.1644554352117841"/>
    <n v="1.3324462240916321E-3"/>
    <n v="0.83971837042788355"/>
    <n v="0.75791203633249671"/>
    <n v="0.36858985273641137"/>
  </r>
  <r>
    <n v="32"/>
    <n v="32"/>
    <s v="No"/>
    <n v="0"/>
    <s v="Non-Travel"/>
    <n v="0"/>
    <n v="0"/>
    <x v="1"/>
    <n v="1"/>
    <n v="0"/>
    <n v="5"/>
    <n v="5"/>
    <n v="4"/>
    <s v="Technical Degree"/>
    <n v="0"/>
    <n v="0"/>
    <n v="0"/>
    <n v="0"/>
    <n v="1"/>
    <n v="2"/>
    <s v="Male"/>
    <n v="0"/>
    <n v="65"/>
    <n v="3"/>
    <n v="1"/>
    <s v="Research Scientist"/>
    <n v="0"/>
    <n v="0"/>
    <n v="0"/>
    <n v="0"/>
    <n v="0"/>
    <n v="0"/>
    <n v="0"/>
    <n v="1"/>
    <n v="2"/>
    <s v="Single"/>
    <n v="1"/>
    <n v="0"/>
    <n v="2718"/>
    <n v="2718"/>
    <n v="2"/>
    <s v="No"/>
    <n v="0"/>
    <n v="14"/>
    <n v="3"/>
    <n v="2"/>
    <n v="0"/>
    <n v="12"/>
    <x v="4"/>
    <n v="3"/>
    <n v="3"/>
    <n v="7"/>
    <n v="7"/>
    <n v="7"/>
    <n v="0"/>
    <n v="0"/>
    <n v="7"/>
    <n v="7"/>
    <n v="7"/>
    <n v="1"/>
    <n v="0"/>
    <n v="0"/>
    <n v="0"/>
    <n v="1"/>
    <n v="0"/>
    <n v="0"/>
    <n v="0"/>
    <n v="0"/>
    <n v="7"/>
    <n v="0"/>
    <n v="0"/>
    <n v="12"/>
    <n v="0"/>
    <n v="0.8039435081700973"/>
    <n v="0.80626709607243985"/>
    <n v="9.2588147734864096E-2"/>
    <n v="1.3324462240916321E-3"/>
    <n v="0.51715642219916513"/>
    <n v="0.53898283739188557"/>
    <n v="0.67891464284095016"/>
  </r>
  <r>
    <n v="38"/>
    <n v="38"/>
    <s v="No"/>
    <n v="0"/>
    <s v="Travel_Rarely"/>
    <n v="0"/>
    <n v="1"/>
    <x v="1"/>
    <n v="1"/>
    <n v="0"/>
    <n v="18"/>
    <n v="18"/>
    <n v="3"/>
    <s v="Medical"/>
    <n v="0"/>
    <n v="0"/>
    <n v="1"/>
    <n v="0"/>
    <n v="0"/>
    <n v="2"/>
    <s v="Male"/>
    <n v="0"/>
    <n v="60"/>
    <n v="1"/>
    <n v="2"/>
    <s v="Healthcare Representative"/>
    <n v="1"/>
    <n v="0"/>
    <n v="0"/>
    <n v="0"/>
    <n v="0"/>
    <n v="0"/>
    <n v="0"/>
    <n v="0"/>
    <n v="4"/>
    <s v="Married"/>
    <n v="0"/>
    <n v="1"/>
    <n v="5811"/>
    <n v="5811"/>
    <n v="3"/>
    <s v="Yes"/>
    <n v="1"/>
    <n v="16"/>
    <n v="3"/>
    <n v="3"/>
    <n v="1"/>
    <n v="15"/>
    <x v="19"/>
    <n v="2"/>
    <n v="3"/>
    <n v="1"/>
    <n v="1"/>
    <n v="0"/>
    <n v="1"/>
    <n v="1"/>
    <n v="0"/>
    <n v="0"/>
    <n v="0"/>
    <n v="0"/>
    <n v="1"/>
    <n v="0"/>
    <n v="0"/>
    <n v="0"/>
    <n v="0"/>
    <n v="0"/>
    <n v="1"/>
    <n v="0"/>
    <n v="0"/>
    <n v="0"/>
    <n v="0"/>
    <n v="15"/>
    <n v="0"/>
    <n v="0.14697061260228753"/>
    <n v="1.1555414682655611"/>
    <n v="0.47815352215483642"/>
    <n v="0.9806804209314296"/>
    <n v="1.0864228781782561"/>
    <n v="0.11780475942994788"/>
    <n v="0.36858985273641137"/>
  </r>
  <r>
    <n v="43"/>
    <n v="43"/>
    <s v="Yes"/>
    <n v="1"/>
    <s v="Travel_Frequently"/>
    <n v="1"/>
    <n v="0"/>
    <x v="1"/>
    <n v="1"/>
    <n v="0"/>
    <n v="17"/>
    <n v="17"/>
    <n v="3"/>
    <s v="Technical Degree"/>
    <n v="0"/>
    <n v="0"/>
    <n v="0"/>
    <n v="0"/>
    <n v="1"/>
    <n v="3"/>
    <s v="Male"/>
    <n v="0"/>
    <n v="38"/>
    <n v="2"/>
    <n v="1"/>
    <s v="Research Scientist"/>
    <n v="0"/>
    <n v="0"/>
    <n v="0"/>
    <n v="0"/>
    <n v="0"/>
    <n v="0"/>
    <n v="0"/>
    <n v="1"/>
    <n v="3"/>
    <s v="Married"/>
    <n v="0"/>
    <n v="1"/>
    <n v="2437"/>
    <n v="2437"/>
    <n v="9"/>
    <s v="Yes"/>
    <n v="1"/>
    <n v="16"/>
    <n v="3"/>
    <n v="4"/>
    <n v="1"/>
    <n v="6"/>
    <x v="3"/>
    <n v="4"/>
    <n v="3"/>
    <n v="1"/>
    <n v="1"/>
    <n v="0"/>
    <n v="0"/>
    <n v="0"/>
    <n v="0"/>
    <n v="0"/>
    <n v="0"/>
    <n v="0"/>
    <n v="0"/>
    <n v="0"/>
    <n v="1"/>
    <n v="0"/>
    <n v="0"/>
    <n v="0"/>
    <n v="1"/>
    <n v="0"/>
    <n v="0"/>
    <n v="0"/>
    <n v="0"/>
    <n v="6"/>
    <n v="0"/>
    <n v="0.86362969751848218"/>
    <n v="1.1555414682655611"/>
    <n v="0.67854260110508058"/>
    <n v="0.9806804209314296"/>
    <n v="0.96307062430306978"/>
    <n v="0.66512775678147573"/>
    <n v="0.67891464284095016"/>
  </r>
  <r>
    <n v="42"/>
    <n v="42"/>
    <s v="No"/>
    <n v="0"/>
    <s v="Travel_Rarely"/>
    <n v="0"/>
    <n v="1"/>
    <x v="1"/>
    <n v="1"/>
    <n v="0"/>
    <n v="12"/>
    <n v="12"/>
    <n v="3"/>
    <s v="Medical"/>
    <n v="0"/>
    <n v="0"/>
    <n v="1"/>
    <n v="0"/>
    <n v="0"/>
    <n v="2"/>
    <s v="Male"/>
    <n v="0"/>
    <n v="57"/>
    <n v="3"/>
    <n v="1"/>
    <s v="Laboratory Technician"/>
    <n v="0"/>
    <n v="0"/>
    <n v="1"/>
    <n v="0"/>
    <n v="0"/>
    <n v="0"/>
    <n v="0"/>
    <n v="0"/>
    <n v="2"/>
    <s v="Divorced"/>
    <n v="0"/>
    <n v="0"/>
    <n v="2766"/>
    <n v="2766"/>
    <n v="8"/>
    <s v="No"/>
    <n v="0"/>
    <n v="22"/>
    <n v="4"/>
    <n v="2"/>
    <n v="3"/>
    <n v="7"/>
    <x v="2"/>
    <n v="6"/>
    <n v="2"/>
    <n v="5"/>
    <n v="5"/>
    <n v="3"/>
    <n v="0"/>
    <n v="0"/>
    <n v="4"/>
    <n v="4"/>
    <n v="4"/>
    <n v="1"/>
    <n v="0"/>
    <n v="0"/>
    <n v="0"/>
    <n v="1"/>
    <n v="0"/>
    <n v="0"/>
    <n v="0"/>
    <n v="0"/>
    <n v="4"/>
    <n v="0"/>
    <n v="0"/>
    <n v="7"/>
    <n v="0"/>
    <n v="0.79374800251628064"/>
    <n v="3.4508002929560584E-2"/>
    <n v="0.55002080963175637"/>
    <n v="0.32778177112653761"/>
    <n v="0.3463093549271386"/>
    <n v="0.55566315731117022"/>
    <n v="0.67891464284095016"/>
  </r>
  <r>
    <n v="55"/>
    <n v="55"/>
    <s v="No"/>
    <n v="0"/>
    <s v="Travel_Rarely"/>
    <n v="0"/>
    <n v="1"/>
    <x v="1"/>
    <n v="1"/>
    <n v="0"/>
    <n v="2"/>
    <n v="2"/>
    <n v="3"/>
    <s v="Medical"/>
    <n v="0"/>
    <n v="0"/>
    <n v="1"/>
    <n v="0"/>
    <n v="0"/>
    <n v="3"/>
    <s v="Male"/>
    <n v="0"/>
    <n v="60"/>
    <n v="2"/>
    <n v="5"/>
    <s v="Research Director"/>
    <n v="0"/>
    <n v="0"/>
    <n v="0"/>
    <n v="0"/>
    <n v="0"/>
    <n v="0"/>
    <n v="0"/>
    <n v="0"/>
    <n v="1"/>
    <s v="Married"/>
    <n v="0"/>
    <n v="1"/>
    <n v="19038"/>
    <n v="19038"/>
    <n v="8"/>
    <s v="No"/>
    <n v="0"/>
    <n v="12"/>
    <n v="3"/>
    <n v="2"/>
    <n v="3"/>
    <n v="34"/>
    <x v="31"/>
    <n v="2"/>
    <n v="3"/>
    <n v="1"/>
    <n v="1"/>
    <n v="0"/>
    <n v="0"/>
    <n v="0"/>
    <n v="0"/>
    <n v="0"/>
    <n v="0"/>
    <n v="0"/>
    <n v="1"/>
    <n v="0"/>
    <n v="0"/>
    <n v="0"/>
    <n v="0"/>
    <n v="1"/>
    <n v="0"/>
    <n v="0"/>
    <n v="0"/>
    <n v="0"/>
    <n v="0"/>
    <n v="34"/>
    <n v="0"/>
    <n v="2.6625284141275603"/>
    <n v="1.1555414682655611"/>
    <n v="2.9200675601479942"/>
    <n v="0.9806804209314296"/>
    <n v="0.88721318382472392"/>
    <n v="1.9787029504251428"/>
    <n v="0.67891464284095016"/>
  </r>
  <r>
    <n v="33"/>
    <n v="33"/>
    <s v="No"/>
    <n v="0"/>
    <s v="Non-Travel"/>
    <n v="0"/>
    <n v="0"/>
    <x v="1"/>
    <n v="1"/>
    <n v="0"/>
    <n v="4"/>
    <n v="4"/>
    <n v="3"/>
    <s v="Technical Degree"/>
    <n v="0"/>
    <n v="0"/>
    <n v="0"/>
    <n v="0"/>
    <n v="1"/>
    <n v="4"/>
    <s v="Male"/>
    <n v="0"/>
    <n v="90"/>
    <n v="3"/>
    <n v="2"/>
    <s v="Research Scientist"/>
    <n v="0"/>
    <n v="0"/>
    <n v="0"/>
    <n v="0"/>
    <n v="0"/>
    <n v="0"/>
    <n v="0"/>
    <n v="1"/>
    <n v="2"/>
    <s v="Divorced"/>
    <n v="0"/>
    <n v="0"/>
    <n v="3055"/>
    <n v="3055"/>
    <n v="5"/>
    <s v="No"/>
    <n v="0"/>
    <n v="15"/>
    <n v="3"/>
    <n v="4"/>
    <n v="2"/>
    <n v="11"/>
    <x v="26"/>
    <n v="2"/>
    <n v="2"/>
    <n v="9"/>
    <n v="9"/>
    <n v="8"/>
    <n v="1"/>
    <n v="1"/>
    <n v="7"/>
    <n v="7"/>
    <n v="14"/>
    <n v="1"/>
    <n v="0"/>
    <n v="0"/>
    <n v="0"/>
    <n v="1"/>
    <n v="0"/>
    <n v="0"/>
    <n v="0"/>
    <n v="0"/>
    <n v="7"/>
    <n v="0"/>
    <n v="0"/>
    <n v="11"/>
    <n v="0"/>
    <n v="0.73236256222559293"/>
    <n v="0.80626709607243985"/>
    <n v="3.593364373846001E-2"/>
    <n v="0.32511687867835437"/>
    <n v="0.64050867607435136"/>
    <n v="0.42951823792158"/>
    <n v="0.36858985273641137"/>
  </r>
  <r>
    <n v="41"/>
    <n v="41"/>
    <s v="No"/>
    <n v="0"/>
    <s v="Travel_Rarely"/>
    <n v="0"/>
    <n v="1"/>
    <x v="1"/>
    <n v="1"/>
    <n v="0"/>
    <n v="9"/>
    <n v="9"/>
    <n v="4"/>
    <s v="Life Sciences"/>
    <n v="1"/>
    <n v="0"/>
    <n v="0"/>
    <n v="0"/>
    <n v="0"/>
    <n v="3"/>
    <s v="Male"/>
    <n v="0"/>
    <n v="94"/>
    <n v="3"/>
    <n v="1"/>
    <s v="Laboratory Technician"/>
    <n v="0"/>
    <n v="0"/>
    <n v="1"/>
    <n v="0"/>
    <n v="0"/>
    <n v="0"/>
    <n v="0"/>
    <n v="0"/>
    <n v="1"/>
    <s v="Divorced"/>
    <n v="0"/>
    <n v="0"/>
    <n v="2289"/>
    <n v="2289"/>
    <n v="1"/>
    <s v="No"/>
    <n v="0"/>
    <n v="20"/>
    <n v="4"/>
    <n v="2"/>
    <n v="2"/>
    <n v="5"/>
    <x v="7"/>
    <n v="2"/>
    <n v="3"/>
    <n v="5"/>
    <n v="5"/>
    <n v="3"/>
    <n v="0"/>
    <n v="0"/>
    <n v="4"/>
    <n v="4"/>
    <n v="4"/>
    <n v="1"/>
    <n v="0"/>
    <n v="0"/>
    <n v="0"/>
    <n v="1"/>
    <n v="0"/>
    <n v="0"/>
    <n v="0"/>
    <n v="0"/>
    <n v="4"/>
    <n v="0"/>
    <n v="0"/>
    <n v="5"/>
    <n v="0"/>
    <n v="0.89506583995108346"/>
    <n v="3.4508002929560584E-2"/>
    <n v="0.80706439257840468"/>
    <n v="0.32778177112653761"/>
    <n v="2.3747406698420157E-2"/>
    <n v="0.4461985578408646"/>
    <n v="0.67891464284095016"/>
  </r>
  <r>
    <n v="34"/>
    <n v="34"/>
    <s v="No"/>
    <n v="0"/>
    <s v="Non-Travel"/>
    <n v="0"/>
    <n v="0"/>
    <x v="0"/>
    <n v="0"/>
    <n v="1"/>
    <n v="10"/>
    <n v="10"/>
    <n v="3"/>
    <s v="Life Sciences"/>
    <n v="1"/>
    <n v="0"/>
    <n v="0"/>
    <n v="0"/>
    <n v="0"/>
    <n v="4"/>
    <s v="Male"/>
    <n v="0"/>
    <n v="87"/>
    <n v="3"/>
    <n v="2"/>
    <s v="Sales Executive"/>
    <n v="0"/>
    <n v="1"/>
    <n v="0"/>
    <n v="0"/>
    <n v="0"/>
    <n v="0"/>
    <n v="0"/>
    <n v="0"/>
    <n v="3"/>
    <s v="Divorced"/>
    <n v="0"/>
    <n v="0"/>
    <n v="4001"/>
    <n v="4001"/>
    <n v="1"/>
    <s v="Yes"/>
    <n v="1"/>
    <n v="14"/>
    <n v="3"/>
    <n v="3"/>
    <n v="1"/>
    <n v="15"/>
    <x v="19"/>
    <n v="3"/>
    <n v="3"/>
    <n v="15"/>
    <n v="15"/>
    <n v="14"/>
    <n v="0"/>
    <n v="0"/>
    <n v="7"/>
    <n v="7"/>
    <n v="14"/>
    <n v="1"/>
    <n v="0"/>
    <n v="0"/>
    <n v="0"/>
    <n v="0"/>
    <n v="1"/>
    <n v="0"/>
    <n v="0"/>
    <n v="0"/>
    <n v="0"/>
    <n v="7"/>
    <n v="0"/>
    <n v="0"/>
    <n v="15"/>
    <n v="0.53142613829829"/>
    <n v="0.80626709607243985"/>
    <n v="0.47815352215483642"/>
    <n v="1.3044648533856922"/>
    <n v="9.9604847176766084E-2"/>
    <n v="0.32005363845127444"/>
    <n v="0.67891464284095016"/>
  </r>
  <r>
    <n v="53"/>
    <n v="53"/>
    <s v="No"/>
    <n v="0"/>
    <s v="Non-Travel"/>
    <n v="0"/>
    <n v="0"/>
    <x v="1"/>
    <n v="1"/>
    <n v="0"/>
    <n v="1"/>
    <n v="1"/>
    <n v="4"/>
    <s v="Medical"/>
    <n v="0"/>
    <n v="0"/>
    <n v="1"/>
    <n v="0"/>
    <n v="0"/>
    <n v="1"/>
    <s v="Female"/>
    <n v="1"/>
    <n v="60"/>
    <n v="2"/>
    <n v="4"/>
    <s v="Manufacturing Director"/>
    <n v="0"/>
    <n v="0"/>
    <n v="0"/>
    <n v="0"/>
    <n v="1"/>
    <n v="1"/>
    <n v="0"/>
    <n v="0"/>
    <n v="3"/>
    <s v="Married"/>
    <n v="0"/>
    <n v="1"/>
    <n v="12965"/>
    <n v="12965"/>
    <n v="4"/>
    <s v="Yes"/>
    <n v="1"/>
    <n v="20"/>
    <n v="4"/>
    <n v="4"/>
    <n v="3"/>
    <n v="27"/>
    <x v="34"/>
    <n v="2"/>
    <n v="2"/>
    <n v="3"/>
    <n v="3"/>
    <n v="2"/>
    <n v="0"/>
    <n v="0"/>
    <n v="2"/>
    <n v="2"/>
    <n v="8"/>
    <n v="0"/>
    <n v="1"/>
    <n v="0"/>
    <n v="0"/>
    <n v="0"/>
    <n v="0"/>
    <n v="0"/>
    <n v="1"/>
    <n v="0"/>
    <n v="2"/>
    <n v="0"/>
    <n v="0"/>
    <n v="27"/>
    <n v="0"/>
    <n v="1.3725845425519676"/>
    <n v="0.59502473559756086"/>
    <n v="2.0204150198347257"/>
    <n v="0.65423109602898355"/>
    <n v="1.01056543769991"/>
    <n v="1.7597737514845315"/>
    <n v="0.67891464284095016"/>
  </r>
  <r>
    <n v="43"/>
    <n v="43"/>
    <s v="No"/>
    <n v="0"/>
    <s v="Travel_Rarely"/>
    <n v="0"/>
    <n v="1"/>
    <x v="2"/>
    <n v="0"/>
    <n v="0"/>
    <n v="2"/>
    <n v="2"/>
    <n v="3"/>
    <s v="Life Sciences"/>
    <n v="1"/>
    <n v="0"/>
    <n v="0"/>
    <n v="0"/>
    <n v="0"/>
    <n v="2"/>
    <s v="Male"/>
    <n v="0"/>
    <n v="97"/>
    <n v="3"/>
    <n v="1"/>
    <s v="Human Resources"/>
    <n v="0"/>
    <n v="0"/>
    <n v="0"/>
    <n v="0"/>
    <n v="0"/>
    <n v="0"/>
    <n v="0"/>
    <n v="0"/>
    <n v="4"/>
    <s v="Single"/>
    <n v="1"/>
    <n v="0"/>
    <n v="3539"/>
    <n v="3539"/>
    <n v="0"/>
    <s v="No"/>
    <n v="0"/>
    <n v="13"/>
    <n v="3"/>
    <n v="2"/>
    <n v="0"/>
    <n v="10"/>
    <x v="1"/>
    <n v="5"/>
    <n v="3"/>
    <n v="9"/>
    <n v="9"/>
    <n v="7"/>
    <n v="1"/>
    <n v="1"/>
    <n v="8"/>
    <n v="8"/>
    <n v="8"/>
    <n v="1"/>
    <n v="0"/>
    <n v="0"/>
    <n v="0"/>
    <n v="1"/>
    <n v="0"/>
    <n v="0"/>
    <n v="0"/>
    <n v="8"/>
    <n v="0"/>
    <n v="0"/>
    <n v="10"/>
    <n v="0"/>
    <n v="0"/>
    <n v="0.62955788021627512"/>
    <n v="1.08652546240644"/>
    <n v="0.1644554352117841"/>
    <n v="0.32511687867835437"/>
    <n v="0.88721318382472392"/>
    <n v="0.66512775678147573"/>
    <n v="0.36858985273641137"/>
  </r>
  <r>
    <n v="34"/>
    <n v="34"/>
    <s v="No"/>
    <n v="0"/>
    <s v="Travel_Rarely"/>
    <n v="0"/>
    <n v="1"/>
    <x v="0"/>
    <n v="0"/>
    <n v="1"/>
    <n v="3"/>
    <n v="3"/>
    <n v="2"/>
    <s v="Life Sciences"/>
    <n v="1"/>
    <n v="0"/>
    <n v="0"/>
    <n v="0"/>
    <n v="0"/>
    <n v="4"/>
    <s v="Female"/>
    <n v="1"/>
    <n v="32"/>
    <n v="1"/>
    <n v="2"/>
    <s v="Sales Executive"/>
    <n v="0"/>
    <n v="1"/>
    <n v="0"/>
    <n v="0"/>
    <n v="0"/>
    <n v="0"/>
    <n v="0"/>
    <n v="0"/>
    <n v="4"/>
    <s v="Single"/>
    <n v="1"/>
    <n v="0"/>
    <n v="6029"/>
    <n v="6029"/>
    <n v="5"/>
    <s v="No"/>
    <n v="0"/>
    <n v="12"/>
    <n v="3"/>
    <n v="1"/>
    <n v="0"/>
    <n v="6"/>
    <x v="3"/>
    <n v="3"/>
    <n v="3"/>
    <n v="2"/>
    <n v="2"/>
    <n v="2"/>
    <n v="2"/>
    <n v="2"/>
    <n v="2"/>
    <n v="2"/>
    <n v="4"/>
    <n v="1"/>
    <n v="0"/>
    <n v="0"/>
    <n v="0"/>
    <n v="1"/>
    <n v="0"/>
    <n v="0"/>
    <n v="0"/>
    <n v="0"/>
    <n v="0"/>
    <n v="2"/>
    <n v="0"/>
    <n v="0"/>
    <n v="6"/>
    <n v="0.10066602442453694"/>
    <n v="0.59502473559756086"/>
    <n v="0.67854260110508058"/>
    <n v="0.81745575848020657"/>
    <n v="0.76386092994953758"/>
    <n v="0.32005363845127444"/>
    <n v="5.8265062631872602E-2"/>
  </r>
  <r>
    <n v="21"/>
    <n v="21"/>
    <s v="Yes"/>
    <n v="1"/>
    <s v="Travel_Rarely"/>
    <n v="0"/>
    <n v="1"/>
    <x v="0"/>
    <n v="0"/>
    <n v="1"/>
    <n v="7"/>
    <n v="7"/>
    <n v="1"/>
    <s v="Marketing"/>
    <n v="0"/>
    <n v="0"/>
    <n v="0"/>
    <n v="1"/>
    <n v="0"/>
    <n v="2"/>
    <s v="Male"/>
    <n v="0"/>
    <n v="31"/>
    <n v="3"/>
    <n v="1"/>
    <s v="Sales Representative"/>
    <n v="0"/>
    <n v="0"/>
    <n v="0"/>
    <n v="0"/>
    <n v="0"/>
    <n v="0"/>
    <n v="1"/>
    <n v="0"/>
    <n v="2"/>
    <s v="Single"/>
    <n v="1"/>
    <n v="0"/>
    <n v="2679"/>
    <n v="2679"/>
    <n v="1"/>
    <s v="No"/>
    <n v="0"/>
    <n v="13"/>
    <n v="3"/>
    <n v="2"/>
    <n v="0"/>
    <n v="1"/>
    <x v="5"/>
    <n v="3"/>
    <n v="3"/>
    <n v="1"/>
    <n v="1"/>
    <n v="0"/>
    <n v="1"/>
    <n v="1"/>
    <n v="0"/>
    <n v="0"/>
    <n v="0"/>
    <n v="1"/>
    <n v="0"/>
    <n v="0"/>
    <n v="0"/>
    <n v="1"/>
    <n v="0"/>
    <n v="0"/>
    <n v="0"/>
    <n v="0"/>
    <n v="0"/>
    <n v="0"/>
    <n v="0"/>
    <n v="0"/>
    <n v="1"/>
    <n v="0.81222735651382327"/>
    <n v="1.1555414682655611"/>
    <n v="1.3211515584717011"/>
    <n v="0.9806804209314296"/>
    <n v="0.27045191444879263"/>
    <n v="1.7430934315652469"/>
    <n v="0.36858985273641137"/>
  </r>
  <r>
    <n v="38"/>
    <n v="38"/>
    <s v="No"/>
    <n v="0"/>
    <s v="Travel_Rarely"/>
    <n v="0"/>
    <n v="1"/>
    <x v="1"/>
    <n v="1"/>
    <n v="0"/>
    <n v="6"/>
    <n v="6"/>
    <n v="2"/>
    <s v="Other"/>
    <n v="0"/>
    <n v="1"/>
    <n v="0"/>
    <n v="0"/>
    <n v="0"/>
    <n v="4"/>
    <s v="Female"/>
    <n v="1"/>
    <n v="40"/>
    <n v="2"/>
    <n v="1"/>
    <s v="Laboratory Technician"/>
    <n v="0"/>
    <n v="0"/>
    <n v="1"/>
    <n v="0"/>
    <n v="0"/>
    <n v="0"/>
    <n v="0"/>
    <n v="0"/>
    <n v="3"/>
    <s v="Married"/>
    <n v="0"/>
    <n v="1"/>
    <n v="3702"/>
    <n v="3702"/>
    <n v="1"/>
    <s v="No"/>
    <n v="0"/>
    <n v="11"/>
    <n v="3"/>
    <n v="2"/>
    <n v="1"/>
    <n v="5"/>
    <x v="7"/>
    <n v="3"/>
    <n v="3"/>
    <n v="5"/>
    <n v="5"/>
    <n v="4"/>
    <n v="0"/>
    <n v="0"/>
    <n v="4"/>
    <n v="4"/>
    <n v="4"/>
    <n v="0"/>
    <n v="1"/>
    <n v="0"/>
    <n v="0"/>
    <n v="0"/>
    <n v="0"/>
    <n v="1"/>
    <n v="0"/>
    <n v="0"/>
    <n v="4"/>
    <n v="0"/>
    <n v="0"/>
    <n v="5"/>
    <n v="0"/>
    <n v="0.59493564226685614"/>
    <n v="3.4508002929560584E-2"/>
    <n v="0.80706439257840468"/>
    <n v="0.32778177112653761"/>
    <n v="0.39380416832397891"/>
    <n v="0.11780475942994788"/>
    <n v="0.67891464284095016"/>
  </r>
  <r>
    <n v="22"/>
    <n v="22"/>
    <s v="Yes"/>
    <n v="1"/>
    <s v="Travel_Rarely"/>
    <n v="0"/>
    <n v="1"/>
    <x v="1"/>
    <n v="1"/>
    <n v="0"/>
    <n v="8"/>
    <n v="8"/>
    <n v="1"/>
    <s v="Medical"/>
    <n v="0"/>
    <n v="0"/>
    <n v="1"/>
    <n v="0"/>
    <n v="0"/>
    <n v="3"/>
    <s v="Female"/>
    <n v="1"/>
    <n v="79"/>
    <n v="3"/>
    <n v="1"/>
    <s v="Laboratory Technician"/>
    <n v="0"/>
    <n v="0"/>
    <n v="1"/>
    <n v="0"/>
    <n v="0"/>
    <n v="0"/>
    <n v="0"/>
    <n v="0"/>
    <n v="1"/>
    <s v="Married"/>
    <n v="0"/>
    <n v="1"/>
    <n v="2398"/>
    <n v="2398"/>
    <n v="1"/>
    <s v="Yes"/>
    <n v="1"/>
    <n v="17"/>
    <n v="3"/>
    <n v="3"/>
    <n v="0"/>
    <n v="1"/>
    <x v="5"/>
    <n v="6"/>
    <n v="3"/>
    <n v="1"/>
    <n v="1"/>
    <n v="0"/>
    <n v="0"/>
    <n v="0"/>
    <n v="0"/>
    <n v="0"/>
    <n v="0"/>
    <n v="0"/>
    <n v="1"/>
    <n v="0"/>
    <n v="0"/>
    <n v="0"/>
    <n v="0"/>
    <n v="0"/>
    <n v="1"/>
    <n v="0"/>
    <n v="0"/>
    <n v="0"/>
    <n v="0"/>
    <n v="1"/>
    <n v="0"/>
    <n v="0.87191354586220815"/>
    <n v="1.1555414682655611"/>
    <n v="1.3211515584717011"/>
    <n v="0.9806804209314296"/>
    <n v="0.14709966057360641"/>
    <n v="1.6336288320949415"/>
    <n v="0.67891464284095016"/>
  </r>
  <r>
    <n v="31"/>
    <n v="31"/>
    <s v="No"/>
    <n v="0"/>
    <s v="Travel_Rarely"/>
    <n v="0"/>
    <n v="1"/>
    <x v="0"/>
    <n v="0"/>
    <n v="1"/>
    <n v="29"/>
    <n v="29"/>
    <n v="4"/>
    <s v="Marketing"/>
    <n v="0"/>
    <n v="0"/>
    <n v="0"/>
    <n v="1"/>
    <n v="0"/>
    <n v="1"/>
    <s v="Female"/>
    <n v="1"/>
    <n v="91"/>
    <n v="2"/>
    <n v="2"/>
    <s v="Sales Executive"/>
    <n v="0"/>
    <n v="1"/>
    <n v="0"/>
    <n v="0"/>
    <n v="0"/>
    <n v="0"/>
    <n v="0"/>
    <n v="0"/>
    <n v="4"/>
    <s v="Married"/>
    <n v="0"/>
    <n v="1"/>
    <n v="5468"/>
    <n v="5468"/>
    <n v="1"/>
    <s v="No"/>
    <n v="0"/>
    <n v="14"/>
    <n v="3"/>
    <n v="1"/>
    <n v="2"/>
    <n v="13"/>
    <x v="10"/>
    <n v="3"/>
    <n v="3"/>
    <n v="12"/>
    <n v="12"/>
    <n v="7"/>
    <n v="5"/>
    <n v="5"/>
    <n v="7"/>
    <n v="7"/>
    <n v="14"/>
    <n v="0"/>
    <n v="1"/>
    <n v="0"/>
    <n v="0"/>
    <n v="0"/>
    <n v="0"/>
    <n v="1"/>
    <n v="0"/>
    <n v="0"/>
    <n v="0"/>
    <n v="7"/>
    <n v="0"/>
    <n v="0"/>
    <n v="13"/>
    <n v="0.21982599675351891"/>
    <n v="0.80626709607243985"/>
    <n v="0.22110993920818819"/>
    <n v="0.81479086603202333"/>
    <n v="2.4432976708053049"/>
    <n v="0.6484474368621912"/>
    <n v="0.87270930768174382"/>
  </r>
  <r>
    <n v="51"/>
    <n v="51"/>
    <s v="No"/>
    <n v="0"/>
    <s v="Travel_Rarely"/>
    <n v="0"/>
    <n v="1"/>
    <x v="1"/>
    <n v="1"/>
    <n v="0"/>
    <n v="3"/>
    <n v="3"/>
    <n v="3"/>
    <s v="Technical Degree"/>
    <n v="0"/>
    <n v="0"/>
    <n v="0"/>
    <n v="0"/>
    <n v="1"/>
    <n v="1"/>
    <s v="Female"/>
    <n v="1"/>
    <n v="53"/>
    <n v="3"/>
    <n v="3"/>
    <s v="Manager"/>
    <n v="0"/>
    <n v="0"/>
    <n v="0"/>
    <n v="1"/>
    <n v="0"/>
    <n v="0"/>
    <n v="0"/>
    <n v="0"/>
    <n v="3"/>
    <s v="Married"/>
    <n v="0"/>
    <n v="1"/>
    <n v="13116"/>
    <n v="13116"/>
    <n v="2"/>
    <s v="No"/>
    <n v="0"/>
    <n v="11"/>
    <n v="3"/>
    <n v="4"/>
    <n v="0"/>
    <n v="15"/>
    <x v="19"/>
    <n v="2"/>
    <n v="3"/>
    <n v="2"/>
    <n v="2"/>
    <n v="2"/>
    <n v="2"/>
    <n v="2"/>
    <n v="2"/>
    <n v="2"/>
    <n v="6"/>
    <n v="0"/>
    <n v="1"/>
    <n v="0"/>
    <n v="0"/>
    <n v="0"/>
    <n v="0"/>
    <n v="1"/>
    <n v="0"/>
    <n v="0"/>
    <n v="2"/>
    <n v="0"/>
    <n v="0"/>
    <n v="15"/>
    <n v="0"/>
    <n v="1.4046579040879323"/>
    <n v="0.59502473559756086"/>
    <n v="0.47815352215483642"/>
    <n v="0.81745575848020657"/>
    <n v="0.76386092994953758"/>
    <n v="1.5408445525439205"/>
    <n v="5.8265062631872602E-2"/>
  </r>
  <r>
    <n v="37"/>
    <n v="37"/>
    <s v="No"/>
    <n v="0"/>
    <s v="Travel_Rarely"/>
    <n v="0"/>
    <n v="1"/>
    <x v="0"/>
    <n v="0"/>
    <n v="1"/>
    <n v="9"/>
    <n v="9"/>
    <n v="2"/>
    <s v="Marketing"/>
    <n v="0"/>
    <n v="0"/>
    <n v="0"/>
    <n v="1"/>
    <n v="0"/>
    <n v="2"/>
    <s v="Male"/>
    <n v="0"/>
    <n v="46"/>
    <n v="2"/>
    <n v="2"/>
    <s v="Sales Executive"/>
    <n v="0"/>
    <n v="1"/>
    <n v="0"/>
    <n v="0"/>
    <n v="0"/>
    <n v="0"/>
    <n v="0"/>
    <n v="0"/>
    <n v="2"/>
    <s v="Married"/>
    <n v="0"/>
    <n v="1"/>
    <n v="4189"/>
    <n v="4189"/>
    <n v="1"/>
    <s v="No"/>
    <n v="0"/>
    <n v="14"/>
    <n v="3"/>
    <n v="1"/>
    <n v="2"/>
    <n v="5"/>
    <x v="7"/>
    <n v="2"/>
    <n v="3"/>
    <n v="5"/>
    <n v="5"/>
    <n v="2"/>
    <n v="0"/>
    <n v="0"/>
    <n v="3"/>
    <n v="3"/>
    <n v="6"/>
    <n v="0"/>
    <n v="1"/>
    <n v="0"/>
    <n v="0"/>
    <n v="0"/>
    <n v="0"/>
    <n v="1"/>
    <n v="0"/>
    <n v="0"/>
    <n v="0"/>
    <n v="3"/>
    <n v="0"/>
    <n v="0"/>
    <n v="5"/>
    <n v="0.49149374115417482"/>
    <n v="0.31476636926356072"/>
    <n v="0.80706439257840468"/>
    <n v="0.32778177112653761"/>
    <n v="2.3747406698420157E-2"/>
    <n v="8.3401599596422994E-3"/>
    <n v="0.67891464284095016"/>
  </r>
  <r>
    <n v="46"/>
    <n v="46"/>
    <s v="No"/>
    <n v="0"/>
    <s v="Travel_Rarely"/>
    <n v="0"/>
    <n v="1"/>
    <x v="1"/>
    <n v="1"/>
    <n v="0"/>
    <n v="2"/>
    <n v="2"/>
    <n v="4"/>
    <s v="Medical"/>
    <n v="0"/>
    <n v="0"/>
    <n v="1"/>
    <n v="0"/>
    <n v="0"/>
    <n v="3"/>
    <s v="Male"/>
    <n v="0"/>
    <n v="46"/>
    <n v="3"/>
    <n v="5"/>
    <s v="Research Director"/>
    <n v="0"/>
    <n v="0"/>
    <n v="0"/>
    <n v="0"/>
    <n v="0"/>
    <n v="0"/>
    <n v="0"/>
    <n v="0"/>
    <n v="4"/>
    <s v="Divorced"/>
    <n v="0"/>
    <n v="0"/>
    <n v="19328"/>
    <n v="19328"/>
    <n v="7"/>
    <s v="Yes"/>
    <n v="1"/>
    <n v="17"/>
    <n v="3"/>
    <n v="3"/>
    <n v="1"/>
    <n v="24"/>
    <x v="12"/>
    <n v="3"/>
    <n v="3"/>
    <n v="2"/>
    <n v="2"/>
    <n v="1"/>
    <n v="2"/>
    <n v="2"/>
    <n v="2"/>
    <n v="2"/>
    <n v="10"/>
    <n v="1"/>
    <n v="0"/>
    <n v="0"/>
    <n v="0"/>
    <n v="0"/>
    <n v="1"/>
    <n v="0"/>
    <n v="0"/>
    <n v="0"/>
    <n v="2"/>
    <n v="0"/>
    <n v="0"/>
    <n v="24"/>
    <n v="0"/>
    <n v="2.7241262607860359"/>
    <n v="0.59502473559756086"/>
    <n v="1.6348496454147534"/>
    <n v="0.81745575848020657"/>
    <n v="0.88721318382472392"/>
    <n v="0.99352155519239249"/>
    <n v="5.8265062631872602E-2"/>
  </r>
  <r>
    <n v="36"/>
    <n v="36"/>
    <s v="No"/>
    <n v="0"/>
    <s v="Travel_Rarely"/>
    <n v="0"/>
    <n v="1"/>
    <x v="1"/>
    <n v="1"/>
    <n v="0"/>
    <n v="10"/>
    <n v="10"/>
    <n v="3"/>
    <s v="Life Sciences"/>
    <n v="1"/>
    <n v="0"/>
    <n v="0"/>
    <n v="0"/>
    <n v="0"/>
    <n v="4"/>
    <s v="Male"/>
    <n v="0"/>
    <n v="90"/>
    <n v="3"/>
    <n v="3"/>
    <s v="Healthcare Representative"/>
    <n v="1"/>
    <n v="0"/>
    <n v="0"/>
    <n v="0"/>
    <n v="0"/>
    <n v="0"/>
    <n v="0"/>
    <n v="0"/>
    <n v="1"/>
    <s v="Married"/>
    <n v="0"/>
    <n v="1"/>
    <n v="8321"/>
    <n v="8321"/>
    <n v="7"/>
    <s v="Yes"/>
    <n v="1"/>
    <n v="13"/>
    <n v="3"/>
    <n v="4"/>
    <n v="1"/>
    <n v="15"/>
    <x v="19"/>
    <n v="1"/>
    <n v="3"/>
    <n v="12"/>
    <n v="12"/>
    <n v="8"/>
    <n v="5"/>
    <n v="5"/>
    <n v="7"/>
    <n v="7"/>
    <n v="21"/>
    <n v="0"/>
    <n v="1"/>
    <n v="0"/>
    <n v="0"/>
    <n v="0"/>
    <n v="0"/>
    <n v="0"/>
    <n v="1"/>
    <n v="0"/>
    <n v="7"/>
    <n v="0"/>
    <n v="0"/>
    <n v="15"/>
    <n v="0"/>
    <n v="0.38616937054520761"/>
    <n v="0.80626709607243985"/>
    <n v="0.47815352215483642"/>
    <n v="0.81479086603202333"/>
    <n v="9.9604847176766084E-2"/>
    <n v="0.10112443951066327"/>
    <n v="0.87270930768174382"/>
  </r>
  <r>
    <n v="44"/>
    <n v="44"/>
    <s v="Yes"/>
    <n v="1"/>
    <s v="Travel_Frequently"/>
    <n v="1"/>
    <n v="0"/>
    <x v="1"/>
    <n v="1"/>
    <n v="0"/>
    <n v="1"/>
    <n v="1"/>
    <n v="2"/>
    <s v="Medical"/>
    <n v="0"/>
    <n v="0"/>
    <n v="1"/>
    <n v="0"/>
    <n v="0"/>
    <n v="3"/>
    <s v="Male"/>
    <n v="0"/>
    <n v="99"/>
    <n v="3"/>
    <n v="1"/>
    <s v="Research Scientist"/>
    <n v="0"/>
    <n v="0"/>
    <n v="0"/>
    <n v="0"/>
    <n v="0"/>
    <n v="0"/>
    <n v="0"/>
    <n v="1"/>
    <n v="2"/>
    <s v="Divorced"/>
    <n v="0"/>
    <n v="0"/>
    <n v="2342"/>
    <n v="2342"/>
    <n v="1"/>
    <s v="Yes"/>
    <n v="1"/>
    <n v="12"/>
    <n v="3"/>
    <n v="3"/>
    <n v="3"/>
    <n v="6"/>
    <x v="3"/>
    <n v="2"/>
    <n v="2"/>
    <n v="5"/>
    <n v="5"/>
    <n v="3"/>
    <n v="2"/>
    <n v="2"/>
    <n v="3"/>
    <n v="3"/>
    <n v="3"/>
    <n v="0"/>
    <n v="0"/>
    <n v="1"/>
    <n v="0"/>
    <n v="0"/>
    <n v="1"/>
    <n v="0"/>
    <n v="0"/>
    <n v="0"/>
    <n v="3"/>
    <n v="0"/>
    <n v="0"/>
    <n v="6"/>
    <n v="0"/>
    <n v="0.88380830245832764"/>
    <n v="0.31476636926356072"/>
    <n v="0.67854260110508058"/>
    <n v="0.32778177112653761"/>
    <n v="1.01056543769991"/>
    <n v="0.77459235625178136"/>
    <n v="5.8265062631872602E-2"/>
  </r>
  <r>
    <n v="37"/>
    <n v="37"/>
    <s v="No"/>
    <n v="0"/>
    <s v="Travel_Rarely"/>
    <n v="0"/>
    <n v="1"/>
    <x v="2"/>
    <n v="0"/>
    <n v="0"/>
    <n v="8"/>
    <n v="8"/>
    <n v="2"/>
    <s v="Other"/>
    <n v="0"/>
    <n v="1"/>
    <n v="0"/>
    <n v="0"/>
    <n v="0"/>
    <n v="3"/>
    <s v="Male"/>
    <n v="0"/>
    <n v="89"/>
    <n v="3"/>
    <n v="2"/>
    <s v="Human Resources"/>
    <n v="0"/>
    <n v="0"/>
    <n v="0"/>
    <n v="0"/>
    <n v="0"/>
    <n v="0"/>
    <n v="0"/>
    <n v="0"/>
    <n v="2"/>
    <s v="Divorced"/>
    <n v="0"/>
    <n v="0"/>
    <n v="4071"/>
    <n v="4071"/>
    <n v="2"/>
    <s v="No"/>
    <n v="0"/>
    <n v="13"/>
    <n v="3"/>
    <n v="3"/>
    <n v="0"/>
    <n v="19"/>
    <x v="15"/>
    <n v="4"/>
    <n v="2"/>
    <n v="10"/>
    <n v="10"/>
    <n v="0"/>
    <n v="4"/>
    <n v="4"/>
    <n v="7"/>
    <n v="7"/>
    <n v="14"/>
    <n v="1"/>
    <n v="0"/>
    <n v="0"/>
    <n v="0"/>
    <n v="1"/>
    <n v="0"/>
    <n v="0"/>
    <n v="0"/>
    <n v="7"/>
    <n v="0"/>
    <n v="0"/>
    <n v="19"/>
    <n v="0"/>
    <n v="0"/>
    <n v="0.51655769255314077"/>
    <n v="0.80626709607243985"/>
    <n v="0.99224068804813281"/>
    <n v="0.48834154112957734"/>
    <n v="0.14709966057360641"/>
    <n v="8.3401599596422994E-3"/>
    <n v="0.56238451757720498"/>
  </r>
  <r>
    <n v="35"/>
    <n v="35"/>
    <s v="Yes"/>
    <n v="1"/>
    <s v="Travel_Rarely"/>
    <n v="0"/>
    <n v="1"/>
    <x v="0"/>
    <n v="0"/>
    <n v="1"/>
    <n v="27"/>
    <n v="27"/>
    <n v="3"/>
    <s v="Life Sciences"/>
    <n v="1"/>
    <n v="0"/>
    <n v="0"/>
    <n v="0"/>
    <n v="0"/>
    <n v="3"/>
    <s v="Male"/>
    <n v="0"/>
    <n v="84"/>
    <n v="3"/>
    <n v="2"/>
    <s v="Sales Executive"/>
    <n v="0"/>
    <n v="1"/>
    <n v="0"/>
    <n v="0"/>
    <n v="0"/>
    <n v="0"/>
    <n v="0"/>
    <n v="0"/>
    <n v="4"/>
    <s v="Single"/>
    <n v="1"/>
    <n v="0"/>
    <n v="5813"/>
    <n v="5813"/>
    <n v="1"/>
    <s v="Yes"/>
    <n v="1"/>
    <n v="18"/>
    <n v="3"/>
    <n v="4"/>
    <n v="0"/>
    <n v="10"/>
    <x v="1"/>
    <n v="2"/>
    <n v="3"/>
    <n v="10"/>
    <n v="10"/>
    <n v="7"/>
    <n v="7"/>
    <n v="7"/>
    <n v="7"/>
    <n v="7"/>
    <n v="14"/>
    <n v="1"/>
    <n v="0"/>
    <n v="0"/>
    <n v="0"/>
    <n v="0"/>
    <n v="1"/>
    <n v="0"/>
    <n v="0"/>
    <n v="0"/>
    <n v="0"/>
    <n v="7"/>
    <n v="0"/>
    <n v="0"/>
    <n v="10"/>
    <n v="0.14654579986671182"/>
    <n v="0.80626709607243985"/>
    <n v="0.1644554352117841"/>
    <n v="0.48834154112957734"/>
    <n v="2.1965931630549322"/>
    <n v="0.21058903898096887"/>
    <n v="1.4933588878908215"/>
  </r>
  <r>
    <n v="33"/>
    <n v="33"/>
    <s v="No"/>
    <n v="0"/>
    <s v="Travel_Rarely"/>
    <n v="0"/>
    <n v="1"/>
    <x v="1"/>
    <n v="1"/>
    <n v="0"/>
    <n v="8"/>
    <n v="8"/>
    <n v="4"/>
    <s v="Life Sciences"/>
    <n v="1"/>
    <n v="0"/>
    <n v="0"/>
    <n v="0"/>
    <n v="0"/>
    <n v="4"/>
    <s v="Male"/>
    <n v="0"/>
    <n v="90"/>
    <n v="4"/>
    <n v="1"/>
    <s v="Research Scientist"/>
    <n v="0"/>
    <n v="0"/>
    <n v="0"/>
    <n v="0"/>
    <n v="0"/>
    <n v="0"/>
    <n v="0"/>
    <n v="1"/>
    <n v="1"/>
    <s v="Married"/>
    <n v="0"/>
    <n v="1"/>
    <n v="3143"/>
    <n v="3143"/>
    <n v="6"/>
    <s v="No"/>
    <n v="0"/>
    <n v="19"/>
    <n v="3"/>
    <n v="2"/>
    <n v="1"/>
    <n v="14"/>
    <x v="18"/>
    <n v="1"/>
    <n v="3"/>
    <n v="10"/>
    <n v="10"/>
    <n v="8"/>
    <n v="7"/>
    <n v="7"/>
    <n v="6"/>
    <n v="6"/>
    <n v="6"/>
    <n v="0"/>
    <n v="1"/>
    <n v="0"/>
    <n v="0"/>
    <n v="0"/>
    <n v="0"/>
    <n v="1"/>
    <n v="0"/>
    <n v="0"/>
    <n v="6"/>
    <n v="0"/>
    <n v="0"/>
    <n v="14"/>
    <n v="0"/>
    <n v="0.71367080186026244"/>
    <n v="0.52600872973843971"/>
    <n v="0.34963173068151232"/>
    <n v="0.48834154112957734"/>
    <n v="0.14709966057360641"/>
    <n v="0.42951823792158"/>
    <n v="1.4933588878908215"/>
  </r>
  <r>
    <n v="28"/>
    <n v="28"/>
    <s v="No"/>
    <n v="0"/>
    <s v="Travel_Rarely"/>
    <n v="0"/>
    <n v="1"/>
    <x v="1"/>
    <n v="1"/>
    <n v="0"/>
    <n v="1"/>
    <n v="1"/>
    <n v="3"/>
    <s v="Life Sciences"/>
    <n v="1"/>
    <n v="0"/>
    <n v="0"/>
    <n v="0"/>
    <n v="0"/>
    <n v="3"/>
    <s v="Male"/>
    <n v="0"/>
    <n v="82"/>
    <n v="3"/>
    <n v="1"/>
    <s v="Research Scientist"/>
    <n v="0"/>
    <n v="0"/>
    <n v="0"/>
    <n v="0"/>
    <n v="0"/>
    <n v="0"/>
    <n v="0"/>
    <n v="1"/>
    <n v="4"/>
    <s v="Married"/>
    <n v="0"/>
    <n v="1"/>
    <n v="2044"/>
    <n v="2044"/>
    <n v="1"/>
    <s v="No"/>
    <n v="0"/>
    <n v="11"/>
    <n v="3"/>
    <n v="3"/>
    <n v="1"/>
    <n v="5"/>
    <x v="7"/>
    <n v="6"/>
    <n v="4"/>
    <n v="5"/>
    <n v="5"/>
    <n v="3"/>
    <n v="0"/>
    <n v="0"/>
    <n v="3"/>
    <n v="3"/>
    <n v="3"/>
    <n v="0"/>
    <n v="1"/>
    <n v="0"/>
    <n v="0"/>
    <n v="0"/>
    <n v="0"/>
    <n v="1"/>
    <n v="0"/>
    <n v="0"/>
    <n v="3"/>
    <n v="0"/>
    <n v="0"/>
    <n v="5"/>
    <n v="0"/>
    <n v="0.94710540005910593"/>
    <n v="0.31476636926356072"/>
    <n v="0.80706439257840468"/>
    <n v="0.32778177112653761"/>
    <n v="1.01056543769991"/>
    <n v="0.97684123527310796"/>
    <n v="0.67891464284095016"/>
  </r>
  <r>
    <n v="39"/>
    <n v="39"/>
    <s v="No"/>
    <n v="0"/>
    <s v="Travel_Rarely"/>
    <n v="0"/>
    <n v="1"/>
    <x v="1"/>
    <n v="1"/>
    <n v="0"/>
    <n v="10"/>
    <n v="10"/>
    <n v="1"/>
    <s v="Medical"/>
    <n v="0"/>
    <n v="0"/>
    <n v="1"/>
    <n v="0"/>
    <n v="0"/>
    <n v="3"/>
    <s v="Male"/>
    <n v="0"/>
    <n v="65"/>
    <n v="3"/>
    <n v="3"/>
    <s v="Research Director"/>
    <n v="0"/>
    <n v="0"/>
    <n v="0"/>
    <n v="0"/>
    <n v="0"/>
    <n v="0"/>
    <n v="0"/>
    <n v="0"/>
    <n v="3"/>
    <s v="Single"/>
    <n v="1"/>
    <n v="0"/>
    <n v="13464"/>
    <n v="13464"/>
    <n v="7"/>
    <s v="No"/>
    <n v="0"/>
    <n v="21"/>
    <n v="4"/>
    <n v="3"/>
    <n v="0"/>
    <n v="9"/>
    <x v="14"/>
    <n v="3"/>
    <n v="3"/>
    <n v="4"/>
    <n v="4"/>
    <n v="3"/>
    <n v="2"/>
    <n v="2"/>
    <n v="2"/>
    <n v="2"/>
    <n v="6"/>
    <n v="1"/>
    <n v="0"/>
    <n v="0"/>
    <n v="0"/>
    <n v="1"/>
    <n v="0"/>
    <n v="0"/>
    <n v="0"/>
    <n v="0"/>
    <n v="2"/>
    <n v="0"/>
    <n v="0"/>
    <n v="9"/>
    <n v="0"/>
    <n v="1.4785753200781031"/>
    <n v="0.59502473559756086"/>
    <n v="0.29297722668510823"/>
    <n v="0.49100643357776058"/>
    <n v="9.9604847176766084E-2"/>
    <n v="0.22726935890025346"/>
    <n v="5.8265062631872602E-2"/>
  </r>
  <r>
    <n v="46"/>
    <n v="46"/>
    <s v="No"/>
    <n v="0"/>
    <s v="Non-Travel"/>
    <n v="0"/>
    <n v="0"/>
    <x v="0"/>
    <n v="0"/>
    <n v="1"/>
    <n v="26"/>
    <n v="26"/>
    <n v="2"/>
    <s v="Life Sciences"/>
    <n v="1"/>
    <n v="0"/>
    <n v="0"/>
    <n v="0"/>
    <n v="0"/>
    <n v="2"/>
    <s v="Male"/>
    <n v="0"/>
    <n v="98"/>
    <n v="2"/>
    <n v="2"/>
    <s v="Sales Executive"/>
    <n v="0"/>
    <n v="1"/>
    <n v="0"/>
    <n v="0"/>
    <n v="0"/>
    <n v="0"/>
    <n v="0"/>
    <n v="0"/>
    <n v="2"/>
    <s v="Single"/>
    <n v="1"/>
    <n v="0"/>
    <n v="7991"/>
    <n v="7991"/>
    <n v="8"/>
    <s v="No"/>
    <n v="0"/>
    <n v="15"/>
    <n v="3"/>
    <n v="3"/>
    <n v="0"/>
    <n v="6"/>
    <x v="3"/>
    <n v="3"/>
    <n v="3"/>
    <n v="2"/>
    <n v="2"/>
    <n v="2"/>
    <n v="2"/>
    <n v="2"/>
    <n v="2"/>
    <n v="2"/>
    <n v="4"/>
    <n v="1"/>
    <n v="0"/>
    <n v="0"/>
    <n v="0"/>
    <n v="1"/>
    <n v="0"/>
    <n v="0"/>
    <n v="0"/>
    <n v="0"/>
    <n v="0"/>
    <n v="2"/>
    <n v="0"/>
    <n v="0"/>
    <n v="6"/>
    <n v="0.31607526917521822"/>
    <n v="0.59502473559756086"/>
    <n v="0.67854260110508058"/>
    <n v="0.81745575848020657"/>
    <n v="2.0732409091797459"/>
    <n v="0.99352155519239249"/>
    <n v="5.8265062631872602E-2"/>
  </r>
  <r>
    <n v="40"/>
    <n v="40"/>
    <s v="No"/>
    <n v="0"/>
    <s v="Travel_Rarely"/>
    <n v="0"/>
    <n v="1"/>
    <x v="1"/>
    <n v="1"/>
    <n v="0"/>
    <n v="2"/>
    <n v="2"/>
    <n v="2"/>
    <s v="Life Sciences"/>
    <n v="1"/>
    <n v="0"/>
    <n v="0"/>
    <n v="0"/>
    <n v="0"/>
    <n v="3"/>
    <s v="Female"/>
    <n v="1"/>
    <n v="99"/>
    <n v="3"/>
    <n v="1"/>
    <s v="Laboratory Technician"/>
    <n v="0"/>
    <n v="0"/>
    <n v="1"/>
    <n v="0"/>
    <n v="0"/>
    <n v="0"/>
    <n v="0"/>
    <n v="0"/>
    <n v="1"/>
    <s v="Married"/>
    <n v="0"/>
    <n v="1"/>
    <n v="3377"/>
    <n v="3377"/>
    <n v="4"/>
    <s v="No"/>
    <n v="0"/>
    <n v="17"/>
    <n v="3"/>
    <n v="4"/>
    <n v="1"/>
    <n v="7"/>
    <x v="2"/>
    <n v="5"/>
    <n v="2"/>
    <n v="4"/>
    <n v="4"/>
    <n v="3"/>
    <n v="0"/>
    <n v="0"/>
    <n v="2"/>
    <n v="2"/>
    <n v="2"/>
    <n v="0"/>
    <n v="1"/>
    <n v="0"/>
    <n v="0"/>
    <n v="0"/>
    <n v="0"/>
    <n v="1"/>
    <n v="0"/>
    <n v="0"/>
    <n v="2"/>
    <n v="0"/>
    <n v="0"/>
    <n v="7"/>
    <n v="0"/>
    <n v="0.66396771179790626"/>
    <n v="0.59502473559756086"/>
    <n v="0.55002080963175637"/>
    <n v="0.49100643357776058"/>
    <n v="0.88721318382472392"/>
    <n v="0.33673395837055903"/>
    <n v="0.67891464284095016"/>
  </r>
  <r>
    <n v="42"/>
    <n v="42"/>
    <s v="No"/>
    <n v="0"/>
    <s v="Travel_Rarely"/>
    <n v="0"/>
    <n v="1"/>
    <x v="1"/>
    <n v="1"/>
    <n v="0"/>
    <n v="13"/>
    <n v="13"/>
    <n v="3"/>
    <s v="Medical"/>
    <n v="0"/>
    <n v="0"/>
    <n v="1"/>
    <n v="0"/>
    <n v="0"/>
    <n v="2"/>
    <s v="Male"/>
    <n v="0"/>
    <n v="95"/>
    <n v="4"/>
    <n v="2"/>
    <s v="Healthcare Representative"/>
    <n v="1"/>
    <n v="0"/>
    <n v="0"/>
    <n v="0"/>
    <n v="0"/>
    <n v="0"/>
    <n v="0"/>
    <n v="0"/>
    <n v="1"/>
    <s v="Married"/>
    <n v="0"/>
    <n v="1"/>
    <n v="5538"/>
    <n v="5538"/>
    <n v="5"/>
    <s v="No"/>
    <n v="0"/>
    <n v="18"/>
    <n v="3"/>
    <n v="3"/>
    <n v="2"/>
    <n v="10"/>
    <x v="1"/>
    <n v="2"/>
    <n v="2"/>
    <n v="0"/>
    <n v="0"/>
    <n v="0"/>
    <n v="0"/>
    <n v="0"/>
    <n v="0"/>
    <n v="0"/>
    <n v="0"/>
    <n v="0"/>
    <n v="1"/>
    <n v="0"/>
    <n v="0"/>
    <n v="0"/>
    <n v="0"/>
    <n v="1"/>
    <n v="0"/>
    <n v="0"/>
    <n v="0"/>
    <n v="0"/>
    <n v="0"/>
    <n v="10"/>
    <n v="0"/>
    <n v="0.20495755100836965"/>
    <n v="1.1555414682655611"/>
    <n v="0.1644554352117841"/>
    <n v="1.1439050833826525"/>
    <n v="0.46966160880232483"/>
    <n v="0.55566315731117022"/>
    <n v="0.67891464284095016"/>
  </r>
  <r>
    <n v="35"/>
    <n v="35"/>
    <s v="No"/>
    <n v="0"/>
    <s v="Non-Travel"/>
    <n v="0"/>
    <n v="0"/>
    <x v="1"/>
    <n v="1"/>
    <n v="0"/>
    <n v="2"/>
    <n v="2"/>
    <n v="2"/>
    <s v="Medical"/>
    <n v="0"/>
    <n v="0"/>
    <n v="1"/>
    <n v="0"/>
    <n v="0"/>
    <n v="2"/>
    <s v="Male"/>
    <n v="0"/>
    <n v="90"/>
    <n v="3"/>
    <n v="2"/>
    <s v="Manufacturing Director"/>
    <n v="0"/>
    <n v="0"/>
    <n v="0"/>
    <n v="0"/>
    <n v="1"/>
    <n v="1"/>
    <n v="0"/>
    <n v="0"/>
    <n v="4"/>
    <s v="Divorced"/>
    <n v="0"/>
    <n v="0"/>
    <n v="5762"/>
    <n v="5762"/>
    <n v="2"/>
    <s v="No"/>
    <n v="0"/>
    <n v="14"/>
    <n v="3"/>
    <n v="3"/>
    <n v="1"/>
    <n v="15"/>
    <x v="19"/>
    <n v="6"/>
    <n v="3"/>
    <n v="7"/>
    <n v="7"/>
    <n v="7"/>
    <n v="1"/>
    <n v="1"/>
    <n v="7"/>
    <n v="7"/>
    <n v="14"/>
    <n v="1"/>
    <n v="0"/>
    <n v="0"/>
    <n v="0"/>
    <n v="1"/>
    <n v="0"/>
    <n v="0"/>
    <n v="0"/>
    <n v="0"/>
    <n v="7"/>
    <n v="0"/>
    <n v="0"/>
    <n v="15"/>
    <n v="0"/>
    <n v="0.15737852462389201"/>
    <n v="0.80626709607243985"/>
    <n v="0.47815352215483642"/>
    <n v="1.3324462240916321E-3"/>
    <n v="0.88721318382472392"/>
    <n v="0.21058903898096887"/>
    <n v="0.36858985273641137"/>
  </r>
  <r>
    <n v="38"/>
    <n v="38"/>
    <s v="No"/>
    <n v="0"/>
    <s v="Non-Travel"/>
    <n v="0"/>
    <n v="0"/>
    <x v="2"/>
    <n v="0"/>
    <n v="0"/>
    <n v="2"/>
    <n v="2"/>
    <n v="3"/>
    <s v="Human Resources"/>
    <n v="0"/>
    <n v="0"/>
    <n v="0"/>
    <n v="0"/>
    <n v="0"/>
    <n v="1"/>
    <s v="Male"/>
    <n v="0"/>
    <n v="100"/>
    <n v="3"/>
    <n v="1"/>
    <s v="Human Resources"/>
    <n v="0"/>
    <n v="0"/>
    <n v="0"/>
    <n v="0"/>
    <n v="0"/>
    <n v="0"/>
    <n v="0"/>
    <n v="0"/>
    <n v="2"/>
    <s v="Divorced"/>
    <n v="0"/>
    <n v="0"/>
    <n v="2592"/>
    <n v="2592"/>
    <n v="5"/>
    <s v="No"/>
    <n v="0"/>
    <n v="13"/>
    <n v="3"/>
    <n v="4"/>
    <n v="3"/>
    <n v="13"/>
    <x v="10"/>
    <n v="3"/>
    <n v="3"/>
    <n v="11"/>
    <n v="11"/>
    <n v="10"/>
    <n v="3"/>
    <n v="3"/>
    <n v="8"/>
    <n v="8"/>
    <n v="8"/>
    <n v="1"/>
    <n v="0"/>
    <n v="0"/>
    <n v="0"/>
    <n v="1"/>
    <n v="0"/>
    <n v="0"/>
    <n v="0"/>
    <n v="8"/>
    <n v="0"/>
    <n v="0"/>
    <n v="13"/>
    <n v="0"/>
    <n v="0"/>
    <n v="0.83070671051136591"/>
    <n v="1.08652546240644"/>
    <n v="0.22110993920818819"/>
    <n v="0.65156620358080031"/>
    <n v="0.88721318382472392"/>
    <n v="0.11780475942994788"/>
    <n v="0.2520597274726662"/>
  </r>
  <r>
    <n v="34"/>
    <n v="34"/>
    <s v="Yes"/>
    <n v="1"/>
    <s v="Travel_Frequently"/>
    <n v="1"/>
    <n v="0"/>
    <x v="1"/>
    <n v="1"/>
    <n v="0"/>
    <n v="9"/>
    <n v="9"/>
    <n v="4"/>
    <s v="Life Sciences"/>
    <n v="1"/>
    <n v="0"/>
    <n v="0"/>
    <n v="0"/>
    <n v="0"/>
    <n v="4"/>
    <s v="Male"/>
    <n v="0"/>
    <n v="93"/>
    <n v="3"/>
    <n v="2"/>
    <s v="Laboratory Technician"/>
    <n v="0"/>
    <n v="0"/>
    <n v="1"/>
    <n v="0"/>
    <n v="0"/>
    <n v="0"/>
    <n v="0"/>
    <n v="0"/>
    <n v="1"/>
    <s v="Married"/>
    <n v="0"/>
    <n v="1"/>
    <n v="5346"/>
    <n v="5346"/>
    <n v="4"/>
    <s v="No"/>
    <n v="0"/>
    <n v="17"/>
    <n v="3"/>
    <n v="3"/>
    <n v="1"/>
    <n v="11"/>
    <x v="26"/>
    <n v="3"/>
    <n v="2"/>
    <n v="7"/>
    <n v="7"/>
    <n v="1"/>
    <n v="0"/>
    <n v="0"/>
    <n v="7"/>
    <n v="7"/>
    <n v="14"/>
    <n v="0"/>
    <n v="0"/>
    <n v="0"/>
    <n v="1"/>
    <n v="0"/>
    <n v="0"/>
    <n v="1"/>
    <n v="0"/>
    <n v="0"/>
    <n v="7"/>
    <n v="0"/>
    <n v="0"/>
    <n v="11"/>
    <n v="0"/>
    <n v="0.24573957362363621"/>
    <n v="0.80626709607243985"/>
    <n v="3.593364373846001E-2"/>
    <n v="1.3324462240916321E-3"/>
    <n v="2.3747406698420157E-2"/>
    <n v="0.32005363845127444"/>
    <n v="0.67891464284095016"/>
  </r>
  <r>
    <n v="37"/>
    <n v="37"/>
    <s v="Yes"/>
    <n v="1"/>
    <s v="Travel_Rarely"/>
    <n v="0"/>
    <n v="1"/>
    <x v="1"/>
    <n v="1"/>
    <n v="0"/>
    <n v="10"/>
    <n v="10"/>
    <n v="4"/>
    <s v="Medical"/>
    <n v="0"/>
    <n v="0"/>
    <n v="1"/>
    <n v="0"/>
    <n v="0"/>
    <n v="4"/>
    <s v="Male"/>
    <n v="0"/>
    <n v="58"/>
    <n v="3"/>
    <n v="2"/>
    <s v="Manufacturing Director"/>
    <n v="0"/>
    <n v="0"/>
    <n v="0"/>
    <n v="0"/>
    <n v="1"/>
    <n v="1"/>
    <n v="0"/>
    <n v="0"/>
    <n v="1"/>
    <s v="Single"/>
    <n v="1"/>
    <n v="0"/>
    <n v="4213"/>
    <n v="4213"/>
    <n v="1"/>
    <s v="No"/>
    <n v="0"/>
    <n v="15"/>
    <n v="3"/>
    <n v="2"/>
    <n v="0"/>
    <n v="10"/>
    <x v="1"/>
    <n v="4"/>
    <n v="1"/>
    <n v="10"/>
    <n v="10"/>
    <n v="3"/>
    <n v="0"/>
    <n v="0"/>
    <n v="8"/>
    <n v="8"/>
    <n v="16"/>
    <n v="1"/>
    <n v="0"/>
    <n v="0"/>
    <n v="0"/>
    <n v="1"/>
    <n v="0"/>
    <n v="0"/>
    <n v="0"/>
    <n v="0"/>
    <n v="8"/>
    <n v="0"/>
    <n v="0"/>
    <n v="10"/>
    <n v="0"/>
    <n v="0.48639598832726649"/>
    <n v="1.08652546240644"/>
    <n v="0.1644554352117841"/>
    <n v="0.48834154112957734"/>
    <n v="9.9604847176766084E-2"/>
    <n v="8.3401599596422994E-3"/>
    <n v="0.67891464284095016"/>
  </r>
  <r>
    <n v="39"/>
    <n v="39"/>
    <s v="No"/>
    <n v="0"/>
    <s v="Travel_Frequently"/>
    <n v="1"/>
    <n v="0"/>
    <x v="0"/>
    <n v="0"/>
    <n v="1"/>
    <n v="20"/>
    <n v="20"/>
    <n v="3"/>
    <s v="Life Sciences"/>
    <n v="1"/>
    <n v="0"/>
    <n v="0"/>
    <n v="0"/>
    <n v="0"/>
    <n v="3"/>
    <s v="Male"/>
    <n v="0"/>
    <n v="83"/>
    <n v="3"/>
    <n v="2"/>
    <s v="Sales Executive"/>
    <n v="0"/>
    <n v="1"/>
    <n v="0"/>
    <n v="0"/>
    <n v="0"/>
    <n v="0"/>
    <n v="0"/>
    <n v="0"/>
    <n v="4"/>
    <s v="Divorced"/>
    <n v="0"/>
    <n v="0"/>
    <n v="4127"/>
    <n v="4127"/>
    <n v="2"/>
    <s v="No"/>
    <n v="0"/>
    <n v="18"/>
    <n v="3"/>
    <n v="4"/>
    <n v="1"/>
    <n v="7"/>
    <x v="2"/>
    <n v="6"/>
    <n v="3"/>
    <n v="2"/>
    <n v="2"/>
    <n v="1"/>
    <n v="2"/>
    <n v="2"/>
    <n v="2"/>
    <n v="2"/>
    <n v="4"/>
    <n v="0"/>
    <n v="0"/>
    <n v="1"/>
    <n v="0"/>
    <n v="1"/>
    <n v="0"/>
    <n v="0"/>
    <n v="0"/>
    <n v="0"/>
    <n v="0"/>
    <n v="2"/>
    <n v="0"/>
    <n v="0"/>
    <n v="7"/>
    <n v="0.50466293595702127"/>
    <n v="0.59502473559756086"/>
    <n v="0.55002080963175637"/>
    <n v="0.81745575848020657"/>
    <n v="1.3331273859286286"/>
    <n v="0.22726935890025346"/>
    <n v="5.8265062631872602E-2"/>
  </r>
  <r>
    <n v="43"/>
    <n v="43"/>
    <s v="No"/>
    <n v="0"/>
    <s v="Non-Travel"/>
    <n v="0"/>
    <n v="0"/>
    <x v="1"/>
    <n v="1"/>
    <n v="0"/>
    <n v="9"/>
    <n v="9"/>
    <n v="3"/>
    <s v="Life Sciences"/>
    <n v="1"/>
    <n v="0"/>
    <n v="0"/>
    <n v="0"/>
    <n v="0"/>
    <n v="1"/>
    <s v="Male"/>
    <n v="0"/>
    <n v="52"/>
    <n v="3"/>
    <n v="1"/>
    <s v="Research Scientist"/>
    <n v="0"/>
    <n v="0"/>
    <n v="0"/>
    <n v="0"/>
    <n v="0"/>
    <n v="0"/>
    <n v="0"/>
    <n v="1"/>
    <n v="3"/>
    <s v="Single"/>
    <n v="1"/>
    <n v="0"/>
    <n v="2438"/>
    <n v="2438"/>
    <n v="4"/>
    <s v="No"/>
    <n v="0"/>
    <n v="13"/>
    <n v="3"/>
    <n v="3"/>
    <n v="0"/>
    <n v="7"/>
    <x v="2"/>
    <n v="2"/>
    <n v="2"/>
    <n v="3"/>
    <n v="3"/>
    <n v="2"/>
    <n v="1"/>
    <n v="1"/>
    <n v="2"/>
    <n v="2"/>
    <n v="2"/>
    <n v="1"/>
    <n v="0"/>
    <n v="0"/>
    <n v="0"/>
    <n v="1"/>
    <n v="0"/>
    <n v="0"/>
    <n v="0"/>
    <n v="0"/>
    <n v="2"/>
    <n v="0"/>
    <n v="0"/>
    <n v="7"/>
    <n v="0"/>
    <n v="0.86341729115069432"/>
    <n v="0.59502473559756086"/>
    <n v="0.55002080963175637"/>
    <n v="0.65423109602898355"/>
    <n v="2.3747406698420157E-2"/>
    <n v="0.66512775678147573"/>
    <n v="0.36858985273641137"/>
  </r>
  <r>
    <n v="41"/>
    <n v="41"/>
    <s v="No"/>
    <n v="0"/>
    <s v="Travel_Rarely"/>
    <n v="0"/>
    <n v="1"/>
    <x v="1"/>
    <n v="1"/>
    <n v="0"/>
    <n v="5"/>
    <n v="5"/>
    <n v="3"/>
    <s v="Life Sciences"/>
    <n v="1"/>
    <n v="0"/>
    <n v="0"/>
    <n v="0"/>
    <n v="0"/>
    <n v="2"/>
    <s v="Male"/>
    <n v="0"/>
    <n v="85"/>
    <n v="4"/>
    <n v="2"/>
    <s v="Healthcare Representative"/>
    <n v="1"/>
    <n v="0"/>
    <n v="0"/>
    <n v="0"/>
    <n v="0"/>
    <n v="0"/>
    <n v="0"/>
    <n v="0"/>
    <n v="2"/>
    <s v="Single"/>
    <n v="1"/>
    <n v="0"/>
    <n v="6870"/>
    <n v="6870"/>
    <n v="3"/>
    <s v="No"/>
    <n v="0"/>
    <n v="12"/>
    <n v="3"/>
    <n v="1"/>
    <n v="0"/>
    <n v="11"/>
    <x v="26"/>
    <n v="3"/>
    <n v="1"/>
    <n v="3"/>
    <n v="3"/>
    <n v="2"/>
    <n v="1"/>
    <n v="1"/>
    <n v="2"/>
    <n v="2"/>
    <n v="4"/>
    <n v="1"/>
    <n v="0"/>
    <n v="0"/>
    <n v="0"/>
    <n v="1"/>
    <n v="0"/>
    <n v="0"/>
    <n v="0"/>
    <n v="0"/>
    <n v="2"/>
    <n v="0"/>
    <n v="0"/>
    <n v="11"/>
    <n v="0"/>
    <n v="7.7967730885042108E-2"/>
    <n v="0.59502473559756086"/>
    <n v="3.593364373846001E-2"/>
    <n v="0.65423109602898355"/>
    <n v="0.51715642219916513"/>
    <n v="0.4461985578408646"/>
    <n v="0.36858985273641137"/>
  </r>
  <r>
    <n v="41"/>
    <n v="41"/>
    <s v="No"/>
    <n v="0"/>
    <s v="Travel_Rarely"/>
    <n v="0"/>
    <n v="1"/>
    <x v="0"/>
    <n v="0"/>
    <n v="1"/>
    <n v="4"/>
    <n v="4"/>
    <n v="1"/>
    <s v="Marketing"/>
    <n v="0"/>
    <n v="0"/>
    <n v="0"/>
    <n v="1"/>
    <n v="0"/>
    <n v="3"/>
    <s v="Female"/>
    <n v="1"/>
    <n v="81"/>
    <n v="3"/>
    <n v="3"/>
    <s v="Sales Executive"/>
    <n v="0"/>
    <n v="1"/>
    <n v="0"/>
    <n v="0"/>
    <n v="0"/>
    <n v="0"/>
    <n v="0"/>
    <n v="0"/>
    <n v="3"/>
    <s v="Divorced"/>
    <n v="0"/>
    <n v="0"/>
    <n v="10447"/>
    <n v="10447"/>
    <n v="0"/>
    <s v="Yes"/>
    <n v="1"/>
    <n v="13"/>
    <n v="3"/>
    <n v="4"/>
    <n v="1"/>
    <n v="23"/>
    <x v="17"/>
    <n v="3"/>
    <n v="4"/>
    <n v="22"/>
    <n v="22"/>
    <n v="14"/>
    <n v="13"/>
    <n v="13"/>
    <n v="5"/>
    <n v="5"/>
    <n v="15"/>
    <n v="1"/>
    <n v="0"/>
    <n v="0"/>
    <n v="0"/>
    <n v="0"/>
    <n v="1"/>
    <n v="0"/>
    <n v="0"/>
    <n v="0"/>
    <n v="0"/>
    <n v="5"/>
    <n v="0"/>
    <n v="0"/>
    <n v="23"/>
    <n v="0.83774530846216966"/>
    <n v="0.24575036340443959"/>
    <n v="1.5063278539414293"/>
    <n v="2.4470374905442531"/>
    <n v="0.64050867607435136"/>
    <n v="0.4461985578408646"/>
    <n v="3.3553076285180543"/>
  </r>
  <r>
    <n v="30"/>
    <n v="30"/>
    <s v="No"/>
    <n v="0"/>
    <s v="Travel_Rarely"/>
    <n v="0"/>
    <n v="1"/>
    <x v="1"/>
    <n v="1"/>
    <n v="0"/>
    <n v="10"/>
    <n v="10"/>
    <n v="3"/>
    <s v="Medical"/>
    <n v="0"/>
    <n v="0"/>
    <n v="1"/>
    <n v="0"/>
    <n v="0"/>
    <n v="1"/>
    <s v="Female"/>
    <n v="1"/>
    <n v="64"/>
    <n v="3"/>
    <n v="3"/>
    <s v="Manufacturing Director"/>
    <n v="0"/>
    <n v="0"/>
    <n v="0"/>
    <n v="0"/>
    <n v="1"/>
    <n v="1"/>
    <n v="0"/>
    <n v="0"/>
    <n v="3"/>
    <s v="Single"/>
    <n v="1"/>
    <n v="0"/>
    <n v="9667"/>
    <n v="9667"/>
    <n v="9"/>
    <s v="No"/>
    <n v="0"/>
    <n v="14"/>
    <n v="3"/>
    <n v="2"/>
    <n v="0"/>
    <n v="9"/>
    <x v="14"/>
    <n v="3"/>
    <n v="3"/>
    <n v="7"/>
    <n v="7"/>
    <n v="7"/>
    <n v="0"/>
    <n v="0"/>
    <n v="2"/>
    <n v="2"/>
    <n v="6"/>
    <n v="1"/>
    <n v="0"/>
    <n v="0"/>
    <n v="0"/>
    <n v="1"/>
    <n v="0"/>
    <n v="0"/>
    <n v="0"/>
    <n v="0"/>
    <n v="2"/>
    <n v="0"/>
    <n v="0"/>
    <n v="9"/>
    <n v="0"/>
    <n v="0.67206834158764928"/>
    <n v="0.59502473559756086"/>
    <n v="0.29297722668510823"/>
    <n v="1.3324462240916321E-3"/>
    <n v="9.9604847176766084E-2"/>
    <n v="0.75791203633249671"/>
    <n v="0.67891464284095016"/>
  </r>
  <r>
    <n v="26"/>
    <n v="26"/>
    <s v="Yes"/>
    <n v="1"/>
    <s v="Travel_Rarely"/>
    <n v="0"/>
    <n v="1"/>
    <x v="2"/>
    <n v="0"/>
    <n v="0"/>
    <n v="20"/>
    <n v="20"/>
    <n v="2"/>
    <s v="Medical"/>
    <n v="0"/>
    <n v="0"/>
    <n v="1"/>
    <n v="0"/>
    <n v="0"/>
    <n v="4"/>
    <s v="Female"/>
    <n v="1"/>
    <n v="69"/>
    <n v="3"/>
    <n v="1"/>
    <s v="Human Resources"/>
    <n v="0"/>
    <n v="0"/>
    <n v="0"/>
    <n v="0"/>
    <n v="0"/>
    <n v="0"/>
    <n v="0"/>
    <n v="0"/>
    <n v="2"/>
    <s v="Married"/>
    <n v="0"/>
    <n v="1"/>
    <n v="2148"/>
    <n v="2148"/>
    <n v="0"/>
    <s v="Yes"/>
    <n v="1"/>
    <n v="11"/>
    <n v="3"/>
    <n v="3"/>
    <n v="0"/>
    <n v="6"/>
    <x v="3"/>
    <n v="3"/>
    <n v="3"/>
    <n v="5"/>
    <n v="5"/>
    <n v="1"/>
    <n v="1"/>
    <n v="1"/>
    <n v="4"/>
    <n v="4"/>
    <n v="4"/>
    <n v="0"/>
    <n v="1"/>
    <n v="0"/>
    <n v="0"/>
    <n v="0"/>
    <n v="0"/>
    <n v="0"/>
    <n v="1"/>
    <n v="4"/>
    <n v="0"/>
    <n v="0"/>
    <n v="6"/>
    <n v="0"/>
    <n v="0"/>
    <n v="0.92501513780916989"/>
    <n v="3.4508002929560584E-2"/>
    <n v="0.67854260110508058"/>
    <n v="0.32778177112653761"/>
    <n v="1.3331273859286286"/>
    <n v="1.195770434213719"/>
    <n v="0.36858985273641137"/>
  </r>
  <r>
    <n v="46"/>
    <n v="46"/>
    <s v="Yes"/>
    <n v="1"/>
    <s v="Travel_Rarely"/>
    <n v="0"/>
    <n v="1"/>
    <x v="1"/>
    <n v="1"/>
    <n v="0"/>
    <n v="21"/>
    <n v="21"/>
    <n v="2"/>
    <s v="Medical"/>
    <n v="0"/>
    <n v="0"/>
    <n v="1"/>
    <n v="0"/>
    <n v="0"/>
    <n v="4"/>
    <s v="Female"/>
    <n v="1"/>
    <n v="66"/>
    <n v="3"/>
    <n v="2"/>
    <s v="Healthcare Representative"/>
    <n v="1"/>
    <n v="0"/>
    <n v="0"/>
    <n v="0"/>
    <n v="0"/>
    <n v="0"/>
    <n v="0"/>
    <n v="0"/>
    <n v="2"/>
    <s v="Married"/>
    <n v="0"/>
    <n v="1"/>
    <n v="8926"/>
    <n v="8926"/>
    <n v="4"/>
    <s v="No"/>
    <n v="0"/>
    <n v="22"/>
    <n v="4"/>
    <n v="4"/>
    <n v="1"/>
    <n v="13"/>
    <x v="10"/>
    <n v="2"/>
    <n v="4"/>
    <n v="9"/>
    <n v="9"/>
    <n v="7"/>
    <n v="3"/>
    <n v="3"/>
    <n v="7"/>
    <n v="7"/>
    <n v="14"/>
    <n v="0"/>
    <n v="1"/>
    <n v="0"/>
    <n v="0"/>
    <n v="0"/>
    <n v="0"/>
    <n v="1"/>
    <n v="0"/>
    <n v="0"/>
    <n v="7"/>
    <n v="0"/>
    <n v="0"/>
    <n v="13"/>
    <n v="0"/>
    <n v="0.51467522305685487"/>
    <n v="0.80626709607243985"/>
    <n v="0.22110993920818819"/>
    <n v="0.32511687867835437"/>
    <n v="1.4564796398038149"/>
    <n v="0.99352155519239249"/>
    <n v="0.2520597274726662"/>
  </r>
  <r>
    <n v="40"/>
    <n v="40"/>
    <s v="No"/>
    <n v="0"/>
    <s v="Travel_Rarely"/>
    <n v="0"/>
    <n v="1"/>
    <x v="1"/>
    <n v="1"/>
    <n v="0"/>
    <n v="1"/>
    <n v="1"/>
    <n v="3"/>
    <s v="Life Sciences"/>
    <n v="1"/>
    <n v="0"/>
    <n v="0"/>
    <n v="0"/>
    <n v="0"/>
    <n v="3"/>
    <s v="Female"/>
    <n v="1"/>
    <n v="52"/>
    <n v="3"/>
    <n v="2"/>
    <s v="Healthcare Representative"/>
    <n v="1"/>
    <n v="0"/>
    <n v="0"/>
    <n v="0"/>
    <n v="0"/>
    <n v="0"/>
    <n v="0"/>
    <n v="0"/>
    <n v="4"/>
    <s v="Divorced"/>
    <n v="0"/>
    <n v="0"/>
    <n v="6513"/>
    <n v="6513"/>
    <n v="4"/>
    <s v="No"/>
    <n v="0"/>
    <n v="17"/>
    <n v="3"/>
    <n v="4"/>
    <n v="1"/>
    <n v="12"/>
    <x v="4"/>
    <n v="3"/>
    <n v="3"/>
    <n v="5"/>
    <n v="5"/>
    <n v="3"/>
    <n v="0"/>
    <n v="0"/>
    <n v="3"/>
    <n v="3"/>
    <n v="6"/>
    <n v="1"/>
    <n v="0"/>
    <n v="0"/>
    <n v="0"/>
    <n v="1"/>
    <n v="0"/>
    <n v="0"/>
    <n v="0"/>
    <n v="0"/>
    <n v="3"/>
    <n v="0"/>
    <n v="0"/>
    <n v="12"/>
    <n v="0"/>
    <n v="2.13865758478085E-3"/>
    <n v="0.31476636926356072"/>
    <n v="9.2588147734864096E-2"/>
    <n v="0.32778177112653761"/>
    <n v="1.01056543769991"/>
    <n v="0.33673395837055903"/>
    <n v="0.67891464284095016"/>
  </r>
  <r>
    <n v="34"/>
    <n v="34"/>
    <s v="No"/>
    <n v="0"/>
    <s v="Travel_Rarely"/>
    <n v="0"/>
    <n v="1"/>
    <x v="0"/>
    <n v="0"/>
    <n v="1"/>
    <n v="8"/>
    <n v="8"/>
    <n v="2"/>
    <s v="Technical Degree"/>
    <n v="0"/>
    <n v="0"/>
    <n v="0"/>
    <n v="0"/>
    <n v="1"/>
    <n v="2"/>
    <s v="Male"/>
    <n v="0"/>
    <n v="92"/>
    <n v="4"/>
    <n v="2"/>
    <s v="Sales Executive"/>
    <n v="0"/>
    <n v="1"/>
    <n v="0"/>
    <n v="0"/>
    <n v="0"/>
    <n v="0"/>
    <n v="0"/>
    <n v="0"/>
    <n v="3"/>
    <s v="Married"/>
    <n v="0"/>
    <n v="1"/>
    <n v="6799"/>
    <n v="6799"/>
    <n v="1"/>
    <s v="No"/>
    <n v="0"/>
    <n v="21"/>
    <n v="4"/>
    <n v="3"/>
    <n v="2"/>
    <n v="10"/>
    <x v="1"/>
    <n v="5"/>
    <n v="3"/>
    <n v="10"/>
    <n v="10"/>
    <n v="8"/>
    <n v="4"/>
    <n v="4"/>
    <n v="8"/>
    <n v="8"/>
    <n v="16"/>
    <n v="0"/>
    <n v="1"/>
    <n v="0"/>
    <n v="0"/>
    <n v="0"/>
    <n v="0"/>
    <n v="1"/>
    <n v="0"/>
    <n v="0"/>
    <n v="0"/>
    <n v="8"/>
    <n v="0"/>
    <n v="0"/>
    <n v="10"/>
    <n v="6.2886878772104998E-2"/>
    <n v="1.08652546240644"/>
    <n v="0.1644554352117841"/>
    <n v="0.48834154112957734"/>
    <n v="0.14709966057360641"/>
    <n v="0.32005363845127444"/>
    <n v="0.56238451757720498"/>
  </r>
  <r>
    <n v="58"/>
    <n v="58"/>
    <s v="No"/>
    <n v="0"/>
    <s v="Non-Travel"/>
    <n v="0"/>
    <n v="0"/>
    <x v="0"/>
    <n v="0"/>
    <n v="1"/>
    <n v="2"/>
    <n v="2"/>
    <n v="3"/>
    <s v="Medical"/>
    <n v="0"/>
    <n v="0"/>
    <n v="1"/>
    <n v="0"/>
    <n v="0"/>
    <n v="2"/>
    <s v="Male"/>
    <n v="0"/>
    <n v="52"/>
    <n v="3"/>
    <n v="4"/>
    <s v="Manager"/>
    <n v="0"/>
    <n v="0"/>
    <n v="0"/>
    <n v="1"/>
    <n v="0"/>
    <n v="0"/>
    <n v="0"/>
    <n v="0"/>
    <n v="2"/>
    <s v="Divorced"/>
    <n v="0"/>
    <n v="0"/>
    <n v="16291"/>
    <n v="16291"/>
    <n v="4"/>
    <s v="No"/>
    <n v="0"/>
    <n v="22"/>
    <n v="4"/>
    <n v="4"/>
    <n v="1"/>
    <n v="37"/>
    <x v="28"/>
    <n v="0"/>
    <n v="2"/>
    <n v="16"/>
    <n v="16"/>
    <n v="9"/>
    <n v="14"/>
    <n v="14"/>
    <n v="14"/>
    <n v="14"/>
    <n v="56"/>
    <n v="1"/>
    <n v="0"/>
    <n v="0"/>
    <n v="0"/>
    <n v="1"/>
    <n v="0"/>
    <n v="0"/>
    <n v="0"/>
    <n v="0"/>
    <n v="0"/>
    <n v="14"/>
    <n v="0"/>
    <n v="0"/>
    <n v="35"/>
    <n v="2.0790481218143455"/>
    <n v="2.7680756604104411"/>
    <n v="3.3056329345679663"/>
    <n v="1.4676895158369152"/>
    <n v="0.88721318382472392"/>
    <n v="2.3070967488360594"/>
    <n v="3.665632418622593"/>
  </r>
  <r>
    <n v="35"/>
    <n v="35"/>
    <s v="No"/>
    <n v="0"/>
    <s v="Travel_Rarely"/>
    <n v="0"/>
    <n v="1"/>
    <x v="1"/>
    <n v="1"/>
    <n v="0"/>
    <n v="23"/>
    <n v="23"/>
    <n v="4"/>
    <s v="Medical"/>
    <n v="0"/>
    <n v="0"/>
    <n v="1"/>
    <n v="0"/>
    <n v="0"/>
    <n v="2"/>
    <s v="Male"/>
    <n v="0"/>
    <n v="91"/>
    <n v="1"/>
    <n v="1"/>
    <s v="Laboratory Technician"/>
    <n v="0"/>
    <n v="0"/>
    <n v="1"/>
    <n v="0"/>
    <n v="0"/>
    <n v="0"/>
    <n v="0"/>
    <n v="0"/>
    <n v="3"/>
    <s v="Married"/>
    <n v="0"/>
    <n v="1"/>
    <n v="2705"/>
    <n v="2705"/>
    <n v="0"/>
    <s v="No"/>
    <n v="0"/>
    <n v="16"/>
    <n v="3"/>
    <n v="2"/>
    <n v="1"/>
    <n v="6"/>
    <x v="3"/>
    <n v="2"/>
    <n v="4"/>
    <n v="5"/>
    <n v="5"/>
    <n v="4"/>
    <n v="0"/>
    <n v="0"/>
    <n v="3"/>
    <n v="3"/>
    <n v="3"/>
    <n v="0"/>
    <n v="1"/>
    <n v="0"/>
    <n v="0"/>
    <n v="0"/>
    <n v="0"/>
    <n v="1"/>
    <n v="0"/>
    <n v="0"/>
    <n v="3"/>
    <n v="0"/>
    <n v="0"/>
    <n v="6"/>
    <n v="0"/>
    <n v="0.80670479095133929"/>
    <n v="0.31476636926356072"/>
    <n v="0.67854260110508058"/>
    <n v="0.32778177112653761"/>
    <n v="1.7031841475541873"/>
    <n v="0.21058903898096887"/>
    <n v="0.67891464284095016"/>
  </r>
  <r>
    <n v="47"/>
    <n v="47"/>
    <s v="No"/>
    <n v="0"/>
    <s v="Travel_Rarely"/>
    <n v="0"/>
    <n v="1"/>
    <x v="1"/>
    <n v="1"/>
    <n v="0"/>
    <n v="4"/>
    <n v="4"/>
    <n v="3"/>
    <s v="Life Sciences"/>
    <n v="1"/>
    <n v="0"/>
    <n v="0"/>
    <n v="0"/>
    <n v="0"/>
    <n v="3"/>
    <s v="Female"/>
    <n v="1"/>
    <n v="92"/>
    <n v="2"/>
    <n v="3"/>
    <s v="Manufacturing Director"/>
    <n v="0"/>
    <n v="0"/>
    <n v="0"/>
    <n v="0"/>
    <n v="1"/>
    <n v="1"/>
    <n v="0"/>
    <n v="0"/>
    <n v="2"/>
    <s v="Divorced"/>
    <n v="0"/>
    <n v="0"/>
    <n v="10333"/>
    <n v="10333"/>
    <n v="8"/>
    <s v="Yes"/>
    <n v="1"/>
    <n v="12"/>
    <n v="3"/>
    <n v="3"/>
    <n v="1"/>
    <n v="28"/>
    <x v="22"/>
    <n v="4"/>
    <n v="3"/>
    <n v="22"/>
    <n v="22"/>
    <n v="11"/>
    <n v="14"/>
    <n v="14"/>
    <n v="10"/>
    <n v="10"/>
    <n v="30"/>
    <n v="1"/>
    <n v="0"/>
    <n v="0"/>
    <n v="0"/>
    <n v="0"/>
    <n v="1"/>
    <n v="0"/>
    <n v="0"/>
    <n v="0"/>
    <n v="10"/>
    <n v="0"/>
    <n v="0"/>
    <n v="28"/>
    <n v="0"/>
    <n v="0.81353098253435518"/>
    <n v="1.6470421950744405"/>
    <n v="2.1489368113080496"/>
    <n v="2.4470374905442531"/>
    <n v="0.64050867607435136"/>
    <n v="1.102986154662698"/>
    <n v="3.665632418622593"/>
  </r>
  <r>
    <n v="40"/>
    <n v="40"/>
    <s v="No"/>
    <n v="0"/>
    <s v="Travel_Rarely"/>
    <n v="0"/>
    <n v="1"/>
    <x v="1"/>
    <n v="1"/>
    <n v="0"/>
    <n v="12"/>
    <n v="12"/>
    <n v="3"/>
    <s v="Life Sciences"/>
    <n v="1"/>
    <n v="0"/>
    <n v="0"/>
    <n v="0"/>
    <n v="0"/>
    <n v="2"/>
    <s v="Female"/>
    <n v="1"/>
    <n v="47"/>
    <n v="3"/>
    <n v="2"/>
    <s v="Healthcare Representative"/>
    <n v="1"/>
    <n v="0"/>
    <n v="0"/>
    <n v="0"/>
    <n v="0"/>
    <n v="0"/>
    <n v="0"/>
    <n v="0"/>
    <n v="1"/>
    <s v="Divorced"/>
    <n v="0"/>
    <n v="0"/>
    <n v="4448"/>
    <n v="4448"/>
    <n v="2"/>
    <s v="No"/>
    <n v="0"/>
    <n v="12"/>
    <n v="3"/>
    <n v="2"/>
    <n v="1"/>
    <n v="15"/>
    <x v="19"/>
    <n v="3"/>
    <n v="3"/>
    <n v="7"/>
    <n v="7"/>
    <n v="4"/>
    <n v="7"/>
    <n v="7"/>
    <n v="7"/>
    <n v="7"/>
    <n v="14"/>
    <n v="1"/>
    <n v="0"/>
    <n v="0"/>
    <n v="0"/>
    <n v="1"/>
    <n v="0"/>
    <n v="0"/>
    <n v="0"/>
    <n v="0"/>
    <n v="7"/>
    <n v="0"/>
    <n v="0"/>
    <n v="15"/>
    <n v="0"/>
    <n v="0.43648049189712251"/>
    <n v="0.80626709607243985"/>
    <n v="0.47815352215483642"/>
    <n v="1.3324462240916321E-3"/>
    <n v="0.3463093549271386"/>
    <n v="0.33673395837055903"/>
    <n v="1.4933588878908215"/>
  </r>
  <r>
    <n v="54"/>
    <n v="54"/>
    <s v="No"/>
    <n v="0"/>
    <s v="Travel_Rarely"/>
    <n v="0"/>
    <n v="1"/>
    <x v="1"/>
    <n v="1"/>
    <n v="0"/>
    <n v="7"/>
    <n v="7"/>
    <n v="4"/>
    <s v="Medical"/>
    <n v="0"/>
    <n v="0"/>
    <n v="1"/>
    <n v="0"/>
    <n v="0"/>
    <n v="4"/>
    <s v="Female"/>
    <n v="1"/>
    <n v="68"/>
    <n v="3"/>
    <n v="2"/>
    <s v="Research Scientist"/>
    <n v="0"/>
    <n v="0"/>
    <n v="0"/>
    <n v="0"/>
    <n v="0"/>
    <n v="0"/>
    <n v="0"/>
    <n v="1"/>
    <n v="4"/>
    <s v="Married"/>
    <n v="0"/>
    <n v="1"/>
    <n v="6854"/>
    <n v="6854"/>
    <n v="4"/>
    <s v="No"/>
    <n v="0"/>
    <n v="15"/>
    <n v="3"/>
    <n v="2"/>
    <n v="1"/>
    <n v="14"/>
    <x v="18"/>
    <n v="2"/>
    <n v="2"/>
    <n v="7"/>
    <n v="7"/>
    <n v="1"/>
    <n v="1"/>
    <n v="1"/>
    <n v="7"/>
    <n v="7"/>
    <n v="14"/>
    <n v="0"/>
    <n v="1"/>
    <n v="0"/>
    <n v="0"/>
    <n v="0"/>
    <n v="0"/>
    <n v="1"/>
    <n v="0"/>
    <n v="0"/>
    <n v="7"/>
    <n v="0"/>
    <n v="0"/>
    <n v="14"/>
    <n v="0"/>
    <n v="7.4569229000436568E-2"/>
    <n v="0.80626709607243985"/>
    <n v="0.34963173068151232"/>
    <n v="1.3324462240916321E-3"/>
    <n v="0.27045191444879263"/>
    <n v="1.8692383509548371"/>
    <n v="0.36858985273641137"/>
  </r>
  <r>
    <n v="31"/>
    <n v="31"/>
    <s v="No"/>
    <n v="0"/>
    <s v="Travel_Frequently"/>
    <n v="1"/>
    <n v="0"/>
    <x v="0"/>
    <n v="0"/>
    <n v="1"/>
    <n v="7"/>
    <n v="7"/>
    <n v="4"/>
    <s v="Marketing"/>
    <n v="0"/>
    <n v="0"/>
    <n v="0"/>
    <n v="1"/>
    <n v="0"/>
    <n v="1"/>
    <s v="Female"/>
    <n v="1"/>
    <n v="68"/>
    <n v="3"/>
    <n v="3"/>
    <s v="Sales Executive"/>
    <n v="0"/>
    <n v="1"/>
    <n v="0"/>
    <n v="0"/>
    <n v="0"/>
    <n v="0"/>
    <n v="0"/>
    <n v="0"/>
    <n v="1"/>
    <s v="Married"/>
    <n v="0"/>
    <n v="1"/>
    <n v="9637"/>
    <n v="9637"/>
    <n v="2"/>
    <s v="No"/>
    <n v="0"/>
    <n v="14"/>
    <n v="3"/>
    <n v="4"/>
    <n v="2"/>
    <n v="9"/>
    <x v="14"/>
    <n v="3"/>
    <n v="3"/>
    <n v="3"/>
    <n v="3"/>
    <n v="2"/>
    <n v="2"/>
    <n v="2"/>
    <n v="2"/>
    <n v="2"/>
    <n v="6"/>
    <n v="0"/>
    <n v="0"/>
    <n v="0"/>
    <n v="1"/>
    <n v="0"/>
    <n v="0"/>
    <n v="1"/>
    <n v="0"/>
    <n v="0"/>
    <n v="0"/>
    <n v="2"/>
    <n v="0"/>
    <n v="0"/>
    <n v="9"/>
    <n v="0.66569615055401388"/>
    <n v="0.59502473559756086"/>
    <n v="0.29297722668510823"/>
    <n v="0.65423109602898355"/>
    <n v="0.27045191444879263"/>
    <n v="0.6484474368621912"/>
    <n v="5.8265062631872602E-2"/>
  </r>
  <r>
    <n v="28"/>
    <n v="28"/>
    <s v="No"/>
    <n v="0"/>
    <s v="Travel_Rarely"/>
    <n v="0"/>
    <n v="1"/>
    <x v="1"/>
    <n v="1"/>
    <n v="0"/>
    <n v="1"/>
    <n v="1"/>
    <n v="3"/>
    <s v="Medical"/>
    <n v="0"/>
    <n v="0"/>
    <n v="1"/>
    <n v="0"/>
    <n v="0"/>
    <n v="3"/>
    <s v="Female"/>
    <n v="1"/>
    <n v="67"/>
    <n v="3"/>
    <n v="1"/>
    <s v="Research Scientist"/>
    <n v="0"/>
    <n v="0"/>
    <n v="0"/>
    <n v="0"/>
    <n v="0"/>
    <n v="0"/>
    <n v="0"/>
    <n v="1"/>
    <n v="1"/>
    <s v="Married"/>
    <n v="0"/>
    <n v="1"/>
    <n v="3591"/>
    <n v="3591"/>
    <n v="1"/>
    <s v="No"/>
    <n v="0"/>
    <n v="25"/>
    <n v="4"/>
    <n v="3"/>
    <n v="1"/>
    <n v="3"/>
    <x v="8"/>
    <n v="3"/>
    <n v="3"/>
    <n v="3"/>
    <n v="3"/>
    <n v="2"/>
    <n v="1"/>
    <n v="1"/>
    <n v="2"/>
    <n v="2"/>
    <n v="2"/>
    <n v="0"/>
    <n v="1"/>
    <n v="0"/>
    <n v="0"/>
    <n v="0"/>
    <n v="0"/>
    <n v="1"/>
    <n v="0"/>
    <n v="0"/>
    <n v="2"/>
    <n v="0"/>
    <n v="0"/>
    <n v="3"/>
    <n v="0"/>
    <n v="0.61851274909130716"/>
    <n v="0.59502473559756086"/>
    <n v="1.0641079755250529"/>
    <n v="0.65423109602898355"/>
    <n v="1.01056543769991"/>
    <n v="0.97684123527310796"/>
    <n v="0.36858985273641137"/>
  </r>
  <r>
    <n v="38"/>
    <n v="38"/>
    <s v="No"/>
    <n v="0"/>
    <s v="Travel_Rarely"/>
    <n v="0"/>
    <n v="1"/>
    <x v="0"/>
    <n v="0"/>
    <n v="1"/>
    <n v="2"/>
    <n v="2"/>
    <n v="4"/>
    <s v="Marketing"/>
    <n v="0"/>
    <n v="0"/>
    <n v="0"/>
    <n v="1"/>
    <n v="0"/>
    <n v="2"/>
    <s v="Female"/>
    <n v="1"/>
    <n v="77"/>
    <n v="1"/>
    <n v="2"/>
    <s v="Sales Representative"/>
    <n v="0"/>
    <n v="0"/>
    <n v="0"/>
    <n v="0"/>
    <n v="0"/>
    <n v="0"/>
    <n v="1"/>
    <n v="0"/>
    <n v="4"/>
    <s v="Married"/>
    <n v="0"/>
    <n v="1"/>
    <n v="5405"/>
    <n v="5405"/>
    <n v="2"/>
    <s v="Yes"/>
    <n v="1"/>
    <n v="20"/>
    <n v="4"/>
    <n v="1"/>
    <n v="2"/>
    <n v="20"/>
    <x v="25"/>
    <n v="4"/>
    <n v="2"/>
    <n v="4"/>
    <n v="4"/>
    <n v="2"/>
    <n v="0"/>
    <n v="0"/>
    <n v="3"/>
    <n v="3"/>
    <n v="6"/>
    <n v="0"/>
    <n v="1"/>
    <n v="0"/>
    <n v="0"/>
    <n v="0"/>
    <n v="0"/>
    <n v="0"/>
    <n v="1"/>
    <n v="0"/>
    <n v="0"/>
    <n v="3"/>
    <n v="0"/>
    <n v="0"/>
    <n v="20"/>
    <n v="0.23320759792415327"/>
    <n v="0.31476636926356072"/>
    <n v="1.120762479521457"/>
    <n v="0.49100643357776058"/>
    <n v="0.88721318382472392"/>
    <n v="0.11780475942994788"/>
    <n v="0.67891464284095016"/>
  </r>
  <r>
    <n v="26"/>
    <n v="26"/>
    <s v="No"/>
    <n v="0"/>
    <s v="Travel_Rarely"/>
    <n v="0"/>
    <n v="1"/>
    <x v="0"/>
    <n v="0"/>
    <n v="1"/>
    <n v="10"/>
    <n v="10"/>
    <n v="3"/>
    <s v="Medical"/>
    <n v="0"/>
    <n v="0"/>
    <n v="1"/>
    <n v="0"/>
    <n v="0"/>
    <n v="3"/>
    <s v="Male"/>
    <n v="0"/>
    <n v="46"/>
    <n v="3"/>
    <n v="2"/>
    <s v="Sales Executive"/>
    <n v="0"/>
    <n v="1"/>
    <n v="0"/>
    <n v="0"/>
    <n v="0"/>
    <n v="0"/>
    <n v="0"/>
    <n v="0"/>
    <n v="4"/>
    <s v="Single"/>
    <n v="1"/>
    <n v="0"/>
    <n v="4684"/>
    <n v="4684"/>
    <n v="1"/>
    <s v="No"/>
    <n v="0"/>
    <n v="13"/>
    <n v="3"/>
    <n v="1"/>
    <n v="0"/>
    <n v="5"/>
    <x v="7"/>
    <n v="4"/>
    <n v="3"/>
    <n v="5"/>
    <n v="5"/>
    <n v="3"/>
    <n v="1"/>
    <n v="1"/>
    <n v="2"/>
    <n v="2"/>
    <n v="4"/>
    <n v="1"/>
    <n v="0"/>
    <n v="0"/>
    <n v="0"/>
    <n v="1"/>
    <n v="0"/>
    <n v="0"/>
    <n v="0"/>
    <n v="0"/>
    <n v="0"/>
    <n v="2"/>
    <n v="0"/>
    <n v="0"/>
    <n v="5"/>
    <n v="0.38635258909919074"/>
    <n v="0.59502473559756086"/>
    <n v="0.80706439257840468"/>
    <n v="0.32778177112653761"/>
    <n v="9.9604847176766084E-2"/>
    <n v="1.195770434213719"/>
    <n v="0.36858985273641137"/>
  </r>
  <r>
    <n v="58"/>
    <n v="58"/>
    <s v="No"/>
    <n v="0"/>
    <s v="Travel_Frequently"/>
    <n v="1"/>
    <n v="0"/>
    <x v="1"/>
    <n v="1"/>
    <n v="0"/>
    <n v="15"/>
    <n v="15"/>
    <n v="4"/>
    <s v="Life Sciences"/>
    <n v="1"/>
    <n v="0"/>
    <n v="0"/>
    <n v="0"/>
    <n v="0"/>
    <n v="1"/>
    <s v="Male"/>
    <n v="0"/>
    <n v="87"/>
    <n v="3"/>
    <n v="4"/>
    <s v="Research Director"/>
    <n v="0"/>
    <n v="0"/>
    <n v="0"/>
    <n v="0"/>
    <n v="0"/>
    <n v="0"/>
    <n v="0"/>
    <n v="0"/>
    <n v="3"/>
    <s v="Married"/>
    <n v="0"/>
    <n v="1"/>
    <n v="15787"/>
    <n v="15787"/>
    <n v="2"/>
    <s v="Yes"/>
    <n v="1"/>
    <n v="14"/>
    <n v="3"/>
    <n v="2"/>
    <n v="0"/>
    <n v="23"/>
    <x v="17"/>
    <n v="3"/>
    <n v="3"/>
    <n v="2"/>
    <n v="2"/>
    <n v="2"/>
    <n v="2"/>
    <n v="2"/>
    <n v="2"/>
    <n v="2"/>
    <n v="8"/>
    <n v="0"/>
    <n v="0"/>
    <n v="0"/>
    <n v="1"/>
    <n v="0"/>
    <n v="0"/>
    <n v="0"/>
    <n v="1"/>
    <n v="0"/>
    <n v="2"/>
    <n v="0"/>
    <n v="0"/>
    <n v="23"/>
    <n v="0"/>
    <n v="1.9719953124492708"/>
    <n v="0.59502473559756086"/>
    <n v="1.5063278539414293"/>
    <n v="0.81745575848020657"/>
    <n v="0.71636611655269733"/>
    <n v="2.3070967488360594"/>
    <n v="5.8265062631872602E-2"/>
  </r>
  <r>
    <n v="18"/>
    <n v="19"/>
    <s v="No"/>
    <n v="0"/>
    <s v="Non-Travel"/>
    <n v="0"/>
    <n v="0"/>
    <x v="1"/>
    <n v="1"/>
    <n v="0"/>
    <n v="14"/>
    <n v="14"/>
    <n v="3"/>
    <s v="Medical"/>
    <n v="0"/>
    <n v="0"/>
    <n v="1"/>
    <n v="0"/>
    <n v="0"/>
    <n v="2"/>
    <s v="Female"/>
    <n v="1"/>
    <n v="33"/>
    <n v="3"/>
    <n v="1"/>
    <s v="Research Scientist"/>
    <n v="0"/>
    <n v="0"/>
    <n v="0"/>
    <n v="0"/>
    <n v="0"/>
    <n v="0"/>
    <n v="0"/>
    <n v="1"/>
    <n v="3"/>
    <s v="Single"/>
    <n v="1"/>
    <n v="0"/>
    <n v="1514"/>
    <n v="1514"/>
    <n v="1"/>
    <s v="No"/>
    <n v="0"/>
    <n v="16"/>
    <n v="3"/>
    <n v="3"/>
    <n v="0"/>
    <n v="0"/>
    <x v="5"/>
    <n v="4"/>
    <n v="1"/>
    <n v="0"/>
    <n v="0"/>
    <n v="0"/>
    <n v="0"/>
    <n v="0"/>
    <n v="0"/>
    <n v="0"/>
    <n v="0"/>
    <n v="1"/>
    <n v="0"/>
    <n v="0"/>
    <n v="0"/>
    <n v="1"/>
    <n v="0"/>
    <n v="0"/>
    <n v="0"/>
    <n v="0"/>
    <n v="0"/>
    <n v="0"/>
    <n v="0"/>
    <n v="1"/>
    <n v="0"/>
    <n v="1.0596807749866646"/>
    <n v="1.1555414682655611"/>
    <n v="1.4496733499450252"/>
    <n v="1.1439050833826525"/>
    <n v="0.59301386267751111"/>
    <n v="2.0714872299761637"/>
    <n v="0.67891464284095016"/>
  </r>
  <r>
    <n v="31"/>
    <n v="31"/>
    <s v="Yes"/>
    <n v="1"/>
    <s v="Travel_Rarely"/>
    <n v="0"/>
    <n v="1"/>
    <x v="2"/>
    <n v="0"/>
    <n v="0"/>
    <n v="18"/>
    <n v="18"/>
    <n v="5"/>
    <s v="Human Resources"/>
    <n v="0"/>
    <n v="0"/>
    <n v="0"/>
    <n v="0"/>
    <n v="0"/>
    <n v="4"/>
    <s v="Male"/>
    <n v="0"/>
    <n v="89"/>
    <n v="4"/>
    <n v="1"/>
    <s v="Human Resources"/>
    <n v="0"/>
    <n v="0"/>
    <n v="0"/>
    <n v="0"/>
    <n v="0"/>
    <n v="0"/>
    <n v="0"/>
    <n v="0"/>
    <n v="1"/>
    <s v="Married"/>
    <n v="0"/>
    <n v="1"/>
    <n v="2956"/>
    <n v="2956"/>
    <n v="0"/>
    <s v="No"/>
    <n v="0"/>
    <n v="17"/>
    <n v="3"/>
    <n v="3"/>
    <n v="0"/>
    <n v="2"/>
    <x v="16"/>
    <n v="4"/>
    <n v="3"/>
    <n v="1"/>
    <n v="1"/>
    <n v="0"/>
    <n v="0"/>
    <n v="0"/>
    <n v="0"/>
    <n v="0"/>
    <n v="0"/>
    <n v="0"/>
    <n v="1"/>
    <n v="0"/>
    <n v="0"/>
    <n v="0"/>
    <n v="0"/>
    <n v="1"/>
    <n v="0"/>
    <n v="0"/>
    <n v="0"/>
    <n v="0"/>
    <n v="2"/>
    <n v="0"/>
    <n v="0"/>
    <n v="0.75339079263658981"/>
    <n v="1.1555414682655611"/>
    <n v="1.192629766998377"/>
    <n v="0.9806804209314296"/>
    <n v="1.0864228781782561"/>
    <n v="0.6484474368621912"/>
    <n v="0.67891464284095016"/>
  </r>
  <r>
    <n v="29"/>
    <n v="29"/>
    <s v="Yes"/>
    <n v="1"/>
    <s v="Travel_Rarely"/>
    <n v="0"/>
    <n v="1"/>
    <x v="2"/>
    <n v="0"/>
    <n v="0"/>
    <n v="13"/>
    <n v="13"/>
    <n v="3"/>
    <s v="Human Resources"/>
    <n v="0"/>
    <n v="0"/>
    <n v="0"/>
    <n v="0"/>
    <n v="0"/>
    <n v="1"/>
    <s v="Male"/>
    <n v="0"/>
    <n v="56"/>
    <n v="2"/>
    <n v="1"/>
    <s v="Human Resources"/>
    <n v="0"/>
    <n v="0"/>
    <n v="0"/>
    <n v="0"/>
    <n v="0"/>
    <n v="0"/>
    <n v="0"/>
    <n v="0"/>
    <n v="1"/>
    <s v="Divorced"/>
    <n v="0"/>
    <n v="0"/>
    <n v="2335"/>
    <n v="2335"/>
    <n v="4"/>
    <s v="Yes"/>
    <n v="1"/>
    <n v="15"/>
    <n v="3"/>
    <n v="4"/>
    <n v="3"/>
    <n v="4"/>
    <x v="20"/>
    <n v="3"/>
    <n v="3"/>
    <n v="2"/>
    <n v="2"/>
    <n v="2"/>
    <n v="2"/>
    <n v="2"/>
    <n v="0"/>
    <n v="0"/>
    <n v="0"/>
    <n v="1"/>
    <n v="0"/>
    <n v="0"/>
    <n v="0"/>
    <n v="0"/>
    <n v="1"/>
    <n v="0"/>
    <n v="0"/>
    <n v="0"/>
    <n v="0"/>
    <n v="0"/>
    <n v="4"/>
    <n v="0"/>
    <n v="0"/>
    <n v="0.88529514703284251"/>
    <n v="1.1555414682655611"/>
    <n v="0.93558618405172878"/>
    <n v="0.81745575848020657"/>
    <n v="0.46966160880232483"/>
    <n v="0.86737663580280233"/>
    <n v="5.8265062631872602E-2"/>
  </r>
  <r>
    <n v="45"/>
    <n v="45"/>
    <s v="No"/>
    <n v="0"/>
    <s v="Non-Travel"/>
    <n v="0"/>
    <n v="0"/>
    <x v="0"/>
    <n v="0"/>
    <n v="1"/>
    <n v="2"/>
    <n v="2"/>
    <n v="4"/>
    <s v="Life Sciences"/>
    <n v="1"/>
    <n v="0"/>
    <n v="0"/>
    <n v="0"/>
    <n v="0"/>
    <n v="3"/>
    <s v="Female"/>
    <n v="1"/>
    <n v="67"/>
    <n v="3"/>
    <n v="2"/>
    <s v="Sales Executive"/>
    <n v="0"/>
    <n v="1"/>
    <n v="0"/>
    <n v="0"/>
    <n v="0"/>
    <n v="0"/>
    <n v="0"/>
    <n v="0"/>
    <n v="3"/>
    <s v="Married"/>
    <n v="0"/>
    <n v="1"/>
    <n v="5154"/>
    <n v="5154"/>
    <n v="4"/>
    <s v="No"/>
    <n v="0"/>
    <n v="22"/>
    <n v="4"/>
    <n v="2"/>
    <n v="2"/>
    <n v="10"/>
    <x v="1"/>
    <n v="3"/>
    <n v="4"/>
    <n v="8"/>
    <n v="8"/>
    <n v="7"/>
    <n v="5"/>
    <n v="5"/>
    <n v="7"/>
    <n v="7"/>
    <n v="14"/>
    <n v="0"/>
    <n v="1"/>
    <n v="0"/>
    <n v="0"/>
    <n v="0"/>
    <n v="0"/>
    <n v="1"/>
    <n v="0"/>
    <n v="0"/>
    <n v="0"/>
    <n v="7"/>
    <n v="0"/>
    <n v="0"/>
    <n v="10"/>
    <n v="0.28652159623890278"/>
    <n v="0.80626709607243985"/>
    <n v="0.1644554352117841"/>
    <n v="0.16189221622713135"/>
    <n v="0.88721318382472392"/>
    <n v="0.88405695572208698"/>
    <n v="0.87270930768174382"/>
  </r>
  <r>
    <n v="36"/>
    <n v="36"/>
    <s v="No"/>
    <n v="0"/>
    <s v="Travel_Rarely"/>
    <n v="0"/>
    <n v="1"/>
    <x v="1"/>
    <n v="1"/>
    <n v="0"/>
    <n v="2"/>
    <n v="2"/>
    <n v="4"/>
    <s v="Other"/>
    <n v="0"/>
    <n v="1"/>
    <n v="0"/>
    <n v="0"/>
    <n v="0"/>
    <n v="4"/>
    <s v="Female"/>
    <n v="1"/>
    <n v="73"/>
    <n v="3"/>
    <n v="2"/>
    <s v="Research Scientist"/>
    <n v="0"/>
    <n v="0"/>
    <n v="0"/>
    <n v="0"/>
    <n v="0"/>
    <n v="0"/>
    <n v="0"/>
    <n v="1"/>
    <n v="2"/>
    <s v="Married"/>
    <n v="0"/>
    <n v="1"/>
    <n v="6962"/>
    <n v="6962"/>
    <n v="4"/>
    <s v="Yes"/>
    <n v="1"/>
    <n v="22"/>
    <n v="4"/>
    <n v="4"/>
    <n v="1"/>
    <n v="15"/>
    <x v="19"/>
    <n v="2"/>
    <n v="3"/>
    <n v="1"/>
    <n v="1"/>
    <n v="0"/>
    <n v="0"/>
    <n v="0"/>
    <n v="0"/>
    <n v="0"/>
    <n v="0"/>
    <n v="0"/>
    <n v="1"/>
    <n v="0"/>
    <n v="0"/>
    <n v="0"/>
    <n v="0"/>
    <n v="0"/>
    <n v="1"/>
    <n v="0"/>
    <n v="0"/>
    <n v="0"/>
    <n v="0"/>
    <n v="15"/>
    <n v="0"/>
    <n v="9.7509116721524E-2"/>
    <n v="1.1555414682655611"/>
    <n v="0.47815352215483642"/>
    <n v="0.9806804209314296"/>
    <n v="0.88721318382472392"/>
    <n v="0.10112443951066327"/>
    <n v="0.67891464284095016"/>
  </r>
  <r>
    <n v="43"/>
    <n v="43"/>
    <s v="No"/>
    <n v="0"/>
    <s v="Travel_Frequently"/>
    <n v="1"/>
    <n v="0"/>
    <x v="0"/>
    <n v="0"/>
    <n v="1"/>
    <n v="2"/>
    <n v="2"/>
    <n v="4"/>
    <s v="Life Sciences"/>
    <n v="1"/>
    <n v="0"/>
    <n v="0"/>
    <n v="0"/>
    <n v="0"/>
    <n v="1"/>
    <s v="Male"/>
    <n v="0"/>
    <n v="92"/>
    <n v="3"/>
    <n v="2"/>
    <s v="Sales Executive"/>
    <n v="0"/>
    <n v="1"/>
    <n v="0"/>
    <n v="0"/>
    <n v="0"/>
    <n v="0"/>
    <n v="0"/>
    <n v="0"/>
    <n v="4"/>
    <s v="Married"/>
    <n v="0"/>
    <n v="1"/>
    <n v="5675"/>
    <n v="5675"/>
    <n v="1"/>
    <s v="No"/>
    <n v="0"/>
    <n v="20"/>
    <n v="4"/>
    <n v="3"/>
    <n v="1"/>
    <n v="7"/>
    <x v="2"/>
    <n v="5"/>
    <n v="3"/>
    <n v="7"/>
    <n v="7"/>
    <n v="7"/>
    <n v="7"/>
    <n v="7"/>
    <n v="7"/>
    <n v="7"/>
    <n v="14"/>
    <n v="0"/>
    <n v="0"/>
    <n v="0"/>
    <n v="1"/>
    <n v="0"/>
    <n v="0"/>
    <n v="1"/>
    <n v="0"/>
    <n v="0"/>
    <n v="0"/>
    <n v="7"/>
    <n v="0"/>
    <n v="0"/>
    <n v="7"/>
    <n v="0.17585787862143465"/>
    <n v="0.80626709607243985"/>
    <n v="0.55002080963175637"/>
    <n v="1.3324462240916321E-3"/>
    <n v="0.88721318382472392"/>
    <n v="0.66512775678147573"/>
    <n v="1.4933588878908215"/>
  </r>
  <r>
    <n v="27"/>
    <n v="27"/>
    <s v="No"/>
    <n v="0"/>
    <s v="Travel_Frequently"/>
    <n v="1"/>
    <n v="0"/>
    <x v="1"/>
    <n v="1"/>
    <n v="0"/>
    <n v="5"/>
    <n v="5"/>
    <n v="2"/>
    <s v="Life Sciences"/>
    <n v="1"/>
    <n v="0"/>
    <n v="0"/>
    <n v="0"/>
    <n v="0"/>
    <n v="4"/>
    <s v="Female"/>
    <n v="1"/>
    <n v="53"/>
    <n v="3"/>
    <n v="1"/>
    <s v="Laboratory Technician"/>
    <n v="0"/>
    <n v="0"/>
    <n v="1"/>
    <n v="0"/>
    <n v="0"/>
    <n v="0"/>
    <n v="0"/>
    <n v="0"/>
    <n v="4"/>
    <s v="Single"/>
    <n v="1"/>
    <n v="0"/>
    <n v="2379"/>
    <n v="2379"/>
    <n v="0"/>
    <s v="Yes"/>
    <n v="1"/>
    <n v="14"/>
    <n v="3"/>
    <n v="3"/>
    <n v="0"/>
    <n v="6"/>
    <x v="3"/>
    <n v="3"/>
    <n v="2"/>
    <n v="5"/>
    <n v="5"/>
    <n v="4"/>
    <n v="0"/>
    <n v="0"/>
    <n v="2"/>
    <n v="2"/>
    <n v="2"/>
    <n v="0"/>
    <n v="0"/>
    <n v="1"/>
    <n v="0"/>
    <n v="0"/>
    <n v="1"/>
    <n v="0"/>
    <n v="0"/>
    <n v="0"/>
    <n v="2"/>
    <n v="0"/>
    <n v="0"/>
    <n v="6"/>
    <n v="0"/>
    <n v="0.87594926685017727"/>
    <n v="0.59502473559756086"/>
    <n v="0.67854260110508058"/>
    <n v="0.32778177112653761"/>
    <n v="0.51715642219916513"/>
    <n v="1.0863058347434136"/>
    <n v="0.67891464284095016"/>
  </r>
  <r>
    <n v="29"/>
    <n v="29"/>
    <s v="No"/>
    <n v="0"/>
    <s v="Travel_Frequently"/>
    <n v="1"/>
    <n v="0"/>
    <x v="1"/>
    <n v="1"/>
    <n v="0"/>
    <n v="20"/>
    <n v="20"/>
    <n v="1"/>
    <s v="Medical"/>
    <n v="0"/>
    <n v="0"/>
    <n v="1"/>
    <n v="0"/>
    <n v="0"/>
    <n v="4"/>
    <s v="Male"/>
    <n v="0"/>
    <n v="40"/>
    <n v="3"/>
    <n v="1"/>
    <s v="Laboratory Technician"/>
    <n v="0"/>
    <n v="0"/>
    <n v="1"/>
    <n v="0"/>
    <n v="0"/>
    <n v="0"/>
    <n v="0"/>
    <n v="0"/>
    <n v="4"/>
    <s v="Married"/>
    <n v="0"/>
    <n v="1"/>
    <n v="3812"/>
    <n v="3812"/>
    <n v="1"/>
    <s v="No"/>
    <n v="0"/>
    <n v="13"/>
    <n v="3"/>
    <n v="2"/>
    <n v="0"/>
    <n v="11"/>
    <x v="26"/>
    <n v="3"/>
    <n v="4"/>
    <n v="11"/>
    <n v="11"/>
    <n v="8"/>
    <n v="3"/>
    <n v="3"/>
    <n v="10"/>
    <n v="10"/>
    <n v="10"/>
    <n v="0"/>
    <n v="0"/>
    <n v="0"/>
    <n v="1"/>
    <n v="0"/>
    <n v="0"/>
    <n v="1"/>
    <n v="0"/>
    <n v="0"/>
    <n v="10"/>
    <n v="0"/>
    <n v="0"/>
    <n v="11"/>
    <n v="0"/>
    <n v="0.57157094181019297"/>
    <n v="1.6470421950744405"/>
    <n v="3.593364373846001E-2"/>
    <n v="0.65156620358080031"/>
    <n v="1.3331273859286286"/>
    <n v="0.86737663580280233"/>
    <n v="0.2520597274726662"/>
  </r>
  <r>
    <n v="32"/>
    <n v="32"/>
    <s v="No"/>
    <n v="0"/>
    <s v="Travel_Frequently"/>
    <n v="1"/>
    <n v="0"/>
    <x v="0"/>
    <n v="0"/>
    <n v="1"/>
    <n v="10"/>
    <n v="10"/>
    <n v="4"/>
    <s v="Marketing"/>
    <n v="0"/>
    <n v="0"/>
    <n v="0"/>
    <n v="1"/>
    <n v="0"/>
    <n v="4"/>
    <s v="Male"/>
    <n v="0"/>
    <n v="79"/>
    <n v="3"/>
    <n v="2"/>
    <s v="Sales Executive"/>
    <n v="0"/>
    <n v="1"/>
    <n v="0"/>
    <n v="0"/>
    <n v="0"/>
    <n v="0"/>
    <n v="0"/>
    <n v="0"/>
    <n v="4"/>
    <s v="Single"/>
    <n v="1"/>
    <n v="0"/>
    <n v="4648"/>
    <n v="4648"/>
    <n v="8"/>
    <s v="No"/>
    <n v="0"/>
    <n v="13"/>
    <n v="3"/>
    <n v="3"/>
    <n v="0"/>
    <n v="4"/>
    <x v="20"/>
    <n v="2"/>
    <n v="4"/>
    <n v="0"/>
    <n v="0"/>
    <n v="0"/>
    <n v="0"/>
    <n v="0"/>
    <n v="0"/>
    <n v="0"/>
    <n v="0"/>
    <n v="0"/>
    <n v="0"/>
    <n v="1"/>
    <n v="0"/>
    <n v="1"/>
    <n v="0"/>
    <n v="0"/>
    <n v="0"/>
    <n v="0"/>
    <n v="0"/>
    <n v="0"/>
    <n v="0"/>
    <n v="0"/>
    <n v="4"/>
    <n v="0.3939992183395532"/>
    <n v="1.1555414682655611"/>
    <n v="0.93558618405172878"/>
    <n v="1.1439050833826525"/>
    <n v="9.9604847176766084E-2"/>
    <n v="0.53898283739188557"/>
    <n v="0.67891464284095016"/>
  </r>
  <r>
    <n v="42"/>
    <n v="42"/>
    <s v="No"/>
    <n v="0"/>
    <s v="Non-Travel"/>
    <n v="0"/>
    <n v="0"/>
    <x v="1"/>
    <n v="1"/>
    <n v="0"/>
    <n v="10"/>
    <n v="10"/>
    <n v="4"/>
    <s v="Technical Degree"/>
    <n v="0"/>
    <n v="0"/>
    <n v="0"/>
    <n v="0"/>
    <n v="1"/>
    <n v="3"/>
    <s v="Male"/>
    <n v="0"/>
    <n v="38"/>
    <n v="3"/>
    <n v="1"/>
    <s v="Research Scientist"/>
    <n v="0"/>
    <n v="0"/>
    <n v="0"/>
    <n v="0"/>
    <n v="0"/>
    <n v="0"/>
    <n v="0"/>
    <n v="1"/>
    <n v="3"/>
    <s v="Married"/>
    <n v="0"/>
    <n v="1"/>
    <n v="2936"/>
    <n v="2936"/>
    <n v="3"/>
    <s v="No"/>
    <n v="0"/>
    <n v="22"/>
    <n v="4"/>
    <n v="2"/>
    <n v="2"/>
    <n v="10"/>
    <x v="1"/>
    <n v="1"/>
    <n v="2"/>
    <n v="6"/>
    <n v="6"/>
    <n v="3"/>
    <n v="3"/>
    <n v="3"/>
    <n v="3"/>
    <n v="3"/>
    <n v="3"/>
    <n v="0"/>
    <n v="1"/>
    <n v="0"/>
    <n v="0"/>
    <n v="0"/>
    <n v="0"/>
    <n v="1"/>
    <n v="0"/>
    <n v="0"/>
    <n v="3"/>
    <n v="0"/>
    <n v="0"/>
    <n v="10"/>
    <n v="0"/>
    <n v="0.75763891999234667"/>
    <n v="0.31476636926356072"/>
    <n v="0.1644554352117841"/>
    <n v="0.16455710867531462"/>
    <n v="9.9604847176766084E-2"/>
    <n v="0.55566315731117022"/>
    <n v="0.2520597274726662"/>
  </r>
  <r>
    <n v="47"/>
    <n v="47"/>
    <s v="No"/>
    <n v="0"/>
    <s v="Travel_Rarely"/>
    <n v="0"/>
    <n v="1"/>
    <x v="1"/>
    <n v="1"/>
    <n v="0"/>
    <n v="9"/>
    <n v="9"/>
    <n v="4"/>
    <s v="Life Sciences"/>
    <n v="1"/>
    <n v="0"/>
    <n v="0"/>
    <n v="0"/>
    <n v="0"/>
    <n v="2"/>
    <s v="Female"/>
    <n v="1"/>
    <n v="64"/>
    <n v="3"/>
    <n v="1"/>
    <s v="Laboratory Technician"/>
    <n v="0"/>
    <n v="0"/>
    <n v="1"/>
    <n v="0"/>
    <n v="0"/>
    <n v="0"/>
    <n v="0"/>
    <n v="0"/>
    <n v="3"/>
    <s v="Single"/>
    <n v="1"/>
    <n v="0"/>
    <n v="2105"/>
    <n v="2105"/>
    <n v="4"/>
    <s v="No"/>
    <n v="0"/>
    <n v="12"/>
    <n v="3"/>
    <n v="3"/>
    <n v="0"/>
    <n v="7"/>
    <x v="2"/>
    <n v="2"/>
    <n v="3"/>
    <n v="2"/>
    <n v="2"/>
    <n v="2"/>
    <n v="2"/>
    <n v="2"/>
    <n v="0"/>
    <n v="0"/>
    <n v="0"/>
    <n v="1"/>
    <n v="0"/>
    <n v="0"/>
    <n v="0"/>
    <n v="1"/>
    <n v="0"/>
    <n v="0"/>
    <n v="0"/>
    <n v="0"/>
    <n v="0"/>
    <n v="0"/>
    <n v="0"/>
    <n v="7"/>
    <n v="0"/>
    <n v="0.93414861162404728"/>
    <n v="1.1555414682655611"/>
    <n v="0.55002080963175637"/>
    <n v="0.81745575848020657"/>
    <n v="2.3747406698420157E-2"/>
    <n v="1.102986154662698"/>
    <n v="5.8265062631872602E-2"/>
  </r>
  <r>
    <n v="46"/>
    <n v="46"/>
    <s v="No"/>
    <n v="0"/>
    <s v="Travel_Rarely"/>
    <n v="0"/>
    <n v="1"/>
    <x v="1"/>
    <n v="1"/>
    <n v="0"/>
    <n v="2"/>
    <n v="2"/>
    <n v="2"/>
    <s v="Life Sciences"/>
    <n v="1"/>
    <n v="0"/>
    <n v="0"/>
    <n v="0"/>
    <n v="0"/>
    <n v="4"/>
    <s v="Male"/>
    <n v="0"/>
    <n v="82"/>
    <n v="3"/>
    <n v="3"/>
    <s v="Manufacturing Director"/>
    <n v="0"/>
    <n v="0"/>
    <n v="0"/>
    <n v="0"/>
    <n v="1"/>
    <n v="1"/>
    <n v="0"/>
    <n v="0"/>
    <n v="4"/>
    <s v="Divorced"/>
    <n v="0"/>
    <n v="0"/>
    <n v="8578"/>
    <n v="8578"/>
    <n v="3"/>
    <s v="No"/>
    <n v="0"/>
    <n v="14"/>
    <n v="3"/>
    <n v="3"/>
    <n v="1"/>
    <n v="12"/>
    <x v="4"/>
    <n v="4"/>
    <n v="2"/>
    <n v="9"/>
    <n v="9"/>
    <n v="8"/>
    <n v="4"/>
    <n v="4"/>
    <n v="7"/>
    <n v="7"/>
    <n v="21"/>
    <n v="1"/>
    <n v="0"/>
    <n v="0"/>
    <n v="0"/>
    <n v="1"/>
    <n v="0"/>
    <n v="0"/>
    <n v="0"/>
    <n v="0"/>
    <n v="7"/>
    <n v="0"/>
    <n v="0"/>
    <n v="12"/>
    <n v="0"/>
    <n v="0.44075780706668422"/>
    <n v="0.80626709607243985"/>
    <n v="9.2588147734864096E-2"/>
    <n v="0.32511687867835437"/>
    <n v="0.88721318382472392"/>
    <n v="0.99352155519239249"/>
    <n v="0.56238451757720498"/>
  </r>
  <r>
    <n v="28"/>
    <n v="28"/>
    <s v="No"/>
    <n v="0"/>
    <s v="Non-Travel"/>
    <n v="0"/>
    <n v="0"/>
    <x v="2"/>
    <n v="0"/>
    <n v="0"/>
    <n v="1"/>
    <n v="1"/>
    <n v="2"/>
    <s v="Life Sciences"/>
    <n v="1"/>
    <n v="0"/>
    <n v="0"/>
    <n v="0"/>
    <n v="0"/>
    <n v="3"/>
    <s v="Male"/>
    <n v="0"/>
    <n v="43"/>
    <n v="3"/>
    <n v="1"/>
    <s v="Human Resources"/>
    <n v="0"/>
    <n v="0"/>
    <n v="0"/>
    <n v="0"/>
    <n v="0"/>
    <n v="0"/>
    <n v="0"/>
    <n v="0"/>
    <n v="4"/>
    <s v="Divorced"/>
    <n v="0"/>
    <n v="0"/>
    <n v="2706"/>
    <n v="2706"/>
    <n v="1"/>
    <s v="No"/>
    <n v="0"/>
    <n v="15"/>
    <n v="3"/>
    <n v="2"/>
    <n v="1"/>
    <n v="3"/>
    <x v="8"/>
    <n v="2"/>
    <n v="3"/>
    <n v="3"/>
    <n v="3"/>
    <n v="2"/>
    <n v="2"/>
    <n v="2"/>
    <n v="2"/>
    <n v="2"/>
    <n v="2"/>
    <n v="1"/>
    <n v="0"/>
    <n v="0"/>
    <n v="0"/>
    <n v="1"/>
    <n v="0"/>
    <n v="0"/>
    <n v="0"/>
    <n v="2"/>
    <n v="0"/>
    <n v="0"/>
    <n v="3"/>
    <n v="0"/>
    <n v="0"/>
    <n v="0.80649238458355144"/>
    <n v="0.59502473559756086"/>
    <n v="1.0641079755250529"/>
    <n v="0.65423109602898355"/>
    <n v="1.01056543769991"/>
    <n v="0.97684123527310796"/>
    <n v="5.8265062631872602E-2"/>
  </r>
  <r>
    <n v="29"/>
    <n v="29"/>
    <s v="No"/>
    <n v="0"/>
    <s v="Travel_Rarely"/>
    <n v="0"/>
    <n v="1"/>
    <x v="1"/>
    <n v="1"/>
    <n v="0"/>
    <n v="29"/>
    <n v="29"/>
    <n v="1"/>
    <s v="Life Sciences"/>
    <n v="1"/>
    <n v="0"/>
    <n v="0"/>
    <n v="0"/>
    <n v="0"/>
    <n v="4"/>
    <s v="Male"/>
    <n v="0"/>
    <n v="93"/>
    <n v="1"/>
    <n v="2"/>
    <s v="Healthcare Representative"/>
    <n v="1"/>
    <n v="0"/>
    <n v="0"/>
    <n v="0"/>
    <n v="0"/>
    <n v="0"/>
    <n v="0"/>
    <n v="0"/>
    <n v="3"/>
    <s v="Divorced"/>
    <n v="0"/>
    <n v="0"/>
    <n v="6384"/>
    <n v="6384"/>
    <n v="8"/>
    <s v="No"/>
    <n v="0"/>
    <n v="17"/>
    <n v="3"/>
    <n v="4"/>
    <n v="2"/>
    <n v="11"/>
    <x v="26"/>
    <n v="3"/>
    <n v="3"/>
    <n v="7"/>
    <n v="7"/>
    <n v="0"/>
    <n v="1"/>
    <n v="1"/>
    <n v="6"/>
    <n v="6"/>
    <n v="12"/>
    <n v="1"/>
    <n v="0"/>
    <n v="0"/>
    <n v="0"/>
    <n v="1"/>
    <n v="0"/>
    <n v="0"/>
    <n v="0"/>
    <n v="0"/>
    <n v="6"/>
    <n v="0"/>
    <n v="0"/>
    <n v="11"/>
    <n v="0"/>
    <n v="2.526176385985137E-2"/>
    <n v="0.52600872973843971"/>
    <n v="3.593364373846001E-2"/>
    <n v="1.3324462240916321E-3"/>
    <n v="2.4432976708053049"/>
    <n v="0.86737663580280233"/>
    <n v="0.36858985273641137"/>
  </r>
  <r>
    <n v="42"/>
    <n v="42"/>
    <s v="No"/>
    <n v="0"/>
    <s v="Travel_Rarely"/>
    <n v="0"/>
    <n v="1"/>
    <x v="1"/>
    <n v="1"/>
    <n v="0"/>
    <n v="8"/>
    <n v="8"/>
    <n v="3"/>
    <s v="Life Sciences"/>
    <n v="1"/>
    <n v="0"/>
    <n v="0"/>
    <n v="0"/>
    <n v="0"/>
    <n v="4"/>
    <s v="Male"/>
    <n v="0"/>
    <n v="81"/>
    <n v="3"/>
    <n v="1"/>
    <s v="Laboratory Technician"/>
    <n v="0"/>
    <n v="0"/>
    <n v="1"/>
    <n v="0"/>
    <n v="0"/>
    <n v="0"/>
    <n v="0"/>
    <n v="0"/>
    <n v="3"/>
    <s v="Single"/>
    <n v="1"/>
    <n v="0"/>
    <n v="3968"/>
    <n v="3968"/>
    <n v="4"/>
    <s v="No"/>
    <n v="0"/>
    <n v="13"/>
    <n v="3"/>
    <n v="4"/>
    <n v="0"/>
    <n v="8"/>
    <x v="0"/>
    <n v="3"/>
    <n v="3"/>
    <n v="0"/>
    <n v="0"/>
    <n v="0"/>
    <n v="0"/>
    <n v="0"/>
    <n v="0"/>
    <n v="0"/>
    <n v="0"/>
    <n v="1"/>
    <n v="0"/>
    <n v="0"/>
    <n v="0"/>
    <n v="1"/>
    <n v="0"/>
    <n v="0"/>
    <n v="0"/>
    <n v="0"/>
    <n v="0"/>
    <n v="0"/>
    <n v="0"/>
    <n v="8"/>
    <n v="0"/>
    <n v="0.53843554843528896"/>
    <n v="1.1555414682655611"/>
    <n v="0.42149901815843233"/>
    <n v="1.1439050833826525"/>
    <n v="0.14709966057360641"/>
    <n v="0.55566315731117022"/>
    <n v="0.67891464284095016"/>
  </r>
  <r>
    <n v="32"/>
    <n v="32"/>
    <s v="Yes"/>
    <n v="1"/>
    <s v="Travel_Rarely"/>
    <n v="0"/>
    <n v="1"/>
    <x v="0"/>
    <n v="0"/>
    <n v="1"/>
    <n v="2"/>
    <n v="2"/>
    <n v="4"/>
    <s v="Marketing"/>
    <n v="0"/>
    <n v="0"/>
    <n v="0"/>
    <n v="1"/>
    <n v="0"/>
    <n v="3"/>
    <s v="Male"/>
    <n v="0"/>
    <n v="82"/>
    <n v="2"/>
    <n v="2"/>
    <s v="Sales Executive"/>
    <n v="0"/>
    <n v="1"/>
    <n v="0"/>
    <n v="0"/>
    <n v="0"/>
    <n v="0"/>
    <n v="0"/>
    <n v="0"/>
    <n v="2"/>
    <s v="Single"/>
    <n v="1"/>
    <n v="0"/>
    <n v="9907"/>
    <n v="9907"/>
    <n v="7"/>
    <s v="Yes"/>
    <n v="1"/>
    <n v="12"/>
    <n v="3"/>
    <n v="3"/>
    <n v="0"/>
    <n v="7"/>
    <x v="2"/>
    <n v="3"/>
    <n v="2"/>
    <n v="2"/>
    <n v="2"/>
    <n v="2"/>
    <n v="2"/>
    <n v="2"/>
    <n v="2"/>
    <n v="2"/>
    <n v="4"/>
    <n v="1"/>
    <n v="0"/>
    <n v="0"/>
    <n v="0"/>
    <n v="0"/>
    <n v="1"/>
    <n v="0"/>
    <n v="0"/>
    <n v="0"/>
    <n v="0"/>
    <n v="2"/>
    <n v="0"/>
    <n v="0"/>
    <n v="7"/>
    <n v="0.72304586985673247"/>
    <n v="0.59502473559756086"/>
    <n v="0.55002080963175637"/>
    <n v="0.81745575848020657"/>
    <n v="0.88721318382472392"/>
    <n v="0.53898283739188557"/>
    <n v="5.8265062631872602E-2"/>
  </r>
  <r>
    <n v="46"/>
    <n v="46"/>
    <s v="No"/>
    <n v="0"/>
    <s v="Travel_Rarely"/>
    <n v="0"/>
    <n v="1"/>
    <x v="0"/>
    <n v="0"/>
    <n v="1"/>
    <n v="3"/>
    <n v="3"/>
    <n v="3"/>
    <s v="Technical Degree"/>
    <n v="0"/>
    <n v="0"/>
    <n v="0"/>
    <n v="0"/>
    <n v="1"/>
    <n v="1"/>
    <s v="Female"/>
    <n v="1"/>
    <n v="45"/>
    <n v="4"/>
    <n v="4"/>
    <s v="Sales Executive"/>
    <n v="0"/>
    <n v="1"/>
    <n v="0"/>
    <n v="0"/>
    <n v="0"/>
    <n v="0"/>
    <n v="0"/>
    <n v="0"/>
    <n v="1"/>
    <s v="Divorced"/>
    <n v="0"/>
    <n v="0"/>
    <n v="13225"/>
    <n v="13225"/>
    <n v="2"/>
    <s v="No"/>
    <n v="0"/>
    <n v="12"/>
    <n v="3"/>
    <n v="4"/>
    <n v="1"/>
    <n v="25"/>
    <x v="24"/>
    <n v="5"/>
    <n v="3"/>
    <n v="19"/>
    <n v="19"/>
    <n v="17"/>
    <n v="2"/>
    <n v="2"/>
    <n v="8"/>
    <n v="8"/>
    <n v="32"/>
    <n v="1"/>
    <n v="0"/>
    <n v="0"/>
    <n v="0"/>
    <n v="1"/>
    <n v="0"/>
    <n v="0"/>
    <n v="0"/>
    <n v="0"/>
    <n v="0"/>
    <n v="8"/>
    <n v="0"/>
    <n v="0"/>
    <n v="25"/>
    <n v="1.4278101981768077"/>
    <n v="1.08652546240644"/>
    <n v="1.7633714368880775"/>
    <n v="1.9573635031905841"/>
    <n v="0.76386092994953758"/>
    <n v="0.99352155519239249"/>
    <n v="5.8265062631872602E-2"/>
  </r>
  <r>
    <n v="27"/>
    <n v="27"/>
    <s v="No"/>
    <n v="0"/>
    <s v="Travel_Rarely"/>
    <n v="0"/>
    <n v="1"/>
    <x v="0"/>
    <n v="0"/>
    <n v="1"/>
    <n v="23"/>
    <n v="23"/>
    <n v="1"/>
    <s v="Medical"/>
    <n v="0"/>
    <n v="0"/>
    <n v="1"/>
    <n v="0"/>
    <n v="0"/>
    <n v="2"/>
    <s v="Female"/>
    <n v="1"/>
    <n v="36"/>
    <n v="2"/>
    <n v="2"/>
    <s v="Sales Representative"/>
    <n v="0"/>
    <n v="0"/>
    <n v="0"/>
    <n v="0"/>
    <n v="0"/>
    <n v="0"/>
    <n v="1"/>
    <n v="0"/>
    <n v="3"/>
    <s v="Married"/>
    <n v="0"/>
    <n v="1"/>
    <n v="3540"/>
    <n v="3540"/>
    <n v="1"/>
    <s v="No"/>
    <n v="0"/>
    <n v="21"/>
    <n v="4"/>
    <n v="4"/>
    <n v="1"/>
    <n v="9"/>
    <x v="14"/>
    <n v="5"/>
    <n v="3"/>
    <n v="9"/>
    <n v="9"/>
    <n v="8"/>
    <n v="5"/>
    <n v="5"/>
    <n v="8"/>
    <n v="8"/>
    <n v="16"/>
    <n v="0"/>
    <n v="1"/>
    <n v="0"/>
    <n v="0"/>
    <n v="0"/>
    <n v="0"/>
    <n v="1"/>
    <n v="0"/>
    <n v="0"/>
    <n v="0"/>
    <n v="8"/>
    <n v="0"/>
    <n v="0"/>
    <n v="9"/>
    <n v="0.62934547384848727"/>
    <n v="1.08652546240644"/>
    <n v="0.29297722668510823"/>
    <n v="0.32511687867835437"/>
    <n v="1.7031841475541873"/>
    <n v="1.0863058347434136"/>
    <n v="0.87270930768174382"/>
  </r>
  <r>
    <n v="29"/>
    <n v="29"/>
    <s v="No"/>
    <n v="0"/>
    <s v="Travel_Rarely"/>
    <n v="0"/>
    <n v="1"/>
    <x v="2"/>
    <n v="0"/>
    <n v="0"/>
    <n v="6"/>
    <n v="6"/>
    <n v="1"/>
    <s v="Medical"/>
    <n v="0"/>
    <n v="0"/>
    <n v="1"/>
    <n v="0"/>
    <n v="0"/>
    <n v="4"/>
    <s v="Male"/>
    <n v="0"/>
    <n v="87"/>
    <n v="2"/>
    <n v="1"/>
    <s v="Human Resources"/>
    <n v="0"/>
    <n v="0"/>
    <n v="0"/>
    <n v="0"/>
    <n v="0"/>
    <n v="0"/>
    <n v="0"/>
    <n v="0"/>
    <n v="2"/>
    <s v="Married"/>
    <n v="0"/>
    <n v="1"/>
    <n v="2804"/>
    <n v="2804"/>
    <n v="1"/>
    <s v="No"/>
    <n v="0"/>
    <n v="11"/>
    <n v="3"/>
    <n v="4"/>
    <n v="0"/>
    <n v="1"/>
    <x v="5"/>
    <n v="3"/>
    <n v="3"/>
    <n v="1"/>
    <n v="1"/>
    <n v="0"/>
    <n v="0"/>
    <n v="0"/>
    <n v="0"/>
    <n v="0"/>
    <n v="0"/>
    <n v="0"/>
    <n v="1"/>
    <n v="0"/>
    <n v="0"/>
    <n v="0"/>
    <n v="0"/>
    <n v="1"/>
    <n v="0"/>
    <n v="0"/>
    <n v="0"/>
    <n v="0"/>
    <n v="1"/>
    <n v="0"/>
    <n v="0"/>
    <n v="0.78567656054034241"/>
    <n v="1.1555414682655611"/>
    <n v="1.3211515584717011"/>
    <n v="0.9806804209314296"/>
    <n v="0.39380416832397891"/>
    <n v="0.86737663580280233"/>
    <n v="0.67891464284095016"/>
  </r>
  <r>
    <n v="43"/>
    <n v="43"/>
    <s v="No"/>
    <n v="0"/>
    <s v="Travel_Rarely"/>
    <n v="0"/>
    <n v="1"/>
    <x v="1"/>
    <n v="1"/>
    <n v="0"/>
    <n v="6"/>
    <n v="6"/>
    <n v="3"/>
    <s v="Medical"/>
    <n v="0"/>
    <n v="0"/>
    <n v="1"/>
    <n v="0"/>
    <n v="0"/>
    <n v="1"/>
    <s v="Female"/>
    <n v="1"/>
    <n v="81"/>
    <n v="2"/>
    <n v="5"/>
    <s v="Manager"/>
    <n v="0"/>
    <n v="0"/>
    <n v="0"/>
    <n v="1"/>
    <n v="0"/>
    <n v="0"/>
    <n v="0"/>
    <n v="0"/>
    <n v="3"/>
    <s v="Married"/>
    <n v="0"/>
    <n v="1"/>
    <n v="19392"/>
    <n v="19392"/>
    <n v="7"/>
    <s v="No"/>
    <n v="0"/>
    <n v="13"/>
    <n v="3"/>
    <n v="4"/>
    <n v="0"/>
    <n v="21"/>
    <x v="23"/>
    <n v="2"/>
    <n v="3"/>
    <n v="16"/>
    <n v="16"/>
    <n v="12"/>
    <n v="6"/>
    <n v="6"/>
    <n v="14"/>
    <n v="14"/>
    <n v="70"/>
    <n v="0"/>
    <n v="1"/>
    <n v="0"/>
    <n v="0"/>
    <n v="0"/>
    <n v="0"/>
    <n v="1"/>
    <n v="0"/>
    <n v="0"/>
    <n v="14"/>
    <n v="0"/>
    <n v="0"/>
    <n v="21"/>
    <n v="0"/>
    <n v="2.7377202683244581"/>
    <n v="2.7680756604104411"/>
    <n v="1.2492842709947811"/>
    <n v="1.4676895158369152"/>
    <n v="0.39380416832397891"/>
    <n v="0.66512775678147573"/>
    <n v="1.1830340977862825"/>
  </r>
  <r>
    <n v="48"/>
    <n v="48"/>
    <s v="No"/>
    <n v="0"/>
    <s v="Travel_Rarely"/>
    <n v="0"/>
    <n v="1"/>
    <x v="1"/>
    <n v="1"/>
    <n v="0"/>
    <n v="10"/>
    <n v="10"/>
    <n v="3"/>
    <s v="Life Sciences"/>
    <n v="1"/>
    <n v="0"/>
    <n v="0"/>
    <n v="0"/>
    <n v="0"/>
    <n v="4"/>
    <s v="Male"/>
    <n v="0"/>
    <n v="91"/>
    <n v="2"/>
    <n v="5"/>
    <s v="Research Director"/>
    <n v="0"/>
    <n v="0"/>
    <n v="0"/>
    <n v="0"/>
    <n v="0"/>
    <n v="0"/>
    <n v="0"/>
    <n v="0"/>
    <n v="2"/>
    <s v="Married"/>
    <n v="0"/>
    <n v="1"/>
    <n v="19665"/>
    <n v="19626.310000000001"/>
    <n v="4"/>
    <s v="No"/>
    <n v="0"/>
    <n v="12"/>
    <n v="3"/>
    <n v="4"/>
    <n v="0"/>
    <n v="29"/>
    <x v="21"/>
    <n v="3"/>
    <n v="3"/>
    <n v="22"/>
    <n v="22"/>
    <n v="10"/>
    <n v="12"/>
    <n v="12"/>
    <n v="9"/>
    <n v="9"/>
    <n v="45"/>
    <n v="0"/>
    <n v="1"/>
    <n v="0"/>
    <n v="0"/>
    <n v="0"/>
    <n v="0"/>
    <n v="1"/>
    <n v="0"/>
    <n v="0"/>
    <n v="9"/>
    <n v="0"/>
    <n v="0"/>
    <n v="29"/>
    <n v="0"/>
    <n v="2.7957072067305404"/>
    <n v="1.3667838287404401"/>
    <n v="2.2774586027813735"/>
    <n v="2.4470374905442531"/>
    <n v="9.9604847176766084E-2"/>
    <n v="1.2124507541330036"/>
    <n v="3.0449828384135156"/>
  </r>
  <r>
    <n v="29"/>
    <n v="29"/>
    <s v="Yes"/>
    <n v="1"/>
    <s v="Travel_Frequently"/>
    <n v="1"/>
    <n v="0"/>
    <x v="1"/>
    <n v="1"/>
    <n v="0"/>
    <n v="24"/>
    <n v="24"/>
    <n v="2"/>
    <s v="Life Sciences"/>
    <n v="1"/>
    <n v="0"/>
    <n v="0"/>
    <n v="0"/>
    <n v="0"/>
    <n v="4"/>
    <s v="Male"/>
    <n v="0"/>
    <n v="73"/>
    <n v="2"/>
    <n v="1"/>
    <s v="Research Scientist"/>
    <n v="0"/>
    <n v="0"/>
    <n v="0"/>
    <n v="0"/>
    <n v="0"/>
    <n v="0"/>
    <n v="0"/>
    <n v="1"/>
    <n v="4"/>
    <s v="Single"/>
    <n v="1"/>
    <n v="0"/>
    <n v="2439"/>
    <n v="2439"/>
    <n v="1"/>
    <s v="Yes"/>
    <n v="1"/>
    <n v="24"/>
    <n v="4"/>
    <n v="2"/>
    <n v="0"/>
    <n v="1"/>
    <x v="5"/>
    <n v="3"/>
    <n v="2"/>
    <n v="1"/>
    <n v="1"/>
    <n v="0"/>
    <n v="1"/>
    <n v="1"/>
    <n v="0"/>
    <n v="0"/>
    <n v="0"/>
    <n v="0"/>
    <n v="0"/>
    <n v="1"/>
    <n v="0"/>
    <n v="0"/>
    <n v="1"/>
    <n v="0"/>
    <n v="0"/>
    <n v="0"/>
    <n v="0"/>
    <n v="0"/>
    <n v="0"/>
    <n v="1"/>
    <n v="0"/>
    <n v="0.86320488478290647"/>
    <n v="1.1555414682655611"/>
    <n v="1.3211515584717011"/>
    <n v="0.9806804209314296"/>
    <n v="1.8265364014293735"/>
    <n v="0.86737663580280233"/>
    <n v="0.36858985273641137"/>
  </r>
  <r>
    <n v="46"/>
    <n v="46"/>
    <s v="Yes"/>
    <n v="1"/>
    <s v="Travel_Rarely"/>
    <n v="0"/>
    <n v="1"/>
    <x v="0"/>
    <n v="0"/>
    <n v="1"/>
    <n v="10"/>
    <n v="10"/>
    <n v="3"/>
    <s v="Life Sciences"/>
    <n v="1"/>
    <n v="0"/>
    <n v="0"/>
    <n v="0"/>
    <n v="0"/>
    <n v="3"/>
    <s v="Female"/>
    <n v="1"/>
    <n v="64"/>
    <n v="3"/>
    <n v="3"/>
    <s v="Sales Executive"/>
    <n v="0"/>
    <n v="1"/>
    <n v="0"/>
    <n v="0"/>
    <n v="0"/>
    <n v="0"/>
    <n v="0"/>
    <n v="0"/>
    <n v="2"/>
    <s v="Married"/>
    <n v="0"/>
    <n v="1"/>
    <n v="7314"/>
    <n v="7314"/>
    <n v="5"/>
    <s v="No"/>
    <n v="0"/>
    <n v="21"/>
    <n v="4"/>
    <n v="3"/>
    <n v="3"/>
    <n v="14"/>
    <x v="18"/>
    <n v="2"/>
    <n v="3"/>
    <n v="8"/>
    <n v="8"/>
    <n v="7"/>
    <n v="0"/>
    <n v="0"/>
    <n v="7"/>
    <n v="7"/>
    <n v="21"/>
    <n v="0"/>
    <n v="1"/>
    <n v="0"/>
    <n v="0"/>
    <n v="0"/>
    <n v="0"/>
    <n v="1"/>
    <n v="0"/>
    <n v="0"/>
    <n v="0"/>
    <n v="7"/>
    <n v="0"/>
    <n v="0"/>
    <n v="14"/>
    <n v="0.17227615818284603"/>
    <n v="0.80626709607243985"/>
    <n v="0.34963173068151232"/>
    <n v="0.16189221622713135"/>
    <n v="9.9604847176766084E-2"/>
    <n v="0.99352155519239249"/>
    <n v="0.67891464284095016"/>
  </r>
  <r>
    <n v="27"/>
    <n v="27"/>
    <s v="No"/>
    <n v="0"/>
    <s v="Travel_Frequently"/>
    <n v="1"/>
    <n v="0"/>
    <x v="1"/>
    <n v="1"/>
    <n v="0"/>
    <n v="15"/>
    <n v="15"/>
    <n v="3"/>
    <s v="Life Sciences"/>
    <n v="1"/>
    <n v="0"/>
    <n v="0"/>
    <n v="0"/>
    <n v="0"/>
    <n v="4"/>
    <s v="Female"/>
    <n v="1"/>
    <n v="77"/>
    <n v="2"/>
    <n v="1"/>
    <s v="Research Scientist"/>
    <n v="0"/>
    <n v="0"/>
    <n v="0"/>
    <n v="0"/>
    <n v="0"/>
    <n v="0"/>
    <n v="0"/>
    <n v="1"/>
    <n v="1"/>
    <s v="Married"/>
    <n v="0"/>
    <n v="1"/>
    <n v="4774"/>
    <n v="4774"/>
    <n v="0"/>
    <s v="No"/>
    <n v="0"/>
    <n v="19"/>
    <n v="3"/>
    <n v="4"/>
    <n v="1"/>
    <n v="8"/>
    <x v="0"/>
    <n v="2"/>
    <n v="2"/>
    <n v="7"/>
    <n v="7"/>
    <n v="6"/>
    <n v="7"/>
    <n v="7"/>
    <n v="3"/>
    <n v="3"/>
    <n v="3"/>
    <n v="0"/>
    <n v="0"/>
    <n v="0"/>
    <n v="1"/>
    <n v="0"/>
    <n v="0"/>
    <n v="1"/>
    <n v="0"/>
    <n v="0"/>
    <n v="3"/>
    <n v="0"/>
    <n v="0"/>
    <n v="8"/>
    <n v="0"/>
    <n v="0.36723601599828454"/>
    <n v="0.31476636926356072"/>
    <n v="0.42149901815843233"/>
    <n v="1.3324462240916321E-3"/>
    <n v="0.71636611655269733"/>
    <n v="1.0863058347434136"/>
    <n v="1.4933588878908215"/>
  </r>
  <r>
    <n v="39"/>
    <n v="39"/>
    <s v="No"/>
    <n v="0"/>
    <s v="Travel_Rarely"/>
    <n v="0"/>
    <n v="1"/>
    <x v="1"/>
    <n v="1"/>
    <n v="0"/>
    <n v="19"/>
    <n v="19"/>
    <n v="4"/>
    <s v="Other"/>
    <n v="0"/>
    <n v="1"/>
    <n v="0"/>
    <n v="0"/>
    <n v="0"/>
    <n v="4"/>
    <s v="Male"/>
    <n v="0"/>
    <n v="41"/>
    <n v="3"/>
    <n v="2"/>
    <s v="Research Scientist"/>
    <n v="0"/>
    <n v="0"/>
    <n v="0"/>
    <n v="0"/>
    <n v="0"/>
    <n v="0"/>
    <n v="0"/>
    <n v="1"/>
    <n v="4"/>
    <s v="Divorced"/>
    <n v="0"/>
    <n v="0"/>
    <n v="3902"/>
    <n v="3902"/>
    <n v="8"/>
    <s v="No"/>
    <n v="0"/>
    <n v="14"/>
    <n v="3"/>
    <n v="2"/>
    <n v="3"/>
    <n v="7"/>
    <x v="2"/>
    <n v="2"/>
    <n v="3"/>
    <n v="2"/>
    <n v="2"/>
    <n v="2"/>
    <n v="2"/>
    <n v="2"/>
    <n v="2"/>
    <n v="2"/>
    <n v="4"/>
    <n v="1"/>
    <n v="0"/>
    <n v="0"/>
    <n v="0"/>
    <n v="1"/>
    <n v="0"/>
    <n v="0"/>
    <n v="0"/>
    <n v="0"/>
    <n v="2"/>
    <n v="0"/>
    <n v="0"/>
    <n v="7"/>
    <n v="0"/>
    <n v="0.55245436870928677"/>
    <n v="0.59502473559756086"/>
    <n v="0.55002080963175637"/>
    <n v="0.81745575848020657"/>
    <n v="1.2097751320534422"/>
    <n v="0.22726935890025346"/>
    <n v="5.8265062631872602E-2"/>
  </r>
  <r>
    <n v="55"/>
    <n v="55"/>
    <s v="No"/>
    <n v="0"/>
    <s v="Travel_Rarely"/>
    <n v="0"/>
    <n v="1"/>
    <x v="1"/>
    <n v="1"/>
    <n v="0"/>
    <n v="2"/>
    <n v="2"/>
    <n v="4"/>
    <s v="Technical Degree"/>
    <n v="0"/>
    <n v="0"/>
    <n v="0"/>
    <n v="0"/>
    <n v="1"/>
    <n v="2"/>
    <s v="Male"/>
    <n v="0"/>
    <n v="98"/>
    <n v="2"/>
    <n v="1"/>
    <s v="Research Scientist"/>
    <n v="0"/>
    <n v="0"/>
    <n v="0"/>
    <n v="0"/>
    <n v="0"/>
    <n v="0"/>
    <n v="0"/>
    <n v="1"/>
    <n v="4"/>
    <s v="Married"/>
    <n v="0"/>
    <n v="1"/>
    <n v="2662"/>
    <n v="2662"/>
    <n v="8"/>
    <s v="No"/>
    <n v="0"/>
    <n v="20"/>
    <n v="4"/>
    <n v="2"/>
    <n v="1"/>
    <n v="19"/>
    <x v="15"/>
    <n v="2"/>
    <n v="4"/>
    <n v="5"/>
    <n v="5"/>
    <n v="2"/>
    <n v="0"/>
    <n v="0"/>
    <n v="4"/>
    <n v="4"/>
    <n v="4"/>
    <n v="0"/>
    <n v="1"/>
    <n v="0"/>
    <n v="0"/>
    <n v="0"/>
    <n v="0"/>
    <n v="1"/>
    <n v="0"/>
    <n v="0"/>
    <n v="4"/>
    <n v="0"/>
    <n v="0"/>
    <n v="19"/>
    <n v="0"/>
    <n v="0.81583826476621668"/>
    <n v="3.4508002929560584E-2"/>
    <n v="0.99224068804813281"/>
    <n v="0.32778177112653761"/>
    <n v="0.88721318382472392"/>
    <n v="1.9787029504251428"/>
    <n v="0.67891464284095016"/>
  </r>
  <r>
    <n v="28"/>
    <n v="28"/>
    <s v="No"/>
    <n v="0"/>
    <s v="Travel_Rarely"/>
    <n v="0"/>
    <n v="1"/>
    <x v="0"/>
    <n v="0"/>
    <n v="1"/>
    <n v="3"/>
    <n v="3"/>
    <n v="3"/>
    <s v="Medical"/>
    <n v="0"/>
    <n v="0"/>
    <n v="1"/>
    <n v="0"/>
    <n v="0"/>
    <n v="2"/>
    <s v="Female"/>
    <n v="1"/>
    <n v="78"/>
    <n v="3"/>
    <n v="1"/>
    <s v="Sales Representative"/>
    <n v="0"/>
    <n v="0"/>
    <n v="0"/>
    <n v="0"/>
    <n v="0"/>
    <n v="0"/>
    <n v="1"/>
    <n v="0"/>
    <n v="2"/>
    <s v="Married"/>
    <n v="0"/>
    <n v="1"/>
    <n v="2856"/>
    <n v="2856"/>
    <n v="1"/>
    <s v="No"/>
    <n v="0"/>
    <n v="19"/>
    <n v="3"/>
    <n v="4"/>
    <n v="1"/>
    <n v="1"/>
    <x v="5"/>
    <n v="3"/>
    <n v="3"/>
    <n v="1"/>
    <n v="1"/>
    <n v="0"/>
    <n v="0"/>
    <n v="0"/>
    <n v="0"/>
    <n v="0"/>
    <n v="0"/>
    <n v="0"/>
    <n v="1"/>
    <n v="0"/>
    <n v="0"/>
    <n v="0"/>
    <n v="0"/>
    <n v="1"/>
    <n v="0"/>
    <n v="0"/>
    <n v="0"/>
    <n v="0"/>
    <n v="0"/>
    <n v="0"/>
    <n v="1"/>
    <n v="0.77463142941537444"/>
    <n v="1.1555414682655611"/>
    <n v="1.3211515584717011"/>
    <n v="0.9806804209314296"/>
    <n v="0.76386092994953758"/>
    <n v="0.97684123527310796"/>
    <n v="0.67891464284095016"/>
  </r>
  <r>
    <n v="30"/>
    <n v="30"/>
    <s v="Yes"/>
    <n v="1"/>
    <s v="Travel_Rarely"/>
    <n v="0"/>
    <n v="1"/>
    <x v="0"/>
    <n v="0"/>
    <n v="1"/>
    <n v="9"/>
    <n v="9"/>
    <n v="3"/>
    <s v="Medical"/>
    <n v="0"/>
    <n v="0"/>
    <n v="1"/>
    <n v="0"/>
    <n v="0"/>
    <n v="2"/>
    <s v="Male"/>
    <n v="0"/>
    <n v="89"/>
    <n v="3"/>
    <n v="1"/>
    <s v="Sales Representative"/>
    <n v="0"/>
    <n v="0"/>
    <n v="0"/>
    <n v="0"/>
    <n v="0"/>
    <n v="0"/>
    <n v="1"/>
    <n v="0"/>
    <n v="4"/>
    <s v="Single"/>
    <n v="1"/>
    <n v="0"/>
    <n v="1081"/>
    <n v="1382.46"/>
    <n v="1"/>
    <s v="No"/>
    <n v="0"/>
    <n v="13"/>
    <n v="3"/>
    <n v="3"/>
    <n v="0"/>
    <n v="1"/>
    <x v="5"/>
    <n v="3"/>
    <n v="2"/>
    <n v="1"/>
    <n v="1"/>
    <n v="0"/>
    <n v="0"/>
    <n v="0"/>
    <n v="0"/>
    <n v="0"/>
    <n v="0"/>
    <n v="1"/>
    <n v="0"/>
    <n v="0"/>
    <n v="0"/>
    <n v="1"/>
    <n v="0"/>
    <n v="0"/>
    <n v="0"/>
    <n v="0"/>
    <n v="0"/>
    <n v="0"/>
    <n v="0"/>
    <n v="0"/>
    <n v="1"/>
    <n v="1.1516527322388022"/>
    <n v="1.1555414682655611"/>
    <n v="1.3211515584717011"/>
    <n v="0.9806804209314296"/>
    <n v="2.3747406698420157E-2"/>
    <n v="0.75791203633249671"/>
    <n v="0.67891464284095016"/>
  </r>
  <r>
    <n v="22"/>
    <n v="22"/>
    <s v="Yes"/>
    <n v="1"/>
    <s v="Travel_Rarely"/>
    <n v="0"/>
    <n v="1"/>
    <x v="1"/>
    <n v="1"/>
    <n v="0"/>
    <n v="7"/>
    <n v="7"/>
    <n v="1"/>
    <s v="Life Sciences"/>
    <n v="1"/>
    <n v="0"/>
    <n v="0"/>
    <n v="0"/>
    <n v="0"/>
    <n v="4"/>
    <s v="Male"/>
    <n v="0"/>
    <n v="75"/>
    <n v="3"/>
    <n v="1"/>
    <s v="Research Scientist"/>
    <n v="0"/>
    <n v="0"/>
    <n v="0"/>
    <n v="0"/>
    <n v="0"/>
    <n v="0"/>
    <n v="0"/>
    <n v="1"/>
    <n v="2"/>
    <s v="Single"/>
    <n v="1"/>
    <n v="0"/>
    <n v="2472"/>
    <n v="2472"/>
    <n v="1"/>
    <s v="Yes"/>
    <n v="1"/>
    <n v="23"/>
    <n v="4"/>
    <n v="1"/>
    <n v="0"/>
    <n v="1"/>
    <x v="5"/>
    <n v="2"/>
    <n v="3"/>
    <n v="1"/>
    <n v="1"/>
    <n v="0"/>
    <n v="0"/>
    <n v="0"/>
    <n v="0"/>
    <n v="0"/>
    <n v="0"/>
    <n v="1"/>
    <n v="0"/>
    <n v="0"/>
    <n v="0"/>
    <n v="0"/>
    <n v="1"/>
    <n v="0"/>
    <n v="0"/>
    <n v="0"/>
    <n v="0"/>
    <n v="0"/>
    <n v="0"/>
    <n v="1"/>
    <n v="0"/>
    <n v="0.85619547464590751"/>
    <n v="1.1555414682655611"/>
    <n v="1.3211515584717011"/>
    <n v="0.9806804209314296"/>
    <n v="0.27045191444879263"/>
    <n v="1.6336288320949415"/>
    <n v="0.67891464284095016"/>
  </r>
  <r>
    <n v="36"/>
    <n v="36"/>
    <s v="No"/>
    <n v="0"/>
    <s v="Travel_Rarely"/>
    <n v="0"/>
    <n v="1"/>
    <x v="0"/>
    <n v="0"/>
    <n v="1"/>
    <n v="10"/>
    <n v="10"/>
    <n v="4"/>
    <s v="Technical Degree"/>
    <n v="0"/>
    <n v="0"/>
    <n v="0"/>
    <n v="0"/>
    <n v="1"/>
    <n v="2"/>
    <s v="Female"/>
    <n v="1"/>
    <n v="63"/>
    <n v="2"/>
    <n v="2"/>
    <s v="Sales Executive"/>
    <n v="0"/>
    <n v="1"/>
    <n v="0"/>
    <n v="0"/>
    <n v="0"/>
    <n v="0"/>
    <n v="0"/>
    <n v="0"/>
    <n v="3"/>
    <s v="Married"/>
    <n v="0"/>
    <n v="1"/>
    <n v="5673"/>
    <n v="5673"/>
    <n v="1"/>
    <s v="Yes"/>
    <n v="1"/>
    <n v="13"/>
    <n v="3"/>
    <n v="1"/>
    <n v="1"/>
    <n v="10"/>
    <x v="1"/>
    <n v="4"/>
    <n v="3"/>
    <n v="10"/>
    <n v="10"/>
    <n v="9"/>
    <n v="1"/>
    <n v="1"/>
    <n v="7"/>
    <n v="7"/>
    <n v="14"/>
    <n v="0"/>
    <n v="1"/>
    <n v="0"/>
    <n v="0"/>
    <n v="0"/>
    <n v="0"/>
    <n v="0"/>
    <n v="1"/>
    <n v="0"/>
    <n v="0"/>
    <n v="7"/>
    <n v="0"/>
    <n v="0"/>
    <n v="10"/>
    <n v="0.17628269135701036"/>
    <n v="0.80626709607243985"/>
    <n v="0.1644554352117841"/>
    <n v="0.48834154112957734"/>
    <n v="9.9604847176766084E-2"/>
    <n v="0.10112443951066327"/>
    <n v="0.36858985273641137"/>
  </r>
  <r>
    <n v="31"/>
    <n v="31"/>
    <s v="No"/>
    <n v="0"/>
    <s v="Travel_Rarely"/>
    <n v="0"/>
    <n v="1"/>
    <x v="1"/>
    <n v="1"/>
    <n v="0"/>
    <n v="20"/>
    <n v="20"/>
    <n v="3"/>
    <s v="Life Sciences"/>
    <n v="1"/>
    <n v="0"/>
    <n v="0"/>
    <n v="0"/>
    <n v="0"/>
    <n v="2"/>
    <s v="Male"/>
    <n v="0"/>
    <n v="89"/>
    <n v="3"/>
    <n v="2"/>
    <s v="Laboratory Technician"/>
    <n v="0"/>
    <n v="0"/>
    <n v="1"/>
    <n v="0"/>
    <n v="0"/>
    <n v="0"/>
    <n v="0"/>
    <n v="0"/>
    <n v="3"/>
    <s v="Divorced"/>
    <n v="0"/>
    <n v="0"/>
    <n v="4197"/>
    <n v="4197"/>
    <n v="1"/>
    <s v="No"/>
    <n v="0"/>
    <n v="11"/>
    <n v="3"/>
    <n v="1"/>
    <n v="1"/>
    <n v="10"/>
    <x v="1"/>
    <n v="2"/>
    <n v="3"/>
    <n v="10"/>
    <n v="10"/>
    <n v="8"/>
    <n v="0"/>
    <n v="0"/>
    <n v="2"/>
    <n v="2"/>
    <n v="4"/>
    <n v="1"/>
    <n v="0"/>
    <n v="0"/>
    <n v="0"/>
    <n v="1"/>
    <n v="0"/>
    <n v="0"/>
    <n v="0"/>
    <n v="0"/>
    <n v="2"/>
    <n v="0"/>
    <n v="0"/>
    <n v="10"/>
    <n v="0"/>
    <n v="0.48979449021187205"/>
    <n v="0.59502473559756086"/>
    <n v="0.1644554352117841"/>
    <n v="0.48834154112957734"/>
    <n v="1.3331273859286286"/>
    <n v="0.6484474368621912"/>
    <n v="0.67891464284095016"/>
  </r>
  <r>
    <n v="34"/>
    <n v="34"/>
    <s v="No"/>
    <n v="0"/>
    <s v="Travel_Rarely"/>
    <n v="0"/>
    <n v="1"/>
    <x v="0"/>
    <n v="0"/>
    <n v="1"/>
    <n v="4"/>
    <n v="4"/>
    <n v="3"/>
    <s v="Life Sciences"/>
    <n v="1"/>
    <n v="0"/>
    <n v="0"/>
    <n v="0"/>
    <n v="0"/>
    <n v="3"/>
    <s v="Male"/>
    <n v="0"/>
    <n v="64"/>
    <n v="3"/>
    <n v="3"/>
    <s v="Sales Executive"/>
    <n v="0"/>
    <n v="1"/>
    <n v="0"/>
    <n v="0"/>
    <n v="0"/>
    <n v="0"/>
    <n v="0"/>
    <n v="0"/>
    <n v="4"/>
    <s v="Married"/>
    <n v="0"/>
    <n v="1"/>
    <n v="9713"/>
    <n v="9713"/>
    <n v="2"/>
    <s v="Yes"/>
    <n v="1"/>
    <n v="13"/>
    <n v="3"/>
    <n v="4"/>
    <n v="3"/>
    <n v="9"/>
    <x v="14"/>
    <n v="3"/>
    <n v="3"/>
    <n v="5"/>
    <n v="5"/>
    <n v="3"/>
    <n v="1"/>
    <n v="1"/>
    <n v="0"/>
    <n v="0"/>
    <n v="0"/>
    <n v="0"/>
    <n v="1"/>
    <n v="0"/>
    <n v="0"/>
    <n v="0"/>
    <n v="0"/>
    <n v="0"/>
    <n v="1"/>
    <n v="0"/>
    <n v="0"/>
    <n v="0"/>
    <n v="0"/>
    <n v="0"/>
    <n v="9"/>
    <n v="0.68183903450589023"/>
    <n v="1.1555414682655611"/>
    <n v="0.29297722668510823"/>
    <n v="0.32778177112653761"/>
    <n v="0.64050867607435136"/>
    <n v="0.32005363845127444"/>
    <n v="0.36858985273641137"/>
  </r>
  <r>
    <n v="29"/>
    <n v="29"/>
    <s v="No"/>
    <n v="0"/>
    <s v="Travel_Rarely"/>
    <n v="0"/>
    <n v="1"/>
    <x v="1"/>
    <n v="1"/>
    <n v="0"/>
    <n v="7"/>
    <n v="7"/>
    <n v="3"/>
    <s v="Life Sciences"/>
    <n v="1"/>
    <n v="0"/>
    <n v="0"/>
    <n v="0"/>
    <n v="0"/>
    <n v="4"/>
    <s v="Male"/>
    <n v="0"/>
    <n v="59"/>
    <n v="3"/>
    <n v="1"/>
    <s v="Laboratory Technician"/>
    <n v="0"/>
    <n v="0"/>
    <n v="1"/>
    <n v="0"/>
    <n v="0"/>
    <n v="0"/>
    <n v="0"/>
    <n v="0"/>
    <n v="1"/>
    <s v="Single"/>
    <n v="1"/>
    <n v="0"/>
    <n v="2062"/>
    <n v="2062"/>
    <n v="3"/>
    <s v="No"/>
    <n v="0"/>
    <n v="14"/>
    <n v="3"/>
    <n v="2"/>
    <n v="0"/>
    <n v="11"/>
    <x v="26"/>
    <n v="2"/>
    <n v="3"/>
    <n v="3"/>
    <n v="3"/>
    <n v="2"/>
    <n v="1"/>
    <n v="1"/>
    <n v="2"/>
    <n v="2"/>
    <n v="2"/>
    <n v="1"/>
    <n v="0"/>
    <n v="0"/>
    <n v="0"/>
    <n v="1"/>
    <n v="0"/>
    <n v="0"/>
    <n v="0"/>
    <n v="0"/>
    <n v="2"/>
    <n v="0"/>
    <n v="0"/>
    <n v="11"/>
    <n v="0"/>
    <n v="0.94328208543892467"/>
    <n v="0.59502473559756086"/>
    <n v="3.593364373846001E-2"/>
    <n v="0.65423109602898355"/>
    <n v="0.27045191444879263"/>
    <n v="0.86737663580280233"/>
    <n v="0.36858985273641137"/>
  </r>
  <r>
    <n v="37"/>
    <n v="37"/>
    <s v="No"/>
    <n v="0"/>
    <s v="Travel_Rarely"/>
    <n v="0"/>
    <n v="1"/>
    <x v="1"/>
    <n v="1"/>
    <n v="0"/>
    <n v="7"/>
    <n v="7"/>
    <n v="4"/>
    <s v="Medical"/>
    <n v="0"/>
    <n v="0"/>
    <n v="1"/>
    <n v="0"/>
    <n v="0"/>
    <n v="4"/>
    <s v="Male"/>
    <n v="0"/>
    <n v="78"/>
    <n v="3"/>
    <n v="2"/>
    <s v="Research Scientist"/>
    <n v="0"/>
    <n v="0"/>
    <n v="0"/>
    <n v="0"/>
    <n v="0"/>
    <n v="0"/>
    <n v="0"/>
    <n v="1"/>
    <n v="1"/>
    <s v="Married"/>
    <n v="0"/>
    <n v="1"/>
    <n v="4284"/>
    <n v="4284"/>
    <n v="5"/>
    <s v="Yes"/>
    <n v="1"/>
    <n v="22"/>
    <n v="4"/>
    <n v="3"/>
    <n v="1"/>
    <n v="16"/>
    <x v="27"/>
    <n v="2"/>
    <n v="3"/>
    <n v="5"/>
    <n v="5"/>
    <n v="3"/>
    <n v="0"/>
    <n v="0"/>
    <n v="4"/>
    <n v="4"/>
    <n v="8"/>
    <n v="0"/>
    <n v="1"/>
    <n v="0"/>
    <n v="0"/>
    <n v="0"/>
    <n v="0"/>
    <n v="0"/>
    <n v="1"/>
    <n v="0"/>
    <n v="4"/>
    <n v="0"/>
    <n v="0"/>
    <n v="16"/>
    <n v="0"/>
    <n v="0.47131513621432936"/>
    <n v="3.4508002929560584E-2"/>
    <n v="0.60667531362816052"/>
    <n v="0.32778177112653761"/>
    <n v="0.27045191444879263"/>
    <n v="8.3401599596422994E-3"/>
    <n v="0.67891464284095016"/>
  </r>
  <r>
    <n v="35"/>
    <n v="35"/>
    <s v="No"/>
    <n v="0"/>
    <s v="Travel_Rarely"/>
    <n v="0"/>
    <n v="1"/>
    <x v="1"/>
    <n v="1"/>
    <n v="0"/>
    <n v="16"/>
    <n v="16"/>
    <n v="2"/>
    <s v="Other"/>
    <n v="0"/>
    <n v="1"/>
    <n v="0"/>
    <n v="0"/>
    <n v="0"/>
    <n v="4"/>
    <s v="Female"/>
    <n v="1"/>
    <n v="44"/>
    <n v="2"/>
    <n v="2"/>
    <s v="Manufacturing Director"/>
    <n v="0"/>
    <n v="0"/>
    <n v="0"/>
    <n v="0"/>
    <n v="1"/>
    <n v="1"/>
    <n v="0"/>
    <n v="0"/>
    <n v="2"/>
    <s v="Married"/>
    <n v="0"/>
    <n v="1"/>
    <n v="4788"/>
    <n v="4788"/>
    <n v="0"/>
    <s v="Yes"/>
    <n v="1"/>
    <n v="11"/>
    <n v="3"/>
    <n v="4"/>
    <n v="0"/>
    <n v="4"/>
    <x v="20"/>
    <n v="2"/>
    <n v="3"/>
    <n v="3"/>
    <n v="3"/>
    <n v="2"/>
    <n v="0"/>
    <n v="0"/>
    <n v="2"/>
    <n v="2"/>
    <n v="4"/>
    <n v="0"/>
    <n v="1"/>
    <n v="0"/>
    <n v="0"/>
    <n v="0"/>
    <n v="0"/>
    <n v="0"/>
    <n v="1"/>
    <n v="0"/>
    <n v="2"/>
    <n v="0"/>
    <n v="0"/>
    <n v="4"/>
    <n v="0"/>
    <n v="0.36426232684925464"/>
    <n v="0.59502473559756086"/>
    <n v="0.93558618405172878"/>
    <n v="0.65423109602898355"/>
    <n v="0.83971837042788355"/>
    <n v="0.21058903898096887"/>
    <n v="0.67891464284095016"/>
  </r>
  <r>
    <n v="45"/>
    <n v="45"/>
    <s v="No"/>
    <n v="0"/>
    <s v="Travel_Rarely"/>
    <n v="0"/>
    <n v="1"/>
    <x v="1"/>
    <n v="1"/>
    <n v="0"/>
    <n v="25"/>
    <n v="25"/>
    <n v="2"/>
    <s v="Life Sciences"/>
    <n v="1"/>
    <n v="0"/>
    <n v="0"/>
    <n v="0"/>
    <n v="0"/>
    <n v="2"/>
    <s v="Female"/>
    <n v="1"/>
    <n v="93"/>
    <n v="2"/>
    <n v="2"/>
    <s v="Manufacturing Director"/>
    <n v="0"/>
    <n v="0"/>
    <n v="0"/>
    <n v="0"/>
    <n v="1"/>
    <n v="1"/>
    <n v="0"/>
    <n v="0"/>
    <n v="4"/>
    <s v="Married"/>
    <n v="0"/>
    <n v="1"/>
    <n v="5906"/>
    <n v="5906"/>
    <n v="0"/>
    <s v="No"/>
    <n v="0"/>
    <n v="13"/>
    <n v="3"/>
    <n v="4"/>
    <n v="2"/>
    <n v="10"/>
    <x v="1"/>
    <n v="2"/>
    <n v="2"/>
    <n v="9"/>
    <n v="9"/>
    <n v="8"/>
    <n v="3"/>
    <n v="3"/>
    <n v="8"/>
    <n v="8"/>
    <n v="16"/>
    <n v="0"/>
    <n v="1"/>
    <n v="0"/>
    <n v="0"/>
    <n v="0"/>
    <n v="0"/>
    <n v="1"/>
    <n v="0"/>
    <n v="0"/>
    <n v="8"/>
    <n v="0"/>
    <n v="0"/>
    <n v="10"/>
    <n v="0"/>
    <n v="0.12679200766244209"/>
    <n v="1.08652546240644"/>
    <n v="0.1644554352117841"/>
    <n v="0.32511687867835437"/>
    <n v="1.9498886553045598"/>
    <n v="0.88405695572208698"/>
    <n v="0.2520597274726662"/>
  </r>
  <r>
    <n v="36"/>
    <n v="36"/>
    <s v="No"/>
    <n v="0"/>
    <s v="Travel_Frequently"/>
    <n v="1"/>
    <n v="0"/>
    <x v="2"/>
    <n v="0"/>
    <n v="0"/>
    <n v="2"/>
    <n v="2"/>
    <n v="1"/>
    <s v="Human Resources"/>
    <n v="0"/>
    <n v="0"/>
    <n v="0"/>
    <n v="0"/>
    <n v="0"/>
    <n v="2"/>
    <s v="Male"/>
    <n v="0"/>
    <n v="94"/>
    <n v="2"/>
    <n v="2"/>
    <s v="Human Resources"/>
    <n v="0"/>
    <n v="0"/>
    <n v="0"/>
    <n v="0"/>
    <n v="0"/>
    <n v="0"/>
    <n v="0"/>
    <n v="0"/>
    <n v="4"/>
    <s v="Single"/>
    <n v="1"/>
    <n v="0"/>
    <n v="3886"/>
    <n v="3886"/>
    <n v="1"/>
    <s v="No"/>
    <n v="0"/>
    <n v="21"/>
    <n v="4"/>
    <n v="4"/>
    <n v="0"/>
    <n v="10"/>
    <x v="1"/>
    <n v="2"/>
    <n v="2"/>
    <n v="10"/>
    <n v="10"/>
    <n v="1"/>
    <n v="0"/>
    <n v="0"/>
    <n v="8"/>
    <n v="8"/>
    <n v="16"/>
    <n v="0"/>
    <n v="0"/>
    <n v="1"/>
    <n v="0"/>
    <n v="1"/>
    <n v="0"/>
    <n v="0"/>
    <n v="0"/>
    <n v="8"/>
    <n v="0"/>
    <n v="0"/>
    <n v="10"/>
    <n v="0"/>
    <n v="0"/>
    <n v="0.55585287059389232"/>
    <n v="1.08652546240644"/>
    <n v="0.1644554352117841"/>
    <n v="0.48834154112957734"/>
    <n v="0.88721318382472392"/>
    <n v="0.10112443951066327"/>
    <n v="0.67891464284095016"/>
  </r>
  <r>
    <n v="40"/>
    <n v="40"/>
    <s v="No"/>
    <n v="0"/>
    <s v="Travel_Rarely"/>
    <n v="0"/>
    <n v="1"/>
    <x v="1"/>
    <n v="1"/>
    <n v="0"/>
    <n v="1"/>
    <n v="1"/>
    <n v="4"/>
    <s v="Life Sciences"/>
    <n v="1"/>
    <n v="0"/>
    <n v="0"/>
    <n v="0"/>
    <n v="0"/>
    <n v="1"/>
    <s v="Male"/>
    <n v="0"/>
    <n v="98"/>
    <n v="3"/>
    <n v="4"/>
    <s v="Manager"/>
    <n v="0"/>
    <n v="0"/>
    <n v="0"/>
    <n v="1"/>
    <n v="0"/>
    <n v="0"/>
    <n v="0"/>
    <n v="0"/>
    <n v="1"/>
    <s v="Divorced"/>
    <n v="0"/>
    <n v="0"/>
    <n v="16823"/>
    <n v="16823"/>
    <n v="2"/>
    <s v="No"/>
    <n v="0"/>
    <n v="11"/>
    <n v="3"/>
    <n v="1"/>
    <n v="1"/>
    <n v="22"/>
    <x v="13"/>
    <n v="3"/>
    <n v="3"/>
    <n v="19"/>
    <n v="19"/>
    <n v="7"/>
    <n v="11"/>
    <n v="11"/>
    <n v="16"/>
    <n v="14"/>
    <n v="56"/>
    <n v="1"/>
    <n v="0"/>
    <n v="0"/>
    <n v="0"/>
    <n v="1"/>
    <n v="0"/>
    <n v="0"/>
    <n v="0"/>
    <n v="0"/>
    <n v="14"/>
    <n v="0"/>
    <n v="0"/>
    <n v="22"/>
    <n v="0"/>
    <n v="2.1920483094774799"/>
    <n v="3.3285923930784413"/>
    <n v="1.3778060624681052"/>
    <n v="1.9573635031905841"/>
    <n v="1.01056543769991"/>
    <n v="0.33673395837055903"/>
    <n v="2.7346580483089769"/>
  </r>
  <r>
    <n v="26"/>
    <n v="26"/>
    <s v="No"/>
    <n v="0"/>
    <s v="Travel_Rarely"/>
    <n v="0"/>
    <n v="1"/>
    <x v="1"/>
    <n v="1"/>
    <n v="0"/>
    <n v="1"/>
    <n v="1"/>
    <n v="2"/>
    <s v="Life Sciences"/>
    <n v="1"/>
    <n v="0"/>
    <n v="0"/>
    <n v="0"/>
    <n v="0"/>
    <n v="2"/>
    <s v="Female"/>
    <n v="1"/>
    <n v="90"/>
    <n v="2"/>
    <n v="1"/>
    <s v="Research Scientist"/>
    <n v="0"/>
    <n v="0"/>
    <n v="0"/>
    <n v="0"/>
    <n v="0"/>
    <n v="0"/>
    <n v="0"/>
    <n v="1"/>
    <n v="3"/>
    <s v="Married"/>
    <n v="0"/>
    <n v="1"/>
    <n v="2933"/>
    <n v="2933"/>
    <n v="1"/>
    <s v="Yes"/>
    <n v="1"/>
    <n v="13"/>
    <n v="3"/>
    <n v="3"/>
    <n v="1"/>
    <n v="1"/>
    <x v="5"/>
    <n v="3"/>
    <n v="2"/>
    <n v="1"/>
    <n v="1"/>
    <n v="0"/>
    <n v="1"/>
    <n v="1"/>
    <n v="0"/>
    <n v="0"/>
    <n v="0"/>
    <n v="0"/>
    <n v="1"/>
    <n v="0"/>
    <n v="0"/>
    <n v="0"/>
    <n v="0"/>
    <n v="0"/>
    <n v="1"/>
    <n v="0"/>
    <n v="0"/>
    <n v="0"/>
    <n v="0"/>
    <n v="1"/>
    <n v="0"/>
    <n v="0.75827613909571023"/>
    <n v="1.1555414682655611"/>
    <n v="1.3211515584717011"/>
    <n v="0.9806804209314296"/>
    <n v="1.01056543769991"/>
    <n v="1.195770434213719"/>
    <n v="0.36858985273641137"/>
  </r>
  <r>
    <n v="27"/>
    <n v="27"/>
    <s v="No"/>
    <n v="0"/>
    <s v="Travel_Rarely"/>
    <n v="0"/>
    <n v="1"/>
    <x v="0"/>
    <n v="0"/>
    <n v="1"/>
    <n v="2"/>
    <n v="2"/>
    <n v="2"/>
    <s v="Medical"/>
    <n v="0"/>
    <n v="0"/>
    <n v="1"/>
    <n v="0"/>
    <n v="0"/>
    <n v="1"/>
    <s v="Female"/>
    <n v="1"/>
    <n v="89"/>
    <n v="4"/>
    <n v="2"/>
    <s v="Sales Executive"/>
    <n v="0"/>
    <n v="1"/>
    <n v="0"/>
    <n v="0"/>
    <n v="0"/>
    <n v="0"/>
    <n v="0"/>
    <n v="0"/>
    <n v="3"/>
    <s v="Single"/>
    <n v="1"/>
    <n v="0"/>
    <n v="6500"/>
    <n v="6500"/>
    <n v="0"/>
    <s v="No"/>
    <n v="0"/>
    <n v="14"/>
    <n v="3"/>
    <n v="2"/>
    <n v="0"/>
    <n v="9"/>
    <x v="14"/>
    <n v="5"/>
    <n v="2"/>
    <n v="8"/>
    <n v="8"/>
    <n v="7"/>
    <n v="0"/>
    <n v="0"/>
    <n v="7"/>
    <n v="7"/>
    <n v="14"/>
    <n v="1"/>
    <n v="0"/>
    <n v="0"/>
    <n v="0"/>
    <n v="1"/>
    <n v="0"/>
    <n v="0"/>
    <n v="0"/>
    <n v="0"/>
    <n v="0"/>
    <n v="7"/>
    <n v="0"/>
    <n v="0"/>
    <n v="9"/>
    <n v="6.226251964611565E-4"/>
    <n v="0.80626709607243985"/>
    <n v="0.29297722668510823"/>
    <n v="0.16189221622713135"/>
    <n v="0.88721318382472392"/>
    <n v="1.0863058347434136"/>
    <n v="0.67891464284095016"/>
  </r>
  <r>
    <n v="48"/>
    <n v="48"/>
    <s v="No"/>
    <n v="0"/>
    <s v="Travel_Frequently"/>
    <n v="1"/>
    <n v="0"/>
    <x v="1"/>
    <n v="1"/>
    <n v="0"/>
    <n v="22"/>
    <n v="22"/>
    <n v="3"/>
    <s v="Medical"/>
    <n v="0"/>
    <n v="0"/>
    <n v="1"/>
    <n v="0"/>
    <n v="0"/>
    <n v="4"/>
    <s v="Female"/>
    <n v="1"/>
    <n v="58"/>
    <n v="3"/>
    <n v="4"/>
    <s v="Manager"/>
    <n v="0"/>
    <n v="0"/>
    <n v="0"/>
    <n v="1"/>
    <n v="0"/>
    <n v="0"/>
    <n v="0"/>
    <n v="0"/>
    <n v="4"/>
    <s v="Divorced"/>
    <n v="0"/>
    <n v="0"/>
    <n v="17174"/>
    <n v="17174"/>
    <n v="3"/>
    <s v="No"/>
    <n v="0"/>
    <n v="11"/>
    <n v="3"/>
    <n v="2"/>
    <n v="1"/>
    <n v="24"/>
    <x v="12"/>
    <n v="3"/>
    <n v="3"/>
    <n v="22"/>
    <n v="22"/>
    <n v="17"/>
    <n v="4"/>
    <n v="4"/>
    <n v="7"/>
    <n v="7"/>
    <n v="28"/>
    <n v="0"/>
    <n v="0"/>
    <n v="1"/>
    <n v="0"/>
    <n v="1"/>
    <n v="0"/>
    <n v="0"/>
    <n v="0"/>
    <n v="0"/>
    <n v="7"/>
    <n v="0"/>
    <n v="0"/>
    <n v="24"/>
    <n v="0"/>
    <n v="2.2666029445710141"/>
    <n v="0.80626709607243985"/>
    <n v="1.6348496454147534"/>
    <n v="2.4470374905442531"/>
    <n v="1.579831893679001"/>
    <n v="1.2124507541330036"/>
    <n v="0.56238451757720498"/>
  </r>
  <r>
    <n v="44"/>
    <n v="44"/>
    <s v="No"/>
    <n v="0"/>
    <s v="Travel_Rarely"/>
    <n v="0"/>
    <n v="1"/>
    <x v="1"/>
    <n v="1"/>
    <n v="0"/>
    <n v="1"/>
    <n v="1"/>
    <n v="4"/>
    <s v="Life Sciences"/>
    <n v="1"/>
    <n v="0"/>
    <n v="0"/>
    <n v="0"/>
    <n v="0"/>
    <n v="2"/>
    <s v="Male"/>
    <n v="0"/>
    <n v="78"/>
    <n v="4"/>
    <n v="2"/>
    <s v="Healthcare Representative"/>
    <n v="1"/>
    <n v="0"/>
    <n v="0"/>
    <n v="0"/>
    <n v="0"/>
    <n v="0"/>
    <n v="0"/>
    <n v="0"/>
    <n v="1"/>
    <s v="Married"/>
    <n v="0"/>
    <n v="1"/>
    <n v="5033"/>
    <n v="5033"/>
    <n v="2"/>
    <s v="No"/>
    <n v="0"/>
    <n v="15"/>
    <n v="3"/>
    <n v="4"/>
    <n v="1"/>
    <n v="10"/>
    <x v="1"/>
    <n v="5"/>
    <n v="3"/>
    <n v="2"/>
    <n v="2"/>
    <n v="0"/>
    <n v="2"/>
    <n v="2"/>
    <n v="2"/>
    <n v="2"/>
    <n v="4"/>
    <n v="0"/>
    <n v="1"/>
    <n v="0"/>
    <n v="0"/>
    <n v="0"/>
    <n v="0"/>
    <n v="1"/>
    <n v="0"/>
    <n v="0"/>
    <n v="2"/>
    <n v="0"/>
    <n v="0"/>
    <n v="10"/>
    <n v="0"/>
    <n v="0.31222276674123223"/>
    <n v="0.59502473559756086"/>
    <n v="0.1644554352117841"/>
    <n v="0.81745575848020657"/>
    <n v="1.01056543769991"/>
    <n v="0.77459235625178136"/>
    <n v="5.8265062631872602E-2"/>
  </r>
  <r>
    <n v="34"/>
    <n v="34"/>
    <s v="Yes"/>
    <n v="1"/>
    <s v="Non-Travel"/>
    <n v="0"/>
    <n v="0"/>
    <x v="1"/>
    <n v="1"/>
    <n v="0"/>
    <n v="16"/>
    <n v="16"/>
    <n v="4"/>
    <s v="Technical Degree"/>
    <n v="0"/>
    <n v="0"/>
    <n v="0"/>
    <n v="0"/>
    <n v="1"/>
    <n v="4"/>
    <s v="Male"/>
    <n v="0"/>
    <n v="85"/>
    <n v="1"/>
    <n v="1"/>
    <s v="Research Scientist"/>
    <n v="0"/>
    <n v="0"/>
    <n v="0"/>
    <n v="0"/>
    <n v="0"/>
    <n v="0"/>
    <n v="0"/>
    <n v="1"/>
    <n v="1"/>
    <s v="Married"/>
    <n v="0"/>
    <n v="1"/>
    <n v="2307"/>
    <n v="2307"/>
    <n v="1"/>
    <s v="Yes"/>
    <n v="1"/>
    <n v="23"/>
    <n v="4"/>
    <n v="2"/>
    <n v="1"/>
    <n v="5"/>
    <x v="7"/>
    <n v="2"/>
    <n v="3"/>
    <n v="5"/>
    <n v="5"/>
    <n v="2"/>
    <n v="3"/>
    <n v="3"/>
    <n v="0"/>
    <n v="0"/>
    <n v="0"/>
    <n v="0"/>
    <n v="1"/>
    <n v="0"/>
    <n v="0"/>
    <n v="0"/>
    <n v="0"/>
    <n v="0"/>
    <n v="1"/>
    <n v="0"/>
    <n v="0"/>
    <n v="0"/>
    <n v="0"/>
    <n v="5"/>
    <n v="0"/>
    <n v="0.8912425253309022"/>
    <n v="1.1555414682655611"/>
    <n v="0.80706439257840468"/>
    <n v="0.32778177112653761"/>
    <n v="0.83971837042788355"/>
    <n v="0.32005363845127444"/>
    <n v="0.2520597274726662"/>
  </r>
  <r>
    <n v="56"/>
    <n v="56"/>
    <s v="Yes"/>
    <n v="1"/>
    <s v="Travel_Rarely"/>
    <n v="0"/>
    <n v="1"/>
    <x v="1"/>
    <n v="1"/>
    <n v="0"/>
    <n v="24"/>
    <n v="24"/>
    <n v="2"/>
    <s v="Life Sciences"/>
    <n v="1"/>
    <n v="0"/>
    <n v="0"/>
    <n v="0"/>
    <n v="0"/>
    <n v="1"/>
    <s v="Male"/>
    <n v="0"/>
    <n v="97"/>
    <n v="3"/>
    <n v="1"/>
    <s v="Laboratory Technician"/>
    <n v="0"/>
    <n v="0"/>
    <n v="1"/>
    <n v="0"/>
    <n v="0"/>
    <n v="0"/>
    <n v="0"/>
    <n v="0"/>
    <n v="4"/>
    <s v="Single"/>
    <n v="1"/>
    <n v="0"/>
    <n v="2587"/>
    <n v="2587"/>
    <n v="1"/>
    <s v="No"/>
    <n v="0"/>
    <n v="16"/>
    <n v="3"/>
    <n v="4"/>
    <n v="0"/>
    <n v="5"/>
    <x v="7"/>
    <n v="3"/>
    <n v="3"/>
    <n v="4"/>
    <n v="4"/>
    <n v="2"/>
    <n v="1"/>
    <n v="1"/>
    <n v="0"/>
    <n v="0"/>
    <n v="0"/>
    <n v="1"/>
    <n v="0"/>
    <n v="0"/>
    <n v="0"/>
    <n v="1"/>
    <n v="0"/>
    <n v="0"/>
    <n v="0"/>
    <n v="0"/>
    <n v="0"/>
    <n v="0"/>
    <n v="0"/>
    <n v="5"/>
    <n v="0"/>
    <n v="0.83176874235030518"/>
    <n v="1.1555414682655611"/>
    <n v="0.80706439257840468"/>
    <n v="0.49100643357776058"/>
    <n v="1.8265364014293735"/>
    <n v="2.0881675498954482"/>
    <n v="0.36858985273641137"/>
  </r>
  <r>
    <n v="36"/>
    <n v="36"/>
    <s v="No"/>
    <n v="0"/>
    <s v="Travel_Rarely"/>
    <n v="0"/>
    <n v="1"/>
    <x v="0"/>
    <n v="0"/>
    <n v="1"/>
    <n v="17"/>
    <n v="17"/>
    <n v="2"/>
    <s v="Marketing"/>
    <n v="0"/>
    <n v="0"/>
    <n v="0"/>
    <n v="1"/>
    <n v="0"/>
    <n v="3"/>
    <s v="Male"/>
    <n v="0"/>
    <n v="33"/>
    <n v="2"/>
    <n v="2"/>
    <s v="Sales Executive"/>
    <n v="0"/>
    <n v="1"/>
    <n v="0"/>
    <n v="0"/>
    <n v="0"/>
    <n v="0"/>
    <n v="0"/>
    <n v="0"/>
    <n v="2"/>
    <s v="Married"/>
    <n v="0"/>
    <n v="1"/>
    <n v="5507"/>
    <n v="5507"/>
    <n v="2"/>
    <s v="No"/>
    <n v="0"/>
    <n v="16"/>
    <n v="3"/>
    <n v="3"/>
    <n v="2"/>
    <n v="12"/>
    <x v="4"/>
    <n v="1"/>
    <n v="1"/>
    <n v="4"/>
    <n v="4"/>
    <n v="2"/>
    <n v="1"/>
    <n v="1"/>
    <n v="3"/>
    <n v="3"/>
    <n v="6"/>
    <n v="0"/>
    <n v="1"/>
    <n v="0"/>
    <n v="0"/>
    <n v="0"/>
    <n v="0"/>
    <n v="1"/>
    <n v="0"/>
    <n v="0"/>
    <n v="0"/>
    <n v="3"/>
    <n v="0"/>
    <n v="0"/>
    <n v="12"/>
    <n v="0.21154214840979291"/>
    <n v="0.31476636926356072"/>
    <n v="9.2588147734864096E-2"/>
    <n v="0.49100643357776058"/>
    <n v="0.96307062430306978"/>
    <n v="0.10112443951066327"/>
    <n v="0.36858985273641137"/>
  </r>
  <r>
    <n v="41"/>
    <n v="41"/>
    <s v="No"/>
    <n v="0"/>
    <s v="Travel_Rarely"/>
    <n v="0"/>
    <n v="1"/>
    <x v="0"/>
    <n v="0"/>
    <n v="1"/>
    <n v="8"/>
    <n v="8"/>
    <n v="3"/>
    <s v="Marketing"/>
    <n v="0"/>
    <n v="0"/>
    <n v="0"/>
    <n v="1"/>
    <n v="0"/>
    <n v="3"/>
    <s v="Female"/>
    <n v="1"/>
    <n v="54"/>
    <n v="3"/>
    <n v="2"/>
    <s v="Sales Executive"/>
    <n v="0"/>
    <n v="1"/>
    <n v="0"/>
    <n v="0"/>
    <n v="0"/>
    <n v="0"/>
    <n v="0"/>
    <n v="0"/>
    <n v="2"/>
    <s v="Married"/>
    <n v="0"/>
    <n v="1"/>
    <n v="4393"/>
    <n v="4393"/>
    <n v="5"/>
    <s v="No"/>
    <n v="0"/>
    <n v="21"/>
    <n v="4"/>
    <n v="3"/>
    <n v="1"/>
    <n v="14"/>
    <x v="18"/>
    <n v="3"/>
    <n v="3"/>
    <n v="5"/>
    <n v="5"/>
    <n v="4"/>
    <n v="1"/>
    <n v="1"/>
    <n v="4"/>
    <n v="4"/>
    <n v="8"/>
    <n v="0"/>
    <n v="1"/>
    <n v="0"/>
    <n v="0"/>
    <n v="0"/>
    <n v="0"/>
    <n v="1"/>
    <n v="0"/>
    <n v="0"/>
    <n v="0"/>
    <n v="4"/>
    <n v="0"/>
    <n v="0"/>
    <n v="14"/>
    <n v="0.4481628421254541"/>
    <n v="3.4508002929560584E-2"/>
    <n v="0.34963173068151232"/>
    <n v="0.32778177112653761"/>
    <n v="0.14709966057360641"/>
    <n v="0.4461985578408646"/>
    <n v="0.36858985273641137"/>
  </r>
  <r>
    <n v="42"/>
    <n v="42"/>
    <s v="No"/>
    <n v="0"/>
    <s v="Travel_Rarely"/>
    <n v="0"/>
    <n v="1"/>
    <x v="1"/>
    <n v="1"/>
    <n v="0"/>
    <n v="6"/>
    <n v="6"/>
    <n v="3"/>
    <s v="Medical"/>
    <n v="0"/>
    <n v="0"/>
    <n v="1"/>
    <n v="0"/>
    <n v="0"/>
    <n v="3"/>
    <s v="Male"/>
    <n v="0"/>
    <n v="83"/>
    <n v="3"/>
    <n v="3"/>
    <s v="Research Director"/>
    <n v="0"/>
    <n v="0"/>
    <n v="0"/>
    <n v="0"/>
    <n v="0"/>
    <n v="0"/>
    <n v="0"/>
    <n v="0"/>
    <n v="1"/>
    <s v="Married"/>
    <n v="0"/>
    <n v="1"/>
    <n v="13348"/>
    <n v="13348"/>
    <n v="9"/>
    <s v="No"/>
    <n v="0"/>
    <n v="13"/>
    <n v="3"/>
    <n v="2"/>
    <n v="1"/>
    <n v="18"/>
    <x v="30"/>
    <n v="3"/>
    <n v="4"/>
    <n v="13"/>
    <n v="13"/>
    <n v="7"/>
    <n v="5"/>
    <n v="5"/>
    <n v="7"/>
    <n v="7"/>
    <n v="21"/>
    <n v="0"/>
    <n v="1"/>
    <n v="0"/>
    <n v="0"/>
    <n v="0"/>
    <n v="0"/>
    <n v="1"/>
    <n v="0"/>
    <n v="0"/>
    <n v="7"/>
    <n v="0"/>
    <n v="0"/>
    <n v="18"/>
    <n v="0"/>
    <n v="1.4539361814147129"/>
    <n v="0.80626709607243985"/>
    <n v="0.86371889657480871"/>
    <n v="0.97801552848324624"/>
    <n v="0.39380416832397891"/>
    <n v="0.55566315731117022"/>
    <n v="0.87270930768174382"/>
  </r>
  <r>
    <n v="31"/>
    <n v="31"/>
    <s v="No"/>
    <n v="0"/>
    <s v="Travel_Rarely"/>
    <n v="0"/>
    <n v="1"/>
    <x v="0"/>
    <n v="0"/>
    <n v="1"/>
    <n v="10"/>
    <n v="10"/>
    <n v="2"/>
    <s v="Medical"/>
    <n v="0"/>
    <n v="0"/>
    <n v="1"/>
    <n v="0"/>
    <n v="0"/>
    <n v="3"/>
    <s v="Female"/>
    <n v="1"/>
    <n v="86"/>
    <n v="3"/>
    <n v="2"/>
    <s v="Sales Executive"/>
    <n v="0"/>
    <n v="1"/>
    <n v="0"/>
    <n v="0"/>
    <n v="0"/>
    <n v="0"/>
    <n v="0"/>
    <n v="0"/>
    <n v="4"/>
    <s v="Divorced"/>
    <n v="0"/>
    <n v="0"/>
    <n v="6583"/>
    <n v="6583"/>
    <n v="2"/>
    <s v="Yes"/>
    <n v="1"/>
    <n v="11"/>
    <n v="3"/>
    <n v="4"/>
    <n v="1"/>
    <n v="8"/>
    <x v="0"/>
    <n v="2"/>
    <n v="3"/>
    <n v="5"/>
    <n v="5"/>
    <n v="2"/>
    <n v="1"/>
    <n v="1"/>
    <n v="4"/>
    <n v="4"/>
    <n v="8"/>
    <n v="1"/>
    <n v="0"/>
    <n v="0"/>
    <n v="0"/>
    <n v="0"/>
    <n v="1"/>
    <n v="0"/>
    <n v="0"/>
    <n v="0"/>
    <n v="0"/>
    <n v="4"/>
    <n v="0"/>
    <n v="0"/>
    <n v="8"/>
    <n v="1.7007103329930117E-2"/>
    <n v="3.4508002929560584E-2"/>
    <n v="0.42149901815843233"/>
    <n v="0.32778177112653761"/>
    <n v="9.9604847176766084E-2"/>
    <n v="0.6484474368621912"/>
    <n v="0.36858985273641137"/>
  </r>
  <r>
    <n v="34"/>
    <n v="34"/>
    <s v="No"/>
    <n v="0"/>
    <s v="Travel_Rarely"/>
    <n v="0"/>
    <n v="1"/>
    <x v="0"/>
    <n v="0"/>
    <n v="1"/>
    <n v="3"/>
    <n v="3"/>
    <n v="1"/>
    <s v="Medical"/>
    <n v="0"/>
    <n v="0"/>
    <n v="1"/>
    <n v="0"/>
    <n v="0"/>
    <n v="4"/>
    <s v="Female"/>
    <n v="1"/>
    <n v="75"/>
    <n v="2"/>
    <n v="2"/>
    <s v="Sales Executive"/>
    <n v="0"/>
    <n v="1"/>
    <n v="0"/>
    <n v="0"/>
    <n v="0"/>
    <n v="0"/>
    <n v="0"/>
    <n v="0"/>
    <n v="4"/>
    <s v="Married"/>
    <n v="0"/>
    <n v="1"/>
    <n v="8103"/>
    <n v="8103"/>
    <n v="3"/>
    <s v="Yes"/>
    <n v="1"/>
    <n v="12"/>
    <n v="3"/>
    <n v="3"/>
    <n v="0"/>
    <n v="9"/>
    <x v="14"/>
    <n v="3"/>
    <n v="2"/>
    <n v="4"/>
    <n v="4"/>
    <n v="2"/>
    <n v="0"/>
    <n v="0"/>
    <n v="1"/>
    <n v="1"/>
    <n v="2"/>
    <n v="0"/>
    <n v="1"/>
    <n v="0"/>
    <n v="0"/>
    <n v="0"/>
    <n v="0"/>
    <n v="0"/>
    <n v="1"/>
    <n v="0"/>
    <n v="0"/>
    <n v="1"/>
    <n v="0"/>
    <n v="0"/>
    <n v="9"/>
    <n v="0.33986478236745704"/>
    <n v="0.87528310193156111"/>
    <n v="0.29297722668510823"/>
    <n v="0.49100643357776058"/>
    <n v="0.76386092994953758"/>
    <n v="0.32005363845127444"/>
    <n v="0.67891464284095016"/>
  </r>
  <r>
    <n v="31"/>
    <n v="31"/>
    <s v="No"/>
    <n v="0"/>
    <s v="Travel_Rarely"/>
    <n v="0"/>
    <n v="1"/>
    <x v="1"/>
    <n v="1"/>
    <n v="0"/>
    <n v="4"/>
    <n v="4"/>
    <n v="3"/>
    <s v="Medical"/>
    <n v="0"/>
    <n v="0"/>
    <n v="1"/>
    <n v="0"/>
    <n v="0"/>
    <n v="1"/>
    <s v="Female"/>
    <n v="1"/>
    <n v="62"/>
    <n v="4"/>
    <n v="1"/>
    <s v="Laboratory Technician"/>
    <n v="0"/>
    <n v="0"/>
    <n v="1"/>
    <n v="0"/>
    <n v="0"/>
    <n v="0"/>
    <n v="0"/>
    <n v="0"/>
    <n v="3"/>
    <s v="Divorced"/>
    <n v="0"/>
    <n v="0"/>
    <n v="3978"/>
    <n v="3978"/>
    <n v="8"/>
    <s v="No"/>
    <n v="0"/>
    <n v="12"/>
    <n v="3"/>
    <n v="2"/>
    <n v="1"/>
    <n v="4"/>
    <x v="20"/>
    <n v="0"/>
    <n v="2"/>
    <n v="2"/>
    <n v="2"/>
    <n v="2"/>
    <n v="2"/>
    <n v="2"/>
    <n v="2"/>
    <n v="2"/>
    <n v="2"/>
    <n v="1"/>
    <n v="0"/>
    <n v="0"/>
    <n v="0"/>
    <n v="1"/>
    <n v="0"/>
    <n v="0"/>
    <n v="0"/>
    <n v="0"/>
    <n v="2"/>
    <n v="0"/>
    <n v="0"/>
    <n v="4"/>
    <n v="0"/>
    <n v="0.53631148475741042"/>
    <n v="0.59502473559756086"/>
    <n v="0.93558618405172878"/>
    <n v="0.81745575848020657"/>
    <n v="0.64050867607435136"/>
    <n v="0.6484474368621912"/>
    <n v="5.8265062631872602E-2"/>
  </r>
  <r>
    <n v="26"/>
    <n v="26"/>
    <s v="No"/>
    <n v="0"/>
    <s v="Travel_Frequently"/>
    <n v="1"/>
    <n v="0"/>
    <x v="1"/>
    <n v="1"/>
    <n v="0"/>
    <n v="6"/>
    <n v="6"/>
    <n v="3"/>
    <s v="Other"/>
    <n v="0"/>
    <n v="1"/>
    <n v="0"/>
    <n v="0"/>
    <n v="0"/>
    <n v="3"/>
    <s v="Male"/>
    <n v="0"/>
    <n v="61"/>
    <n v="4"/>
    <n v="1"/>
    <s v="Laboratory Technician"/>
    <n v="0"/>
    <n v="0"/>
    <n v="1"/>
    <n v="0"/>
    <n v="0"/>
    <n v="0"/>
    <n v="0"/>
    <n v="0"/>
    <n v="4"/>
    <s v="Married"/>
    <n v="0"/>
    <n v="1"/>
    <n v="2544"/>
    <n v="2544"/>
    <n v="0"/>
    <s v="No"/>
    <n v="0"/>
    <n v="18"/>
    <n v="3"/>
    <n v="1"/>
    <n v="1"/>
    <n v="8"/>
    <x v="0"/>
    <n v="3"/>
    <n v="3"/>
    <n v="7"/>
    <n v="7"/>
    <n v="7"/>
    <n v="7"/>
    <n v="7"/>
    <n v="7"/>
    <n v="7"/>
    <n v="7"/>
    <n v="0"/>
    <n v="0"/>
    <n v="0"/>
    <n v="1"/>
    <n v="0"/>
    <n v="0"/>
    <n v="1"/>
    <n v="0"/>
    <n v="0"/>
    <n v="7"/>
    <n v="0"/>
    <n v="0"/>
    <n v="8"/>
    <n v="0"/>
    <n v="0.84090221616518257"/>
    <n v="0.80626709607243985"/>
    <n v="0.42149901815843233"/>
    <n v="1.3324462240916321E-3"/>
    <n v="0.39380416832397891"/>
    <n v="1.195770434213719"/>
    <n v="1.4933588878908215"/>
  </r>
  <r>
    <n v="45"/>
    <n v="45"/>
    <s v="No"/>
    <n v="0"/>
    <s v="Travel_Frequently"/>
    <n v="1"/>
    <n v="0"/>
    <x v="1"/>
    <n v="1"/>
    <n v="0"/>
    <n v="1"/>
    <n v="1"/>
    <n v="4"/>
    <s v="Medical"/>
    <n v="0"/>
    <n v="0"/>
    <n v="1"/>
    <n v="0"/>
    <n v="0"/>
    <n v="2"/>
    <s v="Male"/>
    <n v="0"/>
    <n v="44"/>
    <n v="3"/>
    <n v="2"/>
    <s v="Healthcare Representative"/>
    <n v="1"/>
    <n v="0"/>
    <n v="0"/>
    <n v="0"/>
    <n v="0"/>
    <n v="0"/>
    <n v="0"/>
    <n v="0"/>
    <n v="3"/>
    <s v="Single"/>
    <n v="1"/>
    <n v="0"/>
    <n v="5399"/>
    <n v="5399"/>
    <n v="4"/>
    <s v="No"/>
    <n v="0"/>
    <n v="12"/>
    <n v="3"/>
    <n v="3"/>
    <n v="0"/>
    <n v="12"/>
    <x v="4"/>
    <n v="3"/>
    <n v="3"/>
    <n v="4"/>
    <n v="4"/>
    <n v="2"/>
    <n v="0"/>
    <n v="0"/>
    <n v="3"/>
    <n v="3"/>
    <n v="6"/>
    <n v="0"/>
    <n v="0"/>
    <n v="1"/>
    <n v="0"/>
    <n v="1"/>
    <n v="0"/>
    <n v="0"/>
    <n v="0"/>
    <n v="0"/>
    <n v="3"/>
    <n v="0"/>
    <n v="0"/>
    <n v="12"/>
    <n v="0"/>
    <n v="0.23448203613088034"/>
    <n v="0.31476636926356072"/>
    <n v="9.2588147734864096E-2"/>
    <n v="0.49100643357776058"/>
    <n v="1.01056543769991"/>
    <n v="0.88405695572208698"/>
    <n v="0.67891464284095016"/>
  </r>
  <r>
    <n v="33"/>
    <n v="33"/>
    <s v="No"/>
    <n v="0"/>
    <s v="Travel_Rarely"/>
    <n v="0"/>
    <n v="1"/>
    <x v="0"/>
    <n v="0"/>
    <n v="1"/>
    <n v="10"/>
    <n v="10"/>
    <n v="4"/>
    <s v="Marketing"/>
    <n v="0"/>
    <n v="0"/>
    <n v="0"/>
    <n v="1"/>
    <n v="0"/>
    <n v="2"/>
    <s v="Male"/>
    <n v="0"/>
    <n v="43"/>
    <n v="3"/>
    <n v="2"/>
    <s v="Sales Executive"/>
    <n v="0"/>
    <n v="1"/>
    <n v="0"/>
    <n v="0"/>
    <n v="0"/>
    <n v="0"/>
    <n v="0"/>
    <n v="0"/>
    <n v="3"/>
    <s v="Single"/>
    <n v="1"/>
    <n v="0"/>
    <n v="5487"/>
    <n v="5487"/>
    <n v="1"/>
    <s v="No"/>
    <n v="0"/>
    <n v="14"/>
    <n v="3"/>
    <n v="2"/>
    <n v="0"/>
    <n v="10"/>
    <x v="1"/>
    <n v="2"/>
    <n v="2"/>
    <n v="10"/>
    <n v="10"/>
    <n v="4"/>
    <n v="0"/>
    <n v="0"/>
    <n v="9"/>
    <n v="9"/>
    <n v="18"/>
    <n v="1"/>
    <n v="0"/>
    <n v="0"/>
    <n v="0"/>
    <n v="1"/>
    <n v="0"/>
    <n v="0"/>
    <n v="0"/>
    <n v="0"/>
    <n v="0"/>
    <n v="9"/>
    <n v="0"/>
    <n v="0"/>
    <n v="10"/>
    <n v="0.21579027576554982"/>
    <n v="1.3667838287404401"/>
    <n v="0.1644554352117841"/>
    <n v="0.48834154112957734"/>
    <n v="9.9604847176766084E-2"/>
    <n v="0.42951823792158"/>
    <n v="0.67891464284095016"/>
  </r>
  <r>
    <n v="28"/>
    <n v="28"/>
    <s v="No"/>
    <n v="0"/>
    <s v="Travel_Frequently"/>
    <n v="1"/>
    <n v="0"/>
    <x v="0"/>
    <n v="0"/>
    <n v="1"/>
    <n v="1"/>
    <n v="1"/>
    <n v="2"/>
    <s v="Life Sciences"/>
    <n v="1"/>
    <n v="0"/>
    <n v="0"/>
    <n v="0"/>
    <n v="0"/>
    <n v="3"/>
    <s v="Male"/>
    <n v="0"/>
    <n v="42"/>
    <n v="2"/>
    <n v="2"/>
    <s v="Sales Executive"/>
    <n v="0"/>
    <n v="1"/>
    <n v="0"/>
    <n v="0"/>
    <n v="0"/>
    <n v="0"/>
    <n v="0"/>
    <n v="0"/>
    <n v="4"/>
    <s v="Married"/>
    <n v="0"/>
    <n v="1"/>
    <n v="6834"/>
    <n v="6834"/>
    <n v="1"/>
    <s v="Yes"/>
    <n v="1"/>
    <n v="12"/>
    <n v="3"/>
    <n v="3"/>
    <n v="1"/>
    <n v="7"/>
    <x v="2"/>
    <n v="2"/>
    <n v="3"/>
    <n v="7"/>
    <n v="7"/>
    <n v="7"/>
    <n v="0"/>
    <n v="0"/>
    <n v="7"/>
    <n v="7"/>
    <n v="14"/>
    <n v="0"/>
    <n v="0"/>
    <n v="0"/>
    <n v="1"/>
    <n v="0"/>
    <n v="0"/>
    <n v="0"/>
    <n v="1"/>
    <n v="0"/>
    <n v="0"/>
    <n v="7"/>
    <n v="0"/>
    <n v="0"/>
    <n v="7"/>
    <n v="7.0321101644679626E-2"/>
    <n v="0.80626709607243985"/>
    <n v="0.55002080963175637"/>
    <n v="1.3324462240916321E-3"/>
    <n v="1.01056543769991"/>
    <n v="0.97684123527310796"/>
    <n v="0.67891464284095016"/>
  </r>
  <r>
    <n v="29"/>
    <n v="29"/>
    <s v="Yes"/>
    <n v="1"/>
    <s v="Travel_Frequently"/>
    <n v="1"/>
    <n v="0"/>
    <x v="0"/>
    <n v="0"/>
    <n v="1"/>
    <n v="24"/>
    <n v="24"/>
    <n v="3"/>
    <s v="Technical Degree"/>
    <n v="0"/>
    <n v="0"/>
    <n v="0"/>
    <n v="0"/>
    <n v="1"/>
    <n v="3"/>
    <s v="Male"/>
    <n v="0"/>
    <n v="45"/>
    <n v="4"/>
    <n v="1"/>
    <s v="Sales Representative"/>
    <n v="0"/>
    <n v="0"/>
    <n v="0"/>
    <n v="0"/>
    <n v="0"/>
    <n v="0"/>
    <n v="1"/>
    <n v="0"/>
    <n v="1"/>
    <s v="Single"/>
    <n v="1"/>
    <n v="0"/>
    <n v="1091"/>
    <n v="1382.46"/>
    <n v="1"/>
    <s v="No"/>
    <n v="0"/>
    <n v="17"/>
    <n v="3"/>
    <n v="4"/>
    <n v="0"/>
    <n v="1"/>
    <x v="5"/>
    <n v="3"/>
    <n v="3"/>
    <n v="1"/>
    <n v="1"/>
    <n v="0"/>
    <n v="0"/>
    <n v="0"/>
    <n v="0"/>
    <n v="0"/>
    <n v="0"/>
    <n v="0"/>
    <n v="0"/>
    <n v="1"/>
    <n v="0"/>
    <n v="1"/>
    <n v="0"/>
    <n v="0"/>
    <n v="0"/>
    <n v="0"/>
    <n v="0"/>
    <n v="0"/>
    <n v="0"/>
    <n v="0"/>
    <n v="1"/>
    <n v="1.1495286685609238"/>
    <n v="1.1555414682655611"/>
    <n v="1.3211515584717011"/>
    <n v="0.9806804209314296"/>
    <n v="1.8265364014293735"/>
    <n v="0.86737663580280233"/>
    <n v="0.67891464284095016"/>
  </r>
  <r>
    <n v="39"/>
    <n v="39"/>
    <s v="No"/>
    <n v="0"/>
    <s v="Non-Travel"/>
    <n v="0"/>
    <n v="0"/>
    <x v="0"/>
    <n v="0"/>
    <n v="1"/>
    <n v="21"/>
    <n v="21"/>
    <n v="4"/>
    <s v="Life Sciences"/>
    <n v="1"/>
    <n v="0"/>
    <n v="0"/>
    <n v="0"/>
    <n v="0"/>
    <n v="1"/>
    <s v="Female"/>
    <n v="1"/>
    <n v="32"/>
    <n v="1"/>
    <n v="2"/>
    <s v="Sales Executive"/>
    <n v="0"/>
    <n v="1"/>
    <n v="0"/>
    <n v="0"/>
    <n v="0"/>
    <n v="0"/>
    <n v="0"/>
    <n v="0"/>
    <n v="3"/>
    <s v="Married"/>
    <n v="0"/>
    <n v="1"/>
    <n v="5736"/>
    <n v="5736"/>
    <n v="6"/>
    <s v="No"/>
    <n v="0"/>
    <n v="19"/>
    <n v="3"/>
    <n v="3"/>
    <n v="1"/>
    <n v="10"/>
    <x v="1"/>
    <n v="1"/>
    <n v="3"/>
    <n v="3"/>
    <n v="3"/>
    <n v="2"/>
    <n v="1"/>
    <n v="1"/>
    <n v="2"/>
    <n v="2"/>
    <n v="4"/>
    <n v="0"/>
    <n v="1"/>
    <n v="0"/>
    <n v="0"/>
    <n v="0"/>
    <n v="0"/>
    <n v="1"/>
    <n v="0"/>
    <n v="0"/>
    <n v="0"/>
    <n v="2"/>
    <n v="0"/>
    <n v="0"/>
    <n v="10"/>
    <n v="0.16290109018637602"/>
    <n v="0.59502473559756086"/>
    <n v="0.1644554352117841"/>
    <n v="0.65423109602898355"/>
    <n v="1.4564796398038149"/>
    <n v="0.22726935890025346"/>
    <n v="0.36858985273641137"/>
  </r>
  <r>
    <n v="27"/>
    <n v="27"/>
    <s v="No"/>
    <n v="0"/>
    <s v="Travel_Rarely"/>
    <n v="0"/>
    <n v="1"/>
    <x v="1"/>
    <n v="1"/>
    <n v="0"/>
    <n v="2"/>
    <n v="2"/>
    <n v="4"/>
    <s v="Technical Degree"/>
    <n v="0"/>
    <n v="0"/>
    <n v="0"/>
    <n v="0"/>
    <n v="1"/>
    <n v="2"/>
    <s v="Male"/>
    <n v="0"/>
    <n v="41"/>
    <n v="3"/>
    <n v="1"/>
    <s v="Research Scientist"/>
    <n v="0"/>
    <n v="0"/>
    <n v="0"/>
    <n v="0"/>
    <n v="0"/>
    <n v="0"/>
    <n v="0"/>
    <n v="1"/>
    <n v="2"/>
    <s v="Married"/>
    <n v="0"/>
    <n v="1"/>
    <n v="2226"/>
    <n v="2226"/>
    <n v="1"/>
    <s v="No"/>
    <n v="0"/>
    <n v="11"/>
    <n v="3"/>
    <n v="3"/>
    <n v="1"/>
    <n v="6"/>
    <x v="3"/>
    <n v="3"/>
    <n v="2"/>
    <n v="5"/>
    <n v="5"/>
    <n v="3"/>
    <n v="1"/>
    <n v="1"/>
    <n v="2"/>
    <n v="2"/>
    <n v="2"/>
    <n v="0"/>
    <n v="1"/>
    <n v="0"/>
    <n v="0"/>
    <n v="0"/>
    <n v="0"/>
    <n v="1"/>
    <n v="0"/>
    <n v="0"/>
    <n v="2"/>
    <n v="0"/>
    <n v="0"/>
    <n v="6"/>
    <n v="0"/>
    <n v="0.90844744112171782"/>
    <n v="0.59502473559756086"/>
    <n v="0.67854260110508058"/>
    <n v="0.32778177112653761"/>
    <n v="0.88721318382472392"/>
    <n v="1.0863058347434136"/>
    <n v="0.36858985273641137"/>
  </r>
  <r>
    <n v="34"/>
    <n v="34"/>
    <s v="No"/>
    <n v="0"/>
    <s v="Travel_Frequently"/>
    <n v="1"/>
    <n v="0"/>
    <x v="1"/>
    <n v="1"/>
    <n v="0"/>
    <n v="22"/>
    <n v="22"/>
    <n v="4"/>
    <s v="Other"/>
    <n v="0"/>
    <n v="1"/>
    <n v="0"/>
    <n v="0"/>
    <n v="0"/>
    <n v="3"/>
    <s v="Male"/>
    <n v="0"/>
    <n v="86"/>
    <n v="2"/>
    <n v="2"/>
    <s v="Research Scientist"/>
    <n v="0"/>
    <n v="0"/>
    <n v="0"/>
    <n v="0"/>
    <n v="0"/>
    <n v="0"/>
    <n v="0"/>
    <n v="1"/>
    <n v="4"/>
    <s v="Married"/>
    <n v="0"/>
    <n v="1"/>
    <n v="5747"/>
    <n v="5747"/>
    <n v="1"/>
    <s v="Yes"/>
    <n v="1"/>
    <n v="15"/>
    <n v="3"/>
    <n v="2"/>
    <n v="0"/>
    <n v="16"/>
    <x v="27"/>
    <n v="3"/>
    <n v="3"/>
    <n v="15"/>
    <n v="15"/>
    <n v="10"/>
    <n v="6"/>
    <n v="6"/>
    <n v="11"/>
    <n v="11"/>
    <n v="22"/>
    <n v="0"/>
    <n v="0"/>
    <n v="0"/>
    <n v="1"/>
    <n v="0"/>
    <n v="0"/>
    <n v="0"/>
    <n v="1"/>
    <n v="0"/>
    <n v="11"/>
    <n v="0"/>
    <n v="0"/>
    <n v="16"/>
    <n v="0"/>
    <n v="0.16056462014070971"/>
    <n v="1.9273005614084406"/>
    <n v="0.60667531362816052"/>
    <n v="1.3044648533856922"/>
    <n v="1.579831893679001"/>
    <n v="0.32005363845127444"/>
    <n v="1.1830340977862825"/>
  </r>
  <r>
    <n v="28"/>
    <n v="28"/>
    <s v="Yes"/>
    <n v="1"/>
    <s v="Travel_Rarely"/>
    <n v="0"/>
    <n v="1"/>
    <x v="0"/>
    <n v="0"/>
    <n v="1"/>
    <n v="13"/>
    <n v="13"/>
    <n v="2"/>
    <s v="Marketing"/>
    <n v="0"/>
    <n v="0"/>
    <n v="0"/>
    <n v="1"/>
    <n v="0"/>
    <n v="4"/>
    <s v="Female"/>
    <n v="1"/>
    <n v="84"/>
    <n v="3"/>
    <n v="2"/>
    <s v="Sales Executive"/>
    <n v="0"/>
    <n v="1"/>
    <n v="0"/>
    <n v="0"/>
    <n v="0"/>
    <n v="0"/>
    <n v="0"/>
    <n v="0"/>
    <n v="3"/>
    <s v="Single"/>
    <n v="1"/>
    <n v="0"/>
    <n v="9854"/>
    <n v="9854"/>
    <n v="3"/>
    <s v="Yes"/>
    <n v="1"/>
    <n v="11"/>
    <n v="3"/>
    <n v="4"/>
    <n v="0"/>
    <n v="6"/>
    <x v="3"/>
    <n v="0"/>
    <n v="3"/>
    <n v="2"/>
    <n v="2"/>
    <n v="0"/>
    <n v="2"/>
    <n v="2"/>
    <n v="2"/>
    <n v="2"/>
    <n v="4"/>
    <n v="1"/>
    <n v="0"/>
    <n v="0"/>
    <n v="0"/>
    <n v="0"/>
    <n v="1"/>
    <n v="0"/>
    <n v="0"/>
    <n v="0"/>
    <n v="0"/>
    <n v="2"/>
    <n v="0"/>
    <n v="0"/>
    <n v="6"/>
    <n v="0.71178833236397654"/>
    <n v="0.59502473559756086"/>
    <n v="0.67854260110508058"/>
    <n v="0.81745575848020657"/>
    <n v="0.46966160880232483"/>
    <n v="0.97684123527310796"/>
    <n v="5.8265062631872602E-2"/>
  </r>
  <r>
    <n v="47"/>
    <n v="47"/>
    <s v="No"/>
    <n v="0"/>
    <s v="Non-Travel"/>
    <n v="0"/>
    <n v="0"/>
    <x v="1"/>
    <n v="1"/>
    <n v="0"/>
    <n v="14"/>
    <n v="14"/>
    <n v="4"/>
    <s v="Technical Degree"/>
    <n v="0"/>
    <n v="0"/>
    <n v="0"/>
    <n v="0"/>
    <n v="1"/>
    <n v="3"/>
    <s v="Male"/>
    <n v="0"/>
    <n v="64"/>
    <n v="3"/>
    <n v="2"/>
    <s v="Research Scientist"/>
    <n v="0"/>
    <n v="0"/>
    <n v="0"/>
    <n v="0"/>
    <n v="0"/>
    <n v="0"/>
    <n v="0"/>
    <n v="1"/>
    <n v="2"/>
    <s v="Married"/>
    <n v="0"/>
    <n v="1"/>
    <n v="5467"/>
    <n v="5467"/>
    <n v="8"/>
    <s v="No"/>
    <n v="0"/>
    <n v="18"/>
    <n v="3"/>
    <n v="3"/>
    <n v="1"/>
    <n v="16"/>
    <x v="27"/>
    <n v="4"/>
    <n v="4"/>
    <n v="8"/>
    <n v="8"/>
    <n v="7"/>
    <n v="1"/>
    <n v="1"/>
    <n v="7"/>
    <n v="7"/>
    <n v="14"/>
    <n v="0"/>
    <n v="1"/>
    <n v="0"/>
    <n v="0"/>
    <n v="0"/>
    <n v="0"/>
    <n v="1"/>
    <n v="0"/>
    <n v="0"/>
    <n v="7"/>
    <n v="0"/>
    <n v="0"/>
    <n v="16"/>
    <n v="0"/>
    <n v="0.22003840312130676"/>
    <n v="0.80626709607243985"/>
    <n v="0.60667531362816052"/>
    <n v="0.16189221622713135"/>
    <n v="0.59301386267751111"/>
    <n v="1.102986154662698"/>
    <n v="0.36858985273641137"/>
  </r>
  <r>
    <n v="56"/>
    <n v="56"/>
    <s v="No"/>
    <n v="0"/>
    <s v="Travel_Rarely"/>
    <n v="0"/>
    <n v="1"/>
    <x v="0"/>
    <n v="0"/>
    <n v="1"/>
    <n v="11"/>
    <n v="11"/>
    <n v="5"/>
    <s v="Marketing"/>
    <n v="0"/>
    <n v="0"/>
    <n v="0"/>
    <n v="1"/>
    <n v="0"/>
    <n v="4"/>
    <s v="Female"/>
    <n v="1"/>
    <n v="89"/>
    <n v="2"/>
    <n v="2"/>
    <s v="Sales Executive"/>
    <n v="0"/>
    <n v="1"/>
    <n v="0"/>
    <n v="0"/>
    <n v="0"/>
    <n v="0"/>
    <n v="0"/>
    <n v="0"/>
    <n v="1"/>
    <s v="Married"/>
    <n v="0"/>
    <n v="1"/>
    <n v="5380"/>
    <n v="5380"/>
    <n v="4"/>
    <s v="No"/>
    <n v="0"/>
    <n v="16"/>
    <n v="3"/>
    <n v="3"/>
    <n v="1"/>
    <n v="6"/>
    <x v="3"/>
    <n v="3"/>
    <n v="3"/>
    <n v="0"/>
    <n v="0"/>
    <n v="0"/>
    <n v="0"/>
    <n v="0"/>
    <n v="0"/>
    <n v="0"/>
    <n v="0"/>
    <n v="0"/>
    <n v="1"/>
    <n v="0"/>
    <n v="0"/>
    <n v="0"/>
    <n v="0"/>
    <n v="1"/>
    <n v="0"/>
    <n v="0"/>
    <n v="0"/>
    <n v="0"/>
    <n v="0"/>
    <n v="0"/>
    <n v="6"/>
    <n v="0.23851775711884943"/>
    <n v="1.1555414682655611"/>
    <n v="0.67854260110508058"/>
    <n v="1.1439050833826525"/>
    <n v="0.22295710105195232"/>
    <n v="2.0881675498954482"/>
    <n v="0.67891464284095016"/>
  </r>
  <r>
    <n v="39"/>
    <n v="39"/>
    <s v="No"/>
    <n v="0"/>
    <s v="Travel_Rarely"/>
    <n v="0"/>
    <n v="1"/>
    <x v="1"/>
    <n v="1"/>
    <n v="0"/>
    <n v="9"/>
    <n v="9"/>
    <n v="2"/>
    <s v="Medical"/>
    <n v="0"/>
    <n v="0"/>
    <n v="1"/>
    <n v="0"/>
    <n v="0"/>
    <n v="1"/>
    <s v="Male"/>
    <n v="0"/>
    <n v="87"/>
    <n v="3"/>
    <n v="2"/>
    <s v="Manufacturing Director"/>
    <n v="0"/>
    <n v="0"/>
    <n v="0"/>
    <n v="0"/>
    <n v="1"/>
    <n v="1"/>
    <n v="0"/>
    <n v="0"/>
    <n v="1"/>
    <s v="Married"/>
    <n v="0"/>
    <n v="1"/>
    <n v="5151"/>
    <n v="5151"/>
    <n v="1"/>
    <s v="No"/>
    <n v="0"/>
    <n v="25"/>
    <n v="4"/>
    <n v="4"/>
    <n v="1"/>
    <n v="10"/>
    <x v="1"/>
    <n v="3"/>
    <n v="3"/>
    <n v="10"/>
    <n v="10"/>
    <n v="0"/>
    <n v="7"/>
    <n v="7"/>
    <n v="9"/>
    <n v="9"/>
    <n v="18"/>
    <n v="0"/>
    <n v="1"/>
    <n v="0"/>
    <n v="0"/>
    <n v="0"/>
    <n v="0"/>
    <n v="1"/>
    <n v="0"/>
    <n v="0"/>
    <n v="9"/>
    <n v="0"/>
    <n v="0"/>
    <n v="10"/>
    <n v="0"/>
    <n v="0.28715881534226634"/>
    <n v="1.3667838287404401"/>
    <n v="0.1644554352117841"/>
    <n v="0.48834154112957734"/>
    <n v="2.3747406698420157E-2"/>
    <n v="0.22726935890025346"/>
    <n v="1.4933588878908215"/>
  </r>
  <r>
    <n v="38"/>
    <n v="38"/>
    <s v="No"/>
    <n v="0"/>
    <s v="Travel_Frequently"/>
    <n v="1"/>
    <n v="0"/>
    <x v="1"/>
    <n v="1"/>
    <n v="0"/>
    <n v="8"/>
    <n v="8"/>
    <n v="3"/>
    <s v="Medical"/>
    <n v="0"/>
    <n v="0"/>
    <n v="1"/>
    <n v="0"/>
    <n v="0"/>
    <n v="4"/>
    <s v="Female"/>
    <n v="1"/>
    <n v="58"/>
    <n v="2"/>
    <n v="2"/>
    <s v="Research Scientist"/>
    <n v="0"/>
    <n v="0"/>
    <n v="0"/>
    <n v="0"/>
    <n v="0"/>
    <n v="0"/>
    <n v="0"/>
    <n v="1"/>
    <n v="2"/>
    <s v="Divorced"/>
    <n v="0"/>
    <n v="0"/>
    <n v="2133"/>
    <n v="2133"/>
    <n v="1"/>
    <s v="Yes"/>
    <n v="1"/>
    <n v="16"/>
    <n v="3"/>
    <n v="3"/>
    <n v="1"/>
    <n v="20"/>
    <x v="25"/>
    <n v="3"/>
    <n v="3"/>
    <n v="20"/>
    <n v="20"/>
    <n v="11"/>
    <n v="0"/>
    <n v="0"/>
    <n v="7"/>
    <n v="7"/>
    <n v="14"/>
    <n v="0"/>
    <n v="0"/>
    <n v="1"/>
    <n v="0"/>
    <n v="0"/>
    <n v="1"/>
    <n v="0"/>
    <n v="0"/>
    <n v="0"/>
    <n v="7"/>
    <n v="0"/>
    <n v="0"/>
    <n v="20"/>
    <n v="0"/>
    <n v="0.92820123332598758"/>
    <n v="0.80626709607243985"/>
    <n v="1.120762479521457"/>
    <n v="2.1205881656418071"/>
    <n v="0.14709966057360641"/>
    <n v="0.11780475942994788"/>
    <n v="0.67891464284095016"/>
  </r>
  <r>
    <n v="58"/>
    <n v="58"/>
    <s v="No"/>
    <n v="0"/>
    <s v="Travel_Rarely"/>
    <n v="0"/>
    <n v="1"/>
    <x v="0"/>
    <n v="0"/>
    <n v="1"/>
    <n v="21"/>
    <n v="21"/>
    <n v="3"/>
    <s v="Life Sciences"/>
    <n v="1"/>
    <n v="0"/>
    <n v="0"/>
    <n v="0"/>
    <n v="0"/>
    <n v="4"/>
    <s v="Female"/>
    <n v="1"/>
    <n v="72"/>
    <n v="3"/>
    <n v="4"/>
    <s v="Manager"/>
    <n v="0"/>
    <n v="0"/>
    <n v="0"/>
    <n v="1"/>
    <n v="0"/>
    <n v="0"/>
    <n v="0"/>
    <n v="0"/>
    <n v="4"/>
    <s v="Married"/>
    <n v="0"/>
    <n v="1"/>
    <n v="17875"/>
    <n v="17875"/>
    <n v="4"/>
    <s v="Yes"/>
    <n v="1"/>
    <n v="13"/>
    <n v="3"/>
    <n v="3"/>
    <n v="1"/>
    <n v="29"/>
    <x v="21"/>
    <n v="2"/>
    <n v="2"/>
    <n v="1"/>
    <n v="1"/>
    <n v="0"/>
    <n v="0"/>
    <n v="0"/>
    <n v="0"/>
    <n v="0"/>
    <n v="0"/>
    <n v="0"/>
    <n v="1"/>
    <n v="0"/>
    <n v="0"/>
    <n v="0"/>
    <n v="0"/>
    <n v="0"/>
    <n v="1"/>
    <n v="0"/>
    <n v="0"/>
    <n v="0"/>
    <n v="0"/>
    <n v="0"/>
    <n v="29"/>
    <n v="2.4154998083902948"/>
    <n v="1.1555414682655611"/>
    <n v="2.2774586027813735"/>
    <n v="0.9806804209314296"/>
    <n v="1.4564796398038149"/>
    <n v="2.3070967488360594"/>
    <n v="0.67891464284095016"/>
  </r>
  <r>
    <n v="32"/>
    <n v="32"/>
    <s v="Yes"/>
    <n v="1"/>
    <s v="Travel_Frequently"/>
    <n v="1"/>
    <n v="0"/>
    <x v="1"/>
    <n v="1"/>
    <n v="0"/>
    <n v="5"/>
    <n v="5"/>
    <n v="2"/>
    <s v="Life Sciences"/>
    <n v="1"/>
    <n v="0"/>
    <n v="0"/>
    <n v="0"/>
    <n v="0"/>
    <n v="1"/>
    <s v="Female"/>
    <n v="1"/>
    <n v="47"/>
    <n v="4"/>
    <n v="1"/>
    <s v="Research Scientist"/>
    <n v="0"/>
    <n v="0"/>
    <n v="0"/>
    <n v="0"/>
    <n v="0"/>
    <n v="0"/>
    <n v="0"/>
    <n v="1"/>
    <n v="3"/>
    <s v="Single"/>
    <n v="1"/>
    <n v="0"/>
    <n v="2432"/>
    <n v="2432"/>
    <n v="3"/>
    <s v="Yes"/>
    <n v="1"/>
    <n v="14"/>
    <n v="3"/>
    <n v="1"/>
    <n v="0"/>
    <n v="8"/>
    <x v="0"/>
    <n v="2"/>
    <n v="3"/>
    <n v="4"/>
    <n v="4"/>
    <n v="1"/>
    <n v="0"/>
    <n v="0"/>
    <n v="3"/>
    <n v="3"/>
    <n v="3"/>
    <n v="0"/>
    <n v="0"/>
    <n v="1"/>
    <n v="0"/>
    <n v="0"/>
    <n v="1"/>
    <n v="0"/>
    <n v="0"/>
    <n v="0"/>
    <n v="3"/>
    <n v="0"/>
    <n v="0"/>
    <n v="8"/>
    <n v="0"/>
    <n v="0.86469172935742145"/>
    <n v="0.31476636926356072"/>
    <n v="0.42149901815843233"/>
    <n v="0.49100643357776058"/>
    <n v="0.51715642219916513"/>
    <n v="0.53898283739188557"/>
    <n v="0.67891464284095016"/>
  </r>
  <r>
    <n v="38"/>
    <n v="38"/>
    <s v="No"/>
    <n v="0"/>
    <s v="Travel_Rarely"/>
    <n v="0"/>
    <n v="1"/>
    <x v="1"/>
    <n v="1"/>
    <n v="0"/>
    <n v="9"/>
    <n v="9"/>
    <n v="2"/>
    <s v="Life Sciences"/>
    <n v="1"/>
    <n v="0"/>
    <n v="0"/>
    <n v="0"/>
    <n v="0"/>
    <n v="2"/>
    <s v="Male"/>
    <n v="0"/>
    <n v="71"/>
    <n v="3"/>
    <n v="1"/>
    <s v="Research Scientist"/>
    <n v="0"/>
    <n v="0"/>
    <n v="0"/>
    <n v="0"/>
    <n v="0"/>
    <n v="0"/>
    <n v="0"/>
    <n v="1"/>
    <n v="4"/>
    <s v="Divorced"/>
    <n v="0"/>
    <n v="0"/>
    <n v="4771"/>
    <n v="4771"/>
    <n v="2"/>
    <s v="No"/>
    <n v="0"/>
    <n v="19"/>
    <n v="3"/>
    <n v="4"/>
    <n v="2"/>
    <n v="10"/>
    <x v="1"/>
    <n v="0"/>
    <n v="4"/>
    <n v="5"/>
    <n v="5"/>
    <n v="2"/>
    <n v="0"/>
    <n v="0"/>
    <n v="3"/>
    <n v="3"/>
    <n v="3"/>
    <n v="1"/>
    <n v="0"/>
    <n v="0"/>
    <n v="0"/>
    <n v="1"/>
    <n v="0"/>
    <n v="0"/>
    <n v="0"/>
    <n v="0"/>
    <n v="3"/>
    <n v="0"/>
    <n v="0"/>
    <n v="10"/>
    <n v="0"/>
    <n v="0.36787323510164804"/>
    <n v="0.31476636926356072"/>
    <n v="0.1644554352117841"/>
    <n v="0.32778177112653761"/>
    <n v="2.3747406698420157E-2"/>
    <n v="0.11780475942994788"/>
    <n v="0.67891464284095016"/>
  </r>
  <r>
    <n v="49"/>
    <n v="49"/>
    <s v="No"/>
    <n v="0"/>
    <s v="Travel_Frequently"/>
    <n v="1"/>
    <n v="0"/>
    <x v="1"/>
    <n v="1"/>
    <n v="0"/>
    <n v="2"/>
    <n v="2"/>
    <n v="1"/>
    <s v="Life Sciences"/>
    <n v="1"/>
    <n v="0"/>
    <n v="0"/>
    <n v="0"/>
    <n v="0"/>
    <n v="2"/>
    <s v="Male"/>
    <n v="0"/>
    <n v="42"/>
    <n v="3"/>
    <n v="5"/>
    <s v="Research Director"/>
    <n v="0"/>
    <n v="0"/>
    <n v="0"/>
    <n v="0"/>
    <n v="0"/>
    <n v="0"/>
    <n v="0"/>
    <n v="0"/>
    <n v="4"/>
    <s v="Married"/>
    <n v="0"/>
    <n v="1"/>
    <n v="19161"/>
    <n v="19161"/>
    <n v="3"/>
    <s v="No"/>
    <n v="0"/>
    <n v="15"/>
    <n v="3"/>
    <n v="4"/>
    <n v="0"/>
    <n v="28"/>
    <x v="22"/>
    <n v="3"/>
    <n v="3"/>
    <n v="5"/>
    <n v="5"/>
    <n v="4"/>
    <n v="4"/>
    <n v="4"/>
    <n v="3"/>
    <n v="3"/>
    <n v="15"/>
    <n v="0"/>
    <n v="0"/>
    <n v="0"/>
    <n v="1"/>
    <n v="0"/>
    <n v="0"/>
    <n v="1"/>
    <n v="0"/>
    <n v="0"/>
    <n v="3"/>
    <n v="0"/>
    <n v="0"/>
    <n v="28"/>
    <n v="0"/>
    <n v="2.6886543973654655"/>
    <n v="0.31476636926356072"/>
    <n v="2.1489368113080496"/>
    <n v="0.32778177112653761"/>
    <n v="0.88721318382472392"/>
    <n v="1.3219153536033093"/>
    <n v="0.56238451757720498"/>
  </r>
  <r>
    <n v="42"/>
    <n v="42"/>
    <s v="No"/>
    <n v="0"/>
    <s v="Travel_Rarely"/>
    <n v="0"/>
    <n v="1"/>
    <x v="0"/>
    <n v="0"/>
    <n v="1"/>
    <n v="12"/>
    <n v="12"/>
    <n v="4"/>
    <s v="Marketing"/>
    <n v="0"/>
    <n v="0"/>
    <n v="0"/>
    <n v="1"/>
    <n v="0"/>
    <n v="2"/>
    <s v="Male"/>
    <n v="0"/>
    <n v="77"/>
    <n v="3"/>
    <n v="2"/>
    <s v="Sales Executive"/>
    <n v="0"/>
    <n v="1"/>
    <n v="0"/>
    <n v="0"/>
    <n v="0"/>
    <n v="0"/>
    <n v="0"/>
    <n v="0"/>
    <n v="4"/>
    <s v="Divorced"/>
    <n v="0"/>
    <n v="0"/>
    <n v="5087"/>
    <n v="5087"/>
    <n v="3"/>
    <s v="Yes"/>
    <n v="1"/>
    <n v="12"/>
    <n v="3"/>
    <n v="3"/>
    <n v="2"/>
    <n v="14"/>
    <x v="18"/>
    <n v="4"/>
    <n v="3"/>
    <n v="0"/>
    <n v="0"/>
    <n v="0"/>
    <n v="0"/>
    <n v="0"/>
    <n v="0"/>
    <n v="0"/>
    <n v="0"/>
    <n v="1"/>
    <n v="0"/>
    <n v="0"/>
    <n v="0"/>
    <n v="0"/>
    <n v="1"/>
    <n v="0"/>
    <n v="0"/>
    <n v="0"/>
    <n v="0"/>
    <n v="0"/>
    <n v="0"/>
    <n v="0"/>
    <n v="14"/>
    <n v="0.3007528228806885"/>
    <n v="1.1555414682655611"/>
    <n v="0.34963173068151232"/>
    <n v="1.1439050833826525"/>
    <n v="0.3463093549271386"/>
    <n v="0.55566315731117022"/>
    <n v="0.67891464284095016"/>
  </r>
  <r>
    <n v="27"/>
    <n v="27"/>
    <s v="Yes"/>
    <n v="1"/>
    <s v="Travel_Frequently"/>
    <n v="1"/>
    <n v="0"/>
    <x v="2"/>
    <n v="0"/>
    <n v="0"/>
    <n v="22"/>
    <n v="22"/>
    <n v="3"/>
    <s v="Human Resources"/>
    <n v="0"/>
    <n v="0"/>
    <n v="0"/>
    <n v="0"/>
    <n v="0"/>
    <n v="1"/>
    <s v="Female"/>
    <n v="1"/>
    <n v="58"/>
    <n v="2"/>
    <n v="1"/>
    <s v="Human Resources"/>
    <n v="0"/>
    <n v="0"/>
    <n v="0"/>
    <n v="0"/>
    <n v="0"/>
    <n v="0"/>
    <n v="0"/>
    <n v="0"/>
    <n v="2"/>
    <s v="Married"/>
    <n v="0"/>
    <n v="1"/>
    <n v="2863"/>
    <n v="2863"/>
    <n v="1"/>
    <s v="No"/>
    <n v="0"/>
    <n v="12"/>
    <n v="3"/>
    <n v="1"/>
    <n v="0"/>
    <n v="1"/>
    <x v="5"/>
    <n v="2"/>
    <n v="3"/>
    <n v="1"/>
    <n v="1"/>
    <n v="0"/>
    <n v="0"/>
    <n v="0"/>
    <n v="0"/>
    <n v="0"/>
    <n v="0"/>
    <n v="0"/>
    <n v="0"/>
    <n v="0"/>
    <n v="1"/>
    <n v="0"/>
    <n v="0"/>
    <n v="1"/>
    <n v="0"/>
    <n v="0"/>
    <n v="0"/>
    <n v="0"/>
    <n v="1"/>
    <n v="0"/>
    <n v="0"/>
    <n v="0.77314458484085946"/>
    <n v="1.1555414682655611"/>
    <n v="1.3211515584717011"/>
    <n v="0.9806804209314296"/>
    <n v="1.579831893679001"/>
    <n v="1.0863058347434136"/>
    <n v="0.67891464284095016"/>
  </r>
  <r>
    <n v="35"/>
    <n v="35"/>
    <s v="No"/>
    <n v="0"/>
    <s v="Travel_Rarely"/>
    <n v="0"/>
    <n v="1"/>
    <x v="0"/>
    <n v="0"/>
    <n v="1"/>
    <n v="18"/>
    <n v="18"/>
    <n v="4"/>
    <s v="Medical"/>
    <n v="0"/>
    <n v="0"/>
    <n v="1"/>
    <n v="0"/>
    <n v="0"/>
    <n v="2"/>
    <s v="Male"/>
    <n v="0"/>
    <n v="71"/>
    <n v="3"/>
    <n v="2"/>
    <s v="Sales Executive"/>
    <n v="0"/>
    <n v="1"/>
    <n v="0"/>
    <n v="0"/>
    <n v="0"/>
    <n v="0"/>
    <n v="0"/>
    <n v="0"/>
    <n v="1"/>
    <s v="Married"/>
    <n v="0"/>
    <n v="1"/>
    <n v="5561"/>
    <n v="5561"/>
    <n v="0"/>
    <s v="No"/>
    <n v="0"/>
    <n v="16"/>
    <n v="3"/>
    <n v="4"/>
    <n v="1"/>
    <n v="6"/>
    <x v="3"/>
    <n v="2"/>
    <n v="1"/>
    <n v="5"/>
    <n v="5"/>
    <n v="3"/>
    <n v="0"/>
    <n v="0"/>
    <n v="4"/>
    <n v="4"/>
    <n v="8"/>
    <n v="0"/>
    <n v="1"/>
    <n v="0"/>
    <n v="0"/>
    <n v="0"/>
    <n v="0"/>
    <n v="1"/>
    <n v="0"/>
    <n v="0"/>
    <n v="0"/>
    <n v="4"/>
    <n v="0"/>
    <n v="0"/>
    <n v="6"/>
    <n v="0.20007220454924918"/>
    <n v="3.4508002929560584E-2"/>
    <n v="0.67854260110508058"/>
    <n v="0.32778177112653761"/>
    <n v="1.0864228781782561"/>
    <n v="0.21058903898096887"/>
    <n v="0.67891464284095016"/>
  </r>
  <r>
    <n v="28"/>
    <n v="28"/>
    <s v="No"/>
    <n v="0"/>
    <s v="Non-Travel"/>
    <n v="0"/>
    <n v="0"/>
    <x v="1"/>
    <n v="1"/>
    <n v="0"/>
    <n v="16"/>
    <n v="16"/>
    <n v="3"/>
    <s v="Medical"/>
    <n v="0"/>
    <n v="0"/>
    <n v="1"/>
    <n v="0"/>
    <n v="0"/>
    <n v="3"/>
    <s v="Male"/>
    <n v="0"/>
    <n v="49"/>
    <n v="3"/>
    <n v="1"/>
    <s v="Research Scientist"/>
    <n v="0"/>
    <n v="0"/>
    <n v="0"/>
    <n v="0"/>
    <n v="0"/>
    <n v="0"/>
    <n v="0"/>
    <n v="1"/>
    <n v="3"/>
    <s v="Single"/>
    <n v="1"/>
    <n v="0"/>
    <n v="2144"/>
    <n v="2144"/>
    <n v="1"/>
    <s v="No"/>
    <n v="0"/>
    <n v="14"/>
    <n v="3"/>
    <n v="3"/>
    <n v="0"/>
    <n v="5"/>
    <x v="7"/>
    <n v="3"/>
    <n v="2"/>
    <n v="5"/>
    <n v="5"/>
    <n v="3"/>
    <n v="1"/>
    <n v="1"/>
    <n v="4"/>
    <n v="4"/>
    <n v="4"/>
    <n v="1"/>
    <n v="0"/>
    <n v="0"/>
    <n v="0"/>
    <n v="1"/>
    <n v="0"/>
    <n v="0"/>
    <n v="0"/>
    <n v="0"/>
    <n v="4"/>
    <n v="0"/>
    <n v="0"/>
    <n v="5"/>
    <n v="0"/>
    <n v="0.9258647632803213"/>
    <n v="3.4508002929560584E-2"/>
    <n v="0.80706439257840468"/>
    <n v="0.32778177112653761"/>
    <n v="0.83971837042788355"/>
    <n v="0.97684123527310796"/>
    <n v="0.36858985273641137"/>
  </r>
  <r>
    <n v="31"/>
    <n v="31"/>
    <s v="No"/>
    <n v="0"/>
    <s v="Non-Travel"/>
    <n v="0"/>
    <n v="0"/>
    <x v="1"/>
    <n v="1"/>
    <n v="0"/>
    <n v="3"/>
    <n v="3"/>
    <n v="2"/>
    <s v="Medical"/>
    <n v="0"/>
    <n v="0"/>
    <n v="1"/>
    <n v="0"/>
    <n v="0"/>
    <n v="3"/>
    <s v="Male"/>
    <n v="0"/>
    <n v="48"/>
    <n v="3"/>
    <n v="1"/>
    <s v="Research Scientist"/>
    <n v="0"/>
    <n v="0"/>
    <n v="0"/>
    <n v="0"/>
    <n v="0"/>
    <n v="0"/>
    <n v="0"/>
    <n v="1"/>
    <n v="1"/>
    <s v="Divorced"/>
    <n v="0"/>
    <n v="0"/>
    <n v="3065"/>
    <n v="3065"/>
    <n v="1"/>
    <s v="Yes"/>
    <n v="1"/>
    <n v="13"/>
    <n v="3"/>
    <n v="4"/>
    <n v="1"/>
    <n v="4"/>
    <x v="20"/>
    <n v="3"/>
    <n v="4"/>
    <n v="4"/>
    <n v="4"/>
    <n v="2"/>
    <n v="2"/>
    <n v="2"/>
    <n v="3"/>
    <n v="3"/>
    <n v="3"/>
    <n v="1"/>
    <n v="0"/>
    <n v="0"/>
    <n v="0"/>
    <n v="0"/>
    <n v="1"/>
    <n v="0"/>
    <n v="0"/>
    <n v="0"/>
    <n v="3"/>
    <n v="0"/>
    <n v="0"/>
    <n v="4"/>
    <n v="0"/>
    <n v="0.7302384985477145"/>
    <n v="0.31476636926356072"/>
    <n v="0.93558618405172878"/>
    <n v="0.49100643357776058"/>
    <n v="0.76386092994953758"/>
    <n v="0.6484474368621912"/>
    <n v="5.8265062631872602E-2"/>
  </r>
  <r>
    <n v="36"/>
    <n v="36"/>
    <s v="No"/>
    <n v="0"/>
    <s v="Non-Travel"/>
    <n v="0"/>
    <n v="0"/>
    <x v="1"/>
    <n v="1"/>
    <n v="0"/>
    <n v="9"/>
    <n v="9"/>
    <n v="4"/>
    <s v="Life Sciences"/>
    <n v="1"/>
    <n v="0"/>
    <n v="0"/>
    <n v="0"/>
    <n v="0"/>
    <n v="1"/>
    <s v="Male"/>
    <n v="0"/>
    <n v="66"/>
    <n v="4"/>
    <n v="1"/>
    <s v="Laboratory Technician"/>
    <n v="0"/>
    <n v="0"/>
    <n v="1"/>
    <n v="0"/>
    <n v="0"/>
    <n v="0"/>
    <n v="0"/>
    <n v="0"/>
    <n v="2"/>
    <s v="Married"/>
    <n v="0"/>
    <n v="1"/>
    <n v="2810"/>
    <n v="2810"/>
    <n v="1"/>
    <s v="No"/>
    <n v="0"/>
    <n v="22"/>
    <n v="4"/>
    <n v="2"/>
    <n v="0"/>
    <n v="5"/>
    <x v="7"/>
    <n v="3"/>
    <n v="3"/>
    <n v="5"/>
    <n v="5"/>
    <n v="4"/>
    <n v="0"/>
    <n v="0"/>
    <n v="2"/>
    <n v="2"/>
    <n v="2"/>
    <n v="0"/>
    <n v="1"/>
    <n v="0"/>
    <n v="0"/>
    <n v="0"/>
    <n v="0"/>
    <n v="1"/>
    <n v="0"/>
    <n v="0"/>
    <n v="2"/>
    <n v="0"/>
    <n v="0"/>
    <n v="5"/>
    <n v="0"/>
    <n v="0.78440212233361539"/>
    <n v="0.59502473559756086"/>
    <n v="0.80706439257840468"/>
    <n v="0.32778177112653761"/>
    <n v="2.3747406698420157E-2"/>
    <n v="0.10112443951066327"/>
    <n v="0.67891464284095016"/>
  </r>
  <r>
    <n v="34"/>
    <n v="34"/>
    <s v="No"/>
    <n v="0"/>
    <s v="Travel_Rarely"/>
    <n v="0"/>
    <n v="1"/>
    <x v="0"/>
    <n v="0"/>
    <n v="1"/>
    <n v="1"/>
    <n v="1"/>
    <n v="3"/>
    <s v="Marketing"/>
    <n v="0"/>
    <n v="0"/>
    <n v="0"/>
    <n v="1"/>
    <n v="0"/>
    <n v="1"/>
    <s v="Male"/>
    <n v="0"/>
    <n v="32"/>
    <n v="3"/>
    <n v="3"/>
    <s v="Sales Executive"/>
    <n v="0"/>
    <n v="1"/>
    <n v="0"/>
    <n v="0"/>
    <n v="0"/>
    <n v="0"/>
    <n v="0"/>
    <n v="0"/>
    <n v="4"/>
    <s v="Single"/>
    <n v="1"/>
    <n v="0"/>
    <n v="9888"/>
    <n v="9888"/>
    <n v="1"/>
    <s v="No"/>
    <n v="0"/>
    <n v="21"/>
    <n v="4"/>
    <n v="1"/>
    <n v="0"/>
    <n v="14"/>
    <x v="18"/>
    <n v="3"/>
    <n v="2"/>
    <n v="14"/>
    <n v="14"/>
    <n v="8"/>
    <n v="2"/>
    <n v="2"/>
    <n v="1"/>
    <n v="1"/>
    <n v="3"/>
    <n v="1"/>
    <n v="0"/>
    <n v="0"/>
    <n v="0"/>
    <n v="1"/>
    <n v="0"/>
    <n v="0"/>
    <n v="0"/>
    <n v="0"/>
    <n v="0"/>
    <n v="1"/>
    <n v="0"/>
    <n v="0"/>
    <n v="14"/>
    <n v="0.71901014886876335"/>
    <n v="0.87528310193156111"/>
    <n v="0.34963173068151232"/>
    <n v="1.1412401909344694"/>
    <n v="1.01056543769991"/>
    <n v="0.32005363845127444"/>
    <n v="5.8265062631872602E-2"/>
  </r>
  <r>
    <n v="34"/>
    <n v="34"/>
    <s v="No"/>
    <n v="0"/>
    <s v="Travel_Rarely"/>
    <n v="0"/>
    <n v="1"/>
    <x v="0"/>
    <n v="0"/>
    <n v="1"/>
    <n v="13"/>
    <n v="13"/>
    <n v="4"/>
    <s v="Medical"/>
    <n v="0"/>
    <n v="0"/>
    <n v="1"/>
    <n v="0"/>
    <n v="0"/>
    <n v="4"/>
    <s v="Male"/>
    <n v="0"/>
    <n v="39"/>
    <n v="3"/>
    <n v="3"/>
    <s v="Sales Executive"/>
    <n v="0"/>
    <n v="1"/>
    <n v="0"/>
    <n v="0"/>
    <n v="0"/>
    <n v="0"/>
    <n v="0"/>
    <n v="0"/>
    <n v="3"/>
    <s v="Divorced"/>
    <n v="0"/>
    <n v="0"/>
    <n v="8628"/>
    <n v="8628"/>
    <n v="1"/>
    <s v="No"/>
    <n v="0"/>
    <n v="18"/>
    <n v="3"/>
    <n v="3"/>
    <n v="1"/>
    <n v="9"/>
    <x v="14"/>
    <n v="2"/>
    <n v="2"/>
    <n v="8"/>
    <n v="8"/>
    <n v="7"/>
    <n v="1"/>
    <n v="1"/>
    <n v="1"/>
    <n v="1"/>
    <n v="3"/>
    <n v="1"/>
    <n v="0"/>
    <n v="0"/>
    <n v="0"/>
    <n v="1"/>
    <n v="0"/>
    <n v="0"/>
    <n v="0"/>
    <n v="0"/>
    <n v="0"/>
    <n v="1"/>
    <n v="0"/>
    <n v="0"/>
    <n v="9"/>
    <n v="0.45137812545607658"/>
    <n v="0.87528310193156111"/>
    <n v="0.29297722668510823"/>
    <n v="0.16189221622713135"/>
    <n v="0.46966160880232483"/>
    <n v="0.32005363845127444"/>
    <n v="0.36858985273641137"/>
  </r>
  <r>
    <n v="26"/>
    <n v="26"/>
    <s v="No"/>
    <n v="0"/>
    <s v="Travel_Rarely"/>
    <n v="0"/>
    <n v="1"/>
    <x v="1"/>
    <n v="1"/>
    <n v="0"/>
    <n v="1"/>
    <n v="1"/>
    <n v="3"/>
    <s v="Medical"/>
    <n v="0"/>
    <n v="0"/>
    <n v="1"/>
    <n v="0"/>
    <n v="0"/>
    <n v="3"/>
    <s v="Male"/>
    <n v="0"/>
    <n v="95"/>
    <n v="3"/>
    <n v="1"/>
    <s v="Laboratory Technician"/>
    <n v="0"/>
    <n v="0"/>
    <n v="1"/>
    <n v="0"/>
    <n v="0"/>
    <n v="0"/>
    <n v="0"/>
    <n v="0"/>
    <n v="1"/>
    <s v="Single"/>
    <n v="1"/>
    <n v="0"/>
    <n v="2867"/>
    <n v="2867"/>
    <n v="0"/>
    <s v="No"/>
    <n v="0"/>
    <n v="13"/>
    <n v="3"/>
    <n v="4"/>
    <n v="0"/>
    <n v="8"/>
    <x v="0"/>
    <n v="6"/>
    <n v="2"/>
    <n v="7"/>
    <n v="7"/>
    <n v="7"/>
    <n v="7"/>
    <n v="7"/>
    <n v="6"/>
    <n v="6"/>
    <n v="6"/>
    <n v="1"/>
    <n v="0"/>
    <n v="0"/>
    <n v="0"/>
    <n v="1"/>
    <n v="0"/>
    <n v="0"/>
    <n v="0"/>
    <n v="0"/>
    <n v="6"/>
    <n v="0"/>
    <n v="0"/>
    <n v="8"/>
    <n v="0"/>
    <n v="0.77229495936970816"/>
    <n v="0.52600872973843971"/>
    <n v="0.42149901815843233"/>
    <n v="1.3324462240916321E-3"/>
    <n v="1.01056543769991"/>
    <n v="1.195770434213719"/>
    <n v="1.4933588878908215"/>
  </r>
  <r>
    <n v="29"/>
    <n v="29"/>
    <s v="No"/>
    <n v="0"/>
    <s v="Travel_Rarely"/>
    <n v="0"/>
    <n v="1"/>
    <x v="1"/>
    <n v="1"/>
    <n v="0"/>
    <n v="1"/>
    <n v="1"/>
    <n v="3"/>
    <s v="Life Sciences"/>
    <n v="1"/>
    <n v="0"/>
    <n v="0"/>
    <n v="0"/>
    <n v="0"/>
    <n v="1"/>
    <s v="Male"/>
    <n v="0"/>
    <n v="89"/>
    <n v="3"/>
    <n v="2"/>
    <s v="Healthcare Representative"/>
    <n v="1"/>
    <n v="0"/>
    <n v="0"/>
    <n v="0"/>
    <n v="0"/>
    <n v="0"/>
    <n v="0"/>
    <n v="0"/>
    <n v="1"/>
    <s v="Married"/>
    <n v="0"/>
    <n v="1"/>
    <n v="5373"/>
    <n v="5373"/>
    <n v="0"/>
    <s v="No"/>
    <n v="0"/>
    <n v="12"/>
    <n v="3"/>
    <n v="1"/>
    <n v="1"/>
    <n v="6"/>
    <x v="3"/>
    <n v="5"/>
    <n v="2"/>
    <n v="5"/>
    <n v="5"/>
    <n v="3"/>
    <n v="0"/>
    <n v="0"/>
    <n v="2"/>
    <n v="2"/>
    <n v="4"/>
    <n v="0"/>
    <n v="1"/>
    <n v="0"/>
    <n v="0"/>
    <n v="0"/>
    <n v="0"/>
    <n v="1"/>
    <n v="0"/>
    <n v="0"/>
    <n v="2"/>
    <n v="0"/>
    <n v="0"/>
    <n v="6"/>
    <n v="0"/>
    <n v="0.24000460169336435"/>
    <n v="0.59502473559756086"/>
    <n v="0.67854260110508058"/>
    <n v="0.32778177112653761"/>
    <n v="1.01056543769991"/>
    <n v="0.86737663580280233"/>
    <n v="0.67891464284095016"/>
  </r>
  <r>
    <n v="32"/>
    <n v="32"/>
    <s v="No"/>
    <n v="0"/>
    <s v="Non-Travel"/>
    <n v="0"/>
    <n v="0"/>
    <x v="1"/>
    <n v="1"/>
    <n v="0"/>
    <n v="15"/>
    <n v="15"/>
    <n v="4"/>
    <s v="Medical"/>
    <n v="0"/>
    <n v="0"/>
    <n v="1"/>
    <n v="0"/>
    <n v="0"/>
    <n v="3"/>
    <s v="Female"/>
    <n v="1"/>
    <n v="34"/>
    <n v="3"/>
    <n v="2"/>
    <s v="Healthcare Representative"/>
    <n v="1"/>
    <n v="0"/>
    <n v="0"/>
    <n v="0"/>
    <n v="0"/>
    <n v="0"/>
    <n v="0"/>
    <n v="0"/>
    <n v="4"/>
    <s v="Divorced"/>
    <n v="0"/>
    <n v="0"/>
    <n v="6667"/>
    <n v="6667"/>
    <n v="5"/>
    <s v="No"/>
    <n v="0"/>
    <n v="18"/>
    <n v="3"/>
    <n v="2"/>
    <n v="1"/>
    <n v="9"/>
    <x v="14"/>
    <n v="6"/>
    <n v="3"/>
    <n v="5"/>
    <n v="5"/>
    <n v="1"/>
    <n v="1"/>
    <n v="1"/>
    <n v="2"/>
    <n v="2"/>
    <n v="4"/>
    <n v="1"/>
    <n v="0"/>
    <n v="0"/>
    <n v="0"/>
    <n v="1"/>
    <n v="0"/>
    <n v="0"/>
    <n v="0"/>
    <n v="0"/>
    <n v="2"/>
    <n v="0"/>
    <n v="0"/>
    <n v="9"/>
    <n v="0"/>
    <n v="3.4849238224109236E-2"/>
    <n v="0.59502473559756086"/>
    <n v="0.29297722668510823"/>
    <n v="0.32778177112653761"/>
    <n v="0.71636611655269733"/>
    <n v="0.53898283739188557"/>
    <n v="0.36858985273641137"/>
  </r>
  <r>
    <n v="31"/>
    <n v="31"/>
    <s v="No"/>
    <n v="0"/>
    <s v="Travel_Frequently"/>
    <n v="1"/>
    <n v="0"/>
    <x v="1"/>
    <n v="1"/>
    <n v="0"/>
    <n v="1"/>
    <n v="1"/>
    <n v="3"/>
    <s v="Life Sciences"/>
    <n v="1"/>
    <n v="0"/>
    <n v="0"/>
    <n v="0"/>
    <n v="0"/>
    <n v="4"/>
    <s v="Male"/>
    <n v="0"/>
    <n v="48"/>
    <n v="1"/>
    <n v="2"/>
    <s v="Research Scientist"/>
    <n v="0"/>
    <n v="0"/>
    <n v="0"/>
    <n v="0"/>
    <n v="0"/>
    <n v="0"/>
    <n v="0"/>
    <n v="1"/>
    <n v="1"/>
    <s v="Married"/>
    <n v="0"/>
    <n v="1"/>
    <n v="5003"/>
    <n v="5003"/>
    <n v="1"/>
    <s v="No"/>
    <n v="0"/>
    <n v="21"/>
    <n v="4"/>
    <n v="2"/>
    <n v="0"/>
    <n v="10"/>
    <x v="1"/>
    <n v="6"/>
    <n v="3"/>
    <n v="10"/>
    <n v="10"/>
    <n v="8"/>
    <n v="8"/>
    <n v="8"/>
    <n v="7"/>
    <n v="7"/>
    <n v="14"/>
    <n v="0"/>
    <n v="0"/>
    <n v="0"/>
    <n v="1"/>
    <n v="0"/>
    <n v="0"/>
    <n v="1"/>
    <n v="0"/>
    <n v="0"/>
    <n v="7"/>
    <n v="0"/>
    <n v="0"/>
    <n v="10"/>
    <n v="0"/>
    <n v="0.31859495777486763"/>
    <n v="0.80626709607243985"/>
    <n v="0.1644554352117841"/>
    <n v="0.48834154112957734"/>
    <n v="1.01056543769991"/>
    <n v="0.6484474368621912"/>
    <n v="1.8036836779953602"/>
  </r>
  <r>
    <n v="28"/>
    <n v="28"/>
    <s v="Yes"/>
    <n v="1"/>
    <s v="Travel_Rarely"/>
    <n v="0"/>
    <n v="1"/>
    <x v="1"/>
    <n v="1"/>
    <n v="0"/>
    <n v="17"/>
    <n v="17"/>
    <n v="3"/>
    <s v="Technical Degree"/>
    <n v="0"/>
    <n v="0"/>
    <n v="0"/>
    <n v="0"/>
    <n v="1"/>
    <n v="3"/>
    <s v="Male"/>
    <n v="0"/>
    <n v="32"/>
    <n v="2"/>
    <n v="1"/>
    <s v="Laboratory Technician"/>
    <n v="0"/>
    <n v="0"/>
    <n v="1"/>
    <n v="0"/>
    <n v="0"/>
    <n v="0"/>
    <n v="0"/>
    <n v="0"/>
    <n v="4"/>
    <s v="Divorced"/>
    <n v="0"/>
    <n v="0"/>
    <n v="2367"/>
    <n v="2367"/>
    <n v="5"/>
    <s v="No"/>
    <n v="0"/>
    <n v="12"/>
    <n v="3"/>
    <n v="1"/>
    <n v="1"/>
    <n v="6"/>
    <x v="3"/>
    <n v="2"/>
    <n v="2"/>
    <n v="4"/>
    <n v="4"/>
    <n v="1"/>
    <n v="0"/>
    <n v="0"/>
    <n v="3"/>
    <n v="3"/>
    <n v="3"/>
    <n v="1"/>
    <n v="0"/>
    <n v="0"/>
    <n v="0"/>
    <n v="1"/>
    <n v="0"/>
    <n v="0"/>
    <n v="0"/>
    <n v="0"/>
    <n v="3"/>
    <n v="0"/>
    <n v="0"/>
    <n v="6"/>
    <n v="0"/>
    <n v="0.8784981432636314"/>
    <n v="0.31476636926356072"/>
    <n v="0.67854260110508058"/>
    <n v="0.49100643357776058"/>
    <n v="0.96307062430306978"/>
    <n v="0.97684123527310796"/>
    <n v="0.67891464284095016"/>
  </r>
  <r>
    <n v="38"/>
    <n v="38"/>
    <s v="No"/>
    <n v="0"/>
    <s v="Travel_Rarely"/>
    <n v="0"/>
    <n v="1"/>
    <x v="0"/>
    <n v="0"/>
    <n v="1"/>
    <n v="1"/>
    <n v="1"/>
    <n v="3"/>
    <s v="Life Sciences"/>
    <n v="1"/>
    <n v="0"/>
    <n v="0"/>
    <n v="0"/>
    <n v="0"/>
    <n v="1"/>
    <s v="Male"/>
    <n v="0"/>
    <n v="59"/>
    <n v="2"/>
    <n v="1"/>
    <s v="Sales Representative"/>
    <n v="0"/>
    <n v="0"/>
    <n v="0"/>
    <n v="0"/>
    <n v="0"/>
    <n v="0"/>
    <n v="1"/>
    <n v="0"/>
    <n v="1"/>
    <s v="Single"/>
    <n v="1"/>
    <n v="0"/>
    <n v="2858"/>
    <n v="2858"/>
    <n v="4"/>
    <s v="No"/>
    <n v="0"/>
    <n v="14"/>
    <n v="3"/>
    <n v="1"/>
    <n v="0"/>
    <n v="20"/>
    <x v="25"/>
    <n v="3"/>
    <n v="2"/>
    <n v="1"/>
    <n v="1"/>
    <n v="0"/>
    <n v="0"/>
    <n v="0"/>
    <n v="0"/>
    <n v="0"/>
    <n v="0"/>
    <n v="1"/>
    <n v="0"/>
    <n v="0"/>
    <n v="0"/>
    <n v="1"/>
    <n v="0"/>
    <n v="0"/>
    <n v="0"/>
    <n v="0"/>
    <n v="0"/>
    <n v="0"/>
    <n v="0"/>
    <n v="0"/>
    <n v="20"/>
    <n v="0.77420661667979873"/>
    <n v="1.1555414682655611"/>
    <n v="1.120762479521457"/>
    <n v="0.9806804209314296"/>
    <n v="1.01056543769991"/>
    <n v="0.11780475942994788"/>
    <n v="0.67891464284095016"/>
  </r>
  <r>
    <n v="35"/>
    <n v="35"/>
    <s v="No"/>
    <n v="0"/>
    <s v="Travel_Rarely"/>
    <n v="0"/>
    <n v="1"/>
    <x v="0"/>
    <n v="0"/>
    <n v="1"/>
    <n v="7"/>
    <n v="7"/>
    <n v="4"/>
    <s v="Life Sciences"/>
    <n v="1"/>
    <n v="0"/>
    <n v="0"/>
    <n v="0"/>
    <n v="0"/>
    <n v="3"/>
    <s v="Female"/>
    <n v="1"/>
    <n v="55"/>
    <n v="3"/>
    <n v="2"/>
    <s v="Sales Executive"/>
    <n v="0"/>
    <n v="1"/>
    <n v="0"/>
    <n v="0"/>
    <n v="0"/>
    <n v="0"/>
    <n v="0"/>
    <n v="0"/>
    <n v="4"/>
    <s v="Married"/>
    <n v="0"/>
    <n v="1"/>
    <n v="5204"/>
    <n v="5204"/>
    <n v="1"/>
    <s v="Yes"/>
    <n v="1"/>
    <n v="11"/>
    <n v="3"/>
    <n v="4"/>
    <n v="0"/>
    <n v="10"/>
    <x v="1"/>
    <n v="2"/>
    <n v="3"/>
    <n v="10"/>
    <n v="10"/>
    <n v="8"/>
    <n v="0"/>
    <n v="0"/>
    <n v="9"/>
    <n v="9"/>
    <n v="18"/>
    <n v="0"/>
    <n v="1"/>
    <n v="0"/>
    <n v="0"/>
    <n v="0"/>
    <n v="0"/>
    <n v="0"/>
    <n v="1"/>
    <n v="0"/>
    <n v="0"/>
    <n v="9"/>
    <n v="0"/>
    <n v="0"/>
    <n v="10"/>
    <n v="0.27590127784951046"/>
    <n v="1.3667838287404401"/>
    <n v="0.1644554352117841"/>
    <n v="0.48834154112957734"/>
    <n v="0.27045191444879263"/>
    <n v="0.21058903898096887"/>
    <n v="0.67891464284095016"/>
  </r>
  <r>
    <n v="27"/>
    <n v="27"/>
    <s v="No"/>
    <n v="0"/>
    <s v="Travel_Rarely"/>
    <n v="0"/>
    <n v="1"/>
    <x v="0"/>
    <n v="0"/>
    <n v="1"/>
    <n v="9"/>
    <n v="9"/>
    <n v="3"/>
    <s v="Marketing"/>
    <n v="0"/>
    <n v="0"/>
    <n v="0"/>
    <n v="1"/>
    <n v="0"/>
    <n v="4"/>
    <s v="Male"/>
    <n v="0"/>
    <n v="44"/>
    <n v="3"/>
    <n v="2"/>
    <s v="Sales Executive"/>
    <n v="0"/>
    <n v="1"/>
    <n v="0"/>
    <n v="0"/>
    <n v="0"/>
    <n v="0"/>
    <n v="0"/>
    <n v="0"/>
    <n v="4"/>
    <s v="Single"/>
    <n v="1"/>
    <n v="0"/>
    <n v="4105"/>
    <n v="4105"/>
    <n v="1"/>
    <s v="No"/>
    <n v="0"/>
    <n v="14"/>
    <n v="3"/>
    <n v="1"/>
    <n v="0"/>
    <n v="7"/>
    <x v="2"/>
    <n v="5"/>
    <n v="3"/>
    <n v="7"/>
    <n v="7"/>
    <n v="7"/>
    <n v="0"/>
    <n v="0"/>
    <n v="7"/>
    <n v="7"/>
    <n v="14"/>
    <n v="1"/>
    <n v="0"/>
    <n v="0"/>
    <n v="0"/>
    <n v="1"/>
    <n v="0"/>
    <n v="0"/>
    <n v="0"/>
    <n v="0"/>
    <n v="0"/>
    <n v="7"/>
    <n v="0"/>
    <n v="0"/>
    <n v="7"/>
    <n v="0.50933587604835395"/>
    <n v="0.80626709607243985"/>
    <n v="0.55002080963175637"/>
    <n v="1.3324462240916321E-3"/>
    <n v="2.3747406698420157E-2"/>
    <n v="1.0863058347434136"/>
    <n v="0.67891464284095016"/>
  </r>
  <r>
    <n v="32"/>
    <n v="32"/>
    <s v="No"/>
    <n v="0"/>
    <s v="Travel_Rarely"/>
    <n v="0"/>
    <n v="1"/>
    <x v="1"/>
    <n v="1"/>
    <n v="0"/>
    <n v="5"/>
    <n v="5"/>
    <n v="4"/>
    <s v="Life Sciences"/>
    <n v="1"/>
    <n v="0"/>
    <n v="0"/>
    <n v="0"/>
    <n v="0"/>
    <n v="4"/>
    <s v="Male"/>
    <n v="0"/>
    <n v="56"/>
    <n v="2"/>
    <n v="2"/>
    <s v="Manufacturing Director"/>
    <n v="0"/>
    <n v="0"/>
    <n v="0"/>
    <n v="0"/>
    <n v="1"/>
    <n v="1"/>
    <n v="0"/>
    <n v="0"/>
    <n v="4"/>
    <s v="Single"/>
    <n v="1"/>
    <n v="0"/>
    <n v="9679"/>
    <n v="9679"/>
    <n v="8"/>
    <s v="No"/>
    <n v="0"/>
    <n v="24"/>
    <n v="4"/>
    <n v="2"/>
    <n v="0"/>
    <n v="8"/>
    <x v="0"/>
    <n v="1"/>
    <n v="3"/>
    <n v="1"/>
    <n v="1"/>
    <n v="0"/>
    <n v="0"/>
    <n v="0"/>
    <n v="0"/>
    <n v="0"/>
    <n v="0"/>
    <n v="1"/>
    <n v="0"/>
    <n v="0"/>
    <n v="0"/>
    <n v="1"/>
    <n v="0"/>
    <n v="0"/>
    <n v="0"/>
    <n v="0"/>
    <n v="0"/>
    <n v="0"/>
    <n v="0"/>
    <n v="8"/>
    <n v="0"/>
    <n v="0.67461721800110341"/>
    <n v="1.1555414682655611"/>
    <n v="0.42149901815843233"/>
    <n v="0.9806804209314296"/>
    <n v="0.51715642219916513"/>
    <n v="0.53898283739188557"/>
    <n v="0.67891464284095016"/>
  </r>
  <r>
    <n v="31"/>
    <n v="31"/>
    <s v="Yes"/>
    <n v="1"/>
    <s v="Travel_Frequently"/>
    <n v="1"/>
    <n v="0"/>
    <x v="0"/>
    <n v="0"/>
    <n v="1"/>
    <n v="26"/>
    <n v="26"/>
    <n v="4"/>
    <s v="Marketing"/>
    <n v="0"/>
    <n v="0"/>
    <n v="0"/>
    <n v="1"/>
    <n v="0"/>
    <n v="1"/>
    <s v="Male"/>
    <n v="0"/>
    <n v="63"/>
    <n v="3"/>
    <n v="2"/>
    <s v="Sales Executive"/>
    <n v="0"/>
    <n v="1"/>
    <n v="0"/>
    <n v="0"/>
    <n v="0"/>
    <n v="0"/>
    <n v="0"/>
    <n v="0"/>
    <n v="4"/>
    <s v="Married"/>
    <n v="0"/>
    <n v="1"/>
    <n v="5617"/>
    <n v="5617"/>
    <n v="1"/>
    <s v="Yes"/>
    <n v="1"/>
    <n v="11"/>
    <n v="3"/>
    <n v="3"/>
    <n v="0"/>
    <n v="10"/>
    <x v="1"/>
    <n v="4"/>
    <n v="3"/>
    <n v="10"/>
    <n v="10"/>
    <n v="7"/>
    <n v="0"/>
    <n v="0"/>
    <n v="8"/>
    <n v="8"/>
    <n v="16"/>
    <n v="0"/>
    <n v="0"/>
    <n v="0"/>
    <n v="1"/>
    <n v="0"/>
    <n v="0"/>
    <n v="0"/>
    <n v="1"/>
    <n v="0"/>
    <n v="0"/>
    <n v="8"/>
    <n v="0"/>
    <n v="0"/>
    <n v="10"/>
    <n v="0.18817744795312977"/>
    <n v="1.08652546240644"/>
    <n v="0.1644554352117841"/>
    <n v="0.48834154112957734"/>
    <n v="2.0732409091797459"/>
    <n v="0.6484474368621912"/>
    <n v="0.67891464284095016"/>
  </r>
  <r>
    <n v="53"/>
    <n v="53"/>
    <s v="Yes"/>
    <n v="1"/>
    <s v="Travel_Rarely"/>
    <n v="0"/>
    <n v="1"/>
    <x v="0"/>
    <n v="0"/>
    <n v="1"/>
    <n v="24"/>
    <n v="24"/>
    <n v="4"/>
    <s v="Life Sciences"/>
    <n v="1"/>
    <n v="0"/>
    <n v="0"/>
    <n v="0"/>
    <n v="0"/>
    <n v="1"/>
    <s v="Male"/>
    <n v="0"/>
    <n v="66"/>
    <n v="3"/>
    <n v="3"/>
    <s v="Sales Executive"/>
    <n v="0"/>
    <n v="1"/>
    <n v="0"/>
    <n v="0"/>
    <n v="0"/>
    <n v="0"/>
    <n v="0"/>
    <n v="0"/>
    <n v="1"/>
    <s v="Single"/>
    <n v="1"/>
    <n v="0"/>
    <n v="10448"/>
    <n v="10448"/>
    <n v="6"/>
    <s v="Yes"/>
    <n v="1"/>
    <n v="13"/>
    <n v="3"/>
    <n v="2"/>
    <n v="0"/>
    <n v="15"/>
    <x v="19"/>
    <n v="2"/>
    <n v="2"/>
    <n v="2"/>
    <n v="2"/>
    <n v="2"/>
    <n v="2"/>
    <n v="2"/>
    <n v="2"/>
    <n v="2"/>
    <n v="6"/>
    <n v="1"/>
    <n v="0"/>
    <n v="0"/>
    <n v="0"/>
    <n v="0"/>
    <n v="1"/>
    <n v="0"/>
    <n v="0"/>
    <n v="0"/>
    <n v="0"/>
    <n v="2"/>
    <n v="0"/>
    <n v="0"/>
    <n v="15"/>
    <n v="0.83795771482995751"/>
    <n v="0.59502473559756086"/>
    <n v="0.47815352215483642"/>
    <n v="0.81745575848020657"/>
    <n v="1.8265364014293735"/>
    <n v="1.7597737514845315"/>
    <n v="5.8265062631872602E-2"/>
  </r>
  <r>
    <n v="54"/>
    <n v="54"/>
    <s v="No"/>
    <n v="0"/>
    <s v="Travel_Rarely"/>
    <n v="0"/>
    <n v="1"/>
    <x v="1"/>
    <n v="1"/>
    <n v="0"/>
    <n v="9"/>
    <n v="9"/>
    <n v="2"/>
    <s v="Life Sciences"/>
    <n v="1"/>
    <n v="0"/>
    <n v="0"/>
    <n v="0"/>
    <n v="0"/>
    <n v="1"/>
    <s v="Female"/>
    <n v="1"/>
    <n v="67"/>
    <n v="3"/>
    <n v="2"/>
    <s v="Research Scientist"/>
    <n v="0"/>
    <n v="0"/>
    <n v="0"/>
    <n v="0"/>
    <n v="0"/>
    <n v="0"/>
    <n v="0"/>
    <n v="1"/>
    <n v="3"/>
    <s v="Married"/>
    <n v="0"/>
    <n v="1"/>
    <n v="2897"/>
    <n v="2897"/>
    <n v="3"/>
    <s v="No"/>
    <n v="0"/>
    <n v="11"/>
    <n v="3"/>
    <n v="3"/>
    <n v="2"/>
    <n v="9"/>
    <x v="14"/>
    <n v="6"/>
    <n v="2"/>
    <n v="4"/>
    <n v="4"/>
    <n v="3"/>
    <n v="2"/>
    <n v="2"/>
    <n v="3"/>
    <n v="3"/>
    <n v="6"/>
    <n v="0"/>
    <n v="1"/>
    <n v="0"/>
    <n v="0"/>
    <n v="0"/>
    <n v="0"/>
    <n v="1"/>
    <n v="0"/>
    <n v="0"/>
    <n v="3"/>
    <n v="0"/>
    <n v="0"/>
    <n v="9"/>
    <n v="0"/>
    <n v="0.76592276833607276"/>
    <n v="0.31476636926356072"/>
    <n v="0.29297722668510823"/>
    <n v="0.49100643357776058"/>
    <n v="2.3747406698420157E-2"/>
    <n v="1.8692383509548371"/>
    <n v="5.8265062631872602E-2"/>
  </r>
  <r>
    <n v="33"/>
    <n v="33"/>
    <s v="No"/>
    <n v="0"/>
    <s v="Travel_Frequently"/>
    <n v="1"/>
    <n v="0"/>
    <x v="1"/>
    <n v="1"/>
    <n v="0"/>
    <n v="7"/>
    <n v="7"/>
    <n v="2"/>
    <s v="Life Sciences"/>
    <n v="1"/>
    <n v="0"/>
    <n v="0"/>
    <n v="0"/>
    <n v="0"/>
    <n v="4"/>
    <s v="Male"/>
    <n v="0"/>
    <n v="36"/>
    <n v="3"/>
    <n v="2"/>
    <s v="Healthcare Representative"/>
    <n v="1"/>
    <n v="0"/>
    <n v="0"/>
    <n v="0"/>
    <n v="0"/>
    <n v="0"/>
    <n v="0"/>
    <n v="0"/>
    <n v="3"/>
    <s v="Divorced"/>
    <n v="0"/>
    <n v="0"/>
    <n v="5968"/>
    <n v="5968"/>
    <n v="1"/>
    <s v="No"/>
    <n v="0"/>
    <n v="20"/>
    <n v="4"/>
    <n v="3"/>
    <n v="3"/>
    <n v="9"/>
    <x v="14"/>
    <n v="2"/>
    <n v="3"/>
    <n v="9"/>
    <n v="9"/>
    <n v="7"/>
    <n v="2"/>
    <n v="2"/>
    <n v="8"/>
    <n v="8"/>
    <n v="16"/>
    <n v="0"/>
    <n v="0"/>
    <n v="1"/>
    <n v="0"/>
    <n v="1"/>
    <n v="0"/>
    <n v="0"/>
    <n v="0"/>
    <n v="0"/>
    <n v="8"/>
    <n v="0"/>
    <n v="0"/>
    <n v="9"/>
    <n v="0"/>
    <n v="0.11362281285959558"/>
    <n v="1.08652546240644"/>
    <n v="0.29297722668510823"/>
    <n v="0.32511687867835437"/>
    <n v="0.27045191444879263"/>
    <n v="0.42951823792158"/>
    <n v="5.8265062631872602E-2"/>
  </r>
  <r>
    <n v="43"/>
    <n v="43"/>
    <s v="No"/>
    <n v="0"/>
    <s v="Travel_Rarely"/>
    <n v="0"/>
    <n v="1"/>
    <x v="1"/>
    <n v="1"/>
    <n v="0"/>
    <n v="11"/>
    <n v="11"/>
    <n v="3"/>
    <s v="Life Sciences"/>
    <n v="1"/>
    <n v="0"/>
    <n v="0"/>
    <n v="0"/>
    <n v="0"/>
    <n v="1"/>
    <s v="Male"/>
    <n v="0"/>
    <n v="30"/>
    <n v="3"/>
    <n v="3"/>
    <s v="Healthcare Representative"/>
    <n v="1"/>
    <n v="0"/>
    <n v="0"/>
    <n v="0"/>
    <n v="0"/>
    <n v="0"/>
    <n v="0"/>
    <n v="0"/>
    <n v="3"/>
    <s v="Married"/>
    <n v="0"/>
    <n v="1"/>
    <n v="7510"/>
    <n v="7510"/>
    <n v="1"/>
    <s v="No"/>
    <n v="0"/>
    <n v="17"/>
    <n v="3"/>
    <n v="2"/>
    <n v="1"/>
    <n v="10"/>
    <x v="1"/>
    <n v="1"/>
    <n v="3"/>
    <n v="10"/>
    <n v="10"/>
    <n v="9"/>
    <n v="0"/>
    <n v="0"/>
    <n v="9"/>
    <n v="9"/>
    <n v="27"/>
    <n v="0"/>
    <n v="1"/>
    <n v="0"/>
    <n v="0"/>
    <n v="0"/>
    <n v="0"/>
    <n v="1"/>
    <n v="0"/>
    <n v="0"/>
    <n v="9"/>
    <n v="0"/>
    <n v="0"/>
    <n v="10"/>
    <n v="0"/>
    <n v="0.21390780626926398"/>
    <n v="1.3667838287404401"/>
    <n v="0.1644554352117841"/>
    <n v="0.48834154112957734"/>
    <n v="0.22295710105195232"/>
    <n v="0.66512775678147573"/>
    <n v="0.67891464284095016"/>
  </r>
  <r>
    <n v="38"/>
    <n v="38"/>
    <s v="No"/>
    <n v="0"/>
    <s v="Travel_Frequently"/>
    <n v="1"/>
    <n v="0"/>
    <x v="2"/>
    <n v="0"/>
    <n v="0"/>
    <n v="1"/>
    <n v="1"/>
    <n v="4"/>
    <s v="Other"/>
    <n v="0"/>
    <n v="1"/>
    <n v="0"/>
    <n v="0"/>
    <n v="0"/>
    <n v="4"/>
    <s v="Male"/>
    <n v="0"/>
    <n v="88"/>
    <n v="3"/>
    <n v="1"/>
    <s v="Human Resources"/>
    <n v="0"/>
    <n v="0"/>
    <n v="0"/>
    <n v="0"/>
    <n v="0"/>
    <n v="0"/>
    <n v="0"/>
    <n v="0"/>
    <n v="2"/>
    <s v="Married"/>
    <n v="0"/>
    <n v="1"/>
    <n v="2991"/>
    <n v="2991"/>
    <n v="0"/>
    <s v="Yes"/>
    <n v="1"/>
    <n v="11"/>
    <n v="3"/>
    <n v="2"/>
    <n v="1"/>
    <n v="7"/>
    <x v="2"/>
    <n v="2"/>
    <n v="3"/>
    <n v="6"/>
    <n v="6"/>
    <n v="2"/>
    <n v="1"/>
    <n v="1"/>
    <n v="2"/>
    <n v="2"/>
    <n v="2"/>
    <n v="0"/>
    <n v="0"/>
    <n v="0"/>
    <n v="1"/>
    <n v="0"/>
    <n v="0"/>
    <n v="0"/>
    <n v="1"/>
    <n v="2"/>
    <n v="0"/>
    <n v="0"/>
    <n v="7"/>
    <n v="0"/>
    <n v="0"/>
    <n v="0.74595656976401514"/>
    <n v="0.59502473559756086"/>
    <n v="0.55002080963175637"/>
    <n v="0.16455710867531462"/>
    <n v="1.01056543769991"/>
    <n v="0.11780475942994788"/>
    <n v="0.36858985273641137"/>
  </r>
  <r>
    <n v="55"/>
    <n v="55"/>
    <s v="No"/>
    <n v="0"/>
    <s v="Travel_Rarely"/>
    <n v="0"/>
    <n v="1"/>
    <x v="2"/>
    <n v="0"/>
    <n v="0"/>
    <n v="26"/>
    <n v="26"/>
    <n v="4"/>
    <s v="Human Resources"/>
    <n v="0"/>
    <n v="0"/>
    <n v="0"/>
    <n v="0"/>
    <n v="0"/>
    <n v="3"/>
    <s v="Male"/>
    <n v="0"/>
    <n v="71"/>
    <n v="4"/>
    <n v="5"/>
    <s v="Manager"/>
    <n v="0"/>
    <n v="0"/>
    <n v="0"/>
    <n v="1"/>
    <n v="0"/>
    <n v="0"/>
    <n v="0"/>
    <n v="0"/>
    <n v="2"/>
    <s v="Married"/>
    <n v="0"/>
    <n v="1"/>
    <n v="19636"/>
    <n v="19626.310000000001"/>
    <n v="4"/>
    <s v="Yes"/>
    <n v="1"/>
    <n v="18"/>
    <n v="3"/>
    <n v="1"/>
    <n v="1"/>
    <n v="35"/>
    <x v="28"/>
    <n v="0"/>
    <n v="3"/>
    <n v="10"/>
    <n v="10"/>
    <n v="9"/>
    <n v="1"/>
    <n v="1"/>
    <n v="4"/>
    <n v="4"/>
    <n v="20"/>
    <n v="0"/>
    <n v="1"/>
    <n v="0"/>
    <n v="0"/>
    <n v="0"/>
    <n v="0"/>
    <n v="0"/>
    <n v="1"/>
    <n v="4"/>
    <n v="0"/>
    <n v="0"/>
    <n v="35"/>
    <n v="0"/>
    <n v="0"/>
    <n v="2.7895474220646927"/>
    <n v="3.4508002929560584E-2"/>
    <n v="3.0485893516213181"/>
    <n v="0.48834154112957734"/>
    <n v="2.0732409091797459"/>
    <n v="1.9787029504251428"/>
    <n v="0.36858985273641137"/>
  </r>
  <r>
    <n v="31"/>
    <n v="31"/>
    <s v="No"/>
    <n v="0"/>
    <s v="Travel_Rarely"/>
    <n v="0"/>
    <n v="1"/>
    <x v="1"/>
    <n v="1"/>
    <n v="0"/>
    <n v="2"/>
    <n v="2"/>
    <n v="1"/>
    <s v="Medical"/>
    <n v="0"/>
    <n v="0"/>
    <n v="1"/>
    <n v="0"/>
    <n v="0"/>
    <n v="4"/>
    <s v="Female"/>
    <n v="1"/>
    <n v="59"/>
    <n v="1"/>
    <n v="1"/>
    <s v="Laboratory Technician"/>
    <n v="0"/>
    <n v="0"/>
    <n v="1"/>
    <n v="0"/>
    <n v="0"/>
    <n v="0"/>
    <n v="0"/>
    <n v="0"/>
    <n v="4"/>
    <s v="Divorced"/>
    <n v="0"/>
    <n v="0"/>
    <n v="1129"/>
    <n v="1382.46"/>
    <n v="1"/>
    <s v="Yes"/>
    <n v="1"/>
    <n v="11"/>
    <n v="3"/>
    <n v="3"/>
    <n v="3"/>
    <n v="1"/>
    <x v="5"/>
    <n v="4"/>
    <n v="3"/>
    <n v="1"/>
    <n v="1"/>
    <n v="0"/>
    <n v="0"/>
    <n v="0"/>
    <n v="0"/>
    <n v="0"/>
    <n v="0"/>
    <n v="1"/>
    <n v="0"/>
    <n v="0"/>
    <n v="0"/>
    <n v="0"/>
    <n v="1"/>
    <n v="0"/>
    <n v="0"/>
    <n v="0"/>
    <n v="0"/>
    <n v="0"/>
    <n v="0"/>
    <n v="1"/>
    <n v="0"/>
    <n v="1.1414572265849856"/>
    <n v="1.1555414682655611"/>
    <n v="1.3211515584717011"/>
    <n v="0.9806804209314296"/>
    <n v="0.88721318382472392"/>
    <n v="0.6484474368621912"/>
    <n v="0.67891464284095016"/>
  </r>
  <r>
    <n v="39"/>
    <n v="39"/>
    <s v="No"/>
    <n v="0"/>
    <s v="Travel_Rarely"/>
    <n v="0"/>
    <n v="1"/>
    <x v="0"/>
    <n v="0"/>
    <n v="1"/>
    <n v="15"/>
    <n v="15"/>
    <n v="4"/>
    <s v="Marketing"/>
    <n v="0"/>
    <n v="0"/>
    <n v="0"/>
    <n v="1"/>
    <n v="0"/>
    <n v="2"/>
    <s v="Male"/>
    <n v="0"/>
    <n v="77"/>
    <n v="3"/>
    <n v="4"/>
    <s v="Sales Executive"/>
    <n v="0"/>
    <n v="1"/>
    <n v="0"/>
    <n v="0"/>
    <n v="0"/>
    <n v="0"/>
    <n v="0"/>
    <n v="0"/>
    <n v="1"/>
    <s v="Single"/>
    <n v="1"/>
    <n v="0"/>
    <n v="13341"/>
    <n v="13341"/>
    <n v="0"/>
    <s v="No"/>
    <n v="0"/>
    <n v="12"/>
    <n v="3"/>
    <n v="1"/>
    <n v="0"/>
    <n v="21"/>
    <x v="23"/>
    <n v="3"/>
    <n v="3"/>
    <n v="20"/>
    <n v="20"/>
    <n v="8"/>
    <n v="11"/>
    <n v="11"/>
    <n v="10"/>
    <n v="10"/>
    <n v="40"/>
    <n v="1"/>
    <n v="0"/>
    <n v="0"/>
    <n v="0"/>
    <n v="1"/>
    <n v="0"/>
    <n v="0"/>
    <n v="0"/>
    <n v="0"/>
    <n v="0"/>
    <n v="10"/>
    <n v="0"/>
    <n v="0"/>
    <n v="21"/>
    <n v="1.4524493368401978"/>
    <n v="1.6470421950744405"/>
    <n v="1.2492842709947811"/>
    <n v="2.1205881656418071"/>
    <n v="0.71636611655269733"/>
    <n v="0.22726935890025346"/>
    <n v="2.7346580483089769"/>
  </r>
  <r>
    <n v="42"/>
    <n v="42"/>
    <s v="No"/>
    <n v="0"/>
    <s v="Non-Travel"/>
    <n v="0"/>
    <n v="0"/>
    <x v="1"/>
    <n v="1"/>
    <n v="0"/>
    <n v="23"/>
    <n v="23"/>
    <n v="2"/>
    <s v="Life Sciences"/>
    <n v="1"/>
    <n v="0"/>
    <n v="0"/>
    <n v="0"/>
    <n v="0"/>
    <n v="4"/>
    <s v="Male"/>
    <n v="0"/>
    <n v="37"/>
    <n v="2"/>
    <n v="2"/>
    <s v="Research Scientist"/>
    <n v="0"/>
    <n v="0"/>
    <n v="0"/>
    <n v="0"/>
    <n v="0"/>
    <n v="0"/>
    <n v="0"/>
    <n v="1"/>
    <n v="3"/>
    <s v="Single"/>
    <n v="1"/>
    <n v="0"/>
    <n v="4332"/>
    <n v="4332"/>
    <n v="1"/>
    <s v="No"/>
    <n v="0"/>
    <n v="12"/>
    <n v="3"/>
    <n v="4"/>
    <n v="0"/>
    <n v="20"/>
    <x v="25"/>
    <n v="2"/>
    <n v="3"/>
    <n v="20"/>
    <n v="20"/>
    <n v="9"/>
    <n v="3"/>
    <n v="3"/>
    <n v="7"/>
    <n v="7"/>
    <n v="14"/>
    <n v="1"/>
    <n v="0"/>
    <n v="0"/>
    <n v="0"/>
    <n v="1"/>
    <n v="0"/>
    <n v="0"/>
    <n v="0"/>
    <n v="0"/>
    <n v="7"/>
    <n v="0"/>
    <n v="0"/>
    <n v="20"/>
    <n v="0"/>
    <n v="0.46111963056051275"/>
    <n v="0.80626709607243985"/>
    <n v="1.120762479521457"/>
    <n v="2.1205881656418071"/>
    <n v="1.7031841475541873"/>
    <n v="0.55566315731117022"/>
    <n v="0.2520597274726662"/>
  </r>
  <r>
    <n v="31"/>
    <n v="31"/>
    <s v="No"/>
    <n v="0"/>
    <s v="Non-Travel"/>
    <n v="0"/>
    <n v="0"/>
    <x v="1"/>
    <n v="1"/>
    <n v="0"/>
    <n v="10"/>
    <n v="10"/>
    <n v="3"/>
    <s v="Medical"/>
    <n v="0"/>
    <n v="0"/>
    <n v="1"/>
    <n v="0"/>
    <n v="0"/>
    <n v="3"/>
    <s v="Female"/>
    <n v="1"/>
    <n v="40"/>
    <n v="3"/>
    <n v="3"/>
    <s v="Research Director"/>
    <n v="0"/>
    <n v="0"/>
    <n v="0"/>
    <n v="0"/>
    <n v="0"/>
    <n v="0"/>
    <n v="0"/>
    <n v="0"/>
    <n v="3"/>
    <s v="Married"/>
    <n v="0"/>
    <n v="1"/>
    <n v="11031"/>
    <n v="11031"/>
    <n v="4"/>
    <s v="No"/>
    <n v="0"/>
    <n v="20"/>
    <n v="4"/>
    <n v="3"/>
    <n v="1"/>
    <n v="13"/>
    <x v="10"/>
    <n v="2"/>
    <n v="4"/>
    <n v="11"/>
    <n v="11"/>
    <n v="7"/>
    <n v="4"/>
    <n v="4"/>
    <n v="8"/>
    <n v="8"/>
    <n v="24"/>
    <n v="0"/>
    <n v="1"/>
    <n v="0"/>
    <n v="0"/>
    <n v="0"/>
    <n v="0"/>
    <n v="1"/>
    <n v="0"/>
    <n v="0"/>
    <n v="8"/>
    <n v="0"/>
    <n v="0"/>
    <n v="13"/>
    <n v="0"/>
    <n v="0.96179062725027209"/>
    <n v="1.08652546240644"/>
    <n v="0.22110993920818819"/>
    <n v="0.65156620358080031"/>
    <n v="9.9604847176766084E-2"/>
    <n v="0.6484474368621912"/>
    <n v="0.56238451757720498"/>
  </r>
  <r>
    <n v="54"/>
    <n v="54"/>
    <s v="No"/>
    <n v="0"/>
    <s v="Travel_Rarely"/>
    <n v="0"/>
    <n v="1"/>
    <x v="1"/>
    <n v="1"/>
    <n v="0"/>
    <n v="10"/>
    <n v="10"/>
    <n v="3"/>
    <s v="Medical"/>
    <n v="0"/>
    <n v="0"/>
    <n v="1"/>
    <n v="0"/>
    <n v="0"/>
    <n v="3"/>
    <s v="Female"/>
    <n v="1"/>
    <n v="77"/>
    <n v="3"/>
    <n v="2"/>
    <s v="Manufacturing Director"/>
    <n v="0"/>
    <n v="0"/>
    <n v="0"/>
    <n v="0"/>
    <n v="1"/>
    <n v="1"/>
    <n v="0"/>
    <n v="0"/>
    <n v="1"/>
    <s v="Single"/>
    <n v="1"/>
    <n v="0"/>
    <n v="4440"/>
    <n v="4440"/>
    <n v="6"/>
    <s v="Yes"/>
    <n v="1"/>
    <n v="19"/>
    <n v="3"/>
    <n v="4"/>
    <n v="0"/>
    <n v="9"/>
    <x v="14"/>
    <n v="3"/>
    <n v="3"/>
    <n v="5"/>
    <n v="5"/>
    <n v="2"/>
    <n v="1"/>
    <n v="1"/>
    <n v="4"/>
    <n v="4"/>
    <n v="8"/>
    <n v="1"/>
    <n v="0"/>
    <n v="0"/>
    <n v="0"/>
    <n v="0"/>
    <n v="1"/>
    <n v="0"/>
    <n v="0"/>
    <n v="0"/>
    <n v="4"/>
    <n v="0"/>
    <n v="0"/>
    <n v="9"/>
    <n v="0"/>
    <n v="0.43817974283942529"/>
    <n v="3.4508002929560584E-2"/>
    <n v="0.29297722668510823"/>
    <n v="0.32778177112653761"/>
    <n v="9.9604847176766084E-2"/>
    <n v="1.8692383509548371"/>
    <n v="0.36858985273641137"/>
  </r>
  <r>
    <n v="24"/>
    <n v="24"/>
    <s v="No"/>
    <n v="0"/>
    <s v="Travel_Rarely"/>
    <n v="0"/>
    <n v="1"/>
    <x v="1"/>
    <n v="1"/>
    <n v="0"/>
    <n v="1"/>
    <n v="1"/>
    <n v="2"/>
    <s v="Life Sciences"/>
    <n v="1"/>
    <n v="0"/>
    <n v="0"/>
    <n v="0"/>
    <n v="0"/>
    <n v="2"/>
    <s v="Male"/>
    <n v="0"/>
    <n v="45"/>
    <n v="2"/>
    <n v="2"/>
    <s v="Healthcare Representative"/>
    <n v="1"/>
    <n v="0"/>
    <n v="0"/>
    <n v="0"/>
    <n v="0"/>
    <n v="0"/>
    <n v="0"/>
    <n v="0"/>
    <n v="3"/>
    <s v="Single"/>
    <n v="1"/>
    <n v="0"/>
    <n v="4617"/>
    <n v="4617"/>
    <n v="1"/>
    <s v="No"/>
    <n v="0"/>
    <n v="12"/>
    <n v="3"/>
    <n v="2"/>
    <n v="0"/>
    <n v="4"/>
    <x v="20"/>
    <n v="2"/>
    <n v="2"/>
    <n v="4"/>
    <n v="4"/>
    <n v="3"/>
    <n v="1"/>
    <n v="1"/>
    <n v="2"/>
    <n v="2"/>
    <n v="4"/>
    <n v="1"/>
    <n v="0"/>
    <n v="0"/>
    <n v="0"/>
    <n v="1"/>
    <n v="0"/>
    <n v="0"/>
    <n v="0"/>
    <n v="0"/>
    <n v="2"/>
    <n v="0"/>
    <n v="0"/>
    <n v="4"/>
    <n v="0"/>
    <n v="0.40058381574097646"/>
    <n v="0.59502473559756086"/>
    <n v="0.93558618405172878"/>
    <n v="0.49100643357776058"/>
    <n v="1.01056543769991"/>
    <n v="1.4146996331543302"/>
    <n v="0.36858985273641137"/>
  </r>
  <r>
    <n v="23"/>
    <n v="23"/>
    <s v="No"/>
    <n v="0"/>
    <s v="Travel_Rarely"/>
    <n v="0"/>
    <n v="1"/>
    <x v="1"/>
    <n v="1"/>
    <n v="0"/>
    <n v="12"/>
    <n v="12"/>
    <n v="2"/>
    <s v="Other"/>
    <n v="0"/>
    <n v="1"/>
    <n v="0"/>
    <n v="0"/>
    <n v="0"/>
    <n v="4"/>
    <s v="Male"/>
    <n v="0"/>
    <n v="78"/>
    <n v="3"/>
    <n v="1"/>
    <s v="Laboratory Technician"/>
    <n v="0"/>
    <n v="0"/>
    <n v="1"/>
    <n v="0"/>
    <n v="0"/>
    <n v="0"/>
    <n v="0"/>
    <n v="0"/>
    <n v="4"/>
    <s v="Single"/>
    <n v="1"/>
    <n v="0"/>
    <n v="2647"/>
    <n v="2647"/>
    <n v="1"/>
    <s v="No"/>
    <n v="0"/>
    <n v="13"/>
    <n v="3"/>
    <n v="3"/>
    <n v="0"/>
    <n v="5"/>
    <x v="7"/>
    <n v="6"/>
    <n v="4"/>
    <n v="5"/>
    <n v="5"/>
    <n v="2"/>
    <n v="1"/>
    <n v="1"/>
    <n v="4"/>
    <n v="4"/>
    <n v="4"/>
    <n v="1"/>
    <n v="0"/>
    <n v="0"/>
    <n v="0"/>
    <n v="1"/>
    <n v="0"/>
    <n v="0"/>
    <n v="0"/>
    <n v="0"/>
    <n v="4"/>
    <n v="0"/>
    <n v="0"/>
    <n v="5"/>
    <n v="0"/>
    <n v="0.81902436028303438"/>
    <n v="3.4508002929560584E-2"/>
    <n v="0.80706439257840468"/>
    <n v="0.32778177112653761"/>
    <n v="0.3463093549271386"/>
    <n v="1.5241642326246359"/>
    <n v="0.36858985273641137"/>
  </r>
  <r>
    <n v="40"/>
    <n v="40"/>
    <s v="No"/>
    <n v="0"/>
    <s v="Travel_Frequently"/>
    <n v="1"/>
    <n v="0"/>
    <x v="1"/>
    <n v="1"/>
    <n v="0"/>
    <n v="11"/>
    <n v="11"/>
    <n v="3"/>
    <s v="Technical Degree"/>
    <n v="0"/>
    <n v="0"/>
    <n v="0"/>
    <n v="0"/>
    <n v="1"/>
    <n v="4"/>
    <s v="Female"/>
    <n v="1"/>
    <n v="73"/>
    <n v="3"/>
    <n v="2"/>
    <s v="Laboratory Technician"/>
    <n v="0"/>
    <n v="0"/>
    <n v="1"/>
    <n v="0"/>
    <n v="0"/>
    <n v="0"/>
    <n v="0"/>
    <n v="0"/>
    <n v="3"/>
    <s v="Married"/>
    <n v="0"/>
    <n v="1"/>
    <n v="6323"/>
    <n v="6323"/>
    <n v="1"/>
    <s v="No"/>
    <n v="0"/>
    <n v="11"/>
    <n v="3"/>
    <n v="1"/>
    <n v="1"/>
    <n v="10"/>
    <x v="1"/>
    <n v="2"/>
    <n v="4"/>
    <n v="10"/>
    <n v="10"/>
    <n v="9"/>
    <n v="9"/>
    <n v="9"/>
    <n v="4"/>
    <n v="4"/>
    <n v="8"/>
    <n v="0"/>
    <n v="0"/>
    <n v="0"/>
    <n v="1"/>
    <n v="0"/>
    <n v="0"/>
    <n v="1"/>
    <n v="0"/>
    <n v="0"/>
    <n v="4"/>
    <n v="0"/>
    <n v="0"/>
    <n v="10"/>
    <n v="0"/>
    <n v="3.8218552294910016E-2"/>
    <n v="3.4508002929560584E-2"/>
    <n v="0.1644554352117841"/>
    <n v="0.48834154112957734"/>
    <n v="0.22295710105195232"/>
    <n v="0.33673395837055903"/>
    <n v="2.114008468099899"/>
  </r>
  <r>
    <n v="40"/>
    <n v="40"/>
    <s v="No"/>
    <n v="0"/>
    <s v="Travel_Rarely"/>
    <n v="0"/>
    <n v="1"/>
    <x v="0"/>
    <n v="0"/>
    <n v="1"/>
    <n v="2"/>
    <n v="2"/>
    <n v="2"/>
    <s v="Marketing"/>
    <n v="0"/>
    <n v="0"/>
    <n v="0"/>
    <n v="1"/>
    <n v="0"/>
    <n v="2"/>
    <s v="Female"/>
    <n v="1"/>
    <n v="92"/>
    <n v="3"/>
    <n v="2"/>
    <s v="Sales Executive"/>
    <n v="0"/>
    <n v="1"/>
    <n v="0"/>
    <n v="0"/>
    <n v="0"/>
    <n v="0"/>
    <n v="0"/>
    <n v="0"/>
    <n v="2"/>
    <s v="Married"/>
    <n v="0"/>
    <n v="1"/>
    <n v="5677"/>
    <n v="5677"/>
    <n v="3"/>
    <s v="No"/>
    <n v="0"/>
    <n v="14"/>
    <n v="3"/>
    <n v="3"/>
    <n v="1"/>
    <n v="15"/>
    <x v="19"/>
    <n v="4"/>
    <n v="3"/>
    <n v="11"/>
    <n v="11"/>
    <n v="8"/>
    <n v="5"/>
    <n v="5"/>
    <n v="10"/>
    <n v="10"/>
    <n v="20"/>
    <n v="0"/>
    <n v="1"/>
    <n v="0"/>
    <n v="0"/>
    <n v="0"/>
    <n v="0"/>
    <n v="1"/>
    <n v="0"/>
    <n v="0"/>
    <n v="0"/>
    <n v="10"/>
    <n v="0"/>
    <n v="0"/>
    <n v="15"/>
    <n v="0.17543306588585897"/>
    <n v="1.6470421950744405"/>
    <n v="0.47815352215483642"/>
    <n v="0.65156620358080031"/>
    <n v="0.88721318382472392"/>
    <n v="0.33673395837055903"/>
    <n v="0.87270930768174382"/>
  </r>
  <r>
    <n v="25"/>
    <n v="25"/>
    <s v="No"/>
    <n v="0"/>
    <s v="Travel_Rarely"/>
    <n v="0"/>
    <n v="1"/>
    <x v="2"/>
    <n v="0"/>
    <n v="0"/>
    <n v="2"/>
    <n v="2"/>
    <n v="3"/>
    <s v="Human Resources"/>
    <n v="0"/>
    <n v="0"/>
    <n v="0"/>
    <n v="0"/>
    <n v="0"/>
    <n v="3"/>
    <s v="Female"/>
    <n v="1"/>
    <n v="82"/>
    <n v="3"/>
    <n v="1"/>
    <s v="Human Resources"/>
    <n v="0"/>
    <n v="0"/>
    <n v="0"/>
    <n v="0"/>
    <n v="0"/>
    <n v="0"/>
    <n v="0"/>
    <n v="0"/>
    <n v="2"/>
    <s v="Married"/>
    <n v="0"/>
    <n v="1"/>
    <n v="2187"/>
    <n v="2187"/>
    <n v="4"/>
    <s v="No"/>
    <n v="0"/>
    <n v="14"/>
    <n v="3"/>
    <n v="3"/>
    <n v="0"/>
    <n v="6"/>
    <x v="3"/>
    <n v="3"/>
    <n v="3"/>
    <n v="2"/>
    <n v="2"/>
    <n v="0"/>
    <n v="1"/>
    <n v="1"/>
    <n v="2"/>
    <n v="2"/>
    <n v="2"/>
    <n v="0"/>
    <n v="1"/>
    <n v="0"/>
    <n v="0"/>
    <n v="0"/>
    <n v="0"/>
    <n v="1"/>
    <n v="0"/>
    <n v="2"/>
    <n v="0"/>
    <n v="0"/>
    <n v="6"/>
    <n v="0"/>
    <n v="0"/>
    <n v="0.9167312894654438"/>
    <n v="0.59502473559756086"/>
    <n v="0.67854260110508058"/>
    <n v="0.81745575848020657"/>
    <n v="0.88721318382472392"/>
    <n v="1.3052350336840246"/>
    <n v="0.36858985273641137"/>
  </r>
  <r>
    <n v="30"/>
    <n v="30"/>
    <s v="No"/>
    <n v="0"/>
    <s v="Travel_Rarely"/>
    <n v="0"/>
    <n v="1"/>
    <x v="1"/>
    <n v="1"/>
    <n v="0"/>
    <n v="1"/>
    <n v="1"/>
    <n v="2"/>
    <s v="Medical"/>
    <n v="0"/>
    <n v="0"/>
    <n v="1"/>
    <n v="0"/>
    <n v="0"/>
    <n v="4"/>
    <s v="Male"/>
    <n v="0"/>
    <n v="76"/>
    <n v="3"/>
    <n v="1"/>
    <s v="Laboratory Technician"/>
    <n v="0"/>
    <n v="0"/>
    <n v="1"/>
    <n v="0"/>
    <n v="0"/>
    <n v="0"/>
    <n v="0"/>
    <n v="0"/>
    <n v="2"/>
    <s v="Married"/>
    <n v="0"/>
    <n v="1"/>
    <n v="3748"/>
    <n v="3748"/>
    <n v="1"/>
    <s v="No"/>
    <n v="0"/>
    <n v="13"/>
    <n v="3"/>
    <n v="3"/>
    <n v="0"/>
    <n v="12"/>
    <x v="4"/>
    <n v="6"/>
    <n v="2"/>
    <n v="12"/>
    <n v="12"/>
    <n v="8"/>
    <n v="1"/>
    <n v="1"/>
    <n v="7"/>
    <n v="7"/>
    <n v="7"/>
    <n v="0"/>
    <n v="1"/>
    <n v="0"/>
    <n v="0"/>
    <n v="0"/>
    <n v="0"/>
    <n v="1"/>
    <n v="0"/>
    <n v="0"/>
    <n v="7"/>
    <n v="0"/>
    <n v="0"/>
    <n v="12"/>
    <n v="0"/>
    <n v="0.58516494934861518"/>
    <n v="0.80626709607243985"/>
    <n v="9.2588147734864096E-2"/>
    <n v="0.81479086603202333"/>
    <n v="1.01056543769991"/>
    <n v="0.75791203633249671"/>
    <n v="0.36858985273641137"/>
  </r>
  <r>
    <n v="25"/>
    <n v="25"/>
    <s v="No"/>
    <n v="0"/>
    <s v="Travel_Rarely"/>
    <n v="0"/>
    <n v="1"/>
    <x v="1"/>
    <n v="1"/>
    <n v="0"/>
    <n v="2"/>
    <n v="2"/>
    <n v="1"/>
    <s v="Other"/>
    <n v="0"/>
    <n v="1"/>
    <n v="0"/>
    <n v="0"/>
    <n v="0"/>
    <n v="4"/>
    <s v="Male"/>
    <n v="0"/>
    <n v="57"/>
    <n v="3"/>
    <n v="1"/>
    <s v="Laboratory Technician"/>
    <n v="0"/>
    <n v="0"/>
    <n v="1"/>
    <n v="0"/>
    <n v="0"/>
    <n v="0"/>
    <n v="0"/>
    <n v="0"/>
    <n v="3"/>
    <s v="Divorced"/>
    <n v="0"/>
    <n v="0"/>
    <n v="3977"/>
    <n v="3977"/>
    <n v="6"/>
    <s v="Yes"/>
    <n v="1"/>
    <n v="19"/>
    <n v="3"/>
    <n v="3"/>
    <n v="1"/>
    <n v="7"/>
    <x v="2"/>
    <n v="2"/>
    <n v="2"/>
    <n v="2"/>
    <n v="2"/>
    <n v="2"/>
    <n v="0"/>
    <n v="0"/>
    <n v="2"/>
    <n v="2"/>
    <n v="2"/>
    <n v="1"/>
    <n v="0"/>
    <n v="0"/>
    <n v="0"/>
    <n v="0"/>
    <n v="1"/>
    <n v="0"/>
    <n v="0"/>
    <n v="0"/>
    <n v="2"/>
    <n v="0"/>
    <n v="0"/>
    <n v="7"/>
    <n v="0"/>
    <n v="0.53652389112519827"/>
    <n v="0.59502473559756086"/>
    <n v="0.55002080963175637"/>
    <n v="0.81745575848020657"/>
    <n v="0.88721318382472392"/>
    <n v="1.3052350336840246"/>
    <n v="0.67891464284095016"/>
  </r>
  <r>
    <n v="47"/>
    <n v="47"/>
    <s v="No"/>
    <n v="0"/>
    <s v="Travel_Rarely"/>
    <n v="0"/>
    <n v="1"/>
    <x v="1"/>
    <n v="1"/>
    <n v="0"/>
    <n v="25"/>
    <n v="25"/>
    <n v="3"/>
    <s v="Medical"/>
    <n v="0"/>
    <n v="0"/>
    <n v="1"/>
    <n v="0"/>
    <n v="0"/>
    <n v="1"/>
    <s v="Male"/>
    <n v="0"/>
    <n v="84"/>
    <n v="3"/>
    <n v="3"/>
    <s v="Healthcare Representative"/>
    <n v="1"/>
    <n v="0"/>
    <n v="0"/>
    <n v="0"/>
    <n v="0"/>
    <n v="0"/>
    <n v="0"/>
    <n v="0"/>
    <n v="3"/>
    <s v="Single"/>
    <n v="1"/>
    <n v="0"/>
    <n v="8633"/>
    <n v="8633"/>
    <n v="2"/>
    <s v="No"/>
    <n v="0"/>
    <n v="23"/>
    <n v="4"/>
    <n v="2"/>
    <n v="0"/>
    <n v="25"/>
    <x v="24"/>
    <n v="3"/>
    <n v="3"/>
    <n v="17"/>
    <n v="17"/>
    <n v="14"/>
    <n v="12"/>
    <n v="12"/>
    <n v="11"/>
    <n v="11"/>
    <n v="33"/>
    <n v="1"/>
    <n v="0"/>
    <n v="0"/>
    <n v="0"/>
    <n v="1"/>
    <n v="0"/>
    <n v="0"/>
    <n v="0"/>
    <n v="0"/>
    <n v="11"/>
    <n v="0"/>
    <n v="0"/>
    <n v="25"/>
    <n v="0"/>
    <n v="0.4524401572950158"/>
    <n v="1.9273005614084406"/>
    <n v="1.7633714368880775"/>
    <n v="1.630914178288138"/>
    <n v="1.9498886553045598"/>
    <n v="1.102986154662698"/>
    <n v="3.0449828384135156"/>
  </r>
  <r>
    <n v="33"/>
    <n v="33"/>
    <s v="No"/>
    <n v="0"/>
    <s v="Non-Travel"/>
    <n v="0"/>
    <n v="0"/>
    <x v="1"/>
    <n v="1"/>
    <n v="0"/>
    <n v="1"/>
    <n v="1"/>
    <n v="2"/>
    <s v="Medical"/>
    <n v="0"/>
    <n v="0"/>
    <n v="1"/>
    <n v="0"/>
    <n v="0"/>
    <n v="2"/>
    <s v="Male"/>
    <n v="0"/>
    <n v="59"/>
    <n v="2"/>
    <n v="1"/>
    <s v="Laboratory Technician"/>
    <n v="0"/>
    <n v="0"/>
    <n v="1"/>
    <n v="0"/>
    <n v="0"/>
    <n v="0"/>
    <n v="0"/>
    <n v="0"/>
    <n v="3"/>
    <s v="Divorced"/>
    <n v="0"/>
    <n v="0"/>
    <n v="2008"/>
    <n v="2008"/>
    <n v="1"/>
    <s v="No"/>
    <n v="0"/>
    <n v="12"/>
    <n v="3"/>
    <n v="3"/>
    <n v="3"/>
    <n v="1"/>
    <x v="5"/>
    <n v="2"/>
    <n v="2"/>
    <n v="1"/>
    <n v="1"/>
    <n v="1"/>
    <n v="0"/>
    <n v="0"/>
    <n v="0"/>
    <n v="0"/>
    <n v="0"/>
    <n v="1"/>
    <n v="0"/>
    <n v="0"/>
    <n v="0"/>
    <n v="1"/>
    <n v="0"/>
    <n v="0"/>
    <n v="0"/>
    <n v="0"/>
    <n v="0"/>
    <n v="0"/>
    <n v="0"/>
    <n v="1"/>
    <n v="0"/>
    <n v="0.95475202929946845"/>
    <n v="1.1555414682655611"/>
    <n v="1.3211515584717011"/>
    <n v="0.9806804209314296"/>
    <n v="1.01056543769991"/>
    <n v="0.42951823792158"/>
    <n v="0.67891464284095016"/>
  </r>
  <r>
    <n v="38"/>
    <n v="38"/>
    <s v="No"/>
    <n v="0"/>
    <s v="Travel_Rarely"/>
    <n v="0"/>
    <n v="1"/>
    <x v="0"/>
    <n v="0"/>
    <n v="1"/>
    <n v="1"/>
    <n v="1"/>
    <n v="4"/>
    <s v="Life Sciences"/>
    <n v="1"/>
    <n v="0"/>
    <n v="0"/>
    <n v="0"/>
    <n v="0"/>
    <n v="4"/>
    <s v="Male"/>
    <n v="0"/>
    <n v="86"/>
    <n v="3"/>
    <n v="2"/>
    <s v="Sales Executive"/>
    <n v="0"/>
    <n v="1"/>
    <n v="0"/>
    <n v="0"/>
    <n v="0"/>
    <n v="0"/>
    <n v="0"/>
    <n v="0"/>
    <n v="2"/>
    <s v="Married"/>
    <n v="0"/>
    <n v="1"/>
    <n v="4440"/>
    <n v="4440"/>
    <n v="0"/>
    <s v="No"/>
    <n v="0"/>
    <n v="15"/>
    <n v="3"/>
    <n v="1"/>
    <n v="2"/>
    <n v="16"/>
    <x v="27"/>
    <n v="3"/>
    <n v="3"/>
    <n v="15"/>
    <n v="15"/>
    <n v="13"/>
    <n v="5"/>
    <n v="5"/>
    <n v="8"/>
    <n v="8"/>
    <n v="16"/>
    <n v="0"/>
    <n v="1"/>
    <n v="0"/>
    <n v="0"/>
    <n v="0"/>
    <n v="0"/>
    <n v="1"/>
    <n v="0"/>
    <n v="0"/>
    <n v="0"/>
    <n v="8"/>
    <n v="0"/>
    <n v="0"/>
    <n v="16"/>
    <n v="0.43817974283942529"/>
    <n v="1.08652546240644"/>
    <n v="0.60667531362816052"/>
    <n v="1.3044648533856922"/>
    <n v="1.01056543769991"/>
    <n v="0.11780475942994788"/>
    <n v="0.87270930768174382"/>
  </r>
  <r>
    <n v="31"/>
    <n v="31"/>
    <s v="No"/>
    <n v="0"/>
    <s v="Travel_Rarely"/>
    <n v="0"/>
    <n v="1"/>
    <x v="0"/>
    <n v="0"/>
    <n v="1"/>
    <n v="2"/>
    <n v="2"/>
    <n v="2"/>
    <s v="Life Sciences"/>
    <n v="1"/>
    <n v="0"/>
    <n v="0"/>
    <n v="0"/>
    <n v="0"/>
    <n v="1"/>
    <s v="Male"/>
    <n v="0"/>
    <n v="54"/>
    <n v="3"/>
    <n v="1"/>
    <s v="Sales Representative"/>
    <n v="0"/>
    <n v="0"/>
    <n v="0"/>
    <n v="0"/>
    <n v="0"/>
    <n v="0"/>
    <n v="1"/>
    <n v="0"/>
    <n v="3"/>
    <s v="Married"/>
    <n v="0"/>
    <n v="1"/>
    <n v="3067"/>
    <n v="3067"/>
    <n v="0"/>
    <s v="No"/>
    <n v="0"/>
    <n v="19"/>
    <n v="3"/>
    <n v="3"/>
    <n v="1"/>
    <n v="3"/>
    <x v="8"/>
    <n v="1"/>
    <n v="3"/>
    <n v="2"/>
    <n v="2"/>
    <n v="2"/>
    <n v="1"/>
    <n v="1"/>
    <n v="2"/>
    <n v="2"/>
    <n v="2"/>
    <n v="0"/>
    <n v="1"/>
    <n v="0"/>
    <n v="0"/>
    <n v="0"/>
    <n v="0"/>
    <n v="1"/>
    <n v="0"/>
    <n v="0"/>
    <n v="0"/>
    <n v="2"/>
    <n v="0"/>
    <n v="0"/>
    <n v="3"/>
    <n v="0.72981368581213879"/>
    <n v="0.59502473559756086"/>
    <n v="1.0641079755250529"/>
    <n v="0.81745575848020657"/>
    <n v="0.88721318382472392"/>
    <n v="0.6484474368621912"/>
    <n v="0.36858985273641137"/>
  </r>
  <r>
    <n v="38"/>
    <n v="38"/>
    <s v="No"/>
    <n v="0"/>
    <s v="Travel_Frequently"/>
    <n v="1"/>
    <n v="0"/>
    <x v="1"/>
    <n v="1"/>
    <n v="0"/>
    <n v="6"/>
    <n v="6"/>
    <n v="4"/>
    <s v="Life Sciences"/>
    <n v="1"/>
    <n v="0"/>
    <n v="0"/>
    <n v="0"/>
    <n v="0"/>
    <n v="1"/>
    <s v="Male"/>
    <n v="0"/>
    <n v="72"/>
    <n v="2"/>
    <n v="2"/>
    <s v="Manufacturing Director"/>
    <n v="0"/>
    <n v="0"/>
    <n v="0"/>
    <n v="0"/>
    <n v="1"/>
    <n v="1"/>
    <n v="0"/>
    <n v="0"/>
    <n v="3"/>
    <s v="Married"/>
    <n v="0"/>
    <n v="1"/>
    <n v="5321"/>
    <n v="5321"/>
    <n v="2"/>
    <s v="No"/>
    <n v="0"/>
    <n v="11"/>
    <n v="3"/>
    <n v="4"/>
    <n v="1"/>
    <n v="10"/>
    <x v="1"/>
    <n v="1"/>
    <n v="3"/>
    <n v="8"/>
    <n v="8"/>
    <n v="3"/>
    <n v="7"/>
    <n v="7"/>
    <n v="7"/>
    <n v="7"/>
    <n v="14"/>
    <n v="0"/>
    <n v="0"/>
    <n v="0"/>
    <n v="1"/>
    <n v="0"/>
    <n v="0"/>
    <n v="1"/>
    <n v="0"/>
    <n v="0"/>
    <n v="7"/>
    <n v="0"/>
    <n v="0"/>
    <n v="10"/>
    <n v="0"/>
    <n v="0.25104973281833237"/>
    <n v="0.80626709607243985"/>
    <n v="0.1644554352117841"/>
    <n v="0.16189221622713135"/>
    <n v="0.39380416832397891"/>
    <n v="0.11780475942994788"/>
    <n v="1.4933588878908215"/>
  </r>
  <r>
    <n v="42"/>
    <n v="42"/>
    <s v="No"/>
    <n v="0"/>
    <s v="Travel_Rarely"/>
    <n v="0"/>
    <n v="1"/>
    <x v="1"/>
    <n v="1"/>
    <n v="0"/>
    <n v="18"/>
    <n v="18"/>
    <n v="4"/>
    <s v="Life Sciences"/>
    <n v="1"/>
    <n v="0"/>
    <n v="0"/>
    <n v="0"/>
    <n v="0"/>
    <n v="4"/>
    <s v="Male"/>
    <n v="0"/>
    <n v="35"/>
    <n v="3"/>
    <n v="2"/>
    <s v="Research Scientist"/>
    <n v="0"/>
    <n v="0"/>
    <n v="0"/>
    <n v="0"/>
    <n v="0"/>
    <n v="0"/>
    <n v="0"/>
    <n v="1"/>
    <n v="1"/>
    <s v="Divorced"/>
    <n v="0"/>
    <n v="0"/>
    <n v="5410"/>
    <n v="5410"/>
    <n v="6"/>
    <s v="Yes"/>
    <n v="1"/>
    <n v="17"/>
    <n v="3"/>
    <n v="3"/>
    <n v="1"/>
    <n v="9"/>
    <x v="14"/>
    <n v="3"/>
    <n v="2"/>
    <n v="4"/>
    <n v="4"/>
    <n v="3"/>
    <n v="1"/>
    <n v="1"/>
    <n v="2"/>
    <n v="2"/>
    <n v="4"/>
    <n v="1"/>
    <n v="0"/>
    <n v="0"/>
    <n v="0"/>
    <n v="0"/>
    <n v="1"/>
    <n v="0"/>
    <n v="0"/>
    <n v="0"/>
    <n v="2"/>
    <n v="0"/>
    <n v="0"/>
    <n v="9"/>
    <n v="0"/>
    <n v="0.23214556608521403"/>
    <n v="0.59502473559756086"/>
    <n v="0.29297722668510823"/>
    <n v="0.49100643357776058"/>
    <n v="1.0864228781782561"/>
    <n v="0.55566315731117022"/>
    <n v="0.36858985273641137"/>
  </r>
  <r>
    <n v="41"/>
    <n v="41"/>
    <s v="No"/>
    <n v="0"/>
    <s v="Travel_Rarely"/>
    <n v="0"/>
    <n v="1"/>
    <x v="1"/>
    <n v="1"/>
    <n v="0"/>
    <n v="1"/>
    <n v="1"/>
    <n v="3"/>
    <s v="Life Sciences"/>
    <n v="1"/>
    <n v="0"/>
    <n v="0"/>
    <n v="0"/>
    <n v="0"/>
    <n v="4"/>
    <s v="Male"/>
    <n v="0"/>
    <n v="76"/>
    <n v="3"/>
    <n v="1"/>
    <s v="Research Scientist"/>
    <n v="0"/>
    <n v="0"/>
    <n v="0"/>
    <n v="0"/>
    <n v="0"/>
    <n v="0"/>
    <n v="0"/>
    <n v="1"/>
    <n v="4"/>
    <s v="Married"/>
    <n v="0"/>
    <n v="1"/>
    <n v="2782"/>
    <n v="2782"/>
    <n v="3"/>
    <s v="No"/>
    <n v="0"/>
    <n v="22"/>
    <n v="4"/>
    <n v="1"/>
    <n v="1"/>
    <n v="12"/>
    <x v="4"/>
    <n v="3"/>
    <n v="3"/>
    <n v="5"/>
    <n v="5"/>
    <n v="3"/>
    <n v="1"/>
    <n v="1"/>
    <n v="0"/>
    <n v="0"/>
    <n v="0"/>
    <n v="0"/>
    <n v="1"/>
    <n v="0"/>
    <n v="0"/>
    <n v="0"/>
    <n v="0"/>
    <n v="1"/>
    <n v="0"/>
    <n v="0"/>
    <n v="0"/>
    <n v="0"/>
    <n v="0"/>
    <n v="12"/>
    <n v="0"/>
    <n v="0.79034950063167508"/>
    <n v="1.1555414682655611"/>
    <n v="9.2588147734864096E-2"/>
    <n v="0.32778177112653761"/>
    <n v="1.01056543769991"/>
    <n v="0.4461985578408646"/>
    <n v="0.36858985273641137"/>
  </r>
  <r>
    <n v="47"/>
    <n v="47"/>
    <s v="No"/>
    <n v="0"/>
    <s v="Non-Travel"/>
    <n v="0"/>
    <n v="0"/>
    <x v="1"/>
    <n v="1"/>
    <n v="0"/>
    <n v="1"/>
    <n v="1"/>
    <n v="1"/>
    <s v="Medical"/>
    <n v="0"/>
    <n v="0"/>
    <n v="1"/>
    <n v="0"/>
    <n v="0"/>
    <n v="3"/>
    <s v="Female"/>
    <n v="1"/>
    <n v="98"/>
    <n v="3"/>
    <n v="3"/>
    <s v="Research Director"/>
    <n v="0"/>
    <n v="0"/>
    <n v="0"/>
    <n v="0"/>
    <n v="0"/>
    <n v="0"/>
    <n v="0"/>
    <n v="0"/>
    <n v="2"/>
    <s v="Married"/>
    <n v="0"/>
    <n v="1"/>
    <n v="11957"/>
    <n v="11957"/>
    <n v="0"/>
    <s v="No"/>
    <n v="0"/>
    <n v="18"/>
    <n v="3"/>
    <n v="1"/>
    <n v="2"/>
    <n v="14"/>
    <x v="18"/>
    <n v="3"/>
    <n v="1"/>
    <n v="13"/>
    <n v="13"/>
    <n v="8"/>
    <n v="5"/>
    <n v="5"/>
    <n v="12"/>
    <n v="12"/>
    <n v="36"/>
    <n v="0"/>
    <n v="1"/>
    <n v="0"/>
    <n v="0"/>
    <n v="0"/>
    <n v="0"/>
    <n v="1"/>
    <n v="0"/>
    <n v="0"/>
    <n v="12"/>
    <n v="0"/>
    <n v="0"/>
    <n v="14"/>
    <n v="0"/>
    <n v="1.1584789238218181"/>
    <n v="2.2075589277424408"/>
    <n v="0.34963173068151232"/>
    <n v="0.97801552848324624"/>
    <n v="1.01056543769991"/>
    <n v="1.102986154662698"/>
    <n v="0.87270930768174382"/>
  </r>
  <r>
    <n v="35"/>
    <n v="35"/>
    <s v="No"/>
    <n v="0"/>
    <s v="Travel_Rarely"/>
    <n v="0"/>
    <n v="1"/>
    <x v="1"/>
    <n v="1"/>
    <n v="0"/>
    <n v="11"/>
    <n v="11"/>
    <n v="4"/>
    <s v="Medical"/>
    <n v="0"/>
    <n v="0"/>
    <n v="1"/>
    <n v="0"/>
    <n v="0"/>
    <n v="4"/>
    <s v="Male"/>
    <n v="0"/>
    <n v="43"/>
    <n v="3"/>
    <n v="1"/>
    <s v="Laboratory Technician"/>
    <n v="0"/>
    <n v="0"/>
    <n v="1"/>
    <n v="0"/>
    <n v="0"/>
    <n v="0"/>
    <n v="0"/>
    <n v="0"/>
    <n v="3"/>
    <s v="Married"/>
    <n v="0"/>
    <n v="1"/>
    <n v="2660"/>
    <n v="2660"/>
    <n v="7"/>
    <s v="Yes"/>
    <n v="1"/>
    <n v="11"/>
    <n v="3"/>
    <n v="3"/>
    <n v="1"/>
    <n v="5"/>
    <x v="7"/>
    <n v="3"/>
    <n v="3"/>
    <n v="2"/>
    <n v="2"/>
    <n v="2"/>
    <n v="2"/>
    <n v="2"/>
    <n v="2"/>
    <n v="2"/>
    <n v="2"/>
    <n v="0"/>
    <n v="1"/>
    <n v="0"/>
    <n v="0"/>
    <n v="0"/>
    <n v="0"/>
    <n v="0"/>
    <n v="1"/>
    <n v="0"/>
    <n v="2"/>
    <n v="0"/>
    <n v="0"/>
    <n v="5"/>
    <n v="0"/>
    <n v="0.81626307750179239"/>
    <n v="0.59502473559756086"/>
    <n v="0.80706439257840468"/>
    <n v="0.81745575848020657"/>
    <n v="0.22295710105195232"/>
    <n v="0.21058903898096887"/>
    <n v="5.8265062631872602E-2"/>
  </r>
  <r>
    <n v="22"/>
    <n v="22"/>
    <s v="No"/>
    <n v="0"/>
    <s v="Travel_Rarely"/>
    <n v="0"/>
    <n v="1"/>
    <x v="1"/>
    <n v="1"/>
    <n v="0"/>
    <n v="1"/>
    <n v="1"/>
    <n v="2"/>
    <s v="Life Sciences"/>
    <n v="1"/>
    <n v="0"/>
    <n v="0"/>
    <n v="0"/>
    <n v="0"/>
    <n v="4"/>
    <s v="Male"/>
    <n v="0"/>
    <n v="63"/>
    <n v="3"/>
    <n v="1"/>
    <s v="Research Scientist"/>
    <n v="0"/>
    <n v="0"/>
    <n v="0"/>
    <n v="0"/>
    <n v="0"/>
    <n v="0"/>
    <n v="0"/>
    <n v="1"/>
    <n v="3"/>
    <s v="Single"/>
    <n v="1"/>
    <n v="0"/>
    <n v="3375"/>
    <n v="3375"/>
    <n v="0"/>
    <s v="No"/>
    <n v="0"/>
    <n v="12"/>
    <n v="3"/>
    <n v="4"/>
    <n v="0"/>
    <n v="4"/>
    <x v="20"/>
    <n v="2"/>
    <n v="4"/>
    <n v="3"/>
    <n v="3"/>
    <n v="2"/>
    <n v="1"/>
    <n v="1"/>
    <n v="2"/>
    <n v="2"/>
    <n v="2"/>
    <n v="1"/>
    <n v="0"/>
    <n v="0"/>
    <n v="0"/>
    <n v="1"/>
    <n v="0"/>
    <n v="0"/>
    <n v="0"/>
    <n v="0"/>
    <n v="2"/>
    <n v="0"/>
    <n v="0"/>
    <n v="4"/>
    <n v="0"/>
    <n v="0.66439252453348197"/>
    <n v="0.59502473559756086"/>
    <n v="0.93558618405172878"/>
    <n v="0.65423109602898355"/>
    <n v="1.01056543769991"/>
    <n v="1.6336288320949415"/>
    <n v="0.36858985273641137"/>
  </r>
  <r>
    <n v="35"/>
    <n v="35"/>
    <s v="No"/>
    <n v="0"/>
    <s v="Travel_Rarely"/>
    <n v="0"/>
    <n v="1"/>
    <x v="1"/>
    <n v="1"/>
    <n v="0"/>
    <n v="9"/>
    <n v="9"/>
    <n v="4"/>
    <s v="Medical"/>
    <n v="0"/>
    <n v="0"/>
    <n v="1"/>
    <n v="0"/>
    <n v="0"/>
    <n v="2"/>
    <s v="Male"/>
    <n v="0"/>
    <n v="48"/>
    <n v="3"/>
    <n v="2"/>
    <s v="Research Scientist"/>
    <n v="0"/>
    <n v="0"/>
    <n v="0"/>
    <n v="0"/>
    <n v="0"/>
    <n v="0"/>
    <n v="0"/>
    <n v="1"/>
    <n v="3"/>
    <s v="Single"/>
    <n v="1"/>
    <n v="0"/>
    <n v="5098"/>
    <n v="5098"/>
    <n v="1"/>
    <s v="No"/>
    <n v="0"/>
    <n v="19"/>
    <n v="3"/>
    <n v="2"/>
    <n v="0"/>
    <n v="10"/>
    <x v="1"/>
    <n v="5"/>
    <n v="3"/>
    <n v="10"/>
    <n v="10"/>
    <n v="7"/>
    <n v="0"/>
    <n v="0"/>
    <n v="8"/>
    <n v="8"/>
    <n v="16"/>
    <n v="1"/>
    <n v="0"/>
    <n v="0"/>
    <n v="0"/>
    <n v="1"/>
    <n v="0"/>
    <n v="0"/>
    <n v="0"/>
    <n v="0"/>
    <n v="8"/>
    <n v="0"/>
    <n v="0"/>
    <n v="10"/>
    <n v="0"/>
    <n v="0.29841635283502221"/>
    <n v="1.08652546240644"/>
    <n v="0.1644554352117841"/>
    <n v="0.48834154112957734"/>
    <n v="2.3747406698420157E-2"/>
    <n v="0.21058903898096887"/>
    <n v="0.67891464284095016"/>
  </r>
  <r>
    <n v="33"/>
    <n v="33"/>
    <s v="No"/>
    <n v="0"/>
    <s v="Travel_Rarely"/>
    <n v="0"/>
    <n v="1"/>
    <x v="1"/>
    <n v="1"/>
    <n v="0"/>
    <n v="15"/>
    <n v="15"/>
    <n v="2"/>
    <s v="Medical"/>
    <n v="0"/>
    <n v="0"/>
    <n v="1"/>
    <n v="0"/>
    <n v="0"/>
    <n v="2"/>
    <s v="Female"/>
    <n v="1"/>
    <n v="95"/>
    <n v="3"/>
    <n v="2"/>
    <s v="Healthcare Representative"/>
    <n v="1"/>
    <n v="0"/>
    <n v="0"/>
    <n v="0"/>
    <n v="0"/>
    <n v="0"/>
    <n v="0"/>
    <n v="0"/>
    <n v="4"/>
    <s v="Married"/>
    <n v="0"/>
    <n v="1"/>
    <n v="4878"/>
    <n v="4878"/>
    <n v="0"/>
    <s v="Yes"/>
    <n v="1"/>
    <n v="13"/>
    <n v="3"/>
    <n v="1"/>
    <n v="1"/>
    <n v="10"/>
    <x v="1"/>
    <n v="6"/>
    <n v="3"/>
    <n v="9"/>
    <n v="9"/>
    <n v="7"/>
    <n v="8"/>
    <n v="8"/>
    <n v="1"/>
    <n v="1"/>
    <n v="2"/>
    <n v="0"/>
    <n v="1"/>
    <n v="0"/>
    <n v="0"/>
    <n v="0"/>
    <n v="0"/>
    <n v="0"/>
    <n v="1"/>
    <n v="0"/>
    <n v="1"/>
    <n v="0"/>
    <n v="0"/>
    <n v="10"/>
    <n v="0"/>
    <n v="0.34514575374834844"/>
    <n v="0.87528310193156111"/>
    <n v="0.1644554352117841"/>
    <n v="0.32511687867835437"/>
    <n v="0.71636611655269733"/>
    <n v="0.42951823792158"/>
    <n v="1.8036836779953602"/>
  </r>
  <r>
    <n v="32"/>
    <n v="32"/>
    <s v="No"/>
    <n v="0"/>
    <s v="Travel_Rarely"/>
    <n v="0"/>
    <n v="1"/>
    <x v="1"/>
    <n v="1"/>
    <n v="0"/>
    <n v="29"/>
    <n v="29"/>
    <n v="4"/>
    <s v="Life Sciences"/>
    <n v="1"/>
    <n v="0"/>
    <n v="0"/>
    <n v="0"/>
    <n v="0"/>
    <n v="3"/>
    <s v="Female"/>
    <n v="1"/>
    <n v="49"/>
    <n v="2"/>
    <n v="1"/>
    <s v="Laboratory Technician"/>
    <n v="0"/>
    <n v="0"/>
    <n v="1"/>
    <n v="0"/>
    <n v="0"/>
    <n v="0"/>
    <n v="0"/>
    <n v="0"/>
    <n v="2"/>
    <s v="Single"/>
    <n v="1"/>
    <n v="0"/>
    <n v="2837"/>
    <n v="2837"/>
    <n v="1"/>
    <s v="No"/>
    <n v="0"/>
    <n v="13"/>
    <n v="3"/>
    <n v="3"/>
    <n v="0"/>
    <n v="6"/>
    <x v="3"/>
    <n v="3"/>
    <n v="3"/>
    <n v="6"/>
    <n v="6"/>
    <n v="2"/>
    <n v="4"/>
    <n v="4"/>
    <n v="1"/>
    <n v="1"/>
    <n v="1"/>
    <n v="1"/>
    <n v="0"/>
    <n v="0"/>
    <n v="0"/>
    <n v="1"/>
    <n v="0"/>
    <n v="0"/>
    <n v="0"/>
    <n v="0"/>
    <n v="1"/>
    <n v="0"/>
    <n v="0"/>
    <n v="6"/>
    <n v="0"/>
    <n v="0.77866715040334356"/>
    <n v="0.87528310193156111"/>
    <n v="0.67854260110508058"/>
    <n v="0.16455710867531462"/>
    <n v="2.4432976708053049"/>
    <n v="0.53898283739188557"/>
    <n v="0.56238451757720498"/>
  </r>
  <r>
    <n v="40"/>
    <n v="40"/>
    <s v="No"/>
    <n v="0"/>
    <s v="Travel_Rarely"/>
    <n v="0"/>
    <n v="1"/>
    <x v="1"/>
    <n v="1"/>
    <n v="0"/>
    <n v="1"/>
    <n v="1"/>
    <n v="4"/>
    <s v="Life Sciences"/>
    <n v="1"/>
    <n v="0"/>
    <n v="0"/>
    <n v="0"/>
    <n v="0"/>
    <n v="1"/>
    <s v="Male"/>
    <n v="0"/>
    <n v="83"/>
    <n v="3"/>
    <n v="1"/>
    <s v="Laboratory Technician"/>
    <n v="0"/>
    <n v="0"/>
    <n v="1"/>
    <n v="0"/>
    <n v="0"/>
    <n v="0"/>
    <n v="0"/>
    <n v="0"/>
    <n v="4"/>
    <s v="Married"/>
    <n v="0"/>
    <n v="1"/>
    <n v="2406"/>
    <n v="2406"/>
    <n v="8"/>
    <s v="No"/>
    <n v="0"/>
    <n v="19"/>
    <n v="3"/>
    <n v="3"/>
    <n v="2"/>
    <n v="8"/>
    <x v="0"/>
    <n v="3"/>
    <n v="2"/>
    <n v="1"/>
    <n v="1"/>
    <n v="0"/>
    <n v="0"/>
    <n v="0"/>
    <n v="0"/>
    <n v="0"/>
    <n v="0"/>
    <n v="0"/>
    <n v="1"/>
    <n v="0"/>
    <n v="0"/>
    <n v="0"/>
    <n v="0"/>
    <n v="1"/>
    <n v="0"/>
    <n v="0"/>
    <n v="0"/>
    <n v="0"/>
    <n v="0"/>
    <n v="8"/>
    <n v="0"/>
    <n v="0.87021429491990543"/>
    <n v="1.1555414682655611"/>
    <n v="0.42149901815843233"/>
    <n v="0.9806804209314296"/>
    <n v="1.01056543769991"/>
    <n v="0.33673395837055903"/>
    <n v="0.67891464284095016"/>
  </r>
  <r>
    <n v="32"/>
    <n v="32"/>
    <s v="No"/>
    <n v="0"/>
    <s v="Travel_Rarely"/>
    <n v="0"/>
    <n v="1"/>
    <x v="0"/>
    <n v="0"/>
    <n v="1"/>
    <n v="1"/>
    <n v="1"/>
    <n v="4"/>
    <s v="Medical"/>
    <n v="0"/>
    <n v="0"/>
    <n v="1"/>
    <n v="0"/>
    <n v="0"/>
    <n v="2"/>
    <s v="Male"/>
    <n v="0"/>
    <n v="68"/>
    <n v="2"/>
    <n v="1"/>
    <s v="Sales Representative"/>
    <n v="0"/>
    <n v="0"/>
    <n v="0"/>
    <n v="0"/>
    <n v="0"/>
    <n v="0"/>
    <n v="1"/>
    <n v="0"/>
    <n v="2"/>
    <s v="Married"/>
    <n v="0"/>
    <n v="1"/>
    <n v="2269"/>
    <n v="2269"/>
    <n v="0"/>
    <s v="No"/>
    <n v="0"/>
    <n v="14"/>
    <n v="3"/>
    <n v="2"/>
    <n v="1"/>
    <n v="3"/>
    <x v="8"/>
    <n v="2"/>
    <n v="3"/>
    <n v="2"/>
    <n v="2"/>
    <n v="2"/>
    <n v="2"/>
    <n v="2"/>
    <n v="2"/>
    <n v="2"/>
    <n v="2"/>
    <n v="0"/>
    <n v="1"/>
    <n v="0"/>
    <n v="0"/>
    <n v="0"/>
    <n v="0"/>
    <n v="1"/>
    <n v="0"/>
    <n v="0"/>
    <n v="0"/>
    <n v="2"/>
    <n v="0"/>
    <n v="0"/>
    <n v="3"/>
    <n v="0.89931396730684043"/>
    <n v="0.59502473559756086"/>
    <n v="1.0641079755250529"/>
    <n v="0.81745575848020657"/>
    <n v="1.01056543769991"/>
    <n v="0.53898283739188557"/>
    <n v="5.8265062631872602E-2"/>
  </r>
  <r>
    <n v="39"/>
    <n v="39"/>
    <s v="No"/>
    <n v="0"/>
    <s v="Travel_Rarely"/>
    <n v="0"/>
    <n v="1"/>
    <x v="1"/>
    <n v="1"/>
    <n v="0"/>
    <n v="24"/>
    <n v="24"/>
    <n v="1"/>
    <s v="Life Sciences"/>
    <n v="1"/>
    <n v="0"/>
    <n v="0"/>
    <n v="0"/>
    <n v="0"/>
    <n v="1"/>
    <s v="Male"/>
    <n v="0"/>
    <n v="52"/>
    <n v="3"/>
    <n v="2"/>
    <s v="Research Scientist"/>
    <n v="0"/>
    <n v="0"/>
    <n v="0"/>
    <n v="0"/>
    <n v="0"/>
    <n v="0"/>
    <n v="0"/>
    <n v="1"/>
    <n v="4"/>
    <s v="Single"/>
    <n v="1"/>
    <n v="0"/>
    <n v="4108"/>
    <n v="4108"/>
    <n v="7"/>
    <s v="No"/>
    <n v="0"/>
    <n v="13"/>
    <n v="3"/>
    <n v="1"/>
    <n v="0"/>
    <n v="18"/>
    <x v="30"/>
    <n v="2"/>
    <n v="3"/>
    <n v="7"/>
    <n v="7"/>
    <n v="7"/>
    <n v="1"/>
    <n v="1"/>
    <n v="7"/>
    <n v="7"/>
    <n v="14"/>
    <n v="1"/>
    <n v="0"/>
    <n v="0"/>
    <n v="0"/>
    <n v="1"/>
    <n v="0"/>
    <n v="0"/>
    <n v="0"/>
    <n v="0"/>
    <n v="7"/>
    <n v="0"/>
    <n v="0"/>
    <n v="18"/>
    <n v="0"/>
    <n v="0.50869865694499039"/>
    <n v="0.80626709607243985"/>
    <n v="0.86371889657480871"/>
    <n v="1.3324462240916321E-3"/>
    <n v="1.8265364014293735"/>
    <n v="0.22726935890025346"/>
    <n v="0.36858985273641137"/>
  </r>
  <r>
    <n v="38"/>
    <n v="38"/>
    <s v="No"/>
    <n v="0"/>
    <s v="Travel_Rarely"/>
    <n v="0"/>
    <n v="1"/>
    <x v="1"/>
    <n v="1"/>
    <n v="0"/>
    <n v="10"/>
    <n v="10"/>
    <n v="3"/>
    <s v="Medical"/>
    <n v="0"/>
    <n v="0"/>
    <n v="1"/>
    <n v="0"/>
    <n v="0"/>
    <n v="2"/>
    <s v="Female"/>
    <n v="1"/>
    <n v="99"/>
    <n v="1"/>
    <n v="3"/>
    <s v="Research Director"/>
    <n v="0"/>
    <n v="0"/>
    <n v="0"/>
    <n v="0"/>
    <n v="0"/>
    <n v="0"/>
    <n v="0"/>
    <n v="0"/>
    <n v="3"/>
    <s v="Married"/>
    <n v="0"/>
    <n v="1"/>
    <n v="13206"/>
    <n v="13206"/>
    <n v="3"/>
    <s v="No"/>
    <n v="0"/>
    <n v="12"/>
    <n v="3"/>
    <n v="1"/>
    <n v="1"/>
    <n v="20"/>
    <x v="25"/>
    <n v="3"/>
    <n v="3"/>
    <n v="18"/>
    <n v="18"/>
    <n v="16"/>
    <n v="1"/>
    <n v="1"/>
    <n v="11"/>
    <n v="11"/>
    <n v="33"/>
    <n v="0"/>
    <n v="1"/>
    <n v="0"/>
    <n v="0"/>
    <n v="0"/>
    <n v="0"/>
    <n v="1"/>
    <n v="0"/>
    <n v="0"/>
    <n v="11"/>
    <n v="0"/>
    <n v="0"/>
    <n v="20"/>
    <n v="0"/>
    <n v="1.4237744771888385"/>
    <n v="1.9273005614084406"/>
    <n v="1.120762479521457"/>
    <n v="1.794138840739361"/>
    <n v="9.9604847176766084E-2"/>
    <n v="0.11780475942994788"/>
    <n v="0.36858985273641137"/>
  </r>
  <r>
    <n v="32"/>
    <n v="32"/>
    <s v="No"/>
    <n v="0"/>
    <s v="Travel_Rarely"/>
    <n v="0"/>
    <n v="1"/>
    <x v="0"/>
    <n v="0"/>
    <n v="1"/>
    <n v="1"/>
    <n v="1"/>
    <n v="4"/>
    <s v="Marketing"/>
    <n v="0"/>
    <n v="0"/>
    <n v="0"/>
    <n v="1"/>
    <n v="0"/>
    <n v="3"/>
    <s v="Female"/>
    <n v="1"/>
    <n v="48"/>
    <n v="3"/>
    <n v="3"/>
    <s v="Sales Executive"/>
    <n v="0"/>
    <n v="1"/>
    <n v="0"/>
    <n v="0"/>
    <n v="0"/>
    <n v="0"/>
    <n v="0"/>
    <n v="0"/>
    <n v="4"/>
    <s v="Married"/>
    <n v="0"/>
    <n v="1"/>
    <n v="10422"/>
    <n v="10422"/>
    <n v="1"/>
    <s v="No"/>
    <n v="0"/>
    <n v="19"/>
    <n v="3"/>
    <n v="3"/>
    <n v="2"/>
    <n v="14"/>
    <x v="18"/>
    <n v="3"/>
    <n v="3"/>
    <n v="14"/>
    <n v="14"/>
    <n v="10"/>
    <n v="5"/>
    <n v="5"/>
    <n v="7"/>
    <n v="7"/>
    <n v="21"/>
    <n v="0"/>
    <n v="1"/>
    <n v="0"/>
    <n v="0"/>
    <n v="0"/>
    <n v="0"/>
    <n v="1"/>
    <n v="0"/>
    <n v="0"/>
    <n v="0"/>
    <n v="7"/>
    <n v="0"/>
    <n v="0"/>
    <n v="14"/>
    <n v="0.83243514926747353"/>
    <n v="0.80626709607243985"/>
    <n v="0.34963173068151232"/>
    <n v="1.1412401909344694"/>
    <n v="1.01056543769991"/>
    <n v="0.53898283739188557"/>
    <n v="0.87270930768174382"/>
  </r>
  <r>
    <n v="37"/>
    <n v="37"/>
    <s v="No"/>
    <n v="0"/>
    <s v="Travel_Rarely"/>
    <n v="0"/>
    <n v="1"/>
    <x v="1"/>
    <n v="1"/>
    <n v="0"/>
    <n v="10"/>
    <n v="10"/>
    <n v="3"/>
    <s v="Life Sciences"/>
    <n v="1"/>
    <n v="0"/>
    <n v="0"/>
    <n v="0"/>
    <n v="0"/>
    <n v="3"/>
    <s v="Female"/>
    <n v="1"/>
    <n v="42"/>
    <n v="4"/>
    <n v="3"/>
    <s v="Research Director"/>
    <n v="0"/>
    <n v="0"/>
    <n v="0"/>
    <n v="0"/>
    <n v="0"/>
    <n v="0"/>
    <n v="0"/>
    <n v="0"/>
    <n v="4"/>
    <s v="Married"/>
    <n v="0"/>
    <n v="1"/>
    <n v="13744"/>
    <n v="13744"/>
    <n v="1"/>
    <s v="Yes"/>
    <n v="1"/>
    <n v="25"/>
    <n v="4"/>
    <n v="1"/>
    <n v="1"/>
    <n v="16"/>
    <x v="27"/>
    <n v="2"/>
    <n v="3"/>
    <n v="16"/>
    <n v="16"/>
    <n v="11"/>
    <n v="6"/>
    <n v="6"/>
    <n v="8"/>
    <n v="8"/>
    <n v="24"/>
    <n v="0"/>
    <n v="1"/>
    <n v="0"/>
    <n v="0"/>
    <n v="0"/>
    <n v="0"/>
    <n v="0"/>
    <n v="1"/>
    <n v="0"/>
    <n v="8"/>
    <n v="0"/>
    <n v="0"/>
    <n v="16"/>
    <n v="0"/>
    <n v="1.5380491030587002"/>
    <n v="1.08652546240644"/>
    <n v="0.60667531362816052"/>
    <n v="1.4676895158369152"/>
    <n v="9.9604847176766084E-2"/>
    <n v="8.3401599596422994E-3"/>
    <n v="1.1830340977862825"/>
  </r>
  <r>
    <n v="25"/>
    <n v="25"/>
    <s v="No"/>
    <n v="0"/>
    <s v="Travel_Rarely"/>
    <n v="0"/>
    <n v="1"/>
    <x v="0"/>
    <n v="0"/>
    <n v="1"/>
    <n v="8"/>
    <n v="8"/>
    <n v="2"/>
    <s v="Other"/>
    <n v="0"/>
    <n v="1"/>
    <n v="0"/>
    <n v="0"/>
    <n v="0"/>
    <n v="1"/>
    <s v="Female"/>
    <n v="1"/>
    <n v="85"/>
    <n v="3"/>
    <n v="2"/>
    <s v="Sales Executive"/>
    <n v="0"/>
    <n v="1"/>
    <n v="0"/>
    <n v="0"/>
    <n v="0"/>
    <n v="0"/>
    <n v="0"/>
    <n v="0"/>
    <n v="3"/>
    <s v="Divorced"/>
    <n v="0"/>
    <n v="0"/>
    <n v="4907"/>
    <n v="4907"/>
    <n v="0"/>
    <s v="Yes"/>
    <n v="1"/>
    <n v="22"/>
    <n v="4"/>
    <n v="2"/>
    <n v="1"/>
    <n v="6"/>
    <x v="3"/>
    <n v="3"/>
    <n v="2"/>
    <n v="5"/>
    <n v="5"/>
    <n v="3"/>
    <n v="0"/>
    <n v="0"/>
    <n v="4"/>
    <n v="4"/>
    <n v="8"/>
    <n v="1"/>
    <n v="0"/>
    <n v="0"/>
    <n v="0"/>
    <n v="0"/>
    <n v="1"/>
    <n v="0"/>
    <n v="0"/>
    <n v="0"/>
    <n v="0"/>
    <n v="4"/>
    <n v="0"/>
    <n v="0"/>
    <n v="6"/>
    <n v="0.33898596908250089"/>
    <n v="3.4508002929560584E-2"/>
    <n v="0.67854260110508058"/>
    <n v="0.32778177112653761"/>
    <n v="0.14709966057360641"/>
    <n v="1.3052350336840246"/>
    <n v="0.67891464284095016"/>
  </r>
  <r>
    <n v="52"/>
    <n v="52"/>
    <s v="No"/>
    <n v="0"/>
    <s v="Non-Travel"/>
    <n v="0"/>
    <n v="0"/>
    <x v="0"/>
    <n v="0"/>
    <n v="1"/>
    <n v="29"/>
    <n v="29"/>
    <n v="4"/>
    <s v="Life Sciences"/>
    <n v="1"/>
    <n v="0"/>
    <n v="0"/>
    <n v="0"/>
    <n v="0"/>
    <n v="1"/>
    <s v="Male"/>
    <n v="0"/>
    <n v="40"/>
    <n v="3"/>
    <n v="1"/>
    <s v="Sales Representative"/>
    <n v="0"/>
    <n v="0"/>
    <n v="0"/>
    <n v="0"/>
    <n v="0"/>
    <n v="0"/>
    <n v="1"/>
    <n v="0"/>
    <n v="4"/>
    <s v="Divorced"/>
    <n v="0"/>
    <n v="0"/>
    <n v="3482"/>
    <n v="3482"/>
    <n v="2"/>
    <s v="No"/>
    <n v="0"/>
    <n v="15"/>
    <n v="3"/>
    <n v="2"/>
    <n v="2"/>
    <n v="16"/>
    <x v="27"/>
    <n v="3"/>
    <n v="2"/>
    <n v="9"/>
    <n v="9"/>
    <n v="8"/>
    <n v="0"/>
    <n v="0"/>
    <n v="0"/>
    <n v="0"/>
    <n v="0"/>
    <n v="1"/>
    <n v="0"/>
    <n v="0"/>
    <n v="0"/>
    <n v="1"/>
    <n v="0"/>
    <n v="0"/>
    <n v="0"/>
    <n v="0"/>
    <n v="0"/>
    <n v="0"/>
    <n v="0"/>
    <n v="0"/>
    <n v="16"/>
    <n v="0.64166504318018236"/>
    <n v="1.1555414682655611"/>
    <n v="0.60667531362816052"/>
    <n v="0.32511687867835437"/>
    <n v="2.4432976708053049"/>
    <n v="1.6503091520142259"/>
    <n v="0.67891464284095016"/>
  </r>
  <r>
    <n v="44"/>
    <n v="44"/>
    <s v="No"/>
    <n v="0"/>
    <s v="Travel_Rarely"/>
    <n v="0"/>
    <n v="1"/>
    <x v="1"/>
    <n v="1"/>
    <n v="0"/>
    <n v="1"/>
    <n v="1"/>
    <n v="3"/>
    <s v="Medical"/>
    <n v="0"/>
    <n v="0"/>
    <n v="1"/>
    <n v="0"/>
    <n v="0"/>
    <n v="2"/>
    <s v="Male"/>
    <n v="0"/>
    <n v="42"/>
    <n v="3"/>
    <n v="1"/>
    <s v="Research Scientist"/>
    <n v="0"/>
    <n v="0"/>
    <n v="0"/>
    <n v="0"/>
    <n v="0"/>
    <n v="0"/>
    <n v="0"/>
    <n v="1"/>
    <n v="4"/>
    <s v="Single"/>
    <n v="1"/>
    <n v="0"/>
    <n v="2436"/>
    <n v="2436"/>
    <n v="6"/>
    <s v="Yes"/>
    <n v="1"/>
    <n v="12"/>
    <n v="3"/>
    <n v="3"/>
    <n v="0"/>
    <n v="6"/>
    <x v="3"/>
    <n v="2"/>
    <n v="3"/>
    <n v="4"/>
    <n v="4"/>
    <n v="3"/>
    <n v="1"/>
    <n v="1"/>
    <n v="2"/>
    <n v="2"/>
    <n v="2"/>
    <n v="1"/>
    <n v="0"/>
    <n v="0"/>
    <n v="0"/>
    <n v="0"/>
    <n v="1"/>
    <n v="0"/>
    <n v="0"/>
    <n v="0"/>
    <n v="2"/>
    <n v="0"/>
    <n v="0"/>
    <n v="6"/>
    <n v="0"/>
    <n v="0.86384210388627003"/>
    <n v="0.59502473559756086"/>
    <n v="0.67854260110508058"/>
    <n v="0.49100643357776058"/>
    <n v="1.01056543769991"/>
    <n v="0.77459235625178136"/>
    <n v="0.36858985273641137"/>
  </r>
  <r>
    <n v="21"/>
    <n v="21"/>
    <s v="No"/>
    <n v="0"/>
    <s v="Travel_Rarely"/>
    <n v="0"/>
    <n v="1"/>
    <x v="0"/>
    <n v="0"/>
    <n v="1"/>
    <n v="5"/>
    <n v="5"/>
    <n v="1"/>
    <s v="Medical"/>
    <n v="0"/>
    <n v="0"/>
    <n v="1"/>
    <n v="0"/>
    <n v="0"/>
    <n v="3"/>
    <s v="Male"/>
    <n v="0"/>
    <n v="58"/>
    <n v="3"/>
    <n v="1"/>
    <s v="Sales Representative"/>
    <n v="0"/>
    <n v="0"/>
    <n v="0"/>
    <n v="0"/>
    <n v="0"/>
    <n v="0"/>
    <n v="1"/>
    <n v="0"/>
    <n v="1"/>
    <s v="Single"/>
    <n v="1"/>
    <n v="0"/>
    <n v="2380"/>
    <n v="2380"/>
    <n v="1"/>
    <s v="Yes"/>
    <n v="1"/>
    <n v="11"/>
    <n v="3"/>
    <n v="4"/>
    <n v="0"/>
    <n v="2"/>
    <x v="16"/>
    <n v="6"/>
    <n v="3"/>
    <n v="2"/>
    <n v="2"/>
    <n v="2"/>
    <n v="1"/>
    <n v="1"/>
    <n v="2"/>
    <n v="2"/>
    <n v="2"/>
    <n v="1"/>
    <n v="0"/>
    <n v="0"/>
    <n v="0"/>
    <n v="0"/>
    <n v="1"/>
    <n v="0"/>
    <n v="0"/>
    <n v="0"/>
    <n v="0"/>
    <n v="2"/>
    <n v="0"/>
    <n v="0"/>
    <n v="2"/>
    <n v="0.87573686048238941"/>
    <n v="0.59502473559756086"/>
    <n v="1.192629766998377"/>
    <n v="0.81745575848020657"/>
    <n v="0.51715642219916513"/>
    <n v="1.7430934315652469"/>
    <n v="0.36858985273641137"/>
  </r>
  <r>
    <n v="39"/>
    <n v="39"/>
    <s v="No"/>
    <n v="0"/>
    <s v="Non-Travel"/>
    <n v="0"/>
    <n v="0"/>
    <x v="1"/>
    <n v="1"/>
    <n v="0"/>
    <n v="9"/>
    <n v="9"/>
    <n v="3"/>
    <s v="Life Sciences"/>
    <n v="1"/>
    <n v="0"/>
    <n v="0"/>
    <n v="0"/>
    <n v="0"/>
    <n v="4"/>
    <s v="Male"/>
    <n v="0"/>
    <n v="87"/>
    <n v="3"/>
    <n v="5"/>
    <s v="Manager"/>
    <n v="0"/>
    <n v="0"/>
    <n v="0"/>
    <n v="1"/>
    <n v="0"/>
    <n v="0"/>
    <n v="0"/>
    <n v="0"/>
    <n v="4"/>
    <s v="Single"/>
    <n v="1"/>
    <n v="0"/>
    <n v="19431"/>
    <n v="19431"/>
    <n v="2"/>
    <s v="No"/>
    <n v="0"/>
    <n v="13"/>
    <n v="3"/>
    <n v="3"/>
    <n v="0"/>
    <n v="21"/>
    <x v="23"/>
    <n v="3"/>
    <n v="2"/>
    <n v="6"/>
    <n v="6"/>
    <n v="0"/>
    <n v="1"/>
    <n v="1"/>
    <n v="3"/>
    <n v="3"/>
    <n v="15"/>
    <n v="1"/>
    <n v="0"/>
    <n v="0"/>
    <n v="0"/>
    <n v="1"/>
    <n v="0"/>
    <n v="0"/>
    <n v="0"/>
    <n v="0"/>
    <n v="3"/>
    <n v="0"/>
    <n v="0"/>
    <n v="21"/>
    <n v="0"/>
    <n v="2.7460041166681841"/>
    <n v="0.31476636926356072"/>
    <n v="1.2492842709947811"/>
    <n v="0.16455710867531462"/>
    <n v="2.3747406698420157E-2"/>
    <n v="0.22726935890025346"/>
    <n v="0.36858985273641137"/>
  </r>
  <r>
    <n v="23"/>
    <n v="23"/>
    <s v="Yes"/>
    <n v="1"/>
    <s v="Travel_Frequently"/>
    <n v="1"/>
    <n v="0"/>
    <x v="0"/>
    <n v="0"/>
    <n v="1"/>
    <n v="9"/>
    <n v="9"/>
    <n v="3"/>
    <s v="Marketing"/>
    <n v="0"/>
    <n v="0"/>
    <n v="0"/>
    <n v="1"/>
    <n v="0"/>
    <n v="4"/>
    <s v="Male"/>
    <n v="0"/>
    <n v="33"/>
    <n v="3"/>
    <n v="1"/>
    <s v="Sales Representative"/>
    <n v="0"/>
    <n v="0"/>
    <n v="0"/>
    <n v="0"/>
    <n v="0"/>
    <n v="0"/>
    <n v="1"/>
    <n v="0"/>
    <n v="1"/>
    <s v="Married"/>
    <n v="0"/>
    <n v="1"/>
    <n v="1790"/>
    <n v="1790"/>
    <n v="1"/>
    <s v="No"/>
    <n v="0"/>
    <n v="19"/>
    <n v="3"/>
    <n v="1"/>
    <n v="1"/>
    <n v="1"/>
    <x v="5"/>
    <n v="3"/>
    <n v="2"/>
    <n v="1"/>
    <n v="1"/>
    <n v="0"/>
    <n v="1"/>
    <n v="1"/>
    <n v="0"/>
    <n v="0"/>
    <n v="0"/>
    <n v="0"/>
    <n v="0"/>
    <n v="0"/>
    <n v="1"/>
    <n v="0"/>
    <n v="0"/>
    <n v="1"/>
    <n v="0"/>
    <n v="0"/>
    <n v="0"/>
    <n v="0"/>
    <n v="0"/>
    <n v="0"/>
    <n v="1"/>
    <n v="1.0010566174772191"/>
    <n v="1.1555414682655611"/>
    <n v="1.3211515584717011"/>
    <n v="0.9806804209314296"/>
    <n v="2.3747406698420157E-2"/>
    <n v="1.5241642326246359"/>
    <n v="0.36858985273641137"/>
  </r>
  <r>
    <n v="36"/>
    <n v="36"/>
    <s v="No"/>
    <n v="0"/>
    <s v="Travel_Rarely"/>
    <n v="0"/>
    <n v="1"/>
    <x v="0"/>
    <n v="0"/>
    <n v="1"/>
    <n v="3"/>
    <n v="3"/>
    <n v="3"/>
    <s v="Medical"/>
    <n v="0"/>
    <n v="0"/>
    <n v="1"/>
    <n v="0"/>
    <n v="0"/>
    <n v="1"/>
    <s v="Female"/>
    <n v="1"/>
    <n v="94"/>
    <n v="2"/>
    <n v="3"/>
    <s v="Sales Executive"/>
    <n v="0"/>
    <n v="1"/>
    <n v="0"/>
    <n v="0"/>
    <n v="0"/>
    <n v="0"/>
    <n v="0"/>
    <n v="0"/>
    <n v="4"/>
    <s v="Married"/>
    <n v="0"/>
    <n v="1"/>
    <n v="7644"/>
    <n v="7644"/>
    <n v="0"/>
    <s v="No"/>
    <n v="0"/>
    <n v="19"/>
    <n v="3"/>
    <n v="3"/>
    <n v="2"/>
    <n v="10"/>
    <x v="1"/>
    <n v="2"/>
    <n v="3"/>
    <n v="9"/>
    <n v="9"/>
    <n v="7"/>
    <n v="3"/>
    <n v="3"/>
    <n v="4"/>
    <n v="4"/>
    <n v="12"/>
    <n v="0"/>
    <n v="1"/>
    <n v="0"/>
    <n v="0"/>
    <n v="0"/>
    <n v="0"/>
    <n v="1"/>
    <n v="0"/>
    <n v="0"/>
    <n v="0"/>
    <n v="4"/>
    <n v="0"/>
    <n v="0"/>
    <n v="10"/>
    <n v="0.24237025955283545"/>
    <n v="3.4508002929560584E-2"/>
    <n v="0.1644554352117841"/>
    <n v="0.32511687867835437"/>
    <n v="0.76386092994953758"/>
    <n v="0.10112443951066327"/>
    <n v="0.2520597274726662"/>
  </r>
  <r>
    <n v="36"/>
    <n v="36"/>
    <s v="No"/>
    <n v="0"/>
    <s v="Travel_Frequently"/>
    <n v="1"/>
    <n v="0"/>
    <x v="1"/>
    <n v="1"/>
    <n v="0"/>
    <n v="4"/>
    <n v="4"/>
    <n v="2"/>
    <s v="Life Sciences"/>
    <n v="1"/>
    <n v="0"/>
    <n v="0"/>
    <n v="0"/>
    <n v="0"/>
    <n v="4"/>
    <s v="Female"/>
    <n v="1"/>
    <n v="97"/>
    <n v="3"/>
    <n v="2"/>
    <s v="Manufacturing Director"/>
    <n v="0"/>
    <n v="0"/>
    <n v="0"/>
    <n v="0"/>
    <n v="1"/>
    <n v="1"/>
    <n v="0"/>
    <n v="0"/>
    <n v="2"/>
    <s v="Divorced"/>
    <n v="0"/>
    <n v="0"/>
    <n v="5131"/>
    <n v="5131"/>
    <n v="7"/>
    <s v="No"/>
    <n v="0"/>
    <n v="13"/>
    <n v="3"/>
    <n v="2"/>
    <n v="3"/>
    <n v="18"/>
    <x v="30"/>
    <n v="3"/>
    <n v="3"/>
    <n v="4"/>
    <n v="4"/>
    <n v="2"/>
    <n v="0"/>
    <n v="0"/>
    <n v="2"/>
    <n v="2"/>
    <n v="4"/>
    <n v="0"/>
    <n v="0"/>
    <n v="1"/>
    <n v="0"/>
    <n v="1"/>
    <n v="0"/>
    <n v="0"/>
    <n v="0"/>
    <n v="0"/>
    <n v="2"/>
    <n v="0"/>
    <n v="0"/>
    <n v="18"/>
    <n v="0"/>
    <n v="0.29140694269802325"/>
    <n v="0.59502473559756086"/>
    <n v="0.86371889657480871"/>
    <n v="0.49100643357776058"/>
    <n v="0.64050867607435136"/>
    <n v="0.10112443951066327"/>
    <n v="0.67891464284095016"/>
  </r>
  <r>
    <n v="56"/>
    <n v="56"/>
    <s v="No"/>
    <n v="0"/>
    <s v="Non-Travel"/>
    <n v="0"/>
    <n v="0"/>
    <x v="1"/>
    <n v="1"/>
    <n v="0"/>
    <n v="1"/>
    <n v="1"/>
    <n v="4"/>
    <s v="Life Sciences"/>
    <n v="1"/>
    <n v="0"/>
    <n v="0"/>
    <n v="0"/>
    <n v="0"/>
    <n v="3"/>
    <s v="Male"/>
    <n v="0"/>
    <n v="57"/>
    <n v="3"/>
    <n v="2"/>
    <s v="Healthcare Representative"/>
    <n v="1"/>
    <n v="0"/>
    <n v="0"/>
    <n v="0"/>
    <n v="0"/>
    <n v="0"/>
    <n v="0"/>
    <n v="0"/>
    <n v="3"/>
    <s v="Divorced"/>
    <n v="0"/>
    <n v="0"/>
    <n v="6306"/>
    <n v="6306"/>
    <n v="1"/>
    <s v="No"/>
    <n v="0"/>
    <n v="21"/>
    <n v="4"/>
    <n v="1"/>
    <n v="1"/>
    <n v="13"/>
    <x v="10"/>
    <n v="2"/>
    <n v="2"/>
    <n v="13"/>
    <n v="13"/>
    <n v="12"/>
    <n v="1"/>
    <n v="1"/>
    <n v="9"/>
    <n v="9"/>
    <n v="18"/>
    <n v="1"/>
    <n v="0"/>
    <n v="0"/>
    <n v="0"/>
    <n v="1"/>
    <n v="0"/>
    <n v="0"/>
    <n v="0"/>
    <n v="0"/>
    <n v="9"/>
    <n v="0"/>
    <n v="0"/>
    <n v="13"/>
    <n v="0"/>
    <n v="4.182946054730341E-2"/>
    <n v="1.3667838287404401"/>
    <n v="0.22110993920818819"/>
    <n v="0.97801552848324624"/>
    <n v="1.01056543769991"/>
    <n v="2.0881675498954482"/>
    <n v="0.36858985273641137"/>
  </r>
  <r>
    <n v="29"/>
    <n v="29"/>
    <s v="Yes"/>
    <n v="1"/>
    <s v="Travel_Rarely"/>
    <n v="0"/>
    <n v="1"/>
    <x v="1"/>
    <n v="1"/>
    <n v="0"/>
    <n v="1"/>
    <n v="1"/>
    <n v="4"/>
    <s v="Medical"/>
    <n v="0"/>
    <n v="0"/>
    <n v="1"/>
    <n v="0"/>
    <n v="0"/>
    <n v="1"/>
    <s v="Male"/>
    <n v="0"/>
    <n v="36"/>
    <n v="3"/>
    <n v="1"/>
    <s v="Research Scientist"/>
    <n v="0"/>
    <n v="0"/>
    <n v="0"/>
    <n v="0"/>
    <n v="0"/>
    <n v="0"/>
    <n v="0"/>
    <n v="1"/>
    <n v="4"/>
    <s v="Married"/>
    <n v="0"/>
    <n v="1"/>
    <n v="4787"/>
    <n v="4787"/>
    <n v="9"/>
    <s v="Yes"/>
    <n v="1"/>
    <n v="14"/>
    <n v="3"/>
    <n v="2"/>
    <n v="3"/>
    <n v="4"/>
    <x v="20"/>
    <n v="3"/>
    <n v="4"/>
    <n v="2"/>
    <n v="2"/>
    <n v="2"/>
    <n v="2"/>
    <n v="2"/>
    <n v="2"/>
    <n v="2"/>
    <n v="2"/>
    <n v="0"/>
    <n v="1"/>
    <n v="0"/>
    <n v="0"/>
    <n v="0"/>
    <n v="0"/>
    <n v="0"/>
    <n v="1"/>
    <n v="0"/>
    <n v="2"/>
    <n v="0"/>
    <n v="0"/>
    <n v="4"/>
    <n v="0"/>
    <n v="0.36447473321704249"/>
    <n v="0.59502473559756086"/>
    <n v="0.93558618405172878"/>
    <n v="0.81745575848020657"/>
    <n v="1.01056543769991"/>
    <n v="0.86737663580280233"/>
    <n v="5.8265062631872602E-2"/>
  </r>
  <r>
    <n v="42"/>
    <n v="42"/>
    <s v="No"/>
    <n v="0"/>
    <s v="Travel_Rarely"/>
    <n v="0"/>
    <n v="1"/>
    <x v="1"/>
    <n v="1"/>
    <n v="0"/>
    <n v="2"/>
    <n v="2"/>
    <n v="3"/>
    <s v="Life Sciences"/>
    <n v="1"/>
    <n v="0"/>
    <n v="0"/>
    <n v="0"/>
    <n v="0"/>
    <n v="1"/>
    <s v="Male"/>
    <n v="0"/>
    <n v="56"/>
    <n v="3"/>
    <n v="5"/>
    <s v="Manager"/>
    <n v="0"/>
    <n v="0"/>
    <n v="0"/>
    <n v="1"/>
    <n v="0"/>
    <n v="0"/>
    <n v="0"/>
    <n v="0"/>
    <n v="3"/>
    <s v="Married"/>
    <n v="0"/>
    <n v="1"/>
    <n v="18880"/>
    <n v="18880"/>
    <n v="5"/>
    <s v="No"/>
    <n v="0"/>
    <n v="11"/>
    <n v="3"/>
    <n v="1"/>
    <n v="0"/>
    <n v="24"/>
    <x v="12"/>
    <n v="2"/>
    <n v="2"/>
    <n v="22"/>
    <n v="22"/>
    <n v="6"/>
    <n v="4"/>
    <n v="4"/>
    <n v="14"/>
    <n v="14"/>
    <n v="70"/>
    <n v="0"/>
    <n v="1"/>
    <n v="0"/>
    <n v="0"/>
    <n v="0"/>
    <n v="0"/>
    <n v="1"/>
    <n v="0"/>
    <n v="0"/>
    <n v="14"/>
    <n v="0"/>
    <n v="0"/>
    <n v="24"/>
    <n v="0"/>
    <n v="2.6289682080170804"/>
    <n v="2.7680756604104411"/>
    <n v="1.6348496454147534"/>
    <n v="2.4470374905442531"/>
    <n v="0.88721318382472392"/>
    <n v="0.55566315731117022"/>
    <n v="0.56238451757720498"/>
  </r>
  <r>
    <n v="56"/>
    <n v="56"/>
    <s v="Yes"/>
    <n v="1"/>
    <s v="Travel_Rarely"/>
    <n v="0"/>
    <n v="1"/>
    <x v="1"/>
    <n v="1"/>
    <n v="0"/>
    <n v="7"/>
    <n v="7"/>
    <n v="2"/>
    <s v="Technical Degree"/>
    <n v="0"/>
    <n v="0"/>
    <n v="0"/>
    <n v="0"/>
    <n v="1"/>
    <n v="4"/>
    <s v="Male"/>
    <n v="0"/>
    <n v="72"/>
    <n v="3"/>
    <n v="1"/>
    <s v="Laboratory Technician"/>
    <n v="0"/>
    <n v="0"/>
    <n v="1"/>
    <n v="0"/>
    <n v="0"/>
    <n v="0"/>
    <n v="0"/>
    <n v="0"/>
    <n v="3"/>
    <s v="Married"/>
    <n v="0"/>
    <n v="1"/>
    <n v="2339"/>
    <n v="2339"/>
    <n v="8"/>
    <s v="No"/>
    <n v="0"/>
    <n v="11"/>
    <n v="3"/>
    <n v="4"/>
    <n v="1"/>
    <n v="14"/>
    <x v="18"/>
    <n v="4"/>
    <n v="1"/>
    <n v="10"/>
    <n v="10"/>
    <n v="9"/>
    <n v="9"/>
    <n v="9"/>
    <n v="8"/>
    <n v="8"/>
    <n v="8"/>
    <n v="0"/>
    <n v="1"/>
    <n v="0"/>
    <n v="0"/>
    <n v="0"/>
    <n v="0"/>
    <n v="1"/>
    <n v="0"/>
    <n v="0"/>
    <n v="8"/>
    <n v="0"/>
    <n v="0"/>
    <n v="14"/>
    <n v="0"/>
    <n v="0.88444552156169121"/>
    <n v="1.08652546240644"/>
    <n v="0.34963173068151232"/>
    <n v="0.48834154112957734"/>
    <n v="0.27045191444879263"/>
    <n v="2.0881675498954482"/>
    <n v="2.114008468099899"/>
  </r>
  <r>
    <n v="41"/>
    <n v="41"/>
    <s v="No"/>
    <n v="0"/>
    <s v="Travel_Rarely"/>
    <n v="0"/>
    <n v="1"/>
    <x v="1"/>
    <n v="1"/>
    <n v="0"/>
    <n v="28"/>
    <n v="28"/>
    <n v="4"/>
    <s v="Life Sciences"/>
    <n v="1"/>
    <n v="0"/>
    <n v="0"/>
    <n v="0"/>
    <n v="0"/>
    <n v="1"/>
    <s v="Female"/>
    <n v="1"/>
    <n v="60"/>
    <n v="2"/>
    <n v="4"/>
    <s v="Manufacturing Director"/>
    <n v="0"/>
    <n v="0"/>
    <n v="0"/>
    <n v="0"/>
    <n v="1"/>
    <n v="1"/>
    <n v="0"/>
    <n v="0"/>
    <n v="2"/>
    <s v="Married"/>
    <n v="0"/>
    <n v="1"/>
    <n v="13570"/>
    <n v="13570"/>
    <n v="0"/>
    <s v="No"/>
    <n v="0"/>
    <n v="23"/>
    <n v="4"/>
    <n v="3"/>
    <n v="1"/>
    <n v="21"/>
    <x v="23"/>
    <n v="3"/>
    <n v="3"/>
    <n v="20"/>
    <n v="20"/>
    <n v="7"/>
    <n v="0"/>
    <n v="0"/>
    <n v="10"/>
    <n v="10"/>
    <n v="40"/>
    <n v="0"/>
    <n v="1"/>
    <n v="0"/>
    <n v="0"/>
    <n v="0"/>
    <n v="0"/>
    <n v="1"/>
    <n v="0"/>
    <n v="0"/>
    <n v="10"/>
    <n v="0"/>
    <n v="0"/>
    <n v="21"/>
    <n v="0"/>
    <n v="1.5010903950636147"/>
    <n v="1.6470421950744405"/>
    <n v="1.2492842709947811"/>
    <n v="2.1205881656418071"/>
    <n v="2.3199454169301186"/>
    <n v="0.4461985578408646"/>
    <n v="0.67891464284095016"/>
  </r>
  <r>
    <n v="34"/>
    <n v="34"/>
    <s v="No"/>
    <n v="0"/>
    <s v="Travel_Rarely"/>
    <n v="0"/>
    <n v="1"/>
    <x v="0"/>
    <n v="0"/>
    <n v="1"/>
    <n v="28"/>
    <n v="28"/>
    <n v="3"/>
    <s v="Marketing"/>
    <n v="0"/>
    <n v="0"/>
    <n v="0"/>
    <n v="1"/>
    <n v="0"/>
    <n v="4"/>
    <s v="Female"/>
    <n v="1"/>
    <n v="95"/>
    <n v="2"/>
    <n v="2"/>
    <s v="Sales Executive"/>
    <n v="0"/>
    <n v="1"/>
    <n v="0"/>
    <n v="0"/>
    <n v="0"/>
    <n v="0"/>
    <n v="0"/>
    <n v="0"/>
    <n v="3"/>
    <s v="Married"/>
    <n v="0"/>
    <n v="1"/>
    <n v="6712"/>
    <n v="6712"/>
    <n v="1"/>
    <s v="No"/>
    <n v="0"/>
    <n v="21"/>
    <n v="4"/>
    <n v="4"/>
    <n v="2"/>
    <n v="8"/>
    <x v="0"/>
    <n v="2"/>
    <n v="3"/>
    <n v="8"/>
    <n v="8"/>
    <n v="7"/>
    <n v="1"/>
    <n v="1"/>
    <n v="7"/>
    <n v="7"/>
    <n v="14"/>
    <n v="0"/>
    <n v="1"/>
    <n v="0"/>
    <n v="0"/>
    <n v="0"/>
    <n v="0"/>
    <n v="1"/>
    <n v="0"/>
    <n v="0"/>
    <n v="0"/>
    <n v="7"/>
    <n v="0"/>
    <n v="0"/>
    <n v="8"/>
    <n v="4.4407524774562335E-2"/>
    <n v="0.80626709607243985"/>
    <n v="0.42149901815843233"/>
    <n v="0.16189221622713135"/>
    <n v="2.3199454169301186"/>
    <n v="0.32005363845127444"/>
    <n v="0.36858985273641137"/>
  </r>
  <r>
    <n v="36"/>
    <n v="36"/>
    <s v="No"/>
    <n v="0"/>
    <s v="Non-Travel"/>
    <n v="0"/>
    <n v="0"/>
    <x v="0"/>
    <n v="0"/>
    <n v="1"/>
    <n v="15"/>
    <n v="15"/>
    <n v="4"/>
    <s v="Marketing"/>
    <n v="0"/>
    <n v="0"/>
    <n v="0"/>
    <n v="1"/>
    <n v="0"/>
    <n v="4"/>
    <s v="Male"/>
    <n v="0"/>
    <n v="88"/>
    <n v="1"/>
    <n v="2"/>
    <s v="Sales Executive"/>
    <n v="0"/>
    <n v="1"/>
    <n v="0"/>
    <n v="0"/>
    <n v="0"/>
    <n v="0"/>
    <n v="0"/>
    <n v="0"/>
    <n v="4"/>
    <s v="Divorced"/>
    <n v="0"/>
    <n v="0"/>
    <n v="5406"/>
    <n v="5406"/>
    <n v="1"/>
    <s v="No"/>
    <n v="0"/>
    <n v="24"/>
    <n v="4"/>
    <n v="1"/>
    <n v="1"/>
    <n v="15"/>
    <x v="19"/>
    <n v="4"/>
    <n v="2"/>
    <n v="15"/>
    <n v="15"/>
    <n v="12"/>
    <n v="11"/>
    <n v="11"/>
    <n v="11"/>
    <n v="11"/>
    <n v="22"/>
    <n v="1"/>
    <n v="0"/>
    <n v="0"/>
    <n v="0"/>
    <n v="1"/>
    <n v="0"/>
    <n v="0"/>
    <n v="0"/>
    <n v="0"/>
    <n v="0"/>
    <n v="11"/>
    <n v="0"/>
    <n v="0"/>
    <n v="15"/>
    <n v="0.23299519155636542"/>
    <n v="1.9273005614084406"/>
    <n v="0.47815352215483642"/>
    <n v="1.3044648533856922"/>
    <n v="0.71636611655269733"/>
    <n v="0.10112443951066327"/>
    <n v="2.7346580483089769"/>
  </r>
  <r>
    <n v="41"/>
    <n v="41"/>
    <s v="No"/>
    <n v="0"/>
    <s v="Travel_Rarely"/>
    <n v="0"/>
    <n v="1"/>
    <x v="0"/>
    <n v="0"/>
    <n v="1"/>
    <n v="3"/>
    <n v="3"/>
    <n v="3"/>
    <s v="Life Sciences"/>
    <n v="1"/>
    <n v="0"/>
    <n v="0"/>
    <n v="0"/>
    <n v="0"/>
    <n v="3"/>
    <s v="Male"/>
    <n v="0"/>
    <n v="57"/>
    <n v="2"/>
    <n v="2"/>
    <s v="Sales Executive"/>
    <n v="0"/>
    <n v="1"/>
    <n v="0"/>
    <n v="0"/>
    <n v="0"/>
    <n v="0"/>
    <n v="0"/>
    <n v="0"/>
    <n v="2"/>
    <s v="Divorced"/>
    <n v="0"/>
    <n v="0"/>
    <n v="8938"/>
    <n v="8938"/>
    <n v="2"/>
    <s v="No"/>
    <n v="0"/>
    <n v="11"/>
    <n v="3"/>
    <n v="3"/>
    <n v="1"/>
    <n v="14"/>
    <x v="18"/>
    <n v="5"/>
    <n v="3"/>
    <n v="5"/>
    <n v="5"/>
    <n v="4"/>
    <n v="0"/>
    <n v="0"/>
    <n v="4"/>
    <n v="4"/>
    <n v="8"/>
    <n v="1"/>
    <n v="0"/>
    <n v="0"/>
    <n v="0"/>
    <n v="1"/>
    <n v="0"/>
    <n v="0"/>
    <n v="0"/>
    <n v="0"/>
    <n v="0"/>
    <n v="4"/>
    <n v="0"/>
    <n v="0"/>
    <n v="14"/>
    <n v="0.51722409947030901"/>
    <n v="3.4508002929560584E-2"/>
    <n v="0.34963173068151232"/>
    <n v="0.32778177112653761"/>
    <n v="0.76386092994953758"/>
    <n v="0.4461985578408646"/>
    <n v="0.67891464284095016"/>
  </r>
  <r>
    <n v="32"/>
    <n v="32"/>
    <s v="No"/>
    <n v="0"/>
    <s v="Travel_Rarely"/>
    <n v="0"/>
    <n v="1"/>
    <x v="1"/>
    <n v="1"/>
    <n v="0"/>
    <n v="2"/>
    <n v="2"/>
    <n v="3"/>
    <s v="Technical Degree"/>
    <n v="0"/>
    <n v="0"/>
    <n v="0"/>
    <n v="0"/>
    <n v="1"/>
    <n v="4"/>
    <s v="Male"/>
    <n v="0"/>
    <n v="78"/>
    <n v="3"/>
    <n v="1"/>
    <s v="Research Scientist"/>
    <n v="0"/>
    <n v="0"/>
    <n v="0"/>
    <n v="0"/>
    <n v="0"/>
    <n v="0"/>
    <n v="0"/>
    <n v="1"/>
    <n v="1"/>
    <s v="Single"/>
    <n v="1"/>
    <n v="0"/>
    <n v="2439"/>
    <n v="2439"/>
    <n v="1"/>
    <s v="No"/>
    <n v="0"/>
    <n v="14"/>
    <n v="3"/>
    <n v="4"/>
    <n v="0"/>
    <n v="4"/>
    <x v="20"/>
    <n v="4"/>
    <n v="3"/>
    <n v="4"/>
    <n v="4"/>
    <n v="2"/>
    <n v="1"/>
    <n v="1"/>
    <n v="2"/>
    <n v="2"/>
    <n v="2"/>
    <n v="1"/>
    <n v="0"/>
    <n v="0"/>
    <n v="0"/>
    <n v="1"/>
    <n v="0"/>
    <n v="0"/>
    <n v="0"/>
    <n v="0"/>
    <n v="2"/>
    <n v="0"/>
    <n v="0"/>
    <n v="4"/>
    <n v="0"/>
    <n v="0.86320488478290647"/>
    <n v="0.59502473559756086"/>
    <n v="0.93558618405172878"/>
    <n v="0.49100643357776058"/>
    <n v="0.88721318382472392"/>
    <n v="0.53898283739188557"/>
    <n v="0.36858985273641137"/>
  </r>
  <r>
    <n v="35"/>
    <n v="35"/>
    <s v="No"/>
    <n v="0"/>
    <s v="Travel_Rarely"/>
    <n v="0"/>
    <n v="1"/>
    <x v="2"/>
    <n v="0"/>
    <n v="0"/>
    <n v="26"/>
    <n v="26"/>
    <n v="4"/>
    <s v="Life Sciences"/>
    <n v="1"/>
    <n v="0"/>
    <n v="0"/>
    <n v="0"/>
    <n v="0"/>
    <n v="3"/>
    <s v="Female"/>
    <n v="1"/>
    <n v="31"/>
    <n v="3"/>
    <n v="3"/>
    <s v="Human Resources"/>
    <n v="0"/>
    <n v="0"/>
    <n v="0"/>
    <n v="0"/>
    <n v="0"/>
    <n v="0"/>
    <n v="0"/>
    <n v="0"/>
    <n v="4"/>
    <s v="Single"/>
    <n v="1"/>
    <n v="0"/>
    <n v="8837"/>
    <n v="8837"/>
    <n v="1"/>
    <s v="Yes"/>
    <n v="1"/>
    <n v="16"/>
    <n v="3"/>
    <n v="3"/>
    <n v="0"/>
    <n v="9"/>
    <x v="14"/>
    <n v="2"/>
    <n v="3"/>
    <n v="9"/>
    <n v="9"/>
    <n v="0"/>
    <n v="1"/>
    <n v="1"/>
    <n v="7"/>
    <n v="7"/>
    <n v="21"/>
    <n v="1"/>
    <n v="0"/>
    <n v="0"/>
    <n v="0"/>
    <n v="0"/>
    <n v="1"/>
    <n v="0"/>
    <n v="0"/>
    <n v="7"/>
    <n v="0"/>
    <n v="0"/>
    <n v="9"/>
    <n v="0"/>
    <n v="0"/>
    <n v="0.49577105632373653"/>
    <n v="0.80626709607243985"/>
    <n v="0.29297722668510823"/>
    <n v="0.32511687867835437"/>
    <n v="2.0732409091797459"/>
    <n v="0.21058903898096887"/>
    <n v="0.36858985273641137"/>
  </r>
  <r>
    <n v="38"/>
    <n v="38"/>
    <s v="No"/>
    <n v="0"/>
    <s v="Travel_Rarely"/>
    <n v="0"/>
    <n v="1"/>
    <x v="0"/>
    <n v="0"/>
    <n v="1"/>
    <n v="10"/>
    <n v="10"/>
    <n v="2"/>
    <s v="Life Sciences"/>
    <n v="1"/>
    <n v="0"/>
    <n v="0"/>
    <n v="0"/>
    <n v="0"/>
    <n v="1"/>
    <s v="Female"/>
    <n v="1"/>
    <n v="100"/>
    <n v="3"/>
    <n v="2"/>
    <s v="Sales Executive"/>
    <n v="0"/>
    <n v="1"/>
    <n v="0"/>
    <n v="0"/>
    <n v="0"/>
    <n v="0"/>
    <n v="0"/>
    <n v="0"/>
    <n v="4"/>
    <s v="Married"/>
    <n v="0"/>
    <n v="1"/>
    <n v="5343"/>
    <n v="5343"/>
    <n v="1"/>
    <s v="No"/>
    <n v="0"/>
    <n v="11"/>
    <n v="3"/>
    <n v="3"/>
    <n v="1"/>
    <n v="10"/>
    <x v="1"/>
    <n v="1"/>
    <n v="3"/>
    <n v="10"/>
    <n v="10"/>
    <n v="7"/>
    <n v="1"/>
    <n v="1"/>
    <n v="9"/>
    <n v="9"/>
    <n v="18"/>
    <n v="0"/>
    <n v="1"/>
    <n v="0"/>
    <n v="0"/>
    <n v="0"/>
    <n v="0"/>
    <n v="1"/>
    <n v="0"/>
    <n v="0"/>
    <n v="0"/>
    <n v="9"/>
    <n v="0"/>
    <n v="0"/>
    <n v="10"/>
    <n v="0.24637679272699975"/>
    <n v="1.3667838287404401"/>
    <n v="0.1644554352117841"/>
    <n v="0.48834154112957734"/>
    <n v="9.9604847176766084E-2"/>
    <n v="0.11780475942994788"/>
    <n v="0.36858985273641137"/>
  </r>
  <r>
    <n v="50"/>
    <n v="50"/>
    <s v="Yes"/>
    <n v="1"/>
    <s v="Travel_Frequently"/>
    <n v="1"/>
    <n v="0"/>
    <x v="0"/>
    <n v="0"/>
    <n v="1"/>
    <n v="1"/>
    <n v="1"/>
    <n v="4"/>
    <s v="Life Sciences"/>
    <n v="1"/>
    <n v="0"/>
    <n v="0"/>
    <n v="0"/>
    <n v="0"/>
    <n v="2"/>
    <s v="Male"/>
    <n v="0"/>
    <n v="94"/>
    <n v="3"/>
    <n v="2"/>
    <s v="Sales Executive"/>
    <n v="0"/>
    <n v="1"/>
    <n v="0"/>
    <n v="0"/>
    <n v="0"/>
    <n v="0"/>
    <n v="0"/>
    <n v="0"/>
    <n v="3"/>
    <s v="Divorced"/>
    <n v="0"/>
    <n v="0"/>
    <n v="6728"/>
    <n v="6728"/>
    <n v="7"/>
    <s v="No"/>
    <n v="0"/>
    <n v="12"/>
    <n v="3"/>
    <n v="4"/>
    <n v="2"/>
    <n v="12"/>
    <x v="4"/>
    <n v="3"/>
    <n v="3"/>
    <n v="6"/>
    <n v="6"/>
    <n v="3"/>
    <n v="0"/>
    <n v="0"/>
    <n v="1"/>
    <n v="1"/>
    <n v="2"/>
    <n v="0"/>
    <n v="0"/>
    <n v="1"/>
    <n v="0"/>
    <n v="1"/>
    <n v="0"/>
    <n v="0"/>
    <n v="0"/>
    <n v="0"/>
    <n v="0"/>
    <n v="1"/>
    <n v="0"/>
    <n v="0"/>
    <n v="12"/>
    <n v="4.7806026659167881E-2"/>
    <n v="0.87528310193156111"/>
    <n v="9.2588147734864096E-2"/>
    <n v="0.16455710867531462"/>
    <n v="1.01056543769991"/>
    <n v="1.4313799530736149"/>
    <n v="0.67891464284095016"/>
  </r>
  <r>
    <n v="36"/>
    <n v="36"/>
    <s v="No"/>
    <n v="0"/>
    <s v="Travel_Rarely"/>
    <n v="0"/>
    <n v="1"/>
    <x v="0"/>
    <n v="0"/>
    <n v="1"/>
    <n v="11"/>
    <n v="11"/>
    <n v="4"/>
    <s v="Marketing"/>
    <n v="0"/>
    <n v="0"/>
    <n v="0"/>
    <n v="1"/>
    <n v="0"/>
    <n v="2"/>
    <s v="Female"/>
    <n v="1"/>
    <n v="100"/>
    <n v="2"/>
    <n v="2"/>
    <s v="Sales Executive"/>
    <n v="0"/>
    <n v="1"/>
    <n v="0"/>
    <n v="0"/>
    <n v="0"/>
    <n v="0"/>
    <n v="0"/>
    <n v="0"/>
    <n v="4"/>
    <s v="Married"/>
    <n v="0"/>
    <n v="1"/>
    <n v="6652"/>
    <n v="6652"/>
    <n v="4"/>
    <s v="No"/>
    <n v="0"/>
    <n v="13"/>
    <n v="3"/>
    <n v="1"/>
    <n v="1"/>
    <n v="8"/>
    <x v="0"/>
    <n v="2"/>
    <n v="2"/>
    <n v="6"/>
    <n v="6"/>
    <n v="3"/>
    <n v="0"/>
    <n v="0"/>
    <n v="0"/>
    <n v="0"/>
    <n v="0"/>
    <n v="0"/>
    <n v="1"/>
    <n v="0"/>
    <n v="0"/>
    <n v="0"/>
    <n v="0"/>
    <n v="1"/>
    <n v="0"/>
    <n v="0"/>
    <n v="0"/>
    <n v="0"/>
    <n v="0"/>
    <n v="0"/>
    <n v="8"/>
    <n v="3.1663142707291536E-2"/>
    <n v="1.1555414682655611"/>
    <n v="0.42149901815843233"/>
    <n v="0.16455710867531462"/>
    <n v="0.22295710105195232"/>
    <n v="0.10112443951066327"/>
    <n v="0.67891464284095016"/>
  </r>
  <r>
    <n v="45"/>
    <n v="45"/>
    <s v="No"/>
    <n v="0"/>
    <s v="Travel_Rarely"/>
    <n v="0"/>
    <n v="1"/>
    <x v="0"/>
    <n v="0"/>
    <n v="1"/>
    <n v="20"/>
    <n v="20"/>
    <n v="3"/>
    <s v="Life Sciences"/>
    <n v="1"/>
    <n v="0"/>
    <n v="0"/>
    <n v="0"/>
    <n v="0"/>
    <n v="4"/>
    <s v="Female"/>
    <n v="1"/>
    <n v="50"/>
    <n v="3"/>
    <n v="2"/>
    <s v="Sales Executive"/>
    <n v="0"/>
    <n v="1"/>
    <n v="0"/>
    <n v="0"/>
    <n v="0"/>
    <n v="0"/>
    <n v="0"/>
    <n v="0"/>
    <n v="3"/>
    <s v="Single"/>
    <n v="1"/>
    <n v="0"/>
    <n v="4850"/>
    <n v="4850"/>
    <n v="8"/>
    <s v="No"/>
    <n v="0"/>
    <n v="15"/>
    <n v="3"/>
    <n v="3"/>
    <n v="0"/>
    <n v="8"/>
    <x v="0"/>
    <n v="3"/>
    <n v="3"/>
    <n v="5"/>
    <n v="5"/>
    <n v="3"/>
    <n v="0"/>
    <n v="0"/>
    <n v="1"/>
    <n v="1"/>
    <n v="2"/>
    <n v="1"/>
    <n v="0"/>
    <n v="0"/>
    <n v="0"/>
    <n v="1"/>
    <n v="0"/>
    <n v="0"/>
    <n v="0"/>
    <n v="0"/>
    <n v="0"/>
    <n v="1"/>
    <n v="0"/>
    <n v="0"/>
    <n v="8"/>
    <n v="0.35109313204640819"/>
    <n v="0.87528310193156111"/>
    <n v="0.42149901815843233"/>
    <n v="0.32778177112653761"/>
    <n v="1.3331273859286286"/>
    <n v="0.88405695572208698"/>
    <n v="0.67891464284095016"/>
  </r>
  <r>
    <n v="40"/>
    <n v="40"/>
    <s v="No"/>
    <n v="0"/>
    <s v="Travel_Rarely"/>
    <n v="0"/>
    <n v="1"/>
    <x v="1"/>
    <n v="1"/>
    <n v="0"/>
    <n v="2"/>
    <n v="2"/>
    <n v="4"/>
    <s v="Life Sciences"/>
    <n v="1"/>
    <n v="0"/>
    <n v="0"/>
    <n v="0"/>
    <n v="0"/>
    <n v="3"/>
    <s v="Male"/>
    <n v="0"/>
    <n v="52"/>
    <n v="2"/>
    <n v="1"/>
    <s v="Research Scientist"/>
    <n v="0"/>
    <n v="0"/>
    <n v="0"/>
    <n v="0"/>
    <n v="0"/>
    <n v="0"/>
    <n v="0"/>
    <n v="1"/>
    <n v="3"/>
    <s v="Single"/>
    <n v="1"/>
    <n v="0"/>
    <n v="2809"/>
    <n v="2809"/>
    <n v="2"/>
    <s v="No"/>
    <n v="0"/>
    <n v="14"/>
    <n v="3"/>
    <n v="4"/>
    <n v="0"/>
    <n v="8"/>
    <x v="0"/>
    <n v="2"/>
    <n v="3"/>
    <n v="2"/>
    <n v="2"/>
    <n v="2"/>
    <n v="2"/>
    <n v="2"/>
    <n v="2"/>
    <n v="2"/>
    <n v="2"/>
    <n v="1"/>
    <n v="0"/>
    <n v="0"/>
    <n v="0"/>
    <n v="1"/>
    <n v="0"/>
    <n v="0"/>
    <n v="0"/>
    <n v="0"/>
    <n v="2"/>
    <n v="0"/>
    <n v="0"/>
    <n v="8"/>
    <n v="0"/>
    <n v="0.78461452870140325"/>
    <n v="0.59502473559756086"/>
    <n v="0.42149901815843233"/>
    <n v="0.81745575848020657"/>
    <n v="0.88721318382472392"/>
    <n v="0.33673395837055903"/>
    <n v="5.8265062631872602E-2"/>
  </r>
  <r>
    <n v="35"/>
    <n v="35"/>
    <s v="No"/>
    <n v="0"/>
    <s v="Travel_Frequently"/>
    <n v="1"/>
    <n v="0"/>
    <x v="1"/>
    <n v="1"/>
    <n v="0"/>
    <n v="18"/>
    <n v="18"/>
    <n v="4"/>
    <s v="Life Sciences"/>
    <n v="1"/>
    <n v="0"/>
    <n v="0"/>
    <n v="0"/>
    <n v="0"/>
    <n v="3"/>
    <s v="Male"/>
    <n v="0"/>
    <n v="80"/>
    <n v="3"/>
    <n v="2"/>
    <s v="Healthcare Representative"/>
    <n v="1"/>
    <n v="0"/>
    <n v="0"/>
    <n v="0"/>
    <n v="0"/>
    <n v="0"/>
    <n v="0"/>
    <n v="0"/>
    <n v="3"/>
    <s v="Married"/>
    <n v="0"/>
    <n v="1"/>
    <n v="5689"/>
    <n v="5689"/>
    <n v="1"/>
    <s v="Yes"/>
    <n v="1"/>
    <n v="14"/>
    <n v="3"/>
    <n v="4"/>
    <n v="2"/>
    <n v="10"/>
    <x v="1"/>
    <n v="2"/>
    <n v="4"/>
    <n v="10"/>
    <n v="10"/>
    <n v="2"/>
    <n v="0"/>
    <n v="0"/>
    <n v="2"/>
    <n v="2"/>
    <n v="4"/>
    <n v="0"/>
    <n v="0"/>
    <n v="0"/>
    <n v="1"/>
    <n v="0"/>
    <n v="0"/>
    <n v="0"/>
    <n v="1"/>
    <n v="0"/>
    <n v="2"/>
    <n v="0"/>
    <n v="0"/>
    <n v="10"/>
    <n v="0"/>
    <n v="0.1728841894724048"/>
    <n v="0.59502473559756086"/>
    <n v="0.1644554352117841"/>
    <n v="0.48834154112957734"/>
    <n v="1.0864228781782561"/>
    <n v="0.21058903898096887"/>
    <n v="0.67891464284095016"/>
  </r>
  <r>
    <n v="40"/>
    <n v="40"/>
    <s v="No"/>
    <n v="0"/>
    <s v="Travel_Rarely"/>
    <n v="0"/>
    <n v="1"/>
    <x v="1"/>
    <n v="1"/>
    <n v="0"/>
    <n v="2"/>
    <n v="2"/>
    <n v="4"/>
    <s v="Medical"/>
    <n v="0"/>
    <n v="0"/>
    <n v="1"/>
    <n v="0"/>
    <n v="0"/>
    <n v="3"/>
    <s v="Female"/>
    <n v="1"/>
    <n v="98"/>
    <n v="3"/>
    <n v="1"/>
    <s v="Research Scientist"/>
    <n v="0"/>
    <n v="0"/>
    <n v="0"/>
    <n v="0"/>
    <n v="0"/>
    <n v="0"/>
    <n v="0"/>
    <n v="1"/>
    <n v="3"/>
    <s v="Married"/>
    <n v="0"/>
    <n v="1"/>
    <n v="2001"/>
    <n v="2001"/>
    <n v="2"/>
    <s v="No"/>
    <n v="0"/>
    <n v="14"/>
    <n v="3"/>
    <n v="2"/>
    <n v="3"/>
    <n v="20"/>
    <x v="25"/>
    <n v="2"/>
    <n v="3"/>
    <n v="5"/>
    <n v="5"/>
    <n v="3"/>
    <n v="0"/>
    <n v="0"/>
    <n v="2"/>
    <n v="2"/>
    <n v="2"/>
    <n v="0"/>
    <n v="1"/>
    <n v="0"/>
    <n v="0"/>
    <n v="0"/>
    <n v="0"/>
    <n v="1"/>
    <n v="0"/>
    <n v="0"/>
    <n v="2"/>
    <n v="0"/>
    <n v="0"/>
    <n v="20"/>
    <n v="0"/>
    <n v="0.95623887387398332"/>
    <n v="0.59502473559756086"/>
    <n v="1.120762479521457"/>
    <n v="0.32778177112653761"/>
    <n v="0.88721318382472392"/>
    <n v="0.33673395837055903"/>
    <n v="0.67891464284095016"/>
  </r>
  <r>
    <n v="35"/>
    <n v="35"/>
    <s v="No"/>
    <n v="0"/>
    <s v="Travel_Rarely"/>
    <n v="0"/>
    <n v="1"/>
    <x v="1"/>
    <n v="1"/>
    <n v="0"/>
    <n v="1"/>
    <n v="1"/>
    <n v="4"/>
    <s v="Life Sciences"/>
    <n v="1"/>
    <n v="0"/>
    <n v="0"/>
    <n v="0"/>
    <n v="0"/>
    <n v="3"/>
    <s v="Female"/>
    <n v="1"/>
    <n v="62"/>
    <n v="1"/>
    <n v="1"/>
    <s v="Research Scientist"/>
    <n v="0"/>
    <n v="0"/>
    <n v="0"/>
    <n v="0"/>
    <n v="0"/>
    <n v="0"/>
    <n v="0"/>
    <n v="1"/>
    <n v="4"/>
    <s v="Married"/>
    <n v="0"/>
    <n v="1"/>
    <n v="2977"/>
    <n v="2977"/>
    <n v="1"/>
    <s v="No"/>
    <n v="0"/>
    <n v="12"/>
    <n v="3"/>
    <n v="4"/>
    <n v="1"/>
    <n v="4"/>
    <x v="20"/>
    <n v="5"/>
    <n v="3"/>
    <n v="4"/>
    <n v="4"/>
    <n v="3"/>
    <n v="1"/>
    <n v="1"/>
    <n v="1"/>
    <n v="1"/>
    <n v="1"/>
    <n v="0"/>
    <n v="1"/>
    <n v="0"/>
    <n v="0"/>
    <n v="0"/>
    <n v="0"/>
    <n v="1"/>
    <n v="0"/>
    <n v="0"/>
    <n v="1"/>
    <n v="0"/>
    <n v="0"/>
    <n v="4"/>
    <n v="0"/>
    <n v="0.74893025891304499"/>
    <n v="0.87528310193156111"/>
    <n v="0.93558618405172878"/>
    <n v="0.49100643357776058"/>
    <n v="1.01056543769991"/>
    <n v="0.21058903898096887"/>
    <n v="0.36858985273641137"/>
  </r>
  <r>
    <n v="29"/>
    <n v="29"/>
    <s v="No"/>
    <n v="0"/>
    <s v="Travel_Rarely"/>
    <n v="0"/>
    <n v="1"/>
    <x v="1"/>
    <n v="1"/>
    <n v="0"/>
    <n v="13"/>
    <n v="13"/>
    <n v="2"/>
    <s v="Other"/>
    <n v="0"/>
    <n v="1"/>
    <n v="0"/>
    <n v="0"/>
    <n v="0"/>
    <n v="4"/>
    <s v="Male"/>
    <n v="0"/>
    <n v="46"/>
    <n v="2"/>
    <n v="2"/>
    <s v="Laboratory Technician"/>
    <n v="0"/>
    <n v="0"/>
    <n v="1"/>
    <n v="0"/>
    <n v="0"/>
    <n v="0"/>
    <n v="0"/>
    <n v="0"/>
    <n v="2"/>
    <s v="Married"/>
    <n v="0"/>
    <n v="1"/>
    <n v="4025"/>
    <n v="4025"/>
    <n v="4"/>
    <s v="Yes"/>
    <n v="1"/>
    <n v="13"/>
    <n v="3"/>
    <n v="1"/>
    <n v="1"/>
    <n v="10"/>
    <x v="1"/>
    <n v="2"/>
    <n v="3"/>
    <n v="4"/>
    <n v="4"/>
    <n v="3"/>
    <n v="0"/>
    <n v="0"/>
    <n v="3"/>
    <n v="3"/>
    <n v="6"/>
    <n v="0"/>
    <n v="1"/>
    <n v="0"/>
    <n v="0"/>
    <n v="0"/>
    <n v="0"/>
    <n v="0"/>
    <n v="1"/>
    <n v="0"/>
    <n v="3"/>
    <n v="0"/>
    <n v="0"/>
    <n v="10"/>
    <n v="0"/>
    <n v="0.52632838547138172"/>
    <n v="0.31476636926356072"/>
    <n v="0.1644554352117841"/>
    <n v="0.49100643357776058"/>
    <n v="0.46966160880232483"/>
    <n v="0.86737663580280233"/>
    <n v="0.67891464284095016"/>
  </r>
  <r>
    <n v="29"/>
    <n v="29"/>
    <s v="No"/>
    <n v="0"/>
    <s v="Travel_Rarely"/>
    <n v="0"/>
    <n v="1"/>
    <x v="1"/>
    <n v="1"/>
    <n v="0"/>
    <n v="28"/>
    <n v="28"/>
    <n v="4"/>
    <s v="Medical"/>
    <n v="0"/>
    <n v="0"/>
    <n v="1"/>
    <n v="0"/>
    <n v="0"/>
    <n v="4"/>
    <s v="Female"/>
    <n v="1"/>
    <n v="73"/>
    <n v="2"/>
    <n v="1"/>
    <s v="Research Scientist"/>
    <n v="0"/>
    <n v="0"/>
    <n v="0"/>
    <n v="0"/>
    <n v="0"/>
    <n v="0"/>
    <n v="0"/>
    <n v="1"/>
    <n v="1"/>
    <s v="Single"/>
    <n v="1"/>
    <n v="0"/>
    <n v="3785"/>
    <n v="3785"/>
    <n v="1"/>
    <s v="No"/>
    <n v="0"/>
    <n v="14"/>
    <n v="3"/>
    <n v="2"/>
    <n v="0"/>
    <n v="5"/>
    <x v="7"/>
    <n v="3"/>
    <n v="1"/>
    <n v="5"/>
    <n v="5"/>
    <n v="4"/>
    <n v="0"/>
    <n v="0"/>
    <n v="4"/>
    <n v="4"/>
    <n v="4"/>
    <n v="1"/>
    <n v="0"/>
    <n v="0"/>
    <n v="0"/>
    <n v="1"/>
    <n v="0"/>
    <n v="0"/>
    <n v="0"/>
    <n v="0"/>
    <n v="4"/>
    <n v="0"/>
    <n v="0"/>
    <n v="5"/>
    <n v="0"/>
    <n v="0.57730591374046492"/>
    <n v="3.4508002929560584E-2"/>
    <n v="0.80706439257840468"/>
    <n v="0.32778177112653761"/>
    <n v="2.3199454169301186"/>
    <n v="0.86737663580280233"/>
    <n v="0.67891464284095016"/>
  </r>
  <r>
    <n v="50"/>
    <n v="50"/>
    <s v="Yes"/>
    <n v="1"/>
    <s v="Travel_Rarely"/>
    <n v="0"/>
    <n v="1"/>
    <x v="0"/>
    <n v="0"/>
    <n v="1"/>
    <n v="28"/>
    <n v="28"/>
    <n v="3"/>
    <s v="Marketing"/>
    <n v="0"/>
    <n v="0"/>
    <n v="0"/>
    <n v="1"/>
    <n v="0"/>
    <n v="4"/>
    <s v="Male"/>
    <n v="0"/>
    <n v="39"/>
    <n v="2"/>
    <n v="3"/>
    <s v="Sales Executive"/>
    <n v="0"/>
    <n v="1"/>
    <n v="0"/>
    <n v="0"/>
    <n v="0"/>
    <n v="0"/>
    <n v="0"/>
    <n v="0"/>
    <n v="1"/>
    <s v="Divorced"/>
    <n v="0"/>
    <n v="0"/>
    <n v="10854"/>
    <n v="10854"/>
    <n v="4"/>
    <s v="Yes"/>
    <n v="1"/>
    <n v="13"/>
    <n v="3"/>
    <n v="2"/>
    <n v="1"/>
    <n v="20"/>
    <x v="25"/>
    <n v="3"/>
    <n v="3"/>
    <n v="3"/>
    <n v="3"/>
    <n v="2"/>
    <n v="2"/>
    <n v="2"/>
    <n v="0"/>
    <n v="0"/>
    <n v="0"/>
    <n v="1"/>
    <n v="0"/>
    <n v="0"/>
    <n v="0"/>
    <n v="0"/>
    <n v="1"/>
    <n v="0"/>
    <n v="0"/>
    <n v="0"/>
    <n v="0"/>
    <n v="0"/>
    <n v="0"/>
    <n v="0"/>
    <n v="20"/>
    <n v="0.92419470015182326"/>
    <n v="1.1555414682655611"/>
    <n v="1.120762479521457"/>
    <n v="0.65423109602898355"/>
    <n v="2.3199454169301186"/>
    <n v="1.4313799530736149"/>
    <n v="5.8265062631872602E-2"/>
  </r>
  <r>
    <n v="39"/>
    <n v="39"/>
    <s v="No"/>
    <n v="0"/>
    <s v="Travel_Rarely"/>
    <n v="0"/>
    <n v="1"/>
    <x v="0"/>
    <n v="0"/>
    <n v="1"/>
    <n v="24"/>
    <n v="24"/>
    <n v="1"/>
    <s v="Marketing"/>
    <n v="0"/>
    <n v="0"/>
    <n v="0"/>
    <n v="1"/>
    <n v="0"/>
    <n v="2"/>
    <s v="Female"/>
    <n v="1"/>
    <n v="60"/>
    <n v="2"/>
    <n v="4"/>
    <s v="Sales Executive"/>
    <n v="0"/>
    <n v="1"/>
    <n v="0"/>
    <n v="0"/>
    <n v="0"/>
    <n v="0"/>
    <n v="0"/>
    <n v="0"/>
    <n v="4"/>
    <s v="Married"/>
    <n v="0"/>
    <n v="1"/>
    <n v="12031"/>
    <n v="12031"/>
    <n v="0"/>
    <s v="No"/>
    <n v="0"/>
    <n v="11"/>
    <n v="3"/>
    <n v="1"/>
    <n v="1"/>
    <n v="21"/>
    <x v="23"/>
    <n v="2"/>
    <n v="2"/>
    <n v="20"/>
    <n v="20"/>
    <n v="9"/>
    <n v="9"/>
    <n v="9"/>
    <n v="6"/>
    <n v="6"/>
    <n v="24"/>
    <n v="0"/>
    <n v="1"/>
    <n v="0"/>
    <n v="0"/>
    <n v="0"/>
    <n v="0"/>
    <n v="1"/>
    <n v="0"/>
    <n v="0"/>
    <n v="0"/>
    <n v="6"/>
    <n v="0"/>
    <n v="0"/>
    <n v="21"/>
    <n v="1.1741969950381188"/>
    <n v="0.52600872973843971"/>
    <n v="1.2492842709947811"/>
    <n v="2.1205881656418071"/>
    <n v="1.8265364014293735"/>
    <n v="0.22726935890025346"/>
    <n v="2.114008468099899"/>
  </r>
  <r>
    <n v="31"/>
    <n v="31"/>
    <s v="No"/>
    <n v="0"/>
    <s v="Non-Travel"/>
    <n v="0"/>
    <n v="0"/>
    <x v="1"/>
    <n v="1"/>
    <n v="0"/>
    <n v="5"/>
    <n v="5"/>
    <n v="3"/>
    <s v="Medical"/>
    <n v="0"/>
    <n v="0"/>
    <n v="1"/>
    <n v="0"/>
    <n v="0"/>
    <n v="2"/>
    <s v="Male"/>
    <n v="0"/>
    <n v="74"/>
    <n v="3"/>
    <n v="2"/>
    <s v="Manufacturing Director"/>
    <n v="0"/>
    <n v="0"/>
    <n v="0"/>
    <n v="0"/>
    <n v="1"/>
    <n v="1"/>
    <n v="0"/>
    <n v="0"/>
    <n v="1"/>
    <s v="Single"/>
    <n v="1"/>
    <n v="0"/>
    <n v="9936"/>
    <n v="9936"/>
    <n v="0"/>
    <s v="No"/>
    <n v="0"/>
    <n v="19"/>
    <n v="3"/>
    <n v="2"/>
    <n v="0"/>
    <n v="10"/>
    <x v="1"/>
    <n v="2"/>
    <n v="3"/>
    <n v="9"/>
    <n v="9"/>
    <n v="4"/>
    <n v="1"/>
    <n v="1"/>
    <n v="7"/>
    <n v="7"/>
    <n v="14"/>
    <n v="1"/>
    <n v="0"/>
    <n v="0"/>
    <n v="0"/>
    <n v="1"/>
    <n v="0"/>
    <n v="0"/>
    <n v="0"/>
    <n v="0"/>
    <n v="7"/>
    <n v="0"/>
    <n v="0"/>
    <n v="10"/>
    <n v="0"/>
    <n v="0.72920565452258002"/>
    <n v="0.80626709607243985"/>
    <n v="0.1644554352117841"/>
    <n v="0.32511687867835437"/>
    <n v="0.51715642219916513"/>
    <n v="0.6484474368621912"/>
    <n v="0.36858985273641137"/>
  </r>
  <r>
    <n v="26"/>
    <n v="26"/>
    <s v="No"/>
    <n v="0"/>
    <s v="Travel_Rarely"/>
    <n v="0"/>
    <n v="1"/>
    <x v="0"/>
    <n v="0"/>
    <n v="1"/>
    <n v="5"/>
    <n v="5"/>
    <n v="3"/>
    <s v="Other"/>
    <n v="0"/>
    <n v="1"/>
    <n v="0"/>
    <n v="0"/>
    <n v="0"/>
    <n v="4"/>
    <s v="Female"/>
    <n v="1"/>
    <n v="30"/>
    <n v="2"/>
    <n v="1"/>
    <s v="Sales Representative"/>
    <n v="0"/>
    <n v="0"/>
    <n v="0"/>
    <n v="0"/>
    <n v="0"/>
    <n v="0"/>
    <n v="1"/>
    <n v="0"/>
    <n v="3"/>
    <s v="Single"/>
    <n v="1"/>
    <n v="0"/>
    <n v="2966"/>
    <n v="2966"/>
    <n v="0"/>
    <s v="No"/>
    <n v="0"/>
    <n v="18"/>
    <n v="3"/>
    <n v="4"/>
    <n v="0"/>
    <n v="5"/>
    <x v="7"/>
    <n v="2"/>
    <n v="3"/>
    <n v="4"/>
    <n v="4"/>
    <n v="2"/>
    <n v="0"/>
    <n v="0"/>
    <n v="0"/>
    <n v="0"/>
    <n v="0"/>
    <n v="1"/>
    <n v="0"/>
    <n v="0"/>
    <n v="0"/>
    <n v="1"/>
    <n v="0"/>
    <n v="0"/>
    <n v="0"/>
    <n v="0"/>
    <n v="0"/>
    <n v="0"/>
    <n v="0"/>
    <n v="0"/>
    <n v="5"/>
    <n v="0.75126672895871127"/>
    <n v="1.1555414682655611"/>
    <n v="0.80706439257840468"/>
    <n v="0.49100643357776058"/>
    <n v="0.51715642219916513"/>
    <n v="1.195770434213719"/>
    <n v="0.67891464284095016"/>
  </r>
  <r>
    <n v="36"/>
    <n v="36"/>
    <s v="No"/>
    <n v="0"/>
    <s v="Travel_Frequently"/>
    <n v="1"/>
    <n v="0"/>
    <x v="1"/>
    <n v="1"/>
    <n v="0"/>
    <n v="23"/>
    <n v="23"/>
    <n v="2"/>
    <s v="Medical"/>
    <n v="0"/>
    <n v="0"/>
    <n v="1"/>
    <n v="0"/>
    <n v="0"/>
    <n v="3"/>
    <s v="Male"/>
    <n v="0"/>
    <n v="41"/>
    <n v="4"/>
    <n v="2"/>
    <s v="Laboratory Technician"/>
    <n v="0"/>
    <n v="0"/>
    <n v="1"/>
    <n v="0"/>
    <n v="0"/>
    <n v="0"/>
    <n v="0"/>
    <n v="0"/>
    <n v="4"/>
    <s v="Married"/>
    <n v="0"/>
    <n v="1"/>
    <n v="2571"/>
    <n v="2571"/>
    <n v="4"/>
    <s v="No"/>
    <n v="0"/>
    <n v="17"/>
    <n v="3"/>
    <n v="3"/>
    <n v="1"/>
    <n v="17"/>
    <x v="6"/>
    <n v="3"/>
    <n v="3"/>
    <n v="5"/>
    <n v="5"/>
    <n v="2"/>
    <n v="0"/>
    <n v="0"/>
    <n v="3"/>
    <n v="3"/>
    <n v="6"/>
    <n v="0"/>
    <n v="0"/>
    <n v="0"/>
    <n v="1"/>
    <n v="0"/>
    <n v="0"/>
    <n v="1"/>
    <n v="0"/>
    <n v="0"/>
    <n v="3"/>
    <n v="0"/>
    <n v="0"/>
    <n v="17"/>
    <n v="0"/>
    <n v="0.83516724423491073"/>
    <n v="0.31476636926356072"/>
    <n v="0.73519710510148462"/>
    <n v="0.32778177112653761"/>
    <n v="1.7031841475541873"/>
    <n v="0.10112443951066327"/>
    <n v="0.67891464284095016"/>
  </r>
  <r>
    <n v="39"/>
    <n v="39"/>
    <s v="No"/>
    <n v="0"/>
    <s v="Travel_Rarely"/>
    <n v="0"/>
    <n v="1"/>
    <x v="1"/>
    <n v="1"/>
    <n v="0"/>
    <n v="6"/>
    <n v="6"/>
    <n v="1"/>
    <s v="Medical"/>
    <n v="0"/>
    <n v="0"/>
    <n v="1"/>
    <n v="0"/>
    <n v="0"/>
    <n v="4"/>
    <s v="Male"/>
    <n v="0"/>
    <n v="42"/>
    <n v="2"/>
    <n v="3"/>
    <s v="Healthcare Representative"/>
    <n v="1"/>
    <n v="0"/>
    <n v="0"/>
    <n v="0"/>
    <n v="0"/>
    <n v="0"/>
    <n v="0"/>
    <n v="0"/>
    <n v="1"/>
    <s v="Married"/>
    <n v="0"/>
    <n v="1"/>
    <n v="9991"/>
    <n v="9991"/>
    <n v="4"/>
    <s v="No"/>
    <n v="0"/>
    <n v="15"/>
    <n v="3"/>
    <n v="1"/>
    <n v="1"/>
    <n v="9"/>
    <x v="14"/>
    <n v="5"/>
    <n v="3"/>
    <n v="7"/>
    <n v="7"/>
    <n v="7"/>
    <n v="1"/>
    <n v="1"/>
    <n v="7"/>
    <n v="7"/>
    <n v="21"/>
    <n v="0"/>
    <n v="1"/>
    <n v="0"/>
    <n v="0"/>
    <n v="0"/>
    <n v="0"/>
    <n v="1"/>
    <n v="0"/>
    <n v="0"/>
    <n v="7"/>
    <n v="0"/>
    <n v="0"/>
    <n v="9"/>
    <n v="0"/>
    <n v="0.74088800475091154"/>
    <n v="0.80626709607243985"/>
    <n v="0.29297722668510823"/>
    <n v="1.3324462240916321E-3"/>
    <n v="0.39380416832397891"/>
    <n v="0.22726935890025346"/>
    <n v="0.36858985273641137"/>
  </r>
  <r>
    <n v="27"/>
    <n v="27"/>
    <s v="No"/>
    <n v="0"/>
    <s v="Travel_Rarely"/>
    <n v="0"/>
    <n v="1"/>
    <x v="1"/>
    <n v="1"/>
    <n v="0"/>
    <n v="4"/>
    <n v="4"/>
    <n v="3"/>
    <s v="Life Sciences"/>
    <n v="1"/>
    <n v="0"/>
    <n v="0"/>
    <n v="0"/>
    <n v="0"/>
    <n v="2"/>
    <s v="Male"/>
    <n v="0"/>
    <n v="87"/>
    <n v="4"/>
    <n v="2"/>
    <s v="Manufacturing Director"/>
    <n v="0"/>
    <n v="0"/>
    <n v="0"/>
    <n v="0"/>
    <n v="1"/>
    <n v="1"/>
    <n v="0"/>
    <n v="0"/>
    <n v="2"/>
    <s v="Married"/>
    <n v="0"/>
    <n v="1"/>
    <n v="6142"/>
    <n v="6142"/>
    <n v="1"/>
    <s v="Yes"/>
    <n v="1"/>
    <n v="20"/>
    <n v="4"/>
    <n v="2"/>
    <n v="1"/>
    <n v="6"/>
    <x v="3"/>
    <n v="0"/>
    <n v="3"/>
    <n v="6"/>
    <n v="6"/>
    <n v="2"/>
    <n v="0"/>
    <n v="0"/>
    <n v="3"/>
    <n v="3"/>
    <n v="6"/>
    <n v="0"/>
    <n v="1"/>
    <n v="0"/>
    <n v="0"/>
    <n v="0"/>
    <n v="0"/>
    <n v="0"/>
    <n v="1"/>
    <n v="0"/>
    <n v="3"/>
    <n v="0"/>
    <n v="0"/>
    <n v="6"/>
    <n v="0"/>
    <n v="7.6664104864510266E-2"/>
    <n v="0.31476636926356072"/>
    <n v="0.67854260110508058"/>
    <n v="0.16455710867531462"/>
    <n v="0.64050867607435136"/>
    <n v="1.0863058347434136"/>
    <n v="0.67891464284095016"/>
  </r>
  <r>
    <n v="49"/>
    <n v="49"/>
    <s v="No"/>
    <n v="0"/>
    <s v="Travel_Frequently"/>
    <n v="1"/>
    <n v="0"/>
    <x v="0"/>
    <n v="0"/>
    <n v="1"/>
    <n v="2"/>
    <n v="2"/>
    <n v="3"/>
    <s v="Medical"/>
    <n v="0"/>
    <n v="0"/>
    <n v="1"/>
    <n v="0"/>
    <n v="0"/>
    <n v="4"/>
    <s v="Male"/>
    <n v="0"/>
    <n v="63"/>
    <n v="2"/>
    <n v="2"/>
    <s v="Sales Executive"/>
    <n v="0"/>
    <n v="1"/>
    <n v="0"/>
    <n v="0"/>
    <n v="0"/>
    <n v="0"/>
    <n v="0"/>
    <n v="0"/>
    <n v="2"/>
    <s v="Married"/>
    <n v="0"/>
    <n v="1"/>
    <n v="5390"/>
    <n v="5390"/>
    <n v="2"/>
    <s v="No"/>
    <n v="0"/>
    <n v="14"/>
    <n v="3"/>
    <n v="4"/>
    <n v="0"/>
    <n v="17"/>
    <x v="6"/>
    <n v="3"/>
    <n v="2"/>
    <n v="9"/>
    <n v="9"/>
    <n v="6"/>
    <n v="0"/>
    <n v="0"/>
    <n v="8"/>
    <n v="8"/>
    <n v="16"/>
    <n v="0"/>
    <n v="0"/>
    <n v="0"/>
    <n v="1"/>
    <n v="0"/>
    <n v="0"/>
    <n v="1"/>
    <n v="0"/>
    <n v="0"/>
    <n v="0"/>
    <n v="8"/>
    <n v="0"/>
    <n v="0"/>
    <n v="17"/>
    <n v="0.23639369344097097"/>
    <n v="1.08652546240644"/>
    <n v="0.73519710510148462"/>
    <n v="0.32511687867835437"/>
    <n v="0.88721318382472392"/>
    <n v="1.3219153536033093"/>
    <n v="0.67891464284095016"/>
  </r>
  <r>
    <n v="34"/>
    <n v="34"/>
    <s v="No"/>
    <n v="0"/>
    <s v="Travel_Rarely"/>
    <n v="0"/>
    <n v="1"/>
    <x v="1"/>
    <n v="1"/>
    <n v="0"/>
    <n v="8"/>
    <n v="8"/>
    <n v="3"/>
    <s v="Medical"/>
    <n v="0"/>
    <n v="0"/>
    <n v="1"/>
    <n v="0"/>
    <n v="0"/>
    <n v="2"/>
    <s v="Male"/>
    <n v="0"/>
    <n v="82"/>
    <n v="4"/>
    <n v="2"/>
    <s v="Laboratory Technician"/>
    <n v="0"/>
    <n v="0"/>
    <n v="1"/>
    <n v="0"/>
    <n v="0"/>
    <n v="0"/>
    <n v="0"/>
    <n v="0"/>
    <n v="3"/>
    <s v="Married"/>
    <n v="0"/>
    <n v="1"/>
    <n v="4404"/>
    <n v="4404"/>
    <n v="2"/>
    <s v="No"/>
    <n v="0"/>
    <n v="12"/>
    <n v="3"/>
    <n v="1"/>
    <n v="0"/>
    <n v="6"/>
    <x v="3"/>
    <n v="3"/>
    <n v="4"/>
    <n v="4"/>
    <n v="4"/>
    <n v="3"/>
    <n v="1"/>
    <n v="1"/>
    <n v="2"/>
    <n v="2"/>
    <n v="4"/>
    <n v="0"/>
    <n v="1"/>
    <n v="0"/>
    <n v="0"/>
    <n v="0"/>
    <n v="0"/>
    <n v="1"/>
    <n v="0"/>
    <n v="0"/>
    <n v="2"/>
    <n v="0"/>
    <n v="0"/>
    <n v="6"/>
    <n v="0"/>
    <n v="0.44582637207978776"/>
    <n v="0.59502473559756086"/>
    <n v="0.67854260110508058"/>
    <n v="0.49100643357776058"/>
    <n v="0.14709966057360641"/>
    <n v="0.32005363845127444"/>
    <n v="0.368589852736411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E31D8E-9087-40BB-9E7F-A7C329B21179}"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C18" firstHeaderRow="1" firstDataRow="1" firstDataCol="0"/>
  <pivotFields count="59">
    <pivotField showAll="0"/>
    <pivotField showAll="0"/>
    <pivotField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51:D55" firstHeaderRow="1" firstDataRow="2" firstDataCol="1"/>
  <pivotFields count="53">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3">
    <i>
      <x/>
    </i>
    <i>
      <x v="1"/>
    </i>
    <i t="grand">
      <x/>
    </i>
  </rowItems>
  <colFields count="1">
    <field x="1"/>
  </colFields>
  <colItems count="3">
    <i>
      <x/>
    </i>
    <i>
      <x v="1"/>
    </i>
    <i t="grand">
      <x/>
    </i>
  </colItems>
  <dataFields count="1">
    <dataField name="Count of Attrition" fld="1" subtotal="count" baseField="19" baseItem="1"/>
  </dataFields>
  <chartFormats count="12">
    <chartFormat chart="19" format="4" series="1">
      <pivotArea type="data" outline="0" fieldPosition="0">
        <references count="2">
          <reference field="4294967294" count="1" selected="0">
            <x v="0"/>
          </reference>
          <reference field="1" count="1" selected="0">
            <x v="1"/>
          </reference>
        </references>
      </pivotArea>
    </chartFormat>
    <chartFormat chart="19" format="5" series="1">
      <pivotArea type="data" outline="0" fieldPosition="0">
        <references count="2">
          <reference field="4294967294" count="1" selected="0">
            <x v="0"/>
          </reference>
          <reference field="1" count="1" selected="0">
            <x v="0"/>
          </reference>
        </references>
      </pivotArea>
    </chartFormat>
    <chartFormat chart="4" format="2" series="1">
      <pivotArea type="data" outline="0" fieldPosition="0">
        <references count="2">
          <reference field="4294967294" count="1" selected="0">
            <x v="0"/>
          </reference>
          <reference field="1" count="1" selected="0">
            <x v="1"/>
          </reference>
        </references>
      </pivotArea>
    </chartFormat>
    <chartFormat chart="4" format="3"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21" format="19" series="1">
      <pivotArea type="data" outline="0" fieldPosition="0">
        <references count="2">
          <reference field="4294967294" count="1" selected="0">
            <x v="0"/>
          </reference>
          <reference field="1" count="1" selected="0">
            <x v="0"/>
          </reference>
        </references>
      </pivotArea>
    </chartFormat>
    <chartFormat chart="21" format="23" series="1">
      <pivotArea type="data" outline="0" fieldPosition="0">
        <references count="2">
          <reference field="4294967294" count="1" selected="0">
            <x v="0"/>
          </reference>
          <reference field="1" count="1" selected="0">
            <x v="1"/>
          </reference>
        </references>
      </pivotArea>
    </chartFormat>
    <chartFormat chart="23" format="0" series="1">
      <pivotArea type="data" outline="0" fieldPosition="0">
        <references count="2">
          <reference field="4294967294" count="1" selected="0">
            <x v="0"/>
          </reference>
          <reference field="1" count="1" selected="0">
            <x v="0"/>
          </reference>
        </references>
      </pivotArea>
    </chartFormat>
    <chartFormat chart="23"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I17:J20" firstHeaderRow="1" firstDataRow="1" firstDataCol="1"/>
  <pivotFields count="53">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Count of Gender" fld="19" subtotal="count" baseField="0" baseItem="0"/>
  </dataFields>
  <chartFormats count="9">
    <chartFormat chart="26" format="32"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1" format="28"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19" count="1" selected="0">
            <x v="0"/>
          </reference>
        </references>
      </pivotArea>
    </chartFormat>
    <chartFormat chart="28" format="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3:D39" firstHeaderRow="1" firstDataRow="2" firstDataCol="1"/>
  <pivotFields count="53">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3"/>
  </rowFields>
  <rowItems count="5">
    <i>
      <x/>
    </i>
    <i>
      <x v="1"/>
    </i>
    <i>
      <x v="2"/>
    </i>
    <i>
      <x v="3"/>
    </i>
    <i t="grand">
      <x/>
    </i>
  </rowItems>
  <colFields count="1">
    <field x="1"/>
  </colFields>
  <colItems count="3">
    <i>
      <x/>
    </i>
    <i>
      <x v="1"/>
    </i>
    <i t="grand">
      <x/>
    </i>
  </colItems>
  <dataFields count="1">
    <dataField name="Count of Attrition" fld="1" subtotal="count" baseField="19" baseItem="1"/>
  </dataFields>
  <chartFormats count="14">
    <chartFormat chart="19" format="4" series="1">
      <pivotArea type="data" outline="0" fieldPosition="0">
        <references count="2">
          <reference field="4294967294" count="1" selected="0">
            <x v="0"/>
          </reference>
          <reference field="1" count="1" selected="0">
            <x v="1"/>
          </reference>
        </references>
      </pivotArea>
    </chartFormat>
    <chartFormat chart="19" format="5" series="1">
      <pivotArea type="data" outline="0" fieldPosition="0">
        <references count="2">
          <reference field="4294967294" count="1" selected="0">
            <x v="0"/>
          </reference>
          <reference field="1" count="1" selected="0">
            <x v="0"/>
          </reference>
        </references>
      </pivotArea>
    </chartFormat>
    <chartFormat chart="4" format="2" series="1">
      <pivotArea type="data" outline="0" fieldPosition="0">
        <references count="2">
          <reference field="4294967294" count="1" selected="0">
            <x v="0"/>
          </reference>
          <reference field="1" count="1" selected="0">
            <x v="1"/>
          </reference>
        </references>
      </pivotArea>
    </chartFormat>
    <chartFormat chart="4" format="3"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21" format="19" series="1">
      <pivotArea type="data" outline="0" fieldPosition="0">
        <references count="2">
          <reference field="4294967294" count="1" selected="0">
            <x v="0"/>
          </reference>
          <reference field="1" count="1" selected="0">
            <x v="0"/>
          </reference>
        </references>
      </pivotArea>
    </chartFormat>
    <chartFormat chart="21" format="23" series="1">
      <pivotArea type="data" outline="0" fieldPosition="0">
        <references count="2">
          <reference field="4294967294" count="1" selected="0">
            <x v="0"/>
          </reference>
          <reference field="1" count="1" selected="0">
            <x v="1"/>
          </reference>
        </references>
      </pivotArea>
    </chartFormat>
    <chartFormat chart="22" format="0" series="1">
      <pivotArea type="data" outline="0" fieldPosition="0">
        <references count="2">
          <reference field="4294967294" count="1" selected="0">
            <x v="0"/>
          </reference>
          <reference field="1" count="1" selected="0">
            <x v="0"/>
          </reference>
        </references>
      </pivotArea>
    </chartFormat>
    <chartFormat chart="22" format="1" series="1">
      <pivotArea type="data" outline="0" fieldPosition="0">
        <references count="2">
          <reference field="4294967294" count="1" selected="0">
            <x v="0"/>
          </reference>
          <reference field="1" count="1" selected="0">
            <x v="1"/>
          </reference>
        </references>
      </pivotArea>
    </chartFormat>
    <chartFormat chart="23" format="0" series="1">
      <pivotArea type="data" outline="0" fieldPosition="0">
        <references count="2">
          <reference field="4294967294" count="1" selected="0">
            <x v="0"/>
          </reference>
          <reference field="1" count="1" selected="0">
            <x v="0"/>
          </reference>
        </references>
      </pivotArea>
    </chartFormat>
    <chartFormat chart="23"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82:D87" firstHeaderRow="1" firstDataRow="2" firstDataCol="1"/>
  <pivotFields count="59">
    <pivotField showAll="0"/>
    <pivotField showAll="0"/>
    <pivotField axis="axisCol" showAll="0">
      <items count="4">
        <item x="1"/>
        <item x="0"/>
        <item h="1" x="2"/>
        <item t="default"/>
      </items>
    </pivotField>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3"/>
        <item x="0"/>
        <item x="1"/>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5"/>
  </rowFields>
  <rowItems count="4">
    <i>
      <x/>
    </i>
    <i>
      <x v="1"/>
    </i>
    <i>
      <x v="2"/>
    </i>
    <i t="grand">
      <x/>
    </i>
  </rowItems>
  <colFields count="1">
    <field x="2"/>
  </colFields>
  <colItems count="3">
    <i>
      <x/>
    </i>
    <i>
      <x v="1"/>
    </i>
    <i t="grand">
      <x/>
    </i>
  </colItems>
  <dataFields count="1">
    <dataField name="Count of MaritalStatus" fld="35" subtotal="count" baseField="0" baseItem="0"/>
  </dataFields>
  <chartFormats count="4">
    <chartFormat chart="0" format="1" series="1">
      <pivotArea type="data" outline="0" fieldPosition="0">
        <references count="1">
          <reference field="2" count="1" selected="0">
            <x v="0"/>
          </reference>
        </references>
      </pivotArea>
    </chartFormat>
    <chartFormat chart="0" format="2" series="1">
      <pivotArea type="data" outline="0" fieldPosition="0">
        <references count="1">
          <reference field="2" count="1" selected="0">
            <x v="1"/>
          </reference>
        </references>
      </pivotArea>
    </chartFormat>
    <chartFormat chart="0" format="3" series="1">
      <pivotArea type="data" outline="0" fieldPosition="0">
        <references count="1">
          <reference field="2" count="1" selected="0">
            <x v="2"/>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6:D70" firstHeaderRow="1" firstDataRow="2" firstDataCol="1"/>
  <pivotFields count="59">
    <pivotField showAll="0"/>
    <pivotField showAll="0"/>
    <pivotField axis="axisCol"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1"/>
  </rowFields>
  <rowItems count="3">
    <i>
      <x/>
    </i>
    <i>
      <x v="1"/>
    </i>
    <i t="grand">
      <x/>
    </i>
  </rowItems>
  <colFields count="1">
    <field x="2"/>
  </colFields>
  <colItems count="3">
    <i>
      <x/>
    </i>
    <i>
      <x v="1"/>
    </i>
    <i t="grand">
      <x/>
    </i>
  </colItems>
  <dataFields count="1">
    <dataField name="Count of OverTime" fld="41" subtotal="count" baseField="0" baseItem="0"/>
  </dataFields>
  <chartFormats count="4">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CBE1D0-96FF-451E-821D-AFEBA96BF76A}"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E40" firstHeaderRow="1" firstDataRow="2" firstDataCol="1"/>
  <pivotFields count="80">
    <pivotField showAll="0"/>
    <pivotField showAll="0"/>
    <pivotField showAll="0"/>
    <pivotField showAll="0"/>
    <pivotField showAll="0"/>
    <pivotField showAll="0"/>
    <pivotField showAll="0"/>
    <pivotField axis="axisCol"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36">
        <item x="5"/>
        <item x="16"/>
        <item x="8"/>
        <item x="20"/>
        <item x="7"/>
        <item x="3"/>
        <item x="2"/>
        <item x="0"/>
        <item x="14"/>
        <item x="1"/>
        <item x="26"/>
        <item x="4"/>
        <item x="10"/>
        <item x="18"/>
        <item x="19"/>
        <item x="27"/>
        <item x="6"/>
        <item x="30"/>
        <item x="15"/>
        <item x="25"/>
        <item x="23"/>
        <item x="13"/>
        <item x="17"/>
        <item x="12"/>
        <item x="24"/>
        <item x="11"/>
        <item x="34"/>
        <item x="22"/>
        <item x="21"/>
        <item x="29"/>
        <item x="9"/>
        <item x="32"/>
        <item x="33"/>
        <item x="31"/>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8"/>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7"/>
  </colFields>
  <colItems count="4">
    <i>
      <x/>
    </i>
    <i>
      <x v="1"/>
    </i>
    <i>
      <x v="2"/>
    </i>
    <i t="grand">
      <x/>
    </i>
  </colItems>
  <dataFields count="1">
    <dataField name="Average of Wins_MonthlyIncome" fld="39" subtotal="average" baseField="4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6.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7.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8.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Q1472"/>
  <sheetViews>
    <sheetView tabSelected="1" zoomScale="60" zoomScaleNormal="60" workbookViewId="0">
      <selection activeCell="AM1" sqref="AM1:AM1048576"/>
    </sheetView>
  </sheetViews>
  <sheetFormatPr defaultColWidth="8.86328125" defaultRowHeight="14.25" x14ac:dyDescent="0.45"/>
  <cols>
    <col min="4" max="4" width="12.3984375" bestFit="1" customWidth="1"/>
    <col min="7" max="7" width="22.86328125" bestFit="1" customWidth="1"/>
    <col min="8" max="8" width="23.86328125" bestFit="1" customWidth="1"/>
    <col min="39" max="39" width="17.3984375" bestFit="1" customWidth="1"/>
    <col min="40" max="40" width="17.3984375" customWidth="1"/>
    <col min="41" max="41" width="11.3984375" customWidth="1"/>
    <col min="43" max="43" width="15.86328125" bestFit="1" customWidth="1"/>
    <col min="44" max="44" width="19.73046875" hidden="1" customWidth="1"/>
    <col min="49" max="49" width="17.3984375" customWidth="1"/>
    <col min="52" max="52" width="6.86328125" customWidth="1"/>
    <col min="53" max="53" width="24.1328125" bestFit="1" customWidth="1"/>
    <col min="54" max="54" width="20.73046875" bestFit="1" customWidth="1"/>
    <col min="55" max="55" width="26" bestFit="1" customWidth="1"/>
    <col min="56" max="56" width="26" customWidth="1"/>
    <col min="57" max="57" width="21.86328125" bestFit="1" customWidth="1"/>
    <col min="58" max="58" width="21.86328125" customWidth="1"/>
    <col min="59" max="59" width="22.3984375" customWidth="1"/>
    <col min="60" max="60" width="36.59765625" hidden="1" customWidth="1"/>
    <col min="61" max="61" width="49.86328125" hidden="1" customWidth="1"/>
    <col min="62" max="62" width="36.59765625" hidden="1" customWidth="1"/>
    <col min="63" max="63" width="43.33203125" hidden="1" customWidth="1"/>
    <col min="64" max="70" width="36.59765625" hidden="1" customWidth="1"/>
    <col min="71" max="73" width="36.59765625" customWidth="1"/>
    <col min="74" max="74" width="22.3984375" bestFit="1" customWidth="1"/>
    <col min="75" max="75" width="21.86328125" bestFit="1" customWidth="1"/>
    <col min="76" max="79" width="21.86328125" customWidth="1"/>
    <col min="80" max="80" width="23.73046875" bestFit="1" customWidth="1"/>
    <col min="81" max="81" width="22.3984375" bestFit="1" customWidth="1"/>
    <col min="83" max="83" width="11.73046875" bestFit="1" customWidth="1"/>
    <col min="88" max="88" width="40.59765625" customWidth="1"/>
    <col min="89" max="89" width="12.9296875" bestFit="1" customWidth="1"/>
    <col min="90" max="90" width="12.59765625" customWidth="1"/>
    <col min="91" max="91" width="12.9296875" bestFit="1" customWidth="1"/>
    <col min="92" max="92" width="12.59765625" customWidth="1"/>
    <col min="93" max="94" width="12.9296875" bestFit="1" customWidth="1"/>
    <col min="96" max="96" width="40.59765625" hidden="1" customWidth="1"/>
    <col min="97" max="97" width="12.9296875" hidden="1" customWidth="1"/>
    <col min="98" max="98" width="12.59765625" hidden="1" customWidth="1"/>
    <col min="99" max="99" width="12.9296875" hidden="1" customWidth="1"/>
    <col min="100" max="100" width="12.59765625" hidden="1" customWidth="1"/>
    <col min="101" max="102" width="12.9296875" hidden="1" customWidth="1"/>
    <col min="103" max="103" width="0" hidden="1" customWidth="1"/>
    <col min="104" max="104" width="40.59765625" hidden="1" customWidth="1"/>
    <col min="105" max="105" width="12.9296875" hidden="1" customWidth="1"/>
    <col min="106" max="106" width="12.59765625" hidden="1" customWidth="1"/>
    <col min="107" max="107" width="12.9296875" hidden="1" customWidth="1"/>
    <col min="108" max="108" width="12.59765625" hidden="1" customWidth="1"/>
    <col min="109" max="110" width="12.9296875" hidden="1" customWidth="1"/>
    <col min="111" max="111" width="0" hidden="1" customWidth="1"/>
    <col min="112" max="112" width="40.59765625" hidden="1" customWidth="1"/>
    <col min="113" max="113" width="12.9296875" hidden="1" customWidth="1"/>
    <col min="114" max="114" width="12.59765625" hidden="1" customWidth="1"/>
    <col min="115" max="115" width="12.9296875" hidden="1" customWidth="1"/>
    <col min="116" max="116" width="12.59765625" hidden="1" customWidth="1"/>
    <col min="117" max="118" width="12.9296875" hidden="1" customWidth="1"/>
    <col min="119" max="119" width="0" hidden="1" customWidth="1"/>
    <col min="120" max="120" width="72.53125" hidden="1" customWidth="1"/>
    <col min="121" max="121" width="12.9296875" hidden="1" customWidth="1"/>
    <col min="122" max="122" width="12.59765625" hidden="1" customWidth="1"/>
    <col min="123" max="123" width="12.9296875" hidden="1" customWidth="1"/>
    <col min="124" max="124" width="12.59765625" hidden="1" customWidth="1"/>
    <col min="125" max="126" width="12.9296875" hidden="1" customWidth="1"/>
    <col min="128" max="128" width="40.59765625" customWidth="1"/>
    <col min="129" max="129" width="12.9296875" bestFit="1" customWidth="1"/>
    <col min="130" max="130" width="12.59765625" customWidth="1"/>
    <col min="131" max="131" width="12.9296875" bestFit="1" customWidth="1"/>
    <col min="132" max="132" width="12.59765625" customWidth="1"/>
    <col min="133" max="134" width="12.9296875" bestFit="1" customWidth="1"/>
    <col min="136" max="136" width="40.59765625" customWidth="1"/>
    <col min="137" max="137" width="12.9296875" bestFit="1" customWidth="1"/>
    <col min="138" max="138" width="12.59765625" customWidth="1"/>
    <col min="139" max="139" width="12.9296875" bestFit="1" customWidth="1"/>
    <col min="140" max="140" width="12.59765625" customWidth="1"/>
    <col min="141" max="142" width="12.9296875" bestFit="1" customWidth="1"/>
    <col min="146" max="146" width="16.73046875" bestFit="1" customWidth="1"/>
  </cols>
  <sheetData>
    <row r="1" spans="1:147" ht="15" customHeight="1" thickTop="1" x14ac:dyDescent="0.45">
      <c r="A1" s="6" t="s">
        <v>0</v>
      </c>
      <c r="B1" s="7" t="s">
        <v>398</v>
      </c>
      <c r="C1" s="7" t="s">
        <v>1</v>
      </c>
      <c r="D1" s="7" t="s">
        <v>2</v>
      </c>
      <c r="E1" s="7" t="s">
        <v>3</v>
      </c>
      <c r="F1" s="7" t="s">
        <v>4</v>
      </c>
      <c r="G1" s="7" t="s">
        <v>5</v>
      </c>
      <c r="H1" s="7" t="s">
        <v>6</v>
      </c>
      <c r="I1" s="7" t="s">
        <v>7</v>
      </c>
      <c r="J1" s="7" t="s">
        <v>8</v>
      </c>
      <c r="K1" s="7" t="s">
        <v>9</v>
      </c>
      <c r="L1" s="7" t="s">
        <v>397</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392</v>
      </c>
      <c r="AO1" s="7" t="s">
        <v>37</v>
      </c>
      <c r="AP1" s="7" t="s">
        <v>38</v>
      </c>
      <c r="AQ1" s="7" t="s">
        <v>39</v>
      </c>
      <c r="AR1" s="7" t="s">
        <v>40</v>
      </c>
      <c r="AS1" s="7" t="s">
        <v>41</v>
      </c>
      <c r="AT1" s="7" t="s">
        <v>42</v>
      </c>
      <c r="AU1" s="7" t="s">
        <v>43</v>
      </c>
      <c r="AV1" s="7" t="s">
        <v>44</v>
      </c>
      <c r="AW1" s="7" t="s">
        <v>395</v>
      </c>
      <c r="AX1" s="7" t="s">
        <v>45</v>
      </c>
      <c r="AY1" s="7" t="s">
        <v>46</v>
      </c>
      <c r="AZ1" s="7" t="s">
        <v>47</v>
      </c>
      <c r="BA1" s="7" t="s">
        <v>396</v>
      </c>
      <c r="BB1" s="7" t="s">
        <v>48</v>
      </c>
      <c r="BC1" s="7" t="s">
        <v>49</v>
      </c>
      <c r="BD1" s="7" t="s">
        <v>518</v>
      </c>
      <c r="BE1" s="7" t="s">
        <v>50</v>
      </c>
      <c r="BF1" s="7" t="s">
        <v>394</v>
      </c>
      <c r="BG1" s="7" t="s">
        <v>517</v>
      </c>
      <c r="BH1" s="7" t="s">
        <v>602</v>
      </c>
      <c r="BI1" s="7" t="s">
        <v>603</v>
      </c>
      <c r="BJ1" s="7" t="s">
        <v>604</v>
      </c>
      <c r="BK1" s="7" t="s">
        <v>605</v>
      </c>
      <c r="BL1" s="7" t="s">
        <v>626</v>
      </c>
      <c r="BM1" s="7" t="s">
        <v>627</v>
      </c>
      <c r="BN1" s="7" t="s">
        <v>628</v>
      </c>
      <c r="BO1" s="7" t="s">
        <v>629</v>
      </c>
      <c r="BP1" s="7" t="s">
        <v>650</v>
      </c>
      <c r="BQ1" s="7" t="s">
        <v>651</v>
      </c>
      <c r="BR1" s="7" t="s">
        <v>652</v>
      </c>
      <c r="BS1" s="7" t="s">
        <v>669</v>
      </c>
      <c r="BT1" s="7" t="s">
        <v>670</v>
      </c>
      <c r="BU1" s="8" t="s">
        <v>671</v>
      </c>
      <c r="BV1" s="7" t="s">
        <v>391</v>
      </c>
      <c r="BW1" t="str">
        <f>BE1</f>
        <v>YearsWithCurrManager</v>
      </c>
      <c r="BX1" t="str">
        <f>AV1</f>
        <v>TotalWorkingYears</v>
      </c>
      <c r="BY1" t="str">
        <f>AZ1</f>
        <v>YearsAtCompany</v>
      </c>
      <c r="BZ1" t="str">
        <f>K1</f>
        <v>DistanceFromHome</v>
      </c>
      <c r="CA1" t="str">
        <f>A1</f>
        <v>Age</v>
      </c>
      <c r="CB1" t="str">
        <f>BC1</f>
        <v>YearsSinceLastPromotion</v>
      </c>
      <c r="CJ1" t="s">
        <v>647</v>
      </c>
      <c r="CR1" t="s">
        <v>647</v>
      </c>
      <c r="CZ1" t="s">
        <v>647</v>
      </c>
      <c r="DH1" t="s">
        <v>668</v>
      </c>
      <c r="DP1" t="s">
        <v>668</v>
      </c>
      <c r="DX1" t="s">
        <v>668</v>
      </c>
      <c r="EF1" t="s">
        <v>668</v>
      </c>
    </row>
    <row r="2" spans="1:147" ht="15" customHeight="1" x14ac:dyDescent="0.45">
      <c r="A2" s="9">
        <v>41</v>
      </c>
      <c r="B2" s="10">
        <f t="shared" ref="B2:B65" si="0">IF(A2&gt;$CD$29,$CD$29,IF(A2&lt;$CD$30,$CD$30,A2))</f>
        <v>41</v>
      </c>
      <c r="C2" s="10" t="s">
        <v>52</v>
      </c>
      <c r="D2" s="10">
        <v>1</v>
      </c>
      <c r="E2" s="10" t="s">
        <v>53</v>
      </c>
      <c r="F2" s="10">
        <v>0</v>
      </c>
      <c r="G2" s="10">
        <v>1</v>
      </c>
      <c r="H2" s="10" t="s">
        <v>54</v>
      </c>
      <c r="I2" s="10">
        <v>0</v>
      </c>
      <c r="J2" s="10">
        <v>1</v>
      </c>
      <c r="K2" s="10">
        <v>1</v>
      </c>
      <c r="L2" s="10">
        <f t="shared" ref="L2:L65" si="1">IF(K2&gt;$CD$25,$CD$25,IF(K2&lt;$CD$26,$CD$26,K2))</f>
        <v>1</v>
      </c>
      <c r="M2" s="10">
        <v>2</v>
      </c>
      <c r="N2" s="10" t="s">
        <v>55</v>
      </c>
      <c r="O2" s="10">
        <v>1</v>
      </c>
      <c r="P2" s="10">
        <v>0</v>
      </c>
      <c r="Q2" s="10">
        <v>0</v>
      </c>
      <c r="R2" s="10">
        <v>0</v>
      </c>
      <c r="S2" s="10">
        <v>0</v>
      </c>
      <c r="T2" s="10">
        <v>2</v>
      </c>
      <c r="U2" s="10" t="s">
        <v>19</v>
      </c>
      <c r="V2" s="10">
        <v>1</v>
      </c>
      <c r="W2" s="10">
        <v>94</v>
      </c>
      <c r="X2" s="10">
        <v>3</v>
      </c>
      <c r="Y2" s="10">
        <v>2</v>
      </c>
      <c r="Z2" s="10" t="s">
        <v>56</v>
      </c>
      <c r="AA2" s="10">
        <v>0</v>
      </c>
      <c r="AB2" s="10">
        <v>1</v>
      </c>
      <c r="AC2" s="10">
        <v>0</v>
      </c>
      <c r="AD2" s="10">
        <v>0</v>
      </c>
      <c r="AE2" s="10">
        <v>0</v>
      </c>
      <c r="AF2" s="10">
        <v>0</v>
      </c>
      <c r="AG2" s="10">
        <v>0</v>
      </c>
      <c r="AH2" s="10">
        <v>0</v>
      </c>
      <c r="AI2" s="10">
        <v>4</v>
      </c>
      <c r="AJ2" s="10" t="s">
        <v>57</v>
      </c>
      <c r="AK2" s="10">
        <v>1</v>
      </c>
      <c r="AL2" s="10">
        <v>0</v>
      </c>
      <c r="AM2" s="10">
        <v>5993</v>
      </c>
      <c r="AN2" s="10">
        <f t="shared" ref="AN2:AN65" si="2">IF(AM2&gt;$CD$8,$CD$8,IF(AM2&lt;$CD$9,$CD$9,AM2))</f>
        <v>5993</v>
      </c>
      <c r="AO2" s="10">
        <v>8</v>
      </c>
      <c r="AP2" s="10" t="s">
        <v>52</v>
      </c>
      <c r="AQ2" s="10">
        <v>1</v>
      </c>
      <c r="AR2" s="10">
        <v>11</v>
      </c>
      <c r="AS2" s="10">
        <v>3</v>
      </c>
      <c r="AT2" s="10">
        <v>1</v>
      </c>
      <c r="AU2" s="10">
        <v>0</v>
      </c>
      <c r="AV2" s="10">
        <v>8</v>
      </c>
      <c r="AW2" s="10">
        <f t="shared" ref="AW2:AW65" si="3">IF(AV2&gt;$CD$17,$CD$17,IF(AV2&lt;$CD$18,$CD$18,AV2))</f>
        <v>8</v>
      </c>
      <c r="AX2" s="10">
        <v>0</v>
      </c>
      <c r="AY2" s="10">
        <v>1</v>
      </c>
      <c r="AZ2" s="10">
        <v>6</v>
      </c>
      <c r="BA2" s="10">
        <f t="shared" ref="BA2:BA65" si="4">IF(AZ2&gt; $CD$21,$CD$21,IF(AZ2&lt;$CD$22,$CD$22,AZ2))</f>
        <v>6</v>
      </c>
      <c r="BB2" s="10">
        <v>4</v>
      </c>
      <c r="BC2" s="10">
        <v>0</v>
      </c>
      <c r="BD2" s="10">
        <f>IF(BC2&gt;$CD$33,$CD$33,BC2)</f>
        <v>0</v>
      </c>
      <c r="BE2" s="10">
        <v>5</v>
      </c>
      <c r="BF2" s="10">
        <f t="shared" ref="BF2:BF65" si="5">IF(BE2&gt;$CD$12,$CD$12,IF(BE2&lt;$CD$13,$CD$13,BE2))</f>
        <v>5</v>
      </c>
      <c r="BG2" s="10">
        <f>BF2*Y2</f>
        <v>10</v>
      </c>
      <c r="BH2" s="66">
        <v>1</v>
      </c>
      <c r="BI2" s="66">
        <v>0</v>
      </c>
      <c r="BJ2" s="66">
        <v>0</v>
      </c>
      <c r="BK2" s="66">
        <v>0</v>
      </c>
      <c r="BL2" s="66">
        <v>0</v>
      </c>
      <c r="BM2" s="66">
        <v>1</v>
      </c>
      <c r="BN2" s="66">
        <v>0</v>
      </c>
      <c r="BO2" s="66">
        <v>0</v>
      </c>
      <c r="BP2" s="66">
        <v>0</v>
      </c>
      <c r="BQ2" s="66">
        <v>0</v>
      </c>
      <c r="BR2" s="66">
        <v>5</v>
      </c>
      <c r="BS2" s="66">
        <v>0</v>
      </c>
      <c r="BT2" s="66">
        <v>0</v>
      </c>
      <c r="BU2" s="69">
        <v>8</v>
      </c>
      <c r="BV2" s="29">
        <f t="shared" ref="BV2:BV65" si="6">ABS((AM2-AVERAGE(AM:AM))/_xlfn.STDEV.S(AM:AM))</f>
        <v>0.10831265366489942</v>
      </c>
      <c r="BW2">
        <f t="shared" ref="BW2:BW65" si="7">ABS((BE2-AVERAGE(BE:BE))/_xlfn.STDEV.S(BE:BE))</f>
        <v>0.24575036340443959</v>
      </c>
      <c r="BX2">
        <f t="shared" ref="BX2:BX65" si="8">ABS((AV2-AVERAGE(AV:AV))/_xlfn.STDEV.S(AV:AV))</f>
        <v>0.42149901815843233</v>
      </c>
      <c r="BY2">
        <f t="shared" ref="BY2:BY65" si="9">ABS((AZ2-AVERAGE(AZ:AZ))/_xlfn.STDEV.S(AZ:AZ))</f>
        <v>0.16455710867531462</v>
      </c>
      <c r="BZ2">
        <f t="shared" ref="BZ2:BZ65" si="10">ABS((K2-AVERAGE(K:K))/_xlfn.STDEV.S(K:K))</f>
        <v>1.01056543769991</v>
      </c>
      <c r="CA2">
        <f t="shared" ref="CA2:CA65" si="11">ABS((A2-AVERAGE(A:A))/_xlfn.STDEV.S(A:A))</f>
        <v>0.4461985578408646</v>
      </c>
      <c r="CB2">
        <f t="shared" ref="CB2:CB65" si="12">ABS((BC2-AVERAGE(BC:BC))/_xlfn.STDEV.S(BC:BC))</f>
        <v>0.67891464284095016</v>
      </c>
    </row>
    <row r="3" spans="1:147" ht="15" customHeight="1" x14ac:dyDescent="0.45">
      <c r="A3" s="11">
        <v>49</v>
      </c>
      <c r="B3" s="12">
        <f t="shared" si="0"/>
        <v>49</v>
      </c>
      <c r="C3" s="12" t="s">
        <v>59</v>
      </c>
      <c r="D3" s="12">
        <v>0</v>
      </c>
      <c r="E3" s="12" t="s">
        <v>60</v>
      </c>
      <c r="F3" s="12">
        <v>1</v>
      </c>
      <c r="G3" s="12">
        <v>0</v>
      </c>
      <c r="H3" s="12" t="s">
        <v>61</v>
      </c>
      <c r="I3" s="12">
        <v>1</v>
      </c>
      <c r="J3" s="12">
        <v>0</v>
      </c>
      <c r="K3" s="12">
        <v>8</v>
      </c>
      <c r="L3" s="12">
        <f t="shared" si="1"/>
        <v>8</v>
      </c>
      <c r="M3" s="12">
        <v>1</v>
      </c>
      <c r="N3" s="12" t="s">
        <v>55</v>
      </c>
      <c r="O3" s="12">
        <v>1</v>
      </c>
      <c r="P3" s="12">
        <v>0</v>
      </c>
      <c r="Q3" s="12">
        <v>0</v>
      </c>
      <c r="R3" s="12">
        <v>0</v>
      </c>
      <c r="S3" s="12">
        <v>0</v>
      </c>
      <c r="T3" s="12">
        <v>3</v>
      </c>
      <c r="U3" s="12" t="s">
        <v>62</v>
      </c>
      <c r="V3" s="12">
        <v>0</v>
      </c>
      <c r="W3" s="12">
        <v>61</v>
      </c>
      <c r="X3" s="12">
        <v>2</v>
      </c>
      <c r="Y3" s="12">
        <v>2</v>
      </c>
      <c r="Z3" s="12" t="s">
        <v>63</v>
      </c>
      <c r="AA3" s="12">
        <v>0</v>
      </c>
      <c r="AB3" s="12">
        <v>0</v>
      </c>
      <c r="AC3" s="12">
        <v>0</v>
      </c>
      <c r="AD3" s="12">
        <v>0</v>
      </c>
      <c r="AE3" s="12">
        <v>0</v>
      </c>
      <c r="AF3" s="12">
        <v>0</v>
      </c>
      <c r="AG3" s="12">
        <v>0</v>
      </c>
      <c r="AH3" s="12">
        <v>1</v>
      </c>
      <c r="AI3" s="12">
        <v>2</v>
      </c>
      <c r="AJ3" s="12" t="s">
        <v>64</v>
      </c>
      <c r="AK3" s="12">
        <v>0</v>
      </c>
      <c r="AL3" s="12">
        <v>1</v>
      </c>
      <c r="AM3" s="12">
        <v>5130</v>
      </c>
      <c r="AN3" s="12">
        <f t="shared" si="2"/>
        <v>5130</v>
      </c>
      <c r="AO3" s="12">
        <v>1</v>
      </c>
      <c r="AP3" s="12" t="s">
        <v>59</v>
      </c>
      <c r="AQ3" s="12">
        <v>0</v>
      </c>
      <c r="AR3" s="12">
        <v>23</v>
      </c>
      <c r="AS3" s="12">
        <v>4</v>
      </c>
      <c r="AT3" s="12">
        <v>4</v>
      </c>
      <c r="AU3" s="12">
        <v>1</v>
      </c>
      <c r="AV3" s="12">
        <v>10</v>
      </c>
      <c r="AW3" s="12">
        <f t="shared" si="3"/>
        <v>10</v>
      </c>
      <c r="AX3" s="12">
        <v>3</v>
      </c>
      <c r="AY3" s="12">
        <v>3</v>
      </c>
      <c r="AZ3" s="12">
        <v>10</v>
      </c>
      <c r="BA3" s="12">
        <f t="shared" si="4"/>
        <v>10</v>
      </c>
      <c r="BB3" s="12">
        <v>7</v>
      </c>
      <c r="BC3" s="12">
        <v>1</v>
      </c>
      <c r="BD3" s="12">
        <f t="shared" ref="BD3:BD66" si="13">IF(BC3&gt;$CD$33,$CD$33,BC3)</f>
        <v>1</v>
      </c>
      <c r="BE3" s="12">
        <v>7</v>
      </c>
      <c r="BF3" s="12">
        <f t="shared" si="5"/>
        <v>7</v>
      </c>
      <c r="BG3" s="12">
        <f t="shared" ref="BG3:BG66" si="14">BF3*Y3</f>
        <v>14</v>
      </c>
      <c r="BH3" s="67">
        <v>0</v>
      </c>
      <c r="BI3" s="67">
        <v>0</v>
      </c>
      <c r="BJ3" s="67">
        <v>0</v>
      </c>
      <c r="BK3" s="67">
        <v>1</v>
      </c>
      <c r="BL3" s="67">
        <v>0</v>
      </c>
      <c r="BM3" s="67">
        <v>0</v>
      </c>
      <c r="BN3" s="67">
        <v>1</v>
      </c>
      <c r="BO3" s="67">
        <v>0</v>
      </c>
      <c r="BP3" s="67">
        <v>0</v>
      </c>
      <c r="BQ3" s="67">
        <v>7</v>
      </c>
      <c r="BR3" s="67">
        <v>0</v>
      </c>
      <c r="BS3" s="67">
        <v>0</v>
      </c>
      <c r="BT3" s="67">
        <v>10</v>
      </c>
      <c r="BU3" s="70">
        <v>0</v>
      </c>
      <c r="BV3" s="29">
        <f t="shared" si="6"/>
        <v>0.29161934906581111</v>
      </c>
      <c r="BW3">
        <f t="shared" si="7"/>
        <v>0.80626709607243985</v>
      </c>
      <c r="BX3">
        <f t="shared" si="8"/>
        <v>0.1644554352117841</v>
      </c>
      <c r="BY3">
        <f t="shared" si="9"/>
        <v>0.48834154112957734</v>
      </c>
      <c r="BZ3">
        <f t="shared" si="10"/>
        <v>0.14709966057360641</v>
      </c>
      <c r="CA3">
        <f t="shared" si="11"/>
        <v>1.3219153536033093</v>
      </c>
      <c r="CB3">
        <f t="shared" si="12"/>
        <v>0.36858985273641137</v>
      </c>
      <c r="CC3" t="s">
        <v>388</v>
      </c>
      <c r="CJ3" s="19" t="s">
        <v>424</v>
      </c>
      <c r="CK3" s="120" t="s">
        <v>425</v>
      </c>
      <c r="CL3" s="122" t="s">
        <v>426</v>
      </c>
      <c r="CM3" s="120" t="s">
        <v>427</v>
      </c>
      <c r="CN3" s="120" t="s">
        <v>428</v>
      </c>
      <c r="CO3" s="120" t="s">
        <v>429</v>
      </c>
      <c r="CP3" s="122" t="s">
        <v>430</v>
      </c>
      <c r="CR3" s="19" t="s">
        <v>648</v>
      </c>
      <c r="CS3" s="120" t="s">
        <v>425</v>
      </c>
      <c r="CT3" s="122" t="s">
        <v>426</v>
      </c>
      <c r="CU3" s="120" t="s">
        <v>427</v>
      </c>
      <c r="CV3" s="120" t="s">
        <v>428</v>
      </c>
      <c r="CW3" s="120" t="s">
        <v>429</v>
      </c>
      <c r="CX3" s="122" t="s">
        <v>430</v>
      </c>
      <c r="CZ3" s="19" t="s">
        <v>649</v>
      </c>
      <c r="DA3" s="120" t="s">
        <v>425</v>
      </c>
      <c r="DB3" s="122" t="s">
        <v>426</v>
      </c>
      <c r="DC3" s="120" t="s">
        <v>427</v>
      </c>
      <c r="DD3" s="120" t="s">
        <v>428</v>
      </c>
      <c r="DE3" s="120" t="s">
        <v>429</v>
      </c>
      <c r="DF3" s="122" t="s">
        <v>430</v>
      </c>
      <c r="DH3" s="19" t="s">
        <v>424</v>
      </c>
      <c r="DI3" s="120" t="s">
        <v>425</v>
      </c>
      <c r="DJ3" s="122" t="s">
        <v>426</v>
      </c>
      <c r="DK3" s="120" t="s">
        <v>427</v>
      </c>
      <c r="DL3" s="120" t="s">
        <v>428</v>
      </c>
      <c r="DM3" s="120" t="s">
        <v>429</v>
      </c>
      <c r="DN3" s="122" t="s">
        <v>430</v>
      </c>
      <c r="DP3" s="19" t="s">
        <v>648</v>
      </c>
      <c r="DQ3" s="120" t="s">
        <v>425</v>
      </c>
      <c r="DR3" s="122" t="s">
        <v>426</v>
      </c>
      <c r="DS3" s="120" t="s">
        <v>427</v>
      </c>
      <c r="DT3" s="120" t="s">
        <v>428</v>
      </c>
      <c r="DU3" s="120" t="s">
        <v>429</v>
      </c>
      <c r="DV3" s="122" t="s">
        <v>430</v>
      </c>
      <c r="DX3" s="19" t="s">
        <v>648</v>
      </c>
      <c r="DY3" s="120" t="s">
        <v>425</v>
      </c>
      <c r="DZ3" s="122" t="s">
        <v>426</v>
      </c>
      <c r="EA3" s="120" t="s">
        <v>427</v>
      </c>
      <c r="EB3" s="120" t="s">
        <v>428</v>
      </c>
      <c r="EC3" s="120" t="s">
        <v>429</v>
      </c>
      <c r="ED3" s="122" t="s">
        <v>430</v>
      </c>
      <c r="EF3" s="19" t="s">
        <v>424</v>
      </c>
      <c r="EG3" s="120" t="s">
        <v>425</v>
      </c>
      <c r="EH3" s="122" t="s">
        <v>426</v>
      </c>
      <c r="EI3" s="120" t="s">
        <v>427</v>
      </c>
      <c r="EJ3" s="120" t="s">
        <v>428</v>
      </c>
      <c r="EK3" s="120" t="s">
        <v>429</v>
      </c>
      <c r="EL3" s="122" t="s">
        <v>430</v>
      </c>
    </row>
    <row r="4" spans="1:147" ht="15" customHeight="1" thickBot="1" x14ac:dyDescent="0.5">
      <c r="A4" s="11">
        <v>37</v>
      </c>
      <c r="B4" s="12">
        <f t="shared" si="0"/>
        <v>37</v>
      </c>
      <c r="C4" s="12" t="s">
        <v>52</v>
      </c>
      <c r="D4" s="12">
        <v>1</v>
      </c>
      <c r="E4" s="12" t="s">
        <v>53</v>
      </c>
      <c r="F4" s="12">
        <v>0</v>
      </c>
      <c r="G4" s="12">
        <v>1</v>
      </c>
      <c r="H4" s="12" t="s">
        <v>61</v>
      </c>
      <c r="I4" s="12">
        <v>1</v>
      </c>
      <c r="J4" s="12">
        <v>0</v>
      </c>
      <c r="K4" s="12">
        <v>2</v>
      </c>
      <c r="L4" s="12">
        <f t="shared" si="1"/>
        <v>2</v>
      </c>
      <c r="M4" s="12">
        <v>2</v>
      </c>
      <c r="N4" s="12" t="s">
        <v>66</v>
      </c>
      <c r="O4" s="12">
        <v>0</v>
      </c>
      <c r="P4" s="12">
        <v>1</v>
      </c>
      <c r="Q4" s="12">
        <v>0</v>
      </c>
      <c r="R4" s="12">
        <v>0</v>
      </c>
      <c r="S4" s="12">
        <v>0</v>
      </c>
      <c r="T4" s="12">
        <v>4</v>
      </c>
      <c r="U4" s="12" t="s">
        <v>62</v>
      </c>
      <c r="V4" s="12">
        <v>0</v>
      </c>
      <c r="W4" s="12">
        <v>92</v>
      </c>
      <c r="X4" s="12">
        <v>2</v>
      </c>
      <c r="Y4" s="12">
        <v>1</v>
      </c>
      <c r="Z4" s="12" t="s">
        <v>67</v>
      </c>
      <c r="AA4" s="12">
        <v>0</v>
      </c>
      <c r="AB4" s="12">
        <v>0</v>
      </c>
      <c r="AC4" s="12">
        <v>1</v>
      </c>
      <c r="AD4" s="12">
        <v>0</v>
      </c>
      <c r="AE4" s="12">
        <v>0</v>
      </c>
      <c r="AF4" s="12">
        <v>0</v>
      </c>
      <c r="AG4" s="12">
        <v>0</v>
      </c>
      <c r="AH4" s="12">
        <v>0</v>
      </c>
      <c r="AI4" s="12">
        <v>3</v>
      </c>
      <c r="AJ4" s="12" t="s">
        <v>57</v>
      </c>
      <c r="AK4" s="12">
        <v>1</v>
      </c>
      <c r="AL4" s="12">
        <v>0</v>
      </c>
      <c r="AM4" s="12">
        <v>2090</v>
      </c>
      <c r="AN4" s="12">
        <f t="shared" si="2"/>
        <v>2090</v>
      </c>
      <c r="AO4" s="12">
        <v>6</v>
      </c>
      <c r="AP4" s="12" t="s">
        <v>52</v>
      </c>
      <c r="AQ4" s="12">
        <v>1</v>
      </c>
      <c r="AR4" s="12">
        <v>15</v>
      </c>
      <c r="AS4" s="12">
        <v>3</v>
      </c>
      <c r="AT4" s="12">
        <v>2</v>
      </c>
      <c r="AU4" s="12">
        <v>0</v>
      </c>
      <c r="AV4" s="12">
        <v>7</v>
      </c>
      <c r="AW4" s="12">
        <f t="shared" si="3"/>
        <v>7</v>
      </c>
      <c r="AX4" s="12">
        <v>3</v>
      </c>
      <c r="AY4" s="12">
        <v>3</v>
      </c>
      <c r="AZ4" s="12">
        <v>0</v>
      </c>
      <c r="BA4" s="12">
        <f t="shared" si="4"/>
        <v>0</v>
      </c>
      <c r="BB4" s="12">
        <v>0</v>
      </c>
      <c r="BC4" s="12">
        <v>0</v>
      </c>
      <c r="BD4" s="12">
        <f t="shared" si="13"/>
        <v>0</v>
      </c>
      <c r="BE4" s="12">
        <v>0</v>
      </c>
      <c r="BF4" s="12">
        <f t="shared" si="5"/>
        <v>0</v>
      </c>
      <c r="BG4" s="12">
        <f t="shared" si="14"/>
        <v>0</v>
      </c>
      <c r="BH4" s="67">
        <v>1</v>
      </c>
      <c r="BI4" s="67">
        <v>0</v>
      </c>
      <c r="BJ4" s="67">
        <v>0</v>
      </c>
      <c r="BK4" s="67">
        <v>0</v>
      </c>
      <c r="BL4" s="67">
        <v>0</v>
      </c>
      <c r="BM4" s="67">
        <v>1</v>
      </c>
      <c r="BN4" s="67">
        <v>0</v>
      </c>
      <c r="BO4" s="67">
        <v>0</v>
      </c>
      <c r="BP4" s="67">
        <v>0</v>
      </c>
      <c r="BQ4" s="67">
        <v>0</v>
      </c>
      <c r="BR4" s="67">
        <v>0</v>
      </c>
      <c r="BS4" s="67">
        <v>0</v>
      </c>
      <c r="BT4" s="67">
        <v>7</v>
      </c>
      <c r="BU4" s="70">
        <v>0</v>
      </c>
      <c r="BV4" s="29">
        <f t="shared" si="6"/>
        <v>0.93733470714086498</v>
      </c>
      <c r="BW4">
        <f t="shared" si="7"/>
        <v>1.1555414682655611</v>
      </c>
      <c r="BX4">
        <f t="shared" si="8"/>
        <v>0.55002080963175637</v>
      </c>
      <c r="BY4">
        <f t="shared" si="9"/>
        <v>1.1439050833826525</v>
      </c>
      <c r="BZ4">
        <f t="shared" si="10"/>
        <v>0.88721318382472392</v>
      </c>
      <c r="CA4">
        <f t="shared" si="11"/>
        <v>8.3401599596422994E-3</v>
      </c>
      <c r="CB4">
        <f t="shared" si="12"/>
        <v>0.67891464284095016</v>
      </c>
      <c r="CC4" t="s">
        <v>390</v>
      </c>
      <c r="CD4" s="27">
        <f>COUNTIFS(BV:BV,"&gt;=2",BV:BV,"&lt;3")</f>
        <v>128</v>
      </c>
      <c r="CJ4" s="20" t="s">
        <v>431</v>
      </c>
      <c r="CK4" s="121"/>
      <c r="CL4" s="121"/>
      <c r="CM4" s="121"/>
      <c r="CN4" s="121"/>
      <c r="CO4" s="121"/>
      <c r="CP4" s="121"/>
      <c r="CR4" s="20" t="s">
        <v>431</v>
      </c>
      <c r="CS4" s="121"/>
      <c r="CT4" s="121"/>
      <c r="CU4" s="121"/>
      <c r="CV4" s="121"/>
      <c r="CW4" s="121"/>
      <c r="CX4" s="121"/>
      <c r="CZ4" s="20" t="s">
        <v>431</v>
      </c>
      <c r="DA4" s="121"/>
      <c r="DB4" s="121"/>
      <c r="DC4" s="121"/>
      <c r="DD4" s="121"/>
      <c r="DE4" s="121"/>
      <c r="DF4" s="121"/>
      <c r="DH4" s="20" t="s">
        <v>431</v>
      </c>
      <c r="DI4" s="121"/>
      <c r="DJ4" s="121"/>
      <c r="DK4" s="121"/>
      <c r="DL4" s="121"/>
      <c r="DM4" s="121"/>
      <c r="DN4" s="121"/>
      <c r="DP4" s="20" t="s">
        <v>431</v>
      </c>
      <c r="DQ4" s="121"/>
      <c r="DR4" s="121"/>
      <c r="DS4" s="121"/>
      <c r="DT4" s="121"/>
      <c r="DU4" s="121"/>
      <c r="DV4" s="121"/>
      <c r="DX4" s="20" t="s">
        <v>431</v>
      </c>
      <c r="DY4" s="121"/>
      <c r="DZ4" s="121"/>
      <c r="EA4" s="121"/>
      <c r="EB4" s="121"/>
      <c r="EC4" s="121"/>
      <c r="ED4" s="121"/>
      <c r="EF4" s="20" t="s">
        <v>431</v>
      </c>
      <c r="EG4" s="121"/>
      <c r="EH4" s="121"/>
      <c r="EI4" s="121"/>
      <c r="EJ4" s="121"/>
      <c r="EK4" s="121"/>
      <c r="EL4" s="121"/>
    </row>
    <row r="5" spans="1:147" ht="15" customHeight="1" thickTop="1" x14ac:dyDescent="0.45">
      <c r="A5" s="11">
        <v>33</v>
      </c>
      <c r="B5" s="12">
        <f t="shared" si="0"/>
        <v>33</v>
      </c>
      <c r="C5" s="12" t="s">
        <v>59</v>
      </c>
      <c r="D5" s="12">
        <v>0</v>
      </c>
      <c r="E5" s="12" t="s">
        <v>60</v>
      </c>
      <c r="F5" s="12">
        <v>1</v>
      </c>
      <c r="G5" s="12">
        <v>0</v>
      </c>
      <c r="H5" s="12" t="s">
        <v>61</v>
      </c>
      <c r="I5" s="12">
        <v>1</v>
      </c>
      <c r="J5" s="12">
        <v>0</v>
      </c>
      <c r="K5" s="12">
        <v>3</v>
      </c>
      <c r="L5" s="12">
        <f t="shared" si="1"/>
        <v>3</v>
      </c>
      <c r="M5" s="12">
        <v>4</v>
      </c>
      <c r="N5" s="12" t="s">
        <v>55</v>
      </c>
      <c r="O5" s="12">
        <v>1</v>
      </c>
      <c r="P5" s="12">
        <v>0</v>
      </c>
      <c r="Q5" s="12">
        <v>0</v>
      </c>
      <c r="R5" s="12">
        <v>0</v>
      </c>
      <c r="S5" s="12">
        <v>0</v>
      </c>
      <c r="T5" s="12">
        <v>4</v>
      </c>
      <c r="U5" s="12" t="s">
        <v>19</v>
      </c>
      <c r="V5" s="12">
        <v>1</v>
      </c>
      <c r="W5" s="12">
        <v>56</v>
      </c>
      <c r="X5" s="12">
        <v>3</v>
      </c>
      <c r="Y5" s="12">
        <v>1</v>
      </c>
      <c r="Z5" s="12" t="s">
        <v>63</v>
      </c>
      <c r="AA5" s="12">
        <v>0</v>
      </c>
      <c r="AB5" s="12">
        <v>0</v>
      </c>
      <c r="AC5" s="12">
        <v>0</v>
      </c>
      <c r="AD5" s="12">
        <v>0</v>
      </c>
      <c r="AE5" s="12">
        <v>0</v>
      </c>
      <c r="AF5" s="12">
        <v>0</v>
      </c>
      <c r="AG5" s="12">
        <v>0</v>
      </c>
      <c r="AH5" s="12">
        <v>1</v>
      </c>
      <c r="AI5" s="12">
        <v>3</v>
      </c>
      <c r="AJ5" s="12" t="s">
        <v>64</v>
      </c>
      <c r="AK5" s="12">
        <v>0</v>
      </c>
      <c r="AL5" s="12">
        <v>1</v>
      </c>
      <c r="AM5" s="12">
        <v>2909</v>
      </c>
      <c r="AN5" s="12">
        <f t="shared" si="2"/>
        <v>2909</v>
      </c>
      <c r="AO5" s="12">
        <v>1</v>
      </c>
      <c r="AP5" s="12" t="s">
        <v>52</v>
      </c>
      <c r="AQ5" s="12">
        <v>1</v>
      </c>
      <c r="AR5" s="12">
        <v>11</v>
      </c>
      <c r="AS5" s="12">
        <v>3</v>
      </c>
      <c r="AT5" s="12">
        <v>3</v>
      </c>
      <c r="AU5" s="12">
        <v>0</v>
      </c>
      <c r="AV5" s="12">
        <v>8</v>
      </c>
      <c r="AW5" s="12">
        <f t="shared" si="3"/>
        <v>8</v>
      </c>
      <c r="AX5" s="12">
        <v>3</v>
      </c>
      <c r="AY5" s="12">
        <v>3</v>
      </c>
      <c r="AZ5" s="12">
        <v>8</v>
      </c>
      <c r="BA5" s="12">
        <f t="shared" si="4"/>
        <v>8</v>
      </c>
      <c r="BB5" s="12">
        <v>7</v>
      </c>
      <c r="BC5" s="12">
        <v>3</v>
      </c>
      <c r="BD5" s="12">
        <f t="shared" si="13"/>
        <v>3</v>
      </c>
      <c r="BE5" s="12">
        <v>0</v>
      </c>
      <c r="BF5" s="12">
        <f t="shared" si="5"/>
        <v>0</v>
      </c>
      <c r="BG5" s="12">
        <f t="shared" si="14"/>
        <v>0</v>
      </c>
      <c r="BH5" s="67">
        <v>0</v>
      </c>
      <c r="BI5" s="67">
        <v>0</v>
      </c>
      <c r="BJ5" s="67">
        <v>0</v>
      </c>
      <c r="BK5" s="67">
        <v>1</v>
      </c>
      <c r="BL5" s="67">
        <v>0</v>
      </c>
      <c r="BM5" s="67">
        <v>0</v>
      </c>
      <c r="BN5" s="67">
        <v>0</v>
      </c>
      <c r="BO5" s="67">
        <v>1</v>
      </c>
      <c r="BP5" s="67">
        <v>0</v>
      </c>
      <c r="BQ5" s="67">
        <v>0</v>
      </c>
      <c r="BR5" s="67">
        <v>0</v>
      </c>
      <c r="BS5" s="67">
        <v>0</v>
      </c>
      <c r="BT5" s="67">
        <v>8</v>
      </c>
      <c r="BU5" s="70">
        <v>0</v>
      </c>
      <c r="BV5" s="29">
        <f t="shared" si="6"/>
        <v>0.76337389192261851</v>
      </c>
      <c r="BW5">
        <f t="shared" si="7"/>
        <v>1.1555414682655611</v>
      </c>
      <c r="BX5">
        <f t="shared" si="8"/>
        <v>0.42149901815843233</v>
      </c>
      <c r="BY5">
        <f t="shared" si="9"/>
        <v>0.16189221622713135</v>
      </c>
      <c r="BZ5">
        <f t="shared" si="10"/>
        <v>0.76386092994953758</v>
      </c>
      <c r="CA5">
        <f t="shared" si="11"/>
        <v>0.42951823792158</v>
      </c>
      <c r="CB5">
        <f t="shared" si="12"/>
        <v>0.2520597274726662</v>
      </c>
      <c r="CC5" t="s">
        <v>389</v>
      </c>
      <c r="CD5">
        <f>COUNTIF(BV:BV,"&gt;=3")</f>
        <v>0</v>
      </c>
      <c r="CJ5" s="18"/>
      <c r="CK5" s="37">
        <v>0.97047575340120396</v>
      </c>
      <c r="CL5" s="37">
        <v>0.94182318793963449</v>
      </c>
      <c r="CM5" s="37">
        <v>0.9398156782276923</v>
      </c>
      <c r="CN5" s="21">
        <v>1153.1574062991124</v>
      </c>
      <c r="CO5" s="21">
        <v>0</v>
      </c>
      <c r="CP5" s="21">
        <v>0</v>
      </c>
      <c r="CR5" s="18"/>
      <c r="CS5" s="37">
        <v>0.96999191275332752</v>
      </c>
      <c r="CT5" s="37">
        <v>0.94088431080685897</v>
      </c>
      <c r="CU5" s="37">
        <v>0.94035649215334882</v>
      </c>
      <c r="CV5" s="21">
        <v>1147.9646010531928</v>
      </c>
      <c r="CW5" s="21">
        <v>0</v>
      </c>
      <c r="CX5" s="21">
        <v>0</v>
      </c>
      <c r="CZ5" s="18"/>
      <c r="DA5" s="37">
        <v>0.96999191275332708</v>
      </c>
      <c r="DB5" s="37">
        <v>0.94088431080685819</v>
      </c>
      <c r="DC5" s="37">
        <v>0.94035649215334804</v>
      </c>
      <c r="DD5" s="21">
        <v>1147.9646010531928</v>
      </c>
      <c r="DE5" s="21">
        <v>0</v>
      </c>
      <c r="DF5" s="21">
        <v>0</v>
      </c>
      <c r="DH5" s="18"/>
      <c r="DI5" s="37">
        <v>0.97042546508881122</v>
      </c>
      <c r="DJ5" s="37">
        <v>0.94172558329283551</v>
      </c>
      <c r="DK5" s="37">
        <v>0.94001042877167162</v>
      </c>
      <c r="DL5" s="21">
        <v>1151.2901425447119</v>
      </c>
      <c r="DM5" s="21">
        <v>0</v>
      </c>
      <c r="DN5" s="21">
        <v>0</v>
      </c>
      <c r="DP5" s="18"/>
      <c r="DQ5" s="37">
        <v>0.96997152601931513</v>
      </c>
      <c r="DR5" s="37">
        <v>0.94084476128823902</v>
      </c>
      <c r="DS5" s="37">
        <v>0.94027556998791961</v>
      </c>
      <c r="DT5" s="21">
        <v>1148.743095617411</v>
      </c>
      <c r="DU5" s="21">
        <v>0</v>
      </c>
      <c r="DV5" s="21">
        <v>0</v>
      </c>
      <c r="DX5" s="18"/>
      <c r="DY5" s="37">
        <v>0.97102113644159627</v>
      </c>
      <c r="DZ5" s="37">
        <v>0.94288204741632908</v>
      </c>
      <c r="EA5" s="37">
        <v>0.94225308166179456</v>
      </c>
      <c r="EB5" s="21">
        <v>1129.5652254493521</v>
      </c>
      <c r="EC5" s="21">
        <v>0</v>
      </c>
      <c r="ED5" s="21">
        <v>0</v>
      </c>
      <c r="EF5" s="18"/>
      <c r="EG5" s="37">
        <v>0.97140651326592597</v>
      </c>
      <c r="EH5" s="37">
        <v>0.94363061401546355</v>
      </c>
      <c r="EI5" s="37">
        <v>0.94197152907408266</v>
      </c>
      <c r="EJ5" s="21">
        <v>1132.3155479941245</v>
      </c>
      <c r="EK5" s="21">
        <v>0</v>
      </c>
      <c r="EL5" s="21">
        <v>0</v>
      </c>
    </row>
    <row r="6" spans="1:147" ht="15" customHeight="1" x14ac:dyDescent="0.45">
      <c r="A6" s="11">
        <v>27</v>
      </c>
      <c r="B6" s="12">
        <f t="shared" si="0"/>
        <v>27</v>
      </c>
      <c r="C6" s="12" t="s">
        <v>59</v>
      </c>
      <c r="D6" s="12">
        <v>0</v>
      </c>
      <c r="E6" s="12" t="s">
        <v>53</v>
      </c>
      <c r="F6" s="12">
        <v>0</v>
      </c>
      <c r="G6" s="12">
        <v>1</v>
      </c>
      <c r="H6" s="12" t="s">
        <v>61</v>
      </c>
      <c r="I6" s="12">
        <v>1</v>
      </c>
      <c r="J6" s="12">
        <v>0</v>
      </c>
      <c r="K6" s="12">
        <v>2</v>
      </c>
      <c r="L6" s="12">
        <f t="shared" si="1"/>
        <v>2</v>
      </c>
      <c r="M6" s="12">
        <v>1</v>
      </c>
      <c r="N6" s="12" t="s">
        <v>70</v>
      </c>
      <c r="O6" s="12">
        <v>0</v>
      </c>
      <c r="P6" s="12">
        <v>0</v>
      </c>
      <c r="Q6" s="12">
        <v>1</v>
      </c>
      <c r="R6" s="12">
        <v>0</v>
      </c>
      <c r="S6" s="12">
        <v>0</v>
      </c>
      <c r="T6" s="12">
        <v>1</v>
      </c>
      <c r="U6" s="12" t="s">
        <v>62</v>
      </c>
      <c r="V6" s="12">
        <v>0</v>
      </c>
      <c r="W6" s="12">
        <v>40</v>
      </c>
      <c r="X6" s="12">
        <v>3</v>
      </c>
      <c r="Y6" s="12">
        <v>1</v>
      </c>
      <c r="Z6" s="12" t="s">
        <v>67</v>
      </c>
      <c r="AA6" s="12">
        <v>0</v>
      </c>
      <c r="AB6" s="12">
        <v>0</v>
      </c>
      <c r="AC6" s="12">
        <v>1</v>
      </c>
      <c r="AD6" s="12">
        <v>0</v>
      </c>
      <c r="AE6" s="12">
        <v>0</v>
      </c>
      <c r="AF6" s="12">
        <v>0</v>
      </c>
      <c r="AG6" s="12">
        <v>0</v>
      </c>
      <c r="AH6" s="12">
        <v>0</v>
      </c>
      <c r="AI6" s="12">
        <v>2</v>
      </c>
      <c r="AJ6" s="12" t="s">
        <v>64</v>
      </c>
      <c r="AK6" s="12">
        <v>0</v>
      </c>
      <c r="AL6" s="12">
        <v>1</v>
      </c>
      <c r="AM6" s="12">
        <v>3468</v>
      </c>
      <c r="AN6" s="12">
        <f t="shared" si="2"/>
        <v>3468</v>
      </c>
      <c r="AO6" s="12">
        <v>9</v>
      </c>
      <c r="AP6" s="12" t="s">
        <v>59</v>
      </c>
      <c r="AQ6" s="12">
        <v>0</v>
      </c>
      <c r="AR6" s="12">
        <v>12</v>
      </c>
      <c r="AS6" s="12">
        <v>3</v>
      </c>
      <c r="AT6" s="12">
        <v>4</v>
      </c>
      <c r="AU6" s="12">
        <v>1</v>
      </c>
      <c r="AV6" s="12">
        <v>6</v>
      </c>
      <c r="AW6" s="12">
        <f t="shared" si="3"/>
        <v>6</v>
      </c>
      <c r="AX6" s="12">
        <v>3</v>
      </c>
      <c r="AY6" s="12">
        <v>3</v>
      </c>
      <c r="AZ6" s="12">
        <v>2</v>
      </c>
      <c r="BA6" s="12">
        <f t="shared" si="4"/>
        <v>2</v>
      </c>
      <c r="BB6" s="12">
        <v>2</v>
      </c>
      <c r="BC6" s="12">
        <v>2</v>
      </c>
      <c r="BD6" s="12">
        <f t="shared" si="13"/>
        <v>2</v>
      </c>
      <c r="BE6" s="12">
        <v>2</v>
      </c>
      <c r="BF6" s="12">
        <f t="shared" si="5"/>
        <v>2</v>
      </c>
      <c r="BG6" s="12">
        <f t="shared" si="14"/>
        <v>2</v>
      </c>
      <c r="BH6" s="67">
        <v>0</v>
      </c>
      <c r="BI6" s="67">
        <v>1</v>
      </c>
      <c r="BJ6" s="67">
        <v>0</v>
      </c>
      <c r="BK6" s="67">
        <v>0</v>
      </c>
      <c r="BL6" s="67">
        <v>0</v>
      </c>
      <c r="BM6" s="67">
        <v>0</v>
      </c>
      <c r="BN6" s="67">
        <v>1</v>
      </c>
      <c r="BO6" s="67">
        <v>0</v>
      </c>
      <c r="BP6" s="67">
        <v>0</v>
      </c>
      <c r="BQ6" s="67">
        <v>2</v>
      </c>
      <c r="BR6" s="67">
        <v>0</v>
      </c>
      <c r="BS6" s="67">
        <v>0</v>
      </c>
      <c r="BT6" s="67">
        <v>6</v>
      </c>
      <c r="BU6" s="70">
        <v>0</v>
      </c>
      <c r="BV6" s="29">
        <f t="shared" si="6"/>
        <v>0.64463873232921232</v>
      </c>
      <c r="BW6">
        <f t="shared" si="7"/>
        <v>0.59502473559756086</v>
      </c>
      <c r="BX6">
        <f t="shared" si="8"/>
        <v>0.67854260110508058</v>
      </c>
      <c r="BY6">
        <f t="shared" si="9"/>
        <v>0.81745575848020657</v>
      </c>
      <c r="BZ6">
        <f t="shared" si="10"/>
        <v>0.88721318382472392</v>
      </c>
      <c r="CA6">
        <f t="shared" si="11"/>
        <v>1.0863058347434136</v>
      </c>
      <c r="CB6">
        <f t="shared" si="12"/>
        <v>5.8265062631872602E-2</v>
      </c>
    </row>
    <row r="7" spans="1:147" ht="15" customHeight="1" x14ac:dyDescent="0.45">
      <c r="A7" s="11">
        <v>32</v>
      </c>
      <c r="B7" s="12">
        <f t="shared" si="0"/>
        <v>32</v>
      </c>
      <c r="C7" s="12" t="s">
        <v>59</v>
      </c>
      <c r="D7" s="12">
        <v>0</v>
      </c>
      <c r="E7" s="12" t="s">
        <v>60</v>
      </c>
      <c r="F7" s="12">
        <v>1</v>
      </c>
      <c r="G7" s="12">
        <v>0</v>
      </c>
      <c r="H7" s="12" t="s">
        <v>61</v>
      </c>
      <c r="I7" s="12">
        <v>1</v>
      </c>
      <c r="J7" s="12">
        <v>0</v>
      </c>
      <c r="K7" s="12">
        <v>2</v>
      </c>
      <c r="L7" s="12">
        <f t="shared" si="1"/>
        <v>2</v>
      </c>
      <c r="M7" s="12">
        <v>2</v>
      </c>
      <c r="N7" s="12" t="s">
        <v>55</v>
      </c>
      <c r="O7" s="12">
        <v>1</v>
      </c>
      <c r="P7" s="12">
        <v>0</v>
      </c>
      <c r="Q7" s="12">
        <v>0</v>
      </c>
      <c r="R7" s="12">
        <v>0</v>
      </c>
      <c r="S7" s="12">
        <v>0</v>
      </c>
      <c r="T7" s="12">
        <v>4</v>
      </c>
      <c r="U7" s="12" t="s">
        <v>62</v>
      </c>
      <c r="V7" s="12">
        <v>0</v>
      </c>
      <c r="W7" s="12">
        <v>79</v>
      </c>
      <c r="X7" s="12">
        <v>3</v>
      </c>
      <c r="Y7" s="12">
        <v>1</v>
      </c>
      <c r="Z7" s="12" t="s">
        <v>67</v>
      </c>
      <c r="AA7" s="12">
        <v>0</v>
      </c>
      <c r="AB7" s="12">
        <v>0</v>
      </c>
      <c r="AC7" s="12">
        <v>1</v>
      </c>
      <c r="AD7" s="12">
        <v>0</v>
      </c>
      <c r="AE7" s="12">
        <v>0</v>
      </c>
      <c r="AF7" s="12">
        <v>0</v>
      </c>
      <c r="AG7" s="12">
        <v>0</v>
      </c>
      <c r="AH7" s="12">
        <v>0</v>
      </c>
      <c r="AI7" s="12">
        <v>4</v>
      </c>
      <c r="AJ7" s="12" t="s">
        <v>57</v>
      </c>
      <c r="AK7" s="12">
        <v>1</v>
      </c>
      <c r="AL7" s="12">
        <v>0</v>
      </c>
      <c r="AM7" s="12">
        <v>3068</v>
      </c>
      <c r="AN7" s="12">
        <f t="shared" si="2"/>
        <v>3068</v>
      </c>
      <c r="AO7" s="12">
        <v>0</v>
      </c>
      <c r="AP7" s="12" t="s">
        <v>59</v>
      </c>
      <c r="AQ7" s="12">
        <v>0</v>
      </c>
      <c r="AR7" s="12">
        <v>13</v>
      </c>
      <c r="AS7" s="12">
        <v>3</v>
      </c>
      <c r="AT7" s="12">
        <v>3</v>
      </c>
      <c r="AU7" s="12">
        <v>0</v>
      </c>
      <c r="AV7" s="12">
        <v>8</v>
      </c>
      <c r="AW7" s="12">
        <f t="shared" si="3"/>
        <v>8</v>
      </c>
      <c r="AX7" s="12">
        <v>2</v>
      </c>
      <c r="AY7" s="12">
        <v>2</v>
      </c>
      <c r="AZ7" s="12">
        <v>7</v>
      </c>
      <c r="BA7" s="12">
        <f t="shared" si="4"/>
        <v>7</v>
      </c>
      <c r="BB7" s="12">
        <v>7</v>
      </c>
      <c r="BC7" s="12">
        <v>3</v>
      </c>
      <c r="BD7" s="12">
        <f t="shared" si="13"/>
        <v>3</v>
      </c>
      <c r="BE7" s="12">
        <v>6</v>
      </c>
      <c r="BF7" s="12">
        <f t="shared" si="5"/>
        <v>6</v>
      </c>
      <c r="BG7" s="12">
        <f t="shared" si="14"/>
        <v>6</v>
      </c>
      <c r="BH7" s="67">
        <v>0</v>
      </c>
      <c r="BI7" s="67">
        <v>0</v>
      </c>
      <c r="BJ7" s="67">
        <v>1</v>
      </c>
      <c r="BK7" s="67">
        <v>0</v>
      </c>
      <c r="BL7" s="67">
        <v>1</v>
      </c>
      <c r="BM7" s="67">
        <v>0</v>
      </c>
      <c r="BN7" s="67">
        <v>0</v>
      </c>
      <c r="BO7" s="67">
        <v>0</v>
      </c>
      <c r="BP7" s="67">
        <v>0</v>
      </c>
      <c r="BQ7" s="67">
        <v>6</v>
      </c>
      <c r="BR7" s="67">
        <v>0</v>
      </c>
      <c r="BS7" s="67">
        <v>0</v>
      </c>
      <c r="BT7" s="67">
        <v>8</v>
      </c>
      <c r="BU7" s="70">
        <v>0</v>
      </c>
      <c r="BV7" s="29">
        <f t="shared" si="6"/>
        <v>0.72960127944435094</v>
      </c>
      <c r="BW7">
        <f t="shared" si="7"/>
        <v>0.52600872973843971</v>
      </c>
      <c r="BX7">
        <f t="shared" si="8"/>
        <v>0.42149901815843233</v>
      </c>
      <c r="BY7">
        <f t="shared" si="9"/>
        <v>1.3324462240916321E-3</v>
      </c>
      <c r="BZ7">
        <f t="shared" si="10"/>
        <v>0.88721318382472392</v>
      </c>
      <c r="CA7">
        <f t="shared" si="11"/>
        <v>0.53898283739188557</v>
      </c>
      <c r="CB7">
        <f t="shared" si="12"/>
        <v>0.2520597274726662</v>
      </c>
      <c r="CC7" t="s">
        <v>393</v>
      </c>
      <c r="CJ7" s="19"/>
      <c r="CK7" s="120" t="s">
        <v>432</v>
      </c>
      <c r="CL7" s="120" t="s">
        <v>433</v>
      </c>
      <c r="CM7" s="120" t="s">
        <v>434</v>
      </c>
      <c r="CN7" s="122" t="s">
        <v>435</v>
      </c>
      <c r="CO7" s="122" t="s">
        <v>71</v>
      </c>
      <c r="CR7" s="19"/>
      <c r="CS7" s="120" t="s">
        <v>432</v>
      </c>
      <c r="CT7" s="120" t="s">
        <v>433</v>
      </c>
      <c r="CU7" s="120" t="s">
        <v>434</v>
      </c>
      <c r="CV7" s="122" t="s">
        <v>435</v>
      </c>
      <c r="CW7" s="122" t="s">
        <v>71</v>
      </c>
      <c r="CZ7" s="19"/>
      <c r="DA7" s="120" t="s">
        <v>432</v>
      </c>
      <c r="DB7" s="120" t="s">
        <v>433</v>
      </c>
      <c r="DC7" s="120" t="s">
        <v>434</v>
      </c>
      <c r="DD7" s="122" t="s">
        <v>435</v>
      </c>
      <c r="DE7" s="122" t="s">
        <v>71</v>
      </c>
      <c r="DH7" s="19"/>
      <c r="DI7" s="120" t="s">
        <v>432</v>
      </c>
      <c r="DJ7" s="120" t="s">
        <v>433</v>
      </c>
      <c r="DK7" s="120" t="s">
        <v>434</v>
      </c>
      <c r="DL7" s="122" t="s">
        <v>435</v>
      </c>
      <c r="DM7" s="122" t="s">
        <v>71</v>
      </c>
      <c r="DP7" s="19"/>
      <c r="DQ7" s="120" t="s">
        <v>432</v>
      </c>
      <c r="DR7" s="120" t="s">
        <v>433</v>
      </c>
      <c r="DS7" s="120" t="s">
        <v>434</v>
      </c>
      <c r="DT7" s="122" t="s">
        <v>435</v>
      </c>
      <c r="DU7" s="122" t="s">
        <v>71</v>
      </c>
      <c r="DX7" s="19"/>
      <c r="DY7" s="120" t="s">
        <v>432</v>
      </c>
      <c r="DZ7" s="120" t="s">
        <v>433</v>
      </c>
      <c r="EA7" s="120" t="s">
        <v>434</v>
      </c>
      <c r="EB7" s="122" t="s">
        <v>435</v>
      </c>
      <c r="EC7" s="122" t="s">
        <v>71</v>
      </c>
      <c r="EF7" s="19"/>
      <c r="EG7" s="120" t="s">
        <v>432</v>
      </c>
      <c r="EH7" s="120" t="s">
        <v>433</v>
      </c>
      <c r="EI7" s="120" t="s">
        <v>434</v>
      </c>
      <c r="EJ7" s="122" t="s">
        <v>435</v>
      </c>
      <c r="EK7" s="122" t="s">
        <v>71</v>
      </c>
    </row>
    <row r="8" spans="1:147" ht="15" customHeight="1" thickBot="1" x14ac:dyDescent="0.5">
      <c r="A8" s="11">
        <v>59</v>
      </c>
      <c r="B8" s="12">
        <f t="shared" si="0"/>
        <v>58.309999999999945</v>
      </c>
      <c r="C8" s="12" t="s">
        <v>59</v>
      </c>
      <c r="D8" s="12">
        <v>0</v>
      </c>
      <c r="E8" s="12" t="s">
        <v>53</v>
      </c>
      <c r="F8" s="12">
        <v>0</v>
      </c>
      <c r="G8" s="12">
        <v>1</v>
      </c>
      <c r="H8" s="12" t="s">
        <v>61</v>
      </c>
      <c r="I8" s="12">
        <v>1</v>
      </c>
      <c r="J8" s="12">
        <v>0</v>
      </c>
      <c r="K8" s="12">
        <v>3</v>
      </c>
      <c r="L8" s="12">
        <f t="shared" si="1"/>
        <v>3</v>
      </c>
      <c r="M8" s="12">
        <v>3</v>
      </c>
      <c r="N8" s="12" t="s">
        <v>70</v>
      </c>
      <c r="O8" s="12">
        <v>0</v>
      </c>
      <c r="P8" s="12">
        <v>0</v>
      </c>
      <c r="Q8" s="12">
        <v>1</v>
      </c>
      <c r="R8" s="12">
        <v>0</v>
      </c>
      <c r="S8" s="12">
        <v>0</v>
      </c>
      <c r="T8" s="12">
        <v>3</v>
      </c>
      <c r="U8" s="12" t="s">
        <v>19</v>
      </c>
      <c r="V8" s="12">
        <v>1</v>
      </c>
      <c r="W8" s="12">
        <v>81</v>
      </c>
      <c r="X8" s="12">
        <v>4</v>
      </c>
      <c r="Y8" s="12">
        <v>1</v>
      </c>
      <c r="Z8" s="12" t="s">
        <v>67</v>
      </c>
      <c r="AA8" s="12">
        <v>0</v>
      </c>
      <c r="AB8" s="12">
        <v>0</v>
      </c>
      <c r="AC8" s="12">
        <v>1</v>
      </c>
      <c r="AD8" s="12">
        <v>0</v>
      </c>
      <c r="AE8" s="12">
        <v>0</v>
      </c>
      <c r="AF8" s="12">
        <v>0</v>
      </c>
      <c r="AG8" s="12">
        <v>0</v>
      </c>
      <c r="AH8" s="12">
        <v>0</v>
      </c>
      <c r="AI8" s="12">
        <v>1</v>
      </c>
      <c r="AJ8" s="12" t="s">
        <v>64</v>
      </c>
      <c r="AK8" s="12">
        <v>0</v>
      </c>
      <c r="AL8" s="12">
        <v>1</v>
      </c>
      <c r="AM8" s="12">
        <v>2670</v>
      </c>
      <c r="AN8" s="12">
        <f t="shared" si="2"/>
        <v>2670</v>
      </c>
      <c r="AO8" s="12">
        <v>4</v>
      </c>
      <c r="AP8" s="12" t="s">
        <v>52</v>
      </c>
      <c r="AQ8" s="12">
        <v>1</v>
      </c>
      <c r="AR8" s="12">
        <v>20</v>
      </c>
      <c r="AS8" s="12">
        <v>4</v>
      </c>
      <c r="AT8" s="12">
        <v>1</v>
      </c>
      <c r="AU8" s="12">
        <v>3</v>
      </c>
      <c r="AV8" s="12">
        <v>12</v>
      </c>
      <c r="AW8" s="12">
        <f t="shared" si="3"/>
        <v>12</v>
      </c>
      <c r="AX8" s="12">
        <v>3</v>
      </c>
      <c r="AY8" s="12">
        <v>2</v>
      </c>
      <c r="AZ8" s="12">
        <v>1</v>
      </c>
      <c r="BA8" s="12">
        <f t="shared" si="4"/>
        <v>1</v>
      </c>
      <c r="BB8" s="12">
        <v>0</v>
      </c>
      <c r="BC8" s="12">
        <v>0</v>
      </c>
      <c r="BD8" s="12">
        <f t="shared" si="13"/>
        <v>0</v>
      </c>
      <c r="BE8" s="12">
        <v>0</v>
      </c>
      <c r="BF8" s="12">
        <f t="shared" si="5"/>
        <v>0</v>
      </c>
      <c r="BG8" s="12">
        <f t="shared" si="14"/>
        <v>0</v>
      </c>
      <c r="BH8" s="67">
        <v>0</v>
      </c>
      <c r="BI8" s="67">
        <v>1</v>
      </c>
      <c r="BJ8" s="67">
        <v>0</v>
      </c>
      <c r="BK8" s="67">
        <v>0</v>
      </c>
      <c r="BL8" s="67">
        <v>0</v>
      </c>
      <c r="BM8" s="67">
        <v>0</v>
      </c>
      <c r="BN8" s="67">
        <v>0</v>
      </c>
      <c r="BO8" s="67">
        <v>1</v>
      </c>
      <c r="BP8" s="67">
        <v>0</v>
      </c>
      <c r="BQ8" s="67">
        <v>0</v>
      </c>
      <c r="BR8" s="67">
        <v>0</v>
      </c>
      <c r="BS8" s="67">
        <v>0</v>
      </c>
      <c r="BT8" s="67">
        <v>12</v>
      </c>
      <c r="BU8" s="70">
        <v>0</v>
      </c>
      <c r="BV8" s="29">
        <f t="shared" si="6"/>
        <v>0.81413901382391396</v>
      </c>
      <c r="BW8">
        <f t="shared" si="7"/>
        <v>1.1555414682655611</v>
      </c>
      <c r="BX8">
        <f t="shared" si="8"/>
        <v>9.2588147734864096E-2</v>
      </c>
      <c r="BY8">
        <f t="shared" si="9"/>
        <v>0.9806804209314296</v>
      </c>
      <c r="BZ8">
        <f t="shared" si="10"/>
        <v>0.76386092994953758</v>
      </c>
      <c r="CA8">
        <f t="shared" si="11"/>
        <v>2.4165613483063648</v>
      </c>
      <c r="CB8">
        <f t="shared" si="12"/>
        <v>0.67891464284095016</v>
      </c>
      <c r="CC8" s="28">
        <v>0.99</v>
      </c>
      <c r="CD8">
        <f>_xlfn.PERCENTILE.INC($AM:$AM,CC8)</f>
        <v>19626.310000000001</v>
      </c>
      <c r="CJ8" s="20" t="s">
        <v>436</v>
      </c>
      <c r="CK8" s="121"/>
      <c r="CL8" s="121"/>
      <c r="CM8" s="121"/>
      <c r="CN8" s="121"/>
      <c r="CO8" s="121"/>
      <c r="CR8" s="20" t="s">
        <v>436</v>
      </c>
      <c r="CS8" s="121"/>
      <c r="CT8" s="121"/>
      <c r="CU8" s="121"/>
      <c r="CV8" s="121"/>
      <c r="CW8" s="121"/>
      <c r="CZ8" s="20" t="s">
        <v>436</v>
      </c>
      <c r="DA8" s="121"/>
      <c r="DB8" s="121"/>
      <c r="DC8" s="121"/>
      <c r="DD8" s="121"/>
      <c r="DE8" s="121"/>
      <c r="DH8" s="20" t="s">
        <v>436</v>
      </c>
      <c r="DI8" s="121"/>
      <c r="DJ8" s="121"/>
      <c r="DK8" s="121"/>
      <c r="DL8" s="121"/>
      <c r="DM8" s="121"/>
      <c r="DP8" s="20" t="s">
        <v>436</v>
      </c>
      <c r="DQ8" s="121"/>
      <c r="DR8" s="121"/>
      <c r="DS8" s="121"/>
      <c r="DT8" s="121"/>
      <c r="DU8" s="121"/>
      <c r="DX8" s="20" t="s">
        <v>436</v>
      </c>
      <c r="DY8" s="121"/>
      <c r="DZ8" s="121"/>
      <c r="EA8" s="121"/>
      <c r="EB8" s="121"/>
      <c r="EC8" s="121"/>
      <c r="EF8" s="20" t="s">
        <v>436</v>
      </c>
      <c r="EG8" s="121"/>
      <c r="EH8" s="121"/>
      <c r="EI8" s="121"/>
      <c r="EJ8" s="121"/>
      <c r="EK8" s="121"/>
    </row>
    <row r="9" spans="1:147" ht="15" customHeight="1" thickTop="1" x14ac:dyDescent="0.45">
      <c r="A9" s="11">
        <v>30</v>
      </c>
      <c r="B9" s="12">
        <f t="shared" si="0"/>
        <v>30</v>
      </c>
      <c r="C9" s="12" t="s">
        <v>59</v>
      </c>
      <c r="D9" s="12">
        <v>0</v>
      </c>
      <c r="E9" s="12" t="s">
        <v>53</v>
      </c>
      <c r="F9" s="12">
        <v>0</v>
      </c>
      <c r="G9" s="12">
        <v>1</v>
      </c>
      <c r="H9" s="12" t="s">
        <v>61</v>
      </c>
      <c r="I9" s="12">
        <v>1</v>
      </c>
      <c r="J9" s="12">
        <v>0</v>
      </c>
      <c r="K9" s="12">
        <v>24</v>
      </c>
      <c r="L9" s="12">
        <f t="shared" si="1"/>
        <v>24</v>
      </c>
      <c r="M9" s="12">
        <v>1</v>
      </c>
      <c r="N9" s="12" t="s">
        <v>55</v>
      </c>
      <c r="O9" s="12">
        <v>1</v>
      </c>
      <c r="P9" s="12">
        <v>0</v>
      </c>
      <c r="Q9" s="12">
        <v>0</v>
      </c>
      <c r="R9" s="12">
        <v>0</v>
      </c>
      <c r="S9" s="12">
        <v>0</v>
      </c>
      <c r="T9" s="12">
        <v>4</v>
      </c>
      <c r="U9" s="12" t="s">
        <v>62</v>
      </c>
      <c r="V9" s="12">
        <v>0</v>
      </c>
      <c r="W9" s="12">
        <v>67</v>
      </c>
      <c r="X9" s="12">
        <v>3</v>
      </c>
      <c r="Y9" s="12">
        <v>1</v>
      </c>
      <c r="Z9" s="12" t="s">
        <v>67</v>
      </c>
      <c r="AA9" s="12">
        <v>0</v>
      </c>
      <c r="AB9" s="12">
        <v>0</v>
      </c>
      <c r="AC9" s="12">
        <v>1</v>
      </c>
      <c r="AD9" s="12">
        <v>0</v>
      </c>
      <c r="AE9" s="12">
        <v>0</v>
      </c>
      <c r="AF9" s="12">
        <v>0</v>
      </c>
      <c r="AG9" s="12">
        <v>0</v>
      </c>
      <c r="AH9" s="12">
        <v>0</v>
      </c>
      <c r="AI9" s="12">
        <v>3</v>
      </c>
      <c r="AJ9" s="12" t="s">
        <v>78</v>
      </c>
      <c r="AK9" s="12">
        <v>0</v>
      </c>
      <c r="AL9" s="12">
        <v>0</v>
      </c>
      <c r="AM9" s="12">
        <v>2693</v>
      </c>
      <c r="AN9" s="12">
        <f t="shared" si="2"/>
        <v>2693</v>
      </c>
      <c r="AO9" s="12">
        <v>1</v>
      </c>
      <c r="AP9" s="12" t="s">
        <v>59</v>
      </c>
      <c r="AQ9" s="12">
        <v>0</v>
      </c>
      <c r="AR9" s="12">
        <v>22</v>
      </c>
      <c r="AS9" s="12">
        <v>4</v>
      </c>
      <c r="AT9" s="12">
        <v>2</v>
      </c>
      <c r="AU9" s="12">
        <v>1</v>
      </c>
      <c r="AV9" s="12">
        <v>1</v>
      </c>
      <c r="AW9" s="12">
        <f t="shared" si="3"/>
        <v>1</v>
      </c>
      <c r="AX9" s="12">
        <v>2</v>
      </c>
      <c r="AY9" s="12">
        <v>3</v>
      </c>
      <c r="AZ9" s="12">
        <v>1</v>
      </c>
      <c r="BA9" s="12">
        <f t="shared" si="4"/>
        <v>1</v>
      </c>
      <c r="BB9" s="12">
        <v>0</v>
      </c>
      <c r="BC9" s="12">
        <v>0</v>
      </c>
      <c r="BD9" s="12">
        <f t="shared" si="13"/>
        <v>0</v>
      </c>
      <c r="BE9" s="12">
        <v>0</v>
      </c>
      <c r="BF9" s="12">
        <f t="shared" si="5"/>
        <v>0</v>
      </c>
      <c r="BG9" s="12">
        <f t="shared" si="14"/>
        <v>0</v>
      </c>
      <c r="BH9" s="67">
        <v>1</v>
      </c>
      <c r="BI9" s="67">
        <v>0</v>
      </c>
      <c r="BJ9" s="67">
        <v>0</v>
      </c>
      <c r="BK9" s="67">
        <v>0</v>
      </c>
      <c r="BL9" s="67">
        <v>1</v>
      </c>
      <c r="BM9" s="67">
        <v>0</v>
      </c>
      <c r="BN9" s="67">
        <v>0</v>
      </c>
      <c r="BO9" s="67">
        <v>0</v>
      </c>
      <c r="BP9" s="67">
        <v>0</v>
      </c>
      <c r="BQ9" s="67">
        <v>0</v>
      </c>
      <c r="BR9" s="67">
        <v>0</v>
      </c>
      <c r="BS9" s="67">
        <v>0</v>
      </c>
      <c r="BT9" s="67">
        <v>1</v>
      </c>
      <c r="BU9" s="70">
        <v>0</v>
      </c>
      <c r="BV9" s="29">
        <f t="shared" si="6"/>
        <v>0.80925366736479343</v>
      </c>
      <c r="BW9">
        <f t="shared" si="7"/>
        <v>1.1555414682655611</v>
      </c>
      <c r="BX9">
        <f t="shared" si="8"/>
        <v>1.3211515584717011</v>
      </c>
      <c r="BY9">
        <f t="shared" si="9"/>
        <v>0.9806804209314296</v>
      </c>
      <c r="BZ9">
        <f t="shared" si="10"/>
        <v>1.8265364014293735</v>
      </c>
      <c r="CA9">
        <f t="shared" si="11"/>
        <v>0.75791203633249671</v>
      </c>
      <c r="CB9">
        <f t="shared" si="12"/>
        <v>0.67891464284095016</v>
      </c>
      <c r="CC9" s="28">
        <v>0.01</v>
      </c>
      <c r="CD9">
        <f>_xlfn.PERCENTILE.INC($AM:$AM,CC9)</f>
        <v>1382.46</v>
      </c>
      <c r="CJ9" s="18" t="s">
        <v>437</v>
      </c>
      <c r="CK9" s="21">
        <v>49</v>
      </c>
      <c r="CL9" s="21">
        <v>30569264454.948372</v>
      </c>
      <c r="CM9" s="21">
        <v>623862539.89690554</v>
      </c>
      <c r="CN9" s="21">
        <v>469.15000327866682</v>
      </c>
      <c r="CO9" s="22">
        <v>0</v>
      </c>
      <c r="CR9" s="18" t="s">
        <v>437</v>
      </c>
      <c r="CS9" s="21">
        <v>13</v>
      </c>
      <c r="CT9" s="21">
        <v>30538790812.004562</v>
      </c>
      <c r="CU9" s="21">
        <v>2349137754.7695818</v>
      </c>
      <c r="CV9" s="21">
        <v>1782.5901084579598</v>
      </c>
      <c r="CW9" s="22">
        <v>0</v>
      </c>
      <c r="CZ9" s="18" t="s">
        <v>437</v>
      </c>
      <c r="DA9" s="21">
        <v>13</v>
      </c>
      <c r="DB9" s="21">
        <v>30538790812.004131</v>
      </c>
      <c r="DC9" s="21">
        <v>2349137754.7695484</v>
      </c>
      <c r="DD9" s="21">
        <v>1782.5901084579345</v>
      </c>
      <c r="DE9" s="22">
        <v>0</v>
      </c>
      <c r="DH9" s="18" t="s">
        <v>437</v>
      </c>
      <c r="DI9" s="21">
        <v>42</v>
      </c>
      <c r="DJ9" s="21">
        <v>30566096447.958092</v>
      </c>
      <c r="DK9" s="21">
        <v>727764201.14185929</v>
      </c>
      <c r="DL9" s="21">
        <v>549.0616569367603</v>
      </c>
      <c r="DM9" s="22">
        <v>0</v>
      </c>
      <c r="DP9" s="18" t="s">
        <v>437</v>
      </c>
      <c r="DQ9" s="21">
        <v>14</v>
      </c>
      <c r="DR9" s="21">
        <v>30537507131.895103</v>
      </c>
      <c r="DS9" s="21">
        <v>2181250509.4210787</v>
      </c>
      <c r="DT9" s="21">
        <v>1652.9500025042007</v>
      </c>
      <c r="DU9" s="22">
        <v>0</v>
      </c>
      <c r="DX9" s="18" t="s">
        <v>437</v>
      </c>
      <c r="DY9" s="21">
        <v>16</v>
      </c>
      <c r="DZ9" s="21">
        <v>30603632429.3134</v>
      </c>
      <c r="EA9" s="21">
        <v>1912727026.8320875</v>
      </c>
      <c r="EB9" s="21">
        <v>1499.0991808672504</v>
      </c>
      <c r="EC9" s="22">
        <v>0</v>
      </c>
      <c r="EF9" s="18" t="s">
        <v>437</v>
      </c>
      <c r="EG9" s="21">
        <v>42</v>
      </c>
      <c r="EH9" s="21">
        <v>30627929060.173149</v>
      </c>
      <c r="EI9" s="21">
        <v>729236406.19459879</v>
      </c>
      <c r="EJ9" s="21">
        <v>568.76570359927416</v>
      </c>
      <c r="EK9" s="22">
        <v>0</v>
      </c>
    </row>
    <row r="10" spans="1:147" ht="15" customHeight="1" x14ac:dyDescent="0.45">
      <c r="A10" s="11">
        <v>38</v>
      </c>
      <c r="B10" s="12">
        <f t="shared" si="0"/>
        <v>38</v>
      </c>
      <c r="C10" s="12" t="s">
        <v>59</v>
      </c>
      <c r="D10" s="12">
        <v>0</v>
      </c>
      <c r="E10" s="12" t="s">
        <v>60</v>
      </c>
      <c r="F10" s="12">
        <v>1</v>
      </c>
      <c r="G10" s="12">
        <v>0</v>
      </c>
      <c r="H10" s="12" t="s">
        <v>61</v>
      </c>
      <c r="I10" s="12">
        <v>1</v>
      </c>
      <c r="J10" s="12">
        <v>0</v>
      </c>
      <c r="K10" s="12">
        <v>23</v>
      </c>
      <c r="L10" s="12">
        <f t="shared" si="1"/>
        <v>23</v>
      </c>
      <c r="M10" s="12">
        <v>3</v>
      </c>
      <c r="N10" s="12" t="s">
        <v>55</v>
      </c>
      <c r="O10" s="12">
        <v>1</v>
      </c>
      <c r="P10" s="12">
        <v>0</v>
      </c>
      <c r="Q10" s="12">
        <v>0</v>
      </c>
      <c r="R10" s="12">
        <v>0</v>
      </c>
      <c r="S10" s="12">
        <v>0</v>
      </c>
      <c r="T10" s="12">
        <v>4</v>
      </c>
      <c r="U10" s="12" t="s">
        <v>62</v>
      </c>
      <c r="V10" s="12">
        <v>0</v>
      </c>
      <c r="W10" s="12">
        <v>44</v>
      </c>
      <c r="X10" s="12">
        <v>2</v>
      </c>
      <c r="Y10" s="12">
        <v>3</v>
      </c>
      <c r="Z10" s="12" t="s">
        <v>83</v>
      </c>
      <c r="AA10" s="12">
        <v>0</v>
      </c>
      <c r="AB10" s="12">
        <v>0</v>
      </c>
      <c r="AC10" s="12">
        <v>0</v>
      </c>
      <c r="AD10" s="12">
        <v>0</v>
      </c>
      <c r="AE10" s="12">
        <v>1</v>
      </c>
      <c r="AF10" s="12">
        <v>1</v>
      </c>
      <c r="AG10" s="12">
        <v>0</v>
      </c>
      <c r="AH10" s="12">
        <v>0</v>
      </c>
      <c r="AI10" s="12">
        <v>3</v>
      </c>
      <c r="AJ10" s="12" t="s">
        <v>57</v>
      </c>
      <c r="AK10" s="12">
        <v>1</v>
      </c>
      <c r="AL10" s="12">
        <v>0</v>
      </c>
      <c r="AM10" s="12">
        <v>9526</v>
      </c>
      <c r="AN10" s="12">
        <f t="shared" si="2"/>
        <v>9526</v>
      </c>
      <c r="AO10" s="12">
        <v>0</v>
      </c>
      <c r="AP10" s="12" t="s">
        <v>59</v>
      </c>
      <c r="AQ10" s="12">
        <v>0</v>
      </c>
      <c r="AR10" s="12">
        <v>21</v>
      </c>
      <c r="AS10" s="12">
        <v>4</v>
      </c>
      <c r="AT10" s="12">
        <v>2</v>
      </c>
      <c r="AU10" s="12">
        <v>0</v>
      </c>
      <c r="AV10" s="12">
        <v>10</v>
      </c>
      <c r="AW10" s="12">
        <f t="shared" si="3"/>
        <v>10</v>
      </c>
      <c r="AX10" s="12">
        <v>2</v>
      </c>
      <c r="AY10" s="12">
        <v>3</v>
      </c>
      <c r="AZ10" s="12">
        <v>9</v>
      </c>
      <c r="BA10" s="12">
        <f t="shared" si="4"/>
        <v>9</v>
      </c>
      <c r="BB10" s="12">
        <v>7</v>
      </c>
      <c r="BC10" s="12">
        <v>1</v>
      </c>
      <c r="BD10" s="12">
        <f t="shared" si="13"/>
        <v>1</v>
      </c>
      <c r="BE10" s="12">
        <v>8</v>
      </c>
      <c r="BF10" s="12">
        <f t="shared" si="5"/>
        <v>8</v>
      </c>
      <c r="BG10" s="12">
        <f t="shared" si="14"/>
        <v>24</v>
      </c>
      <c r="BH10" s="67">
        <v>0</v>
      </c>
      <c r="BI10" s="67">
        <v>0</v>
      </c>
      <c r="BJ10" s="67">
        <v>1</v>
      </c>
      <c r="BK10" s="67">
        <v>0</v>
      </c>
      <c r="BL10" s="67">
        <v>1</v>
      </c>
      <c r="BM10" s="67">
        <v>0</v>
      </c>
      <c r="BN10" s="67">
        <v>0</v>
      </c>
      <c r="BO10" s="67">
        <v>0</v>
      </c>
      <c r="BP10" s="67">
        <v>0</v>
      </c>
      <c r="BQ10" s="67">
        <v>8</v>
      </c>
      <c r="BR10" s="67">
        <v>0</v>
      </c>
      <c r="BS10" s="67">
        <v>0</v>
      </c>
      <c r="BT10" s="67">
        <v>10</v>
      </c>
      <c r="BU10" s="70">
        <v>0</v>
      </c>
      <c r="BV10" s="29">
        <f t="shared" si="6"/>
        <v>0.64211904372956286</v>
      </c>
      <c r="BW10">
        <f t="shared" si="7"/>
        <v>1.08652546240644</v>
      </c>
      <c r="BX10">
        <f t="shared" si="8"/>
        <v>0.1644554352117841</v>
      </c>
      <c r="BY10">
        <f t="shared" si="9"/>
        <v>0.32511687867835437</v>
      </c>
      <c r="BZ10">
        <f t="shared" si="10"/>
        <v>1.7031841475541873</v>
      </c>
      <c r="CA10">
        <f t="shared" si="11"/>
        <v>0.11780475942994788</v>
      </c>
      <c r="CB10">
        <f t="shared" si="12"/>
        <v>0.36858985273641137</v>
      </c>
      <c r="CJ10" s="18" t="s">
        <v>438</v>
      </c>
      <c r="CK10" s="21">
        <v>1420</v>
      </c>
      <c r="CL10" s="21">
        <v>1888276245.257545</v>
      </c>
      <c r="CM10" s="21">
        <v>1329772.0037024964</v>
      </c>
      <c r="CN10" s="16"/>
      <c r="CO10" s="16"/>
      <c r="CR10" s="18" t="s">
        <v>438</v>
      </c>
      <c r="CS10" s="21">
        <v>1456</v>
      </c>
      <c r="CT10" s="21">
        <v>1918749887.9948912</v>
      </c>
      <c r="CU10" s="21">
        <v>1317822.7252712164</v>
      </c>
      <c r="CV10" s="16"/>
      <c r="CW10" s="16"/>
      <c r="CZ10" s="18" t="s">
        <v>438</v>
      </c>
      <c r="DA10" s="21">
        <v>1456</v>
      </c>
      <c r="DB10" s="21">
        <v>1918749887.9948912</v>
      </c>
      <c r="DC10" s="21">
        <v>1317822.7252712164</v>
      </c>
      <c r="DD10" s="16"/>
      <c r="DE10" s="16"/>
      <c r="DH10" s="18" t="s">
        <v>438</v>
      </c>
      <c r="DI10" s="21">
        <v>1427</v>
      </c>
      <c r="DJ10" s="21">
        <v>1891444252.0415289</v>
      </c>
      <c r="DK10" s="21">
        <v>1325468.992320623</v>
      </c>
      <c r="DL10" s="16"/>
      <c r="DM10" s="16"/>
      <c r="DP10" s="18" t="s">
        <v>438</v>
      </c>
      <c r="DQ10" s="21">
        <v>1455</v>
      </c>
      <c r="DR10" s="21">
        <v>1920033568.1052179</v>
      </c>
      <c r="DS10" s="21">
        <v>1319610.6997286722</v>
      </c>
      <c r="DT10" s="16"/>
      <c r="DU10" s="16"/>
      <c r="DX10" s="18" t="s">
        <v>438</v>
      </c>
      <c r="DY10" s="21">
        <v>1453</v>
      </c>
      <c r="DZ10" s="21">
        <v>1853908270.6850796</v>
      </c>
      <c r="EA10" s="21">
        <v>1275917.5985444456</v>
      </c>
      <c r="EB10" s="16"/>
      <c r="EC10" s="16"/>
      <c r="EF10" s="18" t="s">
        <v>438</v>
      </c>
      <c r="EG10" s="21">
        <v>1427</v>
      </c>
      <c r="EH10" s="21">
        <v>1829611639.8271177</v>
      </c>
      <c r="EI10" s="21">
        <v>1282138.5002292346</v>
      </c>
      <c r="EJ10" s="16"/>
      <c r="EK10" s="16"/>
    </row>
    <row r="11" spans="1:147" ht="15" customHeight="1" x14ac:dyDescent="0.45">
      <c r="A11" s="11">
        <v>36</v>
      </c>
      <c r="B11" s="12">
        <f t="shared" si="0"/>
        <v>36</v>
      </c>
      <c r="C11" s="12" t="s">
        <v>59</v>
      </c>
      <c r="D11" s="12">
        <v>0</v>
      </c>
      <c r="E11" s="12" t="s">
        <v>53</v>
      </c>
      <c r="F11" s="12">
        <v>0</v>
      </c>
      <c r="G11" s="12">
        <v>1</v>
      </c>
      <c r="H11" s="12" t="s">
        <v>61</v>
      </c>
      <c r="I11" s="12">
        <v>1</v>
      </c>
      <c r="J11" s="12">
        <v>0</v>
      </c>
      <c r="K11" s="12">
        <v>27</v>
      </c>
      <c r="L11" s="12">
        <f t="shared" si="1"/>
        <v>27</v>
      </c>
      <c r="M11" s="12">
        <v>3</v>
      </c>
      <c r="N11" s="12" t="s">
        <v>70</v>
      </c>
      <c r="O11" s="12">
        <v>0</v>
      </c>
      <c r="P11" s="12">
        <v>0</v>
      </c>
      <c r="Q11" s="12">
        <v>1</v>
      </c>
      <c r="R11" s="12">
        <v>0</v>
      </c>
      <c r="S11" s="12">
        <v>0</v>
      </c>
      <c r="T11" s="12">
        <v>3</v>
      </c>
      <c r="U11" s="12" t="s">
        <v>62</v>
      </c>
      <c r="V11" s="12">
        <v>0</v>
      </c>
      <c r="W11" s="12">
        <v>94</v>
      </c>
      <c r="X11" s="12">
        <v>3</v>
      </c>
      <c r="Y11" s="12">
        <v>2</v>
      </c>
      <c r="Z11" s="12" t="s">
        <v>85</v>
      </c>
      <c r="AA11" s="12">
        <v>1</v>
      </c>
      <c r="AB11" s="12">
        <v>0</v>
      </c>
      <c r="AC11" s="12">
        <v>0</v>
      </c>
      <c r="AD11" s="12">
        <v>0</v>
      </c>
      <c r="AE11" s="12">
        <v>0</v>
      </c>
      <c r="AF11" s="12">
        <v>0</v>
      </c>
      <c r="AG11" s="12">
        <v>0</v>
      </c>
      <c r="AH11" s="12">
        <v>0</v>
      </c>
      <c r="AI11" s="12">
        <v>3</v>
      </c>
      <c r="AJ11" s="12" t="s">
        <v>64</v>
      </c>
      <c r="AK11" s="12">
        <v>0</v>
      </c>
      <c r="AL11" s="12">
        <v>1</v>
      </c>
      <c r="AM11" s="12">
        <v>5237</v>
      </c>
      <c r="AN11" s="12">
        <f t="shared" si="2"/>
        <v>5237</v>
      </c>
      <c r="AO11" s="12">
        <v>6</v>
      </c>
      <c r="AP11" s="12" t="s">
        <v>59</v>
      </c>
      <c r="AQ11" s="12">
        <v>0</v>
      </c>
      <c r="AR11" s="12">
        <v>13</v>
      </c>
      <c r="AS11" s="12">
        <v>3</v>
      </c>
      <c r="AT11" s="12">
        <v>2</v>
      </c>
      <c r="AU11" s="12">
        <v>2</v>
      </c>
      <c r="AV11" s="12">
        <v>17</v>
      </c>
      <c r="AW11" s="12">
        <f t="shared" si="3"/>
        <v>17</v>
      </c>
      <c r="AX11" s="12">
        <v>3</v>
      </c>
      <c r="AY11" s="12">
        <v>2</v>
      </c>
      <c r="AZ11" s="12">
        <v>7</v>
      </c>
      <c r="BA11" s="12">
        <f t="shared" si="4"/>
        <v>7</v>
      </c>
      <c r="BB11" s="12">
        <v>7</v>
      </c>
      <c r="BC11" s="12">
        <v>7</v>
      </c>
      <c r="BD11" s="12">
        <f t="shared" si="13"/>
        <v>7</v>
      </c>
      <c r="BE11" s="12">
        <v>7</v>
      </c>
      <c r="BF11" s="12">
        <f t="shared" si="5"/>
        <v>7</v>
      </c>
      <c r="BG11" s="12">
        <f t="shared" si="14"/>
        <v>14</v>
      </c>
      <c r="BH11" s="67">
        <v>0</v>
      </c>
      <c r="BI11" s="67">
        <v>1</v>
      </c>
      <c r="BJ11" s="67">
        <v>0</v>
      </c>
      <c r="BK11" s="67">
        <v>0</v>
      </c>
      <c r="BL11" s="67">
        <v>0</v>
      </c>
      <c r="BM11" s="67">
        <v>0</v>
      </c>
      <c r="BN11" s="67">
        <v>1</v>
      </c>
      <c r="BO11" s="67">
        <v>0</v>
      </c>
      <c r="BP11" s="67">
        <v>0</v>
      </c>
      <c r="BQ11" s="67">
        <v>7</v>
      </c>
      <c r="BR11" s="67">
        <v>0</v>
      </c>
      <c r="BS11" s="67">
        <v>0</v>
      </c>
      <c r="BT11" s="67">
        <v>17</v>
      </c>
      <c r="BU11" s="70">
        <v>0</v>
      </c>
      <c r="BV11" s="29">
        <f t="shared" si="6"/>
        <v>0.2688918677125115</v>
      </c>
      <c r="BW11">
        <f t="shared" si="7"/>
        <v>0.80626709607243985</v>
      </c>
      <c r="BX11">
        <f t="shared" si="8"/>
        <v>0.73519710510148462</v>
      </c>
      <c r="BY11">
        <f t="shared" si="9"/>
        <v>1.3324462240916321E-3</v>
      </c>
      <c r="BZ11">
        <f t="shared" si="10"/>
        <v>2.1965931630549322</v>
      </c>
      <c r="CA11">
        <f t="shared" si="11"/>
        <v>0.10112443951066327</v>
      </c>
      <c r="CB11">
        <f t="shared" si="12"/>
        <v>1.4933588878908215</v>
      </c>
      <c r="CC11" t="str">
        <f>BF1</f>
        <v>Wins_YearsWithCurrentMgr</v>
      </c>
      <c r="CE11" t="s">
        <v>521</v>
      </c>
    </row>
    <row r="12" spans="1:147" ht="15" customHeight="1" x14ac:dyDescent="0.45">
      <c r="A12" s="11">
        <v>35</v>
      </c>
      <c r="B12" s="12">
        <f t="shared" si="0"/>
        <v>35</v>
      </c>
      <c r="C12" s="12" t="s">
        <v>59</v>
      </c>
      <c r="D12" s="12">
        <v>0</v>
      </c>
      <c r="E12" s="12" t="s">
        <v>53</v>
      </c>
      <c r="F12" s="12">
        <v>0</v>
      </c>
      <c r="G12" s="12">
        <v>1</v>
      </c>
      <c r="H12" s="12" t="s">
        <v>61</v>
      </c>
      <c r="I12" s="12">
        <v>1</v>
      </c>
      <c r="J12" s="12">
        <v>0</v>
      </c>
      <c r="K12" s="12">
        <v>16</v>
      </c>
      <c r="L12" s="12">
        <f t="shared" si="1"/>
        <v>16</v>
      </c>
      <c r="M12" s="12">
        <v>3</v>
      </c>
      <c r="N12" s="12" t="s">
        <v>70</v>
      </c>
      <c r="O12" s="12">
        <v>0</v>
      </c>
      <c r="P12" s="12">
        <v>0</v>
      </c>
      <c r="Q12" s="12">
        <v>1</v>
      </c>
      <c r="R12" s="12">
        <v>0</v>
      </c>
      <c r="S12" s="12">
        <v>0</v>
      </c>
      <c r="T12" s="12">
        <v>1</v>
      </c>
      <c r="U12" s="12" t="s">
        <v>62</v>
      </c>
      <c r="V12" s="12">
        <v>0</v>
      </c>
      <c r="W12" s="12">
        <v>84</v>
      </c>
      <c r="X12" s="12">
        <v>4</v>
      </c>
      <c r="Y12" s="12">
        <v>1</v>
      </c>
      <c r="Z12" s="12" t="s">
        <v>67</v>
      </c>
      <c r="AA12" s="12">
        <v>0</v>
      </c>
      <c r="AB12" s="12">
        <v>0</v>
      </c>
      <c r="AC12" s="12">
        <v>1</v>
      </c>
      <c r="AD12" s="12">
        <v>0</v>
      </c>
      <c r="AE12" s="12">
        <v>0</v>
      </c>
      <c r="AF12" s="12">
        <v>0</v>
      </c>
      <c r="AG12" s="12">
        <v>0</v>
      </c>
      <c r="AH12" s="12">
        <v>0</v>
      </c>
      <c r="AI12" s="12">
        <v>2</v>
      </c>
      <c r="AJ12" s="12" t="s">
        <v>64</v>
      </c>
      <c r="AK12" s="12">
        <v>0</v>
      </c>
      <c r="AL12" s="12">
        <v>1</v>
      </c>
      <c r="AM12" s="12">
        <v>2426</v>
      </c>
      <c r="AN12" s="12">
        <f t="shared" si="2"/>
        <v>2426</v>
      </c>
      <c r="AO12" s="12">
        <v>0</v>
      </c>
      <c r="AP12" s="12" t="s">
        <v>59</v>
      </c>
      <c r="AQ12" s="12">
        <v>0</v>
      </c>
      <c r="AR12" s="12">
        <v>13</v>
      </c>
      <c r="AS12" s="12">
        <v>3</v>
      </c>
      <c r="AT12" s="12">
        <v>3</v>
      </c>
      <c r="AU12" s="12">
        <v>1</v>
      </c>
      <c r="AV12" s="12">
        <v>6</v>
      </c>
      <c r="AW12" s="12">
        <f t="shared" si="3"/>
        <v>6</v>
      </c>
      <c r="AX12" s="12">
        <v>5</v>
      </c>
      <c r="AY12" s="12">
        <v>3</v>
      </c>
      <c r="AZ12" s="12">
        <v>5</v>
      </c>
      <c r="BA12" s="12">
        <f t="shared" si="4"/>
        <v>5</v>
      </c>
      <c r="BB12" s="12">
        <v>4</v>
      </c>
      <c r="BC12" s="12">
        <v>0</v>
      </c>
      <c r="BD12" s="12">
        <f t="shared" si="13"/>
        <v>0</v>
      </c>
      <c r="BE12" s="12">
        <v>3</v>
      </c>
      <c r="BF12" s="12">
        <f t="shared" si="5"/>
        <v>3</v>
      </c>
      <c r="BG12" s="12">
        <f t="shared" si="14"/>
        <v>3</v>
      </c>
      <c r="BH12" s="67">
        <v>0</v>
      </c>
      <c r="BI12" s="67">
        <v>1</v>
      </c>
      <c r="BJ12" s="67">
        <v>0</v>
      </c>
      <c r="BK12" s="67">
        <v>0</v>
      </c>
      <c r="BL12" s="67">
        <v>0</v>
      </c>
      <c r="BM12" s="67">
        <v>0</v>
      </c>
      <c r="BN12" s="67">
        <v>1</v>
      </c>
      <c r="BO12" s="67">
        <v>0</v>
      </c>
      <c r="BP12" s="67">
        <v>0</v>
      </c>
      <c r="BQ12" s="67">
        <v>3</v>
      </c>
      <c r="BR12" s="67">
        <v>0</v>
      </c>
      <c r="BS12" s="67">
        <v>0</v>
      </c>
      <c r="BT12" s="67">
        <v>6</v>
      </c>
      <c r="BU12" s="70">
        <v>0</v>
      </c>
      <c r="BV12" s="29">
        <f t="shared" si="6"/>
        <v>0.86596616756414846</v>
      </c>
      <c r="BW12">
        <f t="shared" si="7"/>
        <v>0.31476636926356072</v>
      </c>
      <c r="BX12">
        <f t="shared" si="8"/>
        <v>0.67854260110508058</v>
      </c>
      <c r="BY12">
        <f t="shared" si="9"/>
        <v>0.32778177112653761</v>
      </c>
      <c r="BZ12">
        <f t="shared" si="10"/>
        <v>0.83971837042788355</v>
      </c>
      <c r="CA12">
        <f t="shared" si="11"/>
        <v>0.21058903898096887</v>
      </c>
      <c r="CB12">
        <f t="shared" si="12"/>
        <v>0.67891464284095016</v>
      </c>
      <c r="CC12" s="28">
        <v>0.99</v>
      </c>
      <c r="CD12">
        <f>_xlfn.PERCENTILE.INC($BE:$BE,CC12)</f>
        <v>14</v>
      </c>
      <c r="CE12" t="s">
        <v>390</v>
      </c>
      <c r="CF12">
        <f>COUNTIFS(BW:BW,"&gt;=2",BW:BW,"&lt;3")</f>
        <v>37</v>
      </c>
      <c r="CJ12" s="19"/>
      <c r="CK12" s="122" t="s">
        <v>72</v>
      </c>
      <c r="CL12" s="120" t="s">
        <v>439</v>
      </c>
      <c r="CM12" s="122" t="s">
        <v>440</v>
      </c>
      <c r="CN12" s="122" t="s">
        <v>71</v>
      </c>
      <c r="CO12" s="123" t="s">
        <v>441</v>
      </c>
      <c r="CP12" s="123"/>
      <c r="CR12" s="19"/>
      <c r="CS12" s="122" t="s">
        <v>72</v>
      </c>
      <c r="CT12" s="120" t="s">
        <v>439</v>
      </c>
      <c r="CU12" s="122" t="s">
        <v>440</v>
      </c>
      <c r="CV12" s="122" t="s">
        <v>71</v>
      </c>
      <c r="CW12" s="123" t="s">
        <v>441</v>
      </c>
      <c r="CX12" s="123"/>
      <c r="CZ12" s="19"/>
      <c r="DA12" s="122" t="s">
        <v>72</v>
      </c>
      <c r="DB12" s="120" t="s">
        <v>439</v>
      </c>
      <c r="DC12" s="122" t="s">
        <v>440</v>
      </c>
      <c r="DD12" s="122" t="s">
        <v>71</v>
      </c>
      <c r="DE12" s="123" t="s">
        <v>441</v>
      </c>
      <c r="DF12" s="123"/>
      <c r="DH12" s="19"/>
      <c r="DI12" s="122" t="s">
        <v>72</v>
      </c>
      <c r="DJ12" s="120" t="s">
        <v>439</v>
      </c>
      <c r="DK12" s="122" t="s">
        <v>440</v>
      </c>
      <c r="DL12" s="122" t="s">
        <v>71</v>
      </c>
      <c r="DM12" s="123" t="s">
        <v>441</v>
      </c>
      <c r="DN12" s="123"/>
      <c r="DP12" s="19"/>
      <c r="DQ12" s="122" t="s">
        <v>72</v>
      </c>
      <c r="DR12" s="120" t="s">
        <v>439</v>
      </c>
      <c r="DS12" s="122" t="s">
        <v>440</v>
      </c>
      <c r="DT12" s="122" t="s">
        <v>71</v>
      </c>
      <c r="DU12" s="123" t="s">
        <v>441</v>
      </c>
      <c r="DV12" s="123"/>
      <c r="DX12" s="19"/>
      <c r="DY12" s="122" t="s">
        <v>72</v>
      </c>
      <c r="DZ12" s="120" t="s">
        <v>439</v>
      </c>
      <c r="EA12" s="122" t="s">
        <v>440</v>
      </c>
      <c r="EB12" s="122" t="s">
        <v>71</v>
      </c>
      <c r="EC12" s="123" t="s">
        <v>441</v>
      </c>
      <c r="ED12" s="123"/>
      <c r="EF12" s="19"/>
      <c r="EG12" s="122" t="s">
        <v>72</v>
      </c>
      <c r="EH12" s="120" t="s">
        <v>439</v>
      </c>
      <c r="EI12" s="122" t="s">
        <v>440</v>
      </c>
      <c r="EJ12" s="122" t="s">
        <v>71</v>
      </c>
      <c r="EK12" s="123" t="s">
        <v>441</v>
      </c>
      <c r="EL12" s="123"/>
    </row>
    <row r="13" spans="1:147" ht="15" customHeight="1" thickBot="1" x14ac:dyDescent="0.5">
      <c r="A13" s="11">
        <v>29</v>
      </c>
      <c r="B13" s="12">
        <f t="shared" si="0"/>
        <v>29</v>
      </c>
      <c r="C13" s="12" t="s">
        <v>59</v>
      </c>
      <c r="D13" s="12">
        <v>0</v>
      </c>
      <c r="E13" s="12" t="s">
        <v>53</v>
      </c>
      <c r="F13" s="12">
        <v>0</v>
      </c>
      <c r="G13" s="12">
        <v>1</v>
      </c>
      <c r="H13" s="12" t="s">
        <v>61</v>
      </c>
      <c r="I13" s="12">
        <v>1</v>
      </c>
      <c r="J13" s="12">
        <v>0</v>
      </c>
      <c r="K13" s="12">
        <v>15</v>
      </c>
      <c r="L13" s="12">
        <f t="shared" si="1"/>
        <v>15</v>
      </c>
      <c r="M13" s="12">
        <v>2</v>
      </c>
      <c r="N13" s="12" t="s">
        <v>55</v>
      </c>
      <c r="O13" s="12">
        <v>1</v>
      </c>
      <c r="P13" s="12">
        <v>0</v>
      </c>
      <c r="Q13" s="12">
        <v>0</v>
      </c>
      <c r="R13" s="12">
        <v>0</v>
      </c>
      <c r="S13" s="12">
        <v>0</v>
      </c>
      <c r="T13" s="12">
        <v>4</v>
      </c>
      <c r="U13" s="12" t="s">
        <v>19</v>
      </c>
      <c r="V13" s="12">
        <v>1</v>
      </c>
      <c r="W13" s="12">
        <v>49</v>
      </c>
      <c r="X13" s="12">
        <v>2</v>
      </c>
      <c r="Y13" s="12">
        <v>2</v>
      </c>
      <c r="Z13" s="12" t="s">
        <v>67</v>
      </c>
      <c r="AA13" s="12">
        <v>0</v>
      </c>
      <c r="AB13" s="12">
        <v>0</v>
      </c>
      <c r="AC13" s="12">
        <v>1</v>
      </c>
      <c r="AD13" s="12">
        <v>0</v>
      </c>
      <c r="AE13" s="12">
        <v>0</v>
      </c>
      <c r="AF13" s="12">
        <v>0</v>
      </c>
      <c r="AG13" s="12">
        <v>0</v>
      </c>
      <c r="AH13" s="12">
        <v>0</v>
      </c>
      <c r="AI13" s="12">
        <v>3</v>
      </c>
      <c r="AJ13" s="12" t="s">
        <v>57</v>
      </c>
      <c r="AK13" s="12">
        <v>1</v>
      </c>
      <c r="AL13" s="12">
        <v>0</v>
      </c>
      <c r="AM13" s="12">
        <v>4193</v>
      </c>
      <c r="AN13" s="12">
        <f t="shared" si="2"/>
        <v>4193</v>
      </c>
      <c r="AO13" s="12">
        <v>0</v>
      </c>
      <c r="AP13" s="12" t="s">
        <v>52</v>
      </c>
      <c r="AQ13" s="12">
        <v>1</v>
      </c>
      <c r="AR13" s="12">
        <v>12</v>
      </c>
      <c r="AS13" s="12">
        <v>3</v>
      </c>
      <c r="AT13" s="12">
        <v>4</v>
      </c>
      <c r="AU13" s="12">
        <v>0</v>
      </c>
      <c r="AV13" s="12">
        <v>10</v>
      </c>
      <c r="AW13" s="12">
        <f t="shared" si="3"/>
        <v>10</v>
      </c>
      <c r="AX13" s="12">
        <v>3</v>
      </c>
      <c r="AY13" s="12">
        <v>3</v>
      </c>
      <c r="AZ13" s="12">
        <v>9</v>
      </c>
      <c r="BA13" s="12">
        <f t="shared" si="4"/>
        <v>9</v>
      </c>
      <c r="BB13" s="12">
        <v>5</v>
      </c>
      <c r="BC13" s="12">
        <v>0</v>
      </c>
      <c r="BD13" s="12">
        <f t="shared" si="13"/>
        <v>0</v>
      </c>
      <c r="BE13" s="12">
        <v>8</v>
      </c>
      <c r="BF13" s="12">
        <f t="shared" si="5"/>
        <v>8</v>
      </c>
      <c r="BG13" s="12">
        <f t="shared" si="14"/>
        <v>16</v>
      </c>
      <c r="BH13" s="67">
        <v>1</v>
      </c>
      <c r="BI13" s="67">
        <v>0</v>
      </c>
      <c r="BJ13" s="67">
        <v>0</v>
      </c>
      <c r="BK13" s="67">
        <v>0</v>
      </c>
      <c r="BL13" s="67">
        <v>0</v>
      </c>
      <c r="BM13" s="67">
        <v>1</v>
      </c>
      <c r="BN13" s="67">
        <v>0</v>
      </c>
      <c r="BO13" s="67">
        <v>0</v>
      </c>
      <c r="BP13" s="67">
        <v>0</v>
      </c>
      <c r="BQ13" s="67">
        <v>8</v>
      </c>
      <c r="BR13" s="67">
        <v>0</v>
      </c>
      <c r="BS13" s="67">
        <v>0</v>
      </c>
      <c r="BT13" s="67">
        <v>10</v>
      </c>
      <c r="BU13" s="70">
        <v>0</v>
      </c>
      <c r="BV13" s="29">
        <f t="shared" si="6"/>
        <v>0.49064411568302341</v>
      </c>
      <c r="BW13">
        <f t="shared" si="7"/>
        <v>1.08652546240644</v>
      </c>
      <c r="BX13">
        <f t="shared" si="8"/>
        <v>0.1644554352117841</v>
      </c>
      <c r="BY13">
        <f t="shared" si="9"/>
        <v>0.32511687867835437</v>
      </c>
      <c r="BZ13">
        <f t="shared" si="10"/>
        <v>0.71636611655269733</v>
      </c>
      <c r="CA13">
        <f t="shared" si="11"/>
        <v>0.86737663580280233</v>
      </c>
      <c r="CB13">
        <f t="shared" si="12"/>
        <v>0.67891464284095016</v>
      </c>
      <c r="CC13" s="28">
        <v>0.01</v>
      </c>
      <c r="CD13">
        <f>_xlfn.PERCENTILE.INC($BE:$BE,CC13)</f>
        <v>0</v>
      </c>
      <c r="CE13" t="s">
        <v>389</v>
      </c>
      <c r="CF13">
        <f>COUNTIF(BW:BW,"&gt;=3")</f>
        <v>14</v>
      </c>
      <c r="CJ13" s="20" t="s">
        <v>442</v>
      </c>
      <c r="CK13" s="121"/>
      <c r="CL13" s="121"/>
      <c r="CM13" s="121"/>
      <c r="CN13" s="121"/>
      <c r="CO13" s="17" t="s">
        <v>75</v>
      </c>
      <c r="CP13" s="17" t="s">
        <v>76</v>
      </c>
      <c r="CR13" s="20" t="s">
        <v>442</v>
      </c>
      <c r="CS13" s="121"/>
      <c r="CT13" s="121"/>
      <c r="CU13" s="121"/>
      <c r="CV13" s="121"/>
      <c r="CW13" s="17" t="s">
        <v>75</v>
      </c>
      <c r="CX13" s="17" t="s">
        <v>76</v>
      </c>
      <c r="CZ13" s="20" t="s">
        <v>442</v>
      </c>
      <c r="DA13" s="121"/>
      <c r="DB13" s="121"/>
      <c r="DC13" s="121"/>
      <c r="DD13" s="121"/>
      <c r="DE13" s="17" t="s">
        <v>75</v>
      </c>
      <c r="DF13" s="17" t="s">
        <v>76</v>
      </c>
      <c r="DH13" s="20" t="s">
        <v>442</v>
      </c>
      <c r="DI13" s="121"/>
      <c r="DJ13" s="121"/>
      <c r="DK13" s="121"/>
      <c r="DL13" s="121"/>
      <c r="DM13" s="17" t="s">
        <v>75</v>
      </c>
      <c r="DN13" s="17" t="s">
        <v>76</v>
      </c>
      <c r="DP13" s="20" t="s">
        <v>442</v>
      </c>
      <c r="DQ13" s="121"/>
      <c r="DR13" s="121"/>
      <c r="DS13" s="121"/>
      <c r="DT13" s="121"/>
      <c r="DU13" s="17" t="s">
        <v>75</v>
      </c>
      <c r="DV13" s="17" t="s">
        <v>76</v>
      </c>
      <c r="DX13" s="20" t="s">
        <v>442</v>
      </c>
      <c r="DY13" s="121"/>
      <c r="DZ13" s="121"/>
      <c r="EA13" s="121"/>
      <c r="EB13" s="121"/>
      <c r="EC13" s="17" t="s">
        <v>75</v>
      </c>
      <c r="ED13" s="17" t="s">
        <v>76</v>
      </c>
      <c r="EF13" s="20" t="s">
        <v>442</v>
      </c>
      <c r="EG13" s="121"/>
      <c r="EH13" s="121"/>
      <c r="EI13" s="121"/>
      <c r="EJ13" s="121"/>
      <c r="EK13" s="17" t="s">
        <v>75</v>
      </c>
      <c r="EL13" s="17" t="s">
        <v>76</v>
      </c>
    </row>
    <row r="14" spans="1:147" ht="15" customHeight="1" thickTop="1" x14ac:dyDescent="0.45">
      <c r="A14" s="11">
        <v>31</v>
      </c>
      <c r="B14" s="12">
        <f t="shared" si="0"/>
        <v>31</v>
      </c>
      <c r="C14" s="12" t="s">
        <v>59</v>
      </c>
      <c r="D14" s="12">
        <v>0</v>
      </c>
      <c r="E14" s="12" t="s">
        <v>53</v>
      </c>
      <c r="F14" s="12">
        <v>0</v>
      </c>
      <c r="G14" s="12">
        <v>1</v>
      </c>
      <c r="H14" s="12" t="s">
        <v>61</v>
      </c>
      <c r="I14" s="12">
        <v>1</v>
      </c>
      <c r="J14" s="12">
        <v>0</v>
      </c>
      <c r="K14" s="12">
        <v>26</v>
      </c>
      <c r="L14" s="12">
        <f t="shared" si="1"/>
        <v>26</v>
      </c>
      <c r="M14" s="12">
        <v>1</v>
      </c>
      <c r="N14" s="12" t="s">
        <v>55</v>
      </c>
      <c r="O14" s="12">
        <v>1</v>
      </c>
      <c r="P14" s="12">
        <v>0</v>
      </c>
      <c r="Q14" s="12">
        <v>0</v>
      </c>
      <c r="R14" s="12">
        <v>0</v>
      </c>
      <c r="S14" s="12">
        <v>0</v>
      </c>
      <c r="T14" s="12">
        <v>1</v>
      </c>
      <c r="U14" s="12" t="s">
        <v>62</v>
      </c>
      <c r="V14" s="12">
        <v>0</v>
      </c>
      <c r="W14" s="12">
        <v>31</v>
      </c>
      <c r="X14" s="12">
        <v>3</v>
      </c>
      <c r="Y14" s="12">
        <v>1</v>
      </c>
      <c r="Z14" s="12" t="s">
        <v>63</v>
      </c>
      <c r="AA14" s="12">
        <v>0</v>
      </c>
      <c r="AB14" s="12">
        <v>0</v>
      </c>
      <c r="AC14" s="12">
        <v>0</v>
      </c>
      <c r="AD14" s="12">
        <v>0</v>
      </c>
      <c r="AE14" s="12">
        <v>0</v>
      </c>
      <c r="AF14" s="12">
        <v>0</v>
      </c>
      <c r="AG14" s="12">
        <v>0</v>
      </c>
      <c r="AH14" s="12">
        <v>1</v>
      </c>
      <c r="AI14" s="12">
        <v>3</v>
      </c>
      <c r="AJ14" s="12" t="s">
        <v>78</v>
      </c>
      <c r="AK14" s="12">
        <v>0</v>
      </c>
      <c r="AL14" s="12">
        <v>0</v>
      </c>
      <c r="AM14" s="12">
        <v>2911</v>
      </c>
      <c r="AN14" s="12">
        <f t="shared" si="2"/>
        <v>2911</v>
      </c>
      <c r="AO14" s="12">
        <v>1</v>
      </c>
      <c r="AP14" s="12" t="s">
        <v>59</v>
      </c>
      <c r="AQ14" s="12">
        <v>0</v>
      </c>
      <c r="AR14" s="12">
        <v>17</v>
      </c>
      <c r="AS14" s="12">
        <v>3</v>
      </c>
      <c r="AT14" s="12">
        <v>4</v>
      </c>
      <c r="AU14" s="12">
        <v>1</v>
      </c>
      <c r="AV14" s="12">
        <v>5</v>
      </c>
      <c r="AW14" s="12">
        <f t="shared" si="3"/>
        <v>5</v>
      </c>
      <c r="AX14" s="12">
        <v>1</v>
      </c>
      <c r="AY14" s="12">
        <v>2</v>
      </c>
      <c r="AZ14" s="12">
        <v>5</v>
      </c>
      <c r="BA14" s="12">
        <f t="shared" si="4"/>
        <v>5</v>
      </c>
      <c r="BB14" s="12">
        <v>2</v>
      </c>
      <c r="BC14" s="12">
        <v>4</v>
      </c>
      <c r="BD14" s="12">
        <f t="shared" si="13"/>
        <v>4</v>
      </c>
      <c r="BE14" s="12">
        <v>3</v>
      </c>
      <c r="BF14" s="12">
        <f t="shared" si="5"/>
        <v>3</v>
      </c>
      <c r="BG14" s="12">
        <f t="shared" si="14"/>
        <v>3</v>
      </c>
      <c r="BH14" s="67">
        <v>1</v>
      </c>
      <c r="BI14" s="67">
        <v>0</v>
      </c>
      <c r="BJ14" s="67">
        <v>0</v>
      </c>
      <c r="BK14" s="67">
        <v>0</v>
      </c>
      <c r="BL14" s="67">
        <v>1</v>
      </c>
      <c r="BM14" s="67">
        <v>0</v>
      </c>
      <c r="BN14" s="67">
        <v>0</v>
      </c>
      <c r="BO14" s="67">
        <v>0</v>
      </c>
      <c r="BP14" s="67">
        <v>0</v>
      </c>
      <c r="BQ14" s="67">
        <v>3</v>
      </c>
      <c r="BR14" s="67">
        <v>0</v>
      </c>
      <c r="BS14" s="67">
        <v>0</v>
      </c>
      <c r="BT14" s="67">
        <v>5</v>
      </c>
      <c r="BU14" s="70">
        <v>0</v>
      </c>
      <c r="BV14" s="29">
        <f t="shared" si="6"/>
        <v>0.76294907918704291</v>
      </c>
      <c r="BW14">
        <f t="shared" si="7"/>
        <v>0.31476636926356072</v>
      </c>
      <c r="BX14">
        <f t="shared" si="8"/>
        <v>0.80706439257840468</v>
      </c>
      <c r="BY14">
        <f t="shared" si="9"/>
        <v>0.32778177112653761</v>
      </c>
      <c r="BZ14">
        <f t="shared" si="10"/>
        <v>2.0732409091797459</v>
      </c>
      <c r="CA14">
        <f t="shared" si="11"/>
        <v>0.6484474368621912</v>
      </c>
      <c r="CB14">
        <f t="shared" si="12"/>
        <v>0.56238451757720498</v>
      </c>
      <c r="CJ14" s="18" t="s">
        <v>84</v>
      </c>
      <c r="CK14" s="21">
        <v>965.00524055023607</v>
      </c>
      <c r="CL14" s="21">
        <v>505.19501746405678</v>
      </c>
      <c r="CM14" s="21">
        <v>1.9101638123715137</v>
      </c>
      <c r="CN14" s="22">
        <v>5.6313391187503649E-2</v>
      </c>
      <c r="CO14" s="21">
        <v>-26.003492094735748</v>
      </c>
      <c r="CP14" s="21">
        <v>1956.0139731952079</v>
      </c>
      <c r="CR14" s="18" t="s">
        <v>84</v>
      </c>
      <c r="CS14" s="21">
        <v>268.69694340980641</v>
      </c>
      <c r="CT14" s="21">
        <v>192.16190848436955</v>
      </c>
      <c r="CU14" s="21">
        <v>1.3982841111908619</v>
      </c>
      <c r="CV14" s="22">
        <v>0.16224070998340656</v>
      </c>
      <c r="CW14" s="21">
        <v>-108.24682319910221</v>
      </c>
      <c r="CX14" s="21">
        <v>645.64071001871503</v>
      </c>
      <c r="CZ14" s="18" t="s">
        <v>84</v>
      </c>
      <c r="DA14" s="21">
        <v>268.6969434078419</v>
      </c>
      <c r="DB14" s="21">
        <v>192.16190848436983</v>
      </c>
      <c r="DC14" s="21">
        <v>1.3982841111806366</v>
      </c>
      <c r="DD14" s="22">
        <v>0.16224070998645054</v>
      </c>
      <c r="DE14" s="21">
        <v>-108.24682320106729</v>
      </c>
      <c r="DF14" s="21">
        <v>645.64071001675109</v>
      </c>
      <c r="DH14" s="18" t="s">
        <v>84</v>
      </c>
      <c r="DI14" s="21">
        <v>461.36565241139033</v>
      </c>
      <c r="DJ14" s="21">
        <v>515.98145689907517</v>
      </c>
      <c r="DK14" s="21">
        <v>0.89415161386629527</v>
      </c>
      <c r="DL14" s="22">
        <v>0.37139155551919645</v>
      </c>
      <c r="DM14" s="21">
        <v>-550.79791257352906</v>
      </c>
      <c r="DN14" s="21">
        <v>1473.5292173963098</v>
      </c>
      <c r="DP14" s="18" t="s">
        <v>84</v>
      </c>
      <c r="DQ14" s="21">
        <v>191.91177390285338</v>
      </c>
      <c r="DR14" s="21">
        <v>214.14742321093885</v>
      </c>
      <c r="DS14" s="21">
        <v>0.89616662682799142</v>
      </c>
      <c r="DT14" s="22">
        <v>0.37031201718145246</v>
      </c>
      <c r="DU14" s="21">
        <v>-228.15890039266708</v>
      </c>
      <c r="DV14" s="21">
        <v>611.98244819837385</v>
      </c>
      <c r="DX14" s="18" t="s">
        <v>84</v>
      </c>
      <c r="DY14" s="21">
        <v>-842.10357628842758</v>
      </c>
      <c r="DZ14" s="21">
        <v>266.73617648764758</v>
      </c>
      <c r="EA14" s="21">
        <v>-3.1570654846191251</v>
      </c>
      <c r="EB14" s="22">
        <v>1.6264035641392408E-3</v>
      </c>
      <c r="EC14" s="21">
        <v>-1365.3327248720811</v>
      </c>
      <c r="ED14" s="21">
        <v>-318.87442770477412</v>
      </c>
      <c r="EF14" s="18" t="s">
        <v>84</v>
      </c>
      <c r="EG14" s="21">
        <v>-322.81119441498595</v>
      </c>
      <c r="EH14" s="21">
        <v>509.75430174886134</v>
      </c>
      <c r="EI14" s="21">
        <v>-0.63326821040545933</v>
      </c>
      <c r="EJ14" s="22">
        <v>0.52665998304862627</v>
      </c>
      <c r="EK14" s="21">
        <v>-1322.7593988045196</v>
      </c>
      <c r="EL14" s="21">
        <v>677.13700997454782</v>
      </c>
    </row>
    <row r="15" spans="1:147" ht="15" customHeight="1" x14ac:dyDescent="0.45">
      <c r="A15" s="11">
        <v>34</v>
      </c>
      <c r="B15" s="12">
        <f t="shared" si="0"/>
        <v>34</v>
      </c>
      <c r="C15" s="12" t="s">
        <v>59</v>
      </c>
      <c r="D15" s="12">
        <v>0</v>
      </c>
      <c r="E15" s="12" t="s">
        <v>53</v>
      </c>
      <c r="F15" s="12">
        <v>0</v>
      </c>
      <c r="G15" s="12">
        <v>1</v>
      </c>
      <c r="H15" s="12" t="s">
        <v>61</v>
      </c>
      <c r="I15" s="12">
        <v>1</v>
      </c>
      <c r="J15" s="12">
        <v>0</v>
      </c>
      <c r="K15" s="12">
        <v>19</v>
      </c>
      <c r="L15" s="12">
        <f t="shared" si="1"/>
        <v>19</v>
      </c>
      <c r="M15" s="12">
        <v>2</v>
      </c>
      <c r="N15" s="12" t="s">
        <v>70</v>
      </c>
      <c r="O15" s="12">
        <v>0</v>
      </c>
      <c r="P15" s="12">
        <v>0</v>
      </c>
      <c r="Q15" s="12">
        <v>1</v>
      </c>
      <c r="R15" s="12">
        <v>0</v>
      </c>
      <c r="S15" s="12">
        <v>0</v>
      </c>
      <c r="T15" s="12">
        <v>2</v>
      </c>
      <c r="U15" s="12" t="s">
        <v>62</v>
      </c>
      <c r="V15" s="12">
        <v>0</v>
      </c>
      <c r="W15" s="12">
        <v>93</v>
      </c>
      <c r="X15" s="12">
        <v>3</v>
      </c>
      <c r="Y15" s="12">
        <v>1</v>
      </c>
      <c r="Z15" s="12" t="s">
        <v>67</v>
      </c>
      <c r="AA15" s="12">
        <v>0</v>
      </c>
      <c r="AB15" s="12">
        <v>0</v>
      </c>
      <c r="AC15" s="12">
        <v>1</v>
      </c>
      <c r="AD15" s="12">
        <v>0</v>
      </c>
      <c r="AE15" s="12">
        <v>0</v>
      </c>
      <c r="AF15" s="12">
        <v>0</v>
      </c>
      <c r="AG15" s="12">
        <v>0</v>
      </c>
      <c r="AH15" s="12">
        <v>0</v>
      </c>
      <c r="AI15" s="12">
        <v>4</v>
      </c>
      <c r="AJ15" s="12" t="s">
        <v>78</v>
      </c>
      <c r="AK15" s="12">
        <v>0</v>
      </c>
      <c r="AL15" s="12">
        <v>0</v>
      </c>
      <c r="AM15" s="12">
        <v>2661</v>
      </c>
      <c r="AN15" s="12">
        <f t="shared" si="2"/>
        <v>2661</v>
      </c>
      <c r="AO15" s="12">
        <v>0</v>
      </c>
      <c r="AP15" s="12" t="s">
        <v>59</v>
      </c>
      <c r="AQ15" s="12">
        <v>0</v>
      </c>
      <c r="AR15" s="12">
        <v>11</v>
      </c>
      <c r="AS15" s="12">
        <v>3</v>
      </c>
      <c r="AT15" s="12">
        <v>3</v>
      </c>
      <c r="AU15" s="12">
        <v>1</v>
      </c>
      <c r="AV15" s="12">
        <v>3</v>
      </c>
      <c r="AW15" s="12">
        <f t="shared" si="3"/>
        <v>3</v>
      </c>
      <c r="AX15" s="12">
        <v>2</v>
      </c>
      <c r="AY15" s="12">
        <v>3</v>
      </c>
      <c r="AZ15" s="12">
        <v>2</v>
      </c>
      <c r="BA15" s="12">
        <f t="shared" si="4"/>
        <v>2</v>
      </c>
      <c r="BB15" s="12">
        <v>2</v>
      </c>
      <c r="BC15" s="12">
        <v>1</v>
      </c>
      <c r="BD15" s="12">
        <f t="shared" si="13"/>
        <v>1</v>
      </c>
      <c r="BE15" s="12">
        <v>2</v>
      </c>
      <c r="BF15" s="12">
        <f t="shared" si="5"/>
        <v>2</v>
      </c>
      <c r="BG15" s="12">
        <f t="shared" si="14"/>
        <v>2</v>
      </c>
      <c r="BH15" s="67">
        <v>1</v>
      </c>
      <c r="BI15" s="67">
        <v>0</v>
      </c>
      <c r="BJ15" s="67">
        <v>0</v>
      </c>
      <c r="BK15" s="67">
        <v>0</v>
      </c>
      <c r="BL15" s="67">
        <v>1</v>
      </c>
      <c r="BM15" s="67">
        <v>0</v>
      </c>
      <c r="BN15" s="67">
        <v>0</v>
      </c>
      <c r="BO15" s="67">
        <v>0</v>
      </c>
      <c r="BP15" s="67">
        <v>0</v>
      </c>
      <c r="BQ15" s="67">
        <v>2</v>
      </c>
      <c r="BR15" s="67">
        <v>0</v>
      </c>
      <c r="BS15" s="67">
        <v>0</v>
      </c>
      <c r="BT15" s="67">
        <v>3</v>
      </c>
      <c r="BU15" s="70">
        <v>0</v>
      </c>
      <c r="BV15" s="29">
        <f t="shared" si="6"/>
        <v>0.81605067113400453</v>
      </c>
      <c r="BW15">
        <f t="shared" si="7"/>
        <v>0.59502473559756086</v>
      </c>
      <c r="BX15">
        <f t="shared" si="8"/>
        <v>1.0641079755250529</v>
      </c>
      <c r="BY15">
        <f t="shared" si="9"/>
        <v>0.81745575848020657</v>
      </c>
      <c r="BZ15">
        <f t="shared" si="10"/>
        <v>1.2097751320534422</v>
      </c>
      <c r="CA15">
        <f t="shared" si="11"/>
        <v>0.32005363845127444</v>
      </c>
      <c r="CB15">
        <f t="shared" si="12"/>
        <v>0.36858985273641137</v>
      </c>
      <c r="CJ15" s="18" t="s">
        <v>0</v>
      </c>
      <c r="CK15" s="21">
        <v>223.15707516715452</v>
      </c>
      <c r="CL15" s="21">
        <v>237.96294299626271</v>
      </c>
      <c r="CM15" s="21">
        <v>0.93778078366873818</v>
      </c>
      <c r="CN15" s="22">
        <v>0.3485165489702744</v>
      </c>
      <c r="CO15" s="21">
        <v>-243.63960018202812</v>
      </c>
      <c r="CP15" s="21">
        <v>689.9537505163371</v>
      </c>
      <c r="CR15" s="18" t="s">
        <v>7</v>
      </c>
      <c r="CS15" s="21">
        <v>3091.8227465417845</v>
      </c>
      <c r="CT15" s="21">
        <v>204.44460440354536</v>
      </c>
      <c r="CU15" s="21">
        <v>15.123034210474708</v>
      </c>
      <c r="CV15" s="22">
        <v>4.2064999438332208E-48</v>
      </c>
      <c r="CW15" s="21">
        <v>2690.7853096503359</v>
      </c>
      <c r="CX15" s="21">
        <v>3492.860183433233</v>
      </c>
      <c r="CZ15" s="18" t="s">
        <v>22</v>
      </c>
      <c r="DA15" s="21">
        <v>2816.7264682796158</v>
      </c>
      <c r="DB15" s="21">
        <v>78.26070619025306</v>
      </c>
      <c r="DC15" s="21">
        <v>35.991580007368036</v>
      </c>
      <c r="DD15" s="22">
        <v>1.864654405313774E-203</v>
      </c>
      <c r="DE15" s="21">
        <v>2663.2106877511005</v>
      </c>
      <c r="DF15" s="21">
        <v>2970.2422488081311</v>
      </c>
      <c r="DH15" s="18" t="s">
        <v>398</v>
      </c>
      <c r="DI15" s="21">
        <v>-6.3956498097586163</v>
      </c>
      <c r="DJ15" s="21">
        <v>4.7583324151624966</v>
      </c>
      <c r="DK15" s="21">
        <v>-1.3440947903048521</v>
      </c>
      <c r="DL15" s="22">
        <v>0.17913138079535437</v>
      </c>
      <c r="DM15" s="21">
        <v>-15.729726909463798</v>
      </c>
      <c r="DN15" s="21">
        <v>2.9384272899465653</v>
      </c>
      <c r="DP15" s="18" t="s">
        <v>7</v>
      </c>
      <c r="DQ15" s="21">
        <v>3268.4936582990231</v>
      </c>
      <c r="DR15" s="21">
        <v>213.12451856040806</v>
      </c>
      <c r="DS15" s="21">
        <v>15.336075268940023</v>
      </c>
      <c r="DT15" s="22">
        <v>2.5446115747381491E-49</v>
      </c>
      <c r="DU15" s="21">
        <v>2850.4295094141085</v>
      </c>
      <c r="DV15" s="21">
        <v>3686.5578071839377</v>
      </c>
      <c r="DX15" s="18" t="s">
        <v>7</v>
      </c>
      <c r="DY15" s="21">
        <v>5138.2046762901009</v>
      </c>
      <c r="DZ15" s="21">
        <v>346.85001399659325</v>
      </c>
      <c r="EA15" s="21">
        <v>14.813909381420894</v>
      </c>
      <c r="EB15" s="22">
        <v>2.3951642771652131E-46</v>
      </c>
      <c r="EC15" s="21">
        <v>4457.824384799831</v>
      </c>
      <c r="ED15" s="21">
        <v>5818.5849677803708</v>
      </c>
      <c r="EF15" s="18" t="s">
        <v>398</v>
      </c>
      <c r="EG15" s="21">
        <v>-5.7367922332520465</v>
      </c>
      <c r="EH15" s="21">
        <v>4.6807371355626337</v>
      </c>
      <c r="EI15" s="21">
        <v>-1.2256172622183521</v>
      </c>
      <c r="EJ15" s="22">
        <v>0.22054497323641636</v>
      </c>
      <c r="EK15" s="21">
        <v>-14.918656276120263</v>
      </c>
      <c r="EL15" s="21">
        <v>3.4450718096161701</v>
      </c>
      <c r="EP15" t="s">
        <v>709</v>
      </c>
      <c r="EQ15">
        <f>AVERAGE(AM:AM)</f>
        <v>6502.931292517007</v>
      </c>
    </row>
    <row r="16" spans="1:147" ht="15" customHeight="1" x14ac:dyDescent="0.45">
      <c r="A16" s="11">
        <v>28</v>
      </c>
      <c r="B16" s="12">
        <f t="shared" si="0"/>
        <v>28</v>
      </c>
      <c r="C16" s="12" t="s">
        <v>52</v>
      </c>
      <c r="D16" s="12">
        <v>1</v>
      </c>
      <c r="E16" s="12" t="s">
        <v>53</v>
      </c>
      <c r="F16" s="12">
        <v>0</v>
      </c>
      <c r="G16" s="12">
        <v>1</v>
      </c>
      <c r="H16" s="12" t="s">
        <v>61</v>
      </c>
      <c r="I16" s="12">
        <v>1</v>
      </c>
      <c r="J16" s="12">
        <v>0</v>
      </c>
      <c r="K16" s="12">
        <v>24</v>
      </c>
      <c r="L16" s="12">
        <f t="shared" si="1"/>
        <v>24</v>
      </c>
      <c r="M16" s="12">
        <v>3</v>
      </c>
      <c r="N16" s="12" t="s">
        <v>55</v>
      </c>
      <c r="O16" s="12">
        <v>1</v>
      </c>
      <c r="P16" s="12">
        <v>0</v>
      </c>
      <c r="Q16" s="12">
        <v>0</v>
      </c>
      <c r="R16" s="12">
        <v>0</v>
      </c>
      <c r="S16" s="12">
        <v>0</v>
      </c>
      <c r="T16" s="12">
        <v>3</v>
      </c>
      <c r="U16" s="12" t="s">
        <v>62</v>
      </c>
      <c r="V16" s="12">
        <v>0</v>
      </c>
      <c r="W16" s="12">
        <v>50</v>
      </c>
      <c r="X16" s="12">
        <v>2</v>
      </c>
      <c r="Y16" s="12">
        <v>1</v>
      </c>
      <c r="Z16" s="12" t="s">
        <v>67</v>
      </c>
      <c r="AA16" s="12">
        <v>0</v>
      </c>
      <c r="AB16" s="12">
        <v>0</v>
      </c>
      <c r="AC16" s="12">
        <v>1</v>
      </c>
      <c r="AD16" s="12">
        <v>0</v>
      </c>
      <c r="AE16" s="12">
        <v>0</v>
      </c>
      <c r="AF16" s="12">
        <v>0</v>
      </c>
      <c r="AG16" s="12">
        <v>0</v>
      </c>
      <c r="AH16" s="12">
        <v>0</v>
      </c>
      <c r="AI16" s="12">
        <v>3</v>
      </c>
      <c r="AJ16" s="12" t="s">
        <v>57</v>
      </c>
      <c r="AK16" s="12">
        <v>1</v>
      </c>
      <c r="AL16" s="12">
        <v>0</v>
      </c>
      <c r="AM16" s="12">
        <v>2028</v>
      </c>
      <c r="AN16" s="12">
        <f t="shared" si="2"/>
        <v>2028</v>
      </c>
      <c r="AO16" s="12">
        <v>5</v>
      </c>
      <c r="AP16" s="12" t="s">
        <v>52</v>
      </c>
      <c r="AQ16" s="12">
        <v>1</v>
      </c>
      <c r="AR16" s="12">
        <v>14</v>
      </c>
      <c r="AS16" s="12">
        <v>3</v>
      </c>
      <c r="AT16" s="12">
        <v>2</v>
      </c>
      <c r="AU16" s="12">
        <v>0</v>
      </c>
      <c r="AV16" s="12">
        <v>6</v>
      </c>
      <c r="AW16" s="12">
        <f t="shared" si="3"/>
        <v>6</v>
      </c>
      <c r="AX16" s="12">
        <v>4</v>
      </c>
      <c r="AY16" s="12">
        <v>3</v>
      </c>
      <c r="AZ16" s="12">
        <v>4</v>
      </c>
      <c r="BA16" s="12">
        <f t="shared" si="4"/>
        <v>4</v>
      </c>
      <c r="BB16" s="12">
        <v>2</v>
      </c>
      <c r="BC16" s="12">
        <v>0</v>
      </c>
      <c r="BD16" s="12">
        <f t="shared" si="13"/>
        <v>0</v>
      </c>
      <c r="BE16" s="12">
        <v>3</v>
      </c>
      <c r="BF16" s="12">
        <f t="shared" si="5"/>
        <v>3</v>
      </c>
      <c r="BG16" s="12">
        <f t="shared" si="14"/>
        <v>3</v>
      </c>
      <c r="BH16" s="67">
        <v>1</v>
      </c>
      <c r="BI16" s="67">
        <v>0</v>
      </c>
      <c r="BJ16" s="67">
        <v>0</v>
      </c>
      <c r="BK16" s="67">
        <v>0</v>
      </c>
      <c r="BL16" s="67">
        <v>0</v>
      </c>
      <c r="BM16" s="67">
        <v>1</v>
      </c>
      <c r="BN16" s="67">
        <v>0</v>
      </c>
      <c r="BO16" s="67">
        <v>0</v>
      </c>
      <c r="BP16" s="67">
        <v>0</v>
      </c>
      <c r="BQ16" s="67">
        <v>3</v>
      </c>
      <c r="BR16" s="67">
        <v>0</v>
      </c>
      <c r="BS16" s="67">
        <v>0</v>
      </c>
      <c r="BT16" s="67">
        <v>6</v>
      </c>
      <c r="BU16" s="70">
        <v>0</v>
      </c>
      <c r="BV16" s="29">
        <f t="shared" si="6"/>
        <v>0.95050390194371148</v>
      </c>
      <c r="BW16">
        <f t="shared" si="7"/>
        <v>0.31476636926356072</v>
      </c>
      <c r="BX16">
        <f t="shared" si="8"/>
        <v>0.67854260110508058</v>
      </c>
      <c r="BY16">
        <f t="shared" si="9"/>
        <v>0.49100643357776058</v>
      </c>
      <c r="BZ16">
        <f t="shared" si="10"/>
        <v>1.8265364014293735</v>
      </c>
      <c r="CA16">
        <f t="shared" si="11"/>
        <v>0.97684123527310796</v>
      </c>
      <c r="CB16">
        <f t="shared" si="12"/>
        <v>0.67891464284095016</v>
      </c>
      <c r="CC16" t="str">
        <f>AW1</f>
        <v>Wins_TotalWorkingYears</v>
      </c>
      <c r="CE16" t="s">
        <v>521</v>
      </c>
      <c r="CJ16" s="18" t="s">
        <v>398</v>
      </c>
      <c r="CK16" s="21">
        <v>-231.37830036752754</v>
      </c>
      <c r="CL16" s="21">
        <v>239.10062018807454</v>
      </c>
      <c r="CM16" s="21">
        <v>-0.96770263575864968</v>
      </c>
      <c r="CN16" s="22">
        <v>0.33335768637711949</v>
      </c>
      <c r="CO16" s="21">
        <v>-700.40668425112142</v>
      </c>
      <c r="CP16" s="21">
        <v>237.6500835160663</v>
      </c>
      <c r="CR16" s="18" t="s">
        <v>8</v>
      </c>
      <c r="CS16" s="21">
        <v>2445.2788333999752</v>
      </c>
      <c r="CT16" s="21">
        <v>289.6373054219041</v>
      </c>
      <c r="CU16" s="21">
        <v>8.442554835393274</v>
      </c>
      <c r="CV16" s="22">
        <v>7.4003812996932769E-17</v>
      </c>
      <c r="CW16" s="21">
        <v>1877.1278521920221</v>
      </c>
      <c r="CX16" s="21">
        <v>3013.4298146079282</v>
      </c>
      <c r="CZ16" s="18" t="s">
        <v>27</v>
      </c>
      <c r="DA16" s="21">
        <v>876.22633337206116</v>
      </c>
      <c r="DB16" s="21">
        <v>185.13470200046007</v>
      </c>
      <c r="DC16" s="21">
        <v>4.73291243567013</v>
      </c>
      <c r="DD16" s="22">
        <v>2.4284074152840561E-6</v>
      </c>
      <c r="DE16" s="21">
        <v>513.06709722330265</v>
      </c>
      <c r="DF16" s="21">
        <v>1239.3855695208197</v>
      </c>
      <c r="DH16" s="18" t="s">
        <v>4</v>
      </c>
      <c r="DI16" s="21">
        <v>116.33839794518366</v>
      </c>
      <c r="DJ16" s="21">
        <v>118.04624473821906</v>
      </c>
      <c r="DK16" s="21">
        <v>0.98553239201447917</v>
      </c>
      <c r="DL16" s="22">
        <v>0.32452969498526185</v>
      </c>
      <c r="DM16" s="21">
        <v>-115.22439624005102</v>
      </c>
      <c r="DN16" s="21">
        <v>347.90119213041834</v>
      </c>
      <c r="DP16" s="18" t="s">
        <v>8</v>
      </c>
      <c r="DQ16" s="21">
        <v>2449.0470297421357</v>
      </c>
      <c r="DR16" s="21">
        <v>290.25064027046307</v>
      </c>
      <c r="DS16" s="21">
        <v>8.4376972517960684</v>
      </c>
      <c r="DT16" s="22">
        <v>7.7039138749100906E-17</v>
      </c>
      <c r="DU16" s="21">
        <v>1879.6926086384037</v>
      </c>
      <c r="DV16" s="21">
        <v>3018.4014508458677</v>
      </c>
      <c r="DX16" s="18" t="s">
        <v>8</v>
      </c>
      <c r="DY16" s="21">
        <v>4076.6117814425961</v>
      </c>
      <c r="DZ16" s="21">
        <v>477.78212323159704</v>
      </c>
      <c r="EA16" s="21">
        <v>8.5323656604592664</v>
      </c>
      <c r="EB16" s="22">
        <v>3.5509091098936619E-17</v>
      </c>
      <c r="EC16" s="21">
        <v>3139.3953271963323</v>
      </c>
      <c r="ED16" s="21">
        <v>5013.8282356888603</v>
      </c>
      <c r="EF16" s="18" t="s">
        <v>4</v>
      </c>
      <c r="EG16" s="21">
        <v>146.86890061629151</v>
      </c>
      <c r="EH16" s="21">
        <v>116.15285610497658</v>
      </c>
      <c r="EI16" s="21">
        <v>1.2644450213394185</v>
      </c>
      <c r="EJ16" s="22">
        <v>0.20627681919789459</v>
      </c>
      <c r="EK16" s="21">
        <v>-80.979769808678896</v>
      </c>
      <c r="EL16" s="21">
        <v>374.71757104126192</v>
      </c>
      <c r="EP16" t="s">
        <v>710</v>
      </c>
      <c r="EQ16">
        <f>_xlfn.STDEV.S(AM:AM)</f>
        <v>4707.956783097994</v>
      </c>
    </row>
    <row r="17" spans="1:142" ht="15" customHeight="1" x14ac:dyDescent="0.45">
      <c r="A17" s="11">
        <v>29</v>
      </c>
      <c r="B17" s="12">
        <f t="shared" si="0"/>
        <v>29</v>
      </c>
      <c r="C17" s="12" t="s">
        <v>59</v>
      </c>
      <c r="D17" s="12">
        <v>0</v>
      </c>
      <c r="E17" s="12" t="s">
        <v>53</v>
      </c>
      <c r="F17" s="12">
        <v>0</v>
      </c>
      <c r="G17" s="12">
        <v>1</v>
      </c>
      <c r="H17" s="12" t="s">
        <v>61</v>
      </c>
      <c r="I17" s="12">
        <v>1</v>
      </c>
      <c r="J17" s="12">
        <v>0</v>
      </c>
      <c r="K17" s="12">
        <v>21</v>
      </c>
      <c r="L17" s="12">
        <f t="shared" si="1"/>
        <v>21</v>
      </c>
      <c r="M17" s="12">
        <v>4</v>
      </c>
      <c r="N17" s="12" t="s">
        <v>55</v>
      </c>
      <c r="O17" s="12">
        <v>1</v>
      </c>
      <c r="P17" s="12">
        <v>0</v>
      </c>
      <c r="Q17" s="12">
        <v>0</v>
      </c>
      <c r="R17" s="12">
        <v>0</v>
      </c>
      <c r="S17" s="12">
        <v>0</v>
      </c>
      <c r="T17" s="12">
        <v>2</v>
      </c>
      <c r="U17" s="12" t="s">
        <v>19</v>
      </c>
      <c r="V17" s="12">
        <v>1</v>
      </c>
      <c r="W17" s="12">
        <v>51</v>
      </c>
      <c r="X17" s="12">
        <v>4</v>
      </c>
      <c r="Y17" s="12">
        <v>3</v>
      </c>
      <c r="Z17" s="12" t="s">
        <v>83</v>
      </c>
      <c r="AA17" s="12">
        <v>0</v>
      </c>
      <c r="AB17" s="12">
        <v>0</v>
      </c>
      <c r="AC17" s="12">
        <v>0</v>
      </c>
      <c r="AD17" s="12">
        <v>0</v>
      </c>
      <c r="AE17" s="12">
        <v>1</v>
      </c>
      <c r="AF17" s="12">
        <v>1</v>
      </c>
      <c r="AG17" s="12">
        <v>0</v>
      </c>
      <c r="AH17" s="12">
        <v>0</v>
      </c>
      <c r="AI17" s="12">
        <v>1</v>
      </c>
      <c r="AJ17" s="12" t="s">
        <v>78</v>
      </c>
      <c r="AK17" s="12">
        <v>0</v>
      </c>
      <c r="AL17" s="12">
        <v>0</v>
      </c>
      <c r="AM17" s="12">
        <v>9980</v>
      </c>
      <c r="AN17" s="12">
        <f t="shared" si="2"/>
        <v>9980</v>
      </c>
      <c r="AO17" s="12">
        <v>1</v>
      </c>
      <c r="AP17" s="12" t="s">
        <v>59</v>
      </c>
      <c r="AQ17" s="12">
        <v>0</v>
      </c>
      <c r="AR17" s="12">
        <v>11</v>
      </c>
      <c r="AS17" s="12">
        <v>3</v>
      </c>
      <c r="AT17" s="12">
        <v>3</v>
      </c>
      <c r="AU17" s="12">
        <v>1</v>
      </c>
      <c r="AV17" s="12">
        <v>10</v>
      </c>
      <c r="AW17" s="12">
        <f t="shared" si="3"/>
        <v>10</v>
      </c>
      <c r="AX17" s="12">
        <v>1</v>
      </c>
      <c r="AY17" s="12">
        <v>3</v>
      </c>
      <c r="AZ17" s="12">
        <v>10</v>
      </c>
      <c r="BA17" s="12">
        <f t="shared" si="4"/>
        <v>10</v>
      </c>
      <c r="BB17" s="12">
        <v>9</v>
      </c>
      <c r="BC17" s="12">
        <v>8</v>
      </c>
      <c r="BD17" s="12">
        <f t="shared" si="13"/>
        <v>8</v>
      </c>
      <c r="BE17" s="12">
        <v>8</v>
      </c>
      <c r="BF17" s="12">
        <f t="shared" si="5"/>
        <v>8</v>
      </c>
      <c r="BG17" s="12">
        <f t="shared" si="14"/>
        <v>24</v>
      </c>
      <c r="BH17" s="67">
        <v>1</v>
      </c>
      <c r="BI17" s="67">
        <v>0</v>
      </c>
      <c r="BJ17" s="67">
        <v>0</v>
      </c>
      <c r="BK17" s="67">
        <v>0</v>
      </c>
      <c r="BL17" s="67">
        <v>1</v>
      </c>
      <c r="BM17" s="67">
        <v>0</v>
      </c>
      <c r="BN17" s="67">
        <v>0</v>
      </c>
      <c r="BO17" s="67">
        <v>0</v>
      </c>
      <c r="BP17" s="67">
        <v>0</v>
      </c>
      <c r="BQ17" s="67">
        <v>8</v>
      </c>
      <c r="BR17" s="67">
        <v>0</v>
      </c>
      <c r="BS17" s="67">
        <v>0</v>
      </c>
      <c r="BT17" s="67">
        <v>10</v>
      </c>
      <c r="BU17" s="70">
        <v>0</v>
      </c>
      <c r="BV17" s="29">
        <f t="shared" si="6"/>
        <v>0.73855153470524526</v>
      </c>
      <c r="BW17">
        <f t="shared" si="7"/>
        <v>1.08652546240644</v>
      </c>
      <c r="BX17">
        <f t="shared" si="8"/>
        <v>0.1644554352117841</v>
      </c>
      <c r="BY17">
        <f t="shared" si="9"/>
        <v>0.48834154112957734</v>
      </c>
      <c r="BZ17">
        <f t="shared" si="10"/>
        <v>1.4564796398038149</v>
      </c>
      <c r="CA17">
        <f t="shared" si="11"/>
        <v>0.86737663580280233</v>
      </c>
      <c r="CB17">
        <f t="shared" si="12"/>
        <v>1.8036836779953602</v>
      </c>
      <c r="CC17" s="28">
        <v>0.99</v>
      </c>
      <c r="CD17">
        <f>_xlfn.PERCENTILE.INC($AV:$AV,CC17)</f>
        <v>35</v>
      </c>
      <c r="CE17" t="s">
        <v>390</v>
      </c>
      <c r="CF17">
        <f>COUNTIFS(BX:BX,"&gt;=2",BX:BX,"&lt;3")</f>
        <v>68</v>
      </c>
      <c r="CJ17" s="18" t="s">
        <v>2</v>
      </c>
      <c r="CK17" s="21">
        <v>-30.496949251858496</v>
      </c>
      <c r="CL17" s="21">
        <v>95.714294806068878</v>
      </c>
      <c r="CM17" s="21">
        <v>-0.31862481266408288</v>
      </c>
      <c r="CN17" s="22">
        <v>0.75005789295381131</v>
      </c>
      <c r="CO17" s="21">
        <v>-218.25355553809945</v>
      </c>
      <c r="CP17" s="21">
        <v>157.25965703438246</v>
      </c>
      <c r="CR17" s="18" t="s">
        <v>22</v>
      </c>
      <c r="CS17" s="21">
        <v>2816.7264682794412</v>
      </c>
      <c r="CT17" s="21">
        <v>78.260706190253003</v>
      </c>
      <c r="CU17" s="21">
        <v>35.991580007365826</v>
      </c>
      <c r="CV17" s="22">
        <v>1.8646544053925878E-203</v>
      </c>
      <c r="CW17" s="21">
        <v>2663.2106877509259</v>
      </c>
      <c r="CX17" s="21">
        <v>2970.2422488079565</v>
      </c>
      <c r="CZ17" s="18" t="s">
        <v>25</v>
      </c>
      <c r="DA17" s="21">
        <v>-2803.525584655421</v>
      </c>
      <c r="DB17" s="21">
        <v>273.84406753824476</v>
      </c>
      <c r="DC17" s="21">
        <v>-10.23767142322294</v>
      </c>
      <c r="DD17" s="22">
        <v>8.4214020827885228E-24</v>
      </c>
      <c r="DE17" s="21">
        <v>-3340.6966353361886</v>
      </c>
      <c r="DF17" s="21">
        <v>-2266.3545339746534</v>
      </c>
      <c r="DH17" s="18" t="s">
        <v>5</v>
      </c>
      <c r="DI17" s="21">
        <v>162.28243917395559</v>
      </c>
      <c r="DJ17" s="21">
        <v>101.89257391764984</v>
      </c>
      <c r="DK17" s="21">
        <v>1.592681713047245</v>
      </c>
      <c r="DL17" s="22">
        <v>0.11145307937793963</v>
      </c>
      <c r="DM17" s="21">
        <v>-37.592865418919047</v>
      </c>
      <c r="DN17" s="21">
        <v>362.15774376683021</v>
      </c>
      <c r="DP17" s="18" t="s">
        <v>21</v>
      </c>
      <c r="DQ17" s="21">
        <v>-72.254135796297987</v>
      </c>
      <c r="DR17" s="21">
        <v>42.288161473373805</v>
      </c>
      <c r="DS17" s="21">
        <v>-1.7086137887974124</v>
      </c>
      <c r="DT17" s="22">
        <v>8.7735786169114885E-2</v>
      </c>
      <c r="DU17" s="21">
        <v>-155.20641343047771</v>
      </c>
      <c r="DV17" s="21">
        <v>10.698141837881749</v>
      </c>
      <c r="DX17" s="18" t="s">
        <v>21</v>
      </c>
      <c r="DY17" s="21">
        <v>-80.32142269723181</v>
      </c>
      <c r="DZ17" s="21">
        <v>41.634664106390616</v>
      </c>
      <c r="EA17" s="21">
        <v>-1.9291958857163702</v>
      </c>
      <c r="EB17" s="22">
        <v>5.3901091514101052E-2</v>
      </c>
      <c r="EC17" s="21">
        <v>-161.99189626706641</v>
      </c>
      <c r="ED17" s="21">
        <v>1.3490508726027883</v>
      </c>
      <c r="EF17" s="18" t="s">
        <v>5</v>
      </c>
      <c r="EG17" s="21">
        <v>183.59869300313426</v>
      </c>
      <c r="EH17" s="21">
        <v>100.20671256495852</v>
      </c>
      <c r="EI17" s="21">
        <v>1.8321995433601046</v>
      </c>
      <c r="EJ17" s="22">
        <v>6.7130002677640674E-2</v>
      </c>
      <c r="EK17" s="21">
        <v>-12.969579110191233</v>
      </c>
      <c r="EL17" s="21">
        <v>380.16696511645978</v>
      </c>
    </row>
    <row r="18" spans="1:142" ht="15" customHeight="1" x14ac:dyDescent="0.45">
      <c r="A18" s="11">
        <v>32</v>
      </c>
      <c r="B18" s="12">
        <f t="shared" si="0"/>
        <v>32</v>
      </c>
      <c r="C18" s="12" t="s">
        <v>59</v>
      </c>
      <c r="D18" s="12">
        <v>0</v>
      </c>
      <c r="E18" s="12" t="s">
        <v>53</v>
      </c>
      <c r="F18" s="12">
        <v>0</v>
      </c>
      <c r="G18" s="12">
        <v>1</v>
      </c>
      <c r="H18" s="12" t="s">
        <v>61</v>
      </c>
      <c r="I18" s="12">
        <v>1</v>
      </c>
      <c r="J18" s="12">
        <v>0</v>
      </c>
      <c r="K18" s="12">
        <v>5</v>
      </c>
      <c r="L18" s="12">
        <f t="shared" si="1"/>
        <v>5</v>
      </c>
      <c r="M18" s="12">
        <v>2</v>
      </c>
      <c r="N18" s="12" t="s">
        <v>55</v>
      </c>
      <c r="O18" s="12">
        <v>1</v>
      </c>
      <c r="P18" s="12">
        <v>0</v>
      </c>
      <c r="Q18" s="12">
        <v>0</v>
      </c>
      <c r="R18" s="12">
        <v>0</v>
      </c>
      <c r="S18" s="12">
        <v>0</v>
      </c>
      <c r="T18" s="12">
        <v>1</v>
      </c>
      <c r="U18" s="12" t="s">
        <v>62</v>
      </c>
      <c r="V18" s="12">
        <v>0</v>
      </c>
      <c r="W18" s="12">
        <v>80</v>
      </c>
      <c r="X18" s="12">
        <v>4</v>
      </c>
      <c r="Y18" s="12">
        <v>1</v>
      </c>
      <c r="Z18" s="12" t="s">
        <v>63</v>
      </c>
      <c r="AA18" s="12">
        <v>0</v>
      </c>
      <c r="AB18" s="12">
        <v>0</v>
      </c>
      <c r="AC18" s="12">
        <v>0</v>
      </c>
      <c r="AD18" s="12">
        <v>0</v>
      </c>
      <c r="AE18" s="12">
        <v>0</v>
      </c>
      <c r="AF18" s="12">
        <v>0</v>
      </c>
      <c r="AG18" s="12">
        <v>0</v>
      </c>
      <c r="AH18" s="12">
        <v>1</v>
      </c>
      <c r="AI18" s="12">
        <v>2</v>
      </c>
      <c r="AJ18" s="12" t="s">
        <v>78</v>
      </c>
      <c r="AK18" s="12">
        <v>0</v>
      </c>
      <c r="AL18" s="12">
        <v>0</v>
      </c>
      <c r="AM18" s="12">
        <v>3298</v>
      </c>
      <c r="AN18" s="12">
        <f t="shared" si="2"/>
        <v>3298</v>
      </c>
      <c r="AO18" s="12">
        <v>0</v>
      </c>
      <c r="AP18" s="12" t="s">
        <v>52</v>
      </c>
      <c r="AQ18" s="12">
        <v>1</v>
      </c>
      <c r="AR18" s="12">
        <v>12</v>
      </c>
      <c r="AS18" s="12">
        <v>3</v>
      </c>
      <c r="AT18" s="12">
        <v>4</v>
      </c>
      <c r="AU18" s="12">
        <v>2</v>
      </c>
      <c r="AV18" s="12">
        <v>7</v>
      </c>
      <c r="AW18" s="12">
        <f t="shared" si="3"/>
        <v>7</v>
      </c>
      <c r="AX18" s="12">
        <v>5</v>
      </c>
      <c r="AY18" s="12">
        <v>2</v>
      </c>
      <c r="AZ18" s="12">
        <v>6</v>
      </c>
      <c r="BA18" s="12">
        <f t="shared" si="4"/>
        <v>6</v>
      </c>
      <c r="BB18" s="12">
        <v>2</v>
      </c>
      <c r="BC18" s="12">
        <v>0</v>
      </c>
      <c r="BD18" s="12">
        <f t="shared" si="13"/>
        <v>0</v>
      </c>
      <c r="BE18" s="12">
        <v>5</v>
      </c>
      <c r="BF18" s="12">
        <f t="shared" si="5"/>
        <v>5</v>
      </c>
      <c r="BG18" s="12">
        <f t="shared" si="14"/>
        <v>5</v>
      </c>
      <c r="BH18" s="67">
        <v>1</v>
      </c>
      <c r="BI18" s="67">
        <v>0</v>
      </c>
      <c r="BJ18" s="67">
        <v>0</v>
      </c>
      <c r="BK18" s="67">
        <v>0</v>
      </c>
      <c r="BL18" s="67">
        <v>0</v>
      </c>
      <c r="BM18" s="67">
        <v>1</v>
      </c>
      <c r="BN18" s="67">
        <v>0</v>
      </c>
      <c r="BO18" s="67">
        <v>0</v>
      </c>
      <c r="BP18" s="67">
        <v>0</v>
      </c>
      <c r="BQ18" s="67">
        <v>5</v>
      </c>
      <c r="BR18" s="67">
        <v>0</v>
      </c>
      <c r="BS18" s="67">
        <v>0</v>
      </c>
      <c r="BT18" s="67">
        <v>7</v>
      </c>
      <c r="BU18" s="70">
        <v>0</v>
      </c>
      <c r="BV18" s="29">
        <f t="shared" si="6"/>
        <v>0.68074781485314617</v>
      </c>
      <c r="BW18">
        <f t="shared" si="7"/>
        <v>0.24575036340443959</v>
      </c>
      <c r="BX18">
        <f t="shared" si="8"/>
        <v>0.55002080963175637</v>
      </c>
      <c r="BY18">
        <f t="shared" si="9"/>
        <v>0.16455710867531462</v>
      </c>
      <c r="BZ18">
        <f t="shared" si="10"/>
        <v>0.51715642219916513</v>
      </c>
      <c r="CA18">
        <f t="shared" si="11"/>
        <v>0.53898283739188557</v>
      </c>
      <c r="CB18">
        <f t="shared" si="12"/>
        <v>0.67891464284095016</v>
      </c>
      <c r="CC18" s="28">
        <v>0.01</v>
      </c>
      <c r="CD18">
        <f>_xlfn.PERCENTILE.INC($AV:$AV,CC18)</f>
        <v>1</v>
      </c>
      <c r="CE18" t="s">
        <v>389</v>
      </c>
      <c r="CF18">
        <f>COUNTIF(BX:BX,"&gt;=3")</f>
        <v>16</v>
      </c>
      <c r="CJ18" s="18" t="s">
        <v>4</v>
      </c>
      <c r="CK18" s="21">
        <v>98.163552720612074</v>
      </c>
      <c r="CL18" s="21">
        <v>136.98234467223222</v>
      </c>
      <c r="CM18" s="21">
        <v>0.71661463348065235</v>
      </c>
      <c r="CN18" s="22">
        <v>0.4737297541284945</v>
      </c>
      <c r="CO18" s="21">
        <v>-170.54594578116962</v>
      </c>
      <c r="CP18" s="21">
        <v>366.87305122239377</v>
      </c>
      <c r="CR18" s="18" t="s">
        <v>24</v>
      </c>
      <c r="CS18" s="21">
        <v>-3423.3622861881522</v>
      </c>
      <c r="CT18" s="21">
        <v>171.71358788408861</v>
      </c>
      <c r="CU18" s="21">
        <v>-19.936467045921933</v>
      </c>
      <c r="CV18" s="22">
        <v>2.2018048717597199E-78</v>
      </c>
      <c r="CW18" s="21">
        <v>-3760.1947370389566</v>
      </c>
      <c r="CX18" s="21">
        <v>-3086.5298353373478</v>
      </c>
      <c r="CZ18" s="18" t="s">
        <v>28</v>
      </c>
      <c r="DA18" s="21">
        <v>-3508.0284142627497</v>
      </c>
      <c r="DB18" s="21">
        <v>169.18857271620928</v>
      </c>
      <c r="DC18" s="21">
        <v>-20.734428797073594</v>
      </c>
      <c r="DD18" s="22">
        <v>6.9418402309097868E-84</v>
      </c>
      <c r="DE18" s="21">
        <v>-3839.9078089348764</v>
      </c>
      <c r="DF18" s="21">
        <v>-3176.1490195906231</v>
      </c>
      <c r="DH18" s="18" t="s">
        <v>7</v>
      </c>
      <c r="DI18" s="21">
        <v>3778.3564924478123</v>
      </c>
      <c r="DJ18" s="21">
        <v>338.98894144049012</v>
      </c>
      <c r="DK18" s="21">
        <v>11.145957966629148</v>
      </c>
      <c r="DL18" s="22">
        <v>1.006963741817224E-27</v>
      </c>
      <c r="DM18" s="21">
        <v>3113.3863644108615</v>
      </c>
      <c r="DN18" s="21">
        <v>4443.3266204847632</v>
      </c>
      <c r="DP18" s="18" t="s">
        <v>22</v>
      </c>
      <c r="DQ18" s="21">
        <v>2927.365856411323</v>
      </c>
      <c r="DR18" s="21">
        <v>65.877236872561824</v>
      </c>
      <c r="DS18" s="21">
        <v>44.436682462475659</v>
      </c>
      <c r="DT18" s="22">
        <v>3.4007253906892135E-273</v>
      </c>
      <c r="DU18" s="21">
        <v>2798.1413488321477</v>
      </c>
      <c r="DV18" s="21">
        <v>3056.5903639904982</v>
      </c>
      <c r="DX18" s="18" t="s">
        <v>22</v>
      </c>
      <c r="DY18" s="21">
        <v>2812.7378734442555</v>
      </c>
      <c r="DZ18" s="21">
        <v>67.223889871574315</v>
      </c>
      <c r="EA18" s="21">
        <v>41.841343588086893</v>
      </c>
      <c r="EB18" s="22">
        <v>9.5897027676595474E-252</v>
      </c>
      <c r="EC18" s="21">
        <v>2680.8716259590219</v>
      </c>
      <c r="ED18" s="21">
        <v>2944.604120929489</v>
      </c>
      <c r="EF18" s="18" t="s">
        <v>7</v>
      </c>
      <c r="EG18" s="21">
        <v>5347.9981650411792</v>
      </c>
      <c r="EH18" s="21">
        <v>376.52507415096585</v>
      </c>
      <c r="EI18" s="21">
        <v>14.203564469379604</v>
      </c>
      <c r="EJ18" s="22">
        <v>6.3254689779718845E-43</v>
      </c>
      <c r="EK18" s="21">
        <v>4609.3961159497212</v>
      </c>
      <c r="EL18" s="21">
        <v>6086.6002141326371</v>
      </c>
    </row>
    <row r="19" spans="1:142" ht="15" customHeight="1" x14ac:dyDescent="0.45">
      <c r="A19" s="11">
        <v>22</v>
      </c>
      <c r="B19" s="12">
        <f t="shared" si="0"/>
        <v>22</v>
      </c>
      <c r="C19" s="12" t="s">
        <v>59</v>
      </c>
      <c r="D19" s="12">
        <v>0</v>
      </c>
      <c r="E19" s="12" t="s">
        <v>86</v>
      </c>
      <c r="F19" s="12">
        <v>0</v>
      </c>
      <c r="G19" s="12">
        <v>0</v>
      </c>
      <c r="H19" s="12" t="s">
        <v>61</v>
      </c>
      <c r="I19" s="12">
        <v>1</v>
      </c>
      <c r="J19" s="12">
        <v>0</v>
      </c>
      <c r="K19" s="12">
        <v>16</v>
      </c>
      <c r="L19" s="12">
        <f t="shared" si="1"/>
        <v>16</v>
      </c>
      <c r="M19" s="12">
        <v>2</v>
      </c>
      <c r="N19" s="12" t="s">
        <v>70</v>
      </c>
      <c r="O19" s="12">
        <v>0</v>
      </c>
      <c r="P19" s="12">
        <v>0</v>
      </c>
      <c r="Q19" s="12">
        <v>1</v>
      </c>
      <c r="R19" s="12">
        <v>0</v>
      </c>
      <c r="S19" s="12">
        <v>0</v>
      </c>
      <c r="T19" s="12">
        <v>4</v>
      </c>
      <c r="U19" s="12" t="s">
        <v>62</v>
      </c>
      <c r="V19" s="12">
        <v>0</v>
      </c>
      <c r="W19" s="12">
        <v>96</v>
      </c>
      <c r="X19" s="12">
        <v>4</v>
      </c>
      <c r="Y19" s="12">
        <v>1</v>
      </c>
      <c r="Z19" s="12" t="s">
        <v>67</v>
      </c>
      <c r="AA19" s="12">
        <v>0</v>
      </c>
      <c r="AB19" s="12">
        <v>0</v>
      </c>
      <c r="AC19" s="12">
        <v>1</v>
      </c>
      <c r="AD19" s="12">
        <v>0</v>
      </c>
      <c r="AE19" s="12">
        <v>0</v>
      </c>
      <c r="AF19" s="12">
        <v>0</v>
      </c>
      <c r="AG19" s="12">
        <v>0</v>
      </c>
      <c r="AH19" s="12">
        <v>0</v>
      </c>
      <c r="AI19" s="12">
        <v>4</v>
      </c>
      <c r="AJ19" s="12" t="s">
        <v>78</v>
      </c>
      <c r="AK19" s="12">
        <v>0</v>
      </c>
      <c r="AL19" s="12">
        <v>0</v>
      </c>
      <c r="AM19" s="12">
        <v>2935</v>
      </c>
      <c r="AN19" s="12">
        <f t="shared" si="2"/>
        <v>2935</v>
      </c>
      <c r="AO19" s="12">
        <v>1</v>
      </c>
      <c r="AP19" s="12" t="s">
        <v>52</v>
      </c>
      <c r="AQ19" s="12">
        <v>1</v>
      </c>
      <c r="AR19" s="12">
        <v>13</v>
      </c>
      <c r="AS19" s="12">
        <v>3</v>
      </c>
      <c r="AT19" s="12">
        <v>2</v>
      </c>
      <c r="AU19" s="12">
        <v>2</v>
      </c>
      <c r="AV19" s="12">
        <v>1</v>
      </c>
      <c r="AW19" s="12">
        <f t="shared" si="3"/>
        <v>1</v>
      </c>
      <c r="AX19" s="12">
        <v>2</v>
      </c>
      <c r="AY19" s="12">
        <v>2</v>
      </c>
      <c r="AZ19" s="12">
        <v>1</v>
      </c>
      <c r="BA19" s="12">
        <f t="shared" si="4"/>
        <v>1</v>
      </c>
      <c r="BB19" s="12">
        <v>0</v>
      </c>
      <c r="BC19" s="12">
        <v>0</v>
      </c>
      <c r="BD19" s="12">
        <f t="shared" si="13"/>
        <v>0</v>
      </c>
      <c r="BE19" s="12">
        <v>0</v>
      </c>
      <c r="BF19" s="12">
        <f t="shared" si="5"/>
        <v>0</v>
      </c>
      <c r="BG19" s="12">
        <f t="shared" si="14"/>
        <v>0</v>
      </c>
      <c r="BH19" s="67">
        <v>1</v>
      </c>
      <c r="BI19" s="67">
        <v>0</v>
      </c>
      <c r="BJ19" s="67">
        <v>0</v>
      </c>
      <c r="BK19" s="67">
        <v>0</v>
      </c>
      <c r="BL19" s="67">
        <v>0</v>
      </c>
      <c r="BM19" s="67">
        <v>1</v>
      </c>
      <c r="BN19" s="67">
        <v>0</v>
      </c>
      <c r="BO19" s="67">
        <v>0</v>
      </c>
      <c r="BP19" s="67">
        <v>0</v>
      </c>
      <c r="BQ19" s="67">
        <v>0</v>
      </c>
      <c r="BR19" s="67">
        <v>0</v>
      </c>
      <c r="BS19" s="67">
        <v>0</v>
      </c>
      <c r="BT19" s="67">
        <v>1</v>
      </c>
      <c r="BU19" s="70">
        <v>0</v>
      </c>
      <c r="BV19" s="29">
        <f t="shared" si="6"/>
        <v>0.75785132636013453</v>
      </c>
      <c r="BW19">
        <f t="shared" si="7"/>
        <v>1.1555414682655611</v>
      </c>
      <c r="BX19">
        <f t="shared" si="8"/>
        <v>1.3211515584717011</v>
      </c>
      <c r="BY19">
        <f t="shared" si="9"/>
        <v>0.9806804209314296</v>
      </c>
      <c r="BZ19">
        <f t="shared" si="10"/>
        <v>0.83971837042788355</v>
      </c>
      <c r="CA19">
        <f t="shared" si="11"/>
        <v>1.6336288320949415</v>
      </c>
      <c r="CB19">
        <f t="shared" si="12"/>
        <v>0.67891464284095016</v>
      </c>
      <c r="CJ19" s="18" t="s">
        <v>5</v>
      </c>
      <c r="CK19" s="21">
        <v>144.81853302408103</v>
      </c>
      <c r="CL19" s="21">
        <v>102.81645660179191</v>
      </c>
      <c r="CM19" s="21">
        <v>1.4085151133438021</v>
      </c>
      <c r="CN19" s="22">
        <v>0.15919750474837757</v>
      </c>
      <c r="CO19" s="21">
        <v>-56.869929509573865</v>
      </c>
      <c r="CP19" s="21">
        <v>346.50699555773593</v>
      </c>
      <c r="CR19" s="18" t="s">
        <v>25</v>
      </c>
      <c r="CS19" s="21">
        <v>-2803.5255846633481</v>
      </c>
      <c r="CT19" s="21">
        <v>273.84406753824504</v>
      </c>
      <c r="CU19" s="21">
        <v>-10.237671423251877</v>
      </c>
      <c r="CV19" s="22">
        <v>8.4214020804391636E-24</v>
      </c>
      <c r="CW19" s="21">
        <v>-3340.6966353441167</v>
      </c>
      <c r="CX19" s="21">
        <v>-2266.3545339825796</v>
      </c>
      <c r="CZ19" s="18" t="s">
        <v>24</v>
      </c>
      <c r="DA19" s="21">
        <v>-3423.3622861870663</v>
      </c>
      <c r="DB19" s="21">
        <v>171.71358788408867</v>
      </c>
      <c r="DC19" s="21">
        <v>-19.936467045915602</v>
      </c>
      <c r="DD19" s="22">
        <v>2.2018048719785537E-78</v>
      </c>
      <c r="DE19" s="21">
        <v>-3760.1947370378712</v>
      </c>
      <c r="DF19" s="21">
        <v>-3086.5298353362614</v>
      </c>
      <c r="DH19" s="18" t="s">
        <v>8</v>
      </c>
      <c r="DI19" s="21">
        <v>3053.9751423970447</v>
      </c>
      <c r="DJ19" s="21">
        <v>419.40154767994841</v>
      </c>
      <c r="DK19" s="21">
        <v>7.2817450467006353</v>
      </c>
      <c r="DL19" s="22">
        <v>5.4263813809570467E-13</v>
      </c>
      <c r="DM19" s="21">
        <v>2231.2654112933533</v>
      </c>
      <c r="DN19" s="21">
        <v>3876.6848735007361</v>
      </c>
      <c r="DP19" s="18" t="s">
        <v>24</v>
      </c>
      <c r="DQ19" s="21">
        <v>-3501.9802271273497</v>
      </c>
      <c r="DR19" s="21">
        <v>172.43592002520694</v>
      </c>
      <c r="DS19" s="21">
        <v>-20.308878954080015</v>
      </c>
      <c r="DT19" s="22">
        <v>6.2578421473865351E-81</v>
      </c>
      <c r="DU19" s="21">
        <v>-3840.2297942323771</v>
      </c>
      <c r="DV19" s="21">
        <v>-3163.7306600223224</v>
      </c>
      <c r="DX19" s="18" t="s">
        <v>24</v>
      </c>
      <c r="DY19" s="21">
        <v>-3924.5689058373355</v>
      </c>
      <c r="DZ19" s="21">
        <v>180.01754606367521</v>
      </c>
      <c r="EA19" s="21">
        <v>-21.801035463782792</v>
      </c>
      <c r="EB19" s="22">
        <v>2.1527049595392807E-91</v>
      </c>
      <c r="EC19" s="21">
        <v>-4277.6909629849806</v>
      </c>
      <c r="ED19" s="21">
        <v>-3571.4468486896903</v>
      </c>
      <c r="EF19" s="18" t="s">
        <v>8</v>
      </c>
      <c r="EG19" s="21">
        <v>4210.234683095885</v>
      </c>
      <c r="EH19" s="21">
        <v>504.22562486956758</v>
      </c>
      <c r="EI19" s="21">
        <v>8.3499022569211601</v>
      </c>
      <c r="EJ19" s="22">
        <v>1.5961106324049303E-16</v>
      </c>
      <c r="EK19" s="21">
        <v>3221.1316849147793</v>
      </c>
      <c r="EL19" s="21">
        <v>5199.3376812769902</v>
      </c>
    </row>
    <row r="20" spans="1:142" ht="15" customHeight="1" x14ac:dyDescent="0.45">
      <c r="A20" s="11">
        <v>53</v>
      </c>
      <c r="B20" s="12">
        <f t="shared" si="0"/>
        <v>53</v>
      </c>
      <c r="C20" s="12" t="s">
        <v>59</v>
      </c>
      <c r="D20" s="12">
        <v>0</v>
      </c>
      <c r="E20" s="12" t="s">
        <v>53</v>
      </c>
      <c r="F20" s="12">
        <v>0</v>
      </c>
      <c r="G20" s="12">
        <v>1</v>
      </c>
      <c r="H20" s="12" t="s">
        <v>54</v>
      </c>
      <c r="I20" s="12">
        <v>0</v>
      </c>
      <c r="J20" s="12">
        <v>1</v>
      </c>
      <c r="K20" s="12">
        <v>2</v>
      </c>
      <c r="L20" s="12">
        <f t="shared" si="1"/>
        <v>2</v>
      </c>
      <c r="M20" s="12">
        <v>4</v>
      </c>
      <c r="N20" s="12" t="s">
        <v>55</v>
      </c>
      <c r="O20" s="12">
        <v>1</v>
      </c>
      <c r="P20" s="12">
        <v>0</v>
      </c>
      <c r="Q20" s="12">
        <v>0</v>
      </c>
      <c r="R20" s="12">
        <v>0</v>
      </c>
      <c r="S20" s="12">
        <v>0</v>
      </c>
      <c r="T20" s="12">
        <v>1</v>
      </c>
      <c r="U20" s="12" t="s">
        <v>19</v>
      </c>
      <c r="V20" s="12">
        <v>1</v>
      </c>
      <c r="W20" s="12">
        <v>78</v>
      </c>
      <c r="X20" s="12">
        <v>2</v>
      </c>
      <c r="Y20" s="12">
        <v>4</v>
      </c>
      <c r="Z20" s="12" t="s">
        <v>87</v>
      </c>
      <c r="AA20" s="12">
        <v>0</v>
      </c>
      <c r="AB20" s="12">
        <v>0</v>
      </c>
      <c r="AC20" s="12">
        <v>0</v>
      </c>
      <c r="AD20" s="12">
        <v>1</v>
      </c>
      <c r="AE20" s="12">
        <v>0</v>
      </c>
      <c r="AF20" s="12">
        <v>0</v>
      </c>
      <c r="AG20" s="12">
        <v>0</v>
      </c>
      <c r="AH20" s="12">
        <v>0</v>
      </c>
      <c r="AI20" s="12">
        <v>4</v>
      </c>
      <c r="AJ20" s="12" t="s">
        <v>64</v>
      </c>
      <c r="AK20" s="12">
        <v>0</v>
      </c>
      <c r="AL20" s="12">
        <v>1</v>
      </c>
      <c r="AM20" s="12">
        <v>15427</v>
      </c>
      <c r="AN20" s="12">
        <f t="shared" si="2"/>
        <v>15427</v>
      </c>
      <c r="AO20" s="12">
        <v>2</v>
      </c>
      <c r="AP20" s="12" t="s">
        <v>59</v>
      </c>
      <c r="AQ20" s="12">
        <v>0</v>
      </c>
      <c r="AR20" s="12">
        <v>16</v>
      </c>
      <c r="AS20" s="12">
        <v>3</v>
      </c>
      <c r="AT20" s="12">
        <v>3</v>
      </c>
      <c r="AU20" s="12">
        <v>0</v>
      </c>
      <c r="AV20" s="12">
        <v>31</v>
      </c>
      <c r="AW20" s="12">
        <f t="shared" si="3"/>
        <v>31</v>
      </c>
      <c r="AX20" s="12">
        <v>3</v>
      </c>
      <c r="AY20" s="12">
        <v>3</v>
      </c>
      <c r="AZ20" s="12">
        <v>25</v>
      </c>
      <c r="BA20" s="12">
        <f t="shared" si="4"/>
        <v>25</v>
      </c>
      <c r="BB20" s="12">
        <v>8</v>
      </c>
      <c r="BC20" s="12">
        <v>3</v>
      </c>
      <c r="BD20" s="12">
        <f t="shared" si="13"/>
        <v>3</v>
      </c>
      <c r="BE20" s="12">
        <v>7</v>
      </c>
      <c r="BF20" s="12">
        <f t="shared" si="5"/>
        <v>7</v>
      </c>
      <c r="BG20" s="12">
        <f t="shared" si="14"/>
        <v>28</v>
      </c>
      <c r="BH20" s="67">
        <v>0</v>
      </c>
      <c r="BI20" s="67">
        <v>1</v>
      </c>
      <c r="BJ20" s="67">
        <v>0</v>
      </c>
      <c r="BK20" s="67">
        <v>0</v>
      </c>
      <c r="BL20" s="67">
        <v>0</v>
      </c>
      <c r="BM20" s="67">
        <v>0</v>
      </c>
      <c r="BN20" s="67">
        <v>1</v>
      </c>
      <c r="BO20" s="67">
        <v>0</v>
      </c>
      <c r="BP20" s="67">
        <v>0</v>
      </c>
      <c r="BQ20" s="67">
        <v>0</v>
      </c>
      <c r="BR20" s="67">
        <v>7</v>
      </c>
      <c r="BS20" s="67">
        <v>0</v>
      </c>
      <c r="BT20" s="67">
        <v>0</v>
      </c>
      <c r="BU20" s="70">
        <v>31</v>
      </c>
      <c r="BV20" s="29">
        <f t="shared" si="6"/>
        <v>1.8955290200456461</v>
      </c>
      <c r="BW20">
        <f t="shared" si="7"/>
        <v>0.80626709607243985</v>
      </c>
      <c r="BX20">
        <f t="shared" si="8"/>
        <v>2.5345021857280217</v>
      </c>
      <c r="BY20">
        <f t="shared" si="9"/>
        <v>2.936711477897922</v>
      </c>
      <c r="BZ20">
        <f t="shared" si="10"/>
        <v>0.88721318382472392</v>
      </c>
      <c r="CA20">
        <f t="shared" si="11"/>
        <v>1.7597737514845315</v>
      </c>
      <c r="CB20">
        <f t="shared" si="12"/>
        <v>0.2520597274726662</v>
      </c>
      <c r="CC20" t="str">
        <f>BA1</f>
        <v>Wins_YearsAtCompany</v>
      </c>
      <c r="CE20" t="s">
        <v>521</v>
      </c>
      <c r="CJ20" s="18" t="s">
        <v>7</v>
      </c>
      <c r="CK20" s="21">
        <v>3234.8489901266407</v>
      </c>
      <c r="CL20" s="21">
        <v>247.45312979090232</v>
      </c>
      <c r="CM20" s="21">
        <v>13.072572542768343</v>
      </c>
      <c r="CN20" s="22">
        <v>5.8543179762393452E-37</v>
      </c>
      <c r="CO20" s="21">
        <v>2749.4360227262623</v>
      </c>
      <c r="CP20" s="21">
        <v>3720.2619575270191</v>
      </c>
      <c r="CR20" s="18" t="s">
        <v>26</v>
      </c>
      <c r="CS20" s="21">
        <v>-3850.8918712102504</v>
      </c>
      <c r="CT20" s="21">
        <v>192.45504895995478</v>
      </c>
      <c r="CU20" s="21">
        <v>-20.009305508069719</v>
      </c>
      <c r="CV20" s="22">
        <v>7.0082684388006577E-79</v>
      </c>
      <c r="CW20" s="21">
        <v>-4228.410660600126</v>
      </c>
      <c r="CX20" s="21">
        <v>-3473.3730818203749</v>
      </c>
      <c r="CZ20" s="18" t="s">
        <v>26</v>
      </c>
      <c r="DA20" s="21">
        <v>-3850.8918712087479</v>
      </c>
      <c r="DB20" s="21">
        <v>192.45504895995492</v>
      </c>
      <c r="DC20" s="21">
        <v>-20.009305508061896</v>
      </c>
      <c r="DD20" s="22">
        <v>7.0082684396627765E-79</v>
      </c>
      <c r="DE20" s="21">
        <v>-4228.4106605986235</v>
      </c>
      <c r="DF20" s="21">
        <v>-3473.3730818188719</v>
      </c>
      <c r="DH20" s="18" t="s">
        <v>9</v>
      </c>
      <c r="DI20" s="21">
        <v>-3.6676360805672004</v>
      </c>
      <c r="DJ20" s="21">
        <v>3.7566526858896108</v>
      </c>
      <c r="DK20" s="21">
        <v>-0.97630427596973068</v>
      </c>
      <c r="DL20" s="22">
        <v>0.32907917502873441</v>
      </c>
      <c r="DM20" s="21">
        <v>-11.036790386637412</v>
      </c>
      <c r="DN20" s="21">
        <v>3.7015182255030106</v>
      </c>
      <c r="DP20" s="18" t="s">
        <v>25</v>
      </c>
      <c r="DQ20" s="21">
        <v>-2888.2040792590396</v>
      </c>
      <c r="DR20" s="21">
        <v>274.07524784483877</v>
      </c>
      <c r="DS20" s="21">
        <v>-10.537996779972367</v>
      </c>
      <c r="DT20" s="22">
        <v>4.4990343327379299E-25</v>
      </c>
      <c r="DU20" s="21">
        <v>-3425.8289193977294</v>
      </c>
      <c r="DV20" s="21">
        <v>-2350.5792391203499</v>
      </c>
      <c r="DX20" s="18" t="s">
        <v>25</v>
      </c>
      <c r="DY20" s="21">
        <v>-3280.1426929216977</v>
      </c>
      <c r="DZ20" s="21">
        <v>313.82747703643412</v>
      </c>
      <c r="EA20" s="21">
        <v>-10.452057047066297</v>
      </c>
      <c r="EB20" s="22">
        <v>1.0510855418981872E-24</v>
      </c>
      <c r="EC20" s="21">
        <v>-3895.7460421716773</v>
      </c>
      <c r="ED20" s="21">
        <v>-2664.5393436717181</v>
      </c>
      <c r="EF20" s="18" t="s">
        <v>9</v>
      </c>
      <c r="EG20" s="21">
        <v>-3.5145313391283253</v>
      </c>
      <c r="EH20" s="21">
        <v>3.6841842149610615</v>
      </c>
      <c r="EI20" s="21">
        <v>-0.95395103340821152</v>
      </c>
      <c r="EJ20" s="22">
        <v>0.34026999081451703</v>
      </c>
      <c r="EK20" s="21">
        <v>-10.741529478725303</v>
      </c>
      <c r="EL20" s="21">
        <v>3.7124668004686523</v>
      </c>
    </row>
    <row r="21" spans="1:142" ht="15" customHeight="1" x14ac:dyDescent="0.45">
      <c r="A21" s="11">
        <v>38</v>
      </c>
      <c r="B21" s="12">
        <f t="shared" si="0"/>
        <v>38</v>
      </c>
      <c r="C21" s="12" t="s">
        <v>59</v>
      </c>
      <c r="D21" s="12">
        <v>0</v>
      </c>
      <c r="E21" s="12" t="s">
        <v>53</v>
      </c>
      <c r="F21" s="12">
        <v>0</v>
      </c>
      <c r="G21" s="12">
        <v>1</v>
      </c>
      <c r="H21" s="12" t="s">
        <v>61</v>
      </c>
      <c r="I21" s="12">
        <v>1</v>
      </c>
      <c r="J21" s="12">
        <v>0</v>
      </c>
      <c r="K21" s="12">
        <v>2</v>
      </c>
      <c r="L21" s="12">
        <f t="shared" si="1"/>
        <v>2</v>
      </c>
      <c r="M21" s="12">
        <v>3</v>
      </c>
      <c r="N21" s="12" t="s">
        <v>55</v>
      </c>
      <c r="O21" s="12">
        <v>1</v>
      </c>
      <c r="P21" s="12">
        <v>0</v>
      </c>
      <c r="Q21" s="12">
        <v>0</v>
      </c>
      <c r="R21" s="12">
        <v>0</v>
      </c>
      <c r="S21" s="12">
        <v>0</v>
      </c>
      <c r="T21" s="12">
        <v>4</v>
      </c>
      <c r="U21" s="12" t="s">
        <v>62</v>
      </c>
      <c r="V21" s="12">
        <v>0</v>
      </c>
      <c r="W21" s="12">
        <v>45</v>
      </c>
      <c r="X21" s="12">
        <v>3</v>
      </c>
      <c r="Y21" s="12">
        <v>1</v>
      </c>
      <c r="Z21" s="12" t="s">
        <v>63</v>
      </c>
      <c r="AA21" s="12">
        <v>0</v>
      </c>
      <c r="AB21" s="12">
        <v>0</v>
      </c>
      <c r="AC21" s="12">
        <v>0</v>
      </c>
      <c r="AD21" s="12">
        <v>0</v>
      </c>
      <c r="AE21" s="12">
        <v>0</v>
      </c>
      <c r="AF21" s="12">
        <v>0</v>
      </c>
      <c r="AG21" s="12">
        <v>0</v>
      </c>
      <c r="AH21" s="12">
        <v>1</v>
      </c>
      <c r="AI21" s="12">
        <v>4</v>
      </c>
      <c r="AJ21" s="12" t="s">
        <v>57</v>
      </c>
      <c r="AK21" s="12">
        <v>1</v>
      </c>
      <c r="AL21" s="12">
        <v>0</v>
      </c>
      <c r="AM21" s="12">
        <v>3944</v>
      </c>
      <c r="AN21" s="12">
        <f t="shared" si="2"/>
        <v>3944</v>
      </c>
      <c r="AO21" s="12">
        <v>5</v>
      </c>
      <c r="AP21" s="12" t="s">
        <v>52</v>
      </c>
      <c r="AQ21" s="12">
        <v>1</v>
      </c>
      <c r="AR21" s="12">
        <v>11</v>
      </c>
      <c r="AS21" s="12">
        <v>3</v>
      </c>
      <c r="AT21" s="12">
        <v>3</v>
      </c>
      <c r="AU21" s="12">
        <v>0</v>
      </c>
      <c r="AV21" s="12">
        <v>6</v>
      </c>
      <c r="AW21" s="12">
        <f t="shared" si="3"/>
        <v>6</v>
      </c>
      <c r="AX21" s="12">
        <v>3</v>
      </c>
      <c r="AY21" s="12">
        <v>3</v>
      </c>
      <c r="AZ21" s="12">
        <v>3</v>
      </c>
      <c r="BA21" s="12">
        <f t="shared" si="4"/>
        <v>3</v>
      </c>
      <c r="BB21" s="12">
        <v>2</v>
      </c>
      <c r="BC21" s="12">
        <v>1</v>
      </c>
      <c r="BD21" s="12">
        <f t="shared" si="13"/>
        <v>1</v>
      </c>
      <c r="BE21" s="12">
        <v>2</v>
      </c>
      <c r="BF21" s="12">
        <f t="shared" si="5"/>
        <v>2</v>
      </c>
      <c r="BG21" s="12">
        <f t="shared" si="14"/>
        <v>2</v>
      </c>
      <c r="BH21" s="67">
        <v>1</v>
      </c>
      <c r="BI21" s="67">
        <v>0</v>
      </c>
      <c r="BJ21" s="67">
        <v>0</v>
      </c>
      <c r="BK21" s="67">
        <v>0</v>
      </c>
      <c r="BL21" s="67">
        <v>0</v>
      </c>
      <c r="BM21" s="67">
        <v>1</v>
      </c>
      <c r="BN21" s="67">
        <v>0</v>
      </c>
      <c r="BO21" s="67">
        <v>0</v>
      </c>
      <c r="BP21" s="67">
        <v>0</v>
      </c>
      <c r="BQ21" s="67">
        <v>2</v>
      </c>
      <c r="BR21" s="67">
        <v>0</v>
      </c>
      <c r="BS21" s="67">
        <v>0</v>
      </c>
      <c r="BT21" s="67">
        <v>6</v>
      </c>
      <c r="BU21" s="70">
        <v>0</v>
      </c>
      <c r="BV21" s="29">
        <f t="shared" si="6"/>
        <v>0.54353330126219723</v>
      </c>
      <c r="BW21">
        <f t="shared" si="7"/>
        <v>0.59502473559756086</v>
      </c>
      <c r="BX21">
        <f t="shared" si="8"/>
        <v>0.67854260110508058</v>
      </c>
      <c r="BY21">
        <f t="shared" si="9"/>
        <v>0.65423109602898355</v>
      </c>
      <c r="BZ21">
        <f t="shared" si="10"/>
        <v>0.88721318382472392</v>
      </c>
      <c r="CA21">
        <f t="shared" si="11"/>
        <v>0.11780475942994788</v>
      </c>
      <c r="CB21">
        <f t="shared" si="12"/>
        <v>0.36858985273641137</v>
      </c>
      <c r="CC21" s="28">
        <v>0.99</v>
      </c>
      <c r="CD21">
        <f>_xlfn.PERCENTILE.INC($AZ:$AZ,CC21)</f>
        <v>31</v>
      </c>
      <c r="CE21" t="s">
        <v>390</v>
      </c>
      <c r="CF21">
        <f>COUNTIFS(BY:BY,"&gt;=2",BY:BY,"&lt;3")</f>
        <v>68</v>
      </c>
      <c r="CJ21" s="18" t="s">
        <v>8</v>
      </c>
      <c r="CK21" s="21">
        <v>2550.347635567804</v>
      </c>
      <c r="CL21" s="21">
        <v>328.63559113804934</v>
      </c>
      <c r="CM21" s="21">
        <v>7.7604121535834629</v>
      </c>
      <c r="CN21" s="22">
        <v>1.6081076687109342E-14</v>
      </c>
      <c r="CO21" s="21">
        <v>1905.6842295219976</v>
      </c>
      <c r="CP21" s="21">
        <v>3195.0110416136104</v>
      </c>
      <c r="CR21" s="18" t="s">
        <v>27</v>
      </c>
      <c r="CS21" s="21">
        <v>876.22633336908257</v>
      </c>
      <c r="CT21" s="21">
        <v>185.13470200045992</v>
      </c>
      <c r="CU21" s="21">
        <v>4.7329124356540451</v>
      </c>
      <c r="CV21" s="22">
        <v>2.4284074154733176E-6</v>
      </c>
      <c r="CW21" s="21">
        <v>513.0670972203244</v>
      </c>
      <c r="CX21" s="21">
        <v>1239.3855695178408</v>
      </c>
      <c r="CZ21" s="18" t="s">
        <v>31</v>
      </c>
      <c r="DA21" s="21">
        <v>-3746.7575144300872</v>
      </c>
      <c r="DB21" s="21">
        <v>192.54619149248001</v>
      </c>
      <c r="DC21" s="21">
        <v>-19.459006098162263</v>
      </c>
      <c r="DD21" s="22">
        <v>3.7673266635975842E-75</v>
      </c>
      <c r="DE21" s="21">
        <v>-4124.4550885217768</v>
      </c>
      <c r="DF21" s="21">
        <v>-3369.0599403383976</v>
      </c>
      <c r="DH21" s="18" t="s">
        <v>10</v>
      </c>
      <c r="DI21" s="21">
        <v>1.7653232495530347</v>
      </c>
      <c r="DJ21" s="21">
        <v>30.514759199712948</v>
      </c>
      <c r="DK21" s="21">
        <v>5.7851456011805628E-2</v>
      </c>
      <c r="DL21" s="22">
        <v>0.95387505027646513</v>
      </c>
      <c r="DM21" s="21">
        <v>-58.093276402176393</v>
      </c>
      <c r="DN21" s="21">
        <v>61.623922901282462</v>
      </c>
      <c r="DP21" s="18" t="s">
        <v>26</v>
      </c>
      <c r="DQ21" s="21">
        <v>-3910.0515348085328</v>
      </c>
      <c r="DR21" s="21">
        <v>193.56234559512538</v>
      </c>
      <c r="DS21" s="21">
        <v>-20.200476093564152</v>
      </c>
      <c r="DT21" s="22">
        <v>3.4838500758656177E-80</v>
      </c>
      <c r="DU21" s="21">
        <v>-4289.7426084306298</v>
      </c>
      <c r="DV21" s="21">
        <v>-3530.3604611864362</v>
      </c>
      <c r="DX21" s="18" t="s">
        <v>26</v>
      </c>
      <c r="DY21" s="21">
        <v>-4527.0737089183312</v>
      </c>
      <c r="DZ21" s="21">
        <v>210.59386289246586</v>
      </c>
      <c r="EA21" s="21">
        <v>-21.496702927330606</v>
      </c>
      <c r="EB21" s="22">
        <v>3.1698785305753094E-89</v>
      </c>
      <c r="EC21" s="21">
        <v>-4940.174207804992</v>
      </c>
      <c r="ED21" s="21">
        <v>-4113.9732100316705</v>
      </c>
      <c r="EF21" s="18" t="s">
        <v>10</v>
      </c>
      <c r="EG21" s="21">
        <v>-4.0627167793702483</v>
      </c>
      <c r="EH21" s="21">
        <v>30.011605051625139</v>
      </c>
      <c r="EI21" s="21">
        <v>-0.13537152619400644</v>
      </c>
      <c r="EJ21" s="22">
        <v>0.89233722771510682</v>
      </c>
      <c r="EK21" s="21">
        <v>-62.93431527155002</v>
      </c>
      <c r="EL21" s="21">
        <v>54.808881712809523</v>
      </c>
    </row>
    <row r="22" spans="1:142" ht="15" customHeight="1" x14ac:dyDescent="0.45">
      <c r="A22" s="11">
        <v>24</v>
      </c>
      <c r="B22" s="12">
        <f t="shared" si="0"/>
        <v>24</v>
      </c>
      <c r="C22" s="12" t="s">
        <v>59</v>
      </c>
      <c r="D22" s="12">
        <v>0</v>
      </c>
      <c r="E22" s="12" t="s">
        <v>86</v>
      </c>
      <c r="F22" s="12">
        <v>0</v>
      </c>
      <c r="G22" s="12">
        <v>0</v>
      </c>
      <c r="H22" s="12" t="s">
        <v>61</v>
      </c>
      <c r="I22" s="12">
        <v>1</v>
      </c>
      <c r="J22" s="12">
        <v>0</v>
      </c>
      <c r="K22" s="12">
        <v>11</v>
      </c>
      <c r="L22" s="12">
        <f t="shared" si="1"/>
        <v>11</v>
      </c>
      <c r="M22" s="12">
        <v>2</v>
      </c>
      <c r="N22" s="12" t="s">
        <v>66</v>
      </c>
      <c r="O22" s="12">
        <v>0</v>
      </c>
      <c r="P22" s="12">
        <v>1</v>
      </c>
      <c r="Q22" s="12">
        <v>0</v>
      </c>
      <c r="R22" s="12">
        <v>0</v>
      </c>
      <c r="S22" s="12">
        <v>0</v>
      </c>
      <c r="T22" s="12">
        <v>1</v>
      </c>
      <c r="U22" s="12" t="s">
        <v>19</v>
      </c>
      <c r="V22" s="12">
        <v>1</v>
      </c>
      <c r="W22" s="12">
        <v>96</v>
      </c>
      <c r="X22" s="12">
        <v>4</v>
      </c>
      <c r="Y22" s="12">
        <v>2</v>
      </c>
      <c r="Z22" s="12" t="s">
        <v>83</v>
      </c>
      <c r="AA22" s="12">
        <v>0</v>
      </c>
      <c r="AB22" s="12">
        <v>0</v>
      </c>
      <c r="AC22" s="12">
        <v>0</v>
      </c>
      <c r="AD22" s="12">
        <v>0</v>
      </c>
      <c r="AE22" s="12">
        <v>1</v>
      </c>
      <c r="AF22" s="12">
        <v>1</v>
      </c>
      <c r="AG22" s="12">
        <v>0</v>
      </c>
      <c r="AH22" s="12">
        <v>0</v>
      </c>
      <c r="AI22" s="12">
        <v>3</v>
      </c>
      <c r="AJ22" s="12" t="s">
        <v>78</v>
      </c>
      <c r="AK22" s="12">
        <v>0</v>
      </c>
      <c r="AL22" s="12">
        <v>0</v>
      </c>
      <c r="AM22" s="12">
        <v>4011</v>
      </c>
      <c r="AN22" s="12">
        <f t="shared" si="2"/>
        <v>4011</v>
      </c>
      <c r="AO22" s="12">
        <v>0</v>
      </c>
      <c r="AP22" s="12" t="s">
        <v>59</v>
      </c>
      <c r="AQ22" s="12">
        <v>0</v>
      </c>
      <c r="AR22" s="12">
        <v>18</v>
      </c>
      <c r="AS22" s="12">
        <v>3</v>
      </c>
      <c r="AT22" s="12">
        <v>4</v>
      </c>
      <c r="AU22" s="12">
        <v>1</v>
      </c>
      <c r="AV22" s="12">
        <v>5</v>
      </c>
      <c r="AW22" s="12">
        <f t="shared" si="3"/>
        <v>5</v>
      </c>
      <c r="AX22" s="12">
        <v>5</v>
      </c>
      <c r="AY22" s="12">
        <v>2</v>
      </c>
      <c r="AZ22" s="12">
        <v>4</v>
      </c>
      <c r="BA22" s="12">
        <f t="shared" si="4"/>
        <v>4</v>
      </c>
      <c r="BB22" s="12">
        <v>2</v>
      </c>
      <c r="BC22" s="12">
        <v>1</v>
      </c>
      <c r="BD22" s="12">
        <f t="shared" si="13"/>
        <v>1</v>
      </c>
      <c r="BE22" s="12">
        <v>3</v>
      </c>
      <c r="BF22" s="12">
        <f t="shared" si="5"/>
        <v>3</v>
      </c>
      <c r="BG22" s="12">
        <f t="shared" si="14"/>
        <v>6</v>
      </c>
      <c r="BH22" s="67">
        <v>1</v>
      </c>
      <c r="BI22" s="67">
        <v>0</v>
      </c>
      <c r="BJ22" s="67">
        <v>0</v>
      </c>
      <c r="BK22" s="67">
        <v>0</v>
      </c>
      <c r="BL22" s="67">
        <v>1</v>
      </c>
      <c r="BM22" s="67">
        <v>0</v>
      </c>
      <c r="BN22" s="67">
        <v>0</v>
      </c>
      <c r="BO22" s="67">
        <v>0</v>
      </c>
      <c r="BP22" s="67">
        <v>0</v>
      </c>
      <c r="BQ22" s="67">
        <v>3</v>
      </c>
      <c r="BR22" s="67">
        <v>0</v>
      </c>
      <c r="BS22" s="67">
        <v>0</v>
      </c>
      <c r="BT22" s="67">
        <v>5</v>
      </c>
      <c r="BU22" s="70">
        <v>0</v>
      </c>
      <c r="BV22" s="29">
        <f t="shared" si="6"/>
        <v>0.52930207462041157</v>
      </c>
      <c r="BW22">
        <f t="shared" si="7"/>
        <v>0.31476636926356072</v>
      </c>
      <c r="BX22">
        <f t="shared" si="8"/>
        <v>0.80706439257840468</v>
      </c>
      <c r="BY22">
        <f t="shared" si="9"/>
        <v>0.49100643357776058</v>
      </c>
      <c r="BZ22">
        <f t="shared" si="10"/>
        <v>0.22295710105195232</v>
      </c>
      <c r="CA22">
        <f t="shared" si="11"/>
        <v>1.4146996331543302</v>
      </c>
      <c r="CB22">
        <f t="shared" si="12"/>
        <v>0.36858985273641137</v>
      </c>
      <c r="CC22" s="28">
        <v>0.01</v>
      </c>
      <c r="CD22">
        <f>_xlfn.PERCENTILE.INC($AZ:$AZ,CC22)</f>
        <v>0</v>
      </c>
      <c r="CE22" t="s">
        <v>389</v>
      </c>
      <c r="CF22">
        <f>COUNTIF(BY:BY,"&gt;=3")</f>
        <v>25</v>
      </c>
      <c r="CJ22" s="18" t="s">
        <v>9</v>
      </c>
      <c r="CK22" s="21">
        <v>-3.8232402816554441</v>
      </c>
      <c r="CL22" s="21">
        <v>3.7807631473500507</v>
      </c>
      <c r="CM22" s="21">
        <v>-1.0112350688604139</v>
      </c>
      <c r="CN22" s="22">
        <v>0.31207620981927431</v>
      </c>
      <c r="CO22" s="21">
        <v>-11.239721374232253</v>
      </c>
      <c r="CP22" s="21">
        <v>3.5932408109213663</v>
      </c>
      <c r="CR22" s="18" t="s">
        <v>28</v>
      </c>
      <c r="CS22" s="21">
        <v>-3508.028414263661</v>
      </c>
      <c r="CT22" s="21">
        <v>169.18857271620939</v>
      </c>
      <c r="CU22" s="21">
        <v>-20.734428797078969</v>
      </c>
      <c r="CV22" s="22">
        <v>6.941840230311966E-84</v>
      </c>
      <c r="CW22" s="21">
        <v>-3839.9078089357877</v>
      </c>
      <c r="CX22" s="21">
        <v>-3176.1490195915344</v>
      </c>
      <c r="CZ22" s="18" t="s">
        <v>7</v>
      </c>
      <c r="DA22" s="21">
        <v>3091.8227465421619</v>
      </c>
      <c r="DB22" s="21">
        <v>204.44460440354555</v>
      </c>
      <c r="DC22" s="21">
        <v>15.12303421047654</v>
      </c>
      <c r="DD22" s="22">
        <v>4.2064999437320232E-48</v>
      </c>
      <c r="DE22" s="21">
        <v>2690.7853096507129</v>
      </c>
      <c r="DF22" s="21">
        <v>3492.8601834336109</v>
      </c>
      <c r="DH22" s="18" t="s">
        <v>12</v>
      </c>
      <c r="DI22" s="21">
        <v>-388.90432249992591</v>
      </c>
      <c r="DJ22" s="21">
        <v>299.4456324199877</v>
      </c>
      <c r="DK22" s="21">
        <v>-1.298747687040791</v>
      </c>
      <c r="DL22" s="22">
        <v>0.19424035689049143</v>
      </c>
      <c r="DM22" s="21">
        <v>-976.30519665316478</v>
      </c>
      <c r="DN22" s="21">
        <v>198.49655165331296</v>
      </c>
      <c r="DP22" s="18" t="s">
        <v>27</v>
      </c>
      <c r="DQ22" s="21">
        <v>866.08284483887155</v>
      </c>
      <c r="DR22" s="21">
        <v>186.0829279485003</v>
      </c>
      <c r="DS22" s="21">
        <v>4.6542842720024575</v>
      </c>
      <c r="DT22" s="22">
        <v>3.5469525724615178E-6</v>
      </c>
      <c r="DU22" s="21">
        <v>501.06336505174153</v>
      </c>
      <c r="DV22" s="21">
        <v>1231.1023246260015</v>
      </c>
      <c r="DX22" s="18" t="s">
        <v>27</v>
      </c>
      <c r="DY22" s="21">
        <v>457.84585749927646</v>
      </c>
      <c r="DZ22" s="21">
        <v>193.69221470607596</v>
      </c>
      <c r="EA22" s="21">
        <v>2.363780383192212</v>
      </c>
      <c r="EB22" s="22">
        <v>1.8220497418314718E-2</v>
      </c>
      <c r="EC22" s="21">
        <v>77.899597781350337</v>
      </c>
      <c r="ED22" s="21">
        <v>837.79211721720253</v>
      </c>
      <c r="EF22" s="18" t="s">
        <v>12</v>
      </c>
      <c r="EG22" s="21">
        <v>-382.64158671964015</v>
      </c>
      <c r="EH22" s="21">
        <v>293.11868408051652</v>
      </c>
      <c r="EI22" s="21">
        <v>-1.3054152038105242</v>
      </c>
      <c r="EJ22" s="22">
        <v>0.19196193357104419</v>
      </c>
      <c r="EK22" s="21">
        <v>-957.63134318419202</v>
      </c>
      <c r="EL22" s="21">
        <v>192.34816974491173</v>
      </c>
    </row>
    <row r="23" spans="1:142" ht="15" customHeight="1" x14ac:dyDescent="0.45">
      <c r="A23" s="11">
        <v>36</v>
      </c>
      <c r="B23" s="12">
        <f t="shared" si="0"/>
        <v>36</v>
      </c>
      <c r="C23" s="12" t="s">
        <v>52</v>
      </c>
      <c r="D23" s="12">
        <v>1</v>
      </c>
      <c r="E23" s="12" t="s">
        <v>53</v>
      </c>
      <c r="F23" s="12">
        <v>0</v>
      </c>
      <c r="G23" s="12">
        <v>1</v>
      </c>
      <c r="H23" s="12" t="s">
        <v>54</v>
      </c>
      <c r="I23" s="12">
        <v>0</v>
      </c>
      <c r="J23" s="12">
        <v>1</v>
      </c>
      <c r="K23" s="12">
        <v>9</v>
      </c>
      <c r="L23" s="12">
        <f t="shared" si="1"/>
        <v>9</v>
      </c>
      <c r="M23" s="12">
        <v>4</v>
      </c>
      <c r="N23" s="12" t="s">
        <v>55</v>
      </c>
      <c r="O23" s="12">
        <v>1</v>
      </c>
      <c r="P23" s="12">
        <v>0</v>
      </c>
      <c r="Q23" s="12">
        <v>0</v>
      </c>
      <c r="R23" s="12">
        <v>0</v>
      </c>
      <c r="S23" s="12">
        <v>0</v>
      </c>
      <c r="T23" s="12">
        <v>3</v>
      </c>
      <c r="U23" s="12" t="s">
        <v>62</v>
      </c>
      <c r="V23" s="12">
        <v>0</v>
      </c>
      <c r="W23" s="12">
        <v>82</v>
      </c>
      <c r="X23" s="12">
        <v>2</v>
      </c>
      <c r="Y23" s="12">
        <v>1</v>
      </c>
      <c r="Z23" s="12" t="s">
        <v>88</v>
      </c>
      <c r="AA23" s="12">
        <v>0</v>
      </c>
      <c r="AB23" s="12">
        <v>0</v>
      </c>
      <c r="AC23" s="12">
        <v>0</v>
      </c>
      <c r="AD23" s="12">
        <v>0</v>
      </c>
      <c r="AE23" s="12">
        <v>0</v>
      </c>
      <c r="AF23" s="12">
        <v>0</v>
      </c>
      <c r="AG23" s="12">
        <v>1</v>
      </c>
      <c r="AH23" s="12">
        <v>0</v>
      </c>
      <c r="AI23" s="12">
        <v>1</v>
      </c>
      <c r="AJ23" s="12" t="s">
        <v>57</v>
      </c>
      <c r="AK23" s="12">
        <v>1</v>
      </c>
      <c r="AL23" s="12">
        <v>0</v>
      </c>
      <c r="AM23" s="12">
        <v>3407</v>
      </c>
      <c r="AN23" s="12">
        <f t="shared" si="2"/>
        <v>3407</v>
      </c>
      <c r="AO23" s="12">
        <v>7</v>
      </c>
      <c r="AP23" s="12" t="s">
        <v>59</v>
      </c>
      <c r="AQ23" s="12">
        <v>0</v>
      </c>
      <c r="AR23" s="12">
        <v>23</v>
      </c>
      <c r="AS23" s="12">
        <v>4</v>
      </c>
      <c r="AT23" s="12">
        <v>2</v>
      </c>
      <c r="AU23" s="12">
        <v>0</v>
      </c>
      <c r="AV23" s="12">
        <v>10</v>
      </c>
      <c r="AW23" s="12">
        <f t="shared" si="3"/>
        <v>10</v>
      </c>
      <c r="AX23" s="12">
        <v>4</v>
      </c>
      <c r="AY23" s="12">
        <v>3</v>
      </c>
      <c r="AZ23" s="12">
        <v>5</v>
      </c>
      <c r="BA23" s="12">
        <f t="shared" si="4"/>
        <v>5</v>
      </c>
      <c r="BB23" s="12">
        <v>3</v>
      </c>
      <c r="BC23" s="12">
        <v>0</v>
      </c>
      <c r="BD23" s="12">
        <f t="shared" si="13"/>
        <v>0</v>
      </c>
      <c r="BE23" s="12">
        <v>3</v>
      </c>
      <c r="BF23" s="12">
        <f t="shared" si="5"/>
        <v>3</v>
      </c>
      <c r="BG23" s="12">
        <f t="shared" si="14"/>
        <v>3</v>
      </c>
      <c r="BH23" s="67">
        <v>1</v>
      </c>
      <c r="BI23" s="67">
        <v>0</v>
      </c>
      <c r="BJ23" s="67">
        <v>0</v>
      </c>
      <c r="BK23" s="67">
        <v>0</v>
      </c>
      <c r="BL23" s="67">
        <v>1</v>
      </c>
      <c r="BM23" s="67">
        <v>0</v>
      </c>
      <c r="BN23" s="67">
        <v>0</v>
      </c>
      <c r="BO23" s="67">
        <v>0</v>
      </c>
      <c r="BP23" s="67">
        <v>0</v>
      </c>
      <c r="BQ23" s="67">
        <v>0</v>
      </c>
      <c r="BR23" s="67">
        <v>3</v>
      </c>
      <c r="BS23" s="67">
        <v>0</v>
      </c>
      <c r="BT23" s="67">
        <v>0</v>
      </c>
      <c r="BU23" s="70">
        <v>10</v>
      </c>
      <c r="BV23" s="29">
        <f t="shared" si="6"/>
        <v>0.65759552076427086</v>
      </c>
      <c r="BW23">
        <f t="shared" si="7"/>
        <v>0.31476636926356072</v>
      </c>
      <c r="BX23">
        <f t="shared" si="8"/>
        <v>0.1644554352117841</v>
      </c>
      <c r="BY23">
        <f t="shared" si="9"/>
        <v>0.32778177112653761</v>
      </c>
      <c r="BZ23">
        <f t="shared" si="10"/>
        <v>2.3747406698420157E-2</v>
      </c>
      <c r="CA23">
        <f t="shared" si="11"/>
        <v>0.10112443951066327</v>
      </c>
      <c r="CB23">
        <f t="shared" si="12"/>
        <v>0.67891464284095016</v>
      </c>
      <c r="CJ23" s="18" t="s">
        <v>10</v>
      </c>
      <c r="CK23" s="21">
        <v>1.6731730437872265</v>
      </c>
      <c r="CL23" s="21">
        <v>30.651839462027684</v>
      </c>
      <c r="CM23" s="21">
        <v>5.4586382845310082E-2</v>
      </c>
      <c r="CN23" s="22">
        <v>0.95647566611204426</v>
      </c>
      <c r="CO23" s="21">
        <v>-58.454578672731586</v>
      </c>
      <c r="CP23" s="21">
        <v>61.800924760306032</v>
      </c>
      <c r="CR23" s="18" t="s">
        <v>30</v>
      </c>
      <c r="CS23" s="21">
        <v>-3279.8471107085152</v>
      </c>
      <c r="CT23" s="21">
        <v>311.07492936337559</v>
      </c>
      <c r="CU23" s="21">
        <v>-10.543591916651152</v>
      </c>
      <c r="CV23" s="22">
        <v>4.2513638070602029E-25</v>
      </c>
      <c r="CW23" s="21">
        <v>-3890.0500197900969</v>
      </c>
      <c r="CX23" s="21">
        <v>-2669.6442016269334</v>
      </c>
      <c r="CZ23" s="18" t="s">
        <v>44</v>
      </c>
      <c r="DA23" s="21">
        <v>51.258287188890563</v>
      </c>
      <c r="DB23" s="21">
        <v>6.7987577738288225</v>
      </c>
      <c r="DC23" s="21">
        <v>7.5393607029514289</v>
      </c>
      <c r="DD23" s="22">
        <v>8.2659763970235978E-14</v>
      </c>
      <c r="DE23" s="21">
        <v>37.921880490280529</v>
      </c>
      <c r="DF23" s="21">
        <v>64.594693887500597</v>
      </c>
      <c r="DH23" s="18" t="s">
        <v>13</v>
      </c>
      <c r="DI23" s="21">
        <v>-534.56131562390146</v>
      </c>
      <c r="DJ23" s="21">
        <v>321.22483243015012</v>
      </c>
      <c r="DK23" s="21">
        <v>-1.6641344679980214</v>
      </c>
      <c r="DL23" s="22">
        <v>9.6305109565115968E-2</v>
      </c>
      <c r="DM23" s="21">
        <v>-1164.6848737613391</v>
      </c>
      <c r="DN23" s="21">
        <v>95.562242513536034</v>
      </c>
      <c r="DP23" s="18" t="s">
        <v>28</v>
      </c>
      <c r="DQ23" s="21">
        <v>-3578.861899981775</v>
      </c>
      <c r="DR23" s="21">
        <v>168.9871518898924</v>
      </c>
      <c r="DS23" s="21">
        <v>-21.178307699473315</v>
      </c>
      <c r="DT23" s="22">
        <v>5.4705098148611519E-87</v>
      </c>
      <c r="DU23" s="21">
        <v>-3910.3463781851092</v>
      </c>
      <c r="DV23" s="21">
        <v>-3247.3774217784407</v>
      </c>
      <c r="DX23" s="18" t="s">
        <v>28</v>
      </c>
      <c r="DY23" s="21">
        <v>-4016.395007692834</v>
      </c>
      <c r="DZ23" s="21">
        <v>178.0513189943631</v>
      </c>
      <c r="EA23" s="21">
        <v>-22.557513363998098</v>
      </c>
      <c r="EB23" s="22">
        <v>7.5608849315095001E-97</v>
      </c>
      <c r="EC23" s="21">
        <v>-4365.6601177666125</v>
      </c>
      <c r="ED23" s="21">
        <v>-3667.1298976190556</v>
      </c>
      <c r="EF23" s="18" t="s">
        <v>13</v>
      </c>
      <c r="EG23" s="21">
        <v>-509.24796412505293</v>
      </c>
      <c r="EH23" s="21">
        <v>314.28487495816887</v>
      </c>
      <c r="EI23" s="21">
        <v>-1.6203387585636551</v>
      </c>
      <c r="EJ23" s="22">
        <v>0.10538046755356698</v>
      </c>
      <c r="EK23" s="21">
        <v>-1125.7579088239395</v>
      </c>
      <c r="EL23" s="21">
        <v>107.26198057383374</v>
      </c>
    </row>
    <row r="24" spans="1:142" ht="15" customHeight="1" x14ac:dyDescent="0.45">
      <c r="A24" s="11">
        <v>34</v>
      </c>
      <c r="B24" s="12">
        <f t="shared" si="0"/>
        <v>34</v>
      </c>
      <c r="C24" s="12" t="s">
        <v>59</v>
      </c>
      <c r="D24" s="12">
        <v>0</v>
      </c>
      <c r="E24" s="12" t="s">
        <v>53</v>
      </c>
      <c r="F24" s="12">
        <v>0</v>
      </c>
      <c r="G24" s="12">
        <v>1</v>
      </c>
      <c r="H24" s="12" t="s">
        <v>61</v>
      </c>
      <c r="I24" s="12">
        <v>1</v>
      </c>
      <c r="J24" s="12">
        <v>0</v>
      </c>
      <c r="K24" s="12">
        <v>7</v>
      </c>
      <c r="L24" s="12">
        <f t="shared" si="1"/>
        <v>7</v>
      </c>
      <c r="M24" s="12">
        <v>4</v>
      </c>
      <c r="N24" s="12" t="s">
        <v>55</v>
      </c>
      <c r="O24" s="12">
        <v>1</v>
      </c>
      <c r="P24" s="12">
        <v>0</v>
      </c>
      <c r="Q24" s="12">
        <v>0</v>
      </c>
      <c r="R24" s="12">
        <v>0</v>
      </c>
      <c r="S24" s="12">
        <v>0</v>
      </c>
      <c r="T24" s="12">
        <v>1</v>
      </c>
      <c r="U24" s="12" t="s">
        <v>19</v>
      </c>
      <c r="V24" s="12">
        <v>1</v>
      </c>
      <c r="W24" s="12">
        <v>53</v>
      </c>
      <c r="X24" s="12">
        <v>3</v>
      </c>
      <c r="Y24" s="12">
        <v>3</v>
      </c>
      <c r="Z24" s="12" t="s">
        <v>89</v>
      </c>
      <c r="AA24" s="12">
        <v>0</v>
      </c>
      <c r="AB24" s="12">
        <v>0</v>
      </c>
      <c r="AC24" s="12">
        <v>0</v>
      </c>
      <c r="AD24" s="12">
        <v>0</v>
      </c>
      <c r="AE24" s="12">
        <v>0</v>
      </c>
      <c r="AF24" s="12">
        <v>0</v>
      </c>
      <c r="AG24" s="12">
        <v>0</v>
      </c>
      <c r="AH24" s="12">
        <v>0</v>
      </c>
      <c r="AI24" s="12">
        <v>2</v>
      </c>
      <c r="AJ24" s="12" t="s">
        <v>57</v>
      </c>
      <c r="AK24" s="12">
        <v>1</v>
      </c>
      <c r="AL24" s="12">
        <v>0</v>
      </c>
      <c r="AM24" s="12">
        <v>11994</v>
      </c>
      <c r="AN24" s="12">
        <f t="shared" si="2"/>
        <v>11994</v>
      </c>
      <c r="AO24" s="12">
        <v>0</v>
      </c>
      <c r="AP24" s="12" t="s">
        <v>59</v>
      </c>
      <c r="AQ24" s="12">
        <v>0</v>
      </c>
      <c r="AR24" s="12">
        <v>11</v>
      </c>
      <c r="AS24" s="12">
        <v>3</v>
      </c>
      <c r="AT24" s="12">
        <v>3</v>
      </c>
      <c r="AU24" s="12">
        <v>0</v>
      </c>
      <c r="AV24" s="12">
        <v>13</v>
      </c>
      <c r="AW24" s="12">
        <f t="shared" si="3"/>
        <v>13</v>
      </c>
      <c r="AX24" s="12">
        <v>4</v>
      </c>
      <c r="AY24" s="12">
        <v>3</v>
      </c>
      <c r="AZ24" s="12">
        <v>12</v>
      </c>
      <c r="BA24" s="12">
        <f t="shared" si="4"/>
        <v>12</v>
      </c>
      <c r="BB24" s="12">
        <v>6</v>
      </c>
      <c r="BC24" s="12">
        <v>2</v>
      </c>
      <c r="BD24" s="12">
        <f t="shared" si="13"/>
        <v>2</v>
      </c>
      <c r="BE24" s="12">
        <v>11</v>
      </c>
      <c r="BF24" s="12">
        <f t="shared" si="5"/>
        <v>11</v>
      </c>
      <c r="BG24" s="12">
        <f t="shared" si="14"/>
        <v>33</v>
      </c>
      <c r="BH24" s="67">
        <v>1</v>
      </c>
      <c r="BI24" s="67">
        <v>0</v>
      </c>
      <c r="BJ24" s="67">
        <v>0</v>
      </c>
      <c r="BK24" s="67">
        <v>0</v>
      </c>
      <c r="BL24" s="67">
        <v>1</v>
      </c>
      <c r="BM24" s="67">
        <v>0</v>
      </c>
      <c r="BN24" s="67">
        <v>0</v>
      </c>
      <c r="BO24" s="67">
        <v>0</v>
      </c>
      <c r="BP24" s="67">
        <v>0</v>
      </c>
      <c r="BQ24" s="67">
        <v>11</v>
      </c>
      <c r="BR24" s="67">
        <v>0</v>
      </c>
      <c r="BS24" s="67">
        <v>0</v>
      </c>
      <c r="BT24" s="67">
        <v>13</v>
      </c>
      <c r="BU24" s="70">
        <v>0</v>
      </c>
      <c r="BV24" s="29">
        <f t="shared" si="6"/>
        <v>1.1663379594299685</v>
      </c>
      <c r="BW24">
        <f t="shared" si="7"/>
        <v>1.9273005614084406</v>
      </c>
      <c r="BX24">
        <f t="shared" si="8"/>
        <v>0.22110993920818819</v>
      </c>
      <c r="BY24">
        <f t="shared" si="9"/>
        <v>0.81479086603202333</v>
      </c>
      <c r="BZ24">
        <f t="shared" si="10"/>
        <v>0.27045191444879263</v>
      </c>
      <c r="CA24">
        <f t="shared" si="11"/>
        <v>0.32005363845127444</v>
      </c>
      <c r="CB24">
        <f t="shared" si="12"/>
        <v>5.8265062631872602E-2</v>
      </c>
      <c r="CC24" t="str">
        <f>L1</f>
        <v>Wins_DistanceFromHome</v>
      </c>
      <c r="CE24" t="s">
        <v>521</v>
      </c>
      <c r="CJ24" s="18" t="s">
        <v>12</v>
      </c>
      <c r="CK24" s="21">
        <v>-312.16613469115714</v>
      </c>
      <c r="CL24" s="21">
        <v>298.97028343224332</v>
      </c>
      <c r="CM24" s="21">
        <v>-1.0441376684914052</v>
      </c>
      <c r="CN24" s="22">
        <v>0.2965994155050411</v>
      </c>
      <c r="CO24" s="21">
        <v>-898.63700522735576</v>
      </c>
      <c r="CP24" s="21">
        <v>274.30473584504148</v>
      </c>
      <c r="CR24" s="18" t="s">
        <v>31</v>
      </c>
      <c r="CS24" s="21">
        <v>-3746.7575144312268</v>
      </c>
      <c r="CT24" s="21">
        <v>192.54619149247986</v>
      </c>
      <c r="CU24" s="21">
        <v>-19.459006098168196</v>
      </c>
      <c r="CV24" s="22">
        <v>3.7673266632512457E-75</v>
      </c>
      <c r="CW24" s="21">
        <v>-4124.4550885229164</v>
      </c>
      <c r="CX24" s="21">
        <v>-3369.0599403395377</v>
      </c>
      <c r="CZ24" s="18" t="s">
        <v>30</v>
      </c>
      <c r="DA24" s="21">
        <v>-3279.8471106994648</v>
      </c>
      <c r="DB24" s="21">
        <v>311.07492936337593</v>
      </c>
      <c r="DC24" s="21">
        <v>-10.543591916622047</v>
      </c>
      <c r="DD24" s="22">
        <v>4.2513638082832883E-25</v>
      </c>
      <c r="DE24" s="21">
        <v>-3890.050019781047</v>
      </c>
      <c r="DF24" s="21">
        <v>-2669.6442016178826</v>
      </c>
      <c r="DH24" s="18" t="s">
        <v>14</v>
      </c>
      <c r="DI24" s="21">
        <v>-395.18160835952222</v>
      </c>
      <c r="DJ24" s="21">
        <v>300.29343144291755</v>
      </c>
      <c r="DK24" s="21">
        <v>-1.3159848567471641</v>
      </c>
      <c r="DL24" s="22">
        <v>0.18839048406942682</v>
      </c>
      <c r="DM24" s="21">
        <v>-984.24554863648666</v>
      </c>
      <c r="DN24" s="21">
        <v>193.88233191744223</v>
      </c>
      <c r="DP24" s="18" t="s">
        <v>30</v>
      </c>
      <c r="DQ24" s="21">
        <v>-3216.1385182285671</v>
      </c>
      <c r="DR24" s="21">
        <v>312.3656457497209</v>
      </c>
      <c r="DS24" s="21">
        <v>-10.296069884732004</v>
      </c>
      <c r="DT24" s="22">
        <v>4.7956661736143038E-24</v>
      </c>
      <c r="DU24" s="21">
        <v>-3828.8736399936852</v>
      </c>
      <c r="DV24" s="21">
        <v>-2603.4033964634491</v>
      </c>
      <c r="DX24" s="18" t="s">
        <v>30</v>
      </c>
      <c r="DY24" s="21">
        <v>-3711.1172540723637</v>
      </c>
      <c r="DZ24" s="21">
        <v>376.03067296099732</v>
      </c>
      <c r="EA24" s="21">
        <v>-9.8691875980481214</v>
      </c>
      <c r="EB24" s="22">
        <v>2.7908118912824136E-22</v>
      </c>
      <c r="EC24" s="21">
        <v>-4448.7382676353</v>
      </c>
      <c r="ED24" s="21">
        <v>-2973.4962405094275</v>
      </c>
      <c r="EF24" s="18" t="s">
        <v>14</v>
      </c>
      <c r="EG24" s="21">
        <v>-383.89967029325635</v>
      </c>
      <c r="EH24" s="21">
        <v>294.14961527171261</v>
      </c>
      <c r="EI24" s="21">
        <v>-1.3051170233169933</v>
      </c>
      <c r="EJ24" s="22">
        <v>0.19206340569783911</v>
      </c>
      <c r="EK24" s="21">
        <v>-960.91173003205029</v>
      </c>
      <c r="EL24" s="21">
        <v>193.11238944553759</v>
      </c>
    </row>
    <row r="25" spans="1:142" ht="15" customHeight="1" x14ac:dyDescent="0.45">
      <c r="A25" s="11">
        <v>21</v>
      </c>
      <c r="B25" s="12">
        <f t="shared" si="0"/>
        <v>21</v>
      </c>
      <c r="C25" s="12" t="s">
        <v>59</v>
      </c>
      <c r="D25" s="12">
        <v>0</v>
      </c>
      <c r="E25" s="12" t="s">
        <v>53</v>
      </c>
      <c r="F25" s="12">
        <v>0</v>
      </c>
      <c r="G25" s="12">
        <v>1</v>
      </c>
      <c r="H25" s="12" t="s">
        <v>61</v>
      </c>
      <c r="I25" s="12">
        <v>1</v>
      </c>
      <c r="J25" s="12">
        <v>0</v>
      </c>
      <c r="K25" s="12">
        <v>15</v>
      </c>
      <c r="L25" s="12">
        <f t="shared" si="1"/>
        <v>15</v>
      </c>
      <c r="M25" s="12">
        <v>2</v>
      </c>
      <c r="N25" s="12" t="s">
        <v>55</v>
      </c>
      <c r="O25" s="12">
        <v>1</v>
      </c>
      <c r="P25" s="12">
        <v>0</v>
      </c>
      <c r="Q25" s="12">
        <v>0</v>
      </c>
      <c r="R25" s="12">
        <v>0</v>
      </c>
      <c r="S25" s="12">
        <v>0</v>
      </c>
      <c r="T25" s="12">
        <v>3</v>
      </c>
      <c r="U25" s="12" t="s">
        <v>62</v>
      </c>
      <c r="V25" s="12">
        <v>0</v>
      </c>
      <c r="W25" s="12">
        <v>96</v>
      </c>
      <c r="X25" s="12">
        <v>3</v>
      </c>
      <c r="Y25" s="12">
        <v>1</v>
      </c>
      <c r="Z25" s="12" t="s">
        <v>63</v>
      </c>
      <c r="AA25" s="12">
        <v>0</v>
      </c>
      <c r="AB25" s="12">
        <v>0</v>
      </c>
      <c r="AC25" s="12">
        <v>0</v>
      </c>
      <c r="AD25" s="12">
        <v>0</v>
      </c>
      <c r="AE25" s="12">
        <v>0</v>
      </c>
      <c r="AF25" s="12">
        <v>0</v>
      </c>
      <c r="AG25" s="12">
        <v>0</v>
      </c>
      <c r="AH25" s="12">
        <v>1</v>
      </c>
      <c r="AI25" s="12">
        <v>4</v>
      </c>
      <c r="AJ25" s="12" t="s">
        <v>57</v>
      </c>
      <c r="AK25" s="12">
        <v>1</v>
      </c>
      <c r="AL25" s="12">
        <v>0</v>
      </c>
      <c r="AM25" s="12">
        <v>1232</v>
      </c>
      <c r="AN25" s="12">
        <f t="shared" si="2"/>
        <v>1382.46</v>
      </c>
      <c r="AO25" s="12">
        <v>1</v>
      </c>
      <c r="AP25" s="12" t="s">
        <v>59</v>
      </c>
      <c r="AQ25" s="12">
        <v>0</v>
      </c>
      <c r="AR25" s="12">
        <v>14</v>
      </c>
      <c r="AS25" s="12">
        <v>3</v>
      </c>
      <c r="AT25" s="12">
        <v>4</v>
      </c>
      <c r="AU25" s="12">
        <v>0</v>
      </c>
      <c r="AV25" s="12">
        <v>0</v>
      </c>
      <c r="AW25" s="12">
        <f t="shared" si="3"/>
        <v>1</v>
      </c>
      <c r="AX25" s="12">
        <v>6</v>
      </c>
      <c r="AY25" s="12">
        <v>3</v>
      </c>
      <c r="AZ25" s="12">
        <v>0</v>
      </c>
      <c r="BA25" s="12">
        <f t="shared" si="4"/>
        <v>0</v>
      </c>
      <c r="BB25" s="12">
        <v>0</v>
      </c>
      <c r="BC25" s="12">
        <v>0</v>
      </c>
      <c r="BD25" s="12">
        <f t="shared" si="13"/>
        <v>0</v>
      </c>
      <c r="BE25" s="12">
        <v>0</v>
      </c>
      <c r="BF25" s="12">
        <f t="shared" si="5"/>
        <v>0</v>
      </c>
      <c r="BG25" s="12">
        <f t="shared" si="14"/>
        <v>0</v>
      </c>
      <c r="BH25" s="67">
        <v>1</v>
      </c>
      <c r="BI25" s="67">
        <v>0</v>
      </c>
      <c r="BJ25" s="67">
        <v>0</v>
      </c>
      <c r="BK25" s="67">
        <v>0</v>
      </c>
      <c r="BL25" s="67">
        <v>1</v>
      </c>
      <c r="BM25" s="67">
        <v>0</v>
      </c>
      <c r="BN25" s="67">
        <v>0</v>
      </c>
      <c r="BO25" s="67">
        <v>0</v>
      </c>
      <c r="BP25" s="67">
        <v>0</v>
      </c>
      <c r="BQ25" s="67">
        <v>0</v>
      </c>
      <c r="BR25" s="67">
        <v>0</v>
      </c>
      <c r="BS25" s="67">
        <v>0</v>
      </c>
      <c r="BT25" s="67">
        <v>1</v>
      </c>
      <c r="BU25" s="70">
        <v>0</v>
      </c>
      <c r="BV25" s="29">
        <f t="shared" si="6"/>
        <v>1.1195793707028374</v>
      </c>
      <c r="BW25">
        <f t="shared" si="7"/>
        <v>1.1555414682655611</v>
      </c>
      <c r="BX25">
        <f t="shared" si="8"/>
        <v>1.4496733499450252</v>
      </c>
      <c r="BY25">
        <f t="shared" si="9"/>
        <v>1.1439050833826525</v>
      </c>
      <c r="BZ25">
        <f t="shared" si="10"/>
        <v>0.71636611655269733</v>
      </c>
      <c r="CA25">
        <f t="shared" si="11"/>
        <v>1.7430934315652469</v>
      </c>
      <c r="CB25">
        <f t="shared" si="12"/>
        <v>0.67891464284095016</v>
      </c>
      <c r="CC25" s="28">
        <v>0.99</v>
      </c>
      <c r="CD25">
        <f>_xlfn.PERCENTILE.INC($K:$K,CC25)</f>
        <v>29</v>
      </c>
      <c r="CE25" t="s">
        <v>390</v>
      </c>
      <c r="CF25">
        <f>COUNTIFS(BZ:BZ,"&gt;=2",BZ:BZ,"&lt;3")</f>
        <v>87</v>
      </c>
      <c r="CJ25" s="18" t="s">
        <v>13</v>
      </c>
      <c r="CK25" s="21">
        <v>-434.64921061482903</v>
      </c>
      <c r="CL25" s="21">
        <v>320.99280457970383</v>
      </c>
      <c r="CM25" s="21">
        <v>-1.354077737611417</v>
      </c>
      <c r="CN25" s="22">
        <v>0.17592702463582979</v>
      </c>
      <c r="CO25" s="21">
        <v>-1064.3202514170471</v>
      </c>
      <c r="CP25" s="21">
        <v>195.02183018738913</v>
      </c>
      <c r="CR25" s="18" t="s">
        <v>44</v>
      </c>
      <c r="CS25" s="21">
        <v>51.258287188877375</v>
      </c>
      <c r="CT25" s="21">
        <v>6.7987577738288225</v>
      </c>
      <c r="CU25" s="21">
        <v>7.5393607029494891</v>
      </c>
      <c r="CV25" s="22">
        <v>8.2659763971414864E-14</v>
      </c>
      <c r="CW25" s="21">
        <v>37.921880490267341</v>
      </c>
      <c r="CX25" s="21">
        <v>64.594693887487409</v>
      </c>
      <c r="CZ25" s="18" t="s">
        <v>8</v>
      </c>
      <c r="DA25" s="21">
        <v>2445.2788333934186</v>
      </c>
      <c r="DB25" s="21">
        <v>289.63730542190399</v>
      </c>
      <c r="DC25" s="21">
        <v>8.4425548353706414</v>
      </c>
      <c r="DD25" s="22">
        <v>7.4003813010598847E-17</v>
      </c>
      <c r="DE25" s="21">
        <v>1877.1278521854661</v>
      </c>
      <c r="DF25" s="21">
        <v>3013.4298146013712</v>
      </c>
      <c r="DH25" s="18" t="s">
        <v>15</v>
      </c>
      <c r="DI25" s="21">
        <v>-356.87841715505783</v>
      </c>
      <c r="DJ25" s="21">
        <v>318.74228573991218</v>
      </c>
      <c r="DK25" s="21">
        <v>-1.1196456608404448</v>
      </c>
      <c r="DL25" s="22">
        <v>0.2630532051028886</v>
      </c>
      <c r="DM25" s="21">
        <v>-982.13214271491836</v>
      </c>
      <c r="DN25" s="21">
        <v>268.37530840480269</v>
      </c>
      <c r="DP25" s="18" t="s">
        <v>31</v>
      </c>
      <c r="DQ25" s="21">
        <v>-3795.8112988883777</v>
      </c>
      <c r="DR25" s="21">
        <v>193.65840736063723</v>
      </c>
      <c r="DS25" s="21">
        <v>-19.600550012887847</v>
      </c>
      <c r="DT25" s="22">
        <v>4.2440887047882654E-76</v>
      </c>
      <c r="DU25" s="21">
        <v>-4175.6908068610146</v>
      </c>
      <c r="DV25" s="21">
        <v>-3415.9317909157407</v>
      </c>
      <c r="DX25" s="18" t="s">
        <v>31</v>
      </c>
      <c r="DY25" s="21">
        <v>-4415.6298949463016</v>
      </c>
      <c r="DZ25" s="21">
        <v>210.73607923651468</v>
      </c>
      <c r="EA25" s="21">
        <v>-20.953364563599589</v>
      </c>
      <c r="EB25" s="22">
        <v>2.1501885056884886E-85</v>
      </c>
      <c r="EC25" s="21">
        <v>-4829.0093651280868</v>
      </c>
      <c r="ED25" s="21">
        <v>-4002.2504247645165</v>
      </c>
      <c r="EF25" s="18" t="s">
        <v>15</v>
      </c>
      <c r="EG25" s="21">
        <v>-348.97390597475487</v>
      </c>
      <c r="EH25" s="21">
        <v>312.28508804353982</v>
      </c>
      <c r="EI25" s="21">
        <v>-1.1174850139693502</v>
      </c>
      <c r="EJ25" s="22">
        <v>0.26397510636149701</v>
      </c>
      <c r="EK25" s="21">
        <v>-961.56101308779967</v>
      </c>
      <c r="EL25" s="21">
        <v>263.61320113828992</v>
      </c>
    </row>
    <row r="26" spans="1:142" ht="15" customHeight="1" x14ac:dyDescent="0.45">
      <c r="A26" s="11">
        <v>34</v>
      </c>
      <c r="B26" s="12">
        <f t="shared" si="0"/>
        <v>34</v>
      </c>
      <c r="C26" s="12" t="s">
        <v>52</v>
      </c>
      <c r="D26" s="12">
        <v>1</v>
      </c>
      <c r="E26" s="12" t="s">
        <v>53</v>
      </c>
      <c r="F26" s="12">
        <v>0</v>
      </c>
      <c r="G26" s="12">
        <v>1</v>
      </c>
      <c r="H26" s="12" t="s">
        <v>61</v>
      </c>
      <c r="I26" s="12">
        <v>1</v>
      </c>
      <c r="J26" s="12">
        <v>0</v>
      </c>
      <c r="K26" s="12">
        <v>6</v>
      </c>
      <c r="L26" s="12">
        <f t="shared" si="1"/>
        <v>6</v>
      </c>
      <c r="M26" s="12">
        <v>1</v>
      </c>
      <c r="N26" s="12" t="s">
        <v>70</v>
      </c>
      <c r="O26" s="12">
        <v>0</v>
      </c>
      <c r="P26" s="12">
        <v>0</v>
      </c>
      <c r="Q26" s="12">
        <v>1</v>
      </c>
      <c r="R26" s="12">
        <v>0</v>
      </c>
      <c r="S26" s="12">
        <v>0</v>
      </c>
      <c r="T26" s="12">
        <v>2</v>
      </c>
      <c r="U26" s="12" t="s">
        <v>62</v>
      </c>
      <c r="V26" s="12">
        <v>0</v>
      </c>
      <c r="W26" s="12">
        <v>83</v>
      </c>
      <c r="X26" s="12">
        <v>3</v>
      </c>
      <c r="Y26" s="12">
        <v>1</v>
      </c>
      <c r="Z26" s="12" t="s">
        <v>63</v>
      </c>
      <c r="AA26" s="12">
        <v>0</v>
      </c>
      <c r="AB26" s="12">
        <v>0</v>
      </c>
      <c r="AC26" s="12">
        <v>0</v>
      </c>
      <c r="AD26" s="12">
        <v>0</v>
      </c>
      <c r="AE26" s="12">
        <v>0</v>
      </c>
      <c r="AF26" s="12">
        <v>0</v>
      </c>
      <c r="AG26" s="12">
        <v>0</v>
      </c>
      <c r="AH26" s="12">
        <v>1</v>
      </c>
      <c r="AI26" s="12">
        <v>1</v>
      </c>
      <c r="AJ26" s="12" t="s">
        <v>57</v>
      </c>
      <c r="AK26" s="12">
        <v>1</v>
      </c>
      <c r="AL26" s="12">
        <v>0</v>
      </c>
      <c r="AM26" s="12">
        <v>2960</v>
      </c>
      <c r="AN26" s="12">
        <f t="shared" si="2"/>
        <v>2960</v>
      </c>
      <c r="AO26" s="12">
        <v>2</v>
      </c>
      <c r="AP26" s="12" t="s">
        <v>59</v>
      </c>
      <c r="AQ26" s="12">
        <v>0</v>
      </c>
      <c r="AR26" s="12">
        <v>11</v>
      </c>
      <c r="AS26" s="12">
        <v>3</v>
      </c>
      <c r="AT26" s="12">
        <v>3</v>
      </c>
      <c r="AU26" s="12">
        <v>0</v>
      </c>
      <c r="AV26" s="12">
        <v>8</v>
      </c>
      <c r="AW26" s="12">
        <f t="shared" si="3"/>
        <v>8</v>
      </c>
      <c r="AX26" s="12">
        <v>2</v>
      </c>
      <c r="AY26" s="12">
        <v>3</v>
      </c>
      <c r="AZ26" s="12">
        <v>4</v>
      </c>
      <c r="BA26" s="12">
        <f t="shared" si="4"/>
        <v>4</v>
      </c>
      <c r="BB26" s="12">
        <v>2</v>
      </c>
      <c r="BC26" s="12">
        <v>1</v>
      </c>
      <c r="BD26" s="12">
        <f t="shared" si="13"/>
        <v>1</v>
      </c>
      <c r="BE26" s="12">
        <v>3</v>
      </c>
      <c r="BF26" s="12">
        <f t="shared" si="5"/>
        <v>3</v>
      </c>
      <c r="BG26" s="12">
        <f t="shared" si="14"/>
        <v>3</v>
      </c>
      <c r="BH26" s="67">
        <v>1</v>
      </c>
      <c r="BI26" s="67">
        <v>0</v>
      </c>
      <c r="BJ26" s="67">
        <v>0</v>
      </c>
      <c r="BK26" s="67">
        <v>0</v>
      </c>
      <c r="BL26" s="67">
        <v>1</v>
      </c>
      <c r="BM26" s="67">
        <v>0</v>
      </c>
      <c r="BN26" s="67">
        <v>0</v>
      </c>
      <c r="BO26" s="67">
        <v>0</v>
      </c>
      <c r="BP26" s="67">
        <v>0</v>
      </c>
      <c r="BQ26" s="67">
        <v>3</v>
      </c>
      <c r="BR26" s="67">
        <v>0</v>
      </c>
      <c r="BS26" s="67">
        <v>0</v>
      </c>
      <c r="BT26" s="67">
        <v>8</v>
      </c>
      <c r="BU26" s="70">
        <v>0</v>
      </c>
      <c r="BV26" s="29">
        <f t="shared" si="6"/>
        <v>0.7525411671654384</v>
      </c>
      <c r="BW26">
        <f t="shared" si="7"/>
        <v>0.31476636926356072</v>
      </c>
      <c r="BX26">
        <f t="shared" si="8"/>
        <v>0.42149901815843233</v>
      </c>
      <c r="BY26">
        <f t="shared" si="9"/>
        <v>0.49100643357776058</v>
      </c>
      <c r="BZ26">
        <f t="shared" si="10"/>
        <v>0.39380416832397891</v>
      </c>
      <c r="CA26">
        <f t="shared" si="11"/>
        <v>0.32005363845127444</v>
      </c>
      <c r="CB26">
        <f t="shared" si="12"/>
        <v>0.36858985273641137</v>
      </c>
      <c r="CC26" s="28">
        <v>0.01</v>
      </c>
      <c r="CD26">
        <f>_xlfn.PERCENTILE.INC($K:$K,CC26)</f>
        <v>1</v>
      </c>
      <c r="CE26" t="s">
        <v>389</v>
      </c>
      <c r="CF26">
        <f>COUNTIF(BZ:BZ,"&gt;=3")</f>
        <v>0</v>
      </c>
      <c r="CJ26" s="18" t="s">
        <v>14</v>
      </c>
      <c r="CK26" s="21">
        <v>-313.7560576894806</v>
      </c>
      <c r="CL26" s="21">
        <v>300.20312230720401</v>
      </c>
      <c r="CM26" s="21">
        <v>-1.0451458841537551</v>
      </c>
      <c r="CN26" s="22">
        <v>0.2961334287543394</v>
      </c>
      <c r="CO26" s="21">
        <v>-902.64530934345657</v>
      </c>
      <c r="CP26" s="21">
        <v>275.13319396449538</v>
      </c>
      <c r="CR26" s="18" t="s">
        <v>394</v>
      </c>
      <c r="CS26" s="21">
        <v>-76.542034062618768</v>
      </c>
      <c r="CT26" s="21">
        <v>21.279234560249144</v>
      </c>
      <c r="CU26" s="21">
        <v>-3.5970294817654658</v>
      </c>
      <c r="CV26" s="22">
        <v>3.3263600106138295E-4</v>
      </c>
      <c r="CW26" s="21">
        <v>-118.28326617755278</v>
      </c>
      <c r="CX26" s="21">
        <v>-34.800801947684761</v>
      </c>
      <c r="CZ26" s="18" t="s">
        <v>394</v>
      </c>
      <c r="DA26" s="21">
        <v>-76.542034062616949</v>
      </c>
      <c r="DB26" s="21">
        <v>21.279234560249144</v>
      </c>
      <c r="DC26" s="21">
        <v>-3.5970294817653805</v>
      </c>
      <c r="DD26" s="22">
        <v>3.3263600106149809E-4</v>
      </c>
      <c r="DE26" s="21">
        <v>-118.28326617755096</v>
      </c>
      <c r="DF26" s="21">
        <v>-34.800801947682942</v>
      </c>
      <c r="DH26" s="18" t="s">
        <v>16</v>
      </c>
      <c r="DI26" s="21">
        <v>-304.35582654935024</v>
      </c>
      <c r="DJ26" s="21">
        <v>312.01063573785194</v>
      </c>
      <c r="DK26" s="21">
        <v>-0.97546619149568614</v>
      </c>
      <c r="DL26" s="22">
        <v>0.32949439216526299</v>
      </c>
      <c r="DM26" s="21">
        <v>-916.40456039252444</v>
      </c>
      <c r="DN26" s="21">
        <v>307.69290729382396</v>
      </c>
      <c r="DP26" s="18" t="s">
        <v>395</v>
      </c>
      <c r="DQ26" s="21">
        <v>45.736792958332501</v>
      </c>
      <c r="DR26" s="21">
        <v>6.7137733348932525</v>
      </c>
      <c r="DS26" s="21">
        <v>6.8123826463765633</v>
      </c>
      <c r="DT26" s="22">
        <v>1.400819688362905E-11</v>
      </c>
      <c r="DU26" s="21">
        <v>32.567083747879423</v>
      </c>
      <c r="DV26" s="21">
        <v>58.906502168785579</v>
      </c>
      <c r="DX26" s="18" t="s">
        <v>395</v>
      </c>
      <c r="DY26" s="21">
        <v>172.53931195583027</v>
      </c>
      <c r="DZ26" s="21">
        <v>19.810028820802192</v>
      </c>
      <c r="EA26" s="21">
        <v>8.7096951507031388</v>
      </c>
      <c r="EB26" s="22">
        <v>8.1366207905050668E-18</v>
      </c>
      <c r="EC26" s="21">
        <v>133.67999917038975</v>
      </c>
      <c r="ED26" s="21">
        <v>211.39862474127079</v>
      </c>
      <c r="EF26" s="18" t="s">
        <v>16</v>
      </c>
      <c r="EG26" s="21">
        <v>-270.05961872264879</v>
      </c>
      <c r="EH26" s="21">
        <v>305.8606543369786</v>
      </c>
      <c r="EI26" s="21">
        <v>-0.88294984952563915</v>
      </c>
      <c r="EJ26" s="22">
        <v>0.37741208410279592</v>
      </c>
      <c r="EK26" s="21">
        <v>-870.04437814180324</v>
      </c>
      <c r="EL26" s="21">
        <v>329.92514069650565</v>
      </c>
    </row>
    <row r="27" spans="1:142" ht="15" customHeight="1" x14ac:dyDescent="0.45">
      <c r="A27" s="11">
        <v>53</v>
      </c>
      <c r="B27" s="12">
        <f t="shared" si="0"/>
        <v>53</v>
      </c>
      <c r="C27" s="12" t="s">
        <v>59</v>
      </c>
      <c r="D27" s="12">
        <v>0</v>
      </c>
      <c r="E27" s="12" t="s">
        <v>53</v>
      </c>
      <c r="F27" s="12">
        <v>0</v>
      </c>
      <c r="G27" s="12">
        <v>1</v>
      </c>
      <c r="H27" s="12" t="s">
        <v>61</v>
      </c>
      <c r="I27" s="12">
        <v>1</v>
      </c>
      <c r="J27" s="12">
        <v>0</v>
      </c>
      <c r="K27" s="12">
        <v>5</v>
      </c>
      <c r="L27" s="12">
        <f t="shared" si="1"/>
        <v>5</v>
      </c>
      <c r="M27" s="12">
        <v>3</v>
      </c>
      <c r="N27" s="12" t="s">
        <v>66</v>
      </c>
      <c r="O27" s="12">
        <v>0</v>
      </c>
      <c r="P27" s="12">
        <v>1</v>
      </c>
      <c r="Q27" s="12">
        <v>0</v>
      </c>
      <c r="R27" s="12">
        <v>0</v>
      </c>
      <c r="S27" s="12">
        <v>0</v>
      </c>
      <c r="T27" s="12">
        <v>3</v>
      </c>
      <c r="U27" s="12" t="s">
        <v>19</v>
      </c>
      <c r="V27" s="12">
        <v>1</v>
      </c>
      <c r="W27" s="12">
        <v>58</v>
      </c>
      <c r="X27" s="12">
        <v>3</v>
      </c>
      <c r="Y27" s="12">
        <v>5</v>
      </c>
      <c r="Z27" s="12" t="s">
        <v>87</v>
      </c>
      <c r="AA27" s="12">
        <v>0</v>
      </c>
      <c r="AB27" s="12">
        <v>0</v>
      </c>
      <c r="AC27" s="12">
        <v>0</v>
      </c>
      <c r="AD27" s="12">
        <v>1</v>
      </c>
      <c r="AE27" s="12">
        <v>0</v>
      </c>
      <c r="AF27" s="12">
        <v>0</v>
      </c>
      <c r="AG27" s="12">
        <v>0</v>
      </c>
      <c r="AH27" s="12">
        <v>0</v>
      </c>
      <c r="AI27" s="12">
        <v>3</v>
      </c>
      <c r="AJ27" s="12" t="s">
        <v>78</v>
      </c>
      <c r="AK27" s="12">
        <v>0</v>
      </c>
      <c r="AL27" s="12">
        <v>0</v>
      </c>
      <c r="AM27" s="12">
        <v>19094</v>
      </c>
      <c r="AN27" s="12">
        <f t="shared" si="2"/>
        <v>19094</v>
      </c>
      <c r="AO27" s="12">
        <v>4</v>
      </c>
      <c r="AP27" s="12" t="s">
        <v>59</v>
      </c>
      <c r="AQ27" s="12">
        <v>0</v>
      </c>
      <c r="AR27" s="12">
        <v>11</v>
      </c>
      <c r="AS27" s="12">
        <v>3</v>
      </c>
      <c r="AT27" s="12">
        <v>4</v>
      </c>
      <c r="AU27" s="12">
        <v>1</v>
      </c>
      <c r="AV27" s="12">
        <v>26</v>
      </c>
      <c r="AW27" s="12">
        <f t="shared" si="3"/>
        <v>26</v>
      </c>
      <c r="AX27" s="12">
        <v>3</v>
      </c>
      <c r="AY27" s="12">
        <v>2</v>
      </c>
      <c r="AZ27" s="12">
        <v>14</v>
      </c>
      <c r="BA27" s="12">
        <f t="shared" si="4"/>
        <v>14</v>
      </c>
      <c r="BB27" s="12">
        <v>13</v>
      </c>
      <c r="BC27" s="12">
        <v>4</v>
      </c>
      <c r="BD27" s="12">
        <f t="shared" si="13"/>
        <v>4</v>
      </c>
      <c r="BE27" s="12">
        <v>8</v>
      </c>
      <c r="BF27" s="12">
        <f t="shared" si="5"/>
        <v>8</v>
      </c>
      <c r="BG27" s="12">
        <f t="shared" si="14"/>
        <v>40</v>
      </c>
      <c r="BH27" s="67">
        <v>1</v>
      </c>
      <c r="BI27" s="67">
        <v>0</v>
      </c>
      <c r="BJ27" s="67">
        <v>0</v>
      </c>
      <c r="BK27" s="67">
        <v>0</v>
      </c>
      <c r="BL27" s="67">
        <v>1</v>
      </c>
      <c r="BM27" s="67">
        <v>0</v>
      </c>
      <c r="BN27" s="67">
        <v>0</v>
      </c>
      <c r="BO27" s="67">
        <v>0</v>
      </c>
      <c r="BP27" s="67">
        <v>0</v>
      </c>
      <c r="BQ27" s="67">
        <v>8</v>
      </c>
      <c r="BR27" s="67">
        <v>0</v>
      </c>
      <c r="BS27" s="67">
        <v>0</v>
      </c>
      <c r="BT27" s="67">
        <v>26</v>
      </c>
      <c r="BU27" s="70">
        <v>0</v>
      </c>
      <c r="BV27" s="29">
        <f t="shared" si="6"/>
        <v>2.6744231707236796</v>
      </c>
      <c r="BW27">
        <f t="shared" si="7"/>
        <v>1.08652546240644</v>
      </c>
      <c r="BX27">
        <f t="shared" si="8"/>
        <v>1.8918932283614016</v>
      </c>
      <c r="BY27">
        <f t="shared" si="9"/>
        <v>1.1412401909344694</v>
      </c>
      <c r="BZ27">
        <f t="shared" si="10"/>
        <v>0.51715642219916513</v>
      </c>
      <c r="CA27">
        <f t="shared" si="11"/>
        <v>1.7597737514845315</v>
      </c>
      <c r="CB27">
        <f t="shared" si="12"/>
        <v>0.56238451757720498</v>
      </c>
      <c r="CJ27" s="18" t="s">
        <v>15</v>
      </c>
      <c r="CK27" s="21">
        <v>-286.67252329012945</v>
      </c>
      <c r="CL27" s="21">
        <v>318.3805874746821</v>
      </c>
      <c r="CM27" s="21">
        <v>-0.90040829927460919</v>
      </c>
      <c r="CN27" s="22">
        <v>0.36805568027048596</v>
      </c>
      <c r="CO27" s="21">
        <v>-911.21934498259498</v>
      </c>
      <c r="CP27" s="21">
        <v>337.87429840233608</v>
      </c>
      <c r="CR27" s="18" t="s">
        <v>517</v>
      </c>
      <c r="CS27" s="21">
        <v>21.532616295085063</v>
      </c>
      <c r="CT27" s="21">
        <v>7.5351067857283631</v>
      </c>
      <c r="CU27" s="21">
        <v>2.8576391692110126</v>
      </c>
      <c r="CV27" s="22">
        <v>4.3287535168613283E-3</v>
      </c>
      <c r="CW27" s="21">
        <v>6.7517913333896669</v>
      </c>
      <c r="CX27" s="21">
        <v>36.313441256780457</v>
      </c>
      <c r="CZ27" s="18" t="s">
        <v>517</v>
      </c>
      <c r="DA27" s="21">
        <v>21.532616295085973</v>
      </c>
      <c r="DB27" s="21">
        <v>7.5351067857283613</v>
      </c>
      <c r="DC27" s="21">
        <v>2.8576391692111338</v>
      </c>
      <c r="DD27" s="22">
        <v>4.3287535168597732E-3</v>
      </c>
      <c r="DE27" s="21">
        <v>6.7517913333905799</v>
      </c>
      <c r="DF27" s="21">
        <v>36.313441256781367</v>
      </c>
      <c r="DH27" s="18" t="s">
        <v>17</v>
      </c>
      <c r="DI27" s="21">
        <v>2.5362915625505593</v>
      </c>
      <c r="DJ27" s="21">
        <v>27.871129535590956</v>
      </c>
      <c r="DK27" s="21">
        <v>9.1000673629382633E-2</v>
      </c>
      <c r="DL27" s="22">
        <v>0.92750482741577844</v>
      </c>
      <c r="DM27" s="21">
        <v>-52.136490673532904</v>
      </c>
      <c r="DN27" s="21">
        <v>57.209073798634023</v>
      </c>
      <c r="DP27" s="18" t="s">
        <v>518</v>
      </c>
      <c r="DQ27" s="21">
        <v>18.13450305612082</v>
      </c>
      <c r="DR27" s="21">
        <v>11.009501953497205</v>
      </c>
      <c r="DS27" s="21">
        <v>1.6471683399229822</v>
      </c>
      <c r="DT27" s="22">
        <v>9.9739380736703923E-2</v>
      </c>
      <c r="DU27" s="21">
        <v>-3.4616891367123621</v>
      </c>
      <c r="DV27" s="21">
        <v>39.730695248954007</v>
      </c>
      <c r="DX27" s="18" t="s">
        <v>518</v>
      </c>
      <c r="DY27" s="21">
        <v>23.283906498749502</v>
      </c>
      <c r="DZ27" s="21">
        <v>11.196167371050489</v>
      </c>
      <c r="EA27" s="21">
        <v>2.0796318710770461</v>
      </c>
      <c r="EB27" s="22">
        <v>3.7734287905067429E-2</v>
      </c>
      <c r="EC27" s="21">
        <v>1.3215270491583553</v>
      </c>
      <c r="ED27" s="21">
        <v>45.246285948340649</v>
      </c>
      <c r="EF27" s="18" t="s">
        <v>17</v>
      </c>
      <c r="EG27" s="21">
        <v>6.4413228907344546</v>
      </c>
      <c r="EH27" s="21">
        <v>27.461575185124964</v>
      </c>
      <c r="EI27" s="21">
        <v>0.2345576627455627</v>
      </c>
      <c r="EJ27" s="22">
        <v>0.81458572255984119</v>
      </c>
      <c r="EK27" s="21">
        <v>-47.428066149953956</v>
      </c>
      <c r="EL27" s="21">
        <v>60.310711931422865</v>
      </c>
    </row>
    <row r="28" spans="1:142" ht="15" customHeight="1" x14ac:dyDescent="0.45">
      <c r="A28" s="11">
        <v>32</v>
      </c>
      <c r="B28" s="12">
        <f t="shared" si="0"/>
        <v>32</v>
      </c>
      <c r="C28" s="12" t="s">
        <v>52</v>
      </c>
      <c r="D28" s="12">
        <v>1</v>
      </c>
      <c r="E28" s="12" t="s">
        <v>60</v>
      </c>
      <c r="F28" s="12">
        <v>1</v>
      </c>
      <c r="G28" s="12">
        <v>0</v>
      </c>
      <c r="H28" s="12" t="s">
        <v>61</v>
      </c>
      <c r="I28" s="12">
        <v>1</v>
      </c>
      <c r="J28" s="12">
        <v>0</v>
      </c>
      <c r="K28" s="12">
        <v>16</v>
      </c>
      <c r="L28" s="12">
        <f t="shared" si="1"/>
        <v>16</v>
      </c>
      <c r="M28" s="12">
        <v>1</v>
      </c>
      <c r="N28" s="12" t="s">
        <v>55</v>
      </c>
      <c r="O28" s="12">
        <v>1</v>
      </c>
      <c r="P28" s="12">
        <v>0</v>
      </c>
      <c r="Q28" s="12">
        <v>0</v>
      </c>
      <c r="R28" s="12">
        <v>0</v>
      </c>
      <c r="S28" s="12">
        <v>0</v>
      </c>
      <c r="T28" s="12">
        <v>2</v>
      </c>
      <c r="U28" s="12" t="s">
        <v>19</v>
      </c>
      <c r="V28" s="12">
        <v>1</v>
      </c>
      <c r="W28" s="12">
        <v>72</v>
      </c>
      <c r="X28" s="12">
        <v>1</v>
      </c>
      <c r="Y28" s="12">
        <v>1</v>
      </c>
      <c r="Z28" s="12" t="s">
        <v>63</v>
      </c>
      <c r="AA28" s="12">
        <v>0</v>
      </c>
      <c r="AB28" s="12">
        <v>0</v>
      </c>
      <c r="AC28" s="12">
        <v>0</v>
      </c>
      <c r="AD28" s="12">
        <v>0</v>
      </c>
      <c r="AE28" s="12">
        <v>0</v>
      </c>
      <c r="AF28" s="12">
        <v>0</v>
      </c>
      <c r="AG28" s="12">
        <v>0</v>
      </c>
      <c r="AH28" s="12">
        <v>1</v>
      </c>
      <c r="AI28" s="12">
        <v>1</v>
      </c>
      <c r="AJ28" s="12" t="s">
        <v>57</v>
      </c>
      <c r="AK28" s="12">
        <v>1</v>
      </c>
      <c r="AL28" s="12">
        <v>0</v>
      </c>
      <c r="AM28" s="12">
        <v>3919</v>
      </c>
      <c r="AN28" s="12">
        <f t="shared" si="2"/>
        <v>3919</v>
      </c>
      <c r="AO28" s="12">
        <v>1</v>
      </c>
      <c r="AP28" s="12" t="s">
        <v>52</v>
      </c>
      <c r="AQ28" s="12">
        <v>1</v>
      </c>
      <c r="AR28" s="12">
        <v>22</v>
      </c>
      <c r="AS28" s="12">
        <v>4</v>
      </c>
      <c r="AT28" s="12">
        <v>2</v>
      </c>
      <c r="AU28" s="12">
        <v>0</v>
      </c>
      <c r="AV28" s="12">
        <v>10</v>
      </c>
      <c r="AW28" s="12">
        <f t="shared" si="3"/>
        <v>10</v>
      </c>
      <c r="AX28" s="12">
        <v>5</v>
      </c>
      <c r="AY28" s="12">
        <v>3</v>
      </c>
      <c r="AZ28" s="12">
        <v>10</v>
      </c>
      <c r="BA28" s="12">
        <f t="shared" si="4"/>
        <v>10</v>
      </c>
      <c r="BB28" s="12">
        <v>2</v>
      </c>
      <c r="BC28" s="12">
        <v>6</v>
      </c>
      <c r="BD28" s="12">
        <f t="shared" si="13"/>
        <v>6</v>
      </c>
      <c r="BE28" s="12">
        <v>7</v>
      </c>
      <c r="BF28" s="12">
        <f t="shared" si="5"/>
        <v>7</v>
      </c>
      <c r="BG28" s="12">
        <f t="shared" si="14"/>
        <v>7</v>
      </c>
      <c r="BH28" s="67">
        <v>0</v>
      </c>
      <c r="BI28" s="67">
        <v>0</v>
      </c>
      <c r="BJ28" s="67">
        <v>1</v>
      </c>
      <c r="BK28" s="67">
        <v>0</v>
      </c>
      <c r="BL28" s="67">
        <v>0</v>
      </c>
      <c r="BM28" s="67">
        <v>1</v>
      </c>
      <c r="BN28" s="67">
        <v>0</v>
      </c>
      <c r="BO28" s="67">
        <v>0</v>
      </c>
      <c r="BP28" s="67">
        <v>0</v>
      </c>
      <c r="BQ28" s="67">
        <v>7</v>
      </c>
      <c r="BR28" s="67">
        <v>0</v>
      </c>
      <c r="BS28" s="67">
        <v>0</v>
      </c>
      <c r="BT28" s="67">
        <v>10</v>
      </c>
      <c r="BU28" s="70">
        <v>0</v>
      </c>
      <c r="BV28" s="29">
        <f t="shared" si="6"/>
        <v>0.54884346045689336</v>
      </c>
      <c r="BW28">
        <f t="shared" si="7"/>
        <v>0.80626709607243985</v>
      </c>
      <c r="BX28">
        <f t="shared" si="8"/>
        <v>0.1644554352117841</v>
      </c>
      <c r="BY28">
        <f t="shared" si="9"/>
        <v>0.48834154112957734</v>
      </c>
      <c r="BZ28">
        <f t="shared" si="10"/>
        <v>0.83971837042788355</v>
      </c>
      <c r="CA28">
        <f t="shared" si="11"/>
        <v>0.53898283739188557</v>
      </c>
      <c r="CB28">
        <f t="shared" si="12"/>
        <v>1.1830340977862825</v>
      </c>
      <c r="CC28" t="str">
        <f>B1</f>
        <v>Wins_Age</v>
      </c>
      <c r="CE28" t="s">
        <v>521</v>
      </c>
      <c r="CJ28" s="18" t="s">
        <v>16</v>
      </c>
      <c r="CK28" s="21">
        <v>-233.85604399572071</v>
      </c>
      <c r="CL28" s="21">
        <v>311.96052267222814</v>
      </c>
      <c r="CM28" s="21">
        <v>-0.74963345359383649</v>
      </c>
      <c r="CN28" s="22">
        <v>0.45359966796820927</v>
      </c>
      <c r="CO28" s="21">
        <v>-845.8090354574058</v>
      </c>
      <c r="CP28" s="21">
        <v>378.09694746596438</v>
      </c>
      <c r="DH28" s="18" t="s">
        <v>19</v>
      </c>
      <c r="DI28" s="21">
        <v>-83.872171109476085</v>
      </c>
      <c r="DJ28" s="21">
        <v>62.190371184453561</v>
      </c>
      <c r="DK28" s="21">
        <v>-1.3486359626430815</v>
      </c>
      <c r="DL28" s="22">
        <v>0.17766791138075144</v>
      </c>
      <c r="DM28" s="21">
        <v>-205.86653149615987</v>
      </c>
      <c r="DN28" s="21">
        <v>38.122189277207696</v>
      </c>
      <c r="DP28" s="18" t="s">
        <v>651</v>
      </c>
      <c r="DQ28" s="21">
        <v>-36.858283334024236</v>
      </c>
      <c r="DR28" s="21">
        <v>12.277122885127019</v>
      </c>
      <c r="DS28" s="21">
        <v>-3.0021922627064184</v>
      </c>
      <c r="DT28" s="22">
        <v>2.7261162216900853E-3</v>
      </c>
      <c r="DU28" s="21">
        <v>-60.941035353338918</v>
      </c>
      <c r="DV28" s="21">
        <v>-12.775531314709557</v>
      </c>
      <c r="DX28" s="18" t="s">
        <v>394</v>
      </c>
      <c r="DY28" s="21">
        <v>-30.565229958011976</v>
      </c>
      <c r="DZ28" s="21">
        <v>10.492697456637382</v>
      </c>
      <c r="EA28" s="21">
        <v>-2.9130002160385633</v>
      </c>
      <c r="EB28" s="22">
        <v>3.6344553714664678E-3</v>
      </c>
      <c r="EC28" s="21">
        <v>-51.147684235024855</v>
      </c>
      <c r="ED28" s="21">
        <v>-9.9827756809991008</v>
      </c>
      <c r="EF28" s="18" t="s">
        <v>19</v>
      </c>
      <c r="EG28" s="21">
        <v>-84.84672993428353</v>
      </c>
      <c r="EH28" s="21">
        <v>61.15255971964384</v>
      </c>
      <c r="EI28" s="21">
        <v>-1.3874599906081853</v>
      </c>
      <c r="EJ28" s="22">
        <v>0.16551817196285787</v>
      </c>
      <c r="EK28" s="21">
        <v>-204.80529051080185</v>
      </c>
      <c r="EL28" s="21">
        <v>35.111830642234793</v>
      </c>
    </row>
    <row r="29" spans="1:142" ht="15" customHeight="1" x14ac:dyDescent="0.45">
      <c r="A29" s="11">
        <v>42</v>
      </c>
      <c r="B29" s="12">
        <f t="shared" si="0"/>
        <v>42</v>
      </c>
      <c r="C29" s="12" t="s">
        <v>59</v>
      </c>
      <c r="D29" s="12">
        <v>0</v>
      </c>
      <c r="E29" s="12" t="s">
        <v>53</v>
      </c>
      <c r="F29" s="12">
        <v>0</v>
      </c>
      <c r="G29" s="12">
        <v>1</v>
      </c>
      <c r="H29" s="12" t="s">
        <v>54</v>
      </c>
      <c r="I29" s="12">
        <v>0</v>
      </c>
      <c r="J29" s="12">
        <v>1</v>
      </c>
      <c r="K29" s="12">
        <v>8</v>
      </c>
      <c r="L29" s="12">
        <f t="shared" si="1"/>
        <v>8</v>
      </c>
      <c r="M29" s="12">
        <v>4</v>
      </c>
      <c r="N29" s="12" t="s">
        <v>90</v>
      </c>
      <c r="O29" s="12">
        <v>0</v>
      </c>
      <c r="P29" s="12">
        <v>0</v>
      </c>
      <c r="Q29" s="12">
        <v>0</v>
      </c>
      <c r="R29" s="12">
        <v>1</v>
      </c>
      <c r="S29" s="12">
        <v>0</v>
      </c>
      <c r="T29" s="12">
        <v>3</v>
      </c>
      <c r="U29" s="12" t="s">
        <v>62</v>
      </c>
      <c r="V29" s="12">
        <v>0</v>
      </c>
      <c r="W29" s="12">
        <v>48</v>
      </c>
      <c r="X29" s="12">
        <v>3</v>
      </c>
      <c r="Y29" s="12">
        <v>2</v>
      </c>
      <c r="Z29" s="12" t="s">
        <v>56</v>
      </c>
      <c r="AA29" s="12">
        <v>0</v>
      </c>
      <c r="AB29" s="12">
        <v>1</v>
      </c>
      <c r="AC29" s="12">
        <v>0</v>
      </c>
      <c r="AD29" s="12">
        <v>0</v>
      </c>
      <c r="AE29" s="12">
        <v>0</v>
      </c>
      <c r="AF29" s="12">
        <v>0</v>
      </c>
      <c r="AG29" s="12">
        <v>0</v>
      </c>
      <c r="AH29" s="12">
        <v>0</v>
      </c>
      <c r="AI29" s="12">
        <v>2</v>
      </c>
      <c r="AJ29" s="12" t="s">
        <v>64</v>
      </c>
      <c r="AK29" s="12">
        <v>0</v>
      </c>
      <c r="AL29" s="12">
        <v>1</v>
      </c>
      <c r="AM29" s="12">
        <v>6825</v>
      </c>
      <c r="AN29" s="12">
        <f t="shared" si="2"/>
        <v>6825</v>
      </c>
      <c r="AO29" s="12">
        <v>0</v>
      </c>
      <c r="AP29" s="12" t="s">
        <v>59</v>
      </c>
      <c r="AQ29" s="12">
        <v>0</v>
      </c>
      <c r="AR29" s="12">
        <v>11</v>
      </c>
      <c r="AS29" s="12">
        <v>3</v>
      </c>
      <c r="AT29" s="12">
        <v>4</v>
      </c>
      <c r="AU29" s="12">
        <v>1</v>
      </c>
      <c r="AV29" s="12">
        <v>10</v>
      </c>
      <c r="AW29" s="12">
        <f t="shared" si="3"/>
        <v>10</v>
      </c>
      <c r="AX29" s="12">
        <v>2</v>
      </c>
      <c r="AY29" s="12">
        <v>3</v>
      </c>
      <c r="AZ29" s="12">
        <v>9</v>
      </c>
      <c r="BA29" s="12">
        <f t="shared" si="4"/>
        <v>9</v>
      </c>
      <c r="BB29" s="12">
        <v>7</v>
      </c>
      <c r="BC29" s="12">
        <v>4</v>
      </c>
      <c r="BD29" s="12">
        <f t="shared" si="13"/>
        <v>4</v>
      </c>
      <c r="BE29" s="12">
        <v>2</v>
      </c>
      <c r="BF29" s="12">
        <f t="shared" si="5"/>
        <v>2</v>
      </c>
      <c r="BG29" s="12">
        <f t="shared" si="14"/>
        <v>4</v>
      </c>
      <c r="BH29" s="67">
        <v>0</v>
      </c>
      <c r="BI29" s="67">
        <v>1</v>
      </c>
      <c r="BJ29" s="67">
        <v>0</v>
      </c>
      <c r="BK29" s="67">
        <v>0</v>
      </c>
      <c r="BL29" s="67">
        <v>0</v>
      </c>
      <c r="BM29" s="67">
        <v>0</v>
      </c>
      <c r="BN29" s="67">
        <v>1</v>
      </c>
      <c r="BO29" s="67">
        <v>0</v>
      </c>
      <c r="BP29" s="67">
        <v>0</v>
      </c>
      <c r="BQ29" s="67">
        <v>0</v>
      </c>
      <c r="BR29" s="67">
        <v>2</v>
      </c>
      <c r="BS29" s="67">
        <v>0</v>
      </c>
      <c r="BT29" s="67">
        <v>0</v>
      </c>
      <c r="BU29" s="70">
        <v>10</v>
      </c>
      <c r="BV29" s="29">
        <f t="shared" si="6"/>
        <v>6.8409444334589009E-2</v>
      </c>
      <c r="BW29">
        <f t="shared" si="7"/>
        <v>0.59502473559756086</v>
      </c>
      <c r="BX29">
        <f t="shared" si="8"/>
        <v>0.1644554352117841</v>
      </c>
      <c r="BY29">
        <f t="shared" si="9"/>
        <v>0.32511687867835437</v>
      </c>
      <c r="BZ29">
        <f t="shared" si="10"/>
        <v>0.14709966057360641</v>
      </c>
      <c r="CA29">
        <f t="shared" si="11"/>
        <v>0.55566315731117022</v>
      </c>
      <c r="CB29">
        <f t="shared" si="12"/>
        <v>0.56238451757720498</v>
      </c>
      <c r="CC29" s="28">
        <v>0.99</v>
      </c>
      <c r="CD29">
        <f>_xlfn.PERCENTILE.INC($A:$A,CC29)</f>
        <v>58.309999999999945</v>
      </c>
      <c r="CE29" t="s">
        <v>390</v>
      </c>
      <c r="CF29">
        <f>COUNTIFS(CA:CA,"&gt;=2",CA:CA,"&lt;3")</f>
        <v>55</v>
      </c>
      <c r="CJ29" s="18" t="s">
        <v>17</v>
      </c>
      <c r="CK29" s="21">
        <v>3.5625015171401486</v>
      </c>
      <c r="CL29" s="21">
        <v>28.309679501976451</v>
      </c>
      <c r="CM29" s="21">
        <v>0.12584040440625374</v>
      </c>
      <c r="CN29" s="22">
        <v>0.89987607174785</v>
      </c>
      <c r="CO29" s="21">
        <v>-51.970784906918979</v>
      </c>
      <c r="CP29" s="21">
        <v>59.095787941199276</v>
      </c>
      <c r="DH29" s="18" t="s">
        <v>20</v>
      </c>
      <c r="DI29" s="21">
        <v>1.3845081234916936</v>
      </c>
      <c r="DJ29" s="21">
        <v>1.4964430873881118</v>
      </c>
      <c r="DK29" s="21">
        <v>0.92519931774232111</v>
      </c>
      <c r="DL29" s="22">
        <v>0.35501866806120841</v>
      </c>
      <c r="DM29" s="21">
        <v>-1.5509562229025446</v>
      </c>
      <c r="DN29" s="21">
        <v>4.3199724698859319</v>
      </c>
      <c r="DX29" s="18" t="s">
        <v>670</v>
      </c>
      <c r="DY29" s="21">
        <v>-137.59301917339508</v>
      </c>
      <c r="DZ29" s="21">
        <v>19.309737705522434</v>
      </c>
      <c r="EA29" s="21">
        <v>-7.125576808536584</v>
      </c>
      <c r="EB29" s="22">
        <v>1.6263297908217005E-12</v>
      </c>
      <c r="EC29" s="21">
        <v>-175.47096191095267</v>
      </c>
      <c r="ED29" s="21">
        <v>-99.715076435837489</v>
      </c>
      <c r="EF29" s="18" t="s">
        <v>20</v>
      </c>
      <c r="EG29" s="21">
        <v>1.1442723337680718</v>
      </c>
      <c r="EH29" s="21">
        <v>1.4728188409122491</v>
      </c>
      <c r="EI29" s="21">
        <v>0.7769267353066458</v>
      </c>
      <c r="EJ29" s="22">
        <v>0.43733076248859659</v>
      </c>
      <c r="EK29" s="21">
        <v>-1.7448500342209838</v>
      </c>
      <c r="EL29" s="21">
        <v>4.0333947017571274</v>
      </c>
    </row>
    <row r="30" spans="1:142" ht="15" customHeight="1" x14ac:dyDescent="0.45">
      <c r="A30" s="11">
        <v>44</v>
      </c>
      <c r="B30" s="12">
        <f t="shared" si="0"/>
        <v>44</v>
      </c>
      <c r="C30" s="12" t="s">
        <v>59</v>
      </c>
      <c r="D30" s="12">
        <v>0</v>
      </c>
      <c r="E30" s="12" t="s">
        <v>53</v>
      </c>
      <c r="F30" s="12">
        <v>0</v>
      </c>
      <c r="G30" s="12">
        <v>1</v>
      </c>
      <c r="H30" s="12" t="s">
        <v>61</v>
      </c>
      <c r="I30" s="12">
        <v>1</v>
      </c>
      <c r="J30" s="12">
        <v>0</v>
      </c>
      <c r="K30" s="12">
        <v>7</v>
      </c>
      <c r="L30" s="12">
        <f t="shared" si="1"/>
        <v>7</v>
      </c>
      <c r="M30" s="12">
        <v>4</v>
      </c>
      <c r="N30" s="12" t="s">
        <v>70</v>
      </c>
      <c r="O30" s="12">
        <v>0</v>
      </c>
      <c r="P30" s="12">
        <v>0</v>
      </c>
      <c r="Q30" s="12">
        <v>1</v>
      </c>
      <c r="R30" s="12">
        <v>0</v>
      </c>
      <c r="S30" s="12">
        <v>0</v>
      </c>
      <c r="T30" s="12">
        <v>1</v>
      </c>
      <c r="U30" s="12" t="s">
        <v>19</v>
      </c>
      <c r="V30" s="12">
        <v>1</v>
      </c>
      <c r="W30" s="12">
        <v>42</v>
      </c>
      <c r="X30" s="12">
        <v>2</v>
      </c>
      <c r="Y30" s="12">
        <v>3</v>
      </c>
      <c r="Z30" s="12" t="s">
        <v>85</v>
      </c>
      <c r="AA30" s="12">
        <v>1</v>
      </c>
      <c r="AB30" s="12">
        <v>0</v>
      </c>
      <c r="AC30" s="12">
        <v>0</v>
      </c>
      <c r="AD30" s="12">
        <v>0</v>
      </c>
      <c r="AE30" s="12">
        <v>0</v>
      </c>
      <c r="AF30" s="12">
        <v>0</v>
      </c>
      <c r="AG30" s="12">
        <v>0</v>
      </c>
      <c r="AH30" s="12">
        <v>0</v>
      </c>
      <c r="AI30" s="12">
        <v>4</v>
      </c>
      <c r="AJ30" s="12" t="s">
        <v>64</v>
      </c>
      <c r="AK30" s="12">
        <v>0</v>
      </c>
      <c r="AL30" s="12">
        <v>1</v>
      </c>
      <c r="AM30" s="12">
        <v>10248</v>
      </c>
      <c r="AN30" s="12">
        <f t="shared" si="2"/>
        <v>10248</v>
      </c>
      <c r="AO30" s="12">
        <v>3</v>
      </c>
      <c r="AP30" s="12" t="s">
        <v>59</v>
      </c>
      <c r="AQ30" s="12">
        <v>0</v>
      </c>
      <c r="AR30" s="12">
        <v>14</v>
      </c>
      <c r="AS30" s="12">
        <v>3</v>
      </c>
      <c r="AT30" s="12">
        <v>4</v>
      </c>
      <c r="AU30" s="12">
        <v>1</v>
      </c>
      <c r="AV30" s="12">
        <v>24</v>
      </c>
      <c r="AW30" s="12">
        <f t="shared" si="3"/>
        <v>24</v>
      </c>
      <c r="AX30" s="12">
        <v>4</v>
      </c>
      <c r="AY30" s="12">
        <v>3</v>
      </c>
      <c r="AZ30" s="12">
        <v>22</v>
      </c>
      <c r="BA30" s="12">
        <f t="shared" si="4"/>
        <v>22</v>
      </c>
      <c r="BB30" s="12">
        <v>6</v>
      </c>
      <c r="BC30" s="12">
        <v>5</v>
      </c>
      <c r="BD30" s="12">
        <f t="shared" si="13"/>
        <v>5</v>
      </c>
      <c r="BE30" s="12">
        <v>17</v>
      </c>
      <c r="BF30" s="12">
        <f t="shared" si="5"/>
        <v>14</v>
      </c>
      <c r="BG30" s="12">
        <f t="shared" si="14"/>
        <v>42</v>
      </c>
      <c r="BH30" s="67">
        <v>0</v>
      </c>
      <c r="BI30" s="67">
        <v>1</v>
      </c>
      <c r="BJ30" s="67">
        <v>0</v>
      </c>
      <c r="BK30" s="67">
        <v>0</v>
      </c>
      <c r="BL30" s="67">
        <v>0</v>
      </c>
      <c r="BM30" s="67">
        <v>0</v>
      </c>
      <c r="BN30" s="67">
        <v>1</v>
      </c>
      <c r="BO30" s="67">
        <v>0</v>
      </c>
      <c r="BP30" s="67">
        <v>0</v>
      </c>
      <c r="BQ30" s="67">
        <v>14</v>
      </c>
      <c r="BR30" s="67">
        <v>0</v>
      </c>
      <c r="BS30" s="67">
        <v>0</v>
      </c>
      <c r="BT30" s="67">
        <v>24</v>
      </c>
      <c r="BU30" s="70">
        <v>0</v>
      </c>
      <c r="BV30" s="29">
        <f t="shared" si="6"/>
        <v>0.79547644127238815</v>
      </c>
      <c r="BW30">
        <f t="shared" si="7"/>
        <v>3.6088507594124417</v>
      </c>
      <c r="BX30">
        <f t="shared" si="8"/>
        <v>1.6348496454147534</v>
      </c>
      <c r="BY30">
        <f t="shared" si="9"/>
        <v>2.4470374905442531</v>
      </c>
      <c r="BZ30">
        <f t="shared" si="10"/>
        <v>0.27045191444879263</v>
      </c>
      <c r="CA30">
        <f t="shared" si="11"/>
        <v>0.77459235625178136</v>
      </c>
      <c r="CB30">
        <f t="shared" si="12"/>
        <v>0.87270930768174382</v>
      </c>
      <c r="CC30" s="28">
        <v>0.01</v>
      </c>
      <c r="CD30">
        <f>_xlfn.PERCENTILE.INC($A:$A,CC30)</f>
        <v>19</v>
      </c>
      <c r="CE30" t="s">
        <v>389</v>
      </c>
      <c r="CF30">
        <f>COUNTIF(CA:CA,"&gt;=3")</f>
        <v>0</v>
      </c>
      <c r="CJ30" s="18" t="s">
        <v>19</v>
      </c>
      <c r="CK30" s="21">
        <v>-87.655485185536634</v>
      </c>
      <c r="CL30" s="21">
        <v>62.545157882947422</v>
      </c>
      <c r="CM30" s="21">
        <v>-1.4014751605485258</v>
      </c>
      <c r="CN30" s="22">
        <v>0.16129055241389639</v>
      </c>
      <c r="CO30" s="21">
        <v>-210.34631843602349</v>
      </c>
      <c r="CP30" s="21">
        <v>35.035348064950227</v>
      </c>
      <c r="DH30" s="18" t="s">
        <v>21</v>
      </c>
      <c r="DI30" s="21">
        <v>-75.379585693344808</v>
      </c>
      <c r="DJ30" s="21">
        <v>42.763317342801514</v>
      </c>
      <c r="DK30" s="21">
        <v>-1.7627160467716543</v>
      </c>
      <c r="DL30" s="22">
        <v>7.8162425480897746E-2</v>
      </c>
      <c r="DM30" s="21">
        <v>-159.26529738615386</v>
      </c>
      <c r="DN30" s="21">
        <v>8.5061259994642597</v>
      </c>
      <c r="DX30" s="18" t="s">
        <v>671</v>
      </c>
      <c r="DY30" s="21">
        <v>-107.22392061414212</v>
      </c>
      <c r="DZ30" s="21">
        <v>20.852092560796248</v>
      </c>
      <c r="EA30" s="21">
        <v>-5.1421180057359059</v>
      </c>
      <c r="EB30" s="22">
        <v>3.0867367257930373E-7</v>
      </c>
      <c r="EC30" s="21">
        <v>-148.12734354102136</v>
      </c>
      <c r="ED30" s="21">
        <v>-66.320497687262872</v>
      </c>
      <c r="EF30" s="18" t="s">
        <v>21</v>
      </c>
      <c r="EG30" s="21">
        <v>-84.065378688902229</v>
      </c>
      <c r="EH30" s="21">
        <v>42.095169290688126</v>
      </c>
      <c r="EI30" s="21">
        <v>-1.997031490915</v>
      </c>
      <c r="EJ30" s="22">
        <v>4.6011392945829413E-2</v>
      </c>
      <c r="EK30" s="21">
        <v>-166.64043259484225</v>
      </c>
      <c r="EL30" s="21">
        <v>-1.4903247829622188</v>
      </c>
    </row>
    <row r="31" spans="1:142" ht="15" customHeight="1" x14ac:dyDescent="0.45">
      <c r="A31" s="11">
        <v>46</v>
      </c>
      <c r="B31" s="12">
        <f t="shared" si="0"/>
        <v>46</v>
      </c>
      <c r="C31" s="12" t="s">
        <v>59</v>
      </c>
      <c r="D31" s="12">
        <v>0</v>
      </c>
      <c r="E31" s="12" t="s">
        <v>53</v>
      </c>
      <c r="F31" s="12">
        <v>0</v>
      </c>
      <c r="G31" s="12">
        <v>1</v>
      </c>
      <c r="H31" s="12" t="s">
        <v>54</v>
      </c>
      <c r="I31" s="12">
        <v>0</v>
      </c>
      <c r="J31" s="12">
        <v>1</v>
      </c>
      <c r="K31" s="12">
        <v>2</v>
      </c>
      <c r="L31" s="12">
        <f t="shared" si="1"/>
        <v>2</v>
      </c>
      <c r="M31" s="12">
        <v>4</v>
      </c>
      <c r="N31" s="12" t="s">
        <v>90</v>
      </c>
      <c r="O31" s="12">
        <v>0</v>
      </c>
      <c r="P31" s="12">
        <v>0</v>
      </c>
      <c r="Q31" s="12">
        <v>0</v>
      </c>
      <c r="R31" s="12">
        <v>1</v>
      </c>
      <c r="S31" s="12">
        <v>0</v>
      </c>
      <c r="T31" s="12">
        <v>2</v>
      </c>
      <c r="U31" s="12" t="s">
        <v>19</v>
      </c>
      <c r="V31" s="12">
        <v>1</v>
      </c>
      <c r="W31" s="12">
        <v>83</v>
      </c>
      <c r="X31" s="12">
        <v>3</v>
      </c>
      <c r="Y31" s="12">
        <v>5</v>
      </c>
      <c r="Z31" s="12" t="s">
        <v>87</v>
      </c>
      <c r="AA31" s="12">
        <v>0</v>
      </c>
      <c r="AB31" s="12">
        <v>0</v>
      </c>
      <c r="AC31" s="12">
        <v>0</v>
      </c>
      <c r="AD31" s="12">
        <v>1</v>
      </c>
      <c r="AE31" s="12">
        <v>0</v>
      </c>
      <c r="AF31" s="12">
        <v>0</v>
      </c>
      <c r="AG31" s="12">
        <v>0</v>
      </c>
      <c r="AH31" s="12">
        <v>0</v>
      </c>
      <c r="AI31" s="12">
        <v>1</v>
      </c>
      <c r="AJ31" s="12" t="s">
        <v>57</v>
      </c>
      <c r="AK31" s="12">
        <v>1</v>
      </c>
      <c r="AL31" s="12">
        <v>0</v>
      </c>
      <c r="AM31" s="12">
        <v>18947</v>
      </c>
      <c r="AN31" s="12">
        <f t="shared" si="2"/>
        <v>18947</v>
      </c>
      <c r="AO31" s="12">
        <v>3</v>
      </c>
      <c r="AP31" s="12" t="s">
        <v>59</v>
      </c>
      <c r="AQ31" s="12">
        <v>0</v>
      </c>
      <c r="AR31" s="12">
        <v>12</v>
      </c>
      <c r="AS31" s="12">
        <v>3</v>
      </c>
      <c r="AT31" s="12">
        <v>4</v>
      </c>
      <c r="AU31" s="12">
        <v>0</v>
      </c>
      <c r="AV31" s="12">
        <v>22</v>
      </c>
      <c r="AW31" s="12">
        <f t="shared" si="3"/>
        <v>22</v>
      </c>
      <c r="AX31" s="12">
        <v>2</v>
      </c>
      <c r="AY31" s="12">
        <v>2</v>
      </c>
      <c r="AZ31" s="12">
        <v>2</v>
      </c>
      <c r="BA31" s="12">
        <f t="shared" si="4"/>
        <v>2</v>
      </c>
      <c r="BB31" s="12">
        <v>2</v>
      </c>
      <c r="BC31" s="12">
        <v>2</v>
      </c>
      <c r="BD31" s="12">
        <f t="shared" si="13"/>
        <v>2</v>
      </c>
      <c r="BE31" s="12">
        <v>1</v>
      </c>
      <c r="BF31" s="12">
        <f t="shared" si="5"/>
        <v>1</v>
      </c>
      <c r="BG31" s="12">
        <f t="shared" si="14"/>
        <v>5</v>
      </c>
      <c r="BH31" s="67">
        <v>1</v>
      </c>
      <c r="BI31" s="67">
        <v>0</v>
      </c>
      <c r="BJ31" s="67">
        <v>0</v>
      </c>
      <c r="BK31" s="67">
        <v>0</v>
      </c>
      <c r="BL31" s="67">
        <v>1</v>
      </c>
      <c r="BM31" s="67">
        <v>0</v>
      </c>
      <c r="BN31" s="67">
        <v>0</v>
      </c>
      <c r="BO31" s="67">
        <v>0</v>
      </c>
      <c r="BP31" s="67">
        <v>0</v>
      </c>
      <c r="BQ31" s="67">
        <v>0</v>
      </c>
      <c r="BR31" s="67">
        <v>1</v>
      </c>
      <c r="BS31" s="67">
        <v>0</v>
      </c>
      <c r="BT31" s="67">
        <v>0</v>
      </c>
      <c r="BU31" s="70">
        <v>22</v>
      </c>
      <c r="BV31" s="29">
        <f t="shared" si="6"/>
        <v>2.6431994346588663</v>
      </c>
      <c r="BW31">
        <f t="shared" si="7"/>
        <v>0.87528310193156111</v>
      </c>
      <c r="BX31">
        <f t="shared" si="8"/>
        <v>1.3778060624681052</v>
      </c>
      <c r="BY31">
        <f t="shared" si="9"/>
        <v>0.81745575848020657</v>
      </c>
      <c r="BZ31">
        <f t="shared" si="10"/>
        <v>0.88721318382472392</v>
      </c>
      <c r="CA31">
        <f t="shared" si="11"/>
        <v>0.99352155519239249</v>
      </c>
      <c r="CB31">
        <f t="shared" si="12"/>
        <v>5.8265062631872602E-2</v>
      </c>
      <c r="CJ31" s="18" t="s">
        <v>20</v>
      </c>
      <c r="CK31" s="21">
        <v>1.4110883504197034</v>
      </c>
      <c r="CL31" s="21">
        <v>1.5021883588287328</v>
      </c>
      <c r="CM31" s="21">
        <v>0.93935513620937605</v>
      </c>
      <c r="CN31" s="22">
        <v>0.34770819218031968</v>
      </c>
      <c r="CO31" s="21">
        <v>-1.5356584111569944</v>
      </c>
      <c r="CP31" s="21">
        <v>4.3578351119964012</v>
      </c>
      <c r="DH31" s="18" t="s">
        <v>22</v>
      </c>
      <c r="DI31" s="21">
        <v>2907.0754884804428</v>
      </c>
      <c r="DJ31" s="21">
        <v>67.330978824711295</v>
      </c>
      <c r="DK31" s="21">
        <v>43.175898215421611</v>
      </c>
      <c r="DL31" s="22">
        <v>3.16970978320395E-261</v>
      </c>
      <c r="DM31" s="21">
        <v>2774.9971692890731</v>
      </c>
      <c r="DN31" s="21">
        <v>3039.1538076718125</v>
      </c>
      <c r="EF31" s="18" t="s">
        <v>22</v>
      </c>
      <c r="EG31" s="21">
        <v>2803.1074081006827</v>
      </c>
      <c r="EH31" s="21">
        <v>68.348422069277888</v>
      </c>
      <c r="EI31" s="21">
        <v>41.012028123479659</v>
      </c>
      <c r="EJ31" s="22">
        <v>1.4314057799199446E-243</v>
      </c>
      <c r="EK31" s="21">
        <v>2669.0332439660096</v>
      </c>
      <c r="EL31" s="21">
        <v>2937.1815722353558</v>
      </c>
    </row>
    <row r="32" spans="1:142" ht="15" customHeight="1" x14ac:dyDescent="0.45">
      <c r="A32" s="11">
        <v>33</v>
      </c>
      <c r="B32" s="12">
        <f t="shared" si="0"/>
        <v>33</v>
      </c>
      <c r="C32" s="12" t="s">
        <v>59</v>
      </c>
      <c r="D32" s="12">
        <v>0</v>
      </c>
      <c r="E32" s="12" t="s">
        <v>53</v>
      </c>
      <c r="F32" s="12">
        <v>0</v>
      </c>
      <c r="G32" s="12">
        <v>1</v>
      </c>
      <c r="H32" s="12" t="s">
        <v>61</v>
      </c>
      <c r="I32" s="12">
        <v>1</v>
      </c>
      <c r="J32" s="12">
        <v>0</v>
      </c>
      <c r="K32" s="12">
        <v>2</v>
      </c>
      <c r="L32" s="12">
        <f t="shared" si="1"/>
        <v>2</v>
      </c>
      <c r="M32" s="12">
        <v>3</v>
      </c>
      <c r="N32" s="12" t="s">
        <v>70</v>
      </c>
      <c r="O32" s="12">
        <v>0</v>
      </c>
      <c r="P32" s="12">
        <v>0</v>
      </c>
      <c r="Q32" s="12">
        <v>1</v>
      </c>
      <c r="R32" s="12">
        <v>0</v>
      </c>
      <c r="S32" s="12">
        <v>0</v>
      </c>
      <c r="T32" s="12">
        <v>3</v>
      </c>
      <c r="U32" s="12" t="s">
        <v>62</v>
      </c>
      <c r="V32" s="12">
        <v>0</v>
      </c>
      <c r="W32" s="12">
        <v>78</v>
      </c>
      <c r="X32" s="12">
        <v>3</v>
      </c>
      <c r="Y32" s="12">
        <v>1</v>
      </c>
      <c r="Z32" s="12" t="s">
        <v>67</v>
      </c>
      <c r="AA32" s="12">
        <v>0</v>
      </c>
      <c r="AB32" s="12">
        <v>0</v>
      </c>
      <c r="AC32" s="12">
        <v>1</v>
      </c>
      <c r="AD32" s="12">
        <v>0</v>
      </c>
      <c r="AE32" s="12">
        <v>0</v>
      </c>
      <c r="AF32" s="12">
        <v>0</v>
      </c>
      <c r="AG32" s="12">
        <v>0</v>
      </c>
      <c r="AH32" s="12">
        <v>0</v>
      </c>
      <c r="AI32" s="12">
        <v>4</v>
      </c>
      <c r="AJ32" s="12" t="s">
        <v>57</v>
      </c>
      <c r="AK32" s="12">
        <v>1</v>
      </c>
      <c r="AL32" s="12">
        <v>0</v>
      </c>
      <c r="AM32" s="12">
        <v>2496</v>
      </c>
      <c r="AN32" s="12">
        <f t="shared" si="2"/>
        <v>2496</v>
      </c>
      <c r="AO32" s="12">
        <v>4</v>
      </c>
      <c r="AP32" s="12" t="s">
        <v>59</v>
      </c>
      <c r="AQ32" s="12">
        <v>0</v>
      </c>
      <c r="AR32" s="12">
        <v>11</v>
      </c>
      <c r="AS32" s="12">
        <v>3</v>
      </c>
      <c r="AT32" s="12">
        <v>4</v>
      </c>
      <c r="AU32" s="12">
        <v>0</v>
      </c>
      <c r="AV32" s="12">
        <v>7</v>
      </c>
      <c r="AW32" s="12">
        <f t="shared" si="3"/>
        <v>7</v>
      </c>
      <c r="AX32" s="12">
        <v>3</v>
      </c>
      <c r="AY32" s="12">
        <v>3</v>
      </c>
      <c r="AZ32" s="12">
        <v>1</v>
      </c>
      <c r="BA32" s="12">
        <f t="shared" si="4"/>
        <v>1</v>
      </c>
      <c r="BB32" s="12">
        <v>1</v>
      </c>
      <c r="BC32" s="12">
        <v>0</v>
      </c>
      <c r="BD32" s="12">
        <f t="shared" si="13"/>
        <v>0</v>
      </c>
      <c r="BE32" s="12">
        <v>0</v>
      </c>
      <c r="BF32" s="12">
        <f t="shared" si="5"/>
        <v>0</v>
      </c>
      <c r="BG32" s="12">
        <f t="shared" si="14"/>
        <v>0</v>
      </c>
      <c r="BH32" s="67">
        <v>1</v>
      </c>
      <c r="BI32" s="67">
        <v>0</v>
      </c>
      <c r="BJ32" s="67">
        <v>0</v>
      </c>
      <c r="BK32" s="67">
        <v>0</v>
      </c>
      <c r="BL32" s="67">
        <v>1</v>
      </c>
      <c r="BM32" s="67">
        <v>0</v>
      </c>
      <c r="BN32" s="67">
        <v>0</v>
      </c>
      <c r="BO32" s="67">
        <v>0</v>
      </c>
      <c r="BP32" s="67">
        <v>0</v>
      </c>
      <c r="BQ32" s="67">
        <v>0</v>
      </c>
      <c r="BR32" s="67">
        <v>0</v>
      </c>
      <c r="BS32" s="67">
        <v>0</v>
      </c>
      <c r="BT32" s="67">
        <v>7</v>
      </c>
      <c r="BU32" s="70">
        <v>0</v>
      </c>
      <c r="BV32" s="29">
        <f t="shared" si="6"/>
        <v>0.85109772181899923</v>
      </c>
      <c r="BW32">
        <f t="shared" si="7"/>
        <v>1.1555414682655611</v>
      </c>
      <c r="BX32">
        <f t="shared" si="8"/>
        <v>0.55002080963175637</v>
      </c>
      <c r="BY32">
        <f t="shared" si="9"/>
        <v>0.9806804209314296</v>
      </c>
      <c r="BZ32">
        <f t="shared" si="10"/>
        <v>0.88721318382472392</v>
      </c>
      <c r="CA32">
        <f t="shared" si="11"/>
        <v>0.42951823792158</v>
      </c>
      <c r="CB32">
        <f t="shared" si="12"/>
        <v>0.67891464284095016</v>
      </c>
      <c r="CC32" t="str">
        <f>BD1</f>
        <v>Win_YearsSinceLastPromotion</v>
      </c>
      <c r="CE32" t="s">
        <v>521</v>
      </c>
      <c r="CJ32" s="18" t="s">
        <v>21</v>
      </c>
      <c r="CK32" s="21">
        <v>-70.345472833186932</v>
      </c>
      <c r="CL32" s="21">
        <v>43.346853054554302</v>
      </c>
      <c r="CM32" s="21">
        <v>-1.6228507463887503</v>
      </c>
      <c r="CN32" s="22">
        <v>0.10484328205599507</v>
      </c>
      <c r="CO32" s="21">
        <v>-155.37622021738488</v>
      </c>
      <c r="CP32" s="21">
        <v>14.68527455101102</v>
      </c>
      <c r="DH32" s="18" t="s">
        <v>24</v>
      </c>
      <c r="DI32" s="21">
        <v>-3537.0081444879015</v>
      </c>
      <c r="DJ32" s="21">
        <v>176.14887329027101</v>
      </c>
      <c r="DK32" s="21">
        <v>-20.079652389597523</v>
      </c>
      <c r="DL32" s="22">
        <v>3.4845263002571651E-79</v>
      </c>
      <c r="DM32" s="21">
        <v>-3882.5466695136779</v>
      </c>
      <c r="DN32" s="21">
        <v>-3191.4696194621251</v>
      </c>
      <c r="EF32" s="18" t="s">
        <v>24</v>
      </c>
      <c r="EG32" s="21">
        <v>-3935.5465035911366</v>
      </c>
      <c r="EH32" s="21">
        <v>182.40185273425072</v>
      </c>
      <c r="EI32" s="21">
        <v>-21.576241932832815</v>
      </c>
      <c r="EJ32" s="22">
        <v>1.377424175577634E-89</v>
      </c>
      <c r="EK32" s="21">
        <v>-4293.3510468646073</v>
      </c>
      <c r="EL32" s="21">
        <v>-3577.7419603176659</v>
      </c>
    </row>
    <row r="33" spans="1:142" ht="15" customHeight="1" x14ac:dyDescent="0.45">
      <c r="A33" s="11">
        <v>44</v>
      </c>
      <c r="B33" s="12">
        <f t="shared" si="0"/>
        <v>44</v>
      </c>
      <c r="C33" s="12" t="s">
        <v>59</v>
      </c>
      <c r="D33" s="12">
        <v>0</v>
      </c>
      <c r="E33" s="12" t="s">
        <v>53</v>
      </c>
      <c r="F33" s="12">
        <v>0</v>
      </c>
      <c r="G33" s="12">
        <v>1</v>
      </c>
      <c r="H33" s="12" t="s">
        <v>61</v>
      </c>
      <c r="I33" s="12">
        <v>1</v>
      </c>
      <c r="J33" s="12">
        <v>0</v>
      </c>
      <c r="K33" s="12">
        <v>10</v>
      </c>
      <c r="L33" s="12">
        <f t="shared" si="1"/>
        <v>10</v>
      </c>
      <c r="M33" s="12">
        <v>4</v>
      </c>
      <c r="N33" s="12" t="s">
        <v>66</v>
      </c>
      <c r="O33" s="12">
        <v>0</v>
      </c>
      <c r="P33" s="12">
        <v>1</v>
      </c>
      <c r="Q33" s="12">
        <v>0</v>
      </c>
      <c r="R33" s="12">
        <v>0</v>
      </c>
      <c r="S33" s="12">
        <v>0</v>
      </c>
      <c r="T33" s="12">
        <v>4</v>
      </c>
      <c r="U33" s="12" t="s">
        <v>62</v>
      </c>
      <c r="V33" s="12">
        <v>0</v>
      </c>
      <c r="W33" s="12">
        <v>41</v>
      </c>
      <c r="X33" s="12">
        <v>3</v>
      </c>
      <c r="Y33" s="12">
        <v>2</v>
      </c>
      <c r="Z33" s="12" t="s">
        <v>85</v>
      </c>
      <c r="AA33" s="12">
        <v>1</v>
      </c>
      <c r="AB33" s="12">
        <v>0</v>
      </c>
      <c r="AC33" s="12">
        <v>0</v>
      </c>
      <c r="AD33" s="12">
        <v>0</v>
      </c>
      <c r="AE33" s="12">
        <v>0</v>
      </c>
      <c r="AF33" s="12">
        <v>0</v>
      </c>
      <c r="AG33" s="12">
        <v>0</v>
      </c>
      <c r="AH33" s="12">
        <v>0</v>
      </c>
      <c r="AI33" s="12">
        <v>4</v>
      </c>
      <c r="AJ33" s="12" t="s">
        <v>64</v>
      </c>
      <c r="AK33" s="12">
        <v>0</v>
      </c>
      <c r="AL33" s="12">
        <v>1</v>
      </c>
      <c r="AM33" s="12">
        <v>6465</v>
      </c>
      <c r="AN33" s="12">
        <f t="shared" si="2"/>
        <v>6465</v>
      </c>
      <c r="AO33" s="12">
        <v>2</v>
      </c>
      <c r="AP33" s="12" t="s">
        <v>52</v>
      </c>
      <c r="AQ33" s="12">
        <v>1</v>
      </c>
      <c r="AR33" s="12">
        <v>13</v>
      </c>
      <c r="AS33" s="12">
        <v>3</v>
      </c>
      <c r="AT33" s="12">
        <v>4</v>
      </c>
      <c r="AU33" s="12">
        <v>0</v>
      </c>
      <c r="AV33" s="12">
        <v>9</v>
      </c>
      <c r="AW33" s="12">
        <f t="shared" si="3"/>
        <v>9</v>
      </c>
      <c r="AX33" s="12">
        <v>5</v>
      </c>
      <c r="AY33" s="12">
        <v>4</v>
      </c>
      <c r="AZ33" s="12">
        <v>4</v>
      </c>
      <c r="BA33" s="12">
        <f t="shared" si="4"/>
        <v>4</v>
      </c>
      <c r="BB33" s="12">
        <v>2</v>
      </c>
      <c r="BC33" s="12">
        <v>1</v>
      </c>
      <c r="BD33" s="12">
        <f t="shared" si="13"/>
        <v>1</v>
      </c>
      <c r="BE33" s="12">
        <v>3</v>
      </c>
      <c r="BF33" s="12">
        <f t="shared" si="5"/>
        <v>3</v>
      </c>
      <c r="BG33" s="12">
        <f t="shared" si="14"/>
        <v>6</v>
      </c>
      <c r="BH33" s="67">
        <v>0</v>
      </c>
      <c r="BI33" s="67">
        <v>1</v>
      </c>
      <c r="BJ33" s="67">
        <v>0</v>
      </c>
      <c r="BK33" s="67">
        <v>0</v>
      </c>
      <c r="BL33" s="67">
        <v>0</v>
      </c>
      <c r="BM33" s="67">
        <v>0</v>
      </c>
      <c r="BN33" s="67">
        <v>0</v>
      </c>
      <c r="BO33" s="67">
        <v>1</v>
      </c>
      <c r="BP33" s="67">
        <v>0</v>
      </c>
      <c r="BQ33" s="67">
        <v>3</v>
      </c>
      <c r="BR33" s="67">
        <v>0</v>
      </c>
      <c r="BS33" s="67">
        <v>0</v>
      </c>
      <c r="BT33" s="67">
        <v>9</v>
      </c>
      <c r="BU33" s="70">
        <v>0</v>
      </c>
      <c r="BV33" s="29">
        <f t="shared" si="6"/>
        <v>8.0568480690357894E-3</v>
      </c>
      <c r="BW33">
        <f t="shared" si="7"/>
        <v>0.31476636926356072</v>
      </c>
      <c r="BX33">
        <f t="shared" si="8"/>
        <v>0.29297722668510823</v>
      </c>
      <c r="BY33">
        <f t="shared" si="9"/>
        <v>0.49100643357776058</v>
      </c>
      <c r="BZ33">
        <f t="shared" si="10"/>
        <v>9.9604847176766084E-2</v>
      </c>
      <c r="CA33">
        <f t="shared" si="11"/>
        <v>0.77459235625178136</v>
      </c>
      <c r="CB33">
        <f t="shared" si="12"/>
        <v>0.36858985273641137</v>
      </c>
      <c r="CC33" s="28">
        <v>0.99</v>
      </c>
      <c r="CD33">
        <f>_xlfn.PERCENTILE.INC($BC:$BC,CC33)</f>
        <v>14</v>
      </c>
      <c r="CE33" t="s">
        <v>390</v>
      </c>
      <c r="CF33">
        <f>COUNTIFS(CB:CB,"&gt;=2",CB:CB,"&lt;3")</f>
        <v>47</v>
      </c>
      <c r="CJ33" s="18" t="s">
        <v>22</v>
      </c>
      <c r="CK33" s="21">
        <v>2828.5209139763724</v>
      </c>
      <c r="CL33" s="21">
        <v>81.402733214507066</v>
      </c>
      <c r="CM33" s="21">
        <v>34.747247448348475</v>
      </c>
      <c r="CN33" s="22">
        <v>5.7372830785222962E-192</v>
      </c>
      <c r="CO33" s="21">
        <v>2668.8383821064199</v>
      </c>
      <c r="CP33" s="21">
        <v>2988.2034458463249</v>
      </c>
      <c r="DH33" s="18" t="s">
        <v>25</v>
      </c>
      <c r="DI33" s="21">
        <v>-2927.9616646896829</v>
      </c>
      <c r="DJ33" s="21">
        <v>280.8124067042358</v>
      </c>
      <c r="DK33" s="21">
        <v>-10.426753215977183</v>
      </c>
      <c r="DL33" s="22">
        <v>1.3937650088892878E-24</v>
      </c>
      <c r="DM33" s="21">
        <v>-3478.8110854613074</v>
      </c>
      <c r="DN33" s="21">
        <v>-2377.1122439180585</v>
      </c>
      <c r="EF33" s="18" t="s">
        <v>25</v>
      </c>
      <c r="EG33" s="21">
        <v>-3226.9745114803372</v>
      </c>
      <c r="EH33" s="21">
        <v>316.80915989159854</v>
      </c>
      <c r="EI33" s="21">
        <v>-10.18586240557091</v>
      </c>
      <c r="EJ33" s="22">
        <v>1.4353872005846833E-23</v>
      </c>
      <c r="EK33" s="21">
        <v>-3848.4361636545523</v>
      </c>
      <c r="EL33" s="21">
        <v>-2605.5128593061222</v>
      </c>
    </row>
    <row r="34" spans="1:142" ht="15" customHeight="1" x14ac:dyDescent="0.45">
      <c r="A34" s="11">
        <v>30</v>
      </c>
      <c r="B34" s="12">
        <f t="shared" si="0"/>
        <v>30</v>
      </c>
      <c r="C34" s="12" t="s">
        <v>59</v>
      </c>
      <c r="D34" s="12">
        <v>0</v>
      </c>
      <c r="E34" s="12" t="s">
        <v>53</v>
      </c>
      <c r="F34" s="12">
        <v>0</v>
      </c>
      <c r="G34" s="12">
        <v>1</v>
      </c>
      <c r="H34" s="12" t="s">
        <v>61</v>
      </c>
      <c r="I34" s="12">
        <v>1</v>
      </c>
      <c r="J34" s="12">
        <v>0</v>
      </c>
      <c r="K34" s="12">
        <v>9</v>
      </c>
      <c r="L34" s="12">
        <f t="shared" si="1"/>
        <v>9</v>
      </c>
      <c r="M34" s="12">
        <v>2</v>
      </c>
      <c r="N34" s="12" t="s">
        <v>70</v>
      </c>
      <c r="O34" s="12">
        <v>0</v>
      </c>
      <c r="P34" s="12">
        <v>0</v>
      </c>
      <c r="Q34" s="12">
        <v>1</v>
      </c>
      <c r="R34" s="12">
        <v>0</v>
      </c>
      <c r="S34" s="12">
        <v>0</v>
      </c>
      <c r="T34" s="12">
        <v>4</v>
      </c>
      <c r="U34" s="12" t="s">
        <v>62</v>
      </c>
      <c r="V34" s="12">
        <v>0</v>
      </c>
      <c r="W34" s="12">
        <v>83</v>
      </c>
      <c r="X34" s="12">
        <v>2</v>
      </c>
      <c r="Y34" s="12">
        <v>1</v>
      </c>
      <c r="Z34" s="12" t="s">
        <v>67</v>
      </c>
      <c r="AA34" s="12">
        <v>0</v>
      </c>
      <c r="AB34" s="12">
        <v>0</v>
      </c>
      <c r="AC34" s="12">
        <v>1</v>
      </c>
      <c r="AD34" s="12">
        <v>0</v>
      </c>
      <c r="AE34" s="12">
        <v>0</v>
      </c>
      <c r="AF34" s="12">
        <v>0</v>
      </c>
      <c r="AG34" s="12">
        <v>0</v>
      </c>
      <c r="AH34" s="12">
        <v>0</v>
      </c>
      <c r="AI34" s="12">
        <v>3</v>
      </c>
      <c r="AJ34" s="12" t="s">
        <v>57</v>
      </c>
      <c r="AK34" s="12">
        <v>1</v>
      </c>
      <c r="AL34" s="12">
        <v>0</v>
      </c>
      <c r="AM34" s="12">
        <v>2206</v>
      </c>
      <c r="AN34" s="12">
        <f t="shared" si="2"/>
        <v>2206</v>
      </c>
      <c r="AO34" s="12">
        <v>1</v>
      </c>
      <c r="AP34" s="12" t="s">
        <v>59</v>
      </c>
      <c r="AQ34" s="12">
        <v>0</v>
      </c>
      <c r="AR34" s="12">
        <v>13</v>
      </c>
      <c r="AS34" s="12">
        <v>3</v>
      </c>
      <c r="AT34" s="12">
        <v>1</v>
      </c>
      <c r="AU34" s="12">
        <v>0</v>
      </c>
      <c r="AV34" s="12">
        <v>10</v>
      </c>
      <c r="AW34" s="12">
        <f t="shared" si="3"/>
        <v>10</v>
      </c>
      <c r="AX34" s="12">
        <v>5</v>
      </c>
      <c r="AY34" s="12">
        <v>3</v>
      </c>
      <c r="AZ34" s="12">
        <v>10</v>
      </c>
      <c r="BA34" s="12">
        <f t="shared" si="4"/>
        <v>10</v>
      </c>
      <c r="BB34" s="12">
        <v>0</v>
      </c>
      <c r="BC34" s="12">
        <v>1</v>
      </c>
      <c r="BD34" s="12">
        <f t="shared" si="13"/>
        <v>1</v>
      </c>
      <c r="BE34" s="12">
        <v>8</v>
      </c>
      <c r="BF34" s="12">
        <f t="shared" si="5"/>
        <v>8</v>
      </c>
      <c r="BG34" s="12">
        <f t="shared" si="14"/>
        <v>8</v>
      </c>
      <c r="BH34" s="67">
        <v>1</v>
      </c>
      <c r="BI34" s="67">
        <v>0</v>
      </c>
      <c r="BJ34" s="67">
        <v>0</v>
      </c>
      <c r="BK34" s="67">
        <v>0</v>
      </c>
      <c r="BL34" s="67">
        <v>1</v>
      </c>
      <c r="BM34" s="67">
        <v>0</v>
      </c>
      <c r="BN34" s="67">
        <v>0</v>
      </c>
      <c r="BO34" s="67">
        <v>0</v>
      </c>
      <c r="BP34" s="67">
        <v>0</v>
      </c>
      <c r="BQ34" s="67">
        <v>8</v>
      </c>
      <c r="BR34" s="67">
        <v>0</v>
      </c>
      <c r="BS34" s="67">
        <v>0</v>
      </c>
      <c r="BT34" s="67">
        <v>10</v>
      </c>
      <c r="BU34" s="70">
        <v>0</v>
      </c>
      <c r="BV34" s="29">
        <f t="shared" si="6"/>
        <v>0.91269556847747479</v>
      </c>
      <c r="BW34">
        <f t="shared" si="7"/>
        <v>1.08652546240644</v>
      </c>
      <c r="BX34">
        <f t="shared" si="8"/>
        <v>0.1644554352117841</v>
      </c>
      <c r="BY34">
        <f t="shared" si="9"/>
        <v>0.48834154112957734</v>
      </c>
      <c r="BZ34">
        <f t="shared" si="10"/>
        <v>2.3747406698420157E-2</v>
      </c>
      <c r="CA34">
        <f t="shared" si="11"/>
        <v>0.75791203633249671</v>
      </c>
      <c r="CB34">
        <f t="shared" si="12"/>
        <v>0.36858985273641137</v>
      </c>
      <c r="CC34" s="28">
        <v>0.01</v>
      </c>
      <c r="CD34">
        <f>_xlfn.PERCENTILE.INC($BC:$BC,CC34)</f>
        <v>0</v>
      </c>
      <c r="CE34" t="s">
        <v>389</v>
      </c>
      <c r="CF34">
        <f>COUNTIF(CB:CB,"&gt;=3")</f>
        <v>42</v>
      </c>
      <c r="CJ34" s="18" t="s">
        <v>24</v>
      </c>
      <c r="CK34" s="21">
        <v>-3434.5156256345508</v>
      </c>
      <c r="CL34" s="21">
        <v>176.03318293467893</v>
      </c>
      <c r="CM34" s="21">
        <v>-19.510614807828617</v>
      </c>
      <c r="CN34" s="22">
        <v>2.6886717212950738E-75</v>
      </c>
      <c r="CO34" s="21">
        <v>-3779.8286542531837</v>
      </c>
      <c r="CP34" s="21">
        <v>-3089.2025970159179</v>
      </c>
      <c r="DH34" s="18" t="s">
        <v>26</v>
      </c>
      <c r="DI34" s="21">
        <v>-3948.4527774079543</v>
      </c>
      <c r="DJ34" s="21">
        <v>199.62665244150639</v>
      </c>
      <c r="DK34" s="21">
        <v>-19.77918644187509</v>
      </c>
      <c r="DL34" s="22">
        <v>3.8158049554888708E-77</v>
      </c>
      <c r="DM34" s="21">
        <v>-4340.045966464595</v>
      </c>
      <c r="DN34" s="21">
        <v>-3556.8595883513135</v>
      </c>
      <c r="EF34" s="18" t="s">
        <v>26</v>
      </c>
      <c r="EG34" s="21">
        <v>-4537.7857074277636</v>
      </c>
      <c r="EH34" s="21">
        <v>213.89295621167923</v>
      </c>
      <c r="EI34" s="21">
        <v>-21.215218059527601</v>
      </c>
      <c r="EJ34" s="22">
        <v>4.8353021852884782E-87</v>
      </c>
      <c r="EK34" s="21">
        <v>-4957.3640744207514</v>
      </c>
      <c r="EL34" s="21">
        <v>-4118.2073404347757</v>
      </c>
    </row>
    <row r="35" spans="1:142" ht="15" customHeight="1" x14ac:dyDescent="0.45">
      <c r="A35" s="11">
        <v>39</v>
      </c>
      <c r="B35" s="12">
        <f t="shared" si="0"/>
        <v>39</v>
      </c>
      <c r="C35" s="12" t="s">
        <v>52</v>
      </c>
      <c r="D35" s="12">
        <v>1</v>
      </c>
      <c r="E35" s="12" t="s">
        <v>53</v>
      </c>
      <c r="F35" s="12">
        <v>0</v>
      </c>
      <c r="G35" s="12">
        <v>1</v>
      </c>
      <c r="H35" s="12" t="s">
        <v>54</v>
      </c>
      <c r="I35" s="12">
        <v>0</v>
      </c>
      <c r="J35" s="12">
        <v>1</v>
      </c>
      <c r="K35" s="12">
        <v>5</v>
      </c>
      <c r="L35" s="12">
        <f t="shared" si="1"/>
        <v>5</v>
      </c>
      <c r="M35" s="12">
        <v>3</v>
      </c>
      <c r="N35" s="12" t="s">
        <v>91</v>
      </c>
      <c r="O35" s="12">
        <v>0</v>
      </c>
      <c r="P35" s="12">
        <v>0</v>
      </c>
      <c r="Q35" s="12">
        <v>0</v>
      </c>
      <c r="R35" s="12">
        <v>0</v>
      </c>
      <c r="S35" s="12">
        <v>1</v>
      </c>
      <c r="T35" s="12">
        <v>4</v>
      </c>
      <c r="U35" s="12" t="s">
        <v>62</v>
      </c>
      <c r="V35" s="12">
        <v>0</v>
      </c>
      <c r="W35" s="12">
        <v>56</v>
      </c>
      <c r="X35" s="12">
        <v>3</v>
      </c>
      <c r="Y35" s="12">
        <v>2</v>
      </c>
      <c r="Z35" s="12" t="s">
        <v>88</v>
      </c>
      <c r="AA35" s="12">
        <v>0</v>
      </c>
      <c r="AB35" s="12">
        <v>0</v>
      </c>
      <c r="AC35" s="12">
        <v>0</v>
      </c>
      <c r="AD35" s="12">
        <v>0</v>
      </c>
      <c r="AE35" s="12">
        <v>0</v>
      </c>
      <c r="AF35" s="12">
        <v>0</v>
      </c>
      <c r="AG35" s="12">
        <v>1</v>
      </c>
      <c r="AH35" s="12">
        <v>0</v>
      </c>
      <c r="AI35" s="12">
        <v>4</v>
      </c>
      <c r="AJ35" s="12" t="s">
        <v>64</v>
      </c>
      <c r="AK35" s="12">
        <v>0</v>
      </c>
      <c r="AL35" s="12">
        <v>1</v>
      </c>
      <c r="AM35" s="12">
        <v>2086</v>
      </c>
      <c r="AN35" s="12">
        <f t="shared" si="2"/>
        <v>2086</v>
      </c>
      <c r="AO35" s="12">
        <v>3</v>
      </c>
      <c r="AP35" s="12" t="s">
        <v>59</v>
      </c>
      <c r="AQ35" s="12">
        <v>0</v>
      </c>
      <c r="AR35" s="12">
        <v>14</v>
      </c>
      <c r="AS35" s="12">
        <v>3</v>
      </c>
      <c r="AT35" s="12">
        <v>3</v>
      </c>
      <c r="AU35" s="12">
        <v>1</v>
      </c>
      <c r="AV35" s="12">
        <v>19</v>
      </c>
      <c r="AW35" s="12">
        <f t="shared" si="3"/>
        <v>19</v>
      </c>
      <c r="AX35" s="12">
        <v>6</v>
      </c>
      <c r="AY35" s="12">
        <v>4</v>
      </c>
      <c r="AZ35" s="12">
        <v>1</v>
      </c>
      <c r="BA35" s="12">
        <f t="shared" si="4"/>
        <v>1</v>
      </c>
      <c r="BB35" s="12">
        <v>0</v>
      </c>
      <c r="BC35" s="12">
        <v>0</v>
      </c>
      <c r="BD35" s="12">
        <f t="shared" si="13"/>
        <v>0</v>
      </c>
      <c r="BE35" s="12">
        <v>0</v>
      </c>
      <c r="BF35" s="12">
        <f t="shared" si="5"/>
        <v>0</v>
      </c>
      <c r="BG35" s="12">
        <f t="shared" si="14"/>
        <v>0</v>
      </c>
      <c r="BH35" s="67">
        <v>0</v>
      </c>
      <c r="BI35" s="67">
        <v>1</v>
      </c>
      <c r="BJ35" s="67">
        <v>0</v>
      </c>
      <c r="BK35" s="67">
        <v>0</v>
      </c>
      <c r="BL35" s="67">
        <v>0</v>
      </c>
      <c r="BM35" s="67">
        <v>0</v>
      </c>
      <c r="BN35" s="67">
        <v>1</v>
      </c>
      <c r="BO35" s="67">
        <v>0</v>
      </c>
      <c r="BP35" s="67">
        <v>0</v>
      </c>
      <c r="BQ35" s="67">
        <v>0</v>
      </c>
      <c r="BR35" s="67">
        <v>0</v>
      </c>
      <c r="BS35" s="67">
        <v>0</v>
      </c>
      <c r="BT35" s="67">
        <v>0</v>
      </c>
      <c r="BU35" s="70">
        <v>19</v>
      </c>
      <c r="BV35" s="29">
        <f t="shared" si="6"/>
        <v>0.93818433261201639</v>
      </c>
      <c r="BW35">
        <f t="shared" si="7"/>
        <v>1.1555414682655611</v>
      </c>
      <c r="BX35">
        <f t="shared" si="8"/>
        <v>0.99224068804813281</v>
      </c>
      <c r="BY35">
        <f t="shared" si="9"/>
        <v>0.9806804209314296</v>
      </c>
      <c r="BZ35">
        <f t="shared" si="10"/>
        <v>0.51715642219916513</v>
      </c>
      <c r="CA35">
        <f t="shared" si="11"/>
        <v>0.22726935890025346</v>
      </c>
      <c r="CB35">
        <f t="shared" si="12"/>
        <v>0.67891464284095016</v>
      </c>
      <c r="CJ35" s="18" t="s">
        <v>25</v>
      </c>
      <c r="CK35" s="21">
        <v>-2786.0699175117506</v>
      </c>
      <c r="CL35" s="21">
        <v>279.98261342790437</v>
      </c>
      <c r="CM35" s="21">
        <v>-9.9508676035312629</v>
      </c>
      <c r="CN35" s="22">
        <v>1.3460408549490104E-22</v>
      </c>
      <c r="CO35" s="21">
        <v>-3335.2938910351149</v>
      </c>
      <c r="CP35" s="21">
        <v>-2236.8459439883864</v>
      </c>
      <c r="DH35" s="18" t="s">
        <v>27</v>
      </c>
      <c r="DI35" s="21">
        <v>833.5064927554231</v>
      </c>
      <c r="DJ35" s="21">
        <v>190.93960667399907</v>
      </c>
      <c r="DK35" s="21">
        <v>4.365288623321149</v>
      </c>
      <c r="DL35" s="22">
        <v>1.3610117188299666E-5</v>
      </c>
      <c r="DM35" s="21">
        <v>458.95405408944436</v>
      </c>
      <c r="DN35" s="21">
        <v>1208.0589314214019</v>
      </c>
      <c r="EF35" s="18" t="s">
        <v>27</v>
      </c>
      <c r="EG35" s="21">
        <v>469.10438300699025</v>
      </c>
      <c r="EH35" s="21">
        <v>196.86370135935346</v>
      </c>
      <c r="EI35" s="21">
        <v>2.3828891754437289</v>
      </c>
      <c r="EJ35" s="22">
        <v>1.7307613372337303E-2</v>
      </c>
      <c r="EK35" s="21">
        <v>82.931075575548618</v>
      </c>
      <c r="EL35" s="21">
        <v>855.27769043843182</v>
      </c>
    </row>
    <row r="36" spans="1:142" ht="15" customHeight="1" x14ac:dyDescent="0.45">
      <c r="A36" s="11">
        <v>24</v>
      </c>
      <c r="B36" s="12">
        <f t="shared" si="0"/>
        <v>24</v>
      </c>
      <c r="C36" s="12" t="s">
        <v>52</v>
      </c>
      <c r="D36" s="12">
        <v>1</v>
      </c>
      <c r="E36" s="12" t="s">
        <v>53</v>
      </c>
      <c r="F36" s="12">
        <v>0</v>
      </c>
      <c r="G36" s="12">
        <v>1</v>
      </c>
      <c r="H36" s="12" t="s">
        <v>61</v>
      </c>
      <c r="I36" s="12">
        <v>1</v>
      </c>
      <c r="J36" s="12">
        <v>0</v>
      </c>
      <c r="K36" s="12">
        <v>1</v>
      </c>
      <c r="L36" s="12">
        <f t="shared" si="1"/>
        <v>1</v>
      </c>
      <c r="M36" s="12">
        <v>3</v>
      </c>
      <c r="N36" s="12" t="s">
        <v>70</v>
      </c>
      <c r="O36" s="12">
        <v>0</v>
      </c>
      <c r="P36" s="12">
        <v>0</v>
      </c>
      <c r="Q36" s="12">
        <v>1</v>
      </c>
      <c r="R36" s="12">
        <v>0</v>
      </c>
      <c r="S36" s="12">
        <v>0</v>
      </c>
      <c r="T36" s="12">
        <v>2</v>
      </c>
      <c r="U36" s="12" t="s">
        <v>62</v>
      </c>
      <c r="V36" s="12">
        <v>0</v>
      </c>
      <c r="W36" s="12">
        <v>61</v>
      </c>
      <c r="X36" s="12">
        <v>3</v>
      </c>
      <c r="Y36" s="12">
        <v>1</v>
      </c>
      <c r="Z36" s="12" t="s">
        <v>63</v>
      </c>
      <c r="AA36" s="12">
        <v>0</v>
      </c>
      <c r="AB36" s="12">
        <v>0</v>
      </c>
      <c r="AC36" s="12">
        <v>0</v>
      </c>
      <c r="AD36" s="12">
        <v>0</v>
      </c>
      <c r="AE36" s="12">
        <v>0</v>
      </c>
      <c r="AF36" s="12">
        <v>0</v>
      </c>
      <c r="AG36" s="12">
        <v>0</v>
      </c>
      <c r="AH36" s="12">
        <v>1</v>
      </c>
      <c r="AI36" s="12">
        <v>4</v>
      </c>
      <c r="AJ36" s="12" t="s">
        <v>64</v>
      </c>
      <c r="AK36" s="12">
        <v>0</v>
      </c>
      <c r="AL36" s="12">
        <v>1</v>
      </c>
      <c r="AM36" s="12">
        <v>2293</v>
      </c>
      <c r="AN36" s="12">
        <f t="shared" si="2"/>
        <v>2293</v>
      </c>
      <c r="AO36" s="12">
        <v>2</v>
      </c>
      <c r="AP36" s="12" t="s">
        <v>52</v>
      </c>
      <c r="AQ36" s="12">
        <v>1</v>
      </c>
      <c r="AR36" s="12">
        <v>16</v>
      </c>
      <c r="AS36" s="12">
        <v>3</v>
      </c>
      <c r="AT36" s="12">
        <v>1</v>
      </c>
      <c r="AU36" s="12">
        <v>1</v>
      </c>
      <c r="AV36" s="12">
        <v>6</v>
      </c>
      <c r="AW36" s="12">
        <f t="shared" si="3"/>
        <v>6</v>
      </c>
      <c r="AX36" s="12">
        <v>2</v>
      </c>
      <c r="AY36" s="12">
        <v>2</v>
      </c>
      <c r="AZ36" s="12">
        <v>2</v>
      </c>
      <c r="BA36" s="12">
        <f t="shared" si="4"/>
        <v>2</v>
      </c>
      <c r="BB36" s="12">
        <v>0</v>
      </c>
      <c r="BC36" s="12">
        <v>2</v>
      </c>
      <c r="BD36" s="12">
        <f t="shared" si="13"/>
        <v>2</v>
      </c>
      <c r="BE36" s="12">
        <v>0</v>
      </c>
      <c r="BF36" s="12">
        <f t="shared" si="5"/>
        <v>0</v>
      </c>
      <c r="BG36" s="12">
        <f t="shared" si="14"/>
        <v>0</v>
      </c>
      <c r="BH36" s="67">
        <v>0</v>
      </c>
      <c r="BI36" s="67">
        <v>1</v>
      </c>
      <c r="BJ36" s="67">
        <v>0</v>
      </c>
      <c r="BK36" s="67">
        <v>0</v>
      </c>
      <c r="BL36" s="67">
        <v>0</v>
      </c>
      <c r="BM36" s="67">
        <v>0</v>
      </c>
      <c r="BN36" s="67">
        <v>0</v>
      </c>
      <c r="BO36" s="67">
        <v>1</v>
      </c>
      <c r="BP36" s="67">
        <v>0</v>
      </c>
      <c r="BQ36" s="67">
        <v>0</v>
      </c>
      <c r="BR36" s="67">
        <v>0</v>
      </c>
      <c r="BS36" s="67">
        <v>0</v>
      </c>
      <c r="BT36" s="67">
        <v>6</v>
      </c>
      <c r="BU36" s="70">
        <v>0</v>
      </c>
      <c r="BV36" s="29">
        <f t="shared" si="6"/>
        <v>0.89421621447993205</v>
      </c>
      <c r="BW36">
        <f t="shared" si="7"/>
        <v>1.1555414682655611</v>
      </c>
      <c r="BX36">
        <f t="shared" si="8"/>
        <v>0.67854260110508058</v>
      </c>
      <c r="BY36">
        <f t="shared" si="9"/>
        <v>0.81745575848020657</v>
      </c>
      <c r="BZ36">
        <f t="shared" si="10"/>
        <v>1.01056543769991</v>
      </c>
      <c r="CA36">
        <f t="shared" si="11"/>
        <v>1.4146996331543302</v>
      </c>
      <c r="CB36">
        <f t="shared" si="12"/>
        <v>5.8265062631872602E-2</v>
      </c>
      <c r="CJ36" s="18" t="s">
        <v>26</v>
      </c>
      <c r="CK36" s="21">
        <v>-3851.2987786053986</v>
      </c>
      <c r="CL36" s="21">
        <v>196.99552074152143</v>
      </c>
      <c r="CM36" s="21">
        <v>-19.550184512361081</v>
      </c>
      <c r="CN36" s="22">
        <v>1.459777522129365E-75</v>
      </c>
      <c r="CO36" s="21">
        <v>-4237.732283683823</v>
      </c>
      <c r="CP36" s="21">
        <v>-3464.8652735269739</v>
      </c>
      <c r="DH36" s="18" t="s">
        <v>28</v>
      </c>
      <c r="DI36" s="21">
        <v>-3601.0777812131619</v>
      </c>
      <c r="DJ36" s="21">
        <v>172.81416581953602</v>
      </c>
      <c r="DK36" s="21">
        <v>-20.837862244311879</v>
      </c>
      <c r="DL36" s="22">
        <v>2.0947135717697316E-84</v>
      </c>
      <c r="DM36" s="21">
        <v>-3940.0748513927783</v>
      </c>
      <c r="DN36" s="21">
        <v>-3262.0807110335454</v>
      </c>
      <c r="EF36" s="18" t="s">
        <v>28</v>
      </c>
      <c r="EG36" s="21">
        <v>-4020.3490752957841</v>
      </c>
      <c r="EH36" s="21">
        <v>180.3728649120111</v>
      </c>
      <c r="EI36" s="21">
        <v>-22.289101397025423</v>
      </c>
      <c r="EJ36" s="22">
        <v>1.1233677186720896E-94</v>
      </c>
      <c r="EK36" s="21">
        <v>-4374.1734996715504</v>
      </c>
      <c r="EL36" s="21">
        <v>-3666.5246509200178</v>
      </c>
    </row>
    <row r="37" spans="1:142" ht="15" customHeight="1" x14ac:dyDescent="0.45">
      <c r="A37" s="11">
        <v>43</v>
      </c>
      <c r="B37" s="12">
        <f t="shared" si="0"/>
        <v>43</v>
      </c>
      <c r="C37" s="12" t="s">
        <v>59</v>
      </c>
      <c r="D37" s="12">
        <v>0</v>
      </c>
      <c r="E37" s="12" t="s">
        <v>53</v>
      </c>
      <c r="F37" s="12">
        <v>0</v>
      </c>
      <c r="G37" s="12">
        <v>1</v>
      </c>
      <c r="H37" s="12" t="s">
        <v>61</v>
      </c>
      <c r="I37" s="12">
        <v>1</v>
      </c>
      <c r="J37" s="12">
        <v>0</v>
      </c>
      <c r="K37" s="12">
        <v>2</v>
      </c>
      <c r="L37" s="12">
        <f t="shared" si="1"/>
        <v>2</v>
      </c>
      <c r="M37" s="12">
        <v>2</v>
      </c>
      <c r="N37" s="12" t="s">
        <v>70</v>
      </c>
      <c r="O37" s="12">
        <v>0</v>
      </c>
      <c r="P37" s="12">
        <v>0</v>
      </c>
      <c r="Q37" s="12">
        <v>1</v>
      </c>
      <c r="R37" s="12">
        <v>0</v>
      </c>
      <c r="S37" s="12">
        <v>0</v>
      </c>
      <c r="T37" s="12">
        <v>4</v>
      </c>
      <c r="U37" s="12" t="s">
        <v>19</v>
      </c>
      <c r="V37" s="12">
        <v>1</v>
      </c>
      <c r="W37" s="12">
        <v>72</v>
      </c>
      <c r="X37" s="12">
        <v>4</v>
      </c>
      <c r="Y37" s="12">
        <v>1</v>
      </c>
      <c r="Z37" s="12" t="s">
        <v>63</v>
      </c>
      <c r="AA37" s="12">
        <v>0</v>
      </c>
      <c r="AB37" s="12">
        <v>0</v>
      </c>
      <c r="AC37" s="12">
        <v>0</v>
      </c>
      <c r="AD37" s="12">
        <v>0</v>
      </c>
      <c r="AE37" s="12">
        <v>0</v>
      </c>
      <c r="AF37" s="12">
        <v>0</v>
      </c>
      <c r="AG37" s="12">
        <v>0</v>
      </c>
      <c r="AH37" s="12">
        <v>1</v>
      </c>
      <c r="AI37" s="12">
        <v>3</v>
      </c>
      <c r="AJ37" s="12" t="s">
        <v>78</v>
      </c>
      <c r="AK37" s="12">
        <v>0</v>
      </c>
      <c r="AL37" s="12">
        <v>0</v>
      </c>
      <c r="AM37" s="12">
        <v>2645</v>
      </c>
      <c r="AN37" s="12">
        <f t="shared" si="2"/>
        <v>2645</v>
      </c>
      <c r="AO37" s="12">
        <v>1</v>
      </c>
      <c r="AP37" s="12" t="s">
        <v>59</v>
      </c>
      <c r="AQ37" s="12">
        <v>0</v>
      </c>
      <c r="AR37" s="12">
        <v>12</v>
      </c>
      <c r="AS37" s="12">
        <v>3</v>
      </c>
      <c r="AT37" s="12">
        <v>4</v>
      </c>
      <c r="AU37" s="12">
        <v>2</v>
      </c>
      <c r="AV37" s="12">
        <v>6</v>
      </c>
      <c r="AW37" s="12">
        <f t="shared" si="3"/>
        <v>6</v>
      </c>
      <c r="AX37" s="12">
        <v>3</v>
      </c>
      <c r="AY37" s="12">
        <v>2</v>
      </c>
      <c r="AZ37" s="12">
        <v>5</v>
      </c>
      <c r="BA37" s="12">
        <f t="shared" si="4"/>
        <v>5</v>
      </c>
      <c r="BB37" s="12">
        <v>3</v>
      </c>
      <c r="BC37" s="12">
        <v>1</v>
      </c>
      <c r="BD37" s="12">
        <f t="shared" si="13"/>
        <v>1</v>
      </c>
      <c r="BE37" s="12">
        <v>4</v>
      </c>
      <c r="BF37" s="12">
        <f t="shared" si="5"/>
        <v>4</v>
      </c>
      <c r="BG37" s="12">
        <f t="shared" si="14"/>
        <v>4</v>
      </c>
      <c r="BH37" s="67">
        <v>1</v>
      </c>
      <c r="BI37" s="67">
        <v>0</v>
      </c>
      <c r="BJ37" s="67">
        <v>0</v>
      </c>
      <c r="BK37" s="67">
        <v>0</v>
      </c>
      <c r="BL37" s="67">
        <v>1</v>
      </c>
      <c r="BM37" s="67">
        <v>0</v>
      </c>
      <c r="BN37" s="67">
        <v>0</v>
      </c>
      <c r="BO37" s="67">
        <v>0</v>
      </c>
      <c r="BP37" s="67">
        <v>0</v>
      </c>
      <c r="BQ37" s="67">
        <v>4</v>
      </c>
      <c r="BR37" s="67">
        <v>0</v>
      </c>
      <c r="BS37" s="67">
        <v>0</v>
      </c>
      <c r="BT37" s="67">
        <v>6</v>
      </c>
      <c r="BU37" s="70">
        <v>0</v>
      </c>
      <c r="BV37" s="29">
        <f t="shared" si="6"/>
        <v>0.81944917301861009</v>
      </c>
      <c r="BW37">
        <f t="shared" si="7"/>
        <v>3.4508002929560584E-2</v>
      </c>
      <c r="BX37">
        <f t="shared" si="8"/>
        <v>0.67854260110508058</v>
      </c>
      <c r="BY37">
        <f t="shared" si="9"/>
        <v>0.32778177112653761</v>
      </c>
      <c r="BZ37">
        <f t="shared" si="10"/>
        <v>0.88721318382472392</v>
      </c>
      <c r="CA37">
        <f t="shared" si="11"/>
        <v>0.66512775678147573</v>
      </c>
      <c r="CB37">
        <f t="shared" si="12"/>
        <v>0.36858985273641137</v>
      </c>
      <c r="CJ37" s="18" t="s">
        <v>27</v>
      </c>
      <c r="CK37" s="21">
        <v>890.62757243156648</v>
      </c>
      <c r="CL37" s="21">
        <v>190.32685727199879</v>
      </c>
      <c r="CM37" s="21">
        <v>4.6794634514390054</v>
      </c>
      <c r="CN37" s="22">
        <v>3.1505481900078917E-6</v>
      </c>
      <c r="CO37" s="21">
        <v>517.27555767848457</v>
      </c>
      <c r="CP37" s="21">
        <v>1263.9795871846484</v>
      </c>
      <c r="DH37" s="18" t="s">
        <v>30</v>
      </c>
      <c r="DI37" s="21">
        <v>-3353.6314753328916</v>
      </c>
      <c r="DJ37" s="21">
        <v>327.8480972985692</v>
      </c>
      <c r="DK37" s="21">
        <v>-10.229223542751754</v>
      </c>
      <c r="DL37" s="22">
        <v>9.4654338273776488E-24</v>
      </c>
      <c r="DM37" s="21">
        <v>-3996.7474138968405</v>
      </c>
      <c r="DN37" s="21">
        <v>-2710.5155367689426</v>
      </c>
      <c r="EF37" s="18" t="s">
        <v>30</v>
      </c>
      <c r="EG37" s="21">
        <v>-3694.3000349983922</v>
      </c>
      <c r="EH37" s="21">
        <v>380.72686765900346</v>
      </c>
      <c r="EI37" s="21">
        <v>-9.7032816667595352</v>
      </c>
      <c r="EJ37" s="22">
        <v>1.334547743464972E-21</v>
      </c>
      <c r="EK37" s="21">
        <v>-4441.1444390031156</v>
      </c>
      <c r="EL37" s="21">
        <v>-2947.4556309936688</v>
      </c>
    </row>
    <row r="38" spans="1:142" ht="15" customHeight="1" x14ac:dyDescent="0.45">
      <c r="A38" s="11">
        <v>50</v>
      </c>
      <c r="B38" s="12">
        <f t="shared" si="0"/>
        <v>50</v>
      </c>
      <c r="C38" s="12" t="s">
        <v>52</v>
      </c>
      <c r="D38" s="12">
        <v>1</v>
      </c>
      <c r="E38" s="12" t="s">
        <v>53</v>
      </c>
      <c r="F38" s="12">
        <v>0</v>
      </c>
      <c r="G38" s="12">
        <v>1</v>
      </c>
      <c r="H38" s="12" t="s">
        <v>54</v>
      </c>
      <c r="I38" s="12">
        <v>0</v>
      </c>
      <c r="J38" s="12">
        <v>1</v>
      </c>
      <c r="K38" s="12">
        <v>3</v>
      </c>
      <c r="L38" s="12">
        <f t="shared" si="1"/>
        <v>3</v>
      </c>
      <c r="M38" s="12">
        <v>2</v>
      </c>
      <c r="N38" s="12" t="s">
        <v>90</v>
      </c>
      <c r="O38" s="12">
        <v>0</v>
      </c>
      <c r="P38" s="12">
        <v>0</v>
      </c>
      <c r="Q38" s="12">
        <v>0</v>
      </c>
      <c r="R38" s="12">
        <v>1</v>
      </c>
      <c r="S38" s="12">
        <v>0</v>
      </c>
      <c r="T38" s="12">
        <v>1</v>
      </c>
      <c r="U38" s="12" t="s">
        <v>62</v>
      </c>
      <c r="V38" s="12">
        <v>0</v>
      </c>
      <c r="W38" s="12">
        <v>86</v>
      </c>
      <c r="X38" s="12">
        <v>2</v>
      </c>
      <c r="Y38" s="12">
        <v>1</v>
      </c>
      <c r="Z38" s="12" t="s">
        <v>88</v>
      </c>
      <c r="AA38" s="12">
        <v>0</v>
      </c>
      <c r="AB38" s="12">
        <v>0</v>
      </c>
      <c r="AC38" s="12">
        <v>0</v>
      </c>
      <c r="AD38" s="12">
        <v>0</v>
      </c>
      <c r="AE38" s="12">
        <v>0</v>
      </c>
      <c r="AF38" s="12">
        <v>0</v>
      </c>
      <c r="AG38" s="12">
        <v>1</v>
      </c>
      <c r="AH38" s="12">
        <v>0</v>
      </c>
      <c r="AI38" s="12">
        <v>3</v>
      </c>
      <c r="AJ38" s="12" t="s">
        <v>64</v>
      </c>
      <c r="AK38" s="12">
        <v>0</v>
      </c>
      <c r="AL38" s="12">
        <v>1</v>
      </c>
      <c r="AM38" s="12">
        <v>2683</v>
      </c>
      <c r="AN38" s="12">
        <f t="shared" si="2"/>
        <v>2683</v>
      </c>
      <c r="AO38" s="12">
        <v>1</v>
      </c>
      <c r="AP38" s="12" t="s">
        <v>52</v>
      </c>
      <c r="AQ38" s="12">
        <v>1</v>
      </c>
      <c r="AR38" s="12">
        <v>14</v>
      </c>
      <c r="AS38" s="12">
        <v>3</v>
      </c>
      <c r="AT38" s="12">
        <v>3</v>
      </c>
      <c r="AU38" s="12">
        <v>0</v>
      </c>
      <c r="AV38" s="12">
        <v>3</v>
      </c>
      <c r="AW38" s="12">
        <f t="shared" si="3"/>
        <v>3</v>
      </c>
      <c r="AX38" s="12">
        <v>2</v>
      </c>
      <c r="AY38" s="12">
        <v>3</v>
      </c>
      <c r="AZ38" s="12">
        <v>3</v>
      </c>
      <c r="BA38" s="12">
        <f t="shared" si="4"/>
        <v>3</v>
      </c>
      <c r="BB38" s="12">
        <v>2</v>
      </c>
      <c r="BC38" s="12">
        <v>0</v>
      </c>
      <c r="BD38" s="12">
        <f t="shared" si="13"/>
        <v>0</v>
      </c>
      <c r="BE38" s="12">
        <v>2</v>
      </c>
      <c r="BF38" s="12">
        <f t="shared" si="5"/>
        <v>2</v>
      </c>
      <c r="BG38" s="12">
        <f t="shared" si="14"/>
        <v>2</v>
      </c>
      <c r="BH38" s="67">
        <v>0</v>
      </c>
      <c r="BI38" s="67">
        <v>1</v>
      </c>
      <c r="BJ38" s="67">
        <v>0</v>
      </c>
      <c r="BK38" s="67">
        <v>0</v>
      </c>
      <c r="BL38" s="67">
        <v>0</v>
      </c>
      <c r="BM38" s="67">
        <v>0</v>
      </c>
      <c r="BN38" s="67">
        <v>0</v>
      </c>
      <c r="BO38" s="67">
        <v>1</v>
      </c>
      <c r="BP38" s="67">
        <v>0</v>
      </c>
      <c r="BQ38" s="67">
        <v>0</v>
      </c>
      <c r="BR38" s="67">
        <v>2</v>
      </c>
      <c r="BS38" s="67">
        <v>0</v>
      </c>
      <c r="BT38" s="67">
        <v>0</v>
      </c>
      <c r="BU38" s="70">
        <v>3</v>
      </c>
      <c r="BV38" s="29">
        <f t="shared" si="6"/>
        <v>0.81137773104267186</v>
      </c>
      <c r="BW38">
        <f t="shared" si="7"/>
        <v>0.59502473559756086</v>
      </c>
      <c r="BX38">
        <f t="shared" si="8"/>
        <v>1.0641079755250529</v>
      </c>
      <c r="BY38">
        <f t="shared" si="9"/>
        <v>0.65423109602898355</v>
      </c>
      <c r="BZ38">
        <f t="shared" si="10"/>
        <v>0.76386092994953758</v>
      </c>
      <c r="CA38">
        <f t="shared" si="11"/>
        <v>1.4313799530736149</v>
      </c>
      <c r="CB38">
        <f t="shared" si="12"/>
        <v>0.67891464284095016</v>
      </c>
      <c r="CJ38" s="18" t="s">
        <v>28</v>
      </c>
      <c r="CK38" s="21">
        <v>-3505.093902431699</v>
      </c>
      <c r="CL38" s="21">
        <v>172.4131743668633</v>
      </c>
      <c r="CM38" s="21">
        <v>-20.329617590437191</v>
      </c>
      <c r="CN38" s="22">
        <v>7.55428901990281E-81</v>
      </c>
      <c r="CO38" s="21">
        <v>-3843.3057919279336</v>
      </c>
      <c r="CP38" s="21">
        <v>-3166.8820129354644</v>
      </c>
      <c r="DH38" s="18" t="s">
        <v>31</v>
      </c>
      <c r="DI38" s="21">
        <v>-3862.6381513966444</v>
      </c>
      <c r="DJ38" s="21">
        <v>200.00018161244034</v>
      </c>
      <c r="DK38" s="21">
        <v>-19.313173219420626</v>
      </c>
      <c r="DL38" s="22">
        <v>5.1295887816814051E-74</v>
      </c>
      <c r="DM38" s="21">
        <v>-4254.9640656553702</v>
      </c>
      <c r="DN38" s="21">
        <v>-3470.3122371379186</v>
      </c>
      <c r="EF38" s="18" t="s">
        <v>31</v>
      </c>
      <c r="EG38" s="21">
        <v>-4453.7861657011745</v>
      </c>
      <c r="EH38" s="21">
        <v>214.2980322887687</v>
      </c>
      <c r="EI38" s="21">
        <v>-20.783140741580183</v>
      </c>
      <c r="EJ38" s="22">
        <v>5.0282102903843809E-84</v>
      </c>
      <c r="EK38" s="21">
        <v>-4874.15914118405</v>
      </c>
      <c r="EL38" s="21">
        <v>-4033.4131902182985</v>
      </c>
    </row>
    <row r="39" spans="1:142" ht="15" customHeight="1" x14ac:dyDescent="0.45">
      <c r="A39" s="11">
        <v>35</v>
      </c>
      <c r="B39" s="12">
        <f t="shared" si="0"/>
        <v>35</v>
      </c>
      <c r="C39" s="12" t="s">
        <v>59</v>
      </c>
      <c r="D39" s="12">
        <v>0</v>
      </c>
      <c r="E39" s="12" t="s">
        <v>53</v>
      </c>
      <c r="F39" s="12">
        <v>0</v>
      </c>
      <c r="G39" s="12">
        <v>1</v>
      </c>
      <c r="H39" s="12" t="s">
        <v>54</v>
      </c>
      <c r="I39" s="12">
        <v>0</v>
      </c>
      <c r="J39" s="12">
        <v>1</v>
      </c>
      <c r="K39" s="12">
        <v>2</v>
      </c>
      <c r="L39" s="12">
        <f t="shared" si="1"/>
        <v>2</v>
      </c>
      <c r="M39" s="12">
        <v>3</v>
      </c>
      <c r="N39" s="12" t="s">
        <v>90</v>
      </c>
      <c r="O39" s="12">
        <v>0</v>
      </c>
      <c r="P39" s="12">
        <v>0</v>
      </c>
      <c r="Q39" s="12">
        <v>0</v>
      </c>
      <c r="R39" s="12">
        <v>1</v>
      </c>
      <c r="S39" s="12">
        <v>0</v>
      </c>
      <c r="T39" s="12">
        <v>4</v>
      </c>
      <c r="U39" s="12" t="s">
        <v>19</v>
      </c>
      <c r="V39" s="12">
        <v>1</v>
      </c>
      <c r="W39" s="12">
        <v>97</v>
      </c>
      <c r="X39" s="12">
        <v>3</v>
      </c>
      <c r="Y39" s="12">
        <v>1</v>
      </c>
      <c r="Z39" s="12" t="s">
        <v>88</v>
      </c>
      <c r="AA39" s="12">
        <v>0</v>
      </c>
      <c r="AB39" s="12">
        <v>0</v>
      </c>
      <c r="AC39" s="12">
        <v>0</v>
      </c>
      <c r="AD39" s="12">
        <v>0</v>
      </c>
      <c r="AE39" s="12">
        <v>0</v>
      </c>
      <c r="AF39" s="12">
        <v>0</v>
      </c>
      <c r="AG39" s="12">
        <v>1</v>
      </c>
      <c r="AH39" s="12">
        <v>0</v>
      </c>
      <c r="AI39" s="12">
        <v>4</v>
      </c>
      <c r="AJ39" s="12" t="s">
        <v>64</v>
      </c>
      <c r="AK39" s="12">
        <v>0</v>
      </c>
      <c r="AL39" s="12">
        <v>1</v>
      </c>
      <c r="AM39" s="12">
        <v>2014</v>
      </c>
      <c r="AN39" s="12">
        <f t="shared" si="2"/>
        <v>2014</v>
      </c>
      <c r="AO39" s="12">
        <v>1</v>
      </c>
      <c r="AP39" s="12" t="s">
        <v>59</v>
      </c>
      <c r="AQ39" s="12">
        <v>0</v>
      </c>
      <c r="AR39" s="12">
        <v>13</v>
      </c>
      <c r="AS39" s="12">
        <v>3</v>
      </c>
      <c r="AT39" s="12">
        <v>1</v>
      </c>
      <c r="AU39" s="12">
        <v>0</v>
      </c>
      <c r="AV39" s="12">
        <v>2</v>
      </c>
      <c r="AW39" s="12">
        <f t="shared" si="3"/>
        <v>2</v>
      </c>
      <c r="AX39" s="12">
        <v>3</v>
      </c>
      <c r="AY39" s="12">
        <v>3</v>
      </c>
      <c r="AZ39" s="12">
        <v>2</v>
      </c>
      <c r="BA39" s="12">
        <f t="shared" si="4"/>
        <v>2</v>
      </c>
      <c r="BB39" s="12">
        <v>2</v>
      </c>
      <c r="BC39" s="12">
        <v>2</v>
      </c>
      <c r="BD39" s="12">
        <f t="shared" si="13"/>
        <v>2</v>
      </c>
      <c r="BE39" s="12">
        <v>2</v>
      </c>
      <c r="BF39" s="12">
        <f t="shared" si="5"/>
        <v>2</v>
      </c>
      <c r="BG39" s="12">
        <f t="shared" si="14"/>
        <v>2</v>
      </c>
      <c r="BH39" s="67">
        <v>0</v>
      </c>
      <c r="BI39" s="67">
        <v>1</v>
      </c>
      <c r="BJ39" s="67">
        <v>0</v>
      </c>
      <c r="BK39" s="67">
        <v>0</v>
      </c>
      <c r="BL39" s="67">
        <v>0</v>
      </c>
      <c r="BM39" s="67">
        <v>0</v>
      </c>
      <c r="BN39" s="67">
        <v>1</v>
      </c>
      <c r="BO39" s="67">
        <v>0</v>
      </c>
      <c r="BP39" s="67">
        <v>0</v>
      </c>
      <c r="BQ39" s="67">
        <v>0</v>
      </c>
      <c r="BR39" s="67">
        <v>2</v>
      </c>
      <c r="BS39" s="67">
        <v>0</v>
      </c>
      <c r="BT39" s="67">
        <v>0</v>
      </c>
      <c r="BU39" s="70">
        <v>2</v>
      </c>
      <c r="BV39" s="29">
        <f t="shared" si="6"/>
        <v>0.95347759109274133</v>
      </c>
      <c r="BW39">
        <f t="shared" si="7"/>
        <v>0.59502473559756086</v>
      </c>
      <c r="BX39">
        <f t="shared" si="8"/>
        <v>1.192629766998377</v>
      </c>
      <c r="BY39">
        <f t="shared" si="9"/>
        <v>0.81745575848020657</v>
      </c>
      <c r="BZ39">
        <f t="shared" si="10"/>
        <v>0.88721318382472392</v>
      </c>
      <c r="CA39">
        <f t="shared" si="11"/>
        <v>0.21058903898096887</v>
      </c>
      <c r="CB39">
        <f t="shared" si="12"/>
        <v>5.8265062631872602E-2</v>
      </c>
      <c r="CJ39" s="18" t="s">
        <v>30</v>
      </c>
      <c r="CK39" s="21">
        <v>-3275.1586421050461</v>
      </c>
      <c r="CL39" s="21">
        <v>319.33324643689667</v>
      </c>
      <c r="CM39" s="21">
        <v>-10.256240709819886</v>
      </c>
      <c r="CN39" s="22">
        <v>7.3618799349093221E-24</v>
      </c>
      <c r="CO39" s="21">
        <v>-3901.5742339123203</v>
      </c>
      <c r="CP39" s="21">
        <v>-2648.7430502977718</v>
      </c>
      <c r="DH39" s="18" t="s">
        <v>32</v>
      </c>
      <c r="DI39" s="21">
        <v>-3.4195542138977544</v>
      </c>
      <c r="DJ39" s="21">
        <v>27.555528812847658</v>
      </c>
      <c r="DK39" s="21">
        <v>-0.12409684594052865</v>
      </c>
      <c r="DL39" s="22">
        <v>0.90125607261605523</v>
      </c>
      <c r="DM39" s="21">
        <v>-57.473245301699592</v>
      </c>
      <c r="DN39" s="21">
        <v>50.634136873904083</v>
      </c>
      <c r="EF39" s="18" t="s">
        <v>32</v>
      </c>
      <c r="EG39" s="21">
        <v>-1.4713795630198661</v>
      </c>
      <c r="EH39" s="21">
        <v>27.101862662946594</v>
      </c>
      <c r="EI39" s="21">
        <v>-5.4290717258763249E-2</v>
      </c>
      <c r="EJ39" s="22">
        <v>0.95671114464278351</v>
      </c>
      <c r="EK39" s="21">
        <v>-54.635146523787313</v>
      </c>
      <c r="EL39" s="21">
        <v>51.692387397747581</v>
      </c>
    </row>
    <row r="40" spans="1:142" ht="15" customHeight="1" x14ac:dyDescent="0.45">
      <c r="A40" s="11">
        <v>36</v>
      </c>
      <c r="B40" s="12">
        <f t="shared" si="0"/>
        <v>36</v>
      </c>
      <c r="C40" s="12" t="s">
        <v>59</v>
      </c>
      <c r="D40" s="12">
        <v>0</v>
      </c>
      <c r="E40" s="12" t="s">
        <v>53</v>
      </c>
      <c r="F40" s="12">
        <v>0</v>
      </c>
      <c r="G40" s="12">
        <v>1</v>
      </c>
      <c r="H40" s="12" t="s">
        <v>61</v>
      </c>
      <c r="I40" s="12">
        <v>1</v>
      </c>
      <c r="J40" s="12">
        <v>0</v>
      </c>
      <c r="K40" s="12">
        <v>5</v>
      </c>
      <c r="L40" s="12">
        <f t="shared" si="1"/>
        <v>5</v>
      </c>
      <c r="M40" s="12">
        <v>4</v>
      </c>
      <c r="N40" s="12" t="s">
        <v>55</v>
      </c>
      <c r="O40" s="12">
        <v>1</v>
      </c>
      <c r="P40" s="12">
        <v>0</v>
      </c>
      <c r="Q40" s="12">
        <v>0</v>
      </c>
      <c r="R40" s="12">
        <v>0</v>
      </c>
      <c r="S40" s="12">
        <v>0</v>
      </c>
      <c r="T40" s="12">
        <v>2</v>
      </c>
      <c r="U40" s="12" t="s">
        <v>19</v>
      </c>
      <c r="V40" s="12">
        <v>1</v>
      </c>
      <c r="W40" s="12">
        <v>82</v>
      </c>
      <c r="X40" s="12">
        <v>2</v>
      </c>
      <c r="Y40" s="12">
        <v>1</v>
      </c>
      <c r="Z40" s="12" t="s">
        <v>63</v>
      </c>
      <c r="AA40" s="12">
        <v>0</v>
      </c>
      <c r="AB40" s="12">
        <v>0</v>
      </c>
      <c r="AC40" s="12">
        <v>0</v>
      </c>
      <c r="AD40" s="12">
        <v>0</v>
      </c>
      <c r="AE40" s="12">
        <v>0</v>
      </c>
      <c r="AF40" s="12">
        <v>0</v>
      </c>
      <c r="AG40" s="12">
        <v>0</v>
      </c>
      <c r="AH40" s="12">
        <v>1</v>
      </c>
      <c r="AI40" s="12">
        <v>1</v>
      </c>
      <c r="AJ40" s="12" t="s">
        <v>64</v>
      </c>
      <c r="AK40" s="12">
        <v>0</v>
      </c>
      <c r="AL40" s="12">
        <v>1</v>
      </c>
      <c r="AM40" s="12">
        <v>3419</v>
      </c>
      <c r="AN40" s="12">
        <f t="shared" si="2"/>
        <v>3419</v>
      </c>
      <c r="AO40" s="12">
        <v>9</v>
      </c>
      <c r="AP40" s="12" t="s">
        <v>52</v>
      </c>
      <c r="AQ40" s="12">
        <v>1</v>
      </c>
      <c r="AR40" s="12">
        <v>14</v>
      </c>
      <c r="AS40" s="12">
        <v>3</v>
      </c>
      <c r="AT40" s="12">
        <v>4</v>
      </c>
      <c r="AU40" s="12">
        <v>1</v>
      </c>
      <c r="AV40" s="12">
        <v>6</v>
      </c>
      <c r="AW40" s="12">
        <f t="shared" si="3"/>
        <v>6</v>
      </c>
      <c r="AX40" s="12">
        <v>3</v>
      </c>
      <c r="AY40" s="12">
        <v>4</v>
      </c>
      <c r="AZ40" s="12">
        <v>1</v>
      </c>
      <c r="BA40" s="12">
        <f t="shared" si="4"/>
        <v>1</v>
      </c>
      <c r="BB40" s="12">
        <v>1</v>
      </c>
      <c r="BC40" s="12">
        <v>0</v>
      </c>
      <c r="BD40" s="12">
        <f t="shared" si="13"/>
        <v>0</v>
      </c>
      <c r="BE40" s="12">
        <v>0</v>
      </c>
      <c r="BF40" s="12">
        <f t="shared" si="5"/>
        <v>0</v>
      </c>
      <c r="BG40" s="12">
        <f t="shared" si="14"/>
        <v>0</v>
      </c>
      <c r="BH40" s="67">
        <v>0</v>
      </c>
      <c r="BI40" s="67">
        <v>1</v>
      </c>
      <c r="BJ40" s="67">
        <v>0</v>
      </c>
      <c r="BK40" s="67">
        <v>0</v>
      </c>
      <c r="BL40" s="67">
        <v>0</v>
      </c>
      <c r="BM40" s="67">
        <v>0</v>
      </c>
      <c r="BN40" s="67">
        <v>0</v>
      </c>
      <c r="BO40" s="67">
        <v>1</v>
      </c>
      <c r="BP40" s="67">
        <v>0</v>
      </c>
      <c r="BQ40" s="67">
        <v>0</v>
      </c>
      <c r="BR40" s="67">
        <v>0</v>
      </c>
      <c r="BS40" s="67">
        <v>0</v>
      </c>
      <c r="BT40" s="67">
        <v>6</v>
      </c>
      <c r="BU40" s="70">
        <v>0</v>
      </c>
      <c r="BV40" s="29">
        <f t="shared" si="6"/>
        <v>0.65504664435081672</v>
      </c>
      <c r="BW40">
        <f t="shared" si="7"/>
        <v>1.1555414682655611</v>
      </c>
      <c r="BX40">
        <f t="shared" si="8"/>
        <v>0.67854260110508058</v>
      </c>
      <c r="BY40">
        <f t="shared" si="9"/>
        <v>0.9806804209314296</v>
      </c>
      <c r="BZ40">
        <f t="shared" si="10"/>
        <v>0.51715642219916513</v>
      </c>
      <c r="CA40">
        <f t="shared" si="11"/>
        <v>0.10112443951066327</v>
      </c>
      <c r="CB40">
        <f t="shared" si="12"/>
        <v>0.67891464284095016</v>
      </c>
      <c r="CD40" s="1"/>
      <c r="CJ40" s="18" t="s">
        <v>31</v>
      </c>
      <c r="CK40" s="21">
        <v>-3767.7126261596381</v>
      </c>
      <c r="CL40" s="21">
        <v>197.15147973844702</v>
      </c>
      <c r="CM40" s="21">
        <v>-19.110749922638732</v>
      </c>
      <c r="CN40" s="22">
        <v>1.2375507325491391E-72</v>
      </c>
      <c r="CO40" s="21">
        <v>-4154.4520660207609</v>
      </c>
      <c r="CP40" s="21">
        <v>-3380.9731862985159</v>
      </c>
      <c r="DH40" s="18" t="s">
        <v>34</v>
      </c>
      <c r="DI40" s="21">
        <v>1.8396145956385226</v>
      </c>
      <c r="DJ40" s="21">
        <v>112.35186091402285</v>
      </c>
      <c r="DK40" s="21">
        <v>1.6373690481604801E-2</v>
      </c>
      <c r="DL40" s="22">
        <v>0.98693855776831008</v>
      </c>
      <c r="DM40" s="21">
        <v>-218.55291803304908</v>
      </c>
      <c r="DN40" s="21">
        <v>222.23214722432613</v>
      </c>
      <c r="EF40" s="18" t="s">
        <v>34</v>
      </c>
      <c r="EG40" s="21">
        <v>-11.102850723403662</v>
      </c>
      <c r="EH40" s="21">
        <v>110.37298934138619</v>
      </c>
      <c r="EI40" s="21">
        <v>-0.10059391151454901</v>
      </c>
      <c r="EJ40" s="22">
        <v>0.91988696083114641</v>
      </c>
      <c r="EK40" s="21">
        <v>-227.61357388233932</v>
      </c>
      <c r="EL40" s="21">
        <v>205.407872435532</v>
      </c>
    </row>
    <row r="41" spans="1:142" ht="15" customHeight="1" x14ac:dyDescent="0.45">
      <c r="A41" s="11">
        <v>33</v>
      </c>
      <c r="B41" s="12">
        <f t="shared" si="0"/>
        <v>33</v>
      </c>
      <c r="C41" s="12" t="s">
        <v>59</v>
      </c>
      <c r="D41" s="12">
        <v>0</v>
      </c>
      <c r="E41" s="12" t="s">
        <v>60</v>
      </c>
      <c r="F41" s="12">
        <v>1</v>
      </c>
      <c r="G41" s="12">
        <v>0</v>
      </c>
      <c r="H41" s="12" t="s">
        <v>54</v>
      </c>
      <c r="I41" s="12">
        <v>0</v>
      </c>
      <c r="J41" s="12">
        <v>1</v>
      </c>
      <c r="K41" s="12">
        <v>1</v>
      </c>
      <c r="L41" s="12">
        <f t="shared" si="1"/>
        <v>1</v>
      </c>
      <c r="M41" s="12">
        <v>3</v>
      </c>
      <c r="N41" s="12" t="s">
        <v>55</v>
      </c>
      <c r="O41" s="12">
        <v>1</v>
      </c>
      <c r="P41" s="12">
        <v>0</v>
      </c>
      <c r="Q41" s="12">
        <v>0</v>
      </c>
      <c r="R41" s="12">
        <v>0</v>
      </c>
      <c r="S41" s="12">
        <v>0</v>
      </c>
      <c r="T41" s="12">
        <v>3</v>
      </c>
      <c r="U41" s="12" t="s">
        <v>19</v>
      </c>
      <c r="V41" s="12">
        <v>1</v>
      </c>
      <c r="W41" s="12">
        <v>42</v>
      </c>
      <c r="X41" s="12">
        <v>4</v>
      </c>
      <c r="Y41" s="12">
        <v>2</v>
      </c>
      <c r="Z41" s="12" t="s">
        <v>56</v>
      </c>
      <c r="AA41" s="12">
        <v>0</v>
      </c>
      <c r="AB41" s="12">
        <v>1</v>
      </c>
      <c r="AC41" s="12">
        <v>0</v>
      </c>
      <c r="AD41" s="12">
        <v>0</v>
      </c>
      <c r="AE41" s="12">
        <v>0</v>
      </c>
      <c r="AF41" s="12">
        <v>0</v>
      </c>
      <c r="AG41" s="12">
        <v>0</v>
      </c>
      <c r="AH41" s="12">
        <v>0</v>
      </c>
      <c r="AI41" s="12">
        <v>1</v>
      </c>
      <c r="AJ41" s="12" t="s">
        <v>64</v>
      </c>
      <c r="AK41" s="12">
        <v>0</v>
      </c>
      <c r="AL41" s="12">
        <v>1</v>
      </c>
      <c r="AM41" s="12">
        <v>5376</v>
      </c>
      <c r="AN41" s="12">
        <f t="shared" si="2"/>
        <v>5376</v>
      </c>
      <c r="AO41" s="12">
        <v>2</v>
      </c>
      <c r="AP41" s="12" t="s">
        <v>59</v>
      </c>
      <c r="AQ41" s="12">
        <v>0</v>
      </c>
      <c r="AR41" s="12">
        <v>19</v>
      </c>
      <c r="AS41" s="12">
        <v>3</v>
      </c>
      <c r="AT41" s="12">
        <v>1</v>
      </c>
      <c r="AU41" s="12">
        <v>2</v>
      </c>
      <c r="AV41" s="12">
        <v>10</v>
      </c>
      <c r="AW41" s="12">
        <f t="shared" si="3"/>
        <v>10</v>
      </c>
      <c r="AX41" s="12">
        <v>3</v>
      </c>
      <c r="AY41" s="12">
        <v>3</v>
      </c>
      <c r="AZ41" s="12">
        <v>5</v>
      </c>
      <c r="BA41" s="12">
        <f t="shared" si="4"/>
        <v>5</v>
      </c>
      <c r="BB41" s="12">
        <v>3</v>
      </c>
      <c r="BC41" s="12">
        <v>1</v>
      </c>
      <c r="BD41" s="12">
        <f t="shared" si="13"/>
        <v>1</v>
      </c>
      <c r="BE41" s="12">
        <v>3</v>
      </c>
      <c r="BF41" s="12">
        <f t="shared" si="5"/>
        <v>3</v>
      </c>
      <c r="BG41" s="12">
        <f t="shared" si="14"/>
        <v>6</v>
      </c>
      <c r="BH41" s="67">
        <v>0</v>
      </c>
      <c r="BI41" s="67">
        <v>0</v>
      </c>
      <c r="BJ41" s="67">
        <v>0</v>
      </c>
      <c r="BK41" s="67">
        <v>1</v>
      </c>
      <c r="BL41" s="67">
        <v>0</v>
      </c>
      <c r="BM41" s="67">
        <v>0</v>
      </c>
      <c r="BN41" s="67">
        <v>1</v>
      </c>
      <c r="BO41" s="67">
        <v>0</v>
      </c>
      <c r="BP41" s="67">
        <v>0</v>
      </c>
      <c r="BQ41" s="67">
        <v>0</v>
      </c>
      <c r="BR41" s="67">
        <v>3</v>
      </c>
      <c r="BS41" s="67">
        <v>0</v>
      </c>
      <c r="BT41" s="67">
        <v>0</v>
      </c>
      <c r="BU41" s="70">
        <v>10</v>
      </c>
      <c r="BV41" s="29">
        <f t="shared" si="6"/>
        <v>0.23936738259000082</v>
      </c>
      <c r="BW41">
        <f t="shared" si="7"/>
        <v>0.31476636926356072</v>
      </c>
      <c r="BX41">
        <f t="shared" si="8"/>
        <v>0.1644554352117841</v>
      </c>
      <c r="BY41">
        <f t="shared" si="9"/>
        <v>0.32778177112653761</v>
      </c>
      <c r="BZ41">
        <f t="shared" si="10"/>
        <v>1.01056543769991</v>
      </c>
      <c r="CA41">
        <f t="shared" si="11"/>
        <v>0.42951823792158</v>
      </c>
      <c r="CB41">
        <f t="shared" si="12"/>
        <v>0.36858985273641137</v>
      </c>
      <c r="CD41" s="1"/>
      <c r="CG41" s="1"/>
      <c r="CH41" s="1"/>
      <c r="CJ41" s="18" t="s">
        <v>32</v>
      </c>
      <c r="CK41" s="21">
        <v>-0.47566877848856848</v>
      </c>
      <c r="CL41" s="21">
        <v>27.906216227641032</v>
      </c>
      <c r="CM41" s="21">
        <v>-1.7045262410653145E-2</v>
      </c>
      <c r="CN41" s="22">
        <v>0.98640290135605646</v>
      </c>
      <c r="CO41" s="21">
        <v>-55.217507119439112</v>
      </c>
      <c r="CP41" s="21">
        <v>54.266169562461975</v>
      </c>
      <c r="DH41" s="18" t="s">
        <v>35</v>
      </c>
      <c r="DI41" s="21">
        <v>51.79687362208324</v>
      </c>
      <c r="DJ41" s="21">
        <v>82.05963227583652</v>
      </c>
      <c r="DK41" s="21">
        <v>0.6312101600452269</v>
      </c>
      <c r="DL41" s="22">
        <v>0.52800420747399468</v>
      </c>
      <c r="DM41" s="21">
        <v>-109.17358148849289</v>
      </c>
      <c r="DN41" s="21">
        <v>212.76732873265937</v>
      </c>
      <c r="EF41" s="18" t="s">
        <v>35</v>
      </c>
      <c r="EG41" s="21">
        <v>47.393664181684699</v>
      </c>
      <c r="EH41" s="21">
        <v>80.729625380956051</v>
      </c>
      <c r="EI41" s="21">
        <v>0.58706656890872633</v>
      </c>
      <c r="EJ41" s="22">
        <v>0.55725186615858358</v>
      </c>
      <c r="EK41" s="21">
        <v>-110.96781244298421</v>
      </c>
      <c r="EL41" s="21">
        <v>205.75514080635361</v>
      </c>
    </row>
    <row r="42" spans="1:142" ht="15" customHeight="1" x14ac:dyDescent="0.45">
      <c r="A42" s="11">
        <v>35</v>
      </c>
      <c r="B42" s="12">
        <f t="shared" si="0"/>
        <v>35</v>
      </c>
      <c r="C42" s="12" t="s">
        <v>59</v>
      </c>
      <c r="D42" s="12">
        <v>0</v>
      </c>
      <c r="E42" s="12" t="s">
        <v>53</v>
      </c>
      <c r="F42" s="12">
        <v>0</v>
      </c>
      <c r="G42" s="12">
        <v>1</v>
      </c>
      <c r="H42" s="12" t="s">
        <v>61</v>
      </c>
      <c r="I42" s="12">
        <v>1</v>
      </c>
      <c r="J42" s="12">
        <v>0</v>
      </c>
      <c r="K42" s="12">
        <v>4</v>
      </c>
      <c r="L42" s="12">
        <f t="shared" si="1"/>
        <v>4</v>
      </c>
      <c r="M42" s="12">
        <v>2</v>
      </c>
      <c r="N42" s="12" t="s">
        <v>66</v>
      </c>
      <c r="O42" s="12">
        <v>0</v>
      </c>
      <c r="P42" s="12">
        <v>1</v>
      </c>
      <c r="Q42" s="12">
        <v>0</v>
      </c>
      <c r="R42" s="12">
        <v>0</v>
      </c>
      <c r="S42" s="12">
        <v>0</v>
      </c>
      <c r="T42" s="12">
        <v>3</v>
      </c>
      <c r="U42" s="12" t="s">
        <v>62</v>
      </c>
      <c r="V42" s="12">
        <v>0</v>
      </c>
      <c r="W42" s="12">
        <v>75</v>
      </c>
      <c r="X42" s="12">
        <v>3</v>
      </c>
      <c r="Y42" s="12">
        <v>1</v>
      </c>
      <c r="Z42" s="12" t="s">
        <v>67</v>
      </c>
      <c r="AA42" s="12">
        <v>0</v>
      </c>
      <c r="AB42" s="12">
        <v>0</v>
      </c>
      <c r="AC42" s="12">
        <v>1</v>
      </c>
      <c r="AD42" s="12">
        <v>0</v>
      </c>
      <c r="AE42" s="12">
        <v>0</v>
      </c>
      <c r="AF42" s="12">
        <v>0</v>
      </c>
      <c r="AG42" s="12">
        <v>0</v>
      </c>
      <c r="AH42" s="12">
        <v>0</v>
      </c>
      <c r="AI42" s="12">
        <v>4</v>
      </c>
      <c r="AJ42" s="12" t="s">
        <v>78</v>
      </c>
      <c r="AK42" s="12">
        <v>0</v>
      </c>
      <c r="AL42" s="12">
        <v>0</v>
      </c>
      <c r="AM42" s="12">
        <v>1951</v>
      </c>
      <c r="AN42" s="12">
        <f t="shared" si="2"/>
        <v>1951</v>
      </c>
      <c r="AO42" s="12">
        <v>1</v>
      </c>
      <c r="AP42" s="12" t="s">
        <v>59</v>
      </c>
      <c r="AQ42" s="12">
        <v>0</v>
      </c>
      <c r="AR42" s="12">
        <v>12</v>
      </c>
      <c r="AS42" s="12">
        <v>3</v>
      </c>
      <c r="AT42" s="12">
        <v>3</v>
      </c>
      <c r="AU42" s="12">
        <v>1</v>
      </c>
      <c r="AV42" s="12">
        <v>1</v>
      </c>
      <c r="AW42" s="12">
        <f t="shared" si="3"/>
        <v>1</v>
      </c>
      <c r="AX42" s="12">
        <v>3</v>
      </c>
      <c r="AY42" s="12">
        <v>3</v>
      </c>
      <c r="AZ42" s="12">
        <v>1</v>
      </c>
      <c r="BA42" s="12">
        <f t="shared" si="4"/>
        <v>1</v>
      </c>
      <c r="BB42" s="12">
        <v>0</v>
      </c>
      <c r="BC42" s="12">
        <v>0</v>
      </c>
      <c r="BD42" s="12">
        <f t="shared" si="13"/>
        <v>0</v>
      </c>
      <c r="BE42" s="12">
        <v>0</v>
      </c>
      <c r="BF42" s="12">
        <f t="shared" si="5"/>
        <v>0</v>
      </c>
      <c r="BG42" s="12">
        <f t="shared" si="14"/>
        <v>0</v>
      </c>
      <c r="BH42" s="67">
        <v>1</v>
      </c>
      <c r="BI42" s="67">
        <v>0</v>
      </c>
      <c r="BJ42" s="67">
        <v>0</v>
      </c>
      <c r="BK42" s="67">
        <v>0</v>
      </c>
      <c r="BL42" s="67">
        <v>1</v>
      </c>
      <c r="BM42" s="67">
        <v>0</v>
      </c>
      <c r="BN42" s="67">
        <v>0</v>
      </c>
      <c r="BO42" s="67">
        <v>0</v>
      </c>
      <c r="BP42" s="67">
        <v>0</v>
      </c>
      <c r="BQ42" s="67">
        <v>0</v>
      </c>
      <c r="BR42" s="67">
        <v>0</v>
      </c>
      <c r="BS42" s="67">
        <v>0</v>
      </c>
      <c r="BT42" s="67">
        <v>1</v>
      </c>
      <c r="BU42" s="70">
        <v>0</v>
      </c>
      <c r="BV42" s="29">
        <f t="shared" si="6"/>
        <v>0.96685919226337569</v>
      </c>
      <c r="BW42">
        <f t="shared" si="7"/>
        <v>1.1555414682655611</v>
      </c>
      <c r="BX42">
        <f t="shared" si="8"/>
        <v>1.3211515584717011</v>
      </c>
      <c r="BY42">
        <f t="shared" si="9"/>
        <v>0.9806804209314296</v>
      </c>
      <c r="BZ42">
        <f t="shared" si="10"/>
        <v>0.64050867607435136</v>
      </c>
      <c r="CA42">
        <f t="shared" si="11"/>
        <v>0.21058903898096887</v>
      </c>
      <c r="CB42">
        <f t="shared" si="12"/>
        <v>0.67891464284095016</v>
      </c>
      <c r="CJ42" s="18" t="s">
        <v>34</v>
      </c>
      <c r="CK42" s="21">
        <v>33.953624301541595</v>
      </c>
      <c r="CL42" s="21">
        <v>113.10253330510024</v>
      </c>
      <c r="CM42" s="21">
        <v>0.3002021555958419</v>
      </c>
      <c r="CN42" s="22">
        <v>0.76406690191904536</v>
      </c>
      <c r="CO42" s="21">
        <v>-187.91237657919291</v>
      </c>
      <c r="CP42" s="21">
        <v>255.8196251822761</v>
      </c>
      <c r="DH42" s="18" t="s">
        <v>37</v>
      </c>
      <c r="DI42" s="21">
        <v>8.6698446871858437</v>
      </c>
      <c r="DJ42" s="21">
        <v>13.606174726608051</v>
      </c>
      <c r="DK42" s="21">
        <v>0.63719927616622563</v>
      </c>
      <c r="DL42" s="22">
        <v>0.52409726138218837</v>
      </c>
      <c r="DM42" s="21">
        <v>-18.020405772308916</v>
      </c>
      <c r="DN42" s="21">
        <v>35.360095146680607</v>
      </c>
      <c r="EF42" s="18" t="s">
        <v>37</v>
      </c>
      <c r="EG42" s="21">
        <v>5.1124218488466227</v>
      </c>
      <c r="EH42" s="21">
        <v>13.383598051015591</v>
      </c>
      <c r="EI42" s="21">
        <v>0.38199158622061841</v>
      </c>
      <c r="EJ42" s="22">
        <v>0.70252448225782638</v>
      </c>
      <c r="EK42" s="21">
        <v>-21.141216018397127</v>
      </c>
      <c r="EL42" s="21">
        <v>31.366059716090373</v>
      </c>
    </row>
    <row r="43" spans="1:142" ht="15" customHeight="1" x14ac:dyDescent="0.45">
      <c r="A43" s="11">
        <v>27</v>
      </c>
      <c r="B43" s="12">
        <f t="shared" si="0"/>
        <v>27</v>
      </c>
      <c r="C43" s="12" t="s">
        <v>59</v>
      </c>
      <c r="D43" s="12">
        <v>0</v>
      </c>
      <c r="E43" s="12" t="s">
        <v>53</v>
      </c>
      <c r="F43" s="12">
        <v>0</v>
      </c>
      <c r="G43" s="12">
        <v>1</v>
      </c>
      <c r="H43" s="12" t="s">
        <v>61</v>
      </c>
      <c r="I43" s="12">
        <v>1</v>
      </c>
      <c r="J43" s="12">
        <v>0</v>
      </c>
      <c r="K43" s="12">
        <v>2</v>
      </c>
      <c r="L43" s="12">
        <f t="shared" si="1"/>
        <v>2</v>
      </c>
      <c r="M43" s="12">
        <v>4</v>
      </c>
      <c r="N43" s="12" t="s">
        <v>55</v>
      </c>
      <c r="O43" s="12">
        <v>1</v>
      </c>
      <c r="P43" s="12">
        <v>0</v>
      </c>
      <c r="Q43" s="12">
        <v>0</v>
      </c>
      <c r="R43" s="12">
        <v>0</v>
      </c>
      <c r="S43" s="12">
        <v>0</v>
      </c>
      <c r="T43" s="12">
        <v>4</v>
      </c>
      <c r="U43" s="12" t="s">
        <v>19</v>
      </c>
      <c r="V43" s="12">
        <v>1</v>
      </c>
      <c r="W43" s="12">
        <v>33</v>
      </c>
      <c r="X43" s="12">
        <v>3</v>
      </c>
      <c r="Y43" s="12">
        <v>1</v>
      </c>
      <c r="Z43" s="12" t="s">
        <v>67</v>
      </c>
      <c r="AA43" s="12">
        <v>0</v>
      </c>
      <c r="AB43" s="12">
        <v>0</v>
      </c>
      <c r="AC43" s="12">
        <v>1</v>
      </c>
      <c r="AD43" s="12">
        <v>0</v>
      </c>
      <c r="AE43" s="12">
        <v>0</v>
      </c>
      <c r="AF43" s="12">
        <v>0</v>
      </c>
      <c r="AG43" s="12">
        <v>0</v>
      </c>
      <c r="AH43" s="12">
        <v>0</v>
      </c>
      <c r="AI43" s="12">
        <v>1</v>
      </c>
      <c r="AJ43" s="12" t="s">
        <v>78</v>
      </c>
      <c r="AK43" s="12">
        <v>0</v>
      </c>
      <c r="AL43" s="12">
        <v>0</v>
      </c>
      <c r="AM43" s="12">
        <v>2341</v>
      </c>
      <c r="AN43" s="12">
        <f t="shared" si="2"/>
        <v>2341</v>
      </c>
      <c r="AO43" s="12">
        <v>1</v>
      </c>
      <c r="AP43" s="12" t="s">
        <v>59</v>
      </c>
      <c r="AQ43" s="12">
        <v>0</v>
      </c>
      <c r="AR43" s="12">
        <v>13</v>
      </c>
      <c r="AS43" s="12">
        <v>3</v>
      </c>
      <c r="AT43" s="12">
        <v>4</v>
      </c>
      <c r="AU43" s="12">
        <v>1</v>
      </c>
      <c r="AV43" s="12">
        <v>1</v>
      </c>
      <c r="AW43" s="12">
        <f t="shared" si="3"/>
        <v>1</v>
      </c>
      <c r="AX43" s="12">
        <v>6</v>
      </c>
      <c r="AY43" s="12">
        <v>3</v>
      </c>
      <c r="AZ43" s="12">
        <v>1</v>
      </c>
      <c r="BA43" s="12">
        <f t="shared" si="4"/>
        <v>1</v>
      </c>
      <c r="BB43" s="12">
        <v>0</v>
      </c>
      <c r="BC43" s="12">
        <v>0</v>
      </c>
      <c r="BD43" s="12">
        <f t="shared" si="13"/>
        <v>0</v>
      </c>
      <c r="BE43" s="12">
        <v>0</v>
      </c>
      <c r="BF43" s="12">
        <f t="shared" si="5"/>
        <v>0</v>
      </c>
      <c r="BG43" s="12">
        <f t="shared" si="14"/>
        <v>0</v>
      </c>
      <c r="BH43" s="67">
        <v>1</v>
      </c>
      <c r="BI43" s="67">
        <v>0</v>
      </c>
      <c r="BJ43" s="67">
        <v>0</v>
      </c>
      <c r="BK43" s="67">
        <v>0</v>
      </c>
      <c r="BL43" s="67">
        <v>1</v>
      </c>
      <c r="BM43" s="67">
        <v>0</v>
      </c>
      <c r="BN43" s="67">
        <v>0</v>
      </c>
      <c r="BO43" s="67">
        <v>0</v>
      </c>
      <c r="BP43" s="67">
        <v>0</v>
      </c>
      <c r="BQ43" s="67">
        <v>0</v>
      </c>
      <c r="BR43" s="67">
        <v>0</v>
      </c>
      <c r="BS43" s="67">
        <v>0</v>
      </c>
      <c r="BT43" s="67">
        <v>1</v>
      </c>
      <c r="BU43" s="70">
        <v>0</v>
      </c>
      <c r="BV43" s="29">
        <f t="shared" si="6"/>
        <v>0.8840207088261155</v>
      </c>
      <c r="BW43">
        <f t="shared" si="7"/>
        <v>1.1555414682655611</v>
      </c>
      <c r="BX43">
        <f t="shared" si="8"/>
        <v>1.3211515584717011</v>
      </c>
      <c r="BY43">
        <f t="shared" si="9"/>
        <v>0.9806804209314296</v>
      </c>
      <c r="BZ43">
        <f t="shared" si="10"/>
        <v>0.88721318382472392</v>
      </c>
      <c r="CA43">
        <f t="shared" si="11"/>
        <v>1.0863058347434136</v>
      </c>
      <c r="CB43">
        <f t="shared" si="12"/>
        <v>0.67891464284095016</v>
      </c>
      <c r="CJ43" s="18" t="s">
        <v>35</v>
      </c>
      <c r="CK43" s="21">
        <v>94.193855081998663</v>
      </c>
      <c r="CL43" s="21">
        <v>158.29992278968408</v>
      </c>
      <c r="CM43" s="21">
        <v>0.59503411891832581</v>
      </c>
      <c r="CN43" s="22">
        <v>0.55191547091489901</v>
      </c>
      <c r="CO43" s="21">
        <v>-216.33297206107198</v>
      </c>
      <c r="CP43" s="21">
        <v>404.72068222506931</v>
      </c>
      <c r="DH43" s="18" t="s">
        <v>39</v>
      </c>
      <c r="DI43" s="21">
        <v>78.410441480941017</v>
      </c>
      <c r="DJ43" s="21">
        <v>67.782038627142967</v>
      </c>
      <c r="DK43" s="21">
        <v>1.1568026437248815</v>
      </c>
      <c r="DL43" s="22">
        <v>0.24754661214484117</v>
      </c>
      <c r="DM43" s="21">
        <v>-54.552689153836468</v>
      </c>
      <c r="DN43" s="21">
        <v>211.3735721157185</v>
      </c>
      <c r="EF43" s="18" t="s">
        <v>39</v>
      </c>
      <c r="EG43" s="21">
        <v>68.427954913181566</v>
      </c>
      <c r="EH43" s="21">
        <v>66.664857966100058</v>
      </c>
      <c r="EI43" s="21">
        <v>1.0264471717314401</v>
      </c>
      <c r="EJ43" s="22">
        <v>0.30485481093762151</v>
      </c>
      <c r="EK43" s="21">
        <v>-62.343683090428414</v>
      </c>
      <c r="EL43" s="21">
        <v>199.19959291679154</v>
      </c>
    </row>
    <row r="44" spans="1:142" ht="15" customHeight="1" x14ac:dyDescent="0.45">
      <c r="A44" s="11">
        <v>26</v>
      </c>
      <c r="B44" s="12">
        <f t="shared" si="0"/>
        <v>26</v>
      </c>
      <c r="C44" s="12" t="s">
        <v>52</v>
      </c>
      <c r="D44" s="12">
        <v>1</v>
      </c>
      <c r="E44" s="12" t="s">
        <v>53</v>
      </c>
      <c r="F44" s="12">
        <v>0</v>
      </c>
      <c r="G44" s="12">
        <v>1</v>
      </c>
      <c r="H44" s="12" t="s">
        <v>61</v>
      </c>
      <c r="I44" s="12">
        <v>1</v>
      </c>
      <c r="J44" s="12">
        <v>0</v>
      </c>
      <c r="K44" s="12">
        <v>25</v>
      </c>
      <c r="L44" s="12">
        <f t="shared" si="1"/>
        <v>25</v>
      </c>
      <c r="M44" s="12">
        <v>3</v>
      </c>
      <c r="N44" s="12" t="s">
        <v>55</v>
      </c>
      <c r="O44" s="12">
        <v>1</v>
      </c>
      <c r="P44" s="12">
        <v>0</v>
      </c>
      <c r="Q44" s="12">
        <v>0</v>
      </c>
      <c r="R44" s="12">
        <v>0</v>
      </c>
      <c r="S44" s="12">
        <v>0</v>
      </c>
      <c r="T44" s="12">
        <v>1</v>
      </c>
      <c r="U44" s="12" t="s">
        <v>62</v>
      </c>
      <c r="V44" s="12">
        <v>0</v>
      </c>
      <c r="W44" s="12">
        <v>48</v>
      </c>
      <c r="X44" s="12">
        <v>1</v>
      </c>
      <c r="Y44" s="12">
        <v>1</v>
      </c>
      <c r="Z44" s="12" t="s">
        <v>67</v>
      </c>
      <c r="AA44" s="12">
        <v>0</v>
      </c>
      <c r="AB44" s="12">
        <v>0</v>
      </c>
      <c r="AC44" s="12">
        <v>1</v>
      </c>
      <c r="AD44" s="12">
        <v>0</v>
      </c>
      <c r="AE44" s="12">
        <v>0</v>
      </c>
      <c r="AF44" s="12">
        <v>0</v>
      </c>
      <c r="AG44" s="12">
        <v>0</v>
      </c>
      <c r="AH44" s="12">
        <v>0</v>
      </c>
      <c r="AI44" s="12">
        <v>3</v>
      </c>
      <c r="AJ44" s="12" t="s">
        <v>57</v>
      </c>
      <c r="AK44" s="12">
        <v>1</v>
      </c>
      <c r="AL44" s="12">
        <v>0</v>
      </c>
      <c r="AM44" s="12">
        <v>2293</v>
      </c>
      <c r="AN44" s="12">
        <f t="shared" si="2"/>
        <v>2293</v>
      </c>
      <c r="AO44" s="12">
        <v>1</v>
      </c>
      <c r="AP44" s="12" t="s">
        <v>59</v>
      </c>
      <c r="AQ44" s="12">
        <v>0</v>
      </c>
      <c r="AR44" s="12">
        <v>12</v>
      </c>
      <c r="AS44" s="12">
        <v>3</v>
      </c>
      <c r="AT44" s="12">
        <v>3</v>
      </c>
      <c r="AU44" s="12">
        <v>0</v>
      </c>
      <c r="AV44" s="12">
        <v>1</v>
      </c>
      <c r="AW44" s="12">
        <f t="shared" si="3"/>
        <v>1</v>
      </c>
      <c r="AX44" s="12">
        <v>2</v>
      </c>
      <c r="AY44" s="12">
        <v>2</v>
      </c>
      <c r="AZ44" s="12">
        <v>1</v>
      </c>
      <c r="BA44" s="12">
        <f t="shared" si="4"/>
        <v>1</v>
      </c>
      <c r="BB44" s="12">
        <v>0</v>
      </c>
      <c r="BC44" s="12">
        <v>0</v>
      </c>
      <c r="BD44" s="12">
        <f t="shared" si="13"/>
        <v>0</v>
      </c>
      <c r="BE44" s="12">
        <v>1</v>
      </c>
      <c r="BF44" s="12">
        <f t="shared" si="5"/>
        <v>1</v>
      </c>
      <c r="BG44" s="12">
        <f t="shared" si="14"/>
        <v>1</v>
      </c>
      <c r="BH44" s="67">
        <v>1</v>
      </c>
      <c r="BI44" s="67">
        <v>0</v>
      </c>
      <c r="BJ44" s="67">
        <v>0</v>
      </c>
      <c r="BK44" s="67">
        <v>0</v>
      </c>
      <c r="BL44" s="67">
        <v>1</v>
      </c>
      <c r="BM44" s="67">
        <v>0</v>
      </c>
      <c r="BN44" s="67">
        <v>0</v>
      </c>
      <c r="BO44" s="67">
        <v>0</v>
      </c>
      <c r="BP44" s="67">
        <v>0</v>
      </c>
      <c r="BQ44" s="67">
        <v>1</v>
      </c>
      <c r="BR44" s="67">
        <v>0</v>
      </c>
      <c r="BS44" s="67">
        <v>0</v>
      </c>
      <c r="BT44" s="67">
        <v>1</v>
      </c>
      <c r="BU44" s="70">
        <v>0</v>
      </c>
      <c r="BV44" s="29">
        <f t="shared" si="6"/>
        <v>0.89421621447993205</v>
      </c>
      <c r="BW44">
        <f t="shared" si="7"/>
        <v>0.87528310193156111</v>
      </c>
      <c r="BX44">
        <f t="shared" si="8"/>
        <v>1.3211515584717011</v>
      </c>
      <c r="BY44">
        <f t="shared" si="9"/>
        <v>0.9806804209314296</v>
      </c>
      <c r="BZ44">
        <f t="shared" si="10"/>
        <v>1.9498886553045598</v>
      </c>
      <c r="CA44">
        <f t="shared" si="11"/>
        <v>1.195770434213719</v>
      </c>
      <c r="CB44">
        <f t="shared" si="12"/>
        <v>0.67891464284095016</v>
      </c>
      <c r="CJ44" s="18" t="s">
        <v>37</v>
      </c>
      <c r="CK44" s="21">
        <v>6.4273874398151563</v>
      </c>
      <c r="CL44" s="21">
        <v>13.801184364856887</v>
      </c>
      <c r="CM44" s="21">
        <v>0.46571274391361306</v>
      </c>
      <c r="CN44" s="22">
        <v>0.64149254884988871</v>
      </c>
      <c r="CO44" s="21">
        <v>-20.645512635628503</v>
      </c>
      <c r="CP44" s="21">
        <v>33.500287515258819</v>
      </c>
      <c r="DH44" s="18" t="s">
        <v>40</v>
      </c>
      <c r="DI44" s="21">
        <v>17.844939733685379</v>
      </c>
      <c r="DJ44" s="21">
        <v>13.129447879662589</v>
      </c>
      <c r="DK44" s="21">
        <v>1.3591538575911519</v>
      </c>
      <c r="DL44" s="22">
        <v>0.17431259535364002</v>
      </c>
      <c r="DM44" s="21">
        <v>-7.9101500945956111</v>
      </c>
      <c r="DN44" s="21">
        <v>43.600029561966366</v>
      </c>
      <c r="EF44" s="18" t="s">
        <v>40</v>
      </c>
      <c r="EG44" s="21">
        <v>18.202747898373531</v>
      </c>
      <c r="EH44" s="21">
        <v>12.911264583421206</v>
      </c>
      <c r="EI44" s="21">
        <v>1.4098346277983405</v>
      </c>
      <c r="EJ44" s="22">
        <v>0.15880642567362638</v>
      </c>
      <c r="EK44" s="21">
        <v>-7.1243475126835953</v>
      </c>
      <c r="EL44" s="21">
        <v>43.52984330943066</v>
      </c>
    </row>
    <row r="45" spans="1:142" ht="15" customHeight="1" x14ac:dyDescent="0.45">
      <c r="A45" s="11">
        <v>27</v>
      </c>
      <c r="B45" s="12">
        <f t="shared" si="0"/>
        <v>27</v>
      </c>
      <c r="C45" s="12" t="s">
        <v>59</v>
      </c>
      <c r="D45" s="12">
        <v>0</v>
      </c>
      <c r="E45" s="12" t="s">
        <v>60</v>
      </c>
      <c r="F45" s="12">
        <v>1</v>
      </c>
      <c r="G45" s="12">
        <v>0</v>
      </c>
      <c r="H45" s="12" t="s">
        <v>54</v>
      </c>
      <c r="I45" s="12">
        <v>0</v>
      </c>
      <c r="J45" s="12">
        <v>1</v>
      </c>
      <c r="K45" s="12">
        <v>8</v>
      </c>
      <c r="L45" s="12">
        <f t="shared" si="1"/>
        <v>8</v>
      </c>
      <c r="M45" s="12">
        <v>3</v>
      </c>
      <c r="N45" s="12" t="s">
        <v>55</v>
      </c>
      <c r="O45" s="12">
        <v>1</v>
      </c>
      <c r="P45" s="12">
        <v>0</v>
      </c>
      <c r="Q45" s="12">
        <v>0</v>
      </c>
      <c r="R45" s="12">
        <v>0</v>
      </c>
      <c r="S45" s="12">
        <v>0</v>
      </c>
      <c r="T45" s="12">
        <v>4</v>
      </c>
      <c r="U45" s="12" t="s">
        <v>62</v>
      </c>
      <c r="V45" s="12">
        <v>0</v>
      </c>
      <c r="W45" s="12">
        <v>37</v>
      </c>
      <c r="X45" s="12">
        <v>3</v>
      </c>
      <c r="Y45" s="12">
        <v>3</v>
      </c>
      <c r="Z45" s="12" t="s">
        <v>56</v>
      </c>
      <c r="AA45" s="12">
        <v>0</v>
      </c>
      <c r="AB45" s="12">
        <v>1</v>
      </c>
      <c r="AC45" s="12">
        <v>0</v>
      </c>
      <c r="AD45" s="12">
        <v>0</v>
      </c>
      <c r="AE45" s="12">
        <v>0</v>
      </c>
      <c r="AF45" s="12">
        <v>0</v>
      </c>
      <c r="AG45" s="12">
        <v>0</v>
      </c>
      <c r="AH45" s="12">
        <v>0</v>
      </c>
      <c r="AI45" s="12">
        <v>3</v>
      </c>
      <c r="AJ45" s="12" t="s">
        <v>57</v>
      </c>
      <c r="AK45" s="12">
        <v>1</v>
      </c>
      <c r="AL45" s="12">
        <v>0</v>
      </c>
      <c r="AM45" s="12">
        <v>8726</v>
      </c>
      <c r="AN45" s="12">
        <f t="shared" si="2"/>
        <v>8726</v>
      </c>
      <c r="AO45" s="12">
        <v>1</v>
      </c>
      <c r="AP45" s="12" t="s">
        <v>59</v>
      </c>
      <c r="AQ45" s="12">
        <v>0</v>
      </c>
      <c r="AR45" s="12">
        <v>15</v>
      </c>
      <c r="AS45" s="12">
        <v>3</v>
      </c>
      <c r="AT45" s="12">
        <v>4</v>
      </c>
      <c r="AU45" s="12">
        <v>0</v>
      </c>
      <c r="AV45" s="12">
        <v>9</v>
      </c>
      <c r="AW45" s="12">
        <f t="shared" si="3"/>
        <v>9</v>
      </c>
      <c r="AX45" s="12">
        <v>0</v>
      </c>
      <c r="AY45" s="12">
        <v>3</v>
      </c>
      <c r="AZ45" s="12">
        <v>9</v>
      </c>
      <c r="BA45" s="12">
        <f t="shared" si="4"/>
        <v>9</v>
      </c>
      <c r="BB45" s="12">
        <v>8</v>
      </c>
      <c r="BC45" s="12">
        <v>1</v>
      </c>
      <c r="BD45" s="12">
        <f t="shared" si="13"/>
        <v>1</v>
      </c>
      <c r="BE45" s="12">
        <v>7</v>
      </c>
      <c r="BF45" s="12">
        <f t="shared" si="5"/>
        <v>7</v>
      </c>
      <c r="BG45" s="12">
        <f t="shared" si="14"/>
        <v>21</v>
      </c>
      <c r="BH45" s="67">
        <v>0</v>
      </c>
      <c r="BI45" s="67">
        <v>0</v>
      </c>
      <c r="BJ45" s="67">
        <v>1</v>
      </c>
      <c r="BK45" s="67">
        <v>0</v>
      </c>
      <c r="BL45" s="67">
        <v>1</v>
      </c>
      <c r="BM45" s="67">
        <v>0</v>
      </c>
      <c r="BN45" s="67">
        <v>0</v>
      </c>
      <c r="BO45" s="67">
        <v>0</v>
      </c>
      <c r="BP45" s="67">
        <v>0</v>
      </c>
      <c r="BQ45" s="67">
        <v>0</v>
      </c>
      <c r="BR45" s="67">
        <v>7</v>
      </c>
      <c r="BS45" s="67">
        <v>0</v>
      </c>
      <c r="BT45" s="67">
        <v>0</v>
      </c>
      <c r="BU45" s="70">
        <v>9</v>
      </c>
      <c r="BV45" s="29">
        <f t="shared" si="6"/>
        <v>0.47219394949928556</v>
      </c>
      <c r="BW45">
        <f t="shared" si="7"/>
        <v>0.80626709607243985</v>
      </c>
      <c r="BX45">
        <f t="shared" si="8"/>
        <v>0.29297722668510823</v>
      </c>
      <c r="BY45">
        <f t="shared" si="9"/>
        <v>0.32511687867835437</v>
      </c>
      <c r="BZ45">
        <f t="shared" si="10"/>
        <v>0.14709966057360641</v>
      </c>
      <c r="CA45">
        <f t="shared" si="11"/>
        <v>1.0863058347434136</v>
      </c>
      <c r="CB45">
        <f t="shared" si="12"/>
        <v>0.36858985273641137</v>
      </c>
      <c r="CJ45" s="18" t="s">
        <v>39</v>
      </c>
      <c r="CK45" s="21">
        <v>49.491268363883137</v>
      </c>
      <c r="CL45" s="21">
        <v>102.37393684124781</v>
      </c>
      <c r="CM45" s="21">
        <v>0.48343621326812597</v>
      </c>
      <c r="CN45" s="22">
        <v>0.62886057345764312</v>
      </c>
      <c r="CO45" s="21">
        <v>-151.32913147733169</v>
      </c>
      <c r="CP45" s="21">
        <v>250.31166820509796</v>
      </c>
      <c r="DH45" s="18" t="s">
        <v>41</v>
      </c>
      <c r="DI45" s="21">
        <v>-168.78199597383889</v>
      </c>
      <c r="DJ45" s="21">
        <v>132.8745784197213</v>
      </c>
      <c r="DK45" s="21">
        <v>-1.2702354203577906</v>
      </c>
      <c r="DL45" s="22">
        <v>0.20420785303560463</v>
      </c>
      <c r="DM45" s="21">
        <v>-429.43246158830271</v>
      </c>
      <c r="DN45" s="21">
        <v>91.868469640624937</v>
      </c>
      <c r="EF45" s="18" t="s">
        <v>41</v>
      </c>
      <c r="EG45" s="21">
        <v>-170.1514505638628</v>
      </c>
      <c r="EH45" s="21">
        <v>130.63344427101197</v>
      </c>
      <c r="EI45" s="21">
        <v>-1.3025106358741245</v>
      </c>
      <c r="EJ45" s="22">
        <v>0.19295205210083424</v>
      </c>
      <c r="EK45" s="21">
        <v>-426.40564515106996</v>
      </c>
      <c r="EL45" s="21">
        <v>86.102744023344371</v>
      </c>
    </row>
    <row r="46" spans="1:142" ht="15" customHeight="1" x14ac:dyDescent="0.45">
      <c r="A46" s="11">
        <v>30</v>
      </c>
      <c r="B46" s="12">
        <f t="shared" si="0"/>
        <v>30</v>
      </c>
      <c r="C46" s="12" t="s">
        <v>59</v>
      </c>
      <c r="D46" s="12">
        <v>0</v>
      </c>
      <c r="E46" s="12" t="s">
        <v>60</v>
      </c>
      <c r="F46" s="12">
        <v>1</v>
      </c>
      <c r="G46" s="12">
        <v>0</v>
      </c>
      <c r="H46" s="12" t="s">
        <v>61</v>
      </c>
      <c r="I46" s="12">
        <v>1</v>
      </c>
      <c r="J46" s="12">
        <v>0</v>
      </c>
      <c r="K46" s="12">
        <v>1</v>
      </c>
      <c r="L46" s="12">
        <f t="shared" si="1"/>
        <v>1</v>
      </c>
      <c r="M46" s="12">
        <v>2</v>
      </c>
      <c r="N46" s="12" t="s">
        <v>70</v>
      </c>
      <c r="O46" s="12">
        <v>0</v>
      </c>
      <c r="P46" s="12">
        <v>0</v>
      </c>
      <c r="Q46" s="12">
        <v>1</v>
      </c>
      <c r="R46" s="12">
        <v>0</v>
      </c>
      <c r="S46" s="12">
        <v>0</v>
      </c>
      <c r="T46" s="12">
        <v>3</v>
      </c>
      <c r="U46" s="12" t="s">
        <v>19</v>
      </c>
      <c r="V46" s="12">
        <v>1</v>
      </c>
      <c r="W46" s="12">
        <v>58</v>
      </c>
      <c r="X46" s="12">
        <v>3</v>
      </c>
      <c r="Y46" s="12">
        <v>2</v>
      </c>
      <c r="Z46" s="12" t="s">
        <v>67</v>
      </c>
      <c r="AA46" s="12">
        <v>0</v>
      </c>
      <c r="AB46" s="12">
        <v>0</v>
      </c>
      <c r="AC46" s="12">
        <v>1</v>
      </c>
      <c r="AD46" s="12">
        <v>0</v>
      </c>
      <c r="AE46" s="12">
        <v>0</v>
      </c>
      <c r="AF46" s="12">
        <v>0</v>
      </c>
      <c r="AG46" s="12">
        <v>0</v>
      </c>
      <c r="AH46" s="12">
        <v>0</v>
      </c>
      <c r="AI46" s="12">
        <v>4</v>
      </c>
      <c r="AJ46" s="12" t="s">
        <v>57</v>
      </c>
      <c r="AK46" s="12">
        <v>1</v>
      </c>
      <c r="AL46" s="12">
        <v>0</v>
      </c>
      <c r="AM46" s="12">
        <v>4011</v>
      </c>
      <c r="AN46" s="12">
        <f t="shared" si="2"/>
        <v>4011</v>
      </c>
      <c r="AO46" s="12">
        <v>1</v>
      </c>
      <c r="AP46" s="12" t="s">
        <v>59</v>
      </c>
      <c r="AQ46" s="12">
        <v>0</v>
      </c>
      <c r="AR46" s="12">
        <v>23</v>
      </c>
      <c r="AS46" s="12">
        <v>4</v>
      </c>
      <c r="AT46" s="12">
        <v>4</v>
      </c>
      <c r="AU46" s="12">
        <v>0</v>
      </c>
      <c r="AV46" s="12">
        <v>12</v>
      </c>
      <c r="AW46" s="12">
        <f t="shared" si="3"/>
        <v>12</v>
      </c>
      <c r="AX46" s="12">
        <v>2</v>
      </c>
      <c r="AY46" s="12">
        <v>3</v>
      </c>
      <c r="AZ46" s="12">
        <v>12</v>
      </c>
      <c r="BA46" s="12">
        <f t="shared" si="4"/>
        <v>12</v>
      </c>
      <c r="BB46" s="12">
        <v>8</v>
      </c>
      <c r="BC46" s="12">
        <v>3</v>
      </c>
      <c r="BD46" s="12">
        <f t="shared" si="13"/>
        <v>3</v>
      </c>
      <c r="BE46" s="12">
        <v>7</v>
      </c>
      <c r="BF46" s="12">
        <f t="shared" si="5"/>
        <v>7</v>
      </c>
      <c r="BG46" s="12">
        <f t="shared" si="14"/>
        <v>14</v>
      </c>
      <c r="BH46" s="67">
        <v>0</v>
      </c>
      <c r="BI46" s="67">
        <v>0</v>
      </c>
      <c r="BJ46" s="67">
        <v>1</v>
      </c>
      <c r="BK46" s="67">
        <v>0</v>
      </c>
      <c r="BL46" s="67">
        <v>1</v>
      </c>
      <c r="BM46" s="67">
        <v>0</v>
      </c>
      <c r="BN46" s="67">
        <v>0</v>
      </c>
      <c r="BO46" s="67">
        <v>0</v>
      </c>
      <c r="BP46" s="67">
        <v>0</v>
      </c>
      <c r="BQ46" s="67">
        <v>7</v>
      </c>
      <c r="BR46" s="67">
        <v>0</v>
      </c>
      <c r="BS46" s="67">
        <v>0</v>
      </c>
      <c r="BT46" s="67">
        <v>12</v>
      </c>
      <c r="BU46" s="70">
        <v>0</v>
      </c>
      <c r="BV46" s="29">
        <f t="shared" si="6"/>
        <v>0.52930207462041157</v>
      </c>
      <c r="BW46">
        <f t="shared" si="7"/>
        <v>0.80626709607243985</v>
      </c>
      <c r="BX46">
        <f t="shared" si="8"/>
        <v>9.2588147734864096E-2</v>
      </c>
      <c r="BY46">
        <f t="shared" si="9"/>
        <v>0.81479086603202333</v>
      </c>
      <c r="BZ46">
        <f t="shared" si="10"/>
        <v>1.01056543769991</v>
      </c>
      <c r="CA46">
        <f t="shared" si="11"/>
        <v>0.75791203633249671</v>
      </c>
      <c r="CB46">
        <f t="shared" si="12"/>
        <v>0.2520597274726662</v>
      </c>
      <c r="CJ46" s="18" t="s">
        <v>40</v>
      </c>
      <c r="CK46" s="21">
        <v>16.907774800317515</v>
      </c>
      <c r="CL46" s="21">
        <v>13.184832109430559</v>
      </c>
      <c r="CM46" s="21">
        <v>1.2823655743196072</v>
      </c>
      <c r="CN46" s="22">
        <v>0.19992373478517381</v>
      </c>
      <c r="CO46" s="21">
        <v>-8.9560665029731261</v>
      </c>
      <c r="CP46" s="21">
        <v>42.771616103608153</v>
      </c>
      <c r="DH46" s="18" t="s">
        <v>42</v>
      </c>
      <c r="DI46" s="21">
        <v>10.325652750207382</v>
      </c>
      <c r="DJ46" s="21">
        <v>28.139642459458223</v>
      </c>
      <c r="DK46" s="21">
        <v>0.36694328170956381</v>
      </c>
      <c r="DL46" s="22">
        <v>0.71371573034722724</v>
      </c>
      <c r="DM46" s="21">
        <v>-44.873851899311909</v>
      </c>
      <c r="DN46" s="21">
        <v>65.52515739972668</v>
      </c>
      <c r="EF46" s="18" t="s">
        <v>42</v>
      </c>
      <c r="EG46" s="21">
        <v>13.888742932331297</v>
      </c>
      <c r="EH46" s="21">
        <v>27.698982397448223</v>
      </c>
      <c r="EI46" s="21">
        <v>0.50141708215283753</v>
      </c>
      <c r="EJ46" s="22">
        <v>0.61615496229864808</v>
      </c>
      <c r="EK46" s="21">
        <v>-40.446350693600074</v>
      </c>
      <c r="EL46" s="21">
        <v>68.223836558262661</v>
      </c>
    </row>
    <row r="47" spans="1:142" ht="15" customHeight="1" x14ac:dyDescent="0.45">
      <c r="A47" s="11">
        <v>41</v>
      </c>
      <c r="B47" s="12">
        <f t="shared" si="0"/>
        <v>41</v>
      </c>
      <c r="C47" s="12" t="s">
        <v>52</v>
      </c>
      <c r="D47" s="12">
        <v>1</v>
      </c>
      <c r="E47" s="12" t="s">
        <v>53</v>
      </c>
      <c r="F47" s="12">
        <v>0</v>
      </c>
      <c r="G47" s="12">
        <v>1</v>
      </c>
      <c r="H47" s="12" t="s">
        <v>61</v>
      </c>
      <c r="I47" s="12">
        <v>1</v>
      </c>
      <c r="J47" s="12">
        <v>0</v>
      </c>
      <c r="K47" s="12">
        <v>12</v>
      </c>
      <c r="L47" s="12">
        <f t="shared" si="1"/>
        <v>12</v>
      </c>
      <c r="M47" s="12">
        <v>3</v>
      </c>
      <c r="N47" s="12" t="s">
        <v>91</v>
      </c>
      <c r="O47" s="12">
        <v>0</v>
      </c>
      <c r="P47" s="12">
        <v>0</v>
      </c>
      <c r="Q47" s="12">
        <v>0</v>
      </c>
      <c r="R47" s="12">
        <v>0</v>
      </c>
      <c r="S47" s="12">
        <v>1</v>
      </c>
      <c r="T47" s="12">
        <v>2</v>
      </c>
      <c r="U47" s="12" t="s">
        <v>19</v>
      </c>
      <c r="V47" s="12">
        <v>1</v>
      </c>
      <c r="W47" s="12">
        <v>49</v>
      </c>
      <c r="X47" s="12">
        <v>3</v>
      </c>
      <c r="Y47" s="12">
        <v>5</v>
      </c>
      <c r="Z47" s="12" t="s">
        <v>89</v>
      </c>
      <c r="AA47" s="12">
        <v>0</v>
      </c>
      <c r="AB47" s="12">
        <v>0</v>
      </c>
      <c r="AC47" s="12">
        <v>0</v>
      </c>
      <c r="AD47" s="12">
        <v>0</v>
      </c>
      <c r="AE47" s="12">
        <v>0</v>
      </c>
      <c r="AF47" s="12">
        <v>0</v>
      </c>
      <c r="AG47" s="12">
        <v>0</v>
      </c>
      <c r="AH47" s="12">
        <v>0</v>
      </c>
      <c r="AI47" s="12">
        <v>3</v>
      </c>
      <c r="AJ47" s="12" t="s">
        <v>64</v>
      </c>
      <c r="AK47" s="12">
        <v>0</v>
      </c>
      <c r="AL47" s="12">
        <v>1</v>
      </c>
      <c r="AM47" s="12">
        <v>19545</v>
      </c>
      <c r="AN47" s="12">
        <f t="shared" si="2"/>
        <v>19545</v>
      </c>
      <c r="AO47" s="12">
        <v>1</v>
      </c>
      <c r="AP47" s="12" t="s">
        <v>59</v>
      </c>
      <c r="AQ47" s="12">
        <v>0</v>
      </c>
      <c r="AR47" s="12">
        <v>12</v>
      </c>
      <c r="AS47" s="12">
        <v>3</v>
      </c>
      <c r="AT47" s="12">
        <v>4</v>
      </c>
      <c r="AU47" s="12">
        <v>0</v>
      </c>
      <c r="AV47" s="12">
        <v>23</v>
      </c>
      <c r="AW47" s="12">
        <f t="shared" si="3"/>
        <v>23</v>
      </c>
      <c r="AX47" s="12">
        <v>0</v>
      </c>
      <c r="AY47" s="12">
        <v>3</v>
      </c>
      <c r="AZ47" s="12">
        <v>22</v>
      </c>
      <c r="BA47" s="12">
        <f t="shared" si="4"/>
        <v>22</v>
      </c>
      <c r="BB47" s="12">
        <v>15</v>
      </c>
      <c r="BC47" s="12">
        <v>15</v>
      </c>
      <c r="BD47" s="12">
        <f t="shared" si="13"/>
        <v>14</v>
      </c>
      <c r="BE47" s="12">
        <v>8</v>
      </c>
      <c r="BF47" s="12">
        <f t="shared" si="5"/>
        <v>8</v>
      </c>
      <c r="BG47" s="12">
        <f t="shared" si="14"/>
        <v>40</v>
      </c>
      <c r="BH47" s="67">
        <v>0</v>
      </c>
      <c r="BI47" s="67">
        <v>1</v>
      </c>
      <c r="BJ47" s="67">
        <v>0</v>
      </c>
      <c r="BK47" s="67">
        <v>0</v>
      </c>
      <c r="BL47" s="67">
        <v>0</v>
      </c>
      <c r="BM47" s="67">
        <v>0</v>
      </c>
      <c r="BN47" s="67">
        <v>1</v>
      </c>
      <c r="BO47" s="67">
        <v>0</v>
      </c>
      <c r="BP47" s="67">
        <v>0</v>
      </c>
      <c r="BQ47" s="67">
        <v>8</v>
      </c>
      <c r="BR47" s="67">
        <v>0</v>
      </c>
      <c r="BS47" s="67">
        <v>0</v>
      </c>
      <c r="BT47" s="67">
        <v>23</v>
      </c>
      <c r="BU47" s="70">
        <v>0</v>
      </c>
      <c r="BV47" s="29">
        <f t="shared" si="6"/>
        <v>2.7702184425959988</v>
      </c>
      <c r="BW47">
        <f t="shared" si="7"/>
        <v>1.08652546240644</v>
      </c>
      <c r="BX47">
        <f t="shared" si="8"/>
        <v>1.5063278539414293</v>
      </c>
      <c r="BY47">
        <f t="shared" si="9"/>
        <v>2.4470374905442531</v>
      </c>
      <c r="BZ47">
        <f t="shared" si="10"/>
        <v>0.3463093549271386</v>
      </c>
      <c r="CA47">
        <f t="shared" si="11"/>
        <v>0.4461985578408646</v>
      </c>
      <c r="CB47">
        <f t="shared" si="12"/>
        <v>3.9759572087271318</v>
      </c>
      <c r="CJ47" s="18" t="s">
        <v>41</v>
      </c>
      <c r="CK47" s="21">
        <v>-159.97155678350174</v>
      </c>
      <c r="CL47" s="21">
        <v>133.42012263512132</v>
      </c>
      <c r="CM47" s="21">
        <v>-1.1990062190318438</v>
      </c>
      <c r="CN47" s="22">
        <v>0.23072556969891569</v>
      </c>
      <c r="CO47" s="21">
        <v>-421.69327230175782</v>
      </c>
      <c r="CP47" s="21">
        <v>101.75015873475434</v>
      </c>
      <c r="DH47" s="18" t="s">
        <v>43</v>
      </c>
      <c r="DI47" s="21">
        <v>-27.547735586518229</v>
      </c>
      <c r="DJ47" s="21">
        <v>48.789254833894681</v>
      </c>
      <c r="DK47" s="21">
        <v>-0.56462710242871705</v>
      </c>
      <c r="DL47" s="22">
        <v>0.57241616705830278</v>
      </c>
      <c r="DM47" s="21">
        <v>-123.25409372274035</v>
      </c>
      <c r="DN47" s="21">
        <v>68.158622549703892</v>
      </c>
      <c r="EF47" s="18" t="s">
        <v>43</v>
      </c>
      <c r="EG47" s="21">
        <v>-41.890767645702454</v>
      </c>
      <c r="EH47" s="21">
        <v>47.969207212142472</v>
      </c>
      <c r="EI47" s="21">
        <v>-0.8732845523262811</v>
      </c>
      <c r="EJ47" s="22">
        <v>0.38265492519187216</v>
      </c>
      <c r="EK47" s="21">
        <v>-135.98849757796091</v>
      </c>
      <c r="EL47" s="21">
        <v>52.206962286555992</v>
      </c>
    </row>
    <row r="48" spans="1:142" ht="15" customHeight="1" x14ac:dyDescent="0.45">
      <c r="A48" s="11">
        <v>34</v>
      </c>
      <c r="B48" s="12">
        <f t="shared" si="0"/>
        <v>34</v>
      </c>
      <c r="C48" s="12" t="s">
        <v>59</v>
      </c>
      <c r="D48" s="12">
        <v>0</v>
      </c>
      <c r="E48" s="12" t="s">
        <v>86</v>
      </c>
      <c r="F48" s="12">
        <v>0</v>
      </c>
      <c r="G48" s="12">
        <v>0</v>
      </c>
      <c r="H48" s="12" t="s">
        <v>54</v>
      </c>
      <c r="I48" s="12">
        <v>0</v>
      </c>
      <c r="J48" s="12">
        <v>1</v>
      </c>
      <c r="K48" s="12">
        <v>23</v>
      </c>
      <c r="L48" s="12">
        <f t="shared" si="1"/>
        <v>23</v>
      </c>
      <c r="M48" s="12">
        <v>4</v>
      </c>
      <c r="N48" s="12" t="s">
        <v>90</v>
      </c>
      <c r="O48" s="12">
        <v>0</v>
      </c>
      <c r="P48" s="12">
        <v>0</v>
      </c>
      <c r="Q48" s="12">
        <v>0</v>
      </c>
      <c r="R48" s="12">
        <v>1</v>
      </c>
      <c r="S48" s="12">
        <v>0</v>
      </c>
      <c r="T48" s="12">
        <v>2</v>
      </c>
      <c r="U48" s="12" t="s">
        <v>62</v>
      </c>
      <c r="V48" s="12">
        <v>0</v>
      </c>
      <c r="W48" s="12">
        <v>72</v>
      </c>
      <c r="X48" s="12">
        <v>3</v>
      </c>
      <c r="Y48" s="12">
        <v>2</v>
      </c>
      <c r="Z48" s="12" t="s">
        <v>56</v>
      </c>
      <c r="AA48" s="12">
        <v>0</v>
      </c>
      <c r="AB48" s="12">
        <v>1</v>
      </c>
      <c r="AC48" s="12">
        <v>0</v>
      </c>
      <c r="AD48" s="12">
        <v>0</v>
      </c>
      <c r="AE48" s="12">
        <v>0</v>
      </c>
      <c r="AF48" s="12">
        <v>0</v>
      </c>
      <c r="AG48" s="12">
        <v>0</v>
      </c>
      <c r="AH48" s="12">
        <v>0</v>
      </c>
      <c r="AI48" s="12">
        <v>3</v>
      </c>
      <c r="AJ48" s="12" t="s">
        <v>57</v>
      </c>
      <c r="AK48" s="12">
        <v>1</v>
      </c>
      <c r="AL48" s="12">
        <v>0</v>
      </c>
      <c r="AM48" s="12">
        <v>4568</v>
      </c>
      <c r="AN48" s="12">
        <f t="shared" si="2"/>
        <v>4568</v>
      </c>
      <c r="AO48" s="12">
        <v>0</v>
      </c>
      <c r="AP48" s="12" t="s">
        <v>59</v>
      </c>
      <c r="AQ48" s="12">
        <v>0</v>
      </c>
      <c r="AR48" s="12">
        <v>20</v>
      </c>
      <c r="AS48" s="12">
        <v>4</v>
      </c>
      <c r="AT48" s="12">
        <v>3</v>
      </c>
      <c r="AU48" s="12">
        <v>0</v>
      </c>
      <c r="AV48" s="12">
        <v>10</v>
      </c>
      <c r="AW48" s="12">
        <f t="shared" si="3"/>
        <v>10</v>
      </c>
      <c r="AX48" s="12">
        <v>2</v>
      </c>
      <c r="AY48" s="12">
        <v>3</v>
      </c>
      <c r="AZ48" s="12">
        <v>9</v>
      </c>
      <c r="BA48" s="12">
        <f t="shared" si="4"/>
        <v>9</v>
      </c>
      <c r="BB48" s="12">
        <v>5</v>
      </c>
      <c r="BC48" s="12">
        <v>8</v>
      </c>
      <c r="BD48" s="12">
        <f t="shared" si="13"/>
        <v>8</v>
      </c>
      <c r="BE48" s="12">
        <v>7</v>
      </c>
      <c r="BF48" s="12">
        <f t="shared" si="5"/>
        <v>7</v>
      </c>
      <c r="BG48" s="12">
        <f t="shared" si="14"/>
        <v>14</v>
      </c>
      <c r="BH48" s="67">
        <v>1</v>
      </c>
      <c r="BI48" s="67">
        <v>0</v>
      </c>
      <c r="BJ48" s="67">
        <v>0</v>
      </c>
      <c r="BK48" s="67">
        <v>0</v>
      </c>
      <c r="BL48" s="67">
        <v>1</v>
      </c>
      <c r="BM48" s="67">
        <v>0</v>
      </c>
      <c r="BN48" s="67">
        <v>0</v>
      </c>
      <c r="BO48" s="67">
        <v>0</v>
      </c>
      <c r="BP48" s="67">
        <v>0</v>
      </c>
      <c r="BQ48" s="67">
        <v>0</v>
      </c>
      <c r="BR48" s="67">
        <v>7</v>
      </c>
      <c r="BS48" s="67">
        <v>0</v>
      </c>
      <c r="BT48" s="67">
        <v>0</v>
      </c>
      <c r="BU48" s="70">
        <v>10</v>
      </c>
      <c r="BV48" s="29">
        <f t="shared" si="6"/>
        <v>0.41099172776258092</v>
      </c>
      <c r="BW48">
        <f t="shared" si="7"/>
        <v>0.80626709607243985</v>
      </c>
      <c r="BX48">
        <f t="shared" si="8"/>
        <v>0.1644554352117841</v>
      </c>
      <c r="BY48">
        <f t="shared" si="9"/>
        <v>0.32511687867835437</v>
      </c>
      <c r="BZ48">
        <f t="shared" si="10"/>
        <v>1.7031841475541873</v>
      </c>
      <c r="CA48">
        <f t="shared" si="11"/>
        <v>0.32005363845127444</v>
      </c>
      <c r="CB48">
        <f t="shared" si="12"/>
        <v>1.8036836779953602</v>
      </c>
      <c r="CJ48" s="18" t="s">
        <v>42</v>
      </c>
      <c r="CK48" s="21">
        <v>8.9613323822709816</v>
      </c>
      <c r="CL48" s="21">
        <v>28.271951246166761</v>
      </c>
      <c r="CM48" s="21">
        <v>0.31696900946962403</v>
      </c>
      <c r="CN48" s="22">
        <v>0.75131371137718439</v>
      </c>
      <c r="CO48" s="21">
        <v>-46.497944937021934</v>
      </c>
      <c r="CP48" s="21">
        <v>64.420609701563905</v>
      </c>
      <c r="DH48" s="18" t="s">
        <v>395</v>
      </c>
      <c r="DI48" s="21">
        <v>49.081191613559284</v>
      </c>
      <c r="DJ48" s="21">
        <v>8.6043722283664028</v>
      </c>
      <c r="DK48" s="21">
        <v>5.7042152885658775</v>
      </c>
      <c r="DL48" s="22">
        <v>1.4188140434025821E-8</v>
      </c>
      <c r="DM48" s="21">
        <v>32.202615934774684</v>
      </c>
      <c r="DN48" s="21">
        <v>65.959767292343884</v>
      </c>
      <c r="EF48" s="18" t="s">
        <v>395</v>
      </c>
      <c r="EG48" s="21">
        <v>176.26001920434464</v>
      </c>
      <c r="EH48" s="21">
        <v>20.680836531224958</v>
      </c>
      <c r="EI48" s="21">
        <v>8.5228669999986941</v>
      </c>
      <c r="EJ48" s="22">
        <v>3.901242769950527E-17</v>
      </c>
      <c r="EK48" s="21">
        <v>135.69191554396576</v>
      </c>
      <c r="EL48" s="21">
        <v>216.82812286472353</v>
      </c>
    </row>
    <row r="49" spans="1:142" ht="15" customHeight="1" x14ac:dyDescent="0.45">
      <c r="A49" s="11">
        <v>37</v>
      </c>
      <c r="B49" s="12">
        <f t="shared" si="0"/>
        <v>37</v>
      </c>
      <c r="C49" s="12" t="s">
        <v>59</v>
      </c>
      <c r="D49" s="12">
        <v>0</v>
      </c>
      <c r="E49" s="12" t="s">
        <v>53</v>
      </c>
      <c r="F49" s="12">
        <v>0</v>
      </c>
      <c r="G49" s="12">
        <v>1</v>
      </c>
      <c r="H49" s="12" t="s">
        <v>61</v>
      </c>
      <c r="I49" s="12">
        <v>1</v>
      </c>
      <c r="J49" s="12">
        <v>0</v>
      </c>
      <c r="K49" s="12">
        <v>19</v>
      </c>
      <c r="L49" s="12">
        <f t="shared" si="1"/>
        <v>19</v>
      </c>
      <c r="M49" s="12">
        <v>2</v>
      </c>
      <c r="N49" s="12" t="s">
        <v>55</v>
      </c>
      <c r="O49" s="12">
        <v>1</v>
      </c>
      <c r="P49" s="12">
        <v>0</v>
      </c>
      <c r="Q49" s="12">
        <v>0</v>
      </c>
      <c r="R49" s="12">
        <v>0</v>
      </c>
      <c r="S49" s="12">
        <v>0</v>
      </c>
      <c r="T49" s="12">
        <v>2</v>
      </c>
      <c r="U49" s="12" t="s">
        <v>62</v>
      </c>
      <c r="V49" s="12">
        <v>0</v>
      </c>
      <c r="W49" s="12">
        <v>73</v>
      </c>
      <c r="X49" s="12">
        <v>3</v>
      </c>
      <c r="Y49" s="12">
        <v>1</v>
      </c>
      <c r="Z49" s="12" t="s">
        <v>63</v>
      </c>
      <c r="AA49" s="12">
        <v>0</v>
      </c>
      <c r="AB49" s="12">
        <v>0</v>
      </c>
      <c r="AC49" s="12">
        <v>0</v>
      </c>
      <c r="AD49" s="12">
        <v>0</v>
      </c>
      <c r="AE49" s="12">
        <v>0</v>
      </c>
      <c r="AF49" s="12">
        <v>0</v>
      </c>
      <c r="AG49" s="12">
        <v>0</v>
      </c>
      <c r="AH49" s="12">
        <v>1</v>
      </c>
      <c r="AI49" s="12">
        <v>2</v>
      </c>
      <c r="AJ49" s="12" t="s">
        <v>64</v>
      </c>
      <c r="AK49" s="12">
        <v>0</v>
      </c>
      <c r="AL49" s="12">
        <v>1</v>
      </c>
      <c r="AM49" s="12">
        <v>3022</v>
      </c>
      <c r="AN49" s="12">
        <f t="shared" si="2"/>
        <v>3022</v>
      </c>
      <c r="AO49" s="12">
        <v>4</v>
      </c>
      <c r="AP49" s="12" t="s">
        <v>59</v>
      </c>
      <c r="AQ49" s="12">
        <v>0</v>
      </c>
      <c r="AR49" s="12">
        <v>21</v>
      </c>
      <c r="AS49" s="12">
        <v>4</v>
      </c>
      <c r="AT49" s="12">
        <v>1</v>
      </c>
      <c r="AU49" s="12">
        <v>0</v>
      </c>
      <c r="AV49" s="12">
        <v>8</v>
      </c>
      <c r="AW49" s="12">
        <f t="shared" si="3"/>
        <v>8</v>
      </c>
      <c r="AX49" s="12">
        <v>1</v>
      </c>
      <c r="AY49" s="12">
        <v>3</v>
      </c>
      <c r="AZ49" s="12">
        <v>1</v>
      </c>
      <c r="BA49" s="12">
        <f t="shared" si="4"/>
        <v>1</v>
      </c>
      <c r="BB49" s="12">
        <v>0</v>
      </c>
      <c r="BC49" s="12">
        <v>0</v>
      </c>
      <c r="BD49" s="12">
        <f t="shared" si="13"/>
        <v>0</v>
      </c>
      <c r="BE49" s="12">
        <v>0</v>
      </c>
      <c r="BF49" s="12">
        <f t="shared" si="5"/>
        <v>0</v>
      </c>
      <c r="BG49" s="12">
        <f t="shared" si="14"/>
        <v>0</v>
      </c>
      <c r="BH49" s="67">
        <v>0</v>
      </c>
      <c r="BI49" s="67">
        <v>1</v>
      </c>
      <c r="BJ49" s="67">
        <v>0</v>
      </c>
      <c r="BK49" s="67">
        <v>0</v>
      </c>
      <c r="BL49" s="67">
        <v>0</v>
      </c>
      <c r="BM49" s="67">
        <v>0</v>
      </c>
      <c r="BN49" s="67">
        <v>1</v>
      </c>
      <c r="BO49" s="67">
        <v>0</v>
      </c>
      <c r="BP49" s="67">
        <v>0</v>
      </c>
      <c r="BQ49" s="67">
        <v>0</v>
      </c>
      <c r="BR49" s="67">
        <v>0</v>
      </c>
      <c r="BS49" s="67">
        <v>0</v>
      </c>
      <c r="BT49" s="67">
        <v>8</v>
      </c>
      <c r="BU49" s="70">
        <v>0</v>
      </c>
      <c r="BV49" s="29">
        <f t="shared" si="6"/>
        <v>0.73937197236259189</v>
      </c>
      <c r="BW49">
        <f t="shared" si="7"/>
        <v>1.1555414682655611</v>
      </c>
      <c r="BX49">
        <f t="shared" si="8"/>
        <v>0.42149901815843233</v>
      </c>
      <c r="BY49">
        <f t="shared" si="9"/>
        <v>0.9806804209314296</v>
      </c>
      <c r="BZ49">
        <f t="shared" si="10"/>
        <v>1.2097751320534422</v>
      </c>
      <c r="CA49">
        <f t="shared" si="11"/>
        <v>8.3401599596422994E-3</v>
      </c>
      <c r="CB49">
        <f t="shared" si="12"/>
        <v>0.67891464284095016</v>
      </c>
      <c r="CJ49" s="18" t="s">
        <v>43</v>
      </c>
      <c r="CK49" s="21">
        <v>-16.590898546198162</v>
      </c>
      <c r="CL49" s="21">
        <v>48.928118814806417</v>
      </c>
      <c r="CM49" s="21">
        <v>-0.33908719460470027</v>
      </c>
      <c r="CN49" s="22">
        <v>0.73459418209461236</v>
      </c>
      <c r="CO49" s="21">
        <v>-112.57005776427914</v>
      </c>
      <c r="CP49" s="21">
        <v>79.388260671882819</v>
      </c>
      <c r="DH49" s="18" t="s">
        <v>45</v>
      </c>
      <c r="DI49" s="21">
        <v>-21.48759504402517</v>
      </c>
      <c r="DJ49" s="21">
        <v>23.751790792617189</v>
      </c>
      <c r="DK49" s="21">
        <v>-0.90467263001929932</v>
      </c>
      <c r="DL49" s="22">
        <v>0.36579155029279498</v>
      </c>
      <c r="DM49" s="21">
        <v>-68.079767925411687</v>
      </c>
      <c r="DN49" s="21">
        <v>25.104577837361347</v>
      </c>
      <c r="EF49" s="18" t="s">
        <v>45</v>
      </c>
      <c r="EG49" s="21">
        <v>-18.671674305977845</v>
      </c>
      <c r="EH49" s="21">
        <v>23.324443322653352</v>
      </c>
      <c r="EI49" s="21">
        <v>-0.80051961145170791</v>
      </c>
      <c r="EJ49" s="22">
        <v>0.42354305747959975</v>
      </c>
      <c r="EK49" s="21">
        <v>-64.425550514291302</v>
      </c>
      <c r="EL49" s="21">
        <v>27.082201902335619</v>
      </c>
    </row>
    <row r="50" spans="1:142" ht="15" customHeight="1" x14ac:dyDescent="0.45">
      <c r="A50" s="11">
        <v>46</v>
      </c>
      <c r="B50" s="12">
        <f t="shared" si="0"/>
        <v>46</v>
      </c>
      <c r="C50" s="12" t="s">
        <v>59</v>
      </c>
      <c r="D50" s="12">
        <v>0</v>
      </c>
      <c r="E50" s="12" t="s">
        <v>60</v>
      </c>
      <c r="F50" s="12">
        <v>1</v>
      </c>
      <c r="G50" s="12">
        <v>0</v>
      </c>
      <c r="H50" s="12" t="s">
        <v>54</v>
      </c>
      <c r="I50" s="12">
        <v>0</v>
      </c>
      <c r="J50" s="12">
        <v>1</v>
      </c>
      <c r="K50" s="12">
        <v>5</v>
      </c>
      <c r="L50" s="12">
        <f t="shared" si="1"/>
        <v>5</v>
      </c>
      <c r="M50" s="12">
        <v>4</v>
      </c>
      <c r="N50" s="12" t="s">
        <v>90</v>
      </c>
      <c r="O50" s="12">
        <v>0</v>
      </c>
      <c r="P50" s="12">
        <v>0</v>
      </c>
      <c r="Q50" s="12">
        <v>0</v>
      </c>
      <c r="R50" s="12">
        <v>1</v>
      </c>
      <c r="S50" s="12">
        <v>0</v>
      </c>
      <c r="T50" s="12">
        <v>1</v>
      </c>
      <c r="U50" s="12" t="s">
        <v>62</v>
      </c>
      <c r="V50" s="12">
        <v>0</v>
      </c>
      <c r="W50" s="12">
        <v>98</v>
      </c>
      <c r="X50" s="12">
        <v>3</v>
      </c>
      <c r="Y50" s="12">
        <v>2</v>
      </c>
      <c r="Z50" s="12" t="s">
        <v>56</v>
      </c>
      <c r="AA50" s="12">
        <v>0</v>
      </c>
      <c r="AB50" s="12">
        <v>1</v>
      </c>
      <c r="AC50" s="12">
        <v>0</v>
      </c>
      <c r="AD50" s="12">
        <v>0</v>
      </c>
      <c r="AE50" s="12">
        <v>0</v>
      </c>
      <c r="AF50" s="12">
        <v>0</v>
      </c>
      <c r="AG50" s="12">
        <v>0</v>
      </c>
      <c r="AH50" s="12">
        <v>0</v>
      </c>
      <c r="AI50" s="12">
        <v>4</v>
      </c>
      <c r="AJ50" s="12" t="s">
        <v>57</v>
      </c>
      <c r="AK50" s="12">
        <v>1</v>
      </c>
      <c r="AL50" s="12">
        <v>0</v>
      </c>
      <c r="AM50" s="12">
        <v>5772</v>
      </c>
      <c r="AN50" s="12">
        <f t="shared" si="2"/>
        <v>5772</v>
      </c>
      <c r="AO50" s="12">
        <v>4</v>
      </c>
      <c r="AP50" s="12" t="s">
        <v>52</v>
      </c>
      <c r="AQ50" s="12">
        <v>1</v>
      </c>
      <c r="AR50" s="12">
        <v>21</v>
      </c>
      <c r="AS50" s="12">
        <v>4</v>
      </c>
      <c r="AT50" s="12">
        <v>3</v>
      </c>
      <c r="AU50" s="12">
        <v>0</v>
      </c>
      <c r="AV50" s="12">
        <v>14</v>
      </c>
      <c r="AW50" s="12">
        <f t="shared" si="3"/>
        <v>14</v>
      </c>
      <c r="AX50" s="12">
        <v>4</v>
      </c>
      <c r="AY50" s="12">
        <v>3</v>
      </c>
      <c r="AZ50" s="12">
        <v>9</v>
      </c>
      <c r="BA50" s="12">
        <f t="shared" si="4"/>
        <v>9</v>
      </c>
      <c r="BB50" s="12">
        <v>6</v>
      </c>
      <c r="BC50" s="12">
        <v>0</v>
      </c>
      <c r="BD50" s="12">
        <f t="shared" si="13"/>
        <v>0</v>
      </c>
      <c r="BE50" s="12">
        <v>8</v>
      </c>
      <c r="BF50" s="12">
        <f t="shared" si="5"/>
        <v>8</v>
      </c>
      <c r="BG50" s="12">
        <f t="shared" si="14"/>
        <v>16</v>
      </c>
      <c r="BH50" s="67">
        <v>0</v>
      </c>
      <c r="BI50" s="67">
        <v>0</v>
      </c>
      <c r="BJ50" s="67">
        <v>1</v>
      </c>
      <c r="BK50" s="67">
        <v>0</v>
      </c>
      <c r="BL50" s="67">
        <v>0</v>
      </c>
      <c r="BM50" s="67">
        <v>1</v>
      </c>
      <c r="BN50" s="67">
        <v>0</v>
      </c>
      <c r="BO50" s="67">
        <v>0</v>
      </c>
      <c r="BP50" s="67">
        <v>0</v>
      </c>
      <c r="BQ50" s="67">
        <v>0</v>
      </c>
      <c r="BR50" s="67">
        <v>8</v>
      </c>
      <c r="BS50" s="67">
        <v>0</v>
      </c>
      <c r="BT50" s="67">
        <v>0</v>
      </c>
      <c r="BU50" s="70">
        <v>14</v>
      </c>
      <c r="BV50" s="29">
        <f t="shared" si="6"/>
        <v>0.15525446094601353</v>
      </c>
      <c r="BW50">
        <f t="shared" si="7"/>
        <v>1.08652546240644</v>
      </c>
      <c r="BX50">
        <f t="shared" si="8"/>
        <v>0.34963173068151232</v>
      </c>
      <c r="BY50">
        <f t="shared" si="9"/>
        <v>0.32511687867835437</v>
      </c>
      <c r="BZ50">
        <f t="shared" si="10"/>
        <v>0.51715642219916513</v>
      </c>
      <c r="CA50">
        <f t="shared" si="11"/>
        <v>0.99352155519239249</v>
      </c>
      <c r="CB50">
        <f t="shared" si="12"/>
        <v>0.67891464284095016</v>
      </c>
      <c r="CJ50" s="18" t="s">
        <v>44</v>
      </c>
      <c r="CK50" s="21">
        <v>80.959502998660838</v>
      </c>
      <c r="CL50" s="21">
        <v>155.44769593375119</v>
      </c>
      <c r="CM50" s="21">
        <v>0.52081507231322499</v>
      </c>
      <c r="CN50" s="22">
        <v>0.6025768024352427</v>
      </c>
      <c r="CO50" s="21">
        <v>-223.97229326721967</v>
      </c>
      <c r="CP50" s="21">
        <v>385.89129926454132</v>
      </c>
      <c r="DH50" s="18" t="s">
        <v>46</v>
      </c>
      <c r="DI50" s="21">
        <v>-16.773546208066136</v>
      </c>
      <c r="DJ50" s="21">
        <v>43.150434357960926</v>
      </c>
      <c r="DK50" s="21">
        <v>-0.38872253449220601</v>
      </c>
      <c r="DL50" s="22">
        <v>0.69753940109670132</v>
      </c>
      <c r="DM50" s="21">
        <v>-101.41863739579901</v>
      </c>
      <c r="DN50" s="21">
        <v>67.871544979666737</v>
      </c>
      <c r="EF50" s="18" t="s">
        <v>46</v>
      </c>
      <c r="EG50" s="21">
        <v>-19.820314778205926</v>
      </c>
      <c r="EH50" s="21">
        <v>42.392523934518465</v>
      </c>
      <c r="EI50" s="21">
        <v>-0.4675426924054189</v>
      </c>
      <c r="EJ50" s="22">
        <v>0.64018304278764848</v>
      </c>
      <c r="EK50" s="21">
        <v>-102.97866781697311</v>
      </c>
      <c r="EL50" s="21">
        <v>63.338038260561262</v>
      </c>
    </row>
    <row r="51" spans="1:142" ht="15" customHeight="1" x14ac:dyDescent="0.45">
      <c r="A51" s="11">
        <v>35</v>
      </c>
      <c r="B51" s="12">
        <f t="shared" si="0"/>
        <v>35</v>
      </c>
      <c r="C51" s="12" t="s">
        <v>59</v>
      </c>
      <c r="D51" s="12">
        <v>0</v>
      </c>
      <c r="E51" s="12" t="s">
        <v>53</v>
      </c>
      <c r="F51" s="12">
        <v>0</v>
      </c>
      <c r="G51" s="12">
        <v>1</v>
      </c>
      <c r="H51" s="12" t="s">
        <v>61</v>
      </c>
      <c r="I51" s="12">
        <v>1</v>
      </c>
      <c r="J51" s="12">
        <v>0</v>
      </c>
      <c r="K51" s="12">
        <v>8</v>
      </c>
      <c r="L51" s="12">
        <f t="shared" si="1"/>
        <v>8</v>
      </c>
      <c r="M51" s="12">
        <v>1</v>
      </c>
      <c r="N51" s="12" t="s">
        <v>55</v>
      </c>
      <c r="O51" s="12">
        <v>1</v>
      </c>
      <c r="P51" s="12">
        <v>0</v>
      </c>
      <c r="Q51" s="12">
        <v>0</v>
      </c>
      <c r="R51" s="12">
        <v>0</v>
      </c>
      <c r="S51" s="12">
        <v>0</v>
      </c>
      <c r="T51" s="12">
        <v>4</v>
      </c>
      <c r="U51" s="12" t="s">
        <v>62</v>
      </c>
      <c r="V51" s="12">
        <v>0</v>
      </c>
      <c r="W51" s="12">
        <v>36</v>
      </c>
      <c r="X51" s="12">
        <v>4</v>
      </c>
      <c r="Y51" s="12">
        <v>1</v>
      </c>
      <c r="Z51" s="12" t="s">
        <v>67</v>
      </c>
      <c r="AA51" s="12">
        <v>0</v>
      </c>
      <c r="AB51" s="12">
        <v>0</v>
      </c>
      <c r="AC51" s="12">
        <v>1</v>
      </c>
      <c r="AD51" s="12">
        <v>0</v>
      </c>
      <c r="AE51" s="12">
        <v>0</v>
      </c>
      <c r="AF51" s="12">
        <v>0</v>
      </c>
      <c r="AG51" s="12">
        <v>0</v>
      </c>
      <c r="AH51" s="12">
        <v>0</v>
      </c>
      <c r="AI51" s="12">
        <v>4</v>
      </c>
      <c r="AJ51" s="12" t="s">
        <v>64</v>
      </c>
      <c r="AK51" s="12">
        <v>0</v>
      </c>
      <c r="AL51" s="12">
        <v>1</v>
      </c>
      <c r="AM51" s="12">
        <v>2269</v>
      </c>
      <c r="AN51" s="12">
        <f t="shared" si="2"/>
        <v>2269</v>
      </c>
      <c r="AO51" s="12">
        <v>1</v>
      </c>
      <c r="AP51" s="12" t="s">
        <v>59</v>
      </c>
      <c r="AQ51" s="12">
        <v>0</v>
      </c>
      <c r="AR51" s="12">
        <v>19</v>
      </c>
      <c r="AS51" s="12">
        <v>3</v>
      </c>
      <c r="AT51" s="12">
        <v>4</v>
      </c>
      <c r="AU51" s="12">
        <v>0</v>
      </c>
      <c r="AV51" s="12">
        <v>1</v>
      </c>
      <c r="AW51" s="12">
        <f t="shared" si="3"/>
        <v>1</v>
      </c>
      <c r="AX51" s="12">
        <v>2</v>
      </c>
      <c r="AY51" s="12">
        <v>3</v>
      </c>
      <c r="AZ51" s="12">
        <v>1</v>
      </c>
      <c r="BA51" s="12">
        <f t="shared" si="4"/>
        <v>1</v>
      </c>
      <c r="BB51" s="12">
        <v>0</v>
      </c>
      <c r="BC51" s="12">
        <v>0</v>
      </c>
      <c r="BD51" s="12">
        <f t="shared" si="13"/>
        <v>0</v>
      </c>
      <c r="BE51" s="12">
        <v>1</v>
      </c>
      <c r="BF51" s="12">
        <f t="shared" si="5"/>
        <v>1</v>
      </c>
      <c r="BG51" s="12">
        <f t="shared" si="14"/>
        <v>1</v>
      </c>
      <c r="BH51" s="67">
        <v>0</v>
      </c>
      <c r="BI51" s="67">
        <v>1</v>
      </c>
      <c r="BJ51" s="67">
        <v>0</v>
      </c>
      <c r="BK51" s="67">
        <v>0</v>
      </c>
      <c r="BL51" s="67">
        <v>0</v>
      </c>
      <c r="BM51" s="67">
        <v>0</v>
      </c>
      <c r="BN51" s="67">
        <v>1</v>
      </c>
      <c r="BO51" s="67">
        <v>0</v>
      </c>
      <c r="BP51" s="67">
        <v>0</v>
      </c>
      <c r="BQ51" s="67">
        <v>1</v>
      </c>
      <c r="BR51" s="67">
        <v>0</v>
      </c>
      <c r="BS51" s="67">
        <v>0</v>
      </c>
      <c r="BT51" s="67">
        <v>1</v>
      </c>
      <c r="BU51" s="70">
        <v>0</v>
      </c>
      <c r="BV51" s="29">
        <f t="shared" si="6"/>
        <v>0.89931396730684043</v>
      </c>
      <c r="BW51">
        <f t="shared" si="7"/>
        <v>0.87528310193156111</v>
      </c>
      <c r="BX51">
        <f t="shared" si="8"/>
        <v>1.3211515584717011</v>
      </c>
      <c r="BY51">
        <f t="shared" si="9"/>
        <v>0.9806804209314296</v>
      </c>
      <c r="BZ51">
        <f t="shared" si="10"/>
        <v>0.14709966057360641</v>
      </c>
      <c r="CA51">
        <f t="shared" si="11"/>
        <v>0.21058903898096887</v>
      </c>
      <c r="CB51">
        <f t="shared" si="12"/>
        <v>0.67891464284095016</v>
      </c>
      <c r="CJ51" s="18" t="s">
        <v>395</v>
      </c>
      <c r="CK51" s="21">
        <v>-26.785040510957753</v>
      </c>
      <c r="CL51" s="21">
        <v>156.66098485092166</v>
      </c>
      <c r="CM51" s="21">
        <v>-0.17097454440520946</v>
      </c>
      <c r="CN51" s="22">
        <v>0.86426813993240725</v>
      </c>
      <c r="CO51" s="21">
        <v>-334.09686799364027</v>
      </c>
      <c r="CP51" s="21">
        <v>280.52678697172479</v>
      </c>
      <c r="DH51" s="18" t="s">
        <v>396</v>
      </c>
      <c r="DI51" s="21">
        <v>8.344953960960936</v>
      </c>
      <c r="DJ51" s="21">
        <v>11.170513789092636</v>
      </c>
      <c r="DK51" s="21">
        <v>0.74705193677924675</v>
      </c>
      <c r="DL51" s="22">
        <v>0.45515528053055099</v>
      </c>
      <c r="DM51" s="21">
        <v>-13.567436316453058</v>
      </c>
      <c r="DN51" s="21">
        <v>30.25734423837493</v>
      </c>
      <c r="EF51" s="18" t="s">
        <v>396</v>
      </c>
      <c r="EG51" s="21">
        <v>8.0147366560505588</v>
      </c>
      <c r="EH51" s="21">
        <v>10.966589200682833</v>
      </c>
      <c r="EI51" s="21">
        <v>0.73083221313255009</v>
      </c>
      <c r="EJ51" s="22">
        <v>0.46500161979445043</v>
      </c>
      <c r="EK51" s="21">
        <v>-13.497629481671684</v>
      </c>
      <c r="EL51" s="21">
        <v>29.527102793772801</v>
      </c>
    </row>
    <row r="52" spans="1:142" ht="15" customHeight="1" x14ac:dyDescent="0.45">
      <c r="A52" s="11">
        <v>48</v>
      </c>
      <c r="B52" s="12">
        <f t="shared" si="0"/>
        <v>48</v>
      </c>
      <c r="C52" s="12" t="s">
        <v>52</v>
      </c>
      <c r="D52" s="12">
        <v>1</v>
      </c>
      <c r="E52" s="12" t="s">
        <v>53</v>
      </c>
      <c r="F52" s="12">
        <v>0</v>
      </c>
      <c r="G52" s="12">
        <v>1</v>
      </c>
      <c r="H52" s="12" t="s">
        <v>61</v>
      </c>
      <c r="I52" s="12">
        <v>1</v>
      </c>
      <c r="J52" s="12">
        <v>0</v>
      </c>
      <c r="K52" s="12">
        <v>1</v>
      </c>
      <c r="L52" s="12">
        <f t="shared" si="1"/>
        <v>1</v>
      </c>
      <c r="M52" s="12">
        <v>2</v>
      </c>
      <c r="N52" s="12" t="s">
        <v>55</v>
      </c>
      <c r="O52" s="12">
        <v>1</v>
      </c>
      <c r="P52" s="12">
        <v>0</v>
      </c>
      <c r="Q52" s="12">
        <v>0</v>
      </c>
      <c r="R52" s="12">
        <v>0</v>
      </c>
      <c r="S52" s="12">
        <v>0</v>
      </c>
      <c r="T52" s="12">
        <v>1</v>
      </c>
      <c r="U52" s="12" t="s">
        <v>62</v>
      </c>
      <c r="V52" s="12">
        <v>0</v>
      </c>
      <c r="W52" s="12">
        <v>98</v>
      </c>
      <c r="X52" s="12">
        <v>2</v>
      </c>
      <c r="Y52" s="12">
        <v>3</v>
      </c>
      <c r="Z52" s="12" t="s">
        <v>67</v>
      </c>
      <c r="AA52" s="12">
        <v>0</v>
      </c>
      <c r="AB52" s="12">
        <v>0</v>
      </c>
      <c r="AC52" s="12">
        <v>1</v>
      </c>
      <c r="AD52" s="12">
        <v>0</v>
      </c>
      <c r="AE52" s="12">
        <v>0</v>
      </c>
      <c r="AF52" s="12">
        <v>0</v>
      </c>
      <c r="AG52" s="12">
        <v>0</v>
      </c>
      <c r="AH52" s="12">
        <v>0</v>
      </c>
      <c r="AI52" s="12">
        <v>3</v>
      </c>
      <c r="AJ52" s="12" t="s">
        <v>57</v>
      </c>
      <c r="AK52" s="12">
        <v>1</v>
      </c>
      <c r="AL52" s="12">
        <v>0</v>
      </c>
      <c r="AM52" s="12">
        <v>5381</v>
      </c>
      <c r="AN52" s="12">
        <f t="shared" si="2"/>
        <v>5381</v>
      </c>
      <c r="AO52" s="12">
        <v>9</v>
      </c>
      <c r="AP52" s="12" t="s">
        <v>52</v>
      </c>
      <c r="AQ52" s="12">
        <v>1</v>
      </c>
      <c r="AR52" s="12">
        <v>13</v>
      </c>
      <c r="AS52" s="12">
        <v>3</v>
      </c>
      <c r="AT52" s="12">
        <v>4</v>
      </c>
      <c r="AU52" s="12">
        <v>0</v>
      </c>
      <c r="AV52" s="12">
        <v>23</v>
      </c>
      <c r="AW52" s="12">
        <f t="shared" si="3"/>
        <v>23</v>
      </c>
      <c r="AX52" s="12">
        <v>2</v>
      </c>
      <c r="AY52" s="12">
        <v>3</v>
      </c>
      <c r="AZ52" s="12">
        <v>1</v>
      </c>
      <c r="BA52" s="12">
        <f t="shared" si="4"/>
        <v>1</v>
      </c>
      <c r="BB52" s="12">
        <v>0</v>
      </c>
      <c r="BC52" s="12">
        <v>0</v>
      </c>
      <c r="BD52" s="12">
        <f t="shared" si="13"/>
        <v>0</v>
      </c>
      <c r="BE52" s="12">
        <v>0</v>
      </c>
      <c r="BF52" s="12">
        <f t="shared" si="5"/>
        <v>0</v>
      </c>
      <c r="BG52" s="12">
        <f t="shared" si="14"/>
        <v>0</v>
      </c>
      <c r="BH52" s="67">
        <v>1</v>
      </c>
      <c r="BI52" s="67">
        <v>0</v>
      </c>
      <c r="BJ52" s="67">
        <v>0</v>
      </c>
      <c r="BK52" s="67">
        <v>0</v>
      </c>
      <c r="BL52" s="67">
        <v>0</v>
      </c>
      <c r="BM52" s="67">
        <v>1</v>
      </c>
      <c r="BN52" s="67">
        <v>0</v>
      </c>
      <c r="BO52" s="67">
        <v>0</v>
      </c>
      <c r="BP52" s="67">
        <v>0</v>
      </c>
      <c r="BQ52" s="67">
        <v>0</v>
      </c>
      <c r="BR52" s="67">
        <v>0</v>
      </c>
      <c r="BS52" s="67">
        <v>0</v>
      </c>
      <c r="BT52" s="67">
        <v>23</v>
      </c>
      <c r="BU52" s="70">
        <v>0</v>
      </c>
      <c r="BV52" s="29">
        <f t="shared" si="6"/>
        <v>0.23830535075106157</v>
      </c>
      <c r="BW52">
        <f t="shared" si="7"/>
        <v>1.1555414682655611</v>
      </c>
      <c r="BX52">
        <f t="shared" si="8"/>
        <v>1.5063278539414293</v>
      </c>
      <c r="BY52">
        <f t="shared" si="9"/>
        <v>0.9806804209314296</v>
      </c>
      <c r="BZ52">
        <f t="shared" si="10"/>
        <v>1.01056543769991</v>
      </c>
      <c r="CA52">
        <f t="shared" si="11"/>
        <v>1.2124507541330036</v>
      </c>
      <c r="CB52">
        <f t="shared" si="12"/>
        <v>0.67891464284095016</v>
      </c>
      <c r="CJ52" s="18" t="s">
        <v>45</v>
      </c>
      <c r="CK52" s="21">
        <v>-18.770477094271129</v>
      </c>
      <c r="CL52" s="21">
        <v>23.853140311116316</v>
      </c>
      <c r="CM52" s="21">
        <v>-0.78691848743804582</v>
      </c>
      <c r="CN52" s="22">
        <v>0.43146089594238868</v>
      </c>
      <c r="CO52" s="21">
        <v>-65.561655811713436</v>
      </c>
      <c r="CP52" s="21">
        <v>28.020701623171178</v>
      </c>
      <c r="DH52" s="18" t="s">
        <v>48</v>
      </c>
      <c r="DI52" s="21">
        <v>0.10608235589995729</v>
      </c>
      <c r="DJ52" s="21">
        <v>14.053240932338745</v>
      </c>
      <c r="DK52" s="21">
        <v>7.5486043689640941E-3</v>
      </c>
      <c r="DL52" s="22">
        <v>0.9939781974300026</v>
      </c>
      <c r="DM52" s="21">
        <v>-27.461145596732059</v>
      </c>
      <c r="DN52" s="21">
        <v>27.673310308531974</v>
      </c>
      <c r="EF52" s="18" t="s">
        <v>48</v>
      </c>
      <c r="EG52" s="21">
        <v>1.5510107857456887</v>
      </c>
      <c r="EH52" s="21">
        <v>13.79107885082513</v>
      </c>
      <c r="EI52" s="21">
        <v>0.11246478992126788</v>
      </c>
      <c r="EJ52" s="22">
        <v>0.9104707039690898</v>
      </c>
      <c r="EK52" s="21">
        <v>-25.501952742301413</v>
      </c>
      <c r="EL52" s="21">
        <v>28.60397431379279</v>
      </c>
    </row>
    <row r="53" spans="1:142" ht="15" customHeight="1" x14ac:dyDescent="0.45">
      <c r="A53" s="11">
        <v>28</v>
      </c>
      <c r="B53" s="12">
        <f t="shared" si="0"/>
        <v>28</v>
      </c>
      <c r="C53" s="12" t="s">
        <v>52</v>
      </c>
      <c r="D53" s="12">
        <v>1</v>
      </c>
      <c r="E53" s="12" t="s">
        <v>53</v>
      </c>
      <c r="F53" s="12">
        <v>0</v>
      </c>
      <c r="G53" s="12">
        <v>1</v>
      </c>
      <c r="H53" s="12" t="s">
        <v>61</v>
      </c>
      <c r="I53" s="12">
        <v>1</v>
      </c>
      <c r="J53" s="12">
        <v>0</v>
      </c>
      <c r="K53" s="12">
        <v>5</v>
      </c>
      <c r="L53" s="12">
        <f t="shared" si="1"/>
        <v>5</v>
      </c>
      <c r="M53" s="12">
        <v>4</v>
      </c>
      <c r="N53" s="12" t="s">
        <v>91</v>
      </c>
      <c r="O53" s="12">
        <v>0</v>
      </c>
      <c r="P53" s="12">
        <v>0</v>
      </c>
      <c r="Q53" s="12">
        <v>0</v>
      </c>
      <c r="R53" s="12">
        <v>0</v>
      </c>
      <c r="S53" s="12">
        <v>1</v>
      </c>
      <c r="T53" s="12">
        <v>3</v>
      </c>
      <c r="U53" s="12" t="s">
        <v>62</v>
      </c>
      <c r="V53" s="12">
        <v>0</v>
      </c>
      <c r="W53" s="12">
        <v>50</v>
      </c>
      <c r="X53" s="12">
        <v>3</v>
      </c>
      <c r="Y53" s="12">
        <v>1</v>
      </c>
      <c r="Z53" s="12" t="s">
        <v>67</v>
      </c>
      <c r="AA53" s="12">
        <v>0</v>
      </c>
      <c r="AB53" s="12">
        <v>0</v>
      </c>
      <c r="AC53" s="12">
        <v>1</v>
      </c>
      <c r="AD53" s="12">
        <v>0</v>
      </c>
      <c r="AE53" s="12">
        <v>0</v>
      </c>
      <c r="AF53" s="12">
        <v>0</v>
      </c>
      <c r="AG53" s="12">
        <v>0</v>
      </c>
      <c r="AH53" s="12">
        <v>0</v>
      </c>
      <c r="AI53" s="12">
        <v>3</v>
      </c>
      <c r="AJ53" s="12" t="s">
        <v>57</v>
      </c>
      <c r="AK53" s="12">
        <v>1</v>
      </c>
      <c r="AL53" s="12">
        <v>0</v>
      </c>
      <c r="AM53" s="12">
        <v>3441</v>
      </c>
      <c r="AN53" s="12">
        <f t="shared" si="2"/>
        <v>3441</v>
      </c>
      <c r="AO53" s="12">
        <v>1</v>
      </c>
      <c r="AP53" s="12" t="s">
        <v>52</v>
      </c>
      <c r="AQ53" s="12">
        <v>1</v>
      </c>
      <c r="AR53" s="12">
        <v>13</v>
      </c>
      <c r="AS53" s="12">
        <v>3</v>
      </c>
      <c r="AT53" s="12">
        <v>3</v>
      </c>
      <c r="AU53" s="12">
        <v>0</v>
      </c>
      <c r="AV53" s="12">
        <v>2</v>
      </c>
      <c r="AW53" s="12">
        <f t="shared" si="3"/>
        <v>2</v>
      </c>
      <c r="AX53" s="12">
        <v>3</v>
      </c>
      <c r="AY53" s="12">
        <v>2</v>
      </c>
      <c r="AZ53" s="12">
        <v>2</v>
      </c>
      <c r="BA53" s="12">
        <f t="shared" si="4"/>
        <v>2</v>
      </c>
      <c r="BB53" s="12">
        <v>2</v>
      </c>
      <c r="BC53" s="12">
        <v>2</v>
      </c>
      <c r="BD53" s="12">
        <f t="shared" si="13"/>
        <v>2</v>
      </c>
      <c r="BE53" s="12">
        <v>2</v>
      </c>
      <c r="BF53" s="12">
        <f t="shared" si="5"/>
        <v>2</v>
      </c>
      <c r="BG53" s="12">
        <f t="shared" si="14"/>
        <v>2</v>
      </c>
      <c r="BH53" s="67">
        <v>1</v>
      </c>
      <c r="BI53" s="67">
        <v>0</v>
      </c>
      <c r="BJ53" s="67">
        <v>0</v>
      </c>
      <c r="BK53" s="67">
        <v>0</v>
      </c>
      <c r="BL53" s="67">
        <v>0</v>
      </c>
      <c r="BM53" s="67">
        <v>1</v>
      </c>
      <c r="BN53" s="67">
        <v>0</v>
      </c>
      <c r="BO53" s="67">
        <v>0</v>
      </c>
      <c r="BP53" s="67">
        <v>0</v>
      </c>
      <c r="BQ53" s="67">
        <v>2</v>
      </c>
      <c r="BR53" s="67">
        <v>0</v>
      </c>
      <c r="BS53" s="67">
        <v>0</v>
      </c>
      <c r="BT53" s="67">
        <v>2</v>
      </c>
      <c r="BU53" s="70">
        <v>0</v>
      </c>
      <c r="BV53" s="29">
        <f t="shared" si="6"/>
        <v>0.65037370425948415</v>
      </c>
      <c r="BW53">
        <f t="shared" si="7"/>
        <v>0.59502473559756086</v>
      </c>
      <c r="BX53">
        <f t="shared" si="8"/>
        <v>1.192629766998377</v>
      </c>
      <c r="BY53">
        <f t="shared" si="9"/>
        <v>0.81745575848020657</v>
      </c>
      <c r="BZ53">
        <f t="shared" si="10"/>
        <v>0.51715642219916513</v>
      </c>
      <c r="CA53">
        <f t="shared" si="11"/>
        <v>0.97684123527310796</v>
      </c>
      <c r="CB53">
        <f t="shared" si="12"/>
        <v>5.8265062631872602E-2</v>
      </c>
      <c r="CJ53" s="18" t="s">
        <v>46</v>
      </c>
      <c r="CK53" s="21">
        <v>-19.251255371615017</v>
      </c>
      <c r="CL53" s="21">
        <v>43.439478979188912</v>
      </c>
      <c r="CM53" s="21">
        <v>-0.44317417759172373</v>
      </c>
      <c r="CN53" s="22">
        <v>0.65770726220798403</v>
      </c>
      <c r="CO53" s="21">
        <v>-104.46370110399342</v>
      </c>
      <c r="CP53" s="21">
        <v>65.961190360763382</v>
      </c>
      <c r="DH53" s="18" t="s">
        <v>518</v>
      </c>
      <c r="DI53" s="21">
        <v>18.776961923237877</v>
      </c>
      <c r="DJ53" s="21">
        <v>12.376143723150335</v>
      </c>
      <c r="DK53" s="21">
        <v>1.5171900345755052</v>
      </c>
      <c r="DL53" s="22">
        <v>0.12944020156774824</v>
      </c>
      <c r="DM53" s="21">
        <v>-5.5004255372959356</v>
      </c>
      <c r="DN53" s="21">
        <v>43.054349383771694</v>
      </c>
      <c r="EF53" s="18" t="s">
        <v>518</v>
      </c>
      <c r="EG53" s="21">
        <v>19.918815441464858</v>
      </c>
      <c r="EH53" s="21">
        <v>12.182402966836015</v>
      </c>
      <c r="EI53" s="21">
        <v>1.6350481506554635</v>
      </c>
      <c r="EJ53" s="22">
        <v>0.10225950244242958</v>
      </c>
      <c r="EK53" s="21">
        <v>-3.9785247674245383</v>
      </c>
      <c r="EL53" s="21">
        <v>43.816155650354254</v>
      </c>
    </row>
    <row r="54" spans="1:142" ht="15" customHeight="1" x14ac:dyDescent="0.45">
      <c r="A54" s="11">
        <v>44</v>
      </c>
      <c r="B54" s="12">
        <f t="shared" si="0"/>
        <v>44</v>
      </c>
      <c r="C54" s="12" t="s">
        <v>59</v>
      </c>
      <c r="D54" s="12">
        <v>0</v>
      </c>
      <c r="E54" s="12" t="s">
        <v>53</v>
      </c>
      <c r="F54" s="12">
        <v>0</v>
      </c>
      <c r="G54" s="12">
        <v>1</v>
      </c>
      <c r="H54" s="12" t="s">
        <v>54</v>
      </c>
      <c r="I54" s="12">
        <v>0</v>
      </c>
      <c r="J54" s="12">
        <v>1</v>
      </c>
      <c r="K54" s="12">
        <v>1</v>
      </c>
      <c r="L54" s="12">
        <f t="shared" si="1"/>
        <v>1</v>
      </c>
      <c r="M54" s="12">
        <v>5</v>
      </c>
      <c r="N54" s="12" t="s">
        <v>90</v>
      </c>
      <c r="O54" s="12">
        <v>0</v>
      </c>
      <c r="P54" s="12">
        <v>0</v>
      </c>
      <c r="Q54" s="12">
        <v>0</v>
      </c>
      <c r="R54" s="12">
        <v>1</v>
      </c>
      <c r="S54" s="12">
        <v>0</v>
      </c>
      <c r="T54" s="12">
        <v>2</v>
      </c>
      <c r="U54" s="12" t="s">
        <v>19</v>
      </c>
      <c r="V54" s="12">
        <v>1</v>
      </c>
      <c r="W54" s="12">
        <v>75</v>
      </c>
      <c r="X54" s="12">
        <v>3</v>
      </c>
      <c r="Y54" s="12">
        <v>2</v>
      </c>
      <c r="Z54" s="12" t="s">
        <v>56</v>
      </c>
      <c r="AA54" s="12">
        <v>0</v>
      </c>
      <c r="AB54" s="12">
        <v>1</v>
      </c>
      <c r="AC54" s="12">
        <v>0</v>
      </c>
      <c r="AD54" s="12">
        <v>0</v>
      </c>
      <c r="AE54" s="12">
        <v>0</v>
      </c>
      <c r="AF54" s="12">
        <v>0</v>
      </c>
      <c r="AG54" s="12">
        <v>0</v>
      </c>
      <c r="AH54" s="12">
        <v>0</v>
      </c>
      <c r="AI54" s="12">
        <v>1</v>
      </c>
      <c r="AJ54" s="12" t="s">
        <v>78</v>
      </c>
      <c r="AK54" s="12">
        <v>0</v>
      </c>
      <c r="AL54" s="12">
        <v>0</v>
      </c>
      <c r="AM54" s="12">
        <v>5454</v>
      </c>
      <c r="AN54" s="12">
        <f t="shared" si="2"/>
        <v>5454</v>
      </c>
      <c r="AO54" s="12">
        <v>5</v>
      </c>
      <c r="AP54" s="12" t="s">
        <v>52</v>
      </c>
      <c r="AQ54" s="12">
        <v>1</v>
      </c>
      <c r="AR54" s="12">
        <v>21</v>
      </c>
      <c r="AS54" s="12">
        <v>4</v>
      </c>
      <c r="AT54" s="12">
        <v>3</v>
      </c>
      <c r="AU54" s="12">
        <v>1</v>
      </c>
      <c r="AV54" s="12">
        <v>9</v>
      </c>
      <c r="AW54" s="12">
        <f t="shared" si="3"/>
        <v>9</v>
      </c>
      <c r="AX54" s="12">
        <v>2</v>
      </c>
      <c r="AY54" s="12">
        <v>2</v>
      </c>
      <c r="AZ54" s="12">
        <v>4</v>
      </c>
      <c r="BA54" s="12">
        <f t="shared" si="4"/>
        <v>4</v>
      </c>
      <c r="BB54" s="12">
        <v>3</v>
      </c>
      <c r="BC54" s="12">
        <v>1</v>
      </c>
      <c r="BD54" s="12">
        <f t="shared" si="13"/>
        <v>1</v>
      </c>
      <c r="BE54" s="12">
        <v>3</v>
      </c>
      <c r="BF54" s="12">
        <f t="shared" si="5"/>
        <v>3</v>
      </c>
      <c r="BG54" s="12">
        <f t="shared" si="14"/>
        <v>6</v>
      </c>
      <c r="BH54" s="67">
        <v>1</v>
      </c>
      <c r="BI54" s="67">
        <v>0</v>
      </c>
      <c r="BJ54" s="67">
        <v>0</v>
      </c>
      <c r="BK54" s="67">
        <v>0</v>
      </c>
      <c r="BL54" s="67">
        <v>0</v>
      </c>
      <c r="BM54" s="67">
        <v>1</v>
      </c>
      <c r="BN54" s="67">
        <v>0</v>
      </c>
      <c r="BO54" s="67">
        <v>0</v>
      </c>
      <c r="BP54" s="67">
        <v>0</v>
      </c>
      <c r="BQ54" s="67">
        <v>0</v>
      </c>
      <c r="BR54" s="67">
        <v>3</v>
      </c>
      <c r="BS54" s="67">
        <v>0</v>
      </c>
      <c r="BT54" s="67">
        <v>0</v>
      </c>
      <c r="BU54" s="70">
        <v>9</v>
      </c>
      <c r="BV54" s="29">
        <f t="shared" si="6"/>
        <v>0.22279968590254878</v>
      </c>
      <c r="BW54">
        <f t="shared" si="7"/>
        <v>0.31476636926356072</v>
      </c>
      <c r="BX54">
        <f t="shared" si="8"/>
        <v>0.29297722668510823</v>
      </c>
      <c r="BY54">
        <f t="shared" si="9"/>
        <v>0.49100643357776058</v>
      </c>
      <c r="BZ54">
        <f t="shared" si="10"/>
        <v>1.01056543769991</v>
      </c>
      <c r="CA54">
        <f t="shared" si="11"/>
        <v>0.77459235625178136</v>
      </c>
      <c r="CB54">
        <f t="shared" si="12"/>
        <v>0.36858985273641137</v>
      </c>
      <c r="CJ54" s="18" t="s">
        <v>47</v>
      </c>
      <c r="CK54" s="21">
        <v>-62.411581036842335</v>
      </c>
      <c r="CL54" s="21">
        <v>111.74544858532242</v>
      </c>
      <c r="CM54" s="21">
        <v>-0.55851564271262855</v>
      </c>
      <c r="CN54" s="22">
        <v>0.57658038085329522</v>
      </c>
      <c r="CO54" s="21">
        <v>-281.61547567791155</v>
      </c>
      <c r="CP54" s="21">
        <v>156.79231360422688</v>
      </c>
      <c r="DH54" s="18" t="s">
        <v>394</v>
      </c>
      <c r="DI54" s="21">
        <v>73.04527883044284</v>
      </c>
      <c r="DJ54" s="21">
        <v>53.536696998238547</v>
      </c>
      <c r="DK54" s="21">
        <v>1.3643964406852773</v>
      </c>
      <c r="DL54" s="22">
        <v>0.17265795182132818</v>
      </c>
      <c r="DM54" s="21">
        <v>-31.973793786838428</v>
      </c>
      <c r="DN54" s="21">
        <v>178.06435144772411</v>
      </c>
      <c r="EF54" s="18" t="s">
        <v>394</v>
      </c>
      <c r="EG54" s="21">
        <v>-37.852333605198311</v>
      </c>
      <c r="EH54" s="21">
        <v>14.451786509688562</v>
      </c>
      <c r="EI54" s="21">
        <v>-2.6192148340844841</v>
      </c>
      <c r="EJ54" s="22">
        <v>8.9066413952645571E-3</v>
      </c>
      <c r="EK54" s="21">
        <v>-66.201359637946737</v>
      </c>
      <c r="EL54" s="21">
        <v>-9.5033075724498879</v>
      </c>
    </row>
    <row r="55" spans="1:142" ht="15" customHeight="1" x14ac:dyDescent="0.45">
      <c r="A55" s="11">
        <v>35</v>
      </c>
      <c r="B55" s="12">
        <f t="shared" si="0"/>
        <v>35</v>
      </c>
      <c r="C55" s="12" t="s">
        <v>59</v>
      </c>
      <c r="D55" s="12">
        <v>0</v>
      </c>
      <c r="E55" s="12" t="s">
        <v>86</v>
      </c>
      <c r="F55" s="12">
        <v>0</v>
      </c>
      <c r="G55" s="12">
        <v>0</v>
      </c>
      <c r="H55" s="12" t="s">
        <v>61</v>
      </c>
      <c r="I55" s="12">
        <v>1</v>
      </c>
      <c r="J55" s="12">
        <v>0</v>
      </c>
      <c r="K55" s="12">
        <v>11</v>
      </c>
      <c r="L55" s="12">
        <f t="shared" si="1"/>
        <v>11</v>
      </c>
      <c r="M55" s="12">
        <v>2</v>
      </c>
      <c r="N55" s="12" t="s">
        <v>70</v>
      </c>
      <c r="O55" s="12">
        <v>0</v>
      </c>
      <c r="P55" s="12">
        <v>0</v>
      </c>
      <c r="Q55" s="12">
        <v>1</v>
      </c>
      <c r="R55" s="12">
        <v>0</v>
      </c>
      <c r="S55" s="12">
        <v>0</v>
      </c>
      <c r="T55" s="12">
        <v>3</v>
      </c>
      <c r="U55" s="12" t="s">
        <v>62</v>
      </c>
      <c r="V55" s="12">
        <v>0</v>
      </c>
      <c r="W55" s="12">
        <v>79</v>
      </c>
      <c r="X55" s="12">
        <v>2</v>
      </c>
      <c r="Y55" s="12">
        <v>3</v>
      </c>
      <c r="Z55" s="12" t="s">
        <v>85</v>
      </c>
      <c r="AA55" s="12">
        <v>1</v>
      </c>
      <c r="AB55" s="12">
        <v>0</v>
      </c>
      <c r="AC55" s="12">
        <v>0</v>
      </c>
      <c r="AD55" s="12">
        <v>0</v>
      </c>
      <c r="AE55" s="12">
        <v>0</v>
      </c>
      <c r="AF55" s="12">
        <v>0</v>
      </c>
      <c r="AG55" s="12">
        <v>0</v>
      </c>
      <c r="AH55" s="12">
        <v>0</v>
      </c>
      <c r="AI55" s="12">
        <v>1</v>
      </c>
      <c r="AJ55" s="12" t="s">
        <v>64</v>
      </c>
      <c r="AK55" s="12">
        <v>0</v>
      </c>
      <c r="AL55" s="12">
        <v>1</v>
      </c>
      <c r="AM55" s="12">
        <v>9884</v>
      </c>
      <c r="AN55" s="12">
        <f t="shared" si="2"/>
        <v>9884</v>
      </c>
      <c r="AO55" s="12">
        <v>2</v>
      </c>
      <c r="AP55" s="12" t="s">
        <v>52</v>
      </c>
      <c r="AQ55" s="12">
        <v>1</v>
      </c>
      <c r="AR55" s="12">
        <v>13</v>
      </c>
      <c r="AS55" s="12">
        <v>3</v>
      </c>
      <c r="AT55" s="12">
        <v>3</v>
      </c>
      <c r="AU55" s="12">
        <v>1</v>
      </c>
      <c r="AV55" s="12">
        <v>10</v>
      </c>
      <c r="AW55" s="12">
        <f t="shared" si="3"/>
        <v>10</v>
      </c>
      <c r="AX55" s="12">
        <v>3</v>
      </c>
      <c r="AY55" s="12">
        <v>3</v>
      </c>
      <c r="AZ55" s="12">
        <v>4</v>
      </c>
      <c r="BA55" s="12">
        <f t="shared" si="4"/>
        <v>4</v>
      </c>
      <c r="BB55" s="12">
        <v>0</v>
      </c>
      <c r="BC55" s="12">
        <v>2</v>
      </c>
      <c r="BD55" s="12">
        <f t="shared" si="13"/>
        <v>2</v>
      </c>
      <c r="BE55" s="12">
        <v>3</v>
      </c>
      <c r="BF55" s="12">
        <f t="shared" si="5"/>
        <v>3</v>
      </c>
      <c r="BG55" s="12">
        <f t="shared" si="14"/>
        <v>9</v>
      </c>
      <c r="BH55" s="67">
        <v>0</v>
      </c>
      <c r="BI55" s="67">
        <v>1</v>
      </c>
      <c r="BJ55" s="67">
        <v>0</v>
      </c>
      <c r="BK55" s="67">
        <v>0</v>
      </c>
      <c r="BL55" s="67">
        <v>0</v>
      </c>
      <c r="BM55" s="67">
        <v>0</v>
      </c>
      <c r="BN55" s="67">
        <v>0</v>
      </c>
      <c r="BO55" s="67">
        <v>1</v>
      </c>
      <c r="BP55" s="67">
        <v>0</v>
      </c>
      <c r="BQ55" s="67">
        <v>3</v>
      </c>
      <c r="BR55" s="67">
        <v>0</v>
      </c>
      <c r="BS55" s="67">
        <v>0</v>
      </c>
      <c r="BT55" s="67">
        <v>10</v>
      </c>
      <c r="BU55" s="70">
        <v>0</v>
      </c>
      <c r="BV55" s="29">
        <f t="shared" si="6"/>
        <v>0.71816052339761194</v>
      </c>
      <c r="BW55">
        <f t="shared" si="7"/>
        <v>0.31476636926356072</v>
      </c>
      <c r="BX55">
        <f t="shared" si="8"/>
        <v>0.1644554352117841</v>
      </c>
      <c r="BY55">
        <f t="shared" si="9"/>
        <v>0.49100643357776058</v>
      </c>
      <c r="BZ55">
        <f t="shared" si="10"/>
        <v>0.22295710105195232</v>
      </c>
      <c r="CA55">
        <f t="shared" si="11"/>
        <v>0.21058903898096887</v>
      </c>
      <c r="CB55">
        <f t="shared" si="12"/>
        <v>5.8265062631872602E-2</v>
      </c>
      <c r="CJ55" s="18" t="s">
        <v>396</v>
      </c>
      <c r="CK55" s="21">
        <v>64.550814503607228</v>
      </c>
      <c r="CL55" s="21">
        <v>115.71475138675177</v>
      </c>
      <c r="CM55" s="21">
        <v>0.55784430014337549</v>
      </c>
      <c r="CN55" s="22">
        <v>0.57703864102060276</v>
      </c>
      <c r="CO55" s="21">
        <v>-162.439407402672</v>
      </c>
      <c r="CP55" s="21">
        <v>291.54103640988649</v>
      </c>
      <c r="DH55" s="18" t="s">
        <v>651</v>
      </c>
      <c r="DI55" s="21">
        <v>-117.56394911398456</v>
      </c>
      <c r="DJ55" s="21">
        <v>53.375982824084879</v>
      </c>
      <c r="DK55" s="21">
        <v>-2.2025627050549805</v>
      </c>
      <c r="DL55" s="22">
        <v>2.7784995977977477E-2</v>
      </c>
      <c r="DM55" s="21">
        <v>-222.26776034099692</v>
      </c>
      <c r="DN55" s="21">
        <v>-12.860137886972211</v>
      </c>
      <c r="EF55" s="18" t="s">
        <v>670</v>
      </c>
      <c r="EG55" s="21">
        <v>-139.07077168808428</v>
      </c>
      <c r="EH55" s="21">
        <v>19.496498191381995</v>
      </c>
      <c r="EI55" s="21">
        <v>-7.1331154099025591</v>
      </c>
      <c r="EJ55" s="22">
        <v>1.5549867184818525E-12</v>
      </c>
      <c r="EK55" s="21">
        <v>-177.31564434824867</v>
      </c>
      <c r="EL55" s="21">
        <v>-100.82589902791989</v>
      </c>
    </row>
    <row r="56" spans="1:142" ht="15" customHeight="1" x14ac:dyDescent="0.45">
      <c r="A56" s="11">
        <v>26</v>
      </c>
      <c r="B56" s="12">
        <f t="shared" si="0"/>
        <v>26</v>
      </c>
      <c r="C56" s="12" t="s">
        <v>59</v>
      </c>
      <c r="D56" s="12">
        <v>0</v>
      </c>
      <c r="E56" s="12" t="s">
        <v>53</v>
      </c>
      <c r="F56" s="12">
        <v>0</v>
      </c>
      <c r="G56" s="12">
        <v>1</v>
      </c>
      <c r="H56" s="12" t="s">
        <v>54</v>
      </c>
      <c r="I56" s="12">
        <v>0</v>
      </c>
      <c r="J56" s="12">
        <v>1</v>
      </c>
      <c r="K56" s="12">
        <v>23</v>
      </c>
      <c r="L56" s="12">
        <f t="shared" si="1"/>
        <v>23</v>
      </c>
      <c r="M56" s="12">
        <v>3</v>
      </c>
      <c r="N56" s="12" t="s">
        <v>90</v>
      </c>
      <c r="O56" s="12">
        <v>0</v>
      </c>
      <c r="P56" s="12">
        <v>0</v>
      </c>
      <c r="Q56" s="12">
        <v>0</v>
      </c>
      <c r="R56" s="12">
        <v>1</v>
      </c>
      <c r="S56" s="12">
        <v>0</v>
      </c>
      <c r="T56" s="12">
        <v>3</v>
      </c>
      <c r="U56" s="12" t="s">
        <v>19</v>
      </c>
      <c r="V56" s="12">
        <v>1</v>
      </c>
      <c r="W56" s="12">
        <v>47</v>
      </c>
      <c r="X56" s="12">
        <v>2</v>
      </c>
      <c r="Y56" s="12">
        <v>2</v>
      </c>
      <c r="Z56" s="12" t="s">
        <v>56</v>
      </c>
      <c r="AA56" s="12">
        <v>0</v>
      </c>
      <c r="AB56" s="12">
        <v>1</v>
      </c>
      <c r="AC56" s="12">
        <v>0</v>
      </c>
      <c r="AD56" s="12">
        <v>0</v>
      </c>
      <c r="AE56" s="12">
        <v>0</v>
      </c>
      <c r="AF56" s="12">
        <v>0</v>
      </c>
      <c r="AG56" s="12">
        <v>0</v>
      </c>
      <c r="AH56" s="12">
        <v>0</v>
      </c>
      <c r="AI56" s="12">
        <v>4</v>
      </c>
      <c r="AJ56" s="12" t="s">
        <v>64</v>
      </c>
      <c r="AK56" s="12">
        <v>0</v>
      </c>
      <c r="AL56" s="12">
        <v>1</v>
      </c>
      <c r="AM56" s="12">
        <v>4157</v>
      </c>
      <c r="AN56" s="12">
        <f t="shared" si="2"/>
        <v>4157</v>
      </c>
      <c r="AO56" s="12">
        <v>7</v>
      </c>
      <c r="AP56" s="12" t="s">
        <v>52</v>
      </c>
      <c r="AQ56" s="12">
        <v>1</v>
      </c>
      <c r="AR56" s="12">
        <v>19</v>
      </c>
      <c r="AS56" s="12">
        <v>3</v>
      </c>
      <c r="AT56" s="12">
        <v>3</v>
      </c>
      <c r="AU56" s="12">
        <v>1</v>
      </c>
      <c r="AV56" s="12">
        <v>5</v>
      </c>
      <c r="AW56" s="12">
        <f t="shared" si="3"/>
        <v>5</v>
      </c>
      <c r="AX56" s="12">
        <v>2</v>
      </c>
      <c r="AY56" s="12">
        <v>2</v>
      </c>
      <c r="AZ56" s="12">
        <v>2</v>
      </c>
      <c r="BA56" s="12">
        <f t="shared" si="4"/>
        <v>2</v>
      </c>
      <c r="BB56" s="12">
        <v>2</v>
      </c>
      <c r="BC56" s="12">
        <v>0</v>
      </c>
      <c r="BD56" s="12">
        <f t="shared" si="13"/>
        <v>0</v>
      </c>
      <c r="BE56" s="12">
        <v>0</v>
      </c>
      <c r="BF56" s="12">
        <f t="shared" si="5"/>
        <v>0</v>
      </c>
      <c r="BG56" s="12">
        <f t="shared" si="14"/>
        <v>0</v>
      </c>
      <c r="BH56" s="67">
        <v>0</v>
      </c>
      <c r="BI56" s="67">
        <v>1</v>
      </c>
      <c r="BJ56" s="67">
        <v>0</v>
      </c>
      <c r="BK56" s="67">
        <v>0</v>
      </c>
      <c r="BL56" s="67">
        <v>0</v>
      </c>
      <c r="BM56" s="67">
        <v>0</v>
      </c>
      <c r="BN56" s="67">
        <v>0</v>
      </c>
      <c r="BO56" s="67">
        <v>1</v>
      </c>
      <c r="BP56" s="67">
        <v>0</v>
      </c>
      <c r="BQ56" s="67">
        <v>0</v>
      </c>
      <c r="BR56" s="67">
        <v>0</v>
      </c>
      <c r="BS56" s="67">
        <v>0</v>
      </c>
      <c r="BT56" s="67">
        <v>0</v>
      </c>
      <c r="BU56" s="70">
        <v>5</v>
      </c>
      <c r="BV56" s="29">
        <f t="shared" si="6"/>
        <v>0.49829074492338593</v>
      </c>
      <c r="BW56">
        <f t="shared" si="7"/>
        <v>1.1555414682655611</v>
      </c>
      <c r="BX56">
        <f t="shared" si="8"/>
        <v>0.80706439257840468</v>
      </c>
      <c r="BY56">
        <f t="shared" si="9"/>
        <v>0.81745575848020657</v>
      </c>
      <c r="BZ56">
        <f t="shared" si="10"/>
        <v>1.7031841475541873</v>
      </c>
      <c r="CA56">
        <f t="shared" si="11"/>
        <v>1.195770434213719</v>
      </c>
      <c r="CB56">
        <f t="shared" si="12"/>
        <v>0.67891464284095016</v>
      </c>
      <c r="CJ56" s="18" t="s">
        <v>48</v>
      </c>
      <c r="CK56" s="21">
        <v>3.923169102925641</v>
      </c>
      <c r="CL56" s="21">
        <v>14.602325266600833</v>
      </c>
      <c r="CM56" s="21">
        <v>0.26866742325613779</v>
      </c>
      <c r="CN56" s="22">
        <v>0.78822464938860615</v>
      </c>
      <c r="CO56" s="21">
        <v>-24.72127780544735</v>
      </c>
      <c r="CP56" s="21">
        <v>32.567616011298632</v>
      </c>
      <c r="DH56" s="18" t="s">
        <v>652</v>
      </c>
      <c r="DI56" s="21">
        <v>-100.99686744052451</v>
      </c>
      <c r="DJ56" s="21">
        <v>54.728240389762711</v>
      </c>
      <c r="DK56" s="21">
        <v>-1.8454250807489265</v>
      </c>
      <c r="DL56" s="22">
        <v>6.5182785112455219E-2</v>
      </c>
      <c r="DM56" s="21">
        <v>-208.3533046876266</v>
      </c>
      <c r="DN56" s="21">
        <v>6.3595698065775821</v>
      </c>
      <c r="EF56" s="18" t="s">
        <v>671</v>
      </c>
      <c r="EG56" s="21">
        <v>-107.9455019916586</v>
      </c>
      <c r="EH56" s="21">
        <v>21.074184164554705</v>
      </c>
      <c r="EI56" s="21">
        <v>-5.1221675367730413</v>
      </c>
      <c r="EJ56" s="22">
        <v>3.4332707553261688E-7</v>
      </c>
      <c r="EK56" s="21">
        <v>-149.28520730071321</v>
      </c>
      <c r="EL56" s="21">
        <v>-66.605796682603994</v>
      </c>
    </row>
    <row r="57" spans="1:142" ht="15" customHeight="1" x14ac:dyDescent="0.45">
      <c r="A57" s="11">
        <v>33</v>
      </c>
      <c r="B57" s="12">
        <f t="shared" si="0"/>
        <v>33</v>
      </c>
      <c r="C57" s="12" t="s">
        <v>59</v>
      </c>
      <c r="D57" s="12">
        <v>0</v>
      </c>
      <c r="E57" s="12" t="s">
        <v>60</v>
      </c>
      <c r="F57" s="12">
        <v>1</v>
      </c>
      <c r="G57" s="12">
        <v>0</v>
      </c>
      <c r="H57" s="12" t="s">
        <v>61</v>
      </c>
      <c r="I57" s="12">
        <v>1</v>
      </c>
      <c r="J57" s="12">
        <v>0</v>
      </c>
      <c r="K57" s="12">
        <v>1</v>
      </c>
      <c r="L57" s="12">
        <f t="shared" si="1"/>
        <v>1</v>
      </c>
      <c r="M57" s="12">
        <v>2</v>
      </c>
      <c r="N57" s="12" t="s">
        <v>55</v>
      </c>
      <c r="O57" s="12">
        <v>1</v>
      </c>
      <c r="P57" s="12">
        <v>0</v>
      </c>
      <c r="Q57" s="12">
        <v>0</v>
      </c>
      <c r="R57" s="12">
        <v>0</v>
      </c>
      <c r="S57" s="12">
        <v>0</v>
      </c>
      <c r="T57" s="12">
        <v>1</v>
      </c>
      <c r="U57" s="12" t="s">
        <v>19</v>
      </c>
      <c r="V57" s="12">
        <v>1</v>
      </c>
      <c r="W57" s="12">
        <v>98</v>
      </c>
      <c r="X57" s="12">
        <v>3</v>
      </c>
      <c r="Y57" s="12">
        <v>3</v>
      </c>
      <c r="Z57" s="12" t="s">
        <v>89</v>
      </c>
      <c r="AA57" s="12">
        <v>0</v>
      </c>
      <c r="AB57" s="12">
        <v>0</v>
      </c>
      <c r="AC57" s="12">
        <v>0</v>
      </c>
      <c r="AD57" s="12">
        <v>0</v>
      </c>
      <c r="AE57" s="12">
        <v>0</v>
      </c>
      <c r="AF57" s="12">
        <v>0</v>
      </c>
      <c r="AG57" s="12">
        <v>0</v>
      </c>
      <c r="AH57" s="12">
        <v>0</v>
      </c>
      <c r="AI57" s="12">
        <v>4</v>
      </c>
      <c r="AJ57" s="12" t="s">
        <v>57</v>
      </c>
      <c r="AK57" s="12">
        <v>1</v>
      </c>
      <c r="AL57" s="12">
        <v>0</v>
      </c>
      <c r="AM57" s="12">
        <v>13458</v>
      </c>
      <c r="AN57" s="12">
        <f t="shared" si="2"/>
        <v>13458</v>
      </c>
      <c r="AO57" s="12">
        <v>1</v>
      </c>
      <c r="AP57" s="12" t="s">
        <v>52</v>
      </c>
      <c r="AQ57" s="12">
        <v>1</v>
      </c>
      <c r="AR57" s="12">
        <v>12</v>
      </c>
      <c r="AS57" s="12">
        <v>3</v>
      </c>
      <c r="AT57" s="12">
        <v>3</v>
      </c>
      <c r="AU57" s="12">
        <v>0</v>
      </c>
      <c r="AV57" s="12">
        <v>15</v>
      </c>
      <c r="AW57" s="12">
        <f t="shared" si="3"/>
        <v>15</v>
      </c>
      <c r="AX57" s="12">
        <v>1</v>
      </c>
      <c r="AY57" s="12">
        <v>3</v>
      </c>
      <c r="AZ57" s="12">
        <v>15</v>
      </c>
      <c r="BA57" s="12">
        <f t="shared" si="4"/>
        <v>15</v>
      </c>
      <c r="BB57" s="12">
        <v>14</v>
      </c>
      <c r="BC57" s="12">
        <v>8</v>
      </c>
      <c r="BD57" s="12">
        <f t="shared" si="13"/>
        <v>8</v>
      </c>
      <c r="BE57" s="12">
        <v>12</v>
      </c>
      <c r="BF57" s="12">
        <f t="shared" si="5"/>
        <v>12</v>
      </c>
      <c r="BG57" s="12">
        <f t="shared" si="14"/>
        <v>36</v>
      </c>
      <c r="BH57" s="67">
        <v>0</v>
      </c>
      <c r="BI57" s="67">
        <v>0</v>
      </c>
      <c r="BJ57" s="67">
        <v>1</v>
      </c>
      <c r="BK57" s="67">
        <v>0</v>
      </c>
      <c r="BL57" s="67">
        <v>0</v>
      </c>
      <c r="BM57" s="67">
        <v>1</v>
      </c>
      <c r="BN57" s="67">
        <v>0</v>
      </c>
      <c r="BO57" s="67">
        <v>0</v>
      </c>
      <c r="BP57" s="67">
        <v>0</v>
      </c>
      <c r="BQ57" s="67">
        <v>12</v>
      </c>
      <c r="BR57" s="67">
        <v>0</v>
      </c>
      <c r="BS57" s="67">
        <v>0</v>
      </c>
      <c r="BT57" s="67">
        <v>15</v>
      </c>
      <c r="BU57" s="70">
        <v>0</v>
      </c>
      <c r="BV57" s="29">
        <f t="shared" si="6"/>
        <v>1.477300881871376</v>
      </c>
      <c r="BW57">
        <f t="shared" si="7"/>
        <v>2.2075589277424408</v>
      </c>
      <c r="BX57">
        <f t="shared" si="8"/>
        <v>0.47815352215483642</v>
      </c>
      <c r="BY57">
        <f t="shared" si="9"/>
        <v>1.3044648533856922</v>
      </c>
      <c r="BZ57">
        <f t="shared" si="10"/>
        <v>1.01056543769991</v>
      </c>
      <c r="CA57">
        <f t="shared" si="11"/>
        <v>0.42951823792158</v>
      </c>
      <c r="CB57">
        <f t="shared" si="12"/>
        <v>1.8036836779953602</v>
      </c>
      <c r="CJ57" s="18" t="s">
        <v>49</v>
      </c>
      <c r="CK57" s="21">
        <v>177.5681429163576</v>
      </c>
      <c r="CL57" s="21">
        <v>362.68986275616254</v>
      </c>
      <c r="CM57" s="21">
        <v>0.48958672725776509</v>
      </c>
      <c r="CN57" s="22">
        <v>0.62450199107487858</v>
      </c>
      <c r="CO57" s="21">
        <v>-533.89734824663822</v>
      </c>
      <c r="CP57" s="21">
        <v>889.03363407935342</v>
      </c>
    </row>
    <row r="58" spans="1:142" ht="15" customHeight="1" x14ac:dyDescent="0.45">
      <c r="A58" s="11">
        <v>35</v>
      </c>
      <c r="B58" s="12">
        <f t="shared" si="0"/>
        <v>35</v>
      </c>
      <c r="C58" s="12" t="s">
        <v>59</v>
      </c>
      <c r="D58" s="12">
        <v>0</v>
      </c>
      <c r="E58" s="12" t="s">
        <v>60</v>
      </c>
      <c r="F58" s="12">
        <v>1</v>
      </c>
      <c r="G58" s="12">
        <v>0</v>
      </c>
      <c r="H58" s="12" t="s">
        <v>54</v>
      </c>
      <c r="I58" s="12">
        <v>0</v>
      </c>
      <c r="J58" s="12">
        <v>1</v>
      </c>
      <c r="K58" s="12">
        <v>18</v>
      </c>
      <c r="L58" s="12">
        <f t="shared" si="1"/>
        <v>18</v>
      </c>
      <c r="M58" s="12">
        <v>5</v>
      </c>
      <c r="N58" s="12" t="s">
        <v>55</v>
      </c>
      <c r="O58" s="12">
        <v>1</v>
      </c>
      <c r="P58" s="12">
        <v>0</v>
      </c>
      <c r="Q58" s="12">
        <v>0</v>
      </c>
      <c r="R58" s="12">
        <v>0</v>
      </c>
      <c r="S58" s="12">
        <v>0</v>
      </c>
      <c r="T58" s="12">
        <v>2</v>
      </c>
      <c r="U58" s="12" t="s">
        <v>62</v>
      </c>
      <c r="V58" s="12">
        <v>0</v>
      </c>
      <c r="W58" s="12">
        <v>71</v>
      </c>
      <c r="X58" s="12">
        <v>3</v>
      </c>
      <c r="Y58" s="12">
        <v>3</v>
      </c>
      <c r="Z58" s="12" t="s">
        <v>56</v>
      </c>
      <c r="AA58" s="12">
        <v>0</v>
      </c>
      <c r="AB58" s="12">
        <v>1</v>
      </c>
      <c r="AC58" s="12">
        <v>0</v>
      </c>
      <c r="AD58" s="12">
        <v>0</v>
      </c>
      <c r="AE58" s="12">
        <v>0</v>
      </c>
      <c r="AF58" s="12">
        <v>0</v>
      </c>
      <c r="AG58" s="12">
        <v>0</v>
      </c>
      <c r="AH58" s="12">
        <v>0</v>
      </c>
      <c r="AI58" s="12">
        <v>1</v>
      </c>
      <c r="AJ58" s="12" t="s">
        <v>64</v>
      </c>
      <c r="AK58" s="12">
        <v>0</v>
      </c>
      <c r="AL58" s="12">
        <v>1</v>
      </c>
      <c r="AM58" s="12">
        <v>9069</v>
      </c>
      <c r="AN58" s="12">
        <f t="shared" si="2"/>
        <v>9069</v>
      </c>
      <c r="AO58" s="12">
        <v>1</v>
      </c>
      <c r="AP58" s="12" t="s">
        <v>59</v>
      </c>
      <c r="AQ58" s="12">
        <v>0</v>
      </c>
      <c r="AR58" s="12">
        <v>22</v>
      </c>
      <c r="AS58" s="12">
        <v>4</v>
      </c>
      <c r="AT58" s="12">
        <v>4</v>
      </c>
      <c r="AU58" s="12">
        <v>1</v>
      </c>
      <c r="AV58" s="12">
        <v>9</v>
      </c>
      <c r="AW58" s="12">
        <f t="shared" si="3"/>
        <v>9</v>
      </c>
      <c r="AX58" s="12">
        <v>3</v>
      </c>
      <c r="AY58" s="12">
        <v>2</v>
      </c>
      <c r="AZ58" s="12">
        <v>9</v>
      </c>
      <c r="BA58" s="12">
        <f t="shared" si="4"/>
        <v>9</v>
      </c>
      <c r="BB58" s="12">
        <v>8</v>
      </c>
      <c r="BC58" s="12">
        <v>1</v>
      </c>
      <c r="BD58" s="12">
        <f t="shared" si="13"/>
        <v>1</v>
      </c>
      <c r="BE58" s="12">
        <v>8</v>
      </c>
      <c r="BF58" s="12">
        <f t="shared" si="5"/>
        <v>8</v>
      </c>
      <c r="BG58" s="12">
        <f t="shared" si="14"/>
        <v>24</v>
      </c>
      <c r="BH58" s="67">
        <v>0</v>
      </c>
      <c r="BI58" s="67">
        <v>0</v>
      </c>
      <c r="BJ58" s="67">
        <v>0</v>
      </c>
      <c r="BK58" s="67">
        <v>1</v>
      </c>
      <c r="BL58" s="67">
        <v>0</v>
      </c>
      <c r="BM58" s="67">
        <v>0</v>
      </c>
      <c r="BN58" s="67">
        <v>1</v>
      </c>
      <c r="BO58" s="67">
        <v>0</v>
      </c>
      <c r="BP58" s="67">
        <v>0</v>
      </c>
      <c r="BQ58" s="67">
        <v>0</v>
      </c>
      <c r="BR58" s="67">
        <v>8</v>
      </c>
      <c r="BS58" s="67">
        <v>0</v>
      </c>
      <c r="BT58" s="67">
        <v>0</v>
      </c>
      <c r="BU58" s="70">
        <v>9</v>
      </c>
      <c r="BV58" s="29">
        <f t="shared" si="6"/>
        <v>0.54504933365051689</v>
      </c>
      <c r="BW58">
        <f t="shared" si="7"/>
        <v>1.08652546240644</v>
      </c>
      <c r="BX58">
        <f t="shared" si="8"/>
        <v>0.29297722668510823</v>
      </c>
      <c r="BY58">
        <f t="shared" si="9"/>
        <v>0.32511687867835437</v>
      </c>
      <c r="BZ58">
        <f t="shared" si="10"/>
        <v>1.0864228781782561</v>
      </c>
      <c r="CA58">
        <f t="shared" si="11"/>
        <v>0.21058903898096887</v>
      </c>
      <c r="CB58">
        <f t="shared" si="12"/>
        <v>0.36858985273641137</v>
      </c>
      <c r="CE58" s="2"/>
      <c r="CJ58" s="18" t="s">
        <v>518</v>
      </c>
      <c r="CK58" s="21">
        <v>-164.06636619607224</v>
      </c>
      <c r="CL58" s="21">
        <v>366.57297427199848</v>
      </c>
      <c r="CM58" s="21">
        <v>-0.44756809069709103</v>
      </c>
      <c r="CN58" s="22">
        <v>0.65453320226284117</v>
      </c>
      <c r="CO58" s="21">
        <v>-883.14910869567984</v>
      </c>
      <c r="CP58" s="21">
        <v>555.01637630353525</v>
      </c>
    </row>
    <row r="59" spans="1:142" ht="15" customHeight="1" x14ac:dyDescent="0.45">
      <c r="A59" s="11">
        <v>35</v>
      </c>
      <c r="B59" s="12">
        <f t="shared" si="0"/>
        <v>35</v>
      </c>
      <c r="C59" s="12" t="s">
        <v>59</v>
      </c>
      <c r="D59" s="12">
        <v>0</v>
      </c>
      <c r="E59" s="12" t="s">
        <v>53</v>
      </c>
      <c r="F59" s="12">
        <v>0</v>
      </c>
      <c r="G59" s="12">
        <v>1</v>
      </c>
      <c r="H59" s="12" t="s">
        <v>61</v>
      </c>
      <c r="I59" s="12">
        <v>1</v>
      </c>
      <c r="J59" s="12">
        <v>0</v>
      </c>
      <c r="K59" s="12">
        <v>23</v>
      </c>
      <c r="L59" s="12">
        <f t="shared" si="1"/>
        <v>23</v>
      </c>
      <c r="M59" s="12">
        <v>4</v>
      </c>
      <c r="N59" s="12" t="s">
        <v>70</v>
      </c>
      <c r="O59" s="12">
        <v>0</v>
      </c>
      <c r="P59" s="12">
        <v>0</v>
      </c>
      <c r="Q59" s="12">
        <v>1</v>
      </c>
      <c r="R59" s="12">
        <v>0</v>
      </c>
      <c r="S59" s="12">
        <v>0</v>
      </c>
      <c r="T59" s="12">
        <v>3</v>
      </c>
      <c r="U59" s="12" t="s">
        <v>19</v>
      </c>
      <c r="V59" s="12">
        <v>1</v>
      </c>
      <c r="W59" s="12">
        <v>30</v>
      </c>
      <c r="X59" s="12">
        <v>3</v>
      </c>
      <c r="Y59" s="12">
        <v>1</v>
      </c>
      <c r="Z59" s="12" t="s">
        <v>67</v>
      </c>
      <c r="AA59" s="12">
        <v>0</v>
      </c>
      <c r="AB59" s="12">
        <v>0</v>
      </c>
      <c r="AC59" s="12">
        <v>1</v>
      </c>
      <c r="AD59" s="12">
        <v>0</v>
      </c>
      <c r="AE59" s="12">
        <v>0</v>
      </c>
      <c r="AF59" s="12">
        <v>0</v>
      </c>
      <c r="AG59" s="12">
        <v>0</v>
      </c>
      <c r="AH59" s="12">
        <v>0</v>
      </c>
      <c r="AI59" s="12">
        <v>1</v>
      </c>
      <c r="AJ59" s="12" t="s">
        <v>64</v>
      </c>
      <c r="AK59" s="12">
        <v>0</v>
      </c>
      <c r="AL59" s="12">
        <v>1</v>
      </c>
      <c r="AM59" s="12">
        <v>4014</v>
      </c>
      <c r="AN59" s="12">
        <f t="shared" si="2"/>
        <v>4014</v>
      </c>
      <c r="AO59" s="12">
        <v>3</v>
      </c>
      <c r="AP59" s="12" t="s">
        <v>52</v>
      </c>
      <c r="AQ59" s="12">
        <v>1</v>
      </c>
      <c r="AR59" s="12">
        <v>15</v>
      </c>
      <c r="AS59" s="12">
        <v>3</v>
      </c>
      <c r="AT59" s="12">
        <v>3</v>
      </c>
      <c r="AU59" s="12">
        <v>1</v>
      </c>
      <c r="AV59" s="12">
        <v>4</v>
      </c>
      <c r="AW59" s="12">
        <f t="shared" si="3"/>
        <v>4</v>
      </c>
      <c r="AX59" s="12">
        <v>3</v>
      </c>
      <c r="AY59" s="12">
        <v>3</v>
      </c>
      <c r="AZ59" s="12">
        <v>2</v>
      </c>
      <c r="BA59" s="12">
        <f t="shared" si="4"/>
        <v>2</v>
      </c>
      <c r="BB59" s="12">
        <v>2</v>
      </c>
      <c r="BC59" s="12">
        <v>2</v>
      </c>
      <c r="BD59" s="12">
        <f t="shared" si="13"/>
        <v>2</v>
      </c>
      <c r="BE59" s="12">
        <v>2</v>
      </c>
      <c r="BF59" s="12">
        <f t="shared" si="5"/>
        <v>2</v>
      </c>
      <c r="BG59" s="12">
        <f t="shared" si="14"/>
        <v>2</v>
      </c>
      <c r="BH59" s="67">
        <v>0</v>
      </c>
      <c r="BI59" s="67">
        <v>1</v>
      </c>
      <c r="BJ59" s="67">
        <v>0</v>
      </c>
      <c r="BK59" s="67">
        <v>0</v>
      </c>
      <c r="BL59" s="67">
        <v>0</v>
      </c>
      <c r="BM59" s="67">
        <v>0</v>
      </c>
      <c r="BN59" s="67">
        <v>0</v>
      </c>
      <c r="BO59" s="67">
        <v>1</v>
      </c>
      <c r="BP59" s="67">
        <v>0</v>
      </c>
      <c r="BQ59" s="67">
        <v>2</v>
      </c>
      <c r="BR59" s="67">
        <v>0</v>
      </c>
      <c r="BS59" s="67">
        <v>0</v>
      </c>
      <c r="BT59" s="67">
        <v>4</v>
      </c>
      <c r="BU59" s="70">
        <v>0</v>
      </c>
      <c r="BV59" s="29">
        <f t="shared" si="6"/>
        <v>0.528664855517048</v>
      </c>
      <c r="BW59">
        <f t="shared" si="7"/>
        <v>0.59502473559756086</v>
      </c>
      <c r="BX59">
        <f t="shared" si="8"/>
        <v>0.93558618405172878</v>
      </c>
      <c r="BY59">
        <f t="shared" si="9"/>
        <v>0.81745575848020657</v>
      </c>
      <c r="BZ59">
        <f t="shared" si="10"/>
        <v>1.7031841475541873</v>
      </c>
      <c r="CA59">
        <f t="shared" si="11"/>
        <v>0.21058903898096887</v>
      </c>
      <c r="CB59">
        <f t="shared" si="12"/>
        <v>5.8265062631872602E-2</v>
      </c>
      <c r="CE59" s="2"/>
      <c r="CJ59" s="18" t="s">
        <v>50</v>
      </c>
      <c r="CK59" s="21">
        <v>108.80079256719071</v>
      </c>
      <c r="CL59" s="21">
        <v>141.93629554289035</v>
      </c>
      <c r="CM59" s="21">
        <v>0.76654665496968155</v>
      </c>
      <c r="CN59" s="22">
        <v>0.44347851543297734</v>
      </c>
      <c r="CO59" s="21">
        <v>-169.62655429849664</v>
      </c>
      <c r="CP59" s="21">
        <v>387.22813943287804</v>
      </c>
    </row>
    <row r="60" spans="1:142" ht="15" customHeight="1" x14ac:dyDescent="0.45">
      <c r="A60" s="11">
        <v>31</v>
      </c>
      <c r="B60" s="12">
        <f t="shared" si="0"/>
        <v>31</v>
      </c>
      <c r="C60" s="12" t="s">
        <v>59</v>
      </c>
      <c r="D60" s="12">
        <v>0</v>
      </c>
      <c r="E60" s="12" t="s">
        <v>53</v>
      </c>
      <c r="F60" s="12">
        <v>0</v>
      </c>
      <c r="G60" s="12">
        <v>1</v>
      </c>
      <c r="H60" s="12" t="s">
        <v>61</v>
      </c>
      <c r="I60" s="12">
        <v>1</v>
      </c>
      <c r="J60" s="12">
        <v>0</v>
      </c>
      <c r="K60" s="12">
        <v>7</v>
      </c>
      <c r="L60" s="12">
        <f t="shared" si="1"/>
        <v>7</v>
      </c>
      <c r="M60" s="12">
        <v>4</v>
      </c>
      <c r="N60" s="12" t="s">
        <v>55</v>
      </c>
      <c r="O60" s="12">
        <v>1</v>
      </c>
      <c r="P60" s="12">
        <v>0</v>
      </c>
      <c r="Q60" s="12">
        <v>0</v>
      </c>
      <c r="R60" s="12">
        <v>0</v>
      </c>
      <c r="S60" s="12">
        <v>0</v>
      </c>
      <c r="T60" s="12">
        <v>4</v>
      </c>
      <c r="U60" s="12" t="s">
        <v>62</v>
      </c>
      <c r="V60" s="12">
        <v>0</v>
      </c>
      <c r="W60" s="12">
        <v>48</v>
      </c>
      <c r="X60" s="12">
        <v>3</v>
      </c>
      <c r="Y60" s="12">
        <v>2</v>
      </c>
      <c r="Z60" s="12" t="s">
        <v>67</v>
      </c>
      <c r="AA60" s="12">
        <v>0</v>
      </c>
      <c r="AB60" s="12">
        <v>0</v>
      </c>
      <c r="AC60" s="12">
        <v>1</v>
      </c>
      <c r="AD60" s="12">
        <v>0</v>
      </c>
      <c r="AE60" s="12">
        <v>0</v>
      </c>
      <c r="AF60" s="12">
        <v>0</v>
      </c>
      <c r="AG60" s="12">
        <v>0</v>
      </c>
      <c r="AH60" s="12">
        <v>0</v>
      </c>
      <c r="AI60" s="12">
        <v>4</v>
      </c>
      <c r="AJ60" s="12" t="s">
        <v>78</v>
      </c>
      <c r="AK60" s="12">
        <v>0</v>
      </c>
      <c r="AL60" s="12">
        <v>0</v>
      </c>
      <c r="AM60" s="12">
        <v>5915</v>
      </c>
      <c r="AN60" s="12">
        <f t="shared" si="2"/>
        <v>5915</v>
      </c>
      <c r="AO60" s="12">
        <v>3</v>
      </c>
      <c r="AP60" s="12" t="s">
        <v>59</v>
      </c>
      <c r="AQ60" s="12">
        <v>0</v>
      </c>
      <c r="AR60" s="12">
        <v>22</v>
      </c>
      <c r="AS60" s="12">
        <v>4</v>
      </c>
      <c r="AT60" s="12">
        <v>4</v>
      </c>
      <c r="AU60" s="12">
        <v>1</v>
      </c>
      <c r="AV60" s="12">
        <v>10</v>
      </c>
      <c r="AW60" s="12">
        <f t="shared" si="3"/>
        <v>10</v>
      </c>
      <c r="AX60" s="12">
        <v>3</v>
      </c>
      <c r="AY60" s="12">
        <v>2</v>
      </c>
      <c r="AZ60" s="12">
        <v>7</v>
      </c>
      <c r="BA60" s="12">
        <f t="shared" si="4"/>
        <v>7</v>
      </c>
      <c r="BB60" s="12">
        <v>7</v>
      </c>
      <c r="BC60" s="12">
        <v>1</v>
      </c>
      <c r="BD60" s="12">
        <f t="shared" si="13"/>
        <v>1</v>
      </c>
      <c r="BE60" s="12">
        <v>7</v>
      </c>
      <c r="BF60" s="12">
        <f t="shared" si="5"/>
        <v>7</v>
      </c>
      <c r="BG60" s="12">
        <f t="shared" si="14"/>
        <v>14</v>
      </c>
      <c r="BH60" s="67">
        <v>1</v>
      </c>
      <c r="BI60" s="67">
        <v>0</v>
      </c>
      <c r="BJ60" s="67">
        <v>0</v>
      </c>
      <c r="BK60" s="67">
        <v>0</v>
      </c>
      <c r="BL60" s="67">
        <v>1</v>
      </c>
      <c r="BM60" s="67">
        <v>0</v>
      </c>
      <c r="BN60" s="67">
        <v>0</v>
      </c>
      <c r="BO60" s="67">
        <v>0</v>
      </c>
      <c r="BP60" s="67">
        <v>0</v>
      </c>
      <c r="BQ60" s="67">
        <v>7</v>
      </c>
      <c r="BR60" s="67">
        <v>0</v>
      </c>
      <c r="BS60" s="67">
        <v>0</v>
      </c>
      <c r="BT60" s="67">
        <v>10</v>
      </c>
      <c r="BU60" s="70">
        <v>0</v>
      </c>
      <c r="BV60" s="29">
        <f t="shared" si="6"/>
        <v>0.12488035035235145</v>
      </c>
      <c r="BW60">
        <f t="shared" si="7"/>
        <v>0.80626709607243985</v>
      </c>
      <c r="BX60">
        <f t="shared" si="8"/>
        <v>0.1644554352117841</v>
      </c>
      <c r="BY60">
        <f t="shared" si="9"/>
        <v>1.3324462240916321E-3</v>
      </c>
      <c r="BZ60">
        <f t="shared" si="10"/>
        <v>0.27045191444879263</v>
      </c>
      <c r="CA60">
        <f t="shared" si="11"/>
        <v>0.6484474368621912</v>
      </c>
      <c r="CB60">
        <f t="shared" si="12"/>
        <v>0.36858985273641137</v>
      </c>
      <c r="CJ60" s="18" t="s">
        <v>394</v>
      </c>
      <c r="CK60" s="21">
        <v>-187.74822278871372</v>
      </c>
      <c r="CL60" s="21">
        <v>145.45942869070649</v>
      </c>
      <c r="CM60" s="21">
        <v>-1.2907256991083527</v>
      </c>
      <c r="CN60" s="22">
        <v>0.19700891642383761</v>
      </c>
      <c r="CO60" s="21">
        <v>-473.08667446553511</v>
      </c>
      <c r="CP60" s="21">
        <v>97.590228888107646</v>
      </c>
    </row>
    <row r="61" spans="1:142" ht="15" customHeight="1" x14ac:dyDescent="0.45">
      <c r="A61" s="11">
        <v>37</v>
      </c>
      <c r="B61" s="12">
        <f t="shared" si="0"/>
        <v>37</v>
      </c>
      <c r="C61" s="12" t="s">
        <v>59</v>
      </c>
      <c r="D61" s="12">
        <v>0</v>
      </c>
      <c r="E61" s="12" t="s">
        <v>53</v>
      </c>
      <c r="F61" s="12">
        <v>0</v>
      </c>
      <c r="G61" s="12">
        <v>1</v>
      </c>
      <c r="H61" s="12" t="s">
        <v>61</v>
      </c>
      <c r="I61" s="12">
        <v>1</v>
      </c>
      <c r="J61" s="12">
        <v>0</v>
      </c>
      <c r="K61" s="12">
        <v>1</v>
      </c>
      <c r="L61" s="12">
        <f t="shared" si="1"/>
        <v>1</v>
      </c>
      <c r="M61" s="12">
        <v>4</v>
      </c>
      <c r="N61" s="12" t="s">
        <v>55</v>
      </c>
      <c r="O61" s="12">
        <v>1</v>
      </c>
      <c r="P61" s="12">
        <v>0</v>
      </c>
      <c r="Q61" s="12">
        <v>0</v>
      </c>
      <c r="R61" s="12">
        <v>0</v>
      </c>
      <c r="S61" s="12">
        <v>0</v>
      </c>
      <c r="T61" s="12">
        <v>1</v>
      </c>
      <c r="U61" s="12" t="s">
        <v>62</v>
      </c>
      <c r="V61" s="12">
        <v>0</v>
      </c>
      <c r="W61" s="12">
        <v>51</v>
      </c>
      <c r="X61" s="12">
        <v>2</v>
      </c>
      <c r="Y61" s="12">
        <v>2</v>
      </c>
      <c r="Z61" s="12" t="s">
        <v>83</v>
      </c>
      <c r="AA61" s="12">
        <v>0</v>
      </c>
      <c r="AB61" s="12">
        <v>0</v>
      </c>
      <c r="AC61" s="12">
        <v>0</v>
      </c>
      <c r="AD61" s="12">
        <v>0</v>
      </c>
      <c r="AE61" s="12">
        <v>1</v>
      </c>
      <c r="AF61" s="12">
        <v>1</v>
      </c>
      <c r="AG61" s="12">
        <v>0</v>
      </c>
      <c r="AH61" s="12">
        <v>0</v>
      </c>
      <c r="AI61" s="12">
        <v>3</v>
      </c>
      <c r="AJ61" s="12" t="s">
        <v>78</v>
      </c>
      <c r="AK61" s="12">
        <v>0</v>
      </c>
      <c r="AL61" s="12">
        <v>0</v>
      </c>
      <c r="AM61" s="12">
        <v>5993</v>
      </c>
      <c r="AN61" s="12">
        <f t="shared" si="2"/>
        <v>5993</v>
      </c>
      <c r="AO61" s="12">
        <v>1</v>
      </c>
      <c r="AP61" s="12" t="s">
        <v>59</v>
      </c>
      <c r="AQ61" s="12">
        <v>0</v>
      </c>
      <c r="AR61" s="12">
        <v>18</v>
      </c>
      <c r="AS61" s="12">
        <v>3</v>
      </c>
      <c r="AT61" s="12">
        <v>3</v>
      </c>
      <c r="AU61" s="12">
        <v>1</v>
      </c>
      <c r="AV61" s="12">
        <v>7</v>
      </c>
      <c r="AW61" s="12">
        <f t="shared" si="3"/>
        <v>7</v>
      </c>
      <c r="AX61" s="12">
        <v>2</v>
      </c>
      <c r="AY61" s="12">
        <v>4</v>
      </c>
      <c r="AZ61" s="12">
        <v>7</v>
      </c>
      <c r="BA61" s="12">
        <f t="shared" si="4"/>
        <v>7</v>
      </c>
      <c r="BB61" s="12">
        <v>5</v>
      </c>
      <c r="BC61" s="12">
        <v>0</v>
      </c>
      <c r="BD61" s="12">
        <f t="shared" si="13"/>
        <v>0</v>
      </c>
      <c r="BE61" s="12">
        <v>7</v>
      </c>
      <c r="BF61" s="12">
        <f t="shared" si="5"/>
        <v>7</v>
      </c>
      <c r="BG61" s="12">
        <f t="shared" si="14"/>
        <v>14</v>
      </c>
      <c r="BH61" s="67">
        <v>1</v>
      </c>
      <c r="BI61" s="67">
        <v>0</v>
      </c>
      <c r="BJ61" s="67">
        <v>0</v>
      </c>
      <c r="BK61" s="67">
        <v>0</v>
      </c>
      <c r="BL61" s="67">
        <v>1</v>
      </c>
      <c r="BM61" s="67">
        <v>0</v>
      </c>
      <c r="BN61" s="67">
        <v>0</v>
      </c>
      <c r="BO61" s="67">
        <v>0</v>
      </c>
      <c r="BP61" s="67">
        <v>0</v>
      </c>
      <c r="BQ61" s="67">
        <v>7</v>
      </c>
      <c r="BR61" s="67">
        <v>0</v>
      </c>
      <c r="BS61" s="67">
        <v>0</v>
      </c>
      <c r="BT61" s="67">
        <v>7</v>
      </c>
      <c r="BU61" s="70">
        <v>0</v>
      </c>
      <c r="BV61" s="29">
        <f t="shared" si="6"/>
        <v>0.10831265366489942</v>
      </c>
      <c r="BW61">
        <f t="shared" si="7"/>
        <v>0.80626709607243985</v>
      </c>
      <c r="BX61">
        <f t="shared" si="8"/>
        <v>0.55002080963175637</v>
      </c>
      <c r="BY61">
        <f t="shared" si="9"/>
        <v>1.3324462240916321E-3</v>
      </c>
      <c r="BZ61">
        <f t="shared" si="10"/>
        <v>1.01056543769991</v>
      </c>
      <c r="CA61">
        <f t="shared" si="11"/>
        <v>8.3401599596422994E-3</v>
      </c>
      <c r="CB61">
        <f t="shared" si="12"/>
        <v>0.67891464284095016</v>
      </c>
      <c r="CJ61" s="18" t="s">
        <v>517</v>
      </c>
      <c r="CK61" s="21">
        <v>18.052199237827431</v>
      </c>
      <c r="CL61" s="21">
        <v>8.196176108747089</v>
      </c>
      <c r="CM61" s="21">
        <v>2.2025148066989235</v>
      </c>
      <c r="CN61" s="22">
        <v>2.7789169428899443E-2</v>
      </c>
      <c r="CO61" s="21">
        <v>1.9742851308413272</v>
      </c>
      <c r="CP61" s="21">
        <v>34.130113344813537</v>
      </c>
    </row>
    <row r="62" spans="1:142" ht="15" customHeight="1" x14ac:dyDescent="0.45">
      <c r="A62" s="11">
        <v>32</v>
      </c>
      <c r="B62" s="12">
        <f t="shared" si="0"/>
        <v>32</v>
      </c>
      <c r="C62" s="12" t="s">
        <v>59</v>
      </c>
      <c r="D62" s="12">
        <v>0</v>
      </c>
      <c r="E62" s="12" t="s">
        <v>53</v>
      </c>
      <c r="F62" s="12">
        <v>0</v>
      </c>
      <c r="G62" s="12">
        <v>1</v>
      </c>
      <c r="H62" s="12" t="s">
        <v>61</v>
      </c>
      <c r="I62" s="12">
        <v>1</v>
      </c>
      <c r="J62" s="12">
        <v>0</v>
      </c>
      <c r="K62" s="12">
        <v>1</v>
      </c>
      <c r="L62" s="12">
        <f t="shared" si="1"/>
        <v>1</v>
      </c>
      <c r="M62" s="12">
        <v>3</v>
      </c>
      <c r="N62" s="12" t="s">
        <v>70</v>
      </c>
      <c r="O62" s="12">
        <v>0</v>
      </c>
      <c r="P62" s="12">
        <v>0</v>
      </c>
      <c r="Q62" s="12">
        <v>1</v>
      </c>
      <c r="R62" s="12">
        <v>0</v>
      </c>
      <c r="S62" s="12">
        <v>0</v>
      </c>
      <c r="T62" s="12">
        <v>1</v>
      </c>
      <c r="U62" s="12" t="s">
        <v>62</v>
      </c>
      <c r="V62" s="12">
        <v>0</v>
      </c>
      <c r="W62" s="12">
        <v>33</v>
      </c>
      <c r="X62" s="12">
        <v>3</v>
      </c>
      <c r="Y62" s="12">
        <v>2</v>
      </c>
      <c r="Z62" s="12" t="s">
        <v>83</v>
      </c>
      <c r="AA62" s="12">
        <v>0</v>
      </c>
      <c r="AB62" s="12">
        <v>0</v>
      </c>
      <c r="AC62" s="12">
        <v>0</v>
      </c>
      <c r="AD62" s="12">
        <v>0</v>
      </c>
      <c r="AE62" s="12">
        <v>1</v>
      </c>
      <c r="AF62" s="12">
        <v>1</v>
      </c>
      <c r="AG62" s="12">
        <v>0</v>
      </c>
      <c r="AH62" s="12">
        <v>0</v>
      </c>
      <c r="AI62" s="12">
        <v>4</v>
      </c>
      <c r="AJ62" s="12" t="s">
        <v>64</v>
      </c>
      <c r="AK62" s="12">
        <v>0</v>
      </c>
      <c r="AL62" s="12">
        <v>1</v>
      </c>
      <c r="AM62" s="12">
        <v>6162</v>
      </c>
      <c r="AN62" s="12">
        <f t="shared" si="2"/>
        <v>6162</v>
      </c>
      <c r="AO62" s="12">
        <v>1</v>
      </c>
      <c r="AP62" s="12" t="s">
        <v>52</v>
      </c>
      <c r="AQ62" s="12">
        <v>1</v>
      </c>
      <c r="AR62" s="12">
        <v>22</v>
      </c>
      <c r="AS62" s="12">
        <v>4</v>
      </c>
      <c r="AT62" s="12">
        <v>2</v>
      </c>
      <c r="AU62" s="12">
        <v>1</v>
      </c>
      <c r="AV62" s="12">
        <v>9</v>
      </c>
      <c r="AW62" s="12">
        <f t="shared" si="3"/>
        <v>9</v>
      </c>
      <c r="AX62" s="12">
        <v>3</v>
      </c>
      <c r="AY62" s="12">
        <v>3</v>
      </c>
      <c r="AZ62" s="12">
        <v>9</v>
      </c>
      <c r="BA62" s="12">
        <f t="shared" si="4"/>
        <v>9</v>
      </c>
      <c r="BB62" s="12">
        <v>8</v>
      </c>
      <c r="BC62" s="12">
        <v>7</v>
      </c>
      <c r="BD62" s="12">
        <f t="shared" si="13"/>
        <v>7</v>
      </c>
      <c r="BE62" s="12">
        <v>8</v>
      </c>
      <c r="BF62" s="12">
        <f t="shared" si="5"/>
        <v>8</v>
      </c>
      <c r="BG62" s="12">
        <f t="shared" si="14"/>
        <v>16</v>
      </c>
      <c r="BH62" s="67">
        <v>0</v>
      </c>
      <c r="BI62" s="67">
        <v>1</v>
      </c>
      <c r="BJ62" s="67">
        <v>0</v>
      </c>
      <c r="BK62" s="67">
        <v>0</v>
      </c>
      <c r="BL62" s="67">
        <v>0</v>
      </c>
      <c r="BM62" s="67">
        <v>0</v>
      </c>
      <c r="BN62" s="67">
        <v>0</v>
      </c>
      <c r="BO62" s="67">
        <v>1</v>
      </c>
      <c r="BP62" s="67">
        <v>0</v>
      </c>
      <c r="BQ62" s="67">
        <v>8</v>
      </c>
      <c r="BR62" s="67">
        <v>0</v>
      </c>
      <c r="BS62" s="67">
        <v>0</v>
      </c>
      <c r="BT62" s="67">
        <v>9</v>
      </c>
      <c r="BU62" s="70">
        <v>0</v>
      </c>
      <c r="BV62" s="29">
        <f t="shared" si="6"/>
        <v>7.2415977508753337E-2</v>
      </c>
      <c r="BW62">
        <f t="shared" si="7"/>
        <v>1.08652546240644</v>
      </c>
      <c r="BX62">
        <f t="shared" si="8"/>
        <v>0.29297722668510823</v>
      </c>
      <c r="BY62">
        <f t="shared" si="9"/>
        <v>0.32511687867835437</v>
      </c>
      <c r="BZ62">
        <f t="shared" si="10"/>
        <v>1.01056543769991</v>
      </c>
      <c r="CA62">
        <f t="shared" si="11"/>
        <v>0.53898283739188557</v>
      </c>
      <c r="CB62">
        <f t="shared" si="12"/>
        <v>1.4933588878908215</v>
      </c>
      <c r="CJ62" s="18" t="s">
        <v>603</v>
      </c>
      <c r="CK62" s="21">
        <v>-14.130652530380814</v>
      </c>
      <c r="CL62" s="21">
        <v>157.63009277405845</v>
      </c>
      <c r="CM62" s="21">
        <v>-8.9644383770269079E-2</v>
      </c>
      <c r="CN62" s="22">
        <v>0.92858245497552883</v>
      </c>
      <c r="CO62" s="21">
        <v>-323.34351700175915</v>
      </c>
      <c r="CP62" s="21">
        <v>295.08221194099752</v>
      </c>
    </row>
    <row r="63" spans="1:142" ht="15" customHeight="1" x14ac:dyDescent="0.45">
      <c r="A63" s="11">
        <v>38</v>
      </c>
      <c r="B63" s="12">
        <f t="shared" si="0"/>
        <v>38</v>
      </c>
      <c r="C63" s="12" t="s">
        <v>59</v>
      </c>
      <c r="D63" s="12">
        <v>0</v>
      </c>
      <c r="E63" s="12" t="s">
        <v>60</v>
      </c>
      <c r="F63" s="12">
        <v>1</v>
      </c>
      <c r="G63" s="12">
        <v>0</v>
      </c>
      <c r="H63" s="12" t="s">
        <v>61</v>
      </c>
      <c r="I63" s="12">
        <v>1</v>
      </c>
      <c r="J63" s="12">
        <v>0</v>
      </c>
      <c r="K63" s="12">
        <v>29</v>
      </c>
      <c r="L63" s="12">
        <f t="shared" si="1"/>
        <v>29</v>
      </c>
      <c r="M63" s="12">
        <v>5</v>
      </c>
      <c r="N63" s="12" t="s">
        <v>55</v>
      </c>
      <c r="O63" s="12">
        <v>1</v>
      </c>
      <c r="P63" s="12">
        <v>0</v>
      </c>
      <c r="Q63" s="12">
        <v>0</v>
      </c>
      <c r="R63" s="12">
        <v>0</v>
      </c>
      <c r="S63" s="12">
        <v>0</v>
      </c>
      <c r="T63" s="12">
        <v>4</v>
      </c>
      <c r="U63" s="12" t="s">
        <v>19</v>
      </c>
      <c r="V63" s="12">
        <v>1</v>
      </c>
      <c r="W63" s="12">
        <v>50</v>
      </c>
      <c r="X63" s="12">
        <v>3</v>
      </c>
      <c r="Y63" s="12">
        <v>2</v>
      </c>
      <c r="Z63" s="12" t="s">
        <v>67</v>
      </c>
      <c r="AA63" s="12">
        <v>0</v>
      </c>
      <c r="AB63" s="12">
        <v>0</v>
      </c>
      <c r="AC63" s="12">
        <v>1</v>
      </c>
      <c r="AD63" s="12">
        <v>0</v>
      </c>
      <c r="AE63" s="12">
        <v>0</v>
      </c>
      <c r="AF63" s="12">
        <v>0</v>
      </c>
      <c r="AG63" s="12">
        <v>0</v>
      </c>
      <c r="AH63" s="12">
        <v>0</v>
      </c>
      <c r="AI63" s="12">
        <v>4</v>
      </c>
      <c r="AJ63" s="12" t="s">
        <v>57</v>
      </c>
      <c r="AK63" s="12">
        <v>1</v>
      </c>
      <c r="AL63" s="12">
        <v>0</v>
      </c>
      <c r="AM63" s="12">
        <v>2406</v>
      </c>
      <c r="AN63" s="12">
        <f t="shared" si="2"/>
        <v>2406</v>
      </c>
      <c r="AO63" s="12">
        <v>1</v>
      </c>
      <c r="AP63" s="12" t="s">
        <v>59</v>
      </c>
      <c r="AQ63" s="12">
        <v>0</v>
      </c>
      <c r="AR63" s="12">
        <v>11</v>
      </c>
      <c r="AS63" s="12">
        <v>3</v>
      </c>
      <c r="AT63" s="12">
        <v>4</v>
      </c>
      <c r="AU63" s="12">
        <v>0</v>
      </c>
      <c r="AV63" s="12">
        <v>10</v>
      </c>
      <c r="AW63" s="12">
        <f t="shared" si="3"/>
        <v>10</v>
      </c>
      <c r="AX63" s="12">
        <v>2</v>
      </c>
      <c r="AY63" s="12">
        <v>3</v>
      </c>
      <c r="AZ63" s="12">
        <v>10</v>
      </c>
      <c r="BA63" s="12">
        <f t="shared" si="4"/>
        <v>10</v>
      </c>
      <c r="BB63" s="12">
        <v>3</v>
      </c>
      <c r="BC63" s="12">
        <v>9</v>
      </c>
      <c r="BD63" s="12">
        <f t="shared" si="13"/>
        <v>9</v>
      </c>
      <c r="BE63" s="12">
        <v>9</v>
      </c>
      <c r="BF63" s="12">
        <f t="shared" si="5"/>
        <v>9</v>
      </c>
      <c r="BG63" s="12">
        <f t="shared" si="14"/>
        <v>18</v>
      </c>
      <c r="BH63" s="67">
        <v>0</v>
      </c>
      <c r="BI63" s="67">
        <v>0</v>
      </c>
      <c r="BJ63" s="67">
        <v>1</v>
      </c>
      <c r="BK63" s="67">
        <v>0</v>
      </c>
      <c r="BL63" s="67">
        <v>1</v>
      </c>
      <c r="BM63" s="67">
        <v>0</v>
      </c>
      <c r="BN63" s="67">
        <v>0</v>
      </c>
      <c r="BO63" s="67">
        <v>0</v>
      </c>
      <c r="BP63" s="67">
        <v>0</v>
      </c>
      <c r="BQ63" s="67">
        <v>9</v>
      </c>
      <c r="BR63" s="67">
        <v>0</v>
      </c>
      <c r="BS63" s="67">
        <v>0</v>
      </c>
      <c r="BT63" s="67">
        <v>10</v>
      </c>
      <c r="BU63" s="70">
        <v>0</v>
      </c>
      <c r="BV63" s="29">
        <f t="shared" si="6"/>
        <v>0.87021429491990543</v>
      </c>
      <c r="BW63">
        <f t="shared" si="7"/>
        <v>1.3667838287404401</v>
      </c>
      <c r="BX63">
        <f t="shared" si="8"/>
        <v>0.1644554352117841</v>
      </c>
      <c r="BY63">
        <f t="shared" si="9"/>
        <v>0.48834154112957734</v>
      </c>
      <c r="BZ63">
        <f t="shared" si="10"/>
        <v>2.4432976708053049</v>
      </c>
      <c r="CA63">
        <f t="shared" si="11"/>
        <v>0.11780475942994788</v>
      </c>
      <c r="CB63">
        <f t="shared" si="12"/>
        <v>2.114008468099899</v>
      </c>
      <c r="CD63" s="2"/>
      <c r="CJ63" s="18" t="s">
        <v>627</v>
      </c>
      <c r="CK63" s="21">
        <v>64.044006012005411</v>
      </c>
      <c r="CL63" s="21">
        <v>136.66624297839286</v>
      </c>
      <c r="CM63" s="21">
        <v>0.46861613092071952</v>
      </c>
      <c r="CN63" s="22">
        <v>0.63941597251612892</v>
      </c>
      <c r="CO63" s="21">
        <v>-204.04541602787623</v>
      </c>
      <c r="CP63" s="21">
        <v>332.13342805188705</v>
      </c>
    </row>
    <row r="64" spans="1:142" ht="15" customHeight="1" x14ac:dyDescent="0.45">
      <c r="A64" s="11">
        <v>50</v>
      </c>
      <c r="B64" s="12">
        <f t="shared" si="0"/>
        <v>50</v>
      </c>
      <c r="C64" s="12" t="s">
        <v>59</v>
      </c>
      <c r="D64" s="12">
        <v>0</v>
      </c>
      <c r="E64" s="12" t="s">
        <v>53</v>
      </c>
      <c r="F64" s="12">
        <v>0</v>
      </c>
      <c r="G64" s="12">
        <v>1</v>
      </c>
      <c r="H64" s="12" t="s">
        <v>61</v>
      </c>
      <c r="I64" s="12">
        <v>1</v>
      </c>
      <c r="J64" s="12">
        <v>0</v>
      </c>
      <c r="K64" s="12">
        <v>7</v>
      </c>
      <c r="L64" s="12">
        <f t="shared" si="1"/>
        <v>7</v>
      </c>
      <c r="M64" s="12">
        <v>2</v>
      </c>
      <c r="N64" s="12" t="s">
        <v>70</v>
      </c>
      <c r="O64" s="12">
        <v>0</v>
      </c>
      <c r="P64" s="12">
        <v>0</v>
      </c>
      <c r="Q64" s="12">
        <v>1</v>
      </c>
      <c r="R64" s="12">
        <v>0</v>
      </c>
      <c r="S64" s="12">
        <v>0</v>
      </c>
      <c r="T64" s="12">
        <v>2</v>
      </c>
      <c r="U64" s="12" t="s">
        <v>19</v>
      </c>
      <c r="V64" s="12">
        <v>1</v>
      </c>
      <c r="W64" s="12">
        <v>43</v>
      </c>
      <c r="X64" s="12">
        <v>2</v>
      </c>
      <c r="Y64" s="12">
        <v>5</v>
      </c>
      <c r="Z64" s="12" t="s">
        <v>89</v>
      </c>
      <c r="AA64" s="12">
        <v>0</v>
      </c>
      <c r="AB64" s="12">
        <v>0</v>
      </c>
      <c r="AC64" s="12">
        <v>0</v>
      </c>
      <c r="AD64" s="12">
        <v>0</v>
      </c>
      <c r="AE64" s="12">
        <v>0</v>
      </c>
      <c r="AF64" s="12">
        <v>0</v>
      </c>
      <c r="AG64" s="12">
        <v>0</v>
      </c>
      <c r="AH64" s="12">
        <v>0</v>
      </c>
      <c r="AI64" s="12">
        <v>3</v>
      </c>
      <c r="AJ64" s="12" t="s">
        <v>78</v>
      </c>
      <c r="AK64" s="12">
        <v>0</v>
      </c>
      <c r="AL64" s="12">
        <v>0</v>
      </c>
      <c r="AM64" s="12">
        <v>18740</v>
      </c>
      <c r="AN64" s="12">
        <f t="shared" si="2"/>
        <v>18740</v>
      </c>
      <c r="AO64" s="12">
        <v>5</v>
      </c>
      <c r="AP64" s="12" t="s">
        <v>52</v>
      </c>
      <c r="AQ64" s="12">
        <v>1</v>
      </c>
      <c r="AR64" s="12">
        <v>12</v>
      </c>
      <c r="AS64" s="12">
        <v>3</v>
      </c>
      <c r="AT64" s="12">
        <v>4</v>
      </c>
      <c r="AU64" s="12">
        <v>1</v>
      </c>
      <c r="AV64" s="12">
        <v>29</v>
      </c>
      <c r="AW64" s="12">
        <f t="shared" si="3"/>
        <v>29</v>
      </c>
      <c r="AX64" s="12">
        <v>2</v>
      </c>
      <c r="AY64" s="12">
        <v>2</v>
      </c>
      <c r="AZ64" s="12">
        <v>27</v>
      </c>
      <c r="BA64" s="12">
        <f t="shared" si="4"/>
        <v>27</v>
      </c>
      <c r="BB64" s="12">
        <v>3</v>
      </c>
      <c r="BC64" s="12">
        <v>13</v>
      </c>
      <c r="BD64" s="12">
        <f t="shared" si="13"/>
        <v>13</v>
      </c>
      <c r="BE64" s="12">
        <v>8</v>
      </c>
      <c r="BF64" s="12">
        <f t="shared" si="5"/>
        <v>8</v>
      </c>
      <c r="BG64" s="12">
        <f t="shared" si="14"/>
        <v>40</v>
      </c>
      <c r="BH64" s="67">
        <v>1</v>
      </c>
      <c r="BI64" s="67">
        <v>0</v>
      </c>
      <c r="BJ64" s="67">
        <v>0</v>
      </c>
      <c r="BK64" s="67">
        <v>0</v>
      </c>
      <c r="BL64" s="67">
        <v>0</v>
      </c>
      <c r="BM64" s="67">
        <v>1</v>
      </c>
      <c r="BN64" s="67">
        <v>0</v>
      </c>
      <c r="BO64" s="67">
        <v>0</v>
      </c>
      <c r="BP64" s="67">
        <v>0</v>
      </c>
      <c r="BQ64" s="67">
        <v>8</v>
      </c>
      <c r="BR64" s="67">
        <v>0</v>
      </c>
      <c r="BS64" s="67">
        <v>0</v>
      </c>
      <c r="BT64" s="67">
        <v>29</v>
      </c>
      <c r="BU64" s="70">
        <v>0</v>
      </c>
      <c r="BV64" s="29">
        <f t="shared" si="6"/>
        <v>2.5992313165267822</v>
      </c>
      <c r="BW64">
        <f t="shared" si="7"/>
        <v>1.08652546240644</v>
      </c>
      <c r="BX64">
        <f t="shared" si="8"/>
        <v>2.2774586027813735</v>
      </c>
      <c r="BY64">
        <f t="shared" si="9"/>
        <v>3.263160802800368</v>
      </c>
      <c r="BZ64">
        <f t="shared" si="10"/>
        <v>0.27045191444879263</v>
      </c>
      <c r="CA64">
        <f t="shared" si="11"/>
        <v>1.4313799530736149</v>
      </c>
      <c r="CB64">
        <f t="shared" si="12"/>
        <v>3.3553076285180543</v>
      </c>
      <c r="CD64" s="2"/>
    </row>
    <row r="65" spans="1:82" ht="15" customHeight="1" x14ac:dyDescent="0.45">
      <c r="A65" s="11">
        <v>59</v>
      </c>
      <c r="B65" s="12">
        <f t="shared" si="0"/>
        <v>58.309999999999945</v>
      </c>
      <c r="C65" s="12" t="s">
        <v>59</v>
      </c>
      <c r="D65" s="12">
        <v>0</v>
      </c>
      <c r="E65" s="12" t="s">
        <v>53</v>
      </c>
      <c r="F65" s="12">
        <v>0</v>
      </c>
      <c r="G65" s="12">
        <v>1</v>
      </c>
      <c r="H65" s="12" t="s">
        <v>54</v>
      </c>
      <c r="I65" s="12">
        <v>0</v>
      </c>
      <c r="J65" s="12">
        <v>1</v>
      </c>
      <c r="K65" s="12">
        <v>25</v>
      </c>
      <c r="L65" s="12">
        <f t="shared" si="1"/>
        <v>25</v>
      </c>
      <c r="M65" s="12">
        <v>3</v>
      </c>
      <c r="N65" s="12" t="s">
        <v>55</v>
      </c>
      <c r="O65" s="12">
        <v>1</v>
      </c>
      <c r="P65" s="12">
        <v>0</v>
      </c>
      <c r="Q65" s="12">
        <v>0</v>
      </c>
      <c r="R65" s="12">
        <v>0</v>
      </c>
      <c r="S65" s="12">
        <v>0</v>
      </c>
      <c r="T65" s="12">
        <v>1</v>
      </c>
      <c r="U65" s="12" t="s">
        <v>19</v>
      </c>
      <c r="V65" s="12">
        <v>1</v>
      </c>
      <c r="W65" s="12">
        <v>99</v>
      </c>
      <c r="X65" s="12">
        <v>3</v>
      </c>
      <c r="Y65" s="12">
        <v>3</v>
      </c>
      <c r="Z65" s="12" t="s">
        <v>56</v>
      </c>
      <c r="AA65" s="12">
        <v>0</v>
      </c>
      <c r="AB65" s="12">
        <v>1</v>
      </c>
      <c r="AC65" s="12">
        <v>0</v>
      </c>
      <c r="AD65" s="12">
        <v>0</v>
      </c>
      <c r="AE65" s="12">
        <v>0</v>
      </c>
      <c r="AF65" s="12">
        <v>0</v>
      </c>
      <c r="AG65" s="12">
        <v>0</v>
      </c>
      <c r="AH65" s="12">
        <v>0</v>
      </c>
      <c r="AI65" s="12">
        <v>1</v>
      </c>
      <c r="AJ65" s="12" t="s">
        <v>57</v>
      </c>
      <c r="AK65" s="12">
        <v>1</v>
      </c>
      <c r="AL65" s="12">
        <v>0</v>
      </c>
      <c r="AM65" s="12">
        <v>7637</v>
      </c>
      <c r="AN65" s="12">
        <f t="shared" si="2"/>
        <v>7637</v>
      </c>
      <c r="AO65" s="12">
        <v>7</v>
      </c>
      <c r="AP65" s="12" t="s">
        <v>59</v>
      </c>
      <c r="AQ65" s="12">
        <v>0</v>
      </c>
      <c r="AR65" s="12">
        <v>11</v>
      </c>
      <c r="AS65" s="12">
        <v>3</v>
      </c>
      <c r="AT65" s="12">
        <v>4</v>
      </c>
      <c r="AU65" s="12">
        <v>0</v>
      </c>
      <c r="AV65" s="12">
        <v>28</v>
      </c>
      <c r="AW65" s="12">
        <f t="shared" si="3"/>
        <v>28</v>
      </c>
      <c r="AX65" s="12">
        <v>3</v>
      </c>
      <c r="AY65" s="12">
        <v>2</v>
      </c>
      <c r="AZ65" s="12">
        <v>21</v>
      </c>
      <c r="BA65" s="12">
        <f t="shared" si="4"/>
        <v>21</v>
      </c>
      <c r="BB65" s="12">
        <v>16</v>
      </c>
      <c r="BC65" s="12">
        <v>7</v>
      </c>
      <c r="BD65" s="12">
        <f t="shared" si="13"/>
        <v>7</v>
      </c>
      <c r="BE65" s="12">
        <v>9</v>
      </c>
      <c r="BF65" s="12">
        <f t="shared" si="5"/>
        <v>9</v>
      </c>
      <c r="BG65" s="12">
        <f t="shared" si="14"/>
        <v>27</v>
      </c>
      <c r="BH65" s="67">
        <v>1</v>
      </c>
      <c r="BI65" s="67">
        <v>0</v>
      </c>
      <c r="BJ65" s="67">
        <v>0</v>
      </c>
      <c r="BK65" s="67">
        <v>0</v>
      </c>
      <c r="BL65" s="67">
        <v>1</v>
      </c>
      <c r="BM65" s="67">
        <v>0</v>
      </c>
      <c r="BN65" s="67">
        <v>0</v>
      </c>
      <c r="BO65" s="67">
        <v>0</v>
      </c>
      <c r="BP65" s="67">
        <v>0</v>
      </c>
      <c r="BQ65" s="67">
        <v>0</v>
      </c>
      <c r="BR65" s="67">
        <v>9</v>
      </c>
      <c r="BS65" s="67">
        <v>0</v>
      </c>
      <c r="BT65" s="67">
        <v>0</v>
      </c>
      <c r="BU65" s="70">
        <v>28</v>
      </c>
      <c r="BV65" s="29">
        <f t="shared" si="6"/>
        <v>0.2408834149783205</v>
      </c>
      <c r="BW65">
        <f t="shared" si="7"/>
        <v>1.3667838287404401</v>
      </c>
      <c r="BX65">
        <f t="shared" si="8"/>
        <v>2.1489368113080496</v>
      </c>
      <c r="BY65">
        <f t="shared" si="9"/>
        <v>2.2838128280930299</v>
      </c>
      <c r="BZ65">
        <f t="shared" si="10"/>
        <v>1.9498886553045598</v>
      </c>
      <c r="CA65">
        <f t="shared" si="11"/>
        <v>2.4165613483063648</v>
      </c>
      <c r="CB65">
        <f t="shared" si="12"/>
        <v>1.4933588878908215</v>
      </c>
      <c r="CD65" s="2"/>
    </row>
    <row r="66" spans="1:82" x14ac:dyDescent="0.45">
      <c r="A66" s="11">
        <v>36</v>
      </c>
      <c r="B66" s="12">
        <f t="shared" ref="B66:B129" si="15">IF(A66&gt;$CD$29,$CD$29,IF(A66&lt;$CD$30,$CD$30,A66))</f>
        <v>36</v>
      </c>
      <c r="C66" s="12" t="s">
        <v>59</v>
      </c>
      <c r="D66" s="12">
        <v>0</v>
      </c>
      <c r="E66" s="12" t="s">
        <v>53</v>
      </c>
      <c r="F66" s="12">
        <v>0</v>
      </c>
      <c r="G66" s="12">
        <v>1</v>
      </c>
      <c r="H66" s="12" t="s">
        <v>61</v>
      </c>
      <c r="I66" s="12">
        <v>1</v>
      </c>
      <c r="J66" s="12">
        <v>0</v>
      </c>
      <c r="K66" s="12">
        <v>8</v>
      </c>
      <c r="L66" s="12">
        <f t="shared" ref="L66:L129" si="16">IF(K66&gt;$CD$25,$CD$25,IF(K66&lt;$CD$26,$CD$26,K66))</f>
        <v>8</v>
      </c>
      <c r="M66" s="12">
        <v>3</v>
      </c>
      <c r="N66" s="12" t="s">
        <v>91</v>
      </c>
      <c r="O66" s="12">
        <v>0</v>
      </c>
      <c r="P66" s="12">
        <v>0</v>
      </c>
      <c r="Q66" s="12">
        <v>0</v>
      </c>
      <c r="R66" s="12">
        <v>0</v>
      </c>
      <c r="S66" s="12">
        <v>1</v>
      </c>
      <c r="T66" s="12">
        <v>3</v>
      </c>
      <c r="U66" s="12" t="s">
        <v>19</v>
      </c>
      <c r="V66" s="12">
        <v>1</v>
      </c>
      <c r="W66" s="12">
        <v>59</v>
      </c>
      <c r="X66" s="12">
        <v>3</v>
      </c>
      <c r="Y66" s="12">
        <v>3</v>
      </c>
      <c r="Z66" s="12" t="s">
        <v>85</v>
      </c>
      <c r="AA66" s="12">
        <v>1</v>
      </c>
      <c r="AB66" s="12">
        <v>0</v>
      </c>
      <c r="AC66" s="12">
        <v>0</v>
      </c>
      <c r="AD66" s="12">
        <v>0</v>
      </c>
      <c r="AE66" s="12">
        <v>0</v>
      </c>
      <c r="AF66" s="12">
        <v>0</v>
      </c>
      <c r="AG66" s="12">
        <v>0</v>
      </c>
      <c r="AH66" s="12">
        <v>0</v>
      </c>
      <c r="AI66" s="12">
        <v>3</v>
      </c>
      <c r="AJ66" s="12" t="s">
        <v>78</v>
      </c>
      <c r="AK66" s="12">
        <v>0</v>
      </c>
      <c r="AL66" s="12">
        <v>0</v>
      </c>
      <c r="AM66" s="12">
        <v>10096</v>
      </c>
      <c r="AN66" s="12">
        <f t="shared" ref="AN66:AN129" si="17">IF(AM66&gt;$CD$8,$CD$8,IF(AM66&lt;$CD$9,$CD$9,AM66))</f>
        <v>10096</v>
      </c>
      <c r="AO66" s="12">
        <v>1</v>
      </c>
      <c r="AP66" s="12" t="s">
        <v>59</v>
      </c>
      <c r="AQ66" s="12">
        <v>0</v>
      </c>
      <c r="AR66" s="12">
        <v>13</v>
      </c>
      <c r="AS66" s="12">
        <v>3</v>
      </c>
      <c r="AT66" s="12">
        <v>2</v>
      </c>
      <c r="AU66" s="12">
        <v>3</v>
      </c>
      <c r="AV66" s="12">
        <v>17</v>
      </c>
      <c r="AW66" s="12">
        <f t="shared" ref="AW66:AW129" si="18">IF(AV66&gt;$CD$17,$CD$17,IF(AV66&lt;$CD$18,$CD$18,AV66))</f>
        <v>17</v>
      </c>
      <c r="AX66" s="12">
        <v>2</v>
      </c>
      <c r="AY66" s="12">
        <v>3</v>
      </c>
      <c r="AZ66" s="12">
        <v>17</v>
      </c>
      <c r="BA66" s="12">
        <f t="shared" ref="BA66:BA129" si="19">IF(AZ66&gt; $CD$21,$CD$21,IF(AZ66&lt;$CD$22,$CD$22,AZ66))</f>
        <v>17</v>
      </c>
      <c r="BB66" s="12">
        <v>14</v>
      </c>
      <c r="BC66" s="12">
        <v>12</v>
      </c>
      <c r="BD66" s="12">
        <f t="shared" si="13"/>
        <v>12</v>
      </c>
      <c r="BE66" s="12">
        <v>8</v>
      </c>
      <c r="BF66" s="12">
        <f t="shared" ref="BF66:BF129" si="20">IF(BE66&gt;$CD$12,$CD$12,IF(BE66&lt;$CD$13,$CD$13,BE66))</f>
        <v>8</v>
      </c>
      <c r="BG66" s="12">
        <f t="shared" si="14"/>
        <v>24</v>
      </c>
      <c r="BH66" s="67">
        <v>1</v>
      </c>
      <c r="BI66" s="67">
        <v>0</v>
      </c>
      <c r="BJ66" s="67">
        <v>0</v>
      </c>
      <c r="BK66" s="67">
        <v>0</v>
      </c>
      <c r="BL66" s="67">
        <v>1</v>
      </c>
      <c r="BM66" s="67">
        <v>0</v>
      </c>
      <c r="BN66" s="67">
        <v>0</v>
      </c>
      <c r="BO66" s="67">
        <v>0</v>
      </c>
      <c r="BP66" s="67">
        <v>0</v>
      </c>
      <c r="BQ66" s="67">
        <v>8</v>
      </c>
      <c r="BR66" s="67">
        <v>0</v>
      </c>
      <c r="BS66" s="67">
        <v>0</v>
      </c>
      <c r="BT66" s="67">
        <v>17</v>
      </c>
      <c r="BU66" s="70">
        <v>0</v>
      </c>
      <c r="BV66" s="29">
        <f t="shared" ref="BV66:BV129" si="21">ABS((AM66-AVERAGE(AM:AM))/_xlfn.STDEV.S(AM:AM))</f>
        <v>0.76319067336863544</v>
      </c>
      <c r="BW66">
        <f t="shared" ref="BW66:BW129" si="22">ABS((BE66-AVERAGE(BE:BE))/_xlfn.STDEV.S(BE:BE))</f>
        <v>1.08652546240644</v>
      </c>
      <c r="BX66">
        <f t="shared" ref="BX66:BX129" si="23">ABS((AV66-AVERAGE(AV:AV))/_xlfn.STDEV.S(AV:AV))</f>
        <v>0.73519710510148462</v>
      </c>
      <c r="BY66">
        <f t="shared" ref="BY66:BY129" si="24">ABS((AZ66-AVERAGE(AZ:AZ))/_xlfn.STDEV.S(AZ:AZ))</f>
        <v>1.630914178288138</v>
      </c>
      <c r="BZ66">
        <f t="shared" ref="BZ66:BZ129" si="25">ABS((K66-AVERAGE(K:K))/_xlfn.STDEV.S(K:K))</f>
        <v>0.14709966057360641</v>
      </c>
      <c r="CA66">
        <f t="shared" ref="CA66:CA129" si="26">ABS((A66-AVERAGE(A:A))/_xlfn.STDEV.S(A:A))</f>
        <v>0.10112443951066327</v>
      </c>
      <c r="CB66">
        <f t="shared" ref="CB66:CB129" si="27">ABS((BC66-AVERAGE(BC:BC))/_xlfn.STDEV.S(BC:BC))</f>
        <v>3.0449828384135156</v>
      </c>
    </row>
    <row r="67" spans="1:82" x14ac:dyDescent="0.45">
      <c r="A67" s="11">
        <v>55</v>
      </c>
      <c r="B67" s="12">
        <f t="shared" si="15"/>
        <v>55</v>
      </c>
      <c r="C67" s="12" t="s">
        <v>59</v>
      </c>
      <c r="D67" s="12">
        <v>0</v>
      </c>
      <c r="E67" s="12" t="s">
        <v>53</v>
      </c>
      <c r="F67" s="12">
        <v>0</v>
      </c>
      <c r="G67" s="12">
        <v>1</v>
      </c>
      <c r="H67" s="12" t="s">
        <v>61</v>
      </c>
      <c r="I67" s="12">
        <v>1</v>
      </c>
      <c r="J67" s="12">
        <v>0</v>
      </c>
      <c r="K67" s="12">
        <v>8</v>
      </c>
      <c r="L67" s="12">
        <f t="shared" si="16"/>
        <v>8</v>
      </c>
      <c r="M67" s="12">
        <v>3</v>
      </c>
      <c r="N67" s="12" t="s">
        <v>70</v>
      </c>
      <c r="O67" s="12">
        <v>0</v>
      </c>
      <c r="P67" s="12">
        <v>0</v>
      </c>
      <c r="Q67" s="12">
        <v>1</v>
      </c>
      <c r="R67" s="12">
        <v>0</v>
      </c>
      <c r="S67" s="12">
        <v>0</v>
      </c>
      <c r="T67" s="12">
        <v>4</v>
      </c>
      <c r="U67" s="12" t="s">
        <v>19</v>
      </c>
      <c r="V67" s="12">
        <v>1</v>
      </c>
      <c r="W67" s="12">
        <v>33</v>
      </c>
      <c r="X67" s="12">
        <v>3</v>
      </c>
      <c r="Y67" s="12">
        <v>4</v>
      </c>
      <c r="Z67" s="12" t="s">
        <v>87</v>
      </c>
      <c r="AA67" s="12">
        <v>0</v>
      </c>
      <c r="AB67" s="12">
        <v>0</v>
      </c>
      <c r="AC67" s="12">
        <v>0</v>
      </c>
      <c r="AD67" s="12">
        <v>1</v>
      </c>
      <c r="AE67" s="12">
        <v>0</v>
      </c>
      <c r="AF67" s="12">
        <v>0</v>
      </c>
      <c r="AG67" s="12">
        <v>0</v>
      </c>
      <c r="AH67" s="12">
        <v>0</v>
      </c>
      <c r="AI67" s="12">
        <v>3</v>
      </c>
      <c r="AJ67" s="12" t="s">
        <v>78</v>
      </c>
      <c r="AK67" s="12">
        <v>0</v>
      </c>
      <c r="AL67" s="12">
        <v>0</v>
      </c>
      <c r="AM67" s="12">
        <v>14756</v>
      </c>
      <c r="AN67" s="12">
        <f t="shared" si="17"/>
        <v>14756</v>
      </c>
      <c r="AO67" s="12">
        <v>2</v>
      </c>
      <c r="AP67" s="12" t="s">
        <v>52</v>
      </c>
      <c r="AQ67" s="12">
        <v>1</v>
      </c>
      <c r="AR67" s="12">
        <v>14</v>
      </c>
      <c r="AS67" s="12">
        <v>3</v>
      </c>
      <c r="AT67" s="12">
        <v>3</v>
      </c>
      <c r="AU67" s="12">
        <v>3</v>
      </c>
      <c r="AV67" s="12">
        <v>21</v>
      </c>
      <c r="AW67" s="12">
        <f t="shared" si="18"/>
        <v>21</v>
      </c>
      <c r="AX67" s="12">
        <v>2</v>
      </c>
      <c r="AY67" s="12">
        <v>3</v>
      </c>
      <c r="AZ67" s="12">
        <v>5</v>
      </c>
      <c r="BA67" s="12">
        <f t="shared" si="19"/>
        <v>5</v>
      </c>
      <c r="BB67" s="12">
        <v>0</v>
      </c>
      <c r="BC67" s="12">
        <v>0</v>
      </c>
      <c r="BD67" s="12">
        <f t="shared" ref="BD67:BD130" si="28">IF(BC67&gt;$CD$33,$CD$33,BC67)</f>
        <v>0</v>
      </c>
      <c r="BE67" s="12">
        <v>2</v>
      </c>
      <c r="BF67" s="12">
        <f t="shared" si="20"/>
        <v>2</v>
      </c>
      <c r="BG67" s="12">
        <f t="shared" ref="BG67:BG130" si="29">BF67*Y67</f>
        <v>8</v>
      </c>
      <c r="BH67" s="67">
        <v>1</v>
      </c>
      <c r="BI67" s="67">
        <v>0</v>
      </c>
      <c r="BJ67" s="67">
        <v>0</v>
      </c>
      <c r="BK67" s="67">
        <v>0</v>
      </c>
      <c r="BL67" s="67">
        <v>0</v>
      </c>
      <c r="BM67" s="67">
        <v>1</v>
      </c>
      <c r="BN67" s="67">
        <v>0</v>
      </c>
      <c r="BO67" s="67">
        <v>0</v>
      </c>
      <c r="BP67" s="67">
        <v>0</v>
      </c>
      <c r="BQ67" s="67">
        <v>2</v>
      </c>
      <c r="BR67" s="67">
        <v>0</v>
      </c>
      <c r="BS67" s="67">
        <v>0</v>
      </c>
      <c r="BT67" s="67">
        <v>21</v>
      </c>
      <c r="BU67" s="70">
        <v>0</v>
      </c>
      <c r="BV67" s="29">
        <f t="shared" si="21"/>
        <v>1.753004347260001</v>
      </c>
      <c r="BW67">
        <f t="shared" si="22"/>
        <v>0.59502473559756086</v>
      </c>
      <c r="BX67">
        <f t="shared" si="23"/>
        <v>1.2492842709947811</v>
      </c>
      <c r="BY67">
        <f t="shared" si="24"/>
        <v>0.32778177112653761</v>
      </c>
      <c r="BZ67">
        <f t="shared" si="25"/>
        <v>0.14709966057360641</v>
      </c>
      <c r="CA67">
        <f t="shared" si="26"/>
        <v>1.9787029504251428</v>
      </c>
      <c r="CB67">
        <f t="shared" si="27"/>
        <v>0.67891464284095016</v>
      </c>
    </row>
    <row r="68" spans="1:82" x14ac:dyDescent="0.45">
      <c r="A68" s="11">
        <v>36</v>
      </c>
      <c r="B68" s="12">
        <f t="shared" si="15"/>
        <v>36</v>
      </c>
      <c r="C68" s="12" t="s">
        <v>59</v>
      </c>
      <c r="D68" s="12">
        <v>0</v>
      </c>
      <c r="E68" s="12" t="s">
        <v>60</v>
      </c>
      <c r="F68" s="12">
        <v>1</v>
      </c>
      <c r="G68" s="12">
        <v>0</v>
      </c>
      <c r="H68" s="12" t="s">
        <v>61</v>
      </c>
      <c r="I68" s="12">
        <v>1</v>
      </c>
      <c r="J68" s="12">
        <v>0</v>
      </c>
      <c r="K68" s="12">
        <v>11</v>
      </c>
      <c r="L68" s="12">
        <f t="shared" si="16"/>
        <v>11</v>
      </c>
      <c r="M68" s="12">
        <v>3</v>
      </c>
      <c r="N68" s="12" t="s">
        <v>55</v>
      </c>
      <c r="O68" s="12">
        <v>1</v>
      </c>
      <c r="P68" s="12">
        <v>0</v>
      </c>
      <c r="Q68" s="12">
        <v>0</v>
      </c>
      <c r="R68" s="12">
        <v>0</v>
      </c>
      <c r="S68" s="12">
        <v>0</v>
      </c>
      <c r="T68" s="12">
        <v>2</v>
      </c>
      <c r="U68" s="12" t="s">
        <v>62</v>
      </c>
      <c r="V68" s="12">
        <v>0</v>
      </c>
      <c r="W68" s="12">
        <v>95</v>
      </c>
      <c r="X68" s="12">
        <v>2</v>
      </c>
      <c r="Y68" s="12">
        <v>2</v>
      </c>
      <c r="Z68" s="12" t="s">
        <v>83</v>
      </c>
      <c r="AA68" s="12">
        <v>0</v>
      </c>
      <c r="AB68" s="12">
        <v>0</v>
      </c>
      <c r="AC68" s="12">
        <v>0</v>
      </c>
      <c r="AD68" s="12">
        <v>0</v>
      </c>
      <c r="AE68" s="12">
        <v>1</v>
      </c>
      <c r="AF68" s="12">
        <v>1</v>
      </c>
      <c r="AG68" s="12">
        <v>0</v>
      </c>
      <c r="AH68" s="12">
        <v>0</v>
      </c>
      <c r="AI68" s="12">
        <v>2</v>
      </c>
      <c r="AJ68" s="12" t="s">
        <v>57</v>
      </c>
      <c r="AK68" s="12">
        <v>1</v>
      </c>
      <c r="AL68" s="12">
        <v>0</v>
      </c>
      <c r="AM68" s="12">
        <v>6499</v>
      </c>
      <c r="AN68" s="12">
        <f t="shared" si="17"/>
        <v>6499</v>
      </c>
      <c r="AO68" s="12">
        <v>1</v>
      </c>
      <c r="AP68" s="12" t="s">
        <v>59</v>
      </c>
      <c r="AQ68" s="12">
        <v>0</v>
      </c>
      <c r="AR68" s="12">
        <v>13</v>
      </c>
      <c r="AS68" s="12">
        <v>3</v>
      </c>
      <c r="AT68" s="12">
        <v>3</v>
      </c>
      <c r="AU68" s="12">
        <v>0</v>
      </c>
      <c r="AV68" s="12">
        <v>6</v>
      </c>
      <c r="AW68" s="12">
        <f t="shared" si="18"/>
        <v>6</v>
      </c>
      <c r="AX68" s="12">
        <v>3</v>
      </c>
      <c r="AY68" s="12">
        <v>3</v>
      </c>
      <c r="AZ68" s="12">
        <v>6</v>
      </c>
      <c r="BA68" s="12">
        <f t="shared" si="19"/>
        <v>6</v>
      </c>
      <c r="BB68" s="12">
        <v>5</v>
      </c>
      <c r="BC68" s="12">
        <v>0</v>
      </c>
      <c r="BD68" s="12">
        <f t="shared" si="28"/>
        <v>0</v>
      </c>
      <c r="BE68" s="12">
        <v>3</v>
      </c>
      <c r="BF68" s="12">
        <f t="shared" si="20"/>
        <v>3</v>
      </c>
      <c r="BG68" s="12">
        <f t="shared" si="29"/>
        <v>6</v>
      </c>
      <c r="BH68" s="67">
        <v>0</v>
      </c>
      <c r="BI68" s="67">
        <v>0</v>
      </c>
      <c r="BJ68" s="67">
        <v>1</v>
      </c>
      <c r="BK68" s="67">
        <v>0</v>
      </c>
      <c r="BL68" s="67">
        <v>1</v>
      </c>
      <c r="BM68" s="67">
        <v>0</v>
      </c>
      <c r="BN68" s="67">
        <v>0</v>
      </c>
      <c r="BO68" s="67">
        <v>0</v>
      </c>
      <c r="BP68" s="67">
        <v>0</v>
      </c>
      <c r="BQ68" s="67">
        <v>3</v>
      </c>
      <c r="BR68" s="67">
        <v>0</v>
      </c>
      <c r="BS68" s="67">
        <v>0</v>
      </c>
      <c r="BT68" s="67">
        <v>6</v>
      </c>
      <c r="BU68" s="70">
        <v>0</v>
      </c>
      <c r="BV68" s="29">
        <f t="shared" si="21"/>
        <v>8.3503156424900317E-4</v>
      </c>
      <c r="BW68">
        <f t="shared" si="22"/>
        <v>0.31476636926356072</v>
      </c>
      <c r="BX68">
        <f t="shared" si="23"/>
        <v>0.67854260110508058</v>
      </c>
      <c r="BY68">
        <f t="shared" si="24"/>
        <v>0.16455710867531462</v>
      </c>
      <c r="BZ68">
        <f t="shared" si="25"/>
        <v>0.22295710105195232</v>
      </c>
      <c r="CA68">
        <f t="shared" si="26"/>
        <v>0.10112443951066327</v>
      </c>
      <c r="CB68">
        <f t="shared" si="27"/>
        <v>0.67891464284095016</v>
      </c>
    </row>
    <row r="69" spans="1:82" x14ac:dyDescent="0.45">
      <c r="A69" s="11">
        <v>45</v>
      </c>
      <c r="B69" s="12">
        <f t="shared" si="15"/>
        <v>45</v>
      </c>
      <c r="C69" s="12" t="s">
        <v>59</v>
      </c>
      <c r="D69" s="12">
        <v>0</v>
      </c>
      <c r="E69" s="12" t="s">
        <v>53</v>
      </c>
      <c r="F69" s="12">
        <v>0</v>
      </c>
      <c r="G69" s="12">
        <v>1</v>
      </c>
      <c r="H69" s="12" t="s">
        <v>61</v>
      </c>
      <c r="I69" s="12">
        <v>1</v>
      </c>
      <c r="J69" s="12">
        <v>0</v>
      </c>
      <c r="K69" s="12">
        <v>7</v>
      </c>
      <c r="L69" s="12">
        <f t="shared" si="16"/>
        <v>7</v>
      </c>
      <c r="M69" s="12">
        <v>3</v>
      </c>
      <c r="N69" s="12" t="s">
        <v>55</v>
      </c>
      <c r="O69" s="12">
        <v>1</v>
      </c>
      <c r="P69" s="12">
        <v>0</v>
      </c>
      <c r="Q69" s="12">
        <v>0</v>
      </c>
      <c r="R69" s="12">
        <v>0</v>
      </c>
      <c r="S69" s="12">
        <v>0</v>
      </c>
      <c r="T69" s="12">
        <v>2</v>
      </c>
      <c r="U69" s="12" t="s">
        <v>62</v>
      </c>
      <c r="V69" s="12">
        <v>0</v>
      </c>
      <c r="W69" s="12">
        <v>59</v>
      </c>
      <c r="X69" s="12">
        <v>3</v>
      </c>
      <c r="Y69" s="12">
        <v>3</v>
      </c>
      <c r="Z69" s="12" t="s">
        <v>63</v>
      </c>
      <c r="AA69" s="12">
        <v>0</v>
      </c>
      <c r="AB69" s="12">
        <v>0</v>
      </c>
      <c r="AC69" s="12">
        <v>0</v>
      </c>
      <c r="AD69" s="12">
        <v>0</v>
      </c>
      <c r="AE69" s="12">
        <v>0</v>
      </c>
      <c r="AF69" s="12">
        <v>0</v>
      </c>
      <c r="AG69" s="12">
        <v>0</v>
      </c>
      <c r="AH69" s="12">
        <v>1</v>
      </c>
      <c r="AI69" s="12">
        <v>1</v>
      </c>
      <c r="AJ69" s="12" t="s">
        <v>78</v>
      </c>
      <c r="AK69" s="12">
        <v>0</v>
      </c>
      <c r="AL69" s="12">
        <v>0</v>
      </c>
      <c r="AM69" s="12">
        <v>9724</v>
      </c>
      <c r="AN69" s="12">
        <f t="shared" si="17"/>
        <v>9724</v>
      </c>
      <c r="AO69" s="12">
        <v>2</v>
      </c>
      <c r="AP69" s="12" t="s">
        <v>59</v>
      </c>
      <c r="AQ69" s="12">
        <v>0</v>
      </c>
      <c r="AR69" s="12">
        <v>17</v>
      </c>
      <c r="AS69" s="12">
        <v>3</v>
      </c>
      <c r="AT69" s="12">
        <v>3</v>
      </c>
      <c r="AU69" s="12">
        <v>1</v>
      </c>
      <c r="AV69" s="12">
        <v>25</v>
      </c>
      <c r="AW69" s="12">
        <f t="shared" si="18"/>
        <v>25</v>
      </c>
      <c r="AX69" s="12">
        <v>2</v>
      </c>
      <c r="AY69" s="12">
        <v>3</v>
      </c>
      <c r="AZ69" s="12">
        <v>1</v>
      </c>
      <c r="BA69" s="12">
        <f t="shared" si="19"/>
        <v>1</v>
      </c>
      <c r="BB69" s="12">
        <v>0</v>
      </c>
      <c r="BC69" s="12">
        <v>0</v>
      </c>
      <c r="BD69" s="12">
        <f t="shared" si="28"/>
        <v>0</v>
      </c>
      <c r="BE69" s="12">
        <v>0</v>
      </c>
      <c r="BF69" s="12">
        <f t="shared" si="20"/>
        <v>0</v>
      </c>
      <c r="BG69" s="12">
        <f t="shared" si="29"/>
        <v>0</v>
      </c>
      <c r="BH69" s="67">
        <v>1</v>
      </c>
      <c r="BI69" s="67">
        <v>0</v>
      </c>
      <c r="BJ69" s="67">
        <v>0</v>
      </c>
      <c r="BK69" s="67">
        <v>0</v>
      </c>
      <c r="BL69" s="67">
        <v>1</v>
      </c>
      <c r="BM69" s="67">
        <v>0</v>
      </c>
      <c r="BN69" s="67">
        <v>0</v>
      </c>
      <c r="BO69" s="67">
        <v>0</v>
      </c>
      <c r="BP69" s="67">
        <v>0</v>
      </c>
      <c r="BQ69" s="67">
        <v>0</v>
      </c>
      <c r="BR69" s="67">
        <v>0</v>
      </c>
      <c r="BS69" s="67">
        <v>0</v>
      </c>
      <c r="BT69" s="67">
        <v>25</v>
      </c>
      <c r="BU69" s="70">
        <v>0</v>
      </c>
      <c r="BV69" s="29">
        <f t="shared" si="21"/>
        <v>0.68417550455155651</v>
      </c>
      <c r="BW69">
        <f t="shared" si="22"/>
        <v>1.1555414682655611</v>
      </c>
      <c r="BX69">
        <f t="shared" si="23"/>
        <v>1.7633714368880775</v>
      </c>
      <c r="BY69">
        <f t="shared" si="24"/>
        <v>0.9806804209314296</v>
      </c>
      <c r="BZ69">
        <f t="shared" si="25"/>
        <v>0.27045191444879263</v>
      </c>
      <c r="CA69">
        <f t="shared" si="26"/>
        <v>0.88405695572208698</v>
      </c>
      <c r="CB69">
        <f t="shared" si="27"/>
        <v>0.67891464284095016</v>
      </c>
    </row>
    <row r="70" spans="1:82" x14ac:dyDescent="0.45">
      <c r="A70" s="11">
        <v>35</v>
      </c>
      <c r="B70" s="12">
        <f t="shared" si="15"/>
        <v>35</v>
      </c>
      <c r="C70" s="12" t="s">
        <v>59</v>
      </c>
      <c r="D70" s="12">
        <v>0</v>
      </c>
      <c r="E70" s="12" t="s">
        <v>60</v>
      </c>
      <c r="F70" s="12">
        <v>1</v>
      </c>
      <c r="G70" s="12">
        <v>0</v>
      </c>
      <c r="H70" s="12" t="s">
        <v>61</v>
      </c>
      <c r="I70" s="12">
        <v>1</v>
      </c>
      <c r="J70" s="12">
        <v>0</v>
      </c>
      <c r="K70" s="12">
        <v>1</v>
      </c>
      <c r="L70" s="12">
        <f t="shared" si="16"/>
        <v>1</v>
      </c>
      <c r="M70" s="12">
        <v>3</v>
      </c>
      <c r="N70" s="12" t="s">
        <v>70</v>
      </c>
      <c r="O70" s="12">
        <v>0</v>
      </c>
      <c r="P70" s="12">
        <v>0</v>
      </c>
      <c r="Q70" s="12">
        <v>1</v>
      </c>
      <c r="R70" s="12">
        <v>0</v>
      </c>
      <c r="S70" s="12">
        <v>0</v>
      </c>
      <c r="T70" s="12">
        <v>2</v>
      </c>
      <c r="U70" s="12" t="s">
        <v>62</v>
      </c>
      <c r="V70" s="12">
        <v>0</v>
      </c>
      <c r="W70" s="12">
        <v>79</v>
      </c>
      <c r="X70" s="12">
        <v>3</v>
      </c>
      <c r="Y70" s="12">
        <v>1</v>
      </c>
      <c r="Z70" s="12" t="s">
        <v>63</v>
      </c>
      <c r="AA70" s="12">
        <v>0</v>
      </c>
      <c r="AB70" s="12">
        <v>0</v>
      </c>
      <c r="AC70" s="12">
        <v>0</v>
      </c>
      <c r="AD70" s="12">
        <v>0</v>
      </c>
      <c r="AE70" s="12">
        <v>0</v>
      </c>
      <c r="AF70" s="12">
        <v>0</v>
      </c>
      <c r="AG70" s="12">
        <v>0</v>
      </c>
      <c r="AH70" s="12">
        <v>1</v>
      </c>
      <c r="AI70" s="12">
        <v>1</v>
      </c>
      <c r="AJ70" s="12" t="s">
        <v>64</v>
      </c>
      <c r="AK70" s="12">
        <v>0</v>
      </c>
      <c r="AL70" s="12">
        <v>1</v>
      </c>
      <c r="AM70" s="12">
        <v>2194</v>
      </c>
      <c r="AN70" s="12">
        <f t="shared" si="17"/>
        <v>2194</v>
      </c>
      <c r="AO70" s="12">
        <v>4</v>
      </c>
      <c r="AP70" s="12" t="s">
        <v>59</v>
      </c>
      <c r="AQ70" s="12">
        <v>0</v>
      </c>
      <c r="AR70" s="12">
        <v>13</v>
      </c>
      <c r="AS70" s="12">
        <v>3</v>
      </c>
      <c r="AT70" s="12">
        <v>4</v>
      </c>
      <c r="AU70" s="12">
        <v>1</v>
      </c>
      <c r="AV70" s="12">
        <v>5</v>
      </c>
      <c r="AW70" s="12">
        <f t="shared" si="18"/>
        <v>5</v>
      </c>
      <c r="AX70" s="12">
        <v>2</v>
      </c>
      <c r="AY70" s="12">
        <v>2</v>
      </c>
      <c r="AZ70" s="12">
        <v>3</v>
      </c>
      <c r="BA70" s="12">
        <f t="shared" si="19"/>
        <v>3</v>
      </c>
      <c r="BB70" s="12">
        <v>2</v>
      </c>
      <c r="BC70" s="12">
        <v>1</v>
      </c>
      <c r="BD70" s="12">
        <f t="shared" si="28"/>
        <v>1</v>
      </c>
      <c r="BE70" s="12">
        <v>2</v>
      </c>
      <c r="BF70" s="12">
        <f t="shared" si="20"/>
        <v>2</v>
      </c>
      <c r="BG70" s="12">
        <f t="shared" si="29"/>
        <v>2</v>
      </c>
      <c r="BH70" s="67">
        <v>0</v>
      </c>
      <c r="BI70" s="67">
        <v>0</v>
      </c>
      <c r="BJ70" s="67">
        <v>0</v>
      </c>
      <c r="BK70" s="67">
        <v>1</v>
      </c>
      <c r="BL70" s="67">
        <v>0</v>
      </c>
      <c r="BM70" s="67">
        <v>0</v>
      </c>
      <c r="BN70" s="67">
        <v>1</v>
      </c>
      <c r="BO70" s="67">
        <v>0</v>
      </c>
      <c r="BP70" s="67">
        <v>0</v>
      </c>
      <c r="BQ70" s="67">
        <v>2</v>
      </c>
      <c r="BR70" s="67">
        <v>0</v>
      </c>
      <c r="BS70" s="67">
        <v>0</v>
      </c>
      <c r="BT70" s="67">
        <v>5</v>
      </c>
      <c r="BU70" s="70">
        <v>0</v>
      </c>
      <c r="BV70" s="29">
        <f t="shared" si="21"/>
        <v>0.91524444489092893</v>
      </c>
      <c r="BW70">
        <f t="shared" si="22"/>
        <v>0.59502473559756086</v>
      </c>
      <c r="BX70">
        <f t="shared" si="23"/>
        <v>0.80706439257840468</v>
      </c>
      <c r="BY70">
        <f t="shared" si="24"/>
        <v>0.65423109602898355</v>
      </c>
      <c r="BZ70">
        <f t="shared" si="25"/>
        <v>1.01056543769991</v>
      </c>
      <c r="CA70">
        <f t="shared" si="26"/>
        <v>0.21058903898096887</v>
      </c>
      <c r="CB70">
        <f t="shared" si="27"/>
        <v>0.36858985273641137</v>
      </c>
    </row>
    <row r="71" spans="1:82" x14ac:dyDescent="0.45">
      <c r="A71" s="11">
        <v>36</v>
      </c>
      <c r="B71" s="12">
        <f t="shared" si="15"/>
        <v>36</v>
      </c>
      <c r="C71" s="12" t="s">
        <v>52</v>
      </c>
      <c r="D71" s="12">
        <v>1</v>
      </c>
      <c r="E71" s="12" t="s">
        <v>53</v>
      </c>
      <c r="F71" s="12">
        <v>0</v>
      </c>
      <c r="G71" s="12">
        <v>1</v>
      </c>
      <c r="H71" s="12" t="s">
        <v>61</v>
      </c>
      <c r="I71" s="12">
        <v>1</v>
      </c>
      <c r="J71" s="12">
        <v>0</v>
      </c>
      <c r="K71" s="12">
        <v>9</v>
      </c>
      <c r="L71" s="12">
        <f t="shared" si="16"/>
        <v>9</v>
      </c>
      <c r="M71" s="12">
        <v>3</v>
      </c>
      <c r="N71" s="12" t="s">
        <v>70</v>
      </c>
      <c r="O71" s="12">
        <v>0</v>
      </c>
      <c r="P71" s="12">
        <v>0</v>
      </c>
      <c r="Q71" s="12">
        <v>1</v>
      </c>
      <c r="R71" s="12">
        <v>0</v>
      </c>
      <c r="S71" s="12">
        <v>0</v>
      </c>
      <c r="T71" s="12">
        <v>4</v>
      </c>
      <c r="U71" s="12" t="s">
        <v>62</v>
      </c>
      <c r="V71" s="12">
        <v>0</v>
      </c>
      <c r="W71" s="12">
        <v>79</v>
      </c>
      <c r="X71" s="12">
        <v>2</v>
      </c>
      <c r="Y71" s="12">
        <v>1</v>
      </c>
      <c r="Z71" s="12" t="s">
        <v>63</v>
      </c>
      <c r="AA71" s="12">
        <v>0</v>
      </c>
      <c r="AB71" s="12">
        <v>0</v>
      </c>
      <c r="AC71" s="12">
        <v>0</v>
      </c>
      <c r="AD71" s="12">
        <v>0</v>
      </c>
      <c r="AE71" s="12">
        <v>0</v>
      </c>
      <c r="AF71" s="12">
        <v>0</v>
      </c>
      <c r="AG71" s="12">
        <v>0</v>
      </c>
      <c r="AH71" s="12">
        <v>1</v>
      </c>
      <c r="AI71" s="12">
        <v>3</v>
      </c>
      <c r="AJ71" s="12" t="s">
        <v>64</v>
      </c>
      <c r="AK71" s="12">
        <v>0</v>
      </c>
      <c r="AL71" s="12">
        <v>1</v>
      </c>
      <c r="AM71" s="12">
        <v>3388</v>
      </c>
      <c r="AN71" s="12">
        <f t="shared" si="17"/>
        <v>3388</v>
      </c>
      <c r="AO71" s="12">
        <v>0</v>
      </c>
      <c r="AP71" s="12" t="s">
        <v>52</v>
      </c>
      <c r="AQ71" s="12">
        <v>1</v>
      </c>
      <c r="AR71" s="12">
        <v>17</v>
      </c>
      <c r="AS71" s="12">
        <v>3</v>
      </c>
      <c r="AT71" s="12">
        <v>1</v>
      </c>
      <c r="AU71" s="12">
        <v>1</v>
      </c>
      <c r="AV71" s="12">
        <v>2</v>
      </c>
      <c r="AW71" s="12">
        <f t="shared" si="18"/>
        <v>2</v>
      </c>
      <c r="AX71" s="12">
        <v>0</v>
      </c>
      <c r="AY71" s="12">
        <v>2</v>
      </c>
      <c r="AZ71" s="12">
        <v>1</v>
      </c>
      <c r="BA71" s="12">
        <f t="shared" si="19"/>
        <v>1</v>
      </c>
      <c r="BB71" s="12">
        <v>0</v>
      </c>
      <c r="BC71" s="12">
        <v>0</v>
      </c>
      <c r="BD71" s="12">
        <f t="shared" si="28"/>
        <v>0</v>
      </c>
      <c r="BE71" s="12">
        <v>0</v>
      </c>
      <c r="BF71" s="12">
        <f t="shared" si="20"/>
        <v>0</v>
      </c>
      <c r="BG71" s="12">
        <f t="shared" si="29"/>
        <v>0</v>
      </c>
      <c r="BH71" s="67">
        <v>0</v>
      </c>
      <c r="BI71" s="67">
        <v>1</v>
      </c>
      <c r="BJ71" s="67">
        <v>0</v>
      </c>
      <c r="BK71" s="67">
        <v>0</v>
      </c>
      <c r="BL71" s="67">
        <v>0</v>
      </c>
      <c r="BM71" s="67">
        <v>0</v>
      </c>
      <c r="BN71" s="67">
        <v>0</v>
      </c>
      <c r="BO71" s="67">
        <v>1</v>
      </c>
      <c r="BP71" s="67">
        <v>0</v>
      </c>
      <c r="BQ71" s="67">
        <v>0</v>
      </c>
      <c r="BR71" s="67">
        <v>0</v>
      </c>
      <c r="BS71" s="67">
        <v>0</v>
      </c>
      <c r="BT71" s="67">
        <v>2</v>
      </c>
      <c r="BU71" s="70">
        <v>0</v>
      </c>
      <c r="BV71" s="29">
        <f t="shared" si="21"/>
        <v>0.66163124175223997</v>
      </c>
      <c r="BW71">
        <f t="shared" si="22"/>
        <v>1.1555414682655611</v>
      </c>
      <c r="BX71">
        <f t="shared" si="23"/>
        <v>1.192629766998377</v>
      </c>
      <c r="BY71">
        <f t="shared" si="24"/>
        <v>0.9806804209314296</v>
      </c>
      <c r="BZ71">
        <f t="shared" si="25"/>
        <v>2.3747406698420157E-2</v>
      </c>
      <c r="CA71">
        <f t="shared" si="26"/>
        <v>0.10112443951066327</v>
      </c>
      <c r="CB71">
        <f t="shared" si="27"/>
        <v>0.67891464284095016</v>
      </c>
    </row>
    <row r="72" spans="1:82" x14ac:dyDescent="0.45">
      <c r="A72" s="11">
        <v>59</v>
      </c>
      <c r="B72" s="12">
        <f t="shared" si="15"/>
        <v>58.309999999999945</v>
      </c>
      <c r="C72" s="12" t="s">
        <v>59</v>
      </c>
      <c r="D72" s="12">
        <v>0</v>
      </c>
      <c r="E72" s="12" t="s">
        <v>60</v>
      </c>
      <c r="F72" s="12">
        <v>1</v>
      </c>
      <c r="G72" s="12">
        <v>0</v>
      </c>
      <c r="H72" s="12" t="s">
        <v>54</v>
      </c>
      <c r="I72" s="12">
        <v>0</v>
      </c>
      <c r="J72" s="12">
        <v>1</v>
      </c>
      <c r="K72" s="12">
        <v>1</v>
      </c>
      <c r="L72" s="12">
        <f t="shared" si="16"/>
        <v>1</v>
      </c>
      <c r="M72" s="12">
        <v>1</v>
      </c>
      <c r="N72" s="12" t="s">
        <v>55</v>
      </c>
      <c r="O72" s="12">
        <v>1</v>
      </c>
      <c r="P72" s="12">
        <v>0</v>
      </c>
      <c r="Q72" s="12">
        <v>0</v>
      </c>
      <c r="R72" s="12">
        <v>0</v>
      </c>
      <c r="S72" s="12">
        <v>0</v>
      </c>
      <c r="T72" s="12">
        <v>1</v>
      </c>
      <c r="U72" s="12" t="s">
        <v>19</v>
      </c>
      <c r="V72" s="12">
        <v>1</v>
      </c>
      <c r="W72" s="12">
        <v>57</v>
      </c>
      <c r="X72" s="12">
        <v>2</v>
      </c>
      <c r="Y72" s="12">
        <v>2</v>
      </c>
      <c r="Z72" s="12" t="s">
        <v>56</v>
      </c>
      <c r="AA72" s="12">
        <v>0</v>
      </c>
      <c r="AB72" s="12">
        <v>1</v>
      </c>
      <c r="AC72" s="12">
        <v>0</v>
      </c>
      <c r="AD72" s="12">
        <v>0</v>
      </c>
      <c r="AE72" s="12">
        <v>0</v>
      </c>
      <c r="AF72" s="12">
        <v>0</v>
      </c>
      <c r="AG72" s="12">
        <v>0</v>
      </c>
      <c r="AH72" s="12">
        <v>0</v>
      </c>
      <c r="AI72" s="12">
        <v>3</v>
      </c>
      <c r="AJ72" s="12" t="s">
        <v>57</v>
      </c>
      <c r="AK72" s="12">
        <v>1</v>
      </c>
      <c r="AL72" s="12">
        <v>0</v>
      </c>
      <c r="AM72" s="12">
        <v>5473</v>
      </c>
      <c r="AN72" s="12">
        <f t="shared" si="17"/>
        <v>5473</v>
      </c>
      <c r="AO72" s="12">
        <v>7</v>
      </c>
      <c r="AP72" s="12" t="s">
        <v>59</v>
      </c>
      <c r="AQ72" s="12">
        <v>0</v>
      </c>
      <c r="AR72" s="12">
        <v>11</v>
      </c>
      <c r="AS72" s="12">
        <v>3</v>
      </c>
      <c r="AT72" s="12">
        <v>4</v>
      </c>
      <c r="AU72" s="12">
        <v>0</v>
      </c>
      <c r="AV72" s="12">
        <v>20</v>
      </c>
      <c r="AW72" s="12">
        <f t="shared" si="18"/>
        <v>20</v>
      </c>
      <c r="AX72" s="12">
        <v>2</v>
      </c>
      <c r="AY72" s="12">
        <v>2</v>
      </c>
      <c r="AZ72" s="12">
        <v>4</v>
      </c>
      <c r="BA72" s="12">
        <f t="shared" si="19"/>
        <v>4</v>
      </c>
      <c r="BB72" s="12">
        <v>3</v>
      </c>
      <c r="BC72" s="12">
        <v>1</v>
      </c>
      <c r="BD72" s="12">
        <f t="shared" si="28"/>
        <v>1</v>
      </c>
      <c r="BE72" s="12">
        <v>3</v>
      </c>
      <c r="BF72" s="12">
        <f t="shared" si="20"/>
        <v>3</v>
      </c>
      <c r="BG72" s="12">
        <f t="shared" si="29"/>
        <v>6</v>
      </c>
      <c r="BH72" s="67">
        <v>0</v>
      </c>
      <c r="BI72" s="67">
        <v>0</v>
      </c>
      <c r="BJ72" s="67">
        <v>1</v>
      </c>
      <c r="BK72" s="67">
        <v>0</v>
      </c>
      <c r="BL72" s="67">
        <v>1</v>
      </c>
      <c r="BM72" s="67">
        <v>0</v>
      </c>
      <c r="BN72" s="67">
        <v>0</v>
      </c>
      <c r="BO72" s="67">
        <v>0</v>
      </c>
      <c r="BP72" s="67">
        <v>0</v>
      </c>
      <c r="BQ72" s="67">
        <v>0</v>
      </c>
      <c r="BR72" s="67">
        <v>3</v>
      </c>
      <c r="BS72" s="67">
        <v>0</v>
      </c>
      <c r="BT72" s="67">
        <v>0</v>
      </c>
      <c r="BU72" s="70">
        <v>20</v>
      </c>
      <c r="BV72" s="29">
        <f t="shared" si="21"/>
        <v>0.21876396491457969</v>
      </c>
      <c r="BW72">
        <f t="shared" si="22"/>
        <v>0.31476636926356072</v>
      </c>
      <c r="BX72">
        <f t="shared" si="23"/>
        <v>1.120762479521457</v>
      </c>
      <c r="BY72">
        <f t="shared" si="24"/>
        <v>0.49100643357776058</v>
      </c>
      <c r="BZ72">
        <f t="shared" si="25"/>
        <v>1.01056543769991</v>
      </c>
      <c r="CA72">
        <f t="shared" si="26"/>
        <v>2.4165613483063648</v>
      </c>
      <c r="CB72">
        <f t="shared" si="27"/>
        <v>0.36858985273641137</v>
      </c>
    </row>
    <row r="73" spans="1:82" x14ac:dyDescent="0.45">
      <c r="A73" s="11">
        <v>29</v>
      </c>
      <c r="B73" s="12">
        <f t="shared" si="15"/>
        <v>29</v>
      </c>
      <c r="C73" s="12" t="s">
        <v>59</v>
      </c>
      <c r="D73" s="12">
        <v>0</v>
      </c>
      <c r="E73" s="12" t="s">
        <v>53</v>
      </c>
      <c r="F73" s="12">
        <v>0</v>
      </c>
      <c r="G73" s="12">
        <v>1</v>
      </c>
      <c r="H73" s="12" t="s">
        <v>61</v>
      </c>
      <c r="I73" s="12">
        <v>1</v>
      </c>
      <c r="J73" s="12">
        <v>0</v>
      </c>
      <c r="K73" s="12">
        <v>2</v>
      </c>
      <c r="L73" s="12">
        <f t="shared" si="16"/>
        <v>2</v>
      </c>
      <c r="M73" s="12">
        <v>3</v>
      </c>
      <c r="N73" s="12" t="s">
        <v>55</v>
      </c>
      <c r="O73" s="12">
        <v>1</v>
      </c>
      <c r="P73" s="12">
        <v>0</v>
      </c>
      <c r="Q73" s="12">
        <v>0</v>
      </c>
      <c r="R73" s="12">
        <v>0</v>
      </c>
      <c r="S73" s="12">
        <v>0</v>
      </c>
      <c r="T73" s="12">
        <v>3</v>
      </c>
      <c r="U73" s="12" t="s">
        <v>62</v>
      </c>
      <c r="V73" s="12">
        <v>0</v>
      </c>
      <c r="W73" s="12">
        <v>76</v>
      </c>
      <c r="X73" s="12">
        <v>3</v>
      </c>
      <c r="Y73" s="12">
        <v>1</v>
      </c>
      <c r="Z73" s="12" t="s">
        <v>63</v>
      </c>
      <c r="AA73" s="12">
        <v>0</v>
      </c>
      <c r="AB73" s="12">
        <v>0</v>
      </c>
      <c r="AC73" s="12">
        <v>0</v>
      </c>
      <c r="AD73" s="12">
        <v>0</v>
      </c>
      <c r="AE73" s="12">
        <v>0</v>
      </c>
      <c r="AF73" s="12">
        <v>0</v>
      </c>
      <c r="AG73" s="12">
        <v>0</v>
      </c>
      <c r="AH73" s="12">
        <v>1</v>
      </c>
      <c r="AI73" s="12">
        <v>2</v>
      </c>
      <c r="AJ73" s="12" t="s">
        <v>64</v>
      </c>
      <c r="AK73" s="12">
        <v>0</v>
      </c>
      <c r="AL73" s="12">
        <v>1</v>
      </c>
      <c r="AM73" s="12">
        <v>2703</v>
      </c>
      <c r="AN73" s="12">
        <f t="shared" si="17"/>
        <v>2703</v>
      </c>
      <c r="AO73" s="12">
        <v>0</v>
      </c>
      <c r="AP73" s="12" t="s">
        <v>59</v>
      </c>
      <c r="AQ73" s="12">
        <v>0</v>
      </c>
      <c r="AR73" s="12">
        <v>23</v>
      </c>
      <c r="AS73" s="12">
        <v>4</v>
      </c>
      <c r="AT73" s="12">
        <v>4</v>
      </c>
      <c r="AU73" s="12">
        <v>1</v>
      </c>
      <c r="AV73" s="12">
        <v>6</v>
      </c>
      <c r="AW73" s="12">
        <f t="shared" si="18"/>
        <v>6</v>
      </c>
      <c r="AX73" s="12">
        <v>3</v>
      </c>
      <c r="AY73" s="12">
        <v>3</v>
      </c>
      <c r="AZ73" s="12">
        <v>5</v>
      </c>
      <c r="BA73" s="12">
        <f t="shared" si="19"/>
        <v>5</v>
      </c>
      <c r="BB73" s="12">
        <v>4</v>
      </c>
      <c r="BC73" s="12">
        <v>0</v>
      </c>
      <c r="BD73" s="12">
        <f t="shared" si="28"/>
        <v>0</v>
      </c>
      <c r="BE73" s="12">
        <v>4</v>
      </c>
      <c r="BF73" s="12">
        <f t="shared" si="20"/>
        <v>4</v>
      </c>
      <c r="BG73" s="12">
        <f t="shared" si="29"/>
        <v>4</v>
      </c>
      <c r="BH73" s="67">
        <v>0</v>
      </c>
      <c r="BI73" s="67">
        <v>1</v>
      </c>
      <c r="BJ73" s="67">
        <v>0</v>
      </c>
      <c r="BK73" s="67">
        <v>0</v>
      </c>
      <c r="BL73" s="67">
        <v>0</v>
      </c>
      <c r="BM73" s="67">
        <v>0</v>
      </c>
      <c r="BN73" s="67">
        <v>1</v>
      </c>
      <c r="BO73" s="67">
        <v>0</v>
      </c>
      <c r="BP73" s="67">
        <v>0</v>
      </c>
      <c r="BQ73" s="67">
        <v>4</v>
      </c>
      <c r="BR73" s="67">
        <v>0</v>
      </c>
      <c r="BS73" s="67">
        <v>0</v>
      </c>
      <c r="BT73" s="67">
        <v>6</v>
      </c>
      <c r="BU73" s="70">
        <v>0</v>
      </c>
      <c r="BV73" s="29">
        <f t="shared" si="21"/>
        <v>0.807129603686915</v>
      </c>
      <c r="BW73">
        <f t="shared" si="22"/>
        <v>3.4508002929560584E-2</v>
      </c>
      <c r="BX73">
        <f t="shared" si="23"/>
        <v>0.67854260110508058</v>
      </c>
      <c r="BY73">
        <f t="shared" si="24"/>
        <v>0.32778177112653761</v>
      </c>
      <c r="BZ73">
        <f t="shared" si="25"/>
        <v>0.88721318382472392</v>
      </c>
      <c r="CA73">
        <f t="shared" si="26"/>
        <v>0.86737663580280233</v>
      </c>
      <c r="CB73">
        <f t="shared" si="27"/>
        <v>0.67891464284095016</v>
      </c>
    </row>
    <row r="74" spans="1:82" x14ac:dyDescent="0.45">
      <c r="A74" s="11">
        <v>31</v>
      </c>
      <c r="B74" s="12">
        <f t="shared" si="15"/>
        <v>31</v>
      </c>
      <c r="C74" s="12" t="s">
        <v>59</v>
      </c>
      <c r="D74" s="12">
        <v>0</v>
      </c>
      <c r="E74" s="12" t="s">
        <v>53</v>
      </c>
      <c r="F74" s="12">
        <v>0</v>
      </c>
      <c r="G74" s="12">
        <v>1</v>
      </c>
      <c r="H74" s="12" t="s">
        <v>61</v>
      </c>
      <c r="I74" s="12">
        <v>1</v>
      </c>
      <c r="J74" s="12">
        <v>0</v>
      </c>
      <c r="K74" s="12">
        <v>1</v>
      </c>
      <c r="L74" s="12">
        <f t="shared" si="16"/>
        <v>1</v>
      </c>
      <c r="M74" s="12">
        <v>4</v>
      </c>
      <c r="N74" s="12" t="s">
        <v>70</v>
      </c>
      <c r="O74" s="12">
        <v>0</v>
      </c>
      <c r="P74" s="12">
        <v>0</v>
      </c>
      <c r="Q74" s="12">
        <v>1</v>
      </c>
      <c r="R74" s="12">
        <v>0</v>
      </c>
      <c r="S74" s="12">
        <v>0</v>
      </c>
      <c r="T74" s="12">
        <v>3</v>
      </c>
      <c r="U74" s="12" t="s">
        <v>62</v>
      </c>
      <c r="V74" s="12">
        <v>0</v>
      </c>
      <c r="W74" s="12">
        <v>87</v>
      </c>
      <c r="X74" s="12">
        <v>3</v>
      </c>
      <c r="Y74" s="12">
        <v>1</v>
      </c>
      <c r="Z74" s="12" t="s">
        <v>63</v>
      </c>
      <c r="AA74" s="12">
        <v>0</v>
      </c>
      <c r="AB74" s="12">
        <v>0</v>
      </c>
      <c r="AC74" s="12">
        <v>0</v>
      </c>
      <c r="AD74" s="12">
        <v>0</v>
      </c>
      <c r="AE74" s="12">
        <v>0</v>
      </c>
      <c r="AF74" s="12">
        <v>0</v>
      </c>
      <c r="AG74" s="12">
        <v>0</v>
      </c>
      <c r="AH74" s="12">
        <v>1</v>
      </c>
      <c r="AI74" s="12">
        <v>2</v>
      </c>
      <c r="AJ74" s="12" t="s">
        <v>57</v>
      </c>
      <c r="AK74" s="12">
        <v>1</v>
      </c>
      <c r="AL74" s="12">
        <v>0</v>
      </c>
      <c r="AM74" s="12">
        <v>2501</v>
      </c>
      <c r="AN74" s="12">
        <f t="shared" si="17"/>
        <v>2501</v>
      </c>
      <c r="AO74" s="12">
        <v>1</v>
      </c>
      <c r="AP74" s="12" t="s">
        <v>59</v>
      </c>
      <c r="AQ74" s="12">
        <v>0</v>
      </c>
      <c r="AR74" s="12">
        <v>17</v>
      </c>
      <c r="AS74" s="12">
        <v>3</v>
      </c>
      <c r="AT74" s="12">
        <v>2</v>
      </c>
      <c r="AU74" s="12">
        <v>0</v>
      </c>
      <c r="AV74" s="12">
        <v>1</v>
      </c>
      <c r="AW74" s="12">
        <f t="shared" si="18"/>
        <v>1</v>
      </c>
      <c r="AX74" s="12">
        <v>4</v>
      </c>
      <c r="AY74" s="12">
        <v>3</v>
      </c>
      <c r="AZ74" s="12">
        <v>1</v>
      </c>
      <c r="BA74" s="12">
        <f t="shared" si="19"/>
        <v>1</v>
      </c>
      <c r="BB74" s="12">
        <v>1</v>
      </c>
      <c r="BC74" s="12">
        <v>1</v>
      </c>
      <c r="BD74" s="12">
        <f t="shared" si="28"/>
        <v>1</v>
      </c>
      <c r="BE74" s="12">
        <v>0</v>
      </c>
      <c r="BF74" s="12">
        <f t="shared" si="20"/>
        <v>0</v>
      </c>
      <c r="BG74" s="12">
        <f t="shared" si="29"/>
        <v>0</v>
      </c>
      <c r="BH74" s="67">
        <v>1</v>
      </c>
      <c r="BI74" s="67">
        <v>0</v>
      </c>
      <c r="BJ74" s="67">
        <v>0</v>
      </c>
      <c r="BK74" s="67">
        <v>0</v>
      </c>
      <c r="BL74" s="67">
        <v>1</v>
      </c>
      <c r="BM74" s="67">
        <v>0</v>
      </c>
      <c r="BN74" s="67">
        <v>0</v>
      </c>
      <c r="BO74" s="67">
        <v>0</v>
      </c>
      <c r="BP74" s="67">
        <v>0</v>
      </c>
      <c r="BQ74" s="67">
        <v>0</v>
      </c>
      <c r="BR74" s="67">
        <v>0</v>
      </c>
      <c r="BS74" s="67">
        <v>0</v>
      </c>
      <c r="BT74" s="67">
        <v>1</v>
      </c>
      <c r="BU74" s="70">
        <v>0</v>
      </c>
      <c r="BV74" s="29">
        <f t="shared" si="21"/>
        <v>0.85003568998005996</v>
      </c>
      <c r="BW74">
        <f t="shared" si="22"/>
        <v>1.1555414682655611</v>
      </c>
      <c r="BX74">
        <f t="shared" si="23"/>
        <v>1.3211515584717011</v>
      </c>
      <c r="BY74">
        <f t="shared" si="24"/>
        <v>0.9806804209314296</v>
      </c>
      <c r="BZ74">
        <f t="shared" si="25"/>
        <v>1.01056543769991</v>
      </c>
      <c r="CA74">
        <f t="shared" si="26"/>
        <v>0.6484474368621912</v>
      </c>
      <c r="CB74">
        <f t="shared" si="27"/>
        <v>0.36858985273641137</v>
      </c>
    </row>
    <row r="75" spans="1:82" x14ac:dyDescent="0.45">
      <c r="A75" s="11">
        <v>32</v>
      </c>
      <c r="B75" s="12">
        <f t="shared" si="15"/>
        <v>32</v>
      </c>
      <c r="C75" s="12" t="s">
        <v>59</v>
      </c>
      <c r="D75" s="12">
        <v>0</v>
      </c>
      <c r="E75" s="12" t="s">
        <v>53</v>
      </c>
      <c r="F75" s="12">
        <v>0</v>
      </c>
      <c r="G75" s="12">
        <v>1</v>
      </c>
      <c r="H75" s="12" t="s">
        <v>61</v>
      </c>
      <c r="I75" s="12">
        <v>1</v>
      </c>
      <c r="J75" s="12">
        <v>0</v>
      </c>
      <c r="K75" s="12">
        <v>1</v>
      </c>
      <c r="L75" s="12">
        <f t="shared" si="16"/>
        <v>1</v>
      </c>
      <c r="M75" s="12">
        <v>3</v>
      </c>
      <c r="N75" s="12" t="s">
        <v>55</v>
      </c>
      <c r="O75" s="12">
        <v>1</v>
      </c>
      <c r="P75" s="12">
        <v>0</v>
      </c>
      <c r="Q75" s="12">
        <v>0</v>
      </c>
      <c r="R75" s="12">
        <v>0</v>
      </c>
      <c r="S75" s="12">
        <v>0</v>
      </c>
      <c r="T75" s="12">
        <v>2</v>
      </c>
      <c r="U75" s="12" t="s">
        <v>62</v>
      </c>
      <c r="V75" s="12">
        <v>0</v>
      </c>
      <c r="W75" s="12">
        <v>66</v>
      </c>
      <c r="X75" s="12">
        <v>3</v>
      </c>
      <c r="Y75" s="12">
        <v>2</v>
      </c>
      <c r="Z75" s="12" t="s">
        <v>63</v>
      </c>
      <c r="AA75" s="12">
        <v>0</v>
      </c>
      <c r="AB75" s="12">
        <v>0</v>
      </c>
      <c r="AC75" s="12">
        <v>0</v>
      </c>
      <c r="AD75" s="12">
        <v>0</v>
      </c>
      <c r="AE75" s="12">
        <v>0</v>
      </c>
      <c r="AF75" s="12">
        <v>0</v>
      </c>
      <c r="AG75" s="12">
        <v>0</v>
      </c>
      <c r="AH75" s="12">
        <v>1</v>
      </c>
      <c r="AI75" s="12">
        <v>2</v>
      </c>
      <c r="AJ75" s="12" t="s">
        <v>64</v>
      </c>
      <c r="AK75" s="12">
        <v>0</v>
      </c>
      <c r="AL75" s="12">
        <v>1</v>
      </c>
      <c r="AM75" s="12">
        <v>6220</v>
      </c>
      <c r="AN75" s="12">
        <f t="shared" si="17"/>
        <v>6220</v>
      </c>
      <c r="AO75" s="12">
        <v>1</v>
      </c>
      <c r="AP75" s="12" t="s">
        <v>59</v>
      </c>
      <c r="AQ75" s="12">
        <v>0</v>
      </c>
      <c r="AR75" s="12">
        <v>17</v>
      </c>
      <c r="AS75" s="12">
        <v>3</v>
      </c>
      <c r="AT75" s="12">
        <v>2</v>
      </c>
      <c r="AU75" s="12">
        <v>2</v>
      </c>
      <c r="AV75" s="12">
        <v>10</v>
      </c>
      <c r="AW75" s="12">
        <f t="shared" si="18"/>
        <v>10</v>
      </c>
      <c r="AX75" s="12">
        <v>3</v>
      </c>
      <c r="AY75" s="12">
        <v>3</v>
      </c>
      <c r="AZ75" s="12">
        <v>10</v>
      </c>
      <c r="BA75" s="12">
        <f t="shared" si="19"/>
        <v>10</v>
      </c>
      <c r="BB75" s="12">
        <v>4</v>
      </c>
      <c r="BC75" s="12">
        <v>0</v>
      </c>
      <c r="BD75" s="12">
        <f t="shared" si="28"/>
        <v>0</v>
      </c>
      <c r="BE75" s="12">
        <v>9</v>
      </c>
      <c r="BF75" s="12">
        <f t="shared" si="20"/>
        <v>9</v>
      </c>
      <c r="BG75" s="12">
        <f t="shared" si="29"/>
        <v>18</v>
      </c>
      <c r="BH75" s="67">
        <v>0</v>
      </c>
      <c r="BI75" s="67">
        <v>1</v>
      </c>
      <c r="BJ75" s="67">
        <v>0</v>
      </c>
      <c r="BK75" s="67">
        <v>0</v>
      </c>
      <c r="BL75" s="67">
        <v>0</v>
      </c>
      <c r="BM75" s="67">
        <v>0</v>
      </c>
      <c r="BN75" s="67">
        <v>1</v>
      </c>
      <c r="BO75" s="67">
        <v>0</v>
      </c>
      <c r="BP75" s="67">
        <v>0</v>
      </c>
      <c r="BQ75" s="67">
        <v>9</v>
      </c>
      <c r="BR75" s="67">
        <v>0</v>
      </c>
      <c r="BS75" s="67">
        <v>0</v>
      </c>
      <c r="BT75" s="67">
        <v>10</v>
      </c>
      <c r="BU75" s="70">
        <v>0</v>
      </c>
      <c r="BV75" s="29">
        <f t="shared" si="21"/>
        <v>6.0096408177058226E-2</v>
      </c>
      <c r="BW75">
        <f t="shared" si="22"/>
        <v>1.3667838287404401</v>
      </c>
      <c r="BX75">
        <f t="shared" si="23"/>
        <v>0.1644554352117841</v>
      </c>
      <c r="BY75">
        <f t="shared" si="24"/>
        <v>0.48834154112957734</v>
      </c>
      <c r="BZ75">
        <f t="shared" si="25"/>
        <v>1.01056543769991</v>
      </c>
      <c r="CA75">
        <f t="shared" si="26"/>
        <v>0.53898283739188557</v>
      </c>
      <c r="CB75">
        <f t="shared" si="27"/>
        <v>0.67891464284095016</v>
      </c>
    </row>
    <row r="76" spans="1:82" x14ac:dyDescent="0.45">
      <c r="A76" s="11">
        <v>36</v>
      </c>
      <c r="B76" s="12">
        <f t="shared" si="15"/>
        <v>36</v>
      </c>
      <c r="C76" s="12" t="s">
        <v>59</v>
      </c>
      <c r="D76" s="12">
        <v>0</v>
      </c>
      <c r="E76" s="12" t="s">
        <v>53</v>
      </c>
      <c r="F76" s="12">
        <v>0</v>
      </c>
      <c r="G76" s="12">
        <v>1</v>
      </c>
      <c r="H76" s="12" t="s">
        <v>61</v>
      </c>
      <c r="I76" s="12">
        <v>1</v>
      </c>
      <c r="J76" s="12">
        <v>0</v>
      </c>
      <c r="K76" s="12">
        <v>6</v>
      </c>
      <c r="L76" s="12">
        <f t="shared" si="16"/>
        <v>6</v>
      </c>
      <c r="M76" s="12">
        <v>3</v>
      </c>
      <c r="N76" s="12" t="s">
        <v>55</v>
      </c>
      <c r="O76" s="12">
        <v>1</v>
      </c>
      <c r="P76" s="12">
        <v>0</v>
      </c>
      <c r="Q76" s="12">
        <v>0</v>
      </c>
      <c r="R76" s="12">
        <v>0</v>
      </c>
      <c r="S76" s="12">
        <v>0</v>
      </c>
      <c r="T76" s="12">
        <v>2</v>
      </c>
      <c r="U76" s="12" t="s">
        <v>19</v>
      </c>
      <c r="V76" s="12">
        <v>1</v>
      </c>
      <c r="W76" s="12">
        <v>55</v>
      </c>
      <c r="X76" s="12">
        <v>4</v>
      </c>
      <c r="Y76" s="12">
        <v>1</v>
      </c>
      <c r="Z76" s="12" t="s">
        <v>67</v>
      </c>
      <c r="AA76" s="12">
        <v>0</v>
      </c>
      <c r="AB76" s="12">
        <v>0</v>
      </c>
      <c r="AC76" s="12">
        <v>1</v>
      </c>
      <c r="AD76" s="12">
        <v>0</v>
      </c>
      <c r="AE76" s="12">
        <v>0</v>
      </c>
      <c r="AF76" s="12">
        <v>0</v>
      </c>
      <c r="AG76" s="12">
        <v>0</v>
      </c>
      <c r="AH76" s="12">
        <v>0</v>
      </c>
      <c r="AI76" s="12">
        <v>4</v>
      </c>
      <c r="AJ76" s="12" t="s">
        <v>64</v>
      </c>
      <c r="AK76" s="12">
        <v>0</v>
      </c>
      <c r="AL76" s="12">
        <v>1</v>
      </c>
      <c r="AM76" s="12">
        <v>3038</v>
      </c>
      <c r="AN76" s="12">
        <f t="shared" si="17"/>
        <v>3038</v>
      </c>
      <c r="AO76" s="12">
        <v>3</v>
      </c>
      <c r="AP76" s="12" t="s">
        <v>59</v>
      </c>
      <c r="AQ76" s="12">
        <v>0</v>
      </c>
      <c r="AR76" s="12">
        <v>12</v>
      </c>
      <c r="AS76" s="12">
        <v>3</v>
      </c>
      <c r="AT76" s="12">
        <v>2</v>
      </c>
      <c r="AU76" s="12">
        <v>0</v>
      </c>
      <c r="AV76" s="12">
        <v>5</v>
      </c>
      <c r="AW76" s="12">
        <f t="shared" si="18"/>
        <v>5</v>
      </c>
      <c r="AX76" s="12">
        <v>3</v>
      </c>
      <c r="AY76" s="12">
        <v>3</v>
      </c>
      <c r="AZ76" s="12">
        <v>1</v>
      </c>
      <c r="BA76" s="12">
        <f t="shared" si="19"/>
        <v>1</v>
      </c>
      <c r="BB76" s="12">
        <v>0</v>
      </c>
      <c r="BC76" s="12">
        <v>0</v>
      </c>
      <c r="BD76" s="12">
        <f t="shared" si="28"/>
        <v>0</v>
      </c>
      <c r="BE76" s="12">
        <v>0</v>
      </c>
      <c r="BF76" s="12">
        <f t="shared" si="20"/>
        <v>0</v>
      </c>
      <c r="BG76" s="12">
        <f t="shared" si="29"/>
        <v>0</v>
      </c>
      <c r="BH76" s="67">
        <v>0</v>
      </c>
      <c r="BI76" s="67">
        <v>1</v>
      </c>
      <c r="BJ76" s="67">
        <v>0</v>
      </c>
      <c r="BK76" s="67">
        <v>0</v>
      </c>
      <c r="BL76" s="67">
        <v>0</v>
      </c>
      <c r="BM76" s="67">
        <v>0</v>
      </c>
      <c r="BN76" s="67">
        <v>1</v>
      </c>
      <c r="BO76" s="67">
        <v>0</v>
      </c>
      <c r="BP76" s="67">
        <v>0</v>
      </c>
      <c r="BQ76" s="67">
        <v>0</v>
      </c>
      <c r="BR76" s="67">
        <v>0</v>
      </c>
      <c r="BS76" s="67">
        <v>0</v>
      </c>
      <c r="BT76" s="67">
        <v>5</v>
      </c>
      <c r="BU76" s="70">
        <v>0</v>
      </c>
      <c r="BV76" s="29">
        <f t="shared" si="21"/>
        <v>0.73597347047798634</v>
      </c>
      <c r="BW76">
        <f t="shared" si="22"/>
        <v>1.1555414682655611</v>
      </c>
      <c r="BX76">
        <f t="shared" si="23"/>
        <v>0.80706439257840468</v>
      </c>
      <c r="BY76">
        <f t="shared" si="24"/>
        <v>0.9806804209314296</v>
      </c>
      <c r="BZ76">
        <f t="shared" si="25"/>
        <v>0.39380416832397891</v>
      </c>
      <c r="CA76">
        <f t="shared" si="26"/>
        <v>0.10112443951066327</v>
      </c>
      <c r="CB76">
        <f t="shared" si="27"/>
        <v>0.67891464284095016</v>
      </c>
    </row>
    <row r="77" spans="1:82" x14ac:dyDescent="0.45">
      <c r="A77" s="11">
        <v>31</v>
      </c>
      <c r="B77" s="12">
        <f t="shared" si="15"/>
        <v>31</v>
      </c>
      <c r="C77" s="12" t="s">
        <v>59</v>
      </c>
      <c r="D77" s="12">
        <v>0</v>
      </c>
      <c r="E77" s="12" t="s">
        <v>53</v>
      </c>
      <c r="F77" s="12">
        <v>0</v>
      </c>
      <c r="G77" s="12">
        <v>1</v>
      </c>
      <c r="H77" s="12" t="s">
        <v>61</v>
      </c>
      <c r="I77" s="12">
        <v>1</v>
      </c>
      <c r="J77" s="12">
        <v>0</v>
      </c>
      <c r="K77" s="12">
        <v>8</v>
      </c>
      <c r="L77" s="12">
        <f t="shared" si="16"/>
        <v>8</v>
      </c>
      <c r="M77" s="12">
        <v>4</v>
      </c>
      <c r="N77" s="12" t="s">
        <v>55</v>
      </c>
      <c r="O77" s="12">
        <v>1</v>
      </c>
      <c r="P77" s="12">
        <v>0</v>
      </c>
      <c r="Q77" s="12">
        <v>0</v>
      </c>
      <c r="R77" s="12">
        <v>0</v>
      </c>
      <c r="S77" s="12">
        <v>0</v>
      </c>
      <c r="T77" s="12">
        <v>3</v>
      </c>
      <c r="U77" s="12" t="s">
        <v>19</v>
      </c>
      <c r="V77" s="12">
        <v>1</v>
      </c>
      <c r="W77" s="12">
        <v>61</v>
      </c>
      <c r="X77" s="12">
        <v>3</v>
      </c>
      <c r="Y77" s="12">
        <v>2</v>
      </c>
      <c r="Z77" s="12" t="s">
        <v>83</v>
      </c>
      <c r="AA77" s="12">
        <v>0</v>
      </c>
      <c r="AB77" s="12">
        <v>0</v>
      </c>
      <c r="AC77" s="12">
        <v>0</v>
      </c>
      <c r="AD77" s="12">
        <v>0</v>
      </c>
      <c r="AE77" s="12">
        <v>1</v>
      </c>
      <c r="AF77" s="12">
        <v>1</v>
      </c>
      <c r="AG77" s="12">
        <v>0</v>
      </c>
      <c r="AH77" s="12">
        <v>0</v>
      </c>
      <c r="AI77" s="12">
        <v>4</v>
      </c>
      <c r="AJ77" s="12" t="s">
        <v>57</v>
      </c>
      <c r="AK77" s="12">
        <v>1</v>
      </c>
      <c r="AL77" s="12">
        <v>0</v>
      </c>
      <c r="AM77" s="12">
        <v>4424</v>
      </c>
      <c r="AN77" s="12">
        <f t="shared" si="17"/>
        <v>4424</v>
      </c>
      <c r="AO77" s="12">
        <v>1</v>
      </c>
      <c r="AP77" s="12" t="s">
        <v>59</v>
      </c>
      <c r="AQ77" s="12">
        <v>0</v>
      </c>
      <c r="AR77" s="12">
        <v>23</v>
      </c>
      <c r="AS77" s="12">
        <v>4</v>
      </c>
      <c r="AT77" s="12">
        <v>4</v>
      </c>
      <c r="AU77" s="12">
        <v>0</v>
      </c>
      <c r="AV77" s="12">
        <v>11</v>
      </c>
      <c r="AW77" s="12">
        <f t="shared" si="18"/>
        <v>11</v>
      </c>
      <c r="AX77" s="12">
        <v>2</v>
      </c>
      <c r="AY77" s="12">
        <v>3</v>
      </c>
      <c r="AZ77" s="12">
        <v>11</v>
      </c>
      <c r="BA77" s="12">
        <f t="shared" si="19"/>
        <v>11</v>
      </c>
      <c r="BB77" s="12">
        <v>7</v>
      </c>
      <c r="BC77" s="12">
        <v>1</v>
      </c>
      <c r="BD77" s="12">
        <f t="shared" si="28"/>
        <v>1</v>
      </c>
      <c r="BE77" s="12">
        <v>8</v>
      </c>
      <c r="BF77" s="12">
        <f t="shared" si="20"/>
        <v>8</v>
      </c>
      <c r="BG77" s="12">
        <f t="shared" si="29"/>
        <v>16</v>
      </c>
      <c r="BH77" s="67">
        <v>1</v>
      </c>
      <c r="BI77" s="67">
        <v>0</v>
      </c>
      <c r="BJ77" s="67">
        <v>0</v>
      </c>
      <c r="BK77" s="67">
        <v>0</v>
      </c>
      <c r="BL77" s="67">
        <v>1</v>
      </c>
      <c r="BM77" s="67">
        <v>0</v>
      </c>
      <c r="BN77" s="67">
        <v>0</v>
      </c>
      <c r="BO77" s="67">
        <v>0</v>
      </c>
      <c r="BP77" s="67">
        <v>0</v>
      </c>
      <c r="BQ77" s="67">
        <v>8</v>
      </c>
      <c r="BR77" s="67">
        <v>0</v>
      </c>
      <c r="BS77" s="67">
        <v>0</v>
      </c>
      <c r="BT77" s="67">
        <v>11</v>
      </c>
      <c r="BU77" s="70">
        <v>0</v>
      </c>
      <c r="BV77" s="29">
        <f t="shared" si="21"/>
        <v>0.44157824472403084</v>
      </c>
      <c r="BW77">
        <f t="shared" si="22"/>
        <v>1.08652546240644</v>
      </c>
      <c r="BX77">
        <f t="shared" si="23"/>
        <v>3.593364373846001E-2</v>
      </c>
      <c r="BY77">
        <f t="shared" si="24"/>
        <v>0.65156620358080031</v>
      </c>
      <c r="BZ77">
        <f t="shared" si="25"/>
        <v>0.14709966057360641</v>
      </c>
      <c r="CA77">
        <f t="shared" si="26"/>
        <v>0.6484474368621912</v>
      </c>
      <c r="CB77">
        <f t="shared" si="27"/>
        <v>0.36858985273641137</v>
      </c>
    </row>
    <row r="78" spans="1:82" x14ac:dyDescent="0.45">
      <c r="A78" s="11">
        <v>35</v>
      </c>
      <c r="B78" s="12">
        <f t="shared" si="15"/>
        <v>35</v>
      </c>
      <c r="C78" s="12" t="s">
        <v>59</v>
      </c>
      <c r="D78" s="12">
        <v>0</v>
      </c>
      <c r="E78" s="12" t="s">
        <v>53</v>
      </c>
      <c r="F78" s="12">
        <v>0</v>
      </c>
      <c r="G78" s="12">
        <v>1</v>
      </c>
      <c r="H78" s="12" t="s">
        <v>54</v>
      </c>
      <c r="I78" s="12">
        <v>0</v>
      </c>
      <c r="J78" s="12">
        <v>1</v>
      </c>
      <c r="K78" s="12">
        <v>1</v>
      </c>
      <c r="L78" s="12">
        <f t="shared" si="16"/>
        <v>1</v>
      </c>
      <c r="M78" s="12">
        <v>4</v>
      </c>
      <c r="N78" s="12" t="s">
        <v>90</v>
      </c>
      <c r="O78" s="12">
        <v>0</v>
      </c>
      <c r="P78" s="12">
        <v>0</v>
      </c>
      <c r="Q78" s="12">
        <v>0</v>
      </c>
      <c r="R78" s="12">
        <v>1</v>
      </c>
      <c r="S78" s="12">
        <v>0</v>
      </c>
      <c r="T78" s="12">
        <v>3</v>
      </c>
      <c r="U78" s="12" t="s">
        <v>62</v>
      </c>
      <c r="V78" s="12">
        <v>0</v>
      </c>
      <c r="W78" s="12">
        <v>32</v>
      </c>
      <c r="X78" s="12">
        <v>2</v>
      </c>
      <c r="Y78" s="12">
        <v>2</v>
      </c>
      <c r="Z78" s="12" t="s">
        <v>56</v>
      </c>
      <c r="AA78" s="12">
        <v>0</v>
      </c>
      <c r="AB78" s="12">
        <v>1</v>
      </c>
      <c r="AC78" s="12">
        <v>0</v>
      </c>
      <c r="AD78" s="12">
        <v>0</v>
      </c>
      <c r="AE78" s="12">
        <v>0</v>
      </c>
      <c r="AF78" s="12">
        <v>0</v>
      </c>
      <c r="AG78" s="12">
        <v>0</v>
      </c>
      <c r="AH78" s="12">
        <v>0</v>
      </c>
      <c r="AI78" s="12">
        <v>1</v>
      </c>
      <c r="AJ78" s="12" t="s">
        <v>57</v>
      </c>
      <c r="AK78" s="12">
        <v>1</v>
      </c>
      <c r="AL78" s="12">
        <v>0</v>
      </c>
      <c r="AM78" s="12">
        <v>4312</v>
      </c>
      <c r="AN78" s="12">
        <f t="shared" si="17"/>
        <v>4312</v>
      </c>
      <c r="AO78" s="12">
        <v>0</v>
      </c>
      <c r="AP78" s="12" t="s">
        <v>59</v>
      </c>
      <c r="AQ78" s="12">
        <v>0</v>
      </c>
      <c r="AR78" s="12">
        <v>14</v>
      </c>
      <c r="AS78" s="12">
        <v>3</v>
      </c>
      <c r="AT78" s="12">
        <v>2</v>
      </c>
      <c r="AU78" s="12">
        <v>0</v>
      </c>
      <c r="AV78" s="12">
        <v>16</v>
      </c>
      <c r="AW78" s="12">
        <f t="shared" si="18"/>
        <v>16</v>
      </c>
      <c r="AX78" s="12">
        <v>2</v>
      </c>
      <c r="AY78" s="12">
        <v>3</v>
      </c>
      <c r="AZ78" s="12">
        <v>15</v>
      </c>
      <c r="BA78" s="12">
        <f t="shared" si="19"/>
        <v>15</v>
      </c>
      <c r="BB78" s="12">
        <v>13</v>
      </c>
      <c r="BC78" s="12">
        <v>2</v>
      </c>
      <c r="BD78" s="12">
        <f t="shared" si="28"/>
        <v>2</v>
      </c>
      <c r="BE78" s="12">
        <v>8</v>
      </c>
      <c r="BF78" s="12">
        <f t="shared" si="20"/>
        <v>8</v>
      </c>
      <c r="BG78" s="12">
        <f t="shared" si="29"/>
        <v>16</v>
      </c>
      <c r="BH78" s="67">
        <v>1</v>
      </c>
      <c r="BI78" s="67">
        <v>0</v>
      </c>
      <c r="BJ78" s="67">
        <v>0</v>
      </c>
      <c r="BK78" s="67">
        <v>0</v>
      </c>
      <c r="BL78" s="67">
        <v>1</v>
      </c>
      <c r="BM78" s="67">
        <v>0</v>
      </c>
      <c r="BN78" s="67">
        <v>0</v>
      </c>
      <c r="BO78" s="67">
        <v>0</v>
      </c>
      <c r="BP78" s="67">
        <v>0</v>
      </c>
      <c r="BQ78" s="67">
        <v>0</v>
      </c>
      <c r="BR78" s="67">
        <v>8</v>
      </c>
      <c r="BS78" s="67">
        <v>0</v>
      </c>
      <c r="BT78" s="67">
        <v>0</v>
      </c>
      <c r="BU78" s="70">
        <v>16</v>
      </c>
      <c r="BV78" s="29">
        <f t="shared" si="21"/>
        <v>0.46536775791626966</v>
      </c>
      <c r="BW78">
        <f t="shared" si="22"/>
        <v>1.08652546240644</v>
      </c>
      <c r="BX78">
        <f t="shared" si="23"/>
        <v>0.60667531362816052</v>
      </c>
      <c r="BY78">
        <f t="shared" si="24"/>
        <v>1.3044648533856922</v>
      </c>
      <c r="BZ78">
        <f t="shared" si="25"/>
        <v>1.01056543769991</v>
      </c>
      <c r="CA78">
        <f t="shared" si="26"/>
        <v>0.21058903898096887</v>
      </c>
      <c r="CB78">
        <f t="shared" si="27"/>
        <v>5.8265062631872602E-2</v>
      </c>
    </row>
    <row r="79" spans="1:82" x14ac:dyDescent="0.45">
      <c r="A79" s="11">
        <v>45</v>
      </c>
      <c r="B79" s="12">
        <f t="shared" si="15"/>
        <v>45</v>
      </c>
      <c r="C79" s="12" t="s">
        <v>59</v>
      </c>
      <c r="D79" s="12">
        <v>0</v>
      </c>
      <c r="E79" s="12" t="s">
        <v>53</v>
      </c>
      <c r="F79" s="12">
        <v>0</v>
      </c>
      <c r="G79" s="12">
        <v>1</v>
      </c>
      <c r="H79" s="12" t="s">
        <v>61</v>
      </c>
      <c r="I79" s="12">
        <v>1</v>
      </c>
      <c r="J79" s="12">
        <v>0</v>
      </c>
      <c r="K79" s="12">
        <v>6</v>
      </c>
      <c r="L79" s="12">
        <f t="shared" si="16"/>
        <v>6</v>
      </c>
      <c r="M79" s="12">
        <v>4</v>
      </c>
      <c r="N79" s="12" t="s">
        <v>66</v>
      </c>
      <c r="O79" s="12">
        <v>0</v>
      </c>
      <c r="P79" s="12">
        <v>1</v>
      </c>
      <c r="Q79" s="12">
        <v>0</v>
      </c>
      <c r="R79" s="12">
        <v>0</v>
      </c>
      <c r="S79" s="12">
        <v>0</v>
      </c>
      <c r="T79" s="12">
        <v>4</v>
      </c>
      <c r="U79" s="12" t="s">
        <v>62</v>
      </c>
      <c r="V79" s="12">
        <v>0</v>
      </c>
      <c r="W79" s="12">
        <v>52</v>
      </c>
      <c r="X79" s="12">
        <v>3</v>
      </c>
      <c r="Y79" s="12">
        <v>3</v>
      </c>
      <c r="Z79" s="12" t="s">
        <v>89</v>
      </c>
      <c r="AA79" s="12">
        <v>0</v>
      </c>
      <c r="AB79" s="12">
        <v>0</v>
      </c>
      <c r="AC79" s="12">
        <v>0</v>
      </c>
      <c r="AD79" s="12">
        <v>0</v>
      </c>
      <c r="AE79" s="12">
        <v>0</v>
      </c>
      <c r="AF79" s="12">
        <v>0</v>
      </c>
      <c r="AG79" s="12">
        <v>0</v>
      </c>
      <c r="AH79" s="12">
        <v>0</v>
      </c>
      <c r="AI79" s="12">
        <v>1</v>
      </c>
      <c r="AJ79" s="12" t="s">
        <v>64</v>
      </c>
      <c r="AK79" s="12">
        <v>0</v>
      </c>
      <c r="AL79" s="12">
        <v>1</v>
      </c>
      <c r="AM79" s="12">
        <v>13245</v>
      </c>
      <c r="AN79" s="12">
        <f t="shared" si="17"/>
        <v>13245</v>
      </c>
      <c r="AO79" s="12">
        <v>4</v>
      </c>
      <c r="AP79" s="12" t="s">
        <v>52</v>
      </c>
      <c r="AQ79" s="12">
        <v>1</v>
      </c>
      <c r="AR79" s="12">
        <v>14</v>
      </c>
      <c r="AS79" s="12">
        <v>3</v>
      </c>
      <c r="AT79" s="12">
        <v>2</v>
      </c>
      <c r="AU79" s="12">
        <v>0</v>
      </c>
      <c r="AV79" s="12">
        <v>17</v>
      </c>
      <c r="AW79" s="12">
        <f t="shared" si="18"/>
        <v>17</v>
      </c>
      <c r="AX79" s="12">
        <v>3</v>
      </c>
      <c r="AY79" s="12">
        <v>4</v>
      </c>
      <c r="AZ79" s="12">
        <v>0</v>
      </c>
      <c r="BA79" s="12">
        <f t="shared" si="19"/>
        <v>0</v>
      </c>
      <c r="BB79" s="12">
        <v>0</v>
      </c>
      <c r="BC79" s="12">
        <v>0</v>
      </c>
      <c r="BD79" s="12">
        <f t="shared" si="28"/>
        <v>0</v>
      </c>
      <c r="BE79" s="12">
        <v>0</v>
      </c>
      <c r="BF79" s="12">
        <f t="shared" si="20"/>
        <v>0</v>
      </c>
      <c r="BG79" s="12">
        <f t="shared" si="29"/>
        <v>0</v>
      </c>
      <c r="BH79" s="67">
        <v>0</v>
      </c>
      <c r="BI79" s="67">
        <v>1</v>
      </c>
      <c r="BJ79" s="67">
        <v>0</v>
      </c>
      <c r="BK79" s="67">
        <v>0</v>
      </c>
      <c r="BL79" s="67">
        <v>0</v>
      </c>
      <c r="BM79" s="67">
        <v>0</v>
      </c>
      <c r="BN79" s="67">
        <v>0</v>
      </c>
      <c r="BO79" s="67">
        <v>1</v>
      </c>
      <c r="BP79" s="67">
        <v>0</v>
      </c>
      <c r="BQ79" s="67">
        <v>0</v>
      </c>
      <c r="BR79" s="67">
        <v>0</v>
      </c>
      <c r="BS79" s="67">
        <v>0</v>
      </c>
      <c r="BT79" s="67">
        <v>17</v>
      </c>
      <c r="BU79" s="70">
        <v>0</v>
      </c>
      <c r="BV79" s="29">
        <f t="shared" si="21"/>
        <v>1.4320583255325647</v>
      </c>
      <c r="BW79">
        <f t="shared" si="22"/>
        <v>1.1555414682655611</v>
      </c>
      <c r="BX79">
        <f t="shared" si="23"/>
        <v>0.73519710510148462</v>
      </c>
      <c r="BY79">
        <f t="shared" si="24"/>
        <v>1.1439050833826525</v>
      </c>
      <c r="BZ79">
        <f t="shared" si="25"/>
        <v>0.39380416832397891</v>
      </c>
      <c r="CA79">
        <f t="shared" si="26"/>
        <v>0.88405695572208698</v>
      </c>
      <c r="CB79">
        <f t="shared" si="27"/>
        <v>0.67891464284095016</v>
      </c>
    </row>
    <row r="80" spans="1:82" x14ac:dyDescent="0.45">
      <c r="A80" s="11">
        <v>37</v>
      </c>
      <c r="B80" s="12">
        <f t="shared" si="15"/>
        <v>37</v>
      </c>
      <c r="C80" s="12" t="s">
        <v>59</v>
      </c>
      <c r="D80" s="12">
        <v>0</v>
      </c>
      <c r="E80" s="12" t="s">
        <v>53</v>
      </c>
      <c r="F80" s="12">
        <v>0</v>
      </c>
      <c r="G80" s="12">
        <v>1</v>
      </c>
      <c r="H80" s="12" t="s">
        <v>61</v>
      </c>
      <c r="I80" s="12">
        <v>1</v>
      </c>
      <c r="J80" s="12">
        <v>0</v>
      </c>
      <c r="K80" s="12">
        <v>7</v>
      </c>
      <c r="L80" s="12">
        <f t="shared" si="16"/>
        <v>7</v>
      </c>
      <c r="M80" s="12">
        <v>4</v>
      </c>
      <c r="N80" s="12" t="s">
        <v>70</v>
      </c>
      <c r="O80" s="12">
        <v>0</v>
      </c>
      <c r="P80" s="12">
        <v>0</v>
      </c>
      <c r="Q80" s="12">
        <v>1</v>
      </c>
      <c r="R80" s="12">
        <v>0</v>
      </c>
      <c r="S80" s="12">
        <v>0</v>
      </c>
      <c r="T80" s="12">
        <v>1</v>
      </c>
      <c r="U80" s="12" t="s">
        <v>62</v>
      </c>
      <c r="V80" s="12">
        <v>0</v>
      </c>
      <c r="W80" s="12">
        <v>30</v>
      </c>
      <c r="X80" s="12">
        <v>3</v>
      </c>
      <c r="Y80" s="12">
        <v>3</v>
      </c>
      <c r="Z80" s="12" t="s">
        <v>89</v>
      </c>
      <c r="AA80" s="12">
        <v>0</v>
      </c>
      <c r="AB80" s="12">
        <v>0</v>
      </c>
      <c r="AC80" s="12">
        <v>0</v>
      </c>
      <c r="AD80" s="12">
        <v>0</v>
      </c>
      <c r="AE80" s="12">
        <v>0</v>
      </c>
      <c r="AF80" s="12">
        <v>0</v>
      </c>
      <c r="AG80" s="12">
        <v>0</v>
      </c>
      <c r="AH80" s="12">
        <v>0</v>
      </c>
      <c r="AI80" s="12">
        <v>3</v>
      </c>
      <c r="AJ80" s="12" t="s">
        <v>57</v>
      </c>
      <c r="AK80" s="12">
        <v>1</v>
      </c>
      <c r="AL80" s="12">
        <v>0</v>
      </c>
      <c r="AM80" s="12">
        <v>13664</v>
      </c>
      <c r="AN80" s="12">
        <f t="shared" si="17"/>
        <v>13664</v>
      </c>
      <c r="AO80" s="12">
        <v>4</v>
      </c>
      <c r="AP80" s="12" t="s">
        <v>59</v>
      </c>
      <c r="AQ80" s="12">
        <v>0</v>
      </c>
      <c r="AR80" s="12">
        <v>13</v>
      </c>
      <c r="AS80" s="12">
        <v>3</v>
      </c>
      <c r="AT80" s="12">
        <v>1</v>
      </c>
      <c r="AU80" s="12">
        <v>0</v>
      </c>
      <c r="AV80" s="12">
        <v>16</v>
      </c>
      <c r="AW80" s="12">
        <f t="shared" si="18"/>
        <v>16</v>
      </c>
      <c r="AX80" s="12">
        <v>3</v>
      </c>
      <c r="AY80" s="12">
        <v>4</v>
      </c>
      <c r="AZ80" s="12">
        <v>5</v>
      </c>
      <c r="BA80" s="12">
        <f t="shared" si="19"/>
        <v>5</v>
      </c>
      <c r="BB80" s="12">
        <v>2</v>
      </c>
      <c r="BC80" s="12">
        <v>0</v>
      </c>
      <c r="BD80" s="12">
        <f t="shared" si="28"/>
        <v>0</v>
      </c>
      <c r="BE80" s="12">
        <v>2</v>
      </c>
      <c r="BF80" s="12">
        <f t="shared" si="20"/>
        <v>2</v>
      </c>
      <c r="BG80" s="12">
        <f t="shared" si="29"/>
        <v>6</v>
      </c>
      <c r="BH80" s="67">
        <v>1</v>
      </c>
      <c r="BI80" s="67">
        <v>0</v>
      </c>
      <c r="BJ80" s="67">
        <v>0</v>
      </c>
      <c r="BK80" s="67">
        <v>0</v>
      </c>
      <c r="BL80" s="67">
        <v>1</v>
      </c>
      <c r="BM80" s="67">
        <v>0</v>
      </c>
      <c r="BN80" s="67">
        <v>0</v>
      </c>
      <c r="BO80" s="67">
        <v>0</v>
      </c>
      <c r="BP80" s="67">
        <v>0</v>
      </c>
      <c r="BQ80" s="67">
        <v>2</v>
      </c>
      <c r="BR80" s="67">
        <v>0</v>
      </c>
      <c r="BS80" s="67">
        <v>0</v>
      </c>
      <c r="BT80" s="67">
        <v>16</v>
      </c>
      <c r="BU80" s="70">
        <v>0</v>
      </c>
      <c r="BV80" s="29">
        <f t="shared" si="21"/>
        <v>1.5210565936356724</v>
      </c>
      <c r="BW80">
        <f t="shared" si="22"/>
        <v>0.59502473559756086</v>
      </c>
      <c r="BX80">
        <f t="shared" si="23"/>
        <v>0.60667531362816052</v>
      </c>
      <c r="BY80">
        <f t="shared" si="24"/>
        <v>0.32778177112653761</v>
      </c>
      <c r="BZ80">
        <f t="shared" si="25"/>
        <v>0.27045191444879263</v>
      </c>
      <c r="CA80">
        <f t="shared" si="26"/>
        <v>8.3401599596422994E-3</v>
      </c>
      <c r="CB80">
        <f t="shared" si="27"/>
        <v>0.67891464284095016</v>
      </c>
    </row>
    <row r="81" spans="1:80" x14ac:dyDescent="0.45">
      <c r="A81" s="11">
        <v>46</v>
      </c>
      <c r="B81" s="12">
        <f t="shared" si="15"/>
        <v>46</v>
      </c>
      <c r="C81" s="12" t="s">
        <v>59</v>
      </c>
      <c r="D81" s="12">
        <v>0</v>
      </c>
      <c r="E81" s="12" t="s">
        <v>53</v>
      </c>
      <c r="F81" s="12">
        <v>0</v>
      </c>
      <c r="G81" s="12">
        <v>1</v>
      </c>
      <c r="H81" s="12" t="s">
        <v>97</v>
      </c>
      <c r="I81" s="12">
        <v>0</v>
      </c>
      <c r="J81" s="12">
        <v>0</v>
      </c>
      <c r="K81" s="12">
        <v>5</v>
      </c>
      <c r="L81" s="12">
        <f t="shared" si="16"/>
        <v>5</v>
      </c>
      <c r="M81" s="12">
        <v>2</v>
      </c>
      <c r="N81" s="12" t="s">
        <v>70</v>
      </c>
      <c r="O81" s="12">
        <v>0</v>
      </c>
      <c r="P81" s="12">
        <v>0</v>
      </c>
      <c r="Q81" s="12">
        <v>1</v>
      </c>
      <c r="R81" s="12">
        <v>0</v>
      </c>
      <c r="S81" s="12">
        <v>0</v>
      </c>
      <c r="T81" s="12">
        <v>2</v>
      </c>
      <c r="U81" s="12" t="s">
        <v>62</v>
      </c>
      <c r="V81" s="12">
        <v>0</v>
      </c>
      <c r="W81" s="12">
        <v>80</v>
      </c>
      <c r="X81" s="12">
        <v>3</v>
      </c>
      <c r="Y81" s="12">
        <v>2</v>
      </c>
      <c r="Z81" s="12" t="s">
        <v>97</v>
      </c>
      <c r="AA81" s="12">
        <v>0</v>
      </c>
      <c r="AB81" s="12">
        <v>0</v>
      </c>
      <c r="AC81" s="12">
        <v>0</v>
      </c>
      <c r="AD81" s="12">
        <v>0</v>
      </c>
      <c r="AE81" s="12">
        <v>0</v>
      </c>
      <c r="AF81" s="12">
        <v>0</v>
      </c>
      <c r="AG81" s="12">
        <v>0</v>
      </c>
      <c r="AH81" s="12">
        <v>0</v>
      </c>
      <c r="AI81" s="12">
        <v>2</v>
      </c>
      <c r="AJ81" s="12" t="s">
        <v>78</v>
      </c>
      <c r="AK81" s="12">
        <v>0</v>
      </c>
      <c r="AL81" s="12">
        <v>0</v>
      </c>
      <c r="AM81" s="12">
        <v>5021</v>
      </c>
      <c r="AN81" s="12">
        <f t="shared" si="17"/>
        <v>5021</v>
      </c>
      <c r="AO81" s="12">
        <v>8</v>
      </c>
      <c r="AP81" s="12" t="s">
        <v>52</v>
      </c>
      <c r="AQ81" s="12">
        <v>1</v>
      </c>
      <c r="AR81" s="12">
        <v>22</v>
      </c>
      <c r="AS81" s="12">
        <v>4</v>
      </c>
      <c r="AT81" s="12">
        <v>4</v>
      </c>
      <c r="AU81" s="12">
        <v>1</v>
      </c>
      <c r="AV81" s="12">
        <v>16</v>
      </c>
      <c r="AW81" s="12">
        <f t="shared" si="18"/>
        <v>16</v>
      </c>
      <c r="AX81" s="12">
        <v>2</v>
      </c>
      <c r="AY81" s="12">
        <v>3</v>
      </c>
      <c r="AZ81" s="12">
        <v>4</v>
      </c>
      <c r="BA81" s="12">
        <f t="shared" si="19"/>
        <v>4</v>
      </c>
      <c r="BB81" s="12">
        <v>2</v>
      </c>
      <c r="BC81" s="12">
        <v>0</v>
      </c>
      <c r="BD81" s="12">
        <f t="shared" si="28"/>
        <v>0</v>
      </c>
      <c r="BE81" s="12">
        <v>2</v>
      </c>
      <c r="BF81" s="12">
        <f t="shared" si="20"/>
        <v>2</v>
      </c>
      <c r="BG81" s="12">
        <f t="shared" si="29"/>
        <v>4</v>
      </c>
      <c r="BH81" s="67">
        <v>1</v>
      </c>
      <c r="BI81" s="67">
        <v>0</v>
      </c>
      <c r="BJ81" s="67">
        <v>0</v>
      </c>
      <c r="BK81" s="67">
        <v>0</v>
      </c>
      <c r="BL81" s="67">
        <v>0</v>
      </c>
      <c r="BM81" s="67">
        <v>1</v>
      </c>
      <c r="BN81" s="67">
        <v>0</v>
      </c>
      <c r="BO81" s="67">
        <v>0</v>
      </c>
      <c r="BP81" s="67">
        <v>2</v>
      </c>
      <c r="BQ81" s="67">
        <v>0</v>
      </c>
      <c r="BR81" s="67">
        <v>0</v>
      </c>
      <c r="BS81" s="67">
        <v>16</v>
      </c>
      <c r="BT81" s="67">
        <v>0</v>
      </c>
      <c r="BU81" s="70">
        <v>0</v>
      </c>
      <c r="BV81" s="29">
        <f t="shared" si="21"/>
        <v>0.31477164315468636</v>
      </c>
      <c r="BW81">
        <f t="shared" si="22"/>
        <v>0.59502473559756086</v>
      </c>
      <c r="BX81">
        <f t="shared" si="23"/>
        <v>0.60667531362816052</v>
      </c>
      <c r="BY81">
        <f t="shared" si="24"/>
        <v>0.49100643357776058</v>
      </c>
      <c r="BZ81">
        <f t="shared" si="25"/>
        <v>0.51715642219916513</v>
      </c>
      <c r="CA81">
        <f t="shared" si="26"/>
        <v>0.99352155519239249</v>
      </c>
      <c r="CB81">
        <f t="shared" si="27"/>
        <v>0.67891464284095016</v>
      </c>
    </row>
    <row r="82" spans="1:80" x14ac:dyDescent="0.45">
      <c r="A82" s="11">
        <v>30</v>
      </c>
      <c r="B82" s="12">
        <f t="shared" si="15"/>
        <v>30</v>
      </c>
      <c r="C82" s="12" t="s">
        <v>59</v>
      </c>
      <c r="D82" s="12">
        <v>0</v>
      </c>
      <c r="E82" s="12" t="s">
        <v>53</v>
      </c>
      <c r="F82" s="12">
        <v>0</v>
      </c>
      <c r="G82" s="12">
        <v>1</v>
      </c>
      <c r="H82" s="12" t="s">
        <v>61</v>
      </c>
      <c r="I82" s="12">
        <v>1</v>
      </c>
      <c r="J82" s="12">
        <v>0</v>
      </c>
      <c r="K82" s="12">
        <v>1</v>
      </c>
      <c r="L82" s="12">
        <f t="shared" si="16"/>
        <v>1</v>
      </c>
      <c r="M82" s="12">
        <v>1</v>
      </c>
      <c r="N82" s="12" t="s">
        <v>55</v>
      </c>
      <c r="O82" s="12">
        <v>1</v>
      </c>
      <c r="P82" s="12">
        <v>0</v>
      </c>
      <c r="Q82" s="12">
        <v>0</v>
      </c>
      <c r="R82" s="12">
        <v>0</v>
      </c>
      <c r="S82" s="12">
        <v>0</v>
      </c>
      <c r="T82" s="12">
        <v>4</v>
      </c>
      <c r="U82" s="12" t="s">
        <v>62</v>
      </c>
      <c r="V82" s="12">
        <v>0</v>
      </c>
      <c r="W82" s="12">
        <v>55</v>
      </c>
      <c r="X82" s="12">
        <v>2</v>
      </c>
      <c r="Y82" s="12">
        <v>2</v>
      </c>
      <c r="Z82" s="12" t="s">
        <v>67</v>
      </c>
      <c r="AA82" s="12">
        <v>0</v>
      </c>
      <c r="AB82" s="12">
        <v>0</v>
      </c>
      <c r="AC82" s="12">
        <v>1</v>
      </c>
      <c r="AD82" s="12">
        <v>0</v>
      </c>
      <c r="AE82" s="12">
        <v>0</v>
      </c>
      <c r="AF82" s="12">
        <v>0</v>
      </c>
      <c r="AG82" s="12">
        <v>0</v>
      </c>
      <c r="AH82" s="12">
        <v>0</v>
      </c>
      <c r="AI82" s="12">
        <v>4</v>
      </c>
      <c r="AJ82" s="12" t="s">
        <v>64</v>
      </c>
      <c r="AK82" s="12">
        <v>0</v>
      </c>
      <c r="AL82" s="12">
        <v>1</v>
      </c>
      <c r="AM82" s="12">
        <v>5126</v>
      </c>
      <c r="AN82" s="12">
        <f t="shared" si="17"/>
        <v>5126</v>
      </c>
      <c r="AO82" s="12">
        <v>1</v>
      </c>
      <c r="AP82" s="12" t="s">
        <v>52</v>
      </c>
      <c r="AQ82" s="12">
        <v>1</v>
      </c>
      <c r="AR82" s="12">
        <v>12</v>
      </c>
      <c r="AS82" s="12">
        <v>3</v>
      </c>
      <c r="AT82" s="12">
        <v>3</v>
      </c>
      <c r="AU82" s="12">
        <v>2</v>
      </c>
      <c r="AV82" s="12">
        <v>10</v>
      </c>
      <c r="AW82" s="12">
        <f t="shared" si="18"/>
        <v>10</v>
      </c>
      <c r="AX82" s="12">
        <v>1</v>
      </c>
      <c r="AY82" s="12">
        <v>2</v>
      </c>
      <c r="AZ82" s="12">
        <v>10</v>
      </c>
      <c r="BA82" s="12">
        <f t="shared" si="19"/>
        <v>10</v>
      </c>
      <c r="BB82" s="12">
        <v>8</v>
      </c>
      <c r="BC82" s="12">
        <v>3</v>
      </c>
      <c r="BD82" s="12">
        <f t="shared" si="28"/>
        <v>3</v>
      </c>
      <c r="BE82" s="12">
        <v>0</v>
      </c>
      <c r="BF82" s="12">
        <f t="shared" si="20"/>
        <v>0</v>
      </c>
      <c r="BG82" s="12">
        <f t="shared" si="29"/>
        <v>0</v>
      </c>
      <c r="BH82" s="67">
        <v>0</v>
      </c>
      <c r="BI82" s="67">
        <v>1</v>
      </c>
      <c r="BJ82" s="67">
        <v>0</v>
      </c>
      <c r="BK82" s="67">
        <v>0</v>
      </c>
      <c r="BL82" s="67">
        <v>0</v>
      </c>
      <c r="BM82" s="67">
        <v>0</v>
      </c>
      <c r="BN82" s="67">
        <v>0</v>
      </c>
      <c r="BO82" s="67">
        <v>1</v>
      </c>
      <c r="BP82" s="67">
        <v>0</v>
      </c>
      <c r="BQ82" s="67">
        <v>0</v>
      </c>
      <c r="BR82" s="67">
        <v>0</v>
      </c>
      <c r="BS82" s="67">
        <v>0</v>
      </c>
      <c r="BT82" s="67">
        <v>10</v>
      </c>
      <c r="BU82" s="70">
        <v>0</v>
      </c>
      <c r="BV82" s="29">
        <f t="shared" si="21"/>
        <v>0.29246897453696247</v>
      </c>
      <c r="BW82">
        <f t="shared" si="22"/>
        <v>1.1555414682655611</v>
      </c>
      <c r="BX82">
        <f t="shared" si="23"/>
        <v>0.1644554352117841</v>
      </c>
      <c r="BY82">
        <f t="shared" si="24"/>
        <v>0.48834154112957734</v>
      </c>
      <c r="BZ82">
        <f t="shared" si="25"/>
        <v>1.01056543769991</v>
      </c>
      <c r="CA82">
        <f t="shared" si="26"/>
        <v>0.75791203633249671</v>
      </c>
      <c r="CB82">
        <f t="shared" si="27"/>
        <v>0.2520597274726662</v>
      </c>
    </row>
    <row r="83" spans="1:80" x14ac:dyDescent="0.45">
      <c r="A83" s="11">
        <v>35</v>
      </c>
      <c r="B83" s="12">
        <f t="shared" si="15"/>
        <v>35</v>
      </c>
      <c r="C83" s="12" t="s">
        <v>59</v>
      </c>
      <c r="D83" s="12">
        <v>0</v>
      </c>
      <c r="E83" s="12" t="s">
        <v>53</v>
      </c>
      <c r="F83" s="12">
        <v>0</v>
      </c>
      <c r="G83" s="12">
        <v>1</v>
      </c>
      <c r="H83" s="12" t="s">
        <v>61</v>
      </c>
      <c r="I83" s="12">
        <v>1</v>
      </c>
      <c r="J83" s="12">
        <v>0</v>
      </c>
      <c r="K83" s="12">
        <v>1</v>
      </c>
      <c r="L83" s="12">
        <f t="shared" si="16"/>
        <v>1</v>
      </c>
      <c r="M83" s="12">
        <v>3</v>
      </c>
      <c r="N83" s="12" t="s">
        <v>70</v>
      </c>
      <c r="O83" s="12">
        <v>0</v>
      </c>
      <c r="P83" s="12">
        <v>0</v>
      </c>
      <c r="Q83" s="12">
        <v>1</v>
      </c>
      <c r="R83" s="12">
        <v>0</v>
      </c>
      <c r="S83" s="12">
        <v>0</v>
      </c>
      <c r="T83" s="12">
        <v>2</v>
      </c>
      <c r="U83" s="12" t="s">
        <v>62</v>
      </c>
      <c r="V83" s="12">
        <v>0</v>
      </c>
      <c r="W83" s="12">
        <v>30</v>
      </c>
      <c r="X83" s="12">
        <v>2</v>
      </c>
      <c r="Y83" s="12">
        <v>1</v>
      </c>
      <c r="Z83" s="12" t="s">
        <v>63</v>
      </c>
      <c r="AA83" s="12">
        <v>0</v>
      </c>
      <c r="AB83" s="12">
        <v>0</v>
      </c>
      <c r="AC83" s="12">
        <v>0</v>
      </c>
      <c r="AD83" s="12">
        <v>0</v>
      </c>
      <c r="AE83" s="12">
        <v>0</v>
      </c>
      <c r="AF83" s="12">
        <v>0</v>
      </c>
      <c r="AG83" s="12">
        <v>0</v>
      </c>
      <c r="AH83" s="12">
        <v>1</v>
      </c>
      <c r="AI83" s="12">
        <v>3</v>
      </c>
      <c r="AJ83" s="12" t="s">
        <v>57</v>
      </c>
      <c r="AK83" s="12">
        <v>1</v>
      </c>
      <c r="AL83" s="12">
        <v>0</v>
      </c>
      <c r="AM83" s="12">
        <v>2859</v>
      </c>
      <c r="AN83" s="12">
        <f t="shared" si="17"/>
        <v>2859</v>
      </c>
      <c r="AO83" s="12">
        <v>1</v>
      </c>
      <c r="AP83" s="12" t="s">
        <v>59</v>
      </c>
      <c r="AQ83" s="12">
        <v>0</v>
      </c>
      <c r="AR83" s="12">
        <v>18</v>
      </c>
      <c r="AS83" s="12">
        <v>3</v>
      </c>
      <c r="AT83" s="12">
        <v>1</v>
      </c>
      <c r="AU83" s="12">
        <v>0</v>
      </c>
      <c r="AV83" s="12">
        <v>6</v>
      </c>
      <c r="AW83" s="12">
        <f t="shared" si="18"/>
        <v>6</v>
      </c>
      <c r="AX83" s="12">
        <v>3</v>
      </c>
      <c r="AY83" s="12">
        <v>3</v>
      </c>
      <c r="AZ83" s="12">
        <v>6</v>
      </c>
      <c r="BA83" s="12">
        <f t="shared" si="19"/>
        <v>6</v>
      </c>
      <c r="BB83" s="12">
        <v>4</v>
      </c>
      <c r="BC83" s="12">
        <v>0</v>
      </c>
      <c r="BD83" s="12">
        <f t="shared" si="28"/>
        <v>0</v>
      </c>
      <c r="BE83" s="12">
        <v>4</v>
      </c>
      <c r="BF83" s="12">
        <f t="shared" si="20"/>
        <v>4</v>
      </c>
      <c r="BG83" s="12">
        <f t="shared" si="29"/>
        <v>4</v>
      </c>
      <c r="BH83" s="67">
        <v>1</v>
      </c>
      <c r="BI83" s="67">
        <v>0</v>
      </c>
      <c r="BJ83" s="67">
        <v>0</v>
      </c>
      <c r="BK83" s="67">
        <v>0</v>
      </c>
      <c r="BL83" s="67">
        <v>1</v>
      </c>
      <c r="BM83" s="67">
        <v>0</v>
      </c>
      <c r="BN83" s="67">
        <v>0</v>
      </c>
      <c r="BO83" s="67">
        <v>0</v>
      </c>
      <c r="BP83" s="67">
        <v>0</v>
      </c>
      <c r="BQ83" s="67">
        <v>4</v>
      </c>
      <c r="BR83" s="67">
        <v>0</v>
      </c>
      <c r="BS83" s="67">
        <v>0</v>
      </c>
      <c r="BT83" s="67">
        <v>6</v>
      </c>
      <c r="BU83" s="70">
        <v>0</v>
      </c>
      <c r="BV83" s="29">
        <f t="shared" si="21"/>
        <v>0.77399421031201088</v>
      </c>
      <c r="BW83">
        <f t="shared" si="22"/>
        <v>3.4508002929560584E-2</v>
      </c>
      <c r="BX83">
        <f t="shared" si="23"/>
        <v>0.67854260110508058</v>
      </c>
      <c r="BY83">
        <f t="shared" si="24"/>
        <v>0.16455710867531462</v>
      </c>
      <c r="BZ83">
        <f t="shared" si="25"/>
        <v>1.01056543769991</v>
      </c>
      <c r="CA83">
        <f t="shared" si="26"/>
        <v>0.21058903898096887</v>
      </c>
      <c r="CB83">
        <f t="shared" si="27"/>
        <v>0.67891464284095016</v>
      </c>
    </row>
    <row r="84" spans="1:80" x14ac:dyDescent="0.45">
      <c r="A84" s="11">
        <v>55</v>
      </c>
      <c r="B84" s="12">
        <f t="shared" si="15"/>
        <v>55</v>
      </c>
      <c r="C84" s="12" t="s">
        <v>59</v>
      </c>
      <c r="D84" s="12">
        <v>0</v>
      </c>
      <c r="E84" s="12" t="s">
        <v>53</v>
      </c>
      <c r="F84" s="12">
        <v>0</v>
      </c>
      <c r="G84" s="12">
        <v>1</v>
      </c>
      <c r="H84" s="12" t="s">
        <v>54</v>
      </c>
      <c r="I84" s="12">
        <v>0</v>
      </c>
      <c r="J84" s="12">
        <v>1</v>
      </c>
      <c r="K84" s="12">
        <v>1</v>
      </c>
      <c r="L84" s="12">
        <f t="shared" si="16"/>
        <v>1</v>
      </c>
      <c r="M84" s="12">
        <v>2</v>
      </c>
      <c r="N84" s="12" t="s">
        <v>55</v>
      </c>
      <c r="O84" s="12">
        <v>1</v>
      </c>
      <c r="P84" s="12">
        <v>0</v>
      </c>
      <c r="Q84" s="12">
        <v>0</v>
      </c>
      <c r="R84" s="12">
        <v>0</v>
      </c>
      <c r="S84" s="12">
        <v>0</v>
      </c>
      <c r="T84" s="12">
        <v>1</v>
      </c>
      <c r="U84" s="12" t="s">
        <v>62</v>
      </c>
      <c r="V84" s="12">
        <v>0</v>
      </c>
      <c r="W84" s="12">
        <v>70</v>
      </c>
      <c r="X84" s="12">
        <v>3</v>
      </c>
      <c r="Y84" s="12">
        <v>3</v>
      </c>
      <c r="Z84" s="12" t="s">
        <v>56</v>
      </c>
      <c r="AA84" s="12">
        <v>0</v>
      </c>
      <c r="AB84" s="12">
        <v>1</v>
      </c>
      <c r="AC84" s="12">
        <v>0</v>
      </c>
      <c r="AD84" s="12">
        <v>0</v>
      </c>
      <c r="AE84" s="12">
        <v>0</v>
      </c>
      <c r="AF84" s="12">
        <v>0</v>
      </c>
      <c r="AG84" s="12">
        <v>0</v>
      </c>
      <c r="AH84" s="12">
        <v>0</v>
      </c>
      <c r="AI84" s="12">
        <v>4</v>
      </c>
      <c r="AJ84" s="12" t="s">
        <v>64</v>
      </c>
      <c r="AK84" s="12">
        <v>0</v>
      </c>
      <c r="AL84" s="12">
        <v>1</v>
      </c>
      <c r="AM84" s="12">
        <v>10239</v>
      </c>
      <c r="AN84" s="12">
        <f t="shared" si="17"/>
        <v>10239</v>
      </c>
      <c r="AO84" s="12">
        <v>3</v>
      </c>
      <c r="AP84" s="12" t="s">
        <v>59</v>
      </c>
      <c r="AQ84" s="12">
        <v>0</v>
      </c>
      <c r="AR84" s="12">
        <v>14</v>
      </c>
      <c r="AS84" s="12">
        <v>3</v>
      </c>
      <c r="AT84" s="12">
        <v>4</v>
      </c>
      <c r="AU84" s="12">
        <v>1</v>
      </c>
      <c r="AV84" s="12">
        <v>24</v>
      </c>
      <c r="AW84" s="12">
        <f t="shared" si="18"/>
        <v>24</v>
      </c>
      <c r="AX84" s="12">
        <v>4</v>
      </c>
      <c r="AY84" s="12">
        <v>3</v>
      </c>
      <c r="AZ84" s="12">
        <v>1</v>
      </c>
      <c r="BA84" s="12">
        <f t="shared" si="19"/>
        <v>1</v>
      </c>
      <c r="BB84" s="12">
        <v>0</v>
      </c>
      <c r="BC84" s="12">
        <v>1</v>
      </c>
      <c r="BD84" s="12">
        <f t="shared" si="28"/>
        <v>1</v>
      </c>
      <c r="BE84" s="12">
        <v>0</v>
      </c>
      <c r="BF84" s="12">
        <f t="shared" si="20"/>
        <v>0</v>
      </c>
      <c r="BG84" s="12">
        <f t="shared" si="29"/>
        <v>0</v>
      </c>
      <c r="BH84" s="67">
        <v>0</v>
      </c>
      <c r="BI84" s="67">
        <v>1</v>
      </c>
      <c r="BJ84" s="67">
        <v>0</v>
      </c>
      <c r="BK84" s="67">
        <v>0</v>
      </c>
      <c r="BL84" s="67">
        <v>0</v>
      </c>
      <c r="BM84" s="67">
        <v>0</v>
      </c>
      <c r="BN84" s="67">
        <v>1</v>
      </c>
      <c r="BO84" s="67">
        <v>0</v>
      </c>
      <c r="BP84" s="67">
        <v>0</v>
      </c>
      <c r="BQ84" s="67">
        <v>0</v>
      </c>
      <c r="BR84" s="67">
        <v>0</v>
      </c>
      <c r="BS84" s="67">
        <v>0</v>
      </c>
      <c r="BT84" s="67">
        <v>0</v>
      </c>
      <c r="BU84" s="70">
        <v>24</v>
      </c>
      <c r="BV84" s="29">
        <f t="shared" si="21"/>
        <v>0.79356478396229757</v>
      </c>
      <c r="BW84">
        <f t="shared" si="22"/>
        <v>1.1555414682655611</v>
      </c>
      <c r="BX84">
        <f t="shared" si="23"/>
        <v>1.6348496454147534</v>
      </c>
      <c r="BY84">
        <f t="shared" si="24"/>
        <v>0.9806804209314296</v>
      </c>
      <c r="BZ84">
        <f t="shared" si="25"/>
        <v>1.01056543769991</v>
      </c>
      <c r="CA84">
        <f t="shared" si="26"/>
        <v>1.9787029504251428</v>
      </c>
      <c r="CB84">
        <f t="shared" si="27"/>
        <v>0.36858985273641137</v>
      </c>
    </row>
    <row r="85" spans="1:80" x14ac:dyDescent="0.45">
      <c r="A85" s="11">
        <v>38</v>
      </c>
      <c r="B85" s="12">
        <f t="shared" si="15"/>
        <v>38</v>
      </c>
      <c r="C85" s="12" t="s">
        <v>59</v>
      </c>
      <c r="D85" s="12">
        <v>0</v>
      </c>
      <c r="E85" s="12" t="s">
        <v>86</v>
      </c>
      <c r="F85" s="12">
        <v>0</v>
      </c>
      <c r="G85" s="12">
        <v>0</v>
      </c>
      <c r="H85" s="12" t="s">
        <v>61</v>
      </c>
      <c r="I85" s="12">
        <v>1</v>
      </c>
      <c r="J85" s="12">
        <v>0</v>
      </c>
      <c r="K85" s="12">
        <v>6</v>
      </c>
      <c r="L85" s="12">
        <f t="shared" si="16"/>
        <v>6</v>
      </c>
      <c r="M85" s="12">
        <v>3</v>
      </c>
      <c r="N85" s="12" t="s">
        <v>70</v>
      </c>
      <c r="O85" s="12">
        <v>0</v>
      </c>
      <c r="P85" s="12">
        <v>0</v>
      </c>
      <c r="Q85" s="12">
        <v>1</v>
      </c>
      <c r="R85" s="12">
        <v>0</v>
      </c>
      <c r="S85" s="12">
        <v>0</v>
      </c>
      <c r="T85" s="12">
        <v>2</v>
      </c>
      <c r="U85" s="12" t="s">
        <v>19</v>
      </c>
      <c r="V85" s="12">
        <v>1</v>
      </c>
      <c r="W85" s="12">
        <v>79</v>
      </c>
      <c r="X85" s="12">
        <v>1</v>
      </c>
      <c r="Y85" s="12">
        <v>2</v>
      </c>
      <c r="Z85" s="12" t="s">
        <v>63</v>
      </c>
      <c r="AA85" s="12">
        <v>0</v>
      </c>
      <c r="AB85" s="12">
        <v>0</v>
      </c>
      <c r="AC85" s="12">
        <v>0</v>
      </c>
      <c r="AD85" s="12">
        <v>0</v>
      </c>
      <c r="AE85" s="12">
        <v>0</v>
      </c>
      <c r="AF85" s="12">
        <v>0</v>
      </c>
      <c r="AG85" s="12">
        <v>0</v>
      </c>
      <c r="AH85" s="12">
        <v>1</v>
      </c>
      <c r="AI85" s="12">
        <v>4</v>
      </c>
      <c r="AJ85" s="12" t="s">
        <v>78</v>
      </c>
      <c r="AK85" s="12">
        <v>0</v>
      </c>
      <c r="AL85" s="12">
        <v>0</v>
      </c>
      <c r="AM85" s="12">
        <v>5329</v>
      </c>
      <c r="AN85" s="12">
        <f t="shared" si="17"/>
        <v>5329</v>
      </c>
      <c r="AO85" s="12">
        <v>7</v>
      </c>
      <c r="AP85" s="12" t="s">
        <v>52</v>
      </c>
      <c r="AQ85" s="12">
        <v>1</v>
      </c>
      <c r="AR85" s="12">
        <v>12</v>
      </c>
      <c r="AS85" s="12">
        <v>3</v>
      </c>
      <c r="AT85" s="12">
        <v>4</v>
      </c>
      <c r="AU85" s="12">
        <v>3</v>
      </c>
      <c r="AV85" s="12">
        <v>17</v>
      </c>
      <c r="AW85" s="12">
        <f t="shared" si="18"/>
        <v>17</v>
      </c>
      <c r="AX85" s="12">
        <v>3</v>
      </c>
      <c r="AY85" s="12">
        <v>3</v>
      </c>
      <c r="AZ85" s="12">
        <v>13</v>
      </c>
      <c r="BA85" s="12">
        <f t="shared" si="19"/>
        <v>13</v>
      </c>
      <c r="BB85" s="12">
        <v>11</v>
      </c>
      <c r="BC85" s="12">
        <v>1</v>
      </c>
      <c r="BD85" s="12">
        <f t="shared" si="28"/>
        <v>1</v>
      </c>
      <c r="BE85" s="12">
        <v>9</v>
      </c>
      <c r="BF85" s="12">
        <f t="shared" si="20"/>
        <v>9</v>
      </c>
      <c r="BG85" s="12">
        <f t="shared" si="29"/>
        <v>18</v>
      </c>
      <c r="BH85" s="67">
        <v>1</v>
      </c>
      <c r="BI85" s="67">
        <v>0</v>
      </c>
      <c r="BJ85" s="67">
        <v>0</v>
      </c>
      <c r="BK85" s="67">
        <v>0</v>
      </c>
      <c r="BL85" s="67">
        <v>0</v>
      </c>
      <c r="BM85" s="67">
        <v>1</v>
      </c>
      <c r="BN85" s="67">
        <v>0</v>
      </c>
      <c r="BO85" s="67">
        <v>0</v>
      </c>
      <c r="BP85" s="67">
        <v>0</v>
      </c>
      <c r="BQ85" s="67">
        <v>9</v>
      </c>
      <c r="BR85" s="67">
        <v>0</v>
      </c>
      <c r="BS85" s="67">
        <v>0</v>
      </c>
      <c r="BT85" s="67">
        <v>17</v>
      </c>
      <c r="BU85" s="70">
        <v>0</v>
      </c>
      <c r="BV85" s="29">
        <f t="shared" si="21"/>
        <v>0.24935048187602959</v>
      </c>
      <c r="BW85">
        <f t="shared" si="22"/>
        <v>1.3667838287404401</v>
      </c>
      <c r="BX85">
        <f t="shared" si="23"/>
        <v>0.73519710510148462</v>
      </c>
      <c r="BY85">
        <f t="shared" si="24"/>
        <v>0.97801552848324624</v>
      </c>
      <c r="BZ85">
        <f t="shared" si="25"/>
        <v>0.39380416832397891</v>
      </c>
      <c r="CA85">
        <f t="shared" si="26"/>
        <v>0.11780475942994788</v>
      </c>
      <c r="CB85">
        <f t="shared" si="27"/>
        <v>0.36858985273641137</v>
      </c>
    </row>
    <row r="86" spans="1:80" x14ac:dyDescent="0.45">
      <c r="A86" s="11">
        <v>34</v>
      </c>
      <c r="B86" s="12">
        <f t="shared" si="15"/>
        <v>34</v>
      </c>
      <c r="C86" s="12" t="s">
        <v>59</v>
      </c>
      <c r="D86" s="12">
        <v>0</v>
      </c>
      <c r="E86" s="12" t="s">
        <v>53</v>
      </c>
      <c r="F86" s="12">
        <v>0</v>
      </c>
      <c r="G86" s="12">
        <v>1</v>
      </c>
      <c r="H86" s="12" t="s">
        <v>61</v>
      </c>
      <c r="I86" s="12">
        <v>1</v>
      </c>
      <c r="J86" s="12">
        <v>0</v>
      </c>
      <c r="K86" s="12">
        <v>1</v>
      </c>
      <c r="L86" s="12">
        <f t="shared" si="16"/>
        <v>1</v>
      </c>
      <c r="M86" s="12">
        <v>2</v>
      </c>
      <c r="N86" s="12" t="s">
        <v>70</v>
      </c>
      <c r="O86" s="12">
        <v>0</v>
      </c>
      <c r="P86" s="12">
        <v>0</v>
      </c>
      <c r="Q86" s="12">
        <v>1</v>
      </c>
      <c r="R86" s="12">
        <v>0</v>
      </c>
      <c r="S86" s="12">
        <v>0</v>
      </c>
      <c r="T86" s="12">
        <v>1</v>
      </c>
      <c r="U86" s="12" t="s">
        <v>62</v>
      </c>
      <c r="V86" s="12">
        <v>0</v>
      </c>
      <c r="W86" s="12">
        <v>94</v>
      </c>
      <c r="X86" s="12">
        <v>3</v>
      </c>
      <c r="Y86" s="12">
        <v>2</v>
      </c>
      <c r="Z86" s="12" t="s">
        <v>83</v>
      </c>
      <c r="AA86" s="12">
        <v>0</v>
      </c>
      <c r="AB86" s="12">
        <v>0</v>
      </c>
      <c r="AC86" s="12">
        <v>0</v>
      </c>
      <c r="AD86" s="12">
        <v>0</v>
      </c>
      <c r="AE86" s="12">
        <v>1</v>
      </c>
      <c r="AF86" s="12">
        <v>1</v>
      </c>
      <c r="AG86" s="12">
        <v>0</v>
      </c>
      <c r="AH86" s="12">
        <v>0</v>
      </c>
      <c r="AI86" s="12">
        <v>2</v>
      </c>
      <c r="AJ86" s="12" t="s">
        <v>64</v>
      </c>
      <c r="AK86" s="12">
        <v>0</v>
      </c>
      <c r="AL86" s="12">
        <v>1</v>
      </c>
      <c r="AM86" s="12">
        <v>4325</v>
      </c>
      <c r="AN86" s="12">
        <f t="shared" si="17"/>
        <v>4325</v>
      </c>
      <c r="AO86" s="12">
        <v>1</v>
      </c>
      <c r="AP86" s="12" t="s">
        <v>59</v>
      </c>
      <c r="AQ86" s="12">
        <v>0</v>
      </c>
      <c r="AR86" s="12">
        <v>15</v>
      </c>
      <c r="AS86" s="12">
        <v>3</v>
      </c>
      <c r="AT86" s="12">
        <v>3</v>
      </c>
      <c r="AU86" s="12">
        <v>0</v>
      </c>
      <c r="AV86" s="12">
        <v>5</v>
      </c>
      <c r="AW86" s="12">
        <f t="shared" si="18"/>
        <v>5</v>
      </c>
      <c r="AX86" s="12">
        <v>2</v>
      </c>
      <c r="AY86" s="12">
        <v>3</v>
      </c>
      <c r="AZ86" s="12">
        <v>5</v>
      </c>
      <c r="BA86" s="12">
        <f t="shared" si="19"/>
        <v>5</v>
      </c>
      <c r="BB86" s="12">
        <v>2</v>
      </c>
      <c r="BC86" s="12">
        <v>1</v>
      </c>
      <c r="BD86" s="12">
        <f t="shared" si="28"/>
        <v>1</v>
      </c>
      <c r="BE86" s="12">
        <v>3</v>
      </c>
      <c r="BF86" s="12">
        <f t="shared" si="20"/>
        <v>3</v>
      </c>
      <c r="BG86" s="12">
        <f t="shared" si="29"/>
        <v>6</v>
      </c>
      <c r="BH86" s="67">
        <v>0</v>
      </c>
      <c r="BI86" s="67">
        <v>1</v>
      </c>
      <c r="BJ86" s="67">
        <v>0</v>
      </c>
      <c r="BK86" s="67">
        <v>0</v>
      </c>
      <c r="BL86" s="67">
        <v>0</v>
      </c>
      <c r="BM86" s="67">
        <v>0</v>
      </c>
      <c r="BN86" s="67">
        <v>1</v>
      </c>
      <c r="BO86" s="67">
        <v>0</v>
      </c>
      <c r="BP86" s="67">
        <v>0</v>
      </c>
      <c r="BQ86" s="67">
        <v>3</v>
      </c>
      <c r="BR86" s="67">
        <v>0</v>
      </c>
      <c r="BS86" s="67">
        <v>0</v>
      </c>
      <c r="BT86" s="67">
        <v>5</v>
      </c>
      <c r="BU86" s="70">
        <v>0</v>
      </c>
      <c r="BV86" s="29">
        <f t="shared" si="21"/>
        <v>0.46260647513502767</v>
      </c>
      <c r="BW86">
        <f t="shared" si="22"/>
        <v>0.31476636926356072</v>
      </c>
      <c r="BX86">
        <f t="shared" si="23"/>
        <v>0.80706439257840468</v>
      </c>
      <c r="BY86">
        <f t="shared" si="24"/>
        <v>0.32778177112653761</v>
      </c>
      <c r="BZ86">
        <f t="shared" si="25"/>
        <v>1.01056543769991</v>
      </c>
      <c r="CA86">
        <f t="shared" si="26"/>
        <v>0.32005363845127444</v>
      </c>
      <c r="CB86">
        <f t="shared" si="27"/>
        <v>0.36858985273641137</v>
      </c>
    </row>
    <row r="87" spans="1:80" x14ac:dyDescent="0.45">
      <c r="A87" s="11">
        <v>56</v>
      </c>
      <c r="B87" s="12">
        <f t="shared" si="15"/>
        <v>56</v>
      </c>
      <c r="C87" s="12" t="s">
        <v>59</v>
      </c>
      <c r="D87" s="12">
        <v>0</v>
      </c>
      <c r="E87" s="12" t="s">
        <v>53</v>
      </c>
      <c r="F87" s="12">
        <v>0</v>
      </c>
      <c r="G87" s="12">
        <v>1</v>
      </c>
      <c r="H87" s="12" t="s">
        <v>61</v>
      </c>
      <c r="I87" s="12">
        <v>1</v>
      </c>
      <c r="J87" s="12">
        <v>0</v>
      </c>
      <c r="K87" s="12">
        <v>7</v>
      </c>
      <c r="L87" s="12">
        <f t="shared" si="16"/>
        <v>7</v>
      </c>
      <c r="M87" s="12">
        <v>3</v>
      </c>
      <c r="N87" s="12" t="s">
        <v>55</v>
      </c>
      <c r="O87" s="12">
        <v>1</v>
      </c>
      <c r="P87" s="12">
        <v>0</v>
      </c>
      <c r="Q87" s="12">
        <v>0</v>
      </c>
      <c r="R87" s="12">
        <v>0</v>
      </c>
      <c r="S87" s="12">
        <v>0</v>
      </c>
      <c r="T87" s="12">
        <v>4</v>
      </c>
      <c r="U87" s="12" t="s">
        <v>62</v>
      </c>
      <c r="V87" s="12">
        <v>0</v>
      </c>
      <c r="W87" s="12">
        <v>49</v>
      </c>
      <c r="X87" s="12">
        <v>1</v>
      </c>
      <c r="Y87" s="12">
        <v>3</v>
      </c>
      <c r="Z87" s="12" t="s">
        <v>83</v>
      </c>
      <c r="AA87" s="12">
        <v>0</v>
      </c>
      <c r="AB87" s="12">
        <v>0</v>
      </c>
      <c r="AC87" s="12">
        <v>0</v>
      </c>
      <c r="AD87" s="12">
        <v>0</v>
      </c>
      <c r="AE87" s="12">
        <v>1</v>
      </c>
      <c r="AF87" s="12">
        <v>1</v>
      </c>
      <c r="AG87" s="12">
        <v>0</v>
      </c>
      <c r="AH87" s="12">
        <v>0</v>
      </c>
      <c r="AI87" s="12">
        <v>4</v>
      </c>
      <c r="AJ87" s="12" t="s">
        <v>57</v>
      </c>
      <c r="AK87" s="12">
        <v>1</v>
      </c>
      <c r="AL87" s="12">
        <v>0</v>
      </c>
      <c r="AM87" s="12">
        <v>7260</v>
      </c>
      <c r="AN87" s="12">
        <f t="shared" si="17"/>
        <v>7260</v>
      </c>
      <c r="AO87" s="12">
        <v>4</v>
      </c>
      <c r="AP87" s="12" t="s">
        <v>59</v>
      </c>
      <c r="AQ87" s="12">
        <v>0</v>
      </c>
      <c r="AR87" s="12">
        <v>11</v>
      </c>
      <c r="AS87" s="12">
        <v>3</v>
      </c>
      <c r="AT87" s="12">
        <v>1</v>
      </c>
      <c r="AU87" s="12">
        <v>0</v>
      </c>
      <c r="AV87" s="12">
        <v>37</v>
      </c>
      <c r="AW87" s="12">
        <f t="shared" si="18"/>
        <v>35</v>
      </c>
      <c r="AX87" s="12">
        <v>3</v>
      </c>
      <c r="AY87" s="12">
        <v>2</v>
      </c>
      <c r="AZ87" s="12">
        <v>6</v>
      </c>
      <c r="BA87" s="12">
        <f t="shared" si="19"/>
        <v>6</v>
      </c>
      <c r="BB87" s="12">
        <v>4</v>
      </c>
      <c r="BC87" s="12">
        <v>0</v>
      </c>
      <c r="BD87" s="12">
        <f t="shared" si="28"/>
        <v>0</v>
      </c>
      <c r="BE87" s="12">
        <v>2</v>
      </c>
      <c r="BF87" s="12">
        <f t="shared" si="20"/>
        <v>2</v>
      </c>
      <c r="BG87" s="12">
        <f t="shared" si="29"/>
        <v>6</v>
      </c>
      <c r="BH87" s="67">
        <v>1</v>
      </c>
      <c r="BI87" s="67">
        <v>0</v>
      </c>
      <c r="BJ87" s="67">
        <v>0</v>
      </c>
      <c r="BK87" s="67">
        <v>0</v>
      </c>
      <c r="BL87" s="67">
        <v>1</v>
      </c>
      <c r="BM87" s="67">
        <v>0</v>
      </c>
      <c r="BN87" s="67">
        <v>0</v>
      </c>
      <c r="BO87" s="67">
        <v>0</v>
      </c>
      <c r="BP87" s="67">
        <v>0</v>
      </c>
      <c r="BQ87" s="67">
        <v>2</v>
      </c>
      <c r="BR87" s="67">
        <v>0</v>
      </c>
      <c r="BS87" s="67">
        <v>0</v>
      </c>
      <c r="BT87" s="67">
        <v>35</v>
      </c>
      <c r="BU87" s="70">
        <v>0</v>
      </c>
      <c r="BV87" s="29">
        <f t="shared" si="21"/>
        <v>0.16080621432230233</v>
      </c>
      <c r="BW87">
        <f t="shared" si="22"/>
        <v>0.59502473559756086</v>
      </c>
      <c r="BX87">
        <f t="shared" si="23"/>
        <v>3.3056329345679663</v>
      </c>
      <c r="BY87">
        <f t="shared" si="24"/>
        <v>0.16455710867531462</v>
      </c>
      <c r="BZ87">
        <f t="shared" si="25"/>
        <v>0.27045191444879263</v>
      </c>
      <c r="CA87">
        <f t="shared" si="26"/>
        <v>2.0881675498954482</v>
      </c>
      <c r="CB87">
        <f t="shared" si="27"/>
        <v>0.67891464284095016</v>
      </c>
    </row>
    <row r="88" spans="1:80" x14ac:dyDescent="0.45">
      <c r="A88" s="11">
        <v>23</v>
      </c>
      <c r="B88" s="12">
        <f t="shared" si="15"/>
        <v>23</v>
      </c>
      <c r="C88" s="12" t="s">
        <v>59</v>
      </c>
      <c r="D88" s="12">
        <v>0</v>
      </c>
      <c r="E88" s="12" t="s">
        <v>53</v>
      </c>
      <c r="F88" s="12">
        <v>0</v>
      </c>
      <c r="G88" s="12">
        <v>1</v>
      </c>
      <c r="H88" s="12" t="s">
        <v>54</v>
      </c>
      <c r="I88" s="12">
        <v>0</v>
      </c>
      <c r="J88" s="12">
        <v>1</v>
      </c>
      <c r="K88" s="12">
        <v>2</v>
      </c>
      <c r="L88" s="12">
        <f t="shared" si="16"/>
        <v>2</v>
      </c>
      <c r="M88" s="12">
        <v>1</v>
      </c>
      <c r="N88" s="12" t="s">
        <v>91</v>
      </c>
      <c r="O88" s="12">
        <v>0</v>
      </c>
      <c r="P88" s="12">
        <v>0</v>
      </c>
      <c r="Q88" s="12">
        <v>0</v>
      </c>
      <c r="R88" s="12">
        <v>0</v>
      </c>
      <c r="S88" s="12">
        <v>1</v>
      </c>
      <c r="T88" s="12">
        <v>3</v>
      </c>
      <c r="U88" s="12" t="s">
        <v>62</v>
      </c>
      <c r="V88" s="12">
        <v>0</v>
      </c>
      <c r="W88" s="12">
        <v>62</v>
      </c>
      <c r="X88" s="12">
        <v>3</v>
      </c>
      <c r="Y88" s="12">
        <v>1</v>
      </c>
      <c r="Z88" s="12" t="s">
        <v>88</v>
      </c>
      <c r="AA88" s="12">
        <v>0</v>
      </c>
      <c r="AB88" s="12">
        <v>0</v>
      </c>
      <c r="AC88" s="12">
        <v>0</v>
      </c>
      <c r="AD88" s="12">
        <v>0</v>
      </c>
      <c r="AE88" s="12">
        <v>0</v>
      </c>
      <c r="AF88" s="12">
        <v>0</v>
      </c>
      <c r="AG88" s="12">
        <v>1</v>
      </c>
      <c r="AH88" s="12">
        <v>0</v>
      </c>
      <c r="AI88" s="12">
        <v>1</v>
      </c>
      <c r="AJ88" s="12" t="s">
        <v>78</v>
      </c>
      <c r="AK88" s="12">
        <v>0</v>
      </c>
      <c r="AL88" s="12">
        <v>0</v>
      </c>
      <c r="AM88" s="12">
        <v>2322</v>
      </c>
      <c r="AN88" s="12">
        <f t="shared" si="17"/>
        <v>2322</v>
      </c>
      <c r="AO88" s="12">
        <v>3</v>
      </c>
      <c r="AP88" s="12" t="s">
        <v>59</v>
      </c>
      <c r="AQ88" s="12">
        <v>0</v>
      </c>
      <c r="AR88" s="12">
        <v>13</v>
      </c>
      <c r="AS88" s="12">
        <v>3</v>
      </c>
      <c r="AT88" s="12">
        <v>3</v>
      </c>
      <c r="AU88" s="12">
        <v>1</v>
      </c>
      <c r="AV88" s="12">
        <v>3</v>
      </c>
      <c r="AW88" s="12">
        <f t="shared" si="18"/>
        <v>3</v>
      </c>
      <c r="AX88" s="12">
        <v>3</v>
      </c>
      <c r="AY88" s="12">
        <v>3</v>
      </c>
      <c r="AZ88" s="12">
        <v>0</v>
      </c>
      <c r="BA88" s="12">
        <f t="shared" si="19"/>
        <v>0</v>
      </c>
      <c r="BB88" s="12">
        <v>0</v>
      </c>
      <c r="BC88" s="12">
        <v>0</v>
      </c>
      <c r="BD88" s="12">
        <f t="shared" si="28"/>
        <v>0</v>
      </c>
      <c r="BE88" s="12">
        <v>0</v>
      </c>
      <c r="BF88" s="12">
        <f t="shared" si="20"/>
        <v>0</v>
      </c>
      <c r="BG88" s="12">
        <f t="shared" si="29"/>
        <v>0</v>
      </c>
      <c r="BH88" s="67">
        <v>1</v>
      </c>
      <c r="BI88" s="67">
        <v>0</v>
      </c>
      <c r="BJ88" s="67">
        <v>0</v>
      </c>
      <c r="BK88" s="67">
        <v>0</v>
      </c>
      <c r="BL88" s="67">
        <v>1</v>
      </c>
      <c r="BM88" s="67">
        <v>0</v>
      </c>
      <c r="BN88" s="67">
        <v>0</v>
      </c>
      <c r="BO88" s="67">
        <v>0</v>
      </c>
      <c r="BP88" s="67">
        <v>0</v>
      </c>
      <c r="BQ88" s="67">
        <v>0</v>
      </c>
      <c r="BR88" s="67">
        <v>0</v>
      </c>
      <c r="BS88" s="67">
        <v>0</v>
      </c>
      <c r="BT88" s="67">
        <v>0</v>
      </c>
      <c r="BU88" s="70">
        <v>3</v>
      </c>
      <c r="BV88" s="29">
        <f t="shared" si="21"/>
        <v>0.8880564298140845</v>
      </c>
      <c r="BW88">
        <f t="shared" si="22"/>
        <v>1.1555414682655611</v>
      </c>
      <c r="BX88">
        <f t="shared" si="23"/>
        <v>1.0641079755250529</v>
      </c>
      <c r="BY88">
        <f t="shared" si="24"/>
        <v>1.1439050833826525</v>
      </c>
      <c r="BZ88">
        <f t="shared" si="25"/>
        <v>0.88721318382472392</v>
      </c>
      <c r="CA88">
        <f t="shared" si="26"/>
        <v>1.5241642326246359</v>
      </c>
      <c r="CB88">
        <f t="shared" si="27"/>
        <v>0.67891464284095016</v>
      </c>
    </row>
    <row r="89" spans="1:80" x14ac:dyDescent="0.45">
      <c r="A89" s="11">
        <v>51</v>
      </c>
      <c r="B89" s="12">
        <f t="shared" si="15"/>
        <v>51</v>
      </c>
      <c r="C89" s="12" t="s">
        <v>59</v>
      </c>
      <c r="D89" s="12">
        <v>0</v>
      </c>
      <c r="E89" s="12" t="s">
        <v>53</v>
      </c>
      <c r="F89" s="12">
        <v>0</v>
      </c>
      <c r="G89" s="12">
        <v>1</v>
      </c>
      <c r="H89" s="12" t="s">
        <v>61</v>
      </c>
      <c r="I89" s="12">
        <v>1</v>
      </c>
      <c r="J89" s="12">
        <v>0</v>
      </c>
      <c r="K89" s="12">
        <v>9</v>
      </c>
      <c r="L89" s="12">
        <f t="shared" si="16"/>
        <v>9</v>
      </c>
      <c r="M89" s="12">
        <v>4</v>
      </c>
      <c r="N89" s="12" t="s">
        <v>55</v>
      </c>
      <c r="O89" s="12">
        <v>1</v>
      </c>
      <c r="P89" s="12">
        <v>0</v>
      </c>
      <c r="Q89" s="12">
        <v>0</v>
      </c>
      <c r="R89" s="12">
        <v>0</v>
      </c>
      <c r="S89" s="12">
        <v>0</v>
      </c>
      <c r="T89" s="12">
        <v>4</v>
      </c>
      <c r="U89" s="12" t="s">
        <v>62</v>
      </c>
      <c r="V89" s="12">
        <v>0</v>
      </c>
      <c r="W89" s="12">
        <v>96</v>
      </c>
      <c r="X89" s="12">
        <v>3</v>
      </c>
      <c r="Y89" s="12">
        <v>1</v>
      </c>
      <c r="Z89" s="12" t="s">
        <v>67</v>
      </c>
      <c r="AA89" s="12">
        <v>0</v>
      </c>
      <c r="AB89" s="12">
        <v>0</v>
      </c>
      <c r="AC89" s="12">
        <v>1</v>
      </c>
      <c r="AD89" s="12">
        <v>0</v>
      </c>
      <c r="AE89" s="12">
        <v>0</v>
      </c>
      <c r="AF89" s="12">
        <v>0</v>
      </c>
      <c r="AG89" s="12">
        <v>0</v>
      </c>
      <c r="AH89" s="12">
        <v>0</v>
      </c>
      <c r="AI89" s="12">
        <v>4</v>
      </c>
      <c r="AJ89" s="12" t="s">
        <v>64</v>
      </c>
      <c r="AK89" s="12">
        <v>0</v>
      </c>
      <c r="AL89" s="12">
        <v>1</v>
      </c>
      <c r="AM89" s="12">
        <v>2075</v>
      </c>
      <c r="AN89" s="12">
        <f t="shared" si="17"/>
        <v>2075</v>
      </c>
      <c r="AO89" s="12">
        <v>3</v>
      </c>
      <c r="AP89" s="12" t="s">
        <v>59</v>
      </c>
      <c r="AQ89" s="12">
        <v>0</v>
      </c>
      <c r="AR89" s="12">
        <v>23</v>
      </c>
      <c r="AS89" s="12">
        <v>4</v>
      </c>
      <c r="AT89" s="12">
        <v>2</v>
      </c>
      <c r="AU89" s="12">
        <v>2</v>
      </c>
      <c r="AV89" s="12">
        <v>10</v>
      </c>
      <c r="AW89" s="12">
        <f t="shared" si="18"/>
        <v>10</v>
      </c>
      <c r="AX89" s="12">
        <v>4</v>
      </c>
      <c r="AY89" s="12">
        <v>3</v>
      </c>
      <c r="AZ89" s="12">
        <v>4</v>
      </c>
      <c r="BA89" s="12">
        <f t="shared" si="19"/>
        <v>4</v>
      </c>
      <c r="BB89" s="12">
        <v>2</v>
      </c>
      <c r="BC89" s="12">
        <v>0</v>
      </c>
      <c r="BD89" s="12">
        <f t="shared" si="28"/>
        <v>0</v>
      </c>
      <c r="BE89" s="12">
        <v>3</v>
      </c>
      <c r="BF89" s="12">
        <f t="shared" si="20"/>
        <v>3</v>
      </c>
      <c r="BG89" s="12">
        <f t="shared" si="29"/>
        <v>3</v>
      </c>
      <c r="BH89" s="67">
        <v>0</v>
      </c>
      <c r="BI89" s="67">
        <v>1</v>
      </c>
      <c r="BJ89" s="67">
        <v>0</v>
      </c>
      <c r="BK89" s="67">
        <v>0</v>
      </c>
      <c r="BL89" s="67">
        <v>0</v>
      </c>
      <c r="BM89" s="67">
        <v>0</v>
      </c>
      <c r="BN89" s="67">
        <v>1</v>
      </c>
      <c r="BO89" s="67">
        <v>0</v>
      </c>
      <c r="BP89" s="67">
        <v>0</v>
      </c>
      <c r="BQ89" s="67">
        <v>3</v>
      </c>
      <c r="BR89" s="67">
        <v>0</v>
      </c>
      <c r="BS89" s="67">
        <v>0</v>
      </c>
      <c r="BT89" s="67">
        <v>10</v>
      </c>
      <c r="BU89" s="70">
        <v>0</v>
      </c>
      <c r="BV89" s="29">
        <f t="shared" si="21"/>
        <v>0.94052080265768268</v>
      </c>
      <c r="BW89">
        <f t="shared" si="22"/>
        <v>0.31476636926356072</v>
      </c>
      <c r="BX89">
        <f t="shared" si="23"/>
        <v>0.1644554352117841</v>
      </c>
      <c r="BY89">
        <f t="shared" si="24"/>
        <v>0.49100643357776058</v>
      </c>
      <c r="BZ89">
        <f t="shared" si="25"/>
        <v>2.3747406698420157E-2</v>
      </c>
      <c r="CA89">
        <f t="shared" si="26"/>
        <v>1.5408445525439205</v>
      </c>
      <c r="CB89">
        <f t="shared" si="27"/>
        <v>0.67891464284095016</v>
      </c>
    </row>
    <row r="90" spans="1:80" x14ac:dyDescent="0.45">
      <c r="A90" s="11">
        <v>30</v>
      </c>
      <c r="B90" s="12">
        <f t="shared" si="15"/>
        <v>30</v>
      </c>
      <c r="C90" s="12" t="s">
        <v>59</v>
      </c>
      <c r="D90" s="12">
        <v>0</v>
      </c>
      <c r="E90" s="12" t="s">
        <v>53</v>
      </c>
      <c r="F90" s="12">
        <v>0</v>
      </c>
      <c r="G90" s="12">
        <v>1</v>
      </c>
      <c r="H90" s="12" t="s">
        <v>61</v>
      </c>
      <c r="I90" s="12">
        <v>1</v>
      </c>
      <c r="J90" s="12">
        <v>0</v>
      </c>
      <c r="K90" s="12">
        <v>2</v>
      </c>
      <c r="L90" s="12">
        <f t="shared" si="16"/>
        <v>2</v>
      </c>
      <c r="M90" s="12">
        <v>3</v>
      </c>
      <c r="N90" s="12" t="s">
        <v>55</v>
      </c>
      <c r="O90" s="12">
        <v>1</v>
      </c>
      <c r="P90" s="12">
        <v>0</v>
      </c>
      <c r="Q90" s="12">
        <v>0</v>
      </c>
      <c r="R90" s="12">
        <v>0</v>
      </c>
      <c r="S90" s="12">
        <v>0</v>
      </c>
      <c r="T90" s="12">
        <v>3</v>
      </c>
      <c r="U90" s="12" t="s">
        <v>62</v>
      </c>
      <c r="V90" s="12">
        <v>0</v>
      </c>
      <c r="W90" s="12">
        <v>99</v>
      </c>
      <c r="X90" s="12">
        <v>2</v>
      </c>
      <c r="Y90" s="12">
        <v>2</v>
      </c>
      <c r="Z90" s="12" t="s">
        <v>85</v>
      </c>
      <c r="AA90" s="12">
        <v>1</v>
      </c>
      <c r="AB90" s="12">
        <v>0</v>
      </c>
      <c r="AC90" s="12">
        <v>0</v>
      </c>
      <c r="AD90" s="12">
        <v>0</v>
      </c>
      <c r="AE90" s="12">
        <v>0</v>
      </c>
      <c r="AF90" s="12">
        <v>0</v>
      </c>
      <c r="AG90" s="12">
        <v>0</v>
      </c>
      <c r="AH90" s="12">
        <v>0</v>
      </c>
      <c r="AI90" s="12">
        <v>4</v>
      </c>
      <c r="AJ90" s="12" t="s">
        <v>64</v>
      </c>
      <c r="AK90" s="12">
        <v>0</v>
      </c>
      <c r="AL90" s="12">
        <v>1</v>
      </c>
      <c r="AM90" s="12">
        <v>4152</v>
      </c>
      <c r="AN90" s="12">
        <f t="shared" si="17"/>
        <v>4152</v>
      </c>
      <c r="AO90" s="12">
        <v>1</v>
      </c>
      <c r="AP90" s="12" t="s">
        <v>59</v>
      </c>
      <c r="AQ90" s="12">
        <v>0</v>
      </c>
      <c r="AR90" s="12">
        <v>19</v>
      </c>
      <c r="AS90" s="12">
        <v>3</v>
      </c>
      <c r="AT90" s="12">
        <v>1</v>
      </c>
      <c r="AU90" s="12">
        <v>3</v>
      </c>
      <c r="AV90" s="12">
        <v>11</v>
      </c>
      <c r="AW90" s="12">
        <f t="shared" si="18"/>
        <v>11</v>
      </c>
      <c r="AX90" s="12">
        <v>3</v>
      </c>
      <c r="AY90" s="12">
        <v>3</v>
      </c>
      <c r="AZ90" s="12">
        <v>11</v>
      </c>
      <c r="BA90" s="12">
        <f t="shared" si="19"/>
        <v>11</v>
      </c>
      <c r="BB90" s="12">
        <v>10</v>
      </c>
      <c r="BC90" s="12">
        <v>10</v>
      </c>
      <c r="BD90" s="12">
        <f t="shared" si="28"/>
        <v>10</v>
      </c>
      <c r="BE90" s="12">
        <v>8</v>
      </c>
      <c r="BF90" s="12">
        <f t="shared" si="20"/>
        <v>8</v>
      </c>
      <c r="BG90" s="12">
        <f t="shared" si="29"/>
        <v>16</v>
      </c>
      <c r="BH90" s="67">
        <v>0</v>
      </c>
      <c r="BI90" s="67">
        <v>1</v>
      </c>
      <c r="BJ90" s="67">
        <v>0</v>
      </c>
      <c r="BK90" s="67">
        <v>0</v>
      </c>
      <c r="BL90" s="67">
        <v>0</v>
      </c>
      <c r="BM90" s="67">
        <v>0</v>
      </c>
      <c r="BN90" s="67">
        <v>1</v>
      </c>
      <c r="BO90" s="67">
        <v>0</v>
      </c>
      <c r="BP90" s="67">
        <v>0</v>
      </c>
      <c r="BQ90" s="67">
        <v>8</v>
      </c>
      <c r="BR90" s="67">
        <v>0</v>
      </c>
      <c r="BS90" s="67">
        <v>0</v>
      </c>
      <c r="BT90" s="67">
        <v>11</v>
      </c>
      <c r="BU90" s="70">
        <v>0</v>
      </c>
      <c r="BV90" s="29">
        <f t="shared" si="21"/>
        <v>0.49935277676232515</v>
      </c>
      <c r="BW90">
        <f t="shared" si="22"/>
        <v>1.08652546240644</v>
      </c>
      <c r="BX90">
        <f t="shared" si="23"/>
        <v>3.593364373846001E-2</v>
      </c>
      <c r="BY90">
        <f t="shared" si="24"/>
        <v>0.65156620358080031</v>
      </c>
      <c r="BZ90">
        <f t="shared" si="25"/>
        <v>0.88721318382472392</v>
      </c>
      <c r="CA90">
        <f t="shared" si="26"/>
        <v>0.75791203633249671</v>
      </c>
      <c r="CB90">
        <f t="shared" si="27"/>
        <v>2.4243332582044381</v>
      </c>
    </row>
    <row r="91" spans="1:80" x14ac:dyDescent="0.45">
      <c r="A91" s="11">
        <v>46</v>
      </c>
      <c r="B91" s="12">
        <f t="shared" si="15"/>
        <v>46</v>
      </c>
      <c r="C91" s="12" t="s">
        <v>52</v>
      </c>
      <c r="D91" s="12">
        <v>1</v>
      </c>
      <c r="E91" s="12" t="s">
        <v>53</v>
      </c>
      <c r="F91" s="12">
        <v>0</v>
      </c>
      <c r="G91" s="12">
        <v>1</v>
      </c>
      <c r="H91" s="12" t="s">
        <v>54</v>
      </c>
      <c r="I91" s="12">
        <v>0</v>
      </c>
      <c r="J91" s="12">
        <v>1</v>
      </c>
      <c r="K91" s="12">
        <v>9</v>
      </c>
      <c r="L91" s="12">
        <f t="shared" si="16"/>
        <v>9</v>
      </c>
      <c r="M91" s="12">
        <v>2</v>
      </c>
      <c r="N91" s="12" t="s">
        <v>70</v>
      </c>
      <c r="O91" s="12">
        <v>0</v>
      </c>
      <c r="P91" s="12">
        <v>0</v>
      </c>
      <c r="Q91" s="12">
        <v>1</v>
      </c>
      <c r="R91" s="12">
        <v>0</v>
      </c>
      <c r="S91" s="12">
        <v>0</v>
      </c>
      <c r="T91" s="12">
        <v>3</v>
      </c>
      <c r="U91" s="12" t="s">
        <v>62</v>
      </c>
      <c r="V91" s="12">
        <v>0</v>
      </c>
      <c r="W91" s="12">
        <v>64</v>
      </c>
      <c r="X91" s="12">
        <v>2</v>
      </c>
      <c r="Y91" s="12">
        <v>3</v>
      </c>
      <c r="Z91" s="12" t="s">
        <v>56</v>
      </c>
      <c r="AA91" s="12">
        <v>0</v>
      </c>
      <c r="AB91" s="12">
        <v>1</v>
      </c>
      <c r="AC91" s="12">
        <v>0</v>
      </c>
      <c r="AD91" s="12">
        <v>0</v>
      </c>
      <c r="AE91" s="12">
        <v>0</v>
      </c>
      <c r="AF91" s="12">
        <v>0</v>
      </c>
      <c r="AG91" s="12">
        <v>0</v>
      </c>
      <c r="AH91" s="12">
        <v>0</v>
      </c>
      <c r="AI91" s="12">
        <v>4</v>
      </c>
      <c r="AJ91" s="12" t="s">
        <v>57</v>
      </c>
      <c r="AK91" s="12">
        <v>1</v>
      </c>
      <c r="AL91" s="12">
        <v>0</v>
      </c>
      <c r="AM91" s="12">
        <v>9619</v>
      </c>
      <c r="AN91" s="12">
        <f t="shared" si="17"/>
        <v>9619</v>
      </c>
      <c r="AO91" s="12">
        <v>1</v>
      </c>
      <c r="AP91" s="12" t="s">
        <v>59</v>
      </c>
      <c r="AQ91" s="12">
        <v>0</v>
      </c>
      <c r="AR91" s="12">
        <v>16</v>
      </c>
      <c r="AS91" s="12">
        <v>3</v>
      </c>
      <c r="AT91" s="12">
        <v>4</v>
      </c>
      <c r="AU91" s="12">
        <v>0</v>
      </c>
      <c r="AV91" s="12">
        <v>9</v>
      </c>
      <c r="AW91" s="12">
        <f t="shared" si="18"/>
        <v>9</v>
      </c>
      <c r="AX91" s="12">
        <v>3</v>
      </c>
      <c r="AY91" s="12">
        <v>3</v>
      </c>
      <c r="AZ91" s="12">
        <v>9</v>
      </c>
      <c r="BA91" s="12">
        <f t="shared" si="19"/>
        <v>9</v>
      </c>
      <c r="BB91" s="12">
        <v>8</v>
      </c>
      <c r="BC91" s="12">
        <v>4</v>
      </c>
      <c r="BD91" s="12">
        <f t="shared" si="28"/>
        <v>4</v>
      </c>
      <c r="BE91" s="12">
        <v>7</v>
      </c>
      <c r="BF91" s="12">
        <f t="shared" si="20"/>
        <v>7</v>
      </c>
      <c r="BG91" s="12">
        <f t="shared" si="29"/>
        <v>21</v>
      </c>
      <c r="BH91" s="67">
        <v>1</v>
      </c>
      <c r="BI91" s="67">
        <v>0</v>
      </c>
      <c r="BJ91" s="67">
        <v>0</v>
      </c>
      <c r="BK91" s="67">
        <v>0</v>
      </c>
      <c r="BL91" s="67">
        <v>1</v>
      </c>
      <c r="BM91" s="67">
        <v>0</v>
      </c>
      <c r="BN91" s="67">
        <v>0</v>
      </c>
      <c r="BO91" s="67">
        <v>0</v>
      </c>
      <c r="BP91" s="67">
        <v>0</v>
      </c>
      <c r="BQ91" s="67">
        <v>0</v>
      </c>
      <c r="BR91" s="67">
        <v>7</v>
      </c>
      <c r="BS91" s="67">
        <v>0</v>
      </c>
      <c r="BT91" s="67">
        <v>0</v>
      </c>
      <c r="BU91" s="70">
        <v>9</v>
      </c>
      <c r="BV91" s="29">
        <f t="shared" si="21"/>
        <v>0.66187283593383262</v>
      </c>
      <c r="BW91">
        <f t="shared" si="22"/>
        <v>0.80626709607243985</v>
      </c>
      <c r="BX91">
        <f t="shared" si="23"/>
        <v>0.29297722668510823</v>
      </c>
      <c r="BY91">
        <f t="shared" si="24"/>
        <v>0.32511687867835437</v>
      </c>
      <c r="BZ91">
        <f t="shared" si="25"/>
        <v>2.3747406698420157E-2</v>
      </c>
      <c r="CA91">
        <f t="shared" si="26"/>
        <v>0.99352155519239249</v>
      </c>
      <c r="CB91">
        <f t="shared" si="27"/>
        <v>0.56238451757720498</v>
      </c>
    </row>
    <row r="92" spans="1:80" x14ac:dyDescent="0.45">
      <c r="A92" s="11">
        <v>40</v>
      </c>
      <c r="B92" s="12">
        <f t="shared" si="15"/>
        <v>40</v>
      </c>
      <c r="C92" s="12" t="s">
        <v>59</v>
      </c>
      <c r="D92" s="12">
        <v>0</v>
      </c>
      <c r="E92" s="12" t="s">
        <v>60</v>
      </c>
      <c r="F92" s="12">
        <v>1</v>
      </c>
      <c r="G92" s="12">
        <v>0</v>
      </c>
      <c r="H92" s="12" t="s">
        <v>61</v>
      </c>
      <c r="I92" s="12">
        <v>1</v>
      </c>
      <c r="J92" s="12">
        <v>0</v>
      </c>
      <c r="K92" s="12">
        <v>1</v>
      </c>
      <c r="L92" s="12">
        <f t="shared" si="16"/>
        <v>1</v>
      </c>
      <c r="M92" s="12">
        <v>4</v>
      </c>
      <c r="N92" s="12" t="s">
        <v>55</v>
      </c>
      <c r="O92" s="12">
        <v>1</v>
      </c>
      <c r="P92" s="12">
        <v>0</v>
      </c>
      <c r="Q92" s="12">
        <v>0</v>
      </c>
      <c r="R92" s="12">
        <v>0</v>
      </c>
      <c r="S92" s="12">
        <v>0</v>
      </c>
      <c r="T92" s="12">
        <v>3</v>
      </c>
      <c r="U92" s="12" t="s">
        <v>62</v>
      </c>
      <c r="V92" s="12">
        <v>0</v>
      </c>
      <c r="W92" s="12">
        <v>78</v>
      </c>
      <c r="X92" s="12">
        <v>2</v>
      </c>
      <c r="Y92" s="12">
        <v>4</v>
      </c>
      <c r="Z92" s="12" t="s">
        <v>85</v>
      </c>
      <c r="AA92" s="12">
        <v>1</v>
      </c>
      <c r="AB92" s="12">
        <v>0</v>
      </c>
      <c r="AC92" s="12">
        <v>0</v>
      </c>
      <c r="AD92" s="12">
        <v>0</v>
      </c>
      <c r="AE92" s="12">
        <v>0</v>
      </c>
      <c r="AF92" s="12">
        <v>0</v>
      </c>
      <c r="AG92" s="12">
        <v>0</v>
      </c>
      <c r="AH92" s="12">
        <v>0</v>
      </c>
      <c r="AI92" s="12">
        <v>2</v>
      </c>
      <c r="AJ92" s="12" t="s">
        <v>64</v>
      </c>
      <c r="AK92" s="12">
        <v>0</v>
      </c>
      <c r="AL92" s="12">
        <v>1</v>
      </c>
      <c r="AM92" s="12">
        <v>13503</v>
      </c>
      <c r="AN92" s="12">
        <f t="shared" si="17"/>
        <v>13503</v>
      </c>
      <c r="AO92" s="12">
        <v>1</v>
      </c>
      <c r="AP92" s="12" t="s">
        <v>59</v>
      </c>
      <c r="AQ92" s="12">
        <v>0</v>
      </c>
      <c r="AR92" s="12">
        <v>22</v>
      </c>
      <c r="AS92" s="12">
        <v>4</v>
      </c>
      <c r="AT92" s="12">
        <v>4</v>
      </c>
      <c r="AU92" s="12">
        <v>1</v>
      </c>
      <c r="AV92" s="12">
        <v>22</v>
      </c>
      <c r="AW92" s="12">
        <f t="shared" si="18"/>
        <v>22</v>
      </c>
      <c r="AX92" s="12">
        <v>3</v>
      </c>
      <c r="AY92" s="12">
        <v>2</v>
      </c>
      <c r="AZ92" s="12">
        <v>22</v>
      </c>
      <c r="BA92" s="12">
        <f t="shared" si="19"/>
        <v>22</v>
      </c>
      <c r="BB92" s="12">
        <v>3</v>
      </c>
      <c r="BC92" s="12">
        <v>11</v>
      </c>
      <c r="BD92" s="12">
        <f t="shared" si="28"/>
        <v>11</v>
      </c>
      <c r="BE92" s="12">
        <v>11</v>
      </c>
      <c r="BF92" s="12">
        <f t="shared" si="20"/>
        <v>11</v>
      </c>
      <c r="BG92" s="12">
        <f t="shared" si="29"/>
        <v>44</v>
      </c>
      <c r="BH92" s="67">
        <v>0</v>
      </c>
      <c r="BI92" s="67">
        <v>0</v>
      </c>
      <c r="BJ92" s="67">
        <v>0</v>
      </c>
      <c r="BK92" s="67">
        <v>1</v>
      </c>
      <c r="BL92" s="67">
        <v>0</v>
      </c>
      <c r="BM92" s="67">
        <v>0</v>
      </c>
      <c r="BN92" s="67">
        <v>1</v>
      </c>
      <c r="BO92" s="67">
        <v>0</v>
      </c>
      <c r="BP92" s="67">
        <v>0</v>
      </c>
      <c r="BQ92" s="67">
        <v>11</v>
      </c>
      <c r="BR92" s="67">
        <v>0</v>
      </c>
      <c r="BS92" s="67">
        <v>0</v>
      </c>
      <c r="BT92" s="67">
        <v>22</v>
      </c>
      <c r="BU92" s="70">
        <v>0</v>
      </c>
      <c r="BV92" s="29">
        <f t="shared" si="21"/>
        <v>1.4868591684218291</v>
      </c>
      <c r="BW92">
        <f t="shared" si="22"/>
        <v>1.9273005614084406</v>
      </c>
      <c r="BX92">
        <f t="shared" si="23"/>
        <v>1.3778060624681052</v>
      </c>
      <c r="BY92">
        <f t="shared" si="24"/>
        <v>2.4470374905442531</v>
      </c>
      <c r="BZ92">
        <f t="shared" si="25"/>
        <v>1.01056543769991</v>
      </c>
      <c r="CA92">
        <f t="shared" si="26"/>
        <v>0.33673395837055903</v>
      </c>
      <c r="CB92">
        <f t="shared" si="27"/>
        <v>2.7346580483089769</v>
      </c>
    </row>
    <row r="93" spans="1:80" x14ac:dyDescent="0.45">
      <c r="A93" s="11">
        <v>51</v>
      </c>
      <c r="B93" s="12">
        <f t="shared" si="15"/>
        <v>51</v>
      </c>
      <c r="C93" s="12" t="s">
        <v>59</v>
      </c>
      <c r="D93" s="12">
        <v>0</v>
      </c>
      <c r="E93" s="12" t="s">
        <v>53</v>
      </c>
      <c r="F93" s="12">
        <v>0</v>
      </c>
      <c r="G93" s="12">
        <v>1</v>
      </c>
      <c r="H93" s="12" t="s">
        <v>54</v>
      </c>
      <c r="I93" s="12">
        <v>0</v>
      </c>
      <c r="J93" s="12">
        <v>1</v>
      </c>
      <c r="K93" s="12">
        <v>21</v>
      </c>
      <c r="L93" s="12">
        <f t="shared" si="16"/>
        <v>21</v>
      </c>
      <c r="M93" s="12">
        <v>4</v>
      </c>
      <c r="N93" s="12" t="s">
        <v>90</v>
      </c>
      <c r="O93" s="12">
        <v>0</v>
      </c>
      <c r="P93" s="12">
        <v>0</v>
      </c>
      <c r="Q93" s="12">
        <v>0</v>
      </c>
      <c r="R93" s="12">
        <v>1</v>
      </c>
      <c r="S93" s="12">
        <v>0</v>
      </c>
      <c r="T93" s="12">
        <v>3</v>
      </c>
      <c r="U93" s="12" t="s">
        <v>62</v>
      </c>
      <c r="V93" s="12">
        <v>0</v>
      </c>
      <c r="W93" s="12">
        <v>71</v>
      </c>
      <c r="X93" s="12">
        <v>3</v>
      </c>
      <c r="Y93" s="12">
        <v>2</v>
      </c>
      <c r="Z93" s="12" t="s">
        <v>56</v>
      </c>
      <c r="AA93" s="12">
        <v>0</v>
      </c>
      <c r="AB93" s="12">
        <v>1</v>
      </c>
      <c r="AC93" s="12">
        <v>0</v>
      </c>
      <c r="AD93" s="12">
        <v>0</v>
      </c>
      <c r="AE93" s="12">
        <v>0</v>
      </c>
      <c r="AF93" s="12">
        <v>0</v>
      </c>
      <c r="AG93" s="12">
        <v>0</v>
      </c>
      <c r="AH93" s="12">
        <v>0</v>
      </c>
      <c r="AI93" s="12">
        <v>4</v>
      </c>
      <c r="AJ93" s="12" t="s">
        <v>57</v>
      </c>
      <c r="AK93" s="12">
        <v>1</v>
      </c>
      <c r="AL93" s="12">
        <v>0</v>
      </c>
      <c r="AM93" s="12">
        <v>5441</v>
      </c>
      <c r="AN93" s="12">
        <f t="shared" si="17"/>
        <v>5441</v>
      </c>
      <c r="AO93" s="12">
        <v>0</v>
      </c>
      <c r="AP93" s="12" t="s">
        <v>52</v>
      </c>
      <c r="AQ93" s="12">
        <v>1</v>
      </c>
      <c r="AR93" s="12">
        <v>22</v>
      </c>
      <c r="AS93" s="12">
        <v>4</v>
      </c>
      <c r="AT93" s="12">
        <v>4</v>
      </c>
      <c r="AU93" s="12">
        <v>0</v>
      </c>
      <c r="AV93" s="12">
        <v>11</v>
      </c>
      <c r="AW93" s="12">
        <f t="shared" si="18"/>
        <v>11</v>
      </c>
      <c r="AX93" s="12">
        <v>2</v>
      </c>
      <c r="AY93" s="12">
        <v>1</v>
      </c>
      <c r="AZ93" s="12">
        <v>10</v>
      </c>
      <c r="BA93" s="12">
        <f t="shared" si="19"/>
        <v>10</v>
      </c>
      <c r="BB93" s="12">
        <v>7</v>
      </c>
      <c r="BC93" s="12">
        <v>1</v>
      </c>
      <c r="BD93" s="12">
        <f t="shared" si="28"/>
        <v>1</v>
      </c>
      <c r="BE93" s="12">
        <v>0</v>
      </c>
      <c r="BF93" s="12">
        <f t="shared" si="20"/>
        <v>0</v>
      </c>
      <c r="BG93" s="12">
        <f t="shared" si="29"/>
        <v>0</v>
      </c>
      <c r="BH93" s="67">
        <v>1</v>
      </c>
      <c r="BI93" s="67">
        <v>0</v>
      </c>
      <c r="BJ93" s="67">
        <v>0</v>
      </c>
      <c r="BK93" s="67">
        <v>0</v>
      </c>
      <c r="BL93" s="67">
        <v>0</v>
      </c>
      <c r="BM93" s="67">
        <v>1</v>
      </c>
      <c r="BN93" s="67">
        <v>0</v>
      </c>
      <c r="BO93" s="67">
        <v>0</v>
      </c>
      <c r="BP93" s="67">
        <v>0</v>
      </c>
      <c r="BQ93" s="67">
        <v>0</v>
      </c>
      <c r="BR93" s="67">
        <v>0</v>
      </c>
      <c r="BS93" s="67">
        <v>0</v>
      </c>
      <c r="BT93" s="67">
        <v>0</v>
      </c>
      <c r="BU93" s="70">
        <v>11</v>
      </c>
      <c r="BV93" s="29">
        <f t="shared" si="21"/>
        <v>0.22556096868379077</v>
      </c>
      <c r="BW93">
        <f t="shared" si="22"/>
        <v>1.1555414682655611</v>
      </c>
      <c r="BX93">
        <f t="shared" si="23"/>
        <v>3.593364373846001E-2</v>
      </c>
      <c r="BY93">
        <f t="shared" si="24"/>
        <v>0.48834154112957734</v>
      </c>
      <c r="BZ93">
        <f t="shared" si="25"/>
        <v>1.4564796398038149</v>
      </c>
      <c r="CA93">
        <f t="shared" si="26"/>
        <v>1.5408445525439205</v>
      </c>
      <c r="CB93">
        <f t="shared" si="27"/>
        <v>0.36858985273641137</v>
      </c>
    </row>
    <row r="94" spans="1:80" x14ac:dyDescent="0.45">
      <c r="A94" s="11">
        <v>30</v>
      </c>
      <c r="B94" s="12">
        <f t="shared" si="15"/>
        <v>30</v>
      </c>
      <c r="C94" s="12" t="s">
        <v>59</v>
      </c>
      <c r="D94" s="12">
        <v>0</v>
      </c>
      <c r="E94" s="12" t="s">
        <v>53</v>
      </c>
      <c r="F94" s="12">
        <v>0</v>
      </c>
      <c r="G94" s="12">
        <v>1</v>
      </c>
      <c r="H94" s="12" t="s">
        <v>54</v>
      </c>
      <c r="I94" s="12">
        <v>0</v>
      </c>
      <c r="J94" s="12">
        <v>1</v>
      </c>
      <c r="K94" s="12">
        <v>4</v>
      </c>
      <c r="L94" s="12">
        <f t="shared" si="16"/>
        <v>4</v>
      </c>
      <c r="M94" s="12">
        <v>2</v>
      </c>
      <c r="N94" s="12" t="s">
        <v>70</v>
      </c>
      <c r="O94" s="12">
        <v>0</v>
      </c>
      <c r="P94" s="12">
        <v>0</v>
      </c>
      <c r="Q94" s="12">
        <v>1</v>
      </c>
      <c r="R94" s="12">
        <v>0</v>
      </c>
      <c r="S94" s="12">
        <v>0</v>
      </c>
      <c r="T94" s="12">
        <v>3</v>
      </c>
      <c r="U94" s="12" t="s">
        <v>19</v>
      </c>
      <c r="V94" s="12">
        <v>1</v>
      </c>
      <c r="W94" s="12">
        <v>63</v>
      </c>
      <c r="X94" s="12">
        <v>2</v>
      </c>
      <c r="Y94" s="12">
        <v>2</v>
      </c>
      <c r="Z94" s="12" t="s">
        <v>56</v>
      </c>
      <c r="AA94" s="12">
        <v>0</v>
      </c>
      <c r="AB94" s="12">
        <v>1</v>
      </c>
      <c r="AC94" s="12">
        <v>0</v>
      </c>
      <c r="AD94" s="12">
        <v>0</v>
      </c>
      <c r="AE94" s="12">
        <v>0</v>
      </c>
      <c r="AF94" s="12">
        <v>0</v>
      </c>
      <c r="AG94" s="12">
        <v>0</v>
      </c>
      <c r="AH94" s="12">
        <v>0</v>
      </c>
      <c r="AI94" s="12">
        <v>2</v>
      </c>
      <c r="AJ94" s="12" t="s">
        <v>78</v>
      </c>
      <c r="AK94" s="12">
        <v>0</v>
      </c>
      <c r="AL94" s="12">
        <v>0</v>
      </c>
      <c r="AM94" s="12">
        <v>5209</v>
      </c>
      <c r="AN94" s="12">
        <f t="shared" si="17"/>
        <v>5209</v>
      </c>
      <c r="AO94" s="12">
        <v>1</v>
      </c>
      <c r="AP94" s="12" t="s">
        <v>52</v>
      </c>
      <c r="AQ94" s="12">
        <v>1</v>
      </c>
      <c r="AR94" s="12">
        <v>12</v>
      </c>
      <c r="AS94" s="12">
        <v>3</v>
      </c>
      <c r="AT94" s="12">
        <v>2</v>
      </c>
      <c r="AU94" s="12">
        <v>3</v>
      </c>
      <c r="AV94" s="12">
        <v>11</v>
      </c>
      <c r="AW94" s="12">
        <f t="shared" si="18"/>
        <v>11</v>
      </c>
      <c r="AX94" s="12">
        <v>4</v>
      </c>
      <c r="AY94" s="12">
        <v>2</v>
      </c>
      <c r="AZ94" s="12">
        <v>11</v>
      </c>
      <c r="BA94" s="12">
        <f t="shared" si="19"/>
        <v>11</v>
      </c>
      <c r="BB94" s="12">
        <v>8</v>
      </c>
      <c r="BC94" s="12">
        <v>2</v>
      </c>
      <c r="BD94" s="12">
        <f t="shared" si="28"/>
        <v>2</v>
      </c>
      <c r="BE94" s="12">
        <v>7</v>
      </c>
      <c r="BF94" s="12">
        <f t="shared" si="20"/>
        <v>7</v>
      </c>
      <c r="BG94" s="12">
        <f t="shared" si="29"/>
        <v>14</v>
      </c>
      <c r="BH94" s="67">
        <v>1</v>
      </c>
      <c r="BI94" s="67">
        <v>0</v>
      </c>
      <c r="BJ94" s="67">
        <v>0</v>
      </c>
      <c r="BK94" s="67">
        <v>0</v>
      </c>
      <c r="BL94" s="67">
        <v>0</v>
      </c>
      <c r="BM94" s="67">
        <v>1</v>
      </c>
      <c r="BN94" s="67">
        <v>0</v>
      </c>
      <c r="BO94" s="67">
        <v>0</v>
      </c>
      <c r="BP94" s="67">
        <v>0</v>
      </c>
      <c r="BQ94" s="67">
        <v>0</v>
      </c>
      <c r="BR94" s="67">
        <v>7</v>
      </c>
      <c r="BS94" s="67">
        <v>0</v>
      </c>
      <c r="BT94" s="67">
        <v>0</v>
      </c>
      <c r="BU94" s="70">
        <v>11</v>
      </c>
      <c r="BV94" s="29">
        <f t="shared" si="21"/>
        <v>0.27483924601057119</v>
      </c>
      <c r="BW94">
        <f t="shared" si="22"/>
        <v>0.80626709607243985</v>
      </c>
      <c r="BX94">
        <f t="shared" si="23"/>
        <v>3.593364373846001E-2</v>
      </c>
      <c r="BY94">
        <f t="shared" si="24"/>
        <v>0.65156620358080031</v>
      </c>
      <c r="BZ94">
        <f t="shared" si="25"/>
        <v>0.64050867607435136</v>
      </c>
      <c r="CA94">
        <f t="shared" si="26"/>
        <v>0.75791203633249671</v>
      </c>
      <c r="CB94">
        <f t="shared" si="27"/>
        <v>5.8265062631872602E-2</v>
      </c>
    </row>
    <row r="95" spans="1:80" x14ac:dyDescent="0.45">
      <c r="A95" s="11">
        <v>46</v>
      </c>
      <c r="B95" s="12">
        <f t="shared" si="15"/>
        <v>46</v>
      </c>
      <c r="C95" s="12" t="s">
        <v>59</v>
      </c>
      <c r="D95" s="12">
        <v>0</v>
      </c>
      <c r="E95" s="12" t="s">
        <v>60</v>
      </c>
      <c r="F95" s="12">
        <v>1</v>
      </c>
      <c r="G95" s="12">
        <v>0</v>
      </c>
      <c r="H95" s="12" t="s">
        <v>61</v>
      </c>
      <c r="I95" s="12">
        <v>1</v>
      </c>
      <c r="J95" s="12">
        <v>0</v>
      </c>
      <c r="K95" s="12">
        <v>1</v>
      </c>
      <c r="L95" s="12">
        <f t="shared" si="16"/>
        <v>1</v>
      </c>
      <c r="M95" s="12">
        <v>3</v>
      </c>
      <c r="N95" s="12" t="s">
        <v>70</v>
      </c>
      <c r="O95" s="12">
        <v>0</v>
      </c>
      <c r="P95" s="12">
        <v>0</v>
      </c>
      <c r="Q95" s="12">
        <v>1</v>
      </c>
      <c r="R95" s="12">
        <v>0</v>
      </c>
      <c r="S95" s="12">
        <v>0</v>
      </c>
      <c r="T95" s="12">
        <v>3</v>
      </c>
      <c r="U95" s="12" t="s">
        <v>62</v>
      </c>
      <c r="V95" s="12">
        <v>0</v>
      </c>
      <c r="W95" s="12">
        <v>40</v>
      </c>
      <c r="X95" s="12">
        <v>2</v>
      </c>
      <c r="Y95" s="12">
        <v>3</v>
      </c>
      <c r="Z95" s="12" t="s">
        <v>85</v>
      </c>
      <c r="AA95" s="12">
        <v>1</v>
      </c>
      <c r="AB95" s="12">
        <v>0</v>
      </c>
      <c r="AC95" s="12">
        <v>0</v>
      </c>
      <c r="AD95" s="12">
        <v>0</v>
      </c>
      <c r="AE95" s="12">
        <v>0</v>
      </c>
      <c r="AF95" s="12">
        <v>0</v>
      </c>
      <c r="AG95" s="12">
        <v>0</v>
      </c>
      <c r="AH95" s="12">
        <v>0</v>
      </c>
      <c r="AI95" s="12">
        <v>1</v>
      </c>
      <c r="AJ95" s="12" t="s">
        <v>64</v>
      </c>
      <c r="AK95" s="12">
        <v>0</v>
      </c>
      <c r="AL95" s="12">
        <v>1</v>
      </c>
      <c r="AM95" s="12">
        <v>10673</v>
      </c>
      <c r="AN95" s="12">
        <f t="shared" si="17"/>
        <v>10673</v>
      </c>
      <c r="AO95" s="12">
        <v>2</v>
      </c>
      <c r="AP95" s="12" t="s">
        <v>52</v>
      </c>
      <c r="AQ95" s="12">
        <v>1</v>
      </c>
      <c r="AR95" s="12">
        <v>13</v>
      </c>
      <c r="AS95" s="12">
        <v>3</v>
      </c>
      <c r="AT95" s="12">
        <v>3</v>
      </c>
      <c r="AU95" s="12">
        <v>1</v>
      </c>
      <c r="AV95" s="12">
        <v>21</v>
      </c>
      <c r="AW95" s="12">
        <f t="shared" si="18"/>
        <v>21</v>
      </c>
      <c r="AX95" s="12">
        <v>5</v>
      </c>
      <c r="AY95" s="12">
        <v>2</v>
      </c>
      <c r="AZ95" s="12">
        <v>10</v>
      </c>
      <c r="BA95" s="12">
        <f t="shared" si="19"/>
        <v>10</v>
      </c>
      <c r="BB95" s="12">
        <v>9</v>
      </c>
      <c r="BC95" s="12">
        <v>9</v>
      </c>
      <c r="BD95" s="12">
        <f t="shared" si="28"/>
        <v>9</v>
      </c>
      <c r="BE95" s="12">
        <v>5</v>
      </c>
      <c r="BF95" s="12">
        <f t="shared" si="20"/>
        <v>5</v>
      </c>
      <c r="BG95" s="12">
        <f t="shared" si="29"/>
        <v>15</v>
      </c>
      <c r="BH95" s="67">
        <v>0</v>
      </c>
      <c r="BI95" s="67">
        <v>0</v>
      </c>
      <c r="BJ95" s="67">
        <v>0</v>
      </c>
      <c r="BK95" s="67">
        <v>1</v>
      </c>
      <c r="BL95" s="67">
        <v>0</v>
      </c>
      <c r="BM95" s="67">
        <v>0</v>
      </c>
      <c r="BN95" s="67">
        <v>0</v>
      </c>
      <c r="BO95" s="67">
        <v>1</v>
      </c>
      <c r="BP95" s="67">
        <v>0</v>
      </c>
      <c r="BQ95" s="67">
        <v>5</v>
      </c>
      <c r="BR95" s="67">
        <v>0</v>
      </c>
      <c r="BS95" s="67">
        <v>0</v>
      </c>
      <c r="BT95" s="67">
        <v>21</v>
      </c>
      <c r="BU95" s="70">
        <v>0</v>
      </c>
      <c r="BV95" s="29">
        <f t="shared" si="21"/>
        <v>0.88574914758222301</v>
      </c>
      <c r="BW95">
        <f t="shared" si="22"/>
        <v>0.24575036340443959</v>
      </c>
      <c r="BX95">
        <f t="shared" si="23"/>
        <v>1.2492842709947811</v>
      </c>
      <c r="BY95">
        <f t="shared" si="24"/>
        <v>0.48834154112957734</v>
      </c>
      <c r="BZ95">
        <f t="shared" si="25"/>
        <v>1.01056543769991</v>
      </c>
      <c r="CA95">
        <f t="shared" si="26"/>
        <v>0.99352155519239249</v>
      </c>
      <c r="CB95">
        <f t="shared" si="27"/>
        <v>2.114008468099899</v>
      </c>
    </row>
    <row r="96" spans="1:80" x14ac:dyDescent="0.45">
      <c r="A96" s="11">
        <v>32</v>
      </c>
      <c r="B96" s="12">
        <f t="shared" si="15"/>
        <v>32</v>
      </c>
      <c r="C96" s="12" t="s">
        <v>59</v>
      </c>
      <c r="D96" s="12">
        <v>0</v>
      </c>
      <c r="E96" s="12" t="s">
        <v>53</v>
      </c>
      <c r="F96" s="12">
        <v>0</v>
      </c>
      <c r="G96" s="12">
        <v>1</v>
      </c>
      <c r="H96" s="12" t="s">
        <v>54</v>
      </c>
      <c r="I96" s="12">
        <v>0</v>
      </c>
      <c r="J96" s="12">
        <v>1</v>
      </c>
      <c r="K96" s="12">
        <v>6</v>
      </c>
      <c r="L96" s="12">
        <f t="shared" si="16"/>
        <v>6</v>
      </c>
      <c r="M96" s="12">
        <v>4</v>
      </c>
      <c r="N96" s="12" t="s">
        <v>70</v>
      </c>
      <c r="O96" s="12">
        <v>0</v>
      </c>
      <c r="P96" s="12">
        <v>0</v>
      </c>
      <c r="Q96" s="12">
        <v>1</v>
      </c>
      <c r="R96" s="12">
        <v>0</v>
      </c>
      <c r="S96" s="12">
        <v>0</v>
      </c>
      <c r="T96" s="12">
        <v>2</v>
      </c>
      <c r="U96" s="12" t="s">
        <v>62</v>
      </c>
      <c r="V96" s="12">
        <v>0</v>
      </c>
      <c r="W96" s="12">
        <v>87</v>
      </c>
      <c r="X96" s="12">
        <v>3</v>
      </c>
      <c r="Y96" s="12">
        <v>2</v>
      </c>
      <c r="Z96" s="12" t="s">
        <v>56</v>
      </c>
      <c r="AA96" s="12">
        <v>0</v>
      </c>
      <c r="AB96" s="12">
        <v>1</v>
      </c>
      <c r="AC96" s="12">
        <v>0</v>
      </c>
      <c r="AD96" s="12">
        <v>0</v>
      </c>
      <c r="AE96" s="12">
        <v>0</v>
      </c>
      <c r="AF96" s="12">
        <v>0</v>
      </c>
      <c r="AG96" s="12">
        <v>0</v>
      </c>
      <c r="AH96" s="12">
        <v>0</v>
      </c>
      <c r="AI96" s="12">
        <v>3</v>
      </c>
      <c r="AJ96" s="12" t="s">
        <v>57</v>
      </c>
      <c r="AK96" s="12">
        <v>1</v>
      </c>
      <c r="AL96" s="12">
        <v>0</v>
      </c>
      <c r="AM96" s="12">
        <v>5010</v>
      </c>
      <c r="AN96" s="12">
        <f t="shared" si="17"/>
        <v>5010</v>
      </c>
      <c r="AO96" s="12">
        <v>1</v>
      </c>
      <c r="AP96" s="12" t="s">
        <v>59</v>
      </c>
      <c r="AQ96" s="12">
        <v>0</v>
      </c>
      <c r="AR96" s="12">
        <v>16</v>
      </c>
      <c r="AS96" s="12">
        <v>3</v>
      </c>
      <c r="AT96" s="12">
        <v>1</v>
      </c>
      <c r="AU96" s="12">
        <v>0</v>
      </c>
      <c r="AV96" s="12">
        <v>12</v>
      </c>
      <c r="AW96" s="12">
        <f t="shared" si="18"/>
        <v>12</v>
      </c>
      <c r="AX96" s="12">
        <v>0</v>
      </c>
      <c r="AY96" s="12">
        <v>3</v>
      </c>
      <c r="AZ96" s="12">
        <v>11</v>
      </c>
      <c r="BA96" s="12">
        <f t="shared" si="19"/>
        <v>11</v>
      </c>
      <c r="BB96" s="12">
        <v>8</v>
      </c>
      <c r="BC96" s="12">
        <v>5</v>
      </c>
      <c r="BD96" s="12">
        <f t="shared" si="28"/>
        <v>5</v>
      </c>
      <c r="BE96" s="12">
        <v>7</v>
      </c>
      <c r="BF96" s="12">
        <f t="shared" si="20"/>
        <v>7</v>
      </c>
      <c r="BG96" s="12">
        <f t="shared" si="29"/>
        <v>14</v>
      </c>
      <c r="BH96" s="67">
        <v>1</v>
      </c>
      <c r="BI96" s="67">
        <v>0</v>
      </c>
      <c r="BJ96" s="67">
        <v>0</v>
      </c>
      <c r="BK96" s="67">
        <v>0</v>
      </c>
      <c r="BL96" s="67">
        <v>1</v>
      </c>
      <c r="BM96" s="67">
        <v>0</v>
      </c>
      <c r="BN96" s="67">
        <v>0</v>
      </c>
      <c r="BO96" s="67">
        <v>0</v>
      </c>
      <c r="BP96" s="67">
        <v>0</v>
      </c>
      <c r="BQ96" s="67">
        <v>0</v>
      </c>
      <c r="BR96" s="67">
        <v>7</v>
      </c>
      <c r="BS96" s="67">
        <v>0</v>
      </c>
      <c r="BT96" s="67">
        <v>0</v>
      </c>
      <c r="BU96" s="70">
        <v>12</v>
      </c>
      <c r="BV96" s="29">
        <f t="shared" si="21"/>
        <v>0.3171081132003527</v>
      </c>
      <c r="BW96">
        <f t="shared" si="22"/>
        <v>0.80626709607243985</v>
      </c>
      <c r="BX96">
        <f t="shared" si="23"/>
        <v>9.2588147734864096E-2</v>
      </c>
      <c r="BY96">
        <f t="shared" si="24"/>
        <v>0.65156620358080031</v>
      </c>
      <c r="BZ96">
        <f t="shared" si="25"/>
        <v>0.39380416832397891</v>
      </c>
      <c r="CA96">
        <f t="shared" si="26"/>
        <v>0.53898283739188557</v>
      </c>
      <c r="CB96">
        <f t="shared" si="27"/>
        <v>0.87270930768174382</v>
      </c>
    </row>
    <row r="97" spans="1:80" x14ac:dyDescent="0.45">
      <c r="A97" s="11">
        <v>54</v>
      </c>
      <c r="B97" s="12">
        <f t="shared" si="15"/>
        <v>54</v>
      </c>
      <c r="C97" s="12" t="s">
        <v>59</v>
      </c>
      <c r="D97" s="12">
        <v>0</v>
      </c>
      <c r="E97" s="12" t="s">
        <v>53</v>
      </c>
      <c r="F97" s="12">
        <v>0</v>
      </c>
      <c r="G97" s="12">
        <v>1</v>
      </c>
      <c r="H97" s="12" t="s">
        <v>61</v>
      </c>
      <c r="I97" s="12">
        <v>1</v>
      </c>
      <c r="J97" s="12">
        <v>0</v>
      </c>
      <c r="K97" s="12">
        <v>2</v>
      </c>
      <c r="L97" s="12">
        <f t="shared" si="16"/>
        <v>2</v>
      </c>
      <c r="M97" s="12">
        <v>4</v>
      </c>
      <c r="N97" s="12" t="s">
        <v>91</v>
      </c>
      <c r="O97" s="12">
        <v>0</v>
      </c>
      <c r="P97" s="12">
        <v>0</v>
      </c>
      <c r="Q97" s="12">
        <v>0</v>
      </c>
      <c r="R97" s="12">
        <v>0</v>
      </c>
      <c r="S97" s="12">
        <v>1</v>
      </c>
      <c r="T97" s="12">
        <v>1</v>
      </c>
      <c r="U97" s="12" t="s">
        <v>19</v>
      </c>
      <c r="V97" s="12">
        <v>1</v>
      </c>
      <c r="W97" s="12">
        <v>60</v>
      </c>
      <c r="X97" s="12">
        <v>3</v>
      </c>
      <c r="Y97" s="12">
        <v>3</v>
      </c>
      <c r="Z97" s="12" t="s">
        <v>89</v>
      </c>
      <c r="AA97" s="12">
        <v>0</v>
      </c>
      <c r="AB97" s="12">
        <v>0</v>
      </c>
      <c r="AC97" s="12">
        <v>0</v>
      </c>
      <c r="AD97" s="12">
        <v>0</v>
      </c>
      <c r="AE97" s="12">
        <v>0</v>
      </c>
      <c r="AF97" s="12">
        <v>0</v>
      </c>
      <c r="AG97" s="12">
        <v>0</v>
      </c>
      <c r="AH97" s="12">
        <v>0</v>
      </c>
      <c r="AI97" s="12">
        <v>3</v>
      </c>
      <c r="AJ97" s="12" t="s">
        <v>64</v>
      </c>
      <c r="AK97" s="12">
        <v>0</v>
      </c>
      <c r="AL97" s="12">
        <v>1</v>
      </c>
      <c r="AM97" s="12">
        <v>13549</v>
      </c>
      <c r="AN97" s="12">
        <f t="shared" si="17"/>
        <v>13549</v>
      </c>
      <c r="AO97" s="12">
        <v>9</v>
      </c>
      <c r="AP97" s="12" t="s">
        <v>59</v>
      </c>
      <c r="AQ97" s="12">
        <v>0</v>
      </c>
      <c r="AR97" s="12">
        <v>12</v>
      </c>
      <c r="AS97" s="12">
        <v>3</v>
      </c>
      <c r="AT97" s="12">
        <v>1</v>
      </c>
      <c r="AU97" s="12">
        <v>1</v>
      </c>
      <c r="AV97" s="12">
        <v>16</v>
      </c>
      <c r="AW97" s="12">
        <f t="shared" si="18"/>
        <v>16</v>
      </c>
      <c r="AX97" s="12">
        <v>5</v>
      </c>
      <c r="AY97" s="12">
        <v>1</v>
      </c>
      <c r="AZ97" s="12">
        <v>4</v>
      </c>
      <c r="BA97" s="12">
        <f t="shared" si="19"/>
        <v>4</v>
      </c>
      <c r="BB97" s="12">
        <v>3</v>
      </c>
      <c r="BC97" s="12">
        <v>0</v>
      </c>
      <c r="BD97" s="12">
        <f t="shared" si="28"/>
        <v>0</v>
      </c>
      <c r="BE97" s="12">
        <v>3</v>
      </c>
      <c r="BF97" s="12">
        <f t="shared" si="20"/>
        <v>3</v>
      </c>
      <c r="BG97" s="12">
        <f t="shared" si="29"/>
        <v>9</v>
      </c>
      <c r="BH97" s="67">
        <v>0</v>
      </c>
      <c r="BI97" s="67">
        <v>1</v>
      </c>
      <c r="BJ97" s="67">
        <v>0</v>
      </c>
      <c r="BK97" s="67">
        <v>0</v>
      </c>
      <c r="BL97" s="67">
        <v>0</v>
      </c>
      <c r="BM97" s="67">
        <v>0</v>
      </c>
      <c r="BN97" s="67">
        <v>1</v>
      </c>
      <c r="BO97" s="67">
        <v>0</v>
      </c>
      <c r="BP97" s="67">
        <v>0</v>
      </c>
      <c r="BQ97" s="67">
        <v>3</v>
      </c>
      <c r="BR97" s="67">
        <v>0</v>
      </c>
      <c r="BS97" s="67">
        <v>0</v>
      </c>
      <c r="BT97" s="67">
        <v>16</v>
      </c>
      <c r="BU97" s="70">
        <v>0</v>
      </c>
      <c r="BV97" s="29">
        <f t="shared" si="21"/>
        <v>1.4966298613400699</v>
      </c>
      <c r="BW97">
        <f t="shared" si="22"/>
        <v>0.31476636926356072</v>
      </c>
      <c r="BX97">
        <f t="shared" si="23"/>
        <v>0.60667531362816052</v>
      </c>
      <c r="BY97">
        <f t="shared" si="24"/>
        <v>0.49100643357776058</v>
      </c>
      <c r="BZ97">
        <f t="shared" si="25"/>
        <v>0.88721318382472392</v>
      </c>
      <c r="CA97">
        <f t="shared" si="26"/>
        <v>1.8692383509548371</v>
      </c>
      <c r="CB97">
        <f t="shared" si="27"/>
        <v>0.67891464284095016</v>
      </c>
    </row>
    <row r="98" spans="1:80" x14ac:dyDescent="0.45">
      <c r="A98" s="11">
        <v>24</v>
      </c>
      <c r="B98" s="12">
        <f t="shared" si="15"/>
        <v>24</v>
      </c>
      <c r="C98" s="12" t="s">
        <v>59</v>
      </c>
      <c r="D98" s="12">
        <v>0</v>
      </c>
      <c r="E98" s="12" t="s">
        <v>53</v>
      </c>
      <c r="F98" s="12">
        <v>0</v>
      </c>
      <c r="G98" s="12">
        <v>1</v>
      </c>
      <c r="H98" s="12" t="s">
        <v>54</v>
      </c>
      <c r="I98" s="12">
        <v>0</v>
      </c>
      <c r="J98" s="12">
        <v>1</v>
      </c>
      <c r="K98" s="12">
        <v>3</v>
      </c>
      <c r="L98" s="12">
        <f t="shared" si="16"/>
        <v>3</v>
      </c>
      <c r="M98" s="12">
        <v>2</v>
      </c>
      <c r="N98" s="12" t="s">
        <v>66</v>
      </c>
      <c r="O98" s="12">
        <v>0</v>
      </c>
      <c r="P98" s="12">
        <v>1</v>
      </c>
      <c r="Q98" s="12">
        <v>0</v>
      </c>
      <c r="R98" s="12">
        <v>0</v>
      </c>
      <c r="S98" s="12">
        <v>0</v>
      </c>
      <c r="T98" s="12">
        <v>1</v>
      </c>
      <c r="U98" s="12" t="s">
        <v>19</v>
      </c>
      <c r="V98" s="12">
        <v>1</v>
      </c>
      <c r="W98" s="12">
        <v>33</v>
      </c>
      <c r="X98" s="12">
        <v>3</v>
      </c>
      <c r="Y98" s="12">
        <v>2</v>
      </c>
      <c r="Z98" s="12" t="s">
        <v>56</v>
      </c>
      <c r="AA98" s="12">
        <v>0</v>
      </c>
      <c r="AB98" s="12">
        <v>1</v>
      </c>
      <c r="AC98" s="12">
        <v>0</v>
      </c>
      <c r="AD98" s="12">
        <v>0</v>
      </c>
      <c r="AE98" s="12">
        <v>0</v>
      </c>
      <c r="AF98" s="12">
        <v>0</v>
      </c>
      <c r="AG98" s="12">
        <v>0</v>
      </c>
      <c r="AH98" s="12">
        <v>0</v>
      </c>
      <c r="AI98" s="12">
        <v>3</v>
      </c>
      <c r="AJ98" s="12" t="s">
        <v>64</v>
      </c>
      <c r="AK98" s="12">
        <v>0</v>
      </c>
      <c r="AL98" s="12">
        <v>1</v>
      </c>
      <c r="AM98" s="12">
        <v>4999</v>
      </c>
      <c r="AN98" s="12">
        <f t="shared" si="17"/>
        <v>4999</v>
      </c>
      <c r="AO98" s="12">
        <v>0</v>
      </c>
      <c r="AP98" s="12" t="s">
        <v>59</v>
      </c>
      <c r="AQ98" s="12">
        <v>0</v>
      </c>
      <c r="AR98" s="12">
        <v>21</v>
      </c>
      <c r="AS98" s="12">
        <v>4</v>
      </c>
      <c r="AT98" s="12">
        <v>1</v>
      </c>
      <c r="AU98" s="12">
        <v>1</v>
      </c>
      <c r="AV98" s="12">
        <v>4</v>
      </c>
      <c r="AW98" s="12">
        <f t="shared" si="18"/>
        <v>4</v>
      </c>
      <c r="AX98" s="12">
        <v>2</v>
      </c>
      <c r="AY98" s="12">
        <v>2</v>
      </c>
      <c r="AZ98" s="12">
        <v>3</v>
      </c>
      <c r="BA98" s="12">
        <f t="shared" si="19"/>
        <v>3</v>
      </c>
      <c r="BB98" s="12">
        <v>2</v>
      </c>
      <c r="BC98" s="12">
        <v>0</v>
      </c>
      <c r="BD98" s="12">
        <f t="shared" si="28"/>
        <v>0</v>
      </c>
      <c r="BE98" s="12">
        <v>2</v>
      </c>
      <c r="BF98" s="12">
        <f t="shared" si="20"/>
        <v>2</v>
      </c>
      <c r="BG98" s="12">
        <f t="shared" si="29"/>
        <v>4</v>
      </c>
      <c r="BH98" s="67">
        <v>0</v>
      </c>
      <c r="BI98" s="67">
        <v>1</v>
      </c>
      <c r="BJ98" s="67">
        <v>0</v>
      </c>
      <c r="BK98" s="67">
        <v>0</v>
      </c>
      <c r="BL98" s="67">
        <v>0</v>
      </c>
      <c r="BM98" s="67">
        <v>0</v>
      </c>
      <c r="BN98" s="67">
        <v>1</v>
      </c>
      <c r="BO98" s="67">
        <v>0</v>
      </c>
      <c r="BP98" s="67">
        <v>0</v>
      </c>
      <c r="BQ98" s="67">
        <v>0</v>
      </c>
      <c r="BR98" s="67">
        <v>2</v>
      </c>
      <c r="BS98" s="67">
        <v>0</v>
      </c>
      <c r="BT98" s="67">
        <v>0</v>
      </c>
      <c r="BU98" s="70">
        <v>4</v>
      </c>
      <c r="BV98" s="29">
        <f t="shared" si="21"/>
        <v>0.31944458324601899</v>
      </c>
      <c r="BW98">
        <f t="shared" si="22"/>
        <v>0.59502473559756086</v>
      </c>
      <c r="BX98">
        <f t="shared" si="23"/>
        <v>0.93558618405172878</v>
      </c>
      <c r="BY98">
        <f t="shared" si="24"/>
        <v>0.65423109602898355</v>
      </c>
      <c r="BZ98">
        <f t="shared" si="25"/>
        <v>0.76386092994953758</v>
      </c>
      <c r="CA98">
        <f t="shared" si="26"/>
        <v>1.4146996331543302</v>
      </c>
      <c r="CB98">
        <f t="shared" si="27"/>
        <v>0.67891464284095016</v>
      </c>
    </row>
    <row r="99" spans="1:80" x14ac:dyDescent="0.45">
      <c r="A99" s="11">
        <v>28</v>
      </c>
      <c r="B99" s="12">
        <f t="shared" si="15"/>
        <v>28</v>
      </c>
      <c r="C99" s="12" t="s">
        <v>59</v>
      </c>
      <c r="D99" s="12">
        <v>0</v>
      </c>
      <c r="E99" s="12" t="s">
        <v>86</v>
      </c>
      <c r="F99" s="12">
        <v>0</v>
      </c>
      <c r="G99" s="12">
        <v>0</v>
      </c>
      <c r="H99" s="12" t="s">
        <v>54</v>
      </c>
      <c r="I99" s="12">
        <v>0</v>
      </c>
      <c r="J99" s="12">
        <v>1</v>
      </c>
      <c r="K99" s="12">
        <v>4</v>
      </c>
      <c r="L99" s="12">
        <f t="shared" si="16"/>
        <v>4</v>
      </c>
      <c r="M99" s="12">
        <v>3</v>
      </c>
      <c r="N99" s="12" t="s">
        <v>70</v>
      </c>
      <c r="O99" s="12">
        <v>0</v>
      </c>
      <c r="P99" s="12">
        <v>0</v>
      </c>
      <c r="Q99" s="12">
        <v>1</v>
      </c>
      <c r="R99" s="12">
        <v>0</v>
      </c>
      <c r="S99" s="12">
        <v>0</v>
      </c>
      <c r="T99" s="12">
        <v>2</v>
      </c>
      <c r="U99" s="12" t="s">
        <v>62</v>
      </c>
      <c r="V99" s="12">
        <v>0</v>
      </c>
      <c r="W99" s="12">
        <v>43</v>
      </c>
      <c r="X99" s="12">
        <v>3</v>
      </c>
      <c r="Y99" s="12">
        <v>2</v>
      </c>
      <c r="Z99" s="12" t="s">
        <v>56</v>
      </c>
      <c r="AA99" s="12">
        <v>0</v>
      </c>
      <c r="AB99" s="12">
        <v>1</v>
      </c>
      <c r="AC99" s="12">
        <v>0</v>
      </c>
      <c r="AD99" s="12">
        <v>0</v>
      </c>
      <c r="AE99" s="12">
        <v>0</v>
      </c>
      <c r="AF99" s="12">
        <v>0</v>
      </c>
      <c r="AG99" s="12">
        <v>0</v>
      </c>
      <c r="AH99" s="12">
        <v>0</v>
      </c>
      <c r="AI99" s="12">
        <v>3</v>
      </c>
      <c r="AJ99" s="12" t="s">
        <v>64</v>
      </c>
      <c r="AK99" s="12">
        <v>0</v>
      </c>
      <c r="AL99" s="12">
        <v>1</v>
      </c>
      <c r="AM99" s="12">
        <v>4221</v>
      </c>
      <c r="AN99" s="12">
        <f t="shared" si="17"/>
        <v>4221</v>
      </c>
      <c r="AO99" s="12">
        <v>1</v>
      </c>
      <c r="AP99" s="12" t="s">
        <v>59</v>
      </c>
      <c r="AQ99" s="12">
        <v>0</v>
      </c>
      <c r="AR99" s="12">
        <v>15</v>
      </c>
      <c r="AS99" s="12">
        <v>3</v>
      </c>
      <c r="AT99" s="12">
        <v>2</v>
      </c>
      <c r="AU99" s="12">
        <v>0</v>
      </c>
      <c r="AV99" s="12">
        <v>5</v>
      </c>
      <c r="AW99" s="12">
        <f t="shared" si="18"/>
        <v>5</v>
      </c>
      <c r="AX99" s="12">
        <v>3</v>
      </c>
      <c r="AY99" s="12">
        <v>4</v>
      </c>
      <c r="AZ99" s="12">
        <v>5</v>
      </c>
      <c r="BA99" s="12">
        <f t="shared" si="19"/>
        <v>5</v>
      </c>
      <c r="BB99" s="12">
        <v>4</v>
      </c>
      <c r="BC99" s="12">
        <v>0</v>
      </c>
      <c r="BD99" s="12">
        <f t="shared" si="28"/>
        <v>0</v>
      </c>
      <c r="BE99" s="12">
        <v>4</v>
      </c>
      <c r="BF99" s="12">
        <f t="shared" si="20"/>
        <v>4</v>
      </c>
      <c r="BG99" s="12">
        <f t="shared" si="29"/>
        <v>8</v>
      </c>
      <c r="BH99" s="67">
        <v>0</v>
      </c>
      <c r="BI99" s="67">
        <v>1</v>
      </c>
      <c r="BJ99" s="67">
        <v>0</v>
      </c>
      <c r="BK99" s="67">
        <v>0</v>
      </c>
      <c r="BL99" s="67">
        <v>0</v>
      </c>
      <c r="BM99" s="67">
        <v>0</v>
      </c>
      <c r="BN99" s="67">
        <v>1</v>
      </c>
      <c r="BO99" s="67">
        <v>0</v>
      </c>
      <c r="BP99" s="67">
        <v>0</v>
      </c>
      <c r="BQ99" s="67">
        <v>0</v>
      </c>
      <c r="BR99" s="67">
        <v>4</v>
      </c>
      <c r="BS99" s="67">
        <v>0</v>
      </c>
      <c r="BT99" s="67">
        <v>0</v>
      </c>
      <c r="BU99" s="70">
        <v>5</v>
      </c>
      <c r="BV99" s="29">
        <f t="shared" si="21"/>
        <v>0.48469673738496372</v>
      </c>
      <c r="BW99">
        <f t="shared" si="22"/>
        <v>3.4508002929560584E-2</v>
      </c>
      <c r="BX99">
        <f t="shared" si="23"/>
        <v>0.80706439257840468</v>
      </c>
      <c r="BY99">
        <f t="shared" si="24"/>
        <v>0.32778177112653761</v>
      </c>
      <c r="BZ99">
        <f t="shared" si="25"/>
        <v>0.64050867607435136</v>
      </c>
      <c r="CA99">
        <f t="shared" si="26"/>
        <v>0.97684123527310796</v>
      </c>
      <c r="CB99">
        <f t="shared" si="27"/>
        <v>0.67891464284095016</v>
      </c>
    </row>
    <row r="100" spans="1:80" x14ac:dyDescent="0.45">
      <c r="A100" s="11">
        <v>58</v>
      </c>
      <c r="B100" s="12">
        <f t="shared" si="15"/>
        <v>58</v>
      </c>
      <c r="C100" s="12" t="s">
        <v>59</v>
      </c>
      <c r="D100" s="12">
        <v>0</v>
      </c>
      <c r="E100" s="12" t="s">
        <v>53</v>
      </c>
      <c r="F100" s="12">
        <v>0</v>
      </c>
      <c r="G100" s="12">
        <v>1</v>
      </c>
      <c r="H100" s="12" t="s">
        <v>54</v>
      </c>
      <c r="I100" s="12">
        <v>0</v>
      </c>
      <c r="J100" s="12">
        <v>1</v>
      </c>
      <c r="K100" s="12">
        <v>10</v>
      </c>
      <c r="L100" s="12">
        <f t="shared" si="16"/>
        <v>10</v>
      </c>
      <c r="M100" s="12">
        <v>4</v>
      </c>
      <c r="N100" s="12" t="s">
        <v>70</v>
      </c>
      <c r="O100" s="12">
        <v>0</v>
      </c>
      <c r="P100" s="12">
        <v>0</v>
      </c>
      <c r="Q100" s="12">
        <v>1</v>
      </c>
      <c r="R100" s="12">
        <v>0</v>
      </c>
      <c r="S100" s="12">
        <v>0</v>
      </c>
      <c r="T100" s="12">
        <v>4</v>
      </c>
      <c r="U100" s="12" t="s">
        <v>62</v>
      </c>
      <c r="V100" s="12">
        <v>0</v>
      </c>
      <c r="W100" s="12">
        <v>37</v>
      </c>
      <c r="X100" s="12">
        <v>3</v>
      </c>
      <c r="Y100" s="12">
        <v>4</v>
      </c>
      <c r="Z100" s="12" t="s">
        <v>56</v>
      </c>
      <c r="AA100" s="12">
        <v>0</v>
      </c>
      <c r="AB100" s="12">
        <v>1</v>
      </c>
      <c r="AC100" s="12">
        <v>0</v>
      </c>
      <c r="AD100" s="12">
        <v>0</v>
      </c>
      <c r="AE100" s="12">
        <v>0</v>
      </c>
      <c r="AF100" s="12">
        <v>0</v>
      </c>
      <c r="AG100" s="12">
        <v>0</v>
      </c>
      <c r="AH100" s="12">
        <v>0</v>
      </c>
      <c r="AI100" s="12">
        <v>3</v>
      </c>
      <c r="AJ100" s="12" t="s">
        <v>57</v>
      </c>
      <c r="AK100" s="12">
        <v>1</v>
      </c>
      <c r="AL100" s="12">
        <v>0</v>
      </c>
      <c r="AM100" s="12">
        <v>13872</v>
      </c>
      <c r="AN100" s="12">
        <f t="shared" si="17"/>
        <v>13872</v>
      </c>
      <c r="AO100" s="12">
        <v>0</v>
      </c>
      <c r="AP100" s="12" t="s">
        <v>59</v>
      </c>
      <c r="AQ100" s="12">
        <v>0</v>
      </c>
      <c r="AR100" s="12">
        <v>13</v>
      </c>
      <c r="AS100" s="12">
        <v>3</v>
      </c>
      <c r="AT100" s="12">
        <v>3</v>
      </c>
      <c r="AU100" s="12">
        <v>0</v>
      </c>
      <c r="AV100" s="12">
        <v>38</v>
      </c>
      <c r="AW100" s="12">
        <f t="shared" si="18"/>
        <v>35</v>
      </c>
      <c r="AX100" s="12">
        <v>1</v>
      </c>
      <c r="AY100" s="12">
        <v>2</v>
      </c>
      <c r="AZ100" s="12">
        <v>37</v>
      </c>
      <c r="BA100" s="12">
        <f t="shared" si="19"/>
        <v>31</v>
      </c>
      <c r="BB100" s="12">
        <v>10</v>
      </c>
      <c r="BC100" s="12">
        <v>1</v>
      </c>
      <c r="BD100" s="12">
        <f t="shared" si="28"/>
        <v>1</v>
      </c>
      <c r="BE100" s="12">
        <v>8</v>
      </c>
      <c r="BF100" s="12">
        <f t="shared" si="20"/>
        <v>8</v>
      </c>
      <c r="BG100" s="12">
        <f t="shared" si="29"/>
        <v>32</v>
      </c>
      <c r="BH100" s="67">
        <v>1</v>
      </c>
      <c r="BI100" s="67">
        <v>0</v>
      </c>
      <c r="BJ100" s="67">
        <v>0</v>
      </c>
      <c r="BK100" s="67">
        <v>0</v>
      </c>
      <c r="BL100" s="67">
        <v>1</v>
      </c>
      <c r="BM100" s="67">
        <v>0</v>
      </c>
      <c r="BN100" s="67">
        <v>0</v>
      </c>
      <c r="BO100" s="67">
        <v>0</v>
      </c>
      <c r="BP100" s="67">
        <v>0</v>
      </c>
      <c r="BQ100" s="67">
        <v>0</v>
      </c>
      <c r="BR100" s="67">
        <v>8</v>
      </c>
      <c r="BS100" s="67">
        <v>0</v>
      </c>
      <c r="BT100" s="67">
        <v>0</v>
      </c>
      <c r="BU100" s="70">
        <v>35</v>
      </c>
      <c r="BV100" s="29">
        <f t="shared" si="21"/>
        <v>1.5652371181355444</v>
      </c>
      <c r="BW100">
        <f t="shared" si="22"/>
        <v>1.08652546240644</v>
      </c>
      <c r="BX100">
        <f t="shared" si="23"/>
        <v>3.4341547260412906</v>
      </c>
      <c r="BY100">
        <f t="shared" si="24"/>
        <v>4.8954074273125983</v>
      </c>
      <c r="BZ100">
        <f t="shared" si="25"/>
        <v>9.9604847176766084E-2</v>
      </c>
      <c r="CA100">
        <f t="shared" si="26"/>
        <v>2.3070967488360594</v>
      </c>
      <c r="CB100">
        <f t="shared" si="27"/>
        <v>0.36858985273641137</v>
      </c>
    </row>
    <row r="101" spans="1:80" x14ac:dyDescent="0.45">
      <c r="A101" s="11">
        <v>44</v>
      </c>
      <c r="B101" s="12">
        <f t="shared" si="15"/>
        <v>44</v>
      </c>
      <c r="C101" s="12" t="s">
        <v>59</v>
      </c>
      <c r="D101" s="12">
        <v>0</v>
      </c>
      <c r="E101" s="12" t="s">
        <v>86</v>
      </c>
      <c r="F101" s="12">
        <v>0</v>
      </c>
      <c r="G101" s="12">
        <v>0</v>
      </c>
      <c r="H101" s="12" t="s">
        <v>61</v>
      </c>
      <c r="I101" s="12">
        <v>1</v>
      </c>
      <c r="J101" s="12">
        <v>0</v>
      </c>
      <c r="K101" s="12">
        <v>23</v>
      </c>
      <c r="L101" s="12">
        <f t="shared" si="16"/>
        <v>23</v>
      </c>
      <c r="M101" s="12">
        <v>3</v>
      </c>
      <c r="N101" s="12" t="s">
        <v>70</v>
      </c>
      <c r="O101" s="12">
        <v>0</v>
      </c>
      <c r="P101" s="12">
        <v>0</v>
      </c>
      <c r="Q101" s="12">
        <v>1</v>
      </c>
      <c r="R101" s="12">
        <v>0</v>
      </c>
      <c r="S101" s="12">
        <v>0</v>
      </c>
      <c r="T101" s="12">
        <v>2</v>
      </c>
      <c r="U101" s="12" t="s">
        <v>62</v>
      </c>
      <c r="V101" s="12">
        <v>0</v>
      </c>
      <c r="W101" s="12">
        <v>67</v>
      </c>
      <c r="X101" s="12">
        <v>3</v>
      </c>
      <c r="Y101" s="12">
        <v>2</v>
      </c>
      <c r="Z101" s="12" t="s">
        <v>67</v>
      </c>
      <c r="AA101" s="12">
        <v>0</v>
      </c>
      <c r="AB101" s="12">
        <v>0</v>
      </c>
      <c r="AC101" s="12">
        <v>1</v>
      </c>
      <c r="AD101" s="12">
        <v>0</v>
      </c>
      <c r="AE101" s="12">
        <v>0</v>
      </c>
      <c r="AF101" s="12">
        <v>0</v>
      </c>
      <c r="AG101" s="12">
        <v>0</v>
      </c>
      <c r="AH101" s="12">
        <v>0</v>
      </c>
      <c r="AI101" s="12">
        <v>2</v>
      </c>
      <c r="AJ101" s="12" t="s">
        <v>64</v>
      </c>
      <c r="AK101" s="12">
        <v>0</v>
      </c>
      <c r="AL101" s="12">
        <v>1</v>
      </c>
      <c r="AM101" s="12">
        <v>2042</v>
      </c>
      <c r="AN101" s="12">
        <f t="shared" si="17"/>
        <v>2042</v>
      </c>
      <c r="AO101" s="12">
        <v>4</v>
      </c>
      <c r="AP101" s="12" t="s">
        <v>59</v>
      </c>
      <c r="AQ101" s="12">
        <v>0</v>
      </c>
      <c r="AR101" s="12">
        <v>12</v>
      </c>
      <c r="AS101" s="12">
        <v>3</v>
      </c>
      <c r="AT101" s="12">
        <v>3</v>
      </c>
      <c r="AU101" s="12">
        <v>1</v>
      </c>
      <c r="AV101" s="12">
        <v>17</v>
      </c>
      <c r="AW101" s="12">
        <f t="shared" si="18"/>
        <v>17</v>
      </c>
      <c r="AX101" s="12">
        <v>3</v>
      </c>
      <c r="AY101" s="12">
        <v>4</v>
      </c>
      <c r="AZ101" s="12">
        <v>3</v>
      </c>
      <c r="BA101" s="12">
        <f t="shared" si="19"/>
        <v>3</v>
      </c>
      <c r="BB101" s="12">
        <v>2</v>
      </c>
      <c r="BC101" s="12">
        <v>1</v>
      </c>
      <c r="BD101" s="12">
        <f t="shared" si="28"/>
        <v>1</v>
      </c>
      <c r="BE101" s="12">
        <v>2</v>
      </c>
      <c r="BF101" s="12">
        <f t="shared" si="20"/>
        <v>2</v>
      </c>
      <c r="BG101" s="12">
        <f t="shared" si="29"/>
        <v>4</v>
      </c>
      <c r="BH101" s="67">
        <v>0</v>
      </c>
      <c r="BI101" s="67">
        <v>1</v>
      </c>
      <c r="BJ101" s="67">
        <v>0</v>
      </c>
      <c r="BK101" s="67">
        <v>0</v>
      </c>
      <c r="BL101" s="67">
        <v>0</v>
      </c>
      <c r="BM101" s="67">
        <v>0</v>
      </c>
      <c r="BN101" s="67">
        <v>1</v>
      </c>
      <c r="BO101" s="67">
        <v>0</v>
      </c>
      <c r="BP101" s="67">
        <v>0</v>
      </c>
      <c r="BQ101" s="67">
        <v>2</v>
      </c>
      <c r="BR101" s="67">
        <v>0</v>
      </c>
      <c r="BS101" s="67">
        <v>0</v>
      </c>
      <c r="BT101" s="67">
        <v>17</v>
      </c>
      <c r="BU101" s="70">
        <v>0</v>
      </c>
      <c r="BV101" s="29">
        <f t="shared" si="21"/>
        <v>0.94753021279468164</v>
      </c>
      <c r="BW101">
        <f t="shared" si="22"/>
        <v>0.59502473559756086</v>
      </c>
      <c r="BX101">
        <f t="shared" si="23"/>
        <v>0.73519710510148462</v>
      </c>
      <c r="BY101">
        <f t="shared" si="24"/>
        <v>0.65423109602898355</v>
      </c>
      <c r="BZ101">
        <f t="shared" si="25"/>
        <v>1.7031841475541873</v>
      </c>
      <c r="CA101">
        <f t="shared" si="26"/>
        <v>0.77459235625178136</v>
      </c>
      <c r="CB101">
        <f t="shared" si="27"/>
        <v>0.36858985273641137</v>
      </c>
    </row>
    <row r="102" spans="1:80" x14ac:dyDescent="0.45">
      <c r="A102" s="11">
        <v>37</v>
      </c>
      <c r="B102" s="12">
        <f t="shared" si="15"/>
        <v>37</v>
      </c>
      <c r="C102" s="12" t="s">
        <v>52</v>
      </c>
      <c r="D102" s="12">
        <v>1</v>
      </c>
      <c r="E102" s="12" t="s">
        <v>53</v>
      </c>
      <c r="F102" s="12">
        <v>0</v>
      </c>
      <c r="G102" s="12">
        <v>1</v>
      </c>
      <c r="H102" s="12" t="s">
        <v>97</v>
      </c>
      <c r="I102" s="12">
        <v>0</v>
      </c>
      <c r="J102" s="12">
        <v>0</v>
      </c>
      <c r="K102" s="12">
        <v>6</v>
      </c>
      <c r="L102" s="12">
        <f t="shared" si="16"/>
        <v>6</v>
      </c>
      <c r="M102" s="12">
        <v>4</v>
      </c>
      <c r="N102" s="12" t="s">
        <v>97</v>
      </c>
      <c r="O102" s="12">
        <v>0</v>
      </c>
      <c r="P102" s="12">
        <v>0</v>
      </c>
      <c r="Q102" s="12">
        <v>0</v>
      </c>
      <c r="R102" s="12">
        <v>0</v>
      </c>
      <c r="S102" s="12">
        <v>0</v>
      </c>
      <c r="T102" s="12">
        <v>3</v>
      </c>
      <c r="U102" s="12" t="s">
        <v>62</v>
      </c>
      <c r="V102" s="12">
        <v>0</v>
      </c>
      <c r="W102" s="12">
        <v>63</v>
      </c>
      <c r="X102" s="12">
        <v>3</v>
      </c>
      <c r="Y102" s="12">
        <v>1</v>
      </c>
      <c r="Z102" s="12" t="s">
        <v>97</v>
      </c>
      <c r="AA102" s="12">
        <v>0</v>
      </c>
      <c r="AB102" s="12">
        <v>0</v>
      </c>
      <c r="AC102" s="12">
        <v>0</v>
      </c>
      <c r="AD102" s="12">
        <v>0</v>
      </c>
      <c r="AE102" s="12">
        <v>0</v>
      </c>
      <c r="AF102" s="12">
        <v>0</v>
      </c>
      <c r="AG102" s="12">
        <v>0</v>
      </c>
      <c r="AH102" s="12">
        <v>0</v>
      </c>
      <c r="AI102" s="12">
        <v>1</v>
      </c>
      <c r="AJ102" s="12" t="s">
        <v>78</v>
      </c>
      <c r="AK102" s="12">
        <v>0</v>
      </c>
      <c r="AL102" s="12">
        <v>0</v>
      </c>
      <c r="AM102" s="12">
        <v>2073</v>
      </c>
      <c r="AN102" s="12">
        <f t="shared" si="17"/>
        <v>2073</v>
      </c>
      <c r="AO102" s="12">
        <v>4</v>
      </c>
      <c r="AP102" s="12" t="s">
        <v>52</v>
      </c>
      <c r="AQ102" s="12">
        <v>1</v>
      </c>
      <c r="AR102" s="12">
        <v>22</v>
      </c>
      <c r="AS102" s="12">
        <v>4</v>
      </c>
      <c r="AT102" s="12">
        <v>4</v>
      </c>
      <c r="AU102" s="12">
        <v>0</v>
      </c>
      <c r="AV102" s="12">
        <v>7</v>
      </c>
      <c r="AW102" s="12">
        <f t="shared" si="18"/>
        <v>7</v>
      </c>
      <c r="AX102" s="12">
        <v>3</v>
      </c>
      <c r="AY102" s="12">
        <v>3</v>
      </c>
      <c r="AZ102" s="12">
        <v>3</v>
      </c>
      <c r="BA102" s="12">
        <f t="shared" si="19"/>
        <v>3</v>
      </c>
      <c r="BB102" s="12">
        <v>2</v>
      </c>
      <c r="BC102" s="12">
        <v>0</v>
      </c>
      <c r="BD102" s="12">
        <f t="shared" si="28"/>
        <v>0</v>
      </c>
      <c r="BE102" s="12">
        <v>2</v>
      </c>
      <c r="BF102" s="12">
        <f t="shared" si="20"/>
        <v>2</v>
      </c>
      <c r="BG102" s="12">
        <f t="shared" si="29"/>
        <v>2</v>
      </c>
      <c r="BH102" s="67">
        <v>1</v>
      </c>
      <c r="BI102" s="67">
        <v>0</v>
      </c>
      <c r="BJ102" s="67">
        <v>0</v>
      </c>
      <c r="BK102" s="67">
        <v>0</v>
      </c>
      <c r="BL102" s="67">
        <v>0</v>
      </c>
      <c r="BM102" s="67">
        <v>1</v>
      </c>
      <c r="BN102" s="67">
        <v>0</v>
      </c>
      <c r="BO102" s="67">
        <v>0</v>
      </c>
      <c r="BP102" s="67">
        <v>2</v>
      </c>
      <c r="BQ102" s="67">
        <v>0</v>
      </c>
      <c r="BR102" s="67">
        <v>0</v>
      </c>
      <c r="BS102" s="67">
        <v>7</v>
      </c>
      <c r="BT102" s="67">
        <v>0</v>
      </c>
      <c r="BU102" s="70">
        <v>0</v>
      </c>
      <c r="BV102" s="29">
        <f t="shared" si="21"/>
        <v>0.94094561539325838</v>
      </c>
      <c r="BW102">
        <f t="shared" si="22"/>
        <v>0.59502473559756086</v>
      </c>
      <c r="BX102">
        <f t="shared" si="23"/>
        <v>0.55002080963175637</v>
      </c>
      <c r="BY102">
        <f t="shared" si="24"/>
        <v>0.65423109602898355</v>
      </c>
      <c r="BZ102">
        <f t="shared" si="25"/>
        <v>0.39380416832397891</v>
      </c>
      <c r="CA102">
        <f t="shared" si="26"/>
        <v>8.3401599596422994E-3</v>
      </c>
      <c r="CB102">
        <f t="shared" si="27"/>
        <v>0.67891464284095016</v>
      </c>
    </row>
    <row r="103" spans="1:80" x14ac:dyDescent="0.45">
      <c r="A103" s="11">
        <v>32</v>
      </c>
      <c r="B103" s="12">
        <f t="shared" si="15"/>
        <v>32</v>
      </c>
      <c r="C103" s="12" t="s">
        <v>59</v>
      </c>
      <c r="D103" s="12">
        <v>0</v>
      </c>
      <c r="E103" s="12" t="s">
        <v>53</v>
      </c>
      <c r="F103" s="12">
        <v>0</v>
      </c>
      <c r="G103" s="12">
        <v>1</v>
      </c>
      <c r="H103" s="12" t="s">
        <v>61</v>
      </c>
      <c r="I103" s="12">
        <v>1</v>
      </c>
      <c r="J103" s="12">
        <v>0</v>
      </c>
      <c r="K103" s="12">
        <v>1</v>
      </c>
      <c r="L103" s="12">
        <f t="shared" si="16"/>
        <v>1</v>
      </c>
      <c r="M103" s="12">
        <v>1</v>
      </c>
      <c r="N103" s="12" t="s">
        <v>55</v>
      </c>
      <c r="O103" s="12">
        <v>1</v>
      </c>
      <c r="P103" s="12">
        <v>0</v>
      </c>
      <c r="Q103" s="12">
        <v>0</v>
      </c>
      <c r="R103" s="12">
        <v>0</v>
      </c>
      <c r="S103" s="12">
        <v>0</v>
      </c>
      <c r="T103" s="12">
        <v>4</v>
      </c>
      <c r="U103" s="12" t="s">
        <v>62</v>
      </c>
      <c r="V103" s="12">
        <v>0</v>
      </c>
      <c r="W103" s="12">
        <v>71</v>
      </c>
      <c r="X103" s="12">
        <v>3</v>
      </c>
      <c r="Y103" s="12">
        <v>1</v>
      </c>
      <c r="Z103" s="12" t="s">
        <v>63</v>
      </c>
      <c r="AA103" s="12">
        <v>0</v>
      </c>
      <c r="AB103" s="12">
        <v>0</v>
      </c>
      <c r="AC103" s="12">
        <v>0</v>
      </c>
      <c r="AD103" s="12">
        <v>0</v>
      </c>
      <c r="AE103" s="12">
        <v>0</v>
      </c>
      <c r="AF103" s="12">
        <v>0</v>
      </c>
      <c r="AG103" s="12">
        <v>0</v>
      </c>
      <c r="AH103" s="12">
        <v>1</v>
      </c>
      <c r="AI103" s="12">
        <v>1</v>
      </c>
      <c r="AJ103" s="12" t="s">
        <v>57</v>
      </c>
      <c r="AK103" s="12">
        <v>1</v>
      </c>
      <c r="AL103" s="12">
        <v>0</v>
      </c>
      <c r="AM103" s="12">
        <v>2956</v>
      </c>
      <c r="AN103" s="12">
        <f t="shared" si="17"/>
        <v>2956</v>
      </c>
      <c r="AO103" s="12">
        <v>1</v>
      </c>
      <c r="AP103" s="12" t="s">
        <v>59</v>
      </c>
      <c r="AQ103" s="12">
        <v>0</v>
      </c>
      <c r="AR103" s="12">
        <v>13</v>
      </c>
      <c r="AS103" s="12">
        <v>3</v>
      </c>
      <c r="AT103" s="12">
        <v>4</v>
      </c>
      <c r="AU103" s="12">
        <v>0</v>
      </c>
      <c r="AV103" s="12">
        <v>1</v>
      </c>
      <c r="AW103" s="12">
        <f t="shared" si="18"/>
        <v>1</v>
      </c>
      <c r="AX103" s="12">
        <v>2</v>
      </c>
      <c r="AY103" s="12">
        <v>3</v>
      </c>
      <c r="AZ103" s="12">
        <v>1</v>
      </c>
      <c r="BA103" s="12">
        <f t="shared" si="19"/>
        <v>1</v>
      </c>
      <c r="BB103" s="12">
        <v>0</v>
      </c>
      <c r="BC103" s="12">
        <v>0</v>
      </c>
      <c r="BD103" s="12">
        <f t="shared" si="28"/>
        <v>0</v>
      </c>
      <c r="BE103" s="12">
        <v>0</v>
      </c>
      <c r="BF103" s="12">
        <f t="shared" si="20"/>
        <v>0</v>
      </c>
      <c r="BG103" s="12">
        <f t="shared" si="29"/>
        <v>0</v>
      </c>
      <c r="BH103" s="67">
        <v>1</v>
      </c>
      <c r="BI103" s="67">
        <v>0</v>
      </c>
      <c r="BJ103" s="67">
        <v>0</v>
      </c>
      <c r="BK103" s="67">
        <v>0</v>
      </c>
      <c r="BL103" s="67">
        <v>1</v>
      </c>
      <c r="BM103" s="67">
        <v>0</v>
      </c>
      <c r="BN103" s="67">
        <v>0</v>
      </c>
      <c r="BO103" s="67">
        <v>0</v>
      </c>
      <c r="BP103" s="67">
        <v>0</v>
      </c>
      <c r="BQ103" s="67">
        <v>0</v>
      </c>
      <c r="BR103" s="67">
        <v>0</v>
      </c>
      <c r="BS103" s="67">
        <v>0</v>
      </c>
      <c r="BT103" s="67">
        <v>1</v>
      </c>
      <c r="BU103" s="70">
        <v>0</v>
      </c>
      <c r="BV103" s="29">
        <f t="shared" si="21"/>
        <v>0.75339079263658981</v>
      </c>
      <c r="BW103">
        <f t="shared" si="22"/>
        <v>1.1555414682655611</v>
      </c>
      <c r="BX103">
        <f t="shared" si="23"/>
        <v>1.3211515584717011</v>
      </c>
      <c r="BY103">
        <f t="shared" si="24"/>
        <v>0.9806804209314296</v>
      </c>
      <c r="BZ103">
        <f t="shared" si="25"/>
        <v>1.01056543769991</v>
      </c>
      <c r="CA103">
        <f t="shared" si="26"/>
        <v>0.53898283739188557</v>
      </c>
      <c r="CB103">
        <f t="shared" si="27"/>
        <v>0.67891464284095016</v>
      </c>
    </row>
    <row r="104" spans="1:80" x14ac:dyDescent="0.45">
      <c r="A104" s="11">
        <v>20</v>
      </c>
      <c r="B104" s="12">
        <f t="shared" si="15"/>
        <v>20</v>
      </c>
      <c r="C104" s="12" t="s">
        <v>52</v>
      </c>
      <c r="D104" s="12">
        <v>1</v>
      </c>
      <c r="E104" s="12" t="s">
        <v>60</v>
      </c>
      <c r="F104" s="12">
        <v>1</v>
      </c>
      <c r="G104" s="12">
        <v>0</v>
      </c>
      <c r="H104" s="12" t="s">
        <v>61</v>
      </c>
      <c r="I104" s="12">
        <v>1</v>
      </c>
      <c r="J104" s="12">
        <v>0</v>
      </c>
      <c r="K104" s="12">
        <v>6</v>
      </c>
      <c r="L104" s="12">
        <f t="shared" si="16"/>
        <v>6</v>
      </c>
      <c r="M104" s="12">
        <v>3</v>
      </c>
      <c r="N104" s="12" t="s">
        <v>55</v>
      </c>
      <c r="O104" s="12">
        <v>1</v>
      </c>
      <c r="P104" s="12">
        <v>0</v>
      </c>
      <c r="Q104" s="12">
        <v>0</v>
      </c>
      <c r="R104" s="12">
        <v>0</v>
      </c>
      <c r="S104" s="12">
        <v>0</v>
      </c>
      <c r="T104" s="12">
        <v>4</v>
      </c>
      <c r="U104" s="12" t="s">
        <v>19</v>
      </c>
      <c r="V104" s="12">
        <v>1</v>
      </c>
      <c r="W104" s="12">
        <v>66</v>
      </c>
      <c r="X104" s="12">
        <v>2</v>
      </c>
      <c r="Y104" s="12">
        <v>1</v>
      </c>
      <c r="Z104" s="12" t="s">
        <v>67</v>
      </c>
      <c r="AA104" s="12">
        <v>0</v>
      </c>
      <c r="AB104" s="12">
        <v>0</v>
      </c>
      <c r="AC104" s="12">
        <v>1</v>
      </c>
      <c r="AD104" s="12">
        <v>0</v>
      </c>
      <c r="AE104" s="12">
        <v>0</v>
      </c>
      <c r="AF104" s="12">
        <v>0</v>
      </c>
      <c r="AG104" s="12">
        <v>0</v>
      </c>
      <c r="AH104" s="12">
        <v>0</v>
      </c>
      <c r="AI104" s="12">
        <v>4</v>
      </c>
      <c r="AJ104" s="12" t="s">
        <v>57</v>
      </c>
      <c r="AK104" s="12">
        <v>1</v>
      </c>
      <c r="AL104" s="12">
        <v>0</v>
      </c>
      <c r="AM104" s="12">
        <v>2926</v>
      </c>
      <c r="AN104" s="12">
        <f t="shared" si="17"/>
        <v>2926</v>
      </c>
      <c r="AO104" s="12">
        <v>1</v>
      </c>
      <c r="AP104" s="12" t="s">
        <v>52</v>
      </c>
      <c r="AQ104" s="12">
        <v>1</v>
      </c>
      <c r="AR104" s="12">
        <v>18</v>
      </c>
      <c r="AS104" s="12">
        <v>3</v>
      </c>
      <c r="AT104" s="12">
        <v>2</v>
      </c>
      <c r="AU104" s="12">
        <v>0</v>
      </c>
      <c r="AV104" s="12">
        <v>1</v>
      </c>
      <c r="AW104" s="12">
        <f t="shared" si="18"/>
        <v>1</v>
      </c>
      <c r="AX104" s="12">
        <v>5</v>
      </c>
      <c r="AY104" s="12">
        <v>3</v>
      </c>
      <c r="AZ104" s="12">
        <v>1</v>
      </c>
      <c r="BA104" s="12">
        <f t="shared" si="19"/>
        <v>1</v>
      </c>
      <c r="BB104" s="12">
        <v>0</v>
      </c>
      <c r="BC104" s="12">
        <v>1</v>
      </c>
      <c r="BD104" s="12">
        <f t="shared" si="28"/>
        <v>1</v>
      </c>
      <c r="BE104" s="12">
        <v>0</v>
      </c>
      <c r="BF104" s="12">
        <f t="shared" si="20"/>
        <v>0</v>
      </c>
      <c r="BG104" s="12">
        <f t="shared" si="29"/>
        <v>0</v>
      </c>
      <c r="BH104" s="67">
        <v>0</v>
      </c>
      <c r="BI104" s="67">
        <v>0</v>
      </c>
      <c r="BJ104" s="67">
        <v>1</v>
      </c>
      <c r="BK104" s="67">
        <v>0</v>
      </c>
      <c r="BL104" s="67">
        <v>0</v>
      </c>
      <c r="BM104" s="67">
        <v>1</v>
      </c>
      <c r="BN104" s="67">
        <v>0</v>
      </c>
      <c r="BO104" s="67">
        <v>0</v>
      </c>
      <c r="BP104" s="67">
        <v>0</v>
      </c>
      <c r="BQ104" s="67">
        <v>0</v>
      </c>
      <c r="BR104" s="67">
        <v>0</v>
      </c>
      <c r="BS104" s="67">
        <v>0</v>
      </c>
      <c r="BT104" s="67">
        <v>1</v>
      </c>
      <c r="BU104" s="70">
        <v>0</v>
      </c>
      <c r="BV104" s="29">
        <f t="shared" si="21"/>
        <v>0.75976298367022521</v>
      </c>
      <c r="BW104">
        <f t="shared" si="22"/>
        <v>1.1555414682655611</v>
      </c>
      <c r="BX104">
        <f t="shared" si="23"/>
        <v>1.3211515584717011</v>
      </c>
      <c r="BY104">
        <f t="shared" si="24"/>
        <v>0.9806804209314296</v>
      </c>
      <c r="BZ104">
        <f t="shared" si="25"/>
        <v>0.39380416832397891</v>
      </c>
      <c r="CA104">
        <f t="shared" si="26"/>
        <v>1.8525580310355525</v>
      </c>
      <c r="CB104">
        <f t="shared" si="27"/>
        <v>0.36858985273641137</v>
      </c>
    </row>
    <row r="105" spans="1:80" x14ac:dyDescent="0.45">
      <c r="A105" s="11">
        <v>34</v>
      </c>
      <c r="B105" s="12">
        <f t="shared" si="15"/>
        <v>34</v>
      </c>
      <c r="C105" s="12" t="s">
        <v>59</v>
      </c>
      <c r="D105" s="12">
        <v>0</v>
      </c>
      <c r="E105" s="12" t="s">
        <v>53</v>
      </c>
      <c r="F105" s="12">
        <v>0</v>
      </c>
      <c r="G105" s="12">
        <v>1</v>
      </c>
      <c r="H105" s="12" t="s">
        <v>61</v>
      </c>
      <c r="I105" s="12">
        <v>1</v>
      </c>
      <c r="J105" s="12">
        <v>0</v>
      </c>
      <c r="K105" s="12">
        <v>6</v>
      </c>
      <c r="L105" s="12">
        <f t="shared" si="16"/>
        <v>6</v>
      </c>
      <c r="M105" s="12">
        <v>4</v>
      </c>
      <c r="N105" s="12" t="s">
        <v>66</v>
      </c>
      <c r="O105" s="12">
        <v>0</v>
      </c>
      <c r="P105" s="12">
        <v>1</v>
      </c>
      <c r="Q105" s="12">
        <v>0</v>
      </c>
      <c r="R105" s="12">
        <v>0</v>
      </c>
      <c r="S105" s="12">
        <v>0</v>
      </c>
      <c r="T105" s="12">
        <v>1</v>
      </c>
      <c r="U105" s="12" t="s">
        <v>19</v>
      </c>
      <c r="V105" s="12">
        <v>1</v>
      </c>
      <c r="W105" s="12">
        <v>41</v>
      </c>
      <c r="X105" s="12">
        <v>3</v>
      </c>
      <c r="Y105" s="12">
        <v>2</v>
      </c>
      <c r="Z105" s="12" t="s">
        <v>63</v>
      </c>
      <c r="AA105" s="12">
        <v>0</v>
      </c>
      <c r="AB105" s="12">
        <v>0</v>
      </c>
      <c r="AC105" s="12">
        <v>0</v>
      </c>
      <c r="AD105" s="12">
        <v>0</v>
      </c>
      <c r="AE105" s="12">
        <v>0</v>
      </c>
      <c r="AF105" s="12">
        <v>0</v>
      </c>
      <c r="AG105" s="12">
        <v>0</v>
      </c>
      <c r="AH105" s="12">
        <v>1</v>
      </c>
      <c r="AI105" s="12">
        <v>3</v>
      </c>
      <c r="AJ105" s="12" t="s">
        <v>57</v>
      </c>
      <c r="AK105" s="12">
        <v>1</v>
      </c>
      <c r="AL105" s="12">
        <v>0</v>
      </c>
      <c r="AM105" s="12">
        <v>4809</v>
      </c>
      <c r="AN105" s="12">
        <f t="shared" si="17"/>
        <v>4809</v>
      </c>
      <c r="AO105" s="12">
        <v>1</v>
      </c>
      <c r="AP105" s="12" t="s">
        <v>59</v>
      </c>
      <c r="AQ105" s="12">
        <v>0</v>
      </c>
      <c r="AR105" s="12">
        <v>14</v>
      </c>
      <c r="AS105" s="12">
        <v>3</v>
      </c>
      <c r="AT105" s="12">
        <v>3</v>
      </c>
      <c r="AU105" s="12">
        <v>0</v>
      </c>
      <c r="AV105" s="12">
        <v>16</v>
      </c>
      <c r="AW105" s="12">
        <f t="shared" si="18"/>
        <v>16</v>
      </c>
      <c r="AX105" s="12">
        <v>3</v>
      </c>
      <c r="AY105" s="12">
        <v>3</v>
      </c>
      <c r="AZ105" s="12">
        <v>16</v>
      </c>
      <c r="BA105" s="12">
        <f t="shared" si="19"/>
        <v>16</v>
      </c>
      <c r="BB105" s="12">
        <v>13</v>
      </c>
      <c r="BC105" s="12">
        <v>2</v>
      </c>
      <c r="BD105" s="12">
        <f t="shared" si="28"/>
        <v>2</v>
      </c>
      <c r="BE105" s="12">
        <v>10</v>
      </c>
      <c r="BF105" s="12">
        <f t="shared" si="20"/>
        <v>10</v>
      </c>
      <c r="BG105" s="12">
        <f t="shared" si="29"/>
        <v>20</v>
      </c>
      <c r="BH105" s="67">
        <v>1</v>
      </c>
      <c r="BI105" s="67">
        <v>0</v>
      </c>
      <c r="BJ105" s="67">
        <v>0</v>
      </c>
      <c r="BK105" s="67">
        <v>0</v>
      </c>
      <c r="BL105" s="67">
        <v>1</v>
      </c>
      <c r="BM105" s="67">
        <v>0</v>
      </c>
      <c r="BN105" s="67">
        <v>0</v>
      </c>
      <c r="BO105" s="67">
        <v>0</v>
      </c>
      <c r="BP105" s="67">
        <v>0</v>
      </c>
      <c r="BQ105" s="67">
        <v>10</v>
      </c>
      <c r="BR105" s="67">
        <v>0</v>
      </c>
      <c r="BS105" s="67">
        <v>0</v>
      </c>
      <c r="BT105" s="67">
        <v>16</v>
      </c>
      <c r="BU105" s="70">
        <v>0</v>
      </c>
      <c r="BV105" s="29">
        <f t="shared" si="21"/>
        <v>0.35980179312570987</v>
      </c>
      <c r="BW105">
        <f t="shared" si="22"/>
        <v>1.6470421950744405</v>
      </c>
      <c r="BX105">
        <f t="shared" si="23"/>
        <v>0.60667531362816052</v>
      </c>
      <c r="BY105">
        <f t="shared" si="24"/>
        <v>1.4676895158369152</v>
      </c>
      <c r="BZ105">
        <f t="shared" si="25"/>
        <v>0.39380416832397891</v>
      </c>
      <c r="CA105">
        <f t="shared" si="26"/>
        <v>0.32005363845127444</v>
      </c>
      <c r="CB105">
        <f t="shared" si="27"/>
        <v>5.8265062631872602E-2</v>
      </c>
    </row>
    <row r="106" spans="1:80" x14ac:dyDescent="0.45">
      <c r="A106" s="11">
        <v>37</v>
      </c>
      <c r="B106" s="12">
        <f t="shared" si="15"/>
        <v>37</v>
      </c>
      <c r="C106" s="12" t="s">
        <v>59</v>
      </c>
      <c r="D106" s="12">
        <v>0</v>
      </c>
      <c r="E106" s="12" t="s">
        <v>86</v>
      </c>
      <c r="F106" s="12">
        <v>0</v>
      </c>
      <c r="G106" s="12">
        <v>0</v>
      </c>
      <c r="H106" s="12" t="s">
        <v>61</v>
      </c>
      <c r="I106" s="12">
        <v>1</v>
      </c>
      <c r="J106" s="12">
        <v>0</v>
      </c>
      <c r="K106" s="12">
        <v>2</v>
      </c>
      <c r="L106" s="12">
        <f t="shared" si="16"/>
        <v>2</v>
      </c>
      <c r="M106" s="12">
        <v>2</v>
      </c>
      <c r="N106" s="12" t="s">
        <v>55</v>
      </c>
      <c r="O106" s="12">
        <v>1</v>
      </c>
      <c r="P106" s="12">
        <v>0</v>
      </c>
      <c r="Q106" s="12">
        <v>0</v>
      </c>
      <c r="R106" s="12">
        <v>0</v>
      </c>
      <c r="S106" s="12">
        <v>0</v>
      </c>
      <c r="T106" s="12">
        <v>3</v>
      </c>
      <c r="U106" s="12" t="s">
        <v>62</v>
      </c>
      <c r="V106" s="12">
        <v>0</v>
      </c>
      <c r="W106" s="12">
        <v>100</v>
      </c>
      <c r="X106" s="12">
        <v>2</v>
      </c>
      <c r="Y106" s="12">
        <v>2</v>
      </c>
      <c r="Z106" s="12" t="s">
        <v>85</v>
      </c>
      <c r="AA106" s="12">
        <v>1</v>
      </c>
      <c r="AB106" s="12">
        <v>0</v>
      </c>
      <c r="AC106" s="12">
        <v>0</v>
      </c>
      <c r="AD106" s="12">
        <v>0</v>
      </c>
      <c r="AE106" s="12">
        <v>0</v>
      </c>
      <c r="AF106" s="12">
        <v>0</v>
      </c>
      <c r="AG106" s="12">
        <v>0</v>
      </c>
      <c r="AH106" s="12">
        <v>0</v>
      </c>
      <c r="AI106" s="12">
        <v>4</v>
      </c>
      <c r="AJ106" s="12" t="s">
        <v>78</v>
      </c>
      <c r="AK106" s="12">
        <v>0</v>
      </c>
      <c r="AL106" s="12">
        <v>0</v>
      </c>
      <c r="AM106" s="12">
        <v>5163</v>
      </c>
      <c r="AN106" s="12">
        <f t="shared" si="17"/>
        <v>5163</v>
      </c>
      <c r="AO106" s="12">
        <v>5</v>
      </c>
      <c r="AP106" s="12" t="s">
        <v>59</v>
      </c>
      <c r="AQ106" s="12">
        <v>0</v>
      </c>
      <c r="AR106" s="12">
        <v>14</v>
      </c>
      <c r="AS106" s="12">
        <v>3</v>
      </c>
      <c r="AT106" s="12">
        <v>4</v>
      </c>
      <c r="AU106" s="12">
        <v>1</v>
      </c>
      <c r="AV106" s="12">
        <v>17</v>
      </c>
      <c r="AW106" s="12">
        <f t="shared" si="18"/>
        <v>17</v>
      </c>
      <c r="AX106" s="12">
        <v>2</v>
      </c>
      <c r="AY106" s="12">
        <v>4</v>
      </c>
      <c r="AZ106" s="12">
        <v>1</v>
      </c>
      <c r="BA106" s="12">
        <f t="shared" si="19"/>
        <v>1</v>
      </c>
      <c r="BB106" s="12">
        <v>0</v>
      </c>
      <c r="BC106" s="12">
        <v>0</v>
      </c>
      <c r="BD106" s="12">
        <f t="shared" si="28"/>
        <v>0</v>
      </c>
      <c r="BE106" s="12">
        <v>0</v>
      </c>
      <c r="BF106" s="12">
        <f t="shared" si="20"/>
        <v>0</v>
      </c>
      <c r="BG106" s="12">
        <f t="shared" si="29"/>
        <v>0</v>
      </c>
      <c r="BH106" s="67">
        <v>1</v>
      </c>
      <c r="BI106" s="67">
        <v>0</v>
      </c>
      <c r="BJ106" s="67">
        <v>0</v>
      </c>
      <c r="BK106" s="67">
        <v>0</v>
      </c>
      <c r="BL106" s="67">
        <v>1</v>
      </c>
      <c r="BM106" s="67">
        <v>0</v>
      </c>
      <c r="BN106" s="67">
        <v>0</v>
      </c>
      <c r="BO106" s="67">
        <v>0</v>
      </c>
      <c r="BP106" s="67">
        <v>0</v>
      </c>
      <c r="BQ106" s="67">
        <v>0</v>
      </c>
      <c r="BR106" s="67">
        <v>0</v>
      </c>
      <c r="BS106" s="67">
        <v>0</v>
      </c>
      <c r="BT106" s="67">
        <v>17</v>
      </c>
      <c r="BU106" s="70">
        <v>0</v>
      </c>
      <c r="BV106" s="29">
        <f t="shared" si="21"/>
        <v>0.28460993892881215</v>
      </c>
      <c r="BW106">
        <f t="shared" si="22"/>
        <v>1.1555414682655611</v>
      </c>
      <c r="BX106">
        <f t="shared" si="23"/>
        <v>0.73519710510148462</v>
      </c>
      <c r="BY106">
        <f t="shared" si="24"/>
        <v>0.9806804209314296</v>
      </c>
      <c r="BZ106">
        <f t="shared" si="25"/>
        <v>0.88721318382472392</v>
      </c>
      <c r="CA106">
        <f t="shared" si="26"/>
        <v>8.3401599596422994E-3</v>
      </c>
      <c r="CB106">
        <f t="shared" si="27"/>
        <v>0.67891464284095016</v>
      </c>
    </row>
    <row r="107" spans="1:80" x14ac:dyDescent="0.45">
      <c r="A107" s="11">
        <v>59</v>
      </c>
      <c r="B107" s="12">
        <f t="shared" si="15"/>
        <v>58.309999999999945</v>
      </c>
      <c r="C107" s="12" t="s">
        <v>59</v>
      </c>
      <c r="D107" s="12">
        <v>0</v>
      </c>
      <c r="E107" s="12" t="s">
        <v>86</v>
      </c>
      <c r="F107" s="12">
        <v>0</v>
      </c>
      <c r="G107" s="12">
        <v>0</v>
      </c>
      <c r="H107" s="12" t="s">
        <v>97</v>
      </c>
      <c r="I107" s="12">
        <v>0</v>
      </c>
      <c r="J107" s="12">
        <v>0</v>
      </c>
      <c r="K107" s="12">
        <v>2</v>
      </c>
      <c r="L107" s="12">
        <f t="shared" si="16"/>
        <v>2</v>
      </c>
      <c r="M107" s="12">
        <v>4</v>
      </c>
      <c r="N107" s="12" t="s">
        <v>97</v>
      </c>
      <c r="O107" s="12">
        <v>0</v>
      </c>
      <c r="P107" s="12">
        <v>0</v>
      </c>
      <c r="Q107" s="12">
        <v>0</v>
      </c>
      <c r="R107" s="12">
        <v>0</v>
      </c>
      <c r="S107" s="12">
        <v>0</v>
      </c>
      <c r="T107" s="12">
        <v>3</v>
      </c>
      <c r="U107" s="12" t="s">
        <v>19</v>
      </c>
      <c r="V107" s="12">
        <v>1</v>
      </c>
      <c r="W107" s="12">
        <v>32</v>
      </c>
      <c r="X107" s="12">
        <v>2</v>
      </c>
      <c r="Y107" s="12">
        <v>5</v>
      </c>
      <c r="Z107" s="12" t="s">
        <v>87</v>
      </c>
      <c r="AA107" s="12">
        <v>0</v>
      </c>
      <c r="AB107" s="12">
        <v>0</v>
      </c>
      <c r="AC107" s="12">
        <v>0</v>
      </c>
      <c r="AD107" s="12">
        <v>1</v>
      </c>
      <c r="AE107" s="12">
        <v>0</v>
      </c>
      <c r="AF107" s="12">
        <v>0</v>
      </c>
      <c r="AG107" s="12">
        <v>0</v>
      </c>
      <c r="AH107" s="12">
        <v>0</v>
      </c>
      <c r="AI107" s="12">
        <v>4</v>
      </c>
      <c r="AJ107" s="12" t="s">
        <v>64</v>
      </c>
      <c r="AK107" s="12">
        <v>0</v>
      </c>
      <c r="AL107" s="12">
        <v>1</v>
      </c>
      <c r="AM107" s="12">
        <v>18844</v>
      </c>
      <c r="AN107" s="12">
        <f t="shared" si="17"/>
        <v>18844</v>
      </c>
      <c r="AO107" s="12">
        <v>9</v>
      </c>
      <c r="AP107" s="12" t="s">
        <v>59</v>
      </c>
      <c r="AQ107" s="12">
        <v>0</v>
      </c>
      <c r="AR107" s="12">
        <v>21</v>
      </c>
      <c r="AS107" s="12">
        <v>4</v>
      </c>
      <c r="AT107" s="12">
        <v>4</v>
      </c>
      <c r="AU107" s="12">
        <v>1</v>
      </c>
      <c r="AV107" s="12">
        <v>30</v>
      </c>
      <c r="AW107" s="12">
        <f t="shared" si="18"/>
        <v>30</v>
      </c>
      <c r="AX107" s="12">
        <v>3</v>
      </c>
      <c r="AY107" s="12">
        <v>3</v>
      </c>
      <c r="AZ107" s="12">
        <v>3</v>
      </c>
      <c r="BA107" s="12">
        <f t="shared" si="19"/>
        <v>3</v>
      </c>
      <c r="BB107" s="12">
        <v>2</v>
      </c>
      <c r="BC107" s="12">
        <v>2</v>
      </c>
      <c r="BD107" s="12">
        <f t="shared" si="28"/>
        <v>2</v>
      </c>
      <c r="BE107" s="12">
        <v>2</v>
      </c>
      <c r="BF107" s="12">
        <f t="shared" si="20"/>
        <v>2</v>
      </c>
      <c r="BG107" s="12">
        <f t="shared" si="29"/>
        <v>10</v>
      </c>
      <c r="BH107" s="67">
        <v>0</v>
      </c>
      <c r="BI107" s="67">
        <v>1</v>
      </c>
      <c r="BJ107" s="67">
        <v>0</v>
      </c>
      <c r="BK107" s="67">
        <v>0</v>
      </c>
      <c r="BL107" s="67">
        <v>0</v>
      </c>
      <c r="BM107" s="67">
        <v>0</v>
      </c>
      <c r="BN107" s="67">
        <v>1</v>
      </c>
      <c r="BO107" s="67">
        <v>0</v>
      </c>
      <c r="BP107" s="67">
        <v>2</v>
      </c>
      <c r="BQ107" s="67">
        <v>0</v>
      </c>
      <c r="BR107" s="67">
        <v>0</v>
      </c>
      <c r="BS107" s="67">
        <v>30</v>
      </c>
      <c r="BT107" s="67">
        <v>0</v>
      </c>
      <c r="BU107" s="70">
        <v>0</v>
      </c>
      <c r="BV107" s="29">
        <f t="shared" si="21"/>
        <v>2.6213215787767181</v>
      </c>
      <c r="BW107">
        <f t="shared" si="22"/>
        <v>0.59502473559756086</v>
      </c>
      <c r="BX107">
        <f t="shared" si="23"/>
        <v>2.4059803942546978</v>
      </c>
      <c r="BY107">
        <f t="shared" si="24"/>
        <v>0.65423109602898355</v>
      </c>
      <c r="BZ107">
        <f t="shared" si="25"/>
        <v>0.88721318382472392</v>
      </c>
      <c r="CA107">
        <f t="shared" si="26"/>
        <v>2.4165613483063648</v>
      </c>
      <c r="CB107">
        <f t="shared" si="27"/>
        <v>5.8265062631872602E-2</v>
      </c>
    </row>
    <row r="108" spans="1:80" x14ac:dyDescent="0.45">
      <c r="A108" s="11">
        <v>50</v>
      </c>
      <c r="B108" s="12">
        <f t="shared" si="15"/>
        <v>50</v>
      </c>
      <c r="C108" s="12" t="s">
        <v>59</v>
      </c>
      <c r="D108" s="12">
        <v>0</v>
      </c>
      <c r="E108" s="12" t="s">
        <v>60</v>
      </c>
      <c r="F108" s="12">
        <v>1</v>
      </c>
      <c r="G108" s="12">
        <v>0</v>
      </c>
      <c r="H108" s="12" t="s">
        <v>61</v>
      </c>
      <c r="I108" s="12">
        <v>1</v>
      </c>
      <c r="J108" s="12">
        <v>0</v>
      </c>
      <c r="K108" s="12">
        <v>1</v>
      </c>
      <c r="L108" s="12">
        <f t="shared" si="16"/>
        <v>1</v>
      </c>
      <c r="M108" s="12">
        <v>3</v>
      </c>
      <c r="N108" s="12" t="s">
        <v>55</v>
      </c>
      <c r="O108" s="12">
        <v>1</v>
      </c>
      <c r="P108" s="12">
        <v>0</v>
      </c>
      <c r="Q108" s="12">
        <v>0</v>
      </c>
      <c r="R108" s="12">
        <v>0</v>
      </c>
      <c r="S108" s="12">
        <v>0</v>
      </c>
      <c r="T108" s="12">
        <v>1</v>
      </c>
      <c r="U108" s="12" t="s">
        <v>19</v>
      </c>
      <c r="V108" s="12">
        <v>1</v>
      </c>
      <c r="W108" s="12">
        <v>73</v>
      </c>
      <c r="X108" s="12">
        <v>3</v>
      </c>
      <c r="Y108" s="12">
        <v>5</v>
      </c>
      <c r="Z108" s="12" t="s">
        <v>89</v>
      </c>
      <c r="AA108" s="12">
        <v>0</v>
      </c>
      <c r="AB108" s="12">
        <v>0</v>
      </c>
      <c r="AC108" s="12">
        <v>0</v>
      </c>
      <c r="AD108" s="12">
        <v>0</v>
      </c>
      <c r="AE108" s="12">
        <v>0</v>
      </c>
      <c r="AF108" s="12">
        <v>0</v>
      </c>
      <c r="AG108" s="12">
        <v>0</v>
      </c>
      <c r="AH108" s="12">
        <v>0</v>
      </c>
      <c r="AI108" s="12">
        <v>2</v>
      </c>
      <c r="AJ108" s="12" t="s">
        <v>64</v>
      </c>
      <c r="AK108" s="12">
        <v>0</v>
      </c>
      <c r="AL108" s="12">
        <v>1</v>
      </c>
      <c r="AM108" s="12">
        <v>18172</v>
      </c>
      <c r="AN108" s="12">
        <f t="shared" si="17"/>
        <v>18172</v>
      </c>
      <c r="AO108" s="12">
        <v>3</v>
      </c>
      <c r="AP108" s="12" t="s">
        <v>52</v>
      </c>
      <c r="AQ108" s="12">
        <v>1</v>
      </c>
      <c r="AR108" s="12">
        <v>19</v>
      </c>
      <c r="AS108" s="12">
        <v>3</v>
      </c>
      <c r="AT108" s="12">
        <v>1</v>
      </c>
      <c r="AU108" s="12">
        <v>0</v>
      </c>
      <c r="AV108" s="12">
        <v>28</v>
      </c>
      <c r="AW108" s="12">
        <f t="shared" si="18"/>
        <v>28</v>
      </c>
      <c r="AX108" s="12">
        <v>1</v>
      </c>
      <c r="AY108" s="12">
        <v>2</v>
      </c>
      <c r="AZ108" s="12">
        <v>8</v>
      </c>
      <c r="BA108" s="12">
        <f t="shared" si="19"/>
        <v>8</v>
      </c>
      <c r="BB108" s="12">
        <v>3</v>
      </c>
      <c r="BC108" s="12">
        <v>0</v>
      </c>
      <c r="BD108" s="12">
        <f t="shared" si="28"/>
        <v>0</v>
      </c>
      <c r="BE108" s="12">
        <v>7</v>
      </c>
      <c r="BF108" s="12">
        <f t="shared" si="20"/>
        <v>7</v>
      </c>
      <c r="BG108" s="12">
        <f t="shared" si="29"/>
        <v>35</v>
      </c>
      <c r="BH108" s="67">
        <v>0</v>
      </c>
      <c r="BI108" s="67">
        <v>0</v>
      </c>
      <c r="BJ108" s="67">
        <v>0</v>
      </c>
      <c r="BK108" s="67">
        <v>1</v>
      </c>
      <c r="BL108" s="67">
        <v>0</v>
      </c>
      <c r="BM108" s="67">
        <v>0</v>
      </c>
      <c r="BN108" s="67">
        <v>0</v>
      </c>
      <c r="BO108" s="67">
        <v>1</v>
      </c>
      <c r="BP108" s="67">
        <v>0</v>
      </c>
      <c r="BQ108" s="67">
        <v>7</v>
      </c>
      <c r="BR108" s="67">
        <v>0</v>
      </c>
      <c r="BS108" s="67">
        <v>0</v>
      </c>
      <c r="BT108" s="67">
        <v>28</v>
      </c>
      <c r="BU108" s="70">
        <v>0</v>
      </c>
      <c r="BV108" s="29">
        <f t="shared" si="21"/>
        <v>2.4785844996232851</v>
      </c>
      <c r="BW108">
        <f t="shared" si="22"/>
        <v>0.80626709607243985</v>
      </c>
      <c r="BX108">
        <f t="shared" si="23"/>
        <v>2.1489368113080496</v>
      </c>
      <c r="BY108">
        <f t="shared" si="24"/>
        <v>0.16189221622713135</v>
      </c>
      <c r="BZ108">
        <f t="shared" si="25"/>
        <v>1.01056543769991</v>
      </c>
      <c r="CA108">
        <f t="shared" si="26"/>
        <v>1.4313799530736149</v>
      </c>
      <c r="CB108">
        <f t="shared" si="27"/>
        <v>0.67891464284095016</v>
      </c>
    </row>
    <row r="109" spans="1:80" x14ac:dyDescent="0.45">
      <c r="A109" s="11">
        <v>25</v>
      </c>
      <c r="B109" s="12">
        <f t="shared" si="15"/>
        <v>25</v>
      </c>
      <c r="C109" s="12" t="s">
        <v>52</v>
      </c>
      <c r="D109" s="12">
        <v>1</v>
      </c>
      <c r="E109" s="12" t="s">
        <v>53</v>
      </c>
      <c r="F109" s="12">
        <v>0</v>
      </c>
      <c r="G109" s="12">
        <v>1</v>
      </c>
      <c r="H109" s="12" t="s">
        <v>54</v>
      </c>
      <c r="I109" s="12">
        <v>0</v>
      </c>
      <c r="J109" s="12">
        <v>1</v>
      </c>
      <c r="K109" s="12">
        <v>5</v>
      </c>
      <c r="L109" s="12">
        <f t="shared" si="16"/>
        <v>5</v>
      </c>
      <c r="M109" s="12">
        <v>3</v>
      </c>
      <c r="N109" s="12" t="s">
        <v>90</v>
      </c>
      <c r="O109" s="12">
        <v>0</v>
      </c>
      <c r="P109" s="12">
        <v>0</v>
      </c>
      <c r="Q109" s="12">
        <v>0</v>
      </c>
      <c r="R109" s="12">
        <v>1</v>
      </c>
      <c r="S109" s="12">
        <v>0</v>
      </c>
      <c r="T109" s="12">
        <v>3</v>
      </c>
      <c r="U109" s="12" t="s">
        <v>62</v>
      </c>
      <c r="V109" s="12">
        <v>0</v>
      </c>
      <c r="W109" s="12">
        <v>46</v>
      </c>
      <c r="X109" s="12">
        <v>2</v>
      </c>
      <c r="Y109" s="12">
        <v>2</v>
      </c>
      <c r="Z109" s="12" t="s">
        <v>56</v>
      </c>
      <c r="AA109" s="12">
        <v>0</v>
      </c>
      <c r="AB109" s="12">
        <v>1</v>
      </c>
      <c r="AC109" s="12">
        <v>0</v>
      </c>
      <c r="AD109" s="12">
        <v>0</v>
      </c>
      <c r="AE109" s="12">
        <v>0</v>
      </c>
      <c r="AF109" s="12">
        <v>0</v>
      </c>
      <c r="AG109" s="12">
        <v>0</v>
      </c>
      <c r="AH109" s="12">
        <v>0</v>
      </c>
      <c r="AI109" s="12">
        <v>3</v>
      </c>
      <c r="AJ109" s="12" t="s">
        <v>57</v>
      </c>
      <c r="AK109" s="12">
        <v>1</v>
      </c>
      <c r="AL109" s="12">
        <v>0</v>
      </c>
      <c r="AM109" s="12">
        <v>5744</v>
      </c>
      <c r="AN109" s="12">
        <f t="shared" si="17"/>
        <v>5744</v>
      </c>
      <c r="AO109" s="12">
        <v>1</v>
      </c>
      <c r="AP109" s="12" t="s">
        <v>52</v>
      </c>
      <c r="AQ109" s="12">
        <v>1</v>
      </c>
      <c r="AR109" s="12">
        <v>11</v>
      </c>
      <c r="AS109" s="12">
        <v>3</v>
      </c>
      <c r="AT109" s="12">
        <v>4</v>
      </c>
      <c r="AU109" s="12">
        <v>0</v>
      </c>
      <c r="AV109" s="12">
        <v>6</v>
      </c>
      <c r="AW109" s="12">
        <f t="shared" si="18"/>
        <v>6</v>
      </c>
      <c r="AX109" s="12">
        <v>1</v>
      </c>
      <c r="AY109" s="12">
        <v>3</v>
      </c>
      <c r="AZ109" s="12">
        <v>6</v>
      </c>
      <c r="BA109" s="12">
        <f t="shared" si="19"/>
        <v>6</v>
      </c>
      <c r="BB109" s="12">
        <v>4</v>
      </c>
      <c r="BC109" s="12">
        <v>0</v>
      </c>
      <c r="BD109" s="12">
        <f t="shared" si="28"/>
        <v>0</v>
      </c>
      <c r="BE109" s="12">
        <v>3</v>
      </c>
      <c r="BF109" s="12">
        <f t="shared" si="20"/>
        <v>3</v>
      </c>
      <c r="BG109" s="12">
        <f t="shared" si="29"/>
        <v>6</v>
      </c>
      <c r="BH109" s="67">
        <v>1</v>
      </c>
      <c r="BI109" s="67">
        <v>0</v>
      </c>
      <c r="BJ109" s="67">
        <v>0</v>
      </c>
      <c r="BK109" s="67">
        <v>0</v>
      </c>
      <c r="BL109" s="67">
        <v>0</v>
      </c>
      <c r="BM109" s="67">
        <v>1</v>
      </c>
      <c r="BN109" s="67">
        <v>0</v>
      </c>
      <c r="BO109" s="67">
        <v>0</v>
      </c>
      <c r="BP109" s="67">
        <v>0</v>
      </c>
      <c r="BQ109" s="67">
        <v>0</v>
      </c>
      <c r="BR109" s="67">
        <v>3</v>
      </c>
      <c r="BS109" s="67">
        <v>0</v>
      </c>
      <c r="BT109" s="67">
        <v>0</v>
      </c>
      <c r="BU109" s="70">
        <v>6</v>
      </c>
      <c r="BV109" s="29">
        <f t="shared" si="21"/>
        <v>0.16120183924407325</v>
      </c>
      <c r="BW109">
        <f t="shared" si="22"/>
        <v>0.31476636926356072</v>
      </c>
      <c r="BX109">
        <f t="shared" si="23"/>
        <v>0.67854260110508058</v>
      </c>
      <c r="BY109">
        <f t="shared" si="24"/>
        <v>0.16455710867531462</v>
      </c>
      <c r="BZ109">
        <f t="shared" si="25"/>
        <v>0.51715642219916513</v>
      </c>
      <c r="CA109">
        <f t="shared" si="26"/>
        <v>1.3052350336840246</v>
      </c>
      <c r="CB109">
        <f t="shared" si="27"/>
        <v>0.67891464284095016</v>
      </c>
    </row>
    <row r="110" spans="1:80" x14ac:dyDescent="0.45">
      <c r="A110" s="11">
        <v>25</v>
      </c>
      <c r="B110" s="12">
        <f t="shared" si="15"/>
        <v>25</v>
      </c>
      <c r="C110" s="12" t="s">
        <v>59</v>
      </c>
      <c r="D110" s="12">
        <v>0</v>
      </c>
      <c r="E110" s="12" t="s">
        <v>53</v>
      </c>
      <c r="F110" s="12">
        <v>0</v>
      </c>
      <c r="G110" s="12">
        <v>1</v>
      </c>
      <c r="H110" s="12" t="s">
        <v>61</v>
      </c>
      <c r="I110" s="12">
        <v>1</v>
      </c>
      <c r="J110" s="12">
        <v>0</v>
      </c>
      <c r="K110" s="12">
        <v>7</v>
      </c>
      <c r="L110" s="12">
        <f t="shared" si="16"/>
        <v>7</v>
      </c>
      <c r="M110" s="12">
        <v>1</v>
      </c>
      <c r="N110" s="12" t="s">
        <v>70</v>
      </c>
      <c r="O110" s="12">
        <v>0</v>
      </c>
      <c r="P110" s="12">
        <v>0</v>
      </c>
      <c r="Q110" s="12">
        <v>1</v>
      </c>
      <c r="R110" s="12">
        <v>0</v>
      </c>
      <c r="S110" s="12">
        <v>0</v>
      </c>
      <c r="T110" s="12">
        <v>4</v>
      </c>
      <c r="U110" s="12" t="s">
        <v>62</v>
      </c>
      <c r="V110" s="12">
        <v>0</v>
      </c>
      <c r="W110" s="12">
        <v>64</v>
      </c>
      <c r="X110" s="12">
        <v>2</v>
      </c>
      <c r="Y110" s="12">
        <v>1</v>
      </c>
      <c r="Z110" s="12" t="s">
        <v>63</v>
      </c>
      <c r="AA110" s="12">
        <v>0</v>
      </c>
      <c r="AB110" s="12">
        <v>0</v>
      </c>
      <c r="AC110" s="12">
        <v>0</v>
      </c>
      <c r="AD110" s="12">
        <v>0</v>
      </c>
      <c r="AE110" s="12">
        <v>0</v>
      </c>
      <c r="AF110" s="12">
        <v>0</v>
      </c>
      <c r="AG110" s="12">
        <v>0</v>
      </c>
      <c r="AH110" s="12">
        <v>1</v>
      </c>
      <c r="AI110" s="12">
        <v>4</v>
      </c>
      <c r="AJ110" s="12" t="s">
        <v>64</v>
      </c>
      <c r="AK110" s="12">
        <v>0</v>
      </c>
      <c r="AL110" s="12">
        <v>1</v>
      </c>
      <c r="AM110" s="12">
        <v>2889</v>
      </c>
      <c r="AN110" s="12">
        <f t="shared" si="17"/>
        <v>2889</v>
      </c>
      <c r="AO110" s="12">
        <v>1</v>
      </c>
      <c r="AP110" s="12" t="s">
        <v>59</v>
      </c>
      <c r="AQ110" s="12">
        <v>0</v>
      </c>
      <c r="AR110" s="12">
        <v>11</v>
      </c>
      <c r="AS110" s="12">
        <v>3</v>
      </c>
      <c r="AT110" s="12">
        <v>3</v>
      </c>
      <c r="AU110" s="12">
        <v>2</v>
      </c>
      <c r="AV110" s="12">
        <v>2</v>
      </c>
      <c r="AW110" s="12">
        <f t="shared" si="18"/>
        <v>2</v>
      </c>
      <c r="AX110" s="12">
        <v>2</v>
      </c>
      <c r="AY110" s="12">
        <v>3</v>
      </c>
      <c r="AZ110" s="12">
        <v>2</v>
      </c>
      <c r="BA110" s="12">
        <f t="shared" si="19"/>
        <v>2</v>
      </c>
      <c r="BB110" s="12">
        <v>2</v>
      </c>
      <c r="BC110" s="12">
        <v>2</v>
      </c>
      <c r="BD110" s="12">
        <f t="shared" si="28"/>
        <v>2</v>
      </c>
      <c r="BE110" s="12">
        <v>1</v>
      </c>
      <c r="BF110" s="12">
        <f t="shared" si="20"/>
        <v>1</v>
      </c>
      <c r="BG110" s="12">
        <f t="shared" si="29"/>
        <v>1</v>
      </c>
      <c r="BH110" s="67">
        <v>0</v>
      </c>
      <c r="BI110" s="67">
        <v>1</v>
      </c>
      <c r="BJ110" s="67">
        <v>0</v>
      </c>
      <c r="BK110" s="67">
        <v>0</v>
      </c>
      <c r="BL110" s="67">
        <v>0</v>
      </c>
      <c r="BM110" s="67">
        <v>0</v>
      </c>
      <c r="BN110" s="67">
        <v>1</v>
      </c>
      <c r="BO110" s="67">
        <v>0</v>
      </c>
      <c r="BP110" s="67">
        <v>0</v>
      </c>
      <c r="BQ110" s="67">
        <v>1</v>
      </c>
      <c r="BR110" s="67">
        <v>0</v>
      </c>
      <c r="BS110" s="67">
        <v>0</v>
      </c>
      <c r="BT110" s="67">
        <v>2</v>
      </c>
      <c r="BU110" s="70">
        <v>0</v>
      </c>
      <c r="BV110" s="29">
        <f t="shared" si="21"/>
        <v>0.76762201927837548</v>
      </c>
      <c r="BW110">
        <f t="shared" si="22"/>
        <v>0.87528310193156111</v>
      </c>
      <c r="BX110">
        <f t="shared" si="23"/>
        <v>1.192629766998377</v>
      </c>
      <c r="BY110">
        <f t="shared" si="24"/>
        <v>0.81745575848020657</v>
      </c>
      <c r="BZ110">
        <f t="shared" si="25"/>
        <v>0.27045191444879263</v>
      </c>
      <c r="CA110">
        <f t="shared" si="26"/>
        <v>1.3052350336840246</v>
      </c>
      <c r="CB110">
        <f t="shared" si="27"/>
        <v>5.8265062631872602E-2</v>
      </c>
    </row>
    <row r="111" spans="1:80" x14ac:dyDescent="0.45">
      <c r="A111" s="11">
        <v>22</v>
      </c>
      <c r="B111" s="12">
        <f t="shared" si="15"/>
        <v>22</v>
      </c>
      <c r="C111" s="12" t="s">
        <v>59</v>
      </c>
      <c r="D111" s="12">
        <v>0</v>
      </c>
      <c r="E111" s="12" t="s">
        <v>53</v>
      </c>
      <c r="F111" s="12">
        <v>0</v>
      </c>
      <c r="G111" s="12">
        <v>1</v>
      </c>
      <c r="H111" s="12" t="s">
        <v>61</v>
      </c>
      <c r="I111" s="12">
        <v>1</v>
      </c>
      <c r="J111" s="12">
        <v>0</v>
      </c>
      <c r="K111" s="12">
        <v>15</v>
      </c>
      <c r="L111" s="12">
        <f t="shared" si="16"/>
        <v>15</v>
      </c>
      <c r="M111" s="12">
        <v>3</v>
      </c>
      <c r="N111" s="12" t="s">
        <v>70</v>
      </c>
      <c r="O111" s="12">
        <v>0</v>
      </c>
      <c r="P111" s="12">
        <v>0</v>
      </c>
      <c r="Q111" s="12">
        <v>1</v>
      </c>
      <c r="R111" s="12">
        <v>0</v>
      </c>
      <c r="S111" s="12">
        <v>0</v>
      </c>
      <c r="T111" s="12">
        <v>2</v>
      </c>
      <c r="U111" s="12" t="s">
        <v>19</v>
      </c>
      <c r="V111" s="12">
        <v>1</v>
      </c>
      <c r="W111" s="12">
        <v>59</v>
      </c>
      <c r="X111" s="12">
        <v>3</v>
      </c>
      <c r="Y111" s="12">
        <v>1</v>
      </c>
      <c r="Z111" s="12" t="s">
        <v>67</v>
      </c>
      <c r="AA111" s="12">
        <v>0</v>
      </c>
      <c r="AB111" s="12">
        <v>0</v>
      </c>
      <c r="AC111" s="12">
        <v>1</v>
      </c>
      <c r="AD111" s="12">
        <v>0</v>
      </c>
      <c r="AE111" s="12">
        <v>0</v>
      </c>
      <c r="AF111" s="12">
        <v>0</v>
      </c>
      <c r="AG111" s="12">
        <v>0</v>
      </c>
      <c r="AH111" s="12">
        <v>0</v>
      </c>
      <c r="AI111" s="12">
        <v>4</v>
      </c>
      <c r="AJ111" s="12" t="s">
        <v>57</v>
      </c>
      <c r="AK111" s="12">
        <v>1</v>
      </c>
      <c r="AL111" s="12">
        <v>0</v>
      </c>
      <c r="AM111" s="12">
        <v>2871</v>
      </c>
      <c r="AN111" s="12">
        <f t="shared" si="17"/>
        <v>2871</v>
      </c>
      <c r="AO111" s="12">
        <v>1</v>
      </c>
      <c r="AP111" s="12" t="s">
        <v>59</v>
      </c>
      <c r="AQ111" s="12">
        <v>0</v>
      </c>
      <c r="AR111" s="12">
        <v>15</v>
      </c>
      <c r="AS111" s="12">
        <v>3</v>
      </c>
      <c r="AT111" s="12">
        <v>3</v>
      </c>
      <c r="AU111" s="12">
        <v>0</v>
      </c>
      <c r="AV111" s="12">
        <v>1</v>
      </c>
      <c r="AW111" s="12">
        <f t="shared" si="18"/>
        <v>1</v>
      </c>
      <c r="AX111" s="12">
        <v>5</v>
      </c>
      <c r="AY111" s="12">
        <v>3</v>
      </c>
      <c r="AZ111" s="12">
        <v>0</v>
      </c>
      <c r="BA111" s="12">
        <f t="shared" si="19"/>
        <v>0</v>
      </c>
      <c r="BB111" s="12">
        <v>0</v>
      </c>
      <c r="BC111" s="12">
        <v>0</v>
      </c>
      <c r="BD111" s="12">
        <f t="shared" si="28"/>
        <v>0</v>
      </c>
      <c r="BE111" s="12">
        <v>0</v>
      </c>
      <c r="BF111" s="12">
        <f t="shared" si="20"/>
        <v>0</v>
      </c>
      <c r="BG111" s="12">
        <f t="shared" si="29"/>
        <v>0</v>
      </c>
      <c r="BH111" s="67">
        <v>1</v>
      </c>
      <c r="BI111" s="67">
        <v>0</v>
      </c>
      <c r="BJ111" s="67">
        <v>0</v>
      </c>
      <c r="BK111" s="67">
        <v>0</v>
      </c>
      <c r="BL111" s="67">
        <v>1</v>
      </c>
      <c r="BM111" s="67">
        <v>0</v>
      </c>
      <c r="BN111" s="67">
        <v>0</v>
      </c>
      <c r="BO111" s="67">
        <v>0</v>
      </c>
      <c r="BP111" s="67">
        <v>0</v>
      </c>
      <c r="BQ111" s="67">
        <v>0</v>
      </c>
      <c r="BR111" s="67">
        <v>0</v>
      </c>
      <c r="BS111" s="67">
        <v>0</v>
      </c>
      <c r="BT111" s="67">
        <v>1</v>
      </c>
      <c r="BU111" s="70">
        <v>0</v>
      </c>
      <c r="BV111" s="29">
        <f t="shared" si="21"/>
        <v>0.77144533389855674</v>
      </c>
      <c r="BW111">
        <f t="shared" si="22"/>
        <v>1.1555414682655611</v>
      </c>
      <c r="BX111">
        <f t="shared" si="23"/>
        <v>1.3211515584717011</v>
      </c>
      <c r="BY111">
        <f t="shared" si="24"/>
        <v>1.1439050833826525</v>
      </c>
      <c r="BZ111">
        <f t="shared" si="25"/>
        <v>0.71636611655269733</v>
      </c>
      <c r="CA111">
        <f t="shared" si="26"/>
        <v>1.6336288320949415</v>
      </c>
      <c r="CB111">
        <f t="shared" si="27"/>
        <v>0.67891464284095016</v>
      </c>
    </row>
    <row r="112" spans="1:80" x14ac:dyDescent="0.45">
      <c r="A112" s="11">
        <v>51</v>
      </c>
      <c r="B112" s="12">
        <f t="shared" si="15"/>
        <v>51</v>
      </c>
      <c r="C112" s="12" t="s">
        <v>59</v>
      </c>
      <c r="D112" s="12">
        <v>0</v>
      </c>
      <c r="E112" s="12" t="s">
        <v>60</v>
      </c>
      <c r="F112" s="12">
        <v>1</v>
      </c>
      <c r="G112" s="12">
        <v>0</v>
      </c>
      <c r="H112" s="12" t="s">
        <v>61</v>
      </c>
      <c r="I112" s="12">
        <v>1</v>
      </c>
      <c r="J112" s="12">
        <v>0</v>
      </c>
      <c r="K112" s="12">
        <v>1</v>
      </c>
      <c r="L112" s="12">
        <f t="shared" si="16"/>
        <v>1</v>
      </c>
      <c r="M112" s="12">
        <v>4</v>
      </c>
      <c r="N112" s="12" t="s">
        <v>70</v>
      </c>
      <c r="O112" s="12">
        <v>0</v>
      </c>
      <c r="P112" s="12">
        <v>0</v>
      </c>
      <c r="Q112" s="12">
        <v>1</v>
      </c>
      <c r="R112" s="12">
        <v>0</v>
      </c>
      <c r="S112" s="12">
        <v>0</v>
      </c>
      <c r="T112" s="12">
        <v>1</v>
      </c>
      <c r="U112" s="12" t="s">
        <v>19</v>
      </c>
      <c r="V112" s="12">
        <v>1</v>
      </c>
      <c r="W112" s="12">
        <v>30</v>
      </c>
      <c r="X112" s="12">
        <v>2</v>
      </c>
      <c r="Y112" s="12">
        <v>3</v>
      </c>
      <c r="Z112" s="12" t="s">
        <v>85</v>
      </c>
      <c r="AA112" s="12">
        <v>1</v>
      </c>
      <c r="AB112" s="12">
        <v>0</v>
      </c>
      <c r="AC112" s="12">
        <v>0</v>
      </c>
      <c r="AD112" s="12">
        <v>0</v>
      </c>
      <c r="AE112" s="12">
        <v>0</v>
      </c>
      <c r="AF112" s="12">
        <v>0</v>
      </c>
      <c r="AG112" s="12">
        <v>0</v>
      </c>
      <c r="AH112" s="12">
        <v>0</v>
      </c>
      <c r="AI112" s="12">
        <v>1</v>
      </c>
      <c r="AJ112" s="12" t="s">
        <v>57</v>
      </c>
      <c r="AK112" s="12">
        <v>1</v>
      </c>
      <c r="AL112" s="12">
        <v>0</v>
      </c>
      <c r="AM112" s="12">
        <v>7484</v>
      </c>
      <c r="AN112" s="12">
        <f t="shared" si="17"/>
        <v>7484</v>
      </c>
      <c r="AO112" s="12">
        <v>3</v>
      </c>
      <c r="AP112" s="12" t="s">
        <v>59</v>
      </c>
      <c r="AQ112" s="12">
        <v>0</v>
      </c>
      <c r="AR112" s="12">
        <v>20</v>
      </c>
      <c r="AS112" s="12">
        <v>4</v>
      </c>
      <c r="AT112" s="12">
        <v>3</v>
      </c>
      <c r="AU112" s="12">
        <v>0</v>
      </c>
      <c r="AV112" s="12">
        <v>23</v>
      </c>
      <c r="AW112" s="12">
        <f t="shared" si="18"/>
        <v>23</v>
      </c>
      <c r="AX112" s="12">
        <v>1</v>
      </c>
      <c r="AY112" s="12">
        <v>2</v>
      </c>
      <c r="AZ112" s="12">
        <v>13</v>
      </c>
      <c r="BA112" s="12">
        <f t="shared" si="19"/>
        <v>13</v>
      </c>
      <c r="BB112" s="12">
        <v>12</v>
      </c>
      <c r="BC112" s="12">
        <v>12</v>
      </c>
      <c r="BD112" s="12">
        <f t="shared" si="28"/>
        <v>12</v>
      </c>
      <c r="BE112" s="12">
        <v>8</v>
      </c>
      <c r="BF112" s="12">
        <f t="shared" si="20"/>
        <v>8</v>
      </c>
      <c r="BG112" s="12">
        <f t="shared" si="29"/>
        <v>24</v>
      </c>
      <c r="BH112" s="67">
        <v>0</v>
      </c>
      <c r="BI112" s="67">
        <v>0</v>
      </c>
      <c r="BJ112" s="67">
        <v>1</v>
      </c>
      <c r="BK112" s="67">
        <v>0</v>
      </c>
      <c r="BL112" s="67">
        <v>1</v>
      </c>
      <c r="BM112" s="67">
        <v>0</v>
      </c>
      <c r="BN112" s="67">
        <v>0</v>
      </c>
      <c r="BO112" s="67">
        <v>0</v>
      </c>
      <c r="BP112" s="67">
        <v>0</v>
      </c>
      <c r="BQ112" s="67">
        <v>8</v>
      </c>
      <c r="BR112" s="67">
        <v>0</v>
      </c>
      <c r="BS112" s="67">
        <v>0</v>
      </c>
      <c r="BT112" s="67">
        <v>23</v>
      </c>
      <c r="BU112" s="70">
        <v>0</v>
      </c>
      <c r="BV112" s="29">
        <f t="shared" si="21"/>
        <v>0.20838524070677997</v>
      </c>
      <c r="BW112">
        <f t="shared" si="22"/>
        <v>1.08652546240644</v>
      </c>
      <c r="BX112">
        <f t="shared" si="23"/>
        <v>1.5063278539414293</v>
      </c>
      <c r="BY112">
        <f t="shared" si="24"/>
        <v>0.97801552848324624</v>
      </c>
      <c r="BZ112">
        <f t="shared" si="25"/>
        <v>1.01056543769991</v>
      </c>
      <c r="CA112">
        <f t="shared" si="26"/>
        <v>1.5408445525439205</v>
      </c>
      <c r="CB112">
        <f t="shared" si="27"/>
        <v>3.0449828384135156</v>
      </c>
    </row>
    <row r="113" spans="1:80" x14ac:dyDescent="0.45">
      <c r="A113" s="11">
        <v>34</v>
      </c>
      <c r="B113" s="12">
        <f t="shared" si="15"/>
        <v>34</v>
      </c>
      <c r="C113" s="12" t="s">
        <v>52</v>
      </c>
      <c r="D113" s="12">
        <v>1</v>
      </c>
      <c r="E113" s="12" t="s">
        <v>60</v>
      </c>
      <c r="F113" s="12">
        <v>1</v>
      </c>
      <c r="G113" s="12">
        <v>0</v>
      </c>
      <c r="H113" s="12" t="s">
        <v>61</v>
      </c>
      <c r="I113" s="12">
        <v>1</v>
      </c>
      <c r="J113" s="12">
        <v>0</v>
      </c>
      <c r="K113" s="12">
        <v>7</v>
      </c>
      <c r="L113" s="12">
        <f t="shared" si="16"/>
        <v>7</v>
      </c>
      <c r="M113" s="12">
        <v>3</v>
      </c>
      <c r="N113" s="12" t="s">
        <v>55</v>
      </c>
      <c r="O113" s="12">
        <v>1</v>
      </c>
      <c r="P113" s="12">
        <v>0</v>
      </c>
      <c r="Q113" s="12">
        <v>0</v>
      </c>
      <c r="R113" s="12">
        <v>0</v>
      </c>
      <c r="S113" s="12">
        <v>0</v>
      </c>
      <c r="T113" s="12">
        <v>1</v>
      </c>
      <c r="U113" s="12" t="s">
        <v>62</v>
      </c>
      <c r="V113" s="12">
        <v>0</v>
      </c>
      <c r="W113" s="12">
        <v>66</v>
      </c>
      <c r="X113" s="12">
        <v>1</v>
      </c>
      <c r="Y113" s="12">
        <v>2</v>
      </c>
      <c r="Z113" s="12" t="s">
        <v>67</v>
      </c>
      <c r="AA113" s="12">
        <v>0</v>
      </c>
      <c r="AB113" s="12">
        <v>0</v>
      </c>
      <c r="AC113" s="12">
        <v>1</v>
      </c>
      <c r="AD113" s="12">
        <v>0</v>
      </c>
      <c r="AE113" s="12">
        <v>0</v>
      </c>
      <c r="AF113" s="12">
        <v>0</v>
      </c>
      <c r="AG113" s="12">
        <v>0</v>
      </c>
      <c r="AH113" s="12">
        <v>0</v>
      </c>
      <c r="AI113" s="12">
        <v>3</v>
      </c>
      <c r="AJ113" s="12" t="s">
        <v>57</v>
      </c>
      <c r="AK113" s="12">
        <v>1</v>
      </c>
      <c r="AL113" s="12">
        <v>0</v>
      </c>
      <c r="AM113" s="12">
        <v>6074</v>
      </c>
      <c r="AN113" s="12">
        <f t="shared" si="17"/>
        <v>6074</v>
      </c>
      <c r="AO113" s="12">
        <v>1</v>
      </c>
      <c r="AP113" s="12" t="s">
        <v>52</v>
      </c>
      <c r="AQ113" s="12">
        <v>1</v>
      </c>
      <c r="AR113" s="12">
        <v>24</v>
      </c>
      <c r="AS113" s="12">
        <v>4</v>
      </c>
      <c r="AT113" s="12">
        <v>4</v>
      </c>
      <c r="AU113" s="12">
        <v>0</v>
      </c>
      <c r="AV113" s="12">
        <v>9</v>
      </c>
      <c r="AW113" s="12">
        <f t="shared" si="18"/>
        <v>9</v>
      </c>
      <c r="AX113" s="12">
        <v>3</v>
      </c>
      <c r="AY113" s="12">
        <v>3</v>
      </c>
      <c r="AZ113" s="12">
        <v>9</v>
      </c>
      <c r="BA113" s="12">
        <f t="shared" si="19"/>
        <v>9</v>
      </c>
      <c r="BB113" s="12">
        <v>7</v>
      </c>
      <c r="BC113" s="12">
        <v>0</v>
      </c>
      <c r="BD113" s="12">
        <f t="shared" si="28"/>
        <v>0</v>
      </c>
      <c r="BE113" s="12">
        <v>6</v>
      </c>
      <c r="BF113" s="12">
        <f t="shared" si="20"/>
        <v>6</v>
      </c>
      <c r="BG113" s="12">
        <f t="shared" si="29"/>
        <v>12</v>
      </c>
      <c r="BH113" s="67">
        <v>0</v>
      </c>
      <c r="BI113" s="67">
        <v>0</v>
      </c>
      <c r="BJ113" s="67">
        <v>1</v>
      </c>
      <c r="BK113" s="67">
        <v>0</v>
      </c>
      <c r="BL113" s="67">
        <v>0</v>
      </c>
      <c r="BM113" s="67">
        <v>1</v>
      </c>
      <c r="BN113" s="67">
        <v>0</v>
      </c>
      <c r="BO113" s="67">
        <v>0</v>
      </c>
      <c r="BP113" s="67">
        <v>0</v>
      </c>
      <c r="BQ113" s="67">
        <v>6</v>
      </c>
      <c r="BR113" s="67">
        <v>0</v>
      </c>
      <c r="BS113" s="67">
        <v>0</v>
      </c>
      <c r="BT113" s="67">
        <v>9</v>
      </c>
      <c r="BU113" s="70">
        <v>0</v>
      </c>
      <c r="BV113" s="29">
        <f t="shared" si="21"/>
        <v>9.1107737874083841E-2</v>
      </c>
      <c r="BW113">
        <f t="shared" si="22"/>
        <v>0.52600872973843971</v>
      </c>
      <c r="BX113">
        <f t="shared" si="23"/>
        <v>0.29297722668510823</v>
      </c>
      <c r="BY113">
        <f t="shared" si="24"/>
        <v>0.32511687867835437</v>
      </c>
      <c r="BZ113">
        <f t="shared" si="25"/>
        <v>0.27045191444879263</v>
      </c>
      <c r="CA113">
        <f t="shared" si="26"/>
        <v>0.32005363845127444</v>
      </c>
      <c r="CB113">
        <f t="shared" si="27"/>
        <v>0.67891464284095016</v>
      </c>
    </row>
    <row r="114" spans="1:80" x14ac:dyDescent="0.45">
      <c r="A114" s="11">
        <v>54</v>
      </c>
      <c r="B114" s="12">
        <f t="shared" si="15"/>
        <v>54</v>
      </c>
      <c r="C114" s="12" t="s">
        <v>59</v>
      </c>
      <c r="D114" s="12">
        <v>0</v>
      </c>
      <c r="E114" s="12" t="s">
        <v>86</v>
      </c>
      <c r="F114" s="12">
        <v>0</v>
      </c>
      <c r="G114" s="12">
        <v>0</v>
      </c>
      <c r="H114" s="12" t="s">
        <v>97</v>
      </c>
      <c r="I114" s="12">
        <v>0</v>
      </c>
      <c r="J114" s="12">
        <v>0</v>
      </c>
      <c r="K114" s="12">
        <v>26</v>
      </c>
      <c r="L114" s="12">
        <f t="shared" si="16"/>
        <v>26</v>
      </c>
      <c r="M114" s="12">
        <v>3</v>
      </c>
      <c r="N114" s="12" t="s">
        <v>97</v>
      </c>
      <c r="O114" s="12">
        <v>0</v>
      </c>
      <c r="P114" s="12">
        <v>0</v>
      </c>
      <c r="Q114" s="12">
        <v>0</v>
      </c>
      <c r="R114" s="12">
        <v>0</v>
      </c>
      <c r="S114" s="12">
        <v>0</v>
      </c>
      <c r="T114" s="12">
        <v>4</v>
      </c>
      <c r="U114" s="12" t="s">
        <v>19</v>
      </c>
      <c r="V114" s="12">
        <v>1</v>
      </c>
      <c r="W114" s="12">
        <v>30</v>
      </c>
      <c r="X114" s="12">
        <v>4</v>
      </c>
      <c r="Y114" s="12">
        <v>4</v>
      </c>
      <c r="Z114" s="12" t="s">
        <v>87</v>
      </c>
      <c r="AA114" s="12">
        <v>0</v>
      </c>
      <c r="AB114" s="12">
        <v>0</v>
      </c>
      <c r="AC114" s="12">
        <v>0</v>
      </c>
      <c r="AD114" s="12">
        <v>1</v>
      </c>
      <c r="AE114" s="12">
        <v>0</v>
      </c>
      <c r="AF114" s="12">
        <v>0</v>
      </c>
      <c r="AG114" s="12">
        <v>0</v>
      </c>
      <c r="AH114" s="12">
        <v>0</v>
      </c>
      <c r="AI114" s="12">
        <v>4</v>
      </c>
      <c r="AJ114" s="12" t="s">
        <v>57</v>
      </c>
      <c r="AK114" s="12">
        <v>1</v>
      </c>
      <c r="AL114" s="12">
        <v>0</v>
      </c>
      <c r="AM114" s="12">
        <v>17328</v>
      </c>
      <c r="AN114" s="12">
        <f t="shared" si="17"/>
        <v>17328</v>
      </c>
      <c r="AO114" s="12">
        <v>2</v>
      </c>
      <c r="AP114" s="12" t="s">
        <v>52</v>
      </c>
      <c r="AQ114" s="12">
        <v>1</v>
      </c>
      <c r="AR114" s="12">
        <v>12</v>
      </c>
      <c r="AS114" s="12">
        <v>3</v>
      </c>
      <c r="AT114" s="12">
        <v>3</v>
      </c>
      <c r="AU114" s="12">
        <v>0</v>
      </c>
      <c r="AV114" s="12">
        <v>23</v>
      </c>
      <c r="AW114" s="12">
        <f t="shared" si="18"/>
        <v>23</v>
      </c>
      <c r="AX114" s="12">
        <v>3</v>
      </c>
      <c r="AY114" s="12">
        <v>3</v>
      </c>
      <c r="AZ114" s="12">
        <v>5</v>
      </c>
      <c r="BA114" s="12">
        <f t="shared" si="19"/>
        <v>5</v>
      </c>
      <c r="BB114" s="12">
        <v>3</v>
      </c>
      <c r="BC114" s="12">
        <v>4</v>
      </c>
      <c r="BD114" s="12">
        <f t="shared" si="28"/>
        <v>4</v>
      </c>
      <c r="BE114" s="12">
        <v>4</v>
      </c>
      <c r="BF114" s="12">
        <f t="shared" si="20"/>
        <v>4</v>
      </c>
      <c r="BG114" s="12">
        <f t="shared" si="29"/>
        <v>16</v>
      </c>
      <c r="BH114" s="67">
        <v>1</v>
      </c>
      <c r="BI114" s="67">
        <v>0</v>
      </c>
      <c r="BJ114" s="67">
        <v>0</v>
      </c>
      <c r="BK114" s="67">
        <v>0</v>
      </c>
      <c r="BL114" s="67">
        <v>0</v>
      </c>
      <c r="BM114" s="67">
        <v>1</v>
      </c>
      <c r="BN114" s="67">
        <v>0</v>
      </c>
      <c r="BO114" s="67">
        <v>0</v>
      </c>
      <c r="BP114" s="67">
        <v>4</v>
      </c>
      <c r="BQ114" s="67">
        <v>0</v>
      </c>
      <c r="BR114" s="67">
        <v>0</v>
      </c>
      <c r="BS114" s="67">
        <v>23</v>
      </c>
      <c r="BT114" s="67">
        <v>0</v>
      </c>
      <c r="BU114" s="70">
        <v>0</v>
      </c>
      <c r="BV114" s="29">
        <f t="shared" si="21"/>
        <v>2.2993135252103425</v>
      </c>
      <c r="BW114">
        <f t="shared" si="22"/>
        <v>3.4508002929560584E-2</v>
      </c>
      <c r="BX114">
        <f t="shared" si="23"/>
        <v>1.5063278539414293</v>
      </c>
      <c r="BY114">
        <f t="shared" si="24"/>
        <v>0.32778177112653761</v>
      </c>
      <c r="BZ114">
        <f t="shared" si="25"/>
        <v>2.0732409091797459</v>
      </c>
      <c r="CA114">
        <f t="shared" si="26"/>
        <v>1.8692383509548371</v>
      </c>
      <c r="CB114">
        <f t="shared" si="27"/>
        <v>0.56238451757720498</v>
      </c>
    </row>
    <row r="115" spans="1:80" x14ac:dyDescent="0.45">
      <c r="A115" s="11">
        <v>24</v>
      </c>
      <c r="B115" s="12">
        <f t="shared" si="15"/>
        <v>24</v>
      </c>
      <c r="C115" s="12" t="s">
        <v>59</v>
      </c>
      <c r="D115" s="12">
        <v>0</v>
      </c>
      <c r="E115" s="12" t="s">
        <v>53</v>
      </c>
      <c r="F115" s="12">
        <v>0</v>
      </c>
      <c r="G115" s="12">
        <v>1</v>
      </c>
      <c r="H115" s="12" t="s">
        <v>61</v>
      </c>
      <c r="I115" s="12">
        <v>1</v>
      </c>
      <c r="J115" s="12">
        <v>0</v>
      </c>
      <c r="K115" s="12">
        <v>18</v>
      </c>
      <c r="L115" s="12">
        <f t="shared" si="16"/>
        <v>18</v>
      </c>
      <c r="M115" s="12">
        <v>1</v>
      </c>
      <c r="N115" s="12" t="s">
        <v>55</v>
      </c>
      <c r="O115" s="12">
        <v>1</v>
      </c>
      <c r="P115" s="12">
        <v>0</v>
      </c>
      <c r="Q115" s="12">
        <v>0</v>
      </c>
      <c r="R115" s="12">
        <v>0</v>
      </c>
      <c r="S115" s="12">
        <v>0</v>
      </c>
      <c r="T115" s="12">
        <v>2</v>
      </c>
      <c r="U115" s="12" t="s">
        <v>62</v>
      </c>
      <c r="V115" s="12">
        <v>0</v>
      </c>
      <c r="W115" s="12">
        <v>52</v>
      </c>
      <c r="X115" s="12">
        <v>3</v>
      </c>
      <c r="Y115" s="12">
        <v>1</v>
      </c>
      <c r="Z115" s="12" t="s">
        <v>67</v>
      </c>
      <c r="AA115" s="12">
        <v>0</v>
      </c>
      <c r="AB115" s="12">
        <v>0</v>
      </c>
      <c r="AC115" s="12">
        <v>1</v>
      </c>
      <c r="AD115" s="12">
        <v>0</v>
      </c>
      <c r="AE115" s="12">
        <v>0</v>
      </c>
      <c r="AF115" s="12">
        <v>0</v>
      </c>
      <c r="AG115" s="12">
        <v>0</v>
      </c>
      <c r="AH115" s="12">
        <v>0</v>
      </c>
      <c r="AI115" s="12">
        <v>3</v>
      </c>
      <c r="AJ115" s="12" t="s">
        <v>64</v>
      </c>
      <c r="AK115" s="12">
        <v>0</v>
      </c>
      <c r="AL115" s="12">
        <v>1</v>
      </c>
      <c r="AM115" s="12">
        <v>2774</v>
      </c>
      <c r="AN115" s="12">
        <f t="shared" si="17"/>
        <v>2774</v>
      </c>
      <c r="AO115" s="12">
        <v>0</v>
      </c>
      <c r="AP115" s="12" t="s">
        <v>59</v>
      </c>
      <c r="AQ115" s="12">
        <v>0</v>
      </c>
      <c r="AR115" s="12">
        <v>12</v>
      </c>
      <c r="AS115" s="12">
        <v>3</v>
      </c>
      <c r="AT115" s="12">
        <v>3</v>
      </c>
      <c r="AU115" s="12">
        <v>1</v>
      </c>
      <c r="AV115" s="12">
        <v>6</v>
      </c>
      <c r="AW115" s="12">
        <f t="shared" si="18"/>
        <v>6</v>
      </c>
      <c r="AX115" s="12">
        <v>2</v>
      </c>
      <c r="AY115" s="12">
        <v>3</v>
      </c>
      <c r="AZ115" s="12">
        <v>5</v>
      </c>
      <c r="BA115" s="12">
        <f t="shared" si="19"/>
        <v>5</v>
      </c>
      <c r="BB115" s="12">
        <v>3</v>
      </c>
      <c r="BC115" s="12">
        <v>1</v>
      </c>
      <c r="BD115" s="12">
        <f t="shared" si="28"/>
        <v>1</v>
      </c>
      <c r="BE115" s="12">
        <v>2</v>
      </c>
      <c r="BF115" s="12">
        <f t="shared" si="20"/>
        <v>2</v>
      </c>
      <c r="BG115" s="12">
        <f t="shared" si="29"/>
        <v>2</v>
      </c>
      <c r="BH115" s="67">
        <v>0</v>
      </c>
      <c r="BI115" s="67">
        <v>1</v>
      </c>
      <c r="BJ115" s="67">
        <v>0</v>
      </c>
      <c r="BK115" s="67">
        <v>0</v>
      </c>
      <c r="BL115" s="67">
        <v>0</v>
      </c>
      <c r="BM115" s="67">
        <v>0</v>
      </c>
      <c r="BN115" s="67">
        <v>1</v>
      </c>
      <c r="BO115" s="67">
        <v>0</v>
      </c>
      <c r="BP115" s="67">
        <v>0</v>
      </c>
      <c r="BQ115" s="67">
        <v>2</v>
      </c>
      <c r="BR115" s="67">
        <v>0</v>
      </c>
      <c r="BS115" s="67">
        <v>0</v>
      </c>
      <c r="BT115" s="67">
        <v>6</v>
      </c>
      <c r="BU115" s="70">
        <v>0</v>
      </c>
      <c r="BV115" s="29">
        <f t="shared" si="21"/>
        <v>0.79204875157397781</v>
      </c>
      <c r="BW115">
        <f t="shared" si="22"/>
        <v>0.59502473559756086</v>
      </c>
      <c r="BX115">
        <f t="shared" si="23"/>
        <v>0.67854260110508058</v>
      </c>
      <c r="BY115">
        <f t="shared" si="24"/>
        <v>0.32778177112653761</v>
      </c>
      <c r="BZ115">
        <f t="shared" si="25"/>
        <v>1.0864228781782561</v>
      </c>
      <c r="CA115">
        <f t="shared" si="26"/>
        <v>1.4146996331543302</v>
      </c>
      <c r="CB115">
        <f t="shared" si="27"/>
        <v>0.36858985273641137</v>
      </c>
    </row>
    <row r="116" spans="1:80" x14ac:dyDescent="0.45">
      <c r="A116" s="11">
        <v>34</v>
      </c>
      <c r="B116" s="12">
        <f t="shared" si="15"/>
        <v>34</v>
      </c>
      <c r="C116" s="12" t="s">
        <v>59</v>
      </c>
      <c r="D116" s="12">
        <v>0</v>
      </c>
      <c r="E116" s="12" t="s">
        <v>53</v>
      </c>
      <c r="F116" s="12">
        <v>0</v>
      </c>
      <c r="G116" s="12">
        <v>1</v>
      </c>
      <c r="H116" s="12" t="s">
        <v>61</v>
      </c>
      <c r="I116" s="12">
        <v>1</v>
      </c>
      <c r="J116" s="12">
        <v>0</v>
      </c>
      <c r="K116" s="12">
        <v>6</v>
      </c>
      <c r="L116" s="12">
        <f t="shared" si="16"/>
        <v>6</v>
      </c>
      <c r="M116" s="12">
        <v>4</v>
      </c>
      <c r="N116" s="12" t="s">
        <v>55</v>
      </c>
      <c r="O116" s="12">
        <v>1</v>
      </c>
      <c r="P116" s="12">
        <v>0</v>
      </c>
      <c r="Q116" s="12">
        <v>0</v>
      </c>
      <c r="R116" s="12">
        <v>0</v>
      </c>
      <c r="S116" s="12">
        <v>0</v>
      </c>
      <c r="T116" s="12">
        <v>3</v>
      </c>
      <c r="U116" s="12" t="s">
        <v>19</v>
      </c>
      <c r="V116" s="12">
        <v>1</v>
      </c>
      <c r="W116" s="12">
        <v>45</v>
      </c>
      <c r="X116" s="12">
        <v>2</v>
      </c>
      <c r="Y116" s="12">
        <v>2</v>
      </c>
      <c r="Z116" s="12" t="s">
        <v>63</v>
      </c>
      <c r="AA116" s="12">
        <v>0</v>
      </c>
      <c r="AB116" s="12">
        <v>0</v>
      </c>
      <c r="AC116" s="12">
        <v>0</v>
      </c>
      <c r="AD116" s="12">
        <v>0</v>
      </c>
      <c r="AE116" s="12">
        <v>0</v>
      </c>
      <c r="AF116" s="12">
        <v>0</v>
      </c>
      <c r="AG116" s="12">
        <v>0</v>
      </c>
      <c r="AH116" s="12">
        <v>1</v>
      </c>
      <c r="AI116" s="12">
        <v>2</v>
      </c>
      <c r="AJ116" s="12" t="s">
        <v>78</v>
      </c>
      <c r="AK116" s="12">
        <v>0</v>
      </c>
      <c r="AL116" s="12">
        <v>0</v>
      </c>
      <c r="AM116" s="12">
        <v>4505</v>
      </c>
      <c r="AN116" s="12">
        <f t="shared" si="17"/>
        <v>4505</v>
      </c>
      <c r="AO116" s="12">
        <v>6</v>
      </c>
      <c r="AP116" s="12" t="s">
        <v>59</v>
      </c>
      <c r="AQ116" s="12">
        <v>0</v>
      </c>
      <c r="AR116" s="12">
        <v>15</v>
      </c>
      <c r="AS116" s="12">
        <v>3</v>
      </c>
      <c r="AT116" s="12">
        <v>3</v>
      </c>
      <c r="AU116" s="12">
        <v>1</v>
      </c>
      <c r="AV116" s="12">
        <v>12</v>
      </c>
      <c r="AW116" s="12">
        <f t="shared" si="18"/>
        <v>12</v>
      </c>
      <c r="AX116" s="12">
        <v>3</v>
      </c>
      <c r="AY116" s="12">
        <v>3</v>
      </c>
      <c r="AZ116" s="12">
        <v>1</v>
      </c>
      <c r="BA116" s="12">
        <f t="shared" si="19"/>
        <v>1</v>
      </c>
      <c r="BB116" s="12">
        <v>0</v>
      </c>
      <c r="BC116" s="12">
        <v>0</v>
      </c>
      <c r="BD116" s="12">
        <f t="shared" si="28"/>
        <v>0</v>
      </c>
      <c r="BE116" s="12">
        <v>0</v>
      </c>
      <c r="BF116" s="12">
        <f t="shared" si="20"/>
        <v>0</v>
      </c>
      <c r="BG116" s="12">
        <f t="shared" si="29"/>
        <v>0</v>
      </c>
      <c r="BH116" s="67">
        <v>1</v>
      </c>
      <c r="BI116" s="67">
        <v>0</v>
      </c>
      <c r="BJ116" s="67">
        <v>0</v>
      </c>
      <c r="BK116" s="67">
        <v>0</v>
      </c>
      <c r="BL116" s="67">
        <v>1</v>
      </c>
      <c r="BM116" s="67">
        <v>0</v>
      </c>
      <c r="BN116" s="67">
        <v>0</v>
      </c>
      <c r="BO116" s="67">
        <v>0</v>
      </c>
      <c r="BP116" s="67">
        <v>0</v>
      </c>
      <c r="BQ116" s="67">
        <v>0</v>
      </c>
      <c r="BR116" s="67">
        <v>0</v>
      </c>
      <c r="BS116" s="67">
        <v>0</v>
      </c>
      <c r="BT116" s="67">
        <v>12</v>
      </c>
      <c r="BU116" s="70">
        <v>0</v>
      </c>
      <c r="BV116" s="29">
        <f t="shared" si="21"/>
        <v>0.42437332893321528</v>
      </c>
      <c r="BW116">
        <f t="shared" si="22"/>
        <v>1.1555414682655611</v>
      </c>
      <c r="BX116">
        <f t="shared" si="23"/>
        <v>9.2588147734864096E-2</v>
      </c>
      <c r="BY116">
        <f t="shared" si="24"/>
        <v>0.9806804209314296</v>
      </c>
      <c r="BZ116">
        <f t="shared" si="25"/>
        <v>0.39380416832397891</v>
      </c>
      <c r="CA116">
        <f t="shared" si="26"/>
        <v>0.32005363845127444</v>
      </c>
      <c r="CB116">
        <f t="shared" si="27"/>
        <v>0.67891464284095016</v>
      </c>
    </row>
    <row r="117" spans="1:80" x14ac:dyDescent="0.45">
      <c r="A117" s="11">
        <v>37</v>
      </c>
      <c r="B117" s="12">
        <f t="shared" si="15"/>
        <v>37</v>
      </c>
      <c r="C117" s="12" t="s">
        <v>59</v>
      </c>
      <c r="D117" s="12">
        <v>0</v>
      </c>
      <c r="E117" s="12" t="s">
        <v>53</v>
      </c>
      <c r="F117" s="12">
        <v>0</v>
      </c>
      <c r="G117" s="12">
        <v>1</v>
      </c>
      <c r="H117" s="12" t="s">
        <v>54</v>
      </c>
      <c r="I117" s="12">
        <v>0</v>
      </c>
      <c r="J117" s="12">
        <v>1</v>
      </c>
      <c r="K117" s="12">
        <v>3</v>
      </c>
      <c r="L117" s="12">
        <f t="shared" si="16"/>
        <v>3</v>
      </c>
      <c r="M117" s="12">
        <v>3</v>
      </c>
      <c r="N117" s="12" t="s">
        <v>55</v>
      </c>
      <c r="O117" s="12">
        <v>1</v>
      </c>
      <c r="P117" s="12">
        <v>0</v>
      </c>
      <c r="Q117" s="12">
        <v>0</v>
      </c>
      <c r="R117" s="12">
        <v>0</v>
      </c>
      <c r="S117" s="12">
        <v>0</v>
      </c>
      <c r="T117" s="12">
        <v>3</v>
      </c>
      <c r="U117" s="12" t="s">
        <v>62</v>
      </c>
      <c r="V117" s="12">
        <v>0</v>
      </c>
      <c r="W117" s="12">
        <v>87</v>
      </c>
      <c r="X117" s="12">
        <v>3</v>
      </c>
      <c r="Y117" s="12">
        <v>3</v>
      </c>
      <c r="Z117" s="12" t="s">
        <v>56</v>
      </c>
      <c r="AA117" s="12">
        <v>0</v>
      </c>
      <c r="AB117" s="12">
        <v>1</v>
      </c>
      <c r="AC117" s="12">
        <v>0</v>
      </c>
      <c r="AD117" s="12">
        <v>0</v>
      </c>
      <c r="AE117" s="12">
        <v>0</v>
      </c>
      <c r="AF117" s="12">
        <v>0</v>
      </c>
      <c r="AG117" s="12">
        <v>0</v>
      </c>
      <c r="AH117" s="12">
        <v>0</v>
      </c>
      <c r="AI117" s="12">
        <v>4</v>
      </c>
      <c r="AJ117" s="12" t="s">
        <v>57</v>
      </c>
      <c r="AK117" s="12">
        <v>1</v>
      </c>
      <c r="AL117" s="12">
        <v>0</v>
      </c>
      <c r="AM117" s="12">
        <v>7428</v>
      </c>
      <c r="AN117" s="12">
        <f t="shared" si="17"/>
        <v>7428</v>
      </c>
      <c r="AO117" s="12">
        <v>2</v>
      </c>
      <c r="AP117" s="12" t="s">
        <v>59</v>
      </c>
      <c r="AQ117" s="12">
        <v>0</v>
      </c>
      <c r="AR117" s="12">
        <v>12</v>
      </c>
      <c r="AS117" s="12">
        <v>3</v>
      </c>
      <c r="AT117" s="12">
        <v>1</v>
      </c>
      <c r="AU117" s="12">
        <v>0</v>
      </c>
      <c r="AV117" s="12">
        <v>12</v>
      </c>
      <c r="AW117" s="12">
        <f t="shared" si="18"/>
        <v>12</v>
      </c>
      <c r="AX117" s="12">
        <v>3</v>
      </c>
      <c r="AY117" s="12">
        <v>3</v>
      </c>
      <c r="AZ117" s="12">
        <v>5</v>
      </c>
      <c r="BA117" s="12">
        <f t="shared" si="19"/>
        <v>5</v>
      </c>
      <c r="BB117" s="12">
        <v>3</v>
      </c>
      <c r="BC117" s="12">
        <v>1</v>
      </c>
      <c r="BD117" s="12">
        <f t="shared" si="28"/>
        <v>1</v>
      </c>
      <c r="BE117" s="12">
        <v>3</v>
      </c>
      <c r="BF117" s="12">
        <f t="shared" si="20"/>
        <v>3</v>
      </c>
      <c r="BG117" s="12">
        <f t="shared" si="29"/>
        <v>9</v>
      </c>
      <c r="BH117" s="67">
        <v>1</v>
      </c>
      <c r="BI117" s="67">
        <v>0</v>
      </c>
      <c r="BJ117" s="67">
        <v>0</v>
      </c>
      <c r="BK117" s="67">
        <v>0</v>
      </c>
      <c r="BL117" s="67">
        <v>1</v>
      </c>
      <c r="BM117" s="67">
        <v>0</v>
      </c>
      <c r="BN117" s="67">
        <v>0</v>
      </c>
      <c r="BO117" s="67">
        <v>0</v>
      </c>
      <c r="BP117" s="67">
        <v>0</v>
      </c>
      <c r="BQ117" s="67">
        <v>0</v>
      </c>
      <c r="BR117" s="67">
        <v>3</v>
      </c>
      <c r="BS117" s="67">
        <v>0</v>
      </c>
      <c r="BT117" s="67">
        <v>0</v>
      </c>
      <c r="BU117" s="70">
        <v>12</v>
      </c>
      <c r="BV117" s="29">
        <f t="shared" si="21"/>
        <v>0.19649048411066056</v>
      </c>
      <c r="BW117">
        <f t="shared" si="22"/>
        <v>0.31476636926356072</v>
      </c>
      <c r="BX117">
        <f t="shared" si="23"/>
        <v>9.2588147734864096E-2</v>
      </c>
      <c r="BY117">
        <f t="shared" si="24"/>
        <v>0.32778177112653761</v>
      </c>
      <c r="BZ117">
        <f t="shared" si="25"/>
        <v>0.76386092994953758</v>
      </c>
      <c r="CA117">
        <f t="shared" si="26"/>
        <v>8.3401599596422994E-3</v>
      </c>
      <c r="CB117">
        <f t="shared" si="27"/>
        <v>0.36858985273641137</v>
      </c>
    </row>
    <row r="118" spans="1:80" x14ac:dyDescent="0.45">
      <c r="A118" s="11">
        <v>34</v>
      </c>
      <c r="B118" s="12">
        <f t="shared" si="15"/>
        <v>34</v>
      </c>
      <c r="C118" s="12" t="s">
        <v>59</v>
      </c>
      <c r="D118" s="12">
        <v>0</v>
      </c>
      <c r="E118" s="12" t="s">
        <v>53</v>
      </c>
      <c r="F118" s="12">
        <v>0</v>
      </c>
      <c r="G118" s="12">
        <v>1</v>
      </c>
      <c r="H118" s="12" t="s">
        <v>61</v>
      </c>
      <c r="I118" s="12">
        <v>1</v>
      </c>
      <c r="J118" s="12">
        <v>0</v>
      </c>
      <c r="K118" s="12">
        <v>5</v>
      </c>
      <c r="L118" s="12">
        <f t="shared" si="16"/>
        <v>5</v>
      </c>
      <c r="M118" s="12">
        <v>3</v>
      </c>
      <c r="N118" s="12" t="s">
        <v>70</v>
      </c>
      <c r="O118" s="12">
        <v>0</v>
      </c>
      <c r="P118" s="12">
        <v>0</v>
      </c>
      <c r="Q118" s="12">
        <v>1</v>
      </c>
      <c r="R118" s="12">
        <v>0</v>
      </c>
      <c r="S118" s="12">
        <v>0</v>
      </c>
      <c r="T118" s="12">
        <v>3</v>
      </c>
      <c r="U118" s="12" t="s">
        <v>19</v>
      </c>
      <c r="V118" s="12">
        <v>1</v>
      </c>
      <c r="W118" s="12">
        <v>45</v>
      </c>
      <c r="X118" s="12">
        <v>2</v>
      </c>
      <c r="Y118" s="12">
        <v>3</v>
      </c>
      <c r="Z118" s="12" t="s">
        <v>87</v>
      </c>
      <c r="AA118" s="12">
        <v>0</v>
      </c>
      <c r="AB118" s="12">
        <v>0</v>
      </c>
      <c r="AC118" s="12">
        <v>0</v>
      </c>
      <c r="AD118" s="12">
        <v>1</v>
      </c>
      <c r="AE118" s="12">
        <v>0</v>
      </c>
      <c r="AF118" s="12">
        <v>0</v>
      </c>
      <c r="AG118" s="12">
        <v>0</v>
      </c>
      <c r="AH118" s="12">
        <v>0</v>
      </c>
      <c r="AI118" s="12">
        <v>1</v>
      </c>
      <c r="AJ118" s="12" t="s">
        <v>57</v>
      </c>
      <c r="AK118" s="12">
        <v>1</v>
      </c>
      <c r="AL118" s="12">
        <v>0</v>
      </c>
      <c r="AM118" s="12">
        <v>11631</v>
      </c>
      <c r="AN118" s="12">
        <f t="shared" si="17"/>
        <v>11631</v>
      </c>
      <c r="AO118" s="12">
        <v>2</v>
      </c>
      <c r="AP118" s="12" t="s">
        <v>59</v>
      </c>
      <c r="AQ118" s="12">
        <v>0</v>
      </c>
      <c r="AR118" s="12">
        <v>12</v>
      </c>
      <c r="AS118" s="12">
        <v>3</v>
      </c>
      <c r="AT118" s="12">
        <v>4</v>
      </c>
      <c r="AU118" s="12">
        <v>0</v>
      </c>
      <c r="AV118" s="12">
        <v>14</v>
      </c>
      <c r="AW118" s="12">
        <f t="shared" si="18"/>
        <v>14</v>
      </c>
      <c r="AX118" s="12">
        <v>6</v>
      </c>
      <c r="AY118" s="12">
        <v>3</v>
      </c>
      <c r="AZ118" s="12">
        <v>11</v>
      </c>
      <c r="BA118" s="12">
        <f t="shared" si="19"/>
        <v>11</v>
      </c>
      <c r="BB118" s="12">
        <v>10</v>
      </c>
      <c r="BC118" s="12">
        <v>5</v>
      </c>
      <c r="BD118" s="12">
        <f t="shared" si="28"/>
        <v>5</v>
      </c>
      <c r="BE118" s="12">
        <v>8</v>
      </c>
      <c r="BF118" s="12">
        <f t="shared" si="20"/>
        <v>8</v>
      </c>
      <c r="BG118" s="12">
        <f t="shared" si="29"/>
        <v>24</v>
      </c>
      <c r="BH118" s="67">
        <v>1</v>
      </c>
      <c r="BI118" s="67">
        <v>0</v>
      </c>
      <c r="BJ118" s="67">
        <v>0</v>
      </c>
      <c r="BK118" s="67">
        <v>0</v>
      </c>
      <c r="BL118" s="67">
        <v>1</v>
      </c>
      <c r="BM118" s="67">
        <v>0</v>
      </c>
      <c r="BN118" s="67">
        <v>0</v>
      </c>
      <c r="BO118" s="67">
        <v>0</v>
      </c>
      <c r="BP118" s="67">
        <v>0</v>
      </c>
      <c r="BQ118" s="67">
        <v>8</v>
      </c>
      <c r="BR118" s="67">
        <v>0</v>
      </c>
      <c r="BS118" s="67">
        <v>0</v>
      </c>
      <c r="BT118" s="67">
        <v>14</v>
      </c>
      <c r="BU118" s="70">
        <v>0</v>
      </c>
      <c r="BV118" s="29">
        <f t="shared" si="21"/>
        <v>1.0892344479229801</v>
      </c>
      <c r="BW118">
        <f t="shared" si="22"/>
        <v>1.08652546240644</v>
      </c>
      <c r="BX118">
        <f t="shared" si="23"/>
        <v>0.34963173068151232</v>
      </c>
      <c r="BY118">
        <f t="shared" si="24"/>
        <v>0.65156620358080031</v>
      </c>
      <c r="BZ118">
        <f t="shared" si="25"/>
        <v>0.51715642219916513</v>
      </c>
      <c r="CA118">
        <f t="shared" si="26"/>
        <v>0.32005363845127444</v>
      </c>
      <c r="CB118">
        <f t="shared" si="27"/>
        <v>0.87270930768174382</v>
      </c>
    </row>
    <row r="119" spans="1:80" x14ac:dyDescent="0.45">
      <c r="A119" s="11">
        <v>36</v>
      </c>
      <c r="B119" s="12">
        <f t="shared" si="15"/>
        <v>36</v>
      </c>
      <c r="C119" s="12" t="s">
        <v>59</v>
      </c>
      <c r="D119" s="12">
        <v>0</v>
      </c>
      <c r="E119" s="12" t="s">
        <v>60</v>
      </c>
      <c r="F119" s="12">
        <v>1</v>
      </c>
      <c r="G119" s="12">
        <v>0</v>
      </c>
      <c r="H119" s="12" t="s">
        <v>54</v>
      </c>
      <c r="I119" s="12">
        <v>0</v>
      </c>
      <c r="J119" s="12">
        <v>1</v>
      </c>
      <c r="K119" s="12">
        <v>11</v>
      </c>
      <c r="L119" s="12">
        <f t="shared" si="16"/>
        <v>11</v>
      </c>
      <c r="M119" s="12">
        <v>2</v>
      </c>
      <c r="N119" s="12" t="s">
        <v>91</v>
      </c>
      <c r="O119" s="12">
        <v>0</v>
      </c>
      <c r="P119" s="12">
        <v>0</v>
      </c>
      <c r="Q119" s="12">
        <v>0</v>
      </c>
      <c r="R119" s="12">
        <v>0</v>
      </c>
      <c r="S119" s="12">
        <v>1</v>
      </c>
      <c r="T119" s="12">
        <v>2</v>
      </c>
      <c r="U119" s="12" t="s">
        <v>19</v>
      </c>
      <c r="V119" s="12">
        <v>1</v>
      </c>
      <c r="W119" s="12">
        <v>92</v>
      </c>
      <c r="X119" s="12">
        <v>3</v>
      </c>
      <c r="Y119" s="12">
        <v>3</v>
      </c>
      <c r="Z119" s="12" t="s">
        <v>56</v>
      </c>
      <c r="AA119" s="12">
        <v>0</v>
      </c>
      <c r="AB119" s="12">
        <v>1</v>
      </c>
      <c r="AC119" s="12">
        <v>0</v>
      </c>
      <c r="AD119" s="12">
        <v>0</v>
      </c>
      <c r="AE119" s="12">
        <v>0</v>
      </c>
      <c r="AF119" s="12">
        <v>0</v>
      </c>
      <c r="AG119" s="12">
        <v>0</v>
      </c>
      <c r="AH119" s="12">
        <v>0</v>
      </c>
      <c r="AI119" s="12">
        <v>4</v>
      </c>
      <c r="AJ119" s="12" t="s">
        <v>64</v>
      </c>
      <c r="AK119" s="12">
        <v>0</v>
      </c>
      <c r="AL119" s="12">
        <v>1</v>
      </c>
      <c r="AM119" s="12">
        <v>9738</v>
      </c>
      <c r="AN119" s="12">
        <f t="shared" si="17"/>
        <v>9738</v>
      </c>
      <c r="AO119" s="12">
        <v>0</v>
      </c>
      <c r="AP119" s="12" t="s">
        <v>59</v>
      </c>
      <c r="AQ119" s="12">
        <v>0</v>
      </c>
      <c r="AR119" s="12">
        <v>14</v>
      </c>
      <c r="AS119" s="12">
        <v>3</v>
      </c>
      <c r="AT119" s="12">
        <v>3</v>
      </c>
      <c r="AU119" s="12">
        <v>1</v>
      </c>
      <c r="AV119" s="12">
        <v>10</v>
      </c>
      <c r="AW119" s="12">
        <f t="shared" si="18"/>
        <v>10</v>
      </c>
      <c r="AX119" s="12">
        <v>6</v>
      </c>
      <c r="AY119" s="12">
        <v>3</v>
      </c>
      <c r="AZ119" s="12">
        <v>9</v>
      </c>
      <c r="BA119" s="12">
        <f t="shared" si="19"/>
        <v>9</v>
      </c>
      <c r="BB119" s="12">
        <v>7</v>
      </c>
      <c r="BC119" s="12">
        <v>2</v>
      </c>
      <c r="BD119" s="12">
        <f t="shared" si="28"/>
        <v>2</v>
      </c>
      <c r="BE119" s="12">
        <v>8</v>
      </c>
      <c r="BF119" s="12">
        <f t="shared" si="20"/>
        <v>8</v>
      </c>
      <c r="BG119" s="12">
        <f t="shared" si="29"/>
        <v>24</v>
      </c>
      <c r="BH119" s="67">
        <v>0</v>
      </c>
      <c r="BI119" s="67">
        <v>0</v>
      </c>
      <c r="BJ119" s="67">
        <v>0</v>
      </c>
      <c r="BK119" s="67">
        <v>1</v>
      </c>
      <c r="BL119" s="67">
        <v>0</v>
      </c>
      <c r="BM119" s="67">
        <v>0</v>
      </c>
      <c r="BN119" s="67">
        <v>1</v>
      </c>
      <c r="BO119" s="67">
        <v>0</v>
      </c>
      <c r="BP119" s="67">
        <v>0</v>
      </c>
      <c r="BQ119" s="67">
        <v>0</v>
      </c>
      <c r="BR119" s="67">
        <v>8</v>
      </c>
      <c r="BS119" s="67">
        <v>0</v>
      </c>
      <c r="BT119" s="67">
        <v>0</v>
      </c>
      <c r="BU119" s="70">
        <v>10</v>
      </c>
      <c r="BV119" s="29">
        <f t="shared" si="21"/>
        <v>0.68714919370058636</v>
      </c>
      <c r="BW119">
        <f t="shared" si="22"/>
        <v>1.08652546240644</v>
      </c>
      <c r="BX119">
        <f t="shared" si="23"/>
        <v>0.1644554352117841</v>
      </c>
      <c r="BY119">
        <f t="shared" si="24"/>
        <v>0.32511687867835437</v>
      </c>
      <c r="BZ119">
        <f t="shared" si="25"/>
        <v>0.22295710105195232</v>
      </c>
      <c r="CA119">
        <f t="shared" si="26"/>
        <v>0.10112443951066327</v>
      </c>
      <c r="CB119">
        <f t="shared" si="27"/>
        <v>5.8265062631872602E-2</v>
      </c>
    </row>
    <row r="120" spans="1:80" x14ac:dyDescent="0.45">
      <c r="A120" s="11">
        <v>36</v>
      </c>
      <c r="B120" s="12">
        <f t="shared" si="15"/>
        <v>36</v>
      </c>
      <c r="C120" s="12" t="s">
        <v>59</v>
      </c>
      <c r="D120" s="12">
        <v>0</v>
      </c>
      <c r="E120" s="12" t="s">
        <v>53</v>
      </c>
      <c r="F120" s="12">
        <v>0</v>
      </c>
      <c r="G120" s="12">
        <v>1</v>
      </c>
      <c r="H120" s="12" t="s">
        <v>61</v>
      </c>
      <c r="I120" s="12">
        <v>1</v>
      </c>
      <c r="J120" s="12">
        <v>0</v>
      </c>
      <c r="K120" s="12">
        <v>3</v>
      </c>
      <c r="L120" s="12">
        <f t="shared" si="16"/>
        <v>3</v>
      </c>
      <c r="M120" s="12">
        <v>2</v>
      </c>
      <c r="N120" s="12" t="s">
        <v>55</v>
      </c>
      <c r="O120" s="12">
        <v>1</v>
      </c>
      <c r="P120" s="12">
        <v>0</v>
      </c>
      <c r="Q120" s="12">
        <v>0</v>
      </c>
      <c r="R120" s="12">
        <v>0</v>
      </c>
      <c r="S120" s="12">
        <v>0</v>
      </c>
      <c r="T120" s="12">
        <v>1</v>
      </c>
      <c r="U120" s="12" t="s">
        <v>19</v>
      </c>
      <c r="V120" s="12">
        <v>1</v>
      </c>
      <c r="W120" s="12">
        <v>39</v>
      </c>
      <c r="X120" s="12">
        <v>3</v>
      </c>
      <c r="Y120" s="12">
        <v>1</v>
      </c>
      <c r="Z120" s="12" t="s">
        <v>67</v>
      </c>
      <c r="AA120" s="12">
        <v>0</v>
      </c>
      <c r="AB120" s="12">
        <v>0</v>
      </c>
      <c r="AC120" s="12">
        <v>1</v>
      </c>
      <c r="AD120" s="12">
        <v>0</v>
      </c>
      <c r="AE120" s="12">
        <v>0</v>
      </c>
      <c r="AF120" s="12">
        <v>0</v>
      </c>
      <c r="AG120" s="12">
        <v>0</v>
      </c>
      <c r="AH120" s="12">
        <v>0</v>
      </c>
      <c r="AI120" s="12">
        <v>4</v>
      </c>
      <c r="AJ120" s="12" t="s">
        <v>78</v>
      </c>
      <c r="AK120" s="12">
        <v>0</v>
      </c>
      <c r="AL120" s="12">
        <v>0</v>
      </c>
      <c r="AM120" s="12">
        <v>2835</v>
      </c>
      <c r="AN120" s="12">
        <f t="shared" si="17"/>
        <v>2835</v>
      </c>
      <c r="AO120" s="12">
        <v>5</v>
      </c>
      <c r="AP120" s="12" t="s">
        <v>59</v>
      </c>
      <c r="AQ120" s="12">
        <v>0</v>
      </c>
      <c r="AR120" s="12">
        <v>22</v>
      </c>
      <c r="AS120" s="12">
        <v>4</v>
      </c>
      <c r="AT120" s="12">
        <v>1</v>
      </c>
      <c r="AU120" s="12">
        <v>1</v>
      </c>
      <c r="AV120" s="12">
        <v>7</v>
      </c>
      <c r="AW120" s="12">
        <f t="shared" si="18"/>
        <v>7</v>
      </c>
      <c r="AX120" s="12">
        <v>2</v>
      </c>
      <c r="AY120" s="12">
        <v>3</v>
      </c>
      <c r="AZ120" s="12">
        <v>1</v>
      </c>
      <c r="BA120" s="12">
        <f t="shared" si="19"/>
        <v>1</v>
      </c>
      <c r="BB120" s="12">
        <v>0</v>
      </c>
      <c r="BC120" s="12">
        <v>0</v>
      </c>
      <c r="BD120" s="12">
        <f t="shared" si="28"/>
        <v>0</v>
      </c>
      <c r="BE120" s="12">
        <v>0</v>
      </c>
      <c r="BF120" s="12">
        <f t="shared" si="20"/>
        <v>0</v>
      </c>
      <c r="BG120" s="12">
        <f t="shared" si="29"/>
        <v>0</v>
      </c>
      <c r="BH120" s="67">
        <v>1</v>
      </c>
      <c r="BI120" s="67">
        <v>0</v>
      </c>
      <c r="BJ120" s="67">
        <v>0</v>
      </c>
      <c r="BK120" s="67">
        <v>0</v>
      </c>
      <c r="BL120" s="67">
        <v>1</v>
      </c>
      <c r="BM120" s="67">
        <v>0</v>
      </c>
      <c r="BN120" s="67">
        <v>0</v>
      </c>
      <c r="BO120" s="67">
        <v>0</v>
      </c>
      <c r="BP120" s="67">
        <v>0</v>
      </c>
      <c r="BQ120" s="67">
        <v>0</v>
      </c>
      <c r="BR120" s="67">
        <v>0</v>
      </c>
      <c r="BS120" s="67">
        <v>0</v>
      </c>
      <c r="BT120" s="67">
        <v>7</v>
      </c>
      <c r="BU120" s="70">
        <v>0</v>
      </c>
      <c r="BV120" s="29">
        <f t="shared" si="21"/>
        <v>0.77909196313891915</v>
      </c>
      <c r="BW120">
        <f t="shared" si="22"/>
        <v>1.1555414682655611</v>
      </c>
      <c r="BX120">
        <f t="shared" si="23"/>
        <v>0.55002080963175637</v>
      </c>
      <c r="BY120">
        <f t="shared" si="24"/>
        <v>0.9806804209314296</v>
      </c>
      <c r="BZ120">
        <f t="shared" si="25"/>
        <v>0.76386092994953758</v>
      </c>
      <c r="CA120">
        <f t="shared" si="26"/>
        <v>0.10112443951066327</v>
      </c>
      <c r="CB120">
        <f t="shared" si="27"/>
        <v>0.67891464284095016</v>
      </c>
    </row>
    <row r="121" spans="1:80" x14ac:dyDescent="0.45">
      <c r="A121" s="11">
        <v>43</v>
      </c>
      <c r="B121" s="12">
        <f t="shared" si="15"/>
        <v>43</v>
      </c>
      <c r="C121" s="12" t="s">
        <v>59</v>
      </c>
      <c r="D121" s="12">
        <v>0</v>
      </c>
      <c r="E121" s="12" t="s">
        <v>60</v>
      </c>
      <c r="F121" s="12">
        <v>1</v>
      </c>
      <c r="G121" s="12">
        <v>0</v>
      </c>
      <c r="H121" s="12" t="s">
        <v>54</v>
      </c>
      <c r="I121" s="12">
        <v>0</v>
      </c>
      <c r="J121" s="12">
        <v>1</v>
      </c>
      <c r="K121" s="12">
        <v>26</v>
      </c>
      <c r="L121" s="12">
        <f t="shared" si="16"/>
        <v>26</v>
      </c>
      <c r="M121" s="12">
        <v>2</v>
      </c>
      <c r="N121" s="12" t="s">
        <v>55</v>
      </c>
      <c r="O121" s="12">
        <v>1</v>
      </c>
      <c r="P121" s="12">
        <v>0</v>
      </c>
      <c r="Q121" s="12">
        <v>0</v>
      </c>
      <c r="R121" s="12">
        <v>0</v>
      </c>
      <c r="S121" s="12">
        <v>0</v>
      </c>
      <c r="T121" s="12">
        <v>3</v>
      </c>
      <c r="U121" s="12" t="s">
        <v>62</v>
      </c>
      <c r="V121" s="12">
        <v>0</v>
      </c>
      <c r="W121" s="12">
        <v>92</v>
      </c>
      <c r="X121" s="12">
        <v>3</v>
      </c>
      <c r="Y121" s="12">
        <v>4</v>
      </c>
      <c r="Z121" s="12" t="s">
        <v>87</v>
      </c>
      <c r="AA121" s="12">
        <v>0</v>
      </c>
      <c r="AB121" s="12">
        <v>0</v>
      </c>
      <c r="AC121" s="12">
        <v>0</v>
      </c>
      <c r="AD121" s="12">
        <v>1</v>
      </c>
      <c r="AE121" s="12">
        <v>0</v>
      </c>
      <c r="AF121" s="12">
        <v>0</v>
      </c>
      <c r="AG121" s="12">
        <v>0</v>
      </c>
      <c r="AH121" s="12">
        <v>0</v>
      </c>
      <c r="AI121" s="12">
        <v>4</v>
      </c>
      <c r="AJ121" s="12" t="s">
        <v>64</v>
      </c>
      <c r="AK121" s="12">
        <v>0</v>
      </c>
      <c r="AL121" s="12">
        <v>1</v>
      </c>
      <c r="AM121" s="12">
        <v>16959</v>
      </c>
      <c r="AN121" s="12">
        <f t="shared" si="17"/>
        <v>16959</v>
      </c>
      <c r="AO121" s="12">
        <v>1</v>
      </c>
      <c r="AP121" s="12" t="s">
        <v>52</v>
      </c>
      <c r="AQ121" s="12">
        <v>1</v>
      </c>
      <c r="AR121" s="12">
        <v>12</v>
      </c>
      <c r="AS121" s="12">
        <v>3</v>
      </c>
      <c r="AT121" s="12">
        <v>4</v>
      </c>
      <c r="AU121" s="12">
        <v>2</v>
      </c>
      <c r="AV121" s="12">
        <v>25</v>
      </c>
      <c r="AW121" s="12">
        <f t="shared" si="18"/>
        <v>25</v>
      </c>
      <c r="AX121" s="12">
        <v>3</v>
      </c>
      <c r="AY121" s="12">
        <v>4</v>
      </c>
      <c r="AZ121" s="12">
        <v>25</v>
      </c>
      <c r="BA121" s="12">
        <f t="shared" si="19"/>
        <v>25</v>
      </c>
      <c r="BB121" s="12">
        <v>12</v>
      </c>
      <c r="BC121" s="12">
        <v>4</v>
      </c>
      <c r="BD121" s="12">
        <f t="shared" si="28"/>
        <v>4</v>
      </c>
      <c r="BE121" s="12">
        <v>12</v>
      </c>
      <c r="BF121" s="12">
        <f t="shared" si="20"/>
        <v>12</v>
      </c>
      <c r="BG121" s="12">
        <f t="shared" si="29"/>
        <v>48</v>
      </c>
      <c r="BH121" s="67">
        <v>0</v>
      </c>
      <c r="BI121" s="67">
        <v>0</v>
      </c>
      <c r="BJ121" s="67">
        <v>0</v>
      </c>
      <c r="BK121" s="67">
        <v>1</v>
      </c>
      <c r="BL121" s="67">
        <v>0</v>
      </c>
      <c r="BM121" s="67">
        <v>0</v>
      </c>
      <c r="BN121" s="67">
        <v>0</v>
      </c>
      <c r="BO121" s="67">
        <v>1</v>
      </c>
      <c r="BP121" s="67">
        <v>0</v>
      </c>
      <c r="BQ121" s="67">
        <v>0</v>
      </c>
      <c r="BR121" s="67">
        <v>12</v>
      </c>
      <c r="BS121" s="67">
        <v>0</v>
      </c>
      <c r="BT121" s="67">
        <v>0</v>
      </c>
      <c r="BU121" s="70">
        <v>25</v>
      </c>
      <c r="BV121" s="29">
        <f t="shared" si="21"/>
        <v>2.2209355754966271</v>
      </c>
      <c r="BW121">
        <f t="shared" si="22"/>
        <v>2.2075589277424408</v>
      </c>
      <c r="BX121">
        <f t="shared" si="23"/>
        <v>1.7633714368880775</v>
      </c>
      <c r="BY121">
        <f t="shared" si="24"/>
        <v>2.936711477897922</v>
      </c>
      <c r="BZ121">
        <f t="shared" si="25"/>
        <v>2.0732409091797459</v>
      </c>
      <c r="CA121">
        <f t="shared" si="26"/>
        <v>0.66512775678147573</v>
      </c>
      <c r="CB121">
        <f t="shared" si="27"/>
        <v>0.56238451757720498</v>
      </c>
    </row>
    <row r="122" spans="1:80" x14ac:dyDescent="0.45">
      <c r="A122" s="11">
        <v>30</v>
      </c>
      <c r="B122" s="12">
        <f t="shared" si="15"/>
        <v>30</v>
      </c>
      <c r="C122" s="12" t="s">
        <v>59</v>
      </c>
      <c r="D122" s="12">
        <v>0</v>
      </c>
      <c r="E122" s="12" t="s">
        <v>60</v>
      </c>
      <c r="F122" s="12">
        <v>1</v>
      </c>
      <c r="G122" s="12">
        <v>0</v>
      </c>
      <c r="H122" s="12" t="s">
        <v>61</v>
      </c>
      <c r="I122" s="12">
        <v>1</v>
      </c>
      <c r="J122" s="12">
        <v>0</v>
      </c>
      <c r="K122" s="12">
        <v>23</v>
      </c>
      <c r="L122" s="12">
        <f t="shared" si="16"/>
        <v>23</v>
      </c>
      <c r="M122" s="12">
        <v>3</v>
      </c>
      <c r="N122" s="12" t="s">
        <v>55</v>
      </c>
      <c r="O122" s="12">
        <v>1</v>
      </c>
      <c r="P122" s="12">
        <v>0</v>
      </c>
      <c r="Q122" s="12">
        <v>0</v>
      </c>
      <c r="R122" s="12">
        <v>0</v>
      </c>
      <c r="S122" s="12">
        <v>0</v>
      </c>
      <c r="T122" s="12">
        <v>1</v>
      </c>
      <c r="U122" s="12" t="s">
        <v>62</v>
      </c>
      <c r="V122" s="12">
        <v>0</v>
      </c>
      <c r="W122" s="12">
        <v>96</v>
      </c>
      <c r="X122" s="12">
        <v>1</v>
      </c>
      <c r="Y122" s="12">
        <v>1</v>
      </c>
      <c r="Z122" s="12" t="s">
        <v>63</v>
      </c>
      <c r="AA122" s="12">
        <v>0</v>
      </c>
      <c r="AB122" s="12">
        <v>0</v>
      </c>
      <c r="AC122" s="12">
        <v>0</v>
      </c>
      <c r="AD122" s="12">
        <v>0</v>
      </c>
      <c r="AE122" s="12">
        <v>0</v>
      </c>
      <c r="AF122" s="12">
        <v>0</v>
      </c>
      <c r="AG122" s="12">
        <v>0</v>
      </c>
      <c r="AH122" s="12">
        <v>1</v>
      </c>
      <c r="AI122" s="12">
        <v>3</v>
      </c>
      <c r="AJ122" s="12" t="s">
        <v>78</v>
      </c>
      <c r="AK122" s="12">
        <v>0</v>
      </c>
      <c r="AL122" s="12">
        <v>0</v>
      </c>
      <c r="AM122" s="12">
        <v>2613</v>
      </c>
      <c r="AN122" s="12">
        <f t="shared" si="17"/>
        <v>2613</v>
      </c>
      <c r="AO122" s="12">
        <v>1</v>
      </c>
      <c r="AP122" s="12" t="s">
        <v>59</v>
      </c>
      <c r="AQ122" s="12">
        <v>0</v>
      </c>
      <c r="AR122" s="12">
        <v>25</v>
      </c>
      <c r="AS122" s="12">
        <v>4</v>
      </c>
      <c r="AT122" s="12">
        <v>3</v>
      </c>
      <c r="AU122" s="12">
        <v>3</v>
      </c>
      <c r="AV122" s="12">
        <v>10</v>
      </c>
      <c r="AW122" s="12">
        <f t="shared" si="18"/>
        <v>10</v>
      </c>
      <c r="AX122" s="12">
        <v>2</v>
      </c>
      <c r="AY122" s="12">
        <v>2</v>
      </c>
      <c r="AZ122" s="12">
        <v>10</v>
      </c>
      <c r="BA122" s="12">
        <f t="shared" si="19"/>
        <v>10</v>
      </c>
      <c r="BB122" s="12">
        <v>7</v>
      </c>
      <c r="BC122" s="12">
        <v>0</v>
      </c>
      <c r="BD122" s="12">
        <f t="shared" si="28"/>
        <v>0</v>
      </c>
      <c r="BE122" s="12">
        <v>9</v>
      </c>
      <c r="BF122" s="12">
        <f t="shared" si="20"/>
        <v>9</v>
      </c>
      <c r="BG122" s="12">
        <f t="shared" si="29"/>
        <v>9</v>
      </c>
      <c r="BH122" s="67">
        <v>0</v>
      </c>
      <c r="BI122" s="67">
        <v>0</v>
      </c>
      <c r="BJ122" s="67">
        <v>1</v>
      </c>
      <c r="BK122" s="67">
        <v>0</v>
      </c>
      <c r="BL122" s="67">
        <v>1</v>
      </c>
      <c r="BM122" s="67">
        <v>0</v>
      </c>
      <c r="BN122" s="67">
        <v>0</v>
      </c>
      <c r="BO122" s="67">
        <v>0</v>
      </c>
      <c r="BP122" s="67">
        <v>0</v>
      </c>
      <c r="BQ122" s="67">
        <v>9</v>
      </c>
      <c r="BR122" s="67">
        <v>0</v>
      </c>
      <c r="BS122" s="67">
        <v>0</v>
      </c>
      <c r="BT122" s="67">
        <v>10</v>
      </c>
      <c r="BU122" s="70">
        <v>0</v>
      </c>
      <c r="BV122" s="29">
        <f t="shared" si="21"/>
        <v>0.8262461767878212</v>
      </c>
      <c r="BW122">
        <f t="shared" si="22"/>
        <v>1.3667838287404401</v>
      </c>
      <c r="BX122">
        <f t="shared" si="23"/>
        <v>0.1644554352117841</v>
      </c>
      <c r="BY122">
        <f t="shared" si="24"/>
        <v>0.48834154112957734</v>
      </c>
      <c r="BZ122">
        <f t="shared" si="25"/>
        <v>1.7031841475541873</v>
      </c>
      <c r="CA122">
        <f t="shared" si="26"/>
        <v>0.75791203633249671</v>
      </c>
      <c r="CB122">
        <f t="shared" si="27"/>
        <v>0.67891464284095016</v>
      </c>
    </row>
    <row r="123" spans="1:80" x14ac:dyDescent="0.45">
      <c r="A123" s="11">
        <v>33</v>
      </c>
      <c r="B123" s="12">
        <f t="shared" si="15"/>
        <v>33</v>
      </c>
      <c r="C123" s="12" t="s">
        <v>59</v>
      </c>
      <c r="D123" s="12">
        <v>0</v>
      </c>
      <c r="E123" s="12" t="s">
        <v>86</v>
      </c>
      <c r="F123" s="12">
        <v>0</v>
      </c>
      <c r="G123" s="12">
        <v>0</v>
      </c>
      <c r="H123" s="12" t="s">
        <v>54</v>
      </c>
      <c r="I123" s="12">
        <v>0</v>
      </c>
      <c r="J123" s="12">
        <v>1</v>
      </c>
      <c r="K123" s="12">
        <v>22</v>
      </c>
      <c r="L123" s="12">
        <f t="shared" si="16"/>
        <v>22</v>
      </c>
      <c r="M123" s="12">
        <v>2</v>
      </c>
      <c r="N123" s="12" t="s">
        <v>90</v>
      </c>
      <c r="O123" s="12">
        <v>0</v>
      </c>
      <c r="P123" s="12">
        <v>0</v>
      </c>
      <c r="Q123" s="12">
        <v>0</v>
      </c>
      <c r="R123" s="12">
        <v>1</v>
      </c>
      <c r="S123" s="12">
        <v>0</v>
      </c>
      <c r="T123" s="12">
        <v>3</v>
      </c>
      <c r="U123" s="12" t="s">
        <v>62</v>
      </c>
      <c r="V123" s="12">
        <v>0</v>
      </c>
      <c r="W123" s="12">
        <v>95</v>
      </c>
      <c r="X123" s="12">
        <v>3</v>
      </c>
      <c r="Y123" s="12">
        <v>2</v>
      </c>
      <c r="Z123" s="12" t="s">
        <v>56</v>
      </c>
      <c r="AA123" s="12">
        <v>0</v>
      </c>
      <c r="AB123" s="12">
        <v>1</v>
      </c>
      <c r="AC123" s="12">
        <v>0</v>
      </c>
      <c r="AD123" s="12">
        <v>0</v>
      </c>
      <c r="AE123" s="12">
        <v>0</v>
      </c>
      <c r="AF123" s="12">
        <v>0</v>
      </c>
      <c r="AG123" s="12">
        <v>0</v>
      </c>
      <c r="AH123" s="12">
        <v>0</v>
      </c>
      <c r="AI123" s="12">
        <v>2</v>
      </c>
      <c r="AJ123" s="12" t="s">
        <v>64</v>
      </c>
      <c r="AK123" s="12">
        <v>0</v>
      </c>
      <c r="AL123" s="12">
        <v>1</v>
      </c>
      <c r="AM123" s="12">
        <v>6146</v>
      </c>
      <c r="AN123" s="12">
        <f t="shared" si="17"/>
        <v>6146</v>
      </c>
      <c r="AO123" s="12">
        <v>0</v>
      </c>
      <c r="AP123" s="12" t="s">
        <v>59</v>
      </c>
      <c r="AQ123" s="12">
        <v>0</v>
      </c>
      <c r="AR123" s="12">
        <v>13</v>
      </c>
      <c r="AS123" s="12">
        <v>3</v>
      </c>
      <c r="AT123" s="12">
        <v>1</v>
      </c>
      <c r="AU123" s="12">
        <v>1</v>
      </c>
      <c r="AV123" s="12">
        <v>8</v>
      </c>
      <c r="AW123" s="12">
        <f t="shared" si="18"/>
        <v>8</v>
      </c>
      <c r="AX123" s="12">
        <v>2</v>
      </c>
      <c r="AY123" s="12">
        <v>4</v>
      </c>
      <c r="AZ123" s="12">
        <v>7</v>
      </c>
      <c r="BA123" s="12">
        <f t="shared" si="19"/>
        <v>7</v>
      </c>
      <c r="BB123" s="12">
        <v>7</v>
      </c>
      <c r="BC123" s="12">
        <v>0</v>
      </c>
      <c r="BD123" s="12">
        <f t="shared" si="28"/>
        <v>0</v>
      </c>
      <c r="BE123" s="12">
        <v>7</v>
      </c>
      <c r="BF123" s="12">
        <f t="shared" si="20"/>
        <v>7</v>
      </c>
      <c r="BG123" s="12">
        <f t="shared" si="29"/>
        <v>14</v>
      </c>
      <c r="BH123" s="67">
        <v>0</v>
      </c>
      <c r="BI123" s="67">
        <v>1</v>
      </c>
      <c r="BJ123" s="67">
        <v>0</v>
      </c>
      <c r="BK123" s="67">
        <v>0</v>
      </c>
      <c r="BL123" s="67">
        <v>0</v>
      </c>
      <c r="BM123" s="67">
        <v>0</v>
      </c>
      <c r="BN123" s="67">
        <v>1</v>
      </c>
      <c r="BO123" s="67">
        <v>0</v>
      </c>
      <c r="BP123" s="67">
        <v>0</v>
      </c>
      <c r="BQ123" s="67">
        <v>0</v>
      </c>
      <c r="BR123" s="67">
        <v>7</v>
      </c>
      <c r="BS123" s="67">
        <v>0</v>
      </c>
      <c r="BT123" s="67">
        <v>0</v>
      </c>
      <c r="BU123" s="70">
        <v>8</v>
      </c>
      <c r="BV123" s="29">
        <f t="shared" si="21"/>
        <v>7.5814479393358877E-2</v>
      </c>
      <c r="BW123">
        <f t="shared" si="22"/>
        <v>0.80626709607243985</v>
      </c>
      <c r="BX123">
        <f t="shared" si="23"/>
        <v>0.42149901815843233</v>
      </c>
      <c r="BY123">
        <f t="shared" si="24"/>
        <v>1.3324462240916321E-3</v>
      </c>
      <c r="BZ123">
        <f t="shared" si="25"/>
        <v>1.579831893679001</v>
      </c>
      <c r="CA123">
        <f t="shared" si="26"/>
        <v>0.42951823792158</v>
      </c>
      <c r="CB123">
        <f t="shared" si="27"/>
        <v>0.67891464284095016</v>
      </c>
    </row>
    <row r="124" spans="1:80" x14ac:dyDescent="0.45">
      <c r="A124" s="11">
        <v>56</v>
      </c>
      <c r="B124" s="12">
        <f t="shared" si="15"/>
        <v>56</v>
      </c>
      <c r="C124" s="12" t="s">
        <v>52</v>
      </c>
      <c r="D124" s="12">
        <v>1</v>
      </c>
      <c r="E124" s="12" t="s">
        <v>53</v>
      </c>
      <c r="F124" s="12">
        <v>0</v>
      </c>
      <c r="G124" s="12">
        <v>1</v>
      </c>
      <c r="H124" s="12" t="s">
        <v>61</v>
      </c>
      <c r="I124" s="12">
        <v>1</v>
      </c>
      <c r="J124" s="12">
        <v>0</v>
      </c>
      <c r="K124" s="12">
        <v>14</v>
      </c>
      <c r="L124" s="12">
        <f t="shared" si="16"/>
        <v>14</v>
      </c>
      <c r="M124" s="12">
        <v>4</v>
      </c>
      <c r="N124" s="12" t="s">
        <v>55</v>
      </c>
      <c r="O124" s="12">
        <v>1</v>
      </c>
      <c r="P124" s="12">
        <v>0</v>
      </c>
      <c r="Q124" s="12">
        <v>0</v>
      </c>
      <c r="R124" s="12">
        <v>0</v>
      </c>
      <c r="S124" s="12">
        <v>0</v>
      </c>
      <c r="T124" s="12">
        <v>2</v>
      </c>
      <c r="U124" s="12" t="s">
        <v>19</v>
      </c>
      <c r="V124" s="12">
        <v>1</v>
      </c>
      <c r="W124" s="12">
        <v>72</v>
      </c>
      <c r="X124" s="12">
        <v>3</v>
      </c>
      <c r="Y124" s="12">
        <v>1</v>
      </c>
      <c r="Z124" s="12" t="s">
        <v>63</v>
      </c>
      <c r="AA124" s="12">
        <v>0</v>
      </c>
      <c r="AB124" s="12">
        <v>0</v>
      </c>
      <c r="AC124" s="12">
        <v>0</v>
      </c>
      <c r="AD124" s="12">
        <v>0</v>
      </c>
      <c r="AE124" s="12">
        <v>0</v>
      </c>
      <c r="AF124" s="12">
        <v>0</v>
      </c>
      <c r="AG124" s="12">
        <v>0</v>
      </c>
      <c r="AH124" s="12">
        <v>1</v>
      </c>
      <c r="AI124" s="12">
        <v>2</v>
      </c>
      <c r="AJ124" s="12" t="s">
        <v>64</v>
      </c>
      <c r="AK124" s="12">
        <v>0</v>
      </c>
      <c r="AL124" s="12">
        <v>1</v>
      </c>
      <c r="AM124" s="12">
        <v>4963</v>
      </c>
      <c r="AN124" s="12">
        <f t="shared" si="17"/>
        <v>4963</v>
      </c>
      <c r="AO124" s="12">
        <v>9</v>
      </c>
      <c r="AP124" s="12" t="s">
        <v>52</v>
      </c>
      <c r="AQ124" s="12">
        <v>1</v>
      </c>
      <c r="AR124" s="12">
        <v>18</v>
      </c>
      <c r="AS124" s="12">
        <v>3</v>
      </c>
      <c r="AT124" s="12">
        <v>1</v>
      </c>
      <c r="AU124" s="12">
        <v>3</v>
      </c>
      <c r="AV124" s="12">
        <v>7</v>
      </c>
      <c r="AW124" s="12">
        <f t="shared" si="18"/>
        <v>7</v>
      </c>
      <c r="AX124" s="12">
        <v>2</v>
      </c>
      <c r="AY124" s="12">
        <v>3</v>
      </c>
      <c r="AZ124" s="12">
        <v>5</v>
      </c>
      <c r="BA124" s="12">
        <f t="shared" si="19"/>
        <v>5</v>
      </c>
      <c r="BB124" s="12">
        <v>4</v>
      </c>
      <c r="BC124" s="12">
        <v>4</v>
      </c>
      <c r="BD124" s="12">
        <f t="shared" si="28"/>
        <v>4</v>
      </c>
      <c r="BE124" s="12">
        <v>3</v>
      </c>
      <c r="BF124" s="12">
        <f t="shared" si="20"/>
        <v>3</v>
      </c>
      <c r="BG124" s="12">
        <f t="shared" si="29"/>
        <v>3</v>
      </c>
      <c r="BH124" s="67">
        <v>0</v>
      </c>
      <c r="BI124" s="67">
        <v>1</v>
      </c>
      <c r="BJ124" s="67">
        <v>0</v>
      </c>
      <c r="BK124" s="67">
        <v>0</v>
      </c>
      <c r="BL124" s="67">
        <v>0</v>
      </c>
      <c r="BM124" s="67">
        <v>0</v>
      </c>
      <c r="BN124" s="67">
        <v>0</v>
      </c>
      <c r="BO124" s="67">
        <v>1</v>
      </c>
      <c r="BP124" s="67">
        <v>0</v>
      </c>
      <c r="BQ124" s="67">
        <v>3</v>
      </c>
      <c r="BR124" s="67">
        <v>0</v>
      </c>
      <c r="BS124" s="67">
        <v>0</v>
      </c>
      <c r="BT124" s="67">
        <v>7</v>
      </c>
      <c r="BU124" s="70">
        <v>0</v>
      </c>
      <c r="BV124" s="29">
        <f t="shared" si="21"/>
        <v>0.32709121248638151</v>
      </c>
      <c r="BW124">
        <f t="shared" si="22"/>
        <v>0.31476636926356072</v>
      </c>
      <c r="BX124">
        <f t="shared" si="23"/>
        <v>0.55002080963175637</v>
      </c>
      <c r="BY124">
        <f t="shared" si="24"/>
        <v>0.32778177112653761</v>
      </c>
      <c r="BZ124">
        <f t="shared" si="25"/>
        <v>0.59301386267751111</v>
      </c>
      <c r="CA124">
        <f t="shared" si="26"/>
        <v>2.0881675498954482</v>
      </c>
      <c r="CB124">
        <f t="shared" si="27"/>
        <v>0.56238451757720498</v>
      </c>
    </row>
    <row r="125" spans="1:80" x14ac:dyDescent="0.45">
      <c r="A125" s="11">
        <v>51</v>
      </c>
      <c r="B125" s="12">
        <f t="shared" si="15"/>
        <v>51</v>
      </c>
      <c r="C125" s="12" t="s">
        <v>59</v>
      </c>
      <c r="D125" s="12">
        <v>0</v>
      </c>
      <c r="E125" s="12" t="s">
        <v>53</v>
      </c>
      <c r="F125" s="12">
        <v>0</v>
      </c>
      <c r="G125" s="12">
        <v>1</v>
      </c>
      <c r="H125" s="12" t="s">
        <v>61</v>
      </c>
      <c r="I125" s="12">
        <v>1</v>
      </c>
      <c r="J125" s="12">
        <v>0</v>
      </c>
      <c r="K125" s="12">
        <v>6</v>
      </c>
      <c r="L125" s="12">
        <f t="shared" si="16"/>
        <v>6</v>
      </c>
      <c r="M125" s="12">
        <v>3</v>
      </c>
      <c r="N125" s="12" t="s">
        <v>55</v>
      </c>
      <c r="O125" s="12">
        <v>1</v>
      </c>
      <c r="P125" s="12">
        <v>0</v>
      </c>
      <c r="Q125" s="12">
        <v>0</v>
      </c>
      <c r="R125" s="12">
        <v>0</v>
      </c>
      <c r="S125" s="12">
        <v>0</v>
      </c>
      <c r="T125" s="12">
        <v>1</v>
      </c>
      <c r="U125" s="12" t="s">
        <v>62</v>
      </c>
      <c r="V125" s="12">
        <v>0</v>
      </c>
      <c r="W125" s="12">
        <v>51</v>
      </c>
      <c r="X125" s="12">
        <v>3</v>
      </c>
      <c r="Y125" s="12">
        <v>5</v>
      </c>
      <c r="Z125" s="12" t="s">
        <v>89</v>
      </c>
      <c r="AA125" s="12">
        <v>0</v>
      </c>
      <c r="AB125" s="12">
        <v>0</v>
      </c>
      <c r="AC125" s="12">
        <v>0</v>
      </c>
      <c r="AD125" s="12">
        <v>0</v>
      </c>
      <c r="AE125" s="12">
        <v>0</v>
      </c>
      <c r="AF125" s="12">
        <v>0</v>
      </c>
      <c r="AG125" s="12">
        <v>0</v>
      </c>
      <c r="AH125" s="12">
        <v>0</v>
      </c>
      <c r="AI125" s="12">
        <v>3</v>
      </c>
      <c r="AJ125" s="12" t="s">
        <v>57</v>
      </c>
      <c r="AK125" s="12">
        <v>1</v>
      </c>
      <c r="AL125" s="12">
        <v>0</v>
      </c>
      <c r="AM125" s="12">
        <v>19537</v>
      </c>
      <c r="AN125" s="12">
        <f t="shared" si="17"/>
        <v>19537</v>
      </c>
      <c r="AO125" s="12">
        <v>7</v>
      </c>
      <c r="AP125" s="12" t="s">
        <v>59</v>
      </c>
      <c r="AQ125" s="12">
        <v>0</v>
      </c>
      <c r="AR125" s="12">
        <v>13</v>
      </c>
      <c r="AS125" s="12">
        <v>3</v>
      </c>
      <c r="AT125" s="12">
        <v>3</v>
      </c>
      <c r="AU125" s="12">
        <v>0</v>
      </c>
      <c r="AV125" s="12">
        <v>23</v>
      </c>
      <c r="AW125" s="12">
        <f t="shared" si="18"/>
        <v>23</v>
      </c>
      <c r="AX125" s="12">
        <v>5</v>
      </c>
      <c r="AY125" s="12">
        <v>3</v>
      </c>
      <c r="AZ125" s="12">
        <v>20</v>
      </c>
      <c r="BA125" s="12">
        <f t="shared" si="19"/>
        <v>20</v>
      </c>
      <c r="BB125" s="12">
        <v>18</v>
      </c>
      <c r="BC125" s="12">
        <v>15</v>
      </c>
      <c r="BD125" s="12">
        <f t="shared" si="28"/>
        <v>14</v>
      </c>
      <c r="BE125" s="12">
        <v>15</v>
      </c>
      <c r="BF125" s="12">
        <f t="shared" si="20"/>
        <v>14</v>
      </c>
      <c r="BG125" s="12">
        <f t="shared" si="29"/>
        <v>70</v>
      </c>
      <c r="BH125" s="67">
        <v>1</v>
      </c>
      <c r="BI125" s="67">
        <v>0</v>
      </c>
      <c r="BJ125" s="67">
        <v>0</v>
      </c>
      <c r="BK125" s="67">
        <v>0</v>
      </c>
      <c r="BL125" s="67">
        <v>1</v>
      </c>
      <c r="BM125" s="67">
        <v>0</v>
      </c>
      <c r="BN125" s="67">
        <v>0</v>
      </c>
      <c r="BO125" s="67">
        <v>0</v>
      </c>
      <c r="BP125" s="67">
        <v>0</v>
      </c>
      <c r="BQ125" s="67">
        <v>14</v>
      </c>
      <c r="BR125" s="67">
        <v>0</v>
      </c>
      <c r="BS125" s="67">
        <v>0</v>
      </c>
      <c r="BT125" s="67">
        <v>23</v>
      </c>
      <c r="BU125" s="70">
        <v>0</v>
      </c>
      <c r="BV125" s="29">
        <f t="shared" si="21"/>
        <v>2.768519191653696</v>
      </c>
      <c r="BW125">
        <f t="shared" si="22"/>
        <v>3.048334026744441</v>
      </c>
      <c r="BX125">
        <f t="shared" si="23"/>
        <v>1.5063278539414293</v>
      </c>
      <c r="BY125">
        <f t="shared" si="24"/>
        <v>2.1205881656418071</v>
      </c>
      <c r="BZ125">
        <f t="shared" si="25"/>
        <v>0.39380416832397891</v>
      </c>
      <c r="CA125">
        <f t="shared" si="26"/>
        <v>1.5408445525439205</v>
      </c>
      <c r="CB125">
        <f t="shared" si="27"/>
        <v>3.9759572087271318</v>
      </c>
    </row>
    <row r="126" spans="1:80" x14ac:dyDescent="0.45">
      <c r="A126" s="11">
        <v>31</v>
      </c>
      <c r="B126" s="12">
        <f t="shared" si="15"/>
        <v>31</v>
      </c>
      <c r="C126" s="12" t="s">
        <v>52</v>
      </c>
      <c r="D126" s="12">
        <v>1</v>
      </c>
      <c r="E126" s="12" t="s">
        <v>53</v>
      </c>
      <c r="F126" s="12">
        <v>0</v>
      </c>
      <c r="G126" s="12">
        <v>1</v>
      </c>
      <c r="H126" s="12" t="s">
        <v>54</v>
      </c>
      <c r="I126" s="12">
        <v>0</v>
      </c>
      <c r="J126" s="12">
        <v>1</v>
      </c>
      <c r="K126" s="12">
        <v>6</v>
      </c>
      <c r="L126" s="12">
        <f t="shared" si="16"/>
        <v>6</v>
      </c>
      <c r="M126" s="12">
        <v>4</v>
      </c>
      <c r="N126" s="12" t="s">
        <v>55</v>
      </c>
      <c r="O126" s="12">
        <v>1</v>
      </c>
      <c r="P126" s="12">
        <v>0</v>
      </c>
      <c r="Q126" s="12">
        <v>0</v>
      </c>
      <c r="R126" s="12">
        <v>0</v>
      </c>
      <c r="S126" s="12">
        <v>0</v>
      </c>
      <c r="T126" s="12">
        <v>2</v>
      </c>
      <c r="U126" s="12" t="s">
        <v>62</v>
      </c>
      <c r="V126" s="12">
        <v>0</v>
      </c>
      <c r="W126" s="12">
        <v>76</v>
      </c>
      <c r="X126" s="12">
        <v>1</v>
      </c>
      <c r="Y126" s="12">
        <v>2</v>
      </c>
      <c r="Z126" s="12" t="s">
        <v>56</v>
      </c>
      <c r="AA126" s="12">
        <v>0</v>
      </c>
      <c r="AB126" s="12">
        <v>1</v>
      </c>
      <c r="AC126" s="12">
        <v>0</v>
      </c>
      <c r="AD126" s="12">
        <v>0</v>
      </c>
      <c r="AE126" s="12">
        <v>0</v>
      </c>
      <c r="AF126" s="12">
        <v>0</v>
      </c>
      <c r="AG126" s="12">
        <v>0</v>
      </c>
      <c r="AH126" s="12">
        <v>0</v>
      </c>
      <c r="AI126" s="12">
        <v>3</v>
      </c>
      <c r="AJ126" s="12" t="s">
        <v>64</v>
      </c>
      <c r="AK126" s="12">
        <v>0</v>
      </c>
      <c r="AL126" s="12">
        <v>1</v>
      </c>
      <c r="AM126" s="12">
        <v>6172</v>
      </c>
      <c r="AN126" s="12">
        <f t="shared" si="17"/>
        <v>6172</v>
      </c>
      <c r="AO126" s="12">
        <v>4</v>
      </c>
      <c r="AP126" s="12" t="s">
        <v>52</v>
      </c>
      <c r="AQ126" s="12">
        <v>1</v>
      </c>
      <c r="AR126" s="12">
        <v>18</v>
      </c>
      <c r="AS126" s="12">
        <v>3</v>
      </c>
      <c r="AT126" s="12">
        <v>2</v>
      </c>
      <c r="AU126" s="12">
        <v>0</v>
      </c>
      <c r="AV126" s="12">
        <v>12</v>
      </c>
      <c r="AW126" s="12">
        <f t="shared" si="18"/>
        <v>12</v>
      </c>
      <c r="AX126" s="12">
        <v>3</v>
      </c>
      <c r="AY126" s="12">
        <v>2</v>
      </c>
      <c r="AZ126" s="12">
        <v>7</v>
      </c>
      <c r="BA126" s="12">
        <f t="shared" si="19"/>
        <v>7</v>
      </c>
      <c r="BB126" s="12">
        <v>7</v>
      </c>
      <c r="BC126" s="12">
        <v>7</v>
      </c>
      <c r="BD126" s="12">
        <f t="shared" si="28"/>
        <v>7</v>
      </c>
      <c r="BE126" s="12">
        <v>7</v>
      </c>
      <c r="BF126" s="12">
        <f t="shared" si="20"/>
        <v>7</v>
      </c>
      <c r="BG126" s="12">
        <f t="shared" si="29"/>
        <v>14</v>
      </c>
      <c r="BH126" s="67">
        <v>0</v>
      </c>
      <c r="BI126" s="67">
        <v>1</v>
      </c>
      <c r="BJ126" s="67">
        <v>0</v>
      </c>
      <c r="BK126" s="67">
        <v>0</v>
      </c>
      <c r="BL126" s="67">
        <v>0</v>
      </c>
      <c r="BM126" s="67">
        <v>0</v>
      </c>
      <c r="BN126" s="67">
        <v>0</v>
      </c>
      <c r="BO126" s="67">
        <v>1</v>
      </c>
      <c r="BP126" s="67">
        <v>0</v>
      </c>
      <c r="BQ126" s="67">
        <v>0</v>
      </c>
      <c r="BR126" s="67">
        <v>7</v>
      </c>
      <c r="BS126" s="67">
        <v>0</v>
      </c>
      <c r="BT126" s="67">
        <v>0</v>
      </c>
      <c r="BU126" s="70">
        <v>12</v>
      </c>
      <c r="BV126" s="29">
        <f t="shared" si="21"/>
        <v>7.0291913830874866E-2</v>
      </c>
      <c r="BW126">
        <f t="shared" si="22"/>
        <v>0.80626709607243985</v>
      </c>
      <c r="BX126">
        <f t="shared" si="23"/>
        <v>9.2588147734864096E-2</v>
      </c>
      <c r="BY126">
        <f t="shared" si="24"/>
        <v>1.3324462240916321E-3</v>
      </c>
      <c r="BZ126">
        <f t="shared" si="25"/>
        <v>0.39380416832397891</v>
      </c>
      <c r="CA126">
        <f t="shared" si="26"/>
        <v>0.6484474368621912</v>
      </c>
      <c r="CB126">
        <f t="shared" si="27"/>
        <v>1.4933588878908215</v>
      </c>
    </row>
    <row r="127" spans="1:80" x14ac:dyDescent="0.45">
      <c r="A127" s="11">
        <v>26</v>
      </c>
      <c r="B127" s="12">
        <f t="shared" si="15"/>
        <v>26</v>
      </c>
      <c r="C127" s="12" t="s">
        <v>59</v>
      </c>
      <c r="D127" s="12">
        <v>0</v>
      </c>
      <c r="E127" s="12" t="s">
        <v>53</v>
      </c>
      <c r="F127" s="12">
        <v>0</v>
      </c>
      <c r="G127" s="12">
        <v>1</v>
      </c>
      <c r="H127" s="12" t="s">
        <v>61</v>
      </c>
      <c r="I127" s="12">
        <v>1</v>
      </c>
      <c r="J127" s="12">
        <v>0</v>
      </c>
      <c r="K127" s="12">
        <v>6</v>
      </c>
      <c r="L127" s="12">
        <f t="shared" si="16"/>
        <v>6</v>
      </c>
      <c r="M127" s="12">
        <v>3</v>
      </c>
      <c r="N127" s="12" t="s">
        <v>66</v>
      </c>
      <c r="O127" s="12">
        <v>0</v>
      </c>
      <c r="P127" s="12">
        <v>1</v>
      </c>
      <c r="Q127" s="12">
        <v>0</v>
      </c>
      <c r="R127" s="12">
        <v>0</v>
      </c>
      <c r="S127" s="12">
        <v>0</v>
      </c>
      <c r="T127" s="12">
        <v>3</v>
      </c>
      <c r="U127" s="12" t="s">
        <v>19</v>
      </c>
      <c r="V127" s="12">
        <v>1</v>
      </c>
      <c r="W127" s="12">
        <v>46</v>
      </c>
      <c r="X127" s="12">
        <v>2</v>
      </c>
      <c r="Y127" s="12">
        <v>1</v>
      </c>
      <c r="Z127" s="12" t="s">
        <v>63</v>
      </c>
      <c r="AA127" s="12">
        <v>0</v>
      </c>
      <c r="AB127" s="12">
        <v>0</v>
      </c>
      <c r="AC127" s="12">
        <v>0</v>
      </c>
      <c r="AD127" s="12">
        <v>0</v>
      </c>
      <c r="AE127" s="12">
        <v>0</v>
      </c>
      <c r="AF127" s="12">
        <v>0</v>
      </c>
      <c r="AG127" s="12">
        <v>0</v>
      </c>
      <c r="AH127" s="12">
        <v>1</v>
      </c>
      <c r="AI127" s="12">
        <v>2</v>
      </c>
      <c r="AJ127" s="12" t="s">
        <v>64</v>
      </c>
      <c r="AK127" s="12">
        <v>0</v>
      </c>
      <c r="AL127" s="12">
        <v>1</v>
      </c>
      <c r="AM127" s="12">
        <v>2368</v>
      </c>
      <c r="AN127" s="12">
        <f t="shared" si="17"/>
        <v>2368</v>
      </c>
      <c r="AO127" s="12">
        <v>1</v>
      </c>
      <c r="AP127" s="12" t="s">
        <v>59</v>
      </c>
      <c r="AQ127" s="12">
        <v>0</v>
      </c>
      <c r="AR127" s="12">
        <v>19</v>
      </c>
      <c r="AS127" s="12">
        <v>3</v>
      </c>
      <c r="AT127" s="12">
        <v>3</v>
      </c>
      <c r="AU127" s="12">
        <v>0</v>
      </c>
      <c r="AV127" s="12">
        <v>5</v>
      </c>
      <c r="AW127" s="12">
        <f t="shared" si="18"/>
        <v>5</v>
      </c>
      <c r="AX127" s="12">
        <v>3</v>
      </c>
      <c r="AY127" s="12">
        <v>2</v>
      </c>
      <c r="AZ127" s="12">
        <v>5</v>
      </c>
      <c r="BA127" s="12">
        <f t="shared" si="19"/>
        <v>5</v>
      </c>
      <c r="BB127" s="12">
        <v>4</v>
      </c>
      <c r="BC127" s="12">
        <v>4</v>
      </c>
      <c r="BD127" s="12">
        <f t="shared" si="28"/>
        <v>4</v>
      </c>
      <c r="BE127" s="12">
        <v>3</v>
      </c>
      <c r="BF127" s="12">
        <f t="shared" si="20"/>
        <v>3</v>
      </c>
      <c r="BG127" s="12">
        <f t="shared" si="29"/>
        <v>3</v>
      </c>
      <c r="BH127" s="67">
        <v>0</v>
      </c>
      <c r="BI127" s="67">
        <v>1</v>
      </c>
      <c r="BJ127" s="67">
        <v>0</v>
      </c>
      <c r="BK127" s="67">
        <v>0</v>
      </c>
      <c r="BL127" s="67">
        <v>0</v>
      </c>
      <c r="BM127" s="67">
        <v>0</v>
      </c>
      <c r="BN127" s="67">
        <v>1</v>
      </c>
      <c r="BO127" s="67">
        <v>0</v>
      </c>
      <c r="BP127" s="67">
        <v>0</v>
      </c>
      <c r="BQ127" s="67">
        <v>3</v>
      </c>
      <c r="BR127" s="67">
        <v>0</v>
      </c>
      <c r="BS127" s="67">
        <v>0</v>
      </c>
      <c r="BT127" s="67">
        <v>5</v>
      </c>
      <c r="BU127" s="70">
        <v>0</v>
      </c>
      <c r="BV127" s="29">
        <f t="shared" si="21"/>
        <v>0.87828573689584355</v>
      </c>
      <c r="BW127">
        <f t="shared" si="22"/>
        <v>0.31476636926356072</v>
      </c>
      <c r="BX127">
        <f t="shared" si="23"/>
        <v>0.80706439257840468</v>
      </c>
      <c r="BY127">
        <f t="shared" si="24"/>
        <v>0.32778177112653761</v>
      </c>
      <c r="BZ127">
        <f t="shared" si="25"/>
        <v>0.39380416832397891</v>
      </c>
      <c r="CA127">
        <f t="shared" si="26"/>
        <v>1.195770434213719</v>
      </c>
      <c r="CB127">
        <f t="shared" si="27"/>
        <v>0.56238451757720498</v>
      </c>
    </row>
    <row r="128" spans="1:80" x14ac:dyDescent="0.45">
      <c r="A128" s="11">
        <v>58</v>
      </c>
      <c r="B128" s="12">
        <f t="shared" si="15"/>
        <v>58</v>
      </c>
      <c r="C128" s="12" t="s">
        <v>52</v>
      </c>
      <c r="D128" s="12">
        <v>1</v>
      </c>
      <c r="E128" s="12" t="s">
        <v>53</v>
      </c>
      <c r="F128" s="12">
        <v>0</v>
      </c>
      <c r="G128" s="12">
        <v>1</v>
      </c>
      <c r="H128" s="12" t="s">
        <v>61</v>
      </c>
      <c r="I128" s="12">
        <v>1</v>
      </c>
      <c r="J128" s="12">
        <v>0</v>
      </c>
      <c r="K128" s="12">
        <v>23</v>
      </c>
      <c r="L128" s="12">
        <f t="shared" si="16"/>
        <v>23</v>
      </c>
      <c r="M128" s="12">
        <v>4</v>
      </c>
      <c r="N128" s="12" t="s">
        <v>70</v>
      </c>
      <c r="O128" s="12">
        <v>0</v>
      </c>
      <c r="P128" s="12">
        <v>0</v>
      </c>
      <c r="Q128" s="12">
        <v>1</v>
      </c>
      <c r="R128" s="12">
        <v>0</v>
      </c>
      <c r="S128" s="12">
        <v>0</v>
      </c>
      <c r="T128" s="12">
        <v>4</v>
      </c>
      <c r="U128" s="12" t="s">
        <v>19</v>
      </c>
      <c r="V128" s="12">
        <v>1</v>
      </c>
      <c r="W128" s="12">
        <v>94</v>
      </c>
      <c r="X128" s="12">
        <v>3</v>
      </c>
      <c r="Y128" s="12">
        <v>3</v>
      </c>
      <c r="Z128" s="12" t="s">
        <v>85</v>
      </c>
      <c r="AA128" s="12">
        <v>1</v>
      </c>
      <c r="AB128" s="12">
        <v>0</v>
      </c>
      <c r="AC128" s="12">
        <v>0</v>
      </c>
      <c r="AD128" s="12">
        <v>0</v>
      </c>
      <c r="AE128" s="12">
        <v>0</v>
      </c>
      <c r="AF128" s="12">
        <v>0</v>
      </c>
      <c r="AG128" s="12">
        <v>0</v>
      </c>
      <c r="AH128" s="12">
        <v>0</v>
      </c>
      <c r="AI128" s="12">
        <v>4</v>
      </c>
      <c r="AJ128" s="12" t="s">
        <v>64</v>
      </c>
      <c r="AK128" s="12">
        <v>0</v>
      </c>
      <c r="AL128" s="12">
        <v>1</v>
      </c>
      <c r="AM128" s="12">
        <v>10312</v>
      </c>
      <c r="AN128" s="12">
        <f t="shared" si="17"/>
        <v>10312</v>
      </c>
      <c r="AO128" s="12">
        <v>1</v>
      </c>
      <c r="AP128" s="12" t="s">
        <v>59</v>
      </c>
      <c r="AQ128" s="12">
        <v>0</v>
      </c>
      <c r="AR128" s="12">
        <v>12</v>
      </c>
      <c r="AS128" s="12">
        <v>3</v>
      </c>
      <c r="AT128" s="12">
        <v>4</v>
      </c>
      <c r="AU128" s="12">
        <v>1</v>
      </c>
      <c r="AV128" s="12">
        <v>40</v>
      </c>
      <c r="AW128" s="12">
        <f t="shared" si="18"/>
        <v>35</v>
      </c>
      <c r="AX128" s="12">
        <v>3</v>
      </c>
      <c r="AY128" s="12">
        <v>2</v>
      </c>
      <c r="AZ128" s="12">
        <v>40</v>
      </c>
      <c r="BA128" s="12">
        <f t="shared" si="19"/>
        <v>31</v>
      </c>
      <c r="BB128" s="12">
        <v>10</v>
      </c>
      <c r="BC128" s="12">
        <v>15</v>
      </c>
      <c r="BD128" s="12">
        <f t="shared" si="28"/>
        <v>14</v>
      </c>
      <c r="BE128" s="12">
        <v>6</v>
      </c>
      <c r="BF128" s="12">
        <f t="shared" si="20"/>
        <v>6</v>
      </c>
      <c r="BG128" s="12">
        <f t="shared" si="29"/>
        <v>18</v>
      </c>
      <c r="BH128" s="67">
        <v>0</v>
      </c>
      <c r="BI128" s="67">
        <v>1</v>
      </c>
      <c r="BJ128" s="67">
        <v>0</v>
      </c>
      <c r="BK128" s="67">
        <v>0</v>
      </c>
      <c r="BL128" s="67">
        <v>0</v>
      </c>
      <c r="BM128" s="67">
        <v>0</v>
      </c>
      <c r="BN128" s="67">
        <v>1</v>
      </c>
      <c r="BO128" s="67">
        <v>0</v>
      </c>
      <c r="BP128" s="67">
        <v>0</v>
      </c>
      <c r="BQ128" s="67">
        <v>6</v>
      </c>
      <c r="BR128" s="67">
        <v>0</v>
      </c>
      <c r="BS128" s="67">
        <v>0</v>
      </c>
      <c r="BT128" s="67">
        <v>35</v>
      </c>
      <c r="BU128" s="70">
        <v>0</v>
      </c>
      <c r="BV128" s="29">
        <f t="shared" si="21"/>
        <v>0.80907044881081036</v>
      </c>
      <c r="BW128">
        <f t="shared" si="22"/>
        <v>0.52600872973843971</v>
      </c>
      <c r="BX128">
        <f t="shared" si="23"/>
        <v>3.6911983089879388</v>
      </c>
      <c r="BY128">
        <f t="shared" si="24"/>
        <v>5.3850814146662671</v>
      </c>
      <c r="BZ128">
        <f t="shared" si="25"/>
        <v>1.7031841475541873</v>
      </c>
      <c r="CA128">
        <f t="shared" si="26"/>
        <v>2.3070967488360594</v>
      </c>
      <c r="CB128">
        <f t="shared" si="27"/>
        <v>3.9759572087271318</v>
      </c>
    </row>
    <row r="129" spans="1:80" x14ac:dyDescent="0.45">
      <c r="A129" s="11">
        <v>19</v>
      </c>
      <c r="B129" s="12">
        <f t="shared" si="15"/>
        <v>19</v>
      </c>
      <c r="C129" s="12" t="s">
        <v>52</v>
      </c>
      <c r="D129" s="12">
        <v>1</v>
      </c>
      <c r="E129" s="12" t="s">
        <v>53</v>
      </c>
      <c r="F129" s="12">
        <v>0</v>
      </c>
      <c r="G129" s="12">
        <v>1</v>
      </c>
      <c r="H129" s="12" t="s">
        <v>54</v>
      </c>
      <c r="I129" s="12">
        <v>0</v>
      </c>
      <c r="J129" s="12">
        <v>1</v>
      </c>
      <c r="K129" s="12">
        <v>22</v>
      </c>
      <c r="L129" s="12">
        <f t="shared" si="16"/>
        <v>22</v>
      </c>
      <c r="M129" s="12">
        <v>1</v>
      </c>
      <c r="N129" s="12" t="s">
        <v>90</v>
      </c>
      <c r="O129" s="12">
        <v>0</v>
      </c>
      <c r="P129" s="12">
        <v>0</v>
      </c>
      <c r="Q129" s="12">
        <v>0</v>
      </c>
      <c r="R129" s="12">
        <v>1</v>
      </c>
      <c r="S129" s="12">
        <v>0</v>
      </c>
      <c r="T129" s="12">
        <v>4</v>
      </c>
      <c r="U129" s="12" t="s">
        <v>62</v>
      </c>
      <c r="V129" s="12">
        <v>0</v>
      </c>
      <c r="W129" s="12">
        <v>50</v>
      </c>
      <c r="X129" s="12">
        <v>3</v>
      </c>
      <c r="Y129" s="12">
        <v>1</v>
      </c>
      <c r="Z129" s="12" t="s">
        <v>88</v>
      </c>
      <c r="AA129" s="12">
        <v>0</v>
      </c>
      <c r="AB129" s="12">
        <v>0</v>
      </c>
      <c r="AC129" s="12">
        <v>0</v>
      </c>
      <c r="AD129" s="12">
        <v>0</v>
      </c>
      <c r="AE129" s="12">
        <v>0</v>
      </c>
      <c r="AF129" s="12">
        <v>0</v>
      </c>
      <c r="AG129" s="12">
        <v>1</v>
      </c>
      <c r="AH129" s="12">
        <v>0</v>
      </c>
      <c r="AI129" s="12">
        <v>3</v>
      </c>
      <c r="AJ129" s="12" t="s">
        <v>57</v>
      </c>
      <c r="AK129" s="12">
        <v>1</v>
      </c>
      <c r="AL129" s="12">
        <v>0</v>
      </c>
      <c r="AM129" s="12">
        <v>1675</v>
      </c>
      <c r="AN129" s="12">
        <f t="shared" si="17"/>
        <v>1675</v>
      </c>
      <c r="AO129" s="12">
        <v>1</v>
      </c>
      <c r="AP129" s="12" t="s">
        <v>52</v>
      </c>
      <c r="AQ129" s="12">
        <v>1</v>
      </c>
      <c r="AR129" s="12">
        <v>19</v>
      </c>
      <c r="AS129" s="12">
        <v>3</v>
      </c>
      <c r="AT129" s="12">
        <v>4</v>
      </c>
      <c r="AU129" s="12">
        <v>0</v>
      </c>
      <c r="AV129" s="12">
        <v>0</v>
      </c>
      <c r="AW129" s="12">
        <f t="shared" si="18"/>
        <v>1</v>
      </c>
      <c r="AX129" s="12">
        <v>2</v>
      </c>
      <c r="AY129" s="12">
        <v>2</v>
      </c>
      <c r="AZ129" s="12">
        <v>0</v>
      </c>
      <c r="BA129" s="12">
        <f t="shared" si="19"/>
        <v>0</v>
      </c>
      <c r="BB129" s="12">
        <v>0</v>
      </c>
      <c r="BC129" s="12">
        <v>0</v>
      </c>
      <c r="BD129" s="12">
        <f t="shared" si="28"/>
        <v>0</v>
      </c>
      <c r="BE129" s="12">
        <v>0</v>
      </c>
      <c r="BF129" s="12">
        <f t="shared" si="20"/>
        <v>0</v>
      </c>
      <c r="BG129" s="12">
        <f t="shared" si="29"/>
        <v>0</v>
      </c>
      <c r="BH129" s="67">
        <v>1</v>
      </c>
      <c r="BI129" s="67">
        <v>0</v>
      </c>
      <c r="BJ129" s="67">
        <v>0</v>
      </c>
      <c r="BK129" s="67">
        <v>0</v>
      </c>
      <c r="BL129" s="67">
        <v>0</v>
      </c>
      <c r="BM129" s="67">
        <v>1</v>
      </c>
      <c r="BN129" s="67">
        <v>0</v>
      </c>
      <c r="BO129" s="67">
        <v>0</v>
      </c>
      <c r="BP129" s="67">
        <v>0</v>
      </c>
      <c r="BQ129" s="67">
        <v>0</v>
      </c>
      <c r="BR129" s="67">
        <v>0</v>
      </c>
      <c r="BS129" s="67">
        <v>0</v>
      </c>
      <c r="BT129" s="67">
        <v>0</v>
      </c>
      <c r="BU129" s="70">
        <v>1</v>
      </c>
      <c r="BV129" s="29">
        <f t="shared" si="21"/>
        <v>1.0254833497728213</v>
      </c>
      <c r="BW129">
        <f t="shared" si="22"/>
        <v>1.1555414682655611</v>
      </c>
      <c r="BX129">
        <f t="shared" si="23"/>
        <v>1.4496733499450252</v>
      </c>
      <c r="BY129">
        <f t="shared" si="24"/>
        <v>1.1439050833826525</v>
      </c>
      <c r="BZ129">
        <f t="shared" si="25"/>
        <v>1.579831893679001</v>
      </c>
      <c r="CA129">
        <f t="shared" si="26"/>
        <v>1.9620226305058581</v>
      </c>
      <c r="CB129">
        <f t="shared" si="27"/>
        <v>0.67891464284095016</v>
      </c>
    </row>
    <row r="130" spans="1:80" x14ac:dyDescent="0.45">
      <c r="A130" s="11">
        <v>22</v>
      </c>
      <c r="B130" s="12">
        <f t="shared" ref="B130:B193" si="30">IF(A130&gt;$CD$29,$CD$29,IF(A130&lt;$CD$30,$CD$30,A130))</f>
        <v>22</v>
      </c>
      <c r="C130" s="12" t="s">
        <v>59</v>
      </c>
      <c r="D130" s="12">
        <v>0</v>
      </c>
      <c r="E130" s="12" t="s">
        <v>53</v>
      </c>
      <c r="F130" s="12">
        <v>0</v>
      </c>
      <c r="G130" s="12">
        <v>1</v>
      </c>
      <c r="H130" s="12" t="s">
        <v>61</v>
      </c>
      <c r="I130" s="12">
        <v>1</v>
      </c>
      <c r="J130" s="12">
        <v>0</v>
      </c>
      <c r="K130" s="12">
        <v>2</v>
      </c>
      <c r="L130" s="12">
        <f t="shared" ref="L130:L193" si="31">IF(K130&gt;$CD$25,$CD$25,IF(K130&lt;$CD$26,$CD$26,K130))</f>
        <v>2</v>
      </c>
      <c r="M130" s="12">
        <v>1</v>
      </c>
      <c r="N130" s="12" t="s">
        <v>91</v>
      </c>
      <c r="O130" s="12">
        <v>0</v>
      </c>
      <c r="P130" s="12">
        <v>0</v>
      </c>
      <c r="Q130" s="12">
        <v>0</v>
      </c>
      <c r="R130" s="12">
        <v>0</v>
      </c>
      <c r="S130" s="12">
        <v>1</v>
      </c>
      <c r="T130" s="12">
        <v>3</v>
      </c>
      <c r="U130" s="12" t="s">
        <v>62</v>
      </c>
      <c r="V130" s="12">
        <v>0</v>
      </c>
      <c r="W130" s="12">
        <v>100</v>
      </c>
      <c r="X130" s="12">
        <v>3</v>
      </c>
      <c r="Y130" s="12">
        <v>1</v>
      </c>
      <c r="Z130" s="12" t="s">
        <v>67</v>
      </c>
      <c r="AA130" s="12">
        <v>0</v>
      </c>
      <c r="AB130" s="12">
        <v>0</v>
      </c>
      <c r="AC130" s="12">
        <v>1</v>
      </c>
      <c r="AD130" s="12">
        <v>0</v>
      </c>
      <c r="AE130" s="12">
        <v>0</v>
      </c>
      <c r="AF130" s="12">
        <v>0</v>
      </c>
      <c r="AG130" s="12">
        <v>0</v>
      </c>
      <c r="AH130" s="12">
        <v>0</v>
      </c>
      <c r="AI130" s="12">
        <v>4</v>
      </c>
      <c r="AJ130" s="12" t="s">
        <v>64</v>
      </c>
      <c r="AK130" s="12">
        <v>0</v>
      </c>
      <c r="AL130" s="12">
        <v>1</v>
      </c>
      <c r="AM130" s="12">
        <v>2523</v>
      </c>
      <c r="AN130" s="12">
        <f t="shared" ref="AN130:AN193" si="32">IF(AM130&gt;$CD$8,$CD$8,IF(AM130&lt;$CD$9,$CD$9,AM130))</f>
        <v>2523</v>
      </c>
      <c r="AO130" s="12">
        <v>0</v>
      </c>
      <c r="AP130" s="12" t="s">
        <v>59</v>
      </c>
      <c r="AQ130" s="12">
        <v>0</v>
      </c>
      <c r="AR130" s="12">
        <v>14</v>
      </c>
      <c r="AS130" s="12">
        <v>3</v>
      </c>
      <c r="AT130" s="12">
        <v>3</v>
      </c>
      <c r="AU130" s="12">
        <v>1</v>
      </c>
      <c r="AV130" s="12">
        <v>3</v>
      </c>
      <c r="AW130" s="12">
        <f t="shared" ref="AW130:AW193" si="33">IF(AV130&gt;$CD$17,$CD$17,IF(AV130&lt;$CD$18,$CD$18,AV130))</f>
        <v>3</v>
      </c>
      <c r="AX130" s="12">
        <v>2</v>
      </c>
      <c r="AY130" s="12">
        <v>3</v>
      </c>
      <c r="AZ130" s="12">
        <v>2</v>
      </c>
      <c r="BA130" s="12">
        <f t="shared" ref="BA130:BA193" si="34">IF(AZ130&gt; $CD$21,$CD$21,IF(AZ130&lt;$CD$22,$CD$22,AZ130))</f>
        <v>2</v>
      </c>
      <c r="BB130" s="12">
        <v>1</v>
      </c>
      <c r="BC130" s="12">
        <v>2</v>
      </c>
      <c r="BD130" s="12">
        <f t="shared" si="28"/>
        <v>2</v>
      </c>
      <c r="BE130" s="12">
        <v>1</v>
      </c>
      <c r="BF130" s="12">
        <f t="shared" ref="BF130:BF193" si="35">IF(BE130&gt;$CD$12,$CD$12,IF(BE130&lt;$CD$13,$CD$13,BE130))</f>
        <v>1</v>
      </c>
      <c r="BG130" s="12">
        <f t="shared" si="29"/>
        <v>1</v>
      </c>
      <c r="BH130" s="67">
        <v>0</v>
      </c>
      <c r="BI130" s="67">
        <v>1</v>
      </c>
      <c r="BJ130" s="67">
        <v>0</v>
      </c>
      <c r="BK130" s="67">
        <v>0</v>
      </c>
      <c r="BL130" s="67">
        <v>0</v>
      </c>
      <c r="BM130" s="67">
        <v>0</v>
      </c>
      <c r="BN130" s="67">
        <v>1</v>
      </c>
      <c r="BO130" s="67">
        <v>0</v>
      </c>
      <c r="BP130" s="67">
        <v>0</v>
      </c>
      <c r="BQ130" s="67">
        <v>1</v>
      </c>
      <c r="BR130" s="67">
        <v>0</v>
      </c>
      <c r="BS130" s="67">
        <v>0</v>
      </c>
      <c r="BT130" s="67">
        <v>3</v>
      </c>
      <c r="BU130" s="70">
        <v>0</v>
      </c>
      <c r="BV130" s="29">
        <f t="shared" ref="BV130:BV193" si="36">ABS((AM130-AVERAGE(AM:AM))/_xlfn.STDEV.S(AM:AM))</f>
        <v>0.84536274988872739</v>
      </c>
      <c r="BW130">
        <f t="shared" ref="BW130:BW193" si="37">ABS((BE130-AVERAGE(BE:BE))/_xlfn.STDEV.S(BE:BE))</f>
        <v>0.87528310193156111</v>
      </c>
      <c r="BX130">
        <f t="shared" ref="BX130:BX193" si="38">ABS((AV130-AVERAGE(AV:AV))/_xlfn.STDEV.S(AV:AV))</f>
        <v>1.0641079755250529</v>
      </c>
      <c r="BY130">
        <f t="shared" ref="BY130:BY193" si="39">ABS((AZ130-AVERAGE(AZ:AZ))/_xlfn.STDEV.S(AZ:AZ))</f>
        <v>0.81745575848020657</v>
      </c>
      <c r="BZ130">
        <f t="shared" ref="BZ130:BZ193" si="40">ABS((K130-AVERAGE(K:K))/_xlfn.STDEV.S(K:K))</f>
        <v>0.88721318382472392</v>
      </c>
      <c r="CA130">
        <f t="shared" ref="CA130:CA193" si="41">ABS((A130-AVERAGE(A:A))/_xlfn.STDEV.S(A:A))</f>
        <v>1.6336288320949415</v>
      </c>
      <c r="CB130">
        <f t="shared" ref="CB130:CB193" si="42">ABS((BC130-AVERAGE(BC:BC))/_xlfn.STDEV.S(BC:BC))</f>
        <v>5.8265062631872602E-2</v>
      </c>
    </row>
    <row r="131" spans="1:80" x14ac:dyDescent="0.45">
      <c r="A131" s="11">
        <v>49</v>
      </c>
      <c r="B131" s="12">
        <f t="shared" si="30"/>
        <v>49</v>
      </c>
      <c r="C131" s="12" t="s">
        <v>59</v>
      </c>
      <c r="D131" s="12">
        <v>0</v>
      </c>
      <c r="E131" s="12" t="s">
        <v>53</v>
      </c>
      <c r="F131" s="12">
        <v>0</v>
      </c>
      <c r="G131" s="12">
        <v>1</v>
      </c>
      <c r="H131" s="12" t="s">
        <v>61</v>
      </c>
      <c r="I131" s="12">
        <v>1</v>
      </c>
      <c r="J131" s="12">
        <v>0</v>
      </c>
      <c r="K131" s="12">
        <v>20</v>
      </c>
      <c r="L131" s="12">
        <f t="shared" si="31"/>
        <v>20</v>
      </c>
      <c r="M131" s="12">
        <v>4</v>
      </c>
      <c r="N131" s="12" t="s">
        <v>70</v>
      </c>
      <c r="O131" s="12">
        <v>0</v>
      </c>
      <c r="P131" s="12">
        <v>0</v>
      </c>
      <c r="Q131" s="12">
        <v>1</v>
      </c>
      <c r="R131" s="12">
        <v>0</v>
      </c>
      <c r="S131" s="12">
        <v>0</v>
      </c>
      <c r="T131" s="12">
        <v>3</v>
      </c>
      <c r="U131" s="12" t="s">
        <v>19</v>
      </c>
      <c r="V131" s="12">
        <v>1</v>
      </c>
      <c r="W131" s="12">
        <v>96</v>
      </c>
      <c r="X131" s="12">
        <v>3</v>
      </c>
      <c r="Y131" s="12">
        <v>2</v>
      </c>
      <c r="Z131" s="12" t="s">
        <v>83</v>
      </c>
      <c r="AA131" s="12">
        <v>0</v>
      </c>
      <c r="AB131" s="12">
        <v>0</v>
      </c>
      <c r="AC131" s="12">
        <v>0</v>
      </c>
      <c r="AD131" s="12">
        <v>0</v>
      </c>
      <c r="AE131" s="12">
        <v>1</v>
      </c>
      <c r="AF131" s="12">
        <v>1</v>
      </c>
      <c r="AG131" s="12">
        <v>0</v>
      </c>
      <c r="AH131" s="12">
        <v>0</v>
      </c>
      <c r="AI131" s="12">
        <v>1</v>
      </c>
      <c r="AJ131" s="12" t="s">
        <v>64</v>
      </c>
      <c r="AK131" s="12">
        <v>0</v>
      </c>
      <c r="AL131" s="12">
        <v>1</v>
      </c>
      <c r="AM131" s="12">
        <v>6567</v>
      </c>
      <c r="AN131" s="12">
        <f t="shared" si="32"/>
        <v>6567</v>
      </c>
      <c r="AO131" s="12">
        <v>1</v>
      </c>
      <c r="AP131" s="12" t="s">
        <v>59</v>
      </c>
      <c r="AQ131" s="12">
        <v>0</v>
      </c>
      <c r="AR131" s="12">
        <v>14</v>
      </c>
      <c r="AS131" s="12">
        <v>3</v>
      </c>
      <c r="AT131" s="12">
        <v>3</v>
      </c>
      <c r="AU131" s="12">
        <v>0</v>
      </c>
      <c r="AV131" s="12">
        <v>16</v>
      </c>
      <c r="AW131" s="12">
        <f t="shared" si="33"/>
        <v>16</v>
      </c>
      <c r="AX131" s="12">
        <v>2</v>
      </c>
      <c r="AY131" s="12">
        <v>2</v>
      </c>
      <c r="AZ131" s="12">
        <v>15</v>
      </c>
      <c r="BA131" s="12">
        <f t="shared" si="34"/>
        <v>15</v>
      </c>
      <c r="BB131" s="12">
        <v>11</v>
      </c>
      <c r="BC131" s="12">
        <v>5</v>
      </c>
      <c r="BD131" s="12">
        <f t="shared" ref="BD131:BD194" si="43">IF(BC131&gt;$CD$33,$CD$33,BC131)</f>
        <v>5</v>
      </c>
      <c r="BE131" s="12">
        <v>11</v>
      </c>
      <c r="BF131" s="12">
        <f t="shared" si="35"/>
        <v>11</v>
      </c>
      <c r="BG131" s="12">
        <f t="shared" ref="BG131:BG194" si="44">BF131*Y131</f>
        <v>22</v>
      </c>
      <c r="BH131" s="67">
        <v>0</v>
      </c>
      <c r="BI131" s="67">
        <v>1</v>
      </c>
      <c r="BJ131" s="67">
        <v>0</v>
      </c>
      <c r="BK131" s="67">
        <v>0</v>
      </c>
      <c r="BL131" s="67">
        <v>0</v>
      </c>
      <c r="BM131" s="67">
        <v>0</v>
      </c>
      <c r="BN131" s="67">
        <v>1</v>
      </c>
      <c r="BO131" s="67">
        <v>0</v>
      </c>
      <c r="BP131" s="67">
        <v>0</v>
      </c>
      <c r="BQ131" s="67">
        <v>11</v>
      </c>
      <c r="BR131" s="67">
        <v>0</v>
      </c>
      <c r="BS131" s="67">
        <v>0</v>
      </c>
      <c r="BT131" s="67">
        <v>16</v>
      </c>
      <c r="BU131" s="70">
        <v>0</v>
      </c>
      <c r="BV131" s="29">
        <f t="shared" si="36"/>
        <v>1.360860144532457E-2</v>
      </c>
      <c r="BW131">
        <f t="shared" si="37"/>
        <v>1.9273005614084406</v>
      </c>
      <c r="BX131">
        <f t="shared" si="38"/>
        <v>0.60667531362816052</v>
      </c>
      <c r="BY131">
        <f t="shared" si="39"/>
        <v>1.3044648533856922</v>
      </c>
      <c r="BZ131">
        <f t="shared" si="40"/>
        <v>1.3331273859286286</v>
      </c>
      <c r="CA131">
        <f t="shared" si="41"/>
        <v>1.3219153536033093</v>
      </c>
      <c r="CB131">
        <f t="shared" si="42"/>
        <v>0.87270930768174382</v>
      </c>
    </row>
    <row r="132" spans="1:80" x14ac:dyDescent="0.45">
      <c r="A132" s="11">
        <v>43</v>
      </c>
      <c r="B132" s="12">
        <f t="shared" si="30"/>
        <v>43</v>
      </c>
      <c r="C132" s="12" t="s">
        <v>59</v>
      </c>
      <c r="D132" s="12">
        <v>0</v>
      </c>
      <c r="E132" s="12" t="s">
        <v>60</v>
      </c>
      <c r="F132" s="12">
        <v>1</v>
      </c>
      <c r="G132" s="12">
        <v>0</v>
      </c>
      <c r="H132" s="12" t="s">
        <v>61</v>
      </c>
      <c r="I132" s="12">
        <v>1</v>
      </c>
      <c r="J132" s="12">
        <v>0</v>
      </c>
      <c r="K132" s="12">
        <v>28</v>
      </c>
      <c r="L132" s="12">
        <f t="shared" si="31"/>
        <v>28</v>
      </c>
      <c r="M132" s="12">
        <v>3</v>
      </c>
      <c r="N132" s="12" t="s">
        <v>70</v>
      </c>
      <c r="O132" s="12">
        <v>0</v>
      </c>
      <c r="P132" s="12">
        <v>0</v>
      </c>
      <c r="Q132" s="12">
        <v>1</v>
      </c>
      <c r="R132" s="12">
        <v>0</v>
      </c>
      <c r="S132" s="12">
        <v>0</v>
      </c>
      <c r="T132" s="12">
        <v>2</v>
      </c>
      <c r="U132" s="12" t="s">
        <v>19</v>
      </c>
      <c r="V132" s="12">
        <v>1</v>
      </c>
      <c r="W132" s="12">
        <v>72</v>
      </c>
      <c r="X132" s="12">
        <v>4</v>
      </c>
      <c r="Y132" s="12">
        <v>1</v>
      </c>
      <c r="Z132" s="12" t="s">
        <v>63</v>
      </c>
      <c r="AA132" s="12">
        <v>0</v>
      </c>
      <c r="AB132" s="12">
        <v>0</v>
      </c>
      <c r="AC132" s="12">
        <v>0</v>
      </c>
      <c r="AD132" s="12">
        <v>0</v>
      </c>
      <c r="AE132" s="12">
        <v>0</v>
      </c>
      <c r="AF132" s="12">
        <v>0</v>
      </c>
      <c r="AG132" s="12">
        <v>0</v>
      </c>
      <c r="AH132" s="12">
        <v>1</v>
      </c>
      <c r="AI132" s="12">
        <v>3</v>
      </c>
      <c r="AJ132" s="12" t="s">
        <v>57</v>
      </c>
      <c r="AK132" s="12">
        <v>1</v>
      </c>
      <c r="AL132" s="12">
        <v>0</v>
      </c>
      <c r="AM132" s="12">
        <v>4739</v>
      </c>
      <c r="AN132" s="12">
        <f t="shared" si="32"/>
        <v>4739</v>
      </c>
      <c r="AO132" s="12">
        <v>4</v>
      </c>
      <c r="AP132" s="12" t="s">
        <v>59</v>
      </c>
      <c r="AQ132" s="12">
        <v>0</v>
      </c>
      <c r="AR132" s="12">
        <v>12</v>
      </c>
      <c r="AS132" s="12">
        <v>3</v>
      </c>
      <c r="AT132" s="12">
        <v>4</v>
      </c>
      <c r="AU132" s="12">
        <v>0</v>
      </c>
      <c r="AV132" s="12">
        <v>18</v>
      </c>
      <c r="AW132" s="12">
        <f t="shared" si="33"/>
        <v>18</v>
      </c>
      <c r="AX132" s="12">
        <v>2</v>
      </c>
      <c r="AY132" s="12">
        <v>3</v>
      </c>
      <c r="AZ132" s="12">
        <v>3</v>
      </c>
      <c r="BA132" s="12">
        <f t="shared" si="34"/>
        <v>3</v>
      </c>
      <c r="BB132" s="12">
        <v>2</v>
      </c>
      <c r="BC132" s="12">
        <v>1</v>
      </c>
      <c r="BD132" s="12">
        <f t="shared" si="43"/>
        <v>1</v>
      </c>
      <c r="BE132" s="12">
        <v>2</v>
      </c>
      <c r="BF132" s="12">
        <f t="shared" si="35"/>
        <v>2</v>
      </c>
      <c r="BG132" s="12">
        <f t="shared" si="44"/>
        <v>2</v>
      </c>
      <c r="BH132" s="67">
        <v>0</v>
      </c>
      <c r="BI132" s="67">
        <v>0</v>
      </c>
      <c r="BJ132" s="67">
        <v>1</v>
      </c>
      <c r="BK132" s="67">
        <v>0</v>
      </c>
      <c r="BL132" s="67">
        <v>1</v>
      </c>
      <c r="BM132" s="67">
        <v>0</v>
      </c>
      <c r="BN132" s="67">
        <v>0</v>
      </c>
      <c r="BO132" s="67">
        <v>0</v>
      </c>
      <c r="BP132" s="67">
        <v>0</v>
      </c>
      <c r="BQ132" s="67">
        <v>2</v>
      </c>
      <c r="BR132" s="67">
        <v>0</v>
      </c>
      <c r="BS132" s="67">
        <v>0</v>
      </c>
      <c r="BT132" s="67">
        <v>18</v>
      </c>
      <c r="BU132" s="70">
        <v>0</v>
      </c>
      <c r="BV132" s="29">
        <f t="shared" si="36"/>
        <v>0.37467023887085915</v>
      </c>
      <c r="BW132">
        <f t="shared" si="37"/>
        <v>0.59502473559756086</v>
      </c>
      <c r="BX132">
        <f t="shared" si="38"/>
        <v>0.86371889657480871</v>
      </c>
      <c r="BY132">
        <f t="shared" si="39"/>
        <v>0.65423109602898355</v>
      </c>
      <c r="BZ132">
        <f t="shared" si="40"/>
        <v>2.3199454169301186</v>
      </c>
      <c r="CA132">
        <f t="shared" si="41"/>
        <v>0.66512775678147573</v>
      </c>
      <c r="CB132">
        <f t="shared" si="42"/>
        <v>0.36858985273641137</v>
      </c>
    </row>
    <row r="133" spans="1:80" x14ac:dyDescent="0.45">
      <c r="A133" s="11">
        <v>50</v>
      </c>
      <c r="B133" s="12">
        <f t="shared" si="30"/>
        <v>50</v>
      </c>
      <c r="C133" s="12" t="s">
        <v>59</v>
      </c>
      <c r="D133" s="12">
        <v>0</v>
      </c>
      <c r="E133" s="12" t="s">
        <v>60</v>
      </c>
      <c r="F133" s="12">
        <v>1</v>
      </c>
      <c r="G133" s="12">
        <v>0</v>
      </c>
      <c r="H133" s="12" t="s">
        <v>54</v>
      </c>
      <c r="I133" s="12">
        <v>0</v>
      </c>
      <c r="J133" s="12">
        <v>1</v>
      </c>
      <c r="K133" s="12">
        <v>12</v>
      </c>
      <c r="L133" s="12">
        <f t="shared" si="31"/>
        <v>12</v>
      </c>
      <c r="M133" s="12">
        <v>3</v>
      </c>
      <c r="N133" s="12" t="s">
        <v>90</v>
      </c>
      <c r="O133" s="12">
        <v>0</v>
      </c>
      <c r="P133" s="12">
        <v>0</v>
      </c>
      <c r="Q133" s="12">
        <v>0</v>
      </c>
      <c r="R133" s="12">
        <v>1</v>
      </c>
      <c r="S133" s="12">
        <v>0</v>
      </c>
      <c r="T133" s="12">
        <v>3</v>
      </c>
      <c r="U133" s="12" t="s">
        <v>19</v>
      </c>
      <c r="V133" s="12">
        <v>1</v>
      </c>
      <c r="W133" s="12">
        <v>77</v>
      </c>
      <c r="X133" s="12">
        <v>3</v>
      </c>
      <c r="Y133" s="12">
        <v>3</v>
      </c>
      <c r="Z133" s="12" t="s">
        <v>56</v>
      </c>
      <c r="AA133" s="12">
        <v>0</v>
      </c>
      <c r="AB133" s="12">
        <v>1</v>
      </c>
      <c r="AC133" s="12">
        <v>0</v>
      </c>
      <c r="AD133" s="12">
        <v>0</v>
      </c>
      <c r="AE133" s="12">
        <v>0</v>
      </c>
      <c r="AF133" s="12">
        <v>0</v>
      </c>
      <c r="AG133" s="12">
        <v>0</v>
      </c>
      <c r="AH133" s="12">
        <v>0</v>
      </c>
      <c r="AI133" s="12">
        <v>4</v>
      </c>
      <c r="AJ133" s="12" t="s">
        <v>57</v>
      </c>
      <c r="AK133" s="12">
        <v>1</v>
      </c>
      <c r="AL133" s="12">
        <v>0</v>
      </c>
      <c r="AM133" s="12">
        <v>9208</v>
      </c>
      <c r="AN133" s="12">
        <f t="shared" si="32"/>
        <v>9208</v>
      </c>
      <c r="AO133" s="12">
        <v>4</v>
      </c>
      <c r="AP133" s="12" t="s">
        <v>59</v>
      </c>
      <c r="AQ133" s="12">
        <v>0</v>
      </c>
      <c r="AR133" s="12">
        <v>11</v>
      </c>
      <c r="AS133" s="12">
        <v>3</v>
      </c>
      <c r="AT133" s="12">
        <v>4</v>
      </c>
      <c r="AU133" s="12">
        <v>0</v>
      </c>
      <c r="AV133" s="12">
        <v>16</v>
      </c>
      <c r="AW133" s="12">
        <f t="shared" si="33"/>
        <v>16</v>
      </c>
      <c r="AX133" s="12">
        <v>3</v>
      </c>
      <c r="AY133" s="12">
        <v>3</v>
      </c>
      <c r="AZ133" s="12">
        <v>2</v>
      </c>
      <c r="BA133" s="12">
        <f t="shared" si="34"/>
        <v>2</v>
      </c>
      <c r="BB133" s="12">
        <v>2</v>
      </c>
      <c r="BC133" s="12">
        <v>2</v>
      </c>
      <c r="BD133" s="12">
        <f t="shared" si="43"/>
        <v>2</v>
      </c>
      <c r="BE133" s="12">
        <v>1</v>
      </c>
      <c r="BF133" s="12">
        <f t="shared" si="35"/>
        <v>1</v>
      </c>
      <c r="BG133" s="12">
        <f t="shared" si="44"/>
        <v>3</v>
      </c>
      <c r="BH133" s="67">
        <v>0</v>
      </c>
      <c r="BI133" s="67">
        <v>0</v>
      </c>
      <c r="BJ133" s="67">
        <v>1</v>
      </c>
      <c r="BK133" s="67">
        <v>0</v>
      </c>
      <c r="BL133" s="67">
        <v>1</v>
      </c>
      <c r="BM133" s="67">
        <v>0</v>
      </c>
      <c r="BN133" s="67">
        <v>0</v>
      </c>
      <c r="BO133" s="67">
        <v>0</v>
      </c>
      <c r="BP133" s="67">
        <v>0</v>
      </c>
      <c r="BQ133" s="67">
        <v>0</v>
      </c>
      <c r="BR133" s="67">
        <v>1</v>
      </c>
      <c r="BS133" s="67">
        <v>0</v>
      </c>
      <c r="BT133" s="67">
        <v>0</v>
      </c>
      <c r="BU133" s="70">
        <v>16</v>
      </c>
      <c r="BV133" s="29">
        <f t="shared" si="36"/>
        <v>0.5745738187730276</v>
      </c>
      <c r="BW133">
        <f t="shared" si="37"/>
        <v>0.87528310193156111</v>
      </c>
      <c r="BX133">
        <f t="shared" si="38"/>
        <v>0.60667531362816052</v>
      </c>
      <c r="BY133">
        <f t="shared" si="39"/>
        <v>0.81745575848020657</v>
      </c>
      <c r="BZ133">
        <f t="shared" si="40"/>
        <v>0.3463093549271386</v>
      </c>
      <c r="CA133">
        <f t="shared" si="41"/>
        <v>1.4313799530736149</v>
      </c>
      <c r="CB133">
        <f t="shared" si="42"/>
        <v>5.8265062631872602E-2</v>
      </c>
    </row>
    <row r="134" spans="1:80" x14ac:dyDescent="0.45">
      <c r="A134" s="11">
        <v>31</v>
      </c>
      <c r="B134" s="12">
        <f t="shared" si="30"/>
        <v>31</v>
      </c>
      <c r="C134" s="12" t="s">
        <v>52</v>
      </c>
      <c r="D134" s="12">
        <v>1</v>
      </c>
      <c r="E134" s="12" t="s">
        <v>53</v>
      </c>
      <c r="F134" s="12">
        <v>0</v>
      </c>
      <c r="G134" s="12">
        <v>1</v>
      </c>
      <c r="H134" s="12" t="s">
        <v>54</v>
      </c>
      <c r="I134" s="12">
        <v>0</v>
      </c>
      <c r="J134" s="12">
        <v>1</v>
      </c>
      <c r="K134" s="12">
        <v>20</v>
      </c>
      <c r="L134" s="12">
        <f t="shared" si="31"/>
        <v>20</v>
      </c>
      <c r="M134" s="12">
        <v>3</v>
      </c>
      <c r="N134" s="12" t="s">
        <v>55</v>
      </c>
      <c r="O134" s="12">
        <v>1</v>
      </c>
      <c r="P134" s="12">
        <v>0</v>
      </c>
      <c r="Q134" s="12">
        <v>0</v>
      </c>
      <c r="R134" s="12">
        <v>0</v>
      </c>
      <c r="S134" s="12">
        <v>0</v>
      </c>
      <c r="T134" s="12">
        <v>2</v>
      </c>
      <c r="U134" s="12" t="s">
        <v>19</v>
      </c>
      <c r="V134" s="12">
        <v>1</v>
      </c>
      <c r="W134" s="12">
        <v>71</v>
      </c>
      <c r="X134" s="12">
        <v>1</v>
      </c>
      <c r="Y134" s="12">
        <v>2</v>
      </c>
      <c r="Z134" s="12" t="s">
        <v>56</v>
      </c>
      <c r="AA134" s="12">
        <v>0</v>
      </c>
      <c r="AB134" s="12">
        <v>1</v>
      </c>
      <c r="AC134" s="12">
        <v>0</v>
      </c>
      <c r="AD134" s="12">
        <v>0</v>
      </c>
      <c r="AE134" s="12">
        <v>0</v>
      </c>
      <c r="AF134" s="12">
        <v>0</v>
      </c>
      <c r="AG134" s="12">
        <v>0</v>
      </c>
      <c r="AH134" s="12">
        <v>0</v>
      </c>
      <c r="AI134" s="12">
        <v>3</v>
      </c>
      <c r="AJ134" s="12" t="s">
        <v>64</v>
      </c>
      <c r="AK134" s="12">
        <v>0</v>
      </c>
      <c r="AL134" s="12">
        <v>1</v>
      </c>
      <c r="AM134" s="12">
        <v>4559</v>
      </c>
      <c r="AN134" s="12">
        <f t="shared" si="32"/>
        <v>4559</v>
      </c>
      <c r="AO134" s="12">
        <v>3</v>
      </c>
      <c r="AP134" s="12" t="s">
        <v>52</v>
      </c>
      <c r="AQ134" s="12">
        <v>1</v>
      </c>
      <c r="AR134" s="12">
        <v>11</v>
      </c>
      <c r="AS134" s="12">
        <v>3</v>
      </c>
      <c r="AT134" s="12">
        <v>3</v>
      </c>
      <c r="AU134" s="12">
        <v>1</v>
      </c>
      <c r="AV134" s="12">
        <v>4</v>
      </c>
      <c r="AW134" s="12">
        <f t="shared" si="33"/>
        <v>4</v>
      </c>
      <c r="AX134" s="12">
        <v>2</v>
      </c>
      <c r="AY134" s="12">
        <v>3</v>
      </c>
      <c r="AZ134" s="12">
        <v>2</v>
      </c>
      <c r="BA134" s="12">
        <f t="shared" si="34"/>
        <v>2</v>
      </c>
      <c r="BB134" s="12">
        <v>2</v>
      </c>
      <c r="BC134" s="12">
        <v>2</v>
      </c>
      <c r="BD134" s="12">
        <f t="shared" si="43"/>
        <v>2</v>
      </c>
      <c r="BE134" s="12">
        <v>2</v>
      </c>
      <c r="BF134" s="12">
        <f t="shared" si="35"/>
        <v>2</v>
      </c>
      <c r="BG134" s="12">
        <f t="shared" si="44"/>
        <v>4</v>
      </c>
      <c r="BH134" s="67">
        <v>0</v>
      </c>
      <c r="BI134" s="67">
        <v>1</v>
      </c>
      <c r="BJ134" s="67">
        <v>0</v>
      </c>
      <c r="BK134" s="67">
        <v>0</v>
      </c>
      <c r="BL134" s="67">
        <v>0</v>
      </c>
      <c r="BM134" s="67">
        <v>0</v>
      </c>
      <c r="BN134" s="67">
        <v>0</v>
      </c>
      <c r="BO134" s="67">
        <v>1</v>
      </c>
      <c r="BP134" s="67">
        <v>0</v>
      </c>
      <c r="BQ134" s="67">
        <v>0</v>
      </c>
      <c r="BR134" s="67">
        <v>2</v>
      </c>
      <c r="BS134" s="67">
        <v>0</v>
      </c>
      <c r="BT134" s="67">
        <v>0</v>
      </c>
      <c r="BU134" s="70">
        <v>4</v>
      </c>
      <c r="BV134" s="29">
        <f t="shared" si="36"/>
        <v>0.41290338507267155</v>
      </c>
      <c r="BW134">
        <f t="shared" si="37"/>
        <v>0.59502473559756086</v>
      </c>
      <c r="BX134">
        <f t="shared" si="38"/>
        <v>0.93558618405172878</v>
      </c>
      <c r="BY134">
        <f t="shared" si="39"/>
        <v>0.81745575848020657</v>
      </c>
      <c r="BZ134">
        <f t="shared" si="40"/>
        <v>1.3331273859286286</v>
      </c>
      <c r="CA134">
        <f t="shared" si="41"/>
        <v>0.6484474368621912</v>
      </c>
      <c r="CB134">
        <f t="shared" si="42"/>
        <v>5.8265062631872602E-2</v>
      </c>
    </row>
    <row r="135" spans="1:80" x14ac:dyDescent="0.45">
      <c r="A135" s="11">
        <v>41</v>
      </c>
      <c r="B135" s="12">
        <f t="shared" si="30"/>
        <v>41</v>
      </c>
      <c r="C135" s="12" t="s">
        <v>59</v>
      </c>
      <c r="D135" s="12">
        <v>0</v>
      </c>
      <c r="E135" s="12" t="s">
        <v>53</v>
      </c>
      <c r="F135" s="12">
        <v>0</v>
      </c>
      <c r="G135" s="12">
        <v>1</v>
      </c>
      <c r="H135" s="12" t="s">
        <v>54</v>
      </c>
      <c r="I135" s="12">
        <v>0</v>
      </c>
      <c r="J135" s="12">
        <v>1</v>
      </c>
      <c r="K135" s="12">
        <v>9</v>
      </c>
      <c r="L135" s="12">
        <f t="shared" si="31"/>
        <v>9</v>
      </c>
      <c r="M135" s="12">
        <v>1</v>
      </c>
      <c r="N135" s="12" t="s">
        <v>55</v>
      </c>
      <c r="O135" s="12">
        <v>1</v>
      </c>
      <c r="P135" s="12">
        <v>0</v>
      </c>
      <c r="Q135" s="12">
        <v>0</v>
      </c>
      <c r="R135" s="12">
        <v>0</v>
      </c>
      <c r="S135" s="12">
        <v>0</v>
      </c>
      <c r="T135" s="12">
        <v>3</v>
      </c>
      <c r="U135" s="12" t="s">
        <v>62</v>
      </c>
      <c r="V135" s="12">
        <v>0</v>
      </c>
      <c r="W135" s="12">
        <v>96</v>
      </c>
      <c r="X135" s="12">
        <v>3</v>
      </c>
      <c r="Y135" s="12">
        <v>3</v>
      </c>
      <c r="Z135" s="12" t="s">
        <v>56</v>
      </c>
      <c r="AA135" s="12">
        <v>0</v>
      </c>
      <c r="AB135" s="12">
        <v>1</v>
      </c>
      <c r="AC135" s="12">
        <v>0</v>
      </c>
      <c r="AD135" s="12">
        <v>0</v>
      </c>
      <c r="AE135" s="12">
        <v>0</v>
      </c>
      <c r="AF135" s="12">
        <v>0</v>
      </c>
      <c r="AG135" s="12">
        <v>0</v>
      </c>
      <c r="AH135" s="12">
        <v>0</v>
      </c>
      <c r="AI135" s="12">
        <v>3</v>
      </c>
      <c r="AJ135" s="12" t="s">
        <v>78</v>
      </c>
      <c r="AK135" s="12">
        <v>0</v>
      </c>
      <c r="AL135" s="12">
        <v>0</v>
      </c>
      <c r="AM135" s="12">
        <v>8189</v>
      </c>
      <c r="AN135" s="12">
        <f t="shared" si="32"/>
        <v>8189</v>
      </c>
      <c r="AO135" s="12">
        <v>3</v>
      </c>
      <c r="AP135" s="12" t="s">
        <v>52</v>
      </c>
      <c r="AQ135" s="12">
        <v>1</v>
      </c>
      <c r="AR135" s="12">
        <v>13</v>
      </c>
      <c r="AS135" s="12">
        <v>3</v>
      </c>
      <c r="AT135" s="12">
        <v>3</v>
      </c>
      <c r="AU135" s="12">
        <v>1</v>
      </c>
      <c r="AV135" s="12">
        <v>12</v>
      </c>
      <c r="AW135" s="12">
        <f t="shared" si="33"/>
        <v>12</v>
      </c>
      <c r="AX135" s="12">
        <v>2</v>
      </c>
      <c r="AY135" s="12">
        <v>3</v>
      </c>
      <c r="AZ135" s="12">
        <v>9</v>
      </c>
      <c r="BA135" s="12">
        <f t="shared" si="34"/>
        <v>9</v>
      </c>
      <c r="BB135" s="12">
        <v>7</v>
      </c>
      <c r="BC135" s="12">
        <v>0</v>
      </c>
      <c r="BD135" s="12">
        <f t="shared" si="43"/>
        <v>0</v>
      </c>
      <c r="BE135" s="12">
        <v>7</v>
      </c>
      <c r="BF135" s="12">
        <f t="shared" si="35"/>
        <v>7</v>
      </c>
      <c r="BG135" s="12">
        <f t="shared" si="44"/>
        <v>21</v>
      </c>
      <c r="BH135" s="67">
        <v>1</v>
      </c>
      <c r="BI135" s="67">
        <v>0</v>
      </c>
      <c r="BJ135" s="67">
        <v>0</v>
      </c>
      <c r="BK135" s="67">
        <v>0</v>
      </c>
      <c r="BL135" s="67">
        <v>0</v>
      </c>
      <c r="BM135" s="67">
        <v>1</v>
      </c>
      <c r="BN135" s="67">
        <v>0</v>
      </c>
      <c r="BO135" s="67">
        <v>0</v>
      </c>
      <c r="BP135" s="67">
        <v>0</v>
      </c>
      <c r="BQ135" s="67">
        <v>0</v>
      </c>
      <c r="BR135" s="67">
        <v>7</v>
      </c>
      <c r="BS135" s="67">
        <v>0</v>
      </c>
      <c r="BT135" s="67">
        <v>0</v>
      </c>
      <c r="BU135" s="70">
        <v>12</v>
      </c>
      <c r="BV135" s="29">
        <f t="shared" si="36"/>
        <v>0.35813172999721188</v>
      </c>
      <c r="BW135">
        <f t="shared" si="37"/>
        <v>0.80626709607243985</v>
      </c>
      <c r="BX135">
        <f t="shared" si="38"/>
        <v>9.2588147734864096E-2</v>
      </c>
      <c r="BY135">
        <f t="shared" si="39"/>
        <v>0.32511687867835437</v>
      </c>
      <c r="BZ135">
        <f t="shared" si="40"/>
        <v>2.3747406698420157E-2</v>
      </c>
      <c r="CA135">
        <f t="shared" si="41"/>
        <v>0.4461985578408646</v>
      </c>
      <c r="CB135">
        <f t="shared" si="42"/>
        <v>0.67891464284095016</v>
      </c>
    </row>
    <row r="136" spans="1:80" x14ac:dyDescent="0.45">
      <c r="A136" s="11">
        <v>26</v>
      </c>
      <c r="B136" s="12">
        <f t="shared" si="30"/>
        <v>26</v>
      </c>
      <c r="C136" s="12" t="s">
        <v>59</v>
      </c>
      <c r="D136" s="12">
        <v>0</v>
      </c>
      <c r="E136" s="12" t="s">
        <v>53</v>
      </c>
      <c r="F136" s="12">
        <v>0</v>
      </c>
      <c r="G136" s="12">
        <v>1</v>
      </c>
      <c r="H136" s="12" t="s">
        <v>97</v>
      </c>
      <c r="I136" s="12">
        <v>0</v>
      </c>
      <c r="J136" s="12">
        <v>0</v>
      </c>
      <c r="K136" s="12">
        <v>25</v>
      </c>
      <c r="L136" s="12">
        <f t="shared" si="31"/>
        <v>25</v>
      </c>
      <c r="M136" s="12">
        <v>1</v>
      </c>
      <c r="N136" s="12" t="s">
        <v>55</v>
      </c>
      <c r="O136" s="12">
        <v>1</v>
      </c>
      <c r="P136" s="12">
        <v>0</v>
      </c>
      <c r="Q136" s="12">
        <v>0</v>
      </c>
      <c r="R136" s="12">
        <v>0</v>
      </c>
      <c r="S136" s="12">
        <v>0</v>
      </c>
      <c r="T136" s="12">
        <v>3</v>
      </c>
      <c r="U136" s="12" t="s">
        <v>19</v>
      </c>
      <c r="V136" s="12">
        <v>1</v>
      </c>
      <c r="W136" s="12">
        <v>61</v>
      </c>
      <c r="X136" s="12">
        <v>3</v>
      </c>
      <c r="Y136" s="12">
        <v>1</v>
      </c>
      <c r="Z136" s="12" t="s">
        <v>97</v>
      </c>
      <c r="AA136" s="12">
        <v>0</v>
      </c>
      <c r="AB136" s="12">
        <v>0</v>
      </c>
      <c r="AC136" s="12">
        <v>0</v>
      </c>
      <c r="AD136" s="12">
        <v>0</v>
      </c>
      <c r="AE136" s="12">
        <v>0</v>
      </c>
      <c r="AF136" s="12">
        <v>0</v>
      </c>
      <c r="AG136" s="12">
        <v>0</v>
      </c>
      <c r="AH136" s="12">
        <v>0</v>
      </c>
      <c r="AI136" s="12">
        <v>3</v>
      </c>
      <c r="AJ136" s="12" t="s">
        <v>64</v>
      </c>
      <c r="AK136" s="12">
        <v>0</v>
      </c>
      <c r="AL136" s="12">
        <v>1</v>
      </c>
      <c r="AM136" s="12">
        <v>2942</v>
      </c>
      <c r="AN136" s="12">
        <f t="shared" si="32"/>
        <v>2942</v>
      </c>
      <c r="AO136" s="12">
        <v>1</v>
      </c>
      <c r="AP136" s="12" t="s">
        <v>59</v>
      </c>
      <c r="AQ136" s="12">
        <v>0</v>
      </c>
      <c r="AR136" s="12">
        <v>23</v>
      </c>
      <c r="AS136" s="12">
        <v>4</v>
      </c>
      <c r="AT136" s="12">
        <v>4</v>
      </c>
      <c r="AU136" s="12">
        <v>1</v>
      </c>
      <c r="AV136" s="12">
        <v>8</v>
      </c>
      <c r="AW136" s="12">
        <f t="shared" si="33"/>
        <v>8</v>
      </c>
      <c r="AX136" s="12">
        <v>3</v>
      </c>
      <c r="AY136" s="12">
        <v>3</v>
      </c>
      <c r="AZ136" s="12">
        <v>8</v>
      </c>
      <c r="BA136" s="12">
        <f t="shared" si="34"/>
        <v>8</v>
      </c>
      <c r="BB136" s="12">
        <v>7</v>
      </c>
      <c r="BC136" s="12">
        <v>5</v>
      </c>
      <c r="BD136" s="12">
        <f t="shared" si="43"/>
        <v>5</v>
      </c>
      <c r="BE136" s="12">
        <v>7</v>
      </c>
      <c r="BF136" s="12">
        <f t="shared" si="35"/>
        <v>7</v>
      </c>
      <c r="BG136" s="12">
        <f t="shared" si="44"/>
        <v>7</v>
      </c>
      <c r="BH136" s="67">
        <v>0</v>
      </c>
      <c r="BI136" s="67">
        <v>1</v>
      </c>
      <c r="BJ136" s="67">
        <v>0</v>
      </c>
      <c r="BK136" s="67">
        <v>0</v>
      </c>
      <c r="BL136" s="67">
        <v>0</v>
      </c>
      <c r="BM136" s="67">
        <v>0</v>
      </c>
      <c r="BN136" s="67">
        <v>1</v>
      </c>
      <c r="BO136" s="67">
        <v>0</v>
      </c>
      <c r="BP136" s="67">
        <v>7</v>
      </c>
      <c r="BQ136" s="67">
        <v>0</v>
      </c>
      <c r="BR136" s="67">
        <v>0</v>
      </c>
      <c r="BS136" s="67">
        <v>8</v>
      </c>
      <c r="BT136" s="67">
        <v>0</v>
      </c>
      <c r="BU136" s="70">
        <v>0</v>
      </c>
      <c r="BV136" s="29">
        <f t="shared" si="36"/>
        <v>0.75636448178561966</v>
      </c>
      <c r="BW136">
        <f t="shared" si="37"/>
        <v>0.80626709607243985</v>
      </c>
      <c r="BX136">
        <f t="shared" si="38"/>
        <v>0.42149901815843233</v>
      </c>
      <c r="BY136">
        <f t="shared" si="39"/>
        <v>0.16189221622713135</v>
      </c>
      <c r="BZ136">
        <f t="shared" si="40"/>
        <v>1.9498886553045598</v>
      </c>
      <c r="CA136">
        <f t="shared" si="41"/>
        <v>1.195770434213719</v>
      </c>
      <c r="CB136">
        <f t="shared" si="42"/>
        <v>0.87270930768174382</v>
      </c>
    </row>
    <row r="137" spans="1:80" x14ac:dyDescent="0.45">
      <c r="A137" s="11">
        <v>36</v>
      </c>
      <c r="B137" s="12">
        <f t="shared" si="30"/>
        <v>36</v>
      </c>
      <c r="C137" s="12" t="s">
        <v>59</v>
      </c>
      <c r="D137" s="12">
        <v>0</v>
      </c>
      <c r="E137" s="12" t="s">
        <v>53</v>
      </c>
      <c r="F137" s="12">
        <v>0</v>
      </c>
      <c r="G137" s="12">
        <v>1</v>
      </c>
      <c r="H137" s="12" t="s">
        <v>61</v>
      </c>
      <c r="I137" s="12">
        <v>1</v>
      </c>
      <c r="J137" s="12">
        <v>0</v>
      </c>
      <c r="K137" s="12">
        <v>6</v>
      </c>
      <c r="L137" s="12">
        <f t="shared" si="31"/>
        <v>6</v>
      </c>
      <c r="M137" s="12">
        <v>2</v>
      </c>
      <c r="N137" s="12" t="s">
        <v>70</v>
      </c>
      <c r="O137" s="12">
        <v>0</v>
      </c>
      <c r="P137" s="12">
        <v>0</v>
      </c>
      <c r="Q137" s="12">
        <v>1</v>
      </c>
      <c r="R137" s="12">
        <v>0</v>
      </c>
      <c r="S137" s="12">
        <v>0</v>
      </c>
      <c r="T137" s="12">
        <v>2</v>
      </c>
      <c r="U137" s="12" t="s">
        <v>62</v>
      </c>
      <c r="V137" s="12">
        <v>0</v>
      </c>
      <c r="W137" s="12">
        <v>84</v>
      </c>
      <c r="X137" s="12">
        <v>3</v>
      </c>
      <c r="Y137" s="12">
        <v>2</v>
      </c>
      <c r="Z137" s="12" t="s">
        <v>83</v>
      </c>
      <c r="AA137" s="12">
        <v>0</v>
      </c>
      <c r="AB137" s="12">
        <v>0</v>
      </c>
      <c r="AC137" s="12">
        <v>0</v>
      </c>
      <c r="AD137" s="12">
        <v>0</v>
      </c>
      <c r="AE137" s="12">
        <v>1</v>
      </c>
      <c r="AF137" s="12">
        <v>1</v>
      </c>
      <c r="AG137" s="12">
        <v>0</v>
      </c>
      <c r="AH137" s="12">
        <v>0</v>
      </c>
      <c r="AI137" s="12">
        <v>2</v>
      </c>
      <c r="AJ137" s="12" t="s">
        <v>78</v>
      </c>
      <c r="AK137" s="12">
        <v>0</v>
      </c>
      <c r="AL137" s="12">
        <v>0</v>
      </c>
      <c r="AM137" s="12">
        <v>4941</v>
      </c>
      <c r="AN137" s="12">
        <f t="shared" si="32"/>
        <v>4941</v>
      </c>
      <c r="AO137" s="12">
        <v>6</v>
      </c>
      <c r="AP137" s="12" t="s">
        <v>59</v>
      </c>
      <c r="AQ137" s="12">
        <v>0</v>
      </c>
      <c r="AR137" s="12">
        <v>20</v>
      </c>
      <c r="AS137" s="12">
        <v>4</v>
      </c>
      <c r="AT137" s="12">
        <v>4</v>
      </c>
      <c r="AU137" s="12">
        <v>2</v>
      </c>
      <c r="AV137" s="12">
        <v>7</v>
      </c>
      <c r="AW137" s="12">
        <f t="shared" si="33"/>
        <v>7</v>
      </c>
      <c r="AX137" s="12">
        <v>0</v>
      </c>
      <c r="AY137" s="12">
        <v>3</v>
      </c>
      <c r="AZ137" s="12">
        <v>3</v>
      </c>
      <c r="BA137" s="12">
        <f t="shared" si="34"/>
        <v>3</v>
      </c>
      <c r="BB137" s="12">
        <v>2</v>
      </c>
      <c r="BC137" s="12">
        <v>0</v>
      </c>
      <c r="BD137" s="12">
        <f t="shared" si="43"/>
        <v>0</v>
      </c>
      <c r="BE137" s="12">
        <v>1</v>
      </c>
      <c r="BF137" s="12">
        <f t="shared" si="35"/>
        <v>1</v>
      </c>
      <c r="BG137" s="12">
        <f t="shared" si="44"/>
        <v>2</v>
      </c>
      <c r="BH137" s="67">
        <v>1</v>
      </c>
      <c r="BI137" s="67">
        <v>0</v>
      </c>
      <c r="BJ137" s="67">
        <v>0</v>
      </c>
      <c r="BK137" s="67">
        <v>0</v>
      </c>
      <c r="BL137" s="67">
        <v>1</v>
      </c>
      <c r="BM137" s="67">
        <v>0</v>
      </c>
      <c r="BN137" s="67">
        <v>0</v>
      </c>
      <c r="BO137" s="67">
        <v>0</v>
      </c>
      <c r="BP137" s="67">
        <v>0</v>
      </c>
      <c r="BQ137" s="67">
        <v>1</v>
      </c>
      <c r="BR137" s="67">
        <v>0</v>
      </c>
      <c r="BS137" s="67">
        <v>0</v>
      </c>
      <c r="BT137" s="67">
        <v>7</v>
      </c>
      <c r="BU137" s="70">
        <v>0</v>
      </c>
      <c r="BV137" s="29">
        <f t="shared" si="36"/>
        <v>0.33176415257771413</v>
      </c>
      <c r="BW137">
        <f t="shared" si="37"/>
        <v>0.87528310193156111</v>
      </c>
      <c r="BX137">
        <f t="shared" si="38"/>
        <v>0.55002080963175637</v>
      </c>
      <c r="BY137">
        <f t="shared" si="39"/>
        <v>0.65423109602898355</v>
      </c>
      <c r="BZ137">
        <f t="shared" si="40"/>
        <v>0.39380416832397891</v>
      </c>
      <c r="CA137">
        <f t="shared" si="41"/>
        <v>0.10112443951066327</v>
      </c>
      <c r="CB137">
        <f t="shared" si="42"/>
        <v>0.67891464284095016</v>
      </c>
    </row>
    <row r="138" spans="1:80" x14ac:dyDescent="0.45">
      <c r="A138" s="11">
        <v>51</v>
      </c>
      <c r="B138" s="12">
        <f t="shared" si="30"/>
        <v>51</v>
      </c>
      <c r="C138" s="12" t="s">
        <v>52</v>
      </c>
      <c r="D138" s="12">
        <v>1</v>
      </c>
      <c r="E138" s="12" t="s">
        <v>60</v>
      </c>
      <c r="F138" s="12">
        <v>1</v>
      </c>
      <c r="G138" s="12">
        <v>0</v>
      </c>
      <c r="H138" s="12" t="s">
        <v>61</v>
      </c>
      <c r="I138" s="12">
        <v>1</v>
      </c>
      <c r="J138" s="12">
        <v>0</v>
      </c>
      <c r="K138" s="12">
        <v>8</v>
      </c>
      <c r="L138" s="12">
        <f t="shared" si="31"/>
        <v>8</v>
      </c>
      <c r="M138" s="12">
        <v>4</v>
      </c>
      <c r="N138" s="12" t="s">
        <v>55</v>
      </c>
      <c r="O138" s="12">
        <v>1</v>
      </c>
      <c r="P138" s="12">
        <v>0</v>
      </c>
      <c r="Q138" s="12">
        <v>0</v>
      </c>
      <c r="R138" s="12">
        <v>0</v>
      </c>
      <c r="S138" s="12">
        <v>0</v>
      </c>
      <c r="T138" s="12">
        <v>1</v>
      </c>
      <c r="U138" s="12" t="s">
        <v>62</v>
      </c>
      <c r="V138" s="12">
        <v>0</v>
      </c>
      <c r="W138" s="12">
        <v>53</v>
      </c>
      <c r="X138" s="12">
        <v>1</v>
      </c>
      <c r="Y138" s="12">
        <v>3</v>
      </c>
      <c r="Z138" s="12" t="s">
        <v>83</v>
      </c>
      <c r="AA138" s="12">
        <v>0</v>
      </c>
      <c r="AB138" s="12">
        <v>0</v>
      </c>
      <c r="AC138" s="12">
        <v>0</v>
      </c>
      <c r="AD138" s="12">
        <v>0</v>
      </c>
      <c r="AE138" s="12">
        <v>1</v>
      </c>
      <c r="AF138" s="12">
        <v>1</v>
      </c>
      <c r="AG138" s="12">
        <v>0</v>
      </c>
      <c r="AH138" s="12">
        <v>0</v>
      </c>
      <c r="AI138" s="12">
        <v>4</v>
      </c>
      <c r="AJ138" s="12" t="s">
        <v>57</v>
      </c>
      <c r="AK138" s="12">
        <v>1</v>
      </c>
      <c r="AL138" s="12">
        <v>0</v>
      </c>
      <c r="AM138" s="12">
        <v>10650</v>
      </c>
      <c r="AN138" s="12">
        <f t="shared" si="32"/>
        <v>10650</v>
      </c>
      <c r="AO138" s="12">
        <v>2</v>
      </c>
      <c r="AP138" s="12" t="s">
        <v>59</v>
      </c>
      <c r="AQ138" s="12">
        <v>0</v>
      </c>
      <c r="AR138" s="12">
        <v>15</v>
      </c>
      <c r="AS138" s="12">
        <v>3</v>
      </c>
      <c r="AT138" s="12">
        <v>4</v>
      </c>
      <c r="AU138" s="12">
        <v>0</v>
      </c>
      <c r="AV138" s="12">
        <v>18</v>
      </c>
      <c r="AW138" s="12">
        <f t="shared" si="33"/>
        <v>18</v>
      </c>
      <c r="AX138" s="12">
        <v>2</v>
      </c>
      <c r="AY138" s="12">
        <v>3</v>
      </c>
      <c r="AZ138" s="12">
        <v>4</v>
      </c>
      <c r="BA138" s="12">
        <f t="shared" si="34"/>
        <v>4</v>
      </c>
      <c r="BB138" s="12">
        <v>2</v>
      </c>
      <c r="BC138" s="12">
        <v>0</v>
      </c>
      <c r="BD138" s="12">
        <f t="shared" si="43"/>
        <v>0</v>
      </c>
      <c r="BE138" s="12">
        <v>3</v>
      </c>
      <c r="BF138" s="12">
        <f t="shared" si="35"/>
        <v>3</v>
      </c>
      <c r="BG138" s="12">
        <f t="shared" si="44"/>
        <v>9</v>
      </c>
      <c r="BH138" s="67">
        <v>0</v>
      </c>
      <c r="BI138" s="67">
        <v>0</v>
      </c>
      <c r="BJ138" s="67">
        <v>1</v>
      </c>
      <c r="BK138" s="67">
        <v>0</v>
      </c>
      <c r="BL138" s="67">
        <v>1</v>
      </c>
      <c r="BM138" s="67">
        <v>0</v>
      </c>
      <c r="BN138" s="67">
        <v>0</v>
      </c>
      <c r="BO138" s="67">
        <v>0</v>
      </c>
      <c r="BP138" s="67">
        <v>0</v>
      </c>
      <c r="BQ138" s="67">
        <v>3</v>
      </c>
      <c r="BR138" s="67">
        <v>0</v>
      </c>
      <c r="BS138" s="67">
        <v>0</v>
      </c>
      <c r="BT138" s="67">
        <v>18</v>
      </c>
      <c r="BU138" s="70">
        <v>0</v>
      </c>
      <c r="BV138" s="29">
        <f t="shared" si="36"/>
        <v>0.88086380112310247</v>
      </c>
      <c r="BW138">
        <f t="shared" si="37"/>
        <v>0.31476636926356072</v>
      </c>
      <c r="BX138">
        <f t="shared" si="38"/>
        <v>0.86371889657480871</v>
      </c>
      <c r="BY138">
        <f t="shared" si="39"/>
        <v>0.49100643357776058</v>
      </c>
      <c r="BZ138">
        <f t="shared" si="40"/>
        <v>0.14709966057360641</v>
      </c>
      <c r="CA138">
        <f t="shared" si="41"/>
        <v>1.5408445525439205</v>
      </c>
      <c r="CB138">
        <f t="shared" si="42"/>
        <v>0.67891464284095016</v>
      </c>
    </row>
    <row r="139" spans="1:80" x14ac:dyDescent="0.45">
      <c r="A139" s="11">
        <v>39</v>
      </c>
      <c r="B139" s="12">
        <f t="shared" si="30"/>
        <v>39</v>
      </c>
      <c r="C139" s="12" t="s">
        <v>59</v>
      </c>
      <c r="D139" s="12">
        <v>0</v>
      </c>
      <c r="E139" s="12" t="s">
        <v>53</v>
      </c>
      <c r="F139" s="12">
        <v>0</v>
      </c>
      <c r="G139" s="12">
        <v>1</v>
      </c>
      <c r="H139" s="12" t="s">
        <v>54</v>
      </c>
      <c r="I139" s="12">
        <v>0</v>
      </c>
      <c r="J139" s="12">
        <v>1</v>
      </c>
      <c r="K139" s="12">
        <v>4</v>
      </c>
      <c r="L139" s="12">
        <f t="shared" si="31"/>
        <v>4</v>
      </c>
      <c r="M139" s="12">
        <v>4</v>
      </c>
      <c r="N139" s="12" t="s">
        <v>55</v>
      </c>
      <c r="O139" s="12">
        <v>1</v>
      </c>
      <c r="P139" s="12">
        <v>0</v>
      </c>
      <c r="Q139" s="12">
        <v>0</v>
      </c>
      <c r="R139" s="12">
        <v>0</v>
      </c>
      <c r="S139" s="12">
        <v>0</v>
      </c>
      <c r="T139" s="12">
        <v>4</v>
      </c>
      <c r="U139" s="12" t="s">
        <v>19</v>
      </c>
      <c r="V139" s="12">
        <v>1</v>
      </c>
      <c r="W139" s="12">
        <v>47</v>
      </c>
      <c r="X139" s="12">
        <v>2</v>
      </c>
      <c r="Y139" s="12">
        <v>2</v>
      </c>
      <c r="Z139" s="12" t="s">
        <v>56</v>
      </c>
      <c r="AA139" s="12">
        <v>0</v>
      </c>
      <c r="AB139" s="12">
        <v>1</v>
      </c>
      <c r="AC139" s="12">
        <v>0</v>
      </c>
      <c r="AD139" s="12">
        <v>0</v>
      </c>
      <c r="AE139" s="12">
        <v>0</v>
      </c>
      <c r="AF139" s="12">
        <v>0</v>
      </c>
      <c r="AG139" s="12">
        <v>0</v>
      </c>
      <c r="AH139" s="12">
        <v>0</v>
      </c>
      <c r="AI139" s="12">
        <v>3</v>
      </c>
      <c r="AJ139" s="12" t="s">
        <v>64</v>
      </c>
      <c r="AK139" s="12">
        <v>0</v>
      </c>
      <c r="AL139" s="12">
        <v>1</v>
      </c>
      <c r="AM139" s="12">
        <v>5902</v>
      </c>
      <c r="AN139" s="12">
        <f t="shared" si="32"/>
        <v>5902</v>
      </c>
      <c r="AO139" s="12">
        <v>4</v>
      </c>
      <c r="AP139" s="12" t="s">
        <v>59</v>
      </c>
      <c r="AQ139" s="12">
        <v>0</v>
      </c>
      <c r="AR139" s="12">
        <v>14</v>
      </c>
      <c r="AS139" s="12">
        <v>3</v>
      </c>
      <c r="AT139" s="12">
        <v>3</v>
      </c>
      <c r="AU139" s="12">
        <v>1</v>
      </c>
      <c r="AV139" s="12">
        <v>17</v>
      </c>
      <c r="AW139" s="12">
        <f t="shared" si="33"/>
        <v>17</v>
      </c>
      <c r="AX139" s="12">
        <v>1</v>
      </c>
      <c r="AY139" s="12">
        <v>4</v>
      </c>
      <c r="AZ139" s="12">
        <v>15</v>
      </c>
      <c r="BA139" s="12">
        <f t="shared" si="34"/>
        <v>15</v>
      </c>
      <c r="BB139" s="12">
        <v>11</v>
      </c>
      <c r="BC139" s="12">
        <v>5</v>
      </c>
      <c r="BD139" s="12">
        <f t="shared" si="43"/>
        <v>5</v>
      </c>
      <c r="BE139" s="12">
        <v>9</v>
      </c>
      <c r="BF139" s="12">
        <f t="shared" si="35"/>
        <v>9</v>
      </c>
      <c r="BG139" s="12">
        <f t="shared" si="44"/>
        <v>18</v>
      </c>
      <c r="BH139" s="67">
        <v>0</v>
      </c>
      <c r="BI139" s="67">
        <v>1</v>
      </c>
      <c r="BJ139" s="67">
        <v>0</v>
      </c>
      <c r="BK139" s="67">
        <v>0</v>
      </c>
      <c r="BL139" s="67">
        <v>0</v>
      </c>
      <c r="BM139" s="67">
        <v>0</v>
      </c>
      <c r="BN139" s="67">
        <v>1</v>
      </c>
      <c r="BO139" s="67">
        <v>0</v>
      </c>
      <c r="BP139" s="67">
        <v>0</v>
      </c>
      <c r="BQ139" s="67">
        <v>0</v>
      </c>
      <c r="BR139" s="67">
        <v>9</v>
      </c>
      <c r="BS139" s="67">
        <v>0</v>
      </c>
      <c r="BT139" s="67">
        <v>0</v>
      </c>
      <c r="BU139" s="70">
        <v>17</v>
      </c>
      <c r="BV139" s="29">
        <f t="shared" si="36"/>
        <v>0.12764163313359347</v>
      </c>
      <c r="BW139">
        <f t="shared" si="37"/>
        <v>1.3667838287404401</v>
      </c>
      <c r="BX139">
        <f t="shared" si="38"/>
        <v>0.73519710510148462</v>
      </c>
      <c r="BY139">
        <f t="shared" si="39"/>
        <v>1.3044648533856922</v>
      </c>
      <c r="BZ139">
        <f t="shared" si="40"/>
        <v>0.64050867607435136</v>
      </c>
      <c r="CA139">
        <f t="shared" si="41"/>
        <v>0.22726935890025346</v>
      </c>
      <c r="CB139">
        <f t="shared" si="42"/>
        <v>0.87270930768174382</v>
      </c>
    </row>
    <row r="140" spans="1:80" x14ac:dyDescent="0.45">
      <c r="A140" s="11">
        <v>25</v>
      </c>
      <c r="B140" s="12">
        <f t="shared" si="30"/>
        <v>25</v>
      </c>
      <c r="C140" s="12" t="s">
        <v>59</v>
      </c>
      <c r="D140" s="12">
        <v>0</v>
      </c>
      <c r="E140" s="12" t="s">
        <v>53</v>
      </c>
      <c r="F140" s="12">
        <v>0</v>
      </c>
      <c r="G140" s="12">
        <v>1</v>
      </c>
      <c r="H140" s="12" t="s">
        <v>54</v>
      </c>
      <c r="I140" s="12">
        <v>0</v>
      </c>
      <c r="J140" s="12">
        <v>1</v>
      </c>
      <c r="K140" s="12">
        <v>28</v>
      </c>
      <c r="L140" s="12">
        <f t="shared" si="31"/>
        <v>28</v>
      </c>
      <c r="M140" s="12">
        <v>3</v>
      </c>
      <c r="N140" s="12" t="s">
        <v>55</v>
      </c>
      <c r="O140" s="12">
        <v>1</v>
      </c>
      <c r="P140" s="12">
        <v>0</v>
      </c>
      <c r="Q140" s="12">
        <v>0</v>
      </c>
      <c r="R140" s="12">
        <v>0</v>
      </c>
      <c r="S140" s="12">
        <v>0</v>
      </c>
      <c r="T140" s="12">
        <v>1</v>
      </c>
      <c r="U140" s="12" t="s">
        <v>62</v>
      </c>
      <c r="V140" s="12">
        <v>0</v>
      </c>
      <c r="W140" s="12">
        <v>41</v>
      </c>
      <c r="X140" s="12">
        <v>2</v>
      </c>
      <c r="Y140" s="12">
        <v>2</v>
      </c>
      <c r="Z140" s="12" t="s">
        <v>56</v>
      </c>
      <c r="AA140" s="12">
        <v>0</v>
      </c>
      <c r="AB140" s="12">
        <v>1</v>
      </c>
      <c r="AC140" s="12">
        <v>0</v>
      </c>
      <c r="AD140" s="12">
        <v>0</v>
      </c>
      <c r="AE140" s="12">
        <v>0</v>
      </c>
      <c r="AF140" s="12">
        <v>0</v>
      </c>
      <c r="AG140" s="12">
        <v>0</v>
      </c>
      <c r="AH140" s="12">
        <v>0</v>
      </c>
      <c r="AI140" s="12">
        <v>3</v>
      </c>
      <c r="AJ140" s="12" t="s">
        <v>64</v>
      </c>
      <c r="AK140" s="12">
        <v>0</v>
      </c>
      <c r="AL140" s="12">
        <v>1</v>
      </c>
      <c r="AM140" s="12">
        <v>8639</v>
      </c>
      <c r="AN140" s="12">
        <f t="shared" si="32"/>
        <v>8639</v>
      </c>
      <c r="AO140" s="12">
        <v>2</v>
      </c>
      <c r="AP140" s="12" t="s">
        <v>59</v>
      </c>
      <c r="AQ140" s="12">
        <v>0</v>
      </c>
      <c r="AR140" s="12">
        <v>18</v>
      </c>
      <c r="AS140" s="12">
        <v>3</v>
      </c>
      <c r="AT140" s="12">
        <v>4</v>
      </c>
      <c r="AU140" s="12">
        <v>0</v>
      </c>
      <c r="AV140" s="12">
        <v>6</v>
      </c>
      <c r="AW140" s="12">
        <f t="shared" si="33"/>
        <v>6</v>
      </c>
      <c r="AX140" s="12">
        <v>3</v>
      </c>
      <c r="AY140" s="12">
        <v>3</v>
      </c>
      <c r="AZ140" s="12">
        <v>2</v>
      </c>
      <c r="BA140" s="12">
        <f t="shared" si="34"/>
        <v>2</v>
      </c>
      <c r="BB140" s="12">
        <v>2</v>
      </c>
      <c r="BC140" s="12">
        <v>2</v>
      </c>
      <c r="BD140" s="12">
        <f t="shared" si="43"/>
        <v>2</v>
      </c>
      <c r="BE140" s="12">
        <v>2</v>
      </c>
      <c r="BF140" s="12">
        <f t="shared" si="35"/>
        <v>2</v>
      </c>
      <c r="BG140" s="12">
        <f t="shared" si="44"/>
        <v>4</v>
      </c>
      <c r="BH140" s="67">
        <v>0</v>
      </c>
      <c r="BI140" s="67">
        <v>1</v>
      </c>
      <c r="BJ140" s="67">
        <v>0</v>
      </c>
      <c r="BK140" s="67">
        <v>0</v>
      </c>
      <c r="BL140" s="67">
        <v>0</v>
      </c>
      <c r="BM140" s="67">
        <v>0</v>
      </c>
      <c r="BN140" s="67">
        <v>1</v>
      </c>
      <c r="BO140" s="67">
        <v>0</v>
      </c>
      <c r="BP140" s="67">
        <v>0</v>
      </c>
      <c r="BQ140" s="67">
        <v>0</v>
      </c>
      <c r="BR140" s="67">
        <v>2</v>
      </c>
      <c r="BS140" s="67">
        <v>0</v>
      </c>
      <c r="BT140" s="67">
        <v>0</v>
      </c>
      <c r="BU140" s="70">
        <v>6</v>
      </c>
      <c r="BV140" s="29">
        <f t="shared" si="36"/>
        <v>0.45371459550174287</v>
      </c>
      <c r="BW140">
        <f t="shared" si="37"/>
        <v>0.59502473559756086</v>
      </c>
      <c r="BX140">
        <f t="shared" si="38"/>
        <v>0.67854260110508058</v>
      </c>
      <c r="BY140">
        <f t="shared" si="39"/>
        <v>0.81745575848020657</v>
      </c>
      <c r="BZ140">
        <f t="shared" si="40"/>
        <v>2.3199454169301186</v>
      </c>
      <c r="CA140">
        <f t="shared" si="41"/>
        <v>1.3052350336840246</v>
      </c>
      <c r="CB140">
        <f t="shared" si="42"/>
        <v>5.8265062631872602E-2</v>
      </c>
    </row>
    <row r="141" spans="1:80" x14ac:dyDescent="0.45">
      <c r="A141" s="11">
        <v>30</v>
      </c>
      <c r="B141" s="12">
        <f t="shared" si="30"/>
        <v>30</v>
      </c>
      <c r="C141" s="12" t="s">
        <v>59</v>
      </c>
      <c r="D141" s="12">
        <v>0</v>
      </c>
      <c r="E141" s="12" t="s">
        <v>53</v>
      </c>
      <c r="F141" s="12">
        <v>0</v>
      </c>
      <c r="G141" s="12">
        <v>1</v>
      </c>
      <c r="H141" s="12" t="s">
        <v>97</v>
      </c>
      <c r="I141" s="12">
        <v>0</v>
      </c>
      <c r="J141" s="12">
        <v>0</v>
      </c>
      <c r="K141" s="12">
        <v>9</v>
      </c>
      <c r="L141" s="12">
        <f t="shared" si="31"/>
        <v>9</v>
      </c>
      <c r="M141" s="12">
        <v>3</v>
      </c>
      <c r="N141" s="12" t="s">
        <v>97</v>
      </c>
      <c r="O141" s="12">
        <v>0</v>
      </c>
      <c r="P141" s="12">
        <v>0</v>
      </c>
      <c r="Q141" s="12">
        <v>0</v>
      </c>
      <c r="R141" s="12">
        <v>0</v>
      </c>
      <c r="S141" s="12">
        <v>0</v>
      </c>
      <c r="T141" s="12">
        <v>3</v>
      </c>
      <c r="U141" s="12" t="s">
        <v>62</v>
      </c>
      <c r="V141" s="12">
        <v>0</v>
      </c>
      <c r="W141" s="12">
        <v>48</v>
      </c>
      <c r="X141" s="12">
        <v>3</v>
      </c>
      <c r="Y141" s="12">
        <v>2</v>
      </c>
      <c r="Z141" s="12" t="s">
        <v>97</v>
      </c>
      <c r="AA141" s="12">
        <v>0</v>
      </c>
      <c r="AB141" s="12">
        <v>0</v>
      </c>
      <c r="AC141" s="12">
        <v>0</v>
      </c>
      <c r="AD141" s="12">
        <v>0</v>
      </c>
      <c r="AE141" s="12">
        <v>0</v>
      </c>
      <c r="AF141" s="12">
        <v>0</v>
      </c>
      <c r="AG141" s="12">
        <v>0</v>
      </c>
      <c r="AH141" s="12">
        <v>0</v>
      </c>
      <c r="AI141" s="12">
        <v>4</v>
      </c>
      <c r="AJ141" s="12" t="s">
        <v>64</v>
      </c>
      <c r="AK141" s="12">
        <v>0</v>
      </c>
      <c r="AL141" s="12">
        <v>1</v>
      </c>
      <c r="AM141" s="12">
        <v>6347</v>
      </c>
      <c r="AN141" s="12">
        <f t="shared" si="32"/>
        <v>6347</v>
      </c>
      <c r="AO141" s="12">
        <v>0</v>
      </c>
      <c r="AP141" s="12" t="s">
        <v>52</v>
      </c>
      <c r="AQ141" s="12">
        <v>1</v>
      </c>
      <c r="AR141" s="12">
        <v>19</v>
      </c>
      <c r="AS141" s="12">
        <v>3</v>
      </c>
      <c r="AT141" s="12">
        <v>4</v>
      </c>
      <c r="AU141" s="12">
        <v>0</v>
      </c>
      <c r="AV141" s="12">
        <v>12</v>
      </c>
      <c r="AW141" s="12">
        <f t="shared" si="33"/>
        <v>12</v>
      </c>
      <c r="AX141" s="12">
        <v>2</v>
      </c>
      <c r="AY141" s="12">
        <v>1</v>
      </c>
      <c r="AZ141" s="12">
        <v>11</v>
      </c>
      <c r="BA141" s="12">
        <f t="shared" si="34"/>
        <v>11</v>
      </c>
      <c r="BB141" s="12">
        <v>9</v>
      </c>
      <c r="BC141" s="12">
        <v>4</v>
      </c>
      <c r="BD141" s="12">
        <f t="shared" si="43"/>
        <v>4</v>
      </c>
      <c r="BE141" s="12">
        <v>7</v>
      </c>
      <c r="BF141" s="12">
        <f t="shared" si="35"/>
        <v>7</v>
      </c>
      <c r="BG141" s="12">
        <f t="shared" si="44"/>
        <v>14</v>
      </c>
      <c r="BH141" s="67">
        <v>0</v>
      </c>
      <c r="BI141" s="67">
        <v>1</v>
      </c>
      <c r="BJ141" s="67">
        <v>0</v>
      </c>
      <c r="BK141" s="67">
        <v>0</v>
      </c>
      <c r="BL141" s="67">
        <v>0</v>
      </c>
      <c r="BM141" s="67">
        <v>0</v>
      </c>
      <c r="BN141" s="67">
        <v>0</v>
      </c>
      <c r="BO141" s="67">
        <v>1</v>
      </c>
      <c r="BP141" s="67">
        <v>7</v>
      </c>
      <c r="BQ141" s="67">
        <v>0</v>
      </c>
      <c r="BR141" s="67">
        <v>0</v>
      </c>
      <c r="BS141" s="67">
        <v>12</v>
      </c>
      <c r="BT141" s="67">
        <v>0</v>
      </c>
      <c r="BU141" s="70">
        <v>0</v>
      </c>
      <c r="BV141" s="29">
        <f t="shared" si="36"/>
        <v>3.3120799468001699E-2</v>
      </c>
      <c r="BW141">
        <f t="shared" si="37"/>
        <v>0.80626709607243985</v>
      </c>
      <c r="BX141">
        <f t="shared" si="38"/>
        <v>9.2588147734864096E-2</v>
      </c>
      <c r="BY141">
        <f t="shared" si="39"/>
        <v>0.65156620358080031</v>
      </c>
      <c r="BZ141">
        <f t="shared" si="40"/>
        <v>2.3747406698420157E-2</v>
      </c>
      <c r="CA141">
        <f t="shared" si="41"/>
        <v>0.75791203633249671</v>
      </c>
      <c r="CB141">
        <f t="shared" si="42"/>
        <v>0.56238451757720498</v>
      </c>
    </row>
    <row r="142" spans="1:80" x14ac:dyDescent="0.45">
      <c r="A142" s="11">
        <v>32</v>
      </c>
      <c r="B142" s="12">
        <f t="shared" si="30"/>
        <v>32</v>
      </c>
      <c r="C142" s="12" t="s">
        <v>52</v>
      </c>
      <c r="D142" s="12">
        <v>1</v>
      </c>
      <c r="E142" s="12" t="s">
        <v>53</v>
      </c>
      <c r="F142" s="12">
        <v>0</v>
      </c>
      <c r="G142" s="12">
        <v>1</v>
      </c>
      <c r="H142" s="12" t="s">
        <v>61</v>
      </c>
      <c r="I142" s="12">
        <v>1</v>
      </c>
      <c r="J142" s="12">
        <v>0</v>
      </c>
      <c r="K142" s="12">
        <v>9</v>
      </c>
      <c r="L142" s="12">
        <f t="shared" si="31"/>
        <v>9</v>
      </c>
      <c r="M142" s="12">
        <v>3</v>
      </c>
      <c r="N142" s="12" t="s">
        <v>70</v>
      </c>
      <c r="O142" s="12">
        <v>0</v>
      </c>
      <c r="P142" s="12">
        <v>0</v>
      </c>
      <c r="Q142" s="12">
        <v>1</v>
      </c>
      <c r="R142" s="12">
        <v>0</v>
      </c>
      <c r="S142" s="12">
        <v>0</v>
      </c>
      <c r="T142" s="12">
        <v>1</v>
      </c>
      <c r="U142" s="12" t="s">
        <v>19</v>
      </c>
      <c r="V142" s="12">
        <v>1</v>
      </c>
      <c r="W142" s="12">
        <v>41</v>
      </c>
      <c r="X142" s="12">
        <v>3</v>
      </c>
      <c r="Y142" s="12">
        <v>1</v>
      </c>
      <c r="Z142" s="12" t="s">
        <v>67</v>
      </c>
      <c r="AA142" s="12">
        <v>0</v>
      </c>
      <c r="AB142" s="12">
        <v>0</v>
      </c>
      <c r="AC142" s="12">
        <v>1</v>
      </c>
      <c r="AD142" s="12">
        <v>0</v>
      </c>
      <c r="AE142" s="12">
        <v>0</v>
      </c>
      <c r="AF142" s="12">
        <v>0</v>
      </c>
      <c r="AG142" s="12">
        <v>0</v>
      </c>
      <c r="AH142" s="12">
        <v>0</v>
      </c>
      <c r="AI142" s="12">
        <v>1</v>
      </c>
      <c r="AJ142" s="12" t="s">
        <v>57</v>
      </c>
      <c r="AK142" s="12">
        <v>1</v>
      </c>
      <c r="AL142" s="12">
        <v>0</v>
      </c>
      <c r="AM142" s="12">
        <v>4200</v>
      </c>
      <c r="AN142" s="12">
        <f t="shared" si="32"/>
        <v>4200</v>
      </c>
      <c r="AO142" s="12">
        <v>7</v>
      </c>
      <c r="AP142" s="12" t="s">
        <v>59</v>
      </c>
      <c r="AQ142" s="12">
        <v>0</v>
      </c>
      <c r="AR142" s="12">
        <v>22</v>
      </c>
      <c r="AS142" s="12">
        <v>4</v>
      </c>
      <c r="AT142" s="12">
        <v>1</v>
      </c>
      <c r="AU142" s="12">
        <v>0</v>
      </c>
      <c r="AV142" s="12">
        <v>10</v>
      </c>
      <c r="AW142" s="12">
        <f t="shared" si="33"/>
        <v>10</v>
      </c>
      <c r="AX142" s="12">
        <v>2</v>
      </c>
      <c r="AY142" s="12">
        <v>4</v>
      </c>
      <c r="AZ142" s="12">
        <v>5</v>
      </c>
      <c r="BA142" s="12">
        <f t="shared" si="34"/>
        <v>5</v>
      </c>
      <c r="BB142" s="12">
        <v>4</v>
      </c>
      <c r="BC142" s="12">
        <v>0</v>
      </c>
      <c r="BD142" s="12">
        <f t="shared" si="43"/>
        <v>0</v>
      </c>
      <c r="BE142" s="12">
        <v>4</v>
      </c>
      <c r="BF142" s="12">
        <f t="shared" si="35"/>
        <v>4</v>
      </c>
      <c r="BG142" s="12">
        <f t="shared" si="44"/>
        <v>4</v>
      </c>
      <c r="BH142" s="67">
        <v>1</v>
      </c>
      <c r="BI142" s="67">
        <v>0</v>
      </c>
      <c r="BJ142" s="67">
        <v>0</v>
      </c>
      <c r="BK142" s="67">
        <v>0</v>
      </c>
      <c r="BL142" s="67">
        <v>1</v>
      </c>
      <c r="BM142" s="67">
        <v>0</v>
      </c>
      <c r="BN142" s="67">
        <v>0</v>
      </c>
      <c r="BO142" s="67">
        <v>0</v>
      </c>
      <c r="BP142" s="67">
        <v>0</v>
      </c>
      <c r="BQ142" s="67">
        <v>4</v>
      </c>
      <c r="BR142" s="67">
        <v>0</v>
      </c>
      <c r="BS142" s="67">
        <v>0</v>
      </c>
      <c r="BT142" s="67">
        <v>10</v>
      </c>
      <c r="BU142" s="70">
        <v>0</v>
      </c>
      <c r="BV142" s="29">
        <f t="shared" si="36"/>
        <v>0.48915727110850848</v>
      </c>
      <c r="BW142">
        <f t="shared" si="37"/>
        <v>3.4508002929560584E-2</v>
      </c>
      <c r="BX142">
        <f t="shared" si="38"/>
        <v>0.1644554352117841</v>
      </c>
      <c r="BY142">
        <f t="shared" si="39"/>
        <v>0.32778177112653761</v>
      </c>
      <c r="BZ142">
        <f t="shared" si="40"/>
        <v>2.3747406698420157E-2</v>
      </c>
      <c r="CA142">
        <f t="shared" si="41"/>
        <v>0.53898283739188557</v>
      </c>
      <c r="CB142">
        <f t="shared" si="42"/>
        <v>0.67891464284095016</v>
      </c>
    </row>
    <row r="143" spans="1:80" x14ac:dyDescent="0.45">
      <c r="A143" s="11">
        <v>45</v>
      </c>
      <c r="B143" s="12">
        <f t="shared" si="30"/>
        <v>45</v>
      </c>
      <c r="C143" s="12" t="s">
        <v>59</v>
      </c>
      <c r="D143" s="12">
        <v>0</v>
      </c>
      <c r="E143" s="12" t="s">
        <v>53</v>
      </c>
      <c r="F143" s="12">
        <v>0</v>
      </c>
      <c r="G143" s="12">
        <v>1</v>
      </c>
      <c r="H143" s="12" t="s">
        <v>61</v>
      </c>
      <c r="I143" s="12">
        <v>1</v>
      </c>
      <c r="J143" s="12">
        <v>0</v>
      </c>
      <c r="K143" s="12">
        <v>29</v>
      </c>
      <c r="L143" s="12">
        <f t="shared" si="31"/>
        <v>29</v>
      </c>
      <c r="M143" s="12">
        <v>3</v>
      </c>
      <c r="N143" s="12" t="s">
        <v>70</v>
      </c>
      <c r="O143" s="12">
        <v>0</v>
      </c>
      <c r="P143" s="12">
        <v>0</v>
      </c>
      <c r="Q143" s="12">
        <v>1</v>
      </c>
      <c r="R143" s="12">
        <v>0</v>
      </c>
      <c r="S143" s="12">
        <v>0</v>
      </c>
      <c r="T143" s="12">
        <v>3</v>
      </c>
      <c r="U143" s="12" t="s">
        <v>62</v>
      </c>
      <c r="V143" s="12">
        <v>0</v>
      </c>
      <c r="W143" s="12">
        <v>83</v>
      </c>
      <c r="X143" s="12">
        <v>3</v>
      </c>
      <c r="Y143" s="12">
        <v>1</v>
      </c>
      <c r="Z143" s="12" t="s">
        <v>63</v>
      </c>
      <c r="AA143" s="12">
        <v>0</v>
      </c>
      <c r="AB143" s="12">
        <v>0</v>
      </c>
      <c r="AC143" s="12">
        <v>0</v>
      </c>
      <c r="AD143" s="12">
        <v>0</v>
      </c>
      <c r="AE143" s="12">
        <v>0</v>
      </c>
      <c r="AF143" s="12">
        <v>0</v>
      </c>
      <c r="AG143" s="12">
        <v>0</v>
      </c>
      <c r="AH143" s="12">
        <v>1</v>
      </c>
      <c r="AI143" s="12">
        <v>4</v>
      </c>
      <c r="AJ143" s="12" t="s">
        <v>57</v>
      </c>
      <c r="AK143" s="12">
        <v>1</v>
      </c>
      <c r="AL143" s="12">
        <v>0</v>
      </c>
      <c r="AM143" s="12">
        <v>3452</v>
      </c>
      <c r="AN143" s="12">
        <f t="shared" si="32"/>
        <v>3452</v>
      </c>
      <c r="AO143" s="12">
        <v>5</v>
      </c>
      <c r="AP143" s="12" t="s">
        <v>59</v>
      </c>
      <c r="AQ143" s="12">
        <v>0</v>
      </c>
      <c r="AR143" s="12">
        <v>13</v>
      </c>
      <c r="AS143" s="12">
        <v>3</v>
      </c>
      <c r="AT143" s="12">
        <v>2</v>
      </c>
      <c r="AU143" s="12">
        <v>0</v>
      </c>
      <c r="AV143" s="12">
        <v>9</v>
      </c>
      <c r="AW143" s="12">
        <f t="shared" si="33"/>
        <v>9</v>
      </c>
      <c r="AX143" s="12">
        <v>2</v>
      </c>
      <c r="AY143" s="12">
        <v>2</v>
      </c>
      <c r="AZ143" s="12">
        <v>6</v>
      </c>
      <c r="BA143" s="12">
        <f t="shared" si="34"/>
        <v>6</v>
      </c>
      <c r="BB143" s="12">
        <v>5</v>
      </c>
      <c r="BC143" s="12">
        <v>0</v>
      </c>
      <c r="BD143" s="12">
        <f t="shared" si="43"/>
        <v>0</v>
      </c>
      <c r="BE143" s="12">
        <v>3</v>
      </c>
      <c r="BF143" s="12">
        <f t="shared" si="35"/>
        <v>3</v>
      </c>
      <c r="BG143" s="12">
        <f t="shared" si="44"/>
        <v>3</v>
      </c>
      <c r="BH143" s="67">
        <v>1</v>
      </c>
      <c r="BI143" s="67">
        <v>0</v>
      </c>
      <c r="BJ143" s="67">
        <v>0</v>
      </c>
      <c r="BK143" s="67">
        <v>0</v>
      </c>
      <c r="BL143" s="67">
        <v>1</v>
      </c>
      <c r="BM143" s="67">
        <v>0</v>
      </c>
      <c r="BN143" s="67">
        <v>0</v>
      </c>
      <c r="BO143" s="67">
        <v>0</v>
      </c>
      <c r="BP143" s="67">
        <v>0</v>
      </c>
      <c r="BQ143" s="67">
        <v>3</v>
      </c>
      <c r="BR143" s="67">
        <v>0</v>
      </c>
      <c r="BS143" s="67">
        <v>0</v>
      </c>
      <c r="BT143" s="67">
        <v>9</v>
      </c>
      <c r="BU143" s="70">
        <v>0</v>
      </c>
      <c r="BV143" s="29">
        <f t="shared" si="36"/>
        <v>0.64803723421381776</v>
      </c>
      <c r="BW143">
        <f t="shared" si="37"/>
        <v>0.31476636926356072</v>
      </c>
      <c r="BX143">
        <f t="shared" si="38"/>
        <v>0.29297722668510823</v>
      </c>
      <c r="BY143">
        <f t="shared" si="39"/>
        <v>0.16455710867531462</v>
      </c>
      <c r="BZ143">
        <f t="shared" si="40"/>
        <v>2.4432976708053049</v>
      </c>
      <c r="CA143">
        <f t="shared" si="41"/>
        <v>0.88405695572208698</v>
      </c>
      <c r="CB143">
        <f t="shared" si="42"/>
        <v>0.67891464284095016</v>
      </c>
    </row>
    <row r="144" spans="1:80" x14ac:dyDescent="0.45">
      <c r="A144" s="11">
        <v>38</v>
      </c>
      <c r="B144" s="12">
        <f t="shared" si="30"/>
        <v>38</v>
      </c>
      <c r="C144" s="12" t="s">
        <v>59</v>
      </c>
      <c r="D144" s="12">
        <v>0</v>
      </c>
      <c r="E144" s="12" t="s">
        <v>53</v>
      </c>
      <c r="F144" s="12">
        <v>0</v>
      </c>
      <c r="G144" s="12">
        <v>1</v>
      </c>
      <c r="H144" s="12" t="s">
        <v>61</v>
      </c>
      <c r="I144" s="12">
        <v>1</v>
      </c>
      <c r="J144" s="12">
        <v>0</v>
      </c>
      <c r="K144" s="12">
        <v>3</v>
      </c>
      <c r="L144" s="12">
        <f t="shared" si="31"/>
        <v>3</v>
      </c>
      <c r="M144" s="12">
        <v>5</v>
      </c>
      <c r="N144" s="12" t="s">
        <v>91</v>
      </c>
      <c r="O144" s="12">
        <v>0</v>
      </c>
      <c r="P144" s="12">
        <v>0</v>
      </c>
      <c r="Q144" s="12">
        <v>0</v>
      </c>
      <c r="R144" s="12">
        <v>0</v>
      </c>
      <c r="S144" s="12">
        <v>1</v>
      </c>
      <c r="T144" s="12">
        <v>4</v>
      </c>
      <c r="U144" s="12" t="s">
        <v>19</v>
      </c>
      <c r="V144" s="12">
        <v>1</v>
      </c>
      <c r="W144" s="12">
        <v>32</v>
      </c>
      <c r="X144" s="12">
        <v>3</v>
      </c>
      <c r="Y144" s="12">
        <v>2</v>
      </c>
      <c r="Z144" s="12" t="s">
        <v>63</v>
      </c>
      <c r="AA144" s="12">
        <v>0</v>
      </c>
      <c r="AB144" s="12">
        <v>0</v>
      </c>
      <c r="AC144" s="12">
        <v>0</v>
      </c>
      <c r="AD144" s="12">
        <v>0</v>
      </c>
      <c r="AE144" s="12">
        <v>0</v>
      </c>
      <c r="AF144" s="12">
        <v>0</v>
      </c>
      <c r="AG144" s="12">
        <v>0</v>
      </c>
      <c r="AH144" s="12">
        <v>1</v>
      </c>
      <c r="AI144" s="12">
        <v>3</v>
      </c>
      <c r="AJ144" s="12" t="s">
        <v>57</v>
      </c>
      <c r="AK144" s="12">
        <v>1</v>
      </c>
      <c r="AL144" s="12">
        <v>0</v>
      </c>
      <c r="AM144" s="12">
        <v>4317</v>
      </c>
      <c r="AN144" s="12">
        <f t="shared" si="32"/>
        <v>4317</v>
      </c>
      <c r="AO144" s="12">
        <v>3</v>
      </c>
      <c r="AP144" s="12" t="s">
        <v>52</v>
      </c>
      <c r="AQ144" s="12">
        <v>1</v>
      </c>
      <c r="AR144" s="12">
        <v>20</v>
      </c>
      <c r="AS144" s="12">
        <v>4</v>
      </c>
      <c r="AT144" s="12">
        <v>2</v>
      </c>
      <c r="AU144" s="12">
        <v>0</v>
      </c>
      <c r="AV144" s="12">
        <v>19</v>
      </c>
      <c r="AW144" s="12">
        <f t="shared" si="33"/>
        <v>19</v>
      </c>
      <c r="AX144" s="12">
        <v>2</v>
      </c>
      <c r="AY144" s="12">
        <v>3</v>
      </c>
      <c r="AZ144" s="12">
        <v>3</v>
      </c>
      <c r="BA144" s="12">
        <f t="shared" si="34"/>
        <v>3</v>
      </c>
      <c r="BB144" s="12">
        <v>2</v>
      </c>
      <c r="BC144" s="12">
        <v>2</v>
      </c>
      <c r="BD144" s="12">
        <f t="shared" si="43"/>
        <v>2</v>
      </c>
      <c r="BE144" s="12">
        <v>2</v>
      </c>
      <c r="BF144" s="12">
        <f t="shared" si="35"/>
        <v>2</v>
      </c>
      <c r="BG144" s="12">
        <f t="shared" si="44"/>
        <v>4</v>
      </c>
      <c r="BH144" s="67">
        <v>1</v>
      </c>
      <c r="BI144" s="67">
        <v>0</v>
      </c>
      <c r="BJ144" s="67">
        <v>0</v>
      </c>
      <c r="BK144" s="67">
        <v>0</v>
      </c>
      <c r="BL144" s="67">
        <v>0</v>
      </c>
      <c r="BM144" s="67">
        <v>1</v>
      </c>
      <c r="BN144" s="67">
        <v>0</v>
      </c>
      <c r="BO144" s="67">
        <v>0</v>
      </c>
      <c r="BP144" s="67">
        <v>0</v>
      </c>
      <c r="BQ144" s="67">
        <v>2</v>
      </c>
      <c r="BR144" s="67">
        <v>0</v>
      </c>
      <c r="BS144" s="67">
        <v>0</v>
      </c>
      <c r="BT144" s="67">
        <v>19</v>
      </c>
      <c r="BU144" s="70">
        <v>0</v>
      </c>
      <c r="BV144" s="29">
        <f t="shared" si="36"/>
        <v>0.46430572607733045</v>
      </c>
      <c r="BW144">
        <f t="shared" si="37"/>
        <v>0.59502473559756086</v>
      </c>
      <c r="BX144">
        <f t="shared" si="38"/>
        <v>0.99224068804813281</v>
      </c>
      <c r="BY144">
        <f t="shared" si="39"/>
        <v>0.65423109602898355</v>
      </c>
      <c r="BZ144">
        <f t="shared" si="40"/>
        <v>0.76386092994953758</v>
      </c>
      <c r="CA144">
        <f t="shared" si="41"/>
        <v>0.11780475942994788</v>
      </c>
      <c r="CB144">
        <f t="shared" si="42"/>
        <v>5.8265062631872602E-2</v>
      </c>
    </row>
    <row r="145" spans="1:80" x14ac:dyDescent="0.45">
      <c r="A145" s="11">
        <v>30</v>
      </c>
      <c r="B145" s="12">
        <f t="shared" si="30"/>
        <v>30</v>
      </c>
      <c r="C145" s="12" t="s">
        <v>59</v>
      </c>
      <c r="D145" s="12">
        <v>0</v>
      </c>
      <c r="E145" s="12" t="s">
        <v>53</v>
      </c>
      <c r="F145" s="12">
        <v>0</v>
      </c>
      <c r="G145" s="12">
        <v>1</v>
      </c>
      <c r="H145" s="12" t="s">
        <v>61</v>
      </c>
      <c r="I145" s="12">
        <v>1</v>
      </c>
      <c r="J145" s="12">
        <v>0</v>
      </c>
      <c r="K145" s="12">
        <v>18</v>
      </c>
      <c r="L145" s="12">
        <f t="shared" si="31"/>
        <v>18</v>
      </c>
      <c r="M145" s="12">
        <v>3</v>
      </c>
      <c r="N145" s="12" t="s">
        <v>55</v>
      </c>
      <c r="O145" s="12">
        <v>1</v>
      </c>
      <c r="P145" s="12">
        <v>0</v>
      </c>
      <c r="Q145" s="12">
        <v>0</v>
      </c>
      <c r="R145" s="12">
        <v>0</v>
      </c>
      <c r="S145" s="12">
        <v>0</v>
      </c>
      <c r="T145" s="12">
        <v>1</v>
      </c>
      <c r="U145" s="12" t="s">
        <v>19</v>
      </c>
      <c r="V145" s="12">
        <v>1</v>
      </c>
      <c r="W145" s="12">
        <v>75</v>
      </c>
      <c r="X145" s="12">
        <v>3</v>
      </c>
      <c r="Y145" s="12">
        <v>1</v>
      </c>
      <c r="Z145" s="12" t="s">
        <v>63</v>
      </c>
      <c r="AA145" s="12">
        <v>0</v>
      </c>
      <c r="AB145" s="12">
        <v>0</v>
      </c>
      <c r="AC145" s="12">
        <v>0</v>
      </c>
      <c r="AD145" s="12">
        <v>0</v>
      </c>
      <c r="AE145" s="12">
        <v>0</v>
      </c>
      <c r="AF145" s="12">
        <v>0</v>
      </c>
      <c r="AG145" s="12">
        <v>0</v>
      </c>
      <c r="AH145" s="12">
        <v>1</v>
      </c>
      <c r="AI145" s="12">
        <v>3</v>
      </c>
      <c r="AJ145" s="12" t="s">
        <v>57</v>
      </c>
      <c r="AK145" s="12">
        <v>1</v>
      </c>
      <c r="AL145" s="12">
        <v>0</v>
      </c>
      <c r="AM145" s="12">
        <v>2632</v>
      </c>
      <c r="AN145" s="12">
        <f t="shared" si="32"/>
        <v>2632</v>
      </c>
      <c r="AO145" s="12">
        <v>1</v>
      </c>
      <c r="AP145" s="12" t="s">
        <v>59</v>
      </c>
      <c r="AQ145" s="12">
        <v>0</v>
      </c>
      <c r="AR145" s="12">
        <v>14</v>
      </c>
      <c r="AS145" s="12">
        <v>3</v>
      </c>
      <c r="AT145" s="12">
        <v>3</v>
      </c>
      <c r="AU145" s="12">
        <v>0</v>
      </c>
      <c r="AV145" s="12">
        <v>5</v>
      </c>
      <c r="AW145" s="12">
        <f t="shared" si="33"/>
        <v>5</v>
      </c>
      <c r="AX145" s="12">
        <v>4</v>
      </c>
      <c r="AY145" s="12">
        <v>2</v>
      </c>
      <c r="AZ145" s="12">
        <v>5</v>
      </c>
      <c r="BA145" s="12">
        <f t="shared" si="34"/>
        <v>5</v>
      </c>
      <c r="BB145" s="12">
        <v>4</v>
      </c>
      <c r="BC145" s="12">
        <v>0</v>
      </c>
      <c r="BD145" s="12">
        <f t="shared" si="43"/>
        <v>0</v>
      </c>
      <c r="BE145" s="12">
        <v>4</v>
      </c>
      <c r="BF145" s="12">
        <f t="shared" si="35"/>
        <v>4</v>
      </c>
      <c r="BG145" s="12">
        <f t="shared" si="44"/>
        <v>4</v>
      </c>
      <c r="BH145" s="67">
        <v>1</v>
      </c>
      <c r="BI145" s="67">
        <v>0</v>
      </c>
      <c r="BJ145" s="67">
        <v>0</v>
      </c>
      <c r="BK145" s="67">
        <v>0</v>
      </c>
      <c r="BL145" s="67">
        <v>1</v>
      </c>
      <c r="BM145" s="67">
        <v>0</v>
      </c>
      <c r="BN145" s="67">
        <v>0</v>
      </c>
      <c r="BO145" s="67">
        <v>0</v>
      </c>
      <c r="BP145" s="67">
        <v>0</v>
      </c>
      <c r="BQ145" s="67">
        <v>4</v>
      </c>
      <c r="BR145" s="67">
        <v>0</v>
      </c>
      <c r="BS145" s="67">
        <v>0</v>
      </c>
      <c r="BT145" s="67">
        <v>5</v>
      </c>
      <c r="BU145" s="70">
        <v>0</v>
      </c>
      <c r="BV145" s="29">
        <f t="shared" si="36"/>
        <v>0.82221045579985208</v>
      </c>
      <c r="BW145">
        <f t="shared" si="37"/>
        <v>3.4508002929560584E-2</v>
      </c>
      <c r="BX145">
        <f t="shared" si="38"/>
        <v>0.80706439257840468</v>
      </c>
      <c r="BY145">
        <f t="shared" si="39"/>
        <v>0.32778177112653761</v>
      </c>
      <c r="BZ145">
        <f t="shared" si="40"/>
        <v>1.0864228781782561</v>
      </c>
      <c r="CA145">
        <f t="shared" si="41"/>
        <v>0.75791203633249671</v>
      </c>
      <c r="CB145">
        <f t="shared" si="42"/>
        <v>0.67891464284095016</v>
      </c>
    </row>
    <row r="146" spans="1:80" x14ac:dyDescent="0.45">
      <c r="A146" s="11">
        <v>32</v>
      </c>
      <c r="B146" s="12">
        <f t="shared" si="30"/>
        <v>32</v>
      </c>
      <c r="C146" s="12" t="s">
        <v>59</v>
      </c>
      <c r="D146" s="12">
        <v>0</v>
      </c>
      <c r="E146" s="12" t="s">
        <v>60</v>
      </c>
      <c r="F146" s="12">
        <v>1</v>
      </c>
      <c r="G146" s="12">
        <v>0</v>
      </c>
      <c r="H146" s="12" t="s">
        <v>54</v>
      </c>
      <c r="I146" s="12">
        <v>0</v>
      </c>
      <c r="J146" s="12">
        <v>1</v>
      </c>
      <c r="K146" s="12">
        <v>9</v>
      </c>
      <c r="L146" s="12">
        <f t="shared" si="31"/>
        <v>9</v>
      </c>
      <c r="M146" s="12">
        <v>2</v>
      </c>
      <c r="N146" s="12" t="s">
        <v>70</v>
      </c>
      <c r="O146" s="12">
        <v>0</v>
      </c>
      <c r="P146" s="12">
        <v>0</v>
      </c>
      <c r="Q146" s="12">
        <v>1</v>
      </c>
      <c r="R146" s="12">
        <v>0</v>
      </c>
      <c r="S146" s="12">
        <v>0</v>
      </c>
      <c r="T146" s="12">
        <v>4</v>
      </c>
      <c r="U146" s="12" t="s">
        <v>62</v>
      </c>
      <c r="V146" s="12">
        <v>0</v>
      </c>
      <c r="W146" s="12">
        <v>35</v>
      </c>
      <c r="X146" s="12">
        <v>1</v>
      </c>
      <c r="Y146" s="12">
        <v>2</v>
      </c>
      <c r="Z146" s="12" t="s">
        <v>56</v>
      </c>
      <c r="AA146" s="12">
        <v>0</v>
      </c>
      <c r="AB146" s="12">
        <v>1</v>
      </c>
      <c r="AC146" s="12">
        <v>0</v>
      </c>
      <c r="AD146" s="12">
        <v>0</v>
      </c>
      <c r="AE146" s="12">
        <v>0</v>
      </c>
      <c r="AF146" s="12">
        <v>0</v>
      </c>
      <c r="AG146" s="12">
        <v>0</v>
      </c>
      <c r="AH146" s="12">
        <v>0</v>
      </c>
      <c r="AI146" s="12">
        <v>4</v>
      </c>
      <c r="AJ146" s="12" t="s">
        <v>78</v>
      </c>
      <c r="AK146" s="12">
        <v>0</v>
      </c>
      <c r="AL146" s="12">
        <v>0</v>
      </c>
      <c r="AM146" s="12">
        <v>4668</v>
      </c>
      <c r="AN146" s="12">
        <f t="shared" si="32"/>
        <v>4668</v>
      </c>
      <c r="AO146" s="12">
        <v>0</v>
      </c>
      <c r="AP146" s="12" t="s">
        <v>59</v>
      </c>
      <c r="AQ146" s="12">
        <v>0</v>
      </c>
      <c r="AR146" s="12">
        <v>17</v>
      </c>
      <c r="AS146" s="12">
        <v>3</v>
      </c>
      <c r="AT146" s="12">
        <v>4</v>
      </c>
      <c r="AU146" s="12">
        <v>3</v>
      </c>
      <c r="AV146" s="12">
        <v>9</v>
      </c>
      <c r="AW146" s="12">
        <f t="shared" si="33"/>
        <v>9</v>
      </c>
      <c r="AX146" s="12">
        <v>2</v>
      </c>
      <c r="AY146" s="12">
        <v>4</v>
      </c>
      <c r="AZ146" s="12">
        <v>8</v>
      </c>
      <c r="BA146" s="12">
        <f t="shared" si="34"/>
        <v>8</v>
      </c>
      <c r="BB146" s="12">
        <v>7</v>
      </c>
      <c r="BC146" s="12">
        <v>0</v>
      </c>
      <c r="BD146" s="12">
        <f t="shared" si="43"/>
        <v>0</v>
      </c>
      <c r="BE146" s="12">
        <v>7</v>
      </c>
      <c r="BF146" s="12">
        <f t="shared" si="35"/>
        <v>7</v>
      </c>
      <c r="BG146" s="12">
        <f t="shared" si="44"/>
        <v>14</v>
      </c>
      <c r="BH146" s="67">
        <v>0</v>
      </c>
      <c r="BI146" s="67">
        <v>0</v>
      </c>
      <c r="BJ146" s="67">
        <v>1</v>
      </c>
      <c r="BK146" s="67">
        <v>0</v>
      </c>
      <c r="BL146" s="67">
        <v>1</v>
      </c>
      <c r="BM146" s="67">
        <v>0</v>
      </c>
      <c r="BN146" s="67">
        <v>0</v>
      </c>
      <c r="BO146" s="67">
        <v>0</v>
      </c>
      <c r="BP146" s="67">
        <v>0</v>
      </c>
      <c r="BQ146" s="67">
        <v>0</v>
      </c>
      <c r="BR146" s="67">
        <v>7</v>
      </c>
      <c r="BS146" s="67">
        <v>0</v>
      </c>
      <c r="BT146" s="67">
        <v>0</v>
      </c>
      <c r="BU146" s="70">
        <v>9</v>
      </c>
      <c r="BV146" s="29">
        <f t="shared" si="36"/>
        <v>0.38975109098379623</v>
      </c>
      <c r="BW146">
        <f t="shared" si="37"/>
        <v>0.80626709607243985</v>
      </c>
      <c r="BX146">
        <f t="shared" si="38"/>
        <v>0.29297722668510823</v>
      </c>
      <c r="BY146">
        <f t="shared" si="39"/>
        <v>0.16189221622713135</v>
      </c>
      <c r="BZ146">
        <f t="shared" si="40"/>
        <v>2.3747406698420157E-2</v>
      </c>
      <c r="CA146">
        <f t="shared" si="41"/>
        <v>0.53898283739188557</v>
      </c>
      <c r="CB146">
        <f t="shared" si="42"/>
        <v>0.67891464284095016</v>
      </c>
    </row>
    <row r="147" spans="1:80" x14ac:dyDescent="0.45">
      <c r="A147" s="11">
        <v>30</v>
      </c>
      <c r="B147" s="12">
        <f t="shared" si="30"/>
        <v>30</v>
      </c>
      <c r="C147" s="12" t="s">
        <v>59</v>
      </c>
      <c r="D147" s="12">
        <v>0</v>
      </c>
      <c r="E147" s="12" t="s">
        <v>53</v>
      </c>
      <c r="F147" s="12">
        <v>0</v>
      </c>
      <c r="G147" s="12">
        <v>1</v>
      </c>
      <c r="H147" s="12" t="s">
        <v>61</v>
      </c>
      <c r="I147" s="12">
        <v>1</v>
      </c>
      <c r="J147" s="12">
        <v>0</v>
      </c>
      <c r="K147" s="12">
        <v>5</v>
      </c>
      <c r="L147" s="12">
        <f t="shared" si="31"/>
        <v>5</v>
      </c>
      <c r="M147" s="12">
        <v>3</v>
      </c>
      <c r="N147" s="12" t="s">
        <v>91</v>
      </c>
      <c r="O147" s="12">
        <v>0</v>
      </c>
      <c r="P147" s="12">
        <v>0</v>
      </c>
      <c r="Q147" s="12">
        <v>0</v>
      </c>
      <c r="R147" s="12">
        <v>0</v>
      </c>
      <c r="S147" s="12">
        <v>1</v>
      </c>
      <c r="T147" s="12">
        <v>4</v>
      </c>
      <c r="U147" s="12" t="s">
        <v>19</v>
      </c>
      <c r="V147" s="12">
        <v>1</v>
      </c>
      <c r="W147" s="12">
        <v>84</v>
      </c>
      <c r="X147" s="12">
        <v>3</v>
      </c>
      <c r="Y147" s="12">
        <v>1</v>
      </c>
      <c r="Z147" s="12" t="s">
        <v>63</v>
      </c>
      <c r="AA147" s="12">
        <v>0</v>
      </c>
      <c r="AB147" s="12">
        <v>0</v>
      </c>
      <c r="AC147" s="12">
        <v>0</v>
      </c>
      <c r="AD147" s="12">
        <v>0</v>
      </c>
      <c r="AE147" s="12">
        <v>0</v>
      </c>
      <c r="AF147" s="12">
        <v>0</v>
      </c>
      <c r="AG147" s="12">
        <v>0</v>
      </c>
      <c r="AH147" s="12">
        <v>1</v>
      </c>
      <c r="AI147" s="12">
        <v>1</v>
      </c>
      <c r="AJ147" s="12" t="s">
        <v>78</v>
      </c>
      <c r="AK147" s="12">
        <v>0</v>
      </c>
      <c r="AL147" s="12">
        <v>0</v>
      </c>
      <c r="AM147" s="12">
        <v>3204</v>
      </c>
      <c r="AN147" s="12">
        <f t="shared" si="32"/>
        <v>3204</v>
      </c>
      <c r="AO147" s="12">
        <v>5</v>
      </c>
      <c r="AP147" s="12" t="s">
        <v>59</v>
      </c>
      <c r="AQ147" s="12">
        <v>0</v>
      </c>
      <c r="AR147" s="12">
        <v>14</v>
      </c>
      <c r="AS147" s="12">
        <v>3</v>
      </c>
      <c r="AT147" s="12">
        <v>4</v>
      </c>
      <c r="AU147" s="12">
        <v>1</v>
      </c>
      <c r="AV147" s="12">
        <v>8</v>
      </c>
      <c r="AW147" s="12">
        <f t="shared" si="33"/>
        <v>8</v>
      </c>
      <c r="AX147" s="12">
        <v>3</v>
      </c>
      <c r="AY147" s="12">
        <v>3</v>
      </c>
      <c r="AZ147" s="12">
        <v>3</v>
      </c>
      <c r="BA147" s="12">
        <f t="shared" si="34"/>
        <v>3</v>
      </c>
      <c r="BB147" s="12">
        <v>2</v>
      </c>
      <c r="BC147" s="12">
        <v>2</v>
      </c>
      <c r="BD147" s="12">
        <f t="shared" si="43"/>
        <v>2</v>
      </c>
      <c r="BE147" s="12">
        <v>2</v>
      </c>
      <c r="BF147" s="12">
        <f t="shared" si="35"/>
        <v>2</v>
      </c>
      <c r="BG147" s="12">
        <f t="shared" si="44"/>
        <v>2</v>
      </c>
      <c r="BH147" s="67">
        <v>1</v>
      </c>
      <c r="BI147" s="67">
        <v>0</v>
      </c>
      <c r="BJ147" s="67">
        <v>0</v>
      </c>
      <c r="BK147" s="67">
        <v>0</v>
      </c>
      <c r="BL147" s="67">
        <v>1</v>
      </c>
      <c r="BM147" s="67">
        <v>0</v>
      </c>
      <c r="BN147" s="67">
        <v>0</v>
      </c>
      <c r="BO147" s="67">
        <v>0</v>
      </c>
      <c r="BP147" s="67">
        <v>0</v>
      </c>
      <c r="BQ147" s="67">
        <v>2</v>
      </c>
      <c r="BR147" s="67">
        <v>0</v>
      </c>
      <c r="BS147" s="67">
        <v>0</v>
      </c>
      <c r="BT147" s="67">
        <v>8</v>
      </c>
      <c r="BU147" s="70">
        <v>0</v>
      </c>
      <c r="BV147" s="29">
        <f t="shared" si="36"/>
        <v>0.70071401342520379</v>
      </c>
      <c r="BW147">
        <f t="shared" si="37"/>
        <v>0.59502473559756086</v>
      </c>
      <c r="BX147">
        <f t="shared" si="38"/>
        <v>0.42149901815843233</v>
      </c>
      <c r="BY147">
        <f t="shared" si="39"/>
        <v>0.65423109602898355</v>
      </c>
      <c r="BZ147">
        <f t="shared" si="40"/>
        <v>0.51715642219916513</v>
      </c>
      <c r="CA147">
        <f t="shared" si="41"/>
        <v>0.75791203633249671</v>
      </c>
      <c r="CB147">
        <f t="shared" si="42"/>
        <v>5.8265062631872602E-2</v>
      </c>
    </row>
    <row r="148" spans="1:80" x14ac:dyDescent="0.45">
      <c r="A148" s="11">
        <v>30</v>
      </c>
      <c r="B148" s="12">
        <f t="shared" si="30"/>
        <v>30</v>
      </c>
      <c r="C148" s="12" t="s">
        <v>59</v>
      </c>
      <c r="D148" s="12">
        <v>0</v>
      </c>
      <c r="E148" s="12" t="s">
        <v>53</v>
      </c>
      <c r="F148" s="12">
        <v>0</v>
      </c>
      <c r="G148" s="12">
        <v>1</v>
      </c>
      <c r="H148" s="12" t="s">
        <v>61</v>
      </c>
      <c r="I148" s="12">
        <v>1</v>
      </c>
      <c r="J148" s="12">
        <v>0</v>
      </c>
      <c r="K148" s="12">
        <v>2</v>
      </c>
      <c r="L148" s="12">
        <f t="shared" si="31"/>
        <v>2</v>
      </c>
      <c r="M148" s="12">
        <v>1</v>
      </c>
      <c r="N148" s="12" t="s">
        <v>70</v>
      </c>
      <c r="O148" s="12">
        <v>0</v>
      </c>
      <c r="P148" s="12">
        <v>0</v>
      </c>
      <c r="Q148" s="12">
        <v>1</v>
      </c>
      <c r="R148" s="12">
        <v>0</v>
      </c>
      <c r="S148" s="12">
        <v>0</v>
      </c>
      <c r="T148" s="12">
        <v>2</v>
      </c>
      <c r="U148" s="12" t="s">
        <v>62</v>
      </c>
      <c r="V148" s="12">
        <v>0</v>
      </c>
      <c r="W148" s="12">
        <v>35</v>
      </c>
      <c r="X148" s="12">
        <v>2</v>
      </c>
      <c r="Y148" s="12">
        <v>1</v>
      </c>
      <c r="Z148" s="12" t="s">
        <v>67</v>
      </c>
      <c r="AA148" s="12">
        <v>0</v>
      </c>
      <c r="AB148" s="12">
        <v>0</v>
      </c>
      <c r="AC148" s="12">
        <v>1</v>
      </c>
      <c r="AD148" s="12">
        <v>0</v>
      </c>
      <c r="AE148" s="12">
        <v>0</v>
      </c>
      <c r="AF148" s="12">
        <v>0</v>
      </c>
      <c r="AG148" s="12">
        <v>0</v>
      </c>
      <c r="AH148" s="12">
        <v>0</v>
      </c>
      <c r="AI148" s="12">
        <v>4</v>
      </c>
      <c r="AJ148" s="12" t="s">
        <v>57</v>
      </c>
      <c r="AK148" s="12">
        <v>1</v>
      </c>
      <c r="AL148" s="12">
        <v>0</v>
      </c>
      <c r="AM148" s="12">
        <v>2720</v>
      </c>
      <c r="AN148" s="12">
        <f t="shared" si="32"/>
        <v>2720</v>
      </c>
      <c r="AO148" s="12">
        <v>0</v>
      </c>
      <c r="AP148" s="12" t="s">
        <v>59</v>
      </c>
      <c r="AQ148" s="12">
        <v>0</v>
      </c>
      <c r="AR148" s="12">
        <v>13</v>
      </c>
      <c r="AS148" s="12">
        <v>3</v>
      </c>
      <c r="AT148" s="12">
        <v>4</v>
      </c>
      <c r="AU148" s="12">
        <v>0</v>
      </c>
      <c r="AV148" s="12">
        <v>6</v>
      </c>
      <c r="AW148" s="12">
        <f t="shared" si="33"/>
        <v>6</v>
      </c>
      <c r="AX148" s="12">
        <v>3</v>
      </c>
      <c r="AY148" s="12">
        <v>3</v>
      </c>
      <c r="AZ148" s="12">
        <v>5</v>
      </c>
      <c r="BA148" s="12">
        <f t="shared" si="34"/>
        <v>5</v>
      </c>
      <c r="BB148" s="12">
        <v>3</v>
      </c>
      <c r="BC148" s="12">
        <v>1</v>
      </c>
      <c r="BD148" s="12">
        <f t="shared" si="43"/>
        <v>1</v>
      </c>
      <c r="BE148" s="12">
        <v>2</v>
      </c>
      <c r="BF148" s="12">
        <f t="shared" si="35"/>
        <v>2</v>
      </c>
      <c r="BG148" s="12">
        <f t="shared" si="44"/>
        <v>2</v>
      </c>
      <c r="BH148" s="67">
        <v>1</v>
      </c>
      <c r="BI148" s="67">
        <v>0</v>
      </c>
      <c r="BJ148" s="67">
        <v>0</v>
      </c>
      <c r="BK148" s="67">
        <v>0</v>
      </c>
      <c r="BL148" s="67">
        <v>1</v>
      </c>
      <c r="BM148" s="67">
        <v>0</v>
      </c>
      <c r="BN148" s="67">
        <v>0</v>
      </c>
      <c r="BO148" s="67">
        <v>0</v>
      </c>
      <c r="BP148" s="67">
        <v>0</v>
      </c>
      <c r="BQ148" s="67">
        <v>2</v>
      </c>
      <c r="BR148" s="67">
        <v>0</v>
      </c>
      <c r="BS148" s="67">
        <v>0</v>
      </c>
      <c r="BT148" s="67">
        <v>6</v>
      </c>
      <c r="BU148" s="70">
        <v>0</v>
      </c>
      <c r="BV148" s="29">
        <f t="shared" si="36"/>
        <v>0.80351869543452159</v>
      </c>
      <c r="BW148">
        <f t="shared" si="37"/>
        <v>0.59502473559756086</v>
      </c>
      <c r="BX148">
        <f t="shared" si="38"/>
        <v>0.67854260110508058</v>
      </c>
      <c r="BY148">
        <f t="shared" si="39"/>
        <v>0.32778177112653761</v>
      </c>
      <c r="BZ148">
        <f t="shared" si="40"/>
        <v>0.88721318382472392</v>
      </c>
      <c r="CA148">
        <f t="shared" si="41"/>
        <v>0.75791203633249671</v>
      </c>
      <c r="CB148">
        <f t="shared" si="42"/>
        <v>0.36858985273641137</v>
      </c>
    </row>
    <row r="149" spans="1:80" x14ac:dyDescent="0.45">
      <c r="A149" s="11">
        <v>41</v>
      </c>
      <c r="B149" s="12">
        <f t="shared" si="30"/>
        <v>41</v>
      </c>
      <c r="C149" s="12" t="s">
        <v>59</v>
      </c>
      <c r="D149" s="12">
        <v>0</v>
      </c>
      <c r="E149" s="12" t="s">
        <v>60</v>
      </c>
      <c r="F149" s="12">
        <v>1</v>
      </c>
      <c r="G149" s="12">
        <v>0</v>
      </c>
      <c r="H149" s="12" t="s">
        <v>61</v>
      </c>
      <c r="I149" s="12">
        <v>1</v>
      </c>
      <c r="J149" s="12">
        <v>0</v>
      </c>
      <c r="K149" s="12">
        <v>10</v>
      </c>
      <c r="L149" s="12">
        <f t="shared" si="31"/>
        <v>10</v>
      </c>
      <c r="M149" s="12">
        <v>3</v>
      </c>
      <c r="N149" s="12" t="s">
        <v>55</v>
      </c>
      <c r="O149" s="12">
        <v>1</v>
      </c>
      <c r="P149" s="12">
        <v>0</v>
      </c>
      <c r="Q149" s="12">
        <v>0</v>
      </c>
      <c r="R149" s="12">
        <v>0</v>
      </c>
      <c r="S149" s="12">
        <v>0</v>
      </c>
      <c r="T149" s="12">
        <v>4</v>
      </c>
      <c r="U149" s="12" t="s">
        <v>62</v>
      </c>
      <c r="V149" s="12">
        <v>0</v>
      </c>
      <c r="W149" s="12">
        <v>91</v>
      </c>
      <c r="X149" s="12">
        <v>2</v>
      </c>
      <c r="Y149" s="12">
        <v>4</v>
      </c>
      <c r="Z149" s="12" t="s">
        <v>87</v>
      </c>
      <c r="AA149" s="12">
        <v>0</v>
      </c>
      <c r="AB149" s="12">
        <v>0</v>
      </c>
      <c r="AC149" s="12">
        <v>0</v>
      </c>
      <c r="AD149" s="12">
        <v>1</v>
      </c>
      <c r="AE149" s="12">
        <v>0</v>
      </c>
      <c r="AF149" s="12">
        <v>0</v>
      </c>
      <c r="AG149" s="12">
        <v>0</v>
      </c>
      <c r="AH149" s="12">
        <v>0</v>
      </c>
      <c r="AI149" s="12">
        <v>1</v>
      </c>
      <c r="AJ149" s="12" t="s">
        <v>78</v>
      </c>
      <c r="AK149" s="12">
        <v>0</v>
      </c>
      <c r="AL149" s="12">
        <v>0</v>
      </c>
      <c r="AM149" s="12">
        <v>17181</v>
      </c>
      <c r="AN149" s="12">
        <f t="shared" si="32"/>
        <v>17181</v>
      </c>
      <c r="AO149" s="12">
        <v>4</v>
      </c>
      <c r="AP149" s="12" t="s">
        <v>59</v>
      </c>
      <c r="AQ149" s="12">
        <v>0</v>
      </c>
      <c r="AR149" s="12">
        <v>13</v>
      </c>
      <c r="AS149" s="12">
        <v>3</v>
      </c>
      <c r="AT149" s="12">
        <v>2</v>
      </c>
      <c r="AU149" s="12">
        <v>1</v>
      </c>
      <c r="AV149" s="12">
        <v>21</v>
      </c>
      <c r="AW149" s="12">
        <f t="shared" si="33"/>
        <v>21</v>
      </c>
      <c r="AX149" s="12">
        <v>2</v>
      </c>
      <c r="AY149" s="12">
        <v>2</v>
      </c>
      <c r="AZ149" s="12">
        <v>7</v>
      </c>
      <c r="BA149" s="12">
        <f t="shared" si="34"/>
        <v>7</v>
      </c>
      <c r="BB149" s="12">
        <v>6</v>
      </c>
      <c r="BC149" s="12">
        <v>7</v>
      </c>
      <c r="BD149" s="12">
        <f t="shared" si="43"/>
        <v>7</v>
      </c>
      <c r="BE149" s="12">
        <v>7</v>
      </c>
      <c r="BF149" s="12">
        <f t="shared" si="35"/>
        <v>7</v>
      </c>
      <c r="BG149" s="12">
        <f t="shared" si="44"/>
        <v>28</v>
      </c>
      <c r="BH149" s="67">
        <v>0</v>
      </c>
      <c r="BI149" s="67">
        <v>0</v>
      </c>
      <c r="BJ149" s="67">
        <v>1</v>
      </c>
      <c r="BK149" s="67">
        <v>0</v>
      </c>
      <c r="BL149" s="67">
        <v>1</v>
      </c>
      <c r="BM149" s="67">
        <v>0</v>
      </c>
      <c r="BN149" s="67">
        <v>0</v>
      </c>
      <c r="BO149" s="67">
        <v>0</v>
      </c>
      <c r="BP149" s="67">
        <v>0</v>
      </c>
      <c r="BQ149" s="67">
        <v>7</v>
      </c>
      <c r="BR149" s="67">
        <v>0</v>
      </c>
      <c r="BS149" s="67">
        <v>0</v>
      </c>
      <c r="BT149" s="67">
        <v>21</v>
      </c>
      <c r="BU149" s="70">
        <v>0</v>
      </c>
      <c r="BV149" s="29">
        <f t="shared" si="36"/>
        <v>2.2680897891455292</v>
      </c>
      <c r="BW149">
        <f t="shared" si="37"/>
        <v>0.80626709607243985</v>
      </c>
      <c r="BX149">
        <f t="shared" si="38"/>
        <v>1.2492842709947811</v>
      </c>
      <c r="BY149">
        <f t="shared" si="39"/>
        <v>1.3324462240916321E-3</v>
      </c>
      <c r="BZ149">
        <f t="shared" si="40"/>
        <v>9.9604847176766084E-2</v>
      </c>
      <c r="CA149">
        <f t="shared" si="41"/>
        <v>0.4461985578408646</v>
      </c>
      <c r="CB149">
        <f t="shared" si="42"/>
        <v>1.4933588878908215</v>
      </c>
    </row>
    <row r="150" spans="1:80" x14ac:dyDescent="0.45">
      <c r="A150" s="11">
        <v>41</v>
      </c>
      <c r="B150" s="12">
        <f t="shared" si="30"/>
        <v>41</v>
      </c>
      <c r="C150" s="12" t="s">
        <v>59</v>
      </c>
      <c r="D150" s="12">
        <v>0</v>
      </c>
      <c r="E150" s="12" t="s">
        <v>53</v>
      </c>
      <c r="F150" s="12">
        <v>0</v>
      </c>
      <c r="G150" s="12">
        <v>1</v>
      </c>
      <c r="H150" s="12" t="s">
        <v>61</v>
      </c>
      <c r="I150" s="12">
        <v>1</v>
      </c>
      <c r="J150" s="12">
        <v>0</v>
      </c>
      <c r="K150" s="12">
        <v>9</v>
      </c>
      <c r="L150" s="12">
        <f t="shared" si="31"/>
        <v>9</v>
      </c>
      <c r="M150" s="12">
        <v>4</v>
      </c>
      <c r="N150" s="12" t="s">
        <v>55</v>
      </c>
      <c r="O150" s="12">
        <v>1</v>
      </c>
      <c r="P150" s="12">
        <v>0</v>
      </c>
      <c r="Q150" s="12">
        <v>0</v>
      </c>
      <c r="R150" s="12">
        <v>0</v>
      </c>
      <c r="S150" s="12">
        <v>0</v>
      </c>
      <c r="T150" s="12">
        <v>3</v>
      </c>
      <c r="U150" s="12" t="s">
        <v>62</v>
      </c>
      <c r="V150" s="12">
        <v>0</v>
      </c>
      <c r="W150" s="12">
        <v>94</v>
      </c>
      <c r="X150" s="12">
        <v>3</v>
      </c>
      <c r="Y150" s="12">
        <v>1</v>
      </c>
      <c r="Z150" s="12" t="s">
        <v>67</v>
      </c>
      <c r="AA150" s="12">
        <v>0</v>
      </c>
      <c r="AB150" s="12">
        <v>0</v>
      </c>
      <c r="AC150" s="12">
        <v>1</v>
      </c>
      <c r="AD150" s="12">
        <v>0</v>
      </c>
      <c r="AE150" s="12">
        <v>0</v>
      </c>
      <c r="AF150" s="12">
        <v>0</v>
      </c>
      <c r="AG150" s="12">
        <v>0</v>
      </c>
      <c r="AH150" s="12">
        <v>0</v>
      </c>
      <c r="AI150" s="12">
        <v>1</v>
      </c>
      <c r="AJ150" s="12" t="s">
        <v>64</v>
      </c>
      <c r="AK150" s="12">
        <v>0</v>
      </c>
      <c r="AL150" s="12">
        <v>1</v>
      </c>
      <c r="AM150" s="12">
        <v>2238</v>
      </c>
      <c r="AN150" s="12">
        <f t="shared" si="32"/>
        <v>2238</v>
      </c>
      <c r="AO150" s="12">
        <v>2</v>
      </c>
      <c r="AP150" s="12" t="s">
        <v>59</v>
      </c>
      <c r="AQ150" s="12">
        <v>0</v>
      </c>
      <c r="AR150" s="12">
        <v>21</v>
      </c>
      <c r="AS150" s="12">
        <v>4</v>
      </c>
      <c r="AT150" s="12">
        <v>4</v>
      </c>
      <c r="AU150" s="12">
        <v>1</v>
      </c>
      <c r="AV150" s="12">
        <v>7</v>
      </c>
      <c r="AW150" s="12">
        <f t="shared" si="33"/>
        <v>7</v>
      </c>
      <c r="AX150" s="12">
        <v>2</v>
      </c>
      <c r="AY150" s="12">
        <v>3</v>
      </c>
      <c r="AZ150" s="12">
        <v>5</v>
      </c>
      <c r="BA150" s="12">
        <f t="shared" si="34"/>
        <v>5</v>
      </c>
      <c r="BB150" s="12">
        <v>0</v>
      </c>
      <c r="BC150" s="12">
        <v>1</v>
      </c>
      <c r="BD150" s="12">
        <f t="shared" si="43"/>
        <v>1</v>
      </c>
      <c r="BE150" s="12">
        <v>4</v>
      </c>
      <c r="BF150" s="12">
        <f t="shared" si="35"/>
        <v>4</v>
      </c>
      <c r="BG150" s="12">
        <f t="shared" si="44"/>
        <v>4</v>
      </c>
      <c r="BH150" s="67">
        <v>0</v>
      </c>
      <c r="BI150" s="67">
        <v>1</v>
      </c>
      <c r="BJ150" s="67">
        <v>0</v>
      </c>
      <c r="BK150" s="67">
        <v>0</v>
      </c>
      <c r="BL150" s="67">
        <v>0</v>
      </c>
      <c r="BM150" s="67">
        <v>0</v>
      </c>
      <c r="BN150" s="67">
        <v>1</v>
      </c>
      <c r="BO150" s="67">
        <v>0</v>
      </c>
      <c r="BP150" s="67">
        <v>0</v>
      </c>
      <c r="BQ150" s="67">
        <v>4</v>
      </c>
      <c r="BR150" s="67">
        <v>0</v>
      </c>
      <c r="BS150" s="67">
        <v>0</v>
      </c>
      <c r="BT150" s="67">
        <v>7</v>
      </c>
      <c r="BU150" s="70">
        <v>0</v>
      </c>
      <c r="BV150" s="29">
        <f t="shared" si="36"/>
        <v>0.90589856470826369</v>
      </c>
      <c r="BW150">
        <f t="shared" si="37"/>
        <v>3.4508002929560584E-2</v>
      </c>
      <c r="BX150">
        <f t="shared" si="38"/>
        <v>0.55002080963175637</v>
      </c>
      <c r="BY150">
        <f t="shared" si="39"/>
        <v>0.32778177112653761</v>
      </c>
      <c r="BZ150">
        <f t="shared" si="40"/>
        <v>2.3747406698420157E-2</v>
      </c>
      <c r="CA150">
        <f t="shared" si="41"/>
        <v>0.4461985578408646</v>
      </c>
      <c r="CB150">
        <f t="shared" si="42"/>
        <v>0.36858985273641137</v>
      </c>
    </row>
    <row r="151" spans="1:80" x14ac:dyDescent="0.45">
      <c r="A151" s="11">
        <v>19</v>
      </c>
      <c r="B151" s="12">
        <f t="shared" si="30"/>
        <v>19</v>
      </c>
      <c r="C151" s="12" t="s">
        <v>59</v>
      </c>
      <c r="D151" s="12">
        <v>0</v>
      </c>
      <c r="E151" s="12" t="s">
        <v>53</v>
      </c>
      <c r="F151" s="12">
        <v>0</v>
      </c>
      <c r="G151" s="12">
        <v>1</v>
      </c>
      <c r="H151" s="12" t="s">
        <v>61</v>
      </c>
      <c r="I151" s="12">
        <v>1</v>
      </c>
      <c r="J151" s="12">
        <v>0</v>
      </c>
      <c r="K151" s="12">
        <v>3</v>
      </c>
      <c r="L151" s="12">
        <f t="shared" si="31"/>
        <v>3</v>
      </c>
      <c r="M151" s="12">
        <v>1</v>
      </c>
      <c r="N151" s="12" t="s">
        <v>70</v>
      </c>
      <c r="O151" s="12">
        <v>0</v>
      </c>
      <c r="P151" s="12">
        <v>0</v>
      </c>
      <c r="Q151" s="12">
        <v>1</v>
      </c>
      <c r="R151" s="12">
        <v>0</v>
      </c>
      <c r="S151" s="12">
        <v>0</v>
      </c>
      <c r="T151" s="12">
        <v>2</v>
      </c>
      <c r="U151" s="12" t="s">
        <v>19</v>
      </c>
      <c r="V151" s="12">
        <v>1</v>
      </c>
      <c r="W151" s="12">
        <v>79</v>
      </c>
      <c r="X151" s="12">
        <v>3</v>
      </c>
      <c r="Y151" s="12">
        <v>1</v>
      </c>
      <c r="Z151" s="12" t="s">
        <v>67</v>
      </c>
      <c r="AA151" s="12">
        <v>0</v>
      </c>
      <c r="AB151" s="12">
        <v>0</v>
      </c>
      <c r="AC151" s="12">
        <v>1</v>
      </c>
      <c r="AD151" s="12">
        <v>0</v>
      </c>
      <c r="AE151" s="12">
        <v>0</v>
      </c>
      <c r="AF151" s="12">
        <v>0</v>
      </c>
      <c r="AG151" s="12">
        <v>0</v>
      </c>
      <c r="AH151" s="12">
        <v>0</v>
      </c>
      <c r="AI151" s="12">
        <v>2</v>
      </c>
      <c r="AJ151" s="12" t="s">
        <v>57</v>
      </c>
      <c r="AK151" s="12">
        <v>1</v>
      </c>
      <c r="AL151" s="12">
        <v>0</v>
      </c>
      <c r="AM151" s="12">
        <v>1483</v>
      </c>
      <c r="AN151" s="12">
        <f t="shared" si="32"/>
        <v>1483</v>
      </c>
      <c r="AO151" s="12">
        <v>1</v>
      </c>
      <c r="AP151" s="12" t="s">
        <v>59</v>
      </c>
      <c r="AQ151" s="12">
        <v>0</v>
      </c>
      <c r="AR151" s="12">
        <v>14</v>
      </c>
      <c r="AS151" s="12">
        <v>3</v>
      </c>
      <c r="AT151" s="12">
        <v>4</v>
      </c>
      <c r="AU151" s="12">
        <v>0</v>
      </c>
      <c r="AV151" s="12">
        <v>1</v>
      </c>
      <c r="AW151" s="12">
        <f t="shared" si="33"/>
        <v>1</v>
      </c>
      <c r="AX151" s="12">
        <v>3</v>
      </c>
      <c r="AY151" s="12">
        <v>3</v>
      </c>
      <c r="AZ151" s="12">
        <v>1</v>
      </c>
      <c r="BA151" s="12">
        <f t="shared" si="34"/>
        <v>1</v>
      </c>
      <c r="BB151" s="12">
        <v>0</v>
      </c>
      <c r="BC151" s="12">
        <v>0</v>
      </c>
      <c r="BD151" s="12">
        <f t="shared" si="43"/>
        <v>0</v>
      </c>
      <c r="BE151" s="12">
        <v>0</v>
      </c>
      <c r="BF151" s="12">
        <f t="shared" si="35"/>
        <v>0</v>
      </c>
      <c r="BG151" s="12">
        <f t="shared" si="44"/>
        <v>0</v>
      </c>
      <c r="BH151" s="67">
        <v>1</v>
      </c>
      <c r="BI151" s="67">
        <v>0</v>
      </c>
      <c r="BJ151" s="67">
        <v>0</v>
      </c>
      <c r="BK151" s="67">
        <v>0</v>
      </c>
      <c r="BL151" s="67">
        <v>1</v>
      </c>
      <c r="BM151" s="67">
        <v>0</v>
      </c>
      <c r="BN151" s="67">
        <v>0</v>
      </c>
      <c r="BO151" s="67">
        <v>0</v>
      </c>
      <c r="BP151" s="67">
        <v>0</v>
      </c>
      <c r="BQ151" s="67">
        <v>0</v>
      </c>
      <c r="BR151" s="67">
        <v>0</v>
      </c>
      <c r="BS151" s="67">
        <v>0</v>
      </c>
      <c r="BT151" s="67">
        <v>1</v>
      </c>
      <c r="BU151" s="70">
        <v>0</v>
      </c>
      <c r="BV151" s="29">
        <f t="shared" si="36"/>
        <v>1.0662653723880879</v>
      </c>
      <c r="BW151">
        <f t="shared" si="37"/>
        <v>1.1555414682655611</v>
      </c>
      <c r="BX151">
        <f t="shared" si="38"/>
        <v>1.3211515584717011</v>
      </c>
      <c r="BY151">
        <f t="shared" si="39"/>
        <v>0.9806804209314296</v>
      </c>
      <c r="BZ151">
        <f t="shared" si="40"/>
        <v>0.76386092994953758</v>
      </c>
      <c r="CA151">
        <f t="shared" si="41"/>
        <v>1.9620226305058581</v>
      </c>
      <c r="CB151">
        <f t="shared" si="42"/>
        <v>0.67891464284095016</v>
      </c>
    </row>
    <row r="152" spans="1:80" x14ac:dyDescent="0.45">
      <c r="A152" s="11">
        <v>40</v>
      </c>
      <c r="B152" s="12">
        <f t="shared" si="30"/>
        <v>40</v>
      </c>
      <c r="C152" s="12" t="s">
        <v>59</v>
      </c>
      <c r="D152" s="12">
        <v>0</v>
      </c>
      <c r="E152" s="12" t="s">
        <v>60</v>
      </c>
      <c r="F152" s="12">
        <v>1</v>
      </c>
      <c r="G152" s="12">
        <v>0</v>
      </c>
      <c r="H152" s="12" t="s">
        <v>61</v>
      </c>
      <c r="I152" s="12">
        <v>1</v>
      </c>
      <c r="J152" s="12">
        <v>0</v>
      </c>
      <c r="K152" s="12">
        <v>26</v>
      </c>
      <c r="L152" s="12">
        <f t="shared" si="31"/>
        <v>26</v>
      </c>
      <c r="M152" s="12">
        <v>3</v>
      </c>
      <c r="N152" s="12" t="s">
        <v>70</v>
      </c>
      <c r="O152" s="12">
        <v>0</v>
      </c>
      <c r="P152" s="12">
        <v>0</v>
      </c>
      <c r="Q152" s="12">
        <v>1</v>
      </c>
      <c r="R152" s="12">
        <v>0</v>
      </c>
      <c r="S152" s="12">
        <v>0</v>
      </c>
      <c r="T152" s="12">
        <v>2</v>
      </c>
      <c r="U152" s="12" t="s">
        <v>19</v>
      </c>
      <c r="V152" s="12">
        <v>1</v>
      </c>
      <c r="W152" s="12">
        <v>54</v>
      </c>
      <c r="X152" s="12">
        <v>3</v>
      </c>
      <c r="Y152" s="12">
        <v>2</v>
      </c>
      <c r="Z152" s="12" t="s">
        <v>63</v>
      </c>
      <c r="AA152" s="12">
        <v>0</v>
      </c>
      <c r="AB152" s="12">
        <v>0</v>
      </c>
      <c r="AC152" s="12">
        <v>0</v>
      </c>
      <c r="AD152" s="12">
        <v>0</v>
      </c>
      <c r="AE152" s="12">
        <v>0</v>
      </c>
      <c r="AF152" s="12">
        <v>0</v>
      </c>
      <c r="AG152" s="12">
        <v>0</v>
      </c>
      <c r="AH152" s="12">
        <v>1</v>
      </c>
      <c r="AI152" s="12">
        <v>2</v>
      </c>
      <c r="AJ152" s="12" t="s">
        <v>78</v>
      </c>
      <c r="AK152" s="12">
        <v>0</v>
      </c>
      <c r="AL152" s="12">
        <v>0</v>
      </c>
      <c r="AM152" s="12">
        <v>5605</v>
      </c>
      <c r="AN152" s="12">
        <f t="shared" si="32"/>
        <v>5605</v>
      </c>
      <c r="AO152" s="12">
        <v>1</v>
      </c>
      <c r="AP152" s="12" t="s">
        <v>59</v>
      </c>
      <c r="AQ152" s="12">
        <v>0</v>
      </c>
      <c r="AR152" s="12">
        <v>11</v>
      </c>
      <c r="AS152" s="12">
        <v>3</v>
      </c>
      <c r="AT152" s="12">
        <v>1</v>
      </c>
      <c r="AU152" s="12">
        <v>1</v>
      </c>
      <c r="AV152" s="12">
        <v>20</v>
      </c>
      <c r="AW152" s="12">
        <f t="shared" si="33"/>
        <v>20</v>
      </c>
      <c r="AX152" s="12">
        <v>2</v>
      </c>
      <c r="AY152" s="12">
        <v>3</v>
      </c>
      <c r="AZ152" s="12">
        <v>20</v>
      </c>
      <c r="BA152" s="12">
        <f t="shared" si="34"/>
        <v>20</v>
      </c>
      <c r="BB152" s="12">
        <v>7</v>
      </c>
      <c r="BC152" s="12">
        <v>2</v>
      </c>
      <c r="BD152" s="12">
        <f t="shared" si="43"/>
        <v>2</v>
      </c>
      <c r="BE152" s="12">
        <v>13</v>
      </c>
      <c r="BF152" s="12">
        <f t="shared" si="35"/>
        <v>13</v>
      </c>
      <c r="BG152" s="12">
        <f t="shared" si="44"/>
        <v>26</v>
      </c>
      <c r="BH152" s="67">
        <v>0</v>
      </c>
      <c r="BI152" s="67">
        <v>0</v>
      </c>
      <c r="BJ152" s="67">
        <v>1</v>
      </c>
      <c r="BK152" s="67">
        <v>0</v>
      </c>
      <c r="BL152" s="67">
        <v>1</v>
      </c>
      <c r="BM152" s="67">
        <v>0</v>
      </c>
      <c r="BN152" s="67">
        <v>0</v>
      </c>
      <c r="BO152" s="67">
        <v>0</v>
      </c>
      <c r="BP152" s="67">
        <v>0</v>
      </c>
      <c r="BQ152" s="67">
        <v>13</v>
      </c>
      <c r="BR152" s="67">
        <v>0</v>
      </c>
      <c r="BS152" s="67">
        <v>0</v>
      </c>
      <c r="BT152" s="67">
        <v>20</v>
      </c>
      <c r="BU152" s="70">
        <v>0</v>
      </c>
      <c r="BV152" s="29">
        <f t="shared" si="36"/>
        <v>0.19072632436658393</v>
      </c>
      <c r="BW152">
        <f t="shared" si="37"/>
        <v>2.4878172940764407</v>
      </c>
      <c r="BX152">
        <f t="shared" si="38"/>
        <v>1.120762479521457</v>
      </c>
      <c r="BY152">
        <f t="shared" si="39"/>
        <v>2.1205881656418071</v>
      </c>
      <c r="BZ152">
        <f t="shared" si="40"/>
        <v>2.0732409091797459</v>
      </c>
      <c r="CA152">
        <f t="shared" si="41"/>
        <v>0.33673395837055903</v>
      </c>
      <c r="CB152">
        <f t="shared" si="42"/>
        <v>5.8265062631872602E-2</v>
      </c>
    </row>
    <row r="153" spans="1:80" x14ac:dyDescent="0.45">
      <c r="A153" s="11">
        <v>35</v>
      </c>
      <c r="B153" s="12">
        <f t="shared" si="30"/>
        <v>35</v>
      </c>
      <c r="C153" s="12" t="s">
        <v>59</v>
      </c>
      <c r="D153" s="12">
        <v>0</v>
      </c>
      <c r="E153" s="12" t="s">
        <v>53</v>
      </c>
      <c r="F153" s="12">
        <v>0</v>
      </c>
      <c r="G153" s="12">
        <v>1</v>
      </c>
      <c r="H153" s="12" t="s">
        <v>54</v>
      </c>
      <c r="I153" s="12">
        <v>0</v>
      </c>
      <c r="J153" s="12">
        <v>1</v>
      </c>
      <c r="K153" s="12">
        <v>1</v>
      </c>
      <c r="L153" s="12">
        <f t="shared" si="31"/>
        <v>1</v>
      </c>
      <c r="M153" s="12">
        <v>5</v>
      </c>
      <c r="N153" s="12" t="s">
        <v>90</v>
      </c>
      <c r="O153" s="12">
        <v>0</v>
      </c>
      <c r="P153" s="12">
        <v>0</v>
      </c>
      <c r="Q153" s="12">
        <v>0</v>
      </c>
      <c r="R153" s="12">
        <v>1</v>
      </c>
      <c r="S153" s="12">
        <v>0</v>
      </c>
      <c r="T153" s="12">
        <v>3</v>
      </c>
      <c r="U153" s="12" t="s">
        <v>62</v>
      </c>
      <c r="V153" s="12">
        <v>0</v>
      </c>
      <c r="W153" s="12">
        <v>94</v>
      </c>
      <c r="X153" s="12">
        <v>3</v>
      </c>
      <c r="Y153" s="12">
        <v>3</v>
      </c>
      <c r="Z153" s="12" t="s">
        <v>56</v>
      </c>
      <c r="AA153" s="12">
        <v>0</v>
      </c>
      <c r="AB153" s="12">
        <v>1</v>
      </c>
      <c r="AC153" s="12">
        <v>0</v>
      </c>
      <c r="AD153" s="12">
        <v>0</v>
      </c>
      <c r="AE153" s="12">
        <v>0</v>
      </c>
      <c r="AF153" s="12">
        <v>0</v>
      </c>
      <c r="AG153" s="12">
        <v>0</v>
      </c>
      <c r="AH153" s="12">
        <v>0</v>
      </c>
      <c r="AI153" s="12">
        <v>2</v>
      </c>
      <c r="AJ153" s="12" t="s">
        <v>64</v>
      </c>
      <c r="AK153" s="12">
        <v>0</v>
      </c>
      <c r="AL153" s="12">
        <v>1</v>
      </c>
      <c r="AM153" s="12">
        <v>7295</v>
      </c>
      <c r="AN153" s="12">
        <f t="shared" si="32"/>
        <v>7295</v>
      </c>
      <c r="AO153" s="12">
        <v>1</v>
      </c>
      <c r="AP153" s="12" t="s">
        <v>59</v>
      </c>
      <c r="AQ153" s="12">
        <v>0</v>
      </c>
      <c r="AR153" s="12">
        <v>13</v>
      </c>
      <c r="AS153" s="12">
        <v>3</v>
      </c>
      <c r="AT153" s="12">
        <v>1</v>
      </c>
      <c r="AU153" s="12">
        <v>2</v>
      </c>
      <c r="AV153" s="12">
        <v>10</v>
      </c>
      <c r="AW153" s="12">
        <f t="shared" si="33"/>
        <v>10</v>
      </c>
      <c r="AX153" s="12">
        <v>3</v>
      </c>
      <c r="AY153" s="12">
        <v>3</v>
      </c>
      <c r="AZ153" s="12">
        <v>10</v>
      </c>
      <c r="BA153" s="12">
        <f t="shared" si="34"/>
        <v>10</v>
      </c>
      <c r="BB153" s="12">
        <v>8</v>
      </c>
      <c r="BC153" s="12">
        <v>0</v>
      </c>
      <c r="BD153" s="12">
        <f t="shared" si="43"/>
        <v>0</v>
      </c>
      <c r="BE153" s="12">
        <v>6</v>
      </c>
      <c r="BF153" s="12">
        <f t="shared" si="35"/>
        <v>6</v>
      </c>
      <c r="BG153" s="12">
        <f t="shared" si="44"/>
        <v>18</v>
      </c>
      <c r="BH153" s="67">
        <v>0</v>
      </c>
      <c r="BI153" s="67">
        <v>1</v>
      </c>
      <c r="BJ153" s="67">
        <v>0</v>
      </c>
      <c r="BK153" s="67">
        <v>0</v>
      </c>
      <c r="BL153" s="67">
        <v>0</v>
      </c>
      <c r="BM153" s="67">
        <v>0</v>
      </c>
      <c r="BN153" s="67">
        <v>1</v>
      </c>
      <c r="BO153" s="67">
        <v>0</v>
      </c>
      <c r="BP153" s="67">
        <v>0</v>
      </c>
      <c r="BQ153" s="67">
        <v>0</v>
      </c>
      <c r="BR153" s="67">
        <v>6</v>
      </c>
      <c r="BS153" s="67">
        <v>0</v>
      </c>
      <c r="BT153" s="67">
        <v>0</v>
      </c>
      <c r="BU153" s="70">
        <v>10</v>
      </c>
      <c r="BV153" s="29">
        <f t="shared" si="36"/>
        <v>0.16824043719487694</v>
      </c>
      <c r="BW153">
        <f t="shared" si="37"/>
        <v>0.52600872973843971</v>
      </c>
      <c r="BX153">
        <f t="shared" si="38"/>
        <v>0.1644554352117841</v>
      </c>
      <c r="BY153">
        <f t="shared" si="39"/>
        <v>0.48834154112957734</v>
      </c>
      <c r="BZ153">
        <f t="shared" si="40"/>
        <v>1.01056543769991</v>
      </c>
      <c r="CA153">
        <f t="shared" si="41"/>
        <v>0.21058903898096887</v>
      </c>
      <c r="CB153">
        <f t="shared" si="42"/>
        <v>0.67891464284095016</v>
      </c>
    </row>
    <row r="154" spans="1:80" x14ac:dyDescent="0.45">
      <c r="A154" s="11">
        <v>53</v>
      </c>
      <c r="B154" s="12">
        <f t="shared" si="30"/>
        <v>53</v>
      </c>
      <c r="C154" s="12" t="s">
        <v>59</v>
      </c>
      <c r="D154" s="12">
        <v>0</v>
      </c>
      <c r="E154" s="12" t="s">
        <v>53</v>
      </c>
      <c r="F154" s="12">
        <v>0</v>
      </c>
      <c r="G154" s="12">
        <v>1</v>
      </c>
      <c r="H154" s="12" t="s">
        <v>54</v>
      </c>
      <c r="I154" s="12">
        <v>0</v>
      </c>
      <c r="J154" s="12">
        <v>1</v>
      </c>
      <c r="K154" s="12">
        <v>6</v>
      </c>
      <c r="L154" s="12">
        <f t="shared" si="31"/>
        <v>6</v>
      </c>
      <c r="M154" s="12">
        <v>2</v>
      </c>
      <c r="N154" s="12" t="s">
        <v>90</v>
      </c>
      <c r="O154" s="12">
        <v>0</v>
      </c>
      <c r="P154" s="12">
        <v>0</v>
      </c>
      <c r="Q154" s="12">
        <v>0</v>
      </c>
      <c r="R154" s="12">
        <v>1</v>
      </c>
      <c r="S154" s="12">
        <v>0</v>
      </c>
      <c r="T154" s="12">
        <v>2</v>
      </c>
      <c r="U154" s="12" t="s">
        <v>62</v>
      </c>
      <c r="V154" s="12">
        <v>0</v>
      </c>
      <c r="W154" s="12">
        <v>34</v>
      </c>
      <c r="X154" s="12">
        <v>3</v>
      </c>
      <c r="Y154" s="12">
        <v>2</v>
      </c>
      <c r="Z154" s="12" t="s">
        <v>88</v>
      </c>
      <c r="AA154" s="12">
        <v>0</v>
      </c>
      <c r="AB154" s="12">
        <v>0</v>
      </c>
      <c r="AC154" s="12">
        <v>0</v>
      </c>
      <c r="AD154" s="12">
        <v>0</v>
      </c>
      <c r="AE154" s="12">
        <v>0</v>
      </c>
      <c r="AF154" s="12">
        <v>0</v>
      </c>
      <c r="AG154" s="12">
        <v>1</v>
      </c>
      <c r="AH154" s="12">
        <v>0</v>
      </c>
      <c r="AI154" s="12">
        <v>3</v>
      </c>
      <c r="AJ154" s="12" t="s">
        <v>64</v>
      </c>
      <c r="AK154" s="12">
        <v>0</v>
      </c>
      <c r="AL154" s="12">
        <v>1</v>
      </c>
      <c r="AM154" s="12">
        <v>2306</v>
      </c>
      <c r="AN154" s="12">
        <f t="shared" si="32"/>
        <v>2306</v>
      </c>
      <c r="AO154" s="12">
        <v>2</v>
      </c>
      <c r="AP154" s="12" t="s">
        <v>52</v>
      </c>
      <c r="AQ154" s="12">
        <v>1</v>
      </c>
      <c r="AR154" s="12">
        <v>20</v>
      </c>
      <c r="AS154" s="12">
        <v>4</v>
      </c>
      <c r="AT154" s="12">
        <v>4</v>
      </c>
      <c r="AU154" s="12">
        <v>1</v>
      </c>
      <c r="AV154" s="12">
        <v>13</v>
      </c>
      <c r="AW154" s="12">
        <f t="shared" si="33"/>
        <v>13</v>
      </c>
      <c r="AX154" s="12">
        <v>3</v>
      </c>
      <c r="AY154" s="12">
        <v>1</v>
      </c>
      <c r="AZ154" s="12">
        <v>7</v>
      </c>
      <c r="BA154" s="12">
        <f t="shared" si="34"/>
        <v>7</v>
      </c>
      <c r="BB154" s="12">
        <v>7</v>
      </c>
      <c r="BC154" s="12">
        <v>4</v>
      </c>
      <c r="BD154" s="12">
        <f t="shared" si="43"/>
        <v>4</v>
      </c>
      <c r="BE154" s="12">
        <v>5</v>
      </c>
      <c r="BF154" s="12">
        <f t="shared" si="35"/>
        <v>5</v>
      </c>
      <c r="BG154" s="12">
        <f t="shared" si="44"/>
        <v>10</v>
      </c>
      <c r="BH154" s="67">
        <v>0</v>
      </c>
      <c r="BI154" s="67">
        <v>1</v>
      </c>
      <c r="BJ154" s="67">
        <v>0</v>
      </c>
      <c r="BK154" s="67">
        <v>0</v>
      </c>
      <c r="BL154" s="67">
        <v>0</v>
      </c>
      <c r="BM154" s="67">
        <v>0</v>
      </c>
      <c r="BN154" s="67">
        <v>0</v>
      </c>
      <c r="BO154" s="67">
        <v>1</v>
      </c>
      <c r="BP154" s="67">
        <v>0</v>
      </c>
      <c r="BQ154" s="67">
        <v>0</v>
      </c>
      <c r="BR154" s="67">
        <v>5</v>
      </c>
      <c r="BS154" s="67">
        <v>0</v>
      </c>
      <c r="BT154" s="67">
        <v>0</v>
      </c>
      <c r="BU154" s="70">
        <v>13</v>
      </c>
      <c r="BV154" s="29">
        <f t="shared" si="36"/>
        <v>0.89145493169869006</v>
      </c>
      <c r="BW154">
        <f t="shared" si="37"/>
        <v>0.24575036340443959</v>
      </c>
      <c r="BX154">
        <f t="shared" si="38"/>
        <v>0.22110993920818819</v>
      </c>
      <c r="BY154">
        <f t="shared" si="39"/>
        <v>1.3324462240916321E-3</v>
      </c>
      <c r="BZ154">
        <f t="shared" si="40"/>
        <v>0.39380416832397891</v>
      </c>
      <c r="CA154">
        <f t="shared" si="41"/>
        <v>1.7597737514845315</v>
      </c>
      <c r="CB154">
        <f t="shared" si="42"/>
        <v>0.56238451757720498</v>
      </c>
    </row>
    <row r="155" spans="1:80" x14ac:dyDescent="0.45">
      <c r="A155" s="11">
        <v>45</v>
      </c>
      <c r="B155" s="12">
        <f t="shared" si="30"/>
        <v>45</v>
      </c>
      <c r="C155" s="12" t="s">
        <v>59</v>
      </c>
      <c r="D155" s="12">
        <v>0</v>
      </c>
      <c r="E155" s="12" t="s">
        <v>53</v>
      </c>
      <c r="F155" s="12">
        <v>0</v>
      </c>
      <c r="G155" s="12">
        <v>1</v>
      </c>
      <c r="H155" s="12" t="s">
        <v>61</v>
      </c>
      <c r="I155" s="12">
        <v>1</v>
      </c>
      <c r="J155" s="12">
        <v>0</v>
      </c>
      <c r="K155" s="12">
        <v>9</v>
      </c>
      <c r="L155" s="12">
        <f t="shared" si="31"/>
        <v>9</v>
      </c>
      <c r="M155" s="12">
        <v>3</v>
      </c>
      <c r="N155" s="12" t="s">
        <v>55</v>
      </c>
      <c r="O155" s="12">
        <v>1</v>
      </c>
      <c r="P155" s="12">
        <v>0</v>
      </c>
      <c r="Q155" s="12">
        <v>0</v>
      </c>
      <c r="R155" s="12">
        <v>0</v>
      </c>
      <c r="S155" s="12">
        <v>0</v>
      </c>
      <c r="T155" s="12">
        <v>2</v>
      </c>
      <c r="U155" s="12" t="s">
        <v>62</v>
      </c>
      <c r="V155" s="12">
        <v>0</v>
      </c>
      <c r="W155" s="12">
        <v>60</v>
      </c>
      <c r="X155" s="12">
        <v>3</v>
      </c>
      <c r="Y155" s="12">
        <v>2</v>
      </c>
      <c r="Z155" s="12" t="s">
        <v>67</v>
      </c>
      <c r="AA155" s="12">
        <v>0</v>
      </c>
      <c r="AB155" s="12">
        <v>0</v>
      </c>
      <c r="AC155" s="12">
        <v>1</v>
      </c>
      <c r="AD155" s="12">
        <v>0</v>
      </c>
      <c r="AE155" s="12">
        <v>0</v>
      </c>
      <c r="AF155" s="12">
        <v>0</v>
      </c>
      <c r="AG155" s="12">
        <v>0</v>
      </c>
      <c r="AH155" s="12">
        <v>0</v>
      </c>
      <c r="AI155" s="12">
        <v>2</v>
      </c>
      <c r="AJ155" s="12" t="s">
        <v>78</v>
      </c>
      <c r="AK155" s="12">
        <v>0</v>
      </c>
      <c r="AL155" s="12">
        <v>0</v>
      </c>
      <c r="AM155" s="12">
        <v>2348</v>
      </c>
      <c r="AN155" s="12">
        <f t="shared" si="32"/>
        <v>2348</v>
      </c>
      <c r="AO155" s="12">
        <v>8</v>
      </c>
      <c r="AP155" s="12" t="s">
        <v>59</v>
      </c>
      <c r="AQ155" s="12">
        <v>0</v>
      </c>
      <c r="AR155" s="12">
        <v>18</v>
      </c>
      <c r="AS155" s="12">
        <v>3</v>
      </c>
      <c r="AT155" s="12">
        <v>3</v>
      </c>
      <c r="AU155" s="12">
        <v>1</v>
      </c>
      <c r="AV155" s="12">
        <v>20</v>
      </c>
      <c r="AW155" s="12">
        <f t="shared" si="33"/>
        <v>20</v>
      </c>
      <c r="AX155" s="12">
        <v>2</v>
      </c>
      <c r="AY155" s="12">
        <v>1</v>
      </c>
      <c r="AZ155" s="12">
        <v>17</v>
      </c>
      <c r="BA155" s="12">
        <f t="shared" si="34"/>
        <v>17</v>
      </c>
      <c r="BB155" s="12">
        <v>9</v>
      </c>
      <c r="BC155" s="12">
        <v>0</v>
      </c>
      <c r="BD155" s="12">
        <f t="shared" si="43"/>
        <v>0</v>
      </c>
      <c r="BE155" s="12">
        <v>15</v>
      </c>
      <c r="BF155" s="12">
        <f t="shared" si="35"/>
        <v>14</v>
      </c>
      <c r="BG155" s="12">
        <f t="shared" si="44"/>
        <v>28</v>
      </c>
      <c r="BH155" s="67">
        <v>1</v>
      </c>
      <c r="BI155" s="67">
        <v>0</v>
      </c>
      <c r="BJ155" s="67">
        <v>0</v>
      </c>
      <c r="BK155" s="67">
        <v>0</v>
      </c>
      <c r="BL155" s="67">
        <v>1</v>
      </c>
      <c r="BM155" s="67">
        <v>0</v>
      </c>
      <c r="BN155" s="67">
        <v>0</v>
      </c>
      <c r="BO155" s="67">
        <v>0</v>
      </c>
      <c r="BP155" s="67">
        <v>0</v>
      </c>
      <c r="BQ155" s="67">
        <v>14</v>
      </c>
      <c r="BR155" s="67">
        <v>0</v>
      </c>
      <c r="BS155" s="67">
        <v>0</v>
      </c>
      <c r="BT155" s="67">
        <v>20</v>
      </c>
      <c r="BU155" s="70">
        <v>0</v>
      </c>
      <c r="BV155" s="29">
        <f t="shared" si="36"/>
        <v>0.88253386425160052</v>
      </c>
      <c r="BW155">
        <f t="shared" si="37"/>
        <v>3.048334026744441</v>
      </c>
      <c r="BX155">
        <f t="shared" si="38"/>
        <v>1.120762479521457</v>
      </c>
      <c r="BY155">
        <f t="shared" si="39"/>
        <v>1.630914178288138</v>
      </c>
      <c r="BZ155">
        <f t="shared" si="40"/>
        <v>2.3747406698420157E-2</v>
      </c>
      <c r="CA155">
        <f t="shared" si="41"/>
        <v>0.88405695572208698</v>
      </c>
      <c r="CB155">
        <f t="shared" si="42"/>
        <v>0.67891464284095016</v>
      </c>
    </row>
    <row r="156" spans="1:80" x14ac:dyDescent="0.45">
      <c r="A156" s="11">
        <v>32</v>
      </c>
      <c r="B156" s="12">
        <f t="shared" si="30"/>
        <v>32</v>
      </c>
      <c r="C156" s="12" t="s">
        <v>59</v>
      </c>
      <c r="D156" s="12">
        <v>0</v>
      </c>
      <c r="E156" s="12" t="s">
        <v>60</v>
      </c>
      <c r="F156" s="12">
        <v>1</v>
      </c>
      <c r="G156" s="12">
        <v>0</v>
      </c>
      <c r="H156" s="12" t="s">
        <v>54</v>
      </c>
      <c r="I156" s="12">
        <v>0</v>
      </c>
      <c r="J156" s="12">
        <v>1</v>
      </c>
      <c r="K156" s="12">
        <v>8</v>
      </c>
      <c r="L156" s="12">
        <f t="shared" si="31"/>
        <v>8</v>
      </c>
      <c r="M156" s="12">
        <v>3</v>
      </c>
      <c r="N156" s="12" t="s">
        <v>90</v>
      </c>
      <c r="O156" s="12">
        <v>0</v>
      </c>
      <c r="P156" s="12">
        <v>0</v>
      </c>
      <c r="Q156" s="12">
        <v>0</v>
      </c>
      <c r="R156" s="12">
        <v>1</v>
      </c>
      <c r="S156" s="12">
        <v>0</v>
      </c>
      <c r="T156" s="12">
        <v>2</v>
      </c>
      <c r="U156" s="12" t="s">
        <v>19</v>
      </c>
      <c r="V156" s="12">
        <v>1</v>
      </c>
      <c r="W156" s="12">
        <v>43</v>
      </c>
      <c r="X156" s="12">
        <v>3</v>
      </c>
      <c r="Y156" s="12">
        <v>3</v>
      </c>
      <c r="Z156" s="12" t="s">
        <v>56</v>
      </c>
      <c r="AA156" s="12">
        <v>0</v>
      </c>
      <c r="AB156" s="12">
        <v>1</v>
      </c>
      <c r="AC156" s="12">
        <v>0</v>
      </c>
      <c r="AD156" s="12">
        <v>0</v>
      </c>
      <c r="AE156" s="12">
        <v>0</v>
      </c>
      <c r="AF156" s="12">
        <v>0</v>
      </c>
      <c r="AG156" s="12">
        <v>0</v>
      </c>
      <c r="AH156" s="12">
        <v>0</v>
      </c>
      <c r="AI156" s="12">
        <v>4</v>
      </c>
      <c r="AJ156" s="12" t="s">
        <v>57</v>
      </c>
      <c r="AK156" s="12">
        <v>1</v>
      </c>
      <c r="AL156" s="12">
        <v>0</v>
      </c>
      <c r="AM156" s="12">
        <v>8998</v>
      </c>
      <c r="AN156" s="12">
        <f t="shared" si="32"/>
        <v>8998</v>
      </c>
      <c r="AO156" s="12">
        <v>1</v>
      </c>
      <c r="AP156" s="12" t="s">
        <v>59</v>
      </c>
      <c r="AQ156" s="12">
        <v>0</v>
      </c>
      <c r="AR156" s="12">
        <v>14</v>
      </c>
      <c r="AS156" s="12">
        <v>3</v>
      </c>
      <c r="AT156" s="12">
        <v>4</v>
      </c>
      <c r="AU156" s="12">
        <v>0</v>
      </c>
      <c r="AV156" s="12">
        <v>9</v>
      </c>
      <c r="AW156" s="12">
        <f t="shared" si="33"/>
        <v>9</v>
      </c>
      <c r="AX156" s="12">
        <v>2</v>
      </c>
      <c r="AY156" s="12">
        <v>3</v>
      </c>
      <c r="AZ156" s="12">
        <v>9</v>
      </c>
      <c r="BA156" s="12">
        <f t="shared" si="34"/>
        <v>9</v>
      </c>
      <c r="BB156" s="12">
        <v>8</v>
      </c>
      <c r="BC156" s="12">
        <v>3</v>
      </c>
      <c r="BD156" s="12">
        <f t="shared" si="43"/>
        <v>3</v>
      </c>
      <c r="BE156" s="12">
        <v>7</v>
      </c>
      <c r="BF156" s="12">
        <f t="shared" si="35"/>
        <v>7</v>
      </c>
      <c r="BG156" s="12">
        <f t="shared" si="44"/>
        <v>21</v>
      </c>
      <c r="BH156" s="67">
        <v>0</v>
      </c>
      <c r="BI156" s="67">
        <v>0</v>
      </c>
      <c r="BJ156" s="67">
        <v>1</v>
      </c>
      <c r="BK156" s="67">
        <v>0</v>
      </c>
      <c r="BL156" s="67">
        <v>1</v>
      </c>
      <c r="BM156" s="67">
        <v>0</v>
      </c>
      <c r="BN156" s="67">
        <v>0</v>
      </c>
      <c r="BO156" s="67">
        <v>0</v>
      </c>
      <c r="BP156" s="67">
        <v>0</v>
      </c>
      <c r="BQ156" s="67">
        <v>0</v>
      </c>
      <c r="BR156" s="67">
        <v>7</v>
      </c>
      <c r="BS156" s="67">
        <v>0</v>
      </c>
      <c r="BT156" s="67">
        <v>0</v>
      </c>
      <c r="BU156" s="70">
        <v>9</v>
      </c>
      <c r="BV156" s="29">
        <f t="shared" si="36"/>
        <v>0.52996848153757981</v>
      </c>
      <c r="BW156">
        <f t="shared" si="37"/>
        <v>0.80626709607243985</v>
      </c>
      <c r="BX156">
        <f t="shared" si="38"/>
        <v>0.29297722668510823</v>
      </c>
      <c r="BY156">
        <f t="shared" si="39"/>
        <v>0.32511687867835437</v>
      </c>
      <c r="BZ156">
        <f t="shared" si="40"/>
        <v>0.14709966057360641</v>
      </c>
      <c r="CA156">
        <f t="shared" si="41"/>
        <v>0.53898283739188557</v>
      </c>
      <c r="CB156">
        <f t="shared" si="42"/>
        <v>0.2520597274726662</v>
      </c>
    </row>
    <row r="157" spans="1:80" x14ac:dyDescent="0.45">
      <c r="A157" s="11">
        <v>29</v>
      </c>
      <c r="B157" s="12">
        <f t="shared" si="30"/>
        <v>29</v>
      </c>
      <c r="C157" s="12" t="s">
        <v>59</v>
      </c>
      <c r="D157" s="12">
        <v>0</v>
      </c>
      <c r="E157" s="12" t="s">
        <v>86</v>
      </c>
      <c r="F157" s="12">
        <v>0</v>
      </c>
      <c r="G157" s="12">
        <v>0</v>
      </c>
      <c r="H157" s="12" t="s">
        <v>61</v>
      </c>
      <c r="I157" s="12">
        <v>1</v>
      </c>
      <c r="J157" s="12">
        <v>0</v>
      </c>
      <c r="K157" s="12">
        <v>1</v>
      </c>
      <c r="L157" s="12">
        <f t="shared" si="31"/>
        <v>1</v>
      </c>
      <c r="M157" s="12">
        <v>1</v>
      </c>
      <c r="N157" s="12" t="s">
        <v>91</v>
      </c>
      <c r="O157" s="12">
        <v>0</v>
      </c>
      <c r="P157" s="12">
        <v>0</v>
      </c>
      <c r="Q157" s="12">
        <v>0</v>
      </c>
      <c r="R157" s="12">
        <v>0</v>
      </c>
      <c r="S157" s="12">
        <v>1</v>
      </c>
      <c r="T157" s="12">
        <v>4</v>
      </c>
      <c r="U157" s="12" t="s">
        <v>62</v>
      </c>
      <c r="V157" s="12">
        <v>0</v>
      </c>
      <c r="W157" s="12">
        <v>41</v>
      </c>
      <c r="X157" s="12">
        <v>3</v>
      </c>
      <c r="Y157" s="12">
        <v>2</v>
      </c>
      <c r="Z157" s="12" t="s">
        <v>83</v>
      </c>
      <c r="AA157" s="12">
        <v>0</v>
      </c>
      <c r="AB157" s="12">
        <v>0</v>
      </c>
      <c r="AC157" s="12">
        <v>0</v>
      </c>
      <c r="AD157" s="12">
        <v>0</v>
      </c>
      <c r="AE157" s="12">
        <v>1</v>
      </c>
      <c r="AF157" s="12">
        <v>1</v>
      </c>
      <c r="AG157" s="12">
        <v>0</v>
      </c>
      <c r="AH157" s="12">
        <v>0</v>
      </c>
      <c r="AI157" s="12">
        <v>3</v>
      </c>
      <c r="AJ157" s="12" t="s">
        <v>64</v>
      </c>
      <c r="AK157" s="12">
        <v>0</v>
      </c>
      <c r="AL157" s="12">
        <v>1</v>
      </c>
      <c r="AM157" s="12">
        <v>4319</v>
      </c>
      <c r="AN157" s="12">
        <f t="shared" si="32"/>
        <v>4319</v>
      </c>
      <c r="AO157" s="12">
        <v>1</v>
      </c>
      <c r="AP157" s="12" t="s">
        <v>59</v>
      </c>
      <c r="AQ157" s="12">
        <v>0</v>
      </c>
      <c r="AR157" s="12">
        <v>13</v>
      </c>
      <c r="AS157" s="12">
        <v>3</v>
      </c>
      <c r="AT157" s="12">
        <v>1</v>
      </c>
      <c r="AU157" s="12">
        <v>1</v>
      </c>
      <c r="AV157" s="12">
        <v>10</v>
      </c>
      <c r="AW157" s="12">
        <f t="shared" si="33"/>
        <v>10</v>
      </c>
      <c r="AX157" s="12">
        <v>1</v>
      </c>
      <c r="AY157" s="12">
        <v>3</v>
      </c>
      <c r="AZ157" s="12">
        <v>10</v>
      </c>
      <c r="BA157" s="12">
        <f t="shared" si="34"/>
        <v>10</v>
      </c>
      <c r="BB157" s="12">
        <v>7</v>
      </c>
      <c r="BC157" s="12">
        <v>0</v>
      </c>
      <c r="BD157" s="12">
        <f t="shared" si="43"/>
        <v>0</v>
      </c>
      <c r="BE157" s="12">
        <v>9</v>
      </c>
      <c r="BF157" s="12">
        <f t="shared" si="35"/>
        <v>9</v>
      </c>
      <c r="BG157" s="12">
        <f t="shared" si="44"/>
        <v>18</v>
      </c>
      <c r="BH157" s="67">
        <v>0</v>
      </c>
      <c r="BI157" s="67">
        <v>1</v>
      </c>
      <c r="BJ157" s="67">
        <v>0</v>
      </c>
      <c r="BK157" s="67">
        <v>0</v>
      </c>
      <c r="BL157" s="67">
        <v>0</v>
      </c>
      <c r="BM157" s="67">
        <v>0</v>
      </c>
      <c r="BN157" s="67">
        <v>1</v>
      </c>
      <c r="BO157" s="67">
        <v>0</v>
      </c>
      <c r="BP157" s="67">
        <v>0</v>
      </c>
      <c r="BQ157" s="67">
        <v>9</v>
      </c>
      <c r="BR157" s="67">
        <v>0</v>
      </c>
      <c r="BS157" s="67">
        <v>0</v>
      </c>
      <c r="BT157" s="67">
        <v>10</v>
      </c>
      <c r="BU157" s="70">
        <v>0</v>
      </c>
      <c r="BV157" s="29">
        <f t="shared" si="36"/>
        <v>0.46388091334175474</v>
      </c>
      <c r="BW157">
        <f t="shared" si="37"/>
        <v>1.3667838287404401</v>
      </c>
      <c r="BX157">
        <f t="shared" si="38"/>
        <v>0.1644554352117841</v>
      </c>
      <c r="BY157">
        <f t="shared" si="39"/>
        <v>0.48834154112957734</v>
      </c>
      <c r="BZ157">
        <f t="shared" si="40"/>
        <v>1.01056543769991</v>
      </c>
      <c r="CA157">
        <f t="shared" si="41"/>
        <v>0.86737663580280233</v>
      </c>
      <c r="CB157">
        <f t="shared" si="42"/>
        <v>0.67891464284095016</v>
      </c>
    </row>
    <row r="158" spans="1:80" x14ac:dyDescent="0.45">
      <c r="A158" s="11">
        <v>51</v>
      </c>
      <c r="B158" s="12">
        <f t="shared" si="30"/>
        <v>51</v>
      </c>
      <c r="C158" s="12" t="s">
        <v>59</v>
      </c>
      <c r="D158" s="12">
        <v>0</v>
      </c>
      <c r="E158" s="12" t="s">
        <v>53</v>
      </c>
      <c r="F158" s="12">
        <v>0</v>
      </c>
      <c r="G158" s="12">
        <v>1</v>
      </c>
      <c r="H158" s="12" t="s">
        <v>61</v>
      </c>
      <c r="I158" s="12">
        <v>1</v>
      </c>
      <c r="J158" s="12">
        <v>0</v>
      </c>
      <c r="K158" s="12">
        <v>7</v>
      </c>
      <c r="L158" s="12">
        <f t="shared" si="31"/>
        <v>7</v>
      </c>
      <c r="M158" s="12">
        <v>4</v>
      </c>
      <c r="N158" s="12" t="s">
        <v>70</v>
      </c>
      <c r="O158" s="12">
        <v>0</v>
      </c>
      <c r="P158" s="12">
        <v>0</v>
      </c>
      <c r="Q158" s="12">
        <v>1</v>
      </c>
      <c r="R158" s="12">
        <v>0</v>
      </c>
      <c r="S158" s="12">
        <v>0</v>
      </c>
      <c r="T158" s="12">
        <v>2</v>
      </c>
      <c r="U158" s="12" t="s">
        <v>62</v>
      </c>
      <c r="V158" s="12">
        <v>0</v>
      </c>
      <c r="W158" s="12">
        <v>34</v>
      </c>
      <c r="X158" s="12">
        <v>2</v>
      </c>
      <c r="Y158" s="12">
        <v>2</v>
      </c>
      <c r="Z158" s="12" t="s">
        <v>83</v>
      </c>
      <c r="AA158" s="12">
        <v>0</v>
      </c>
      <c r="AB158" s="12">
        <v>0</v>
      </c>
      <c r="AC158" s="12">
        <v>0</v>
      </c>
      <c r="AD158" s="12">
        <v>0</v>
      </c>
      <c r="AE158" s="12">
        <v>1</v>
      </c>
      <c r="AF158" s="12">
        <v>1</v>
      </c>
      <c r="AG158" s="12">
        <v>0</v>
      </c>
      <c r="AH158" s="12">
        <v>0</v>
      </c>
      <c r="AI158" s="12">
        <v>3</v>
      </c>
      <c r="AJ158" s="12" t="s">
        <v>64</v>
      </c>
      <c r="AK158" s="12">
        <v>0</v>
      </c>
      <c r="AL158" s="12">
        <v>1</v>
      </c>
      <c r="AM158" s="12">
        <v>6132</v>
      </c>
      <c r="AN158" s="12">
        <f t="shared" si="32"/>
        <v>6132</v>
      </c>
      <c r="AO158" s="12">
        <v>2</v>
      </c>
      <c r="AP158" s="12" t="s">
        <v>59</v>
      </c>
      <c r="AQ158" s="12">
        <v>0</v>
      </c>
      <c r="AR158" s="12">
        <v>17</v>
      </c>
      <c r="AS158" s="12">
        <v>3</v>
      </c>
      <c r="AT158" s="12">
        <v>3</v>
      </c>
      <c r="AU158" s="12">
        <v>0</v>
      </c>
      <c r="AV158" s="12">
        <v>10</v>
      </c>
      <c r="AW158" s="12">
        <f t="shared" si="33"/>
        <v>10</v>
      </c>
      <c r="AX158" s="12">
        <v>2</v>
      </c>
      <c r="AY158" s="12">
        <v>3</v>
      </c>
      <c r="AZ158" s="12">
        <v>1</v>
      </c>
      <c r="BA158" s="12">
        <f t="shared" si="34"/>
        <v>1</v>
      </c>
      <c r="BB158" s="12">
        <v>0</v>
      </c>
      <c r="BC158" s="12">
        <v>0</v>
      </c>
      <c r="BD158" s="12">
        <f t="shared" si="43"/>
        <v>0</v>
      </c>
      <c r="BE158" s="12">
        <v>0</v>
      </c>
      <c r="BF158" s="12">
        <f t="shared" si="35"/>
        <v>0</v>
      </c>
      <c r="BG158" s="12">
        <f t="shared" si="44"/>
        <v>0</v>
      </c>
      <c r="BH158" s="67">
        <v>0</v>
      </c>
      <c r="BI158" s="67">
        <v>1</v>
      </c>
      <c r="BJ158" s="67">
        <v>0</v>
      </c>
      <c r="BK158" s="67">
        <v>0</v>
      </c>
      <c r="BL158" s="67">
        <v>0</v>
      </c>
      <c r="BM158" s="67">
        <v>0</v>
      </c>
      <c r="BN158" s="67">
        <v>1</v>
      </c>
      <c r="BO158" s="67">
        <v>0</v>
      </c>
      <c r="BP158" s="67">
        <v>0</v>
      </c>
      <c r="BQ158" s="67">
        <v>0</v>
      </c>
      <c r="BR158" s="67">
        <v>0</v>
      </c>
      <c r="BS158" s="67">
        <v>0</v>
      </c>
      <c r="BT158" s="67">
        <v>10</v>
      </c>
      <c r="BU158" s="70">
        <v>0</v>
      </c>
      <c r="BV158" s="29">
        <f t="shared" si="36"/>
        <v>7.8788168542388737E-2</v>
      </c>
      <c r="BW158">
        <f t="shared" si="37"/>
        <v>1.1555414682655611</v>
      </c>
      <c r="BX158">
        <f t="shared" si="38"/>
        <v>0.1644554352117841</v>
      </c>
      <c r="BY158">
        <f t="shared" si="39"/>
        <v>0.9806804209314296</v>
      </c>
      <c r="BZ158">
        <f t="shared" si="40"/>
        <v>0.27045191444879263</v>
      </c>
      <c r="CA158">
        <f t="shared" si="41"/>
        <v>1.5408445525439205</v>
      </c>
      <c r="CB158">
        <f t="shared" si="42"/>
        <v>0.67891464284095016</v>
      </c>
    </row>
    <row r="159" spans="1:80" x14ac:dyDescent="0.45">
      <c r="A159" s="11">
        <v>58</v>
      </c>
      <c r="B159" s="12">
        <f t="shared" si="30"/>
        <v>58</v>
      </c>
      <c r="C159" s="12" t="s">
        <v>59</v>
      </c>
      <c r="D159" s="12">
        <v>0</v>
      </c>
      <c r="E159" s="12" t="s">
        <v>53</v>
      </c>
      <c r="F159" s="12">
        <v>0</v>
      </c>
      <c r="G159" s="12">
        <v>1</v>
      </c>
      <c r="H159" s="12" t="s">
        <v>61</v>
      </c>
      <c r="I159" s="12">
        <v>1</v>
      </c>
      <c r="J159" s="12">
        <v>0</v>
      </c>
      <c r="K159" s="12">
        <v>9</v>
      </c>
      <c r="L159" s="12">
        <f t="shared" si="31"/>
        <v>9</v>
      </c>
      <c r="M159" s="12">
        <v>3</v>
      </c>
      <c r="N159" s="12" t="s">
        <v>70</v>
      </c>
      <c r="O159" s="12">
        <v>0</v>
      </c>
      <c r="P159" s="12">
        <v>0</v>
      </c>
      <c r="Q159" s="12">
        <v>1</v>
      </c>
      <c r="R159" s="12">
        <v>0</v>
      </c>
      <c r="S159" s="12">
        <v>0</v>
      </c>
      <c r="T159" s="12">
        <v>2</v>
      </c>
      <c r="U159" s="12" t="s">
        <v>19</v>
      </c>
      <c r="V159" s="12">
        <v>1</v>
      </c>
      <c r="W159" s="12">
        <v>75</v>
      </c>
      <c r="X159" s="12">
        <v>2</v>
      </c>
      <c r="Y159" s="12">
        <v>1</v>
      </c>
      <c r="Z159" s="12" t="s">
        <v>63</v>
      </c>
      <c r="AA159" s="12">
        <v>0</v>
      </c>
      <c r="AB159" s="12">
        <v>0</v>
      </c>
      <c r="AC159" s="12">
        <v>0</v>
      </c>
      <c r="AD159" s="12">
        <v>0</v>
      </c>
      <c r="AE159" s="12">
        <v>0</v>
      </c>
      <c r="AF159" s="12">
        <v>0</v>
      </c>
      <c r="AG159" s="12">
        <v>0</v>
      </c>
      <c r="AH159" s="12">
        <v>1</v>
      </c>
      <c r="AI159" s="12">
        <v>2</v>
      </c>
      <c r="AJ159" s="12" t="s">
        <v>64</v>
      </c>
      <c r="AK159" s="12">
        <v>0</v>
      </c>
      <c r="AL159" s="12">
        <v>1</v>
      </c>
      <c r="AM159" s="12">
        <v>3346</v>
      </c>
      <c r="AN159" s="12">
        <f t="shared" si="32"/>
        <v>3346</v>
      </c>
      <c r="AO159" s="12">
        <v>4</v>
      </c>
      <c r="AP159" s="12" t="s">
        <v>52</v>
      </c>
      <c r="AQ159" s="12">
        <v>1</v>
      </c>
      <c r="AR159" s="12">
        <v>20</v>
      </c>
      <c r="AS159" s="12">
        <v>4</v>
      </c>
      <c r="AT159" s="12">
        <v>2</v>
      </c>
      <c r="AU159" s="12">
        <v>1</v>
      </c>
      <c r="AV159" s="12">
        <v>9</v>
      </c>
      <c r="AW159" s="12">
        <f t="shared" si="33"/>
        <v>9</v>
      </c>
      <c r="AX159" s="12">
        <v>3</v>
      </c>
      <c r="AY159" s="12">
        <v>2</v>
      </c>
      <c r="AZ159" s="12">
        <v>1</v>
      </c>
      <c r="BA159" s="12">
        <f t="shared" si="34"/>
        <v>1</v>
      </c>
      <c r="BB159" s="12">
        <v>0</v>
      </c>
      <c r="BC159" s="12">
        <v>0</v>
      </c>
      <c r="BD159" s="12">
        <f t="shared" si="43"/>
        <v>0</v>
      </c>
      <c r="BE159" s="12">
        <v>0</v>
      </c>
      <c r="BF159" s="12">
        <f t="shared" si="35"/>
        <v>0</v>
      </c>
      <c r="BG159" s="12">
        <f t="shared" si="44"/>
        <v>0</v>
      </c>
      <c r="BH159" s="67">
        <v>0</v>
      </c>
      <c r="BI159" s="67">
        <v>1</v>
      </c>
      <c r="BJ159" s="67">
        <v>0</v>
      </c>
      <c r="BK159" s="67">
        <v>0</v>
      </c>
      <c r="BL159" s="67">
        <v>0</v>
      </c>
      <c r="BM159" s="67">
        <v>0</v>
      </c>
      <c r="BN159" s="67">
        <v>0</v>
      </c>
      <c r="BO159" s="67">
        <v>1</v>
      </c>
      <c r="BP159" s="67">
        <v>0</v>
      </c>
      <c r="BQ159" s="67">
        <v>0</v>
      </c>
      <c r="BR159" s="67">
        <v>0</v>
      </c>
      <c r="BS159" s="67">
        <v>0</v>
      </c>
      <c r="BT159" s="67">
        <v>9</v>
      </c>
      <c r="BU159" s="70">
        <v>0</v>
      </c>
      <c r="BV159" s="29">
        <f t="shared" si="36"/>
        <v>0.67055230919932951</v>
      </c>
      <c r="BW159">
        <f t="shared" si="37"/>
        <v>1.1555414682655611</v>
      </c>
      <c r="BX159">
        <f t="shared" si="38"/>
        <v>0.29297722668510823</v>
      </c>
      <c r="BY159">
        <f t="shared" si="39"/>
        <v>0.9806804209314296</v>
      </c>
      <c r="BZ159">
        <f t="shared" si="40"/>
        <v>2.3747406698420157E-2</v>
      </c>
      <c r="CA159">
        <f t="shared" si="41"/>
        <v>2.3070967488360594</v>
      </c>
      <c r="CB159">
        <f t="shared" si="42"/>
        <v>0.67891464284095016</v>
      </c>
    </row>
    <row r="160" spans="1:80" x14ac:dyDescent="0.45">
      <c r="A160" s="11">
        <v>40</v>
      </c>
      <c r="B160" s="12">
        <f t="shared" si="30"/>
        <v>40</v>
      </c>
      <c r="C160" s="12" t="s">
        <v>59</v>
      </c>
      <c r="D160" s="12">
        <v>0</v>
      </c>
      <c r="E160" s="12" t="s">
        <v>53</v>
      </c>
      <c r="F160" s="12">
        <v>0</v>
      </c>
      <c r="G160" s="12">
        <v>1</v>
      </c>
      <c r="H160" s="12" t="s">
        <v>54</v>
      </c>
      <c r="I160" s="12">
        <v>0</v>
      </c>
      <c r="J160" s="12">
        <v>1</v>
      </c>
      <c r="K160" s="12">
        <v>4</v>
      </c>
      <c r="L160" s="12">
        <f t="shared" si="31"/>
        <v>4</v>
      </c>
      <c r="M160" s="12">
        <v>4</v>
      </c>
      <c r="N160" s="12" t="s">
        <v>90</v>
      </c>
      <c r="O160" s="12">
        <v>0</v>
      </c>
      <c r="P160" s="12">
        <v>0</v>
      </c>
      <c r="Q160" s="12">
        <v>0</v>
      </c>
      <c r="R160" s="12">
        <v>1</v>
      </c>
      <c r="S160" s="12">
        <v>0</v>
      </c>
      <c r="T160" s="12">
        <v>3</v>
      </c>
      <c r="U160" s="12" t="s">
        <v>62</v>
      </c>
      <c r="V160" s="12">
        <v>0</v>
      </c>
      <c r="W160" s="12">
        <v>67</v>
      </c>
      <c r="X160" s="12">
        <v>2</v>
      </c>
      <c r="Y160" s="12">
        <v>3</v>
      </c>
      <c r="Z160" s="12" t="s">
        <v>56</v>
      </c>
      <c r="AA160" s="12">
        <v>0</v>
      </c>
      <c r="AB160" s="12">
        <v>1</v>
      </c>
      <c r="AC160" s="12">
        <v>0</v>
      </c>
      <c r="AD160" s="12">
        <v>0</v>
      </c>
      <c r="AE160" s="12">
        <v>0</v>
      </c>
      <c r="AF160" s="12">
        <v>0</v>
      </c>
      <c r="AG160" s="12">
        <v>0</v>
      </c>
      <c r="AH160" s="12">
        <v>0</v>
      </c>
      <c r="AI160" s="12">
        <v>4</v>
      </c>
      <c r="AJ160" s="12" t="s">
        <v>64</v>
      </c>
      <c r="AK160" s="12">
        <v>0</v>
      </c>
      <c r="AL160" s="12">
        <v>1</v>
      </c>
      <c r="AM160" s="12">
        <v>10855</v>
      </c>
      <c r="AN160" s="12">
        <f t="shared" si="32"/>
        <v>10855</v>
      </c>
      <c r="AO160" s="12">
        <v>7</v>
      </c>
      <c r="AP160" s="12" t="s">
        <v>59</v>
      </c>
      <c r="AQ160" s="12">
        <v>0</v>
      </c>
      <c r="AR160" s="12">
        <v>11</v>
      </c>
      <c r="AS160" s="12">
        <v>3</v>
      </c>
      <c r="AT160" s="12">
        <v>1</v>
      </c>
      <c r="AU160" s="12">
        <v>1</v>
      </c>
      <c r="AV160" s="12">
        <v>15</v>
      </c>
      <c r="AW160" s="12">
        <f t="shared" si="33"/>
        <v>15</v>
      </c>
      <c r="AX160" s="12">
        <v>2</v>
      </c>
      <c r="AY160" s="12">
        <v>2</v>
      </c>
      <c r="AZ160" s="12">
        <v>12</v>
      </c>
      <c r="BA160" s="12">
        <f t="shared" si="34"/>
        <v>12</v>
      </c>
      <c r="BB160" s="12">
        <v>11</v>
      </c>
      <c r="BC160" s="12">
        <v>2</v>
      </c>
      <c r="BD160" s="12">
        <f t="shared" si="43"/>
        <v>2</v>
      </c>
      <c r="BE160" s="12">
        <v>11</v>
      </c>
      <c r="BF160" s="12">
        <f t="shared" si="35"/>
        <v>11</v>
      </c>
      <c r="BG160" s="12">
        <f t="shared" si="44"/>
        <v>33</v>
      </c>
      <c r="BH160" s="67">
        <v>0</v>
      </c>
      <c r="BI160" s="67">
        <v>1</v>
      </c>
      <c r="BJ160" s="67">
        <v>0</v>
      </c>
      <c r="BK160" s="67">
        <v>0</v>
      </c>
      <c r="BL160" s="67">
        <v>0</v>
      </c>
      <c r="BM160" s="67">
        <v>0</v>
      </c>
      <c r="BN160" s="67">
        <v>1</v>
      </c>
      <c r="BO160" s="67">
        <v>0</v>
      </c>
      <c r="BP160" s="67">
        <v>0</v>
      </c>
      <c r="BQ160" s="67">
        <v>0</v>
      </c>
      <c r="BR160" s="67">
        <v>11</v>
      </c>
      <c r="BS160" s="67">
        <v>0</v>
      </c>
      <c r="BT160" s="67">
        <v>0</v>
      </c>
      <c r="BU160" s="70">
        <v>15</v>
      </c>
      <c r="BV160" s="29">
        <f t="shared" si="36"/>
        <v>0.92440710651961111</v>
      </c>
      <c r="BW160">
        <f t="shared" si="37"/>
        <v>1.9273005614084406</v>
      </c>
      <c r="BX160">
        <f t="shared" si="38"/>
        <v>0.47815352215483642</v>
      </c>
      <c r="BY160">
        <f t="shared" si="39"/>
        <v>0.81479086603202333</v>
      </c>
      <c r="BZ160">
        <f t="shared" si="40"/>
        <v>0.64050867607435136</v>
      </c>
      <c r="CA160">
        <f t="shared" si="41"/>
        <v>0.33673395837055903</v>
      </c>
      <c r="CB160">
        <f t="shared" si="42"/>
        <v>5.8265062631872602E-2</v>
      </c>
    </row>
    <row r="161" spans="1:80" x14ac:dyDescent="0.45">
      <c r="A161" s="11">
        <v>34</v>
      </c>
      <c r="B161" s="12">
        <f t="shared" si="30"/>
        <v>34</v>
      </c>
      <c r="C161" s="12" t="s">
        <v>59</v>
      </c>
      <c r="D161" s="12">
        <v>0</v>
      </c>
      <c r="E161" s="12" t="s">
        <v>60</v>
      </c>
      <c r="F161" s="12">
        <v>1</v>
      </c>
      <c r="G161" s="12">
        <v>0</v>
      </c>
      <c r="H161" s="12" t="s">
        <v>54</v>
      </c>
      <c r="I161" s="12">
        <v>0</v>
      </c>
      <c r="J161" s="12">
        <v>1</v>
      </c>
      <c r="K161" s="12">
        <v>2</v>
      </c>
      <c r="L161" s="12">
        <f t="shared" si="31"/>
        <v>2</v>
      </c>
      <c r="M161" s="12">
        <v>4</v>
      </c>
      <c r="N161" s="12" t="s">
        <v>90</v>
      </c>
      <c r="O161" s="12">
        <v>0</v>
      </c>
      <c r="P161" s="12">
        <v>0</v>
      </c>
      <c r="Q161" s="12">
        <v>0</v>
      </c>
      <c r="R161" s="12">
        <v>1</v>
      </c>
      <c r="S161" s="12">
        <v>0</v>
      </c>
      <c r="T161" s="12">
        <v>3</v>
      </c>
      <c r="U161" s="12" t="s">
        <v>19</v>
      </c>
      <c r="V161" s="12">
        <v>1</v>
      </c>
      <c r="W161" s="12">
        <v>75</v>
      </c>
      <c r="X161" s="12">
        <v>3</v>
      </c>
      <c r="Y161" s="12">
        <v>1</v>
      </c>
      <c r="Z161" s="12" t="s">
        <v>88</v>
      </c>
      <c r="AA161" s="12">
        <v>0</v>
      </c>
      <c r="AB161" s="12">
        <v>0</v>
      </c>
      <c r="AC161" s="12">
        <v>0</v>
      </c>
      <c r="AD161" s="12">
        <v>0</v>
      </c>
      <c r="AE161" s="12">
        <v>0</v>
      </c>
      <c r="AF161" s="12">
        <v>0</v>
      </c>
      <c r="AG161" s="12">
        <v>1</v>
      </c>
      <c r="AH161" s="12">
        <v>0</v>
      </c>
      <c r="AI161" s="12">
        <v>3</v>
      </c>
      <c r="AJ161" s="12" t="s">
        <v>64</v>
      </c>
      <c r="AK161" s="12">
        <v>0</v>
      </c>
      <c r="AL161" s="12">
        <v>1</v>
      </c>
      <c r="AM161" s="12">
        <v>2231</v>
      </c>
      <c r="AN161" s="12">
        <f t="shared" si="32"/>
        <v>2231</v>
      </c>
      <c r="AO161" s="12">
        <v>6</v>
      </c>
      <c r="AP161" s="12" t="s">
        <v>59</v>
      </c>
      <c r="AQ161" s="12">
        <v>0</v>
      </c>
      <c r="AR161" s="12">
        <v>18</v>
      </c>
      <c r="AS161" s="12">
        <v>3</v>
      </c>
      <c r="AT161" s="12">
        <v>4</v>
      </c>
      <c r="AU161" s="12">
        <v>1</v>
      </c>
      <c r="AV161" s="12">
        <v>6</v>
      </c>
      <c r="AW161" s="12">
        <f t="shared" si="33"/>
        <v>6</v>
      </c>
      <c r="AX161" s="12">
        <v>3</v>
      </c>
      <c r="AY161" s="12">
        <v>3</v>
      </c>
      <c r="AZ161" s="12">
        <v>4</v>
      </c>
      <c r="BA161" s="12">
        <f t="shared" si="34"/>
        <v>4</v>
      </c>
      <c r="BB161" s="12">
        <v>3</v>
      </c>
      <c r="BC161" s="12">
        <v>1</v>
      </c>
      <c r="BD161" s="12">
        <f t="shared" si="43"/>
        <v>1</v>
      </c>
      <c r="BE161" s="12">
        <v>2</v>
      </c>
      <c r="BF161" s="12">
        <f t="shared" si="35"/>
        <v>2</v>
      </c>
      <c r="BG161" s="12">
        <f t="shared" si="44"/>
        <v>2</v>
      </c>
      <c r="BH161" s="67">
        <v>0</v>
      </c>
      <c r="BI161" s="67">
        <v>0</v>
      </c>
      <c r="BJ161" s="67">
        <v>0</v>
      </c>
      <c r="BK161" s="67">
        <v>1</v>
      </c>
      <c r="BL161" s="67">
        <v>0</v>
      </c>
      <c r="BM161" s="67">
        <v>0</v>
      </c>
      <c r="BN161" s="67">
        <v>1</v>
      </c>
      <c r="BO161" s="67">
        <v>0</v>
      </c>
      <c r="BP161" s="67">
        <v>0</v>
      </c>
      <c r="BQ161" s="67">
        <v>0</v>
      </c>
      <c r="BR161" s="67">
        <v>2</v>
      </c>
      <c r="BS161" s="67">
        <v>0</v>
      </c>
      <c r="BT161" s="67">
        <v>0</v>
      </c>
      <c r="BU161" s="70">
        <v>6</v>
      </c>
      <c r="BV161" s="29">
        <f t="shared" si="36"/>
        <v>0.90738540928277855</v>
      </c>
      <c r="BW161">
        <f t="shared" si="37"/>
        <v>0.59502473559756086</v>
      </c>
      <c r="BX161">
        <f t="shared" si="38"/>
        <v>0.67854260110508058</v>
      </c>
      <c r="BY161">
        <f t="shared" si="39"/>
        <v>0.49100643357776058</v>
      </c>
      <c r="BZ161">
        <f t="shared" si="40"/>
        <v>0.88721318382472392</v>
      </c>
      <c r="CA161">
        <f t="shared" si="41"/>
        <v>0.32005363845127444</v>
      </c>
      <c r="CB161">
        <f t="shared" si="42"/>
        <v>0.36858985273641137</v>
      </c>
    </row>
    <row r="162" spans="1:80" x14ac:dyDescent="0.45">
      <c r="A162" s="11">
        <v>22</v>
      </c>
      <c r="B162" s="12">
        <f t="shared" si="30"/>
        <v>22</v>
      </c>
      <c r="C162" s="12" t="s">
        <v>59</v>
      </c>
      <c r="D162" s="12">
        <v>0</v>
      </c>
      <c r="E162" s="12" t="s">
        <v>53</v>
      </c>
      <c r="F162" s="12">
        <v>0</v>
      </c>
      <c r="G162" s="12">
        <v>1</v>
      </c>
      <c r="H162" s="12" t="s">
        <v>61</v>
      </c>
      <c r="I162" s="12">
        <v>1</v>
      </c>
      <c r="J162" s="12">
        <v>0</v>
      </c>
      <c r="K162" s="12">
        <v>19</v>
      </c>
      <c r="L162" s="12">
        <f t="shared" si="31"/>
        <v>19</v>
      </c>
      <c r="M162" s="12">
        <v>1</v>
      </c>
      <c r="N162" s="12" t="s">
        <v>70</v>
      </c>
      <c r="O162" s="12">
        <v>0</v>
      </c>
      <c r="P162" s="12">
        <v>0</v>
      </c>
      <c r="Q162" s="12">
        <v>1</v>
      </c>
      <c r="R162" s="12">
        <v>0</v>
      </c>
      <c r="S162" s="12">
        <v>0</v>
      </c>
      <c r="T162" s="12">
        <v>3</v>
      </c>
      <c r="U162" s="12" t="s">
        <v>62</v>
      </c>
      <c r="V162" s="12">
        <v>0</v>
      </c>
      <c r="W162" s="12">
        <v>80</v>
      </c>
      <c r="X162" s="12">
        <v>3</v>
      </c>
      <c r="Y162" s="12">
        <v>1</v>
      </c>
      <c r="Z162" s="12" t="s">
        <v>63</v>
      </c>
      <c r="AA162" s="12">
        <v>0</v>
      </c>
      <c r="AB162" s="12">
        <v>0</v>
      </c>
      <c r="AC162" s="12">
        <v>0</v>
      </c>
      <c r="AD162" s="12">
        <v>0</v>
      </c>
      <c r="AE162" s="12">
        <v>0</v>
      </c>
      <c r="AF162" s="12">
        <v>0</v>
      </c>
      <c r="AG162" s="12">
        <v>0</v>
      </c>
      <c r="AH162" s="12">
        <v>1</v>
      </c>
      <c r="AI162" s="12">
        <v>4</v>
      </c>
      <c r="AJ162" s="12" t="s">
        <v>64</v>
      </c>
      <c r="AK162" s="12">
        <v>0</v>
      </c>
      <c r="AL162" s="12">
        <v>1</v>
      </c>
      <c r="AM162" s="12">
        <v>2323</v>
      </c>
      <c r="AN162" s="12">
        <f t="shared" si="32"/>
        <v>2323</v>
      </c>
      <c r="AO162" s="12">
        <v>1</v>
      </c>
      <c r="AP162" s="12" t="s">
        <v>59</v>
      </c>
      <c r="AQ162" s="12">
        <v>0</v>
      </c>
      <c r="AR162" s="12">
        <v>24</v>
      </c>
      <c r="AS162" s="12">
        <v>4</v>
      </c>
      <c r="AT162" s="12">
        <v>1</v>
      </c>
      <c r="AU162" s="12">
        <v>2</v>
      </c>
      <c r="AV162" s="12">
        <v>2</v>
      </c>
      <c r="AW162" s="12">
        <f t="shared" si="33"/>
        <v>2</v>
      </c>
      <c r="AX162" s="12">
        <v>6</v>
      </c>
      <c r="AY162" s="12">
        <v>3</v>
      </c>
      <c r="AZ162" s="12">
        <v>2</v>
      </c>
      <c r="BA162" s="12">
        <f t="shared" si="34"/>
        <v>2</v>
      </c>
      <c r="BB162" s="12">
        <v>2</v>
      </c>
      <c r="BC162" s="12">
        <v>2</v>
      </c>
      <c r="BD162" s="12">
        <f t="shared" si="43"/>
        <v>2</v>
      </c>
      <c r="BE162" s="12">
        <v>2</v>
      </c>
      <c r="BF162" s="12">
        <f t="shared" si="35"/>
        <v>2</v>
      </c>
      <c r="BG162" s="12">
        <f t="shared" si="44"/>
        <v>2</v>
      </c>
      <c r="BH162" s="67">
        <v>0</v>
      </c>
      <c r="BI162" s="67">
        <v>1</v>
      </c>
      <c r="BJ162" s="67">
        <v>0</v>
      </c>
      <c r="BK162" s="67">
        <v>0</v>
      </c>
      <c r="BL162" s="67">
        <v>0</v>
      </c>
      <c r="BM162" s="67">
        <v>0</v>
      </c>
      <c r="BN162" s="67">
        <v>1</v>
      </c>
      <c r="BO162" s="67">
        <v>0</v>
      </c>
      <c r="BP162" s="67">
        <v>0</v>
      </c>
      <c r="BQ162" s="67">
        <v>2</v>
      </c>
      <c r="BR162" s="67">
        <v>0</v>
      </c>
      <c r="BS162" s="67">
        <v>0</v>
      </c>
      <c r="BT162" s="67">
        <v>2</v>
      </c>
      <c r="BU162" s="70">
        <v>0</v>
      </c>
      <c r="BV162" s="29">
        <f t="shared" si="36"/>
        <v>0.88784402344629665</v>
      </c>
      <c r="BW162">
        <f t="shared" si="37"/>
        <v>0.59502473559756086</v>
      </c>
      <c r="BX162">
        <f t="shared" si="38"/>
        <v>1.192629766998377</v>
      </c>
      <c r="BY162">
        <f t="shared" si="39"/>
        <v>0.81745575848020657</v>
      </c>
      <c r="BZ162">
        <f t="shared" si="40"/>
        <v>1.2097751320534422</v>
      </c>
      <c r="CA162">
        <f t="shared" si="41"/>
        <v>1.6336288320949415</v>
      </c>
      <c r="CB162">
        <f t="shared" si="42"/>
        <v>5.8265062631872602E-2</v>
      </c>
    </row>
    <row r="163" spans="1:80" x14ac:dyDescent="0.45">
      <c r="A163" s="11">
        <v>27</v>
      </c>
      <c r="B163" s="12">
        <f t="shared" si="30"/>
        <v>27</v>
      </c>
      <c r="C163" s="12" t="s">
        <v>59</v>
      </c>
      <c r="D163" s="12">
        <v>0</v>
      </c>
      <c r="E163" s="12" t="s">
        <v>86</v>
      </c>
      <c r="F163" s="12">
        <v>0</v>
      </c>
      <c r="G163" s="12">
        <v>0</v>
      </c>
      <c r="H163" s="12" t="s">
        <v>61</v>
      </c>
      <c r="I163" s="12">
        <v>1</v>
      </c>
      <c r="J163" s="12">
        <v>0</v>
      </c>
      <c r="K163" s="12">
        <v>9</v>
      </c>
      <c r="L163" s="12">
        <f t="shared" si="31"/>
        <v>9</v>
      </c>
      <c r="M163" s="12">
        <v>3</v>
      </c>
      <c r="N163" s="12" t="s">
        <v>70</v>
      </c>
      <c r="O163" s="12">
        <v>0</v>
      </c>
      <c r="P163" s="12">
        <v>0</v>
      </c>
      <c r="Q163" s="12">
        <v>1</v>
      </c>
      <c r="R163" s="12">
        <v>0</v>
      </c>
      <c r="S163" s="12">
        <v>0</v>
      </c>
      <c r="T163" s="12">
        <v>4</v>
      </c>
      <c r="U163" s="12" t="s">
        <v>62</v>
      </c>
      <c r="V163" s="12">
        <v>0</v>
      </c>
      <c r="W163" s="12">
        <v>57</v>
      </c>
      <c r="X163" s="12">
        <v>3</v>
      </c>
      <c r="Y163" s="12">
        <v>1</v>
      </c>
      <c r="Z163" s="12" t="s">
        <v>63</v>
      </c>
      <c r="AA163" s="12">
        <v>0</v>
      </c>
      <c r="AB163" s="12">
        <v>0</v>
      </c>
      <c r="AC163" s="12">
        <v>0</v>
      </c>
      <c r="AD163" s="12">
        <v>0</v>
      </c>
      <c r="AE163" s="12">
        <v>0</v>
      </c>
      <c r="AF163" s="12">
        <v>0</v>
      </c>
      <c r="AG163" s="12">
        <v>0</v>
      </c>
      <c r="AH163" s="12">
        <v>1</v>
      </c>
      <c r="AI163" s="12">
        <v>2</v>
      </c>
      <c r="AJ163" s="12" t="s">
        <v>78</v>
      </c>
      <c r="AK163" s="12">
        <v>0</v>
      </c>
      <c r="AL163" s="12">
        <v>0</v>
      </c>
      <c r="AM163" s="12">
        <v>2024</v>
      </c>
      <c r="AN163" s="12">
        <f t="shared" si="32"/>
        <v>2024</v>
      </c>
      <c r="AO163" s="12">
        <v>6</v>
      </c>
      <c r="AP163" s="12" t="s">
        <v>59</v>
      </c>
      <c r="AQ163" s="12">
        <v>0</v>
      </c>
      <c r="AR163" s="12">
        <v>18</v>
      </c>
      <c r="AS163" s="12">
        <v>3</v>
      </c>
      <c r="AT163" s="12">
        <v>4</v>
      </c>
      <c r="AU163" s="12">
        <v>1</v>
      </c>
      <c r="AV163" s="12">
        <v>6</v>
      </c>
      <c r="AW163" s="12">
        <f t="shared" si="33"/>
        <v>6</v>
      </c>
      <c r="AX163" s="12">
        <v>1</v>
      </c>
      <c r="AY163" s="12">
        <v>1</v>
      </c>
      <c r="AZ163" s="12">
        <v>2</v>
      </c>
      <c r="BA163" s="12">
        <f t="shared" si="34"/>
        <v>2</v>
      </c>
      <c r="BB163" s="12">
        <v>2</v>
      </c>
      <c r="BC163" s="12">
        <v>2</v>
      </c>
      <c r="BD163" s="12">
        <f t="shared" si="43"/>
        <v>2</v>
      </c>
      <c r="BE163" s="12">
        <v>2</v>
      </c>
      <c r="BF163" s="12">
        <f t="shared" si="35"/>
        <v>2</v>
      </c>
      <c r="BG163" s="12">
        <f t="shared" si="44"/>
        <v>2</v>
      </c>
      <c r="BH163" s="67">
        <v>1</v>
      </c>
      <c r="BI163" s="67">
        <v>0</v>
      </c>
      <c r="BJ163" s="67">
        <v>0</v>
      </c>
      <c r="BK163" s="67">
        <v>0</v>
      </c>
      <c r="BL163" s="67">
        <v>1</v>
      </c>
      <c r="BM163" s="67">
        <v>0</v>
      </c>
      <c r="BN163" s="67">
        <v>0</v>
      </c>
      <c r="BO163" s="67">
        <v>0</v>
      </c>
      <c r="BP163" s="67">
        <v>0</v>
      </c>
      <c r="BQ163" s="67">
        <v>2</v>
      </c>
      <c r="BR163" s="67">
        <v>0</v>
      </c>
      <c r="BS163" s="67">
        <v>0</v>
      </c>
      <c r="BT163" s="67">
        <v>6</v>
      </c>
      <c r="BU163" s="70">
        <v>0</v>
      </c>
      <c r="BV163" s="29">
        <f t="shared" si="36"/>
        <v>0.9513535274148629</v>
      </c>
      <c r="BW163">
        <f t="shared" si="37"/>
        <v>0.59502473559756086</v>
      </c>
      <c r="BX163">
        <f t="shared" si="38"/>
        <v>0.67854260110508058</v>
      </c>
      <c r="BY163">
        <f t="shared" si="39"/>
        <v>0.81745575848020657</v>
      </c>
      <c r="BZ163">
        <f t="shared" si="40"/>
        <v>2.3747406698420157E-2</v>
      </c>
      <c r="CA163">
        <f t="shared" si="41"/>
        <v>1.0863058347434136</v>
      </c>
      <c r="CB163">
        <f t="shared" si="42"/>
        <v>5.8265062631872602E-2</v>
      </c>
    </row>
    <row r="164" spans="1:80" x14ac:dyDescent="0.45">
      <c r="A164" s="11">
        <v>28</v>
      </c>
      <c r="B164" s="12">
        <f t="shared" si="30"/>
        <v>28</v>
      </c>
      <c r="C164" s="12" t="s">
        <v>59</v>
      </c>
      <c r="D164" s="12">
        <v>0</v>
      </c>
      <c r="E164" s="12" t="s">
        <v>53</v>
      </c>
      <c r="F164" s="12">
        <v>0</v>
      </c>
      <c r="G164" s="12">
        <v>1</v>
      </c>
      <c r="H164" s="12" t="s">
        <v>61</v>
      </c>
      <c r="I164" s="12">
        <v>1</v>
      </c>
      <c r="J164" s="12">
        <v>0</v>
      </c>
      <c r="K164" s="12">
        <v>21</v>
      </c>
      <c r="L164" s="12">
        <f t="shared" si="31"/>
        <v>21</v>
      </c>
      <c r="M164" s="12">
        <v>3</v>
      </c>
      <c r="N164" s="12" t="s">
        <v>70</v>
      </c>
      <c r="O164" s="12">
        <v>0</v>
      </c>
      <c r="P164" s="12">
        <v>0</v>
      </c>
      <c r="Q164" s="12">
        <v>1</v>
      </c>
      <c r="R164" s="12">
        <v>0</v>
      </c>
      <c r="S164" s="12">
        <v>0</v>
      </c>
      <c r="T164" s="12">
        <v>3</v>
      </c>
      <c r="U164" s="12" t="s">
        <v>62</v>
      </c>
      <c r="V164" s="12">
        <v>0</v>
      </c>
      <c r="W164" s="12">
        <v>42</v>
      </c>
      <c r="X164" s="12">
        <v>3</v>
      </c>
      <c r="Y164" s="12">
        <v>1</v>
      </c>
      <c r="Z164" s="12" t="s">
        <v>63</v>
      </c>
      <c r="AA164" s="12">
        <v>0</v>
      </c>
      <c r="AB164" s="12">
        <v>0</v>
      </c>
      <c r="AC164" s="12">
        <v>0</v>
      </c>
      <c r="AD164" s="12">
        <v>0</v>
      </c>
      <c r="AE164" s="12">
        <v>0</v>
      </c>
      <c r="AF164" s="12">
        <v>0</v>
      </c>
      <c r="AG164" s="12">
        <v>0</v>
      </c>
      <c r="AH164" s="12">
        <v>1</v>
      </c>
      <c r="AI164" s="12">
        <v>4</v>
      </c>
      <c r="AJ164" s="12" t="s">
        <v>64</v>
      </c>
      <c r="AK164" s="12">
        <v>0</v>
      </c>
      <c r="AL164" s="12">
        <v>1</v>
      </c>
      <c r="AM164" s="12">
        <v>2713</v>
      </c>
      <c r="AN164" s="12">
        <f t="shared" si="32"/>
        <v>2713</v>
      </c>
      <c r="AO164" s="12">
        <v>1</v>
      </c>
      <c r="AP164" s="12" t="s">
        <v>59</v>
      </c>
      <c r="AQ164" s="12">
        <v>0</v>
      </c>
      <c r="AR164" s="12">
        <v>11</v>
      </c>
      <c r="AS164" s="12">
        <v>3</v>
      </c>
      <c r="AT164" s="12">
        <v>3</v>
      </c>
      <c r="AU164" s="12">
        <v>1</v>
      </c>
      <c r="AV164" s="12">
        <v>5</v>
      </c>
      <c r="AW164" s="12">
        <f t="shared" si="33"/>
        <v>5</v>
      </c>
      <c r="AX164" s="12">
        <v>2</v>
      </c>
      <c r="AY164" s="12">
        <v>1</v>
      </c>
      <c r="AZ164" s="12">
        <v>5</v>
      </c>
      <c r="BA164" s="12">
        <f t="shared" si="34"/>
        <v>5</v>
      </c>
      <c r="BB164" s="12">
        <v>2</v>
      </c>
      <c r="BC164" s="12">
        <v>0</v>
      </c>
      <c r="BD164" s="12">
        <f t="shared" si="43"/>
        <v>0</v>
      </c>
      <c r="BE164" s="12">
        <v>2</v>
      </c>
      <c r="BF164" s="12">
        <f t="shared" si="35"/>
        <v>2</v>
      </c>
      <c r="BG164" s="12">
        <f t="shared" si="44"/>
        <v>2</v>
      </c>
      <c r="BH164" s="67">
        <v>0</v>
      </c>
      <c r="BI164" s="67">
        <v>1</v>
      </c>
      <c r="BJ164" s="67">
        <v>0</v>
      </c>
      <c r="BK164" s="67">
        <v>0</v>
      </c>
      <c r="BL164" s="67">
        <v>0</v>
      </c>
      <c r="BM164" s="67">
        <v>0</v>
      </c>
      <c r="BN164" s="67">
        <v>1</v>
      </c>
      <c r="BO164" s="67">
        <v>0</v>
      </c>
      <c r="BP164" s="67">
        <v>0</v>
      </c>
      <c r="BQ164" s="67">
        <v>2</v>
      </c>
      <c r="BR164" s="67">
        <v>0</v>
      </c>
      <c r="BS164" s="67">
        <v>0</v>
      </c>
      <c r="BT164" s="67">
        <v>5</v>
      </c>
      <c r="BU164" s="70">
        <v>0</v>
      </c>
      <c r="BV164" s="29">
        <f t="shared" si="36"/>
        <v>0.80500554000903646</v>
      </c>
      <c r="BW164">
        <f t="shared" si="37"/>
        <v>0.59502473559756086</v>
      </c>
      <c r="BX164">
        <f t="shared" si="38"/>
        <v>0.80706439257840468</v>
      </c>
      <c r="BY164">
        <f t="shared" si="39"/>
        <v>0.32778177112653761</v>
      </c>
      <c r="BZ164">
        <f t="shared" si="40"/>
        <v>1.4564796398038149</v>
      </c>
      <c r="CA164">
        <f t="shared" si="41"/>
        <v>0.97684123527310796</v>
      </c>
      <c r="CB164">
        <f t="shared" si="42"/>
        <v>0.67891464284095016</v>
      </c>
    </row>
    <row r="165" spans="1:80" x14ac:dyDescent="0.45">
      <c r="A165" s="11">
        <v>57</v>
      </c>
      <c r="B165" s="12">
        <f t="shared" si="30"/>
        <v>57</v>
      </c>
      <c r="C165" s="12" t="s">
        <v>59</v>
      </c>
      <c r="D165" s="12">
        <v>0</v>
      </c>
      <c r="E165" s="12" t="s">
        <v>53</v>
      </c>
      <c r="F165" s="12">
        <v>0</v>
      </c>
      <c r="G165" s="12">
        <v>1</v>
      </c>
      <c r="H165" s="12" t="s">
        <v>61</v>
      </c>
      <c r="I165" s="12">
        <v>1</v>
      </c>
      <c r="J165" s="12">
        <v>0</v>
      </c>
      <c r="K165" s="12">
        <v>24</v>
      </c>
      <c r="L165" s="12">
        <f t="shared" si="31"/>
        <v>24</v>
      </c>
      <c r="M165" s="12">
        <v>2</v>
      </c>
      <c r="N165" s="12" t="s">
        <v>55</v>
      </c>
      <c r="O165" s="12">
        <v>1</v>
      </c>
      <c r="P165" s="12">
        <v>0</v>
      </c>
      <c r="Q165" s="12">
        <v>0</v>
      </c>
      <c r="R165" s="12">
        <v>0</v>
      </c>
      <c r="S165" s="12">
        <v>0</v>
      </c>
      <c r="T165" s="12">
        <v>3</v>
      </c>
      <c r="U165" s="12" t="s">
        <v>62</v>
      </c>
      <c r="V165" s="12">
        <v>0</v>
      </c>
      <c r="W165" s="12">
        <v>83</v>
      </c>
      <c r="X165" s="12">
        <v>4</v>
      </c>
      <c r="Y165" s="12">
        <v>3</v>
      </c>
      <c r="Z165" s="12" t="s">
        <v>85</v>
      </c>
      <c r="AA165" s="12">
        <v>1</v>
      </c>
      <c r="AB165" s="12">
        <v>0</v>
      </c>
      <c r="AC165" s="12">
        <v>0</v>
      </c>
      <c r="AD165" s="12">
        <v>0</v>
      </c>
      <c r="AE165" s="12">
        <v>0</v>
      </c>
      <c r="AF165" s="12">
        <v>0</v>
      </c>
      <c r="AG165" s="12">
        <v>0</v>
      </c>
      <c r="AH165" s="12">
        <v>0</v>
      </c>
      <c r="AI165" s="12">
        <v>4</v>
      </c>
      <c r="AJ165" s="12" t="s">
        <v>78</v>
      </c>
      <c r="AK165" s="12">
        <v>0</v>
      </c>
      <c r="AL165" s="12">
        <v>0</v>
      </c>
      <c r="AM165" s="12">
        <v>9439</v>
      </c>
      <c r="AN165" s="12">
        <f t="shared" si="32"/>
        <v>9439</v>
      </c>
      <c r="AO165" s="12">
        <v>3</v>
      </c>
      <c r="AP165" s="12" t="s">
        <v>52</v>
      </c>
      <c r="AQ165" s="12">
        <v>1</v>
      </c>
      <c r="AR165" s="12">
        <v>16</v>
      </c>
      <c r="AS165" s="12">
        <v>3</v>
      </c>
      <c r="AT165" s="12">
        <v>2</v>
      </c>
      <c r="AU165" s="12">
        <v>1</v>
      </c>
      <c r="AV165" s="12">
        <v>12</v>
      </c>
      <c r="AW165" s="12">
        <f t="shared" si="33"/>
        <v>12</v>
      </c>
      <c r="AX165" s="12">
        <v>2</v>
      </c>
      <c r="AY165" s="12">
        <v>1</v>
      </c>
      <c r="AZ165" s="12">
        <v>5</v>
      </c>
      <c r="BA165" s="12">
        <f t="shared" si="34"/>
        <v>5</v>
      </c>
      <c r="BB165" s="12">
        <v>3</v>
      </c>
      <c r="BC165" s="12">
        <v>1</v>
      </c>
      <c r="BD165" s="12">
        <f t="shared" si="43"/>
        <v>1</v>
      </c>
      <c r="BE165" s="12">
        <v>4</v>
      </c>
      <c r="BF165" s="12">
        <f t="shared" si="35"/>
        <v>4</v>
      </c>
      <c r="BG165" s="12">
        <f t="shared" si="44"/>
        <v>12</v>
      </c>
      <c r="BH165" s="67">
        <v>1</v>
      </c>
      <c r="BI165" s="67">
        <v>0</v>
      </c>
      <c r="BJ165" s="67">
        <v>0</v>
      </c>
      <c r="BK165" s="67">
        <v>0</v>
      </c>
      <c r="BL165" s="67">
        <v>0</v>
      </c>
      <c r="BM165" s="67">
        <v>1</v>
      </c>
      <c r="BN165" s="67">
        <v>0</v>
      </c>
      <c r="BO165" s="67">
        <v>0</v>
      </c>
      <c r="BP165" s="67">
        <v>0</v>
      </c>
      <c r="BQ165" s="67">
        <v>4</v>
      </c>
      <c r="BR165" s="67">
        <v>0</v>
      </c>
      <c r="BS165" s="67">
        <v>0</v>
      </c>
      <c r="BT165" s="67">
        <v>12</v>
      </c>
      <c r="BU165" s="70">
        <v>0</v>
      </c>
      <c r="BV165" s="29">
        <f t="shared" si="36"/>
        <v>0.62363968973202022</v>
      </c>
      <c r="BW165">
        <f t="shared" si="37"/>
        <v>3.4508002929560584E-2</v>
      </c>
      <c r="BX165">
        <f t="shared" si="38"/>
        <v>9.2588147734864096E-2</v>
      </c>
      <c r="BY165">
        <f t="shared" si="39"/>
        <v>0.32778177112653761</v>
      </c>
      <c r="BZ165">
        <f t="shared" si="40"/>
        <v>1.8265364014293735</v>
      </c>
      <c r="CA165">
        <f t="shared" si="41"/>
        <v>2.197632149365754</v>
      </c>
      <c r="CB165">
        <f t="shared" si="42"/>
        <v>0.36858985273641137</v>
      </c>
    </row>
    <row r="166" spans="1:80" x14ac:dyDescent="0.45">
      <c r="A166" s="11">
        <v>27</v>
      </c>
      <c r="B166" s="12">
        <f t="shared" si="30"/>
        <v>27</v>
      </c>
      <c r="C166" s="12" t="s">
        <v>59</v>
      </c>
      <c r="D166" s="12">
        <v>0</v>
      </c>
      <c r="E166" s="12" t="s">
        <v>86</v>
      </c>
      <c r="F166" s="12">
        <v>0</v>
      </c>
      <c r="G166" s="12">
        <v>0</v>
      </c>
      <c r="H166" s="12" t="s">
        <v>61</v>
      </c>
      <c r="I166" s="12">
        <v>1</v>
      </c>
      <c r="J166" s="12">
        <v>0</v>
      </c>
      <c r="K166" s="12">
        <v>3</v>
      </c>
      <c r="L166" s="12">
        <f t="shared" si="31"/>
        <v>3</v>
      </c>
      <c r="M166" s="12">
        <v>3</v>
      </c>
      <c r="N166" s="12" t="s">
        <v>70</v>
      </c>
      <c r="O166" s="12">
        <v>0</v>
      </c>
      <c r="P166" s="12">
        <v>0</v>
      </c>
      <c r="Q166" s="12">
        <v>1</v>
      </c>
      <c r="R166" s="12">
        <v>0</v>
      </c>
      <c r="S166" s="12">
        <v>0</v>
      </c>
      <c r="T166" s="12">
        <v>3</v>
      </c>
      <c r="U166" s="12" t="s">
        <v>62</v>
      </c>
      <c r="V166" s="12">
        <v>0</v>
      </c>
      <c r="W166" s="12">
        <v>79</v>
      </c>
      <c r="X166" s="12">
        <v>2</v>
      </c>
      <c r="Y166" s="12">
        <v>1</v>
      </c>
      <c r="Z166" s="12" t="s">
        <v>63</v>
      </c>
      <c r="AA166" s="12">
        <v>0</v>
      </c>
      <c r="AB166" s="12">
        <v>0</v>
      </c>
      <c r="AC166" s="12">
        <v>0</v>
      </c>
      <c r="AD166" s="12">
        <v>0</v>
      </c>
      <c r="AE166" s="12">
        <v>0</v>
      </c>
      <c r="AF166" s="12">
        <v>0</v>
      </c>
      <c r="AG166" s="12">
        <v>0</v>
      </c>
      <c r="AH166" s="12">
        <v>1</v>
      </c>
      <c r="AI166" s="12">
        <v>3</v>
      </c>
      <c r="AJ166" s="12" t="s">
        <v>78</v>
      </c>
      <c r="AK166" s="12">
        <v>0</v>
      </c>
      <c r="AL166" s="12">
        <v>0</v>
      </c>
      <c r="AM166" s="12">
        <v>2566</v>
      </c>
      <c r="AN166" s="12">
        <f t="shared" si="32"/>
        <v>2566</v>
      </c>
      <c r="AO166" s="12">
        <v>1</v>
      </c>
      <c r="AP166" s="12" t="s">
        <v>52</v>
      </c>
      <c r="AQ166" s="12">
        <v>1</v>
      </c>
      <c r="AR166" s="12">
        <v>15</v>
      </c>
      <c r="AS166" s="12">
        <v>3</v>
      </c>
      <c r="AT166" s="12">
        <v>4</v>
      </c>
      <c r="AU166" s="12">
        <v>1</v>
      </c>
      <c r="AV166" s="12">
        <v>1</v>
      </c>
      <c r="AW166" s="12">
        <f t="shared" si="33"/>
        <v>1</v>
      </c>
      <c r="AX166" s="12">
        <v>2</v>
      </c>
      <c r="AY166" s="12">
        <v>2</v>
      </c>
      <c r="AZ166" s="12">
        <v>1</v>
      </c>
      <c r="BA166" s="12">
        <f t="shared" si="34"/>
        <v>1</v>
      </c>
      <c r="BB166" s="12">
        <v>1</v>
      </c>
      <c r="BC166" s="12">
        <v>0</v>
      </c>
      <c r="BD166" s="12">
        <f t="shared" si="43"/>
        <v>0</v>
      </c>
      <c r="BE166" s="12">
        <v>1</v>
      </c>
      <c r="BF166" s="12">
        <f t="shared" si="35"/>
        <v>1</v>
      </c>
      <c r="BG166" s="12">
        <f t="shared" si="44"/>
        <v>1</v>
      </c>
      <c r="BH166" s="67">
        <v>1</v>
      </c>
      <c r="BI166" s="67">
        <v>0</v>
      </c>
      <c r="BJ166" s="67">
        <v>0</v>
      </c>
      <c r="BK166" s="67">
        <v>0</v>
      </c>
      <c r="BL166" s="67">
        <v>0</v>
      </c>
      <c r="BM166" s="67">
        <v>1</v>
      </c>
      <c r="BN166" s="67">
        <v>0</v>
      </c>
      <c r="BO166" s="67">
        <v>0</v>
      </c>
      <c r="BP166" s="67">
        <v>0</v>
      </c>
      <c r="BQ166" s="67">
        <v>1</v>
      </c>
      <c r="BR166" s="67">
        <v>0</v>
      </c>
      <c r="BS166" s="67">
        <v>0</v>
      </c>
      <c r="BT166" s="67">
        <v>1</v>
      </c>
      <c r="BU166" s="70">
        <v>0</v>
      </c>
      <c r="BV166" s="29">
        <f t="shared" si="36"/>
        <v>0.83622927607385</v>
      </c>
      <c r="BW166">
        <f t="shared" si="37"/>
        <v>0.87528310193156111</v>
      </c>
      <c r="BX166">
        <f t="shared" si="38"/>
        <v>1.3211515584717011</v>
      </c>
      <c r="BY166">
        <f t="shared" si="39"/>
        <v>0.9806804209314296</v>
      </c>
      <c r="BZ166">
        <f t="shared" si="40"/>
        <v>0.76386092994953758</v>
      </c>
      <c r="CA166">
        <f t="shared" si="41"/>
        <v>1.0863058347434136</v>
      </c>
      <c r="CB166">
        <f t="shared" si="42"/>
        <v>0.67891464284095016</v>
      </c>
    </row>
    <row r="167" spans="1:80" x14ac:dyDescent="0.45">
      <c r="A167" s="11">
        <v>50</v>
      </c>
      <c r="B167" s="12">
        <f t="shared" si="30"/>
        <v>50</v>
      </c>
      <c r="C167" s="12" t="s">
        <v>59</v>
      </c>
      <c r="D167" s="12">
        <v>0</v>
      </c>
      <c r="E167" s="12" t="s">
        <v>53</v>
      </c>
      <c r="F167" s="12">
        <v>0</v>
      </c>
      <c r="G167" s="12">
        <v>1</v>
      </c>
      <c r="H167" s="12" t="s">
        <v>61</v>
      </c>
      <c r="I167" s="12">
        <v>1</v>
      </c>
      <c r="J167" s="12">
        <v>0</v>
      </c>
      <c r="K167" s="12">
        <v>11</v>
      </c>
      <c r="L167" s="12">
        <f t="shared" si="31"/>
        <v>11</v>
      </c>
      <c r="M167" s="12">
        <v>3</v>
      </c>
      <c r="N167" s="12" t="s">
        <v>55</v>
      </c>
      <c r="O167" s="12">
        <v>1</v>
      </c>
      <c r="P167" s="12">
        <v>0</v>
      </c>
      <c r="Q167" s="12">
        <v>0</v>
      </c>
      <c r="R167" s="12">
        <v>0</v>
      </c>
      <c r="S167" s="12">
        <v>0</v>
      </c>
      <c r="T167" s="12">
        <v>3</v>
      </c>
      <c r="U167" s="12" t="s">
        <v>19</v>
      </c>
      <c r="V167" s="12">
        <v>1</v>
      </c>
      <c r="W167" s="12">
        <v>53</v>
      </c>
      <c r="X167" s="12">
        <v>3</v>
      </c>
      <c r="Y167" s="12">
        <v>5</v>
      </c>
      <c r="Z167" s="12" t="s">
        <v>87</v>
      </c>
      <c r="AA167" s="12">
        <v>0</v>
      </c>
      <c r="AB167" s="12">
        <v>0</v>
      </c>
      <c r="AC167" s="12">
        <v>0</v>
      </c>
      <c r="AD167" s="12">
        <v>1</v>
      </c>
      <c r="AE167" s="12">
        <v>0</v>
      </c>
      <c r="AF167" s="12">
        <v>0</v>
      </c>
      <c r="AG167" s="12">
        <v>0</v>
      </c>
      <c r="AH167" s="12">
        <v>0</v>
      </c>
      <c r="AI167" s="12">
        <v>2</v>
      </c>
      <c r="AJ167" s="12" t="s">
        <v>57</v>
      </c>
      <c r="AK167" s="12">
        <v>1</v>
      </c>
      <c r="AL167" s="12">
        <v>0</v>
      </c>
      <c r="AM167" s="12">
        <v>19926</v>
      </c>
      <c r="AN167" s="12">
        <f t="shared" si="32"/>
        <v>19626.310000000001</v>
      </c>
      <c r="AO167" s="12">
        <v>3</v>
      </c>
      <c r="AP167" s="12" t="s">
        <v>59</v>
      </c>
      <c r="AQ167" s="12">
        <v>0</v>
      </c>
      <c r="AR167" s="12">
        <v>15</v>
      </c>
      <c r="AS167" s="12">
        <v>3</v>
      </c>
      <c r="AT167" s="12">
        <v>2</v>
      </c>
      <c r="AU167" s="12">
        <v>0</v>
      </c>
      <c r="AV167" s="12">
        <v>21</v>
      </c>
      <c r="AW167" s="12">
        <f t="shared" si="33"/>
        <v>21</v>
      </c>
      <c r="AX167" s="12">
        <v>5</v>
      </c>
      <c r="AY167" s="12">
        <v>3</v>
      </c>
      <c r="AZ167" s="12">
        <v>5</v>
      </c>
      <c r="BA167" s="12">
        <f t="shared" si="34"/>
        <v>5</v>
      </c>
      <c r="BB167" s="12">
        <v>4</v>
      </c>
      <c r="BC167" s="12">
        <v>4</v>
      </c>
      <c r="BD167" s="12">
        <f t="shared" si="43"/>
        <v>4</v>
      </c>
      <c r="BE167" s="12">
        <v>4</v>
      </c>
      <c r="BF167" s="12">
        <f t="shared" si="35"/>
        <v>4</v>
      </c>
      <c r="BG167" s="12">
        <f t="shared" si="44"/>
        <v>20</v>
      </c>
      <c r="BH167" s="67">
        <v>1</v>
      </c>
      <c r="BI167" s="67">
        <v>0</v>
      </c>
      <c r="BJ167" s="67">
        <v>0</v>
      </c>
      <c r="BK167" s="67">
        <v>0</v>
      </c>
      <c r="BL167" s="67">
        <v>1</v>
      </c>
      <c r="BM167" s="67">
        <v>0</v>
      </c>
      <c r="BN167" s="67">
        <v>0</v>
      </c>
      <c r="BO167" s="67">
        <v>0</v>
      </c>
      <c r="BP167" s="67">
        <v>0</v>
      </c>
      <c r="BQ167" s="67">
        <v>4</v>
      </c>
      <c r="BR167" s="67">
        <v>0</v>
      </c>
      <c r="BS167" s="67">
        <v>0</v>
      </c>
      <c r="BT167" s="67">
        <v>21</v>
      </c>
      <c r="BU167" s="70">
        <v>0</v>
      </c>
      <c r="BV167" s="29">
        <f t="shared" si="36"/>
        <v>2.8511452687231684</v>
      </c>
      <c r="BW167">
        <f t="shared" si="37"/>
        <v>3.4508002929560584E-2</v>
      </c>
      <c r="BX167">
        <f t="shared" si="38"/>
        <v>1.2492842709947811</v>
      </c>
      <c r="BY167">
        <f t="shared" si="39"/>
        <v>0.32778177112653761</v>
      </c>
      <c r="BZ167">
        <f t="shared" si="40"/>
        <v>0.22295710105195232</v>
      </c>
      <c r="CA167">
        <f t="shared" si="41"/>
        <v>1.4313799530736149</v>
      </c>
      <c r="CB167">
        <f t="shared" si="42"/>
        <v>0.56238451757720498</v>
      </c>
    </row>
    <row r="168" spans="1:80" x14ac:dyDescent="0.45">
      <c r="A168" s="11">
        <v>41</v>
      </c>
      <c r="B168" s="12">
        <f t="shared" si="30"/>
        <v>41</v>
      </c>
      <c r="C168" s="12" t="s">
        <v>59</v>
      </c>
      <c r="D168" s="12">
        <v>0</v>
      </c>
      <c r="E168" s="12" t="s">
        <v>53</v>
      </c>
      <c r="F168" s="12">
        <v>0</v>
      </c>
      <c r="G168" s="12">
        <v>1</v>
      </c>
      <c r="H168" s="12" t="s">
        <v>61</v>
      </c>
      <c r="I168" s="12">
        <v>1</v>
      </c>
      <c r="J168" s="12">
        <v>0</v>
      </c>
      <c r="K168" s="12">
        <v>14</v>
      </c>
      <c r="L168" s="12">
        <f t="shared" si="31"/>
        <v>14</v>
      </c>
      <c r="M168" s="12">
        <v>3</v>
      </c>
      <c r="N168" s="12" t="s">
        <v>55</v>
      </c>
      <c r="O168" s="12">
        <v>1</v>
      </c>
      <c r="P168" s="12">
        <v>0</v>
      </c>
      <c r="Q168" s="12">
        <v>0</v>
      </c>
      <c r="R168" s="12">
        <v>0</v>
      </c>
      <c r="S168" s="12">
        <v>0</v>
      </c>
      <c r="T168" s="12">
        <v>1</v>
      </c>
      <c r="U168" s="12" t="s">
        <v>62</v>
      </c>
      <c r="V168" s="12">
        <v>0</v>
      </c>
      <c r="W168" s="12">
        <v>56</v>
      </c>
      <c r="X168" s="12">
        <v>3</v>
      </c>
      <c r="Y168" s="12">
        <v>1</v>
      </c>
      <c r="Z168" s="12" t="s">
        <v>63</v>
      </c>
      <c r="AA168" s="12">
        <v>0</v>
      </c>
      <c r="AB168" s="12">
        <v>0</v>
      </c>
      <c r="AC168" s="12">
        <v>0</v>
      </c>
      <c r="AD168" s="12">
        <v>0</v>
      </c>
      <c r="AE168" s="12">
        <v>0</v>
      </c>
      <c r="AF168" s="12">
        <v>0</v>
      </c>
      <c r="AG168" s="12">
        <v>0</v>
      </c>
      <c r="AH168" s="12">
        <v>1</v>
      </c>
      <c r="AI168" s="12">
        <v>3</v>
      </c>
      <c r="AJ168" s="12" t="s">
        <v>78</v>
      </c>
      <c r="AK168" s="12">
        <v>0</v>
      </c>
      <c r="AL168" s="12">
        <v>0</v>
      </c>
      <c r="AM168" s="12">
        <v>2451</v>
      </c>
      <c r="AN168" s="12">
        <f t="shared" si="32"/>
        <v>2451</v>
      </c>
      <c r="AO168" s="12">
        <v>4</v>
      </c>
      <c r="AP168" s="12" t="s">
        <v>59</v>
      </c>
      <c r="AQ168" s="12">
        <v>0</v>
      </c>
      <c r="AR168" s="12">
        <v>12</v>
      </c>
      <c r="AS168" s="12">
        <v>3</v>
      </c>
      <c r="AT168" s="12">
        <v>1</v>
      </c>
      <c r="AU168" s="12">
        <v>1</v>
      </c>
      <c r="AV168" s="12">
        <v>13</v>
      </c>
      <c r="AW168" s="12">
        <f t="shared" si="33"/>
        <v>13</v>
      </c>
      <c r="AX168" s="12">
        <v>2</v>
      </c>
      <c r="AY168" s="12">
        <v>3</v>
      </c>
      <c r="AZ168" s="12">
        <v>9</v>
      </c>
      <c r="BA168" s="12">
        <f t="shared" si="34"/>
        <v>9</v>
      </c>
      <c r="BB168" s="12">
        <v>8</v>
      </c>
      <c r="BC168" s="12">
        <v>1</v>
      </c>
      <c r="BD168" s="12">
        <f t="shared" si="43"/>
        <v>1</v>
      </c>
      <c r="BE168" s="12">
        <v>8</v>
      </c>
      <c r="BF168" s="12">
        <f t="shared" si="35"/>
        <v>8</v>
      </c>
      <c r="BG168" s="12">
        <f t="shared" si="44"/>
        <v>8</v>
      </c>
      <c r="BH168" s="67">
        <v>1</v>
      </c>
      <c r="BI168" s="67">
        <v>0</v>
      </c>
      <c r="BJ168" s="67">
        <v>0</v>
      </c>
      <c r="BK168" s="67">
        <v>0</v>
      </c>
      <c r="BL168" s="67">
        <v>1</v>
      </c>
      <c r="BM168" s="67">
        <v>0</v>
      </c>
      <c r="BN168" s="67">
        <v>0</v>
      </c>
      <c r="BO168" s="67">
        <v>0</v>
      </c>
      <c r="BP168" s="67">
        <v>0</v>
      </c>
      <c r="BQ168" s="67">
        <v>8</v>
      </c>
      <c r="BR168" s="67">
        <v>0</v>
      </c>
      <c r="BS168" s="67">
        <v>0</v>
      </c>
      <c r="BT168" s="67">
        <v>13</v>
      </c>
      <c r="BU168" s="70">
        <v>0</v>
      </c>
      <c r="BV168" s="29">
        <f t="shared" si="36"/>
        <v>0.86065600836945233</v>
      </c>
      <c r="BW168">
        <f t="shared" si="37"/>
        <v>1.08652546240644</v>
      </c>
      <c r="BX168">
        <f t="shared" si="38"/>
        <v>0.22110993920818819</v>
      </c>
      <c r="BY168">
        <f t="shared" si="39"/>
        <v>0.32511687867835437</v>
      </c>
      <c r="BZ168">
        <f t="shared" si="40"/>
        <v>0.59301386267751111</v>
      </c>
      <c r="CA168">
        <f t="shared" si="41"/>
        <v>0.4461985578408646</v>
      </c>
      <c r="CB168">
        <f t="shared" si="42"/>
        <v>0.36858985273641137</v>
      </c>
    </row>
    <row r="169" spans="1:80" x14ac:dyDescent="0.45">
      <c r="A169" s="11">
        <v>30</v>
      </c>
      <c r="B169" s="12">
        <f t="shared" si="30"/>
        <v>30</v>
      </c>
      <c r="C169" s="12" t="s">
        <v>59</v>
      </c>
      <c r="D169" s="12">
        <v>0</v>
      </c>
      <c r="E169" s="12" t="s">
        <v>53</v>
      </c>
      <c r="F169" s="12">
        <v>0</v>
      </c>
      <c r="G169" s="12">
        <v>1</v>
      </c>
      <c r="H169" s="12" t="s">
        <v>54</v>
      </c>
      <c r="I169" s="12">
        <v>0</v>
      </c>
      <c r="J169" s="12">
        <v>1</v>
      </c>
      <c r="K169" s="12">
        <v>5</v>
      </c>
      <c r="L169" s="12">
        <f t="shared" si="31"/>
        <v>5</v>
      </c>
      <c r="M169" s="12">
        <v>3</v>
      </c>
      <c r="N169" s="12" t="s">
        <v>55</v>
      </c>
      <c r="O169" s="12">
        <v>1</v>
      </c>
      <c r="P169" s="12">
        <v>0</v>
      </c>
      <c r="Q169" s="12">
        <v>0</v>
      </c>
      <c r="R169" s="12">
        <v>0</v>
      </c>
      <c r="S169" s="12">
        <v>0</v>
      </c>
      <c r="T169" s="12">
        <v>2</v>
      </c>
      <c r="U169" s="12" t="s">
        <v>19</v>
      </c>
      <c r="V169" s="12">
        <v>1</v>
      </c>
      <c r="W169" s="12">
        <v>41</v>
      </c>
      <c r="X169" s="12">
        <v>3</v>
      </c>
      <c r="Y169" s="12">
        <v>3</v>
      </c>
      <c r="Z169" s="12" t="s">
        <v>56</v>
      </c>
      <c r="AA169" s="12">
        <v>0</v>
      </c>
      <c r="AB169" s="12">
        <v>1</v>
      </c>
      <c r="AC169" s="12">
        <v>0</v>
      </c>
      <c r="AD169" s="12">
        <v>0</v>
      </c>
      <c r="AE169" s="12">
        <v>0</v>
      </c>
      <c r="AF169" s="12">
        <v>0</v>
      </c>
      <c r="AG169" s="12">
        <v>0</v>
      </c>
      <c r="AH169" s="12">
        <v>0</v>
      </c>
      <c r="AI169" s="12">
        <v>4</v>
      </c>
      <c r="AJ169" s="12" t="s">
        <v>64</v>
      </c>
      <c r="AK169" s="12">
        <v>0</v>
      </c>
      <c r="AL169" s="12">
        <v>1</v>
      </c>
      <c r="AM169" s="12">
        <v>9419</v>
      </c>
      <c r="AN169" s="12">
        <f t="shared" si="32"/>
        <v>9419</v>
      </c>
      <c r="AO169" s="12">
        <v>2</v>
      </c>
      <c r="AP169" s="12" t="s">
        <v>59</v>
      </c>
      <c r="AQ169" s="12">
        <v>0</v>
      </c>
      <c r="AR169" s="12">
        <v>12</v>
      </c>
      <c r="AS169" s="12">
        <v>3</v>
      </c>
      <c r="AT169" s="12">
        <v>3</v>
      </c>
      <c r="AU169" s="12">
        <v>1</v>
      </c>
      <c r="AV169" s="12">
        <v>12</v>
      </c>
      <c r="AW169" s="12">
        <f t="shared" si="33"/>
        <v>12</v>
      </c>
      <c r="AX169" s="12">
        <v>2</v>
      </c>
      <c r="AY169" s="12">
        <v>3</v>
      </c>
      <c r="AZ169" s="12">
        <v>10</v>
      </c>
      <c r="BA169" s="12">
        <f t="shared" si="34"/>
        <v>10</v>
      </c>
      <c r="BB169" s="12">
        <v>9</v>
      </c>
      <c r="BC169" s="12">
        <v>7</v>
      </c>
      <c r="BD169" s="12">
        <f t="shared" si="43"/>
        <v>7</v>
      </c>
      <c r="BE169" s="12">
        <v>4</v>
      </c>
      <c r="BF169" s="12">
        <f t="shared" si="35"/>
        <v>4</v>
      </c>
      <c r="BG169" s="12">
        <f t="shared" si="44"/>
        <v>12</v>
      </c>
      <c r="BH169" s="67">
        <v>0</v>
      </c>
      <c r="BI169" s="67">
        <v>1</v>
      </c>
      <c r="BJ169" s="67">
        <v>0</v>
      </c>
      <c r="BK169" s="67">
        <v>0</v>
      </c>
      <c r="BL169" s="67">
        <v>0</v>
      </c>
      <c r="BM169" s="67">
        <v>0</v>
      </c>
      <c r="BN169" s="67">
        <v>1</v>
      </c>
      <c r="BO169" s="67">
        <v>0</v>
      </c>
      <c r="BP169" s="67">
        <v>0</v>
      </c>
      <c r="BQ169" s="67">
        <v>0</v>
      </c>
      <c r="BR169" s="67">
        <v>4</v>
      </c>
      <c r="BS169" s="67">
        <v>0</v>
      </c>
      <c r="BT169" s="67">
        <v>0</v>
      </c>
      <c r="BU169" s="70">
        <v>12</v>
      </c>
      <c r="BV169" s="29">
        <f t="shared" si="36"/>
        <v>0.61939156237626325</v>
      </c>
      <c r="BW169">
        <f t="shared" si="37"/>
        <v>3.4508002929560584E-2</v>
      </c>
      <c r="BX169">
        <f t="shared" si="38"/>
        <v>9.2588147734864096E-2</v>
      </c>
      <c r="BY169">
        <f t="shared" si="39"/>
        <v>0.48834154112957734</v>
      </c>
      <c r="BZ169">
        <f t="shared" si="40"/>
        <v>0.51715642219916513</v>
      </c>
      <c r="CA169">
        <f t="shared" si="41"/>
        <v>0.75791203633249671</v>
      </c>
      <c r="CB169">
        <f t="shared" si="42"/>
        <v>1.4933588878908215</v>
      </c>
    </row>
    <row r="170" spans="1:80" x14ac:dyDescent="0.45">
      <c r="A170" s="11">
        <v>38</v>
      </c>
      <c r="B170" s="12">
        <f t="shared" si="30"/>
        <v>38</v>
      </c>
      <c r="C170" s="12" t="s">
        <v>59</v>
      </c>
      <c r="D170" s="12">
        <v>0</v>
      </c>
      <c r="E170" s="12" t="s">
        <v>53</v>
      </c>
      <c r="F170" s="12">
        <v>0</v>
      </c>
      <c r="G170" s="12">
        <v>1</v>
      </c>
      <c r="H170" s="12" t="s">
        <v>54</v>
      </c>
      <c r="I170" s="12">
        <v>0</v>
      </c>
      <c r="J170" s="12">
        <v>1</v>
      </c>
      <c r="K170" s="12">
        <v>1</v>
      </c>
      <c r="L170" s="12">
        <f t="shared" si="31"/>
        <v>1</v>
      </c>
      <c r="M170" s="12">
        <v>4</v>
      </c>
      <c r="N170" s="12" t="s">
        <v>55</v>
      </c>
      <c r="O170" s="12">
        <v>1</v>
      </c>
      <c r="P170" s="12">
        <v>0</v>
      </c>
      <c r="Q170" s="12">
        <v>0</v>
      </c>
      <c r="R170" s="12">
        <v>0</v>
      </c>
      <c r="S170" s="12">
        <v>0</v>
      </c>
      <c r="T170" s="12">
        <v>1</v>
      </c>
      <c r="U170" s="12" t="s">
        <v>19</v>
      </c>
      <c r="V170" s="12">
        <v>1</v>
      </c>
      <c r="W170" s="12">
        <v>59</v>
      </c>
      <c r="X170" s="12">
        <v>2</v>
      </c>
      <c r="Y170" s="12">
        <v>2</v>
      </c>
      <c r="Z170" s="12" t="s">
        <v>56</v>
      </c>
      <c r="AA170" s="12">
        <v>0</v>
      </c>
      <c r="AB170" s="12">
        <v>1</v>
      </c>
      <c r="AC170" s="12">
        <v>0</v>
      </c>
      <c r="AD170" s="12">
        <v>0</v>
      </c>
      <c r="AE170" s="12">
        <v>0</v>
      </c>
      <c r="AF170" s="12">
        <v>0</v>
      </c>
      <c r="AG170" s="12">
        <v>0</v>
      </c>
      <c r="AH170" s="12">
        <v>0</v>
      </c>
      <c r="AI170" s="12">
        <v>4</v>
      </c>
      <c r="AJ170" s="12" t="s">
        <v>57</v>
      </c>
      <c r="AK170" s="12">
        <v>1</v>
      </c>
      <c r="AL170" s="12">
        <v>0</v>
      </c>
      <c r="AM170" s="12">
        <v>8686</v>
      </c>
      <c r="AN170" s="12">
        <f t="shared" si="32"/>
        <v>8686</v>
      </c>
      <c r="AO170" s="12">
        <v>4</v>
      </c>
      <c r="AP170" s="12" t="s">
        <v>59</v>
      </c>
      <c r="AQ170" s="12">
        <v>0</v>
      </c>
      <c r="AR170" s="12">
        <v>22</v>
      </c>
      <c r="AS170" s="12">
        <v>4</v>
      </c>
      <c r="AT170" s="12">
        <v>3</v>
      </c>
      <c r="AU170" s="12">
        <v>0</v>
      </c>
      <c r="AV170" s="12">
        <v>12</v>
      </c>
      <c r="AW170" s="12">
        <f t="shared" si="33"/>
        <v>12</v>
      </c>
      <c r="AX170" s="12">
        <v>2</v>
      </c>
      <c r="AY170" s="12">
        <v>4</v>
      </c>
      <c r="AZ170" s="12">
        <v>8</v>
      </c>
      <c r="BA170" s="12">
        <f t="shared" si="34"/>
        <v>8</v>
      </c>
      <c r="BB170" s="12">
        <v>3</v>
      </c>
      <c r="BC170" s="12">
        <v>0</v>
      </c>
      <c r="BD170" s="12">
        <f t="shared" si="43"/>
        <v>0</v>
      </c>
      <c r="BE170" s="12">
        <v>7</v>
      </c>
      <c r="BF170" s="12">
        <f t="shared" si="35"/>
        <v>7</v>
      </c>
      <c r="BG170" s="12">
        <f t="shared" si="44"/>
        <v>14</v>
      </c>
      <c r="BH170" s="67">
        <v>1</v>
      </c>
      <c r="BI170" s="67">
        <v>0</v>
      </c>
      <c r="BJ170" s="67">
        <v>0</v>
      </c>
      <c r="BK170" s="67">
        <v>0</v>
      </c>
      <c r="BL170" s="67">
        <v>1</v>
      </c>
      <c r="BM170" s="67">
        <v>0</v>
      </c>
      <c r="BN170" s="67">
        <v>0</v>
      </c>
      <c r="BO170" s="67">
        <v>0</v>
      </c>
      <c r="BP170" s="67">
        <v>0</v>
      </c>
      <c r="BQ170" s="67">
        <v>0</v>
      </c>
      <c r="BR170" s="67">
        <v>7</v>
      </c>
      <c r="BS170" s="67">
        <v>0</v>
      </c>
      <c r="BT170" s="67">
        <v>0</v>
      </c>
      <c r="BU170" s="70">
        <v>12</v>
      </c>
      <c r="BV170" s="29">
        <f t="shared" si="36"/>
        <v>0.46369769478777167</v>
      </c>
      <c r="BW170">
        <f t="shared" si="37"/>
        <v>0.80626709607243985</v>
      </c>
      <c r="BX170">
        <f t="shared" si="38"/>
        <v>9.2588147734864096E-2</v>
      </c>
      <c r="BY170">
        <f t="shared" si="39"/>
        <v>0.16189221622713135</v>
      </c>
      <c r="BZ170">
        <f t="shared" si="40"/>
        <v>1.01056543769991</v>
      </c>
      <c r="CA170">
        <f t="shared" si="41"/>
        <v>0.11780475942994788</v>
      </c>
      <c r="CB170">
        <f t="shared" si="42"/>
        <v>0.67891464284095016</v>
      </c>
    </row>
    <row r="171" spans="1:80" x14ac:dyDescent="0.45">
      <c r="A171" s="11">
        <v>32</v>
      </c>
      <c r="B171" s="12">
        <f t="shared" si="30"/>
        <v>32</v>
      </c>
      <c r="C171" s="12" t="s">
        <v>59</v>
      </c>
      <c r="D171" s="12">
        <v>0</v>
      </c>
      <c r="E171" s="12" t="s">
        <v>53</v>
      </c>
      <c r="F171" s="12">
        <v>0</v>
      </c>
      <c r="G171" s="12">
        <v>1</v>
      </c>
      <c r="H171" s="12" t="s">
        <v>61</v>
      </c>
      <c r="I171" s="12">
        <v>1</v>
      </c>
      <c r="J171" s="12">
        <v>0</v>
      </c>
      <c r="K171" s="12">
        <v>6</v>
      </c>
      <c r="L171" s="12">
        <f t="shared" si="31"/>
        <v>6</v>
      </c>
      <c r="M171" s="12">
        <v>5</v>
      </c>
      <c r="N171" s="12" t="s">
        <v>55</v>
      </c>
      <c r="O171" s="12">
        <v>1</v>
      </c>
      <c r="P171" s="12">
        <v>0</v>
      </c>
      <c r="Q171" s="12">
        <v>0</v>
      </c>
      <c r="R171" s="12">
        <v>0</v>
      </c>
      <c r="S171" s="12">
        <v>0</v>
      </c>
      <c r="T171" s="12">
        <v>3</v>
      </c>
      <c r="U171" s="12" t="s">
        <v>62</v>
      </c>
      <c r="V171" s="12">
        <v>0</v>
      </c>
      <c r="W171" s="12">
        <v>43</v>
      </c>
      <c r="X171" s="12">
        <v>3</v>
      </c>
      <c r="Y171" s="12">
        <v>1</v>
      </c>
      <c r="Z171" s="12" t="s">
        <v>63</v>
      </c>
      <c r="AA171" s="12">
        <v>0</v>
      </c>
      <c r="AB171" s="12">
        <v>0</v>
      </c>
      <c r="AC171" s="12">
        <v>0</v>
      </c>
      <c r="AD171" s="12">
        <v>0</v>
      </c>
      <c r="AE171" s="12">
        <v>0</v>
      </c>
      <c r="AF171" s="12">
        <v>0</v>
      </c>
      <c r="AG171" s="12">
        <v>0</v>
      </c>
      <c r="AH171" s="12">
        <v>1</v>
      </c>
      <c r="AI171" s="12">
        <v>3</v>
      </c>
      <c r="AJ171" s="12" t="s">
        <v>57</v>
      </c>
      <c r="AK171" s="12">
        <v>1</v>
      </c>
      <c r="AL171" s="12">
        <v>0</v>
      </c>
      <c r="AM171" s="12">
        <v>3038</v>
      </c>
      <c r="AN171" s="12">
        <f t="shared" si="32"/>
        <v>3038</v>
      </c>
      <c r="AO171" s="12">
        <v>3</v>
      </c>
      <c r="AP171" s="12" t="s">
        <v>59</v>
      </c>
      <c r="AQ171" s="12">
        <v>0</v>
      </c>
      <c r="AR171" s="12">
        <v>20</v>
      </c>
      <c r="AS171" s="12">
        <v>4</v>
      </c>
      <c r="AT171" s="12">
        <v>1</v>
      </c>
      <c r="AU171" s="12">
        <v>0</v>
      </c>
      <c r="AV171" s="12">
        <v>8</v>
      </c>
      <c r="AW171" s="12">
        <f t="shared" si="33"/>
        <v>8</v>
      </c>
      <c r="AX171" s="12">
        <v>2</v>
      </c>
      <c r="AY171" s="12">
        <v>3</v>
      </c>
      <c r="AZ171" s="12">
        <v>5</v>
      </c>
      <c r="BA171" s="12">
        <f t="shared" si="34"/>
        <v>5</v>
      </c>
      <c r="BB171" s="12">
        <v>4</v>
      </c>
      <c r="BC171" s="12">
        <v>1</v>
      </c>
      <c r="BD171" s="12">
        <f t="shared" si="43"/>
        <v>1</v>
      </c>
      <c r="BE171" s="12">
        <v>4</v>
      </c>
      <c r="BF171" s="12">
        <f t="shared" si="35"/>
        <v>4</v>
      </c>
      <c r="BG171" s="12">
        <f t="shared" si="44"/>
        <v>4</v>
      </c>
      <c r="BH171" s="67">
        <v>1</v>
      </c>
      <c r="BI171" s="67">
        <v>0</v>
      </c>
      <c r="BJ171" s="67">
        <v>0</v>
      </c>
      <c r="BK171" s="67">
        <v>0</v>
      </c>
      <c r="BL171" s="67">
        <v>1</v>
      </c>
      <c r="BM171" s="67">
        <v>0</v>
      </c>
      <c r="BN171" s="67">
        <v>0</v>
      </c>
      <c r="BO171" s="67">
        <v>0</v>
      </c>
      <c r="BP171" s="67">
        <v>0</v>
      </c>
      <c r="BQ171" s="67">
        <v>4</v>
      </c>
      <c r="BR171" s="67">
        <v>0</v>
      </c>
      <c r="BS171" s="67">
        <v>0</v>
      </c>
      <c r="BT171" s="67">
        <v>8</v>
      </c>
      <c r="BU171" s="70">
        <v>0</v>
      </c>
      <c r="BV171" s="29">
        <f t="shared" si="36"/>
        <v>0.73597347047798634</v>
      </c>
      <c r="BW171">
        <f t="shared" si="37"/>
        <v>3.4508002929560584E-2</v>
      </c>
      <c r="BX171">
        <f t="shared" si="38"/>
        <v>0.42149901815843233</v>
      </c>
      <c r="BY171">
        <f t="shared" si="39"/>
        <v>0.32778177112653761</v>
      </c>
      <c r="BZ171">
        <f t="shared" si="40"/>
        <v>0.39380416832397891</v>
      </c>
      <c r="CA171">
        <f t="shared" si="41"/>
        <v>0.53898283739188557</v>
      </c>
      <c r="CB171">
        <f t="shared" si="42"/>
        <v>0.36858985273641137</v>
      </c>
    </row>
    <row r="172" spans="1:80" x14ac:dyDescent="0.45">
      <c r="A172" s="11">
        <v>27</v>
      </c>
      <c r="B172" s="12">
        <f t="shared" si="30"/>
        <v>27</v>
      </c>
      <c r="C172" s="12" t="s">
        <v>59</v>
      </c>
      <c r="D172" s="12">
        <v>0</v>
      </c>
      <c r="E172" s="12" t="s">
        <v>53</v>
      </c>
      <c r="F172" s="12">
        <v>0</v>
      </c>
      <c r="G172" s="12">
        <v>1</v>
      </c>
      <c r="H172" s="12" t="s">
        <v>61</v>
      </c>
      <c r="I172" s="12">
        <v>1</v>
      </c>
      <c r="J172" s="12">
        <v>0</v>
      </c>
      <c r="K172" s="12">
        <v>17</v>
      </c>
      <c r="L172" s="12">
        <f t="shared" si="31"/>
        <v>17</v>
      </c>
      <c r="M172" s="12">
        <v>3</v>
      </c>
      <c r="N172" s="12" t="s">
        <v>91</v>
      </c>
      <c r="O172" s="12">
        <v>0</v>
      </c>
      <c r="P172" s="12">
        <v>0</v>
      </c>
      <c r="Q172" s="12">
        <v>0</v>
      </c>
      <c r="R172" s="12">
        <v>0</v>
      </c>
      <c r="S172" s="12">
        <v>1</v>
      </c>
      <c r="T172" s="12">
        <v>3</v>
      </c>
      <c r="U172" s="12" t="s">
        <v>62</v>
      </c>
      <c r="V172" s="12">
        <v>0</v>
      </c>
      <c r="W172" s="12">
        <v>51</v>
      </c>
      <c r="X172" s="12">
        <v>3</v>
      </c>
      <c r="Y172" s="12">
        <v>1</v>
      </c>
      <c r="Z172" s="12" t="s">
        <v>63</v>
      </c>
      <c r="AA172" s="12">
        <v>0</v>
      </c>
      <c r="AB172" s="12">
        <v>0</v>
      </c>
      <c r="AC172" s="12">
        <v>0</v>
      </c>
      <c r="AD172" s="12">
        <v>0</v>
      </c>
      <c r="AE172" s="12">
        <v>0</v>
      </c>
      <c r="AF172" s="12">
        <v>0</v>
      </c>
      <c r="AG172" s="12">
        <v>0</v>
      </c>
      <c r="AH172" s="12">
        <v>1</v>
      </c>
      <c r="AI172" s="12">
        <v>2</v>
      </c>
      <c r="AJ172" s="12" t="s">
        <v>64</v>
      </c>
      <c r="AK172" s="12">
        <v>0</v>
      </c>
      <c r="AL172" s="12">
        <v>1</v>
      </c>
      <c r="AM172" s="12">
        <v>3058</v>
      </c>
      <c r="AN172" s="12">
        <f t="shared" si="32"/>
        <v>3058</v>
      </c>
      <c r="AO172" s="12">
        <v>0</v>
      </c>
      <c r="AP172" s="12" t="s">
        <v>52</v>
      </c>
      <c r="AQ172" s="12">
        <v>1</v>
      </c>
      <c r="AR172" s="12">
        <v>16</v>
      </c>
      <c r="AS172" s="12">
        <v>3</v>
      </c>
      <c r="AT172" s="12">
        <v>4</v>
      </c>
      <c r="AU172" s="12">
        <v>1</v>
      </c>
      <c r="AV172" s="12">
        <v>6</v>
      </c>
      <c r="AW172" s="12">
        <f t="shared" si="33"/>
        <v>6</v>
      </c>
      <c r="AX172" s="12">
        <v>3</v>
      </c>
      <c r="AY172" s="12">
        <v>2</v>
      </c>
      <c r="AZ172" s="12">
        <v>5</v>
      </c>
      <c r="BA172" s="12">
        <f t="shared" si="34"/>
        <v>5</v>
      </c>
      <c r="BB172" s="12">
        <v>2</v>
      </c>
      <c r="BC172" s="12">
        <v>1</v>
      </c>
      <c r="BD172" s="12">
        <f t="shared" si="43"/>
        <v>1</v>
      </c>
      <c r="BE172" s="12">
        <v>1</v>
      </c>
      <c r="BF172" s="12">
        <f t="shared" si="35"/>
        <v>1</v>
      </c>
      <c r="BG172" s="12">
        <f t="shared" si="44"/>
        <v>1</v>
      </c>
      <c r="BH172" s="67">
        <v>0</v>
      </c>
      <c r="BI172" s="67">
        <v>1</v>
      </c>
      <c r="BJ172" s="67">
        <v>0</v>
      </c>
      <c r="BK172" s="67">
        <v>0</v>
      </c>
      <c r="BL172" s="67">
        <v>0</v>
      </c>
      <c r="BM172" s="67">
        <v>0</v>
      </c>
      <c r="BN172" s="67">
        <v>0</v>
      </c>
      <c r="BO172" s="67">
        <v>1</v>
      </c>
      <c r="BP172" s="67">
        <v>0</v>
      </c>
      <c r="BQ172" s="67">
        <v>1</v>
      </c>
      <c r="BR172" s="67">
        <v>0</v>
      </c>
      <c r="BS172" s="67">
        <v>0</v>
      </c>
      <c r="BT172" s="67">
        <v>6</v>
      </c>
      <c r="BU172" s="70">
        <v>0</v>
      </c>
      <c r="BV172" s="29">
        <f t="shared" si="36"/>
        <v>0.73172534312222937</v>
      </c>
      <c r="BW172">
        <f t="shared" si="37"/>
        <v>0.87528310193156111</v>
      </c>
      <c r="BX172">
        <f t="shared" si="38"/>
        <v>0.67854260110508058</v>
      </c>
      <c r="BY172">
        <f t="shared" si="39"/>
        <v>0.32778177112653761</v>
      </c>
      <c r="BZ172">
        <f t="shared" si="40"/>
        <v>0.96307062430306978</v>
      </c>
      <c r="CA172">
        <f t="shared" si="41"/>
        <v>1.0863058347434136</v>
      </c>
      <c r="CB172">
        <f t="shared" si="42"/>
        <v>0.36858985273641137</v>
      </c>
    </row>
    <row r="173" spans="1:80" x14ac:dyDescent="0.45">
      <c r="A173" s="11">
        <v>19</v>
      </c>
      <c r="B173" s="12">
        <f t="shared" si="30"/>
        <v>19</v>
      </c>
      <c r="C173" s="12" t="s">
        <v>52</v>
      </c>
      <c r="D173" s="12">
        <v>1</v>
      </c>
      <c r="E173" s="12" t="s">
        <v>60</v>
      </c>
      <c r="F173" s="12">
        <v>1</v>
      </c>
      <c r="G173" s="12">
        <v>0</v>
      </c>
      <c r="H173" s="12" t="s">
        <v>54</v>
      </c>
      <c r="I173" s="12">
        <v>0</v>
      </c>
      <c r="J173" s="12">
        <v>1</v>
      </c>
      <c r="K173" s="12">
        <v>1</v>
      </c>
      <c r="L173" s="12">
        <f t="shared" si="31"/>
        <v>1</v>
      </c>
      <c r="M173" s="12">
        <v>1</v>
      </c>
      <c r="N173" s="12" t="s">
        <v>91</v>
      </c>
      <c r="O173" s="12">
        <v>0</v>
      </c>
      <c r="P173" s="12">
        <v>0</v>
      </c>
      <c r="Q173" s="12">
        <v>0</v>
      </c>
      <c r="R173" s="12">
        <v>0</v>
      </c>
      <c r="S173" s="12">
        <v>1</v>
      </c>
      <c r="T173" s="12">
        <v>3</v>
      </c>
      <c r="U173" s="12" t="s">
        <v>19</v>
      </c>
      <c r="V173" s="12">
        <v>1</v>
      </c>
      <c r="W173" s="12">
        <v>100</v>
      </c>
      <c r="X173" s="12">
        <v>1</v>
      </c>
      <c r="Y173" s="12">
        <v>1</v>
      </c>
      <c r="Z173" s="12" t="s">
        <v>88</v>
      </c>
      <c r="AA173" s="12">
        <v>0</v>
      </c>
      <c r="AB173" s="12">
        <v>0</v>
      </c>
      <c r="AC173" s="12">
        <v>0</v>
      </c>
      <c r="AD173" s="12">
        <v>0</v>
      </c>
      <c r="AE173" s="12">
        <v>0</v>
      </c>
      <c r="AF173" s="12">
        <v>0</v>
      </c>
      <c r="AG173" s="12">
        <v>1</v>
      </c>
      <c r="AH173" s="12">
        <v>0</v>
      </c>
      <c r="AI173" s="12">
        <v>1</v>
      </c>
      <c r="AJ173" s="12" t="s">
        <v>57</v>
      </c>
      <c r="AK173" s="12">
        <v>1</v>
      </c>
      <c r="AL173" s="12">
        <v>0</v>
      </c>
      <c r="AM173" s="12">
        <v>2325</v>
      </c>
      <c r="AN173" s="12">
        <f t="shared" si="32"/>
        <v>2325</v>
      </c>
      <c r="AO173" s="12">
        <v>0</v>
      </c>
      <c r="AP173" s="12" t="s">
        <v>59</v>
      </c>
      <c r="AQ173" s="12">
        <v>0</v>
      </c>
      <c r="AR173" s="12">
        <v>21</v>
      </c>
      <c r="AS173" s="12">
        <v>4</v>
      </c>
      <c r="AT173" s="12">
        <v>1</v>
      </c>
      <c r="AU173" s="12">
        <v>0</v>
      </c>
      <c r="AV173" s="12">
        <v>1</v>
      </c>
      <c r="AW173" s="12">
        <f t="shared" si="33"/>
        <v>1</v>
      </c>
      <c r="AX173" s="12">
        <v>5</v>
      </c>
      <c r="AY173" s="12">
        <v>4</v>
      </c>
      <c r="AZ173" s="12">
        <v>0</v>
      </c>
      <c r="BA173" s="12">
        <f t="shared" si="34"/>
        <v>0</v>
      </c>
      <c r="BB173" s="12">
        <v>0</v>
      </c>
      <c r="BC173" s="12">
        <v>0</v>
      </c>
      <c r="BD173" s="12">
        <f t="shared" si="43"/>
        <v>0</v>
      </c>
      <c r="BE173" s="12">
        <v>0</v>
      </c>
      <c r="BF173" s="12">
        <f t="shared" si="35"/>
        <v>0</v>
      </c>
      <c r="BG173" s="12">
        <f t="shared" si="44"/>
        <v>0</v>
      </c>
      <c r="BH173" s="67">
        <v>0</v>
      </c>
      <c r="BI173" s="67">
        <v>0</v>
      </c>
      <c r="BJ173" s="67">
        <v>1</v>
      </c>
      <c r="BK173" s="67">
        <v>0</v>
      </c>
      <c r="BL173" s="67">
        <v>1</v>
      </c>
      <c r="BM173" s="67">
        <v>0</v>
      </c>
      <c r="BN173" s="67">
        <v>0</v>
      </c>
      <c r="BO173" s="67">
        <v>0</v>
      </c>
      <c r="BP173" s="67">
        <v>0</v>
      </c>
      <c r="BQ173" s="67">
        <v>0</v>
      </c>
      <c r="BR173" s="67">
        <v>0</v>
      </c>
      <c r="BS173" s="67">
        <v>0</v>
      </c>
      <c r="BT173" s="67">
        <v>0</v>
      </c>
      <c r="BU173" s="70">
        <v>1</v>
      </c>
      <c r="BV173" s="29">
        <f t="shared" si="36"/>
        <v>0.88741921071072105</v>
      </c>
      <c r="BW173">
        <f t="shared" si="37"/>
        <v>1.1555414682655611</v>
      </c>
      <c r="BX173">
        <f t="shared" si="38"/>
        <v>1.3211515584717011</v>
      </c>
      <c r="BY173">
        <f t="shared" si="39"/>
        <v>1.1439050833826525</v>
      </c>
      <c r="BZ173">
        <f t="shared" si="40"/>
        <v>1.01056543769991</v>
      </c>
      <c r="CA173">
        <f t="shared" si="41"/>
        <v>1.9620226305058581</v>
      </c>
      <c r="CB173">
        <f t="shared" si="42"/>
        <v>0.67891464284095016</v>
      </c>
    </row>
    <row r="174" spans="1:80" x14ac:dyDescent="0.45">
      <c r="A174" s="11">
        <v>36</v>
      </c>
      <c r="B174" s="12">
        <f t="shared" si="30"/>
        <v>36</v>
      </c>
      <c r="C174" s="12" t="s">
        <v>59</v>
      </c>
      <c r="D174" s="12">
        <v>0</v>
      </c>
      <c r="E174" s="12" t="s">
        <v>60</v>
      </c>
      <c r="F174" s="12">
        <v>1</v>
      </c>
      <c r="G174" s="12">
        <v>0</v>
      </c>
      <c r="H174" s="12" t="s">
        <v>61</v>
      </c>
      <c r="I174" s="12">
        <v>1</v>
      </c>
      <c r="J174" s="12">
        <v>0</v>
      </c>
      <c r="K174" s="12">
        <v>3</v>
      </c>
      <c r="L174" s="12">
        <f t="shared" si="31"/>
        <v>3</v>
      </c>
      <c r="M174" s="12">
        <v>2</v>
      </c>
      <c r="N174" s="12" t="s">
        <v>70</v>
      </c>
      <c r="O174" s="12">
        <v>0</v>
      </c>
      <c r="P174" s="12">
        <v>0</v>
      </c>
      <c r="Q174" s="12">
        <v>1</v>
      </c>
      <c r="R174" s="12">
        <v>0</v>
      </c>
      <c r="S174" s="12">
        <v>0</v>
      </c>
      <c r="T174" s="12">
        <v>4</v>
      </c>
      <c r="U174" s="12" t="s">
        <v>62</v>
      </c>
      <c r="V174" s="12">
        <v>0</v>
      </c>
      <c r="W174" s="12">
        <v>30</v>
      </c>
      <c r="X174" s="12">
        <v>3</v>
      </c>
      <c r="Y174" s="12">
        <v>1</v>
      </c>
      <c r="Z174" s="12" t="s">
        <v>67</v>
      </c>
      <c r="AA174" s="12">
        <v>0</v>
      </c>
      <c r="AB174" s="12">
        <v>0</v>
      </c>
      <c r="AC174" s="12">
        <v>1</v>
      </c>
      <c r="AD174" s="12">
        <v>0</v>
      </c>
      <c r="AE174" s="12">
        <v>0</v>
      </c>
      <c r="AF174" s="12">
        <v>0</v>
      </c>
      <c r="AG174" s="12">
        <v>0</v>
      </c>
      <c r="AH174" s="12">
        <v>0</v>
      </c>
      <c r="AI174" s="12">
        <v>2</v>
      </c>
      <c r="AJ174" s="12" t="s">
        <v>57</v>
      </c>
      <c r="AK174" s="12">
        <v>1</v>
      </c>
      <c r="AL174" s="12">
        <v>0</v>
      </c>
      <c r="AM174" s="12">
        <v>2088</v>
      </c>
      <c r="AN174" s="12">
        <f t="shared" si="32"/>
        <v>2088</v>
      </c>
      <c r="AO174" s="12">
        <v>4</v>
      </c>
      <c r="AP174" s="12" t="s">
        <v>59</v>
      </c>
      <c r="AQ174" s="12">
        <v>0</v>
      </c>
      <c r="AR174" s="12">
        <v>12</v>
      </c>
      <c r="AS174" s="12">
        <v>3</v>
      </c>
      <c r="AT174" s="12">
        <v>3</v>
      </c>
      <c r="AU174" s="12">
        <v>0</v>
      </c>
      <c r="AV174" s="12">
        <v>13</v>
      </c>
      <c r="AW174" s="12">
        <f t="shared" si="33"/>
        <v>13</v>
      </c>
      <c r="AX174" s="12">
        <v>3</v>
      </c>
      <c r="AY174" s="12">
        <v>2</v>
      </c>
      <c r="AZ174" s="12">
        <v>8</v>
      </c>
      <c r="BA174" s="12">
        <f t="shared" si="34"/>
        <v>8</v>
      </c>
      <c r="BB174" s="12">
        <v>7</v>
      </c>
      <c r="BC174" s="12">
        <v>7</v>
      </c>
      <c r="BD174" s="12">
        <f t="shared" si="43"/>
        <v>7</v>
      </c>
      <c r="BE174" s="12">
        <v>2</v>
      </c>
      <c r="BF174" s="12">
        <f t="shared" si="35"/>
        <v>2</v>
      </c>
      <c r="BG174" s="12">
        <f t="shared" si="44"/>
        <v>2</v>
      </c>
      <c r="BH174" s="67">
        <v>0</v>
      </c>
      <c r="BI174" s="67">
        <v>0</v>
      </c>
      <c r="BJ174" s="67">
        <v>1</v>
      </c>
      <c r="BK174" s="67">
        <v>0</v>
      </c>
      <c r="BL174" s="67">
        <v>1</v>
      </c>
      <c r="BM174" s="67">
        <v>0</v>
      </c>
      <c r="BN174" s="67">
        <v>0</v>
      </c>
      <c r="BO174" s="67">
        <v>0</v>
      </c>
      <c r="BP174" s="67">
        <v>0</v>
      </c>
      <c r="BQ174" s="67">
        <v>2</v>
      </c>
      <c r="BR174" s="67">
        <v>0</v>
      </c>
      <c r="BS174" s="67">
        <v>0</v>
      </c>
      <c r="BT174" s="67">
        <v>13</v>
      </c>
      <c r="BU174" s="70">
        <v>0</v>
      </c>
      <c r="BV174" s="29">
        <f t="shared" si="36"/>
        <v>0.93775951987644068</v>
      </c>
      <c r="BW174">
        <f t="shared" si="37"/>
        <v>0.59502473559756086</v>
      </c>
      <c r="BX174">
        <f t="shared" si="38"/>
        <v>0.22110993920818819</v>
      </c>
      <c r="BY174">
        <f t="shared" si="39"/>
        <v>0.16189221622713135</v>
      </c>
      <c r="BZ174">
        <f t="shared" si="40"/>
        <v>0.76386092994953758</v>
      </c>
      <c r="CA174">
        <f t="shared" si="41"/>
        <v>0.10112443951066327</v>
      </c>
      <c r="CB174">
        <f t="shared" si="42"/>
        <v>1.4933588878908215</v>
      </c>
    </row>
    <row r="175" spans="1:80" x14ac:dyDescent="0.45">
      <c r="A175" s="11">
        <v>30</v>
      </c>
      <c r="B175" s="12">
        <f t="shared" si="30"/>
        <v>30</v>
      </c>
      <c r="C175" s="12" t="s">
        <v>59</v>
      </c>
      <c r="D175" s="12">
        <v>0</v>
      </c>
      <c r="E175" s="12" t="s">
        <v>86</v>
      </c>
      <c r="F175" s="12">
        <v>0</v>
      </c>
      <c r="G175" s="12">
        <v>0</v>
      </c>
      <c r="H175" s="12" t="s">
        <v>61</v>
      </c>
      <c r="I175" s="12">
        <v>1</v>
      </c>
      <c r="J175" s="12">
        <v>0</v>
      </c>
      <c r="K175" s="12">
        <v>9</v>
      </c>
      <c r="L175" s="12">
        <f t="shared" si="31"/>
        <v>9</v>
      </c>
      <c r="M175" s="12">
        <v>3</v>
      </c>
      <c r="N175" s="12" t="s">
        <v>70</v>
      </c>
      <c r="O175" s="12">
        <v>0</v>
      </c>
      <c r="P175" s="12">
        <v>0</v>
      </c>
      <c r="Q175" s="12">
        <v>1</v>
      </c>
      <c r="R175" s="12">
        <v>0</v>
      </c>
      <c r="S175" s="12">
        <v>0</v>
      </c>
      <c r="T175" s="12">
        <v>3</v>
      </c>
      <c r="U175" s="12" t="s">
        <v>62</v>
      </c>
      <c r="V175" s="12">
        <v>0</v>
      </c>
      <c r="W175" s="12">
        <v>66</v>
      </c>
      <c r="X175" s="12">
        <v>3</v>
      </c>
      <c r="Y175" s="12">
        <v>2</v>
      </c>
      <c r="Z175" s="12" t="s">
        <v>67</v>
      </c>
      <c r="AA175" s="12">
        <v>0</v>
      </c>
      <c r="AB175" s="12">
        <v>0</v>
      </c>
      <c r="AC175" s="12">
        <v>1</v>
      </c>
      <c r="AD175" s="12">
        <v>0</v>
      </c>
      <c r="AE175" s="12">
        <v>0</v>
      </c>
      <c r="AF175" s="12">
        <v>0</v>
      </c>
      <c r="AG175" s="12">
        <v>0</v>
      </c>
      <c r="AH175" s="12">
        <v>0</v>
      </c>
      <c r="AI175" s="12">
        <v>1</v>
      </c>
      <c r="AJ175" s="12" t="s">
        <v>78</v>
      </c>
      <c r="AK175" s="12">
        <v>0</v>
      </c>
      <c r="AL175" s="12">
        <v>0</v>
      </c>
      <c r="AM175" s="12">
        <v>3072</v>
      </c>
      <c r="AN175" s="12">
        <f t="shared" si="32"/>
        <v>3072</v>
      </c>
      <c r="AO175" s="12">
        <v>1</v>
      </c>
      <c r="AP175" s="12" t="s">
        <v>59</v>
      </c>
      <c r="AQ175" s="12">
        <v>0</v>
      </c>
      <c r="AR175" s="12">
        <v>11</v>
      </c>
      <c r="AS175" s="12">
        <v>3</v>
      </c>
      <c r="AT175" s="12">
        <v>3</v>
      </c>
      <c r="AU175" s="12">
        <v>2</v>
      </c>
      <c r="AV175" s="12">
        <v>12</v>
      </c>
      <c r="AW175" s="12">
        <f t="shared" si="33"/>
        <v>12</v>
      </c>
      <c r="AX175" s="12">
        <v>4</v>
      </c>
      <c r="AY175" s="12">
        <v>3</v>
      </c>
      <c r="AZ175" s="12">
        <v>12</v>
      </c>
      <c r="BA175" s="12">
        <f t="shared" si="34"/>
        <v>12</v>
      </c>
      <c r="BB175" s="12">
        <v>9</v>
      </c>
      <c r="BC175" s="12">
        <v>6</v>
      </c>
      <c r="BD175" s="12">
        <f t="shared" si="43"/>
        <v>6</v>
      </c>
      <c r="BE175" s="12">
        <v>10</v>
      </c>
      <c r="BF175" s="12">
        <f t="shared" si="35"/>
        <v>10</v>
      </c>
      <c r="BG175" s="12">
        <f t="shared" si="44"/>
        <v>20</v>
      </c>
      <c r="BH175" s="67">
        <v>1</v>
      </c>
      <c r="BI175" s="67">
        <v>0</v>
      </c>
      <c r="BJ175" s="67">
        <v>0</v>
      </c>
      <c r="BK175" s="67">
        <v>0</v>
      </c>
      <c r="BL175" s="67">
        <v>1</v>
      </c>
      <c r="BM175" s="67">
        <v>0</v>
      </c>
      <c r="BN175" s="67">
        <v>0</v>
      </c>
      <c r="BO175" s="67">
        <v>0</v>
      </c>
      <c r="BP175" s="67">
        <v>0</v>
      </c>
      <c r="BQ175" s="67">
        <v>10</v>
      </c>
      <c r="BR175" s="67">
        <v>0</v>
      </c>
      <c r="BS175" s="67">
        <v>0</v>
      </c>
      <c r="BT175" s="67">
        <v>12</v>
      </c>
      <c r="BU175" s="70">
        <v>0</v>
      </c>
      <c r="BV175" s="29">
        <f t="shared" si="36"/>
        <v>0.72875165397319952</v>
      </c>
      <c r="BW175">
        <f t="shared" si="37"/>
        <v>1.6470421950744405</v>
      </c>
      <c r="BX175">
        <f t="shared" si="38"/>
        <v>9.2588147734864096E-2</v>
      </c>
      <c r="BY175">
        <f t="shared" si="39"/>
        <v>0.81479086603202333</v>
      </c>
      <c r="BZ175">
        <f t="shared" si="40"/>
        <v>2.3747406698420157E-2</v>
      </c>
      <c r="CA175">
        <f t="shared" si="41"/>
        <v>0.75791203633249671</v>
      </c>
      <c r="CB175">
        <f t="shared" si="42"/>
        <v>1.1830340977862825</v>
      </c>
    </row>
    <row r="176" spans="1:80" x14ac:dyDescent="0.45">
      <c r="A176" s="11">
        <v>45</v>
      </c>
      <c r="B176" s="12">
        <f t="shared" si="30"/>
        <v>45</v>
      </c>
      <c r="C176" s="12" t="s">
        <v>59</v>
      </c>
      <c r="D176" s="12">
        <v>0</v>
      </c>
      <c r="E176" s="12" t="s">
        <v>53</v>
      </c>
      <c r="F176" s="12">
        <v>0</v>
      </c>
      <c r="G176" s="12">
        <v>1</v>
      </c>
      <c r="H176" s="12" t="s">
        <v>54</v>
      </c>
      <c r="I176" s="12">
        <v>0</v>
      </c>
      <c r="J176" s="12">
        <v>1</v>
      </c>
      <c r="K176" s="12">
        <v>4</v>
      </c>
      <c r="L176" s="12">
        <f t="shared" si="31"/>
        <v>4</v>
      </c>
      <c r="M176" s="12">
        <v>2</v>
      </c>
      <c r="N176" s="12" t="s">
        <v>55</v>
      </c>
      <c r="O176" s="12">
        <v>1</v>
      </c>
      <c r="P176" s="12">
        <v>0</v>
      </c>
      <c r="Q176" s="12">
        <v>0</v>
      </c>
      <c r="R176" s="12">
        <v>0</v>
      </c>
      <c r="S176" s="12">
        <v>0</v>
      </c>
      <c r="T176" s="12">
        <v>3</v>
      </c>
      <c r="U176" s="12" t="s">
        <v>19</v>
      </c>
      <c r="V176" s="12">
        <v>1</v>
      </c>
      <c r="W176" s="12">
        <v>30</v>
      </c>
      <c r="X176" s="12">
        <v>3</v>
      </c>
      <c r="Y176" s="12">
        <v>2</v>
      </c>
      <c r="Z176" s="12" t="s">
        <v>56</v>
      </c>
      <c r="AA176" s="12">
        <v>0</v>
      </c>
      <c r="AB176" s="12">
        <v>1</v>
      </c>
      <c r="AC176" s="12">
        <v>0</v>
      </c>
      <c r="AD176" s="12">
        <v>0</v>
      </c>
      <c r="AE176" s="12">
        <v>0</v>
      </c>
      <c r="AF176" s="12">
        <v>0</v>
      </c>
      <c r="AG176" s="12">
        <v>0</v>
      </c>
      <c r="AH176" s="12">
        <v>0</v>
      </c>
      <c r="AI176" s="12">
        <v>1</v>
      </c>
      <c r="AJ176" s="12" t="s">
        <v>78</v>
      </c>
      <c r="AK176" s="12">
        <v>0</v>
      </c>
      <c r="AL176" s="12">
        <v>0</v>
      </c>
      <c r="AM176" s="12">
        <v>5006</v>
      </c>
      <c r="AN176" s="12">
        <f t="shared" si="32"/>
        <v>5006</v>
      </c>
      <c r="AO176" s="12">
        <v>4</v>
      </c>
      <c r="AP176" s="12" t="s">
        <v>52</v>
      </c>
      <c r="AQ176" s="12">
        <v>1</v>
      </c>
      <c r="AR176" s="12">
        <v>11</v>
      </c>
      <c r="AS176" s="12">
        <v>3</v>
      </c>
      <c r="AT176" s="12">
        <v>1</v>
      </c>
      <c r="AU176" s="12">
        <v>1</v>
      </c>
      <c r="AV176" s="12">
        <v>9</v>
      </c>
      <c r="AW176" s="12">
        <f t="shared" si="33"/>
        <v>9</v>
      </c>
      <c r="AX176" s="12">
        <v>3</v>
      </c>
      <c r="AY176" s="12">
        <v>4</v>
      </c>
      <c r="AZ176" s="12">
        <v>5</v>
      </c>
      <c r="BA176" s="12">
        <f t="shared" si="34"/>
        <v>5</v>
      </c>
      <c r="BB176" s="12">
        <v>4</v>
      </c>
      <c r="BC176" s="12">
        <v>0</v>
      </c>
      <c r="BD176" s="12">
        <f t="shared" si="43"/>
        <v>0</v>
      </c>
      <c r="BE176" s="12">
        <v>3</v>
      </c>
      <c r="BF176" s="12">
        <f t="shared" si="35"/>
        <v>3</v>
      </c>
      <c r="BG176" s="12">
        <f t="shared" si="44"/>
        <v>6</v>
      </c>
      <c r="BH176" s="67">
        <v>1</v>
      </c>
      <c r="BI176" s="67">
        <v>0</v>
      </c>
      <c r="BJ176" s="67">
        <v>0</v>
      </c>
      <c r="BK176" s="67">
        <v>0</v>
      </c>
      <c r="BL176" s="67">
        <v>0</v>
      </c>
      <c r="BM176" s="67">
        <v>1</v>
      </c>
      <c r="BN176" s="67">
        <v>0</v>
      </c>
      <c r="BO176" s="67">
        <v>0</v>
      </c>
      <c r="BP176" s="67">
        <v>0</v>
      </c>
      <c r="BQ176" s="67">
        <v>0</v>
      </c>
      <c r="BR176" s="67">
        <v>3</v>
      </c>
      <c r="BS176" s="67">
        <v>0</v>
      </c>
      <c r="BT176" s="67">
        <v>0</v>
      </c>
      <c r="BU176" s="70">
        <v>9</v>
      </c>
      <c r="BV176" s="29">
        <f t="shared" si="36"/>
        <v>0.31795773867150406</v>
      </c>
      <c r="BW176">
        <f t="shared" si="37"/>
        <v>0.31476636926356072</v>
      </c>
      <c r="BX176">
        <f t="shared" si="38"/>
        <v>0.29297722668510823</v>
      </c>
      <c r="BY176">
        <f t="shared" si="39"/>
        <v>0.32778177112653761</v>
      </c>
      <c r="BZ176">
        <f t="shared" si="40"/>
        <v>0.64050867607435136</v>
      </c>
      <c r="CA176">
        <f t="shared" si="41"/>
        <v>0.88405695572208698</v>
      </c>
      <c r="CB176">
        <f t="shared" si="42"/>
        <v>0.67891464284095016</v>
      </c>
    </row>
    <row r="177" spans="1:80" x14ac:dyDescent="0.45">
      <c r="A177" s="11">
        <v>56</v>
      </c>
      <c r="B177" s="12">
        <f t="shared" si="30"/>
        <v>56</v>
      </c>
      <c r="C177" s="12" t="s">
        <v>59</v>
      </c>
      <c r="D177" s="12">
        <v>0</v>
      </c>
      <c r="E177" s="12" t="s">
        <v>53</v>
      </c>
      <c r="F177" s="12">
        <v>0</v>
      </c>
      <c r="G177" s="12">
        <v>1</v>
      </c>
      <c r="H177" s="12" t="s">
        <v>61</v>
      </c>
      <c r="I177" s="12">
        <v>1</v>
      </c>
      <c r="J177" s="12">
        <v>0</v>
      </c>
      <c r="K177" s="12">
        <v>8</v>
      </c>
      <c r="L177" s="12">
        <f t="shared" si="31"/>
        <v>8</v>
      </c>
      <c r="M177" s="12">
        <v>3</v>
      </c>
      <c r="N177" s="12" t="s">
        <v>55</v>
      </c>
      <c r="O177" s="12">
        <v>1</v>
      </c>
      <c r="P177" s="12">
        <v>0</v>
      </c>
      <c r="Q177" s="12">
        <v>0</v>
      </c>
      <c r="R177" s="12">
        <v>0</v>
      </c>
      <c r="S177" s="12">
        <v>0</v>
      </c>
      <c r="T177" s="12">
        <v>3</v>
      </c>
      <c r="U177" s="12" t="s">
        <v>19</v>
      </c>
      <c r="V177" s="12">
        <v>1</v>
      </c>
      <c r="W177" s="12">
        <v>67</v>
      </c>
      <c r="X177" s="12">
        <v>3</v>
      </c>
      <c r="Y177" s="12">
        <v>1</v>
      </c>
      <c r="Z177" s="12" t="s">
        <v>63</v>
      </c>
      <c r="AA177" s="12">
        <v>0</v>
      </c>
      <c r="AB177" s="12">
        <v>0</v>
      </c>
      <c r="AC177" s="12">
        <v>0</v>
      </c>
      <c r="AD177" s="12">
        <v>0</v>
      </c>
      <c r="AE177" s="12">
        <v>0</v>
      </c>
      <c r="AF177" s="12">
        <v>0</v>
      </c>
      <c r="AG177" s="12">
        <v>0</v>
      </c>
      <c r="AH177" s="12">
        <v>1</v>
      </c>
      <c r="AI177" s="12">
        <v>1</v>
      </c>
      <c r="AJ177" s="12" t="s">
        <v>78</v>
      </c>
      <c r="AK177" s="12">
        <v>0</v>
      </c>
      <c r="AL177" s="12">
        <v>0</v>
      </c>
      <c r="AM177" s="12">
        <v>4257</v>
      </c>
      <c r="AN177" s="12">
        <f t="shared" si="32"/>
        <v>4257</v>
      </c>
      <c r="AO177" s="12">
        <v>4</v>
      </c>
      <c r="AP177" s="12" t="s">
        <v>52</v>
      </c>
      <c r="AQ177" s="12">
        <v>1</v>
      </c>
      <c r="AR177" s="12">
        <v>18</v>
      </c>
      <c r="AS177" s="12">
        <v>3</v>
      </c>
      <c r="AT177" s="12">
        <v>3</v>
      </c>
      <c r="AU177" s="12">
        <v>1</v>
      </c>
      <c r="AV177" s="12">
        <v>19</v>
      </c>
      <c r="AW177" s="12">
        <f t="shared" si="33"/>
        <v>19</v>
      </c>
      <c r="AX177" s="12">
        <v>3</v>
      </c>
      <c r="AY177" s="12">
        <v>3</v>
      </c>
      <c r="AZ177" s="12">
        <v>2</v>
      </c>
      <c r="BA177" s="12">
        <f t="shared" si="34"/>
        <v>2</v>
      </c>
      <c r="BB177" s="12">
        <v>2</v>
      </c>
      <c r="BC177" s="12">
        <v>2</v>
      </c>
      <c r="BD177" s="12">
        <f t="shared" si="43"/>
        <v>2</v>
      </c>
      <c r="BE177" s="12">
        <v>2</v>
      </c>
      <c r="BF177" s="12">
        <f t="shared" si="35"/>
        <v>2</v>
      </c>
      <c r="BG177" s="12">
        <f t="shared" si="44"/>
        <v>2</v>
      </c>
      <c r="BH177" s="67">
        <v>1</v>
      </c>
      <c r="BI177" s="67">
        <v>0</v>
      </c>
      <c r="BJ177" s="67">
        <v>0</v>
      </c>
      <c r="BK177" s="67">
        <v>0</v>
      </c>
      <c r="BL177" s="67">
        <v>0</v>
      </c>
      <c r="BM177" s="67">
        <v>1</v>
      </c>
      <c r="BN177" s="67">
        <v>0</v>
      </c>
      <c r="BO177" s="67">
        <v>0</v>
      </c>
      <c r="BP177" s="67">
        <v>0</v>
      </c>
      <c r="BQ177" s="67">
        <v>2</v>
      </c>
      <c r="BR177" s="67">
        <v>0</v>
      </c>
      <c r="BS177" s="67">
        <v>0</v>
      </c>
      <c r="BT177" s="67">
        <v>19</v>
      </c>
      <c r="BU177" s="70">
        <v>0</v>
      </c>
      <c r="BV177" s="29">
        <f t="shared" si="36"/>
        <v>0.47705010814460125</v>
      </c>
      <c r="BW177">
        <f t="shared" si="37"/>
        <v>0.59502473559756086</v>
      </c>
      <c r="BX177">
        <f t="shared" si="38"/>
        <v>0.99224068804813281</v>
      </c>
      <c r="BY177">
        <f t="shared" si="39"/>
        <v>0.81745575848020657</v>
      </c>
      <c r="BZ177">
        <f t="shared" si="40"/>
        <v>0.14709966057360641</v>
      </c>
      <c r="CA177">
        <f t="shared" si="41"/>
        <v>2.0881675498954482</v>
      </c>
      <c r="CB177">
        <f t="shared" si="42"/>
        <v>5.8265062631872602E-2</v>
      </c>
    </row>
    <row r="178" spans="1:80" x14ac:dyDescent="0.45">
      <c r="A178" s="11">
        <v>33</v>
      </c>
      <c r="B178" s="12">
        <f t="shared" si="30"/>
        <v>33</v>
      </c>
      <c r="C178" s="12" t="s">
        <v>59</v>
      </c>
      <c r="D178" s="12">
        <v>0</v>
      </c>
      <c r="E178" s="12" t="s">
        <v>53</v>
      </c>
      <c r="F178" s="12">
        <v>0</v>
      </c>
      <c r="G178" s="12">
        <v>1</v>
      </c>
      <c r="H178" s="12" t="s">
        <v>61</v>
      </c>
      <c r="I178" s="12">
        <v>1</v>
      </c>
      <c r="J178" s="12">
        <v>0</v>
      </c>
      <c r="K178" s="12">
        <v>2</v>
      </c>
      <c r="L178" s="12">
        <f t="shared" si="31"/>
        <v>2</v>
      </c>
      <c r="M178" s="12">
        <v>3</v>
      </c>
      <c r="N178" s="12" t="s">
        <v>55</v>
      </c>
      <c r="O178" s="12">
        <v>1</v>
      </c>
      <c r="P178" s="12">
        <v>0</v>
      </c>
      <c r="Q178" s="12">
        <v>0</v>
      </c>
      <c r="R178" s="12">
        <v>0</v>
      </c>
      <c r="S178" s="12">
        <v>0</v>
      </c>
      <c r="T178" s="12">
        <v>3</v>
      </c>
      <c r="U178" s="12" t="s">
        <v>62</v>
      </c>
      <c r="V178" s="12">
        <v>0</v>
      </c>
      <c r="W178" s="12">
        <v>90</v>
      </c>
      <c r="X178" s="12">
        <v>3</v>
      </c>
      <c r="Y178" s="12">
        <v>1</v>
      </c>
      <c r="Z178" s="12" t="s">
        <v>63</v>
      </c>
      <c r="AA178" s="12">
        <v>0</v>
      </c>
      <c r="AB178" s="12">
        <v>0</v>
      </c>
      <c r="AC178" s="12">
        <v>0</v>
      </c>
      <c r="AD178" s="12">
        <v>0</v>
      </c>
      <c r="AE178" s="12">
        <v>0</v>
      </c>
      <c r="AF178" s="12">
        <v>0</v>
      </c>
      <c r="AG178" s="12">
        <v>0</v>
      </c>
      <c r="AH178" s="12">
        <v>1</v>
      </c>
      <c r="AI178" s="12">
        <v>4</v>
      </c>
      <c r="AJ178" s="12" t="s">
        <v>57</v>
      </c>
      <c r="AK178" s="12">
        <v>1</v>
      </c>
      <c r="AL178" s="12">
        <v>0</v>
      </c>
      <c r="AM178" s="12">
        <v>2500</v>
      </c>
      <c r="AN178" s="12">
        <f t="shared" si="32"/>
        <v>2500</v>
      </c>
      <c r="AO178" s="12">
        <v>0</v>
      </c>
      <c r="AP178" s="12" t="s">
        <v>59</v>
      </c>
      <c r="AQ178" s="12">
        <v>0</v>
      </c>
      <c r="AR178" s="12">
        <v>14</v>
      </c>
      <c r="AS178" s="12">
        <v>3</v>
      </c>
      <c r="AT178" s="12">
        <v>1</v>
      </c>
      <c r="AU178" s="12">
        <v>0</v>
      </c>
      <c r="AV178" s="12">
        <v>4</v>
      </c>
      <c r="AW178" s="12">
        <f t="shared" si="33"/>
        <v>4</v>
      </c>
      <c r="AX178" s="12">
        <v>2</v>
      </c>
      <c r="AY178" s="12">
        <v>4</v>
      </c>
      <c r="AZ178" s="12">
        <v>3</v>
      </c>
      <c r="BA178" s="12">
        <f t="shared" si="34"/>
        <v>3</v>
      </c>
      <c r="BB178" s="12">
        <v>1</v>
      </c>
      <c r="BC178" s="12">
        <v>0</v>
      </c>
      <c r="BD178" s="12">
        <f t="shared" si="43"/>
        <v>0</v>
      </c>
      <c r="BE178" s="12">
        <v>2</v>
      </c>
      <c r="BF178" s="12">
        <f t="shared" si="35"/>
        <v>2</v>
      </c>
      <c r="BG178" s="12">
        <f t="shared" si="44"/>
        <v>2</v>
      </c>
      <c r="BH178" s="67">
        <v>1</v>
      </c>
      <c r="BI178" s="67">
        <v>0</v>
      </c>
      <c r="BJ178" s="67">
        <v>0</v>
      </c>
      <c r="BK178" s="67">
        <v>0</v>
      </c>
      <c r="BL178" s="67">
        <v>1</v>
      </c>
      <c r="BM178" s="67">
        <v>0</v>
      </c>
      <c r="BN178" s="67">
        <v>0</v>
      </c>
      <c r="BO178" s="67">
        <v>0</v>
      </c>
      <c r="BP178" s="67">
        <v>0</v>
      </c>
      <c r="BQ178" s="67">
        <v>2</v>
      </c>
      <c r="BR178" s="67">
        <v>0</v>
      </c>
      <c r="BS178" s="67">
        <v>0</v>
      </c>
      <c r="BT178" s="67">
        <v>4</v>
      </c>
      <c r="BU178" s="70">
        <v>0</v>
      </c>
      <c r="BV178" s="29">
        <f t="shared" si="36"/>
        <v>0.85024809634784781</v>
      </c>
      <c r="BW178">
        <f t="shared" si="37"/>
        <v>0.59502473559756086</v>
      </c>
      <c r="BX178">
        <f t="shared" si="38"/>
        <v>0.93558618405172878</v>
      </c>
      <c r="BY178">
        <f t="shared" si="39"/>
        <v>0.65423109602898355</v>
      </c>
      <c r="BZ178">
        <f t="shared" si="40"/>
        <v>0.88721318382472392</v>
      </c>
      <c r="CA178">
        <f t="shared" si="41"/>
        <v>0.42951823792158</v>
      </c>
      <c r="CB178">
        <f t="shared" si="42"/>
        <v>0.67891464284095016</v>
      </c>
    </row>
    <row r="179" spans="1:80" x14ac:dyDescent="0.45">
      <c r="A179" s="11">
        <v>19</v>
      </c>
      <c r="B179" s="12">
        <f t="shared" si="30"/>
        <v>19</v>
      </c>
      <c r="C179" s="12" t="s">
        <v>52</v>
      </c>
      <c r="D179" s="12">
        <v>1</v>
      </c>
      <c r="E179" s="12" t="s">
        <v>53</v>
      </c>
      <c r="F179" s="12">
        <v>0</v>
      </c>
      <c r="G179" s="12">
        <v>1</v>
      </c>
      <c r="H179" s="12" t="s">
        <v>61</v>
      </c>
      <c r="I179" s="12">
        <v>1</v>
      </c>
      <c r="J179" s="12">
        <v>0</v>
      </c>
      <c r="K179" s="12">
        <v>2</v>
      </c>
      <c r="L179" s="12">
        <f t="shared" si="31"/>
        <v>2</v>
      </c>
      <c r="M179" s="12">
        <v>3</v>
      </c>
      <c r="N179" s="12" t="s">
        <v>55</v>
      </c>
      <c r="O179" s="12">
        <v>1</v>
      </c>
      <c r="P179" s="12">
        <v>0</v>
      </c>
      <c r="Q179" s="12">
        <v>0</v>
      </c>
      <c r="R179" s="12">
        <v>0</v>
      </c>
      <c r="S179" s="12">
        <v>0</v>
      </c>
      <c r="T179" s="12">
        <v>2</v>
      </c>
      <c r="U179" s="12" t="s">
        <v>62</v>
      </c>
      <c r="V179" s="12">
        <v>0</v>
      </c>
      <c r="W179" s="12">
        <v>47</v>
      </c>
      <c r="X179" s="12">
        <v>2</v>
      </c>
      <c r="Y179" s="12">
        <v>1</v>
      </c>
      <c r="Z179" s="12" t="s">
        <v>67</v>
      </c>
      <c r="AA179" s="12">
        <v>0</v>
      </c>
      <c r="AB179" s="12">
        <v>0</v>
      </c>
      <c r="AC179" s="12">
        <v>1</v>
      </c>
      <c r="AD179" s="12">
        <v>0</v>
      </c>
      <c r="AE179" s="12">
        <v>0</v>
      </c>
      <c r="AF179" s="12">
        <v>0</v>
      </c>
      <c r="AG179" s="12">
        <v>0</v>
      </c>
      <c r="AH179" s="12">
        <v>0</v>
      </c>
      <c r="AI179" s="12">
        <v>4</v>
      </c>
      <c r="AJ179" s="12" t="s">
        <v>57</v>
      </c>
      <c r="AK179" s="12">
        <v>1</v>
      </c>
      <c r="AL179" s="12">
        <v>0</v>
      </c>
      <c r="AM179" s="12">
        <v>1102</v>
      </c>
      <c r="AN179" s="12">
        <f t="shared" si="32"/>
        <v>1382.46</v>
      </c>
      <c r="AO179" s="12">
        <v>1</v>
      </c>
      <c r="AP179" s="12" t="s">
        <v>59</v>
      </c>
      <c r="AQ179" s="12">
        <v>0</v>
      </c>
      <c r="AR179" s="12">
        <v>22</v>
      </c>
      <c r="AS179" s="12">
        <v>4</v>
      </c>
      <c r="AT179" s="12">
        <v>3</v>
      </c>
      <c r="AU179" s="12">
        <v>0</v>
      </c>
      <c r="AV179" s="12">
        <v>1</v>
      </c>
      <c r="AW179" s="12">
        <f t="shared" si="33"/>
        <v>1</v>
      </c>
      <c r="AX179" s="12">
        <v>3</v>
      </c>
      <c r="AY179" s="12">
        <v>2</v>
      </c>
      <c r="AZ179" s="12">
        <v>1</v>
      </c>
      <c r="BA179" s="12">
        <f t="shared" si="34"/>
        <v>1</v>
      </c>
      <c r="BB179" s="12">
        <v>0</v>
      </c>
      <c r="BC179" s="12">
        <v>1</v>
      </c>
      <c r="BD179" s="12">
        <f t="shared" si="43"/>
        <v>1</v>
      </c>
      <c r="BE179" s="12">
        <v>0</v>
      </c>
      <c r="BF179" s="12">
        <f t="shared" si="35"/>
        <v>0</v>
      </c>
      <c r="BG179" s="12">
        <f t="shared" si="44"/>
        <v>0</v>
      </c>
      <c r="BH179" s="67">
        <v>1</v>
      </c>
      <c r="BI179" s="67">
        <v>0</v>
      </c>
      <c r="BJ179" s="67">
        <v>0</v>
      </c>
      <c r="BK179" s="67">
        <v>0</v>
      </c>
      <c r="BL179" s="67">
        <v>1</v>
      </c>
      <c r="BM179" s="67">
        <v>0</v>
      </c>
      <c r="BN179" s="67">
        <v>0</v>
      </c>
      <c r="BO179" s="67">
        <v>0</v>
      </c>
      <c r="BP179" s="67">
        <v>0</v>
      </c>
      <c r="BQ179" s="67">
        <v>0</v>
      </c>
      <c r="BR179" s="67">
        <v>0</v>
      </c>
      <c r="BS179" s="67">
        <v>0</v>
      </c>
      <c r="BT179" s="67">
        <v>1</v>
      </c>
      <c r="BU179" s="70">
        <v>0</v>
      </c>
      <c r="BV179" s="29">
        <f t="shared" si="36"/>
        <v>1.1471921985152576</v>
      </c>
      <c r="BW179">
        <f t="shared" si="37"/>
        <v>1.1555414682655611</v>
      </c>
      <c r="BX179">
        <f t="shared" si="38"/>
        <v>1.3211515584717011</v>
      </c>
      <c r="BY179">
        <f t="shared" si="39"/>
        <v>0.9806804209314296</v>
      </c>
      <c r="BZ179">
        <f t="shared" si="40"/>
        <v>0.88721318382472392</v>
      </c>
      <c r="CA179">
        <f t="shared" si="41"/>
        <v>1.9620226305058581</v>
      </c>
      <c r="CB179">
        <f t="shared" si="42"/>
        <v>0.36858985273641137</v>
      </c>
    </row>
    <row r="180" spans="1:80" x14ac:dyDescent="0.45">
      <c r="A180" s="11">
        <v>46</v>
      </c>
      <c r="B180" s="12">
        <f t="shared" si="30"/>
        <v>46</v>
      </c>
      <c r="C180" s="12" t="s">
        <v>59</v>
      </c>
      <c r="D180" s="12">
        <v>0</v>
      </c>
      <c r="E180" s="12" t="s">
        <v>53</v>
      </c>
      <c r="F180" s="12">
        <v>0</v>
      </c>
      <c r="G180" s="12">
        <v>1</v>
      </c>
      <c r="H180" s="12" t="s">
        <v>54</v>
      </c>
      <c r="I180" s="12">
        <v>0</v>
      </c>
      <c r="J180" s="12">
        <v>1</v>
      </c>
      <c r="K180" s="12">
        <v>1</v>
      </c>
      <c r="L180" s="12">
        <f t="shared" si="31"/>
        <v>1</v>
      </c>
      <c r="M180" s="12">
        <v>2</v>
      </c>
      <c r="N180" s="12" t="s">
        <v>90</v>
      </c>
      <c r="O180" s="12">
        <v>0</v>
      </c>
      <c r="P180" s="12">
        <v>0</v>
      </c>
      <c r="Q180" s="12">
        <v>0</v>
      </c>
      <c r="R180" s="12">
        <v>1</v>
      </c>
      <c r="S180" s="12">
        <v>0</v>
      </c>
      <c r="T180" s="12">
        <v>2</v>
      </c>
      <c r="U180" s="12" t="s">
        <v>19</v>
      </c>
      <c r="V180" s="12">
        <v>1</v>
      </c>
      <c r="W180" s="12">
        <v>92</v>
      </c>
      <c r="X180" s="12">
        <v>3</v>
      </c>
      <c r="Y180" s="12">
        <v>3</v>
      </c>
      <c r="Z180" s="12" t="s">
        <v>56</v>
      </c>
      <c r="AA180" s="12">
        <v>0</v>
      </c>
      <c r="AB180" s="12">
        <v>1</v>
      </c>
      <c r="AC180" s="12">
        <v>0</v>
      </c>
      <c r="AD180" s="12">
        <v>0</v>
      </c>
      <c r="AE180" s="12">
        <v>0</v>
      </c>
      <c r="AF180" s="12">
        <v>0</v>
      </c>
      <c r="AG180" s="12">
        <v>0</v>
      </c>
      <c r="AH180" s="12">
        <v>0</v>
      </c>
      <c r="AI180" s="12">
        <v>1</v>
      </c>
      <c r="AJ180" s="12" t="s">
        <v>78</v>
      </c>
      <c r="AK180" s="12">
        <v>0</v>
      </c>
      <c r="AL180" s="12">
        <v>0</v>
      </c>
      <c r="AM180" s="12">
        <v>10453</v>
      </c>
      <c r="AN180" s="12">
        <f t="shared" si="32"/>
        <v>10453</v>
      </c>
      <c r="AO180" s="12">
        <v>1</v>
      </c>
      <c r="AP180" s="12" t="s">
        <v>59</v>
      </c>
      <c r="AQ180" s="12">
        <v>0</v>
      </c>
      <c r="AR180" s="12">
        <v>25</v>
      </c>
      <c r="AS180" s="12">
        <v>4</v>
      </c>
      <c r="AT180" s="12">
        <v>3</v>
      </c>
      <c r="AU180" s="12">
        <v>3</v>
      </c>
      <c r="AV180" s="12">
        <v>24</v>
      </c>
      <c r="AW180" s="12">
        <f t="shared" si="33"/>
        <v>24</v>
      </c>
      <c r="AX180" s="12">
        <v>2</v>
      </c>
      <c r="AY180" s="12">
        <v>3</v>
      </c>
      <c r="AZ180" s="12">
        <v>24</v>
      </c>
      <c r="BA180" s="12">
        <f t="shared" si="34"/>
        <v>24</v>
      </c>
      <c r="BB180" s="12">
        <v>13</v>
      </c>
      <c r="BC180" s="12">
        <v>15</v>
      </c>
      <c r="BD180" s="12">
        <f t="shared" si="43"/>
        <v>14</v>
      </c>
      <c r="BE180" s="12">
        <v>7</v>
      </c>
      <c r="BF180" s="12">
        <f t="shared" si="35"/>
        <v>7</v>
      </c>
      <c r="BG180" s="12">
        <f t="shared" si="44"/>
        <v>21</v>
      </c>
      <c r="BH180" s="67">
        <v>1</v>
      </c>
      <c r="BI180" s="67">
        <v>0</v>
      </c>
      <c r="BJ180" s="67">
        <v>0</v>
      </c>
      <c r="BK180" s="67">
        <v>0</v>
      </c>
      <c r="BL180" s="67">
        <v>1</v>
      </c>
      <c r="BM180" s="67">
        <v>0</v>
      </c>
      <c r="BN180" s="67">
        <v>0</v>
      </c>
      <c r="BO180" s="67">
        <v>0</v>
      </c>
      <c r="BP180" s="67">
        <v>0</v>
      </c>
      <c r="BQ180" s="67">
        <v>0</v>
      </c>
      <c r="BR180" s="67">
        <v>7</v>
      </c>
      <c r="BS180" s="67">
        <v>0</v>
      </c>
      <c r="BT180" s="67">
        <v>0</v>
      </c>
      <c r="BU180" s="70">
        <v>24</v>
      </c>
      <c r="BV180" s="29">
        <f t="shared" si="36"/>
        <v>0.83901974666889678</v>
      </c>
      <c r="BW180">
        <f t="shared" si="37"/>
        <v>0.80626709607243985</v>
      </c>
      <c r="BX180">
        <f t="shared" si="38"/>
        <v>1.6348496454147534</v>
      </c>
      <c r="BY180">
        <f t="shared" si="39"/>
        <v>2.7734868154466992</v>
      </c>
      <c r="BZ180">
        <f t="shared" si="40"/>
        <v>1.01056543769991</v>
      </c>
      <c r="CA180">
        <f t="shared" si="41"/>
        <v>0.99352155519239249</v>
      </c>
      <c r="CB180">
        <f t="shared" si="42"/>
        <v>3.9759572087271318</v>
      </c>
    </row>
    <row r="181" spans="1:80" x14ac:dyDescent="0.45">
      <c r="A181" s="11">
        <v>38</v>
      </c>
      <c r="B181" s="12">
        <f t="shared" si="30"/>
        <v>38</v>
      </c>
      <c r="C181" s="12" t="s">
        <v>59</v>
      </c>
      <c r="D181" s="12">
        <v>0</v>
      </c>
      <c r="E181" s="12" t="s">
        <v>53</v>
      </c>
      <c r="F181" s="12">
        <v>0</v>
      </c>
      <c r="G181" s="12">
        <v>1</v>
      </c>
      <c r="H181" s="12" t="s">
        <v>61</v>
      </c>
      <c r="I181" s="12">
        <v>1</v>
      </c>
      <c r="J181" s="12">
        <v>0</v>
      </c>
      <c r="K181" s="12">
        <v>9</v>
      </c>
      <c r="L181" s="12">
        <f t="shared" si="31"/>
        <v>9</v>
      </c>
      <c r="M181" s="12">
        <v>2</v>
      </c>
      <c r="N181" s="12" t="s">
        <v>55</v>
      </c>
      <c r="O181" s="12">
        <v>1</v>
      </c>
      <c r="P181" s="12">
        <v>0</v>
      </c>
      <c r="Q181" s="12">
        <v>0</v>
      </c>
      <c r="R181" s="12">
        <v>0</v>
      </c>
      <c r="S181" s="12">
        <v>0</v>
      </c>
      <c r="T181" s="12">
        <v>3</v>
      </c>
      <c r="U181" s="12" t="s">
        <v>19</v>
      </c>
      <c r="V181" s="12">
        <v>1</v>
      </c>
      <c r="W181" s="12">
        <v>75</v>
      </c>
      <c r="X181" s="12">
        <v>3</v>
      </c>
      <c r="Y181" s="12">
        <v>1</v>
      </c>
      <c r="Z181" s="12" t="s">
        <v>67</v>
      </c>
      <c r="AA181" s="12">
        <v>0</v>
      </c>
      <c r="AB181" s="12">
        <v>0</v>
      </c>
      <c r="AC181" s="12">
        <v>1</v>
      </c>
      <c r="AD181" s="12">
        <v>0</v>
      </c>
      <c r="AE181" s="12">
        <v>0</v>
      </c>
      <c r="AF181" s="12">
        <v>0</v>
      </c>
      <c r="AG181" s="12">
        <v>0</v>
      </c>
      <c r="AH181" s="12">
        <v>0</v>
      </c>
      <c r="AI181" s="12">
        <v>4</v>
      </c>
      <c r="AJ181" s="12" t="s">
        <v>57</v>
      </c>
      <c r="AK181" s="12">
        <v>1</v>
      </c>
      <c r="AL181" s="12">
        <v>0</v>
      </c>
      <c r="AM181" s="12">
        <v>2288</v>
      </c>
      <c r="AN181" s="12">
        <f t="shared" si="32"/>
        <v>2288</v>
      </c>
      <c r="AO181" s="12">
        <v>1</v>
      </c>
      <c r="AP181" s="12" t="s">
        <v>59</v>
      </c>
      <c r="AQ181" s="12">
        <v>0</v>
      </c>
      <c r="AR181" s="12">
        <v>12</v>
      </c>
      <c r="AS181" s="12">
        <v>3</v>
      </c>
      <c r="AT181" s="12">
        <v>3</v>
      </c>
      <c r="AU181" s="12">
        <v>0</v>
      </c>
      <c r="AV181" s="12">
        <v>2</v>
      </c>
      <c r="AW181" s="12">
        <f t="shared" si="33"/>
        <v>2</v>
      </c>
      <c r="AX181" s="12">
        <v>3</v>
      </c>
      <c r="AY181" s="12">
        <v>3</v>
      </c>
      <c r="AZ181" s="12">
        <v>2</v>
      </c>
      <c r="BA181" s="12">
        <f t="shared" si="34"/>
        <v>2</v>
      </c>
      <c r="BB181" s="12">
        <v>2</v>
      </c>
      <c r="BC181" s="12">
        <v>2</v>
      </c>
      <c r="BD181" s="12">
        <f t="shared" si="43"/>
        <v>2</v>
      </c>
      <c r="BE181" s="12">
        <v>1</v>
      </c>
      <c r="BF181" s="12">
        <f t="shared" si="35"/>
        <v>1</v>
      </c>
      <c r="BG181" s="12">
        <f t="shared" si="44"/>
        <v>1</v>
      </c>
      <c r="BH181" s="67">
        <v>1</v>
      </c>
      <c r="BI181" s="67">
        <v>0</v>
      </c>
      <c r="BJ181" s="67">
        <v>0</v>
      </c>
      <c r="BK181" s="67">
        <v>0</v>
      </c>
      <c r="BL181" s="67">
        <v>1</v>
      </c>
      <c r="BM181" s="67">
        <v>0</v>
      </c>
      <c r="BN181" s="67">
        <v>0</v>
      </c>
      <c r="BO181" s="67">
        <v>0</v>
      </c>
      <c r="BP181" s="67">
        <v>0</v>
      </c>
      <c r="BQ181" s="67">
        <v>1</v>
      </c>
      <c r="BR181" s="67">
        <v>0</v>
      </c>
      <c r="BS181" s="67">
        <v>0</v>
      </c>
      <c r="BT181" s="67">
        <v>2</v>
      </c>
      <c r="BU181" s="70">
        <v>0</v>
      </c>
      <c r="BV181" s="29">
        <f t="shared" si="36"/>
        <v>0.89527824631887132</v>
      </c>
      <c r="BW181">
        <f t="shared" si="37"/>
        <v>0.87528310193156111</v>
      </c>
      <c r="BX181">
        <f t="shared" si="38"/>
        <v>1.192629766998377</v>
      </c>
      <c r="BY181">
        <f t="shared" si="39"/>
        <v>0.81745575848020657</v>
      </c>
      <c r="BZ181">
        <f t="shared" si="40"/>
        <v>2.3747406698420157E-2</v>
      </c>
      <c r="CA181">
        <f t="shared" si="41"/>
        <v>0.11780475942994788</v>
      </c>
      <c r="CB181">
        <f t="shared" si="42"/>
        <v>5.8265062631872602E-2</v>
      </c>
    </row>
    <row r="182" spans="1:80" x14ac:dyDescent="0.45">
      <c r="A182" s="11">
        <v>31</v>
      </c>
      <c r="B182" s="12">
        <f t="shared" si="30"/>
        <v>31</v>
      </c>
      <c r="C182" s="12" t="s">
        <v>59</v>
      </c>
      <c r="D182" s="12">
        <v>0</v>
      </c>
      <c r="E182" s="12" t="s">
        <v>53</v>
      </c>
      <c r="F182" s="12">
        <v>0</v>
      </c>
      <c r="G182" s="12">
        <v>1</v>
      </c>
      <c r="H182" s="12" t="s">
        <v>61</v>
      </c>
      <c r="I182" s="12">
        <v>1</v>
      </c>
      <c r="J182" s="12">
        <v>0</v>
      </c>
      <c r="K182" s="12">
        <v>12</v>
      </c>
      <c r="L182" s="12">
        <f t="shared" si="31"/>
        <v>12</v>
      </c>
      <c r="M182" s="12">
        <v>1</v>
      </c>
      <c r="N182" s="12" t="s">
        <v>70</v>
      </c>
      <c r="O182" s="12">
        <v>0</v>
      </c>
      <c r="P182" s="12">
        <v>0</v>
      </c>
      <c r="Q182" s="12">
        <v>1</v>
      </c>
      <c r="R182" s="12">
        <v>0</v>
      </c>
      <c r="S182" s="12">
        <v>0</v>
      </c>
      <c r="T182" s="12">
        <v>3</v>
      </c>
      <c r="U182" s="12" t="s">
        <v>19</v>
      </c>
      <c r="V182" s="12">
        <v>1</v>
      </c>
      <c r="W182" s="12">
        <v>95</v>
      </c>
      <c r="X182" s="12">
        <v>3</v>
      </c>
      <c r="Y182" s="12">
        <v>1</v>
      </c>
      <c r="Z182" s="12" t="s">
        <v>63</v>
      </c>
      <c r="AA182" s="12">
        <v>0</v>
      </c>
      <c r="AB182" s="12">
        <v>0</v>
      </c>
      <c r="AC182" s="12">
        <v>0</v>
      </c>
      <c r="AD182" s="12">
        <v>0</v>
      </c>
      <c r="AE182" s="12">
        <v>0</v>
      </c>
      <c r="AF182" s="12">
        <v>0</v>
      </c>
      <c r="AG182" s="12">
        <v>0</v>
      </c>
      <c r="AH182" s="12">
        <v>1</v>
      </c>
      <c r="AI182" s="12">
        <v>4</v>
      </c>
      <c r="AJ182" s="12" t="s">
        <v>64</v>
      </c>
      <c r="AK182" s="12">
        <v>0</v>
      </c>
      <c r="AL182" s="12">
        <v>1</v>
      </c>
      <c r="AM182" s="12">
        <v>3929</v>
      </c>
      <c r="AN182" s="12">
        <f t="shared" si="32"/>
        <v>3929</v>
      </c>
      <c r="AO182" s="12">
        <v>8</v>
      </c>
      <c r="AP182" s="12" t="s">
        <v>52</v>
      </c>
      <c r="AQ182" s="12">
        <v>1</v>
      </c>
      <c r="AR182" s="12">
        <v>23</v>
      </c>
      <c r="AS182" s="12">
        <v>4</v>
      </c>
      <c r="AT182" s="12">
        <v>3</v>
      </c>
      <c r="AU182" s="12">
        <v>1</v>
      </c>
      <c r="AV182" s="12">
        <v>7</v>
      </c>
      <c r="AW182" s="12">
        <f t="shared" si="33"/>
        <v>7</v>
      </c>
      <c r="AX182" s="12">
        <v>0</v>
      </c>
      <c r="AY182" s="12">
        <v>3</v>
      </c>
      <c r="AZ182" s="12">
        <v>4</v>
      </c>
      <c r="BA182" s="12">
        <f t="shared" si="34"/>
        <v>4</v>
      </c>
      <c r="BB182" s="12">
        <v>2</v>
      </c>
      <c r="BC182" s="12">
        <v>0</v>
      </c>
      <c r="BD182" s="12">
        <f t="shared" si="43"/>
        <v>0</v>
      </c>
      <c r="BE182" s="12">
        <v>2</v>
      </c>
      <c r="BF182" s="12">
        <f t="shared" si="35"/>
        <v>2</v>
      </c>
      <c r="BG182" s="12">
        <f t="shared" si="44"/>
        <v>2</v>
      </c>
      <c r="BH182" s="67">
        <v>0</v>
      </c>
      <c r="BI182" s="67">
        <v>1</v>
      </c>
      <c r="BJ182" s="67">
        <v>0</v>
      </c>
      <c r="BK182" s="67">
        <v>0</v>
      </c>
      <c r="BL182" s="67">
        <v>0</v>
      </c>
      <c r="BM182" s="67">
        <v>0</v>
      </c>
      <c r="BN182" s="67">
        <v>0</v>
      </c>
      <c r="BO182" s="67">
        <v>1</v>
      </c>
      <c r="BP182" s="67">
        <v>0</v>
      </c>
      <c r="BQ182" s="67">
        <v>2</v>
      </c>
      <c r="BR182" s="67">
        <v>0</v>
      </c>
      <c r="BS182" s="67">
        <v>0</v>
      </c>
      <c r="BT182" s="67">
        <v>7</v>
      </c>
      <c r="BU182" s="70">
        <v>0</v>
      </c>
      <c r="BV182" s="29">
        <f t="shared" si="36"/>
        <v>0.54671939677901493</v>
      </c>
      <c r="BW182">
        <f t="shared" si="37"/>
        <v>0.59502473559756086</v>
      </c>
      <c r="BX182">
        <f t="shared" si="38"/>
        <v>0.55002080963175637</v>
      </c>
      <c r="BY182">
        <f t="shared" si="39"/>
        <v>0.49100643357776058</v>
      </c>
      <c r="BZ182">
        <f t="shared" si="40"/>
        <v>0.3463093549271386</v>
      </c>
      <c r="CA182">
        <f t="shared" si="41"/>
        <v>0.6484474368621912</v>
      </c>
      <c r="CB182">
        <f t="shared" si="42"/>
        <v>0.67891464284095016</v>
      </c>
    </row>
    <row r="183" spans="1:80" x14ac:dyDescent="0.45">
      <c r="A183" s="11">
        <v>34</v>
      </c>
      <c r="B183" s="12">
        <f t="shared" si="30"/>
        <v>34</v>
      </c>
      <c r="C183" s="12" t="s">
        <v>59</v>
      </c>
      <c r="D183" s="12">
        <v>0</v>
      </c>
      <c r="E183" s="12" t="s">
        <v>53</v>
      </c>
      <c r="F183" s="12">
        <v>0</v>
      </c>
      <c r="G183" s="12">
        <v>1</v>
      </c>
      <c r="H183" s="12" t="s">
        <v>61</v>
      </c>
      <c r="I183" s="12">
        <v>1</v>
      </c>
      <c r="J183" s="12">
        <v>0</v>
      </c>
      <c r="K183" s="12">
        <v>27</v>
      </c>
      <c r="L183" s="12">
        <f t="shared" si="31"/>
        <v>27</v>
      </c>
      <c r="M183" s="12">
        <v>2</v>
      </c>
      <c r="N183" s="12" t="s">
        <v>70</v>
      </c>
      <c r="O183" s="12">
        <v>0</v>
      </c>
      <c r="P183" s="12">
        <v>0</v>
      </c>
      <c r="Q183" s="12">
        <v>1</v>
      </c>
      <c r="R183" s="12">
        <v>0</v>
      </c>
      <c r="S183" s="12">
        <v>0</v>
      </c>
      <c r="T183" s="12">
        <v>4</v>
      </c>
      <c r="U183" s="12" t="s">
        <v>19</v>
      </c>
      <c r="V183" s="12">
        <v>1</v>
      </c>
      <c r="W183" s="12">
        <v>95</v>
      </c>
      <c r="X183" s="12">
        <v>3</v>
      </c>
      <c r="Y183" s="12">
        <v>1</v>
      </c>
      <c r="Z183" s="12" t="s">
        <v>63</v>
      </c>
      <c r="AA183" s="12">
        <v>0</v>
      </c>
      <c r="AB183" s="12">
        <v>0</v>
      </c>
      <c r="AC183" s="12">
        <v>0</v>
      </c>
      <c r="AD183" s="12">
        <v>0</v>
      </c>
      <c r="AE183" s="12">
        <v>0</v>
      </c>
      <c r="AF183" s="12">
        <v>0</v>
      </c>
      <c r="AG183" s="12">
        <v>0</v>
      </c>
      <c r="AH183" s="12">
        <v>1</v>
      </c>
      <c r="AI183" s="12">
        <v>2</v>
      </c>
      <c r="AJ183" s="12" t="s">
        <v>57</v>
      </c>
      <c r="AK183" s="12">
        <v>1</v>
      </c>
      <c r="AL183" s="12">
        <v>0</v>
      </c>
      <c r="AM183" s="12">
        <v>2311</v>
      </c>
      <c r="AN183" s="12">
        <f t="shared" si="32"/>
        <v>2311</v>
      </c>
      <c r="AO183" s="12">
        <v>2</v>
      </c>
      <c r="AP183" s="12" t="s">
        <v>59</v>
      </c>
      <c r="AQ183" s="12">
        <v>0</v>
      </c>
      <c r="AR183" s="12">
        <v>15</v>
      </c>
      <c r="AS183" s="12">
        <v>3</v>
      </c>
      <c r="AT183" s="12">
        <v>4</v>
      </c>
      <c r="AU183" s="12">
        <v>0</v>
      </c>
      <c r="AV183" s="12">
        <v>9</v>
      </c>
      <c r="AW183" s="12">
        <f t="shared" si="33"/>
        <v>9</v>
      </c>
      <c r="AX183" s="12">
        <v>3</v>
      </c>
      <c r="AY183" s="12">
        <v>3</v>
      </c>
      <c r="AZ183" s="12">
        <v>3</v>
      </c>
      <c r="BA183" s="12">
        <f t="shared" si="34"/>
        <v>3</v>
      </c>
      <c r="BB183" s="12">
        <v>2</v>
      </c>
      <c r="BC183" s="12">
        <v>1</v>
      </c>
      <c r="BD183" s="12">
        <f t="shared" si="43"/>
        <v>1</v>
      </c>
      <c r="BE183" s="12">
        <v>2</v>
      </c>
      <c r="BF183" s="12">
        <f t="shared" si="35"/>
        <v>2</v>
      </c>
      <c r="BG183" s="12">
        <f t="shared" si="44"/>
        <v>2</v>
      </c>
      <c r="BH183" s="67">
        <v>1</v>
      </c>
      <c r="BI183" s="67">
        <v>0</v>
      </c>
      <c r="BJ183" s="67">
        <v>0</v>
      </c>
      <c r="BK183" s="67">
        <v>0</v>
      </c>
      <c r="BL183" s="67">
        <v>1</v>
      </c>
      <c r="BM183" s="67">
        <v>0</v>
      </c>
      <c r="BN183" s="67">
        <v>0</v>
      </c>
      <c r="BO183" s="67">
        <v>0</v>
      </c>
      <c r="BP183" s="67">
        <v>0</v>
      </c>
      <c r="BQ183" s="67">
        <v>2</v>
      </c>
      <c r="BR183" s="67">
        <v>0</v>
      </c>
      <c r="BS183" s="67">
        <v>0</v>
      </c>
      <c r="BT183" s="67">
        <v>9</v>
      </c>
      <c r="BU183" s="70">
        <v>0</v>
      </c>
      <c r="BV183" s="29">
        <f t="shared" si="36"/>
        <v>0.8903928998597509</v>
      </c>
      <c r="BW183">
        <f t="shared" si="37"/>
        <v>0.59502473559756086</v>
      </c>
      <c r="BX183">
        <f t="shared" si="38"/>
        <v>0.29297722668510823</v>
      </c>
      <c r="BY183">
        <f t="shared" si="39"/>
        <v>0.65423109602898355</v>
      </c>
      <c r="BZ183">
        <f t="shared" si="40"/>
        <v>2.1965931630549322</v>
      </c>
      <c r="CA183">
        <f t="shared" si="41"/>
        <v>0.32005363845127444</v>
      </c>
      <c r="CB183">
        <f t="shared" si="42"/>
        <v>0.36858985273641137</v>
      </c>
    </row>
    <row r="184" spans="1:80" x14ac:dyDescent="0.45">
      <c r="A184" s="11">
        <v>41</v>
      </c>
      <c r="B184" s="12">
        <f t="shared" si="30"/>
        <v>41</v>
      </c>
      <c r="C184" s="12" t="s">
        <v>52</v>
      </c>
      <c r="D184" s="12">
        <v>1</v>
      </c>
      <c r="E184" s="12" t="s">
        <v>53</v>
      </c>
      <c r="F184" s="12">
        <v>0</v>
      </c>
      <c r="G184" s="12">
        <v>1</v>
      </c>
      <c r="H184" s="12" t="s">
        <v>54</v>
      </c>
      <c r="I184" s="12">
        <v>0</v>
      </c>
      <c r="J184" s="12">
        <v>1</v>
      </c>
      <c r="K184" s="12">
        <v>20</v>
      </c>
      <c r="L184" s="12">
        <f t="shared" si="31"/>
        <v>20</v>
      </c>
      <c r="M184" s="12">
        <v>2</v>
      </c>
      <c r="N184" s="12" t="s">
        <v>90</v>
      </c>
      <c r="O184" s="12">
        <v>0</v>
      </c>
      <c r="P184" s="12">
        <v>0</v>
      </c>
      <c r="Q184" s="12">
        <v>0</v>
      </c>
      <c r="R184" s="12">
        <v>1</v>
      </c>
      <c r="S184" s="12">
        <v>0</v>
      </c>
      <c r="T184" s="12">
        <v>2</v>
      </c>
      <c r="U184" s="12" t="s">
        <v>19</v>
      </c>
      <c r="V184" s="12">
        <v>1</v>
      </c>
      <c r="W184" s="12">
        <v>70</v>
      </c>
      <c r="X184" s="12">
        <v>3</v>
      </c>
      <c r="Y184" s="12">
        <v>1</v>
      </c>
      <c r="Z184" s="12" t="s">
        <v>88</v>
      </c>
      <c r="AA184" s="12">
        <v>0</v>
      </c>
      <c r="AB184" s="12">
        <v>0</v>
      </c>
      <c r="AC184" s="12">
        <v>0</v>
      </c>
      <c r="AD184" s="12">
        <v>0</v>
      </c>
      <c r="AE184" s="12">
        <v>0</v>
      </c>
      <c r="AF184" s="12">
        <v>0</v>
      </c>
      <c r="AG184" s="12">
        <v>1</v>
      </c>
      <c r="AH184" s="12">
        <v>0</v>
      </c>
      <c r="AI184" s="12">
        <v>2</v>
      </c>
      <c r="AJ184" s="12" t="s">
        <v>57</v>
      </c>
      <c r="AK184" s="12">
        <v>1</v>
      </c>
      <c r="AL184" s="12">
        <v>0</v>
      </c>
      <c r="AM184" s="12">
        <v>3140</v>
      </c>
      <c r="AN184" s="12">
        <f t="shared" si="32"/>
        <v>3140</v>
      </c>
      <c r="AO184" s="12">
        <v>1</v>
      </c>
      <c r="AP184" s="12" t="s">
        <v>52</v>
      </c>
      <c r="AQ184" s="12">
        <v>1</v>
      </c>
      <c r="AR184" s="12">
        <v>22</v>
      </c>
      <c r="AS184" s="12">
        <v>4</v>
      </c>
      <c r="AT184" s="12">
        <v>4</v>
      </c>
      <c r="AU184" s="12">
        <v>0</v>
      </c>
      <c r="AV184" s="12">
        <v>4</v>
      </c>
      <c r="AW184" s="12">
        <f t="shared" si="33"/>
        <v>4</v>
      </c>
      <c r="AX184" s="12">
        <v>5</v>
      </c>
      <c r="AY184" s="12">
        <v>2</v>
      </c>
      <c r="AZ184" s="12">
        <v>4</v>
      </c>
      <c r="BA184" s="12">
        <f t="shared" si="34"/>
        <v>4</v>
      </c>
      <c r="BB184" s="12">
        <v>3</v>
      </c>
      <c r="BC184" s="12">
        <v>0</v>
      </c>
      <c r="BD184" s="12">
        <f t="shared" si="43"/>
        <v>0</v>
      </c>
      <c r="BE184" s="12">
        <v>2</v>
      </c>
      <c r="BF184" s="12">
        <f t="shared" si="35"/>
        <v>2</v>
      </c>
      <c r="BG184" s="12">
        <f t="shared" si="44"/>
        <v>2</v>
      </c>
      <c r="BH184" s="67">
        <v>1</v>
      </c>
      <c r="BI184" s="67">
        <v>0</v>
      </c>
      <c r="BJ184" s="67">
        <v>0</v>
      </c>
      <c r="BK184" s="67">
        <v>0</v>
      </c>
      <c r="BL184" s="67">
        <v>0</v>
      </c>
      <c r="BM184" s="67">
        <v>1</v>
      </c>
      <c r="BN184" s="67">
        <v>0</v>
      </c>
      <c r="BO184" s="67">
        <v>0</v>
      </c>
      <c r="BP184" s="67">
        <v>0</v>
      </c>
      <c r="BQ184" s="67">
        <v>0</v>
      </c>
      <c r="BR184" s="67">
        <v>2</v>
      </c>
      <c r="BS184" s="67">
        <v>0</v>
      </c>
      <c r="BT184" s="67">
        <v>0</v>
      </c>
      <c r="BU184" s="70">
        <v>4</v>
      </c>
      <c r="BV184" s="29">
        <f t="shared" si="36"/>
        <v>0.714308020963626</v>
      </c>
      <c r="BW184">
        <f t="shared" si="37"/>
        <v>0.59502473559756086</v>
      </c>
      <c r="BX184">
        <f t="shared" si="38"/>
        <v>0.93558618405172878</v>
      </c>
      <c r="BY184">
        <f t="shared" si="39"/>
        <v>0.49100643357776058</v>
      </c>
      <c r="BZ184">
        <f t="shared" si="40"/>
        <v>1.3331273859286286</v>
      </c>
      <c r="CA184">
        <f t="shared" si="41"/>
        <v>0.4461985578408646</v>
      </c>
      <c r="CB184">
        <f t="shared" si="42"/>
        <v>0.67891464284095016</v>
      </c>
    </row>
    <row r="185" spans="1:80" x14ac:dyDescent="0.45">
      <c r="A185" s="11">
        <v>50</v>
      </c>
      <c r="B185" s="12">
        <f t="shared" si="30"/>
        <v>50</v>
      </c>
      <c r="C185" s="12" t="s">
        <v>59</v>
      </c>
      <c r="D185" s="12">
        <v>0</v>
      </c>
      <c r="E185" s="12" t="s">
        <v>53</v>
      </c>
      <c r="F185" s="12">
        <v>0</v>
      </c>
      <c r="G185" s="12">
        <v>1</v>
      </c>
      <c r="H185" s="12" t="s">
        <v>61</v>
      </c>
      <c r="I185" s="12">
        <v>1</v>
      </c>
      <c r="J185" s="12">
        <v>0</v>
      </c>
      <c r="K185" s="12">
        <v>1</v>
      </c>
      <c r="L185" s="12">
        <f t="shared" si="31"/>
        <v>1</v>
      </c>
      <c r="M185" s="12">
        <v>3</v>
      </c>
      <c r="N185" s="12" t="s">
        <v>70</v>
      </c>
      <c r="O185" s="12">
        <v>0</v>
      </c>
      <c r="P185" s="12">
        <v>0</v>
      </c>
      <c r="Q185" s="12">
        <v>1</v>
      </c>
      <c r="R185" s="12">
        <v>0</v>
      </c>
      <c r="S185" s="12">
        <v>0</v>
      </c>
      <c r="T185" s="12">
        <v>3</v>
      </c>
      <c r="U185" s="12" t="s">
        <v>62</v>
      </c>
      <c r="V185" s="12">
        <v>0</v>
      </c>
      <c r="W185" s="12">
        <v>86</v>
      </c>
      <c r="X185" s="12">
        <v>2</v>
      </c>
      <c r="Y185" s="12">
        <v>1</v>
      </c>
      <c r="Z185" s="12" t="s">
        <v>67</v>
      </c>
      <c r="AA185" s="12">
        <v>0</v>
      </c>
      <c r="AB185" s="12">
        <v>0</v>
      </c>
      <c r="AC185" s="12">
        <v>1</v>
      </c>
      <c r="AD185" s="12">
        <v>0</v>
      </c>
      <c r="AE185" s="12">
        <v>0</v>
      </c>
      <c r="AF185" s="12">
        <v>0</v>
      </c>
      <c r="AG185" s="12">
        <v>0</v>
      </c>
      <c r="AH185" s="12">
        <v>0</v>
      </c>
      <c r="AI185" s="12">
        <v>3</v>
      </c>
      <c r="AJ185" s="12" t="s">
        <v>64</v>
      </c>
      <c r="AK185" s="12">
        <v>0</v>
      </c>
      <c r="AL185" s="12">
        <v>1</v>
      </c>
      <c r="AM185" s="12">
        <v>3690</v>
      </c>
      <c r="AN185" s="12">
        <f t="shared" si="32"/>
        <v>3690</v>
      </c>
      <c r="AO185" s="12">
        <v>2</v>
      </c>
      <c r="AP185" s="12" t="s">
        <v>59</v>
      </c>
      <c r="AQ185" s="12">
        <v>0</v>
      </c>
      <c r="AR185" s="12">
        <v>15</v>
      </c>
      <c r="AS185" s="12">
        <v>3</v>
      </c>
      <c r="AT185" s="12">
        <v>4</v>
      </c>
      <c r="AU185" s="12">
        <v>1</v>
      </c>
      <c r="AV185" s="12">
        <v>5</v>
      </c>
      <c r="AW185" s="12">
        <f t="shared" si="33"/>
        <v>5</v>
      </c>
      <c r="AX185" s="12">
        <v>2</v>
      </c>
      <c r="AY185" s="12">
        <v>2</v>
      </c>
      <c r="AZ185" s="12">
        <v>3</v>
      </c>
      <c r="BA185" s="12">
        <f t="shared" si="34"/>
        <v>3</v>
      </c>
      <c r="BB185" s="12">
        <v>2</v>
      </c>
      <c r="BC185" s="12">
        <v>0</v>
      </c>
      <c r="BD185" s="12">
        <f t="shared" si="43"/>
        <v>0</v>
      </c>
      <c r="BE185" s="12">
        <v>2</v>
      </c>
      <c r="BF185" s="12">
        <f t="shared" si="35"/>
        <v>2</v>
      </c>
      <c r="BG185" s="12">
        <f t="shared" si="44"/>
        <v>2</v>
      </c>
      <c r="BH185" s="67">
        <v>0</v>
      </c>
      <c r="BI185" s="67">
        <v>1</v>
      </c>
      <c r="BJ185" s="67">
        <v>0</v>
      </c>
      <c r="BK185" s="67">
        <v>0</v>
      </c>
      <c r="BL185" s="67">
        <v>0</v>
      </c>
      <c r="BM185" s="67">
        <v>0</v>
      </c>
      <c r="BN185" s="67">
        <v>1</v>
      </c>
      <c r="BO185" s="67">
        <v>0</v>
      </c>
      <c r="BP185" s="67">
        <v>0</v>
      </c>
      <c r="BQ185" s="67">
        <v>2</v>
      </c>
      <c r="BR185" s="67">
        <v>0</v>
      </c>
      <c r="BS185" s="67">
        <v>0</v>
      </c>
      <c r="BT185" s="67">
        <v>5</v>
      </c>
      <c r="BU185" s="70">
        <v>0</v>
      </c>
      <c r="BV185" s="29">
        <f t="shared" si="36"/>
        <v>0.59748451868031027</v>
      </c>
      <c r="BW185">
        <f t="shared" si="37"/>
        <v>0.59502473559756086</v>
      </c>
      <c r="BX185">
        <f t="shared" si="38"/>
        <v>0.80706439257840468</v>
      </c>
      <c r="BY185">
        <f t="shared" si="39"/>
        <v>0.65423109602898355</v>
      </c>
      <c r="BZ185">
        <f t="shared" si="40"/>
        <v>1.01056543769991</v>
      </c>
      <c r="CA185">
        <f t="shared" si="41"/>
        <v>1.4313799530736149</v>
      </c>
      <c r="CB185">
        <f t="shared" si="42"/>
        <v>0.67891464284095016</v>
      </c>
    </row>
    <row r="186" spans="1:80" x14ac:dyDescent="0.45">
      <c r="A186" s="11">
        <v>53</v>
      </c>
      <c r="B186" s="12">
        <f t="shared" si="30"/>
        <v>53</v>
      </c>
      <c r="C186" s="12" t="s">
        <v>59</v>
      </c>
      <c r="D186" s="12">
        <v>0</v>
      </c>
      <c r="E186" s="12" t="s">
        <v>53</v>
      </c>
      <c r="F186" s="12">
        <v>0</v>
      </c>
      <c r="G186" s="12">
        <v>1</v>
      </c>
      <c r="H186" s="12" t="s">
        <v>61</v>
      </c>
      <c r="I186" s="12">
        <v>1</v>
      </c>
      <c r="J186" s="12">
        <v>0</v>
      </c>
      <c r="K186" s="12">
        <v>13</v>
      </c>
      <c r="L186" s="12">
        <f t="shared" si="31"/>
        <v>13</v>
      </c>
      <c r="M186" s="12">
        <v>2</v>
      </c>
      <c r="N186" s="12" t="s">
        <v>70</v>
      </c>
      <c r="O186" s="12">
        <v>0</v>
      </c>
      <c r="P186" s="12">
        <v>0</v>
      </c>
      <c r="Q186" s="12">
        <v>1</v>
      </c>
      <c r="R186" s="12">
        <v>0</v>
      </c>
      <c r="S186" s="12">
        <v>0</v>
      </c>
      <c r="T186" s="12">
        <v>4</v>
      </c>
      <c r="U186" s="12" t="s">
        <v>19</v>
      </c>
      <c r="V186" s="12">
        <v>1</v>
      </c>
      <c r="W186" s="12">
        <v>57</v>
      </c>
      <c r="X186" s="12">
        <v>4</v>
      </c>
      <c r="Y186" s="12">
        <v>2</v>
      </c>
      <c r="Z186" s="12" t="s">
        <v>83</v>
      </c>
      <c r="AA186" s="12">
        <v>0</v>
      </c>
      <c r="AB186" s="12">
        <v>0</v>
      </c>
      <c r="AC186" s="12">
        <v>0</v>
      </c>
      <c r="AD186" s="12">
        <v>0</v>
      </c>
      <c r="AE186" s="12">
        <v>1</v>
      </c>
      <c r="AF186" s="12">
        <v>1</v>
      </c>
      <c r="AG186" s="12">
        <v>0</v>
      </c>
      <c r="AH186" s="12">
        <v>0</v>
      </c>
      <c r="AI186" s="12">
        <v>1</v>
      </c>
      <c r="AJ186" s="12" t="s">
        <v>78</v>
      </c>
      <c r="AK186" s="12">
        <v>0</v>
      </c>
      <c r="AL186" s="12">
        <v>0</v>
      </c>
      <c r="AM186" s="12">
        <v>4450</v>
      </c>
      <c r="AN186" s="12">
        <f t="shared" si="32"/>
        <v>4450</v>
      </c>
      <c r="AO186" s="12">
        <v>1</v>
      </c>
      <c r="AP186" s="12" t="s">
        <v>59</v>
      </c>
      <c r="AQ186" s="12">
        <v>0</v>
      </c>
      <c r="AR186" s="12">
        <v>11</v>
      </c>
      <c r="AS186" s="12">
        <v>3</v>
      </c>
      <c r="AT186" s="12">
        <v>3</v>
      </c>
      <c r="AU186" s="12">
        <v>2</v>
      </c>
      <c r="AV186" s="12">
        <v>5</v>
      </c>
      <c r="AW186" s="12">
        <f t="shared" si="33"/>
        <v>5</v>
      </c>
      <c r="AX186" s="12">
        <v>3</v>
      </c>
      <c r="AY186" s="12">
        <v>3</v>
      </c>
      <c r="AZ186" s="12">
        <v>4</v>
      </c>
      <c r="BA186" s="12">
        <f t="shared" si="34"/>
        <v>4</v>
      </c>
      <c r="BB186" s="12">
        <v>2</v>
      </c>
      <c r="BC186" s="12">
        <v>1</v>
      </c>
      <c r="BD186" s="12">
        <f t="shared" si="43"/>
        <v>1</v>
      </c>
      <c r="BE186" s="12">
        <v>3</v>
      </c>
      <c r="BF186" s="12">
        <f t="shared" si="35"/>
        <v>3</v>
      </c>
      <c r="BG186" s="12">
        <f t="shared" si="44"/>
        <v>6</v>
      </c>
      <c r="BH186" s="67">
        <v>1</v>
      </c>
      <c r="BI186" s="67">
        <v>0</v>
      </c>
      <c r="BJ186" s="67">
        <v>0</v>
      </c>
      <c r="BK186" s="67">
        <v>0</v>
      </c>
      <c r="BL186" s="67">
        <v>1</v>
      </c>
      <c r="BM186" s="67">
        <v>0</v>
      </c>
      <c r="BN186" s="67">
        <v>0</v>
      </c>
      <c r="BO186" s="67">
        <v>0</v>
      </c>
      <c r="BP186" s="67">
        <v>0</v>
      </c>
      <c r="BQ186" s="67">
        <v>3</v>
      </c>
      <c r="BR186" s="67">
        <v>0</v>
      </c>
      <c r="BS186" s="67">
        <v>0</v>
      </c>
      <c r="BT186" s="67">
        <v>5</v>
      </c>
      <c r="BU186" s="70">
        <v>0</v>
      </c>
      <c r="BV186" s="29">
        <f t="shared" si="36"/>
        <v>0.43605567916154681</v>
      </c>
      <c r="BW186">
        <f t="shared" si="37"/>
        <v>0.31476636926356072</v>
      </c>
      <c r="BX186">
        <f t="shared" si="38"/>
        <v>0.80706439257840468</v>
      </c>
      <c r="BY186">
        <f t="shared" si="39"/>
        <v>0.49100643357776058</v>
      </c>
      <c r="BZ186">
        <f t="shared" si="40"/>
        <v>0.46966160880232483</v>
      </c>
      <c r="CA186">
        <f t="shared" si="41"/>
        <v>1.7597737514845315</v>
      </c>
      <c r="CB186">
        <f t="shared" si="42"/>
        <v>0.36858985273641137</v>
      </c>
    </row>
    <row r="187" spans="1:80" x14ac:dyDescent="0.45">
      <c r="A187" s="11">
        <v>33</v>
      </c>
      <c r="B187" s="12">
        <f t="shared" si="30"/>
        <v>33</v>
      </c>
      <c r="C187" s="12" t="s">
        <v>59</v>
      </c>
      <c r="D187" s="12">
        <v>0</v>
      </c>
      <c r="E187" s="12" t="s">
        <v>53</v>
      </c>
      <c r="F187" s="12">
        <v>0</v>
      </c>
      <c r="G187" s="12">
        <v>1</v>
      </c>
      <c r="H187" s="12" t="s">
        <v>61</v>
      </c>
      <c r="I187" s="12">
        <v>1</v>
      </c>
      <c r="J187" s="12">
        <v>0</v>
      </c>
      <c r="K187" s="12">
        <v>14</v>
      </c>
      <c r="L187" s="12">
        <f t="shared" si="31"/>
        <v>14</v>
      </c>
      <c r="M187" s="12">
        <v>3</v>
      </c>
      <c r="N187" s="12" t="s">
        <v>70</v>
      </c>
      <c r="O187" s="12">
        <v>0</v>
      </c>
      <c r="P187" s="12">
        <v>0</v>
      </c>
      <c r="Q187" s="12">
        <v>1</v>
      </c>
      <c r="R187" s="12">
        <v>0</v>
      </c>
      <c r="S187" s="12">
        <v>0</v>
      </c>
      <c r="T187" s="12">
        <v>4</v>
      </c>
      <c r="U187" s="12" t="s">
        <v>19</v>
      </c>
      <c r="V187" s="12">
        <v>1</v>
      </c>
      <c r="W187" s="12">
        <v>72</v>
      </c>
      <c r="X187" s="12">
        <v>3</v>
      </c>
      <c r="Y187" s="12">
        <v>1</v>
      </c>
      <c r="Z187" s="12" t="s">
        <v>63</v>
      </c>
      <c r="AA187" s="12">
        <v>0</v>
      </c>
      <c r="AB187" s="12">
        <v>0</v>
      </c>
      <c r="AC187" s="12">
        <v>0</v>
      </c>
      <c r="AD187" s="12">
        <v>0</v>
      </c>
      <c r="AE187" s="12">
        <v>0</v>
      </c>
      <c r="AF187" s="12">
        <v>0</v>
      </c>
      <c r="AG187" s="12">
        <v>0</v>
      </c>
      <c r="AH187" s="12">
        <v>1</v>
      </c>
      <c r="AI187" s="12">
        <v>2</v>
      </c>
      <c r="AJ187" s="12" t="s">
        <v>64</v>
      </c>
      <c r="AK187" s="12">
        <v>0</v>
      </c>
      <c r="AL187" s="12">
        <v>1</v>
      </c>
      <c r="AM187" s="12">
        <v>2756</v>
      </c>
      <c r="AN187" s="12">
        <f t="shared" si="32"/>
        <v>2756</v>
      </c>
      <c r="AO187" s="12">
        <v>1</v>
      </c>
      <c r="AP187" s="12" t="s">
        <v>59</v>
      </c>
      <c r="AQ187" s="12">
        <v>0</v>
      </c>
      <c r="AR187" s="12">
        <v>13</v>
      </c>
      <c r="AS187" s="12">
        <v>3</v>
      </c>
      <c r="AT187" s="12">
        <v>4</v>
      </c>
      <c r="AU187" s="12">
        <v>1</v>
      </c>
      <c r="AV187" s="12">
        <v>8</v>
      </c>
      <c r="AW187" s="12">
        <f t="shared" si="33"/>
        <v>8</v>
      </c>
      <c r="AX187" s="12">
        <v>5</v>
      </c>
      <c r="AY187" s="12">
        <v>3</v>
      </c>
      <c r="AZ187" s="12">
        <v>8</v>
      </c>
      <c r="BA187" s="12">
        <f t="shared" si="34"/>
        <v>8</v>
      </c>
      <c r="BB187" s="12">
        <v>7</v>
      </c>
      <c r="BC187" s="12">
        <v>1</v>
      </c>
      <c r="BD187" s="12">
        <f t="shared" si="43"/>
        <v>1</v>
      </c>
      <c r="BE187" s="12">
        <v>6</v>
      </c>
      <c r="BF187" s="12">
        <f t="shared" si="35"/>
        <v>6</v>
      </c>
      <c r="BG187" s="12">
        <f t="shared" si="44"/>
        <v>6</v>
      </c>
      <c r="BH187" s="67">
        <v>0</v>
      </c>
      <c r="BI187" s="67">
        <v>1</v>
      </c>
      <c r="BJ187" s="67">
        <v>0</v>
      </c>
      <c r="BK187" s="67">
        <v>0</v>
      </c>
      <c r="BL187" s="67">
        <v>0</v>
      </c>
      <c r="BM187" s="67">
        <v>0</v>
      </c>
      <c r="BN187" s="67">
        <v>1</v>
      </c>
      <c r="BO187" s="67">
        <v>0</v>
      </c>
      <c r="BP187" s="67">
        <v>0</v>
      </c>
      <c r="BQ187" s="67">
        <v>6</v>
      </c>
      <c r="BR187" s="67">
        <v>0</v>
      </c>
      <c r="BS187" s="67">
        <v>0</v>
      </c>
      <c r="BT187" s="67">
        <v>8</v>
      </c>
      <c r="BU187" s="70">
        <v>0</v>
      </c>
      <c r="BV187" s="29">
        <f t="shared" si="36"/>
        <v>0.79587206619415907</v>
      </c>
      <c r="BW187">
        <f t="shared" si="37"/>
        <v>0.52600872973843971</v>
      </c>
      <c r="BX187">
        <f t="shared" si="38"/>
        <v>0.42149901815843233</v>
      </c>
      <c r="BY187">
        <f t="shared" si="39"/>
        <v>0.16189221622713135</v>
      </c>
      <c r="BZ187">
        <f t="shared" si="40"/>
        <v>0.59301386267751111</v>
      </c>
      <c r="CA187">
        <f t="shared" si="41"/>
        <v>0.42951823792158</v>
      </c>
      <c r="CB187">
        <f t="shared" si="42"/>
        <v>0.36858985273641137</v>
      </c>
    </row>
    <row r="188" spans="1:80" x14ac:dyDescent="0.45">
      <c r="A188" s="11">
        <v>40</v>
      </c>
      <c r="B188" s="12">
        <f t="shared" si="30"/>
        <v>40</v>
      </c>
      <c r="C188" s="12" t="s">
        <v>59</v>
      </c>
      <c r="D188" s="12">
        <v>0</v>
      </c>
      <c r="E188" s="12" t="s">
        <v>53</v>
      </c>
      <c r="F188" s="12">
        <v>0</v>
      </c>
      <c r="G188" s="12">
        <v>1</v>
      </c>
      <c r="H188" s="12" t="s">
        <v>61</v>
      </c>
      <c r="I188" s="12">
        <v>1</v>
      </c>
      <c r="J188" s="12">
        <v>0</v>
      </c>
      <c r="K188" s="12">
        <v>4</v>
      </c>
      <c r="L188" s="12">
        <f t="shared" si="31"/>
        <v>4</v>
      </c>
      <c r="M188" s="12">
        <v>1</v>
      </c>
      <c r="N188" s="12" t="s">
        <v>70</v>
      </c>
      <c r="O188" s="12">
        <v>0</v>
      </c>
      <c r="P188" s="12">
        <v>0</v>
      </c>
      <c r="Q188" s="12">
        <v>1</v>
      </c>
      <c r="R188" s="12">
        <v>0</v>
      </c>
      <c r="S188" s="12">
        <v>0</v>
      </c>
      <c r="T188" s="12">
        <v>4</v>
      </c>
      <c r="U188" s="12" t="s">
        <v>19</v>
      </c>
      <c r="V188" s="12">
        <v>1</v>
      </c>
      <c r="W188" s="12">
        <v>46</v>
      </c>
      <c r="X188" s="12">
        <v>3</v>
      </c>
      <c r="Y188" s="12">
        <v>5</v>
      </c>
      <c r="Z188" s="12" t="s">
        <v>87</v>
      </c>
      <c r="AA188" s="12">
        <v>0</v>
      </c>
      <c r="AB188" s="12">
        <v>0</v>
      </c>
      <c r="AC188" s="12">
        <v>0</v>
      </c>
      <c r="AD188" s="12">
        <v>1</v>
      </c>
      <c r="AE188" s="12">
        <v>0</v>
      </c>
      <c r="AF188" s="12">
        <v>0</v>
      </c>
      <c r="AG188" s="12">
        <v>0</v>
      </c>
      <c r="AH188" s="12">
        <v>0</v>
      </c>
      <c r="AI188" s="12">
        <v>3</v>
      </c>
      <c r="AJ188" s="12" t="s">
        <v>64</v>
      </c>
      <c r="AK188" s="12">
        <v>0</v>
      </c>
      <c r="AL188" s="12">
        <v>1</v>
      </c>
      <c r="AM188" s="12">
        <v>19033</v>
      </c>
      <c r="AN188" s="12">
        <f t="shared" si="32"/>
        <v>19033</v>
      </c>
      <c r="AO188" s="12">
        <v>1</v>
      </c>
      <c r="AP188" s="12" t="s">
        <v>59</v>
      </c>
      <c r="AQ188" s="12">
        <v>0</v>
      </c>
      <c r="AR188" s="12">
        <v>14</v>
      </c>
      <c r="AS188" s="12">
        <v>3</v>
      </c>
      <c r="AT188" s="12">
        <v>2</v>
      </c>
      <c r="AU188" s="12">
        <v>1</v>
      </c>
      <c r="AV188" s="12">
        <v>21</v>
      </c>
      <c r="AW188" s="12">
        <f t="shared" si="33"/>
        <v>21</v>
      </c>
      <c r="AX188" s="12">
        <v>2</v>
      </c>
      <c r="AY188" s="12">
        <v>3</v>
      </c>
      <c r="AZ188" s="12">
        <v>20</v>
      </c>
      <c r="BA188" s="12">
        <f t="shared" si="34"/>
        <v>20</v>
      </c>
      <c r="BB188" s="12">
        <v>8</v>
      </c>
      <c r="BC188" s="12">
        <v>9</v>
      </c>
      <c r="BD188" s="12">
        <f t="shared" si="43"/>
        <v>9</v>
      </c>
      <c r="BE188" s="12">
        <v>9</v>
      </c>
      <c r="BF188" s="12">
        <f t="shared" si="35"/>
        <v>9</v>
      </c>
      <c r="BG188" s="12">
        <f t="shared" si="44"/>
        <v>45</v>
      </c>
      <c r="BH188" s="67">
        <v>0</v>
      </c>
      <c r="BI188" s="67">
        <v>1</v>
      </c>
      <c r="BJ188" s="67">
        <v>0</v>
      </c>
      <c r="BK188" s="67">
        <v>0</v>
      </c>
      <c r="BL188" s="67">
        <v>0</v>
      </c>
      <c r="BM188" s="67">
        <v>0</v>
      </c>
      <c r="BN188" s="67">
        <v>1</v>
      </c>
      <c r="BO188" s="67">
        <v>0</v>
      </c>
      <c r="BP188" s="67">
        <v>0</v>
      </c>
      <c r="BQ188" s="67">
        <v>9</v>
      </c>
      <c r="BR188" s="67">
        <v>0</v>
      </c>
      <c r="BS188" s="67">
        <v>0</v>
      </c>
      <c r="BT188" s="67">
        <v>21</v>
      </c>
      <c r="BU188" s="70">
        <v>0</v>
      </c>
      <c r="BV188" s="29">
        <f t="shared" si="36"/>
        <v>2.6614663822886211</v>
      </c>
      <c r="BW188">
        <f t="shared" si="37"/>
        <v>1.3667838287404401</v>
      </c>
      <c r="BX188">
        <f t="shared" si="38"/>
        <v>1.2492842709947811</v>
      </c>
      <c r="BY188">
        <f t="shared" si="39"/>
        <v>2.1205881656418071</v>
      </c>
      <c r="BZ188">
        <f t="shared" si="40"/>
        <v>0.64050867607435136</v>
      </c>
      <c r="CA188">
        <f t="shared" si="41"/>
        <v>0.33673395837055903</v>
      </c>
      <c r="CB188">
        <f t="shared" si="42"/>
        <v>2.114008468099899</v>
      </c>
    </row>
    <row r="189" spans="1:80" x14ac:dyDescent="0.45">
      <c r="A189" s="11">
        <v>55</v>
      </c>
      <c r="B189" s="12">
        <f t="shared" si="30"/>
        <v>55</v>
      </c>
      <c r="C189" s="12" t="s">
        <v>59</v>
      </c>
      <c r="D189" s="12">
        <v>0</v>
      </c>
      <c r="E189" s="12" t="s">
        <v>53</v>
      </c>
      <c r="F189" s="12">
        <v>0</v>
      </c>
      <c r="G189" s="12">
        <v>1</v>
      </c>
      <c r="H189" s="12" t="s">
        <v>61</v>
      </c>
      <c r="I189" s="12">
        <v>1</v>
      </c>
      <c r="J189" s="12">
        <v>0</v>
      </c>
      <c r="K189" s="12">
        <v>14</v>
      </c>
      <c r="L189" s="12">
        <f t="shared" si="31"/>
        <v>14</v>
      </c>
      <c r="M189" s="12">
        <v>4</v>
      </c>
      <c r="N189" s="12" t="s">
        <v>70</v>
      </c>
      <c r="O189" s="12">
        <v>0</v>
      </c>
      <c r="P189" s="12">
        <v>0</v>
      </c>
      <c r="Q189" s="12">
        <v>1</v>
      </c>
      <c r="R189" s="12">
        <v>0</v>
      </c>
      <c r="S189" s="12">
        <v>0</v>
      </c>
      <c r="T189" s="12">
        <v>3</v>
      </c>
      <c r="U189" s="12" t="s">
        <v>62</v>
      </c>
      <c r="V189" s="12">
        <v>0</v>
      </c>
      <c r="W189" s="12">
        <v>61</v>
      </c>
      <c r="X189" s="12">
        <v>4</v>
      </c>
      <c r="Y189" s="12">
        <v>5</v>
      </c>
      <c r="Z189" s="12" t="s">
        <v>89</v>
      </c>
      <c r="AA189" s="12">
        <v>0</v>
      </c>
      <c r="AB189" s="12">
        <v>0</v>
      </c>
      <c r="AC189" s="12">
        <v>0</v>
      </c>
      <c r="AD189" s="12">
        <v>0</v>
      </c>
      <c r="AE189" s="12">
        <v>0</v>
      </c>
      <c r="AF189" s="12">
        <v>0</v>
      </c>
      <c r="AG189" s="12">
        <v>0</v>
      </c>
      <c r="AH189" s="12">
        <v>0</v>
      </c>
      <c r="AI189" s="12">
        <v>2</v>
      </c>
      <c r="AJ189" s="12" t="s">
        <v>57</v>
      </c>
      <c r="AK189" s="12">
        <v>1</v>
      </c>
      <c r="AL189" s="12">
        <v>0</v>
      </c>
      <c r="AM189" s="12">
        <v>18722</v>
      </c>
      <c r="AN189" s="12">
        <f t="shared" si="32"/>
        <v>18722</v>
      </c>
      <c r="AO189" s="12">
        <v>8</v>
      </c>
      <c r="AP189" s="12" t="s">
        <v>59</v>
      </c>
      <c r="AQ189" s="12">
        <v>0</v>
      </c>
      <c r="AR189" s="12">
        <v>11</v>
      </c>
      <c r="AS189" s="12">
        <v>3</v>
      </c>
      <c r="AT189" s="12">
        <v>4</v>
      </c>
      <c r="AU189" s="12">
        <v>0</v>
      </c>
      <c r="AV189" s="12">
        <v>36</v>
      </c>
      <c r="AW189" s="12">
        <f t="shared" si="33"/>
        <v>35</v>
      </c>
      <c r="AX189" s="12">
        <v>3</v>
      </c>
      <c r="AY189" s="12">
        <v>3</v>
      </c>
      <c r="AZ189" s="12">
        <v>24</v>
      </c>
      <c r="BA189" s="12">
        <f t="shared" si="34"/>
        <v>24</v>
      </c>
      <c r="BB189" s="12">
        <v>15</v>
      </c>
      <c r="BC189" s="12">
        <v>2</v>
      </c>
      <c r="BD189" s="12">
        <f t="shared" si="43"/>
        <v>2</v>
      </c>
      <c r="BE189" s="12">
        <v>15</v>
      </c>
      <c r="BF189" s="12">
        <f t="shared" si="35"/>
        <v>14</v>
      </c>
      <c r="BG189" s="12">
        <f t="shared" si="44"/>
        <v>70</v>
      </c>
      <c r="BH189" s="67">
        <v>1</v>
      </c>
      <c r="BI189" s="67">
        <v>0</v>
      </c>
      <c r="BJ189" s="67">
        <v>0</v>
      </c>
      <c r="BK189" s="67">
        <v>0</v>
      </c>
      <c r="BL189" s="67">
        <v>1</v>
      </c>
      <c r="BM189" s="67">
        <v>0</v>
      </c>
      <c r="BN189" s="67">
        <v>0</v>
      </c>
      <c r="BO189" s="67">
        <v>0</v>
      </c>
      <c r="BP189" s="67">
        <v>0</v>
      </c>
      <c r="BQ189" s="67">
        <v>14</v>
      </c>
      <c r="BR189" s="67">
        <v>0</v>
      </c>
      <c r="BS189" s="67">
        <v>0</v>
      </c>
      <c r="BT189" s="67">
        <v>35</v>
      </c>
      <c r="BU189" s="70">
        <v>0</v>
      </c>
      <c r="BV189" s="29">
        <f t="shared" si="36"/>
        <v>2.595408001906601</v>
      </c>
      <c r="BW189">
        <f t="shared" si="37"/>
        <v>3.048334026744441</v>
      </c>
      <c r="BX189">
        <f t="shared" si="38"/>
        <v>3.1771111430946424</v>
      </c>
      <c r="BY189">
        <f t="shared" si="39"/>
        <v>2.7734868154466992</v>
      </c>
      <c r="BZ189">
        <f t="shared" si="40"/>
        <v>0.59301386267751111</v>
      </c>
      <c r="CA189">
        <f t="shared" si="41"/>
        <v>1.9787029504251428</v>
      </c>
      <c r="CB189">
        <f t="shared" si="42"/>
        <v>5.8265062631872602E-2</v>
      </c>
    </row>
    <row r="190" spans="1:80" x14ac:dyDescent="0.45">
      <c r="A190" s="11">
        <v>34</v>
      </c>
      <c r="B190" s="12">
        <f t="shared" si="30"/>
        <v>34</v>
      </c>
      <c r="C190" s="12" t="s">
        <v>59</v>
      </c>
      <c r="D190" s="12">
        <v>0</v>
      </c>
      <c r="E190" s="12" t="s">
        <v>60</v>
      </c>
      <c r="F190" s="12">
        <v>1</v>
      </c>
      <c r="G190" s="12">
        <v>0</v>
      </c>
      <c r="H190" s="12" t="s">
        <v>61</v>
      </c>
      <c r="I190" s="12">
        <v>1</v>
      </c>
      <c r="J190" s="12">
        <v>0</v>
      </c>
      <c r="K190" s="12">
        <v>2</v>
      </c>
      <c r="L190" s="12">
        <f t="shared" si="31"/>
        <v>2</v>
      </c>
      <c r="M190" s="12">
        <v>1</v>
      </c>
      <c r="N190" s="12" t="s">
        <v>55</v>
      </c>
      <c r="O190" s="12">
        <v>1</v>
      </c>
      <c r="P190" s="12">
        <v>0</v>
      </c>
      <c r="Q190" s="12">
        <v>0</v>
      </c>
      <c r="R190" s="12">
        <v>0</v>
      </c>
      <c r="S190" s="12">
        <v>0</v>
      </c>
      <c r="T190" s="12">
        <v>4</v>
      </c>
      <c r="U190" s="12" t="s">
        <v>62</v>
      </c>
      <c r="V190" s="12">
        <v>0</v>
      </c>
      <c r="W190" s="12">
        <v>45</v>
      </c>
      <c r="X190" s="12">
        <v>2</v>
      </c>
      <c r="Y190" s="12">
        <v>2</v>
      </c>
      <c r="Z190" s="12" t="s">
        <v>83</v>
      </c>
      <c r="AA190" s="12">
        <v>0</v>
      </c>
      <c r="AB190" s="12">
        <v>0</v>
      </c>
      <c r="AC190" s="12">
        <v>0</v>
      </c>
      <c r="AD190" s="12">
        <v>0</v>
      </c>
      <c r="AE190" s="12">
        <v>1</v>
      </c>
      <c r="AF190" s="12">
        <v>1</v>
      </c>
      <c r="AG190" s="12">
        <v>0</v>
      </c>
      <c r="AH190" s="12">
        <v>0</v>
      </c>
      <c r="AI190" s="12">
        <v>3</v>
      </c>
      <c r="AJ190" s="12" t="s">
        <v>64</v>
      </c>
      <c r="AK190" s="12">
        <v>0</v>
      </c>
      <c r="AL190" s="12">
        <v>1</v>
      </c>
      <c r="AM190" s="12">
        <v>9547</v>
      </c>
      <c r="AN190" s="12">
        <f t="shared" si="32"/>
        <v>9547</v>
      </c>
      <c r="AO190" s="12">
        <v>1</v>
      </c>
      <c r="AP190" s="12" t="s">
        <v>59</v>
      </c>
      <c r="AQ190" s="12">
        <v>0</v>
      </c>
      <c r="AR190" s="12">
        <v>17</v>
      </c>
      <c r="AS190" s="12">
        <v>3</v>
      </c>
      <c r="AT190" s="12">
        <v>3</v>
      </c>
      <c r="AU190" s="12">
        <v>0</v>
      </c>
      <c r="AV190" s="12">
        <v>10</v>
      </c>
      <c r="AW190" s="12">
        <f t="shared" si="33"/>
        <v>10</v>
      </c>
      <c r="AX190" s="12">
        <v>2</v>
      </c>
      <c r="AY190" s="12">
        <v>2</v>
      </c>
      <c r="AZ190" s="12">
        <v>10</v>
      </c>
      <c r="BA190" s="12">
        <f t="shared" si="34"/>
        <v>10</v>
      </c>
      <c r="BB190" s="12">
        <v>9</v>
      </c>
      <c r="BC190" s="12">
        <v>1</v>
      </c>
      <c r="BD190" s="12">
        <f t="shared" si="43"/>
        <v>1</v>
      </c>
      <c r="BE190" s="12">
        <v>9</v>
      </c>
      <c r="BF190" s="12">
        <f t="shared" si="35"/>
        <v>9</v>
      </c>
      <c r="BG190" s="12">
        <f t="shared" si="44"/>
        <v>18</v>
      </c>
      <c r="BH190" s="67">
        <v>0</v>
      </c>
      <c r="BI190" s="67">
        <v>0</v>
      </c>
      <c r="BJ190" s="67">
        <v>0</v>
      </c>
      <c r="BK190" s="67">
        <v>1</v>
      </c>
      <c r="BL190" s="67">
        <v>0</v>
      </c>
      <c r="BM190" s="67">
        <v>0</v>
      </c>
      <c r="BN190" s="67">
        <v>1</v>
      </c>
      <c r="BO190" s="67">
        <v>0</v>
      </c>
      <c r="BP190" s="67">
        <v>0</v>
      </c>
      <c r="BQ190" s="67">
        <v>9</v>
      </c>
      <c r="BR190" s="67">
        <v>0</v>
      </c>
      <c r="BS190" s="67">
        <v>0</v>
      </c>
      <c r="BT190" s="67">
        <v>10</v>
      </c>
      <c r="BU190" s="70">
        <v>0</v>
      </c>
      <c r="BV190" s="29">
        <f t="shared" si="36"/>
        <v>0.64657957745310768</v>
      </c>
      <c r="BW190">
        <f t="shared" si="37"/>
        <v>1.3667838287404401</v>
      </c>
      <c r="BX190">
        <f t="shared" si="38"/>
        <v>0.1644554352117841</v>
      </c>
      <c r="BY190">
        <f t="shared" si="39"/>
        <v>0.48834154112957734</v>
      </c>
      <c r="BZ190">
        <f t="shared" si="40"/>
        <v>0.88721318382472392</v>
      </c>
      <c r="CA190">
        <f t="shared" si="41"/>
        <v>0.32005363845127444</v>
      </c>
      <c r="CB190">
        <f t="shared" si="42"/>
        <v>0.36858985273641137</v>
      </c>
    </row>
    <row r="191" spans="1:80" x14ac:dyDescent="0.45">
      <c r="A191" s="11">
        <v>51</v>
      </c>
      <c r="B191" s="12">
        <f t="shared" si="30"/>
        <v>51</v>
      </c>
      <c r="C191" s="12" t="s">
        <v>59</v>
      </c>
      <c r="D191" s="12">
        <v>0</v>
      </c>
      <c r="E191" s="12" t="s">
        <v>53</v>
      </c>
      <c r="F191" s="12">
        <v>0</v>
      </c>
      <c r="G191" s="12">
        <v>1</v>
      </c>
      <c r="H191" s="12" t="s">
        <v>61</v>
      </c>
      <c r="I191" s="12">
        <v>1</v>
      </c>
      <c r="J191" s="12">
        <v>0</v>
      </c>
      <c r="K191" s="12">
        <v>3</v>
      </c>
      <c r="L191" s="12">
        <f t="shared" si="31"/>
        <v>3</v>
      </c>
      <c r="M191" s="12">
        <v>3</v>
      </c>
      <c r="N191" s="12" t="s">
        <v>70</v>
      </c>
      <c r="O191" s="12">
        <v>0</v>
      </c>
      <c r="P191" s="12">
        <v>0</v>
      </c>
      <c r="Q191" s="12">
        <v>1</v>
      </c>
      <c r="R191" s="12">
        <v>0</v>
      </c>
      <c r="S191" s="12">
        <v>0</v>
      </c>
      <c r="T191" s="12">
        <v>4</v>
      </c>
      <c r="U191" s="12" t="s">
        <v>19</v>
      </c>
      <c r="V191" s="12">
        <v>1</v>
      </c>
      <c r="W191" s="12">
        <v>98</v>
      </c>
      <c r="X191" s="12">
        <v>3</v>
      </c>
      <c r="Y191" s="12">
        <v>4</v>
      </c>
      <c r="Z191" s="12" t="s">
        <v>85</v>
      </c>
      <c r="AA191" s="12">
        <v>1</v>
      </c>
      <c r="AB191" s="12">
        <v>0</v>
      </c>
      <c r="AC191" s="12">
        <v>0</v>
      </c>
      <c r="AD191" s="12">
        <v>0</v>
      </c>
      <c r="AE191" s="12">
        <v>0</v>
      </c>
      <c r="AF191" s="12">
        <v>0</v>
      </c>
      <c r="AG191" s="12">
        <v>0</v>
      </c>
      <c r="AH191" s="12">
        <v>0</v>
      </c>
      <c r="AI191" s="12">
        <v>2</v>
      </c>
      <c r="AJ191" s="12" t="s">
        <v>57</v>
      </c>
      <c r="AK191" s="12">
        <v>1</v>
      </c>
      <c r="AL191" s="12">
        <v>0</v>
      </c>
      <c r="AM191" s="12">
        <v>13734</v>
      </c>
      <c r="AN191" s="12">
        <f t="shared" si="32"/>
        <v>13734</v>
      </c>
      <c r="AO191" s="12">
        <v>3</v>
      </c>
      <c r="AP191" s="12" t="s">
        <v>59</v>
      </c>
      <c r="AQ191" s="12">
        <v>0</v>
      </c>
      <c r="AR191" s="12">
        <v>18</v>
      </c>
      <c r="AS191" s="12">
        <v>3</v>
      </c>
      <c r="AT191" s="12">
        <v>3</v>
      </c>
      <c r="AU191" s="12">
        <v>0</v>
      </c>
      <c r="AV191" s="12">
        <v>21</v>
      </c>
      <c r="AW191" s="12">
        <f t="shared" si="33"/>
        <v>21</v>
      </c>
      <c r="AX191" s="12">
        <v>6</v>
      </c>
      <c r="AY191" s="12">
        <v>3</v>
      </c>
      <c r="AZ191" s="12">
        <v>7</v>
      </c>
      <c r="BA191" s="12">
        <f t="shared" si="34"/>
        <v>7</v>
      </c>
      <c r="BB191" s="12">
        <v>7</v>
      </c>
      <c r="BC191" s="12">
        <v>1</v>
      </c>
      <c r="BD191" s="12">
        <f t="shared" si="43"/>
        <v>1</v>
      </c>
      <c r="BE191" s="12">
        <v>0</v>
      </c>
      <c r="BF191" s="12">
        <f t="shared" si="35"/>
        <v>0</v>
      </c>
      <c r="BG191" s="12">
        <f t="shared" si="44"/>
        <v>0</v>
      </c>
      <c r="BH191" s="67">
        <v>1</v>
      </c>
      <c r="BI191" s="67">
        <v>0</v>
      </c>
      <c r="BJ191" s="67">
        <v>0</v>
      </c>
      <c r="BK191" s="67">
        <v>0</v>
      </c>
      <c r="BL191" s="67">
        <v>1</v>
      </c>
      <c r="BM191" s="67">
        <v>0</v>
      </c>
      <c r="BN191" s="67">
        <v>0</v>
      </c>
      <c r="BO191" s="67">
        <v>0</v>
      </c>
      <c r="BP191" s="67">
        <v>0</v>
      </c>
      <c r="BQ191" s="67">
        <v>0</v>
      </c>
      <c r="BR191" s="67">
        <v>0</v>
      </c>
      <c r="BS191" s="67">
        <v>0</v>
      </c>
      <c r="BT191" s="67">
        <v>21</v>
      </c>
      <c r="BU191" s="70">
        <v>0</v>
      </c>
      <c r="BV191" s="29">
        <f t="shared" si="36"/>
        <v>1.5359250393808217</v>
      </c>
      <c r="BW191">
        <f t="shared" si="37"/>
        <v>1.1555414682655611</v>
      </c>
      <c r="BX191">
        <f t="shared" si="38"/>
        <v>1.2492842709947811</v>
      </c>
      <c r="BY191">
        <f t="shared" si="39"/>
        <v>1.3324462240916321E-3</v>
      </c>
      <c r="BZ191">
        <f t="shared" si="40"/>
        <v>0.76386092994953758</v>
      </c>
      <c r="CA191">
        <f t="shared" si="41"/>
        <v>1.5408445525439205</v>
      </c>
      <c r="CB191">
        <f t="shared" si="42"/>
        <v>0.36858985273641137</v>
      </c>
    </row>
    <row r="192" spans="1:80" x14ac:dyDescent="0.45">
      <c r="A192" s="11">
        <v>52</v>
      </c>
      <c r="B192" s="12">
        <f t="shared" si="30"/>
        <v>52</v>
      </c>
      <c r="C192" s="12" t="s">
        <v>59</v>
      </c>
      <c r="D192" s="12">
        <v>0</v>
      </c>
      <c r="E192" s="12" t="s">
        <v>53</v>
      </c>
      <c r="F192" s="12">
        <v>0</v>
      </c>
      <c r="G192" s="12">
        <v>1</v>
      </c>
      <c r="H192" s="12" t="s">
        <v>61</v>
      </c>
      <c r="I192" s="12">
        <v>1</v>
      </c>
      <c r="J192" s="12">
        <v>0</v>
      </c>
      <c r="K192" s="12">
        <v>1</v>
      </c>
      <c r="L192" s="12">
        <f t="shared" si="31"/>
        <v>1</v>
      </c>
      <c r="M192" s="12">
        <v>4</v>
      </c>
      <c r="N192" s="12" t="s">
        <v>55</v>
      </c>
      <c r="O192" s="12">
        <v>1</v>
      </c>
      <c r="P192" s="12">
        <v>0</v>
      </c>
      <c r="Q192" s="12">
        <v>0</v>
      </c>
      <c r="R192" s="12">
        <v>0</v>
      </c>
      <c r="S192" s="12">
        <v>0</v>
      </c>
      <c r="T192" s="12">
        <v>3</v>
      </c>
      <c r="U192" s="12" t="s">
        <v>62</v>
      </c>
      <c r="V192" s="12">
        <v>0</v>
      </c>
      <c r="W192" s="12">
        <v>65</v>
      </c>
      <c r="X192" s="12">
        <v>2</v>
      </c>
      <c r="Y192" s="12">
        <v>5</v>
      </c>
      <c r="Z192" s="12" t="s">
        <v>87</v>
      </c>
      <c r="AA192" s="12">
        <v>0</v>
      </c>
      <c r="AB192" s="12">
        <v>0</v>
      </c>
      <c r="AC192" s="12">
        <v>0</v>
      </c>
      <c r="AD192" s="12">
        <v>1</v>
      </c>
      <c r="AE192" s="12">
        <v>0</v>
      </c>
      <c r="AF192" s="12">
        <v>0</v>
      </c>
      <c r="AG192" s="12">
        <v>0</v>
      </c>
      <c r="AH192" s="12">
        <v>0</v>
      </c>
      <c r="AI192" s="12">
        <v>3</v>
      </c>
      <c r="AJ192" s="12" t="s">
        <v>64</v>
      </c>
      <c r="AK192" s="12">
        <v>0</v>
      </c>
      <c r="AL192" s="12">
        <v>1</v>
      </c>
      <c r="AM192" s="12">
        <v>19999</v>
      </c>
      <c r="AN192" s="12">
        <f t="shared" si="32"/>
        <v>19626.310000000001</v>
      </c>
      <c r="AO192" s="12">
        <v>0</v>
      </c>
      <c r="AP192" s="12" t="s">
        <v>59</v>
      </c>
      <c r="AQ192" s="12">
        <v>0</v>
      </c>
      <c r="AR192" s="12">
        <v>14</v>
      </c>
      <c r="AS192" s="12">
        <v>3</v>
      </c>
      <c r="AT192" s="12">
        <v>1</v>
      </c>
      <c r="AU192" s="12">
        <v>1</v>
      </c>
      <c r="AV192" s="12">
        <v>34</v>
      </c>
      <c r="AW192" s="12">
        <f t="shared" si="33"/>
        <v>34</v>
      </c>
      <c r="AX192" s="12">
        <v>5</v>
      </c>
      <c r="AY192" s="12">
        <v>3</v>
      </c>
      <c r="AZ192" s="12">
        <v>33</v>
      </c>
      <c r="BA192" s="12">
        <f t="shared" si="34"/>
        <v>31</v>
      </c>
      <c r="BB192" s="12">
        <v>18</v>
      </c>
      <c r="BC192" s="12">
        <v>11</v>
      </c>
      <c r="BD192" s="12">
        <f t="shared" si="43"/>
        <v>11</v>
      </c>
      <c r="BE192" s="12">
        <v>9</v>
      </c>
      <c r="BF192" s="12">
        <f t="shared" si="35"/>
        <v>9</v>
      </c>
      <c r="BG192" s="12">
        <f t="shared" si="44"/>
        <v>45</v>
      </c>
      <c r="BH192" s="67">
        <v>0</v>
      </c>
      <c r="BI192" s="67">
        <v>1</v>
      </c>
      <c r="BJ192" s="67">
        <v>0</v>
      </c>
      <c r="BK192" s="67">
        <v>0</v>
      </c>
      <c r="BL192" s="67">
        <v>0</v>
      </c>
      <c r="BM192" s="67">
        <v>0</v>
      </c>
      <c r="BN192" s="67">
        <v>1</v>
      </c>
      <c r="BO192" s="67">
        <v>0</v>
      </c>
      <c r="BP192" s="67">
        <v>0</v>
      </c>
      <c r="BQ192" s="67">
        <v>9</v>
      </c>
      <c r="BR192" s="67">
        <v>0</v>
      </c>
      <c r="BS192" s="67">
        <v>0</v>
      </c>
      <c r="BT192" s="67">
        <v>34</v>
      </c>
      <c r="BU192" s="70">
        <v>0</v>
      </c>
      <c r="BV192" s="29">
        <f t="shared" si="36"/>
        <v>2.8666509335716812</v>
      </c>
      <c r="BW192">
        <f t="shared" si="37"/>
        <v>1.3667838287404401</v>
      </c>
      <c r="BX192">
        <f t="shared" si="38"/>
        <v>2.9200675601479942</v>
      </c>
      <c r="BY192">
        <f t="shared" si="39"/>
        <v>4.2425087775077062</v>
      </c>
      <c r="BZ192">
        <f t="shared" si="40"/>
        <v>1.01056543769991</v>
      </c>
      <c r="CA192">
        <f t="shared" si="41"/>
        <v>1.6503091520142259</v>
      </c>
      <c r="CB192">
        <f t="shared" si="42"/>
        <v>2.7346580483089769</v>
      </c>
    </row>
    <row r="193" spans="1:80" x14ac:dyDescent="0.45">
      <c r="A193" s="11">
        <v>27</v>
      </c>
      <c r="B193" s="12">
        <f t="shared" si="30"/>
        <v>27</v>
      </c>
      <c r="C193" s="12" t="s">
        <v>59</v>
      </c>
      <c r="D193" s="12">
        <v>0</v>
      </c>
      <c r="E193" s="12" t="s">
        <v>53</v>
      </c>
      <c r="F193" s="12">
        <v>0</v>
      </c>
      <c r="G193" s="12">
        <v>1</v>
      </c>
      <c r="H193" s="12" t="s">
        <v>61</v>
      </c>
      <c r="I193" s="12">
        <v>1</v>
      </c>
      <c r="J193" s="12">
        <v>0</v>
      </c>
      <c r="K193" s="12">
        <v>9</v>
      </c>
      <c r="L193" s="12">
        <f t="shared" si="31"/>
        <v>9</v>
      </c>
      <c r="M193" s="12">
        <v>3</v>
      </c>
      <c r="N193" s="12" t="s">
        <v>70</v>
      </c>
      <c r="O193" s="12">
        <v>0</v>
      </c>
      <c r="P193" s="12">
        <v>0</v>
      </c>
      <c r="Q193" s="12">
        <v>1</v>
      </c>
      <c r="R193" s="12">
        <v>0</v>
      </c>
      <c r="S193" s="12">
        <v>0</v>
      </c>
      <c r="T193" s="12">
        <v>4</v>
      </c>
      <c r="U193" s="12" t="s">
        <v>19</v>
      </c>
      <c r="V193" s="12">
        <v>1</v>
      </c>
      <c r="W193" s="12">
        <v>99</v>
      </c>
      <c r="X193" s="12">
        <v>3</v>
      </c>
      <c r="Y193" s="12">
        <v>1</v>
      </c>
      <c r="Z193" s="12" t="s">
        <v>63</v>
      </c>
      <c r="AA193" s="12">
        <v>0</v>
      </c>
      <c r="AB193" s="12">
        <v>0</v>
      </c>
      <c r="AC193" s="12">
        <v>0</v>
      </c>
      <c r="AD193" s="12">
        <v>0</v>
      </c>
      <c r="AE193" s="12">
        <v>0</v>
      </c>
      <c r="AF193" s="12">
        <v>0</v>
      </c>
      <c r="AG193" s="12">
        <v>0</v>
      </c>
      <c r="AH193" s="12">
        <v>1</v>
      </c>
      <c r="AI193" s="12">
        <v>2</v>
      </c>
      <c r="AJ193" s="12" t="s">
        <v>57</v>
      </c>
      <c r="AK193" s="12">
        <v>1</v>
      </c>
      <c r="AL193" s="12">
        <v>0</v>
      </c>
      <c r="AM193" s="12">
        <v>2279</v>
      </c>
      <c r="AN193" s="12">
        <f t="shared" si="32"/>
        <v>2279</v>
      </c>
      <c r="AO193" s="12">
        <v>1</v>
      </c>
      <c r="AP193" s="12" t="s">
        <v>59</v>
      </c>
      <c r="AQ193" s="12">
        <v>0</v>
      </c>
      <c r="AR193" s="12">
        <v>16</v>
      </c>
      <c r="AS193" s="12">
        <v>3</v>
      </c>
      <c r="AT193" s="12">
        <v>4</v>
      </c>
      <c r="AU193" s="12">
        <v>0</v>
      </c>
      <c r="AV193" s="12">
        <v>7</v>
      </c>
      <c r="AW193" s="12">
        <f t="shared" si="33"/>
        <v>7</v>
      </c>
      <c r="AX193" s="12">
        <v>2</v>
      </c>
      <c r="AY193" s="12">
        <v>2</v>
      </c>
      <c r="AZ193" s="12">
        <v>7</v>
      </c>
      <c r="BA193" s="12">
        <f t="shared" si="34"/>
        <v>7</v>
      </c>
      <c r="BB193" s="12">
        <v>7</v>
      </c>
      <c r="BC193" s="12">
        <v>0</v>
      </c>
      <c r="BD193" s="12">
        <f t="shared" si="43"/>
        <v>0</v>
      </c>
      <c r="BE193" s="12">
        <v>3</v>
      </c>
      <c r="BF193" s="12">
        <f t="shared" si="35"/>
        <v>3</v>
      </c>
      <c r="BG193" s="12">
        <f t="shared" si="44"/>
        <v>3</v>
      </c>
      <c r="BH193" s="67">
        <v>1</v>
      </c>
      <c r="BI193" s="67">
        <v>0</v>
      </c>
      <c r="BJ193" s="67">
        <v>0</v>
      </c>
      <c r="BK193" s="67">
        <v>0</v>
      </c>
      <c r="BL193" s="67">
        <v>1</v>
      </c>
      <c r="BM193" s="67">
        <v>0</v>
      </c>
      <c r="BN193" s="67">
        <v>0</v>
      </c>
      <c r="BO193" s="67">
        <v>0</v>
      </c>
      <c r="BP193" s="67">
        <v>0</v>
      </c>
      <c r="BQ193" s="67">
        <v>3</v>
      </c>
      <c r="BR193" s="67">
        <v>0</v>
      </c>
      <c r="BS193" s="67">
        <v>0</v>
      </c>
      <c r="BT193" s="67">
        <v>7</v>
      </c>
      <c r="BU193" s="70">
        <v>0</v>
      </c>
      <c r="BV193" s="29">
        <f t="shared" si="36"/>
        <v>0.897189903628962</v>
      </c>
      <c r="BW193">
        <f t="shared" si="37"/>
        <v>0.31476636926356072</v>
      </c>
      <c r="BX193">
        <f t="shared" si="38"/>
        <v>0.55002080963175637</v>
      </c>
      <c r="BY193">
        <f t="shared" si="39"/>
        <v>1.3324462240916321E-3</v>
      </c>
      <c r="BZ193">
        <f t="shared" si="40"/>
        <v>2.3747406698420157E-2</v>
      </c>
      <c r="CA193">
        <f t="shared" si="41"/>
        <v>1.0863058347434136</v>
      </c>
      <c r="CB193">
        <f t="shared" si="42"/>
        <v>0.67891464284095016</v>
      </c>
    </row>
    <row r="194" spans="1:80" x14ac:dyDescent="0.45">
      <c r="A194" s="11">
        <v>35</v>
      </c>
      <c r="B194" s="12">
        <f t="shared" ref="B194:B257" si="45">IF(A194&gt;$CD$29,$CD$29,IF(A194&lt;$CD$30,$CD$30,A194))</f>
        <v>35</v>
      </c>
      <c r="C194" s="12" t="s">
        <v>52</v>
      </c>
      <c r="D194" s="12">
        <v>1</v>
      </c>
      <c r="E194" s="12" t="s">
        <v>53</v>
      </c>
      <c r="F194" s="12">
        <v>0</v>
      </c>
      <c r="G194" s="12">
        <v>1</v>
      </c>
      <c r="H194" s="12" t="s">
        <v>61</v>
      </c>
      <c r="I194" s="12">
        <v>1</v>
      </c>
      <c r="J194" s="12">
        <v>0</v>
      </c>
      <c r="K194" s="12">
        <v>23</v>
      </c>
      <c r="L194" s="12">
        <f t="shared" ref="L194:L257" si="46">IF(K194&gt;$CD$25,$CD$25,IF(K194&lt;$CD$26,$CD$26,K194))</f>
        <v>23</v>
      </c>
      <c r="M194" s="12">
        <v>2</v>
      </c>
      <c r="N194" s="12" t="s">
        <v>55</v>
      </c>
      <c r="O194" s="12">
        <v>1</v>
      </c>
      <c r="P194" s="12">
        <v>0</v>
      </c>
      <c r="Q194" s="12">
        <v>0</v>
      </c>
      <c r="R194" s="12">
        <v>0</v>
      </c>
      <c r="S194" s="12">
        <v>0</v>
      </c>
      <c r="T194" s="12">
        <v>2</v>
      </c>
      <c r="U194" s="12" t="s">
        <v>62</v>
      </c>
      <c r="V194" s="12">
        <v>0</v>
      </c>
      <c r="W194" s="12">
        <v>50</v>
      </c>
      <c r="X194" s="12">
        <v>2</v>
      </c>
      <c r="Y194" s="12">
        <v>2</v>
      </c>
      <c r="Z194" s="12" t="s">
        <v>83</v>
      </c>
      <c r="AA194" s="12">
        <v>0</v>
      </c>
      <c r="AB194" s="12">
        <v>0</v>
      </c>
      <c r="AC194" s="12">
        <v>0</v>
      </c>
      <c r="AD194" s="12">
        <v>0</v>
      </c>
      <c r="AE194" s="12">
        <v>1</v>
      </c>
      <c r="AF194" s="12">
        <v>1</v>
      </c>
      <c r="AG194" s="12">
        <v>0</v>
      </c>
      <c r="AH194" s="12">
        <v>0</v>
      </c>
      <c r="AI194" s="12">
        <v>3</v>
      </c>
      <c r="AJ194" s="12" t="s">
        <v>64</v>
      </c>
      <c r="AK194" s="12">
        <v>0</v>
      </c>
      <c r="AL194" s="12">
        <v>1</v>
      </c>
      <c r="AM194" s="12">
        <v>5916</v>
      </c>
      <c r="AN194" s="12">
        <f t="shared" ref="AN194:AN257" si="47">IF(AM194&gt;$CD$8,$CD$8,IF(AM194&lt;$CD$9,$CD$9,AM194))</f>
        <v>5916</v>
      </c>
      <c r="AO194" s="12">
        <v>3</v>
      </c>
      <c r="AP194" s="12" t="s">
        <v>52</v>
      </c>
      <c r="AQ194" s="12">
        <v>1</v>
      </c>
      <c r="AR194" s="12">
        <v>13</v>
      </c>
      <c r="AS194" s="12">
        <v>3</v>
      </c>
      <c r="AT194" s="12">
        <v>1</v>
      </c>
      <c r="AU194" s="12">
        <v>0</v>
      </c>
      <c r="AV194" s="12">
        <v>8</v>
      </c>
      <c r="AW194" s="12">
        <f t="shared" ref="AW194:AW257" si="48">IF(AV194&gt;$CD$17,$CD$17,IF(AV194&lt;$CD$18,$CD$18,AV194))</f>
        <v>8</v>
      </c>
      <c r="AX194" s="12">
        <v>1</v>
      </c>
      <c r="AY194" s="12">
        <v>3</v>
      </c>
      <c r="AZ194" s="12">
        <v>1</v>
      </c>
      <c r="BA194" s="12">
        <f t="shared" ref="BA194:BA257" si="49">IF(AZ194&gt; $CD$21,$CD$21,IF(AZ194&lt;$CD$22,$CD$22,AZ194))</f>
        <v>1</v>
      </c>
      <c r="BB194" s="12">
        <v>0</v>
      </c>
      <c r="BC194" s="12">
        <v>0</v>
      </c>
      <c r="BD194" s="12">
        <f t="shared" si="43"/>
        <v>0</v>
      </c>
      <c r="BE194" s="12">
        <v>1</v>
      </c>
      <c r="BF194" s="12">
        <f t="shared" ref="BF194:BF257" si="50">IF(BE194&gt;$CD$12,$CD$12,IF(BE194&lt;$CD$13,$CD$13,BE194))</f>
        <v>1</v>
      </c>
      <c r="BG194" s="12">
        <f t="shared" si="44"/>
        <v>2</v>
      </c>
      <c r="BH194" s="67">
        <v>0</v>
      </c>
      <c r="BI194" s="67">
        <v>1</v>
      </c>
      <c r="BJ194" s="67">
        <v>0</v>
      </c>
      <c r="BK194" s="67">
        <v>0</v>
      </c>
      <c r="BL194" s="67">
        <v>0</v>
      </c>
      <c r="BM194" s="67">
        <v>0</v>
      </c>
      <c r="BN194" s="67">
        <v>0</v>
      </c>
      <c r="BO194" s="67">
        <v>1</v>
      </c>
      <c r="BP194" s="67">
        <v>0</v>
      </c>
      <c r="BQ194" s="67">
        <v>1</v>
      </c>
      <c r="BR194" s="67">
        <v>0</v>
      </c>
      <c r="BS194" s="67">
        <v>0</v>
      </c>
      <c r="BT194" s="67">
        <v>8</v>
      </c>
      <c r="BU194" s="70">
        <v>0</v>
      </c>
      <c r="BV194" s="29">
        <f t="shared" ref="BV194:BV257" si="51">ABS((AM194-AVERAGE(AM:AM))/_xlfn.STDEV.S(AM:AM))</f>
        <v>0.12466794398456361</v>
      </c>
      <c r="BW194">
        <f t="shared" ref="BW194:BW257" si="52">ABS((BE194-AVERAGE(BE:BE))/_xlfn.STDEV.S(BE:BE))</f>
        <v>0.87528310193156111</v>
      </c>
      <c r="BX194">
        <f t="shared" ref="BX194:BX257" si="53">ABS((AV194-AVERAGE(AV:AV))/_xlfn.STDEV.S(AV:AV))</f>
        <v>0.42149901815843233</v>
      </c>
      <c r="BY194">
        <f t="shared" ref="BY194:BY257" si="54">ABS((AZ194-AVERAGE(AZ:AZ))/_xlfn.STDEV.S(AZ:AZ))</f>
        <v>0.9806804209314296</v>
      </c>
      <c r="BZ194">
        <f t="shared" ref="BZ194:BZ257" si="55">ABS((K194-AVERAGE(K:K))/_xlfn.STDEV.S(K:K))</f>
        <v>1.7031841475541873</v>
      </c>
      <c r="CA194">
        <f t="shared" ref="CA194:CA257" si="56">ABS((A194-AVERAGE(A:A))/_xlfn.STDEV.S(A:A))</f>
        <v>0.21058903898096887</v>
      </c>
      <c r="CB194">
        <f t="shared" ref="CB194:CB257" si="57">ABS((BC194-AVERAGE(BC:BC))/_xlfn.STDEV.S(BC:BC))</f>
        <v>0.67891464284095016</v>
      </c>
    </row>
    <row r="195" spans="1:80" x14ac:dyDescent="0.45">
      <c r="A195" s="11">
        <v>43</v>
      </c>
      <c r="B195" s="12">
        <f t="shared" si="45"/>
        <v>43</v>
      </c>
      <c r="C195" s="12" t="s">
        <v>59</v>
      </c>
      <c r="D195" s="12">
        <v>0</v>
      </c>
      <c r="E195" s="12" t="s">
        <v>86</v>
      </c>
      <c r="F195" s="12">
        <v>0</v>
      </c>
      <c r="G195" s="12">
        <v>0</v>
      </c>
      <c r="H195" s="12" t="s">
        <v>61</v>
      </c>
      <c r="I195" s="12">
        <v>1</v>
      </c>
      <c r="J195" s="12">
        <v>0</v>
      </c>
      <c r="K195" s="12">
        <v>7</v>
      </c>
      <c r="L195" s="12">
        <f t="shared" si="46"/>
        <v>7</v>
      </c>
      <c r="M195" s="12">
        <v>3</v>
      </c>
      <c r="N195" s="12" t="s">
        <v>70</v>
      </c>
      <c r="O195" s="12">
        <v>0</v>
      </c>
      <c r="P195" s="12">
        <v>0</v>
      </c>
      <c r="Q195" s="12">
        <v>1</v>
      </c>
      <c r="R195" s="12">
        <v>0</v>
      </c>
      <c r="S195" s="12">
        <v>0</v>
      </c>
      <c r="T195" s="12">
        <v>4</v>
      </c>
      <c r="U195" s="12" t="s">
        <v>62</v>
      </c>
      <c r="V195" s="12">
        <v>0</v>
      </c>
      <c r="W195" s="12">
        <v>37</v>
      </c>
      <c r="X195" s="12">
        <v>4</v>
      </c>
      <c r="Y195" s="12">
        <v>1</v>
      </c>
      <c r="Z195" s="12" t="s">
        <v>63</v>
      </c>
      <c r="AA195" s="12">
        <v>0</v>
      </c>
      <c r="AB195" s="12">
        <v>0</v>
      </c>
      <c r="AC195" s="12">
        <v>0</v>
      </c>
      <c r="AD195" s="12">
        <v>0</v>
      </c>
      <c r="AE195" s="12">
        <v>0</v>
      </c>
      <c r="AF195" s="12">
        <v>0</v>
      </c>
      <c r="AG195" s="12">
        <v>0</v>
      </c>
      <c r="AH195" s="12">
        <v>1</v>
      </c>
      <c r="AI195" s="12">
        <v>4</v>
      </c>
      <c r="AJ195" s="12" t="s">
        <v>78</v>
      </c>
      <c r="AK195" s="12">
        <v>0</v>
      </c>
      <c r="AL195" s="12">
        <v>0</v>
      </c>
      <c r="AM195" s="12">
        <v>2089</v>
      </c>
      <c r="AN195" s="12">
        <f t="shared" si="47"/>
        <v>2089</v>
      </c>
      <c r="AO195" s="12">
        <v>4</v>
      </c>
      <c r="AP195" s="12" t="s">
        <v>59</v>
      </c>
      <c r="AQ195" s="12">
        <v>0</v>
      </c>
      <c r="AR195" s="12">
        <v>14</v>
      </c>
      <c r="AS195" s="12">
        <v>3</v>
      </c>
      <c r="AT195" s="12">
        <v>4</v>
      </c>
      <c r="AU195" s="12">
        <v>3</v>
      </c>
      <c r="AV195" s="12">
        <v>7</v>
      </c>
      <c r="AW195" s="12">
        <f t="shared" si="48"/>
        <v>7</v>
      </c>
      <c r="AX195" s="12">
        <v>3</v>
      </c>
      <c r="AY195" s="12">
        <v>4</v>
      </c>
      <c r="AZ195" s="12">
        <v>5</v>
      </c>
      <c r="BA195" s="12">
        <f t="shared" si="49"/>
        <v>5</v>
      </c>
      <c r="BB195" s="12">
        <v>4</v>
      </c>
      <c r="BC195" s="12">
        <v>2</v>
      </c>
      <c r="BD195" s="12">
        <f t="shared" ref="BD195:BD258" si="58">IF(BC195&gt;$CD$33,$CD$33,BC195)</f>
        <v>2</v>
      </c>
      <c r="BE195" s="12">
        <v>2</v>
      </c>
      <c r="BF195" s="12">
        <f t="shared" si="50"/>
        <v>2</v>
      </c>
      <c r="BG195" s="12">
        <f t="shared" ref="BG195:BG258" si="59">BF195*Y195</f>
        <v>2</v>
      </c>
      <c r="BH195" s="67">
        <v>1</v>
      </c>
      <c r="BI195" s="67">
        <v>0</v>
      </c>
      <c r="BJ195" s="67">
        <v>0</v>
      </c>
      <c r="BK195" s="67">
        <v>0</v>
      </c>
      <c r="BL195" s="67">
        <v>1</v>
      </c>
      <c r="BM195" s="67">
        <v>0</v>
      </c>
      <c r="BN195" s="67">
        <v>0</v>
      </c>
      <c r="BO195" s="67">
        <v>0</v>
      </c>
      <c r="BP195" s="67">
        <v>0</v>
      </c>
      <c r="BQ195" s="67">
        <v>2</v>
      </c>
      <c r="BR195" s="67">
        <v>0</v>
      </c>
      <c r="BS195" s="67">
        <v>0</v>
      </c>
      <c r="BT195" s="67">
        <v>7</v>
      </c>
      <c r="BU195" s="70">
        <v>0</v>
      </c>
      <c r="BV195" s="29">
        <f t="shared" si="51"/>
        <v>0.93754711350865283</v>
      </c>
      <c r="BW195">
        <f t="shared" si="52"/>
        <v>0.59502473559756086</v>
      </c>
      <c r="BX195">
        <f t="shared" si="53"/>
        <v>0.55002080963175637</v>
      </c>
      <c r="BY195">
        <f t="shared" si="54"/>
        <v>0.32778177112653761</v>
      </c>
      <c r="BZ195">
        <f t="shared" si="55"/>
        <v>0.27045191444879263</v>
      </c>
      <c r="CA195">
        <f t="shared" si="56"/>
        <v>0.66512775678147573</v>
      </c>
      <c r="CB195">
        <f t="shared" si="57"/>
        <v>5.8265062631872602E-2</v>
      </c>
    </row>
    <row r="196" spans="1:80" x14ac:dyDescent="0.45">
      <c r="A196" s="11">
        <v>45</v>
      </c>
      <c r="B196" s="12">
        <f t="shared" si="45"/>
        <v>45</v>
      </c>
      <c r="C196" s="12" t="s">
        <v>59</v>
      </c>
      <c r="D196" s="12">
        <v>0</v>
      </c>
      <c r="E196" s="12" t="s">
        <v>86</v>
      </c>
      <c r="F196" s="12">
        <v>0</v>
      </c>
      <c r="G196" s="12">
        <v>0</v>
      </c>
      <c r="H196" s="12" t="s">
        <v>61</v>
      </c>
      <c r="I196" s="12">
        <v>1</v>
      </c>
      <c r="J196" s="12">
        <v>0</v>
      </c>
      <c r="K196" s="12">
        <v>2</v>
      </c>
      <c r="L196" s="12">
        <f t="shared" si="46"/>
        <v>2</v>
      </c>
      <c r="M196" s="12">
        <v>2</v>
      </c>
      <c r="N196" s="12" t="s">
        <v>70</v>
      </c>
      <c r="O196" s="12">
        <v>0</v>
      </c>
      <c r="P196" s="12">
        <v>0</v>
      </c>
      <c r="Q196" s="12">
        <v>1</v>
      </c>
      <c r="R196" s="12">
        <v>0</v>
      </c>
      <c r="S196" s="12">
        <v>0</v>
      </c>
      <c r="T196" s="12">
        <v>1</v>
      </c>
      <c r="U196" s="12" t="s">
        <v>62</v>
      </c>
      <c r="V196" s="12">
        <v>0</v>
      </c>
      <c r="W196" s="12">
        <v>65</v>
      </c>
      <c r="X196" s="12">
        <v>2</v>
      </c>
      <c r="Y196" s="12">
        <v>4</v>
      </c>
      <c r="Z196" s="12" t="s">
        <v>87</v>
      </c>
      <c r="AA196" s="12">
        <v>0</v>
      </c>
      <c r="AB196" s="12">
        <v>0</v>
      </c>
      <c r="AC196" s="12">
        <v>0</v>
      </c>
      <c r="AD196" s="12">
        <v>1</v>
      </c>
      <c r="AE196" s="12">
        <v>0</v>
      </c>
      <c r="AF196" s="12">
        <v>0</v>
      </c>
      <c r="AG196" s="12">
        <v>0</v>
      </c>
      <c r="AH196" s="12">
        <v>0</v>
      </c>
      <c r="AI196" s="12">
        <v>4</v>
      </c>
      <c r="AJ196" s="12" t="s">
        <v>64</v>
      </c>
      <c r="AK196" s="12">
        <v>0</v>
      </c>
      <c r="AL196" s="12">
        <v>1</v>
      </c>
      <c r="AM196" s="12">
        <v>16792</v>
      </c>
      <c r="AN196" s="12">
        <f t="shared" si="47"/>
        <v>16792</v>
      </c>
      <c r="AO196" s="12">
        <v>9</v>
      </c>
      <c r="AP196" s="12" t="s">
        <v>59</v>
      </c>
      <c r="AQ196" s="12">
        <v>0</v>
      </c>
      <c r="AR196" s="12">
        <v>23</v>
      </c>
      <c r="AS196" s="12">
        <v>4</v>
      </c>
      <c r="AT196" s="12">
        <v>4</v>
      </c>
      <c r="AU196" s="12">
        <v>1</v>
      </c>
      <c r="AV196" s="12">
        <v>22</v>
      </c>
      <c r="AW196" s="12">
        <f t="shared" si="48"/>
        <v>22</v>
      </c>
      <c r="AX196" s="12">
        <v>1</v>
      </c>
      <c r="AY196" s="12">
        <v>3</v>
      </c>
      <c r="AZ196" s="12">
        <v>20</v>
      </c>
      <c r="BA196" s="12">
        <f t="shared" si="49"/>
        <v>20</v>
      </c>
      <c r="BB196" s="12">
        <v>8</v>
      </c>
      <c r="BC196" s="12">
        <v>11</v>
      </c>
      <c r="BD196" s="12">
        <f t="shared" si="58"/>
        <v>11</v>
      </c>
      <c r="BE196" s="12">
        <v>8</v>
      </c>
      <c r="BF196" s="12">
        <f t="shared" si="50"/>
        <v>8</v>
      </c>
      <c r="BG196" s="12">
        <f t="shared" si="59"/>
        <v>32</v>
      </c>
      <c r="BH196" s="67">
        <v>0</v>
      </c>
      <c r="BI196" s="67">
        <v>1</v>
      </c>
      <c r="BJ196" s="67">
        <v>0</v>
      </c>
      <c r="BK196" s="67">
        <v>0</v>
      </c>
      <c r="BL196" s="67">
        <v>0</v>
      </c>
      <c r="BM196" s="67">
        <v>0</v>
      </c>
      <c r="BN196" s="67">
        <v>1</v>
      </c>
      <c r="BO196" s="67">
        <v>0</v>
      </c>
      <c r="BP196" s="67">
        <v>0</v>
      </c>
      <c r="BQ196" s="67">
        <v>8</v>
      </c>
      <c r="BR196" s="67">
        <v>0</v>
      </c>
      <c r="BS196" s="67">
        <v>0</v>
      </c>
      <c r="BT196" s="67">
        <v>22</v>
      </c>
      <c r="BU196" s="70">
        <v>0</v>
      </c>
      <c r="BV196" s="29">
        <f t="shared" si="51"/>
        <v>2.1854637120760567</v>
      </c>
      <c r="BW196">
        <f t="shared" si="52"/>
        <v>1.08652546240644</v>
      </c>
      <c r="BX196">
        <f t="shared" si="53"/>
        <v>1.3778060624681052</v>
      </c>
      <c r="BY196">
        <f t="shared" si="54"/>
        <v>2.1205881656418071</v>
      </c>
      <c r="BZ196">
        <f t="shared" si="55"/>
        <v>0.88721318382472392</v>
      </c>
      <c r="CA196">
        <f t="shared" si="56"/>
        <v>0.88405695572208698</v>
      </c>
      <c r="CB196">
        <f t="shared" si="57"/>
        <v>2.7346580483089769</v>
      </c>
    </row>
    <row r="197" spans="1:80" x14ac:dyDescent="0.45">
      <c r="A197" s="11">
        <v>37</v>
      </c>
      <c r="B197" s="12">
        <f t="shared" si="45"/>
        <v>37</v>
      </c>
      <c r="C197" s="12" t="s">
        <v>59</v>
      </c>
      <c r="D197" s="12">
        <v>0</v>
      </c>
      <c r="E197" s="12" t="s">
        <v>53</v>
      </c>
      <c r="F197" s="12">
        <v>0</v>
      </c>
      <c r="G197" s="12">
        <v>1</v>
      </c>
      <c r="H197" s="12" t="s">
        <v>61</v>
      </c>
      <c r="I197" s="12">
        <v>1</v>
      </c>
      <c r="J197" s="12">
        <v>0</v>
      </c>
      <c r="K197" s="12">
        <v>21</v>
      </c>
      <c r="L197" s="12">
        <f t="shared" si="46"/>
        <v>21</v>
      </c>
      <c r="M197" s="12">
        <v>3</v>
      </c>
      <c r="N197" s="12" t="s">
        <v>55</v>
      </c>
      <c r="O197" s="12">
        <v>1</v>
      </c>
      <c r="P197" s="12">
        <v>0</v>
      </c>
      <c r="Q197" s="12">
        <v>0</v>
      </c>
      <c r="R197" s="12">
        <v>0</v>
      </c>
      <c r="S197" s="12">
        <v>0</v>
      </c>
      <c r="T197" s="12">
        <v>2</v>
      </c>
      <c r="U197" s="12" t="s">
        <v>62</v>
      </c>
      <c r="V197" s="12">
        <v>0</v>
      </c>
      <c r="W197" s="12">
        <v>65</v>
      </c>
      <c r="X197" s="12">
        <v>4</v>
      </c>
      <c r="Y197" s="12">
        <v>1</v>
      </c>
      <c r="Z197" s="12" t="s">
        <v>63</v>
      </c>
      <c r="AA197" s="12">
        <v>0</v>
      </c>
      <c r="AB197" s="12">
        <v>0</v>
      </c>
      <c r="AC197" s="12">
        <v>0</v>
      </c>
      <c r="AD197" s="12">
        <v>0</v>
      </c>
      <c r="AE197" s="12">
        <v>0</v>
      </c>
      <c r="AF197" s="12">
        <v>0</v>
      </c>
      <c r="AG197" s="12">
        <v>0</v>
      </c>
      <c r="AH197" s="12">
        <v>1</v>
      </c>
      <c r="AI197" s="12">
        <v>1</v>
      </c>
      <c r="AJ197" s="12" t="s">
        <v>64</v>
      </c>
      <c r="AK197" s="12">
        <v>0</v>
      </c>
      <c r="AL197" s="12">
        <v>1</v>
      </c>
      <c r="AM197" s="12">
        <v>3564</v>
      </c>
      <c r="AN197" s="12">
        <f t="shared" si="47"/>
        <v>3564</v>
      </c>
      <c r="AO197" s="12">
        <v>1</v>
      </c>
      <c r="AP197" s="12" t="s">
        <v>52</v>
      </c>
      <c r="AQ197" s="12">
        <v>1</v>
      </c>
      <c r="AR197" s="12">
        <v>12</v>
      </c>
      <c r="AS197" s="12">
        <v>3</v>
      </c>
      <c r="AT197" s="12">
        <v>1</v>
      </c>
      <c r="AU197" s="12">
        <v>1</v>
      </c>
      <c r="AV197" s="12">
        <v>8</v>
      </c>
      <c r="AW197" s="12">
        <f t="shared" si="48"/>
        <v>8</v>
      </c>
      <c r="AX197" s="12">
        <v>3</v>
      </c>
      <c r="AY197" s="12">
        <v>2</v>
      </c>
      <c r="AZ197" s="12">
        <v>8</v>
      </c>
      <c r="BA197" s="12">
        <f t="shared" si="49"/>
        <v>8</v>
      </c>
      <c r="BB197" s="12">
        <v>7</v>
      </c>
      <c r="BC197" s="12">
        <v>1</v>
      </c>
      <c r="BD197" s="12">
        <f t="shared" si="58"/>
        <v>1</v>
      </c>
      <c r="BE197" s="12">
        <v>7</v>
      </c>
      <c r="BF197" s="12">
        <f t="shared" si="50"/>
        <v>7</v>
      </c>
      <c r="BG197" s="12">
        <f t="shared" si="59"/>
        <v>7</v>
      </c>
      <c r="BH197" s="67">
        <v>0</v>
      </c>
      <c r="BI197" s="67">
        <v>1</v>
      </c>
      <c r="BJ197" s="67">
        <v>0</v>
      </c>
      <c r="BK197" s="67">
        <v>0</v>
      </c>
      <c r="BL197" s="67">
        <v>0</v>
      </c>
      <c r="BM197" s="67">
        <v>0</v>
      </c>
      <c r="BN197" s="67">
        <v>0</v>
      </c>
      <c r="BO197" s="67">
        <v>1</v>
      </c>
      <c r="BP197" s="67">
        <v>0</v>
      </c>
      <c r="BQ197" s="67">
        <v>7</v>
      </c>
      <c r="BR197" s="67">
        <v>0</v>
      </c>
      <c r="BS197" s="67">
        <v>0</v>
      </c>
      <c r="BT197" s="67">
        <v>8</v>
      </c>
      <c r="BU197" s="70">
        <v>0</v>
      </c>
      <c r="BV197" s="29">
        <f t="shared" si="51"/>
        <v>0.62424772102157899</v>
      </c>
      <c r="BW197">
        <f t="shared" si="52"/>
        <v>0.80626709607243985</v>
      </c>
      <c r="BX197">
        <f t="shared" si="53"/>
        <v>0.42149901815843233</v>
      </c>
      <c r="BY197">
        <f t="shared" si="54"/>
        <v>0.16189221622713135</v>
      </c>
      <c r="BZ197">
        <f t="shared" si="55"/>
        <v>1.4564796398038149</v>
      </c>
      <c r="CA197">
        <f t="shared" si="56"/>
        <v>8.3401599596422994E-3</v>
      </c>
      <c r="CB197">
        <f t="shared" si="57"/>
        <v>0.36858985273641137</v>
      </c>
    </row>
    <row r="198" spans="1:80" x14ac:dyDescent="0.45">
      <c r="A198" s="11">
        <v>35</v>
      </c>
      <c r="B198" s="12">
        <f t="shared" si="45"/>
        <v>35</v>
      </c>
      <c r="C198" s="12" t="s">
        <v>59</v>
      </c>
      <c r="D198" s="12">
        <v>0</v>
      </c>
      <c r="E198" s="12" t="s">
        <v>60</v>
      </c>
      <c r="F198" s="12">
        <v>1</v>
      </c>
      <c r="G198" s="12">
        <v>0</v>
      </c>
      <c r="H198" s="12" t="s">
        <v>61</v>
      </c>
      <c r="I198" s="12">
        <v>1</v>
      </c>
      <c r="J198" s="12">
        <v>0</v>
      </c>
      <c r="K198" s="12">
        <v>2</v>
      </c>
      <c r="L198" s="12">
        <f t="shared" si="46"/>
        <v>2</v>
      </c>
      <c r="M198" s="12">
        <v>3</v>
      </c>
      <c r="N198" s="12" t="s">
        <v>70</v>
      </c>
      <c r="O198" s="12">
        <v>0</v>
      </c>
      <c r="P198" s="12">
        <v>0</v>
      </c>
      <c r="Q198" s="12">
        <v>1</v>
      </c>
      <c r="R198" s="12">
        <v>0</v>
      </c>
      <c r="S198" s="12">
        <v>0</v>
      </c>
      <c r="T198" s="12">
        <v>2</v>
      </c>
      <c r="U198" s="12" t="s">
        <v>19</v>
      </c>
      <c r="V198" s="12">
        <v>1</v>
      </c>
      <c r="W198" s="12">
        <v>37</v>
      </c>
      <c r="X198" s="12">
        <v>3</v>
      </c>
      <c r="Y198" s="12">
        <v>2</v>
      </c>
      <c r="Z198" s="12" t="s">
        <v>67</v>
      </c>
      <c r="AA198" s="12">
        <v>0</v>
      </c>
      <c r="AB198" s="12">
        <v>0</v>
      </c>
      <c r="AC198" s="12">
        <v>1</v>
      </c>
      <c r="AD198" s="12">
        <v>0</v>
      </c>
      <c r="AE198" s="12">
        <v>0</v>
      </c>
      <c r="AF198" s="12">
        <v>0</v>
      </c>
      <c r="AG198" s="12">
        <v>0</v>
      </c>
      <c r="AH198" s="12">
        <v>0</v>
      </c>
      <c r="AI198" s="12">
        <v>2</v>
      </c>
      <c r="AJ198" s="12" t="s">
        <v>57</v>
      </c>
      <c r="AK198" s="12">
        <v>1</v>
      </c>
      <c r="AL198" s="12">
        <v>0</v>
      </c>
      <c r="AM198" s="12">
        <v>4425</v>
      </c>
      <c r="AN198" s="12">
        <f t="shared" si="47"/>
        <v>4425</v>
      </c>
      <c r="AO198" s="12">
        <v>5</v>
      </c>
      <c r="AP198" s="12" t="s">
        <v>59</v>
      </c>
      <c r="AQ198" s="12">
        <v>0</v>
      </c>
      <c r="AR198" s="12">
        <v>11</v>
      </c>
      <c r="AS198" s="12">
        <v>3</v>
      </c>
      <c r="AT198" s="12">
        <v>4</v>
      </c>
      <c r="AU198" s="12">
        <v>0</v>
      </c>
      <c r="AV198" s="12">
        <v>10</v>
      </c>
      <c r="AW198" s="12">
        <f t="shared" si="48"/>
        <v>10</v>
      </c>
      <c r="AX198" s="12">
        <v>5</v>
      </c>
      <c r="AY198" s="12">
        <v>3</v>
      </c>
      <c r="AZ198" s="12">
        <v>6</v>
      </c>
      <c r="BA198" s="12">
        <f t="shared" si="49"/>
        <v>6</v>
      </c>
      <c r="BB198" s="12">
        <v>2</v>
      </c>
      <c r="BC198" s="12">
        <v>1</v>
      </c>
      <c r="BD198" s="12">
        <f t="shared" si="58"/>
        <v>1</v>
      </c>
      <c r="BE198" s="12">
        <v>2</v>
      </c>
      <c r="BF198" s="12">
        <f t="shared" si="50"/>
        <v>2</v>
      </c>
      <c r="BG198" s="12">
        <f t="shared" si="59"/>
        <v>4</v>
      </c>
      <c r="BH198" s="67">
        <v>0</v>
      </c>
      <c r="BI198" s="67">
        <v>0</v>
      </c>
      <c r="BJ198" s="67">
        <v>1</v>
      </c>
      <c r="BK198" s="67">
        <v>0</v>
      </c>
      <c r="BL198" s="67">
        <v>1</v>
      </c>
      <c r="BM198" s="67">
        <v>0</v>
      </c>
      <c r="BN198" s="67">
        <v>0</v>
      </c>
      <c r="BO198" s="67">
        <v>0</v>
      </c>
      <c r="BP198" s="67">
        <v>0</v>
      </c>
      <c r="BQ198" s="67">
        <v>2</v>
      </c>
      <c r="BR198" s="67">
        <v>0</v>
      </c>
      <c r="BS198" s="67">
        <v>0</v>
      </c>
      <c r="BT198" s="67">
        <v>10</v>
      </c>
      <c r="BU198" s="70">
        <v>0</v>
      </c>
      <c r="BV198" s="29">
        <f t="shared" si="51"/>
        <v>0.44136583835624299</v>
      </c>
      <c r="BW198">
        <f t="shared" si="52"/>
        <v>0.59502473559756086</v>
      </c>
      <c r="BX198">
        <f t="shared" si="53"/>
        <v>0.1644554352117841</v>
      </c>
      <c r="BY198">
        <f t="shared" si="54"/>
        <v>0.16455710867531462</v>
      </c>
      <c r="BZ198">
        <f t="shared" si="55"/>
        <v>0.88721318382472392</v>
      </c>
      <c r="CA198">
        <f t="shared" si="56"/>
        <v>0.21058903898096887</v>
      </c>
      <c r="CB198">
        <f t="shared" si="57"/>
        <v>0.36858985273641137</v>
      </c>
    </row>
    <row r="199" spans="1:80" x14ac:dyDescent="0.45">
      <c r="A199" s="11">
        <v>42</v>
      </c>
      <c r="B199" s="12">
        <f t="shared" si="45"/>
        <v>42</v>
      </c>
      <c r="C199" s="12" t="s">
        <v>59</v>
      </c>
      <c r="D199" s="12">
        <v>0</v>
      </c>
      <c r="E199" s="12" t="s">
        <v>86</v>
      </c>
      <c r="F199" s="12">
        <v>0</v>
      </c>
      <c r="G199" s="12">
        <v>0</v>
      </c>
      <c r="H199" s="12" t="s">
        <v>61</v>
      </c>
      <c r="I199" s="12">
        <v>1</v>
      </c>
      <c r="J199" s="12">
        <v>0</v>
      </c>
      <c r="K199" s="12">
        <v>21</v>
      </c>
      <c r="L199" s="12">
        <f t="shared" si="46"/>
        <v>21</v>
      </c>
      <c r="M199" s="12">
        <v>2</v>
      </c>
      <c r="N199" s="12" t="s">
        <v>70</v>
      </c>
      <c r="O199" s="12">
        <v>0</v>
      </c>
      <c r="P199" s="12">
        <v>0</v>
      </c>
      <c r="Q199" s="12">
        <v>1</v>
      </c>
      <c r="R199" s="12">
        <v>0</v>
      </c>
      <c r="S199" s="12">
        <v>0</v>
      </c>
      <c r="T199" s="12">
        <v>3</v>
      </c>
      <c r="U199" s="12" t="s">
        <v>19</v>
      </c>
      <c r="V199" s="12">
        <v>1</v>
      </c>
      <c r="W199" s="12">
        <v>36</v>
      </c>
      <c r="X199" s="12">
        <v>3</v>
      </c>
      <c r="Y199" s="12">
        <v>2</v>
      </c>
      <c r="Z199" s="12" t="s">
        <v>83</v>
      </c>
      <c r="AA199" s="12">
        <v>0</v>
      </c>
      <c r="AB199" s="12">
        <v>0</v>
      </c>
      <c r="AC199" s="12">
        <v>0</v>
      </c>
      <c r="AD199" s="12">
        <v>0</v>
      </c>
      <c r="AE199" s="12">
        <v>1</v>
      </c>
      <c r="AF199" s="12">
        <v>1</v>
      </c>
      <c r="AG199" s="12">
        <v>0</v>
      </c>
      <c r="AH199" s="12">
        <v>0</v>
      </c>
      <c r="AI199" s="12">
        <v>3</v>
      </c>
      <c r="AJ199" s="12" t="s">
        <v>78</v>
      </c>
      <c r="AK199" s="12">
        <v>0</v>
      </c>
      <c r="AL199" s="12">
        <v>0</v>
      </c>
      <c r="AM199" s="12">
        <v>5265</v>
      </c>
      <c r="AN199" s="12">
        <f t="shared" si="47"/>
        <v>5265</v>
      </c>
      <c r="AO199" s="12">
        <v>2</v>
      </c>
      <c r="AP199" s="12" t="s">
        <v>59</v>
      </c>
      <c r="AQ199" s="12">
        <v>0</v>
      </c>
      <c r="AR199" s="12">
        <v>16</v>
      </c>
      <c r="AS199" s="12">
        <v>3</v>
      </c>
      <c r="AT199" s="12">
        <v>2</v>
      </c>
      <c r="AU199" s="12">
        <v>1</v>
      </c>
      <c r="AV199" s="12">
        <v>11</v>
      </c>
      <c r="AW199" s="12">
        <f t="shared" si="48"/>
        <v>11</v>
      </c>
      <c r="AX199" s="12">
        <v>5</v>
      </c>
      <c r="AY199" s="12">
        <v>3</v>
      </c>
      <c r="AZ199" s="12">
        <v>5</v>
      </c>
      <c r="BA199" s="12">
        <f t="shared" si="49"/>
        <v>5</v>
      </c>
      <c r="BB199" s="12">
        <v>3</v>
      </c>
      <c r="BC199" s="12">
        <v>0</v>
      </c>
      <c r="BD199" s="12">
        <f t="shared" si="58"/>
        <v>0</v>
      </c>
      <c r="BE199" s="12">
        <v>2</v>
      </c>
      <c r="BF199" s="12">
        <f t="shared" si="50"/>
        <v>2</v>
      </c>
      <c r="BG199" s="12">
        <f t="shared" si="59"/>
        <v>4</v>
      </c>
      <c r="BH199" s="67">
        <v>1</v>
      </c>
      <c r="BI199" s="67">
        <v>0</v>
      </c>
      <c r="BJ199" s="67">
        <v>0</v>
      </c>
      <c r="BK199" s="67">
        <v>0</v>
      </c>
      <c r="BL199" s="67">
        <v>1</v>
      </c>
      <c r="BM199" s="67">
        <v>0</v>
      </c>
      <c r="BN199" s="67">
        <v>0</v>
      </c>
      <c r="BO199" s="67">
        <v>0</v>
      </c>
      <c r="BP199" s="67">
        <v>0</v>
      </c>
      <c r="BQ199" s="67">
        <v>2</v>
      </c>
      <c r="BR199" s="67">
        <v>0</v>
      </c>
      <c r="BS199" s="67">
        <v>0</v>
      </c>
      <c r="BT199" s="67">
        <v>11</v>
      </c>
      <c r="BU199" s="70">
        <v>0</v>
      </c>
      <c r="BV199" s="29">
        <f t="shared" si="51"/>
        <v>0.26294448941445181</v>
      </c>
      <c r="BW199">
        <f t="shared" si="52"/>
        <v>0.59502473559756086</v>
      </c>
      <c r="BX199">
        <f t="shared" si="53"/>
        <v>3.593364373846001E-2</v>
      </c>
      <c r="BY199">
        <f t="shared" si="54"/>
        <v>0.32778177112653761</v>
      </c>
      <c r="BZ199">
        <f t="shared" si="55"/>
        <v>1.4564796398038149</v>
      </c>
      <c r="CA199">
        <f t="shared" si="56"/>
        <v>0.55566315731117022</v>
      </c>
      <c r="CB199">
        <f t="shared" si="57"/>
        <v>0.67891464284095016</v>
      </c>
    </row>
    <row r="200" spans="1:80" x14ac:dyDescent="0.45">
      <c r="A200" s="11">
        <v>38</v>
      </c>
      <c r="B200" s="12">
        <f t="shared" si="45"/>
        <v>38</v>
      </c>
      <c r="C200" s="12" t="s">
        <v>59</v>
      </c>
      <c r="D200" s="12">
        <v>0</v>
      </c>
      <c r="E200" s="12" t="s">
        <v>53</v>
      </c>
      <c r="F200" s="12">
        <v>0</v>
      </c>
      <c r="G200" s="12">
        <v>1</v>
      </c>
      <c r="H200" s="12" t="s">
        <v>61</v>
      </c>
      <c r="I200" s="12">
        <v>1</v>
      </c>
      <c r="J200" s="12">
        <v>0</v>
      </c>
      <c r="K200" s="12">
        <v>2</v>
      </c>
      <c r="L200" s="12">
        <f t="shared" si="46"/>
        <v>2</v>
      </c>
      <c r="M200" s="12">
        <v>4</v>
      </c>
      <c r="N200" s="12" t="s">
        <v>55</v>
      </c>
      <c r="O200" s="12">
        <v>1</v>
      </c>
      <c r="P200" s="12">
        <v>0</v>
      </c>
      <c r="Q200" s="12">
        <v>0</v>
      </c>
      <c r="R200" s="12">
        <v>0</v>
      </c>
      <c r="S200" s="12">
        <v>0</v>
      </c>
      <c r="T200" s="12">
        <v>4</v>
      </c>
      <c r="U200" s="12" t="s">
        <v>62</v>
      </c>
      <c r="V200" s="12">
        <v>0</v>
      </c>
      <c r="W200" s="12">
        <v>88</v>
      </c>
      <c r="X200" s="12">
        <v>3</v>
      </c>
      <c r="Y200" s="12">
        <v>2</v>
      </c>
      <c r="Z200" s="12" t="s">
        <v>83</v>
      </c>
      <c r="AA200" s="12">
        <v>0</v>
      </c>
      <c r="AB200" s="12">
        <v>0</v>
      </c>
      <c r="AC200" s="12">
        <v>0</v>
      </c>
      <c r="AD200" s="12">
        <v>0</v>
      </c>
      <c r="AE200" s="12">
        <v>1</v>
      </c>
      <c r="AF200" s="12">
        <v>1</v>
      </c>
      <c r="AG200" s="12">
        <v>0</v>
      </c>
      <c r="AH200" s="12">
        <v>0</v>
      </c>
      <c r="AI200" s="12">
        <v>3</v>
      </c>
      <c r="AJ200" s="12" t="s">
        <v>64</v>
      </c>
      <c r="AK200" s="12">
        <v>0</v>
      </c>
      <c r="AL200" s="12">
        <v>1</v>
      </c>
      <c r="AM200" s="12">
        <v>6553</v>
      </c>
      <c r="AN200" s="12">
        <f t="shared" si="47"/>
        <v>6553</v>
      </c>
      <c r="AO200" s="12">
        <v>9</v>
      </c>
      <c r="AP200" s="12" t="s">
        <v>59</v>
      </c>
      <c r="AQ200" s="12">
        <v>0</v>
      </c>
      <c r="AR200" s="12">
        <v>14</v>
      </c>
      <c r="AS200" s="12">
        <v>3</v>
      </c>
      <c r="AT200" s="12">
        <v>2</v>
      </c>
      <c r="AU200" s="12">
        <v>0</v>
      </c>
      <c r="AV200" s="12">
        <v>14</v>
      </c>
      <c r="AW200" s="12">
        <f t="shared" si="48"/>
        <v>14</v>
      </c>
      <c r="AX200" s="12">
        <v>3</v>
      </c>
      <c r="AY200" s="12">
        <v>3</v>
      </c>
      <c r="AZ200" s="12">
        <v>1</v>
      </c>
      <c r="BA200" s="12">
        <f t="shared" si="49"/>
        <v>1</v>
      </c>
      <c r="BB200" s="12">
        <v>0</v>
      </c>
      <c r="BC200" s="12">
        <v>0</v>
      </c>
      <c r="BD200" s="12">
        <f t="shared" si="58"/>
        <v>0</v>
      </c>
      <c r="BE200" s="12">
        <v>0</v>
      </c>
      <c r="BF200" s="12">
        <f t="shared" si="50"/>
        <v>0</v>
      </c>
      <c r="BG200" s="12">
        <f t="shared" si="59"/>
        <v>0</v>
      </c>
      <c r="BH200" s="67">
        <v>0</v>
      </c>
      <c r="BI200" s="67">
        <v>1</v>
      </c>
      <c r="BJ200" s="67">
        <v>0</v>
      </c>
      <c r="BK200" s="67">
        <v>0</v>
      </c>
      <c r="BL200" s="67">
        <v>0</v>
      </c>
      <c r="BM200" s="67">
        <v>0</v>
      </c>
      <c r="BN200" s="67">
        <v>1</v>
      </c>
      <c r="BO200" s="67">
        <v>0</v>
      </c>
      <c r="BP200" s="67">
        <v>0</v>
      </c>
      <c r="BQ200" s="67">
        <v>0</v>
      </c>
      <c r="BR200" s="67">
        <v>0</v>
      </c>
      <c r="BS200" s="67">
        <v>0</v>
      </c>
      <c r="BT200" s="67">
        <v>14</v>
      </c>
      <c r="BU200" s="70">
        <v>0</v>
      </c>
      <c r="BV200" s="29">
        <f t="shared" si="51"/>
        <v>1.0634912296294718E-2</v>
      </c>
      <c r="BW200">
        <f t="shared" si="52"/>
        <v>1.1555414682655611</v>
      </c>
      <c r="BX200">
        <f t="shared" si="53"/>
        <v>0.34963173068151232</v>
      </c>
      <c r="BY200">
        <f t="shared" si="54"/>
        <v>0.9806804209314296</v>
      </c>
      <c r="BZ200">
        <f t="shared" si="55"/>
        <v>0.88721318382472392</v>
      </c>
      <c r="CA200">
        <f t="shared" si="56"/>
        <v>0.11780475942994788</v>
      </c>
      <c r="CB200">
        <f t="shared" si="57"/>
        <v>0.67891464284095016</v>
      </c>
    </row>
    <row r="201" spans="1:80" x14ac:dyDescent="0.45">
      <c r="A201" s="11">
        <v>38</v>
      </c>
      <c r="B201" s="12">
        <f t="shared" si="45"/>
        <v>38</v>
      </c>
      <c r="C201" s="12" t="s">
        <v>59</v>
      </c>
      <c r="D201" s="12">
        <v>0</v>
      </c>
      <c r="E201" s="12" t="s">
        <v>53</v>
      </c>
      <c r="F201" s="12">
        <v>0</v>
      </c>
      <c r="G201" s="12">
        <v>1</v>
      </c>
      <c r="H201" s="12" t="s">
        <v>61</v>
      </c>
      <c r="I201" s="12">
        <v>1</v>
      </c>
      <c r="J201" s="12">
        <v>0</v>
      </c>
      <c r="K201" s="12">
        <v>29</v>
      </c>
      <c r="L201" s="12">
        <f t="shared" si="46"/>
        <v>29</v>
      </c>
      <c r="M201" s="12">
        <v>3</v>
      </c>
      <c r="N201" s="12" t="s">
        <v>91</v>
      </c>
      <c r="O201" s="12">
        <v>0</v>
      </c>
      <c r="P201" s="12">
        <v>0</v>
      </c>
      <c r="Q201" s="12">
        <v>0</v>
      </c>
      <c r="R201" s="12">
        <v>0</v>
      </c>
      <c r="S201" s="12">
        <v>1</v>
      </c>
      <c r="T201" s="12">
        <v>4</v>
      </c>
      <c r="U201" s="12" t="s">
        <v>62</v>
      </c>
      <c r="V201" s="12">
        <v>0</v>
      </c>
      <c r="W201" s="12">
        <v>54</v>
      </c>
      <c r="X201" s="12">
        <v>3</v>
      </c>
      <c r="Y201" s="12">
        <v>2</v>
      </c>
      <c r="Z201" s="12" t="s">
        <v>83</v>
      </c>
      <c r="AA201" s="12">
        <v>0</v>
      </c>
      <c r="AB201" s="12">
        <v>0</v>
      </c>
      <c r="AC201" s="12">
        <v>0</v>
      </c>
      <c r="AD201" s="12">
        <v>0</v>
      </c>
      <c r="AE201" s="12">
        <v>1</v>
      </c>
      <c r="AF201" s="12">
        <v>1</v>
      </c>
      <c r="AG201" s="12">
        <v>0</v>
      </c>
      <c r="AH201" s="12">
        <v>0</v>
      </c>
      <c r="AI201" s="12">
        <v>4</v>
      </c>
      <c r="AJ201" s="12" t="s">
        <v>64</v>
      </c>
      <c r="AK201" s="12">
        <v>0</v>
      </c>
      <c r="AL201" s="12">
        <v>1</v>
      </c>
      <c r="AM201" s="12">
        <v>6261</v>
      </c>
      <c r="AN201" s="12">
        <f t="shared" si="47"/>
        <v>6261</v>
      </c>
      <c r="AO201" s="12">
        <v>3</v>
      </c>
      <c r="AP201" s="12" t="s">
        <v>59</v>
      </c>
      <c r="AQ201" s="12">
        <v>0</v>
      </c>
      <c r="AR201" s="12">
        <v>18</v>
      </c>
      <c r="AS201" s="12">
        <v>3</v>
      </c>
      <c r="AT201" s="12">
        <v>1</v>
      </c>
      <c r="AU201" s="12">
        <v>1</v>
      </c>
      <c r="AV201" s="12">
        <v>9</v>
      </c>
      <c r="AW201" s="12">
        <f t="shared" si="48"/>
        <v>9</v>
      </c>
      <c r="AX201" s="12">
        <v>3</v>
      </c>
      <c r="AY201" s="12">
        <v>1</v>
      </c>
      <c r="AZ201" s="12">
        <v>7</v>
      </c>
      <c r="BA201" s="12">
        <f t="shared" si="49"/>
        <v>7</v>
      </c>
      <c r="BB201" s="12">
        <v>7</v>
      </c>
      <c r="BC201" s="12">
        <v>1</v>
      </c>
      <c r="BD201" s="12">
        <f t="shared" si="58"/>
        <v>1</v>
      </c>
      <c r="BE201" s="12">
        <v>7</v>
      </c>
      <c r="BF201" s="12">
        <f t="shared" si="50"/>
        <v>7</v>
      </c>
      <c r="BG201" s="12">
        <f t="shared" si="59"/>
        <v>14</v>
      </c>
      <c r="BH201" s="67">
        <v>0</v>
      </c>
      <c r="BI201" s="67">
        <v>1</v>
      </c>
      <c r="BJ201" s="67">
        <v>0</v>
      </c>
      <c r="BK201" s="67">
        <v>0</v>
      </c>
      <c r="BL201" s="67">
        <v>0</v>
      </c>
      <c r="BM201" s="67">
        <v>0</v>
      </c>
      <c r="BN201" s="67">
        <v>1</v>
      </c>
      <c r="BO201" s="67">
        <v>0</v>
      </c>
      <c r="BP201" s="67">
        <v>0</v>
      </c>
      <c r="BQ201" s="67">
        <v>7</v>
      </c>
      <c r="BR201" s="67">
        <v>0</v>
      </c>
      <c r="BS201" s="67">
        <v>0</v>
      </c>
      <c r="BT201" s="67">
        <v>9</v>
      </c>
      <c r="BU201" s="70">
        <v>0</v>
      </c>
      <c r="BV201" s="29">
        <f t="shared" si="51"/>
        <v>5.1387747097756509E-2</v>
      </c>
      <c r="BW201">
        <f t="shared" si="52"/>
        <v>0.80626709607243985</v>
      </c>
      <c r="BX201">
        <f t="shared" si="53"/>
        <v>0.29297722668510823</v>
      </c>
      <c r="BY201">
        <f t="shared" si="54"/>
        <v>1.3324462240916321E-3</v>
      </c>
      <c r="BZ201">
        <f t="shared" si="55"/>
        <v>2.4432976708053049</v>
      </c>
      <c r="CA201">
        <f t="shared" si="56"/>
        <v>0.11780475942994788</v>
      </c>
      <c r="CB201">
        <f t="shared" si="57"/>
        <v>0.36858985273641137</v>
      </c>
    </row>
    <row r="202" spans="1:80" x14ac:dyDescent="0.45">
      <c r="A202" s="11">
        <v>27</v>
      </c>
      <c r="B202" s="12">
        <f t="shared" si="45"/>
        <v>27</v>
      </c>
      <c r="C202" s="12" t="s">
        <v>59</v>
      </c>
      <c r="D202" s="12">
        <v>0</v>
      </c>
      <c r="E202" s="12" t="s">
        <v>60</v>
      </c>
      <c r="F202" s="12">
        <v>1</v>
      </c>
      <c r="G202" s="12">
        <v>0</v>
      </c>
      <c r="H202" s="12" t="s">
        <v>61</v>
      </c>
      <c r="I202" s="12">
        <v>1</v>
      </c>
      <c r="J202" s="12">
        <v>0</v>
      </c>
      <c r="K202" s="12">
        <v>1</v>
      </c>
      <c r="L202" s="12">
        <f t="shared" si="46"/>
        <v>1</v>
      </c>
      <c r="M202" s="12">
        <v>1</v>
      </c>
      <c r="N202" s="12" t="s">
        <v>91</v>
      </c>
      <c r="O202" s="12">
        <v>0</v>
      </c>
      <c r="P202" s="12">
        <v>0</v>
      </c>
      <c r="Q202" s="12">
        <v>0</v>
      </c>
      <c r="R202" s="12">
        <v>0</v>
      </c>
      <c r="S202" s="12">
        <v>1</v>
      </c>
      <c r="T202" s="12">
        <v>3</v>
      </c>
      <c r="U202" s="12" t="s">
        <v>62</v>
      </c>
      <c r="V202" s="12">
        <v>0</v>
      </c>
      <c r="W202" s="12">
        <v>60</v>
      </c>
      <c r="X202" s="12">
        <v>2</v>
      </c>
      <c r="Y202" s="12">
        <v>2</v>
      </c>
      <c r="Z202" s="12" t="s">
        <v>83</v>
      </c>
      <c r="AA202" s="12">
        <v>0</v>
      </c>
      <c r="AB202" s="12">
        <v>0</v>
      </c>
      <c r="AC202" s="12">
        <v>0</v>
      </c>
      <c r="AD202" s="12">
        <v>0</v>
      </c>
      <c r="AE202" s="12">
        <v>1</v>
      </c>
      <c r="AF202" s="12">
        <v>1</v>
      </c>
      <c r="AG202" s="12">
        <v>0</v>
      </c>
      <c r="AH202" s="12">
        <v>0</v>
      </c>
      <c r="AI202" s="12">
        <v>1</v>
      </c>
      <c r="AJ202" s="12" t="s">
        <v>64</v>
      </c>
      <c r="AK202" s="12">
        <v>0</v>
      </c>
      <c r="AL202" s="12">
        <v>1</v>
      </c>
      <c r="AM202" s="12">
        <v>4298</v>
      </c>
      <c r="AN202" s="12">
        <f t="shared" si="47"/>
        <v>4298</v>
      </c>
      <c r="AO202" s="12">
        <v>5</v>
      </c>
      <c r="AP202" s="12" t="s">
        <v>59</v>
      </c>
      <c r="AQ202" s="12">
        <v>0</v>
      </c>
      <c r="AR202" s="12">
        <v>19</v>
      </c>
      <c r="AS202" s="12">
        <v>3</v>
      </c>
      <c r="AT202" s="12">
        <v>3</v>
      </c>
      <c r="AU202" s="12">
        <v>1</v>
      </c>
      <c r="AV202" s="12">
        <v>6</v>
      </c>
      <c r="AW202" s="12">
        <f t="shared" si="48"/>
        <v>6</v>
      </c>
      <c r="AX202" s="12">
        <v>1</v>
      </c>
      <c r="AY202" s="12">
        <v>3</v>
      </c>
      <c r="AZ202" s="12">
        <v>2</v>
      </c>
      <c r="BA202" s="12">
        <f t="shared" si="49"/>
        <v>2</v>
      </c>
      <c r="BB202" s="12">
        <v>2</v>
      </c>
      <c r="BC202" s="12">
        <v>2</v>
      </c>
      <c r="BD202" s="12">
        <f t="shared" si="58"/>
        <v>2</v>
      </c>
      <c r="BE202" s="12">
        <v>0</v>
      </c>
      <c r="BF202" s="12">
        <f t="shared" si="50"/>
        <v>0</v>
      </c>
      <c r="BG202" s="12">
        <f t="shared" si="59"/>
        <v>0</v>
      </c>
      <c r="BH202" s="67">
        <v>0</v>
      </c>
      <c r="BI202" s="67">
        <v>0</v>
      </c>
      <c r="BJ202" s="67">
        <v>0</v>
      </c>
      <c r="BK202" s="67">
        <v>1</v>
      </c>
      <c r="BL202" s="67">
        <v>0</v>
      </c>
      <c r="BM202" s="67">
        <v>0</v>
      </c>
      <c r="BN202" s="67">
        <v>1</v>
      </c>
      <c r="BO202" s="67">
        <v>0</v>
      </c>
      <c r="BP202" s="67">
        <v>0</v>
      </c>
      <c r="BQ202" s="67">
        <v>0</v>
      </c>
      <c r="BR202" s="67">
        <v>0</v>
      </c>
      <c r="BS202" s="67">
        <v>0</v>
      </c>
      <c r="BT202" s="67">
        <v>6</v>
      </c>
      <c r="BU202" s="70">
        <v>0</v>
      </c>
      <c r="BV202" s="29">
        <f t="shared" si="51"/>
        <v>0.46834144706529951</v>
      </c>
      <c r="BW202">
        <f t="shared" si="52"/>
        <v>1.1555414682655611</v>
      </c>
      <c r="BX202">
        <f t="shared" si="53"/>
        <v>0.67854260110508058</v>
      </c>
      <c r="BY202">
        <f t="shared" si="54"/>
        <v>0.81745575848020657</v>
      </c>
      <c r="BZ202">
        <f t="shared" si="55"/>
        <v>1.01056543769991</v>
      </c>
      <c r="CA202">
        <f t="shared" si="56"/>
        <v>1.0863058347434136</v>
      </c>
      <c r="CB202">
        <f t="shared" si="57"/>
        <v>5.8265062631872602E-2</v>
      </c>
    </row>
    <row r="203" spans="1:80" x14ac:dyDescent="0.45">
      <c r="A203" s="11">
        <v>49</v>
      </c>
      <c r="B203" s="12">
        <f t="shared" si="45"/>
        <v>49</v>
      </c>
      <c r="C203" s="12" t="s">
        <v>59</v>
      </c>
      <c r="D203" s="12">
        <v>0</v>
      </c>
      <c r="E203" s="12" t="s">
        <v>86</v>
      </c>
      <c r="F203" s="12">
        <v>0</v>
      </c>
      <c r="G203" s="12">
        <v>0</v>
      </c>
      <c r="H203" s="12" t="s">
        <v>61</v>
      </c>
      <c r="I203" s="12">
        <v>1</v>
      </c>
      <c r="J203" s="12">
        <v>0</v>
      </c>
      <c r="K203" s="12">
        <v>18</v>
      </c>
      <c r="L203" s="12">
        <f t="shared" si="46"/>
        <v>18</v>
      </c>
      <c r="M203" s="12">
        <v>4</v>
      </c>
      <c r="N203" s="12" t="s">
        <v>55</v>
      </c>
      <c r="O203" s="12">
        <v>1</v>
      </c>
      <c r="P203" s="12">
        <v>0</v>
      </c>
      <c r="Q203" s="12">
        <v>0</v>
      </c>
      <c r="R203" s="12">
        <v>0</v>
      </c>
      <c r="S203" s="12">
        <v>0</v>
      </c>
      <c r="T203" s="12">
        <v>4</v>
      </c>
      <c r="U203" s="12" t="s">
        <v>62</v>
      </c>
      <c r="V203" s="12">
        <v>0</v>
      </c>
      <c r="W203" s="12">
        <v>92</v>
      </c>
      <c r="X203" s="12">
        <v>3</v>
      </c>
      <c r="Y203" s="12">
        <v>2</v>
      </c>
      <c r="Z203" s="12" t="s">
        <v>83</v>
      </c>
      <c r="AA203" s="12">
        <v>0</v>
      </c>
      <c r="AB203" s="12">
        <v>0</v>
      </c>
      <c r="AC203" s="12">
        <v>0</v>
      </c>
      <c r="AD203" s="12">
        <v>0</v>
      </c>
      <c r="AE203" s="12">
        <v>1</v>
      </c>
      <c r="AF203" s="12">
        <v>1</v>
      </c>
      <c r="AG203" s="12">
        <v>0</v>
      </c>
      <c r="AH203" s="12">
        <v>0</v>
      </c>
      <c r="AI203" s="12">
        <v>4</v>
      </c>
      <c r="AJ203" s="12" t="s">
        <v>78</v>
      </c>
      <c r="AK203" s="12">
        <v>0</v>
      </c>
      <c r="AL203" s="12">
        <v>0</v>
      </c>
      <c r="AM203" s="12">
        <v>6804</v>
      </c>
      <c r="AN203" s="12">
        <f t="shared" si="47"/>
        <v>6804</v>
      </c>
      <c r="AO203" s="12">
        <v>1</v>
      </c>
      <c r="AP203" s="12" t="s">
        <v>52</v>
      </c>
      <c r="AQ203" s="12">
        <v>1</v>
      </c>
      <c r="AR203" s="12">
        <v>15</v>
      </c>
      <c r="AS203" s="12">
        <v>3</v>
      </c>
      <c r="AT203" s="12">
        <v>1</v>
      </c>
      <c r="AU203" s="12">
        <v>2</v>
      </c>
      <c r="AV203" s="12">
        <v>7</v>
      </c>
      <c r="AW203" s="12">
        <f t="shared" si="48"/>
        <v>7</v>
      </c>
      <c r="AX203" s="12">
        <v>0</v>
      </c>
      <c r="AY203" s="12">
        <v>3</v>
      </c>
      <c r="AZ203" s="12">
        <v>7</v>
      </c>
      <c r="BA203" s="12">
        <f t="shared" si="49"/>
        <v>7</v>
      </c>
      <c r="BB203" s="12">
        <v>7</v>
      </c>
      <c r="BC203" s="12">
        <v>1</v>
      </c>
      <c r="BD203" s="12">
        <f t="shared" si="58"/>
        <v>1</v>
      </c>
      <c r="BE203" s="12">
        <v>7</v>
      </c>
      <c r="BF203" s="12">
        <f t="shared" si="50"/>
        <v>7</v>
      </c>
      <c r="BG203" s="12">
        <f t="shared" si="59"/>
        <v>14</v>
      </c>
      <c r="BH203" s="67">
        <v>1</v>
      </c>
      <c r="BI203" s="67">
        <v>0</v>
      </c>
      <c r="BJ203" s="67">
        <v>0</v>
      </c>
      <c r="BK203" s="67">
        <v>0</v>
      </c>
      <c r="BL203" s="67">
        <v>0</v>
      </c>
      <c r="BM203" s="67">
        <v>1</v>
      </c>
      <c r="BN203" s="67">
        <v>0</v>
      </c>
      <c r="BO203" s="67">
        <v>0</v>
      </c>
      <c r="BP203" s="67">
        <v>0</v>
      </c>
      <c r="BQ203" s="67">
        <v>7</v>
      </c>
      <c r="BR203" s="67">
        <v>0</v>
      </c>
      <c r="BS203" s="67">
        <v>0</v>
      </c>
      <c r="BT203" s="67">
        <v>7</v>
      </c>
      <c r="BU203" s="70">
        <v>0</v>
      </c>
      <c r="BV203" s="29">
        <f t="shared" si="51"/>
        <v>6.3948910611044227E-2</v>
      </c>
      <c r="BW203">
        <f t="shared" si="52"/>
        <v>0.80626709607243985</v>
      </c>
      <c r="BX203">
        <f t="shared" si="53"/>
        <v>0.55002080963175637</v>
      </c>
      <c r="BY203">
        <f t="shared" si="54"/>
        <v>1.3324462240916321E-3</v>
      </c>
      <c r="BZ203">
        <f t="shared" si="55"/>
        <v>1.0864228781782561</v>
      </c>
      <c r="CA203">
        <f t="shared" si="56"/>
        <v>1.3219153536033093</v>
      </c>
      <c r="CB203">
        <f t="shared" si="57"/>
        <v>0.36858985273641137</v>
      </c>
    </row>
    <row r="204" spans="1:80" x14ac:dyDescent="0.45">
      <c r="A204" s="11">
        <v>34</v>
      </c>
      <c r="B204" s="12">
        <f t="shared" si="45"/>
        <v>34</v>
      </c>
      <c r="C204" s="12" t="s">
        <v>59</v>
      </c>
      <c r="D204" s="12">
        <v>0</v>
      </c>
      <c r="E204" s="12" t="s">
        <v>60</v>
      </c>
      <c r="F204" s="12">
        <v>1</v>
      </c>
      <c r="G204" s="12">
        <v>0</v>
      </c>
      <c r="H204" s="12" t="s">
        <v>61</v>
      </c>
      <c r="I204" s="12">
        <v>1</v>
      </c>
      <c r="J204" s="12">
        <v>0</v>
      </c>
      <c r="K204" s="12">
        <v>10</v>
      </c>
      <c r="L204" s="12">
        <f t="shared" si="46"/>
        <v>10</v>
      </c>
      <c r="M204" s="12">
        <v>4</v>
      </c>
      <c r="N204" s="12" t="s">
        <v>70</v>
      </c>
      <c r="O204" s="12">
        <v>0</v>
      </c>
      <c r="P204" s="12">
        <v>0</v>
      </c>
      <c r="Q204" s="12">
        <v>1</v>
      </c>
      <c r="R204" s="12">
        <v>0</v>
      </c>
      <c r="S204" s="12">
        <v>0</v>
      </c>
      <c r="T204" s="12">
        <v>4</v>
      </c>
      <c r="U204" s="12" t="s">
        <v>62</v>
      </c>
      <c r="V204" s="12">
        <v>0</v>
      </c>
      <c r="W204" s="12">
        <v>43</v>
      </c>
      <c r="X204" s="12">
        <v>3</v>
      </c>
      <c r="Y204" s="12">
        <v>1</v>
      </c>
      <c r="Z204" s="12" t="s">
        <v>63</v>
      </c>
      <c r="AA204" s="12">
        <v>0</v>
      </c>
      <c r="AB204" s="12">
        <v>0</v>
      </c>
      <c r="AC204" s="12">
        <v>0</v>
      </c>
      <c r="AD204" s="12">
        <v>0</v>
      </c>
      <c r="AE204" s="12">
        <v>0</v>
      </c>
      <c r="AF204" s="12">
        <v>0</v>
      </c>
      <c r="AG204" s="12">
        <v>0</v>
      </c>
      <c r="AH204" s="12">
        <v>1</v>
      </c>
      <c r="AI204" s="12">
        <v>3</v>
      </c>
      <c r="AJ204" s="12" t="s">
        <v>78</v>
      </c>
      <c r="AK204" s="12">
        <v>0</v>
      </c>
      <c r="AL204" s="12">
        <v>0</v>
      </c>
      <c r="AM204" s="12">
        <v>3815</v>
      </c>
      <c r="AN204" s="12">
        <f t="shared" si="47"/>
        <v>3815</v>
      </c>
      <c r="AO204" s="12">
        <v>1</v>
      </c>
      <c r="AP204" s="12" t="s">
        <v>52</v>
      </c>
      <c r="AQ204" s="12">
        <v>1</v>
      </c>
      <c r="AR204" s="12">
        <v>17</v>
      </c>
      <c r="AS204" s="12">
        <v>3</v>
      </c>
      <c r="AT204" s="12">
        <v>4</v>
      </c>
      <c r="AU204" s="12">
        <v>1</v>
      </c>
      <c r="AV204" s="12">
        <v>5</v>
      </c>
      <c r="AW204" s="12">
        <f t="shared" si="48"/>
        <v>5</v>
      </c>
      <c r="AX204" s="12">
        <v>4</v>
      </c>
      <c r="AY204" s="12">
        <v>4</v>
      </c>
      <c r="AZ204" s="12">
        <v>5</v>
      </c>
      <c r="BA204" s="12">
        <f t="shared" si="49"/>
        <v>5</v>
      </c>
      <c r="BB204" s="12">
        <v>3</v>
      </c>
      <c r="BC204" s="12">
        <v>2</v>
      </c>
      <c r="BD204" s="12">
        <f t="shared" si="58"/>
        <v>2</v>
      </c>
      <c r="BE204" s="12">
        <v>0</v>
      </c>
      <c r="BF204" s="12">
        <f t="shared" si="50"/>
        <v>0</v>
      </c>
      <c r="BG204" s="12">
        <f t="shared" si="59"/>
        <v>0</v>
      </c>
      <c r="BH204" s="67">
        <v>0</v>
      </c>
      <c r="BI204" s="67">
        <v>0</v>
      </c>
      <c r="BJ204" s="67">
        <v>1</v>
      </c>
      <c r="BK204" s="67">
        <v>0</v>
      </c>
      <c r="BL204" s="67">
        <v>0</v>
      </c>
      <c r="BM204" s="67">
        <v>1</v>
      </c>
      <c r="BN204" s="67">
        <v>0</v>
      </c>
      <c r="BO204" s="67">
        <v>0</v>
      </c>
      <c r="BP204" s="67">
        <v>0</v>
      </c>
      <c r="BQ204" s="67">
        <v>0</v>
      </c>
      <c r="BR204" s="67">
        <v>0</v>
      </c>
      <c r="BS204" s="67">
        <v>0</v>
      </c>
      <c r="BT204" s="67">
        <v>5</v>
      </c>
      <c r="BU204" s="70">
        <v>0</v>
      </c>
      <c r="BV204" s="29">
        <f t="shared" si="51"/>
        <v>0.57093372270682952</v>
      </c>
      <c r="BW204">
        <f t="shared" si="52"/>
        <v>1.1555414682655611</v>
      </c>
      <c r="BX204">
        <f t="shared" si="53"/>
        <v>0.80706439257840468</v>
      </c>
      <c r="BY204">
        <f t="shared" si="54"/>
        <v>0.32778177112653761</v>
      </c>
      <c r="BZ204">
        <f t="shared" si="55"/>
        <v>9.9604847176766084E-2</v>
      </c>
      <c r="CA204">
        <f t="shared" si="56"/>
        <v>0.32005363845127444</v>
      </c>
      <c r="CB204">
        <f t="shared" si="57"/>
        <v>5.8265062631872602E-2</v>
      </c>
    </row>
    <row r="205" spans="1:80" x14ac:dyDescent="0.45">
      <c r="A205" s="11">
        <v>40</v>
      </c>
      <c r="B205" s="12">
        <f t="shared" si="45"/>
        <v>40</v>
      </c>
      <c r="C205" s="12" t="s">
        <v>59</v>
      </c>
      <c r="D205" s="12">
        <v>0</v>
      </c>
      <c r="E205" s="12" t="s">
        <v>53</v>
      </c>
      <c r="F205" s="12">
        <v>0</v>
      </c>
      <c r="G205" s="12">
        <v>1</v>
      </c>
      <c r="H205" s="12" t="s">
        <v>61</v>
      </c>
      <c r="I205" s="12">
        <v>1</v>
      </c>
      <c r="J205" s="12">
        <v>0</v>
      </c>
      <c r="K205" s="12">
        <v>19</v>
      </c>
      <c r="L205" s="12">
        <f t="shared" si="46"/>
        <v>19</v>
      </c>
      <c r="M205" s="12">
        <v>2</v>
      </c>
      <c r="N205" s="12" t="s">
        <v>70</v>
      </c>
      <c r="O205" s="12">
        <v>0</v>
      </c>
      <c r="P205" s="12">
        <v>0</v>
      </c>
      <c r="Q205" s="12">
        <v>1</v>
      </c>
      <c r="R205" s="12">
        <v>0</v>
      </c>
      <c r="S205" s="12">
        <v>0</v>
      </c>
      <c r="T205" s="12">
        <v>3</v>
      </c>
      <c r="U205" s="12" t="s">
        <v>62</v>
      </c>
      <c r="V205" s="12">
        <v>0</v>
      </c>
      <c r="W205" s="12">
        <v>99</v>
      </c>
      <c r="X205" s="12">
        <v>3</v>
      </c>
      <c r="Y205" s="12">
        <v>2</v>
      </c>
      <c r="Z205" s="12" t="s">
        <v>67</v>
      </c>
      <c r="AA205" s="12">
        <v>0</v>
      </c>
      <c r="AB205" s="12">
        <v>0</v>
      </c>
      <c r="AC205" s="12">
        <v>1</v>
      </c>
      <c r="AD205" s="12">
        <v>0</v>
      </c>
      <c r="AE205" s="12">
        <v>0</v>
      </c>
      <c r="AF205" s="12">
        <v>0</v>
      </c>
      <c r="AG205" s="12">
        <v>0</v>
      </c>
      <c r="AH205" s="12">
        <v>0</v>
      </c>
      <c r="AI205" s="12">
        <v>4</v>
      </c>
      <c r="AJ205" s="12" t="s">
        <v>64</v>
      </c>
      <c r="AK205" s="12">
        <v>0</v>
      </c>
      <c r="AL205" s="12">
        <v>1</v>
      </c>
      <c r="AM205" s="12">
        <v>2741</v>
      </c>
      <c r="AN205" s="12">
        <f t="shared" si="47"/>
        <v>2741</v>
      </c>
      <c r="AO205" s="12">
        <v>8</v>
      </c>
      <c r="AP205" s="12" t="s">
        <v>52</v>
      </c>
      <c r="AQ205" s="12">
        <v>1</v>
      </c>
      <c r="AR205" s="12">
        <v>15</v>
      </c>
      <c r="AS205" s="12">
        <v>3</v>
      </c>
      <c r="AT205" s="12">
        <v>3</v>
      </c>
      <c r="AU205" s="12">
        <v>1</v>
      </c>
      <c r="AV205" s="12">
        <v>15</v>
      </c>
      <c r="AW205" s="12">
        <f t="shared" si="48"/>
        <v>15</v>
      </c>
      <c r="AX205" s="12">
        <v>2</v>
      </c>
      <c r="AY205" s="12">
        <v>4</v>
      </c>
      <c r="AZ205" s="12">
        <v>7</v>
      </c>
      <c r="BA205" s="12">
        <f t="shared" si="49"/>
        <v>7</v>
      </c>
      <c r="BB205" s="12">
        <v>2</v>
      </c>
      <c r="BC205" s="12">
        <v>3</v>
      </c>
      <c r="BD205" s="12">
        <f t="shared" si="58"/>
        <v>3</v>
      </c>
      <c r="BE205" s="12">
        <v>7</v>
      </c>
      <c r="BF205" s="12">
        <f t="shared" si="50"/>
        <v>7</v>
      </c>
      <c r="BG205" s="12">
        <f t="shared" si="59"/>
        <v>14</v>
      </c>
      <c r="BH205" s="67">
        <v>0</v>
      </c>
      <c r="BI205" s="67">
        <v>1</v>
      </c>
      <c r="BJ205" s="67">
        <v>0</v>
      </c>
      <c r="BK205" s="67">
        <v>0</v>
      </c>
      <c r="BL205" s="67">
        <v>0</v>
      </c>
      <c r="BM205" s="67">
        <v>0</v>
      </c>
      <c r="BN205" s="67">
        <v>0</v>
      </c>
      <c r="BO205" s="67">
        <v>1</v>
      </c>
      <c r="BP205" s="67">
        <v>0</v>
      </c>
      <c r="BQ205" s="67">
        <v>7</v>
      </c>
      <c r="BR205" s="67">
        <v>0</v>
      </c>
      <c r="BS205" s="67">
        <v>0</v>
      </c>
      <c r="BT205" s="67">
        <v>15</v>
      </c>
      <c r="BU205" s="70">
        <v>0</v>
      </c>
      <c r="BV205" s="29">
        <f t="shared" si="51"/>
        <v>0.79905816171097677</v>
      </c>
      <c r="BW205">
        <f t="shared" si="52"/>
        <v>0.80626709607243985</v>
      </c>
      <c r="BX205">
        <f t="shared" si="53"/>
        <v>0.47815352215483642</v>
      </c>
      <c r="BY205">
        <f t="shared" si="54"/>
        <v>1.3324462240916321E-3</v>
      </c>
      <c r="BZ205">
        <f t="shared" si="55"/>
        <v>1.2097751320534422</v>
      </c>
      <c r="CA205">
        <f t="shared" si="56"/>
        <v>0.33673395837055903</v>
      </c>
      <c r="CB205">
        <f t="shared" si="57"/>
        <v>0.2520597274726662</v>
      </c>
    </row>
    <row r="206" spans="1:80" x14ac:dyDescent="0.45">
      <c r="A206" s="11">
        <v>38</v>
      </c>
      <c r="B206" s="12">
        <f t="shared" si="45"/>
        <v>38</v>
      </c>
      <c r="C206" s="12" t="s">
        <v>52</v>
      </c>
      <c r="D206" s="12">
        <v>1</v>
      </c>
      <c r="E206" s="12" t="s">
        <v>53</v>
      </c>
      <c r="F206" s="12">
        <v>0</v>
      </c>
      <c r="G206" s="12">
        <v>1</v>
      </c>
      <c r="H206" s="12" t="s">
        <v>61</v>
      </c>
      <c r="I206" s="12">
        <v>1</v>
      </c>
      <c r="J206" s="12">
        <v>0</v>
      </c>
      <c r="K206" s="12">
        <v>29</v>
      </c>
      <c r="L206" s="12">
        <f t="shared" si="46"/>
        <v>29</v>
      </c>
      <c r="M206" s="12">
        <v>1</v>
      </c>
      <c r="N206" s="12" t="s">
        <v>70</v>
      </c>
      <c r="O206" s="12">
        <v>0</v>
      </c>
      <c r="P206" s="12">
        <v>0</v>
      </c>
      <c r="Q206" s="12">
        <v>1</v>
      </c>
      <c r="R206" s="12">
        <v>0</v>
      </c>
      <c r="S206" s="12">
        <v>0</v>
      </c>
      <c r="T206" s="12">
        <v>2</v>
      </c>
      <c r="U206" s="12" t="s">
        <v>62</v>
      </c>
      <c r="V206" s="12">
        <v>0</v>
      </c>
      <c r="W206" s="12">
        <v>70</v>
      </c>
      <c r="X206" s="12">
        <v>3</v>
      </c>
      <c r="Y206" s="12">
        <v>2</v>
      </c>
      <c r="Z206" s="12" t="s">
        <v>85</v>
      </c>
      <c r="AA206" s="12">
        <v>1</v>
      </c>
      <c r="AB206" s="12">
        <v>0</v>
      </c>
      <c r="AC206" s="12">
        <v>0</v>
      </c>
      <c r="AD206" s="12">
        <v>0</v>
      </c>
      <c r="AE206" s="12">
        <v>0</v>
      </c>
      <c r="AF206" s="12">
        <v>0</v>
      </c>
      <c r="AG206" s="12">
        <v>0</v>
      </c>
      <c r="AH206" s="12">
        <v>0</v>
      </c>
      <c r="AI206" s="12">
        <v>1</v>
      </c>
      <c r="AJ206" s="12" t="s">
        <v>64</v>
      </c>
      <c r="AK206" s="12">
        <v>0</v>
      </c>
      <c r="AL206" s="12">
        <v>1</v>
      </c>
      <c r="AM206" s="12">
        <v>6673</v>
      </c>
      <c r="AN206" s="12">
        <f t="shared" si="47"/>
        <v>6673</v>
      </c>
      <c r="AO206" s="12">
        <v>7</v>
      </c>
      <c r="AP206" s="12" t="s">
        <v>52</v>
      </c>
      <c r="AQ206" s="12">
        <v>1</v>
      </c>
      <c r="AR206" s="12">
        <v>19</v>
      </c>
      <c r="AS206" s="12">
        <v>3</v>
      </c>
      <c r="AT206" s="12">
        <v>2</v>
      </c>
      <c r="AU206" s="12">
        <v>0</v>
      </c>
      <c r="AV206" s="12">
        <v>17</v>
      </c>
      <c r="AW206" s="12">
        <f t="shared" si="48"/>
        <v>17</v>
      </c>
      <c r="AX206" s="12">
        <v>2</v>
      </c>
      <c r="AY206" s="12">
        <v>3</v>
      </c>
      <c r="AZ206" s="12">
        <v>1</v>
      </c>
      <c r="BA206" s="12">
        <f t="shared" si="49"/>
        <v>1</v>
      </c>
      <c r="BB206" s="12">
        <v>0</v>
      </c>
      <c r="BC206" s="12">
        <v>0</v>
      </c>
      <c r="BD206" s="12">
        <f t="shared" si="58"/>
        <v>0</v>
      </c>
      <c r="BE206" s="12">
        <v>0</v>
      </c>
      <c r="BF206" s="12">
        <f t="shared" si="50"/>
        <v>0</v>
      </c>
      <c r="BG206" s="12">
        <f t="shared" si="59"/>
        <v>0</v>
      </c>
      <c r="BH206" s="67">
        <v>0</v>
      </c>
      <c r="BI206" s="67">
        <v>1</v>
      </c>
      <c r="BJ206" s="67">
        <v>0</v>
      </c>
      <c r="BK206" s="67">
        <v>0</v>
      </c>
      <c r="BL206" s="67">
        <v>0</v>
      </c>
      <c r="BM206" s="67">
        <v>0</v>
      </c>
      <c r="BN206" s="67">
        <v>0</v>
      </c>
      <c r="BO206" s="67">
        <v>1</v>
      </c>
      <c r="BP206" s="67">
        <v>0</v>
      </c>
      <c r="BQ206" s="67">
        <v>0</v>
      </c>
      <c r="BR206" s="67">
        <v>0</v>
      </c>
      <c r="BS206" s="67">
        <v>0</v>
      </c>
      <c r="BT206" s="67">
        <v>17</v>
      </c>
      <c r="BU206" s="70">
        <v>0</v>
      </c>
      <c r="BV206" s="29">
        <f t="shared" si="51"/>
        <v>3.6123676430836318E-2</v>
      </c>
      <c r="BW206">
        <f t="shared" si="52"/>
        <v>1.1555414682655611</v>
      </c>
      <c r="BX206">
        <f t="shared" si="53"/>
        <v>0.73519710510148462</v>
      </c>
      <c r="BY206">
        <f t="shared" si="54"/>
        <v>0.9806804209314296</v>
      </c>
      <c r="BZ206">
        <f t="shared" si="55"/>
        <v>2.4432976708053049</v>
      </c>
      <c r="CA206">
        <f t="shared" si="56"/>
        <v>0.11780475942994788</v>
      </c>
      <c r="CB206">
        <f t="shared" si="57"/>
        <v>0.67891464284095016</v>
      </c>
    </row>
    <row r="207" spans="1:80" x14ac:dyDescent="0.45">
      <c r="A207" s="11">
        <v>29</v>
      </c>
      <c r="B207" s="12">
        <f t="shared" si="45"/>
        <v>29</v>
      </c>
      <c r="C207" s="12" t="s">
        <v>52</v>
      </c>
      <c r="D207" s="12">
        <v>1</v>
      </c>
      <c r="E207" s="12" t="s">
        <v>53</v>
      </c>
      <c r="F207" s="12">
        <v>0</v>
      </c>
      <c r="G207" s="12">
        <v>1</v>
      </c>
      <c r="H207" s="12" t="s">
        <v>54</v>
      </c>
      <c r="I207" s="12">
        <v>0</v>
      </c>
      <c r="J207" s="12">
        <v>1</v>
      </c>
      <c r="K207" s="12">
        <v>27</v>
      </c>
      <c r="L207" s="12">
        <f t="shared" si="46"/>
        <v>27</v>
      </c>
      <c r="M207" s="12">
        <v>3</v>
      </c>
      <c r="N207" s="12" t="s">
        <v>90</v>
      </c>
      <c r="O207" s="12">
        <v>0</v>
      </c>
      <c r="P207" s="12">
        <v>0</v>
      </c>
      <c r="Q207" s="12">
        <v>0</v>
      </c>
      <c r="R207" s="12">
        <v>1</v>
      </c>
      <c r="S207" s="12">
        <v>0</v>
      </c>
      <c r="T207" s="12">
        <v>2</v>
      </c>
      <c r="U207" s="12" t="s">
        <v>19</v>
      </c>
      <c r="V207" s="12">
        <v>1</v>
      </c>
      <c r="W207" s="12">
        <v>35</v>
      </c>
      <c r="X207" s="12">
        <v>3</v>
      </c>
      <c r="Y207" s="12">
        <v>3</v>
      </c>
      <c r="Z207" s="12" t="s">
        <v>56</v>
      </c>
      <c r="AA207" s="12">
        <v>0</v>
      </c>
      <c r="AB207" s="12">
        <v>1</v>
      </c>
      <c r="AC207" s="12">
        <v>0</v>
      </c>
      <c r="AD207" s="12">
        <v>0</v>
      </c>
      <c r="AE207" s="12">
        <v>0</v>
      </c>
      <c r="AF207" s="12">
        <v>0</v>
      </c>
      <c r="AG207" s="12">
        <v>0</v>
      </c>
      <c r="AH207" s="12">
        <v>0</v>
      </c>
      <c r="AI207" s="12">
        <v>4</v>
      </c>
      <c r="AJ207" s="12" t="s">
        <v>64</v>
      </c>
      <c r="AK207" s="12">
        <v>0</v>
      </c>
      <c r="AL207" s="12">
        <v>1</v>
      </c>
      <c r="AM207" s="12">
        <v>7639</v>
      </c>
      <c r="AN207" s="12">
        <f t="shared" si="47"/>
        <v>7639</v>
      </c>
      <c r="AO207" s="12">
        <v>1</v>
      </c>
      <c r="AP207" s="12" t="s">
        <v>59</v>
      </c>
      <c r="AQ207" s="12">
        <v>0</v>
      </c>
      <c r="AR207" s="12">
        <v>22</v>
      </c>
      <c r="AS207" s="12">
        <v>4</v>
      </c>
      <c r="AT207" s="12">
        <v>4</v>
      </c>
      <c r="AU207" s="12">
        <v>3</v>
      </c>
      <c r="AV207" s="12">
        <v>10</v>
      </c>
      <c r="AW207" s="12">
        <f t="shared" si="48"/>
        <v>10</v>
      </c>
      <c r="AX207" s="12">
        <v>3</v>
      </c>
      <c r="AY207" s="12">
        <v>2</v>
      </c>
      <c r="AZ207" s="12">
        <v>10</v>
      </c>
      <c r="BA207" s="12">
        <f t="shared" si="49"/>
        <v>10</v>
      </c>
      <c r="BB207" s="12">
        <v>4</v>
      </c>
      <c r="BC207" s="12">
        <v>1</v>
      </c>
      <c r="BD207" s="12">
        <f t="shared" si="58"/>
        <v>1</v>
      </c>
      <c r="BE207" s="12">
        <v>9</v>
      </c>
      <c r="BF207" s="12">
        <f t="shared" si="50"/>
        <v>9</v>
      </c>
      <c r="BG207" s="12">
        <f t="shared" si="59"/>
        <v>27</v>
      </c>
      <c r="BH207" s="67">
        <v>0</v>
      </c>
      <c r="BI207" s="67">
        <v>1</v>
      </c>
      <c r="BJ207" s="67">
        <v>0</v>
      </c>
      <c r="BK207" s="67">
        <v>0</v>
      </c>
      <c r="BL207" s="67">
        <v>0</v>
      </c>
      <c r="BM207" s="67">
        <v>0</v>
      </c>
      <c r="BN207" s="67">
        <v>1</v>
      </c>
      <c r="BO207" s="67">
        <v>0</v>
      </c>
      <c r="BP207" s="67">
        <v>0</v>
      </c>
      <c r="BQ207" s="67">
        <v>0</v>
      </c>
      <c r="BR207" s="67">
        <v>9</v>
      </c>
      <c r="BS207" s="67">
        <v>0</v>
      </c>
      <c r="BT207" s="67">
        <v>0</v>
      </c>
      <c r="BU207" s="70">
        <v>10</v>
      </c>
      <c r="BV207" s="29">
        <f t="shared" si="51"/>
        <v>0.24130822771389621</v>
      </c>
      <c r="BW207">
        <f t="shared" si="52"/>
        <v>1.3667838287404401</v>
      </c>
      <c r="BX207">
        <f t="shared" si="53"/>
        <v>0.1644554352117841</v>
      </c>
      <c r="BY207">
        <f t="shared" si="54"/>
        <v>0.48834154112957734</v>
      </c>
      <c r="BZ207">
        <f t="shared" si="55"/>
        <v>2.1965931630549322</v>
      </c>
      <c r="CA207">
        <f t="shared" si="56"/>
        <v>0.86737663580280233</v>
      </c>
      <c r="CB207">
        <f t="shared" si="57"/>
        <v>0.36858985273641137</v>
      </c>
    </row>
    <row r="208" spans="1:80" x14ac:dyDescent="0.45">
      <c r="A208" s="11">
        <v>22</v>
      </c>
      <c r="B208" s="12">
        <f t="shared" si="45"/>
        <v>22</v>
      </c>
      <c r="C208" s="12" t="s">
        <v>59</v>
      </c>
      <c r="D208" s="12">
        <v>0</v>
      </c>
      <c r="E208" s="12" t="s">
        <v>53</v>
      </c>
      <c r="F208" s="12">
        <v>0</v>
      </c>
      <c r="G208" s="12">
        <v>1</v>
      </c>
      <c r="H208" s="12" t="s">
        <v>61</v>
      </c>
      <c r="I208" s="12">
        <v>1</v>
      </c>
      <c r="J208" s="12">
        <v>0</v>
      </c>
      <c r="K208" s="12">
        <v>5</v>
      </c>
      <c r="L208" s="12">
        <f t="shared" si="46"/>
        <v>5</v>
      </c>
      <c r="M208" s="12">
        <v>3</v>
      </c>
      <c r="N208" s="12" t="s">
        <v>55</v>
      </c>
      <c r="O208" s="12">
        <v>1</v>
      </c>
      <c r="P208" s="12">
        <v>0</v>
      </c>
      <c r="Q208" s="12">
        <v>0</v>
      </c>
      <c r="R208" s="12">
        <v>0</v>
      </c>
      <c r="S208" s="12">
        <v>0</v>
      </c>
      <c r="T208" s="12">
        <v>4</v>
      </c>
      <c r="U208" s="12" t="s">
        <v>62</v>
      </c>
      <c r="V208" s="12">
        <v>0</v>
      </c>
      <c r="W208" s="12">
        <v>60</v>
      </c>
      <c r="X208" s="12">
        <v>4</v>
      </c>
      <c r="Y208" s="12">
        <v>1</v>
      </c>
      <c r="Z208" s="12" t="s">
        <v>63</v>
      </c>
      <c r="AA208" s="12">
        <v>0</v>
      </c>
      <c r="AB208" s="12">
        <v>0</v>
      </c>
      <c r="AC208" s="12">
        <v>0</v>
      </c>
      <c r="AD208" s="12">
        <v>0</v>
      </c>
      <c r="AE208" s="12">
        <v>0</v>
      </c>
      <c r="AF208" s="12">
        <v>0</v>
      </c>
      <c r="AG208" s="12">
        <v>0</v>
      </c>
      <c r="AH208" s="12">
        <v>1</v>
      </c>
      <c r="AI208" s="12">
        <v>2</v>
      </c>
      <c r="AJ208" s="12" t="s">
        <v>78</v>
      </c>
      <c r="AK208" s="12">
        <v>0</v>
      </c>
      <c r="AL208" s="12">
        <v>0</v>
      </c>
      <c r="AM208" s="12">
        <v>2328</v>
      </c>
      <c r="AN208" s="12">
        <f t="shared" si="47"/>
        <v>2328</v>
      </c>
      <c r="AO208" s="12">
        <v>1</v>
      </c>
      <c r="AP208" s="12" t="s">
        <v>52</v>
      </c>
      <c r="AQ208" s="12">
        <v>1</v>
      </c>
      <c r="AR208" s="12">
        <v>16</v>
      </c>
      <c r="AS208" s="12">
        <v>3</v>
      </c>
      <c r="AT208" s="12">
        <v>1</v>
      </c>
      <c r="AU208" s="12">
        <v>1</v>
      </c>
      <c r="AV208" s="12">
        <v>4</v>
      </c>
      <c r="AW208" s="12">
        <f t="shared" si="48"/>
        <v>4</v>
      </c>
      <c r="AX208" s="12">
        <v>2</v>
      </c>
      <c r="AY208" s="12">
        <v>2</v>
      </c>
      <c r="AZ208" s="12">
        <v>4</v>
      </c>
      <c r="BA208" s="12">
        <f t="shared" si="49"/>
        <v>4</v>
      </c>
      <c r="BB208" s="12">
        <v>2</v>
      </c>
      <c r="BC208" s="12">
        <v>2</v>
      </c>
      <c r="BD208" s="12">
        <f t="shared" si="58"/>
        <v>2</v>
      </c>
      <c r="BE208" s="12">
        <v>2</v>
      </c>
      <c r="BF208" s="12">
        <f t="shared" si="50"/>
        <v>2</v>
      </c>
      <c r="BG208" s="12">
        <f t="shared" si="59"/>
        <v>2</v>
      </c>
      <c r="BH208" s="67">
        <v>1</v>
      </c>
      <c r="BI208" s="67">
        <v>0</v>
      </c>
      <c r="BJ208" s="67">
        <v>0</v>
      </c>
      <c r="BK208" s="67">
        <v>0</v>
      </c>
      <c r="BL208" s="67">
        <v>0</v>
      </c>
      <c r="BM208" s="67">
        <v>1</v>
      </c>
      <c r="BN208" s="67">
        <v>0</v>
      </c>
      <c r="BO208" s="67">
        <v>0</v>
      </c>
      <c r="BP208" s="67">
        <v>0</v>
      </c>
      <c r="BQ208" s="67">
        <v>2</v>
      </c>
      <c r="BR208" s="67">
        <v>0</v>
      </c>
      <c r="BS208" s="67">
        <v>0</v>
      </c>
      <c r="BT208" s="67">
        <v>4</v>
      </c>
      <c r="BU208" s="70">
        <v>0</v>
      </c>
      <c r="BV208" s="29">
        <f t="shared" si="51"/>
        <v>0.88678199160735749</v>
      </c>
      <c r="BW208">
        <f t="shared" si="52"/>
        <v>0.59502473559756086</v>
      </c>
      <c r="BX208">
        <f t="shared" si="53"/>
        <v>0.93558618405172878</v>
      </c>
      <c r="BY208">
        <f t="shared" si="54"/>
        <v>0.49100643357776058</v>
      </c>
      <c r="BZ208">
        <f t="shared" si="55"/>
        <v>0.51715642219916513</v>
      </c>
      <c r="CA208">
        <f t="shared" si="56"/>
        <v>1.6336288320949415</v>
      </c>
      <c r="CB208">
        <f t="shared" si="57"/>
        <v>5.8265062631872602E-2</v>
      </c>
    </row>
    <row r="209" spans="1:80" x14ac:dyDescent="0.45">
      <c r="A209" s="11">
        <v>36</v>
      </c>
      <c r="B209" s="12">
        <f t="shared" si="45"/>
        <v>36</v>
      </c>
      <c r="C209" s="12" t="s">
        <v>59</v>
      </c>
      <c r="D209" s="12">
        <v>0</v>
      </c>
      <c r="E209" s="12" t="s">
        <v>60</v>
      </c>
      <c r="F209" s="12">
        <v>1</v>
      </c>
      <c r="G209" s="12">
        <v>0</v>
      </c>
      <c r="H209" s="12" t="s">
        <v>61</v>
      </c>
      <c r="I209" s="12">
        <v>1</v>
      </c>
      <c r="J209" s="12">
        <v>0</v>
      </c>
      <c r="K209" s="12">
        <v>18</v>
      </c>
      <c r="L209" s="12">
        <f t="shared" si="46"/>
        <v>18</v>
      </c>
      <c r="M209" s="12">
        <v>1</v>
      </c>
      <c r="N209" s="12" t="s">
        <v>70</v>
      </c>
      <c r="O209" s="12">
        <v>0</v>
      </c>
      <c r="P209" s="12">
        <v>0</v>
      </c>
      <c r="Q209" s="12">
        <v>1</v>
      </c>
      <c r="R209" s="12">
        <v>0</v>
      </c>
      <c r="S209" s="12">
        <v>0</v>
      </c>
      <c r="T209" s="12">
        <v>2</v>
      </c>
      <c r="U209" s="12" t="s">
        <v>19</v>
      </c>
      <c r="V209" s="12">
        <v>1</v>
      </c>
      <c r="W209" s="12">
        <v>73</v>
      </c>
      <c r="X209" s="12">
        <v>3</v>
      </c>
      <c r="Y209" s="12">
        <v>1</v>
      </c>
      <c r="Z209" s="12" t="s">
        <v>67</v>
      </c>
      <c r="AA209" s="12">
        <v>0</v>
      </c>
      <c r="AB209" s="12">
        <v>0</v>
      </c>
      <c r="AC209" s="12">
        <v>1</v>
      </c>
      <c r="AD209" s="12">
        <v>0</v>
      </c>
      <c r="AE209" s="12">
        <v>0</v>
      </c>
      <c r="AF209" s="12">
        <v>0</v>
      </c>
      <c r="AG209" s="12">
        <v>0</v>
      </c>
      <c r="AH209" s="12">
        <v>0</v>
      </c>
      <c r="AI209" s="12">
        <v>4</v>
      </c>
      <c r="AJ209" s="12" t="s">
        <v>57</v>
      </c>
      <c r="AK209" s="12">
        <v>1</v>
      </c>
      <c r="AL209" s="12">
        <v>0</v>
      </c>
      <c r="AM209" s="12">
        <v>2153</v>
      </c>
      <c r="AN209" s="12">
        <f t="shared" si="47"/>
        <v>2153</v>
      </c>
      <c r="AO209" s="12">
        <v>1</v>
      </c>
      <c r="AP209" s="12" t="s">
        <v>59</v>
      </c>
      <c r="AQ209" s="12">
        <v>0</v>
      </c>
      <c r="AR209" s="12">
        <v>13</v>
      </c>
      <c r="AS209" s="12">
        <v>3</v>
      </c>
      <c r="AT209" s="12">
        <v>1</v>
      </c>
      <c r="AU209" s="12">
        <v>0</v>
      </c>
      <c r="AV209" s="12">
        <v>8</v>
      </c>
      <c r="AW209" s="12">
        <f t="shared" si="48"/>
        <v>8</v>
      </c>
      <c r="AX209" s="12">
        <v>2</v>
      </c>
      <c r="AY209" s="12">
        <v>3</v>
      </c>
      <c r="AZ209" s="12">
        <v>8</v>
      </c>
      <c r="BA209" s="12">
        <f t="shared" si="49"/>
        <v>8</v>
      </c>
      <c r="BB209" s="12">
        <v>1</v>
      </c>
      <c r="BC209" s="12">
        <v>1</v>
      </c>
      <c r="BD209" s="12">
        <f t="shared" si="58"/>
        <v>1</v>
      </c>
      <c r="BE209" s="12">
        <v>7</v>
      </c>
      <c r="BF209" s="12">
        <f t="shared" si="50"/>
        <v>7</v>
      </c>
      <c r="BG209" s="12">
        <f t="shared" si="59"/>
        <v>7</v>
      </c>
      <c r="BH209" s="67">
        <v>0</v>
      </c>
      <c r="BI209" s="67">
        <v>0</v>
      </c>
      <c r="BJ209" s="67">
        <v>1</v>
      </c>
      <c r="BK209" s="67">
        <v>0</v>
      </c>
      <c r="BL209" s="67">
        <v>1</v>
      </c>
      <c r="BM209" s="67">
        <v>0</v>
      </c>
      <c r="BN209" s="67">
        <v>0</v>
      </c>
      <c r="BO209" s="67">
        <v>0</v>
      </c>
      <c r="BP209" s="67">
        <v>0</v>
      </c>
      <c r="BQ209" s="67">
        <v>7</v>
      </c>
      <c r="BR209" s="67">
        <v>0</v>
      </c>
      <c r="BS209" s="67">
        <v>0</v>
      </c>
      <c r="BT209" s="67">
        <v>8</v>
      </c>
      <c r="BU209" s="70">
        <v>0</v>
      </c>
      <c r="BV209" s="29">
        <f t="shared" si="51"/>
        <v>0.92395310597023061</v>
      </c>
      <c r="BW209">
        <f t="shared" si="52"/>
        <v>0.80626709607243985</v>
      </c>
      <c r="BX209">
        <f t="shared" si="53"/>
        <v>0.42149901815843233</v>
      </c>
      <c r="BY209">
        <f t="shared" si="54"/>
        <v>0.16189221622713135</v>
      </c>
      <c r="BZ209">
        <f t="shared" si="55"/>
        <v>1.0864228781782561</v>
      </c>
      <c r="CA209">
        <f t="shared" si="56"/>
        <v>0.10112443951066327</v>
      </c>
      <c r="CB209">
        <f t="shared" si="57"/>
        <v>0.36858985273641137</v>
      </c>
    </row>
    <row r="210" spans="1:80" x14ac:dyDescent="0.45">
      <c r="A210" s="11">
        <v>40</v>
      </c>
      <c r="B210" s="12">
        <f t="shared" si="45"/>
        <v>40</v>
      </c>
      <c r="C210" s="12" t="s">
        <v>59</v>
      </c>
      <c r="D210" s="12">
        <v>0</v>
      </c>
      <c r="E210" s="12" t="s">
        <v>86</v>
      </c>
      <c r="F210" s="12">
        <v>0</v>
      </c>
      <c r="G210" s="12">
        <v>0</v>
      </c>
      <c r="H210" s="12" t="s">
        <v>61</v>
      </c>
      <c r="I210" s="12">
        <v>1</v>
      </c>
      <c r="J210" s="12">
        <v>0</v>
      </c>
      <c r="K210" s="12">
        <v>9</v>
      </c>
      <c r="L210" s="12">
        <f t="shared" si="46"/>
        <v>9</v>
      </c>
      <c r="M210" s="12">
        <v>5</v>
      </c>
      <c r="N210" s="12" t="s">
        <v>55</v>
      </c>
      <c r="O210" s="12">
        <v>1</v>
      </c>
      <c r="P210" s="12">
        <v>0</v>
      </c>
      <c r="Q210" s="12">
        <v>0</v>
      </c>
      <c r="R210" s="12">
        <v>0</v>
      </c>
      <c r="S210" s="12">
        <v>0</v>
      </c>
      <c r="T210" s="12">
        <v>4</v>
      </c>
      <c r="U210" s="12" t="s">
        <v>62</v>
      </c>
      <c r="V210" s="12">
        <v>0</v>
      </c>
      <c r="W210" s="12">
        <v>63</v>
      </c>
      <c r="X210" s="12">
        <v>2</v>
      </c>
      <c r="Y210" s="12">
        <v>2</v>
      </c>
      <c r="Z210" s="12" t="s">
        <v>85</v>
      </c>
      <c r="AA210" s="12">
        <v>1</v>
      </c>
      <c r="AB210" s="12">
        <v>0</v>
      </c>
      <c r="AC210" s="12">
        <v>0</v>
      </c>
      <c r="AD210" s="12">
        <v>0</v>
      </c>
      <c r="AE210" s="12">
        <v>0</v>
      </c>
      <c r="AF210" s="12">
        <v>0</v>
      </c>
      <c r="AG210" s="12">
        <v>0</v>
      </c>
      <c r="AH210" s="12">
        <v>0</v>
      </c>
      <c r="AI210" s="12">
        <v>4</v>
      </c>
      <c r="AJ210" s="12" t="s">
        <v>64</v>
      </c>
      <c r="AK210" s="12">
        <v>0</v>
      </c>
      <c r="AL210" s="12">
        <v>1</v>
      </c>
      <c r="AM210" s="12">
        <v>4876</v>
      </c>
      <c r="AN210" s="12">
        <f t="shared" si="47"/>
        <v>4876</v>
      </c>
      <c r="AO210" s="12">
        <v>9</v>
      </c>
      <c r="AP210" s="12" t="s">
        <v>59</v>
      </c>
      <c r="AQ210" s="12">
        <v>0</v>
      </c>
      <c r="AR210" s="12">
        <v>14</v>
      </c>
      <c r="AS210" s="12">
        <v>3</v>
      </c>
      <c r="AT210" s="12">
        <v>4</v>
      </c>
      <c r="AU210" s="12">
        <v>1</v>
      </c>
      <c r="AV210" s="12">
        <v>5</v>
      </c>
      <c r="AW210" s="12">
        <f t="shared" si="48"/>
        <v>5</v>
      </c>
      <c r="AX210" s="12">
        <v>5</v>
      </c>
      <c r="AY210" s="12">
        <v>1</v>
      </c>
      <c r="AZ210" s="12">
        <v>3</v>
      </c>
      <c r="BA210" s="12">
        <f t="shared" si="49"/>
        <v>3</v>
      </c>
      <c r="BB210" s="12">
        <v>2</v>
      </c>
      <c r="BC210" s="12">
        <v>0</v>
      </c>
      <c r="BD210" s="12">
        <f t="shared" si="58"/>
        <v>0</v>
      </c>
      <c r="BE210" s="12">
        <v>2</v>
      </c>
      <c r="BF210" s="12">
        <f t="shared" si="50"/>
        <v>2</v>
      </c>
      <c r="BG210" s="12">
        <f t="shared" si="59"/>
        <v>4</v>
      </c>
      <c r="BH210" s="67">
        <v>0</v>
      </c>
      <c r="BI210" s="67">
        <v>1</v>
      </c>
      <c r="BJ210" s="67">
        <v>0</v>
      </c>
      <c r="BK210" s="67">
        <v>0</v>
      </c>
      <c r="BL210" s="67">
        <v>0</v>
      </c>
      <c r="BM210" s="67">
        <v>0</v>
      </c>
      <c r="BN210" s="67">
        <v>1</v>
      </c>
      <c r="BO210" s="67">
        <v>0</v>
      </c>
      <c r="BP210" s="67">
        <v>0</v>
      </c>
      <c r="BQ210" s="67">
        <v>2</v>
      </c>
      <c r="BR210" s="67">
        <v>0</v>
      </c>
      <c r="BS210" s="67">
        <v>0</v>
      </c>
      <c r="BT210" s="67">
        <v>5</v>
      </c>
      <c r="BU210" s="70">
        <v>0</v>
      </c>
      <c r="BV210" s="29">
        <f t="shared" si="51"/>
        <v>0.34557056648392415</v>
      </c>
      <c r="BW210">
        <f t="shared" si="52"/>
        <v>0.59502473559756086</v>
      </c>
      <c r="BX210">
        <f t="shared" si="53"/>
        <v>0.80706439257840468</v>
      </c>
      <c r="BY210">
        <f t="shared" si="54"/>
        <v>0.65423109602898355</v>
      </c>
      <c r="BZ210">
        <f t="shared" si="55"/>
        <v>2.3747406698420157E-2</v>
      </c>
      <c r="CA210">
        <f t="shared" si="56"/>
        <v>0.33673395837055903</v>
      </c>
      <c r="CB210">
        <f t="shared" si="57"/>
        <v>0.67891464284095016</v>
      </c>
    </row>
    <row r="211" spans="1:80" x14ac:dyDescent="0.45">
      <c r="A211" s="11">
        <v>46</v>
      </c>
      <c r="B211" s="12">
        <f t="shared" si="45"/>
        <v>46</v>
      </c>
      <c r="C211" s="12" t="s">
        <v>59</v>
      </c>
      <c r="D211" s="12">
        <v>0</v>
      </c>
      <c r="E211" s="12" t="s">
        <v>53</v>
      </c>
      <c r="F211" s="12">
        <v>0</v>
      </c>
      <c r="G211" s="12">
        <v>1</v>
      </c>
      <c r="H211" s="12" t="s">
        <v>61</v>
      </c>
      <c r="I211" s="12">
        <v>1</v>
      </c>
      <c r="J211" s="12">
        <v>0</v>
      </c>
      <c r="K211" s="12">
        <v>1</v>
      </c>
      <c r="L211" s="12">
        <f t="shared" si="46"/>
        <v>1</v>
      </c>
      <c r="M211" s="12">
        <v>4</v>
      </c>
      <c r="N211" s="12" t="s">
        <v>70</v>
      </c>
      <c r="O211" s="12">
        <v>0</v>
      </c>
      <c r="P211" s="12">
        <v>0</v>
      </c>
      <c r="Q211" s="12">
        <v>1</v>
      </c>
      <c r="R211" s="12">
        <v>0</v>
      </c>
      <c r="S211" s="12">
        <v>0</v>
      </c>
      <c r="T211" s="12">
        <v>4</v>
      </c>
      <c r="U211" s="12" t="s">
        <v>62</v>
      </c>
      <c r="V211" s="12">
        <v>0</v>
      </c>
      <c r="W211" s="12">
        <v>97</v>
      </c>
      <c r="X211" s="12">
        <v>3</v>
      </c>
      <c r="Y211" s="12">
        <v>3</v>
      </c>
      <c r="Z211" s="12" t="s">
        <v>85</v>
      </c>
      <c r="AA211" s="12">
        <v>1</v>
      </c>
      <c r="AB211" s="12">
        <v>0</v>
      </c>
      <c r="AC211" s="12">
        <v>0</v>
      </c>
      <c r="AD211" s="12">
        <v>0</v>
      </c>
      <c r="AE211" s="12">
        <v>0</v>
      </c>
      <c r="AF211" s="12">
        <v>0</v>
      </c>
      <c r="AG211" s="12">
        <v>0</v>
      </c>
      <c r="AH211" s="12">
        <v>0</v>
      </c>
      <c r="AI211" s="12">
        <v>1</v>
      </c>
      <c r="AJ211" s="12" t="s">
        <v>78</v>
      </c>
      <c r="AK211" s="12">
        <v>0</v>
      </c>
      <c r="AL211" s="12">
        <v>0</v>
      </c>
      <c r="AM211" s="12">
        <v>9396</v>
      </c>
      <c r="AN211" s="12">
        <f t="shared" si="47"/>
        <v>9396</v>
      </c>
      <c r="AO211" s="12">
        <v>7</v>
      </c>
      <c r="AP211" s="12" t="s">
        <v>59</v>
      </c>
      <c r="AQ211" s="12">
        <v>0</v>
      </c>
      <c r="AR211" s="12">
        <v>16</v>
      </c>
      <c r="AS211" s="12">
        <v>3</v>
      </c>
      <c r="AT211" s="12">
        <v>3</v>
      </c>
      <c r="AU211" s="12">
        <v>1</v>
      </c>
      <c r="AV211" s="12">
        <v>17</v>
      </c>
      <c r="AW211" s="12">
        <f t="shared" si="48"/>
        <v>17</v>
      </c>
      <c r="AX211" s="12">
        <v>3</v>
      </c>
      <c r="AY211" s="12">
        <v>3</v>
      </c>
      <c r="AZ211" s="12">
        <v>4</v>
      </c>
      <c r="BA211" s="12">
        <f t="shared" si="49"/>
        <v>4</v>
      </c>
      <c r="BB211" s="12">
        <v>2</v>
      </c>
      <c r="BC211" s="12">
        <v>0</v>
      </c>
      <c r="BD211" s="12">
        <f t="shared" si="58"/>
        <v>0</v>
      </c>
      <c r="BE211" s="12">
        <v>3</v>
      </c>
      <c r="BF211" s="12">
        <f t="shared" si="50"/>
        <v>3</v>
      </c>
      <c r="BG211" s="12">
        <f t="shared" si="59"/>
        <v>9</v>
      </c>
      <c r="BH211" s="67">
        <v>1</v>
      </c>
      <c r="BI211" s="67">
        <v>0</v>
      </c>
      <c r="BJ211" s="67">
        <v>0</v>
      </c>
      <c r="BK211" s="67">
        <v>0</v>
      </c>
      <c r="BL211" s="67">
        <v>1</v>
      </c>
      <c r="BM211" s="67">
        <v>0</v>
      </c>
      <c r="BN211" s="67">
        <v>0</v>
      </c>
      <c r="BO211" s="67">
        <v>0</v>
      </c>
      <c r="BP211" s="67">
        <v>0</v>
      </c>
      <c r="BQ211" s="67">
        <v>3</v>
      </c>
      <c r="BR211" s="67">
        <v>0</v>
      </c>
      <c r="BS211" s="67">
        <v>0</v>
      </c>
      <c r="BT211" s="67">
        <v>17</v>
      </c>
      <c r="BU211" s="70">
        <v>0</v>
      </c>
      <c r="BV211" s="29">
        <f t="shared" si="51"/>
        <v>0.61450621591714283</v>
      </c>
      <c r="BW211">
        <f t="shared" si="52"/>
        <v>0.31476636926356072</v>
      </c>
      <c r="BX211">
        <f t="shared" si="53"/>
        <v>0.73519710510148462</v>
      </c>
      <c r="BY211">
        <f t="shared" si="54"/>
        <v>0.49100643357776058</v>
      </c>
      <c r="BZ211">
        <f t="shared" si="55"/>
        <v>1.01056543769991</v>
      </c>
      <c r="CA211">
        <f t="shared" si="56"/>
        <v>0.99352155519239249</v>
      </c>
      <c r="CB211">
        <f t="shared" si="57"/>
        <v>0.67891464284095016</v>
      </c>
    </row>
    <row r="212" spans="1:80" x14ac:dyDescent="0.45">
      <c r="A212" s="11">
        <v>32</v>
      </c>
      <c r="B212" s="12">
        <f t="shared" si="45"/>
        <v>32</v>
      </c>
      <c r="C212" s="12" t="s">
        <v>52</v>
      </c>
      <c r="D212" s="12">
        <v>1</v>
      </c>
      <c r="E212" s="12" t="s">
        <v>53</v>
      </c>
      <c r="F212" s="12">
        <v>0</v>
      </c>
      <c r="G212" s="12">
        <v>1</v>
      </c>
      <c r="H212" s="12" t="s">
        <v>54</v>
      </c>
      <c r="I212" s="12">
        <v>0</v>
      </c>
      <c r="J212" s="12">
        <v>1</v>
      </c>
      <c r="K212" s="12">
        <v>4</v>
      </c>
      <c r="L212" s="12">
        <f t="shared" si="46"/>
        <v>4</v>
      </c>
      <c r="M212" s="12">
        <v>4</v>
      </c>
      <c r="N212" s="12" t="s">
        <v>70</v>
      </c>
      <c r="O212" s="12">
        <v>0</v>
      </c>
      <c r="P212" s="12">
        <v>0</v>
      </c>
      <c r="Q212" s="12">
        <v>1</v>
      </c>
      <c r="R212" s="12">
        <v>0</v>
      </c>
      <c r="S212" s="12">
        <v>0</v>
      </c>
      <c r="T212" s="12">
        <v>4</v>
      </c>
      <c r="U212" s="12" t="s">
        <v>62</v>
      </c>
      <c r="V212" s="12">
        <v>0</v>
      </c>
      <c r="W212" s="12">
        <v>32</v>
      </c>
      <c r="X212" s="12">
        <v>1</v>
      </c>
      <c r="Y212" s="12">
        <v>3</v>
      </c>
      <c r="Z212" s="12" t="s">
        <v>56</v>
      </c>
      <c r="AA212" s="12">
        <v>0</v>
      </c>
      <c r="AB212" s="12">
        <v>1</v>
      </c>
      <c r="AC212" s="12">
        <v>0</v>
      </c>
      <c r="AD212" s="12">
        <v>0</v>
      </c>
      <c r="AE212" s="12">
        <v>0</v>
      </c>
      <c r="AF212" s="12">
        <v>0</v>
      </c>
      <c r="AG212" s="12">
        <v>0</v>
      </c>
      <c r="AH212" s="12">
        <v>0</v>
      </c>
      <c r="AI212" s="12">
        <v>4</v>
      </c>
      <c r="AJ212" s="12" t="s">
        <v>64</v>
      </c>
      <c r="AK212" s="12">
        <v>0</v>
      </c>
      <c r="AL212" s="12">
        <v>1</v>
      </c>
      <c r="AM212" s="12">
        <v>10400</v>
      </c>
      <c r="AN212" s="12">
        <f t="shared" si="47"/>
        <v>10400</v>
      </c>
      <c r="AO212" s="12">
        <v>1</v>
      </c>
      <c r="AP212" s="12" t="s">
        <v>59</v>
      </c>
      <c r="AQ212" s="12">
        <v>0</v>
      </c>
      <c r="AR212" s="12">
        <v>11</v>
      </c>
      <c r="AS212" s="12">
        <v>3</v>
      </c>
      <c r="AT212" s="12">
        <v>3</v>
      </c>
      <c r="AU212" s="12">
        <v>0</v>
      </c>
      <c r="AV212" s="12">
        <v>14</v>
      </c>
      <c r="AW212" s="12">
        <f t="shared" si="48"/>
        <v>14</v>
      </c>
      <c r="AX212" s="12">
        <v>2</v>
      </c>
      <c r="AY212" s="12">
        <v>2</v>
      </c>
      <c r="AZ212" s="12">
        <v>14</v>
      </c>
      <c r="BA212" s="12">
        <f t="shared" si="49"/>
        <v>14</v>
      </c>
      <c r="BB212" s="12">
        <v>8</v>
      </c>
      <c r="BC212" s="12">
        <v>9</v>
      </c>
      <c r="BD212" s="12">
        <f t="shared" si="58"/>
        <v>9</v>
      </c>
      <c r="BE212" s="12">
        <v>8</v>
      </c>
      <c r="BF212" s="12">
        <f t="shared" si="50"/>
        <v>8</v>
      </c>
      <c r="BG212" s="12">
        <f t="shared" si="59"/>
        <v>24</v>
      </c>
      <c r="BH212" s="67">
        <v>0</v>
      </c>
      <c r="BI212" s="67">
        <v>1</v>
      </c>
      <c r="BJ212" s="67">
        <v>0</v>
      </c>
      <c r="BK212" s="67">
        <v>0</v>
      </c>
      <c r="BL212" s="67">
        <v>0</v>
      </c>
      <c r="BM212" s="67">
        <v>0</v>
      </c>
      <c r="BN212" s="67">
        <v>1</v>
      </c>
      <c r="BO212" s="67">
        <v>0</v>
      </c>
      <c r="BP212" s="67">
        <v>0</v>
      </c>
      <c r="BQ212" s="67">
        <v>0</v>
      </c>
      <c r="BR212" s="67">
        <v>8</v>
      </c>
      <c r="BS212" s="67">
        <v>0</v>
      </c>
      <c r="BT212" s="67">
        <v>0</v>
      </c>
      <c r="BU212" s="70">
        <v>14</v>
      </c>
      <c r="BV212" s="29">
        <f t="shared" si="51"/>
        <v>0.82776220917614085</v>
      </c>
      <c r="BW212">
        <f t="shared" si="52"/>
        <v>1.08652546240644</v>
      </c>
      <c r="BX212">
        <f t="shared" si="53"/>
        <v>0.34963173068151232</v>
      </c>
      <c r="BY212">
        <f t="shared" si="54"/>
        <v>1.1412401909344694</v>
      </c>
      <c r="BZ212">
        <f t="shared" si="55"/>
        <v>0.64050867607435136</v>
      </c>
      <c r="CA212">
        <f t="shared" si="56"/>
        <v>0.53898283739188557</v>
      </c>
      <c r="CB212">
        <f t="shared" si="57"/>
        <v>2.114008468099899</v>
      </c>
    </row>
    <row r="213" spans="1:80" x14ac:dyDescent="0.45">
      <c r="A213" s="11">
        <v>30</v>
      </c>
      <c r="B213" s="12">
        <f t="shared" si="45"/>
        <v>30</v>
      </c>
      <c r="C213" s="12" t="s">
        <v>59</v>
      </c>
      <c r="D213" s="12">
        <v>0</v>
      </c>
      <c r="E213" s="12" t="s">
        <v>86</v>
      </c>
      <c r="F213" s="12">
        <v>0</v>
      </c>
      <c r="G213" s="12">
        <v>0</v>
      </c>
      <c r="H213" s="12" t="s">
        <v>61</v>
      </c>
      <c r="I213" s="12">
        <v>1</v>
      </c>
      <c r="J213" s="12">
        <v>0</v>
      </c>
      <c r="K213" s="12">
        <v>1</v>
      </c>
      <c r="L213" s="12">
        <f t="shared" si="46"/>
        <v>1</v>
      </c>
      <c r="M213" s="12">
        <v>1</v>
      </c>
      <c r="N213" s="12" t="s">
        <v>55</v>
      </c>
      <c r="O213" s="12">
        <v>1</v>
      </c>
      <c r="P213" s="12">
        <v>0</v>
      </c>
      <c r="Q213" s="12">
        <v>0</v>
      </c>
      <c r="R213" s="12">
        <v>0</v>
      </c>
      <c r="S213" s="12">
        <v>0</v>
      </c>
      <c r="T213" s="12">
        <v>3</v>
      </c>
      <c r="U213" s="12" t="s">
        <v>62</v>
      </c>
      <c r="V213" s="12">
        <v>0</v>
      </c>
      <c r="W213" s="12">
        <v>88</v>
      </c>
      <c r="X213" s="12">
        <v>2</v>
      </c>
      <c r="Y213" s="12">
        <v>3</v>
      </c>
      <c r="Z213" s="12" t="s">
        <v>83</v>
      </c>
      <c r="AA213" s="12">
        <v>0</v>
      </c>
      <c r="AB213" s="12">
        <v>0</v>
      </c>
      <c r="AC213" s="12">
        <v>0</v>
      </c>
      <c r="AD213" s="12">
        <v>0</v>
      </c>
      <c r="AE213" s="12">
        <v>1</v>
      </c>
      <c r="AF213" s="12">
        <v>1</v>
      </c>
      <c r="AG213" s="12">
        <v>0</v>
      </c>
      <c r="AH213" s="12">
        <v>0</v>
      </c>
      <c r="AI213" s="12">
        <v>3</v>
      </c>
      <c r="AJ213" s="12" t="s">
        <v>57</v>
      </c>
      <c r="AK213" s="12">
        <v>1</v>
      </c>
      <c r="AL213" s="12">
        <v>0</v>
      </c>
      <c r="AM213" s="12">
        <v>8474</v>
      </c>
      <c r="AN213" s="12">
        <f t="shared" si="47"/>
        <v>8474</v>
      </c>
      <c r="AO213" s="12">
        <v>1</v>
      </c>
      <c r="AP213" s="12" t="s">
        <v>59</v>
      </c>
      <c r="AQ213" s="12">
        <v>0</v>
      </c>
      <c r="AR213" s="12">
        <v>22</v>
      </c>
      <c r="AS213" s="12">
        <v>4</v>
      </c>
      <c r="AT213" s="12">
        <v>3</v>
      </c>
      <c r="AU213" s="12">
        <v>0</v>
      </c>
      <c r="AV213" s="12">
        <v>12</v>
      </c>
      <c r="AW213" s="12">
        <f t="shared" si="48"/>
        <v>12</v>
      </c>
      <c r="AX213" s="12">
        <v>2</v>
      </c>
      <c r="AY213" s="12">
        <v>3</v>
      </c>
      <c r="AZ213" s="12">
        <v>11</v>
      </c>
      <c r="BA213" s="12">
        <f t="shared" si="49"/>
        <v>11</v>
      </c>
      <c r="BB213" s="12">
        <v>8</v>
      </c>
      <c r="BC213" s="12">
        <v>5</v>
      </c>
      <c r="BD213" s="12">
        <f t="shared" si="58"/>
        <v>5</v>
      </c>
      <c r="BE213" s="12">
        <v>8</v>
      </c>
      <c r="BF213" s="12">
        <f t="shared" si="50"/>
        <v>8</v>
      </c>
      <c r="BG213" s="12">
        <f t="shared" si="59"/>
        <v>24</v>
      </c>
      <c r="BH213" s="67">
        <v>1</v>
      </c>
      <c r="BI213" s="67">
        <v>0</v>
      </c>
      <c r="BJ213" s="67">
        <v>0</v>
      </c>
      <c r="BK213" s="67">
        <v>0</v>
      </c>
      <c r="BL213" s="67">
        <v>1</v>
      </c>
      <c r="BM213" s="67">
        <v>0</v>
      </c>
      <c r="BN213" s="67">
        <v>0</v>
      </c>
      <c r="BO213" s="67">
        <v>0</v>
      </c>
      <c r="BP213" s="67">
        <v>0</v>
      </c>
      <c r="BQ213" s="67">
        <v>8</v>
      </c>
      <c r="BR213" s="67">
        <v>0</v>
      </c>
      <c r="BS213" s="67">
        <v>0</v>
      </c>
      <c r="BT213" s="67">
        <v>12</v>
      </c>
      <c r="BU213" s="70">
        <v>0</v>
      </c>
      <c r="BV213" s="29">
        <f t="shared" si="51"/>
        <v>0.41866754481674817</v>
      </c>
      <c r="BW213">
        <f t="shared" si="52"/>
        <v>1.08652546240644</v>
      </c>
      <c r="BX213">
        <f t="shared" si="53"/>
        <v>9.2588147734864096E-2</v>
      </c>
      <c r="BY213">
        <f t="shared" si="54"/>
        <v>0.65156620358080031</v>
      </c>
      <c r="BZ213">
        <f t="shared" si="55"/>
        <v>1.01056543769991</v>
      </c>
      <c r="CA213">
        <f t="shared" si="56"/>
        <v>0.75791203633249671</v>
      </c>
      <c r="CB213">
        <f t="shared" si="57"/>
        <v>0.87270930768174382</v>
      </c>
    </row>
    <row r="214" spans="1:80" x14ac:dyDescent="0.45">
      <c r="A214" s="11">
        <v>27</v>
      </c>
      <c r="B214" s="12">
        <f t="shared" si="45"/>
        <v>27</v>
      </c>
      <c r="C214" s="12" t="s">
        <v>59</v>
      </c>
      <c r="D214" s="12">
        <v>0</v>
      </c>
      <c r="E214" s="12" t="s">
        <v>60</v>
      </c>
      <c r="F214" s="12">
        <v>1</v>
      </c>
      <c r="G214" s="12">
        <v>0</v>
      </c>
      <c r="H214" s="12" t="s">
        <v>54</v>
      </c>
      <c r="I214" s="12">
        <v>0</v>
      </c>
      <c r="J214" s="12">
        <v>1</v>
      </c>
      <c r="K214" s="12">
        <v>20</v>
      </c>
      <c r="L214" s="12">
        <f t="shared" si="46"/>
        <v>20</v>
      </c>
      <c r="M214" s="12">
        <v>3</v>
      </c>
      <c r="N214" s="12" t="s">
        <v>55</v>
      </c>
      <c r="O214" s="12">
        <v>1</v>
      </c>
      <c r="P214" s="12">
        <v>0</v>
      </c>
      <c r="Q214" s="12">
        <v>0</v>
      </c>
      <c r="R214" s="12">
        <v>0</v>
      </c>
      <c r="S214" s="12">
        <v>0</v>
      </c>
      <c r="T214" s="12">
        <v>4</v>
      </c>
      <c r="U214" s="12" t="s">
        <v>19</v>
      </c>
      <c r="V214" s="12">
        <v>1</v>
      </c>
      <c r="W214" s="12">
        <v>90</v>
      </c>
      <c r="X214" s="12">
        <v>3</v>
      </c>
      <c r="Y214" s="12">
        <v>2</v>
      </c>
      <c r="Z214" s="12" t="s">
        <v>56</v>
      </c>
      <c r="AA214" s="12">
        <v>0</v>
      </c>
      <c r="AB214" s="12">
        <v>1</v>
      </c>
      <c r="AC214" s="12">
        <v>0</v>
      </c>
      <c r="AD214" s="12">
        <v>0</v>
      </c>
      <c r="AE214" s="12">
        <v>0</v>
      </c>
      <c r="AF214" s="12">
        <v>0</v>
      </c>
      <c r="AG214" s="12">
        <v>0</v>
      </c>
      <c r="AH214" s="12">
        <v>0</v>
      </c>
      <c r="AI214" s="12">
        <v>3</v>
      </c>
      <c r="AJ214" s="12" t="s">
        <v>57</v>
      </c>
      <c r="AK214" s="12">
        <v>1</v>
      </c>
      <c r="AL214" s="12">
        <v>0</v>
      </c>
      <c r="AM214" s="12">
        <v>9981</v>
      </c>
      <c r="AN214" s="12">
        <f t="shared" si="47"/>
        <v>9981</v>
      </c>
      <c r="AO214" s="12">
        <v>1</v>
      </c>
      <c r="AP214" s="12" t="s">
        <v>59</v>
      </c>
      <c r="AQ214" s="12">
        <v>0</v>
      </c>
      <c r="AR214" s="12">
        <v>14</v>
      </c>
      <c r="AS214" s="12">
        <v>3</v>
      </c>
      <c r="AT214" s="12">
        <v>4</v>
      </c>
      <c r="AU214" s="12">
        <v>0</v>
      </c>
      <c r="AV214" s="12">
        <v>7</v>
      </c>
      <c r="AW214" s="12">
        <f t="shared" si="48"/>
        <v>7</v>
      </c>
      <c r="AX214" s="12">
        <v>2</v>
      </c>
      <c r="AY214" s="12">
        <v>3</v>
      </c>
      <c r="AZ214" s="12">
        <v>7</v>
      </c>
      <c r="BA214" s="12">
        <f t="shared" si="49"/>
        <v>7</v>
      </c>
      <c r="BB214" s="12">
        <v>7</v>
      </c>
      <c r="BC214" s="12">
        <v>0</v>
      </c>
      <c r="BD214" s="12">
        <f t="shared" si="58"/>
        <v>0</v>
      </c>
      <c r="BE214" s="12">
        <v>7</v>
      </c>
      <c r="BF214" s="12">
        <f t="shared" si="50"/>
        <v>7</v>
      </c>
      <c r="BG214" s="12">
        <f t="shared" si="59"/>
        <v>14</v>
      </c>
      <c r="BH214" s="67">
        <v>0</v>
      </c>
      <c r="BI214" s="67">
        <v>0</v>
      </c>
      <c r="BJ214" s="67">
        <v>1</v>
      </c>
      <c r="BK214" s="67">
        <v>0</v>
      </c>
      <c r="BL214" s="67">
        <v>1</v>
      </c>
      <c r="BM214" s="67">
        <v>0</v>
      </c>
      <c r="BN214" s="67">
        <v>0</v>
      </c>
      <c r="BO214" s="67">
        <v>0</v>
      </c>
      <c r="BP214" s="67">
        <v>0</v>
      </c>
      <c r="BQ214" s="67">
        <v>0</v>
      </c>
      <c r="BR214" s="67">
        <v>7</v>
      </c>
      <c r="BS214" s="67">
        <v>0</v>
      </c>
      <c r="BT214" s="67">
        <v>0</v>
      </c>
      <c r="BU214" s="70">
        <v>7</v>
      </c>
      <c r="BV214" s="29">
        <f t="shared" si="51"/>
        <v>0.73876394107303311</v>
      </c>
      <c r="BW214">
        <f t="shared" si="52"/>
        <v>0.80626709607243985</v>
      </c>
      <c r="BX214">
        <f t="shared" si="53"/>
        <v>0.55002080963175637</v>
      </c>
      <c r="BY214">
        <f t="shared" si="54"/>
        <v>1.3324462240916321E-3</v>
      </c>
      <c r="BZ214">
        <f t="shared" si="55"/>
        <v>1.3331273859286286</v>
      </c>
      <c r="CA214">
        <f t="shared" si="56"/>
        <v>1.0863058347434136</v>
      </c>
      <c r="CB214">
        <f t="shared" si="57"/>
        <v>0.67891464284095016</v>
      </c>
    </row>
    <row r="215" spans="1:80" x14ac:dyDescent="0.45">
      <c r="A215" s="11">
        <v>51</v>
      </c>
      <c r="B215" s="12">
        <f t="shared" si="45"/>
        <v>51</v>
      </c>
      <c r="C215" s="12" t="s">
        <v>59</v>
      </c>
      <c r="D215" s="12">
        <v>0</v>
      </c>
      <c r="E215" s="12" t="s">
        <v>53</v>
      </c>
      <c r="F215" s="12">
        <v>0</v>
      </c>
      <c r="G215" s="12">
        <v>1</v>
      </c>
      <c r="H215" s="12" t="s">
        <v>61</v>
      </c>
      <c r="I215" s="12">
        <v>1</v>
      </c>
      <c r="J215" s="12">
        <v>0</v>
      </c>
      <c r="K215" s="12">
        <v>8</v>
      </c>
      <c r="L215" s="12">
        <f t="shared" si="46"/>
        <v>8</v>
      </c>
      <c r="M215" s="12">
        <v>4</v>
      </c>
      <c r="N215" s="12" t="s">
        <v>55</v>
      </c>
      <c r="O215" s="12">
        <v>1</v>
      </c>
      <c r="P215" s="12">
        <v>0</v>
      </c>
      <c r="Q215" s="12">
        <v>0</v>
      </c>
      <c r="R215" s="12">
        <v>0</v>
      </c>
      <c r="S215" s="12">
        <v>0</v>
      </c>
      <c r="T215" s="12">
        <v>2</v>
      </c>
      <c r="U215" s="12" t="s">
        <v>62</v>
      </c>
      <c r="V215" s="12">
        <v>0</v>
      </c>
      <c r="W215" s="12">
        <v>81</v>
      </c>
      <c r="X215" s="12">
        <v>2</v>
      </c>
      <c r="Y215" s="12">
        <v>3</v>
      </c>
      <c r="Z215" s="12" t="s">
        <v>89</v>
      </c>
      <c r="AA215" s="12">
        <v>0</v>
      </c>
      <c r="AB215" s="12">
        <v>0</v>
      </c>
      <c r="AC215" s="12">
        <v>0</v>
      </c>
      <c r="AD215" s="12">
        <v>0</v>
      </c>
      <c r="AE215" s="12">
        <v>0</v>
      </c>
      <c r="AF215" s="12">
        <v>0</v>
      </c>
      <c r="AG215" s="12">
        <v>0</v>
      </c>
      <c r="AH215" s="12">
        <v>0</v>
      </c>
      <c r="AI215" s="12">
        <v>2</v>
      </c>
      <c r="AJ215" s="12" t="s">
        <v>64</v>
      </c>
      <c r="AK215" s="12">
        <v>0</v>
      </c>
      <c r="AL215" s="12">
        <v>1</v>
      </c>
      <c r="AM215" s="12">
        <v>12490</v>
      </c>
      <c r="AN215" s="12">
        <f t="shared" si="47"/>
        <v>12490</v>
      </c>
      <c r="AO215" s="12">
        <v>5</v>
      </c>
      <c r="AP215" s="12" t="s">
        <v>59</v>
      </c>
      <c r="AQ215" s="12">
        <v>0</v>
      </c>
      <c r="AR215" s="12">
        <v>16</v>
      </c>
      <c r="AS215" s="12">
        <v>3</v>
      </c>
      <c r="AT215" s="12">
        <v>4</v>
      </c>
      <c r="AU215" s="12">
        <v>2</v>
      </c>
      <c r="AV215" s="12">
        <v>16</v>
      </c>
      <c r="AW215" s="12">
        <f t="shared" si="48"/>
        <v>16</v>
      </c>
      <c r="AX215" s="12">
        <v>5</v>
      </c>
      <c r="AY215" s="12">
        <v>1</v>
      </c>
      <c r="AZ215" s="12">
        <v>10</v>
      </c>
      <c r="BA215" s="12">
        <f t="shared" si="49"/>
        <v>10</v>
      </c>
      <c r="BB215" s="12">
        <v>9</v>
      </c>
      <c r="BC215" s="12">
        <v>4</v>
      </c>
      <c r="BD215" s="12">
        <f t="shared" si="58"/>
        <v>4</v>
      </c>
      <c r="BE215" s="12">
        <v>7</v>
      </c>
      <c r="BF215" s="12">
        <f t="shared" si="50"/>
        <v>7</v>
      </c>
      <c r="BG215" s="12">
        <f t="shared" si="59"/>
        <v>21</v>
      </c>
      <c r="BH215" s="67">
        <v>0</v>
      </c>
      <c r="BI215" s="67">
        <v>1</v>
      </c>
      <c r="BJ215" s="67">
        <v>0</v>
      </c>
      <c r="BK215" s="67">
        <v>0</v>
      </c>
      <c r="BL215" s="67">
        <v>0</v>
      </c>
      <c r="BM215" s="67">
        <v>0</v>
      </c>
      <c r="BN215" s="67">
        <v>1</v>
      </c>
      <c r="BO215" s="67">
        <v>0</v>
      </c>
      <c r="BP215" s="67">
        <v>0</v>
      </c>
      <c r="BQ215" s="67">
        <v>7</v>
      </c>
      <c r="BR215" s="67">
        <v>0</v>
      </c>
      <c r="BS215" s="67">
        <v>0</v>
      </c>
      <c r="BT215" s="67">
        <v>16</v>
      </c>
      <c r="BU215" s="70">
        <v>0</v>
      </c>
      <c r="BV215" s="29">
        <f t="shared" si="51"/>
        <v>1.2716915178527404</v>
      </c>
      <c r="BW215">
        <f t="shared" si="52"/>
        <v>0.80626709607243985</v>
      </c>
      <c r="BX215">
        <f t="shared" si="53"/>
        <v>0.60667531362816052</v>
      </c>
      <c r="BY215">
        <f t="shared" si="54"/>
        <v>0.48834154112957734</v>
      </c>
      <c r="BZ215">
        <f t="shared" si="55"/>
        <v>0.14709966057360641</v>
      </c>
      <c r="CA215">
        <f t="shared" si="56"/>
        <v>1.5408445525439205</v>
      </c>
      <c r="CB215">
        <f t="shared" si="57"/>
        <v>0.56238451757720498</v>
      </c>
    </row>
    <row r="216" spans="1:80" x14ac:dyDescent="0.45">
      <c r="A216" s="11">
        <v>30</v>
      </c>
      <c r="B216" s="12">
        <f t="shared" si="45"/>
        <v>30</v>
      </c>
      <c r="C216" s="12" t="s">
        <v>52</v>
      </c>
      <c r="D216" s="12">
        <v>1</v>
      </c>
      <c r="E216" s="12" t="s">
        <v>53</v>
      </c>
      <c r="F216" s="12">
        <v>0</v>
      </c>
      <c r="G216" s="12">
        <v>1</v>
      </c>
      <c r="H216" s="12" t="s">
        <v>61</v>
      </c>
      <c r="I216" s="12">
        <v>1</v>
      </c>
      <c r="J216" s="12">
        <v>0</v>
      </c>
      <c r="K216" s="12">
        <v>3</v>
      </c>
      <c r="L216" s="12">
        <f t="shared" si="46"/>
        <v>3</v>
      </c>
      <c r="M216" s="12">
        <v>3</v>
      </c>
      <c r="N216" s="12" t="s">
        <v>91</v>
      </c>
      <c r="O216" s="12">
        <v>0</v>
      </c>
      <c r="P216" s="12">
        <v>0</v>
      </c>
      <c r="Q216" s="12">
        <v>0</v>
      </c>
      <c r="R216" s="12">
        <v>0</v>
      </c>
      <c r="S216" s="12">
        <v>1</v>
      </c>
      <c r="T216" s="12">
        <v>4</v>
      </c>
      <c r="U216" s="12" t="s">
        <v>19</v>
      </c>
      <c r="V216" s="12">
        <v>1</v>
      </c>
      <c r="W216" s="12">
        <v>88</v>
      </c>
      <c r="X216" s="12">
        <v>3</v>
      </c>
      <c r="Y216" s="12">
        <v>1</v>
      </c>
      <c r="Z216" s="12" t="s">
        <v>63</v>
      </c>
      <c r="AA216" s="12">
        <v>0</v>
      </c>
      <c r="AB216" s="12">
        <v>0</v>
      </c>
      <c r="AC216" s="12">
        <v>0</v>
      </c>
      <c r="AD216" s="12">
        <v>0</v>
      </c>
      <c r="AE216" s="12">
        <v>0</v>
      </c>
      <c r="AF216" s="12">
        <v>0</v>
      </c>
      <c r="AG216" s="12">
        <v>0</v>
      </c>
      <c r="AH216" s="12">
        <v>1</v>
      </c>
      <c r="AI216" s="12">
        <v>1</v>
      </c>
      <c r="AJ216" s="12" t="s">
        <v>57</v>
      </c>
      <c r="AK216" s="12">
        <v>1</v>
      </c>
      <c r="AL216" s="12">
        <v>0</v>
      </c>
      <c r="AM216" s="12">
        <v>2657</v>
      </c>
      <c r="AN216" s="12">
        <f t="shared" si="47"/>
        <v>2657</v>
      </c>
      <c r="AO216" s="12">
        <v>5</v>
      </c>
      <c r="AP216" s="12" t="s">
        <v>52</v>
      </c>
      <c r="AQ216" s="12">
        <v>1</v>
      </c>
      <c r="AR216" s="12">
        <v>11</v>
      </c>
      <c r="AS216" s="12">
        <v>3</v>
      </c>
      <c r="AT216" s="12">
        <v>3</v>
      </c>
      <c r="AU216" s="12">
        <v>0</v>
      </c>
      <c r="AV216" s="12">
        <v>8</v>
      </c>
      <c r="AW216" s="12">
        <f t="shared" si="48"/>
        <v>8</v>
      </c>
      <c r="AX216" s="12">
        <v>5</v>
      </c>
      <c r="AY216" s="12">
        <v>3</v>
      </c>
      <c r="AZ216" s="12">
        <v>5</v>
      </c>
      <c r="BA216" s="12">
        <f t="shared" si="49"/>
        <v>5</v>
      </c>
      <c r="BB216" s="12">
        <v>2</v>
      </c>
      <c r="BC216" s="12">
        <v>0</v>
      </c>
      <c r="BD216" s="12">
        <f t="shared" si="58"/>
        <v>0</v>
      </c>
      <c r="BE216" s="12">
        <v>4</v>
      </c>
      <c r="BF216" s="12">
        <f t="shared" si="50"/>
        <v>4</v>
      </c>
      <c r="BG216" s="12">
        <f t="shared" si="59"/>
        <v>4</v>
      </c>
      <c r="BH216" s="67">
        <v>1</v>
      </c>
      <c r="BI216" s="67">
        <v>0</v>
      </c>
      <c r="BJ216" s="67">
        <v>0</v>
      </c>
      <c r="BK216" s="67">
        <v>0</v>
      </c>
      <c r="BL216" s="67">
        <v>0</v>
      </c>
      <c r="BM216" s="67">
        <v>1</v>
      </c>
      <c r="BN216" s="67">
        <v>0</v>
      </c>
      <c r="BO216" s="67">
        <v>0</v>
      </c>
      <c r="BP216" s="67">
        <v>0</v>
      </c>
      <c r="BQ216" s="67">
        <v>4</v>
      </c>
      <c r="BR216" s="67">
        <v>0</v>
      </c>
      <c r="BS216" s="67">
        <v>0</v>
      </c>
      <c r="BT216" s="67">
        <v>8</v>
      </c>
      <c r="BU216" s="70">
        <v>0</v>
      </c>
      <c r="BV216" s="29">
        <f t="shared" si="51"/>
        <v>0.81690029660515595</v>
      </c>
      <c r="BW216">
        <f t="shared" si="52"/>
        <v>3.4508002929560584E-2</v>
      </c>
      <c r="BX216">
        <f t="shared" si="53"/>
        <v>0.42149901815843233</v>
      </c>
      <c r="BY216">
        <f t="shared" si="54"/>
        <v>0.32778177112653761</v>
      </c>
      <c r="BZ216">
        <f t="shared" si="55"/>
        <v>0.76386092994953758</v>
      </c>
      <c r="CA216">
        <f t="shared" si="56"/>
        <v>0.75791203633249671</v>
      </c>
      <c r="CB216">
        <f t="shared" si="57"/>
        <v>0.67891464284095016</v>
      </c>
    </row>
    <row r="217" spans="1:80" x14ac:dyDescent="0.45">
      <c r="A217" s="11">
        <v>41</v>
      </c>
      <c r="B217" s="12">
        <f t="shared" si="45"/>
        <v>41</v>
      </c>
      <c r="C217" s="12" t="s">
        <v>59</v>
      </c>
      <c r="D217" s="12">
        <v>0</v>
      </c>
      <c r="E217" s="12" t="s">
        <v>53</v>
      </c>
      <c r="F217" s="12">
        <v>0</v>
      </c>
      <c r="G217" s="12">
        <v>1</v>
      </c>
      <c r="H217" s="12" t="s">
        <v>54</v>
      </c>
      <c r="I217" s="12">
        <v>0</v>
      </c>
      <c r="J217" s="12">
        <v>1</v>
      </c>
      <c r="K217" s="12">
        <v>6</v>
      </c>
      <c r="L217" s="12">
        <f t="shared" si="46"/>
        <v>6</v>
      </c>
      <c r="M217" s="12">
        <v>3</v>
      </c>
      <c r="N217" s="12" t="s">
        <v>55</v>
      </c>
      <c r="O217" s="12">
        <v>1</v>
      </c>
      <c r="P217" s="12">
        <v>0</v>
      </c>
      <c r="Q217" s="12">
        <v>0</v>
      </c>
      <c r="R217" s="12">
        <v>0</v>
      </c>
      <c r="S217" s="12">
        <v>0</v>
      </c>
      <c r="T217" s="12">
        <v>4</v>
      </c>
      <c r="U217" s="12" t="s">
        <v>19</v>
      </c>
      <c r="V217" s="12">
        <v>1</v>
      </c>
      <c r="W217" s="12">
        <v>75</v>
      </c>
      <c r="X217" s="12">
        <v>3</v>
      </c>
      <c r="Y217" s="12">
        <v>3</v>
      </c>
      <c r="Z217" s="12" t="s">
        <v>87</v>
      </c>
      <c r="AA217" s="12">
        <v>0</v>
      </c>
      <c r="AB217" s="12">
        <v>0</v>
      </c>
      <c r="AC217" s="12">
        <v>0</v>
      </c>
      <c r="AD217" s="12">
        <v>1</v>
      </c>
      <c r="AE217" s="12">
        <v>0</v>
      </c>
      <c r="AF217" s="12">
        <v>0</v>
      </c>
      <c r="AG217" s="12">
        <v>0</v>
      </c>
      <c r="AH217" s="12">
        <v>0</v>
      </c>
      <c r="AI217" s="12">
        <v>4</v>
      </c>
      <c r="AJ217" s="12" t="s">
        <v>57</v>
      </c>
      <c r="AK217" s="12">
        <v>1</v>
      </c>
      <c r="AL217" s="12">
        <v>0</v>
      </c>
      <c r="AM217" s="12">
        <v>13591</v>
      </c>
      <c r="AN217" s="12">
        <f t="shared" si="47"/>
        <v>13591</v>
      </c>
      <c r="AO217" s="12">
        <v>3</v>
      </c>
      <c r="AP217" s="12" t="s">
        <v>52</v>
      </c>
      <c r="AQ217" s="12">
        <v>1</v>
      </c>
      <c r="AR217" s="12">
        <v>18</v>
      </c>
      <c r="AS217" s="12">
        <v>3</v>
      </c>
      <c r="AT217" s="12">
        <v>3</v>
      </c>
      <c r="AU217" s="12">
        <v>0</v>
      </c>
      <c r="AV217" s="12">
        <v>16</v>
      </c>
      <c r="AW217" s="12">
        <f t="shared" si="48"/>
        <v>16</v>
      </c>
      <c r="AX217" s="12">
        <v>3</v>
      </c>
      <c r="AY217" s="12">
        <v>3</v>
      </c>
      <c r="AZ217" s="12">
        <v>1</v>
      </c>
      <c r="BA217" s="12">
        <f t="shared" si="49"/>
        <v>1</v>
      </c>
      <c r="BB217" s="12">
        <v>0</v>
      </c>
      <c r="BC217" s="12">
        <v>0</v>
      </c>
      <c r="BD217" s="12">
        <f t="shared" si="58"/>
        <v>0</v>
      </c>
      <c r="BE217" s="12">
        <v>0</v>
      </c>
      <c r="BF217" s="12">
        <f t="shared" si="50"/>
        <v>0</v>
      </c>
      <c r="BG217" s="12">
        <f t="shared" si="59"/>
        <v>0</v>
      </c>
      <c r="BH217" s="67">
        <v>1</v>
      </c>
      <c r="BI217" s="67">
        <v>0</v>
      </c>
      <c r="BJ217" s="67">
        <v>0</v>
      </c>
      <c r="BK217" s="67">
        <v>0</v>
      </c>
      <c r="BL217" s="67">
        <v>0</v>
      </c>
      <c r="BM217" s="67">
        <v>1</v>
      </c>
      <c r="BN217" s="67">
        <v>0</v>
      </c>
      <c r="BO217" s="67">
        <v>0</v>
      </c>
      <c r="BP217" s="67">
        <v>0</v>
      </c>
      <c r="BQ217" s="67">
        <v>0</v>
      </c>
      <c r="BR217" s="67">
        <v>0</v>
      </c>
      <c r="BS217" s="67">
        <v>0</v>
      </c>
      <c r="BT217" s="67">
        <v>0</v>
      </c>
      <c r="BU217" s="70">
        <v>16</v>
      </c>
      <c r="BV217" s="29">
        <f t="shared" si="51"/>
        <v>1.5055509287871596</v>
      </c>
      <c r="BW217">
        <f t="shared" si="52"/>
        <v>1.1555414682655611</v>
      </c>
      <c r="BX217">
        <f t="shared" si="53"/>
        <v>0.60667531362816052</v>
      </c>
      <c r="BY217">
        <f t="shared" si="54"/>
        <v>0.9806804209314296</v>
      </c>
      <c r="BZ217">
        <f t="shared" si="55"/>
        <v>0.39380416832397891</v>
      </c>
      <c r="CA217">
        <f t="shared" si="56"/>
        <v>0.4461985578408646</v>
      </c>
      <c r="CB217">
        <f t="shared" si="57"/>
        <v>0.67891464284095016</v>
      </c>
    </row>
    <row r="218" spans="1:80" x14ac:dyDescent="0.45">
      <c r="A218" s="11">
        <v>30</v>
      </c>
      <c r="B218" s="12">
        <f t="shared" si="45"/>
        <v>30</v>
      </c>
      <c r="C218" s="12" t="s">
        <v>52</v>
      </c>
      <c r="D218" s="12">
        <v>1</v>
      </c>
      <c r="E218" s="12" t="s">
        <v>60</v>
      </c>
      <c r="F218" s="12">
        <v>1</v>
      </c>
      <c r="G218" s="12">
        <v>0</v>
      </c>
      <c r="H218" s="12" t="s">
        <v>54</v>
      </c>
      <c r="I218" s="12">
        <v>0</v>
      </c>
      <c r="J218" s="12">
        <v>1</v>
      </c>
      <c r="K218" s="12">
        <v>26</v>
      </c>
      <c r="L218" s="12">
        <f t="shared" si="46"/>
        <v>26</v>
      </c>
      <c r="M218" s="12">
        <v>4</v>
      </c>
      <c r="N218" s="12" t="s">
        <v>90</v>
      </c>
      <c r="O218" s="12">
        <v>0</v>
      </c>
      <c r="P218" s="12">
        <v>0</v>
      </c>
      <c r="Q218" s="12">
        <v>0</v>
      </c>
      <c r="R218" s="12">
        <v>1</v>
      </c>
      <c r="S218" s="12">
        <v>0</v>
      </c>
      <c r="T218" s="12">
        <v>3</v>
      </c>
      <c r="U218" s="12" t="s">
        <v>19</v>
      </c>
      <c r="V218" s="12">
        <v>1</v>
      </c>
      <c r="W218" s="12">
        <v>52</v>
      </c>
      <c r="X218" s="12">
        <v>2</v>
      </c>
      <c r="Y218" s="12">
        <v>2</v>
      </c>
      <c r="Z218" s="12" t="s">
        <v>56</v>
      </c>
      <c r="AA218" s="12">
        <v>0</v>
      </c>
      <c r="AB218" s="12">
        <v>1</v>
      </c>
      <c r="AC218" s="12">
        <v>0</v>
      </c>
      <c r="AD218" s="12">
        <v>0</v>
      </c>
      <c r="AE218" s="12">
        <v>0</v>
      </c>
      <c r="AF218" s="12">
        <v>0</v>
      </c>
      <c r="AG218" s="12">
        <v>0</v>
      </c>
      <c r="AH218" s="12">
        <v>0</v>
      </c>
      <c r="AI218" s="12">
        <v>1</v>
      </c>
      <c r="AJ218" s="12" t="s">
        <v>57</v>
      </c>
      <c r="AK218" s="12">
        <v>1</v>
      </c>
      <c r="AL218" s="12">
        <v>0</v>
      </c>
      <c r="AM218" s="12">
        <v>6696</v>
      </c>
      <c r="AN218" s="12">
        <f t="shared" si="47"/>
        <v>6696</v>
      </c>
      <c r="AO218" s="12">
        <v>5</v>
      </c>
      <c r="AP218" s="12" t="s">
        <v>59</v>
      </c>
      <c r="AQ218" s="12">
        <v>0</v>
      </c>
      <c r="AR218" s="12">
        <v>15</v>
      </c>
      <c r="AS218" s="12">
        <v>3</v>
      </c>
      <c r="AT218" s="12">
        <v>3</v>
      </c>
      <c r="AU218" s="12">
        <v>0</v>
      </c>
      <c r="AV218" s="12">
        <v>9</v>
      </c>
      <c r="AW218" s="12">
        <f t="shared" si="48"/>
        <v>9</v>
      </c>
      <c r="AX218" s="12">
        <v>5</v>
      </c>
      <c r="AY218" s="12">
        <v>2</v>
      </c>
      <c r="AZ218" s="12">
        <v>6</v>
      </c>
      <c r="BA218" s="12">
        <f t="shared" si="49"/>
        <v>6</v>
      </c>
      <c r="BB218" s="12">
        <v>3</v>
      </c>
      <c r="BC218" s="12">
        <v>0</v>
      </c>
      <c r="BD218" s="12">
        <f t="shared" si="58"/>
        <v>0</v>
      </c>
      <c r="BE218" s="12">
        <v>1</v>
      </c>
      <c r="BF218" s="12">
        <f t="shared" si="50"/>
        <v>1</v>
      </c>
      <c r="BG218" s="12">
        <f t="shared" si="59"/>
        <v>2</v>
      </c>
      <c r="BH218" s="67">
        <v>0</v>
      </c>
      <c r="BI218" s="67">
        <v>0</v>
      </c>
      <c r="BJ218" s="67">
        <v>1</v>
      </c>
      <c r="BK218" s="67">
        <v>0</v>
      </c>
      <c r="BL218" s="67">
        <v>1</v>
      </c>
      <c r="BM218" s="67">
        <v>0</v>
      </c>
      <c r="BN218" s="67">
        <v>0</v>
      </c>
      <c r="BO218" s="67">
        <v>0</v>
      </c>
      <c r="BP218" s="67">
        <v>0</v>
      </c>
      <c r="BQ218" s="67">
        <v>0</v>
      </c>
      <c r="BR218" s="67">
        <v>1</v>
      </c>
      <c r="BS218" s="67">
        <v>0</v>
      </c>
      <c r="BT218" s="67">
        <v>0</v>
      </c>
      <c r="BU218" s="70">
        <v>9</v>
      </c>
      <c r="BV218" s="29">
        <f t="shared" si="51"/>
        <v>4.1009022889956788E-2</v>
      </c>
      <c r="BW218">
        <f t="shared" si="52"/>
        <v>0.87528310193156111</v>
      </c>
      <c r="BX218">
        <f t="shared" si="53"/>
        <v>0.29297722668510823</v>
      </c>
      <c r="BY218">
        <f t="shared" si="54"/>
        <v>0.16455710867531462</v>
      </c>
      <c r="BZ218">
        <f t="shared" si="55"/>
        <v>2.0732409091797459</v>
      </c>
      <c r="CA218">
        <f t="shared" si="56"/>
        <v>0.75791203633249671</v>
      </c>
      <c r="CB218">
        <f t="shared" si="57"/>
        <v>0.67891464284095016</v>
      </c>
    </row>
    <row r="219" spans="1:80" x14ac:dyDescent="0.45">
      <c r="A219" s="11">
        <v>29</v>
      </c>
      <c r="B219" s="12">
        <f t="shared" si="45"/>
        <v>29</v>
      </c>
      <c r="C219" s="12" t="s">
        <v>52</v>
      </c>
      <c r="D219" s="12">
        <v>1</v>
      </c>
      <c r="E219" s="12" t="s">
        <v>53</v>
      </c>
      <c r="F219" s="12">
        <v>0</v>
      </c>
      <c r="G219" s="12">
        <v>1</v>
      </c>
      <c r="H219" s="12" t="s">
        <v>61</v>
      </c>
      <c r="I219" s="12">
        <v>1</v>
      </c>
      <c r="J219" s="12">
        <v>0</v>
      </c>
      <c r="K219" s="12">
        <v>1</v>
      </c>
      <c r="L219" s="12">
        <f t="shared" si="46"/>
        <v>1</v>
      </c>
      <c r="M219" s="12">
        <v>3</v>
      </c>
      <c r="N219" s="12" t="s">
        <v>91</v>
      </c>
      <c r="O219" s="12">
        <v>0</v>
      </c>
      <c r="P219" s="12">
        <v>0</v>
      </c>
      <c r="Q219" s="12">
        <v>0</v>
      </c>
      <c r="R219" s="12">
        <v>0</v>
      </c>
      <c r="S219" s="12">
        <v>1</v>
      </c>
      <c r="T219" s="12">
        <v>3</v>
      </c>
      <c r="U219" s="12" t="s">
        <v>62</v>
      </c>
      <c r="V219" s="12">
        <v>0</v>
      </c>
      <c r="W219" s="12">
        <v>85</v>
      </c>
      <c r="X219" s="12">
        <v>3</v>
      </c>
      <c r="Y219" s="12">
        <v>1</v>
      </c>
      <c r="Z219" s="12" t="s">
        <v>63</v>
      </c>
      <c r="AA219" s="12">
        <v>0</v>
      </c>
      <c r="AB219" s="12">
        <v>0</v>
      </c>
      <c r="AC219" s="12">
        <v>0</v>
      </c>
      <c r="AD219" s="12">
        <v>0</v>
      </c>
      <c r="AE219" s="12">
        <v>0</v>
      </c>
      <c r="AF219" s="12">
        <v>0</v>
      </c>
      <c r="AG219" s="12">
        <v>0</v>
      </c>
      <c r="AH219" s="12">
        <v>1</v>
      </c>
      <c r="AI219" s="12">
        <v>3</v>
      </c>
      <c r="AJ219" s="12" t="s">
        <v>57</v>
      </c>
      <c r="AK219" s="12">
        <v>1</v>
      </c>
      <c r="AL219" s="12">
        <v>0</v>
      </c>
      <c r="AM219" s="12">
        <v>2058</v>
      </c>
      <c r="AN219" s="12">
        <f t="shared" si="47"/>
        <v>2058</v>
      </c>
      <c r="AO219" s="12">
        <v>0</v>
      </c>
      <c r="AP219" s="12" t="s">
        <v>59</v>
      </c>
      <c r="AQ219" s="12">
        <v>0</v>
      </c>
      <c r="AR219" s="12">
        <v>14</v>
      </c>
      <c r="AS219" s="12">
        <v>3</v>
      </c>
      <c r="AT219" s="12">
        <v>4</v>
      </c>
      <c r="AU219" s="12">
        <v>0</v>
      </c>
      <c r="AV219" s="12">
        <v>7</v>
      </c>
      <c r="AW219" s="12">
        <f t="shared" si="48"/>
        <v>7</v>
      </c>
      <c r="AX219" s="12">
        <v>1</v>
      </c>
      <c r="AY219" s="12">
        <v>2</v>
      </c>
      <c r="AZ219" s="12">
        <v>6</v>
      </c>
      <c r="BA219" s="12">
        <f t="shared" si="49"/>
        <v>6</v>
      </c>
      <c r="BB219" s="12">
        <v>2</v>
      </c>
      <c r="BC219" s="12">
        <v>1</v>
      </c>
      <c r="BD219" s="12">
        <f t="shared" si="58"/>
        <v>1</v>
      </c>
      <c r="BE219" s="12">
        <v>5</v>
      </c>
      <c r="BF219" s="12">
        <f t="shared" si="50"/>
        <v>5</v>
      </c>
      <c r="BG219" s="12">
        <f t="shared" si="59"/>
        <v>5</v>
      </c>
      <c r="BH219" s="67">
        <v>1</v>
      </c>
      <c r="BI219" s="67">
        <v>0</v>
      </c>
      <c r="BJ219" s="67">
        <v>0</v>
      </c>
      <c r="BK219" s="67">
        <v>0</v>
      </c>
      <c r="BL219" s="67">
        <v>1</v>
      </c>
      <c r="BM219" s="67">
        <v>0</v>
      </c>
      <c r="BN219" s="67">
        <v>0</v>
      </c>
      <c r="BO219" s="67">
        <v>0</v>
      </c>
      <c r="BP219" s="67">
        <v>0</v>
      </c>
      <c r="BQ219" s="67">
        <v>5</v>
      </c>
      <c r="BR219" s="67">
        <v>0</v>
      </c>
      <c r="BS219" s="67">
        <v>0</v>
      </c>
      <c r="BT219" s="67">
        <v>7</v>
      </c>
      <c r="BU219" s="70">
        <v>0</v>
      </c>
      <c r="BV219" s="29">
        <f t="shared" si="51"/>
        <v>0.94413171091007608</v>
      </c>
      <c r="BW219">
        <f t="shared" si="52"/>
        <v>0.24575036340443959</v>
      </c>
      <c r="BX219">
        <f t="shared" si="53"/>
        <v>0.55002080963175637</v>
      </c>
      <c r="BY219">
        <f t="shared" si="54"/>
        <v>0.16455710867531462</v>
      </c>
      <c r="BZ219">
        <f t="shared" si="55"/>
        <v>1.01056543769991</v>
      </c>
      <c r="CA219">
        <f t="shared" si="56"/>
        <v>0.86737663580280233</v>
      </c>
      <c r="CB219">
        <f t="shared" si="57"/>
        <v>0.36858985273641137</v>
      </c>
    </row>
    <row r="220" spans="1:80" x14ac:dyDescent="0.45">
      <c r="A220" s="11">
        <v>45</v>
      </c>
      <c r="B220" s="12">
        <f t="shared" si="45"/>
        <v>45</v>
      </c>
      <c r="C220" s="12" t="s">
        <v>59</v>
      </c>
      <c r="D220" s="12">
        <v>0</v>
      </c>
      <c r="E220" s="12" t="s">
        <v>86</v>
      </c>
      <c r="F220" s="12">
        <v>0</v>
      </c>
      <c r="G220" s="12">
        <v>0</v>
      </c>
      <c r="H220" s="12" t="s">
        <v>54</v>
      </c>
      <c r="I220" s="12">
        <v>0</v>
      </c>
      <c r="J220" s="12">
        <v>1</v>
      </c>
      <c r="K220" s="12">
        <v>6</v>
      </c>
      <c r="L220" s="12">
        <f t="shared" si="46"/>
        <v>6</v>
      </c>
      <c r="M220" s="12">
        <v>3</v>
      </c>
      <c r="N220" s="12" t="s">
        <v>70</v>
      </c>
      <c r="O220" s="12">
        <v>0</v>
      </c>
      <c r="P220" s="12">
        <v>0</v>
      </c>
      <c r="Q220" s="12">
        <v>1</v>
      </c>
      <c r="R220" s="12">
        <v>0</v>
      </c>
      <c r="S220" s="12">
        <v>0</v>
      </c>
      <c r="T220" s="12">
        <v>4</v>
      </c>
      <c r="U220" s="12" t="s">
        <v>19</v>
      </c>
      <c r="V220" s="12">
        <v>1</v>
      </c>
      <c r="W220" s="12">
        <v>57</v>
      </c>
      <c r="X220" s="12">
        <v>2</v>
      </c>
      <c r="Y220" s="12">
        <v>3</v>
      </c>
      <c r="Z220" s="12" t="s">
        <v>56</v>
      </c>
      <c r="AA220" s="12">
        <v>0</v>
      </c>
      <c r="AB220" s="12">
        <v>1</v>
      </c>
      <c r="AC220" s="12">
        <v>0</v>
      </c>
      <c r="AD220" s="12">
        <v>0</v>
      </c>
      <c r="AE220" s="12">
        <v>0</v>
      </c>
      <c r="AF220" s="12">
        <v>0</v>
      </c>
      <c r="AG220" s="12">
        <v>0</v>
      </c>
      <c r="AH220" s="12">
        <v>0</v>
      </c>
      <c r="AI220" s="12">
        <v>4</v>
      </c>
      <c r="AJ220" s="12" t="s">
        <v>57</v>
      </c>
      <c r="AK220" s="12">
        <v>1</v>
      </c>
      <c r="AL220" s="12">
        <v>0</v>
      </c>
      <c r="AM220" s="12">
        <v>8865</v>
      </c>
      <c r="AN220" s="12">
        <f t="shared" si="47"/>
        <v>8865</v>
      </c>
      <c r="AO220" s="12">
        <v>6</v>
      </c>
      <c r="AP220" s="12" t="s">
        <v>59</v>
      </c>
      <c r="AQ220" s="12">
        <v>0</v>
      </c>
      <c r="AR220" s="12">
        <v>12</v>
      </c>
      <c r="AS220" s="12">
        <v>3</v>
      </c>
      <c r="AT220" s="12">
        <v>4</v>
      </c>
      <c r="AU220" s="12">
        <v>0</v>
      </c>
      <c r="AV220" s="12">
        <v>23</v>
      </c>
      <c r="AW220" s="12">
        <f t="shared" si="48"/>
        <v>23</v>
      </c>
      <c r="AX220" s="12">
        <v>2</v>
      </c>
      <c r="AY220" s="12">
        <v>3</v>
      </c>
      <c r="AZ220" s="12">
        <v>19</v>
      </c>
      <c r="BA220" s="12">
        <f t="shared" si="49"/>
        <v>19</v>
      </c>
      <c r="BB220" s="12">
        <v>7</v>
      </c>
      <c r="BC220" s="12">
        <v>12</v>
      </c>
      <c r="BD220" s="12">
        <f t="shared" si="58"/>
        <v>12</v>
      </c>
      <c r="BE220" s="12">
        <v>8</v>
      </c>
      <c r="BF220" s="12">
        <f t="shared" si="50"/>
        <v>8</v>
      </c>
      <c r="BG220" s="12">
        <f t="shared" si="59"/>
        <v>24</v>
      </c>
      <c r="BH220" s="67">
        <v>1</v>
      </c>
      <c r="BI220" s="67">
        <v>0</v>
      </c>
      <c r="BJ220" s="67">
        <v>0</v>
      </c>
      <c r="BK220" s="67">
        <v>0</v>
      </c>
      <c r="BL220" s="67">
        <v>1</v>
      </c>
      <c r="BM220" s="67">
        <v>0</v>
      </c>
      <c r="BN220" s="67">
        <v>0</v>
      </c>
      <c r="BO220" s="67">
        <v>0</v>
      </c>
      <c r="BP220" s="67">
        <v>0</v>
      </c>
      <c r="BQ220" s="67">
        <v>0</v>
      </c>
      <c r="BR220" s="67">
        <v>8</v>
      </c>
      <c r="BS220" s="67">
        <v>0</v>
      </c>
      <c r="BT220" s="67">
        <v>0</v>
      </c>
      <c r="BU220" s="70">
        <v>23</v>
      </c>
      <c r="BV220" s="29">
        <f t="shared" si="51"/>
        <v>0.50171843462179622</v>
      </c>
      <c r="BW220">
        <f t="shared" si="52"/>
        <v>1.08652546240644</v>
      </c>
      <c r="BX220">
        <f t="shared" si="53"/>
        <v>1.5063278539414293</v>
      </c>
      <c r="BY220">
        <f t="shared" si="54"/>
        <v>1.9573635031905841</v>
      </c>
      <c r="BZ220">
        <f t="shared" si="55"/>
        <v>0.39380416832397891</v>
      </c>
      <c r="CA220">
        <f t="shared" si="56"/>
        <v>0.88405695572208698</v>
      </c>
      <c r="CB220">
        <f t="shared" si="57"/>
        <v>3.0449828384135156</v>
      </c>
    </row>
    <row r="221" spans="1:80" x14ac:dyDescent="0.45">
      <c r="A221" s="11">
        <v>54</v>
      </c>
      <c r="B221" s="12">
        <f t="shared" si="45"/>
        <v>54</v>
      </c>
      <c r="C221" s="12" t="s">
        <v>59</v>
      </c>
      <c r="D221" s="12">
        <v>0</v>
      </c>
      <c r="E221" s="12" t="s">
        <v>53</v>
      </c>
      <c r="F221" s="12">
        <v>0</v>
      </c>
      <c r="G221" s="12">
        <v>1</v>
      </c>
      <c r="H221" s="12" t="s">
        <v>54</v>
      </c>
      <c r="I221" s="12">
        <v>0</v>
      </c>
      <c r="J221" s="12">
        <v>1</v>
      </c>
      <c r="K221" s="12">
        <v>3</v>
      </c>
      <c r="L221" s="12">
        <f t="shared" si="46"/>
        <v>3</v>
      </c>
      <c r="M221" s="12">
        <v>3</v>
      </c>
      <c r="N221" s="12" t="s">
        <v>90</v>
      </c>
      <c r="O221" s="12">
        <v>0</v>
      </c>
      <c r="P221" s="12">
        <v>0</v>
      </c>
      <c r="Q221" s="12">
        <v>0</v>
      </c>
      <c r="R221" s="12">
        <v>1</v>
      </c>
      <c r="S221" s="12">
        <v>0</v>
      </c>
      <c r="T221" s="12">
        <v>4</v>
      </c>
      <c r="U221" s="12" t="s">
        <v>19</v>
      </c>
      <c r="V221" s="12">
        <v>1</v>
      </c>
      <c r="W221" s="12">
        <v>52</v>
      </c>
      <c r="X221" s="12">
        <v>3</v>
      </c>
      <c r="Y221" s="12">
        <v>2</v>
      </c>
      <c r="Z221" s="12" t="s">
        <v>56</v>
      </c>
      <c r="AA221" s="12">
        <v>0</v>
      </c>
      <c r="AB221" s="12">
        <v>1</v>
      </c>
      <c r="AC221" s="12">
        <v>0</v>
      </c>
      <c r="AD221" s="12">
        <v>0</v>
      </c>
      <c r="AE221" s="12">
        <v>0</v>
      </c>
      <c r="AF221" s="12">
        <v>0</v>
      </c>
      <c r="AG221" s="12">
        <v>0</v>
      </c>
      <c r="AH221" s="12">
        <v>0</v>
      </c>
      <c r="AI221" s="12">
        <v>1</v>
      </c>
      <c r="AJ221" s="12" t="s">
        <v>64</v>
      </c>
      <c r="AK221" s="12">
        <v>0</v>
      </c>
      <c r="AL221" s="12">
        <v>1</v>
      </c>
      <c r="AM221" s="12">
        <v>5940</v>
      </c>
      <c r="AN221" s="12">
        <f t="shared" si="47"/>
        <v>5940</v>
      </c>
      <c r="AO221" s="12">
        <v>2</v>
      </c>
      <c r="AP221" s="12" t="s">
        <v>59</v>
      </c>
      <c r="AQ221" s="12">
        <v>0</v>
      </c>
      <c r="AR221" s="12">
        <v>14</v>
      </c>
      <c r="AS221" s="12">
        <v>3</v>
      </c>
      <c r="AT221" s="12">
        <v>4</v>
      </c>
      <c r="AU221" s="12">
        <v>1</v>
      </c>
      <c r="AV221" s="12">
        <v>16</v>
      </c>
      <c r="AW221" s="12">
        <f t="shared" si="48"/>
        <v>16</v>
      </c>
      <c r="AX221" s="12">
        <v>4</v>
      </c>
      <c r="AY221" s="12">
        <v>3</v>
      </c>
      <c r="AZ221" s="12">
        <v>6</v>
      </c>
      <c r="BA221" s="12">
        <f t="shared" si="49"/>
        <v>6</v>
      </c>
      <c r="BB221" s="12">
        <v>2</v>
      </c>
      <c r="BC221" s="12">
        <v>0</v>
      </c>
      <c r="BD221" s="12">
        <f t="shared" si="58"/>
        <v>0</v>
      </c>
      <c r="BE221" s="12">
        <v>5</v>
      </c>
      <c r="BF221" s="12">
        <f t="shared" si="50"/>
        <v>5</v>
      </c>
      <c r="BG221" s="12">
        <f t="shared" si="59"/>
        <v>10</v>
      </c>
      <c r="BH221" s="67">
        <v>0</v>
      </c>
      <c r="BI221" s="67">
        <v>1</v>
      </c>
      <c r="BJ221" s="67">
        <v>0</v>
      </c>
      <c r="BK221" s="67">
        <v>0</v>
      </c>
      <c r="BL221" s="67">
        <v>0</v>
      </c>
      <c r="BM221" s="67">
        <v>0</v>
      </c>
      <c r="BN221" s="67">
        <v>1</v>
      </c>
      <c r="BO221" s="67">
        <v>0</v>
      </c>
      <c r="BP221" s="67">
        <v>0</v>
      </c>
      <c r="BQ221" s="67">
        <v>0</v>
      </c>
      <c r="BR221" s="67">
        <v>5</v>
      </c>
      <c r="BS221" s="67">
        <v>0</v>
      </c>
      <c r="BT221" s="67">
        <v>0</v>
      </c>
      <c r="BU221" s="70">
        <v>16</v>
      </c>
      <c r="BV221" s="29">
        <f t="shared" si="51"/>
        <v>0.1195701911576553</v>
      </c>
      <c r="BW221">
        <f t="shared" si="52"/>
        <v>0.24575036340443959</v>
      </c>
      <c r="BX221">
        <f t="shared" si="53"/>
        <v>0.60667531362816052</v>
      </c>
      <c r="BY221">
        <f t="shared" si="54"/>
        <v>0.16455710867531462</v>
      </c>
      <c r="BZ221">
        <f t="shared" si="55"/>
        <v>0.76386092994953758</v>
      </c>
      <c r="CA221">
        <f t="shared" si="56"/>
        <v>1.8692383509548371</v>
      </c>
      <c r="CB221">
        <f t="shared" si="57"/>
        <v>0.67891464284095016</v>
      </c>
    </row>
    <row r="222" spans="1:80" x14ac:dyDescent="0.45">
      <c r="A222" s="11">
        <v>36</v>
      </c>
      <c r="B222" s="12">
        <f t="shared" si="45"/>
        <v>36</v>
      </c>
      <c r="C222" s="12" t="s">
        <v>59</v>
      </c>
      <c r="D222" s="12">
        <v>0</v>
      </c>
      <c r="E222" s="12" t="s">
        <v>53</v>
      </c>
      <c r="F222" s="12">
        <v>0</v>
      </c>
      <c r="G222" s="12">
        <v>1</v>
      </c>
      <c r="H222" s="12" t="s">
        <v>61</v>
      </c>
      <c r="I222" s="12">
        <v>1</v>
      </c>
      <c r="J222" s="12">
        <v>0</v>
      </c>
      <c r="K222" s="12">
        <v>5</v>
      </c>
      <c r="L222" s="12">
        <f t="shared" si="46"/>
        <v>5</v>
      </c>
      <c r="M222" s="12">
        <v>2</v>
      </c>
      <c r="N222" s="12" t="s">
        <v>55</v>
      </c>
      <c r="O222" s="12">
        <v>1</v>
      </c>
      <c r="P222" s="12">
        <v>0</v>
      </c>
      <c r="Q222" s="12">
        <v>0</v>
      </c>
      <c r="R222" s="12">
        <v>0</v>
      </c>
      <c r="S222" s="12">
        <v>0</v>
      </c>
      <c r="T222" s="12">
        <v>4</v>
      </c>
      <c r="U222" s="12" t="s">
        <v>62</v>
      </c>
      <c r="V222" s="12">
        <v>0</v>
      </c>
      <c r="W222" s="12">
        <v>62</v>
      </c>
      <c r="X222" s="12">
        <v>3</v>
      </c>
      <c r="Y222" s="12">
        <v>2</v>
      </c>
      <c r="Z222" s="12" t="s">
        <v>67</v>
      </c>
      <c r="AA222" s="12">
        <v>0</v>
      </c>
      <c r="AB222" s="12">
        <v>0</v>
      </c>
      <c r="AC222" s="12">
        <v>1</v>
      </c>
      <c r="AD222" s="12">
        <v>0</v>
      </c>
      <c r="AE222" s="12">
        <v>0</v>
      </c>
      <c r="AF222" s="12">
        <v>0</v>
      </c>
      <c r="AG222" s="12">
        <v>0</v>
      </c>
      <c r="AH222" s="12">
        <v>0</v>
      </c>
      <c r="AI222" s="12">
        <v>2</v>
      </c>
      <c r="AJ222" s="12" t="s">
        <v>57</v>
      </c>
      <c r="AK222" s="12">
        <v>1</v>
      </c>
      <c r="AL222" s="12">
        <v>0</v>
      </c>
      <c r="AM222" s="12">
        <v>5914</v>
      </c>
      <c r="AN222" s="12">
        <f t="shared" si="47"/>
        <v>5914</v>
      </c>
      <c r="AO222" s="12">
        <v>8</v>
      </c>
      <c r="AP222" s="12" t="s">
        <v>59</v>
      </c>
      <c r="AQ222" s="12">
        <v>0</v>
      </c>
      <c r="AR222" s="12">
        <v>16</v>
      </c>
      <c r="AS222" s="12">
        <v>3</v>
      </c>
      <c r="AT222" s="12">
        <v>4</v>
      </c>
      <c r="AU222" s="12">
        <v>0</v>
      </c>
      <c r="AV222" s="12">
        <v>16</v>
      </c>
      <c r="AW222" s="12">
        <f t="shared" si="48"/>
        <v>16</v>
      </c>
      <c r="AX222" s="12">
        <v>3</v>
      </c>
      <c r="AY222" s="12">
        <v>4</v>
      </c>
      <c r="AZ222" s="12">
        <v>13</v>
      </c>
      <c r="BA222" s="12">
        <f t="shared" si="49"/>
        <v>13</v>
      </c>
      <c r="BB222" s="12">
        <v>11</v>
      </c>
      <c r="BC222" s="12">
        <v>3</v>
      </c>
      <c r="BD222" s="12">
        <f t="shared" si="58"/>
        <v>3</v>
      </c>
      <c r="BE222" s="12">
        <v>7</v>
      </c>
      <c r="BF222" s="12">
        <f t="shared" si="50"/>
        <v>7</v>
      </c>
      <c r="BG222" s="12">
        <f t="shared" si="59"/>
        <v>14</v>
      </c>
      <c r="BH222" s="67">
        <v>1</v>
      </c>
      <c r="BI222" s="67">
        <v>0</v>
      </c>
      <c r="BJ222" s="67">
        <v>0</v>
      </c>
      <c r="BK222" s="67">
        <v>0</v>
      </c>
      <c r="BL222" s="67">
        <v>1</v>
      </c>
      <c r="BM222" s="67">
        <v>0</v>
      </c>
      <c r="BN222" s="67">
        <v>0</v>
      </c>
      <c r="BO222" s="67">
        <v>0</v>
      </c>
      <c r="BP222" s="67">
        <v>0</v>
      </c>
      <c r="BQ222" s="67">
        <v>7</v>
      </c>
      <c r="BR222" s="67">
        <v>0</v>
      </c>
      <c r="BS222" s="67">
        <v>0</v>
      </c>
      <c r="BT222" s="67">
        <v>16</v>
      </c>
      <c r="BU222" s="70">
        <v>0</v>
      </c>
      <c r="BV222" s="29">
        <f t="shared" si="51"/>
        <v>0.12509275672013931</v>
      </c>
      <c r="BW222">
        <f t="shared" si="52"/>
        <v>0.80626709607243985</v>
      </c>
      <c r="BX222">
        <f t="shared" si="53"/>
        <v>0.60667531362816052</v>
      </c>
      <c r="BY222">
        <f t="shared" si="54"/>
        <v>0.97801552848324624</v>
      </c>
      <c r="BZ222">
        <f t="shared" si="55"/>
        <v>0.51715642219916513</v>
      </c>
      <c r="CA222">
        <f t="shared" si="56"/>
        <v>0.10112443951066327</v>
      </c>
      <c r="CB222">
        <f t="shared" si="57"/>
        <v>0.2520597274726662</v>
      </c>
    </row>
    <row r="223" spans="1:80" x14ac:dyDescent="0.45">
      <c r="A223" s="11">
        <v>33</v>
      </c>
      <c r="B223" s="12">
        <f t="shared" si="45"/>
        <v>33</v>
      </c>
      <c r="C223" s="12" t="s">
        <v>59</v>
      </c>
      <c r="D223" s="12">
        <v>0</v>
      </c>
      <c r="E223" s="12" t="s">
        <v>53</v>
      </c>
      <c r="F223" s="12">
        <v>0</v>
      </c>
      <c r="G223" s="12">
        <v>1</v>
      </c>
      <c r="H223" s="12" t="s">
        <v>61</v>
      </c>
      <c r="I223" s="12">
        <v>1</v>
      </c>
      <c r="J223" s="12">
        <v>0</v>
      </c>
      <c r="K223" s="12">
        <v>4</v>
      </c>
      <c r="L223" s="12">
        <f t="shared" si="46"/>
        <v>4</v>
      </c>
      <c r="M223" s="12">
        <v>4</v>
      </c>
      <c r="N223" s="12" t="s">
        <v>70</v>
      </c>
      <c r="O223" s="12">
        <v>0</v>
      </c>
      <c r="P223" s="12">
        <v>0</v>
      </c>
      <c r="Q223" s="12">
        <v>1</v>
      </c>
      <c r="R223" s="12">
        <v>0</v>
      </c>
      <c r="S223" s="12">
        <v>0</v>
      </c>
      <c r="T223" s="12">
        <v>3</v>
      </c>
      <c r="U223" s="12" t="s">
        <v>19</v>
      </c>
      <c r="V223" s="12">
        <v>1</v>
      </c>
      <c r="W223" s="12">
        <v>47</v>
      </c>
      <c r="X223" s="12">
        <v>2</v>
      </c>
      <c r="Y223" s="12">
        <v>1</v>
      </c>
      <c r="Z223" s="12" t="s">
        <v>63</v>
      </c>
      <c r="AA223" s="12">
        <v>0</v>
      </c>
      <c r="AB223" s="12">
        <v>0</v>
      </c>
      <c r="AC223" s="12">
        <v>0</v>
      </c>
      <c r="AD223" s="12">
        <v>0</v>
      </c>
      <c r="AE223" s="12">
        <v>0</v>
      </c>
      <c r="AF223" s="12">
        <v>0</v>
      </c>
      <c r="AG223" s="12">
        <v>0</v>
      </c>
      <c r="AH223" s="12">
        <v>1</v>
      </c>
      <c r="AI223" s="12">
        <v>2</v>
      </c>
      <c r="AJ223" s="12" t="s">
        <v>64</v>
      </c>
      <c r="AK223" s="12">
        <v>0</v>
      </c>
      <c r="AL223" s="12">
        <v>1</v>
      </c>
      <c r="AM223" s="12">
        <v>2622</v>
      </c>
      <c r="AN223" s="12">
        <f t="shared" si="47"/>
        <v>2622</v>
      </c>
      <c r="AO223" s="12">
        <v>6</v>
      </c>
      <c r="AP223" s="12" t="s">
        <v>59</v>
      </c>
      <c r="AQ223" s="12">
        <v>0</v>
      </c>
      <c r="AR223" s="12">
        <v>21</v>
      </c>
      <c r="AS223" s="12">
        <v>4</v>
      </c>
      <c r="AT223" s="12">
        <v>4</v>
      </c>
      <c r="AU223" s="12">
        <v>0</v>
      </c>
      <c r="AV223" s="12">
        <v>7</v>
      </c>
      <c r="AW223" s="12">
        <f t="shared" si="48"/>
        <v>7</v>
      </c>
      <c r="AX223" s="12">
        <v>3</v>
      </c>
      <c r="AY223" s="12">
        <v>3</v>
      </c>
      <c r="AZ223" s="12">
        <v>3</v>
      </c>
      <c r="BA223" s="12">
        <f t="shared" si="49"/>
        <v>3</v>
      </c>
      <c r="BB223" s="12">
        <v>2</v>
      </c>
      <c r="BC223" s="12">
        <v>1</v>
      </c>
      <c r="BD223" s="12">
        <f t="shared" si="58"/>
        <v>1</v>
      </c>
      <c r="BE223" s="12">
        <v>1</v>
      </c>
      <c r="BF223" s="12">
        <f t="shared" si="50"/>
        <v>1</v>
      </c>
      <c r="BG223" s="12">
        <f t="shared" si="59"/>
        <v>1</v>
      </c>
      <c r="BH223" s="67">
        <v>0</v>
      </c>
      <c r="BI223" s="67">
        <v>1</v>
      </c>
      <c r="BJ223" s="67">
        <v>0</v>
      </c>
      <c r="BK223" s="67">
        <v>0</v>
      </c>
      <c r="BL223" s="67">
        <v>0</v>
      </c>
      <c r="BM223" s="67">
        <v>0</v>
      </c>
      <c r="BN223" s="67">
        <v>1</v>
      </c>
      <c r="BO223" s="67">
        <v>0</v>
      </c>
      <c r="BP223" s="67">
        <v>0</v>
      </c>
      <c r="BQ223" s="67">
        <v>1</v>
      </c>
      <c r="BR223" s="67">
        <v>0</v>
      </c>
      <c r="BS223" s="67">
        <v>0</v>
      </c>
      <c r="BT223" s="67">
        <v>7</v>
      </c>
      <c r="BU223" s="70">
        <v>0</v>
      </c>
      <c r="BV223" s="29">
        <f t="shared" si="51"/>
        <v>0.82433451947773051</v>
      </c>
      <c r="BW223">
        <f t="shared" si="52"/>
        <v>0.87528310193156111</v>
      </c>
      <c r="BX223">
        <f t="shared" si="53"/>
        <v>0.55002080963175637</v>
      </c>
      <c r="BY223">
        <f t="shared" si="54"/>
        <v>0.65423109602898355</v>
      </c>
      <c r="BZ223">
        <f t="shared" si="55"/>
        <v>0.64050867607435136</v>
      </c>
      <c r="CA223">
        <f t="shared" si="56"/>
        <v>0.42951823792158</v>
      </c>
      <c r="CB223">
        <f t="shared" si="57"/>
        <v>0.36858985273641137</v>
      </c>
    </row>
    <row r="224" spans="1:80" x14ac:dyDescent="0.45">
      <c r="A224" s="11">
        <v>37</v>
      </c>
      <c r="B224" s="12">
        <f t="shared" si="45"/>
        <v>37</v>
      </c>
      <c r="C224" s="12" t="s">
        <v>59</v>
      </c>
      <c r="D224" s="12">
        <v>0</v>
      </c>
      <c r="E224" s="12" t="s">
        <v>60</v>
      </c>
      <c r="F224" s="12">
        <v>1</v>
      </c>
      <c r="G224" s="12">
        <v>0</v>
      </c>
      <c r="H224" s="12" t="s">
        <v>61</v>
      </c>
      <c r="I224" s="12">
        <v>1</v>
      </c>
      <c r="J224" s="12">
        <v>0</v>
      </c>
      <c r="K224" s="12">
        <v>11</v>
      </c>
      <c r="L224" s="12">
        <f t="shared" si="46"/>
        <v>11</v>
      </c>
      <c r="M224" s="12">
        <v>3</v>
      </c>
      <c r="N224" s="12" t="s">
        <v>66</v>
      </c>
      <c r="O224" s="12">
        <v>0</v>
      </c>
      <c r="P224" s="12">
        <v>1</v>
      </c>
      <c r="Q224" s="12">
        <v>0</v>
      </c>
      <c r="R224" s="12">
        <v>0</v>
      </c>
      <c r="S224" s="12">
        <v>0</v>
      </c>
      <c r="T224" s="12">
        <v>2</v>
      </c>
      <c r="U224" s="12" t="s">
        <v>62</v>
      </c>
      <c r="V224" s="12">
        <v>0</v>
      </c>
      <c r="W224" s="12">
        <v>47</v>
      </c>
      <c r="X224" s="12">
        <v>3</v>
      </c>
      <c r="Y224" s="12">
        <v>3</v>
      </c>
      <c r="Z224" s="12" t="s">
        <v>89</v>
      </c>
      <c r="AA224" s="12">
        <v>0</v>
      </c>
      <c r="AB224" s="12">
        <v>0</v>
      </c>
      <c r="AC224" s="12">
        <v>0</v>
      </c>
      <c r="AD224" s="12">
        <v>0</v>
      </c>
      <c r="AE224" s="12">
        <v>0</v>
      </c>
      <c r="AF224" s="12">
        <v>0</v>
      </c>
      <c r="AG224" s="12">
        <v>0</v>
      </c>
      <c r="AH224" s="12">
        <v>0</v>
      </c>
      <c r="AI224" s="12">
        <v>4</v>
      </c>
      <c r="AJ224" s="12" t="s">
        <v>78</v>
      </c>
      <c r="AK224" s="12">
        <v>0</v>
      </c>
      <c r="AL224" s="12">
        <v>0</v>
      </c>
      <c r="AM224" s="12">
        <v>12185</v>
      </c>
      <c r="AN224" s="12">
        <f t="shared" si="47"/>
        <v>12185</v>
      </c>
      <c r="AO224" s="12">
        <v>1</v>
      </c>
      <c r="AP224" s="12" t="s">
        <v>52</v>
      </c>
      <c r="AQ224" s="12">
        <v>1</v>
      </c>
      <c r="AR224" s="12">
        <v>14</v>
      </c>
      <c r="AS224" s="12">
        <v>3</v>
      </c>
      <c r="AT224" s="12">
        <v>3</v>
      </c>
      <c r="AU224" s="12">
        <v>3</v>
      </c>
      <c r="AV224" s="12">
        <v>10</v>
      </c>
      <c r="AW224" s="12">
        <f t="shared" si="48"/>
        <v>10</v>
      </c>
      <c r="AX224" s="12">
        <v>1</v>
      </c>
      <c r="AY224" s="12">
        <v>3</v>
      </c>
      <c r="AZ224" s="12">
        <v>10</v>
      </c>
      <c r="BA224" s="12">
        <f t="shared" si="49"/>
        <v>10</v>
      </c>
      <c r="BB224" s="12">
        <v>8</v>
      </c>
      <c r="BC224" s="12">
        <v>0</v>
      </c>
      <c r="BD224" s="12">
        <f t="shared" si="58"/>
        <v>0</v>
      </c>
      <c r="BE224" s="12">
        <v>7</v>
      </c>
      <c r="BF224" s="12">
        <f t="shared" si="50"/>
        <v>7</v>
      </c>
      <c r="BG224" s="12">
        <f t="shared" si="59"/>
        <v>21</v>
      </c>
      <c r="BH224" s="67">
        <v>0</v>
      </c>
      <c r="BI224" s="67">
        <v>0</v>
      </c>
      <c r="BJ224" s="67">
        <v>1</v>
      </c>
      <c r="BK224" s="67">
        <v>0</v>
      </c>
      <c r="BL224" s="67">
        <v>0</v>
      </c>
      <c r="BM224" s="67">
        <v>1</v>
      </c>
      <c r="BN224" s="67">
        <v>0</v>
      </c>
      <c r="BO224" s="67">
        <v>0</v>
      </c>
      <c r="BP224" s="67">
        <v>0</v>
      </c>
      <c r="BQ224" s="67">
        <v>7</v>
      </c>
      <c r="BR224" s="67">
        <v>0</v>
      </c>
      <c r="BS224" s="67">
        <v>0</v>
      </c>
      <c r="BT224" s="67">
        <v>10</v>
      </c>
      <c r="BU224" s="70">
        <v>0</v>
      </c>
      <c r="BV224" s="29">
        <f t="shared" si="51"/>
        <v>1.2069075756774472</v>
      </c>
      <c r="BW224">
        <f t="shared" si="52"/>
        <v>0.80626709607243985</v>
      </c>
      <c r="BX224">
        <f t="shared" si="53"/>
        <v>0.1644554352117841</v>
      </c>
      <c r="BY224">
        <f t="shared" si="54"/>
        <v>0.48834154112957734</v>
      </c>
      <c r="BZ224">
        <f t="shared" si="55"/>
        <v>0.22295710105195232</v>
      </c>
      <c r="CA224">
        <f t="shared" si="56"/>
        <v>8.3401599596422994E-3</v>
      </c>
      <c r="CB224">
        <f t="shared" si="57"/>
        <v>0.67891464284095016</v>
      </c>
    </row>
    <row r="225" spans="1:80" x14ac:dyDescent="0.45">
      <c r="A225" s="11">
        <v>38</v>
      </c>
      <c r="B225" s="12">
        <f t="shared" si="45"/>
        <v>38</v>
      </c>
      <c r="C225" s="12" t="s">
        <v>59</v>
      </c>
      <c r="D225" s="12">
        <v>0</v>
      </c>
      <c r="E225" s="12" t="s">
        <v>53</v>
      </c>
      <c r="F225" s="12">
        <v>0</v>
      </c>
      <c r="G225" s="12">
        <v>1</v>
      </c>
      <c r="H225" s="12" t="s">
        <v>54</v>
      </c>
      <c r="I225" s="12">
        <v>0</v>
      </c>
      <c r="J225" s="12">
        <v>1</v>
      </c>
      <c r="K225" s="12">
        <v>3</v>
      </c>
      <c r="L225" s="12">
        <f t="shared" si="46"/>
        <v>3</v>
      </c>
      <c r="M225" s="12">
        <v>3</v>
      </c>
      <c r="N225" s="12" t="s">
        <v>55</v>
      </c>
      <c r="O225" s="12">
        <v>1</v>
      </c>
      <c r="P225" s="12">
        <v>0</v>
      </c>
      <c r="Q225" s="12">
        <v>0</v>
      </c>
      <c r="R225" s="12">
        <v>0</v>
      </c>
      <c r="S225" s="12">
        <v>0</v>
      </c>
      <c r="T225" s="12">
        <v>1</v>
      </c>
      <c r="U225" s="12" t="s">
        <v>62</v>
      </c>
      <c r="V225" s="12">
        <v>0</v>
      </c>
      <c r="W225" s="12">
        <v>76</v>
      </c>
      <c r="X225" s="12">
        <v>3</v>
      </c>
      <c r="Y225" s="12">
        <v>3</v>
      </c>
      <c r="Z225" s="12" t="s">
        <v>56</v>
      </c>
      <c r="AA225" s="12">
        <v>0</v>
      </c>
      <c r="AB225" s="12">
        <v>1</v>
      </c>
      <c r="AC225" s="12">
        <v>0</v>
      </c>
      <c r="AD225" s="12">
        <v>0</v>
      </c>
      <c r="AE225" s="12">
        <v>0</v>
      </c>
      <c r="AF225" s="12">
        <v>0</v>
      </c>
      <c r="AG225" s="12">
        <v>0</v>
      </c>
      <c r="AH225" s="12">
        <v>0</v>
      </c>
      <c r="AI225" s="12">
        <v>3</v>
      </c>
      <c r="AJ225" s="12" t="s">
        <v>78</v>
      </c>
      <c r="AK225" s="12">
        <v>0</v>
      </c>
      <c r="AL225" s="12">
        <v>0</v>
      </c>
      <c r="AM225" s="12">
        <v>10609</v>
      </c>
      <c r="AN225" s="12">
        <f t="shared" si="47"/>
        <v>10609</v>
      </c>
      <c r="AO225" s="12">
        <v>0</v>
      </c>
      <c r="AP225" s="12" t="s">
        <v>59</v>
      </c>
      <c r="AQ225" s="12">
        <v>0</v>
      </c>
      <c r="AR225" s="12">
        <v>12</v>
      </c>
      <c r="AS225" s="12">
        <v>3</v>
      </c>
      <c r="AT225" s="12">
        <v>3</v>
      </c>
      <c r="AU225" s="12">
        <v>2</v>
      </c>
      <c r="AV225" s="12">
        <v>17</v>
      </c>
      <c r="AW225" s="12">
        <f t="shared" si="48"/>
        <v>17</v>
      </c>
      <c r="AX225" s="12">
        <v>6</v>
      </c>
      <c r="AY225" s="12">
        <v>2</v>
      </c>
      <c r="AZ225" s="12">
        <v>16</v>
      </c>
      <c r="BA225" s="12">
        <f t="shared" si="49"/>
        <v>16</v>
      </c>
      <c r="BB225" s="12">
        <v>10</v>
      </c>
      <c r="BC225" s="12">
        <v>5</v>
      </c>
      <c r="BD225" s="12">
        <f t="shared" si="58"/>
        <v>5</v>
      </c>
      <c r="BE225" s="12">
        <v>13</v>
      </c>
      <c r="BF225" s="12">
        <f t="shared" si="50"/>
        <v>13</v>
      </c>
      <c r="BG225" s="12">
        <f t="shared" si="59"/>
        <v>39</v>
      </c>
      <c r="BH225" s="67">
        <v>1</v>
      </c>
      <c r="BI225" s="67">
        <v>0</v>
      </c>
      <c r="BJ225" s="67">
        <v>0</v>
      </c>
      <c r="BK225" s="67">
        <v>0</v>
      </c>
      <c r="BL225" s="67">
        <v>1</v>
      </c>
      <c r="BM225" s="67">
        <v>0</v>
      </c>
      <c r="BN225" s="67">
        <v>0</v>
      </c>
      <c r="BO225" s="67">
        <v>0</v>
      </c>
      <c r="BP225" s="67">
        <v>0</v>
      </c>
      <c r="BQ225" s="67">
        <v>0</v>
      </c>
      <c r="BR225" s="67">
        <v>13</v>
      </c>
      <c r="BS225" s="67">
        <v>0</v>
      </c>
      <c r="BT225" s="67">
        <v>0</v>
      </c>
      <c r="BU225" s="70">
        <v>17</v>
      </c>
      <c r="BV225" s="29">
        <f t="shared" si="51"/>
        <v>0.87215514004380079</v>
      </c>
      <c r="BW225">
        <f t="shared" si="52"/>
        <v>2.4878172940764407</v>
      </c>
      <c r="BX225">
        <f t="shared" si="53"/>
        <v>0.73519710510148462</v>
      </c>
      <c r="BY225">
        <f t="shared" si="54"/>
        <v>1.4676895158369152</v>
      </c>
      <c r="BZ225">
        <f t="shared" si="55"/>
        <v>0.76386092994953758</v>
      </c>
      <c r="CA225">
        <f t="shared" si="56"/>
        <v>0.11780475942994788</v>
      </c>
      <c r="CB225">
        <f t="shared" si="57"/>
        <v>0.87270930768174382</v>
      </c>
    </row>
    <row r="226" spans="1:80" x14ac:dyDescent="0.45">
      <c r="A226" s="11">
        <v>31</v>
      </c>
      <c r="B226" s="12">
        <f t="shared" si="45"/>
        <v>31</v>
      </c>
      <c r="C226" s="12" t="s">
        <v>59</v>
      </c>
      <c r="D226" s="12">
        <v>0</v>
      </c>
      <c r="E226" s="12" t="s">
        <v>86</v>
      </c>
      <c r="F226" s="12">
        <v>0</v>
      </c>
      <c r="G226" s="12">
        <v>0</v>
      </c>
      <c r="H226" s="12" t="s">
        <v>61</v>
      </c>
      <c r="I226" s="12">
        <v>1</v>
      </c>
      <c r="J226" s="12">
        <v>0</v>
      </c>
      <c r="K226" s="12">
        <v>1</v>
      </c>
      <c r="L226" s="12">
        <f t="shared" si="46"/>
        <v>1</v>
      </c>
      <c r="M226" s="12">
        <v>4</v>
      </c>
      <c r="N226" s="12" t="s">
        <v>70</v>
      </c>
      <c r="O226" s="12">
        <v>0</v>
      </c>
      <c r="P226" s="12">
        <v>0</v>
      </c>
      <c r="Q226" s="12">
        <v>1</v>
      </c>
      <c r="R226" s="12">
        <v>0</v>
      </c>
      <c r="S226" s="12">
        <v>0</v>
      </c>
      <c r="T226" s="12">
        <v>3</v>
      </c>
      <c r="U226" s="12" t="s">
        <v>62</v>
      </c>
      <c r="V226" s="12">
        <v>0</v>
      </c>
      <c r="W226" s="12">
        <v>90</v>
      </c>
      <c r="X226" s="12">
        <v>1</v>
      </c>
      <c r="Y226" s="12">
        <v>2</v>
      </c>
      <c r="Z226" s="12" t="s">
        <v>83</v>
      </c>
      <c r="AA226" s="12">
        <v>0</v>
      </c>
      <c r="AB226" s="12">
        <v>0</v>
      </c>
      <c r="AC226" s="12">
        <v>0</v>
      </c>
      <c r="AD226" s="12">
        <v>0</v>
      </c>
      <c r="AE226" s="12">
        <v>1</v>
      </c>
      <c r="AF226" s="12">
        <v>1</v>
      </c>
      <c r="AG226" s="12">
        <v>0</v>
      </c>
      <c r="AH226" s="12">
        <v>0</v>
      </c>
      <c r="AI226" s="12">
        <v>3</v>
      </c>
      <c r="AJ226" s="12" t="s">
        <v>64</v>
      </c>
      <c r="AK226" s="12">
        <v>0</v>
      </c>
      <c r="AL226" s="12">
        <v>1</v>
      </c>
      <c r="AM226" s="12">
        <v>4345</v>
      </c>
      <c r="AN226" s="12">
        <f t="shared" si="47"/>
        <v>4345</v>
      </c>
      <c r="AO226" s="12">
        <v>0</v>
      </c>
      <c r="AP226" s="12" t="s">
        <v>59</v>
      </c>
      <c r="AQ226" s="12">
        <v>0</v>
      </c>
      <c r="AR226" s="12">
        <v>12</v>
      </c>
      <c r="AS226" s="12">
        <v>3</v>
      </c>
      <c r="AT226" s="12">
        <v>4</v>
      </c>
      <c r="AU226" s="12">
        <v>1</v>
      </c>
      <c r="AV226" s="12">
        <v>6</v>
      </c>
      <c r="AW226" s="12">
        <f t="shared" si="48"/>
        <v>6</v>
      </c>
      <c r="AX226" s="12">
        <v>2</v>
      </c>
      <c r="AY226" s="12">
        <v>3</v>
      </c>
      <c r="AZ226" s="12">
        <v>5</v>
      </c>
      <c r="BA226" s="12">
        <f t="shared" si="49"/>
        <v>5</v>
      </c>
      <c r="BB226" s="12">
        <v>4</v>
      </c>
      <c r="BC226" s="12">
        <v>1</v>
      </c>
      <c r="BD226" s="12">
        <f t="shared" si="58"/>
        <v>1</v>
      </c>
      <c r="BE226" s="12">
        <v>4</v>
      </c>
      <c r="BF226" s="12">
        <f t="shared" si="50"/>
        <v>4</v>
      </c>
      <c r="BG226" s="12">
        <f t="shared" si="59"/>
        <v>8</v>
      </c>
      <c r="BH226" s="67">
        <v>0</v>
      </c>
      <c r="BI226" s="67">
        <v>1</v>
      </c>
      <c r="BJ226" s="67">
        <v>0</v>
      </c>
      <c r="BK226" s="67">
        <v>0</v>
      </c>
      <c r="BL226" s="67">
        <v>0</v>
      </c>
      <c r="BM226" s="67">
        <v>0</v>
      </c>
      <c r="BN226" s="67">
        <v>1</v>
      </c>
      <c r="BO226" s="67">
        <v>0</v>
      </c>
      <c r="BP226" s="67">
        <v>0</v>
      </c>
      <c r="BQ226" s="67">
        <v>4</v>
      </c>
      <c r="BR226" s="67">
        <v>0</v>
      </c>
      <c r="BS226" s="67">
        <v>0</v>
      </c>
      <c r="BT226" s="67">
        <v>6</v>
      </c>
      <c r="BU226" s="70">
        <v>0</v>
      </c>
      <c r="BV226" s="29">
        <f t="shared" si="51"/>
        <v>0.45835834777927076</v>
      </c>
      <c r="BW226">
        <f t="shared" si="52"/>
        <v>3.4508002929560584E-2</v>
      </c>
      <c r="BX226">
        <f t="shared" si="53"/>
        <v>0.67854260110508058</v>
      </c>
      <c r="BY226">
        <f t="shared" si="54"/>
        <v>0.32778177112653761</v>
      </c>
      <c r="BZ226">
        <f t="shared" si="55"/>
        <v>1.01056543769991</v>
      </c>
      <c r="CA226">
        <f t="shared" si="56"/>
        <v>0.6484474368621912</v>
      </c>
      <c r="CB226">
        <f t="shared" si="57"/>
        <v>0.36858985273641137</v>
      </c>
    </row>
    <row r="227" spans="1:80" x14ac:dyDescent="0.45">
      <c r="A227" s="11">
        <v>59</v>
      </c>
      <c r="B227" s="12">
        <f t="shared" si="45"/>
        <v>58.309999999999945</v>
      </c>
      <c r="C227" s="12" t="s">
        <v>59</v>
      </c>
      <c r="D227" s="12">
        <v>0</v>
      </c>
      <c r="E227" s="12" t="s">
        <v>53</v>
      </c>
      <c r="F227" s="12">
        <v>0</v>
      </c>
      <c r="G227" s="12">
        <v>1</v>
      </c>
      <c r="H227" s="12" t="s">
        <v>61</v>
      </c>
      <c r="I227" s="12">
        <v>1</v>
      </c>
      <c r="J227" s="12">
        <v>0</v>
      </c>
      <c r="K227" s="12">
        <v>3</v>
      </c>
      <c r="L227" s="12">
        <f t="shared" si="46"/>
        <v>3</v>
      </c>
      <c r="M227" s="12">
        <v>3</v>
      </c>
      <c r="N227" s="12" t="s">
        <v>55</v>
      </c>
      <c r="O227" s="12">
        <v>1</v>
      </c>
      <c r="P227" s="12">
        <v>0</v>
      </c>
      <c r="Q227" s="12">
        <v>0</v>
      </c>
      <c r="R227" s="12">
        <v>0</v>
      </c>
      <c r="S227" s="12">
        <v>0</v>
      </c>
      <c r="T227" s="12">
        <v>3</v>
      </c>
      <c r="U227" s="12" t="s">
        <v>62</v>
      </c>
      <c r="V227" s="12">
        <v>0</v>
      </c>
      <c r="W227" s="12">
        <v>70</v>
      </c>
      <c r="X227" s="12">
        <v>2</v>
      </c>
      <c r="Y227" s="12">
        <v>1</v>
      </c>
      <c r="Z227" s="12" t="s">
        <v>63</v>
      </c>
      <c r="AA227" s="12">
        <v>0</v>
      </c>
      <c r="AB227" s="12">
        <v>0</v>
      </c>
      <c r="AC227" s="12">
        <v>0</v>
      </c>
      <c r="AD227" s="12">
        <v>0</v>
      </c>
      <c r="AE227" s="12">
        <v>0</v>
      </c>
      <c r="AF227" s="12">
        <v>0</v>
      </c>
      <c r="AG227" s="12">
        <v>0</v>
      </c>
      <c r="AH227" s="12">
        <v>1</v>
      </c>
      <c r="AI227" s="12">
        <v>4</v>
      </c>
      <c r="AJ227" s="12" t="s">
        <v>64</v>
      </c>
      <c r="AK227" s="12">
        <v>0</v>
      </c>
      <c r="AL227" s="12">
        <v>1</v>
      </c>
      <c r="AM227" s="12">
        <v>2177</v>
      </c>
      <c r="AN227" s="12">
        <f t="shared" si="47"/>
        <v>2177</v>
      </c>
      <c r="AO227" s="12">
        <v>3</v>
      </c>
      <c r="AP227" s="12" t="s">
        <v>59</v>
      </c>
      <c r="AQ227" s="12">
        <v>0</v>
      </c>
      <c r="AR227" s="12">
        <v>17</v>
      </c>
      <c r="AS227" s="12">
        <v>3</v>
      </c>
      <c r="AT227" s="12">
        <v>1</v>
      </c>
      <c r="AU227" s="12">
        <v>1</v>
      </c>
      <c r="AV227" s="12">
        <v>7</v>
      </c>
      <c r="AW227" s="12">
        <f t="shared" si="48"/>
        <v>7</v>
      </c>
      <c r="AX227" s="12">
        <v>6</v>
      </c>
      <c r="AY227" s="12">
        <v>3</v>
      </c>
      <c r="AZ227" s="12">
        <v>1</v>
      </c>
      <c r="BA227" s="12">
        <f t="shared" si="49"/>
        <v>1</v>
      </c>
      <c r="BB227" s="12">
        <v>0</v>
      </c>
      <c r="BC227" s="12">
        <v>0</v>
      </c>
      <c r="BD227" s="12">
        <f t="shared" si="58"/>
        <v>0</v>
      </c>
      <c r="BE227" s="12">
        <v>0</v>
      </c>
      <c r="BF227" s="12">
        <f t="shared" si="50"/>
        <v>0</v>
      </c>
      <c r="BG227" s="12">
        <f t="shared" si="59"/>
        <v>0</v>
      </c>
      <c r="BH227" s="67">
        <v>0</v>
      </c>
      <c r="BI227" s="67">
        <v>1</v>
      </c>
      <c r="BJ227" s="67">
        <v>0</v>
      </c>
      <c r="BK227" s="67">
        <v>0</v>
      </c>
      <c r="BL227" s="67">
        <v>0</v>
      </c>
      <c r="BM227" s="67">
        <v>0</v>
      </c>
      <c r="BN227" s="67">
        <v>1</v>
      </c>
      <c r="BO227" s="67">
        <v>0</v>
      </c>
      <c r="BP227" s="67">
        <v>0</v>
      </c>
      <c r="BQ227" s="67">
        <v>0</v>
      </c>
      <c r="BR227" s="67">
        <v>0</v>
      </c>
      <c r="BS227" s="67">
        <v>0</v>
      </c>
      <c r="BT227" s="67">
        <v>7</v>
      </c>
      <c r="BU227" s="70">
        <v>0</v>
      </c>
      <c r="BV227" s="29">
        <f t="shared" si="51"/>
        <v>0.91885535314332234</v>
      </c>
      <c r="BW227">
        <f t="shared" si="52"/>
        <v>1.1555414682655611</v>
      </c>
      <c r="BX227">
        <f t="shared" si="53"/>
        <v>0.55002080963175637</v>
      </c>
      <c r="BY227">
        <f t="shared" si="54"/>
        <v>0.9806804209314296</v>
      </c>
      <c r="BZ227">
        <f t="shared" si="55"/>
        <v>0.76386092994953758</v>
      </c>
      <c r="CA227">
        <f t="shared" si="56"/>
        <v>2.4165613483063648</v>
      </c>
      <c r="CB227">
        <f t="shared" si="57"/>
        <v>0.67891464284095016</v>
      </c>
    </row>
    <row r="228" spans="1:80" x14ac:dyDescent="0.45">
      <c r="A228" s="11">
        <v>37</v>
      </c>
      <c r="B228" s="12">
        <f t="shared" si="45"/>
        <v>37</v>
      </c>
      <c r="C228" s="12" t="s">
        <v>59</v>
      </c>
      <c r="D228" s="12">
        <v>0</v>
      </c>
      <c r="E228" s="12" t="s">
        <v>60</v>
      </c>
      <c r="F228" s="12">
        <v>1</v>
      </c>
      <c r="G228" s="12">
        <v>0</v>
      </c>
      <c r="H228" s="12" t="s">
        <v>54</v>
      </c>
      <c r="I228" s="12">
        <v>0</v>
      </c>
      <c r="J228" s="12">
        <v>1</v>
      </c>
      <c r="K228" s="12">
        <v>4</v>
      </c>
      <c r="L228" s="12">
        <f t="shared" si="46"/>
        <v>4</v>
      </c>
      <c r="M228" s="12">
        <v>4</v>
      </c>
      <c r="N228" s="12" t="s">
        <v>90</v>
      </c>
      <c r="O228" s="12">
        <v>0</v>
      </c>
      <c r="P228" s="12">
        <v>0</v>
      </c>
      <c r="Q228" s="12">
        <v>0</v>
      </c>
      <c r="R228" s="12">
        <v>1</v>
      </c>
      <c r="S228" s="12">
        <v>0</v>
      </c>
      <c r="T228" s="12">
        <v>1</v>
      </c>
      <c r="U228" s="12" t="s">
        <v>62</v>
      </c>
      <c r="V228" s="12">
        <v>0</v>
      </c>
      <c r="W228" s="12">
        <v>41</v>
      </c>
      <c r="X228" s="12">
        <v>3</v>
      </c>
      <c r="Y228" s="12">
        <v>1</v>
      </c>
      <c r="Z228" s="12" t="s">
        <v>88</v>
      </c>
      <c r="AA228" s="12">
        <v>0</v>
      </c>
      <c r="AB228" s="12">
        <v>0</v>
      </c>
      <c r="AC228" s="12">
        <v>0</v>
      </c>
      <c r="AD228" s="12">
        <v>0</v>
      </c>
      <c r="AE228" s="12">
        <v>0</v>
      </c>
      <c r="AF228" s="12">
        <v>0</v>
      </c>
      <c r="AG228" s="12">
        <v>1</v>
      </c>
      <c r="AH228" s="12">
        <v>0</v>
      </c>
      <c r="AI228" s="12">
        <v>4</v>
      </c>
      <c r="AJ228" s="12" t="s">
        <v>78</v>
      </c>
      <c r="AK228" s="12">
        <v>0</v>
      </c>
      <c r="AL228" s="12">
        <v>0</v>
      </c>
      <c r="AM228" s="12">
        <v>2793</v>
      </c>
      <c r="AN228" s="12">
        <f t="shared" si="47"/>
        <v>2793</v>
      </c>
      <c r="AO228" s="12">
        <v>4</v>
      </c>
      <c r="AP228" s="12" t="s">
        <v>59</v>
      </c>
      <c r="AQ228" s="12">
        <v>0</v>
      </c>
      <c r="AR228" s="12">
        <v>17</v>
      </c>
      <c r="AS228" s="12">
        <v>3</v>
      </c>
      <c r="AT228" s="12">
        <v>3</v>
      </c>
      <c r="AU228" s="12">
        <v>1</v>
      </c>
      <c r="AV228" s="12">
        <v>13</v>
      </c>
      <c r="AW228" s="12">
        <f t="shared" si="48"/>
        <v>13</v>
      </c>
      <c r="AX228" s="12">
        <v>2</v>
      </c>
      <c r="AY228" s="12">
        <v>3</v>
      </c>
      <c r="AZ228" s="12">
        <v>9</v>
      </c>
      <c r="BA228" s="12">
        <f t="shared" si="49"/>
        <v>9</v>
      </c>
      <c r="BB228" s="12">
        <v>8</v>
      </c>
      <c r="BC228" s="12">
        <v>5</v>
      </c>
      <c r="BD228" s="12">
        <f t="shared" si="58"/>
        <v>5</v>
      </c>
      <c r="BE228" s="12">
        <v>8</v>
      </c>
      <c r="BF228" s="12">
        <f t="shared" si="50"/>
        <v>8</v>
      </c>
      <c r="BG228" s="12">
        <f t="shared" si="59"/>
        <v>8</v>
      </c>
      <c r="BH228" s="67">
        <v>0</v>
      </c>
      <c r="BI228" s="67">
        <v>0</v>
      </c>
      <c r="BJ228" s="67">
        <v>1</v>
      </c>
      <c r="BK228" s="67">
        <v>0</v>
      </c>
      <c r="BL228" s="67">
        <v>1</v>
      </c>
      <c r="BM228" s="67">
        <v>0</v>
      </c>
      <c r="BN228" s="67">
        <v>0</v>
      </c>
      <c r="BO228" s="67">
        <v>0</v>
      </c>
      <c r="BP228" s="67">
        <v>0</v>
      </c>
      <c r="BQ228" s="67">
        <v>0</v>
      </c>
      <c r="BR228" s="67">
        <v>8</v>
      </c>
      <c r="BS228" s="67">
        <v>0</v>
      </c>
      <c r="BT228" s="67">
        <v>0</v>
      </c>
      <c r="BU228" s="70">
        <v>13</v>
      </c>
      <c r="BV228" s="29">
        <f t="shared" si="51"/>
        <v>0.7880130305860088</v>
      </c>
      <c r="BW228">
        <f t="shared" si="52"/>
        <v>1.08652546240644</v>
      </c>
      <c r="BX228">
        <f t="shared" si="53"/>
        <v>0.22110993920818819</v>
      </c>
      <c r="BY228">
        <f t="shared" si="54"/>
        <v>0.32511687867835437</v>
      </c>
      <c r="BZ228">
        <f t="shared" si="55"/>
        <v>0.64050867607435136</v>
      </c>
      <c r="CA228">
        <f t="shared" si="56"/>
        <v>8.3401599596422994E-3</v>
      </c>
      <c r="CB228">
        <f t="shared" si="57"/>
        <v>0.87270930768174382</v>
      </c>
    </row>
    <row r="229" spans="1:80" x14ac:dyDescent="0.45">
      <c r="A229" s="11">
        <v>29</v>
      </c>
      <c r="B229" s="12">
        <f t="shared" si="45"/>
        <v>29</v>
      </c>
      <c r="C229" s="12" t="s">
        <v>59</v>
      </c>
      <c r="D229" s="12">
        <v>0</v>
      </c>
      <c r="E229" s="12" t="s">
        <v>60</v>
      </c>
      <c r="F229" s="12">
        <v>1</v>
      </c>
      <c r="G229" s="12">
        <v>0</v>
      </c>
      <c r="H229" s="12" t="s">
        <v>54</v>
      </c>
      <c r="I229" s="12">
        <v>0</v>
      </c>
      <c r="J229" s="12">
        <v>1</v>
      </c>
      <c r="K229" s="12">
        <v>1</v>
      </c>
      <c r="L229" s="12">
        <f t="shared" si="46"/>
        <v>1</v>
      </c>
      <c r="M229" s="12">
        <v>1</v>
      </c>
      <c r="N229" s="12" t="s">
        <v>70</v>
      </c>
      <c r="O229" s="12">
        <v>0</v>
      </c>
      <c r="P229" s="12">
        <v>0</v>
      </c>
      <c r="Q229" s="12">
        <v>1</v>
      </c>
      <c r="R229" s="12">
        <v>0</v>
      </c>
      <c r="S229" s="12">
        <v>0</v>
      </c>
      <c r="T229" s="12">
        <v>2</v>
      </c>
      <c r="U229" s="12" t="s">
        <v>19</v>
      </c>
      <c r="V229" s="12">
        <v>1</v>
      </c>
      <c r="W229" s="12">
        <v>42</v>
      </c>
      <c r="X229" s="12">
        <v>3</v>
      </c>
      <c r="Y229" s="12">
        <v>3</v>
      </c>
      <c r="Z229" s="12" t="s">
        <v>56</v>
      </c>
      <c r="AA229" s="12">
        <v>0</v>
      </c>
      <c r="AB229" s="12">
        <v>1</v>
      </c>
      <c r="AC229" s="12">
        <v>0</v>
      </c>
      <c r="AD229" s="12">
        <v>0</v>
      </c>
      <c r="AE229" s="12">
        <v>0</v>
      </c>
      <c r="AF229" s="12">
        <v>0</v>
      </c>
      <c r="AG229" s="12">
        <v>0</v>
      </c>
      <c r="AH229" s="12">
        <v>0</v>
      </c>
      <c r="AI229" s="12">
        <v>4</v>
      </c>
      <c r="AJ229" s="12" t="s">
        <v>64</v>
      </c>
      <c r="AK229" s="12">
        <v>0</v>
      </c>
      <c r="AL229" s="12">
        <v>1</v>
      </c>
      <c r="AM229" s="12">
        <v>7918</v>
      </c>
      <c r="AN229" s="12">
        <f t="shared" si="47"/>
        <v>7918</v>
      </c>
      <c r="AO229" s="12">
        <v>1</v>
      </c>
      <c r="AP229" s="12" t="s">
        <v>59</v>
      </c>
      <c r="AQ229" s="12">
        <v>0</v>
      </c>
      <c r="AR229" s="12">
        <v>14</v>
      </c>
      <c r="AS229" s="12">
        <v>3</v>
      </c>
      <c r="AT229" s="12">
        <v>4</v>
      </c>
      <c r="AU229" s="12">
        <v>1</v>
      </c>
      <c r="AV229" s="12">
        <v>11</v>
      </c>
      <c r="AW229" s="12">
        <f t="shared" si="48"/>
        <v>11</v>
      </c>
      <c r="AX229" s="12">
        <v>5</v>
      </c>
      <c r="AY229" s="12">
        <v>3</v>
      </c>
      <c r="AZ229" s="12">
        <v>11</v>
      </c>
      <c r="BA229" s="12">
        <f t="shared" si="49"/>
        <v>11</v>
      </c>
      <c r="BB229" s="12">
        <v>10</v>
      </c>
      <c r="BC229" s="12">
        <v>4</v>
      </c>
      <c r="BD229" s="12">
        <f t="shared" si="58"/>
        <v>4</v>
      </c>
      <c r="BE229" s="12">
        <v>1</v>
      </c>
      <c r="BF229" s="12">
        <f t="shared" si="50"/>
        <v>1</v>
      </c>
      <c r="BG229" s="12">
        <f t="shared" si="59"/>
        <v>3</v>
      </c>
      <c r="BH229" s="67">
        <v>0</v>
      </c>
      <c r="BI229" s="67">
        <v>0</v>
      </c>
      <c r="BJ229" s="67">
        <v>0</v>
      </c>
      <c r="BK229" s="67">
        <v>1</v>
      </c>
      <c r="BL229" s="67">
        <v>0</v>
      </c>
      <c r="BM229" s="67">
        <v>0</v>
      </c>
      <c r="BN229" s="67">
        <v>1</v>
      </c>
      <c r="BO229" s="67">
        <v>0</v>
      </c>
      <c r="BP229" s="67">
        <v>0</v>
      </c>
      <c r="BQ229" s="67">
        <v>0</v>
      </c>
      <c r="BR229" s="67">
        <v>1</v>
      </c>
      <c r="BS229" s="67">
        <v>0</v>
      </c>
      <c r="BT229" s="67">
        <v>0</v>
      </c>
      <c r="BU229" s="70">
        <v>11</v>
      </c>
      <c r="BV229" s="29">
        <f t="shared" si="51"/>
        <v>0.30056960432670543</v>
      </c>
      <c r="BW229">
        <f t="shared" si="52"/>
        <v>0.87528310193156111</v>
      </c>
      <c r="BX229">
        <f t="shared" si="53"/>
        <v>3.593364373846001E-2</v>
      </c>
      <c r="BY229">
        <f t="shared" si="54"/>
        <v>0.65156620358080031</v>
      </c>
      <c r="BZ229">
        <f t="shared" si="55"/>
        <v>1.01056543769991</v>
      </c>
      <c r="CA229">
        <f t="shared" si="56"/>
        <v>0.86737663580280233</v>
      </c>
      <c r="CB229">
        <f t="shared" si="57"/>
        <v>0.56238451757720498</v>
      </c>
    </row>
    <row r="230" spans="1:80" x14ac:dyDescent="0.45">
      <c r="A230" s="11">
        <v>35</v>
      </c>
      <c r="B230" s="12">
        <f t="shared" si="45"/>
        <v>35</v>
      </c>
      <c r="C230" s="12" t="s">
        <v>59</v>
      </c>
      <c r="D230" s="12">
        <v>0</v>
      </c>
      <c r="E230" s="12" t="s">
        <v>60</v>
      </c>
      <c r="F230" s="12">
        <v>1</v>
      </c>
      <c r="G230" s="12">
        <v>0</v>
      </c>
      <c r="H230" s="12" t="s">
        <v>54</v>
      </c>
      <c r="I230" s="12">
        <v>0</v>
      </c>
      <c r="J230" s="12">
        <v>1</v>
      </c>
      <c r="K230" s="12">
        <v>1</v>
      </c>
      <c r="L230" s="12">
        <f t="shared" si="46"/>
        <v>1</v>
      </c>
      <c r="M230" s="12">
        <v>3</v>
      </c>
      <c r="N230" s="12" t="s">
        <v>90</v>
      </c>
      <c r="O230" s="12">
        <v>0</v>
      </c>
      <c r="P230" s="12">
        <v>0</v>
      </c>
      <c r="Q230" s="12">
        <v>0</v>
      </c>
      <c r="R230" s="12">
        <v>1</v>
      </c>
      <c r="S230" s="12">
        <v>0</v>
      </c>
      <c r="T230" s="12">
        <v>3</v>
      </c>
      <c r="U230" s="12" t="s">
        <v>19</v>
      </c>
      <c r="V230" s="12">
        <v>1</v>
      </c>
      <c r="W230" s="12">
        <v>92</v>
      </c>
      <c r="X230" s="12">
        <v>3</v>
      </c>
      <c r="Y230" s="12">
        <v>3</v>
      </c>
      <c r="Z230" s="12" t="s">
        <v>56</v>
      </c>
      <c r="AA230" s="12">
        <v>0</v>
      </c>
      <c r="AB230" s="12">
        <v>1</v>
      </c>
      <c r="AC230" s="12">
        <v>0</v>
      </c>
      <c r="AD230" s="12">
        <v>0</v>
      </c>
      <c r="AE230" s="12">
        <v>0</v>
      </c>
      <c r="AF230" s="12">
        <v>0</v>
      </c>
      <c r="AG230" s="12">
        <v>0</v>
      </c>
      <c r="AH230" s="12">
        <v>0</v>
      </c>
      <c r="AI230" s="12">
        <v>3</v>
      </c>
      <c r="AJ230" s="12" t="s">
        <v>57</v>
      </c>
      <c r="AK230" s="12">
        <v>1</v>
      </c>
      <c r="AL230" s="12">
        <v>0</v>
      </c>
      <c r="AM230" s="12">
        <v>8789</v>
      </c>
      <c r="AN230" s="12">
        <f t="shared" si="47"/>
        <v>8789</v>
      </c>
      <c r="AO230" s="12">
        <v>1</v>
      </c>
      <c r="AP230" s="12" t="s">
        <v>59</v>
      </c>
      <c r="AQ230" s="12">
        <v>0</v>
      </c>
      <c r="AR230" s="12">
        <v>14</v>
      </c>
      <c r="AS230" s="12">
        <v>3</v>
      </c>
      <c r="AT230" s="12">
        <v>1</v>
      </c>
      <c r="AU230" s="12">
        <v>0</v>
      </c>
      <c r="AV230" s="12">
        <v>10</v>
      </c>
      <c r="AW230" s="12">
        <f t="shared" si="48"/>
        <v>10</v>
      </c>
      <c r="AX230" s="12">
        <v>3</v>
      </c>
      <c r="AY230" s="12">
        <v>4</v>
      </c>
      <c r="AZ230" s="12">
        <v>10</v>
      </c>
      <c r="BA230" s="12">
        <f t="shared" si="49"/>
        <v>10</v>
      </c>
      <c r="BB230" s="12">
        <v>7</v>
      </c>
      <c r="BC230" s="12">
        <v>0</v>
      </c>
      <c r="BD230" s="12">
        <f t="shared" si="58"/>
        <v>0</v>
      </c>
      <c r="BE230" s="12">
        <v>8</v>
      </c>
      <c r="BF230" s="12">
        <f t="shared" si="50"/>
        <v>8</v>
      </c>
      <c r="BG230" s="12">
        <f t="shared" si="59"/>
        <v>24</v>
      </c>
      <c r="BH230" s="67">
        <v>0</v>
      </c>
      <c r="BI230" s="67">
        <v>0</v>
      </c>
      <c r="BJ230" s="67">
        <v>1</v>
      </c>
      <c r="BK230" s="67">
        <v>0</v>
      </c>
      <c r="BL230" s="67">
        <v>1</v>
      </c>
      <c r="BM230" s="67">
        <v>0</v>
      </c>
      <c r="BN230" s="67">
        <v>0</v>
      </c>
      <c r="BO230" s="67">
        <v>0</v>
      </c>
      <c r="BP230" s="67">
        <v>0</v>
      </c>
      <c r="BQ230" s="67">
        <v>0</v>
      </c>
      <c r="BR230" s="67">
        <v>8</v>
      </c>
      <c r="BS230" s="67">
        <v>0</v>
      </c>
      <c r="BT230" s="67">
        <v>0</v>
      </c>
      <c r="BU230" s="70">
        <v>10</v>
      </c>
      <c r="BV230" s="29">
        <f t="shared" si="51"/>
        <v>0.48557555066991986</v>
      </c>
      <c r="BW230">
        <f t="shared" si="52"/>
        <v>1.08652546240644</v>
      </c>
      <c r="BX230">
        <f t="shared" si="53"/>
        <v>0.1644554352117841</v>
      </c>
      <c r="BY230">
        <f t="shared" si="54"/>
        <v>0.48834154112957734</v>
      </c>
      <c r="BZ230">
        <f t="shared" si="55"/>
        <v>1.01056543769991</v>
      </c>
      <c r="CA230">
        <f t="shared" si="56"/>
        <v>0.21058903898096887</v>
      </c>
      <c r="CB230">
        <f t="shared" si="57"/>
        <v>0.67891464284095016</v>
      </c>
    </row>
    <row r="231" spans="1:80" x14ac:dyDescent="0.45">
      <c r="A231" s="11">
        <v>29</v>
      </c>
      <c r="B231" s="12">
        <f t="shared" si="45"/>
        <v>29</v>
      </c>
      <c r="C231" s="12" t="s">
        <v>52</v>
      </c>
      <c r="D231" s="12">
        <v>1</v>
      </c>
      <c r="E231" s="12" t="s">
        <v>53</v>
      </c>
      <c r="F231" s="12">
        <v>0</v>
      </c>
      <c r="G231" s="12">
        <v>1</v>
      </c>
      <c r="H231" s="12" t="s">
        <v>61</v>
      </c>
      <c r="I231" s="12">
        <v>1</v>
      </c>
      <c r="J231" s="12">
        <v>0</v>
      </c>
      <c r="K231" s="12">
        <v>18</v>
      </c>
      <c r="L231" s="12">
        <f t="shared" si="46"/>
        <v>18</v>
      </c>
      <c r="M231" s="12">
        <v>1</v>
      </c>
      <c r="N231" s="12" t="s">
        <v>70</v>
      </c>
      <c r="O231" s="12">
        <v>0</v>
      </c>
      <c r="P231" s="12">
        <v>0</v>
      </c>
      <c r="Q231" s="12">
        <v>1</v>
      </c>
      <c r="R231" s="12">
        <v>0</v>
      </c>
      <c r="S231" s="12">
        <v>0</v>
      </c>
      <c r="T231" s="12">
        <v>3</v>
      </c>
      <c r="U231" s="12" t="s">
        <v>62</v>
      </c>
      <c r="V231" s="12">
        <v>0</v>
      </c>
      <c r="W231" s="12">
        <v>86</v>
      </c>
      <c r="X231" s="12">
        <v>2</v>
      </c>
      <c r="Y231" s="12">
        <v>1</v>
      </c>
      <c r="Z231" s="12" t="s">
        <v>63</v>
      </c>
      <c r="AA231" s="12">
        <v>0</v>
      </c>
      <c r="AB231" s="12">
        <v>0</v>
      </c>
      <c r="AC231" s="12">
        <v>0</v>
      </c>
      <c r="AD231" s="12">
        <v>0</v>
      </c>
      <c r="AE231" s="12">
        <v>0</v>
      </c>
      <c r="AF231" s="12">
        <v>0</v>
      </c>
      <c r="AG231" s="12">
        <v>0</v>
      </c>
      <c r="AH231" s="12">
        <v>1</v>
      </c>
      <c r="AI231" s="12">
        <v>4</v>
      </c>
      <c r="AJ231" s="12" t="s">
        <v>57</v>
      </c>
      <c r="AK231" s="12">
        <v>1</v>
      </c>
      <c r="AL231" s="12">
        <v>0</v>
      </c>
      <c r="AM231" s="12">
        <v>2389</v>
      </c>
      <c r="AN231" s="12">
        <f t="shared" si="47"/>
        <v>2389</v>
      </c>
      <c r="AO231" s="12">
        <v>1</v>
      </c>
      <c r="AP231" s="12" t="s">
        <v>52</v>
      </c>
      <c r="AQ231" s="12">
        <v>1</v>
      </c>
      <c r="AR231" s="12">
        <v>13</v>
      </c>
      <c r="AS231" s="12">
        <v>3</v>
      </c>
      <c r="AT231" s="12">
        <v>3</v>
      </c>
      <c r="AU231" s="12">
        <v>0</v>
      </c>
      <c r="AV231" s="12">
        <v>4</v>
      </c>
      <c r="AW231" s="12">
        <f t="shared" si="48"/>
        <v>4</v>
      </c>
      <c r="AX231" s="12">
        <v>3</v>
      </c>
      <c r="AY231" s="12">
        <v>2</v>
      </c>
      <c r="AZ231" s="12">
        <v>4</v>
      </c>
      <c r="BA231" s="12">
        <f t="shared" si="49"/>
        <v>4</v>
      </c>
      <c r="BB231" s="12">
        <v>3</v>
      </c>
      <c r="BC231" s="12">
        <v>0</v>
      </c>
      <c r="BD231" s="12">
        <f t="shared" si="58"/>
        <v>0</v>
      </c>
      <c r="BE231" s="12">
        <v>1</v>
      </c>
      <c r="BF231" s="12">
        <f t="shared" si="50"/>
        <v>1</v>
      </c>
      <c r="BG231" s="12">
        <f t="shared" si="59"/>
        <v>1</v>
      </c>
      <c r="BH231" s="67">
        <v>1</v>
      </c>
      <c r="BI231" s="67">
        <v>0</v>
      </c>
      <c r="BJ231" s="67">
        <v>0</v>
      </c>
      <c r="BK231" s="67">
        <v>0</v>
      </c>
      <c r="BL231" s="67">
        <v>0</v>
      </c>
      <c r="BM231" s="67">
        <v>1</v>
      </c>
      <c r="BN231" s="67">
        <v>0</v>
      </c>
      <c r="BO231" s="67">
        <v>0</v>
      </c>
      <c r="BP231" s="67">
        <v>0</v>
      </c>
      <c r="BQ231" s="67">
        <v>1</v>
      </c>
      <c r="BR231" s="67">
        <v>0</v>
      </c>
      <c r="BS231" s="67">
        <v>0</v>
      </c>
      <c r="BT231" s="67">
        <v>4</v>
      </c>
      <c r="BU231" s="70">
        <v>0</v>
      </c>
      <c r="BV231" s="29">
        <f t="shared" si="51"/>
        <v>0.87382520317229884</v>
      </c>
      <c r="BW231">
        <f t="shared" si="52"/>
        <v>0.87528310193156111</v>
      </c>
      <c r="BX231">
        <f t="shared" si="53"/>
        <v>0.93558618405172878</v>
      </c>
      <c r="BY231">
        <f t="shared" si="54"/>
        <v>0.49100643357776058</v>
      </c>
      <c r="BZ231">
        <f t="shared" si="55"/>
        <v>1.0864228781782561</v>
      </c>
      <c r="CA231">
        <f t="shared" si="56"/>
        <v>0.86737663580280233</v>
      </c>
      <c r="CB231">
        <f t="shared" si="57"/>
        <v>0.67891464284095016</v>
      </c>
    </row>
    <row r="232" spans="1:80" x14ac:dyDescent="0.45">
      <c r="A232" s="11">
        <v>52</v>
      </c>
      <c r="B232" s="12">
        <f t="shared" si="45"/>
        <v>52</v>
      </c>
      <c r="C232" s="12" t="s">
        <v>59</v>
      </c>
      <c r="D232" s="12">
        <v>0</v>
      </c>
      <c r="E232" s="12" t="s">
        <v>53</v>
      </c>
      <c r="F232" s="12">
        <v>0</v>
      </c>
      <c r="G232" s="12">
        <v>1</v>
      </c>
      <c r="H232" s="12" t="s">
        <v>61</v>
      </c>
      <c r="I232" s="12">
        <v>1</v>
      </c>
      <c r="J232" s="12">
        <v>0</v>
      </c>
      <c r="K232" s="12">
        <v>2</v>
      </c>
      <c r="L232" s="12">
        <f t="shared" si="46"/>
        <v>2</v>
      </c>
      <c r="M232" s="12">
        <v>3</v>
      </c>
      <c r="N232" s="12" t="s">
        <v>55</v>
      </c>
      <c r="O232" s="12">
        <v>1</v>
      </c>
      <c r="P232" s="12">
        <v>0</v>
      </c>
      <c r="Q232" s="12">
        <v>0</v>
      </c>
      <c r="R232" s="12">
        <v>0</v>
      </c>
      <c r="S232" s="12">
        <v>0</v>
      </c>
      <c r="T232" s="12">
        <v>3</v>
      </c>
      <c r="U232" s="12" t="s">
        <v>19</v>
      </c>
      <c r="V232" s="12">
        <v>1</v>
      </c>
      <c r="W232" s="12">
        <v>89</v>
      </c>
      <c r="X232" s="12">
        <v>2</v>
      </c>
      <c r="Y232" s="12">
        <v>1</v>
      </c>
      <c r="Z232" s="12" t="s">
        <v>67</v>
      </c>
      <c r="AA232" s="12">
        <v>0</v>
      </c>
      <c r="AB232" s="12">
        <v>0</v>
      </c>
      <c r="AC232" s="12">
        <v>1</v>
      </c>
      <c r="AD232" s="12">
        <v>0</v>
      </c>
      <c r="AE232" s="12">
        <v>0</v>
      </c>
      <c r="AF232" s="12">
        <v>0</v>
      </c>
      <c r="AG232" s="12">
        <v>0</v>
      </c>
      <c r="AH232" s="12">
        <v>0</v>
      </c>
      <c r="AI232" s="12">
        <v>4</v>
      </c>
      <c r="AJ232" s="12" t="s">
        <v>57</v>
      </c>
      <c r="AK232" s="12">
        <v>1</v>
      </c>
      <c r="AL232" s="12">
        <v>0</v>
      </c>
      <c r="AM232" s="12">
        <v>3212</v>
      </c>
      <c r="AN232" s="12">
        <f t="shared" si="47"/>
        <v>3212</v>
      </c>
      <c r="AO232" s="12">
        <v>7</v>
      </c>
      <c r="AP232" s="12" t="s">
        <v>59</v>
      </c>
      <c r="AQ232" s="12">
        <v>0</v>
      </c>
      <c r="AR232" s="12">
        <v>15</v>
      </c>
      <c r="AS232" s="12">
        <v>3</v>
      </c>
      <c r="AT232" s="12">
        <v>2</v>
      </c>
      <c r="AU232" s="12">
        <v>0</v>
      </c>
      <c r="AV232" s="12">
        <v>6</v>
      </c>
      <c r="AW232" s="12">
        <f t="shared" si="48"/>
        <v>6</v>
      </c>
      <c r="AX232" s="12">
        <v>3</v>
      </c>
      <c r="AY232" s="12">
        <v>2</v>
      </c>
      <c r="AZ232" s="12">
        <v>2</v>
      </c>
      <c r="BA232" s="12">
        <f t="shared" si="49"/>
        <v>2</v>
      </c>
      <c r="BB232" s="12">
        <v>2</v>
      </c>
      <c r="BC232" s="12">
        <v>2</v>
      </c>
      <c r="BD232" s="12">
        <f t="shared" si="58"/>
        <v>2</v>
      </c>
      <c r="BE232" s="12">
        <v>2</v>
      </c>
      <c r="BF232" s="12">
        <f t="shared" si="50"/>
        <v>2</v>
      </c>
      <c r="BG232" s="12">
        <f t="shared" si="59"/>
        <v>2</v>
      </c>
      <c r="BH232" s="67">
        <v>1</v>
      </c>
      <c r="BI232" s="67">
        <v>0</v>
      </c>
      <c r="BJ232" s="67">
        <v>0</v>
      </c>
      <c r="BK232" s="67">
        <v>0</v>
      </c>
      <c r="BL232" s="67">
        <v>1</v>
      </c>
      <c r="BM232" s="67">
        <v>0</v>
      </c>
      <c r="BN232" s="67">
        <v>0</v>
      </c>
      <c r="BO232" s="67">
        <v>0</v>
      </c>
      <c r="BP232" s="67">
        <v>0</v>
      </c>
      <c r="BQ232" s="67">
        <v>2</v>
      </c>
      <c r="BR232" s="67">
        <v>0</v>
      </c>
      <c r="BS232" s="67">
        <v>0</v>
      </c>
      <c r="BT232" s="67">
        <v>6</v>
      </c>
      <c r="BU232" s="70">
        <v>0</v>
      </c>
      <c r="BV232" s="29">
        <f t="shared" si="51"/>
        <v>0.69901476248290106</v>
      </c>
      <c r="BW232">
        <f t="shared" si="52"/>
        <v>0.59502473559756086</v>
      </c>
      <c r="BX232">
        <f t="shared" si="53"/>
        <v>0.67854260110508058</v>
      </c>
      <c r="BY232">
        <f t="shared" si="54"/>
        <v>0.81745575848020657</v>
      </c>
      <c r="BZ232">
        <f t="shared" si="55"/>
        <v>0.88721318382472392</v>
      </c>
      <c r="CA232">
        <f t="shared" si="56"/>
        <v>1.6503091520142259</v>
      </c>
      <c r="CB232">
        <f t="shared" si="57"/>
        <v>5.8265062631872602E-2</v>
      </c>
    </row>
    <row r="233" spans="1:80" x14ac:dyDescent="0.45">
      <c r="A233" s="11">
        <v>42</v>
      </c>
      <c r="B233" s="12">
        <f t="shared" si="45"/>
        <v>42</v>
      </c>
      <c r="C233" s="12" t="s">
        <v>59</v>
      </c>
      <c r="D233" s="12">
        <v>0</v>
      </c>
      <c r="E233" s="12" t="s">
        <v>53</v>
      </c>
      <c r="F233" s="12">
        <v>0</v>
      </c>
      <c r="G233" s="12">
        <v>1</v>
      </c>
      <c r="H233" s="12" t="s">
        <v>61</v>
      </c>
      <c r="I233" s="12">
        <v>1</v>
      </c>
      <c r="J233" s="12">
        <v>0</v>
      </c>
      <c r="K233" s="12">
        <v>4</v>
      </c>
      <c r="L233" s="12">
        <f t="shared" si="46"/>
        <v>4</v>
      </c>
      <c r="M233" s="12">
        <v>2</v>
      </c>
      <c r="N233" s="12" t="s">
        <v>91</v>
      </c>
      <c r="O233" s="12">
        <v>0</v>
      </c>
      <c r="P233" s="12">
        <v>0</v>
      </c>
      <c r="Q233" s="12">
        <v>0</v>
      </c>
      <c r="R233" s="12">
        <v>0</v>
      </c>
      <c r="S233" s="12">
        <v>1</v>
      </c>
      <c r="T233" s="12">
        <v>3</v>
      </c>
      <c r="U233" s="12" t="s">
        <v>62</v>
      </c>
      <c r="V233" s="12">
        <v>0</v>
      </c>
      <c r="W233" s="12">
        <v>58</v>
      </c>
      <c r="X233" s="12">
        <v>3</v>
      </c>
      <c r="Y233" s="12">
        <v>5</v>
      </c>
      <c r="Z233" s="12" t="s">
        <v>87</v>
      </c>
      <c r="AA233" s="12">
        <v>0</v>
      </c>
      <c r="AB233" s="12">
        <v>0</v>
      </c>
      <c r="AC233" s="12">
        <v>0</v>
      </c>
      <c r="AD233" s="12">
        <v>1</v>
      </c>
      <c r="AE233" s="12">
        <v>0</v>
      </c>
      <c r="AF233" s="12">
        <v>0</v>
      </c>
      <c r="AG233" s="12">
        <v>0</v>
      </c>
      <c r="AH233" s="12">
        <v>0</v>
      </c>
      <c r="AI233" s="12">
        <v>4</v>
      </c>
      <c r="AJ233" s="12" t="s">
        <v>64</v>
      </c>
      <c r="AK233" s="12">
        <v>0</v>
      </c>
      <c r="AL233" s="12">
        <v>1</v>
      </c>
      <c r="AM233" s="12">
        <v>19232</v>
      </c>
      <c r="AN233" s="12">
        <f t="shared" si="47"/>
        <v>19232</v>
      </c>
      <c r="AO233" s="12">
        <v>1</v>
      </c>
      <c r="AP233" s="12" t="s">
        <v>59</v>
      </c>
      <c r="AQ233" s="12">
        <v>0</v>
      </c>
      <c r="AR233" s="12">
        <v>11</v>
      </c>
      <c r="AS233" s="12">
        <v>3</v>
      </c>
      <c r="AT233" s="12">
        <v>4</v>
      </c>
      <c r="AU233" s="12">
        <v>0</v>
      </c>
      <c r="AV233" s="12">
        <v>22</v>
      </c>
      <c r="AW233" s="12">
        <f t="shared" si="48"/>
        <v>22</v>
      </c>
      <c r="AX233" s="12">
        <v>3</v>
      </c>
      <c r="AY233" s="12">
        <v>3</v>
      </c>
      <c r="AZ233" s="12">
        <v>22</v>
      </c>
      <c r="BA233" s="12">
        <f t="shared" si="49"/>
        <v>22</v>
      </c>
      <c r="BB233" s="12">
        <v>17</v>
      </c>
      <c r="BC233" s="12">
        <v>11</v>
      </c>
      <c r="BD233" s="12">
        <f t="shared" si="58"/>
        <v>11</v>
      </c>
      <c r="BE233" s="12">
        <v>15</v>
      </c>
      <c r="BF233" s="12">
        <f t="shared" si="50"/>
        <v>14</v>
      </c>
      <c r="BG233" s="12">
        <f t="shared" si="59"/>
        <v>70</v>
      </c>
      <c r="BH233" s="67">
        <v>0</v>
      </c>
      <c r="BI233" s="67">
        <v>1</v>
      </c>
      <c r="BJ233" s="67">
        <v>0</v>
      </c>
      <c r="BK233" s="67">
        <v>0</v>
      </c>
      <c r="BL233" s="67">
        <v>0</v>
      </c>
      <c r="BM233" s="67">
        <v>0</v>
      </c>
      <c r="BN233" s="67">
        <v>1</v>
      </c>
      <c r="BO233" s="67">
        <v>0</v>
      </c>
      <c r="BP233" s="67">
        <v>0</v>
      </c>
      <c r="BQ233" s="67">
        <v>14</v>
      </c>
      <c r="BR233" s="67">
        <v>0</v>
      </c>
      <c r="BS233" s="67">
        <v>0</v>
      </c>
      <c r="BT233" s="67">
        <v>22</v>
      </c>
      <c r="BU233" s="70">
        <v>0</v>
      </c>
      <c r="BV233" s="29">
        <f t="shared" si="51"/>
        <v>2.7037352494784028</v>
      </c>
      <c r="BW233">
        <f t="shared" si="52"/>
        <v>3.048334026744441</v>
      </c>
      <c r="BX233">
        <f t="shared" si="53"/>
        <v>1.3778060624681052</v>
      </c>
      <c r="BY233">
        <f t="shared" si="54"/>
        <v>2.4470374905442531</v>
      </c>
      <c r="BZ233">
        <f t="shared" si="55"/>
        <v>0.64050867607435136</v>
      </c>
      <c r="CA233">
        <f t="shared" si="56"/>
        <v>0.55566315731117022</v>
      </c>
      <c r="CB233">
        <f t="shared" si="57"/>
        <v>2.7346580483089769</v>
      </c>
    </row>
    <row r="234" spans="1:80" x14ac:dyDescent="0.45">
      <c r="A234" s="11">
        <v>59</v>
      </c>
      <c r="B234" s="12">
        <f t="shared" si="45"/>
        <v>58.309999999999945</v>
      </c>
      <c r="C234" s="12" t="s">
        <v>59</v>
      </c>
      <c r="D234" s="12">
        <v>0</v>
      </c>
      <c r="E234" s="12" t="s">
        <v>53</v>
      </c>
      <c r="F234" s="12">
        <v>0</v>
      </c>
      <c r="G234" s="12">
        <v>1</v>
      </c>
      <c r="H234" s="12" t="s">
        <v>97</v>
      </c>
      <c r="I234" s="12">
        <v>0</v>
      </c>
      <c r="J234" s="12">
        <v>0</v>
      </c>
      <c r="K234" s="12">
        <v>6</v>
      </c>
      <c r="L234" s="12">
        <f t="shared" si="46"/>
        <v>6</v>
      </c>
      <c r="M234" s="12">
        <v>2</v>
      </c>
      <c r="N234" s="12" t="s">
        <v>70</v>
      </c>
      <c r="O234" s="12">
        <v>0</v>
      </c>
      <c r="P234" s="12">
        <v>0</v>
      </c>
      <c r="Q234" s="12">
        <v>1</v>
      </c>
      <c r="R234" s="12">
        <v>0</v>
      </c>
      <c r="S234" s="12">
        <v>0</v>
      </c>
      <c r="T234" s="12">
        <v>2</v>
      </c>
      <c r="U234" s="12" t="s">
        <v>62</v>
      </c>
      <c r="V234" s="12">
        <v>0</v>
      </c>
      <c r="W234" s="12">
        <v>52</v>
      </c>
      <c r="X234" s="12">
        <v>3</v>
      </c>
      <c r="Y234" s="12">
        <v>1</v>
      </c>
      <c r="Z234" s="12" t="s">
        <v>97</v>
      </c>
      <c r="AA234" s="12">
        <v>0</v>
      </c>
      <c r="AB234" s="12">
        <v>0</v>
      </c>
      <c r="AC234" s="12">
        <v>0</v>
      </c>
      <c r="AD234" s="12">
        <v>0</v>
      </c>
      <c r="AE234" s="12">
        <v>0</v>
      </c>
      <c r="AF234" s="12">
        <v>0</v>
      </c>
      <c r="AG234" s="12">
        <v>0</v>
      </c>
      <c r="AH234" s="12">
        <v>0</v>
      </c>
      <c r="AI234" s="12">
        <v>3</v>
      </c>
      <c r="AJ234" s="12" t="s">
        <v>64</v>
      </c>
      <c r="AK234" s="12">
        <v>0</v>
      </c>
      <c r="AL234" s="12">
        <v>1</v>
      </c>
      <c r="AM234" s="12">
        <v>2267</v>
      </c>
      <c r="AN234" s="12">
        <f t="shared" si="47"/>
        <v>2267</v>
      </c>
      <c r="AO234" s="12">
        <v>8</v>
      </c>
      <c r="AP234" s="12" t="s">
        <v>59</v>
      </c>
      <c r="AQ234" s="12">
        <v>0</v>
      </c>
      <c r="AR234" s="12">
        <v>17</v>
      </c>
      <c r="AS234" s="12">
        <v>3</v>
      </c>
      <c r="AT234" s="12">
        <v>4</v>
      </c>
      <c r="AU234" s="12">
        <v>0</v>
      </c>
      <c r="AV234" s="12">
        <v>7</v>
      </c>
      <c r="AW234" s="12">
        <f t="shared" si="48"/>
        <v>7</v>
      </c>
      <c r="AX234" s="12">
        <v>2</v>
      </c>
      <c r="AY234" s="12">
        <v>2</v>
      </c>
      <c r="AZ234" s="12">
        <v>2</v>
      </c>
      <c r="BA234" s="12">
        <f t="shared" si="49"/>
        <v>2</v>
      </c>
      <c r="BB234" s="12">
        <v>2</v>
      </c>
      <c r="BC234" s="12">
        <v>2</v>
      </c>
      <c r="BD234" s="12">
        <f t="shared" si="58"/>
        <v>2</v>
      </c>
      <c r="BE234" s="12">
        <v>2</v>
      </c>
      <c r="BF234" s="12">
        <f t="shared" si="50"/>
        <v>2</v>
      </c>
      <c r="BG234" s="12">
        <f t="shared" si="59"/>
        <v>2</v>
      </c>
      <c r="BH234" s="67">
        <v>0</v>
      </c>
      <c r="BI234" s="67">
        <v>1</v>
      </c>
      <c r="BJ234" s="67">
        <v>0</v>
      </c>
      <c r="BK234" s="67">
        <v>0</v>
      </c>
      <c r="BL234" s="67">
        <v>0</v>
      </c>
      <c r="BM234" s="67">
        <v>0</v>
      </c>
      <c r="BN234" s="67">
        <v>1</v>
      </c>
      <c r="BO234" s="67">
        <v>0</v>
      </c>
      <c r="BP234" s="67">
        <v>2</v>
      </c>
      <c r="BQ234" s="67">
        <v>0</v>
      </c>
      <c r="BR234" s="67">
        <v>0</v>
      </c>
      <c r="BS234" s="67">
        <v>7</v>
      </c>
      <c r="BT234" s="67">
        <v>0</v>
      </c>
      <c r="BU234" s="70">
        <v>0</v>
      </c>
      <c r="BV234" s="29">
        <f t="shared" si="51"/>
        <v>0.89973878004241614</v>
      </c>
      <c r="BW234">
        <f t="shared" si="52"/>
        <v>0.59502473559756086</v>
      </c>
      <c r="BX234">
        <f t="shared" si="53"/>
        <v>0.55002080963175637</v>
      </c>
      <c r="BY234">
        <f t="shared" si="54"/>
        <v>0.81745575848020657</v>
      </c>
      <c r="BZ234">
        <f t="shared" si="55"/>
        <v>0.39380416832397891</v>
      </c>
      <c r="CA234">
        <f t="shared" si="56"/>
        <v>2.4165613483063648</v>
      </c>
      <c r="CB234">
        <f t="shared" si="57"/>
        <v>5.8265062631872602E-2</v>
      </c>
    </row>
    <row r="235" spans="1:80" x14ac:dyDescent="0.45">
      <c r="A235" s="11">
        <v>50</v>
      </c>
      <c r="B235" s="12">
        <f t="shared" si="45"/>
        <v>50</v>
      </c>
      <c r="C235" s="12" t="s">
        <v>59</v>
      </c>
      <c r="D235" s="12">
        <v>0</v>
      </c>
      <c r="E235" s="12" t="s">
        <v>53</v>
      </c>
      <c r="F235" s="12">
        <v>0</v>
      </c>
      <c r="G235" s="12">
        <v>1</v>
      </c>
      <c r="H235" s="12" t="s">
        <v>54</v>
      </c>
      <c r="I235" s="12">
        <v>0</v>
      </c>
      <c r="J235" s="12">
        <v>1</v>
      </c>
      <c r="K235" s="12">
        <v>1</v>
      </c>
      <c r="L235" s="12">
        <f t="shared" si="46"/>
        <v>1</v>
      </c>
      <c r="M235" s="12">
        <v>4</v>
      </c>
      <c r="N235" s="12" t="s">
        <v>70</v>
      </c>
      <c r="O235" s="12">
        <v>0</v>
      </c>
      <c r="P235" s="12">
        <v>0</v>
      </c>
      <c r="Q235" s="12">
        <v>1</v>
      </c>
      <c r="R235" s="12">
        <v>0</v>
      </c>
      <c r="S235" s="12">
        <v>0</v>
      </c>
      <c r="T235" s="12">
        <v>4</v>
      </c>
      <c r="U235" s="12" t="s">
        <v>19</v>
      </c>
      <c r="V235" s="12">
        <v>1</v>
      </c>
      <c r="W235" s="12">
        <v>68</v>
      </c>
      <c r="X235" s="12">
        <v>3</v>
      </c>
      <c r="Y235" s="12">
        <v>5</v>
      </c>
      <c r="Z235" s="12" t="s">
        <v>87</v>
      </c>
      <c r="AA235" s="12">
        <v>0</v>
      </c>
      <c r="AB235" s="12">
        <v>0</v>
      </c>
      <c r="AC235" s="12">
        <v>0</v>
      </c>
      <c r="AD235" s="12">
        <v>1</v>
      </c>
      <c r="AE235" s="12">
        <v>0</v>
      </c>
      <c r="AF235" s="12">
        <v>0</v>
      </c>
      <c r="AG235" s="12">
        <v>0</v>
      </c>
      <c r="AH235" s="12">
        <v>0</v>
      </c>
      <c r="AI235" s="12">
        <v>4</v>
      </c>
      <c r="AJ235" s="12" t="s">
        <v>78</v>
      </c>
      <c r="AK235" s="12">
        <v>0</v>
      </c>
      <c r="AL235" s="12">
        <v>0</v>
      </c>
      <c r="AM235" s="12">
        <v>19517</v>
      </c>
      <c r="AN235" s="12">
        <f t="shared" si="47"/>
        <v>19517</v>
      </c>
      <c r="AO235" s="12">
        <v>3</v>
      </c>
      <c r="AP235" s="12" t="s">
        <v>59</v>
      </c>
      <c r="AQ235" s="12">
        <v>0</v>
      </c>
      <c r="AR235" s="12">
        <v>11</v>
      </c>
      <c r="AS235" s="12">
        <v>3</v>
      </c>
      <c r="AT235" s="12">
        <v>3</v>
      </c>
      <c r="AU235" s="12">
        <v>1</v>
      </c>
      <c r="AV235" s="12">
        <v>32</v>
      </c>
      <c r="AW235" s="12">
        <f t="shared" si="48"/>
        <v>32</v>
      </c>
      <c r="AX235" s="12">
        <v>3</v>
      </c>
      <c r="AY235" s="12">
        <v>2</v>
      </c>
      <c r="AZ235" s="12">
        <v>7</v>
      </c>
      <c r="BA235" s="12">
        <f t="shared" si="49"/>
        <v>7</v>
      </c>
      <c r="BB235" s="12">
        <v>0</v>
      </c>
      <c r="BC235" s="12">
        <v>0</v>
      </c>
      <c r="BD235" s="12">
        <f t="shared" si="58"/>
        <v>0</v>
      </c>
      <c r="BE235" s="12">
        <v>6</v>
      </c>
      <c r="BF235" s="12">
        <f t="shared" si="50"/>
        <v>6</v>
      </c>
      <c r="BG235" s="12">
        <f t="shared" si="59"/>
        <v>30</v>
      </c>
      <c r="BH235" s="67">
        <v>1</v>
      </c>
      <c r="BI235" s="67">
        <v>0</v>
      </c>
      <c r="BJ235" s="67">
        <v>0</v>
      </c>
      <c r="BK235" s="67">
        <v>0</v>
      </c>
      <c r="BL235" s="67">
        <v>1</v>
      </c>
      <c r="BM235" s="67">
        <v>0</v>
      </c>
      <c r="BN235" s="67">
        <v>0</v>
      </c>
      <c r="BO235" s="67">
        <v>0</v>
      </c>
      <c r="BP235" s="67">
        <v>0</v>
      </c>
      <c r="BQ235" s="67">
        <v>0</v>
      </c>
      <c r="BR235" s="67">
        <v>6</v>
      </c>
      <c r="BS235" s="67">
        <v>0</v>
      </c>
      <c r="BT235" s="67">
        <v>0</v>
      </c>
      <c r="BU235" s="70">
        <v>32</v>
      </c>
      <c r="BV235" s="29">
        <f t="shared" si="51"/>
        <v>2.7642710642979389</v>
      </c>
      <c r="BW235">
        <f t="shared" si="52"/>
        <v>0.52600872973843971</v>
      </c>
      <c r="BX235">
        <f t="shared" si="53"/>
        <v>2.663023977201346</v>
      </c>
      <c r="BY235">
        <f t="shared" si="54"/>
        <v>1.3324462240916321E-3</v>
      </c>
      <c r="BZ235">
        <f t="shared" si="55"/>
        <v>1.01056543769991</v>
      </c>
      <c r="CA235">
        <f t="shared" si="56"/>
        <v>1.4313799530736149</v>
      </c>
      <c r="CB235">
        <f t="shared" si="57"/>
        <v>0.67891464284095016</v>
      </c>
    </row>
    <row r="236" spans="1:80" x14ac:dyDescent="0.45">
      <c r="A236" s="11">
        <v>33</v>
      </c>
      <c r="B236" s="12">
        <f t="shared" si="45"/>
        <v>33</v>
      </c>
      <c r="C236" s="12" t="s">
        <v>52</v>
      </c>
      <c r="D236" s="12">
        <v>1</v>
      </c>
      <c r="E236" s="12" t="s">
        <v>53</v>
      </c>
      <c r="F236" s="12">
        <v>0</v>
      </c>
      <c r="G236" s="12">
        <v>1</v>
      </c>
      <c r="H236" s="12" t="s">
        <v>61</v>
      </c>
      <c r="I236" s="12">
        <v>1</v>
      </c>
      <c r="J236" s="12">
        <v>0</v>
      </c>
      <c r="K236" s="12">
        <v>14</v>
      </c>
      <c r="L236" s="12">
        <f t="shared" si="46"/>
        <v>14</v>
      </c>
      <c r="M236" s="12">
        <v>3</v>
      </c>
      <c r="N236" s="12" t="s">
        <v>70</v>
      </c>
      <c r="O236" s="12">
        <v>0</v>
      </c>
      <c r="P236" s="12">
        <v>0</v>
      </c>
      <c r="Q236" s="12">
        <v>1</v>
      </c>
      <c r="R236" s="12">
        <v>0</v>
      </c>
      <c r="S236" s="12">
        <v>0</v>
      </c>
      <c r="T236" s="12">
        <v>3</v>
      </c>
      <c r="U236" s="12" t="s">
        <v>62</v>
      </c>
      <c r="V236" s="12">
        <v>0</v>
      </c>
      <c r="W236" s="12">
        <v>58</v>
      </c>
      <c r="X236" s="12">
        <v>3</v>
      </c>
      <c r="Y236" s="12">
        <v>1</v>
      </c>
      <c r="Z236" s="12" t="s">
        <v>67</v>
      </c>
      <c r="AA236" s="12">
        <v>0</v>
      </c>
      <c r="AB236" s="12">
        <v>0</v>
      </c>
      <c r="AC236" s="12">
        <v>1</v>
      </c>
      <c r="AD236" s="12">
        <v>0</v>
      </c>
      <c r="AE236" s="12">
        <v>0</v>
      </c>
      <c r="AF236" s="12">
        <v>0</v>
      </c>
      <c r="AG236" s="12">
        <v>0</v>
      </c>
      <c r="AH236" s="12">
        <v>0</v>
      </c>
      <c r="AI236" s="12">
        <v>4</v>
      </c>
      <c r="AJ236" s="12" t="s">
        <v>64</v>
      </c>
      <c r="AK236" s="12">
        <v>0</v>
      </c>
      <c r="AL236" s="12">
        <v>1</v>
      </c>
      <c r="AM236" s="12">
        <v>2436</v>
      </c>
      <c r="AN236" s="12">
        <f t="shared" si="47"/>
        <v>2436</v>
      </c>
      <c r="AO236" s="12">
        <v>5</v>
      </c>
      <c r="AP236" s="12" t="s">
        <v>52</v>
      </c>
      <c r="AQ236" s="12">
        <v>1</v>
      </c>
      <c r="AR236" s="12">
        <v>13</v>
      </c>
      <c r="AS236" s="12">
        <v>3</v>
      </c>
      <c r="AT236" s="12">
        <v>3</v>
      </c>
      <c r="AU236" s="12">
        <v>1</v>
      </c>
      <c r="AV236" s="12">
        <v>8</v>
      </c>
      <c r="AW236" s="12">
        <f t="shared" si="48"/>
        <v>8</v>
      </c>
      <c r="AX236" s="12">
        <v>2</v>
      </c>
      <c r="AY236" s="12">
        <v>1</v>
      </c>
      <c r="AZ236" s="12">
        <v>5</v>
      </c>
      <c r="BA236" s="12">
        <f t="shared" si="49"/>
        <v>5</v>
      </c>
      <c r="BB236" s="12">
        <v>4</v>
      </c>
      <c r="BC236" s="12">
        <v>0</v>
      </c>
      <c r="BD236" s="12">
        <f t="shared" si="58"/>
        <v>0</v>
      </c>
      <c r="BE236" s="12">
        <v>4</v>
      </c>
      <c r="BF236" s="12">
        <f t="shared" si="50"/>
        <v>4</v>
      </c>
      <c r="BG236" s="12">
        <f t="shared" si="59"/>
        <v>4</v>
      </c>
      <c r="BH236" s="67">
        <v>0</v>
      </c>
      <c r="BI236" s="67">
        <v>1</v>
      </c>
      <c r="BJ236" s="67">
        <v>0</v>
      </c>
      <c r="BK236" s="67">
        <v>0</v>
      </c>
      <c r="BL236" s="67">
        <v>0</v>
      </c>
      <c r="BM236" s="67">
        <v>0</v>
      </c>
      <c r="BN236" s="67">
        <v>0</v>
      </c>
      <c r="BO236" s="67">
        <v>1</v>
      </c>
      <c r="BP236" s="67">
        <v>0</v>
      </c>
      <c r="BQ236" s="67">
        <v>4</v>
      </c>
      <c r="BR236" s="67">
        <v>0</v>
      </c>
      <c r="BS236" s="67">
        <v>0</v>
      </c>
      <c r="BT236" s="67">
        <v>8</v>
      </c>
      <c r="BU236" s="70">
        <v>0</v>
      </c>
      <c r="BV236" s="29">
        <f t="shared" si="51"/>
        <v>0.86384210388627003</v>
      </c>
      <c r="BW236">
        <f t="shared" si="52"/>
        <v>3.4508002929560584E-2</v>
      </c>
      <c r="BX236">
        <f t="shared" si="53"/>
        <v>0.42149901815843233</v>
      </c>
      <c r="BY236">
        <f t="shared" si="54"/>
        <v>0.32778177112653761</v>
      </c>
      <c r="BZ236">
        <f t="shared" si="55"/>
        <v>0.59301386267751111</v>
      </c>
      <c r="CA236">
        <f t="shared" si="56"/>
        <v>0.42951823792158</v>
      </c>
      <c r="CB236">
        <f t="shared" si="57"/>
        <v>0.67891464284095016</v>
      </c>
    </row>
    <row r="237" spans="1:80" x14ac:dyDescent="0.45">
      <c r="A237" s="11">
        <v>43</v>
      </c>
      <c r="B237" s="12">
        <f t="shared" si="45"/>
        <v>43</v>
      </c>
      <c r="C237" s="12" t="s">
        <v>59</v>
      </c>
      <c r="D237" s="12">
        <v>0</v>
      </c>
      <c r="E237" s="12" t="s">
        <v>53</v>
      </c>
      <c r="F237" s="12">
        <v>0</v>
      </c>
      <c r="G237" s="12">
        <v>1</v>
      </c>
      <c r="H237" s="12" t="s">
        <v>54</v>
      </c>
      <c r="I237" s="12">
        <v>0</v>
      </c>
      <c r="J237" s="12">
        <v>1</v>
      </c>
      <c r="K237" s="12">
        <v>16</v>
      </c>
      <c r="L237" s="12">
        <f t="shared" si="46"/>
        <v>16</v>
      </c>
      <c r="M237" s="12">
        <v>3</v>
      </c>
      <c r="N237" s="12" t="s">
        <v>90</v>
      </c>
      <c r="O237" s="12">
        <v>0</v>
      </c>
      <c r="P237" s="12">
        <v>0</v>
      </c>
      <c r="Q237" s="12">
        <v>0</v>
      </c>
      <c r="R237" s="12">
        <v>1</v>
      </c>
      <c r="S237" s="12">
        <v>0</v>
      </c>
      <c r="T237" s="12">
        <v>4</v>
      </c>
      <c r="U237" s="12" t="s">
        <v>19</v>
      </c>
      <c r="V237" s="12">
        <v>1</v>
      </c>
      <c r="W237" s="12">
        <v>80</v>
      </c>
      <c r="X237" s="12">
        <v>3</v>
      </c>
      <c r="Y237" s="12">
        <v>4</v>
      </c>
      <c r="Z237" s="12" t="s">
        <v>87</v>
      </c>
      <c r="AA237" s="12">
        <v>0</v>
      </c>
      <c r="AB237" s="12">
        <v>0</v>
      </c>
      <c r="AC237" s="12">
        <v>0</v>
      </c>
      <c r="AD237" s="12">
        <v>1</v>
      </c>
      <c r="AE237" s="12">
        <v>0</v>
      </c>
      <c r="AF237" s="12">
        <v>0</v>
      </c>
      <c r="AG237" s="12">
        <v>0</v>
      </c>
      <c r="AH237" s="12">
        <v>0</v>
      </c>
      <c r="AI237" s="12">
        <v>4</v>
      </c>
      <c r="AJ237" s="12" t="s">
        <v>64</v>
      </c>
      <c r="AK237" s="12">
        <v>0</v>
      </c>
      <c r="AL237" s="12">
        <v>1</v>
      </c>
      <c r="AM237" s="12">
        <v>16064</v>
      </c>
      <c r="AN237" s="12">
        <f t="shared" si="47"/>
        <v>16064</v>
      </c>
      <c r="AO237" s="12">
        <v>5</v>
      </c>
      <c r="AP237" s="12" t="s">
        <v>52</v>
      </c>
      <c r="AQ237" s="12">
        <v>1</v>
      </c>
      <c r="AR237" s="12">
        <v>22</v>
      </c>
      <c r="AS237" s="12">
        <v>4</v>
      </c>
      <c r="AT237" s="12">
        <v>3</v>
      </c>
      <c r="AU237" s="12">
        <v>1</v>
      </c>
      <c r="AV237" s="12">
        <v>22</v>
      </c>
      <c r="AW237" s="12">
        <f t="shared" si="48"/>
        <v>22</v>
      </c>
      <c r="AX237" s="12">
        <v>3</v>
      </c>
      <c r="AY237" s="12">
        <v>3</v>
      </c>
      <c r="AZ237" s="12">
        <v>17</v>
      </c>
      <c r="BA237" s="12">
        <f t="shared" si="49"/>
        <v>17</v>
      </c>
      <c r="BB237" s="12">
        <v>13</v>
      </c>
      <c r="BC237" s="12">
        <v>1</v>
      </c>
      <c r="BD237" s="12">
        <f t="shared" si="58"/>
        <v>1</v>
      </c>
      <c r="BE237" s="12">
        <v>9</v>
      </c>
      <c r="BF237" s="12">
        <f t="shared" si="50"/>
        <v>9</v>
      </c>
      <c r="BG237" s="12">
        <f t="shared" si="59"/>
        <v>36</v>
      </c>
      <c r="BH237" s="67">
        <v>0</v>
      </c>
      <c r="BI237" s="67">
        <v>1</v>
      </c>
      <c r="BJ237" s="67">
        <v>0</v>
      </c>
      <c r="BK237" s="67">
        <v>0</v>
      </c>
      <c r="BL237" s="67">
        <v>0</v>
      </c>
      <c r="BM237" s="67">
        <v>0</v>
      </c>
      <c r="BN237" s="67">
        <v>0</v>
      </c>
      <c r="BO237" s="67">
        <v>1</v>
      </c>
      <c r="BP237" s="67">
        <v>0</v>
      </c>
      <c r="BQ237" s="67">
        <v>0</v>
      </c>
      <c r="BR237" s="67">
        <v>9</v>
      </c>
      <c r="BS237" s="67">
        <v>0</v>
      </c>
      <c r="BT237" s="67">
        <v>0</v>
      </c>
      <c r="BU237" s="70">
        <v>22</v>
      </c>
      <c r="BV237" s="29">
        <f t="shared" si="51"/>
        <v>2.0308318763265043</v>
      </c>
      <c r="BW237">
        <f t="shared" si="52"/>
        <v>1.3667838287404401</v>
      </c>
      <c r="BX237">
        <f t="shared" si="53"/>
        <v>1.3778060624681052</v>
      </c>
      <c r="BY237">
        <f t="shared" si="54"/>
        <v>1.630914178288138</v>
      </c>
      <c r="BZ237">
        <f t="shared" si="55"/>
        <v>0.83971837042788355</v>
      </c>
      <c r="CA237">
        <f t="shared" si="56"/>
        <v>0.66512775678147573</v>
      </c>
      <c r="CB237">
        <f t="shared" si="57"/>
        <v>0.36858985273641137</v>
      </c>
    </row>
    <row r="238" spans="1:80" x14ac:dyDescent="0.45">
      <c r="A238" s="11">
        <v>33</v>
      </c>
      <c r="B238" s="12">
        <f t="shared" si="45"/>
        <v>33</v>
      </c>
      <c r="C238" s="12" t="s">
        <v>52</v>
      </c>
      <c r="D238" s="12">
        <v>1</v>
      </c>
      <c r="E238" s="12" t="s">
        <v>53</v>
      </c>
      <c r="F238" s="12">
        <v>0</v>
      </c>
      <c r="G238" s="12">
        <v>1</v>
      </c>
      <c r="H238" s="12" t="s">
        <v>61</v>
      </c>
      <c r="I238" s="12">
        <v>1</v>
      </c>
      <c r="J238" s="12">
        <v>0</v>
      </c>
      <c r="K238" s="12">
        <v>2</v>
      </c>
      <c r="L238" s="12">
        <f t="shared" si="46"/>
        <v>2</v>
      </c>
      <c r="M238" s="12">
        <v>2</v>
      </c>
      <c r="N238" s="12" t="s">
        <v>55</v>
      </c>
      <c r="O238" s="12">
        <v>1</v>
      </c>
      <c r="P238" s="12">
        <v>0</v>
      </c>
      <c r="Q238" s="12">
        <v>0</v>
      </c>
      <c r="R238" s="12">
        <v>0</v>
      </c>
      <c r="S238" s="12">
        <v>0</v>
      </c>
      <c r="T238" s="12">
        <v>1</v>
      </c>
      <c r="U238" s="12" t="s">
        <v>19</v>
      </c>
      <c r="V238" s="12">
        <v>1</v>
      </c>
      <c r="W238" s="12">
        <v>39</v>
      </c>
      <c r="X238" s="12">
        <v>3</v>
      </c>
      <c r="Y238" s="12">
        <v>1</v>
      </c>
      <c r="Z238" s="12" t="s">
        <v>67</v>
      </c>
      <c r="AA238" s="12">
        <v>0</v>
      </c>
      <c r="AB238" s="12">
        <v>0</v>
      </c>
      <c r="AC238" s="12">
        <v>1</v>
      </c>
      <c r="AD238" s="12">
        <v>0</v>
      </c>
      <c r="AE238" s="12">
        <v>0</v>
      </c>
      <c r="AF238" s="12">
        <v>0</v>
      </c>
      <c r="AG238" s="12">
        <v>0</v>
      </c>
      <c r="AH238" s="12">
        <v>0</v>
      </c>
      <c r="AI238" s="12">
        <v>1</v>
      </c>
      <c r="AJ238" s="12" t="s">
        <v>64</v>
      </c>
      <c r="AK238" s="12">
        <v>0</v>
      </c>
      <c r="AL238" s="12">
        <v>1</v>
      </c>
      <c r="AM238" s="12">
        <v>2707</v>
      </c>
      <c r="AN238" s="12">
        <f t="shared" si="47"/>
        <v>2707</v>
      </c>
      <c r="AO238" s="12">
        <v>7</v>
      </c>
      <c r="AP238" s="12" t="s">
        <v>59</v>
      </c>
      <c r="AQ238" s="12">
        <v>0</v>
      </c>
      <c r="AR238" s="12">
        <v>20</v>
      </c>
      <c r="AS238" s="12">
        <v>4</v>
      </c>
      <c r="AT238" s="12">
        <v>1</v>
      </c>
      <c r="AU238" s="12">
        <v>0</v>
      </c>
      <c r="AV238" s="12">
        <v>13</v>
      </c>
      <c r="AW238" s="12">
        <f t="shared" si="48"/>
        <v>13</v>
      </c>
      <c r="AX238" s="12">
        <v>3</v>
      </c>
      <c r="AY238" s="12">
        <v>4</v>
      </c>
      <c r="AZ238" s="12">
        <v>9</v>
      </c>
      <c r="BA238" s="12">
        <f t="shared" si="49"/>
        <v>9</v>
      </c>
      <c r="BB238" s="12">
        <v>7</v>
      </c>
      <c r="BC238" s="12">
        <v>1</v>
      </c>
      <c r="BD238" s="12">
        <f t="shared" si="58"/>
        <v>1</v>
      </c>
      <c r="BE238" s="12">
        <v>7</v>
      </c>
      <c r="BF238" s="12">
        <f t="shared" si="50"/>
        <v>7</v>
      </c>
      <c r="BG238" s="12">
        <f t="shared" si="59"/>
        <v>7</v>
      </c>
      <c r="BH238" s="67">
        <v>0</v>
      </c>
      <c r="BI238" s="67">
        <v>1</v>
      </c>
      <c r="BJ238" s="67">
        <v>0</v>
      </c>
      <c r="BK238" s="67">
        <v>0</v>
      </c>
      <c r="BL238" s="67">
        <v>0</v>
      </c>
      <c r="BM238" s="67">
        <v>0</v>
      </c>
      <c r="BN238" s="67">
        <v>1</v>
      </c>
      <c r="BO238" s="67">
        <v>0</v>
      </c>
      <c r="BP238" s="67">
        <v>0</v>
      </c>
      <c r="BQ238" s="67">
        <v>7</v>
      </c>
      <c r="BR238" s="67">
        <v>0</v>
      </c>
      <c r="BS238" s="67">
        <v>0</v>
      </c>
      <c r="BT238" s="67">
        <v>13</v>
      </c>
      <c r="BU238" s="70">
        <v>0</v>
      </c>
      <c r="BV238" s="29">
        <f t="shared" si="51"/>
        <v>0.80627997821576358</v>
      </c>
      <c r="BW238">
        <f t="shared" si="52"/>
        <v>0.80626709607243985</v>
      </c>
      <c r="BX238">
        <f t="shared" si="53"/>
        <v>0.22110993920818819</v>
      </c>
      <c r="BY238">
        <f t="shared" si="54"/>
        <v>0.32511687867835437</v>
      </c>
      <c r="BZ238">
        <f t="shared" si="55"/>
        <v>0.88721318382472392</v>
      </c>
      <c r="CA238">
        <f t="shared" si="56"/>
        <v>0.42951823792158</v>
      </c>
      <c r="CB238">
        <f t="shared" si="57"/>
        <v>0.36858985273641137</v>
      </c>
    </row>
    <row r="239" spans="1:80" x14ac:dyDescent="0.45">
      <c r="A239" s="11">
        <v>52</v>
      </c>
      <c r="B239" s="12">
        <f t="shared" si="45"/>
        <v>52</v>
      </c>
      <c r="C239" s="12" t="s">
        <v>59</v>
      </c>
      <c r="D239" s="12">
        <v>0</v>
      </c>
      <c r="E239" s="12" t="s">
        <v>86</v>
      </c>
      <c r="F239" s="12">
        <v>0</v>
      </c>
      <c r="G239" s="12">
        <v>0</v>
      </c>
      <c r="H239" s="12" t="s">
        <v>54</v>
      </c>
      <c r="I239" s="12">
        <v>0</v>
      </c>
      <c r="J239" s="12">
        <v>1</v>
      </c>
      <c r="K239" s="12">
        <v>2</v>
      </c>
      <c r="L239" s="12">
        <f t="shared" si="46"/>
        <v>2</v>
      </c>
      <c r="M239" s="12">
        <v>4</v>
      </c>
      <c r="N239" s="12" t="s">
        <v>55</v>
      </c>
      <c r="O239" s="12">
        <v>1</v>
      </c>
      <c r="P239" s="12">
        <v>0</v>
      </c>
      <c r="Q239" s="12">
        <v>0</v>
      </c>
      <c r="R239" s="12">
        <v>0</v>
      </c>
      <c r="S239" s="12">
        <v>0</v>
      </c>
      <c r="T239" s="12">
        <v>1</v>
      </c>
      <c r="U239" s="12" t="s">
        <v>62</v>
      </c>
      <c r="V239" s="12">
        <v>0</v>
      </c>
      <c r="W239" s="12">
        <v>79</v>
      </c>
      <c r="X239" s="12">
        <v>2</v>
      </c>
      <c r="Y239" s="12">
        <v>5</v>
      </c>
      <c r="Z239" s="12" t="s">
        <v>87</v>
      </c>
      <c r="AA239" s="12">
        <v>0</v>
      </c>
      <c r="AB239" s="12">
        <v>0</v>
      </c>
      <c r="AC239" s="12">
        <v>0</v>
      </c>
      <c r="AD239" s="12">
        <v>1</v>
      </c>
      <c r="AE239" s="12">
        <v>0</v>
      </c>
      <c r="AF239" s="12">
        <v>0</v>
      </c>
      <c r="AG239" s="12">
        <v>0</v>
      </c>
      <c r="AH239" s="12">
        <v>0</v>
      </c>
      <c r="AI239" s="12">
        <v>3</v>
      </c>
      <c r="AJ239" s="12" t="s">
        <v>57</v>
      </c>
      <c r="AK239" s="12">
        <v>1</v>
      </c>
      <c r="AL239" s="12">
        <v>0</v>
      </c>
      <c r="AM239" s="12">
        <v>19068</v>
      </c>
      <c r="AN239" s="12">
        <f t="shared" si="47"/>
        <v>19068</v>
      </c>
      <c r="AO239" s="12">
        <v>1</v>
      </c>
      <c r="AP239" s="12" t="s">
        <v>52</v>
      </c>
      <c r="AQ239" s="12">
        <v>1</v>
      </c>
      <c r="AR239" s="12">
        <v>18</v>
      </c>
      <c r="AS239" s="12">
        <v>3</v>
      </c>
      <c r="AT239" s="12">
        <v>4</v>
      </c>
      <c r="AU239" s="12">
        <v>0</v>
      </c>
      <c r="AV239" s="12">
        <v>33</v>
      </c>
      <c r="AW239" s="12">
        <f t="shared" si="48"/>
        <v>33</v>
      </c>
      <c r="AX239" s="12">
        <v>2</v>
      </c>
      <c r="AY239" s="12">
        <v>4</v>
      </c>
      <c r="AZ239" s="12">
        <v>33</v>
      </c>
      <c r="BA239" s="12">
        <f t="shared" si="49"/>
        <v>31</v>
      </c>
      <c r="BB239" s="12">
        <v>7</v>
      </c>
      <c r="BC239" s="12">
        <v>15</v>
      </c>
      <c r="BD239" s="12">
        <f t="shared" si="58"/>
        <v>14</v>
      </c>
      <c r="BE239" s="12">
        <v>12</v>
      </c>
      <c r="BF239" s="12">
        <f t="shared" si="50"/>
        <v>12</v>
      </c>
      <c r="BG239" s="12">
        <f t="shared" si="59"/>
        <v>60</v>
      </c>
      <c r="BH239" s="67">
        <v>1</v>
      </c>
      <c r="BI239" s="67">
        <v>0</v>
      </c>
      <c r="BJ239" s="67">
        <v>0</v>
      </c>
      <c r="BK239" s="67">
        <v>0</v>
      </c>
      <c r="BL239" s="67">
        <v>0</v>
      </c>
      <c r="BM239" s="67">
        <v>1</v>
      </c>
      <c r="BN239" s="67">
        <v>0</v>
      </c>
      <c r="BO239" s="67">
        <v>0</v>
      </c>
      <c r="BP239" s="67">
        <v>0</v>
      </c>
      <c r="BQ239" s="67">
        <v>0</v>
      </c>
      <c r="BR239" s="67">
        <v>12</v>
      </c>
      <c r="BS239" s="67">
        <v>0</v>
      </c>
      <c r="BT239" s="67">
        <v>0</v>
      </c>
      <c r="BU239" s="70">
        <v>33</v>
      </c>
      <c r="BV239" s="29">
        <f t="shared" si="51"/>
        <v>2.6689006051611956</v>
      </c>
      <c r="BW239">
        <f t="shared" si="52"/>
        <v>2.2075589277424408</v>
      </c>
      <c r="BX239">
        <f t="shared" si="53"/>
        <v>2.7915457686746699</v>
      </c>
      <c r="BY239">
        <f t="shared" si="54"/>
        <v>4.2425087775077062</v>
      </c>
      <c r="BZ239">
        <f t="shared" si="55"/>
        <v>0.88721318382472392</v>
      </c>
      <c r="CA239">
        <f t="shared" si="56"/>
        <v>1.6503091520142259</v>
      </c>
      <c r="CB239">
        <f t="shared" si="57"/>
        <v>3.9759572087271318</v>
      </c>
    </row>
    <row r="240" spans="1:80" x14ac:dyDescent="0.45">
      <c r="A240" s="11">
        <v>32</v>
      </c>
      <c r="B240" s="12">
        <f t="shared" si="45"/>
        <v>32</v>
      </c>
      <c r="C240" s="12" t="s">
        <v>59</v>
      </c>
      <c r="D240" s="12">
        <v>0</v>
      </c>
      <c r="E240" s="12" t="s">
        <v>53</v>
      </c>
      <c r="F240" s="12">
        <v>0</v>
      </c>
      <c r="G240" s="12">
        <v>1</v>
      </c>
      <c r="H240" s="12" t="s">
        <v>54</v>
      </c>
      <c r="I240" s="12">
        <v>0</v>
      </c>
      <c r="J240" s="12">
        <v>1</v>
      </c>
      <c r="K240" s="12">
        <v>4</v>
      </c>
      <c r="L240" s="12">
        <f t="shared" si="46"/>
        <v>4</v>
      </c>
      <c r="M240" s="12">
        <v>2</v>
      </c>
      <c r="N240" s="12" t="s">
        <v>55</v>
      </c>
      <c r="O240" s="12">
        <v>1</v>
      </c>
      <c r="P240" s="12">
        <v>0</v>
      </c>
      <c r="Q240" s="12">
        <v>0</v>
      </c>
      <c r="R240" s="12">
        <v>0</v>
      </c>
      <c r="S240" s="12">
        <v>0</v>
      </c>
      <c r="T240" s="12">
        <v>3</v>
      </c>
      <c r="U240" s="12" t="s">
        <v>19</v>
      </c>
      <c r="V240" s="12">
        <v>1</v>
      </c>
      <c r="W240" s="12">
        <v>56</v>
      </c>
      <c r="X240" s="12">
        <v>3</v>
      </c>
      <c r="Y240" s="12">
        <v>1</v>
      </c>
      <c r="Z240" s="12" t="s">
        <v>88</v>
      </c>
      <c r="AA240" s="12">
        <v>0</v>
      </c>
      <c r="AB240" s="12">
        <v>0</v>
      </c>
      <c r="AC240" s="12">
        <v>0</v>
      </c>
      <c r="AD240" s="12">
        <v>0</v>
      </c>
      <c r="AE240" s="12">
        <v>0</v>
      </c>
      <c r="AF240" s="12">
        <v>0</v>
      </c>
      <c r="AG240" s="12">
        <v>1</v>
      </c>
      <c r="AH240" s="12">
        <v>0</v>
      </c>
      <c r="AI240" s="12">
        <v>2</v>
      </c>
      <c r="AJ240" s="12" t="s">
        <v>64</v>
      </c>
      <c r="AK240" s="12">
        <v>0</v>
      </c>
      <c r="AL240" s="12">
        <v>1</v>
      </c>
      <c r="AM240" s="12">
        <v>3931</v>
      </c>
      <c r="AN240" s="12">
        <f t="shared" si="47"/>
        <v>3931</v>
      </c>
      <c r="AO240" s="12">
        <v>2</v>
      </c>
      <c r="AP240" s="12" t="s">
        <v>59</v>
      </c>
      <c r="AQ240" s="12">
        <v>0</v>
      </c>
      <c r="AR240" s="12">
        <v>11</v>
      </c>
      <c r="AS240" s="12">
        <v>3</v>
      </c>
      <c r="AT240" s="12">
        <v>1</v>
      </c>
      <c r="AU240" s="12">
        <v>1</v>
      </c>
      <c r="AV240" s="12">
        <v>6</v>
      </c>
      <c r="AW240" s="12">
        <f t="shared" si="48"/>
        <v>6</v>
      </c>
      <c r="AX240" s="12">
        <v>5</v>
      </c>
      <c r="AY240" s="12">
        <v>3</v>
      </c>
      <c r="AZ240" s="12">
        <v>4</v>
      </c>
      <c r="BA240" s="12">
        <f t="shared" si="49"/>
        <v>4</v>
      </c>
      <c r="BB240" s="12">
        <v>3</v>
      </c>
      <c r="BC240" s="12">
        <v>1</v>
      </c>
      <c r="BD240" s="12">
        <f t="shared" si="58"/>
        <v>1</v>
      </c>
      <c r="BE240" s="12">
        <v>2</v>
      </c>
      <c r="BF240" s="12">
        <f t="shared" si="50"/>
        <v>2</v>
      </c>
      <c r="BG240" s="12">
        <f t="shared" si="59"/>
        <v>2</v>
      </c>
      <c r="BH240" s="67">
        <v>0</v>
      </c>
      <c r="BI240" s="67">
        <v>1</v>
      </c>
      <c r="BJ240" s="67">
        <v>0</v>
      </c>
      <c r="BK240" s="67">
        <v>0</v>
      </c>
      <c r="BL240" s="67">
        <v>0</v>
      </c>
      <c r="BM240" s="67">
        <v>0</v>
      </c>
      <c r="BN240" s="67">
        <v>1</v>
      </c>
      <c r="BO240" s="67">
        <v>0</v>
      </c>
      <c r="BP240" s="67">
        <v>0</v>
      </c>
      <c r="BQ240" s="67">
        <v>0</v>
      </c>
      <c r="BR240" s="67">
        <v>2</v>
      </c>
      <c r="BS240" s="67">
        <v>0</v>
      </c>
      <c r="BT240" s="67">
        <v>0</v>
      </c>
      <c r="BU240" s="70">
        <v>6</v>
      </c>
      <c r="BV240" s="29">
        <f t="shared" si="51"/>
        <v>0.54629458404343922</v>
      </c>
      <c r="BW240">
        <f t="shared" si="52"/>
        <v>0.59502473559756086</v>
      </c>
      <c r="BX240">
        <f t="shared" si="53"/>
        <v>0.67854260110508058</v>
      </c>
      <c r="BY240">
        <f t="shared" si="54"/>
        <v>0.49100643357776058</v>
      </c>
      <c r="BZ240">
        <f t="shared" si="55"/>
        <v>0.64050867607435136</v>
      </c>
      <c r="CA240">
        <f t="shared" si="56"/>
        <v>0.53898283739188557</v>
      </c>
      <c r="CB240">
        <f t="shared" si="57"/>
        <v>0.36858985273641137</v>
      </c>
    </row>
    <row r="241" spans="1:80" x14ac:dyDescent="0.45">
      <c r="A241" s="11">
        <v>32</v>
      </c>
      <c r="B241" s="12">
        <f t="shared" si="45"/>
        <v>32</v>
      </c>
      <c r="C241" s="12" t="s">
        <v>52</v>
      </c>
      <c r="D241" s="12">
        <v>1</v>
      </c>
      <c r="E241" s="12" t="s">
        <v>53</v>
      </c>
      <c r="F241" s="12">
        <v>0</v>
      </c>
      <c r="G241" s="12">
        <v>1</v>
      </c>
      <c r="H241" s="12" t="s">
        <v>61</v>
      </c>
      <c r="I241" s="12">
        <v>1</v>
      </c>
      <c r="J241" s="12">
        <v>0</v>
      </c>
      <c r="K241" s="12">
        <v>1</v>
      </c>
      <c r="L241" s="12">
        <f t="shared" si="46"/>
        <v>1</v>
      </c>
      <c r="M241" s="12">
        <v>3</v>
      </c>
      <c r="N241" s="12" t="s">
        <v>55</v>
      </c>
      <c r="O241" s="12">
        <v>1</v>
      </c>
      <c r="P241" s="12">
        <v>0</v>
      </c>
      <c r="Q241" s="12">
        <v>0</v>
      </c>
      <c r="R241" s="12">
        <v>0</v>
      </c>
      <c r="S241" s="12">
        <v>0</v>
      </c>
      <c r="T241" s="12">
        <v>4</v>
      </c>
      <c r="U241" s="12" t="s">
        <v>62</v>
      </c>
      <c r="V241" s="12">
        <v>0</v>
      </c>
      <c r="W241" s="12">
        <v>62</v>
      </c>
      <c r="X241" s="12">
        <v>2</v>
      </c>
      <c r="Y241" s="12">
        <v>1</v>
      </c>
      <c r="Z241" s="12" t="s">
        <v>67</v>
      </c>
      <c r="AA241" s="12">
        <v>0</v>
      </c>
      <c r="AB241" s="12">
        <v>0</v>
      </c>
      <c r="AC241" s="12">
        <v>1</v>
      </c>
      <c r="AD241" s="12">
        <v>0</v>
      </c>
      <c r="AE241" s="12">
        <v>0</v>
      </c>
      <c r="AF241" s="12">
        <v>0</v>
      </c>
      <c r="AG241" s="12">
        <v>0</v>
      </c>
      <c r="AH241" s="12">
        <v>0</v>
      </c>
      <c r="AI241" s="12">
        <v>3</v>
      </c>
      <c r="AJ241" s="12" t="s">
        <v>57</v>
      </c>
      <c r="AK241" s="12">
        <v>1</v>
      </c>
      <c r="AL241" s="12">
        <v>0</v>
      </c>
      <c r="AM241" s="12">
        <v>3730</v>
      </c>
      <c r="AN241" s="12">
        <f t="shared" si="47"/>
        <v>3730</v>
      </c>
      <c r="AO241" s="12">
        <v>0</v>
      </c>
      <c r="AP241" s="12" t="s">
        <v>52</v>
      </c>
      <c r="AQ241" s="12">
        <v>1</v>
      </c>
      <c r="AR241" s="12">
        <v>14</v>
      </c>
      <c r="AS241" s="12">
        <v>3</v>
      </c>
      <c r="AT241" s="12">
        <v>4</v>
      </c>
      <c r="AU241" s="12">
        <v>0</v>
      </c>
      <c r="AV241" s="12">
        <v>4</v>
      </c>
      <c r="AW241" s="12">
        <f t="shared" si="48"/>
        <v>4</v>
      </c>
      <c r="AX241" s="12">
        <v>2</v>
      </c>
      <c r="AY241" s="12">
        <v>1</v>
      </c>
      <c r="AZ241" s="12">
        <v>3</v>
      </c>
      <c r="BA241" s="12">
        <f t="shared" si="49"/>
        <v>3</v>
      </c>
      <c r="BB241" s="12">
        <v>2</v>
      </c>
      <c r="BC241" s="12">
        <v>1</v>
      </c>
      <c r="BD241" s="12">
        <f t="shared" si="58"/>
        <v>1</v>
      </c>
      <c r="BE241" s="12">
        <v>2</v>
      </c>
      <c r="BF241" s="12">
        <f t="shared" si="50"/>
        <v>2</v>
      </c>
      <c r="BG241" s="12">
        <f t="shared" si="59"/>
        <v>2</v>
      </c>
      <c r="BH241" s="67">
        <v>1</v>
      </c>
      <c r="BI241" s="67">
        <v>0</v>
      </c>
      <c r="BJ241" s="67">
        <v>0</v>
      </c>
      <c r="BK241" s="67">
        <v>0</v>
      </c>
      <c r="BL241" s="67">
        <v>0</v>
      </c>
      <c r="BM241" s="67">
        <v>1</v>
      </c>
      <c r="BN241" s="67">
        <v>0</v>
      </c>
      <c r="BO241" s="67">
        <v>0</v>
      </c>
      <c r="BP241" s="67">
        <v>0</v>
      </c>
      <c r="BQ241" s="67">
        <v>2</v>
      </c>
      <c r="BR241" s="67">
        <v>0</v>
      </c>
      <c r="BS241" s="67">
        <v>0</v>
      </c>
      <c r="BT241" s="67">
        <v>4</v>
      </c>
      <c r="BU241" s="70">
        <v>0</v>
      </c>
      <c r="BV241" s="29">
        <f t="shared" si="51"/>
        <v>0.58898826396879644</v>
      </c>
      <c r="BW241">
        <f t="shared" si="52"/>
        <v>0.59502473559756086</v>
      </c>
      <c r="BX241">
        <f t="shared" si="53"/>
        <v>0.93558618405172878</v>
      </c>
      <c r="BY241">
        <f t="shared" si="54"/>
        <v>0.65423109602898355</v>
      </c>
      <c r="BZ241">
        <f t="shared" si="55"/>
        <v>1.01056543769991</v>
      </c>
      <c r="CA241">
        <f t="shared" si="56"/>
        <v>0.53898283739188557</v>
      </c>
      <c r="CB241">
        <f t="shared" si="57"/>
        <v>0.36858985273641137</v>
      </c>
    </row>
    <row r="242" spans="1:80" x14ac:dyDescent="0.45">
      <c r="A242" s="11">
        <v>39</v>
      </c>
      <c r="B242" s="12">
        <f t="shared" si="45"/>
        <v>39</v>
      </c>
      <c r="C242" s="12" t="s">
        <v>59</v>
      </c>
      <c r="D242" s="12">
        <v>0</v>
      </c>
      <c r="E242" s="12" t="s">
        <v>53</v>
      </c>
      <c r="F242" s="12">
        <v>0</v>
      </c>
      <c r="G242" s="12">
        <v>1</v>
      </c>
      <c r="H242" s="12" t="s">
        <v>61</v>
      </c>
      <c r="I242" s="12">
        <v>1</v>
      </c>
      <c r="J242" s="12">
        <v>0</v>
      </c>
      <c r="K242" s="12">
        <v>1</v>
      </c>
      <c r="L242" s="12">
        <f t="shared" si="46"/>
        <v>1</v>
      </c>
      <c r="M242" s="12">
        <v>4</v>
      </c>
      <c r="N242" s="12" t="s">
        <v>70</v>
      </c>
      <c r="O242" s="12">
        <v>0</v>
      </c>
      <c r="P242" s="12">
        <v>0</v>
      </c>
      <c r="Q242" s="12">
        <v>1</v>
      </c>
      <c r="R242" s="12">
        <v>0</v>
      </c>
      <c r="S242" s="12">
        <v>0</v>
      </c>
      <c r="T242" s="12">
        <v>3</v>
      </c>
      <c r="U242" s="12" t="s">
        <v>19</v>
      </c>
      <c r="V242" s="12">
        <v>1</v>
      </c>
      <c r="W242" s="12">
        <v>96</v>
      </c>
      <c r="X242" s="12">
        <v>3</v>
      </c>
      <c r="Y242" s="12">
        <v>1</v>
      </c>
      <c r="Z242" s="12" t="s">
        <v>67</v>
      </c>
      <c r="AA242" s="12">
        <v>0</v>
      </c>
      <c r="AB242" s="12">
        <v>0</v>
      </c>
      <c r="AC242" s="12">
        <v>1</v>
      </c>
      <c r="AD242" s="12">
        <v>0</v>
      </c>
      <c r="AE242" s="12">
        <v>0</v>
      </c>
      <c r="AF242" s="12">
        <v>0</v>
      </c>
      <c r="AG242" s="12">
        <v>0</v>
      </c>
      <c r="AH242" s="12">
        <v>0</v>
      </c>
      <c r="AI242" s="12">
        <v>3</v>
      </c>
      <c r="AJ242" s="12" t="s">
        <v>78</v>
      </c>
      <c r="AK242" s="12">
        <v>0</v>
      </c>
      <c r="AL242" s="12">
        <v>0</v>
      </c>
      <c r="AM242" s="12">
        <v>2232</v>
      </c>
      <c r="AN242" s="12">
        <f t="shared" si="47"/>
        <v>2232</v>
      </c>
      <c r="AO242" s="12">
        <v>7</v>
      </c>
      <c r="AP242" s="12" t="s">
        <v>59</v>
      </c>
      <c r="AQ242" s="12">
        <v>0</v>
      </c>
      <c r="AR242" s="12">
        <v>14</v>
      </c>
      <c r="AS242" s="12">
        <v>3</v>
      </c>
      <c r="AT242" s="12">
        <v>3</v>
      </c>
      <c r="AU242" s="12">
        <v>3</v>
      </c>
      <c r="AV242" s="12">
        <v>7</v>
      </c>
      <c r="AW242" s="12">
        <f t="shared" si="48"/>
        <v>7</v>
      </c>
      <c r="AX242" s="12">
        <v>1</v>
      </c>
      <c r="AY242" s="12">
        <v>3</v>
      </c>
      <c r="AZ242" s="12">
        <v>3</v>
      </c>
      <c r="BA242" s="12">
        <f t="shared" si="49"/>
        <v>3</v>
      </c>
      <c r="BB242" s="12">
        <v>2</v>
      </c>
      <c r="BC242" s="12">
        <v>1</v>
      </c>
      <c r="BD242" s="12">
        <f t="shared" si="58"/>
        <v>1</v>
      </c>
      <c r="BE242" s="12">
        <v>2</v>
      </c>
      <c r="BF242" s="12">
        <f t="shared" si="50"/>
        <v>2</v>
      </c>
      <c r="BG242" s="12">
        <f t="shared" si="59"/>
        <v>2</v>
      </c>
      <c r="BH242" s="67">
        <v>1</v>
      </c>
      <c r="BI242" s="67">
        <v>0</v>
      </c>
      <c r="BJ242" s="67">
        <v>0</v>
      </c>
      <c r="BK242" s="67">
        <v>0</v>
      </c>
      <c r="BL242" s="67">
        <v>1</v>
      </c>
      <c r="BM242" s="67">
        <v>0</v>
      </c>
      <c r="BN242" s="67">
        <v>0</v>
      </c>
      <c r="BO242" s="67">
        <v>0</v>
      </c>
      <c r="BP242" s="67">
        <v>0</v>
      </c>
      <c r="BQ242" s="67">
        <v>2</v>
      </c>
      <c r="BR242" s="67">
        <v>0</v>
      </c>
      <c r="BS242" s="67">
        <v>0</v>
      </c>
      <c r="BT242" s="67">
        <v>7</v>
      </c>
      <c r="BU242" s="70">
        <v>0</v>
      </c>
      <c r="BV242" s="29">
        <f t="shared" si="51"/>
        <v>0.9071730029149907</v>
      </c>
      <c r="BW242">
        <f t="shared" si="52"/>
        <v>0.59502473559756086</v>
      </c>
      <c r="BX242">
        <f t="shared" si="53"/>
        <v>0.55002080963175637</v>
      </c>
      <c r="BY242">
        <f t="shared" si="54"/>
        <v>0.65423109602898355</v>
      </c>
      <c r="BZ242">
        <f t="shared" si="55"/>
        <v>1.01056543769991</v>
      </c>
      <c r="CA242">
        <f t="shared" si="56"/>
        <v>0.22726935890025346</v>
      </c>
      <c r="CB242">
        <f t="shared" si="57"/>
        <v>0.36858985273641137</v>
      </c>
    </row>
    <row r="243" spans="1:80" x14ac:dyDescent="0.45">
      <c r="A243" s="11">
        <v>32</v>
      </c>
      <c r="B243" s="12">
        <f t="shared" si="45"/>
        <v>32</v>
      </c>
      <c r="C243" s="12" t="s">
        <v>59</v>
      </c>
      <c r="D243" s="12">
        <v>0</v>
      </c>
      <c r="E243" s="12" t="s">
        <v>86</v>
      </c>
      <c r="F243" s="12">
        <v>0</v>
      </c>
      <c r="G243" s="12">
        <v>0</v>
      </c>
      <c r="H243" s="12" t="s">
        <v>54</v>
      </c>
      <c r="I243" s="12">
        <v>0</v>
      </c>
      <c r="J243" s="12">
        <v>1</v>
      </c>
      <c r="K243" s="12">
        <v>26</v>
      </c>
      <c r="L243" s="12">
        <f t="shared" si="46"/>
        <v>26</v>
      </c>
      <c r="M243" s="12">
        <v>4</v>
      </c>
      <c r="N243" s="12" t="s">
        <v>90</v>
      </c>
      <c r="O243" s="12">
        <v>0</v>
      </c>
      <c r="P243" s="12">
        <v>0</v>
      </c>
      <c r="Q243" s="12">
        <v>0</v>
      </c>
      <c r="R243" s="12">
        <v>1</v>
      </c>
      <c r="S243" s="12">
        <v>0</v>
      </c>
      <c r="T243" s="12">
        <v>3</v>
      </c>
      <c r="U243" s="12" t="s">
        <v>62</v>
      </c>
      <c r="V243" s="12">
        <v>0</v>
      </c>
      <c r="W243" s="12">
        <v>100</v>
      </c>
      <c r="X243" s="12">
        <v>3</v>
      </c>
      <c r="Y243" s="12">
        <v>2</v>
      </c>
      <c r="Z243" s="12" t="s">
        <v>56</v>
      </c>
      <c r="AA243" s="12">
        <v>0</v>
      </c>
      <c r="AB243" s="12">
        <v>1</v>
      </c>
      <c r="AC243" s="12">
        <v>0</v>
      </c>
      <c r="AD243" s="12">
        <v>0</v>
      </c>
      <c r="AE243" s="12">
        <v>0</v>
      </c>
      <c r="AF243" s="12">
        <v>0</v>
      </c>
      <c r="AG243" s="12">
        <v>0</v>
      </c>
      <c r="AH243" s="12">
        <v>0</v>
      </c>
      <c r="AI243" s="12">
        <v>4</v>
      </c>
      <c r="AJ243" s="12" t="s">
        <v>64</v>
      </c>
      <c r="AK243" s="12">
        <v>0</v>
      </c>
      <c r="AL243" s="12">
        <v>1</v>
      </c>
      <c r="AM243" s="12">
        <v>4465</v>
      </c>
      <c r="AN243" s="12">
        <f t="shared" si="47"/>
        <v>4465</v>
      </c>
      <c r="AO243" s="12">
        <v>0</v>
      </c>
      <c r="AP243" s="12" t="s">
        <v>59</v>
      </c>
      <c r="AQ243" s="12">
        <v>0</v>
      </c>
      <c r="AR243" s="12">
        <v>18</v>
      </c>
      <c r="AS243" s="12">
        <v>3</v>
      </c>
      <c r="AT243" s="12">
        <v>1</v>
      </c>
      <c r="AU243" s="12">
        <v>0</v>
      </c>
      <c r="AV243" s="12">
        <v>4</v>
      </c>
      <c r="AW243" s="12">
        <f t="shared" si="48"/>
        <v>4</v>
      </c>
      <c r="AX243" s="12">
        <v>2</v>
      </c>
      <c r="AY243" s="12">
        <v>3</v>
      </c>
      <c r="AZ243" s="12">
        <v>3</v>
      </c>
      <c r="BA243" s="12">
        <f t="shared" si="49"/>
        <v>3</v>
      </c>
      <c r="BB243" s="12">
        <v>2</v>
      </c>
      <c r="BC243" s="12">
        <v>2</v>
      </c>
      <c r="BD243" s="12">
        <f t="shared" si="58"/>
        <v>2</v>
      </c>
      <c r="BE243" s="12">
        <v>2</v>
      </c>
      <c r="BF243" s="12">
        <f t="shared" si="50"/>
        <v>2</v>
      </c>
      <c r="BG243" s="12">
        <f t="shared" si="59"/>
        <v>4</v>
      </c>
      <c r="BH243" s="67">
        <v>0</v>
      </c>
      <c r="BI243" s="67">
        <v>1</v>
      </c>
      <c r="BJ243" s="67">
        <v>0</v>
      </c>
      <c r="BK243" s="67">
        <v>0</v>
      </c>
      <c r="BL243" s="67">
        <v>0</v>
      </c>
      <c r="BM243" s="67">
        <v>0</v>
      </c>
      <c r="BN243" s="67">
        <v>1</v>
      </c>
      <c r="BO243" s="67">
        <v>0</v>
      </c>
      <c r="BP243" s="67">
        <v>0</v>
      </c>
      <c r="BQ243" s="67">
        <v>0</v>
      </c>
      <c r="BR243" s="67">
        <v>2</v>
      </c>
      <c r="BS243" s="67">
        <v>0</v>
      </c>
      <c r="BT243" s="67">
        <v>0</v>
      </c>
      <c r="BU243" s="70">
        <v>4</v>
      </c>
      <c r="BV243" s="29">
        <f t="shared" si="51"/>
        <v>0.43286958364472911</v>
      </c>
      <c r="BW243">
        <f t="shared" si="52"/>
        <v>0.59502473559756086</v>
      </c>
      <c r="BX243">
        <f t="shared" si="53"/>
        <v>0.93558618405172878</v>
      </c>
      <c r="BY243">
        <f t="shared" si="54"/>
        <v>0.65423109602898355</v>
      </c>
      <c r="BZ243">
        <f t="shared" si="55"/>
        <v>2.0732409091797459</v>
      </c>
      <c r="CA243">
        <f t="shared" si="56"/>
        <v>0.53898283739188557</v>
      </c>
      <c r="CB243">
        <f t="shared" si="57"/>
        <v>5.8265062631872602E-2</v>
      </c>
    </row>
    <row r="244" spans="1:80" x14ac:dyDescent="0.45">
      <c r="A244" s="11">
        <v>41</v>
      </c>
      <c r="B244" s="12">
        <f t="shared" si="45"/>
        <v>41</v>
      </c>
      <c r="C244" s="12" t="s">
        <v>59</v>
      </c>
      <c r="D244" s="12">
        <v>0</v>
      </c>
      <c r="E244" s="12" t="s">
        <v>53</v>
      </c>
      <c r="F244" s="12">
        <v>0</v>
      </c>
      <c r="G244" s="12">
        <v>1</v>
      </c>
      <c r="H244" s="12" t="s">
        <v>61</v>
      </c>
      <c r="I244" s="12">
        <v>1</v>
      </c>
      <c r="J244" s="12">
        <v>0</v>
      </c>
      <c r="K244" s="12">
        <v>19</v>
      </c>
      <c r="L244" s="12">
        <f t="shared" si="46"/>
        <v>19</v>
      </c>
      <c r="M244" s="12">
        <v>2</v>
      </c>
      <c r="N244" s="12" t="s">
        <v>55</v>
      </c>
      <c r="O244" s="12">
        <v>1</v>
      </c>
      <c r="P244" s="12">
        <v>0</v>
      </c>
      <c r="Q244" s="12">
        <v>0</v>
      </c>
      <c r="R244" s="12">
        <v>0</v>
      </c>
      <c r="S244" s="12">
        <v>0</v>
      </c>
      <c r="T244" s="12">
        <v>3</v>
      </c>
      <c r="U244" s="12" t="s">
        <v>62</v>
      </c>
      <c r="V244" s="12">
        <v>0</v>
      </c>
      <c r="W244" s="12">
        <v>36</v>
      </c>
      <c r="X244" s="12">
        <v>3</v>
      </c>
      <c r="Y244" s="12">
        <v>2</v>
      </c>
      <c r="Z244" s="12" t="s">
        <v>63</v>
      </c>
      <c r="AA244" s="12">
        <v>0</v>
      </c>
      <c r="AB244" s="12">
        <v>0</v>
      </c>
      <c r="AC244" s="12">
        <v>0</v>
      </c>
      <c r="AD244" s="12">
        <v>0</v>
      </c>
      <c r="AE244" s="12">
        <v>0</v>
      </c>
      <c r="AF244" s="12">
        <v>0</v>
      </c>
      <c r="AG244" s="12">
        <v>0</v>
      </c>
      <c r="AH244" s="12">
        <v>1</v>
      </c>
      <c r="AI244" s="12">
        <v>1</v>
      </c>
      <c r="AJ244" s="12" t="s">
        <v>78</v>
      </c>
      <c r="AK244" s="12">
        <v>0</v>
      </c>
      <c r="AL244" s="12">
        <v>0</v>
      </c>
      <c r="AM244" s="12">
        <v>3072</v>
      </c>
      <c r="AN244" s="12">
        <f t="shared" si="47"/>
        <v>3072</v>
      </c>
      <c r="AO244" s="12">
        <v>2</v>
      </c>
      <c r="AP244" s="12" t="s">
        <v>59</v>
      </c>
      <c r="AQ244" s="12">
        <v>0</v>
      </c>
      <c r="AR244" s="12">
        <v>16</v>
      </c>
      <c r="AS244" s="12">
        <v>3</v>
      </c>
      <c r="AT244" s="12">
        <v>1</v>
      </c>
      <c r="AU244" s="12">
        <v>2</v>
      </c>
      <c r="AV244" s="12">
        <v>17</v>
      </c>
      <c r="AW244" s="12">
        <f t="shared" si="48"/>
        <v>17</v>
      </c>
      <c r="AX244" s="12">
        <v>2</v>
      </c>
      <c r="AY244" s="12">
        <v>2</v>
      </c>
      <c r="AZ244" s="12">
        <v>1</v>
      </c>
      <c r="BA244" s="12">
        <f t="shared" si="49"/>
        <v>1</v>
      </c>
      <c r="BB244" s="12">
        <v>0</v>
      </c>
      <c r="BC244" s="12">
        <v>0</v>
      </c>
      <c r="BD244" s="12">
        <f t="shared" si="58"/>
        <v>0</v>
      </c>
      <c r="BE244" s="12">
        <v>0</v>
      </c>
      <c r="BF244" s="12">
        <f t="shared" si="50"/>
        <v>0</v>
      </c>
      <c r="BG244" s="12">
        <f t="shared" si="59"/>
        <v>0</v>
      </c>
      <c r="BH244" s="67">
        <v>1</v>
      </c>
      <c r="BI244" s="67">
        <v>0</v>
      </c>
      <c r="BJ244" s="67">
        <v>0</v>
      </c>
      <c r="BK244" s="67">
        <v>0</v>
      </c>
      <c r="BL244" s="67">
        <v>1</v>
      </c>
      <c r="BM244" s="67">
        <v>0</v>
      </c>
      <c r="BN244" s="67">
        <v>0</v>
      </c>
      <c r="BO244" s="67">
        <v>0</v>
      </c>
      <c r="BP244" s="67">
        <v>0</v>
      </c>
      <c r="BQ244" s="67">
        <v>0</v>
      </c>
      <c r="BR244" s="67">
        <v>0</v>
      </c>
      <c r="BS244" s="67">
        <v>0</v>
      </c>
      <c r="BT244" s="67">
        <v>17</v>
      </c>
      <c r="BU244" s="70">
        <v>0</v>
      </c>
      <c r="BV244" s="29">
        <f t="shared" si="51"/>
        <v>0.72875165397319952</v>
      </c>
      <c r="BW244">
        <f t="shared" si="52"/>
        <v>1.1555414682655611</v>
      </c>
      <c r="BX244">
        <f t="shared" si="53"/>
        <v>0.73519710510148462</v>
      </c>
      <c r="BY244">
        <f t="shared" si="54"/>
        <v>0.9806804209314296</v>
      </c>
      <c r="BZ244">
        <f t="shared" si="55"/>
        <v>1.2097751320534422</v>
      </c>
      <c r="CA244">
        <f t="shared" si="56"/>
        <v>0.4461985578408646</v>
      </c>
      <c r="CB244">
        <f t="shared" si="57"/>
        <v>0.67891464284095016</v>
      </c>
    </row>
    <row r="245" spans="1:80" x14ac:dyDescent="0.45">
      <c r="A245" s="11">
        <v>40</v>
      </c>
      <c r="B245" s="12">
        <f t="shared" si="45"/>
        <v>40</v>
      </c>
      <c r="C245" s="12" t="s">
        <v>59</v>
      </c>
      <c r="D245" s="12">
        <v>0</v>
      </c>
      <c r="E245" s="12" t="s">
        <v>53</v>
      </c>
      <c r="F245" s="12">
        <v>0</v>
      </c>
      <c r="G245" s="12">
        <v>1</v>
      </c>
      <c r="H245" s="12" t="s">
        <v>61</v>
      </c>
      <c r="I245" s="12">
        <v>1</v>
      </c>
      <c r="J245" s="12">
        <v>0</v>
      </c>
      <c r="K245" s="12">
        <v>24</v>
      </c>
      <c r="L245" s="12">
        <f t="shared" si="46"/>
        <v>24</v>
      </c>
      <c r="M245" s="12">
        <v>2</v>
      </c>
      <c r="N245" s="12" t="s">
        <v>91</v>
      </c>
      <c r="O245" s="12">
        <v>0</v>
      </c>
      <c r="P245" s="12">
        <v>0</v>
      </c>
      <c r="Q245" s="12">
        <v>0</v>
      </c>
      <c r="R245" s="12">
        <v>0</v>
      </c>
      <c r="S245" s="12">
        <v>1</v>
      </c>
      <c r="T245" s="12">
        <v>1</v>
      </c>
      <c r="U245" s="12" t="s">
        <v>62</v>
      </c>
      <c r="V245" s="12">
        <v>0</v>
      </c>
      <c r="W245" s="12">
        <v>62</v>
      </c>
      <c r="X245" s="12">
        <v>3</v>
      </c>
      <c r="Y245" s="12">
        <v>2</v>
      </c>
      <c r="Z245" s="12" t="s">
        <v>63</v>
      </c>
      <c r="AA245" s="12">
        <v>0</v>
      </c>
      <c r="AB245" s="12">
        <v>0</v>
      </c>
      <c r="AC245" s="12">
        <v>0</v>
      </c>
      <c r="AD245" s="12">
        <v>0</v>
      </c>
      <c r="AE245" s="12">
        <v>0</v>
      </c>
      <c r="AF245" s="12">
        <v>0</v>
      </c>
      <c r="AG245" s="12">
        <v>0</v>
      </c>
      <c r="AH245" s="12">
        <v>1</v>
      </c>
      <c r="AI245" s="12">
        <v>4</v>
      </c>
      <c r="AJ245" s="12" t="s">
        <v>78</v>
      </c>
      <c r="AK245" s="12">
        <v>0</v>
      </c>
      <c r="AL245" s="12">
        <v>0</v>
      </c>
      <c r="AM245" s="12">
        <v>3319</v>
      </c>
      <c r="AN245" s="12">
        <f t="shared" si="47"/>
        <v>3319</v>
      </c>
      <c r="AO245" s="12">
        <v>1</v>
      </c>
      <c r="AP245" s="12" t="s">
        <v>59</v>
      </c>
      <c r="AQ245" s="12">
        <v>0</v>
      </c>
      <c r="AR245" s="12">
        <v>17</v>
      </c>
      <c r="AS245" s="12">
        <v>3</v>
      </c>
      <c r="AT245" s="12">
        <v>1</v>
      </c>
      <c r="AU245" s="12">
        <v>2</v>
      </c>
      <c r="AV245" s="12">
        <v>9</v>
      </c>
      <c r="AW245" s="12">
        <f t="shared" si="48"/>
        <v>9</v>
      </c>
      <c r="AX245" s="12">
        <v>3</v>
      </c>
      <c r="AY245" s="12">
        <v>3</v>
      </c>
      <c r="AZ245" s="12">
        <v>9</v>
      </c>
      <c r="BA245" s="12">
        <f t="shared" si="49"/>
        <v>9</v>
      </c>
      <c r="BB245" s="12">
        <v>8</v>
      </c>
      <c r="BC245" s="12">
        <v>4</v>
      </c>
      <c r="BD245" s="12">
        <f t="shared" si="58"/>
        <v>4</v>
      </c>
      <c r="BE245" s="12">
        <v>7</v>
      </c>
      <c r="BF245" s="12">
        <f t="shared" si="50"/>
        <v>7</v>
      </c>
      <c r="BG245" s="12">
        <f t="shared" si="59"/>
        <v>14</v>
      </c>
      <c r="BH245" s="67">
        <v>1</v>
      </c>
      <c r="BI245" s="67">
        <v>0</v>
      </c>
      <c r="BJ245" s="67">
        <v>0</v>
      </c>
      <c r="BK245" s="67">
        <v>0</v>
      </c>
      <c r="BL245" s="67">
        <v>1</v>
      </c>
      <c r="BM245" s="67">
        <v>0</v>
      </c>
      <c r="BN245" s="67">
        <v>0</v>
      </c>
      <c r="BO245" s="67">
        <v>0</v>
      </c>
      <c r="BP245" s="67">
        <v>0</v>
      </c>
      <c r="BQ245" s="67">
        <v>7</v>
      </c>
      <c r="BR245" s="67">
        <v>0</v>
      </c>
      <c r="BS245" s="67">
        <v>0</v>
      </c>
      <c r="BT245" s="67">
        <v>9</v>
      </c>
      <c r="BU245" s="70">
        <v>0</v>
      </c>
      <c r="BV245" s="29">
        <f t="shared" si="51"/>
        <v>0.67628728112960146</v>
      </c>
      <c r="BW245">
        <f t="shared" si="52"/>
        <v>0.80626709607243985</v>
      </c>
      <c r="BX245">
        <f t="shared" si="53"/>
        <v>0.29297722668510823</v>
      </c>
      <c r="BY245">
        <f t="shared" si="54"/>
        <v>0.32511687867835437</v>
      </c>
      <c r="BZ245">
        <f t="shared" si="55"/>
        <v>1.8265364014293735</v>
      </c>
      <c r="CA245">
        <f t="shared" si="56"/>
        <v>0.33673395837055903</v>
      </c>
      <c r="CB245">
        <f t="shared" si="57"/>
        <v>0.56238451757720498</v>
      </c>
    </row>
    <row r="246" spans="1:80" x14ac:dyDescent="0.45">
      <c r="A246" s="11">
        <v>45</v>
      </c>
      <c r="B246" s="12">
        <f t="shared" si="45"/>
        <v>45</v>
      </c>
      <c r="C246" s="12" t="s">
        <v>59</v>
      </c>
      <c r="D246" s="12">
        <v>0</v>
      </c>
      <c r="E246" s="12" t="s">
        <v>53</v>
      </c>
      <c r="F246" s="12">
        <v>0</v>
      </c>
      <c r="G246" s="12">
        <v>1</v>
      </c>
      <c r="H246" s="12" t="s">
        <v>61</v>
      </c>
      <c r="I246" s="12">
        <v>1</v>
      </c>
      <c r="J246" s="12">
        <v>0</v>
      </c>
      <c r="K246" s="12">
        <v>1</v>
      </c>
      <c r="L246" s="12">
        <f t="shared" si="46"/>
        <v>1</v>
      </c>
      <c r="M246" s="12">
        <v>3</v>
      </c>
      <c r="N246" s="12" t="s">
        <v>66</v>
      </c>
      <c r="O246" s="12">
        <v>0</v>
      </c>
      <c r="P246" s="12">
        <v>1</v>
      </c>
      <c r="Q246" s="12">
        <v>0</v>
      </c>
      <c r="R246" s="12">
        <v>0</v>
      </c>
      <c r="S246" s="12">
        <v>0</v>
      </c>
      <c r="T246" s="12">
        <v>3</v>
      </c>
      <c r="U246" s="12" t="s">
        <v>62</v>
      </c>
      <c r="V246" s="12">
        <v>0</v>
      </c>
      <c r="W246" s="12">
        <v>70</v>
      </c>
      <c r="X246" s="12">
        <v>4</v>
      </c>
      <c r="Y246" s="12">
        <v>5</v>
      </c>
      <c r="Z246" s="12" t="s">
        <v>87</v>
      </c>
      <c r="AA246" s="12">
        <v>0</v>
      </c>
      <c r="AB246" s="12">
        <v>0</v>
      </c>
      <c r="AC246" s="12">
        <v>0</v>
      </c>
      <c r="AD246" s="12">
        <v>1</v>
      </c>
      <c r="AE246" s="12">
        <v>0</v>
      </c>
      <c r="AF246" s="12">
        <v>0</v>
      </c>
      <c r="AG246" s="12">
        <v>0</v>
      </c>
      <c r="AH246" s="12">
        <v>0</v>
      </c>
      <c r="AI246" s="12">
        <v>4</v>
      </c>
      <c r="AJ246" s="12" t="s">
        <v>64</v>
      </c>
      <c r="AK246" s="12">
        <v>0</v>
      </c>
      <c r="AL246" s="12">
        <v>1</v>
      </c>
      <c r="AM246" s="12">
        <v>19202</v>
      </c>
      <c r="AN246" s="12">
        <f t="shared" si="47"/>
        <v>19202</v>
      </c>
      <c r="AO246" s="12">
        <v>0</v>
      </c>
      <c r="AP246" s="12" t="s">
        <v>59</v>
      </c>
      <c r="AQ246" s="12">
        <v>0</v>
      </c>
      <c r="AR246" s="12">
        <v>11</v>
      </c>
      <c r="AS246" s="12">
        <v>3</v>
      </c>
      <c r="AT246" s="12">
        <v>3</v>
      </c>
      <c r="AU246" s="12">
        <v>1</v>
      </c>
      <c r="AV246" s="12">
        <v>25</v>
      </c>
      <c r="AW246" s="12">
        <f t="shared" si="48"/>
        <v>25</v>
      </c>
      <c r="AX246" s="12">
        <v>2</v>
      </c>
      <c r="AY246" s="12">
        <v>3</v>
      </c>
      <c r="AZ246" s="12">
        <v>24</v>
      </c>
      <c r="BA246" s="12">
        <f t="shared" si="49"/>
        <v>24</v>
      </c>
      <c r="BB246" s="12">
        <v>0</v>
      </c>
      <c r="BC246" s="12">
        <v>1</v>
      </c>
      <c r="BD246" s="12">
        <f t="shared" si="58"/>
        <v>1</v>
      </c>
      <c r="BE246" s="12">
        <v>7</v>
      </c>
      <c r="BF246" s="12">
        <f t="shared" si="50"/>
        <v>7</v>
      </c>
      <c r="BG246" s="12">
        <f t="shared" si="59"/>
        <v>35</v>
      </c>
      <c r="BH246" s="67">
        <v>0</v>
      </c>
      <c r="BI246" s="67">
        <v>1</v>
      </c>
      <c r="BJ246" s="67">
        <v>0</v>
      </c>
      <c r="BK246" s="67">
        <v>0</v>
      </c>
      <c r="BL246" s="67">
        <v>0</v>
      </c>
      <c r="BM246" s="67">
        <v>0</v>
      </c>
      <c r="BN246" s="67">
        <v>1</v>
      </c>
      <c r="BO246" s="67">
        <v>0</v>
      </c>
      <c r="BP246" s="67">
        <v>0</v>
      </c>
      <c r="BQ246" s="67">
        <v>7</v>
      </c>
      <c r="BR246" s="67">
        <v>0</v>
      </c>
      <c r="BS246" s="67">
        <v>0</v>
      </c>
      <c r="BT246" s="67">
        <v>25</v>
      </c>
      <c r="BU246" s="70">
        <v>0</v>
      </c>
      <c r="BV246" s="29">
        <f t="shared" si="51"/>
        <v>2.6973630584447674</v>
      </c>
      <c r="BW246">
        <f t="shared" si="52"/>
        <v>0.80626709607243985</v>
      </c>
      <c r="BX246">
        <f t="shared" si="53"/>
        <v>1.7633714368880775</v>
      </c>
      <c r="BY246">
        <f t="shared" si="54"/>
        <v>2.7734868154466992</v>
      </c>
      <c r="BZ246">
        <f t="shared" si="55"/>
        <v>1.01056543769991</v>
      </c>
      <c r="CA246">
        <f t="shared" si="56"/>
        <v>0.88405695572208698</v>
      </c>
      <c r="CB246">
        <f t="shared" si="57"/>
        <v>0.36858985273641137</v>
      </c>
    </row>
    <row r="247" spans="1:80" x14ac:dyDescent="0.45">
      <c r="A247" s="11">
        <v>31</v>
      </c>
      <c r="B247" s="12">
        <f t="shared" si="45"/>
        <v>31</v>
      </c>
      <c r="C247" s="12" t="s">
        <v>59</v>
      </c>
      <c r="D247" s="12">
        <v>0</v>
      </c>
      <c r="E247" s="12" t="s">
        <v>60</v>
      </c>
      <c r="F247" s="12">
        <v>1</v>
      </c>
      <c r="G247" s="12">
        <v>0</v>
      </c>
      <c r="H247" s="12" t="s">
        <v>61</v>
      </c>
      <c r="I247" s="12">
        <v>1</v>
      </c>
      <c r="J247" s="12">
        <v>0</v>
      </c>
      <c r="K247" s="12">
        <v>3</v>
      </c>
      <c r="L247" s="12">
        <f t="shared" si="46"/>
        <v>3</v>
      </c>
      <c r="M247" s="12">
        <v>4</v>
      </c>
      <c r="N247" s="12" t="s">
        <v>70</v>
      </c>
      <c r="O247" s="12">
        <v>0</v>
      </c>
      <c r="P247" s="12">
        <v>0</v>
      </c>
      <c r="Q247" s="12">
        <v>1</v>
      </c>
      <c r="R247" s="12">
        <v>0</v>
      </c>
      <c r="S247" s="12">
        <v>0</v>
      </c>
      <c r="T247" s="12">
        <v>2</v>
      </c>
      <c r="U247" s="12" t="s">
        <v>62</v>
      </c>
      <c r="V247" s="12">
        <v>0</v>
      </c>
      <c r="W247" s="12">
        <v>73</v>
      </c>
      <c r="X247" s="12">
        <v>3</v>
      </c>
      <c r="Y247" s="12">
        <v>3</v>
      </c>
      <c r="Z247" s="12" t="s">
        <v>89</v>
      </c>
      <c r="AA247" s="12">
        <v>0</v>
      </c>
      <c r="AB247" s="12">
        <v>0</v>
      </c>
      <c r="AC247" s="12">
        <v>0</v>
      </c>
      <c r="AD247" s="12">
        <v>0</v>
      </c>
      <c r="AE247" s="12">
        <v>0</v>
      </c>
      <c r="AF247" s="12">
        <v>0</v>
      </c>
      <c r="AG247" s="12">
        <v>0</v>
      </c>
      <c r="AH247" s="12">
        <v>0</v>
      </c>
      <c r="AI247" s="12">
        <v>3</v>
      </c>
      <c r="AJ247" s="12" t="s">
        <v>78</v>
      </c>
      <c r="AK247" s="12">
        <v>0</v>
      </c>
      <c r="AL247" s="12">
        <v>0</v>
      </c>
      <c r="AM247" s="12">
        <v>13675</v>
      </c>
      <c r="AN247" s="12">
        <f t="shared" si="47"/>
        <v>13675</v>
      </c>
      <c r="AO247" s="12">
        <v>9</v>
      </c>
      <c r="AP247" s="12" t="s">
        <v>59</v>
      </c>
      <c r="AQ247" s="12">
        <v>0</v>
      </c>
      <c r="AR247" s="12">
        <v>12</v>
      </c>
      <c r="AS247" s="12">
        <v>3</v>
      </c>
      <c r="AT247" s="12">
        <v>1</v>
      </c>
      <c r="AU247" s="12">
        <v>1</v>
      </c>
      <c r="AV247" s="12">
        <v>9</v>
      </c>
      <c r="AW247" s="12">
        <f t="shared" si="48"/>
        <v>9</v>
      </c>
      <c r="AX247" s="12">
        <v>3</v>
      </c>
      <c r="AY247" s="12">
        <v>3</v>
      </c>
      <c r="AZ247" s="12">
        <v>2</v>
      </c>
      <c r="BA247" s="12">
        <f t="shared" si="49"/>
        <v>2</v>
      </c>
      <c r="BB247" s="12">
        <v>2</v>
      </c>
      <c r="BC247" s="12">
        <v>2</v>
      </c>
      <c r="BD247" s="12">
        <f t="shared" si="58"/>
        <v>2</v>
      </c>
      <c r="BE247" s="12">
        <v>2</v>
      </c>
      <c r="BF247" s="12">
        <f t="shared" si="50"/>
        <v>2</v>
      </c>
      <c r="BG247" s="12">
        <f t="shared" si="59"/>
        <v>6</v>
      </c>
      <c r="BH247" s="67">
        <v>0</v>
      </c>
      <c r="BI247" s="67">
        <v>0</v>
      </c>
      <c r="BJ247" s="67">
        <v>1</v>
      </c>
      <c r="BK247" s="67">
        <v>0</v>
      </c>
      <c r="BL247" s="67">
        <v>1</v>
      </c>
      <c r="BM247" s="67">
        <v>0</v>
      </c>
      <c r="BN247" s="67">
        <v>0</v>
      </c>
      <c r="BO247" s="67">
        <v>0</v>
      </c>
      <c r="BP247" s="67">
        <v>0</v>
      </c>
      <c r="BQ247" s="67">
        <v>2</v>
      </c>
      <c r="BR247" s="67">
        <v>0</v>
      </c>
      <c r="BS247" s="67">
        <v>0</v>
      </c>
      <c r="BT247" s="67">
        <v>9</v>
      </c>
      <c r="BU247" s="70">
        <v>0</v>
      </c>
      <c r="BV247" s="29">
        <f t="shared" si="51"/>
        <v>1.5233930636813386</v>
      </c>
      <c r="BW247">
        <f t="shared" si="52"/>
        <v>0.59502473559756086</v>
      </c>
      <c r="BX247">
        <f t="shared" si="53"/>
        <v>0.29297722668510823</v>
      </c>
      <c r="BY247">
        <f t="shared" si="54"/>
        <v>0.81745575848020657</v>
      </c>
      <c r="BZ247">
        <f t="shared" si="55"/>
        <v>0.76386092994953758</v>
      </c>
      <c r="CA247">
        <f t="shared" si="56"/>
        <v>0.6484474368621912</v>
      </c>
      <c r="CB247">
        <f t="shared" si="57"/>
        <v>5.8265062631872602E-2</v>
      </c>
    </row>
    <row r="248" spans="1:80" x14ac:dyDescent="0.45">
      <c r="A248" s="11">
        <v>33</v>
      </c>
      <c r="B248" s="12">
        <f t="shared" si="45"/>
        <v>33</v>
      </c>
      <c r="C248" s="12" t="s">
        <v>59</v>
      </c>
      <c r="D248" s="12">
        <v>0</v>
      </c>
      <c r="E248" s="12" t="s">
        <v>53</v>
      </c>
      <c r="F248" s="12">
        <v>0</v>
      </c>
      <c r="G248" s="12">
        <v>1</v>
      </c>
      <c r="H248" s="12" t="s">
        <v>61</v>
      </c>
      <c r="I248" s="12">
        <v>1</v>
      </c>
      <c r="J248" s="12">
        <v>0</v>
      </c>
      <c r="K248" s="12">
        <v>5</v>
      </c>
      <c r="L248" s="12">
        <f t="shared" si="46"/>
        <v>5</v>
      </c>
      <c r="M248" s="12">
        <v>4</v>
      </c>
      <c r="N248" s="12" t="s">
        <v>55</v>
      </c>
      <c r="O248" s="12">
        <v>1</v>
      </c>
      <c r="P248" s="12">
        <v>0</v>
      </c>
      <c r="Q248" s="12">
        <v>0</v>
      </c>
      <c r="R248" s="12">
        <v>0</v>
      </c>
      <c r="S248" s="12">
        <v>0</v>
      </c>
      <c r="T248" s="12">
        <v>3</v>
      </c>
      <c r="U248" s="12" t="s">
        <v>19</v>
      </c>
      <c r="V248" s="12">
        <v>1</v>
      </c>
      <c r="W248" s="12">
        <v>63</v>
      </c>
      <c r="X248" s="12">
        <v>2</v>
      </c>
      <c r="Y248" s="12">
        <v>1</v>
      </c>
      <c r="Z248" s="12" t="s">
        <v>63</v>
      </c>
      <c r="AA248" s="12">
        <v>0</v>
      </c>
      <c r="AB248" s="12">
        <v>0</v>
      </c>
      <c r="AC248" s="12">
        <v>0</v>
      </c>
      <c r="AD248" s="12">
        <v>0</v>
      </c>
      <c r="AE248" s="12">
        <v>0</v>
      </c>
      <c r="AF248" s="12">
        <v>0</v>
      </c>
      <c r="AG248" s="12">
        <v>0</v>
      </c>
      <c r="AH248" s="12">
        <v>1</v>
      </c>
      <c r="AI248" s="12">
        <v>4</v>
      </c>
      <c r="AJ248" s="12" t="s">
        <v>64</v>
      </c>
      <c r="AK248" s="12">
        <v>0</v>
      </c>
      <c r="AL248" s="12">
        <v>1</v>
      </c>
      <c r="AM248" s="12">
        <v>2911</v>
      </c>
      <c r="AN248" s="12">
        <f t="shared" si="47"/>
        <v>2911</v>
      </c>
      <c r="AO248" s="12">
        <v>1</v>
      </c>
      <c r="AP248" s="12" t="s">
        <v>59</v>
      </c>
      <c r="AQ248" s="12">
        <v>0</v>
      </c>
      <c r="AR248" s="12">
        <v>13</v>
      </c>
      <c r="AS248" s="12">
        <v>3</v>
      </c>
      <c r="AT248" s="12">
        <v>3</v>
      </c>
      <c r="AU248" s="12">
        <v>1</v>
      </c>
      <c r="AV248" s="12">
        <v>2</v>
      </c>
      <c r="AW248" s="12">
        <f t="shared" si="48"/>
        <v>2</v>
      </c>
      <c r="AX248" s="12">
        <v>2</v>
      </c>
      <c r="AY248" s="12">
        <v>2</v>
      </c>
      <c r="AZ248" s="12">
        <v>2</v>
      </c>
      <c r="BA248" s="12">
        <f t="shared" si="49"/>
        <v>2</v>
      </c>
      <c r="BB248" s="12">
        <v>2</v>
      </c>
      <c r="BC248" s="12">
        <v>0</v>
      </c>
      <c r="BD248" s="12">
        <f t="shared" si="58"/>
        <v>0</v>
      </c>
      <c r="BE248" s="12">
        <v>2</v>
      </c>
      <c r="BF248" s="12">
        <f t="shared" si="50"/>
        <v>2</v>
      </c>
      <c r="BG248" s="12">
        <f t="shared" si="59"/>
        <v>2</v>
      </c>
      <c r="BH248" s="67">
        <v>0</v>
      </c>
      <c r="BI248" s="67">
        <v>1</v>
      </c>
      <c r="BJ248" s="67">
        <v>0</v>
      </c>
      <c r="BK248" s="67">
        <v>0</v>
      </c>
      <c r="BL248" s="67">
        <v>0</v>
      </c>
      <c r="BM248" s="67">
        <v>0</v>
      </c>
      <c r="BN248" s="67">
        <v>1</v>
      </c>
      <c r="BO248" s="67">
        <v>0</v>
      </c>
      <c r="BP248" s="67">
        <v>0</v>
      </c>
      <c r="BQ248" s="67">
        <v>2</v>
      </c>
      <c r="BR248" s="67">
        <v>0</v>
      </c>
      <c r="BS248" s="67">
        <v>0</v>
      </c>
      <c r="BT248" s="67">
        <v>2</v>
      </c>
      <c r="BU248" s="70">
        <v>0</v>
      </c>
      <c r="BV248" s="29">
        <f t="shared" si="51"/>
        <v>0.76294907918704291</v>
      </c>
      <c r="BW248">
        <f t="shared" si="52"/>
        <v>0.59502473559756086</v>
      </c>
      <c r="BX248">
        <f t="shared" si="53"/>
        <v>1.192629766998377</v>
      </c>
      <c r="BY248">
        <f t="shared" si="54"/>
        <v>0.81745575848020657</v>
      </c>
      <c r="BZ248">
        <f t="shared" si="55"/>
        <v>0.51715642219916513</v>
      </c>
      <c r="CA248">
        <f t="shared" si="56"/>
        <v>0.42951823792158</v>
      </c>
      <c r="CB248">
        <f t="shared" si="57"/>
        <v>0.67891464284095016</v>
      </c>
    </row>
    <row r="249" spans="1:80" x14ac:dyDescent="0.45">
      <c r="A249" s="11">
        <v>34</v>
      </c>
      <c r="B249" s="12">
        <f t="shared" si="45"/>
        <v>34</v>
      </c>
      <c r="C249" s="12" t="s">
        <v>59</v>
      </c>
      <c r="D249" s="12">
        <v>0</v>
      </c>
      <c r="E249" s="12" t="s">
        <v>53</v>
      </c>
      <c r="F249" s="12">
        <v>0</v>
      </c>
      <c r="G249" s="12">
        <v>1</v>
      </c>
      <c r="H249" s="12" t="s">
        <v>61</v>
      </c>
      <c r="I249" s="12">
        <v>1</v>
      </c>
      <c r="J249" s="12">
        <v>0</v>
      </c>
      <c r="K249" s="12">
        <v>2</v>
      </c>
      <c r="L249" s="12">
        <f t="shared" si="46"/>
        <v>2</v>
      </c>
      <c r="M249" s="12">
        <v>4</v>
      </c>
      <c r="N249" s="12" t="s">
        <v>55</v>
      </c>
      <c r="O249" s="12">
        <v>1</v>
      </c>
      <c r="P249" s="12">
        <v>0</v>
      </c>
      <c r="Q249" s="12">
        <v>0</v>
      </c>
      <c r="R249" s="12">
        <v>0</v>
      </c>
      <c r="S249" s="12">
        <v>0</v>
      </c>
      <c r="T249" s="12">
        <v>4</v>
      </c>
      <c r="U249" s="12" t="s">
        <v>62</v>
      </c>
      <c r="V249" s="12">
        <v>0</v>
      </c>
      <c r="W249" s="12">
        <v>84</v>
      </c>
      <c r="X249" s="12">
        <v>2</v>
      </c>
      <c r="Y249" s="12">
        <v>2</v>
      </c>
      <c r="Z249" s="12" t="s">
        <v>83</v>
      </c>
      <c r="AA249" s="12">
        <v>0</v>
      </c>
      <c r="AB249" s="12">
        <v>0</v>
      </c>
      <c r="AC249" s="12">
        <v>0</v>
      </c>
      <c r="AD249" s="12">
        <v>0</v>
      </c>
      <c r="AE249" s="12">
        <v>1</v>
      </c>
      <c r="AF249" s="12">
        <v>1</v>
      </c>
      <c r="AG249" s="12">
        <v>0</v>
      </c>
      <c r="AH249" s="12">
        <v>0</v>
      </c>
      <c r="AI249" s="12">
        <v>1</v>
      </c>
      <c r="AJ249" s="12" t="s">
        <v>64</v>
      </c>
      <c r="AK249" s="12">
        <v>0</v>
      </c>
      <c r="AL249" s="12">
        <v>1</v>
      </c>
      <c r="AM249" s="12">
        <v>5957</v>
      </c>
      <c r="AN249" s="12">
        <f t="shared" si="47"/>
        <v>5957</v>
      </c>
      <c r="AO249" s="12">
        <v>6</v>
      </c>
      <c r="AP249" s="12" t="s">
        <v>59</v>
      </c>
      <c r="AQ249" s="12">
        <v>0</v>
      </c>
      <c r="AR249" s="12">
        <v>13</v>
      </c>
      <c r="AS249" s="12">
        <v>3</v>
      </c>
      <c r="AT249" s="12">
        <v>2</v>
      </c>
      <c r="AU249" s="12">
        <v>1</v>
      </c>
      <c r="AV249" s="12">
        <v>13</v>
      </c>
      <c r="AW249" s="12">
        <f t="shared" si="48"/>
        <v>13</v>
      </c>
      <c r="AX249" s="12">
        <v>3</v>
      </c>
      <c r="AY249" s="12">
        <v>3</v>
      </c>
      <c r="AZ249" s="12">
        <v>11</v>
      </c>
      <c r="BA249" s="12">
        <f t="shared" si="49"/>
        <v>11</v>
      </c>
      <c r="BB249" s="12">
        <v>9</v>
      </c>
      <c r="BC249" s="12">
        <v>5</v>
      </c>
      <c r="BD249" s="12">
        <f t="shared" si="58"/>
        <v>5</v>
      </c>
      <c r="BE249" s="12">
        <v>9</v>
      </c>
      <c r="BF249" s="12">
        <f t="shared" si="50"/>
        <v>9</v>
      </c>
      <c r="BG249" s="12">
        <f t="shared" si="59"/>
        <v>18</v>
      </c>
      <c r="BH249" s="67">
        <v>0</v>
      </c>
      <c r="BI249" s="67">
        <v>1</v>
      </c>
      <c r="BJ249" s="67">
        <v>0</v>
      </c>
      <c r="BK249" s="67">
        <v>0</v>
      </c>
      <c r="BL249" s="67">
        <v>0</v>
      </c>
      <c r="BM249" s="67">
        <v>0</v>
      </c>
      <c r="BN249" s="67">
        <v>1</v>
      </c>
      <c r="BO249" s="67">
        <v>0</v>
      </c>
      <c r="BP249" s="67">
        <v>0</v>
      </c>
      <c r="BQ249" s="67">
        <v>9</v>
      </c>
      <c r="BR249" s="67">
        <v>0</v>
      </c>
      <c r="BS249" s="67">
        <v>0</v>
      </c>
      <c r="BT249" s="67">
        <v>13</v>
      </c>
      <c r="BU249" s="70">
        <v>0</v>
      </c>
      <c r="BV249" s="29">
        <f t="shared" si="51"/>
        <v>0.1159592829052619</v>
      </c>
      <c r="BW249">
        <f t="shared" si="52"/>
        <v>1.3667838287404401</v>
      </c>
      <c r="BX249">
        <f t="shared" si="53"/>
        <v>0.22110993920818819</v>
      </c>
      <c r="BY249">
        <f t="shared" si="54"/>
        <v>0.65156620358080031</v>
      </c>
      <c r="BZ249">
        <f t="shared" si="55"/>
        <v>0.88721318382472392</v>
      </c>
      <c r="CA249">
        <f t="shared" si="56"/>
        <v>0.32005363845127444</v>
      </c>
      <c r="CB249">
        <f t="shared" si="57"/>
        <v>0.87270930768174382</v>
      </c>
    </row>
    <row r="250" spans="1:80" x14ac:dyDescent="0.45">
      <c r="A250" s="11">
        <v>37</v>
      </c>
      <c r="B250" s="12">
        <f t="shared" si="45"/>
        <v>37</v>
      </c>
      <c r="C250" s="12" t="s">
        <v>59</v>
      </c>
      <c r="D250" s="12">
        <v>0</v>
      </c>
      <c r="E250" s="12" t="s">
        <v>53</v>
      </c>
      <c r="F250" s="12">
        <v>0</v>
      </c>
      <c r="G250" s="12">
        <v>1</v>
      </c>
      <c r="H250" s="12" t="s">
        <v>61</v>
      </c>
      <c r="I250" s="12">
        <v>1</v>
      </c>
      <c r="J250" s="12">
        <v>0</v>
      </c>
      <c r="K250" s="12">
        <v>1</v>
      </c>
      <c r="L250" s="12">
        <f t="shared" si="46"/>
        <v>1</v>
      </c>
      <c r="M250" s="12">
        <v>2</v>
      </c>
      <c r="N250" s="12" t="s">
        <v>70</v>
      </c>
      <c r="O250" s="12">
        <v>0</v>
      </c>
      <c r="P250" s="12">
        <v>0</v>
      </c>
      <c r="Q250" s="12">
        <v>1</v>
      </c>
      <c r="R250" s="12">
        <v>0</v>
      </c>
      <c r="S250" s="12">
        <v>0</v>
      </c>
      <c r="T250" s="12">
        <v>3</v>
      </c>
      <c r="U250" s="12" t="s">
        <v>19</v>
      </c>
      <c r="V250" s="12">
        <v>1</v>
      </c>
      <c r="W250" s="12">
        <v>83</v>
      </c>
      <c r="X250" s="12">
        <v>2</v>
      </c>
      <c r="Y250" s="12">
        <v>1</v>
      </c>
      <c r="Z250" s="12" t="s">
        <v>63</v>
      </c>
      <c r="AA250" s="12">
        <v>0</v>
      </c>
      <c r="AB250" s="12">
        <v>0</v>
      </c>
      <c r="AC250" s="12">
        <v>0</v>
      </c>
      <c r="AD250" s="12">
        <v>0</v>
      </c>
      <c r="AE250" s="12">
        <v>0</v>
      </c>
      <c r="AF250" s="12">
        <v>0</v>
      </c>
      <c r="AG250" s="12">
        <v>0</v>
      </c>
      <c r="AH250" s="12">
        <v>1</v>
      </c>
      <c r="AI250" s="12">
        <v>1</v>
      </c>
      <c r="AJ250" s="12" t="s">
        <v>64</v>
      </c>
      <c r="AK250" s="12">
        <v>0</v>
      </c>
      <c r="AL250" s="12">
        <v>1</v>
      </c>
      <c r="AM250" s="12">
        <v>3920</v>
      </c>
      <c r="AN250" s="12">
        <f t="shared" si="47"/>
        <v>3920</v>
      </c>
      <c r="AO250" s="12">
        <v>2</v>
      </c>
      <c r="AP250" s="12" t="s">
        <v>59</v>
      </c>
      <c r="AQ250" s="12">
        <v>0</v>
      </c>
      <c r="AR250" s="12">
        <v>14</v>
      </c>
      <c r="AS250" s="12">
        <v>3</v>
      </c>
      <c r="AT250" s="12">
        <v>1</v>
      </c>
      <c r="AU250" s="12">
        <v>1</v>
      </c>
      <c r="AV250" s="12">
        <v>17</v>
      </c>
      <c r="AW250" s="12">
        <f t="shared" si="48"/>
        <v>17</v>
      </c>
      <c r="AX250" s="12">
        <v>2</v>
      </c>
      <c r="AY250" s="12">
        <v>2</v>
      </c>
      <c r="AZ250" s="12">
        <v>3</v>
      </c>
      <c r="BA250" s="12">
        <f t="shared" si="49"/>
        <v>3</v>
      </c>
      <c r="BB250" s="12">
        <v>1</v>
      </c>
      <c r="BC250" s="12">
        <v>0</v>
      </c>
      <c r="BD250" s="12">
        <f t="shared" si="58"/>
        <v>0</v>
      </c>
      <c r="BE250" s="12">
        <v>2</v>
      </c>
      <c r="BF250" s="12">
        <f t="shared" si="50"/>
        <v>2</v>
      </c>
      <c r="BG250" s="12">
        <f t="shared" si="59"/>
        <v>2</v>
      </c>
      <c r="BH250" s="67">
        <v>0</v>
      </c>
      <c r="BI250" s="67">
        <v>1</v>
      </c>
      <c r="BJ250" s="67">
        <v>0</v>
      </c>
      <c r="BK250" s="67">
        <v>0</v>
      </c>
      <c r="BL250" s="67">
        <v>0</v>
      </c>
      <c r="BM250" s="67">
        <v>0</v>
      </c>
      <c r="BN250" s="67">
        <v>1</v>
      </c>
      <c r="BO250" s="67">
        <v>0</v>
      </c>
      <c r="BP250" s="67">
        <v>0</v>
      </c>
      <c r="BQ250" s="67">
        <v>2</v>
      </c>
      <c r="BR250" s="67">
        <v>0</v>
      </c>
      <c r="BS250" s="67">
        <v>0</v>
      </c>
      <c r="BT250" s="67">
        <v>17</v>
      </c>
      <c r="BU250" s="70">
        <v>0</v>
      </c>
      <c r="BV250" s="29">
        <f t="shared" si="51"/>
        <v>0.54863105408910562</v>
      </c>
      <c r="BW250">
        <f t="shared" si="52"/>
        <v>0.59502473559756086</v>
      </c>
      <c r="BX250">
        <f t="shared" si="53"/>
        <v>0.73519710510148462</v>
      </c>
      <c r="BY250">
        <f t="shared" si="54"/>
        <v>0.65423109602898355</v>
      </c>
      <c r="BZ250">
        <f t="shared" si="55"/>
        <v>1.01056543769991</v>
      </c>
      <c r="CA250">
        <f t="shared" si="56"/>
        <v>8.3401599596422994E-3</v>
      </c>
      <c r="CB250">
        <f t="shared" si="57"/>
        <v>0.67891464284095016</v>
      </c>
    </row>
    <row r="251" spans="1:80" x14ac:dyDescent="0.45">
      <c r="A251" s="11">
        <v>45</v>
      </c>
      <c r="B251" s="12">
        <f t="shared" si="45"/>
        <v>45</v>
      </c>
      <c r="C251" s="12" t="s">
        <v>59</v>
      </c>
      <c r="D251" s="12">
        <v>0</v>
      </c>
      <c r="E251" s="12" t="s">
        <v>60</v>
      </c>
      <c r="F251" s="12">
        <v>1</v>
      </c>
      <c r="G251" s="12">
        <v>0</v>
      </c>
      <c r="H251" s="12" t="s">
        <v>61</v>
      </c>
      <c r="I251" s="12">
        <v>1</v>
      </c>
      <c r="J251" s="12">
        <v>0</v>
      </c>
      <c r="K251" s="12">
        <v>7</v>
      </c>
      <c r="L251" s="12">
        <f t="shared" si="46"/>
        <v>7</v>
      </c>
      <c r="M251" s="12">
        <v>4</v>
      </c>
      <c r="N251" s="12" t="s">
        <v>55</v>
      </c>
      <c r="O251" s="12">
        <v>1</v>
      </c>
      <c r="P251" s="12">
        <v>0</v>
      </c>
      <c r="Q251" s="12">
        <v>0</v>
      </c>
      <c r="R251" s="12">
        <v>0</v>
      </c>
      <c r="S251" s="12">
        <v>0</v>
      </c>
      <c r="T251" s="12">
        <v>1</v>
      </c>
      <c r="U251" s="12" t="s">
        <v>62</v>
      </c>
      <c r="V251" s="12">
        <v>0</v>
      </c>
      <c r="W251" s="12">
        <v>77</v>
      </c>
      <c r="X251" s="12">
        <v>4</v>
      </c>
      <c r="Y251" s="12">
        <v>2</v>
      </c>
      <c r="Z251" s="12" t="s">
        <v>83</v>
      </c>
      <c r="AA251" s="12">
        <v>0</v>
      </c>
      <c r="AB251" s="12">
        <v>0</v>
      </c>
      <c r="AC251" s="12">
        <v>0</v>
      </c>
      <c r="AD251" s="12">
        <v>0</v>
      </c>
      <c r="AE251" s="12">
        <v>1</v>
      </c>
      <c r="AF251" s="12">
        <v>1</v>
      </c>
      <c r="AG251" s="12">
        <v>0</v>
      </c>
      <c r="AH251" s="12">
        <v>0</v>
      </c>
      <c r="AI251" s="12">
        <v>3</v>
      </c>
      <c r="AJ251" s="12" t="s">
        <v>64</v>
      </c>
      <c r="AK251" s="12">
        <v>0</v>
      </c>
      <c r="AL251" s="12">
        <v>1</v>
      </c>
      <c r="AM251" s="12">
        <v>6434</v>
      </c>
      <c r="AN251" s="12">
        <f t="shared" si="47"/>
        <v>6434</v>
      </c>
      <c r="AO251" s="12">
        <v>4</v>
      </c>
      <c r="AP251" s="12" t="s">
        <v>59</v>
      </c>
      <c r="AQ251" s="12">
        <v>0</v>
      </c>
      <c r="AR251" s="12">
        <v>17</v>
      </c>
      <c r="AS251" s="12">
        <v>3</v>
      </c>
      <c r="AT251" s="12">
        <v>4</v>
      </c>
      <c r="AU251" s="12">
        <v>1</v>
      </c>
      <c r="AV251" s="12">
        <v>9</v>
      </c>
      <c r="AW251" s="12">
        <f t="shared" si="48"/>
        <v>9</v>
      </c>
      <c r="AX251" s="12">
        <v>1</v>
      </c>
      <c r="AY251" s="12">
        <v>3</v>
      </c>
      <c r="AZ251" s="12">
        <v>3</v>
      </c>
      <c r="BA251" s="12">
        <f t="shared" si="49"/>
        <v>3</v>
      </c>
      <c r="BB251" s="12">
        <v>2</v>
      </c>
      <c r="BC251" s="12">
        <v>0</v>
      </c>
      <c r="BD251" s="12">
        <f t="shared" si="58"/>
        <v>0</v>
      </c>
      <c r="BE251" s="12">
        <v>2</v>
      </c>
      <c r="BF251" s="12">
        <f t="shared" si="50"/>
        <v>2</v>
      </c>
      <c r="BG251" s="12">
        <f t="shared" si="59"/>
        <v>4</v>
      </c>
      <c r="BH251" s="67">
        <v>0</v>
      </c>
      <c r="BI251" s="67">
        <v>0</v>
      </c>
      <c r="BJ251" s="67">
        <v>0</v>
      </c>
      <c r="BK251" s="67">
        <v>1</v>
      </c>
      <c r="BL251" s="67">
        <v>0</v>
      </c>
      <c r="BM251" s="67">
        <v>0</v>
      </c>
      <c r="BN251" s="67">
        <v>1</v>
      </c>
      <c r="BO251" s="67">
        <v>0</v>
      </c>
      <c r="BP251" s="67">
        <v>0</v>
      </c>
      <c r="BQ251" s="67">
        <v>2</v>
      </c>
      <c r="BR251" s="67">
        <v>0</v>
      </c>
      <c r="BS251" s="67">
        <v>0</v>
      </c>
      <c r="BT251" s="67">
        <v>9</v>
      </c>
      <c r="BU251" s="70">
        <v>0</v>
      </c>
      <c r="BV251" s="29">
        <f t="shared" si="51"/>
        <v>1.4641445470459038E-2</v>
      </c>
      <c r="BW251">
        <f t="shared" si="52"/>
        <v>0.59502473559756086</v>
      </c>
      <c r="BX251">
        <f t="shared" si="53"/>
        <v>0.29297722668510823</v>
      </c>
      <c r="BY251">
        <f t="shared" si="54"/>
        <v>0.65423109602898355</v>
      </c>
      <c r="BZ251">
        <f t="shared" si="55"/>
        <v>0.27045191444879263</v>
      </c>
      <c r="CA251">
        <f t="shared" si="56"/>
        <v>0.88405695572208698</v>
      </c>
      <c r="CB251">
        <f t="shared" si="57"/>
        <v>0.67891464284095016</v>
      </c>
    </row>
    <row r="252" spans="1:80" x14ac:dyDescent="0.45">
      <c r="A252" s="11">
        <v>37</v>
      </c>
      <c r="B252" s="12">
        <f t="shared" si="45"/>
        <v>37</v>
      </c>
      <c r="C252" s="12" t="s">
        <v>52</v>
      </c>
      <c r="D252" s="12">
        <v>1</v>
      </c>
      <c r="E252" s="12" t="s">
        <v>60</v>
      </c>
      <c r="F252" s="12">
        <v>1</v>
      </c>
      <c r="G252" s="12">
        <v>0</v>
      </c>
      <c r="H252" s="12" t="s">
        <v>61</v>
      </c>
      <c r="I252" s="12">
        <v>1</v>
      </c>
      <c r="J252" s="12">
        <v>0</v>
      </c>
      <c r="K252" s="12">
        <v>10</v>
      </c>
      <c r="L252" s="12">
        <f t="shared" si="46"/>
        <v>10</v>
      </c>
      <c r="M252" s="12">
        <v>3</v>
      </c>
      <c r="N252" s="12" t="s">
        <v>70</v>
      </c>
      <c r="O252" s="12">
        <v>0</v>
      </c>
      <c r="P252" s="12">
        <v>0</v>
      </c>
      <c r="Q252" s="12">
        <v>1</v>
      </c>
      <c r="R252" s="12">
        <v>0</v>
      </c>
      <c r="S252" s="12">
        <v>0</v>
      </c>
      <c r="T252" s="12">
        <v>1</v>
      </c>
      <c r="U252" s="12" t="s">
        <v>62</v>
      </c>
      <c r="V252" s="12">
        <v>0</v>
      </c>
      <c r="W252" s="12">
        <v>61</v>
      </c>
      <c r="X252" s="12">
        <v>3</v>
      </c>
      <c r="Y252" s="12">
        <v>3</v>
      </c>
      <c r="Z252" s="12" t="s">
        <v>83</v>
      </c>
      <c r="AA252" s="12">
        <v>0</v>
      </c>
      <c r="AB252" s="12">
        <v>0</v>
      </c>
      <c r="AC252" s="12">
        <v>0</v>
      </c>
      <c r="AD252" s="12">
        <v>0</v>
      </c>
      <c r="AE252" s="12">
        <v>1</v>
      </c>
      <c r="AF252" s="12">
        <v>1</v>
      </c>
      <c r="AG252" s="12">
        <v>0</v>
      </c>
      <c r="AH252" s="12">
        <v>0</v>
      </c>
      <c r="AI252" s="12">
        <v>3</v>
      </c>
      <c r="AJ252" s="12" t="s">
        <v>78</v>
      </c>
      <c r="AK252" s="12">
        <v>0</v>
      </c>
      <c r="AL252" s="12">
        <v>0</v>
      </c>
      <c r="AM252" s="12">
        <v>10048</v>
      </c>
      <c r="AN252" s="12">
        <f t="shared" si="47"/>
        <v>10048</v>
      </c>
      <c r="AO252" s="12">
        <v>6</v>
      </c>
      <c r="AP252" s="12" t="s">
        <v>59</v>
      </c>
      <c r="AQ252" s="12">
        <v>0</v>
      </c>
      <c r="AR252" s="12">
        <v>11</v>
      </c>
      <c r="AS252" s="12">
        <v>3</v>
      </c>
      <c r="AT252" s="12">
        <v>2</v>
      </c>
      <c r="AU252" s="12">
        <v>2</v>
      </c>
      <c r="AV252" s="12">
        <v>17</v>
      </c>
      <c r="AW252" s="12">
        <f t="shared" si="48"/>
        <v>17</v>
      </c>
      <c r="AX252" s="12">
        <v>5</v>
      </c>
      <c r="AY252" s="12">
        <v>3</v>
      </c>
      <c r="AZ252" s="12">
        <v>1</v>
      </c>
      <c r="BA252" s="12">
        <f t="shared" si="49"/>
        <v>1</v>
      </c>
      <c r="BB252" s="12">
        <v>0</v>
      </c>
      <c r="BC252" s="12">
        <v>0</v>
      </c>
      <c r="BD252" s="12">
        <f t="shared" si="58"/>
        <v>0</v>
      </c>
      <c r="BE252" s="12">
        <v>0</v>
      </c>
      <c r="BF252" s="12">
        <f t="shared" si="50"/>
        <v>0</v>
      </c>
      <c r="BG252" s="12">
        <f t="shared" si="59"/>
        <v>0</v>
      </c>
      <c r="BH252" s="67">
        <v>0</v>
      </c>
      <c r="BI252" s="67">
        <v>0</v>
      </c>
      <c r="BJ252" s="67">
        <v>1</v>
      </c>
      <c r="BK252" s="67">
        <v>0</v>
      </c>
      <c r="BL252" s="67">
        <v>1</v>
      </c>
      <c r="BM252" s="67">
        <v>0</v>
      </c>
      <c r="BN252" s="67">
        <v>0</v>
      </c>
      <c r="BO252" s="67">
        <v>0</v>
      </c>
      <c r="BP252" s="67">
        <v>0</v>
      </c>
      <c r="BQ252" s="67">
        <v>0</v>
      </c>
      <c r="BR252" s="67">
        <v>0</v>
      </c>
      <c r="BS252" s="67">
        <v>0</v>
      </c>
      <c r="BT252" s="67">
        <v>17</v>
      </c>
      <c r="BU252" s="70">
        <v>0</v>
      </c>
      <c r="BV252" s="29">
        <f t="shared" si="51"/>
        <v>0.75299516771481878</v>
      </c>
      <c r="BW252">
        <f t="shared" si="52"/>
        <v>1.1555414682655611</v>
      </c>
      <c r="BX252">
        <f t="shared" si="53"/>
        <v>0.73519710510148462</v>
      </c>
      <c r="BY252">
        <f t="shared" si="54"/>
        <v>0.9806804209314296</v>
      </c>
      <c r="BZ252">
        <f t="shared" si="55"/>
        <v>9.9604847176766084E-2</v>
      </c>
      <c r="CA252">
        <f t="shared" si="56"/>
        <v>8.3401599596422994E-3</v>
      </c>
      <c r="CB252">
        <f t="shared" si="57"/>
        <v>0.67891464284095016</v>
      </c>
    </row>
    <row r="253" spans="1:80" x14ac:dyDescent="0.45">
      <c r="A253" s="11">
        <v>39</v>
      </c>
      <c r="B253" s="12">
        <f t="shared" si="45"/>
        <v>39</v>
      </c>
      <c r="C253" s="12" t="s">
        <v>59</v>
      </c>
      <c r="D253" s="12">
        <v>0</v>
      </c>
      <c r="E253" s="12" t="s">
        <v>60</v>
      </c>
      <c r="F253" s="12">
        <v>1</v>
      </c>
      <c r="G253" s="12">
        <v>0</v>
      </c>
      <c r="H253" s="12" t="s">
        <v>61</v>
      </c>
      <c r="I253" s="12">
        <v>1</v>
      </c>
      <c r="J253" s="12">
        <v>0</v>
      </c>
      <c r="K253" s="12">
        <v>2</v>
      </c>
      <c r="L253" s="12">
        <f t="shared" si="46"/>
        <v>2</v>
      </c>
      <c r="M253" s="12">
        <v>4</v>
      </c>
      <c r="N253" s="12" t="s">
        <v>91</v>
      </c>
      <c r="O253" s="12">
        <v>0</v>
      </c>
      <c r="P253" s="12">
        <v>0</v>
      </c>
      <c r="Q253" s="12">
        <v>0</v>
      </c>
      <c r="R253" s="12">
        <v>0</v>
      </c>
      <c r="S253" s="12">
        <v>1</v>
      </c>
      <c r="T253" s="12">
        <v>3</v>
      </c>
      <c r="U253" s="12" t="s">
        <v>19</v>
      </c>
      <c r="V253" s="12">
        <v>1</v>
      </c>
      <c r="W253" s="12">
        <v>64</v>
      </c>
      <c r="X253" s="12">
        <v>3</v>
      </c>
      <c r="Y253" s="12">
        <v>3</v>
      </c>
      <c r="Z253" s="12" t="s">
        <v>85</v>
      </c>
      <c r="AA253" s="12">
        <v>1</v>
      </c>
      <c r="AB253" s="12">
        <v>0</v>
      </c>
      <c r="AC253" s="12">
        <v>0</v>
      </c>
      <c r="AD253" s="12">
        <v>0</v>
      </c>
      <c r="AE253" s="12">
        <v>0</v>
      </c>
      <c r="AF253" s="12">
        <v>0</v>
      </c>
      <c r="AG253" s="12">
        <v>0</v>
      </c>
      <c r="AH253" s="12">
        <v>0</v>
      </c>
      <c r="AI253" s="12">
        <v>3</v>
      </c>
      <c r="AJ253" s="12" t="s">
        <v>57</v>
      </c>
      <c r="AK253" s="12">
        <v>1</v>
      </c>
      <c r="AL253" s="12">
        <v>0</v>
      </c>
      <c r="AM253" s="12">
        <v>10938</v>
      </c>
      <c r="AN253" s="12">
        <f t="shared" si="47"/>
        <v>10938</v>
      </c>
      <c r="AO253" s="12">
        <v>0</v>
      </c>
      <c r="AP253" s="12" t="s">
        <v>59</v>
      </c>
      <c r="AQ253" s="12">
        <v>0</v>
      </c>
      <c r="AR253" s="12">
        <v>25</v>
      </c>
      <c r="AS253" s="12">
        <v>4</v>
      </c>
      <c r="AT253" s="12">
        <v>4</v>
      </c>
      <c r="AU253" s="12">
        <v>0</v>
      </c>
      <c r="AV253" s="12">
        <v>20</v>
      </c>
      <c r="AW253" s="12">
        <f t="shared" si="48"/>
        <v>20</v>
      </c>
      <c r="AX253" s="12">
        <v>1</v>
      </c>
      <c r="AY253" s="12">
        <v>3</v>
      </c>
      <c r="AZ253" s="12">
        <v>19</v>
      </c>
      <c r="BA253" s="12">
        <f t="shared" si="49"/>
        <v>19</v>
      </c>
      <c r="BB253" s="12">
        <v>6</v>
      </c>
      <c r="BC253" s="12">
        <v>11</v>
      </c>
      <c r="BD253" s="12">
        <f t="shared" si="58"/>
        <v>11</v>
      </c>
      <c r="BE253" s="12">
        <v>8</v>
      </c>
      <c r="BF253" s="12">
        <f t="shared" si="50"/>
        <v>8</v>
      </c>
      <c r="BG253" s="12">
        <f t="shared" si="59"/>
        <v>24</v>
      </c>
      <c r="BH253" s="67">
        <v>0</v>
      </c>
      <c r="BI253" s="67">
        <v>0</v>
      </c>
      <c r="BJ253" s="67">
        <v>1</v>
      </c>
      <c r="BK253" s="67">
        <v>0</v>
      </c>
      <c r="BL253" s="67">
        <v>1</v>
      </c>
      <c r="BM253" s="67">
        <v>0</v>
      </c>
      <c r="BN253" s="67">
        <v>0</v>
      </c>
      <c r="BO253" s="67">
        <v>0</v>
      </c>
      <c r="BP253" s="67">
        <v>0</v>
      </c>
      <c r="BQ253" s="67">
        <v>8</v>
      </c>
      <c r="BR253" s="67">
        <v>0</v>
      </c>
      <c r="BS253" s="67">
        <v>0</v>
      </c>
      <c r="BT253" s="67">
        <v>20</v>
      </c>
      <c r="BU253" s="70">
        <v>0</v>
      </c>
      <c r="BV253" s="29">
        <f t="shared" si="51"/>
        <v>0.94203683504600233</v>
      </c>
      <c r="BW253">
        <f t="shared" si="52"/>
        <v>1.08652546240644</v>
      </c>
      <c r="BX253">
        <f t="shared" si="53"/>
        <v>1.120762479521457</v>
      </c>
      <c r="BY253">
        <f t="shared" si="54"/>
        <v>1.9573635031905841</v>
      </c>
      <c r="BZ253">
        <f t="shared" si="55"/>
        <v>0.88721318382472392</v>
      </c>
      <c r="CA253">
        <f t="shared" si="56"/>
        <v>0.22726935890025346</v>
      </c>
      <c r="CB253">
        <f t="shared" si="57"/>
        <v>2.7346580483089769</v>
      </c>
    </row>
    <row r="254" spans="1:80" x14ac:dyDescent="0.45">
      <c r="A254" s="11">
        <v>29</v>
      </c>
      <c r="B254" s="12">
        <f t="shared" si="45"/>
        <v>29</v>
      </c>
      <c r="C254" s="12" t="s">
        <v>59</v>
      </c>
      <c r="D254" s="12">
        <v>0</v>
      </c>
      <c r="E254" s="12" t="s">
        <v>53</v>
      </c>
      <c r="F254" s="12">
        <v>0</v>
      </c>
      <c r="G254" s="12">
        <v>1</v>
      </c>
      <c r="H254" s="12" t="s">
        <v>61</v>
      </c>
      <c r="I254" s="12">
        <v>1</v>
      </c>
      <c r="J254" s="12">
        <v>0</v>
      </c>
      <c r="K254" s="12">
        <v>15</v>
      </c>
      <c r="L254" s="12">
        <f t="shared" si="46"/>
        <v>15</v>
      </c>
      <c r="M254" s="12">
        <v>3</v>
      </c>
      <c r="N254" s="12" t="s">
        <v>55</v>
      </c>
      <c r="O254" s="12">
        <v>1</v>
      </c>
      <c r="P254" s="12">
        <v>0</v>
      </c>
      <c r="Q254" s="12">
        <v>0</v>
      </c>
      <c r="R254" s="12">
        <v>0</v>
      </c>
      <c r="S254" s="12">
        <v>0</v>
      </c>
      <c r="T254" s="12">
        <v>3</v>
      </c>
      <c r="U254" s="12" t="s">
        <v>62</v>
      </c>
      <c r="V254" s="12">
        <v>0</v>
      </c>
      <c r="W254" s="12">
        <v>60</v>
      </c>
      <c r="X254" s="12">
        <v>3</v>
      </c>
      <c r="Y254" s="12">
        <v>1</v>
      </c>
      <c r="Z254" s="12" t="s">
        <v>63</v>
      </c>
      <c r="AA254" s="12">
        <v>0</v>
      </c>
      <c r="AB254" s="12">
        <v>0</v>
      </c>
      <c r="AC254" s="12">
        <v>0</v>
      </c>
      <c r="AD254" s="12">
        <v>0</v>
      </c>
      <c r="AE254" s="12">
        <v>0</v>
      </c>
      <c r="AF254" s="12">
        <v>0</v>
      </c>
      <c r="AG254" s="12">
        <v>0</v>
      </c>
      <c r="AH254" s="12">
        <v>1</v>
      </c>
      <c r="AI254" s="12">
        <v>4</v>
      </c>
      <c r="AJ254" s="12" t="s">
        <v>57</v>
      </c>
      <c r="AK254" s="12">
        <v>1</v>
      </c>
      <c r="AL254" s="12">
        <v>0</v>
      </c>
      <c r="AM254" s="12">
        <v>2340</v>
      </c>
      <c r="AN254" s="12">
        <f t="shared" si="47"/>
        <v>2340</v>
      </c>
      <c r="AO254" s="12">
        <v>1</v>
      </c>
      <c r="AP254" s="12" t="s">
        <v>59</v>
      </c>
      <c r="AQ254" s="12">
        <v>0</v>
      </c>
      <c r="AR254" s="12">
        <v>19</v>
      </c>
      <c r="AS254" s="12">
        <v>3</v>
      </c>
      <c r="AT254" s="12">
        <v>1</v>
      </c>
      <c r="AU254" s="12">
        <v>0</v>
      </c>
      <c r="AV254" s="12">
        <v>6</v>
      </c>
      <c r="AW254" s="12">
        <f t="shared" si="48"/>
        <v>6</v>
      </c>
      <c r="AX254" s="12">
        <v>1</v>
      </c>
      <c r="AY254" s="12">
        <v>3</v>
      </c>
      <c r="AZ254" s="12">
        <v>6</v>
      </c>
      <c r="BA254" s="12">
        <f t="shared" si="49"/>
        <v>6</v>
      </c>
      <c r="BB254" s="12">
        <v>5</v>
      </c>
      <c r="BC254" s="12">
        <v>1</v>
      </c>
      <c r="BD254" s="12">
        <f t="shared" si="58"/>
        <v>1</v>
      </c>
      <c r="BE254" s="12">
        <v>5</v>
      </c>
      <c r="BF254" s="12">
        <f t="shared" si="50"/>
        <v>5</v>
      </c>
      <c r="BG254" s="12">
        <f t="shared" si="59"/>
        <v>5</v>
      </c>
      <c r="BH254" s="67">
        <v>1</v>
      </c>
      <c r="BI254" s="67">
        <v>0</v>
      </c>
      <c r="BJ254" s="67">
        <v>0</v>
      </c>
      <c r="BK254" s="67">
        <v>0</v>
      </c>
      <c r="BL254" s="67">
        <v>1</v>
      </c>
      <c r="BM254" s="67">
        <v>0</v>
      </c>
      <c r="BN254" s="67">
        <v>0</v>
      </c>
      <c r="BO254" s="67">
        <v>0</v>
      </c>
      <c r="BP254" s="67">
        <v>0</v>
      </c>
      <c r="BQ254" s="67">
        <v>5</v>
      </c>
      <c r="BR254" s="67">
        <v>0</v>
      </c>
      <c r="BS254" s="67">
        <v>0</v>
      </c>
      <c r="BT254" s="67">
        <v>6</v>
      </c>
      <c r="BU254" s="70">
        <v>0</v>
      </c>
      <c r="BV254" s="29">
        <f t="shared" si="51"/>
        <v>0.88423311519390335</v>
      </c>
      <c r="BW254">
        <f t="shared" si="52"/>
        <v>0.24575036340443959</v>
      </c>
      <c r="BX254">
        <f t="shared" si="53"/>
        <v>0.67854260110508058</v>
      </c>
      <c r="BY254">
        <f t="shared" si="54"/>
        <v>0.16455710867531462</v>
      </c>
      <c r="BZ254">
        <f t="shared" si="55"/>
        <v>0.71636611655269733</v>
      </c>
      <c r="CA254">
        <f t="shared" si="56"/>
        <v>0.86737663580280233</v>
      </c>
      <c r="CB254">
        <f t="shared" si="57"/>
        <v>0.36858985273641137</v>
      </c>
    </row>
    <row r="255" spans="1:80" x14ac:dyDescent="0.45">
      <c r="A255" s="11">
        <v>42</v>
      </c>
      <c r="B255" s="12">
        <f t="shared" si="45"/>
        <v>42</v>
      </c>
      <c r="C255" s="12" t="s">
        <v>59</v>
      </c>
      <c r="D255" s="12">
        <v>0</v>
      </c>
      <c r="E255" s="12" t="s">
        <v>53</v>
      </c>
      <c r="F255" s="12">
        <v>0</v>
      </c>
      <c r="G255" s="12">
        <v>1</v>
      </c>
      <c r="H255" s="12" t="s">
        <v>61</v>
      </c>
      <c r="I255" s="12">
        <v>1</v>
      </c>
      <c r="J255" s="12">
        <v>0</v>
      </c>
      <c r="K255" s="12">
        <v>17</v>
      </c>
      <c r="L255" s="12">
        <f t="shared" si="46"/>
        <v>17</v>
      </c>
      <c r="M255" s="12">
        <v>2</v>
      </c>
      <c r="N255" s="12" t="s">
        <v>55</v>
      </c>
      <c r="O255" s="12">
        <v>1</v>
      </c>
      <c r="P255" s="12">
        <v>0</v>
      </c>
      <c r="Q255" s="12">
        <v>0</v>
      </c>
      <c r="R255" s="12">
        <v>0</v>
      </c>
      <c r="S255" s="12">
        <v>0</v>
      </c>
      <c r="T255" s="12">
        <v>4</v>
      </c>
      <c r="U255" s="12" t="s">
        <v>19</v>
      </c>
      <c r="V255" s="12">
        <v>1</v>
      </c>
      <c r="W255" s="12">
        <v>82</v>
      </c>
      <c r="X255" s="12">
        <v>4</v>
      </c>
      <c r="Y255" s="12">
        <v>2</v>
      </c>
      <c r="Z255" s="12" t="s">
        <v>63</v>
      </c>
      <c r="AA255" s="12">
        <v>0</v>
      </c>
      <c r="AB255" s="12">
        <v>0</v>
      </c>
      <c r="AC255" s="12">
        <v>0</v>
      </c>
      <c r="AD255" s="12">
        <v>0</v>
      </c>
      <c r="AE255" s="12">
        <v>0</v>
      </c>
      <c r="AF255" s="12">
        <v>0</v>
      </c>
      <c r="AG255" s="12">
        <v>0</v>
      </c>
      <c r="AH255" s="12">
        <v>1</v>
      </c>
      <c r="AI255" s="12">
        <v>1</v>
      </c>
      <c r="AJ255" s="12" t="s">
        <v>57</v>
      </c>
      <c r="AK255" s="12">
        <v>1</v>
      </c>
      <c r="AL255" s="12">
        <v>0</v>
      </c>
      <c r="AM255" s="12">
        <v>6545</v>
      </c>
      <c r="AN255" s="12">
        <f t="shared" si="47"/>
        <v>6545</v>
      </c>
      <c r="AO255" s="12">
        <v>3</v>
      </c>
      <c r="AP255" s="12" t="s">
        <v>52</v>
      </c>
      <c r="AQ255" s="12">
        <v>1</v>
      </c>
      <c r="AR255" s="12">
        <v>13</v>
      </c>
      <c r="AS255" s="12">
        <v>3</v>
      </c>
      <c r="AT255" s="12">
        <v>3</v>
      </c>
      <c r="AU255" s="12">
        <v>0</v>
      </c>
      <c r="AV255" s="12">
        <v>10</v>
      </c>
      <c r="AW255" s="12">
        <f t="shared" si="48"/>
        <v>10</v>
      </c>
      <c r="AX255" s="12">
        <v>1</v>
      </c>
      <c r="AY255" s="12">
        <v>3</v>
      </c>
      <c r="AZ255" s="12">
        <v>3</v>
      </c>
      <c r="BA255" s="12">
        <f t="shared" si="49"/>
        <v>3</v>
      </c>
      <c r="BB255" s="12">
        <v>2</v>
      </c>
      <c r="BC255" s="12">
        <v>0</v>
      </c>
      <c r="BD255" s="12">
        <f t="shared" si="58"/>
        <v>0</v>
      </c>
      <c r="BE255" s="12">
        <v>2</v>
      </c>
      <c r="BF255" s="12">
        <f t="shared" si="50"/>
        <v>2</v>
      </c>
      <c r="BG255" s="12">
        <f t="shared" si="59"/>
        <v>4</v>
      </c>
      <c r="BH255" s="67">
        <v>1</v>
      </c>
      <c r="BI255" s="67">
        <v>0</v>
      </c>
      <c r="BJ255" s="67">
        <v>0</v>
      </c>
      <c r="BK255" s="67">
        <v>0</v>
      </c>
      <c r="BL255" s="67">
        <v>0</v>
      </c>
      <c r="BM255" s="67">
        <v>1</v>
      </c>
      <c r="BN255" s="67">
        <v>0</v>
      </c>
      <c r="BO255" s="67">
        <v>0</v>
      </c>
      <c r="BP255" s="67">
        <v>0</v>
      </c>
      <c r="BQ255" s="67">
        <v>2</v>
      </c>
      <c r="BR255" s="67">
        <v>0</v>
      </c>
      <c r="BS255" s="67">
        <v>0</v>
      </c>
      <c r="BT255" s="67">
        <v>10</v>
      </c>
      <c r="BU255" s="70">
        <v>0</v>
      </c>
      <c r="BV255" s="29">
        <f t="shared" si="51"/>
        <v>8.9356613539919444E-3</v>
      </c>
      <c r="BW255">
        <f t="shared" si="52"/>
        <v>0.59502473559756086</v>
      </c>
      <c r="BX255">
        <f t="shared" si="53"/>
        <v>0.1644554352117841</v>
      </c>
      <c r="BY255">
        <f t="shared" si="54"/>
        <v>0.65423109602898355</v>
      </c>
      <c r="BZ255">
        <f t="shared" si="55"/>
        <v>0.96307062430306978</v>
      </c>
      <c r="CA255">
        <f t="shared" si="56"/>
        <v>0.55566315731117022</v>
      </c>
      <c r="CB255">
        <f t="shared" si="57"/>
        <v>0.67891464284095016</v>
      </c>
    </row>
    <row r="256" spans="1:80" x14ac:dyDescent="0.45">
      <c r="A256" s="11">
        <v>29</v>
      </c>
      <c r="B256" s="12">
        <f t="shared" si="45"/>
        <v>29</v>
      </c>
      <c r="C256" s="12" t="s">
        <v>59</v>
      </c>
      <c r="D256" s="12">
        <v>0</v>
      </c>
      <c r="E256" s="12" t="s">
        <v>53</v>
      </c>
      <c r="F256" s="12">
        <v>0</v>
      </c>
      <c r="G256" s="12">
        <v>1</v>
      </c>
      <c r="H256" s="12" t="s">
        <v>54</v>
      </c>
      <c r="I256" s="12">
        <v>0</v>
      </c>
      <c r="J256" s="12">
        <v>1</v>
      </c>
      <c r="K256" s="12">
        <v>20</v>
      </c>
      <c r="L256" s="12">
        <f t="shared" si="46"/>
        <v>20</v>
      </c>
      <c r="M256" s="12">
        <v>2</v>
      </c>
      <c r="N256" s="12" t="s">
        <v>90</v>
      </c>
      <c r="O256" s="12">
        <v>0</v>
      </c>
      <c r="P256" s="12">
        <v>0</v>
      </c>
      <c r="Q256" s="12">
        <v>0</v>
      </c>
      <c r="R256" s="12">
        <v>1</v>
      </c>
      <c r="S256" s="12">
        <v>0</v>
      </c>
      <c r="T256" s="12">
        <v>4</v>
      </c>
      <c r="U256" s="12" t="s">
        <v>62</v>
      </c>
      <c r="V256" s="12">
        <v>0</v>
      </c>
      <c r="W256" s="12">
        <v>45</v>
      </c>
      <c r="X256" s="12">
        <v>3</v>
      </c>
      <c r="Y256" s="12">
        <v>2</v>
      </c>
      <c r="Z256" s="12" t="s">
        <v>56</v>
      </c>
      <c r="AA256" s="12">
        <v>0</v>
      </c>
      <c r="AB256" s="12">
        <v>1</v>
      </c>
      <c r="AC256" s="12">
        <v>0</v>
      </c>
      <c r="AD256" s="12">
        <v>0</v>
      </c>
      <c r="AE256" s="12">
        <v>0</v>
      </c>
      <c r="AF256" s="12">
        <v>0</v>
      </c>
      <c r="AG256" s="12">
        <v>0</v>
      </c>
      <c r="AH256" s="12">
        <v>0</v>
      </c>
      <c r="AI256" s="12">
        <v>4</v>
      </c>
      <c r="AJ256" s="12" t="s">
        <v>78</v>
      </c>
      <c r="AK256" s="12">
        <v>0</v>
      </c>
      <c r="AL256" s="12">
        <v>0</v>
      </c>
      <c r="AM256" s="12">
        <v>6931</v>
      </c>
      <c r="AN256" s="12">
        <f t="shared" si="47"/>
        <v>6931</v>
      </c>
      <c r="AO256" s="12">
        <v>2</v>
      </c>
      <c r="AP256" s="12" t="s">
        <v>59</v>
      </c>
      <c r="AQ256" s="12">
        <v>0</v>
      </c>
      <c r="AR256" s="12">
        <v>14</v>
      </c>
      <c r="AS256" s="12">
        <v>3</v>
      </c>
      <c r="AT256" s="12">
        <v>4</v>
      </c>
      <c r="AU256" s="12">
        <v>1</v>
      </c>
      <c r="AV256" s="12">
        <v>10</v>
      </c>
      <c r="AW256" s="12">
        <f t="shared" si="48"/>
        <v>10</v>
      </c>
      <c r="AX256" s="12">
        <v>2</v>
      </c>
      <c r="AY256" s="12">
        <v>3</v>
      </c>
      <c r="AZ256" s="12">
        <v>3</v>
      </c>
      <c r="BA256" s="12">
        <f t="shared" si="49"/>
        <v>3</v>
      </c>
      <c r="BB256" s="12">
        <v>2</v>
      </c>
      <c r="BC256" s="12">
        <v>0</v>
      </c>
      <c r="BD256" s="12">
        <f t="shared" si="58"/>
        <v>0</v>
      </c>
      <c r="BE256" s="12">
        <v>2</v>
      </c>
      <c r="BF256" s="12">
        <f t="shared" si="50"/>
        <v>2</v>
      </c>
      <c r="BG256" s="12">
        <f t="shared" si="59"/>
        <v>4</v>
      </c>
      <c r="BH256" s="67">
        <v>1</v>
      </c>
      <c r="BI256" s="67">
        <v>0</v>
      </c>
      <c r="BJ256" s="67">
        <v>0</v>
      </c>
      <c r="BK256" s="67">
        <v>0</v>
      </c>
      <c r="BL256" s="67">
        <v>1</v>
      </c>
      <c r="BM256" s="67">
        <v>0</v>
      </c>
      <c r="BN256" s="67">
        <v>0</v>
      </c>
      <c r="BO256" s="67">
        <v>0</v>
      </c>
      <c r="BP256" s="67">
        <v>0</v>
      </c>
      <c r="BQ256" s="67">
        <v>0</v>
      </c>
      <c r="BR256" s="67">
        <v>2</v>
      </c>
      <c r="BS256" s="67">
        <v>0</v>
      </c>
      <c r="BT256" s="67">
        <v>0</v>
      </c>
      <c r="BU256" s="70">
        <v>10</v>
      </c>
      <c r="BV256" s="29">
        <f t="shared" si="51"/>
        <v>9.0924519320100761E-2</v>
      </c>
      <c r="BW256">
        <f t="shared" si="52"/>
        <v>0.59502473559756086</v>
      </c>
      <c r="BX256">
        <f t="shared" si="53"/>
        <v>0.1644554352117841</v>
      </c>
      <c r="BY256">
        <f t="shared" si="54"/>
        <v>0.65423109602898355</v>
      </c>
      <c r="BZ256">
        <f t="shared" si="55"/>
        <v>1.3331273859286286</v>
      </c>
      <c r="CA256">
        <f t="shared" si="56"/>
        <v>0.86737663580280233</v>
      </c>
      <c r="CB256">
        <f t="shared" si="57"/>
        <v>0.67891464284095016</v>
      </c>
    </row>
    <row r="257" spans="1:80" x14ac:dyDescent="0.45">
      <c r="A257" s="11">
        <v>25</v>
      </c>
      <c r="B257" s="12">
        <f t="shared" si="45"/>
        <v>25</v>
      </c>
      <c r="C257" s="12" t="s">
        <v>59</v>
      </c>
      <c r="D257" s="12">
        <v>0</v>
      </c>
      <c r="E257" s="12" t="s">
        <v>53</v>
      </c>
      <c r="F257" s="12">
        <v>0</v>
      </c>
      <c r="G257" s="12">
        <v>1</v>
      </c>
      <c r="H257" s="12" t="s">
        <v>61</v>
      </c>
      <c r="I257" s="12">
        <v>1</v>
      </c>
      <c r="J257" s="12">
        <v>0</v>
      </c>
      <c r="K257" s="12">
        <v>1</v>
      </c>
      <c r="L257" s="12">
        <f t="shared" si="46"/>
        <v>1</v>
      </c>
      <c r="M257" s="12">
        <v>3</v>
      </c>
      <c r="N257" s="12" t="s">
        <v>55</v>
      </c>
      <c r="O257" s="12">
        <v>1</v>
      </c>
      <c r="P257" s="12">
        <v>0</v>
      </c>
      <c r="Q257" s="12">
        <v>0</v>
      </c>
      <c r="R257" s="12">
        <v>0</v>
      </c>
      <c r="S257" s="12">
        <v>0</v>
      </c>
      <c r="T257" s="12">
        <v>1</v>
      </c>
      <c r="U257" s="12" t="s">
        <v>19</v>
      </c>
      <c r="V257" s="12">
        <v>1</v>
      </c>
      <c r="W257" s="12">
        <v>62</v>
      </c>
      <c r="X257" s="12">
        <v>3</v>
      </c>
      <c r="Y257" s="12">
        <v>2</v>
      </c>
      <c r="Z257" s="12" t="s">
        <v>83</v>
      </c>
      <c r="AA257" s="12">
        <v>0</v>
      </c>
      <c r="AB257" s="12">
        <v>0</v>
      </c>
      <c r="AC257" s="12">
        <v>0</v>
      </c>
      <c r="AD257" s="12">
        <v>0</v>
      </c>
      <c r="AE257" s="12">
        <v>1</v>
      </c>
      <c r="AF257" s="12">
        <v>1</v>
      </c>
      <c r="AG257" s="12">
        <v>0</v>
      </c>
      <c r="AH257" s="12">
        <v>0</v>
      </c>
      <c r="AI257" s="12">
        <v>3</v>
      </c>
      <c r="AJ257" s="12" t="s">
        <v>64</v>
      </c>
      <c r="AK257" s="12">
        <v>0</v>
      </c>
      <c r="AL257" s="12">
        <v>1</v>
      </c>
      <c r="AM257" s="12">
        <v>4898</v>
      </c>
      <c r="AN257" s="12">
        <f t="shared" si="47"/>
        <v>4898</v>
      </c>
      <c r="AO257" s="12">
        <v>0</v>
      </c>
      <c r="AP257" s="12" t="s">
        <v>59</v>
      </c>
      <c r="AQ257" s="12">
        <v>0</v>
      </c>
      <c r="AR257" s="12">
        <v>12</v>
      </c>
      <c r="AS257" s="12">
        <v>3</v>
      </c>
      <c r="AT257" s="12">
        <v>4</v>
      </c>
      <c r="AU257" s="12">
        <v>2</v>
      </c>
      <c r="AV257" s="12">
        <v>5</v>
      </c>
      <c r="AW257" s="12">
        <f t="shared" si="48"/>
        <v>5</v>
      </c>
      <c r="AX257" s="12">
        <v>3</v>
      </c>
      <c r="AY257" s="12">
        <v>3</v>
      </c>
      <c r="AZ257" s="12">
        <v>4</v>
      </c>
      <c r="BA257" s="12">
        <f t="shared" si="49"/>
        <v>4</v>
      </c>
      <c r="BB257" s="12">
        <v>2</v>
      </c>
      <c r="BC257" s="12">
        <v>1</v>
      </c>
      <c r="BD257" s="12">
        <f t="shared" si="58"/>
        <v>1</v>
      </c>
      <c r="BE257" s="12">
        <v>2</v>
      </c>
      <c r="BF257" s="12">
        <f t="shared" si="50"/>
        <v>2</v>
      </c>
      <c r="BG257" s="12">
        <f t="shared" si="59"/>
        <v>4</v>
      </c>
      <c r="BH257" s="67">
        <v>0</v>
      </c>
      <c r="BI257" s="67">
        <v>1</v>
      </c>
      <c r="BJ257" s="67">
        <v>0</v>
      </c>
      <c r="BK257" s="67">
        <v>0</v>
      </c>
      <c r="BL257" s="67">
        <v>0</v>
      </c>
      <c r="BM257" s="67">
        <v>0</v>
      </c>
      <c r="BN257" s="67">
        <v>1</v>
      </c>
      <c r="BO257" s="67">
        <v>0</v>
      </c>
      <c r="BP257" s="67">
        <v>0</v>
      </c>
      <c r="BQ257" s="67">
        <v>2</v>
      </c>
      <c r="BR257" s="67">
        <v>0</v>
      </c>
      <c r="BS257" s="67">
        <v>0</v>
      </c>
      <c r="BT257" s="67">
        <v>5</v>
      </c>
      <c r="BU257" s="70">
        <v>0</v>
      </c>
      <c r="BV257" s="29">
        <f t="shared" si="51"/>
        <v>0.34089762639259152</v>
      </c>
      <c r="BW257">
        <f t="shared" si="52"/>
        <v>0.59502473559756086</v>
      </c>
      <c r="BX257">
        <f t="shared" si="53"/>
        <v>0.80706439257840468</v>
      </c>
      <c r="BY257">
        <f t="shared" si="54"/>
        <v>0.49100643357776058</v>
      </c>
      <c r="BZ257">
        <f t="shared" si="55"/>
        <v>1.01056543769991</v>
      </c>
      <c r="CA257">
        <f t="shared" si="56"/>
        <v>1.3052350336840246</v>
      </c>
      <c r="CB257">
        <f t="shared" si="57"/>
        <v>0.36858985273641137</v>
      </c>
    </row>
    <row r="258" spans="1:80" x14ac:dyDescent="0.45">
      <c r="A258" s="11">
        <v>42</v>
      </c>
      <c r="B258" s="12">
        <f t="shared" ref="B258:B321" si="60">IF(A258&gt;$CD$29,$CD$29,IF(A258&lt;$CD$30,$CD$30,A258))</f>
        <v>42</v>
      </c>
      <c r="C258" s="12" t="s">
        <v>59</v>
      </c>
      <c r="D258" s="12">
        <v>0</v>
      </c>
      <c r="E258" s="12" t="s">
        <v>53</v>
      </c>
      <c r="F258" s="12">
        <v>0</v>
      </c>
      <c r="G258" s="12">
        <v>1</v>
      </c>
      <c r="H258" s="12" t="s">
        <v>61</v>
      </c>
      <c r="I258" s="12">
        <v>1</v>
      </c>
      <c r="J258" s="12">
        <v>0</v>
      </c>
      <c r="K258" s="12">
        <v>2</v>
      </c>
      <c r="L258" s="12">
        <f t="shared" ref="L258:L321" si="61">IF(K258&gt;$CD$25,$CD$25,IF(K258&lt;$CD$26,$CD$26,K258))</f>
        <v>2</v>
      </c>
      <c r="M258" s="12">
        <v>3</v>
      </c>
      <c r="N258" s="12" t="s">
        <v>70</v>
      </c>
      <c r="O258" s="12">
        <v>0</v>
      </c>
      <c r="P258" s="12">
        <v>0</v>
      </c>
      <c r="Q258" s="12">
        <v>1</v>
      </c>
      <c r="R258" s="12">
        <v>0</v>
      </c>
      <c r="S258" s="12">
        <v>0</v>
      </c>
      <c r="T258" s="12">
        <v>4</v>
      </c>
      <c r="U258" s="12" t="s">
        <v>19</v>
      </c>
      <c r="V258" s="12">
        <v>1</v>
      </c>
      <c r="W258" s="12">
        <v>56</v>
      </c>
      <c r="X258" s="12">
        <v>2</v>
      </c>
      <c r="Y258" s="12">
        <v>1</v>
      </c>
      <c r="Z258" s="12" t="s">
        <v>67</v>
      </c>
      <c r="AA258" s="12">
        <v>0</v>
      </c>
      <c r="AB258" s="12">
        <v>0</v>
      </c>
      <c r="AC258" s="12">
        <v>1</v>
      </c>
      <c r="AD258" s="12">
        <v>0</v>
      </c>
      <c r="AE258" s="12">
        <v>0</v>
      </c>
      <c r="AF258" s="12">
        <v>0</v>
      </c>
      <c r="AG258" s="12">
        <v>0</v>
      </c>
      <c r="AH258" s="12">
        <v>0</v>
      </c>
      <c r="AI258" s="12">
        <v>1</v>
      </c>
      <c r="AJ258" s="12" t="s">
        <v>78</v>
      </c>
      <c r="AK258" s="12">
        <v>0</v>
      </c>
      <c r="AL258" s="12">
        <v>0</v>
      </c>
      <c r="AM258" s="12">
        <v>2593</v>
      </c>
      <c r="AN258" s="12">
        <f t="shared" ref="AN258:AN321" si="62">IF(AM258&gt;$CD$8,$CD$8,IF(AM258&lt;$CD$9,$CD$9,AM258))</f>
        <v>2593</v>
      </c>
      <c r="AO258" s="12">
        <v>0</v>
      </c>
      <c r="AP258" s="12" t="s">
        <v>52</v>
      </c>
      <c r="AQ258" s="12">
        <v>1</v>
      </c>
      <c r="AR258" s="12">
        <v>11</v>
      </c>
      <c r="AS258" s="12">
        <v>3</v>
      </c>
      <c r="AT258" s="12">
        <v>3</v>
      </c>
      <c r="AU258" s="12">
        <v>1</v>
      </c>
      <c r="AV258" s="12">
        <v>10</v>
      </c>
      <c r="AW258" s="12">
        <f t="shared" ref="AW258:AW321" si="63">IF(AV258&gt;$CD$17,$CD$17,IF(AV258&lt;$CD$18,$CD$18,AV258))</f>
        <v>10</v>
      </c>
      <c r="AX258" s="12">
        <v>4</v>
      </c>
      <c r="AY258" s="12">
        <v>3</v>
      </c>
      <c r="AZ258" s="12">
        <v>9</v>
      </c>
      <c r="BA258" s="12">
        <f t="shared" ref="BA258:BA321" si="64">IF(AZ258&gt; $CD$21,$CD$21,IF(AZ258&lt;$CD$22,$CD$22,AZ258))</f>
        <v>9</v>
      </c>
      <c r="BB258" s="12">
        <v>6</v>
      </c>
      <c r="BC258" s="12">
        <v>7</v>
      </c>
      <c r="BD258" s="12">
        <f t="shared" si="58"/>
        <v>7</v>
      </c>
      <c r="BE258" s="12">
        <v>8</v>
      </c>
      <c r="BF258" s="12">
        <f t="shared" ref="BF258:BF321" si="65">IF(BE258&gt;$CD$12,$CD$12,IF(BE258&lt;$CD$13,$CD$13,BE258))</f>
        <v>8</v>
      </c>
      <c r="BG258" s="12">
        <f t="shared" si="59"/>
        <v>8</v>
      </c>
      <c r="BH258" s="67">
        <v>1</v>
      </c>
      <c r="BI258" s="67">
        <v>0</v>
      </c>
      <c r="BJ258" s="67">
        <v>0</v>
      </c>
      <c r="BK258" s="67">
        <v>0</v>
      </c>
      <c r="BL258" s="67">
        <v>0</v>
      </c>
      <c r="BM258" s="67">
        <v>1</v>
      </c>
      <c r="BN258" s="67">
        <v>0</v>
      </c>
      <c r="BO258" s="67">
        <v>0</v>
      </c>
      <c r="BP258" s="67">
        <v>0</v>
      </c>
      <c r="BQ258" s="67">
        <v>8</v>
      </c>
      <c r="BR258" s="67">
        <v>0</v>
      </c>
      <c r="BS258" s="67">
        <v>0</v>
      </c>
      <c r="BT258" s="67">
        <v>10</v>
      </c>
      <c r="BU258" s="70">
        <v>0</v>
      </c>
      <c r="BV258" s="29">
        <f t="shared" ref="BV258:BV321" si="66">ABS((AM258-AVERAGE(AM:AM))/_xlfn.STDEV.S(AM:AM))</f>
        <v>0.83049430414357805</v>
      </c>
      <c r="BW258">
        <f t="shared" ref="BW258:BW321" si="67">ABS((BE258-AVERAGE(BE:BE))/_xlfn.STDEV.S(BE:BE))</f>
        <v>1.08652546240644</v>
      </c>
      <c r="BX258">
        <f t="shared" ref="BX258:BX321" si="68">ABS((AV258-AVERAGE(AV:AV))/_xlfn.STDEV.S(AV:AV))</f>
        <v>0.1644554352117841</v>
      </c>
      <c r="BY258">
        <f t="shared" ref="BY258:BY321" si="69">ABS((AZ258-AVERAGE(AZ:AZ))/_xlfn.STDEV.S(AZ:AZ))</f>
        <v>0.32511687867835437</v>
      </c>
      <c r="BZ258">
        <f t="shared" ref="BZ258:BZ321" si="70">ABS((K258-AVERAGE(K:K))/_xlfn.STDEV.S(K:K))</f>
        <v>0.88721318382472392</v>
      </c>
      <c r="CA258">
        <f t="shared" ref="CA258:CA321" si="71">ABS((A258-AVERAGE(A:A))/_xlfn.STDEV.S(A:A))</f>
        <v>0.55566315731117022</v>
      </c>
      <c r="CB258">
        <f t="shared" ref="CB258:CB321" si="72">ABS((BC258-AVERAGE(BC:BC))/_xlfn.STDEV.S(BC:BC))</f>
        <v>1.4933588878908215</v>
      </c>
    </row>
    <row r="259" spans="1:80" x14ac:dyDescent="0.45">
      <c r="A259" s="11">
        <v>40</v>
      </c>
      <c r="B259" s="12">
        <f t="shared" si="60"/>
        <v>40</v>
      </c>
      <c r="C259" s="12" t="s">
        <v>59</v>
      </c>
      <c r="D259" s="12">
        <v>0</v>
      </c>
      <c r="E259" s="12" t="s">
        <v>53</v>
      </c>
      <c r="F259" s="12">
        <v>0</v>
      </c>
      <c r="G259" s="12">
        <v>1</v>
      </c>
      <c r="H259" s="12" t="s">
        <v>61</v>
      </c>
      <c r="I259" s="12">
        <v>1</v>
      </c>
      <c r="J259" s="12">
        <v>0</v>
      </c>
      <c r="K259" s="12">
        <v>2</v>
      </c>
      <c r="L259" s="12">
        <f t="shared" si="61"/>
        <v>2</v>
      </c>
      <c r="M259" s="12">
        <v>2</v>
      </c>
      <c r="N259" s="12" t="s">
        <v>70</v>
      </c>
      <c r="O259" s="12">
        <v>0</v>
      </c>
      <c r="P259" s="12">
        <v>0</v>
      </c>
      <c r="Q259" s="12">
        <v>1</v>
      </c>
      <c r="R259" s="12">
        <v>0</v>
      </c>
      <c r="S259" s="12">
        <v>0</v>
      </c>
      <c r="T259" s="12">
        <v>1</v>
      </c>
      <c r="U259" s="12" t="s">
        <v>62</v>
      </c>
      <c r="V259" s="12">
        <v>0</v>
      </c>
      <c r="W259" s="12">
        <v>49</v>
      </c>
      <c r="X259" s="12">
        <v>3</v>
      </c>
      <c r="Y259" s="12">
        <v>5</v>
      </c>
      <c r="Z259" s="12" t="s">
        <v>89</v>
      </c>
      <c r="AA259" s="12">
        <v>0</v>
      </c>
      <c r="AB259" s="12">
        <v>0</v>
      </c>
      <c r="AC259" s="12">
        <v>0</v>
      </c>
      <c r="AD259" s="12">
        <v>0</v>
      </c>
      <c r="AE259" s="12">
        <v>0</v>
      </c>
      <c r="AF259" s="12">
        <v>0</v>
      </c>
      <c r="AG259" s="12">
        <v>0</v>
      </c>
      <c r="AH259" s="12">
        <v>0</v>
      </c>
      <c r="AI259" s="12">
        <v>3</v>
      </c>
      <c r="AJ259" s="12" t="s">
        <v>78</v>
      </c>
      <c r="AK259" s="12">
        <v>0</v>
      </c>
      <c r="AL259" s="12">
        <v>0</v>
      </c>
      <c r="AM259" s="12">
        <v>19436</v>
      </c>
      <c r="AN259" s="12">
        <f t="shared" si="62"/>
        <v>19436</v>
      </c>
      <c r="AO259" s="12">
        <v>0</v>
      </c>
      <c r="AP259" s="12" t="s">
        <v>59</v>
      </c>
      <c r="AQ259" s="12">
        <v>0</v>
      </c>
      <c r="AR259" s="12">
        <v>19</v>
      </c>
      <c r="AS259" s="12">
        <v>3</v>
      </c>
      <c r="AT259" s="12">
        <v>4</v>
      </c>
      <c r="AU259" s="12">
        <v>1</v>
      </c>
      <c r="AV259" s="12">
        <v>22</v>
      </c>
      <c r="AW259" s="12">
        <f t="shared" si="63"/>
        <v>22</v>
      </c>
      <c r="AX259" s="12">
        <v>5</v>
      </c>
      <c r="AY259" s="12">
        <v>3</v>
      </c>
      <c r="AZ259" s="12">
        <v>21</v>
      </c>
      <c r="BA259" s="12">
        <f t="shared" si="64"/>
        <v>21</v>
      </c>
      <c r="BB259" s="12">
        <v>7</v>
      </c>
      <c r="BC259" s="12">
        <v>3</v>
      </c>
      <c r="BD259" s="12">
        <f t="shared" ref="BD259:BD322" si="73">IF(BC259&gt;$CD$33,$CD$33,BC259)</f>
        <v>3</v>
      </c>
      <c r="BE259" s="12">
        <v>9</v>
      </c>
      <c r="BF259" s="12">
        <f t="shared" si="65"/>
        <v>9</v>
      </c>
      <c r="BG259" s="12">
        <f t="shared" ref="BG259:BG322" si="74">BF259*Y259</f>
        <v>45</v>
      </c>
      <c r="BH259" s="67">
        <v>1</v>
      </c>
      <c r="BI259" s="67">
        <v>0</v>
      </c>
      <c r="BJ259" s="67">
        <v>0</v>
      </c>
      <c r="BK259" s="67">
        <v>0</v>
      </c>
      <c r="BL259" s="67">
        <v>1</v>
      </c>
      <c r="BM259" s="67">
        <v>0</v>
      </c>
      <c r="BN259" s="67">
        <v>0</v>
      </c>
      <c r="BO259" s="67">
        <v>0</v>
      </c>
      <c r="BP259" s="67">
        <v>0</v>
      </c>
      <c r="BQ259" s="67">
        <v>9</v>
      </c>
      <c r="BR259" s="67">
        <v>0</v>
      </c>
      <c r="BS259" s="67">
        <v>0</v>
      </c>
      <c r="BT259" s="67">
        <v>22</v>
      </c>
      <c r="BU259" s="70">
        <v>0</v>
      </c>
      <c r="BV259" s="29">
        <f t="shared" si="66"/>
        <v>2.7470661485071233</v>
      </c>
      <c r="BW259">
        <f t="shared" si="67"/>
        <v>1.3667838287404401</v>
      </c>
      <c r="BX259">
        <f t="shared" si="68"/>
        <v>1.3778060624681052</v>
      </c>
      <c r="BY259">
        <f t="shared" si="69"/>
        <v>2.2838128280930299</v>
      </c>
      <c r="BZ259">
        <f t="shared" si="70"/>
        <v>0.88721318382472392</v>
      </c>
      <c r="CA259">
        <f t="shared" si="71"/>
        <v>0.33673395837055903</v>
      </c>
      <c r="CB259">
        <f t="shared" si="72"/>
        <v>0.2520597274726662</v>
      </c>
    </row>
    <row r="260" spans="1:80" x14ac:dyDescent="0.45">
      <c r="A260" s="11">
        <v>51</v>
      </c>
      <c r="B260" s="12">
        <f t="shared" si="60"/>
        <v>51</v>
      </c>
      <c r="C260" s="12" t="s">
        <v>59</v>
      </c>
      <c r="D260" s="12">
        <v>0</v>
      </c>
      <c r="E260" s="12" t="s">
        <v>53</v>
      </c>
      <c r="F260" s="12">
        <v>0</v>
      </c>
      <c r="G260" s="12">
        <v>1</v>
      </c>
      <c r="H260" s="12" t="s">
        <v>61</v>
      </c>
      <c r="I260" s="12">
        <v>1</v>
      </c>
      <c r="J260" s="12">
        <v>0</v>
      </c>
      <c r="K260" s="12">
        <v>1</v>
      </c>
      <c r="L260" s="12">
        <f t="shared" si="61"/>
        <v>1</v>
      </c>
      <c r="M260" s="12">
        <v>3</v>
      </c>
      <c r="N260" s="12" t="s">
        <v>55</v>
      </c>
      <c r="O260" s="12">
        <v>1</v>
      </c>
      <c r="P260" s="12">
        <v>0</v>
      </c>
      <c r="Q260" s="12">
        <v>0</v>
      </c>
      <c r="R260" s="12">
        <v>0</v>
      </c>
      <c r="S260" s="12">
        <v>0</v>
      </c>
      <c r="T260" s="12">
        <v>3</v>
      </c>
      <c r="U260" s="12" t="s">
        <v>62</v>
      </c>
      <c r="V260" s="12">
        <v>0</v>
      </c>
      <c r="W260" s="12">
        <v>96</v>
      </c>
      <c r="X260" s="12">
        <v>3</v>
      </c>
      <c r="Y260" s="12">
        <v>1</v>
      </c>
      <c r="Z260" s="12" t="s">
        <v>63</v>
      </c>
      <c r="AA260" s="12">
        <v>0</v>
      </c>
      <c r="AB260" s="12">
        <v>0</v>
      </c>
      <c r="AC260" s="12">
        <v>0</v>
      </c>
      <c r="AD260" s="12">
        <v>0</v>
      </c>
      <c r="AE260" s="12">
        <v>0</v>
      </c>
      <c r="AF260" s="12">
        <v>0</v>
      </c>
      <c r="AG260" s="12">
        <v>0</v>
      </c>
      <c r="AH260" s="12">
        <v>1</v>
      </c>
      <c r="AI260" s="12">
        <v>4</v>
      </c>
      <c r="AJ260" s="12" t="s">
        <v>64</v>
      </c>
      <c r="AK260" s="12">
        <v>0</v>
      </c>
      <c r="AL260" s="12">
        <v>1</v>
      </c>
      <c r="AM260" s="12">
        <v>2723</v>
      </c>
      <c r="AN260" s="12">
        <f t="shared" si="62"/>
        <v>2723</v>
      </c>
      <c r="AO260" s="12">
        <v>1</v>
      </c>
      <c r="AP260" s="12" t="s">
        <v>59</v>
      </c>
      <c r="AQ260" s="12">
        <v>0</v>
      </c>
      <c r="AR260" s="12">
        <v>11</v>
      </c>
      <c r="AS260" s="12">
        <v>3</v>
      </c>
      <c r="AT260" s="12">
        <v>2</v>
      </c>
      <c r="AU260" s="12">
        <v>0</v>
      </c>
      <c r="AV260" s="12">
        <v>1</v>
      </c>
      <c r="AW260" s="12">
        <f t="shared" si="63"/>
        <v>1</v>
      </c>
      <c r="AX260" s="12">
        <v>0</v>
      </c>
      <c r="AY260" s="12">
        <v>2</v>
      </c>
      <c r="AZ260" s="12">
        <v>1</v>
      </c>
      <c r="BA260" s="12">
        <f t="shared" si="64"/>
        <v>1</v>
      </c>
      <c r="BB260" s="12">
        <v>0</v>
      </c>
      <c r="BC260" s="12">
        <v>0</v>
      </c>
      <c r="BD260" s="12">
        <f t="shared" si="73"/>
        <v>0</v>
      </c>
      <c r="BE260" s="12">
        <v>0</v>
      </c>
      <c r="BF260" s="12">
        <f t="shared" si="65"/>
        <v>0</v>
      </c>
      <c r="BG260" s="12">
        <f t="shared" si="74"/>
        <v>0</v>
      </c>
      <c r="BH260" s="67">
        <v>0</v>
      </c>
      <c r="BI260" s="67">
        <v>1</v>
      </c>
      <c r="BJ260" s="67">
        <v>0</v>
      </c>
      <c r="BK260" s="67">
        <v>0</v>
      </c>
      <c r="BL260" s="67">
        <v>0</v>
      </c>
      <c r="BM260" s="67">
        <v>0</v>
      </c>
      <c r="BN260" s="67">
        <v>1</v>
      </c>
      <c r="BO260" s="67">
        <v>0</v>
      </c>
      <c r="BP260" s="67">
        <v>0</v>
      </c>
      <c r="BQ260" s="67">
        <v>0</v>
      </c>
      <c r="BR260" s="67">
        <v>0</v>
      </c>
      <c r="BS260" s="67">
        <v>0</v>
      </c>
      <c r="BT260" s="67">
        <v>1</v>
      </c>
      <c r="BU260" s="70">
        <v>0</v>
      </c>
      <c r="BV260" s="29">
        <f t="shared" si="66"/>
        <v>0.80288147633115803</v>
      </c>
      <c r="BW260">
        <f t="shared" si="67"/>
        <v>1.1555414682655611</v>
      </c>
      <c r="BX260">
        <f t="shared" si="68"/>
        <v>1.3211515584717011</v>
      </c>
      <c r="BY260">
        <f t="shared" si="69"/>
        <v>0.9806804209314296</v>
      </c>
      <c r="BZ260">
        <f t="shared" si="70"/>
        <v>1.01056543769991</v>
      </c>
      <c r="CA260">
        <f t="shared" si="71"/>
        <v>1.5408445525439205</v>
      </c>
      <c r="CB260">
        <f t="shared" si="72"/>
        <v>0.67891464284095016</v>
      </c>
    </row>
    <row r="261" spans="1:80" x14ac:dyDescent="0.45">
      <c r="A261" s="11">
        <v>31</v>
      </c>
      <c r="B261" s="12">
        <f t="shared" si="60"/>
        <v>31</v>
      </c>
      <c r="C261" s="12" t="s">
        <v>52</v>
      </c>
      <c r="D261" s="12">
        <v>1</v>
      </c>
      <c r="E261" s="12" t="s">
        <v>60</v>
      </c>
      <c r="F261" s="12">
        <v>1</v>
      </c>
      <c r="G261" s="12">
        <v>0</v>
      </c>
      <c r="H261" s="12" t="s">
        <v>61</v>
      </c>
      <c r="I261" s="12">
        <v>1</v>
      </c>
      <c r="J261" s="12">
        <v>0</v>
      </c>
      <c r="K261" s="12">
        <v>29</v>
      </c>
      <c r="L261" s="12">
        <f t="shared" si="61"/>
        <v>29</v>
      </c>
      <c r="M261" s="12">
        <v>2</v>
      </c>
      <c r="N261" s="12" t="s">
        <v>70</v>
      </c>
      <c r="O261" s="12">
        <v>0</v>
      </c>
      <c r="P261" s="12">
        <v>0</v>
      </c>
      <c r="Q261" s="12">
        <v>1</v>
      </c>
      <c r="R261" s="12">
        <v>0</v>
      </c>
      <c r="S261" s="12">
        <v>0</v>
      </c>
      <c r="T261" s="12">
        <v>3</v>
      </c>
      <c r="U261" s="12" t="s">
        <v>62</v>
      </c>
      <c r="V261" s="12">
        <v>0</v>
      </c>
      <c r="W261" s="12">
        <v>71</v>
      </c>
      <c r="X261" s="12">
        <v>2</v>
      </c>
      <c r="Y261" s="12">
        <v>1</v>
      </c>
      <c r="Z261" s="12" t="s">
        <v>67</v>
      </c>
      <c r="AA261" s="12">
        <v>0</v>
      </c>
      <c r="AB261" s="12">
        <v>0</v>
      </c>
      <c r="AC261" s="12">
        <v>1</v>
      </c>
      <c r="AD261" s="12">
        <v>0</v>
      </c>
      <c r="AE261" s="12">
        <v>0</v>
      </c>
      <c r="AF261" s="12">
        <v>0</v>
      </c>
      <c r="AG261" s="12">
        <v>0</v>
      </c>
      <c r="AH261" s="12">
        <v>0</v>
      </c>
      <c r="AI261" s="12">
        <v>2</v>
      </c>
      <c r="AJ261" s="12" t="s">
        <v>57</v>
      </c>
      <c r="AK261" s="12">
        <v>1</v>
      </c>
      <c r="AL261" s="12">
        <v>0</v>
      </c>
      <c r="AM261" s="12">
        <v>3479</v>
      </c>
      <c r="AN261" s="12">
        <f t="shared" si="62"/>
        <v>3479</v>
      </c>
      <c r="AO261" s="12">
        <v>0</v>
      </c>
      <c r="AP261" s="12" t="s">
        <v>59</v>
      </c>
      <c r="AQ261" s="12">
        <v>0</v>
      </c>
      <c r="AR261" s="12">
        <v>11</v>
      </c>
      <c r="AS261" s="12">
        <v>3</v>
      </c>
      <c r="AT261" s="12">
        <v>2</v>
      </c>
      <c r="AU261" s="12">
        <v>0</v>
      </c>
      <c r="AV261" s="12">
        <v>6</v>
      </c>
      <c r="AW261" s="12">
        <f t="shared" si="63"/>
        <v>6</v>
      </c>
      <c r="AX261" s="12">
        <v>2</v>
      </c>
      <c r="AY261" s="12">
        <v>4</v>
      </c>
      <c r="AZ261" s="12">
        <v>5</v>
      </c>
      <c r="BA261" s="12">
        <f t="shared" si="64"/>
        <v>5</v>
      </c>
      <c r="BB261" s="12">
        <v>4</v>
      </c>
      <c r="BC261" s="12">
        <v>1</v>
      </c>
      <c r="BD261" s="12">
        <f t="shared" si="73"/>
        <v>1</v>
      </c>
      <c r="BE261" s="12">
        <v>4</v>
      </c>
      <c r="BF261" s="12">
        <f t="shared" si="65"/>
        <v>4</v>
      </c>
      <c r="BG261" s="12">
        <f t="shared" si="74"/>
        <v>4</v>
      </c>
      <c r="BH261" s="67">
        <v>0</v>
      </c>
      <c r="BI261" s="67">
        <v>0</v>
      </c>
      <c r="BJ261" s="67">
        <v>1</v>
      </c>
      <c r="BK261" s="67">
        <v>0</v>
      </c>
      <c r="BL261" s="67">
        <v>1</v>
      </c>
      <c r="BM261" s="67">
        <v>0</v>
      </c>
      <c r="BN261" s="67">
        <v>0</v>
      </c>
      <c r="BO261" s="67">
        <v>0</v>
      </c>
      <c r="BP261" s="67">
        <v>0</v>
      </c>
      <c r="BQ261" s="67">
        <v>4</v>
      </c>
      <c r="BR261" s="67">
        <v>0</v>
      </c>
      <c r="BS261" s="67">
        <v>0</v>
      </c>
      <c r="BT261" s="67">
        <v>6</v>
      </c>
      <c r="BU261" s="70">
        <v>0</v>
      </c>
      <c r="BV261" s="29">
        <f t="shared" si="66"/>
        <v>0.64230226228354592</v>
      </c>
      <c r="BW261">
        <f t="shared" si="67"/>
        <v>3.4508002929560584E-2</v>
      </c>
      <c r="BX261">
        <f t="shared" si="68"/>
        <v>0.67854260110508058</v>
      </c>
      <c r="BY261">
        <f t="shared" si="69"/>
        <v>0.32778177112653761</v>
      </c>
      <c r="BZ261">
        <f t="shared" si="70"/>
        <v>2.4432976708053049</v>
      </c>
      <c r="CA261">
        <f t="shared" si="71"/>
        <v>0.6484474368621912</v>
      </c>
      <c r="CB261">
        <f t="shared" si="72"/>
        <v>0.36858985273641137</v>
      </c>
    </row>
    <row r="262" spans="1:80" x14ac:dyDescent="0.45">
      <c r="A262" s="11">
        <v>32</v>
      </c>
      <c r="B262" s="12">
        <f t="shared" si="60"/>
        <v>32</v>
      </c>
      <c r="C262" s="12" t="s">
        <v>59</v>
      </c>
      <c r="D262" s="12">
        <v>0</v>
      </c>
      <c r="E262" s="12" t="s">
        <v>60</v>
      </c>
      <c r="F262" s="12">
        <v>1</v>
      </c>
      <c r="G262" s="12">
        <v>0</v>
      </c>
      <c r="H262" s="12" t="s">
        <v>61</v>
      </c>
      <c r="I262" s="12">
        <v>1</v>
      </c>
      <c r="J262" s="12">
        <v>0</v>
      </c>
      <c r="K262" s="12">
        <v>7</v>
      </c>
      <c r="L262" s="12">
        <f t="shared" si="61"/>
        <v>7</v>
      </c>
      <c r="M262" s="12">
        <v>3</v>
      </c>
      <c r="N262" s="12" t="s">
        <v>55</v>
      </c>
      <c r="O262" s="12">
        <v>1</v>
      </c>
      <c r="P262" s="12">
        <v>0</v>
      </c>
      <c r="Q262" s="12">
        <v>0</v>
      </c>
      <c r="R262" s="12">
        <v>0</v>
      </c>
      <c r="S262" s="12">
        <v>0</v>
      </c>
      <c r="T262" s="12">
        <v>2</v>
      </c>
      <c r="U262" s="12" t="s">
        <v>62</v>
      </c>
      <c r="V262" s="12">
        <v>0</v>
      </c>
      <c r="W262" s="12">
        <v>100</v>
      </c>
      <c r="X262" s="12">
        <v>4</v>
      </c>
      <c r="Y262" s="12">
        <v>1</v>
      </c>
      <c r="Z262" s="12" t="s">
        <v>67</v>
      </c>
      <c r="AA262" s="12">
        <v>0</v>
      </c>
      <c r="AB262" s="12">
        <v>0</v>
      </c>
      <c r="AC262" s="12">
        <v>1</v>
      </c>
      <c r="AD262" s="12">
        <v>0</v>
      </c>
      <c r="AE262" s="12">
        <v>0</v>
      </c>
      <c r="AF262" s="12">
        <v>0</v>
      </c>
      <c r="AG262" s="12">
        <v>0</v>
      </c>
      <c r="AH262" s="12">
        <v>0</v>
      </c>
      <c r="AI262" s="12">
        <v>2</v>
      </c>
      <c r="AJ262" s="12" t="s">
        <v>64</v>
      </c>
      <c r="AK262" s="12">
        <v>0</v>
      </c>
      <c r="AL262" s="12">
        <v>1</v>
      </c>
      <c r="AM262" s="12">
        <v>2794</v>
      </c>
      <c r="AN262" s="12">
        <f t="shared" si="62"/>
        <v>2794</v>
      </c>
      <c r="AO262" s="12">
        <v>1</v>
      </c>
      <c r="AP262" s="12" t="s">
        <v>59</v>
      </c>
      <c r="AQ262" s="12">
        <v>0</v>
      </c>
      <c r="AR262" s="12">
        <v>20</v>
      </c>
      <c r="AS262" s="12">
        <v>4</v>
      </c>
      <c r="AT262" s="12">
        <v>3</v>
      </c>
      <c r="AU262" s="12">
        <v>0</v>
      </c>
      <c r="AV262" s="12">
        <v>5</v>
      </c>
      <c r="AW262" s="12">
        <f t="shared" si="63"/>
        <v>5</v>
      </c>
      <c r="AX262" s="12">
        <v>3</v>
      </c>
      <c r="AY262" s="12">
        <v>1</v>
      </c>
      <c r="AZ262" s="12">
        <v>5</v>
      </c>
      <c r="BA262" s="12">
        <f t="shared" si="64"/>
        <v>5</v>
      </c>
      <c r="BB262" s="12">
        <v>1</v>
      </c>
      <c r="BC262" s="12">
        <v>0</v>
      </c>
      <c r="BD262" s="12">
        <f t="shared" si="73"/>
        <v>0</v>
      </c>
      <c r="BE262" s="12">
        <v>3</v>
      </c>
      <c r="BF262" s="12">
        <f t="shared" si="65"/>
        <v>3</v>
      </c>
      <c r="BG262" s="12">
        <f t="shared" si="74"/>
        <v>3</v>
      </c>
      <c r="BH262" s="67">
        <v>0</v>
      </c>
      <c r="BI262" s="67">
        <v>0</v>
      </c>
      <c r="BJ262" s="67">
        <v>0</v>
      </c>
      <c r="BK262" s="67">
        <v>1</v>
      </c>
      <c r="BL262" s="67">
        <v>0</v>
      </c>
      <c r="BM262" s="67">
        <v>0</v>
      </c>
      <c r="BN262" s="67">
        <v>1</v>
      </c>
      <c r="BO262" s="67">
        <v>0</v>
      </c>
      <c r="BP262" s="67">
        <v>0</v>
      </c>
      <c r="BQ262" s="67">
        <v>3</v>
      </c>
      <c r="BR262" s="67">
        <v>0</v>
      </c>
      <c r="BS262" s="67">
        <v>0</v>
      </c>
      <c r="BT262" s="67">
        <v>5</v>
      </c>
      <c r="BU262" s="70">
        <v>0</v>
      </c>
      <c r="BV262" s="29">
        <f t="shared" si="66"/>
        <v>0.78780062421822095</v>
      </c>
      <c r="BW262">
        <f t="shared" si="67"/>
        <v>0.31476636926356072</v>
      </c>
      <c r="BX262">
        <f t="shared" si="68"/>
        <v>0.80706439257840468</v>
      </c>
      <c r="BY262">
        <f t="shared" si="69"/>
        <v>0.32778177112653761</v>
      </c>
      <c r="BZ262">
        <f t="shared" si="70"/>
        <v>0.27045191444879263</v>
      </c>
      <c r="CA262">
        <f t="shared" si="71"/>
        <v>0.53898283739188557</v>
      </c>
      <c r="CB262">
        <f t="shared" si="72"/>
        <v>0.67891464284095016</v>
      </c>
    </row>
    <row r="263" spans="1:80" x14ac:dyDescent="0.45">
      <c r="A263" s="11">
        <v>38</v>
      </c>
      <c r="B263" s="12">
        <f t="shared" si="60"/>
        <v>38</v>
      </c>
      <c r="C263" s="12" t="s">
        <v>59</v>
      </c>
      <c r="D263" s="12">
        <v>0</v>
      </c>
      <c r="E263" s="12" t="s">
        <v>86</v>
      </c>
      <c r="F263" s="12">
        <v>0</v>
      </c>
      <c r="G263" s="12">
        <v>0</v>
      </c>
      <c r="H263" s="12" t="s">
        <v>54</v>
      </c>
      <c r="I263" s="12">
        <v>0</v>
      </c>
      <c r="J263" s="12">
        <v>1</v>
      </c>
      <c r="K263" s="12">
        <v>2</v>
      </c>
      <c r="L263" s="12">
        <f t="shared" si="61"/>
        <v>2</v>
      </c>
      <c r="M263" s="12">
        <v>2</v>
      </c>
      <c r="N263" s="12" t="s">
        <v>55</v>
      </c>
      <c r="O263" s="12">
        <v>1</v>
      </c>
      <c r="P263" s="12">
        <v>0</v>
      </c>
      <c r="Q263" s="12">
        <v>0</v>
      </c>
      <c r="R263" s="12">
        <v>0</v>
      </c>
      <c r="S263" s="12">
        <v>0</v>
      </c>
      <c r="T263" s="12">
        <v>4</v>
      </c>
      <c r="U263" s="12" t="s">
        <v>62</v>
      </c>
      <c r="V263" s="12">
        <v>0</v>
      </c>
      <c r="W263" s="12">
        <v>39</v>
      </c>
      <c r="X263" s="12">
        <v>2</v>
      </c>
      <c r="Y263" s="12">
        <v>2</v>
      </c>
      <c r="Z263" s="12" t="s">
        <v>56</v>
      </c>
      <c r="AA263" s="12">
        <v>0</v>
      </c>
      <c r="AB263" s="12">
        <v>1</v>
      </c>
      <c r="AC263" s="12">
        <v>0</v>
      </c>
      <c r="AD263" s="12">
        <v>0</v>
      </c>
      <c r="AE263" s="12">
        <v>0</v>
      </c>
      <c r="AF263" s="12">
        <v>0</v>
      </c>
      <c r="AG263" s="12">
        <v>0</v>
      </c>
      <c r="AH263" s="12">
        <v>0</v>
      </c>
      <c r="AI263" s="12">
        <v>4</v>
      </c>
      <c r="AJ263" s="12" t="s">
        <v>64</v>
      </c>
      <c r="AK263" s="12">
        <v>0</v>
      </c>
      <c r="AL263" s="12">
        <v>1</v>
      </c>
      <c r="AM263" s="12">
        <v>5249</v>
      </c>
      <c r="AN263" s="12">
        <f t="shared" si="62"/>
        <v>5249</v>
      </c>
      <c r="AO263" s="12">
        <v>3</v>
      </c>
      <c r="AP263" s="12" t="s">
        <v>59</v>
      </c>
      <c r="AQ263" s="12">
        <v>0</v>
      </c>
      <c r="AR263" s="12">
        <v>18</v>
      </c>
      <c r="AS263" s="12">
        <v>3</v>
      </c>
      <c r="AT263" s="12">
        <v>4</v>
      </c>
      <c r="AU263" s="12">
        <v>1</v>
      </c>
      <c r="AV263" s="12">
        <v>13</v>
      </c>
      <c r="AW263" s="12">
        <f t="shared" si="63"/>
        <v>13</v>
      </c>
      <c r="AX263" s="12">
        <v>0</v>
      </c>
      <c r="AY263" s="12">
        <v>3</v>
      </c>
      <c r="AZ263" s="12">
        <v>8</v>
      </c>
      <c r="BA263" s="12">
        <f t="shared" si="64"/>
        <v>8</v>
      </c>
      <c r="BB263" s="12">
        <v>7</v>
      </c>
      <c r="BC263" s="12">
        <v>7</v>
      </c>
      <c r="BD263" s="12">
        <f t="shared" si="73"/>
        <v>7</v>
      </c>
      <c r="BE263" s="12">
        <v>5</v>
      </c>
      <c r="BF263" s="12">
        <f t="shared" si="65"/>
        <v>5</v>
      </c>
      <c r="BG263" s="12">
        <f t="shared" si="74"/>
        <v>10</v>
      </c>
      <c r="BH263" s="67">
        <v>0</v>
      </c>
      <c r="BI263" s="67">
        <v>1</v>
      </c>
      <c r="BJ263" s="67">
        <v>0</v>
      </c>
      <c r="BK263" s="67">
        <v>0</v>
      </c>
      <c r="BL263" s="67">
        <v>0</v>
      </c>
      <c r="BM263" s="67">
        <v>0</v>
      </c>
      <c r="BN263" s="67">
        <v>1</v>
      </c>
      <c r="BO263" s="67">
        <v>0</v>
      </c>
      <c r="BP263" s="67">
        <v>0</v>
      </c>
      <c r="BQ263" s="67">
        <v>0</v>
      </c>
      <c r="BR263" s="67">
        <v>5</v>
      </c>
      <c r="BS263" s="67">
        <v>0</v>
      </c>
      <c r="BT263" s="67">
        <v>0</v>
      </c>
      <c r="BU263" s="70">
        <v>13</v>
      </c>
      <c r="BV263" s="29">
        <f t="shared" si="66"/>
        <v>0.26634299129905736</v>
      </c>
      <c r="BW263">
        <f t="shared" si="67"/>
        <v>0.24575036340443959</v>
      </c>
      <c r="BX263">
        <f t="shared" si="68"/>
        <v>0.22110993920818819</v>
      </c>
      <c r="BY263">
        <f t="shared" si="69"/>
        <v>0.16189221622713135</v>
      </c>
      <c r="BZ263">
        <f t="shared" si="70"/>
        <v>0.88721318382472392</v>
      </c>
      <c r="CA263">
        <f t="shared" si="71"/>
        <v>0.11780475942994788</v>
      </c>
      <c r="CB263">
        <f t="shared" si="72"/>
        <v>1.4933588878908215</v>
      </c>
    </row>
    <row r="264" spans="1:80" x14ac:dyDescent="0.45">
      <c r="A264" s="11">
        <v>32</v>
      </c>
      <c r="B264" s="12">
        <f t="shared" si="60"/>
        <v>32</v>
      </c>
      <c r="C264" s="12" t="s">
        <v>59</v>
      </c>
      <c r="D264" s="12">
        <v>0</v>
      </c>
      <c r="E264" s="12" t="s">
        <v>53</v>
      </c>
      <c r="F264" s="12">
        <v>0</v>
      </c>
      <c r="G264" s="12">
        <v>1</v>
      </c>
      <c r="H264" s="12" t="s">
        <v>61</v>
      </c>
      <c r="I264" s="12">
        <v>1</v>
      </c>
      <c r="J264" s="12">
        <v>0</v>
      </c>
      <c r="K264" s="12">
        <v>2</v>
      </c>
      <c r="L264" s="12">
        <f t="shared" si="61"/>
        <v>2</v>
      </c>
      <c r="M264" s="12">
        <v>1</v>
      </c>
      <c r="N264" s="12" t="s">
        <v>91</v>
      </c>
      <c r="O264" s="12">
        <v>0</v>
      </c>
      <c r="P264" s="12">
        <v>0</v>
      </c>
      <c r="Q264" s="12">
        <v>0</v>
      </c>
      <c r="R264" s="12">
        <v>0</v>
      </c>
      <c r="S264" s="12">
        <v>1</v>
      </c>
      <c r="T264" s="12">
        <v>4</v>
      </c>
      <c r="U264" s="12" t="s">
        <v>62</v>
      </c>
      <c r="V264" s="12">
        <v>0</v>
      </c>
      <c r="W264" s="12">
        <v>84</v>
      </c>
      <c r="X264" s="12">
        <v>2</v>
      </c>
      <c r="Y264" s="12">
        <v>2</v>
      </c>
      <c r="Z264" s="12" t="s">
        <v>67</v>
      </c>
      <c r="AA264" s="12">
        <v>0</v>
      </c>
      <c r="AB264" s="12">
        <v>0</v>
      </c>
      <c r="AC264" s="12">
        <v>1</v>
      </c>
      <c r="AD264" s="12">
        <v>0</v>
      </c>
      <c r="AE264" s="12">
        <v>0</v>
      </c>
      <c r="AF264" s="12">
        <v>0</v>
      </c>
      <c r="AG264" s="12">
        <v>0</v>
      </c>
      <c r="AH264" s="12">
        <v>0</v>
      </c>
      <c r="AI264" s="12">
        <v>1</v>
      </c>
      <c r="AJ264" s="12" t="s">
        <v>57</v>
      </c>
      <c r="AK264" s="12">
        <v>1</v>
      </c>
      <c r="AL264" s="12">
        <v>0</v>
      </c>
      <c r="AM264" s="12">
        <v>2176</v>
      </c>
      <c r="AN264" s="12">
        <f t="shared" si="62"/>
        <v>2176</v>
      </c>
      <c r="AO264" s="12">
        <v>4</v>
      </c>
      <c r="AP264" s="12" t="s">
        <v>59</v>
      </c>
      <c r="AQ264" s="12">
        <v>0</v>
      </c>
      <c r="AR264" s="12">
        <v>13</v>
      </c>
      <c r="AS264" s="12">
        <v>3</v>
      </c>
      <c r="AT264" s="12">
        <v>4</v>
      </c>
      <c r="AU264" s="12">
        <v>0</v>
      </c>
      <c r="AV264" s="12">
        <v>9</v>
      </c>
      <c r="AW264" s="12">
        <f t="shared" si="63"/>
        <v>9</v>
      </c>
      <c r="AX264" s="12">
        <v>5</v>
      </c>
      <c r="AY264" s="12">
        <v>3</v>
      </c>
      <c r="AZ264" s="12">
        <v>6</v>
      </c>
      <c r="BA264" s="12">
        <f t="shared" si="64"/>
        <v>6</v>
      </c>
      <c r="BB264" s="12">
        <v>2</v>
      </c>
      <c r="BC264" s="12">
        <v>0</v>
      </c>
      <c r="BD264" s="12">
        <f t="shared" si="73"/>
        <v>0</v>
      </c>
      <c r="BE264" s="12">
        <v>4</v>
      </c>
      <c r="BF264" s="12">
        <f t="shared" si="65"/>
        <v>4</v>
      </c>
      <c r="BG264" s="12">
        <f t="shared" si="74"/>
        <v>8</v>
      </c>
      <c r="BH264" s="67">
        <v>1</v>
      </c>
      <c r="BI264" s="67">
        <v>0</v>
      </c>
      <c r="BJ264" s="67">
        <v>0</v>
      </c>
      <c r="BK264" s="67">
        <v>0</v>
      </c>
      <c r="BL264" s="67">
        <v>1</v>
      </c>
      <c r="BM264" s="67">
        <v>0</v>
      </c>
      <c r="BN264" s="67">
        <v>0</v>
      </c>
      <c r="BO264" s="67">
        <v>0</v>
      </c>
      <c r="BP264" s="67">
        <v>0</v>
      </c>
      <c r="BQ264" s="67">
        <v>4</v>
      </c>
      <c r="BR264" s="67">
        <v>0</v>
      </c>
      <c r="BS264" s="67">
        <v>0</v>
      </c>
      <c r="BT264" s="67">
        <v>9</v>
      </c>
      <c r="BU264" s="70">
        <v>0</v>
      </c>
      <c r="BV264" s="29">
        <f t="shared" si="66"/>
        <v>0.91906775951111019</v>
      </c>
      <c r="BW264">
        <f t="shared" si="67"/>
        <v>3.4508002929560584E-2</v>
      </c>
      <c r="BX264">
        <f t="shared" si="68"/>
        <v>0.29297722668510823</v>
      </c>
      <c r="BY264">
        <f t="shared" si="69"/>
        <v>0.16455710867531462</v>
      </c>
      <c r="BZ264">
        <f t="shared" si="70"/>
        <v>0.88721318382472392</v>
      </c>
      <c r="CA264">
        <f t="shared" si="71"/>
        <v>0.53898283739188557</v>
      </c>
      <c r="CB264">
        <f t="shared" si="72"/>
        <v>0.67891464284095016</v>
      </c>
    </row>
    <row r="265" spans="1:80" x14ac:dyDescent="0.45">
      <c r="A265" s="11">
        <v>46</v>
      </c>
      <c r="B265" s="12">
        <f t="shared" si="60"/>
        <v>46</v>
      </c>
      <c r="C265" s="12" t="s">
        <v>59</v>
      </c>
      <c r="D265" s="12">
        <v>0</v>
      </c>
      <c r="E265" s="12" t="s">
        <v>53</v>
      </c>
      <c r="F265" s="12">
        <v>0</v>
      </c>
      <c r="G265" s="12">
        <v>1</v>
      </c>
      <c r="H265" s="12" t="s">
        <v>54</v>
      </c>
      <c r="I265" s="12">
        <v>0</v>
      </c>
      <c r="J265" s="12">
        <v>1</v>
      </c>
      <c r="K265" s="12">
        <v>2</v>
      </c>
      <c r="L265" s="12">
        <f t="shared" si="61"/>
        <v>2</v>
      </c>
      <c r="M265" s="12">
        <v>3</v>
      </c>
      <c r="N265" s="12" t="s">
        <v>91</v>
      </c>
      <c r="O265" s="12">
        <v>0</v>
      </c>
      <c r="P265" s="12">
        <v>0</v>
      </c>
      <c r="Q265" s="12">
        <v>0</v>
      </c>
      <c r="R265" s="12">
        <v>0</v>
      </c>
      <c r="S265" s="12">
        <v>1</v>
      </c>
      <c r="T265" s="12">
        <v>3</v>
      </c>
      <c r="U265" s="12" t="s">
        <v>19</v>
      </c>
      <c r="V265" s="12">
        <v>1</v>
      </c>
      <c r="W265" s="12">
        <v>75</v>
      </c>
      <c r="X265" s="12">
        <v>1</v>
      </c>
      <c r="Y265" s="12">
        <v>4</v>
      </c>
      <c r="Z265" s="12" t="s">
        <v>87</v>
      </c>
      <c r="AA265" s="12">
        <v>0</v>
      </c>
      <c r="AB265" s="12">
        <v>0</v>
      </c>
      <c r="AC265" s="12">
        <v>0</v>
      </c>
      <c r="AD265" s="12">
        <v>1</v>
      </c>
      <c r="AE265" s="12">
        <v>0</v>
      </c>
      <c r="AF265" s="12">
        <v>0</v>
      </c>
      <c r="AG265" s="12">
        <v>0</v>
      </c>
      <c r="AH265" s="12">
        <v>0</v>
      </c>
      <c r="AI265" s="12">
        <v>2</v>
      </c>
      <c r="AJ265" s="12" t="s">
        <v>64</v>
      </c>
      <c r="AK265" s="12">
        <v>0</v>
      </c>
      <c r="AL265" s="12">
        <v>1</v>
      </c>
      <c r="AM265" s="12">
        <v>16872</v>
      </c>
      <c r="AN265" s="12">
        <f t="shared" si="62"/>
        <v>16872</v>
      </c>
      <c r="AO265" s="12">
        <v>3</v>
      </c>
      <c r="AP265" s="12" t="s">
        <v>52</v>
      </c>
      <c r="AQ265" s="12">
        <v>1</v>
      </c>
      <c r="AR265" s="12">
        <v>12</v>
      </c>
      <c r="AS265" s="12">
        <v>3</v>
      </c>
      <c r="AT265" s="12">
        <v>2</v>
      </c>
      <c r="AU265" s="12">
        <v>1</v>
      </c>
      <c r="AV265" s="12">
        <v>28</v>
      </c>
      <c r="AW265" s="12">
        <f t="shared" si="63"/>
        <v>28</v>
      </c>
      <c r="AX265" s="12">
        <v>2</v>
      </c>
      <c r="AY265" s="12">
        <v>2</v>
      </c>
      <c r="AZ265" s="12">
        <v>7</v>
      </c>
      <c r="BA265" s="12">
        <f t="shared" si="64"/>
        <v>7</v>
      </c>
      <c r="BB265" s="12">
        <v>7</v>
      </c>
      <c r="BC265" s="12">
        <v>7</v>
      </c>
      <c r="BD265" s="12">
        <f t="shared" si="73"/>
        <v>7</v>
      </c>
      <c r="BE265" s="12">
        <v>7</v>
      </c>
      <c r="BF265" s="12">
        <f t="shared" si="65"/>
        <v>7</v>
      </c>
      <c r="BG265" s="12">
        <f t="shared" si="74"/>
        <v>28</v>
      </c>
      <c r="BH265" s="67">
        <v>0</v>
      </c>
      <c r="BI265" s="67">
        <v>1</v>
      </c>
      <c r="BJ265" s="67">
        <v>0</v>
      </c>
      <c r="BK265" s="67">
        <v>0</v>
      </c>
      <c r="BL265" s="67">
        <v>0</v>
      </c>
      <c r="BM265" s="67">
        <v>0</v>
      </c>
      <c r="BN265" s="67">
        <v>0</v>
      </c>
      <c r="BO265" s="67">
        <v>1</v>
      </c>
      <c r="BP265" s="67">
        <v>0</v>
      </c>
      <c r="BQ265" s="67">
        <v>0</v>
      </c>
      <c r="BR265" s="67">
        <v>7</v>
      </c>
      <c r="BS265" s="67">
        <v>0</v>
      </c>
      <c r="BT265" s="67">
        <v>0</v>
      </c>
      <c r="BU265" s="70">
        <v>28</v>
      </c>
      <c r="BV265" s="29">
        <f t="shared" si="66"/>
        <v>2.2024562214990846</v>
      </c>
      <c r="BW265">
        <f t="shared" si="67"/>
        <v>0.80626709607243985</v>
      </c>
      <c r="BX265">
        <f t="shared" si="68"/>
        <v>2.1489368113080496</v>
      </c>
      <c r="BY265">
        <f t="shared" si="69"/>
        <v>1.3324462240916321E-3</v>
      </c>
      <c r="BZ265">
        <f t="shared" si="70"/>
        <v>0.88721318382472392</v>
      </c>
      <c r="CA265">
        <f t="shared" si="71"/>
        <v>0.99352155519239249</v>
      </c>
      <c r="CB265">
        <f t="shared" si="72"/>
        <v>1.4933588878908215</v>
      </c>
    </row>
    <row r="266" spans="1:80" x14ac:dyDescent="0.45">
      <c r="A266" s="11">
        <v>28</v>
      </c>
      <c r="B266" s="12">
        <f t="shared" si="60"/>
        <v>28</v>
      </c>
      <c r="C266" s="12" t="s">
        <v>52</v>
      </c>
      <c r="D266" s="12">
        <v>1</v>
      </c>
      <c r="E266" s="12" t="s">
        <v>53</v>
      </c>
      <c r="F266" s="12">
        <v>0</v>
      </c>
      <c r="G266" s="12">
        <v>1</v>
      </c>
      <c r="H266" s="12" t="s">
        <v>61</v>
      </c>
      <c r="I266" s="12">
        <v>1</v>
      </c>
      <c r="J266" s="12">
        <v>0</v>
      </c>
      <c r="K266" s="12">
        <v>2</v>
      </c>
      <c r="L266" s="12">
        <f t="shared" si="61"/>
        <v>2</v>
      </c>
      <c r="M266" s="12">
        <v>4</v>
      </c>
      <c r="N266" s="12" t="s">
        <v>55</v>
      </c>
      <c r="O266" s="12">
        <v>1</v>
      </c>
      <c r="P266" s="12">
        <v>0</v>
      </c>
      <c r="Q266" s="12">
        <v>0</v>
      </c>
      <c r="R266" s="12">
        <v>0</v>
      </c>
      <c r="S266" s="12">
        <v>0</v>
      </c>
      <c r="T266" s="12">
        <v>1</v>
      </c>
      <c r="U266" s="12" t="s">
        <v>62</v>
      </c>
      <c r="V266" s="12">
        <v>0</v>
      </c>
      <c r="W266" s="12">
        <v>79</v>
      </c>
      <c r="X266" s="12">
        <v>3</v>
      </c>
      <c r="Y266" s="12">
        <v>1</v>
      </c>
      <c r="Z266" s="12" t="s">
        <v>67</v>
      </c>
      <c r="AA266" s="12">
        <v>0</v>
      </c>
      <c r="AB266" s="12">
        <v>0</v>
      </c>
      <c r="AC266" s="12">
        <v>1</v>
      </c>
      <c r="AD266" s="12">
        <v>0</v>
      </c>
      <c r="AE266" s="12">
        <v>0</v>
      </c>
      <c r="AF266" s="12">
        <v>0</v>
      </c>
      <c r="AG266" s="12">
        <v>0</v>
      </c>
      <c r="AH266" s="12">
        <v>0</v>
      </c>
      <c r="AI266" s="12">
        <v>3</v>
      </c>
      <c r="AJ266" s="12" t="s">
        <v>57</v>
      </c>
      <c r="AK266" s="12">
        <v>1</v>
      </c>
      <c r="AL266" s="12">
        <v>0</v>
      </c>
      <c r="AM266" s="12">
        <v>3485</v>
      </c>
      <c r="AN266" s="12">
        <f t="shared" si="62"/>
        <v>3485</v>
      </c>
      <c r="AO266" s="12">
        <v>2</v>
      </c>
      <c r="AP266" s="12" t="s">
        <v>59</v>
      </c>
      <c r="AQ266" s="12">
        <v>0</v>
      </c>
      <c r="AR266" s="12">
        <v>11</v>
      </c>
      <c r="AS266" s="12">
        <v>3</v>
      </c>
      <c r="AT266" s="12">
        <v>3</v>
      </c>
      <c r="AU266" s="12">
        <v>0</v>
      </c>
      <c r="AV266" s="12">
        <v>5</v>
      </c>
      <c r="AW266" s="12">
        <f t="shared" si="63"/>
        <v>5</v>
      </c>
      <c r="AX266" s="12">
        <v>5</v>
      </c>
      <c r="AY266" s="12">
        <v>1</v>
      </c>
      <c r="AZ266" s="12">
        <v>0</v>
      </c>
      <c r="BA266" s="12">
        <f t="shared" si="64"/>
        <v>0</v>
      </c>
      <c r="BB266" s="12">
        <v>0</v>
      </c>
      <c r="BC266" s="12">
        <v>0</v>
      </c>
      <c r="BD266" s="12">
        <f t="shared" si="73"/>
        <v>0</v>
      </c>
      <c r="BE266" s="12">
        <v>0</v>
      </c>
      <c r="BF266" s="12">
        <f t="shared" si="65"/>
        <v>0</v>
      </c>
      <c r="BG266" s="12">
        <f t="shared" si="74"/>
        <v>0</v>
      </c>
      <c r="BH266" s="67">
        <v>1</v>
      </c>
      <c r="BI266" s="67">
        <v>0</v>
      </c>
      <c r="BJ266" s="67">
        <v>0</v>
      </c>
      <c r="BK266" s="67">
        <v>0</v>
      </c>
      <c r="BL266" s="67">
        <v>1</v>
      </c>
      <c r="BM266" s="67">
        <v>0</v>
      </c>
      <c r="BN266" s="67">
        <v>0</v>
      </c>
      <c r="BO266" s="67">
        <v>0</v>
      </c>
      <c r="BP266" s="67">
        <v>0</v>
      </c>
      <c r="BQ266" s="67">
        <v>0</v>
      </c>
      <c r="BR266" s="67">
        <v>0</v>
      </c>
      <c r="BS266" s="67">
        <v>0</v>
      </c>
      <c r="BT266" s="67">
        <v>5</v>
      </c>
      <c r="BU266" s="70">
        <v>0</v>
      </c>
      <c r="BV266" s="29">
        <f t="shared" si="66"/>
        <v>0.64102782407681891</v>
      </c>
      <c r="BW266">
        <f t="shared" si="67"/>
        <v>1.1555414682655611</v>
      </c>
      <c r="BX266">
        <f t="shared" si="68"/>
        <v>0.80706439257840468</v>
      </c>
      <c r="BY266">
        <f t="shared" si="69"/>
        <v>1.1439050833826525</v>
      </c>
      <c r="BZ266">
        <f t="shared" si="70"/>
        <v>0.88721318382472392</v>
      </c>
      <c r="CA266">
        <f t="shared" si="71"/>
        <v>0.97684123527310796</v>
      </c>
      <c r="CB266">
        <f t="shared" si="72"/>
        <v>0.67891464284095016</v>
      </c>
    </row>
    <row r="267" spans="1:80" x14ac:dyDescent="0.45">
      <c r="A267" s="11">
        <v>29</v>
      </c>
      <c r="B267" s="12">
        <f t="shared" si="60"/>
        <v>29</v>
      </c>
      <c r="C267" s="12" t="s">
        <v>59</v>
      </c>
      <c r="D267" s="12">
        <v>0</v>
      </c>
      <c r="E267" s="12" t="s">
        <v>53</v>
      </c>
      <c r="F267" s="12">
        <v>0</v>
      </c>
      <c r="G267" s="12">
        <v>1</v>
      </c>
      <c r="H267" s="12" t="s">
        <v>54</v>
      </c>
      <c r="I267" s="12">
        <v>0</v>
      </c>
      <c r="J267" s="12">
        <v>1</v>
      </c>
      <c r="K267" s="12">
        <v>2</v>
      </c>
      <c r="L267" s="12">
        <f t="shared" si="61"/>
        <v>2</v>
      </c>
      <c r="M267" s="12">
        <v>3</v>
      </c>
      <c r="N267" s="12" t="s">
        <v>70</v>
      </c>
      <c r="O267" s="12">
        <v>0</v>
      </c>
      <c r="P267" s="12">
        <v>0</v>
      </c>
      <c r="Q267" s="12">
        <v>1</v>
      </c>
      <c r="R267" s="12">
        <v>0</v>
      </c>
      <c r="S267" s="12">
        <v>0</v>
      </c>
      <c r="T267" s="12">
        <v>1</v>
      </c>
      <c r="U267" s="12" t="s">
        <v>62</v>
      </c>
      <c r="V267" s="12">
        <v>0</v>
      </c>
      <c r="W267" s="12">
        <v>78</v>
      </c>
      <c r="X267" s="12">
        <v>2</v>
      </c>
      <c r="Y267" s="12">
        <v>2</v>
      </c>
      <c r="Z267" s="12" t="s">
        <v>56</v>
      </c>
      <c r="AA267" s="12">
        <v>0</v>
      </c>
      <c r="AB267" s="12">
        <v>1</v>
      </c>
      <c r="AC267" s="12">
        <v>0</v>
      </c>
      <c r="AD267" s="12">
        <v>0</v>
      </c>
      <c r="AE267" s="12">
        <v>0</v>
      </c>
      <c r="AF267" s="12">
        <v>0</v>
      </c>
      <c r="AG267" s="12">
        <v>0</v>
      </c>
      <c r="AH267" s="12">
        <v>0</v>
      </c>
      <c r="AI267" s="12">
        <v>2</v>
      </c>
      <c r="AJ267" s="12" t="s">
        <v>64</v>
      </c>
      <c r="AK267" s="12">
        <v>0</v>
      </c>
      <c r="AL267" s="12">
        <v>1</v>
      </c>
      <c r="AM267" s="12">
        <v>6644</v>
      </c>
      <c r="AN267" s="12">
        <f t="shared" si="62"/>
        <v>6644</v>
      </c>
      <c r="AO267" s="12">
        <v>2</v>
      </c>
      <c r="AP267" s="12" t="s">
        <v>59</v>
      </c>
      <c r="AQ267" s="12">
        <v>0</v>
      </c>
      <c r="AR267" s="12">
        <v>19</v>
      </c>
      <c r="AS267" s="12">
        <v>3</v>
      </c>
      <c r="AT267" s="12">
        <v>2</v>
      </c>
      <c r="AU267" s="12">
        <v>2</v>
      </c>
      <c r="AV267" s="12">
        <v>10</v>
      </c>
      <c r="AW267" s="12">
        <f t="shared" si="63"/>
        <v>10</v>
      </c>
      <c r="AX267" s="12">
        <v>2</v>
      </c>
      <c r="AY267" s="12">
        <v>3</v>
      </c>
      <c r="AZ267" s="12">
        <v>0</v>
      </c>
      <c r="BA267" s="12">
        <f t="shared" si="64"/>
        <v>0</v>
      </c>
      <c r="BB267" s="12">
        <v>0</v>
      </c>
      <c r="BC267" s="12">
        <v>0</v>
      </c>
      <c r="BD267" s="12">
        <f t="shared" si="73"/>
        <v>0</v>
      </c>
      <c r="BE267" s="12">
        <v>0</v>
      </c>
      <c r="BF267" s="12">
        <f t="shared" si="65"/>
        <v>0</v>
      </c>
      <c r="BG267" s="12">
        <f t="shared" si="74"/>
        <v>0</v>
      </c>
      <c r="BH267" s="67">
        <v>0</v>
      </c>
      <c r="BI267" s="67">
        <v>1</v>
      </c>
      <c r="BJ267" s="67">
        <v>0</v>
      </c>
      <c r="BK267" s="67">
        <v>0</v>
      </c>
      <c r="BL267" s="67">
        <v>0</v>
      </c>
      <c r="BM267" s="67">
        <v>0</v>
      </c>
      <c r="BN267" s="67">
        <v>1</v>
      </c>
      <c r="BO267" s="67">
        <v>0</v>
      </c>
      <c r="BP267" s="67">
        <v>0</v>
      </c>
      <c r="BQ267" s="67">
        <v>0</v>
      </c>
      <c r="BR267" s="67">
        <v>0</v>
      </c>
      <c r="BS267" s="67">
        <v>0</v>
      </c>
      <c r="BT267" s="67">
        <v>0</v>
      </c>
      <c r="BU267" s="70">
        <v>10</v>
      </c>
      <c r="BV267" s="29">
        <f t="shared" si="66"/>
        <v>2.9963891764988763E-2</v>
      </c>
      <c r="BW267">
        <f t="shared" si="67"/>
        <v>1.1555414682655611</v>
      </c>
      <c r="BX267">
        <f t="shared" si="68"/>
        <v>0.1644554352117841</v>
      </c>
      <c r="BY267">
        <f t="shared" si="69"/>
        <v>1.1439050833826525</v>
      </c>
      <c r="BZ267">
        <f t="shared" si="70"/>
        <v>0.88721318382472392</v>
      </c>
      <c r="CA267">
        <f t="shared" si="71"/>
        <v>0.86737663580280233</v>
      </c>
      <c r="CB267">
        <f t="shared" si="72"/>
        <v>0.67891464284095016</v>
      </c>
    </row>
    <row r="268" spans="1:80" x14ac:dyDescent="0.45">
      <c r="A268" s="11">
        <v>31</v>
      </c>
      <c r="B268" s="12">
        <f t="shared" si="60"/>
        <v>31</v>
      </c>
      <c r="C268" s="12" t="s">
        <v>59</v>
      </c>
      <c r="D268" s="12">
        <v>0</v>
      </c>
      <c r="E268" s="12" t="s">
        <v>53</v>
      </c>
      <c r="F268" s="12">
        <v>0</v>
      </c>
      <c r="G268" s="12">
        <v>1</v>
      </c>
      <c r="H268" s="12" t="s">
        <v>61</v>
      </c>
      <c r="I268" s="12">
        <v>1</v>
      </c>
      <c r="J268" s="12">
        <v>0</v>
      </c>
      <c r="K268" s="12">
        <v>23</v>
      </c>
      <c r="L268" s="12">
        <f t="shared" si="61"/>
        <v>23</v>
      </c>
      <c r="M268" s="12">
        <v>3</v>
      </c>
      <c r="N268" s="12" t="s">
        <v>70</v>
      </c>
      <c r="O268" s="12">
        <v>0</v>
      </c>
      <c r="P268" s="12">
        <v>0</v>
      </c>
      <c r="Q268" s="12">
        <v>1</v>
      </c>
      <c r="R268" s="12">
        <v>0</v>
      </c>
      <c r="S268" s="12">
        <v>0</v>
      </c>
      <c r="T268" s="12">
        <v>2</v>
      </c>
      <c r="U268" s="12" t="s">
        <v>62</v>
      </c>
      <c r="V268" s="12">
        <v>0</v>
      </c>
      <c r="W268" s="12">
        <v>64</v>
      </c>
      <c r="X268" s="12">
        <v>2</v>
      </c>
      <c r="Y268" s="12">
        <v>2</v>
      </c>
      <c r="Z268" s="12" t="s">
        <v>85</v>
      </c>
      <c r="AA268" s="12">
        <v>1</v>
      </c>
      <c r="AB268" s="12">
        <v>0</v>
      </c>
      <c r="AC268" s="12">
        <v>0</v>
      </c>
      <c r="AD268" s="12">
        <v>0</v>
      </c>
      <c r="AE268" s="12">
        <v>0</v>
      </c>
      <c r="AF268" s="12">
        <v>0</v>
      </c>
      <c r="AG268" s="12">
        <v>0</v>
      </c>
      <c r="AH268" s="12">
        <v>0</v>
      </c>
      <c r="AI268" s="12">
        <v>4</v>
      </c>
      <c r="AJ268" s="12" t="s">
        <v>64</v>
      </c>
      <c r="AK268" s="12">
        <v>0</v>
      </c>
      <c r="AL268" s="12">
        <v>1</v>
      </c>
      <c r="AM268" s="12">
        <v>5582</v>
      </c>
      <c r="AN268" s="12">
        <f t="shared" si="62"/>
        <v>5582</v>
      </c>
      <c r="AO268" s="12">
        <v>0</v>
      </c>
      <c r="AP268" s="12" t="s">
        <v>59</v>
      </c>
      <c r="AQ268" s="12">
        <v>0</v>
      </c>
      <c r="AR268" s="12">
        <v>21</v>
      </c>
      <c r="AS268" s="12">
        <v>4</v>
      </c>
      <c r="AT268" s="12">
        <v>2</v>
      </c>
      <c r="AU268" s="12">
        <v>1</v>
      </c>
      <c r="AV268" s="12">
        <v>10</v>
      </c>
      <c r="AW268" s="12">
        <f t="shared" si="63"/>
        <v>10</v>
      </c>
      <c r="AX268" s="12">
        <v>2</v>
      </c>
      <c r="AY268" s="12">
        <v>3</v>
      </c>
      <c r="AZ268" s="12">
        <v>9</v>
      </c>
      <c r="BA268" s="12">
        <f t="shared" si="64"/>
        <v>9</v>
      </c>
      <c r="BB268" s="12">
        <v>0</v>
      </c>
      <c r="BC268" s="12">
        <v>7</v>
      </c>
      <c r="BD268" s="12">
        <f t="shared" si="73"/>
        <v>7</v>
      </c>
      <c r="BE268" s="12">
        <v>8</v>
      </c>
      <c r="BF268" s="12">
        <f t="shared" si="65"/>
        <v>8</v>
      </c>
      <c r="BG268" s="12">
        <f t="shared" si="74"/>
        <v>16</v>
      </c>
      <c r="BH268" s="67">
        <v>0</v>
      </c>
      <c r="BI268" s="67">
        <v>1</v>
      </c>
      <c r="BJ268" s="67">
        <v>0</v>
      </c>
      <c r="BK268" s="67">
        <v>0</v>
      </c>
      <c r="BL268" s="67">
        <v>0</v>
      </c>
      <c r="BM268" s="67">
        <v>0</v>
      </c>
      <c r="BN268" s="67">
        <v>1</v>
      </c>
      <c r="BO268" s="67">
        <v>0</v>
      </c>
      <c r="BP268" s="67">
        <v>0</v>
      </c>
      <c r="BQ268" s="67">
        <v>8</v>
      </c>
      <c r="BR268" s="67">
        <v>0</v>
      </c>
      <c r="BS268" s="67">
        <v>0</v>
      </c>
      <c r="BT268" s="67">
        <v>10</v>
      </c>
      <c r="BU268" s="70">
        <v>0</v>
      </c>
      <c r="BV268" s="29">
        <f t="shared" si="66"/>
        <v>0.19561167082570441</v>
      </c>
      <c r="BW268">
        <f t="shared" si="67"/>
        <v>1.08652546240644</v>
      </c>
      <c r="BX268">
        <f t="shared" si="68"/>
        <v>0.1644554352117841</v>
      </c>
      <c r="BY268">
        <f t="shared" si="69"/>
        <v>0.32511687867835437</v>
      </c>
      <c r="BZ268">
        <f t="shared" si="70"/>
        <v>1.7031841475541873</v>
      </c>
      <c r="CA268">
        <f t="shared" si="71"/>
        <v>0.6484474368621912</v>
      </c>
      <c r="CB268">
        <f t="shared" si="72"/>
        <v>1.4933588878908215</v>
      </c>
    </row>
    <row r="269" spans="1:80" x14ac:dyDescent="0.45">
      <c r="A269" s="11">
        <v>25</v>
      </c>
      <c r="B269" s="12">
        <f t="shared" si="60"/>
        <v>25</v>
      </c>
      <c r="C269" s="12" t="s">
        <v>59</v>
      </c>
      <c r="D269" s="12">
        <v>0</v>
      </c>
      <c r="E269" s="12" t="s">
        <v>86</v>
      </c>
      <c r="F269" s="12">
        <v>0</v>
      </c>
      <c r="G269" s="12">
        <v>0</v>
      </c>
      <c r="H269" s="12" t="s">
        <v>61</v>
      </c>
      <c r="I269" s="12">
        <v>1</v>
      </c>
      <c r="J269" s="12">
        <v>0</v>
      </c>
      <c r="K269" s="12">
        <v>5</v>
      </c>
      <c r="L269" s="12">
        <f t="shared" si="61"/>
        <v>5</v>
      </c>
      <c r="M269" s="12">
        <v>2</v>
      </c>
      <c r="N269" s="12" t="s">
        <v>55</v>
      </c>
      <c r="O269" s="12">
        <v>1</v>
      </c>
      <c r="P269" s="12">
        <v>0</v>
      </c>
      <c r="Q269" s="12">
        <v>0</v>
      </c>
      <c r="R269" s="12">
        <v>0</v>
      </c>
      <c r="S269" s="12">
        <v>0</v>
      </c>
      <c r="T269" s="12">
        <v>2</v>
      </c>
      <c r="U269" s="12" t="s">
        <v>62</v>
      </c>
      <c r="V269" s="12">
        <v>0</v>
      </c>
      <c r="W269" s="12">
        <v>85</v>
      </c>
      <c r="X269" s="12">
        <v>4</v>
      </c>
      <c r="Y269" s="12">
        <v>2</v>
      </c>
      <c r="Z269" s="12" t="s">
        <v>85</v>
      </c>
      <c r="AA269" s="12">
        <v>1</v>
      </c>
      <c r="AB269" s="12">
        <v>0</v>
      </c>
      <c r="AC269" s="12">
        <v>0</v>
      </c>
      <c r="AD269" s="12">
        <v>0</v>
      </c>
      <c r="AE269" s="12">
        <v>0</v>
      </c>
      <c r="AF269" s="12">
        <v>0</v>
      </c>
      <c r="AG269" s="12">
        <v>0</v>
      </c>
      <c r="AH269" s="12">
        <v>0</v>
      </c>
      <c r="AI269" s="12">
        <v>1</v>
      </c>
      <c r="AJ269" s="12" t="s">
        <v>78</v>
      </c>
      <c r="AK269" s="12">
        <v>0</v>
      </c>
      <c r="AL269" s="12">
        <v>0</v>
      </c>
      <c r="AM269" s="12">
        <v>4000</v>
      </c>
      <c r="AN269" s="12">
        <f t="shared" si="62"/>
        <v>4000</v>
      </c>
      <c r="AO269" s="12">
        <v>1</v>
      </c>
      <c r="AP269" s="12" t="s">
        <v>59</v>
      </c>
      <c r="AQ269" s="12">
        <v>0</v>
      </c>
      <c r="AR269" s="12">
        <v>12</v>
      </c>
      <c r="AS269" s="12">
        <v>3</v>
      </c>
      <c r="AT269" s="12">
        <v>4</v>
      </c>
      <c r="AU269" s="12">
        <v>2</v>
      </c>
      <c r="AV269" s="12">
        <v>6</v>
      </c>
      <c r="AW269" s="12">
        <f t="shared" si="63"/>
        <v>6</v>
      </c>
      <c r="AX269" s="12">
        <v>2</v>
      </c>
      <c r="AY269" s="12">
        <v>3</v>
      </c>
      <c r="AZ269" s="12">
        <v>6</v>
      </c>
      <c r="BA269" s="12">
        <f t="shared" si="64"/>
        <v>6</v>
      </c>
      <c r="BB269" s="12">
        <v>3</v>
      </c>
      <c r="BC269" s="12">
        <v>1</v>
      </c>
      <c r="BD269" s="12">
        <f t="shared" si="73"/>
        <v>1</v>
      </c>
      <c r="BE269" s="12">
        <v>5</v>
      </c>
      <c r="BF269" s="12">
        <f t="shared" si="65"/>
        <v>5</v>
      </c>
      <c r="BG269" s="12">
        <f t="shared" si="74"/>
        <v>10</v>
      </c>
      <c r="BH269" s="67">
        <v>1</v>
      </c>
      <c r="BI269" s="67">
        <v>0</v>
      </c>
      <c r="BJ269" s="67">
        <v>0</v>
      </c>
      <c r="BK269" s="67">
        <v>0</v>
      </c>
      <c r="BL269" s="67">
        <v>1</v>
      </c>
      <c r="BM269" s="67">
        <v>0</v>
      </c>
      <c r="BN269" s="67">
        <v>0</v>
      </c>
      <c r="BO269" s="67">
        <v>0</v>
      </c>
      <c r="BP269" s="67">
        <v>0</v>
      </c>
      <c r="BQ269" s="67">
        <v>5</v>
      </c>
      <c r="BR269" s="67">
        <v>0</v>
      </c>
      <c r="BS269" s="67">
        <v>0</v>
      </c>
      <c r="BT269" s="67">
        <v>6</v>
      </c>
      <c r="BU269" s="70">
        <v>0</v>
      </c>
      <c r="BV269" s="29">
        <f t="shared" si="66"/>
        <v>0.53163854466607785</v>
      </c>
      <c r="BW269">
        <f t="shared" si="67"/>
        <v>0.24575036340443959</v>
      </c>
      <c r="BX269">
        <f t="shared" si="68"/>
        <v>0.67854260110508058</v>
      </c>
      <c r="BY269">
        <f t="shared" si="69"/>
        <v>0.16455710867531462</v>
      </c>
      <c r="BZ269">
        <f t="shared" si="70"/>
        <v>0.51715642219916513</v>
      </c>
      <c r="CA269">
        <f t="shared" si="71"/>
        <v>1.3052350336840246</v>
      </c>
      <c r="CB269">
        <f t="shared" si="72"/>
        <v>0.36858985273641137</v>
      </c>
    </row>
    <row r="270" spans="1:80" x14ac:dyDescent="0.45">
      <c r="A270" s="11">
        <v>45</v>
      </c>
      <c r="B270" s="12">
        <f t="shared" si="60"/>
        <v>45</v>
      </c>
      <c r="C270" s="12" t="s">
        <v>59</v>
      </c>
      <c r="D270" s="12">
        <v>0</v>
      </c>
      <c r="E270" s="12" t="s">
        <v>53</v>
      </c>
      <c r="F270" s="12">
        <v>0</v>
      </c>
      <c r="G270" s="12">
        <v>1</v>
      </c>
      <c r="H270" s="12" t="s">
        <v>61</v>
      </c>
      <c r="I270" s="12">
        <v>1</v>
      </c>
      <c r="J270" s="12">
        <v>0</v>
      </c>
      <c r="K270" s="12">
        <v>20</v>
      </c>
      <c r="L270" s="12">
        <f t="shared" si="61"/>
        <v>20</v>
      </c>
      <c r="M270" s="12">
        <v>2</v>
      </c>
      <c r="N270" s="12" t="s">
        <v>70</v>
      </c>
      <c r="O270" s="12">
        <v>0</v>
      </c>
      <c r="P270" s="12">
        <v>0</v>
      </c>
      <c r="Q270" s="12">
        <v>1</v>
      </c>
      <c r="R270" s="12">
        <v>0</v>
      </c>
      <c r="S270" s="12">
        <v>0</v>
      </c>
      <c r="T270" s="12">
        <v>3</v>
      </c>
      <c r="U270" s="12" t="s">
        <v>62</v>
      </c>
      <c r="V270" s="12">
        <v>0</v>
      </c>
      <c r="W270" s="12">
        <v>79</v>
      </c>
      <c r="X270" s="12">
        <v>3</v>
      </c>
      <c r="Y270" s="12">
        <v>4</v>
      </c>
      <c r="Z270" s="12" t="s">
        <v>85</v>
      </c>
      <c r="AA270" s="12">
        <v>1</v>
      </c>
      <c r="AB270" s="12">
        <v>0</v>
      </c>
      <c r="AC270" s="12">
        <v>0</v>
      </c>
      <c r="AD270" s="12">
        <v>0</v>
      </c>
      <c r="AE270" s="12">
        <v>0</v>
      </c>
      <c r="AF270" s="12">
        <v>0</v>
      </c>
      <c r="AG270" s="12">
        <v>0</v>
      </c>
      <c r="AH270" s="12">
        <v>0</v>
      </c>
      <c r="AI270" s="12">
        <v>4</v>
      </c>
      <c r="AJ270" s="12" t="s">
        <v>64</v>
      </c>
      <c r="AK270" s="12">
        <v>0</v>
      </c>
      <c r="AL270" s="12">
        <v>1</v>
      </c>
      <c r="AM270" s="12">
        <v>13496</v>
      </c>
      <c r="AN270" s="12">
        <f t="shared" si="62"/>
        <v>13496</v>
      </c>
      <c r="AO270" s="12">
        <v>0</v>
      </c>
      <c r="AP270" s="12" t="s">
        <v>52</v>
      </c>
      <c r="AQ270" s="12">
        <v>1</v>
      </c>
      <c r="AR270" s="12">
        <v>14</v>
      </c>
      <c r="AS270" s="12">
        <v>3</v>
      </c>
      <c r="AT270" s="12">
        <v>2</v>
      </c>
      <c r="AU270" s="12">
        <v>0</v>
      </c>
      <c r="AV270" s="12">
        <v>21</v>
      </c>
      <c r="AW270" s="12">
        <f t="shared" si="63"/>
        <v>21</v>
      </c>
      <c r="AX270" s="12">
        <v>2</v>
      </c>
      <c r="AY270" s="12">
        <v>3</v>
      </c>
      <c r="AZ270" s="12">
        <v>20</v>
      </c>
      <c r="BA270" s="12">
        <f t="shared" si="64"/>
        <v>20</v>
      </c>
      <c r="BB270" s="12">
        <v>7</v>
      </c>
      <c r="BC270" s="12">
        <v>4</v>
      </c>
      <c r="BD270" s="12">
        <f t="shared" si="73"/>
        <v>4</v>
      </c>
      <c r="BE270" s="12">
        <v>10</v>
      </c>
      <c r="BF270" s="12">
        <f t="shared" si="65"/>
        <v>10</v>
      </c>
      <c r="BG270" s="12">
        <f t="shared" si="74"/>
        <v>40</v>
      </c>
      <c r="BH270" s="67">
        <v>0</v>
      </c>
      <c r="BI270" s="67">
        <v>1</v>
      </c>
      <c r="BJ270" s="67">
        <v>0</v>
      </c>
      <c r="BK270" s="67">
        <v>0</v>
      </c>
      <c r="BL270" s="67">
        <v>0</v>
      </c>
      <c r="BM270" s="67">
        <v>0</v>
      </c>
      <c r="BN270" s="67">
        <v>0</v>
      </c>
      <c r="BO270" s="67">
        <v>1</v>
      </c>
      <c r="BP270" s="67">
        <v>0</v>
      </c>
      <c r="BQ270" s="67">
        <v>10</v>
      </c>
      <c r="BR270" s="67">
        <v>0</v>
      </c>
      <c r="BS270" s="67">
        <v>0</v>
      </c>
      <c r="BT270" s="67">
        <v>21</v>
      </c>
      <c r="BU270" s="70">
        <v>0</v>
      </c>
      <c r="BV270" s="29">
        <f t="shared" si="66"/>
        <v>1.4853723238473142</v>
      </c>
      <c r="BW270">
        <f t="shared" si="67"/>
        <v>1.6470421950744405</v>
      </c>
      <c r="BX270">
        <f t="shared" si="68"/>
        <v>1.2492842709947811</v>
      </c>
      <c r="BY270">
        <f t="shared" si="69"/>
        <v>2.1205881656418071</v>
      </c>
      <c r="BZ270">
        <f t="shared" si="70"/>
        <v>1.3331273859286286</v>
      </c>
      <c r="CA270">
        <f t="shared" si="71"/>
        <v>0.88405695572208698</v>
      </c>
      <c r="CB270">
        <f t="shared" si="72"/>
        <v>0.56238451757720498</v>
      </c>
    </row>
    <row r="271" spans="1:80" x14ac:dyDescent="0.45">
      <c r="A271" s="11">
        <v>36</v>
      </c>
      <c r="B271" s="12">
        <f t="shared" si="60"/>
        <v>36</v>
      </c>
      <c r="C271" s="12" t="s">
        <v>59</v>
      </c>
      <c r="D271" s="12">
        <v>0</v>
      </c>
      <c r="E271" s="12" t="s">
        <v>53</v>
      </c>
      <c r="F271" s="12">
        <v>0</v>
      </c>
      <c r="G271" s="12">
        <v>1</v>
      </c>
      <c r="H271" s="12" t="s">
        <v>61</v>
      </c>
      <c r="I271" s="12">
        <v>1</v>
      </c>
      <c r="J271" s="12">
        <v>0</v>
      </c>
      <c r="K271" s="12">
        <v>6</v>
      </c>
      <c r="L271" s="12">
        <f t="shared" si="61"/>
        <v>6</v>
      </c>
      <c r="M271" s="12">
        <v>3</v>
      </c>
      <c r="N271" s="12" t="s">
        <v>55</v>
      </c>
      <c r="O271" s="12">
        <v>1</v>
      </c>
      <c r="P271" s="12">
        <v>0</v>
      </c>
      <c r="Q271" s="12">
        <v>0</v>
      </c>
      <c r="R271" s="12">
        <v>0</v>
      </c>
      <c r="S271" s="12">
        <v>0</v>
      </c>
      <c r="T271" s="12">
        <v>4</v>
      </c>
      <c r="U271" s="12" t="s">
        <v>62</v>
      </c>
      <c r="V271" s="12">
        <v>0</v>
      </c>
      <c r="W271" s="12">
        <v>47</v>
      </c>
      <c r="X271" s="12">
        <v>3</v>
      </c>
      <c r="Y271" s="12">
        <v>1</v>
      </c>
      <c r="Z271" s="12" t="s">
        <v>67</v>
      </c>
      <c r="AA271" s="12">
        <v>0</v>
      </c>
      <c r="AB271" s="12">
        <v>0</v>
      </c>
      <c r="AC271" s="12">
        <v>1</v>
      </c>
      <c r="AD271" s="12">
        <v>0</v>
      </c>
      <c r="AE271" s="12">
        <v>0</v>
      </c>
      <c r="AF271" s="12">
        <v>0</v>
      </c>
      <c r="AG271" s="12">
        <v>0</v>
      </c>
      <c r="AH271" s="12">
        <v>0</v>
      </c>
      <c r="AI271" s="12">
        <v>4</v>
      </c>
      <c r="AJ271" s="12" t="s">
        <v>64</v>
      </c>
      <c r="AK271" s="12">
        <v>0</v>
      </c>
      <c r="AL271" s="12">
        <v>1</v>
      </c>
      <c r="AM271" s="12">
        <v>3210</v>
      </c>
      <c r="AN271" s="12">
        <f t="shared" si="62"/>
        <v>3210</v>
      </c>
      <c r="AO271" s="12">
        <v>0</v>
      </c>
      <c r="AP271" s="12" t="s">
        <v>59</v>
      </c>
      <c r="AQ271" s="12">
        <v>0</v>
      </c>
      <c r="AR271" s="12">
        <v>11</v>
      </c>
      <c r="AS271" s="12">
        <v>3</v>
      </c>
      <c r="AT271" s="12">
        <v>3</v>
      </c>
      <c r="AU271" s="12">
        <v>1</v>
      </c>
      <c r="AV271" s="12">
        <v>16</v>
      </c>
      <c r="AW271" s="12">
        <f t="shared" si="63"/>
        <v>16</v>
      </c>
      <c r="AX271" s="12">
        <v>4</v>
      </c>
      <c r="AY271" s="12">
        <v>3</v>
      </c>
      <c r="AZ271" s="12">
        <v>15</v>
      </c>
      <c r="BA271" s="12">
        <f t="shared" si="64"/>
        <v>15</v>
      </c>
      <c r="BB271" s="12">
        <v>13</v>
      </c>
      <c r="BC271" s="12">
        <v>10</v>
      </c>
      <c r="BD271" s="12">
        <f t="shared" si="73"/>
        <v>10</v>
      </c>
      <c r="BE271" s="12">
        <v>11</v>
      </c>
      <c r="BF271" s="12">
        <f t="shared" si="65"/>
        <v>11</v>
      </c>
      <c r="BG271" s="12">
        <f t="shared" si="74"/>
        <v>11</v>
      </c>
      <c r="BH271" s="67">
        <v>0</v>
      </c>
      <c r="BI271" s="67">
        <v>1</v>
      </c>
      <c r="BJ271" s="67">
        <v>0</v>
      </c>
      <c r="BK271" s="67">
        <v>0</v>
      </c>
      <c r="BL271" s="67">
        <v>0</v>
      </c>
      <c r="BM271" s="67">
        <v>0</v>
      </c>
      <c r="BN271" s="67">
        <v>1</v>
      </c>
      <c r="BO271" s="67">
        <v>0</v>
      </c>
      <c r="BP271" s="67">
        <v>0</v>
      </c>
      <c r="BQ271" s="67">
        <v>11</v>
      </c>
      <c r="BR271" s="67">
        <v>0</v>
      </c>
      <c r="BS271" s="67">
        <v>0</v>
      </c>
      <c r="BT271" s="67">
        <v>16</v>
      </c>
      <c r="BU271" s="70">
        <v>0</v>
      </c>
      <c r="BV271" s="29">
        <f t="shared" si="66"/>
        <v>0.69943957521847666</v>
      </c>
      <c r="BW271">
        <f t="shared" si="67"/>
        <v>1.9273005614084406</v>
      </c>
      <c r="BX271">
        <f t="shared" si="68"/>
        <v>0.60667531362816052</v>
      </c>
      <c r="BY271">
        <f t="shared" si="69"/>
        <v>1.3044648533856922</v>
      </c>
      <c r="BZ271">
        <f t="shared" si="70"/>
        <v>0.39380416832397891</v>
      </c>
      <c r="CA271">
        <f t="shared" si="71"/>
        <v>0.10112443951066327</v>
      </c>
      <c r="CB271">
        <f t="shared" si="72"/>
        <v>2.4243332582044381</v>
      </c>
    </row>
    <row r="272" spans="1:80" x14ac:dyDescent="0.45">
      <c r="A272" s="11">
        <v>55</v>
      </c>
      <c r="B272" s="12">
        <f t="shared" si="60"/>
        <v>55</v>
      </c>
      <c r="C272" s="12" t="s">
        <v>59</v>
      </c>
      <c r="D272" s="12">
        <v>0</v>
      </c>
      <c r="E272" s="12" t="s">
        <v>53</v>
      </c>
      <c r="F272" s="12">
        <v>0</v>
      </c>
      <c r="G272" s="12">
        <v>1</v>
      </c>
      <c r="H272" s="12" t="s">
        <v>61</v>
      </c>
      <c r="I272" s="12">
        <v>1</v>
      </c>
      <c r="J272" s="12">
        <v>0</v>
      </c>
      <c r="K272" s="12">
        <v>1</v>
      </c>
      <c r="L272" s="12">
        <f t="shared" si="61"/>
        <v>1</v>
      </c>
      <c r="M272" s="12">
        <v>3</v>
      </c>
      <c r="N272" s="12" t="s">
        <v>70</v>
      </c>
      <c r="O272" s="12">
        <v>0</v>
      </c>
      <c r="P272" s="12">
        <v>0</v>
      </c>
      <c r="Q272" s="12">
        <v>1</v>
      </c>
      <c r="R272" s="12">
        <v>0</v>
      </c>
      <c r="S272" s="12">
        <v>0</v>
      </c>
      <c r="T272" s="12">
        <v>4</v>
      </c>
      <c r="U272" s="12" t="s">
        <v>62</v>
      </c>
      <c r="V272" s="12">
        <v>0</v>
      </c>
      <c r="W272" s="12">
        <v>81</v>
      </c>
      <c r="X272" s="12">
        <v>3</v>
      </c>
      <c r="Y272" s="12">
        <v>5</v>
      </c>
      <c r="Z272" s="12" t="s">
        <v>87</v>
      </c>
      <c r="AA272" s="12">
        <v>0</v>
      </c>
      <c r="AB272" s="12">
        <v>0</v>
      </c>
      <c r="AC272" s="12">
        <v>0</v>
      </c>
      <c r="AD272" s="12">
        <v>1</v>
      </c>
      <c r="AE272" s="12">
        <v>0</v>
      </c>
      <c r="AF272" s="12">
        <v>0</v>
      </c>
      <c r="AG272" s="12">
        <v>0</v>
      </c>
      <c r="AH272" s="12">
        <v>0</v>
      </c>
      <c r="AI272" s="12">
        <v>1</v>
      </c>
      <c r="AJ272" s="12" t="s">
        <v>57</v>
      </c>
      <c r="AK272" s="12">
        <v>1</v>
      </c>
      <c r="AL272" s="12">
        <v>0</v>
      </c>
      <c r="AM272" s="12">
        <v>19045</v>
      </c>
      <c r="AN272" s="12">
        <f t="shared" si="62"/>
        <v>19045</v>
      </c>
      <c r="AO272" s="12">
        <v>0</v>
      </c>
      <c r="AP272" s="12" t="s">
        <v>52</v>
      </c>
      <c r="AQ272" s="12">
        <v>1</v>
      </c>
      <c r="AR272" s="12">
        <v>14</v>
      </c>
      <c r="AS272" s="12">
        <v>3</v>
      </c>
      <c r="AT272" s="12">
        <v>3</v>
      </c>
      <c r="AU272" s="12">
        <v>0</v>
      </c>
      <c r="AV272" s="12">
        <v>37</v>
      </c>
      <c r="AW272" s="12">
        <f t="shared" si="63"/>
        <v>35</v>
      </c>
      <c r="AX272" s="12">
        <v>2</v>
      </c>
      <c r="AY272" s="12">
        <v>3</v>
      </c>
      <c r="AZ272" s="12">
        <v>36</v>
      </c>
      <c r="BA272" s="12">
        <f t="shared" si="64"/>
        <v>31</v>
      </c>
      <c r="BB272" s="12">
        <v>10</v>
      </c>
      <c r="BC272" s="12">
        <v>4</v>
      </c>
      <c r="BD272" s="12">
        <f t="shared" si="73"/>
        <v>4</v>
      </c>
      <c r="BE272" s="12">
        <v>13</v>
      </c>
      <c r="BF272" s="12">
        <f t="shared" si="65"/>
        <v>13</v>
      </c>
      <c r="BG272" s="12">
        <f t="shared" si="74"/>
        <v>65</v>
      </c>
      <c r="BH272" s="67">
        <v>1</v>
      </c>
      <c r="BI272" s="67">
        <v>0</v>
      </c>
      <c r="BJ272" s="67">
        <v>0</v>
      </c>
      <c r="BK272" s="67">
        <v>0</v>
      </c>
      <c r="BL272" s="67">
        <v>0</v>
      </c>
      <c r="BM272" s="67">
        <v>1</v>
      </c>
      <c r="BN272" s="67">
        <v>0</v>
      </c>
      <c r="BO272" s="67">
        <v>0</v>
      </c>
      <c r="BP272" s="67">
        <v>0</v>
      </c>
      <c r="BQ272" s="67">
        <v>13</v>
      </c>
      <c r="BR272" s="67">
        <v>0</v>
      </c>
      <c r="BS272" s="67">
        <v>0</v>
      </c>
      <c r="BT272" s="67">
        <v>35</v>
      </c>
      <c r="BU272" s="70">
        <v>0</v>
      </c>
      <c r="BV272" s="29">
        <f t="shared" si="66"/>
        <v>2.6640152587020753</v>
      </c>
      <c r="BW272">
        <f t="shared" si="67"/>
        <v>2.4878172940764407</v>
      </c>
      <c r="BX272">
        <f t="shared" si="68"/>
        <v>3.3056329345679663</v>
      </c>
      <c r="BY272">
        <f t="shared" si="69"/>
        <v>4.732182764861375</v>
      </c>
      <c r="BZ272">
        <f t="shared" si="70"/>
        <v>1.01056543769991</v>
      </c>
      <c r="CA272">
        <f t="shared" si="71"/>
        <v>1.9787029504251428</v>
      </c>
      <c r="CB272">
        <f t="shared" si="72"/>
        <v>0.56238451757720498</v>
      </c>
    </row>
    <row r="273" spans="1:80" x14ac:dyDescent="0.45">
      <c r="A273" s="11">
        <v>47</v>
      </c>
      <c r="B273" s="12">
        <f t="shared" si="60"/>
        <v>47</v>
      </c>
      <c r="C273" s="12" t="s">
        <v>52</v>
      </c>
      <c r="D273" s="12">
        <v>1</v>
      </c>
      <c r="E273" s="12" t="s">
        <v>86</v>
      </c>
      <c r="F273" s="12">
        <v>0</v>
      </c>
      <c r="G273" s="12">
        <v>0</v>
      </c>
      <c r="H273" s="12" t="s">
        <v>61</v>
      </c>
      <c r="I273" s="12">
        <v>1</v>
      </c>
      <c r="J273" s="12">
        <v>0</v>
      </c>
      <c r="K273" s="12">
        <v>29</v>
      </c>
      <c r="L273" s="12">
        <f t="shared" si="61"/>
        <v>29</v>
      </c>
      <c r="M273" s="12">
        <v>4</v>
      </c>
      <c r="N273" s="12" t="s">
        <v>55</v>
      </c>
      <c r="O273" s="12">
        <v>1</v>
      </c>
      <c r="P273" s="12">
        <v>0</v>
      </c>
      <c r="Q273" s="12">
        <v>0</v>
      </c>
      <c r="R273" s="12">
        <v>0</v>
      </c>
      <c r="S273" s="12">
        <v>0</v>
      </c>
      <c r="T273" s="12">
        <v>1</v>
      </c>
      <c r="U273" s="12" t="s">
        <v>62</v>
      </c>
      <c r="V273" s="12">
        <v>0</v>
      </c>
      <c r="W273" s="12">
        <v>88</v>
      </c>
      <c r="X273" s="12">
        <v>3</v>
      </c>
      <c r="Y273" s="12">
        <v>3</v>
      </c>
      <c r="Z273" s="12" t="s">
        <v>87</v>
      </c>
      <c r="AA273" s="12">
        <v>0</v>
      </c>
      <c r="AB273" s="12">
        <v>0</v>
      </c>
      <c r="AC273" s="12">
        <v>0</v>
      </c>
      <c r="AD273" s="12">
        <v>1</v>
      </c>
      <c r="AE273" s="12">
        <v>0</v>
      </c>
      <c r="AF273" s="12">
        <v>0</v>
      </c>
      <c r="AG273" s="12">
        <v>0</v>
      </c>
      <c r="AH273" s="12">
        <v>0</v>
      </c>
      <c r="AI273" s="12">
        <v>2</v>
      </c>
      <c r="AJ273" s="12" t="s">
        <v>64</v>
      </c>
      <c r="AK273" s="12">
        <v>0</v>
      </c>
      <c r="AL273" s="12">
        <v>1</v>
      </c>
      <c r="AM273" s="12">
        <v>11849</v>
      </c>
      <c r="AN273" s="12">
        <f t="shared" si="62"/>
        <v>11849</v>
      </c>
      <c r="AO273" s="12">
        <v>1</v>
      </c>
      <c r="AP273" s="12" t="s">
        <v>52</v>
      </c>
      <c r="AQ273" s="12">
        <v>1</v>
      </c>
      <c r="AR273" s="12">
        <v>12</v>
      </c>
      <c r="AS273" s="12">
        <v>3</v>
      </c>
      <c r="AT273" s="12">
        <v>4</v>
      </c>
      <c r="AU273" s="12">
        <v>1</v>
      </c>
      <c r="AV273" s="12">
        <v>10</v>
      </c>
      <c r="AW273" s="12">
        <f t="shared" si="63"/>
        <v>10</v>
      </c>
      <c r="AX273" s="12">
        <v>2</v>
      </c>
      <c r="AY273" s="12">
        <v>2</v>
      </c>
      <c r="AZ273" s="12">
        <v>10</v>
      </c>
      <c r="BA273" s="12">
        <f t="shared" si="64"/>
        <v>10</v>
      </c>
      <c r="BB273" s="12">
        <v>7</v>
      </c>
      <c r="BC273" s="12">
        <v>9</v>
      </c>
      <c r="BD273" s="12">
        <f t="shared" si="73"/>
        <v>9</v>
      </c>
      <c r="BE273" s="12">
        <v>9</v>
      </c>
      <c r="BF273" s="12">
        <f t="shared" si="65"/>
        <v>9</v>
      </c>
      <c r="BG273" s="12">
        <f t="shared" si="74"/>
        <v>27</v>
      </c>
      <c r="BH273" s="67">
        <v>0</v>
      </c>
      <c r="BI273" s="67">
        <v>1</v>
      </c>
      <c r="BJ273" s="67">
        <v>0</v>
      </c>
      <c r="BK273" s="67">
        <v>0</v>
      </c>
      <c r="BL273" s="67">
        <v>0</v>
      </c>
      <c r="BM273" s="67">
        <v>0</v>
      </c>
      <c r="BN273" s="67">
        <v>0</v>
      </c>
      <c r="BO273" s="67">
        <v>1</v>
      </c>
      <c r="BP273" s="67">
        <v>0</v>
      </c>
      <c r="BQ273" s="67">
        <v>9</v>
      </c>
      <c r="BR273" s="67">
        <v>0</v>
      </c>
      <c r="BS273" s="67">
        <v>0</v>
      </c>
      <c r="BT273" s="67">
        <v>10</v>
      </c>
      <c r="BU273" s="70">
        <v>0</v>
      </c>
      <c r="BV273" s="29">
        <f t="shared" si="66"/>
        <v>1.1355390361007307</v>
      </c>
      <c r="BW273">
        <f t="shared" si="67"/>
        <v>1.3667838287404401</v>
      </c>
      <c r="BX273">
        <f t="shared" si="68"/>
        <v>0.1644554352117841</v>
      </c>
      <c r="BY273">
        <f t="shared" si="69"/>
        <v>0.48834154112957734</v>
      </c>
      <c r="BZ273">
        <f t="shared" si="70"/>
        <v>2.4432976708053049</v>
      </c>
      <c r="CA273">
        <f t="shared" si="71"/>
        <v>1.102986154662698</v>
      </c>
      <c r="CB273">
        <f t="shared" si="72"/>
        <v>2.114008468099899</v>
      </c>
    </row>
    <row r="274" spans="1:80" x14ac:dyDescent="0.45">
      <c r="A274" s="11">
        <v>28</v>
      </c>
      <c r="B274" s="12">
        <f t="shared" si="60"/>
        <v>28</v>
      </c>
      <c r="C274" s="12" t="s">
        <v>59</v>
      </c>
      <c r="D274" s="12">
        <v>0</v>
      </c>
      <c r="E274" s="12" t="s">
        <v>53</v>
      </c>
      <c r="F274" s="12">
        <v>0</v>
      </c>
      <c r="G274" s="12">
        <v>1</v>
      </c>
      <c r="H274" s="12" t="s">
        <v>61</v>
      </c>
      <c r="I274" s="12">
        <v>1</v>
      </c>
      <c r="J274" s="12">
        <v>0</v>
      </c>
      <c r="K274" s="12">
        <v>9</v>
      </c>
      <c r="L274" s="12">
        <f t="shared" si="61"/>
        <v>9</v>
      </c>
      <c r="M274" s="12">
        <v>3</v>
      </c>
      <c r="N274" s="12" t="s">
        <v>70</v>
      </c>
      <c r="O274" s="12">
        <v>0</v>
      </c>
      <c r="P274" s="12">
        <v>0</v>
      </c>
      <c r="Q274" s="12">
        <v>1</v>
      </c>
      <c r="R274" s="12">
        <v>0</v>
      </c>
      <c r="S274" s="12">
        <v>0</v>
      </c>
      <c r="T274" s="12">
        <v>4</v>
      </c>
      <c r="U274" s="12" t="s">
        <v>62</v>
      </c>
      <c r="V274" s="12">
        <v>0</v>
      </c>
      <c r="W274" s="12">
        <v>94</v>
      </c>
      <c r="X274" s="12">
        <v>3</v>
      </c>
      <c r="Y274" s="12">
        <v>1</v>
      </c>
      <c r="Z274" s="12" t="s">
        <v>63</v>
      </c>
      <c r="AA274" s="12">
        <v>0</v>
      </c>
      <c r="AB274" s="12">
        <v>0</v>
      </c>
      <c r="AC274" s="12">
        <v>0</v>
      </c>
      <c r="AD274" s="12">
        <v>0</v>
      </c>
      <c r="AE274" s="12">
        <v>0</v>
      </c>
      <c r="AF274" s="12">
        <v>0</v>
      </c>
      <c r="AG274" s="12">
        <v>0</v>
      </c>
      <c r="AH274" s="12">
        <v>1</v>
      </c>
      <c r="AI274" s="12">
        <v>4</v>
      </c>
      <c r="AJ274" s="12" t="s">
        <v>64</v>
      </c>
      <c r="AK274" s="12">
        <v>0</v>
      </c>
      <c r="AL274" s="12">
        <v>1</v>
      </c>
      <c r="AM274" s="12">
        <v>2070</v>
      </c>
      <c r="AN274" s="12">
        <f t="shared" si="62"/>
        <v>2070</v>
      </c>
      <c r="AO274" s="12">
        <v>1</v>
      </c>
      <c r="AP274" s="12" t="s">
        <v>59</v>
      </c>
      <c r="AQ274" s="12">
        <v>0</v>
      </c>
      <c r="AR274" s="12">
        <v>23</v>
      </c>
      <c r="AS274" s="12">
        <v>4</v>
      </c>
      <c r="AT274" s="12">
        <v>4</v>
      </c>
      <c r="AU274" s="12">
        <v>1</v>
      </c>
      <c r="AV274" s="12">
        <v>5</v>
      </c>
      <c r="AW274" s="12">
        <f t="shared" si="63"/>
        <v>5</v>
      </c>
      <c r="AX274" s="12">
        <v>3</v>
      </c>
      <c r="AY274" s="12">
        <v>2</v>
      </c>
      <c r="AZ274" s="12">
        <v>5</v>
      </c>
      <c r="BA274" s="12">
        <f t="shared" si="64"/>
        <v>5</v>
      </c>
      <c r="BB274" s="12">
        <v>2</v>
      </c>
      <c r="BC274" s="12">
        <v>0</v>
      </c>
      <c r="BD274" s="12">
        <f t="shared" si="73"/>
        <v>0</v>
      </c>
      <c r="BE274" s="12">
        <v>4</v>
      </c>
      <c r="BF274" s="12">
        <f t="shared" si="65"/>
        <v>4</v>
      </c>
      <c r="BG274" s="12">
        <f t="shared" si="74"/>
        <v>4</v>
      </c>
      <c r="BH274" s="67">
        <v>0</v>
      </c>
      <c r="BI274" s="67">
        <v>1</v>
      </c>
      <c r="BJ274" s="67">
        <v>0</v>
      </c>
      <c r="BK274" s="67">
        <v>0</v>
      </c>
      <c r="BL274" s="67">
        <v>0</v>
      </c>
      <c r="BM274" s="67">
        <v>0</v>
      </c>
      <c r="BN274" s="67">
        <v>1</v>
      </c>
      <c r="BO274" s="67">
        <v>0</v>
      </c>
      <c r="BP274" s="67">
        <v>0</v>
      </c>
      <c r="BQ274" s="67">
        <v>4</v>
      </c>
      <c r="BR274" s="67">
        <v>0</v>
      </c>
      <c r="BS274" s="67">
        <v>0</v>
      </c>
      <c r="BT274" s="67">
        <v>5</v>
      </c>
      <c r="BU274" s="70">
        <v>0</v>
      </c>
      <c r="BV274" s="29">
        <f t="shared" si="66"/>
        <v>0.94158283449662195</v>
      </c>
      <c r="BW274">
        <f t="shared" si="67"/>
        <v>3.4508002929560584E-2</v>
      </c>
      <c r="BX274">
        <f t="shared" si="68"/>
        <v>0.80706439257840468</v>
      </c>
      <c r="BY274">
        <f t="shared" si="69"/>
        <v>0.32778177112653761</v>
      </c>
      <c r="BZ274">
        <f t="shared" si="70"/>
        <v>2.3747406698420157E-2</v>
      </c>
      <c r="CA274">
        <f t="shared" si="71"/>
        <v>0.97684123527310796</v>
      </c>
      <c r="CB274">
        <f t="shared" si="72"/>
        <v>0.67891464284095016</v>
      </c>
    </row>
    <row r="275" spans="1:80" x14ac:dyDescent="0.45">
      <c r="A275" s="11">
        <v>37</v>
      </c>
      <c r="B275" s="12">
        <f t="shared" si="60"/>
        <v>37</v>
      </c>
      <c r="C275" s="12" t="s">
        <v>59</v>
      </c>
      <c r="D275" s="12">
        <v>0</v>
      </c>
      <c r="E275" s="12" t="s">
        <v>53</v>
      </c>
      <c r="F275" s="12">
        <v>0</v>
      </c>
      <c r="G275" s="12">
        <v>1</v>
      </c>
      <c r="H275" s="12" t="s">
        <v>54</v>
      </c>
      <c r="I275" s="12">
        <v>0</v>
      </c>
      <c r="J275" s="12">
        <v>1</v>
      </c>
      <c r="K275" s="12">
        <v>6</v>
      </c>
      <c r="L275" s="12">
        <f t="shared" si="61"/>
        <v>6</v>
      </c>
      <c r="M275" s="12">
        <v>4</v>
      </c>
      <c r="N275" s="12" t="s">
        <v>70</v>
      </c>
      <c r="O275" s="12">
        <v>0</v>
      </c>
      <c r="P275" s="12">
        <v>0</v>
      </c>
      <c r="Q275" s="12">
        <v>1</v>
      </c>
      <c r="R275" s="12">
        <v>0</v>
      </c>
      <c r="S275" s="12">
        <v>0</v>
      </c>
      <c r="T275" s="12">
        <v>3</v>
      </c>
      <c r="U275" s="12" t="s">
        <v>62</v>
      </c>
      <c r="V275" s="12">
        <v>0</v>
      </c>
      <c r="W275" s="12">
        <v>98</v>
      </c>
      <c r="X275" s="12">
        <v>3</v>
      </c>
      <c r="Y275" s="12">
        <v>2</v>
      </c>
      <c r="Z275" s="12" t="s">
        <v>56</v>
      </c>
      <c r="AA275" s="12">
        <v>0</v>
      </c>
      <c r="AB275" s="12">
        <v>1</v>
      </c>
      <c r="AC275" s="12">
        <v>0</v>
      </c>
      <c r="AD275" s="12">
        <v>0</v>
      </c>
      <c r="AE275" s="12">
        <v>0</v>
      </c>
      <c r="AF275" s="12">
        <v>0</v>
      </c>
      <c r="AG275" s="12">
        <v>0</v>
      </c>
      <c r="AH275" s="12">
        <v>0</v>
      </c>
      <c r="AI275" s="12">
        <v>4</v>
      </c>
      <c r="AJ275" s="12" t="s">
        <v>64</v>
      </c>
      <c r="AK275" s="12">
        <v>0</v>
      </c>
      <c r="AL275" s="12">
        <v>1</v>
      </c>
      <c r="AM275" s="12">
        <v>6502</v>
      </c>
      <c r="AN275" s="12">
        <f t="shared" si="62"/>
        <v>6502</v>
      </c>
      <c r="AO275" s="12">
        <v>4</v>
      </c>
      <c r="AP275" s="12" t="s">
        <v>59</v>
      </c>
      <c r="AQ275" s="12">
        <v>0</v>
      </c>
      <c r="AR275" s="12">
        <v>14</v>
      </c>
      <c r="AS275" s="12">
        <v>3</v>
      </c>
      <c r="AT275" s="12">
        <v>2</v>
      </c>
      <c r="AU275" s="12">
        <v>1</v>
      </c>
      <c r="AV275" s="12">
        <v>7</v>
      </c>
      <c r="AW275" s="12">
        <f t="shared" si="63"/>
        <v>7</v>
      </c>
      <c r="AX275" s="12">
        <v>5</v>
      </c>
      <c r="AY275" s="12">
        <v>4</v>
      </c>
      <c r="AZ275" s="12">
        <v>5</v>
      </c>
      <c r="BA275" s="12">
        <f t="shared" si="64"/>
        <v>5</v>
      </c>
      <c r="BB275" s="12">
        <v>4</v>
      </c>
      <c r="BC275" s="12">
        <v>0</v>
      </c>
      <c r="BD275" s="12">
        <f t="shared" si="73"/>
        <v>0</v>
      </c>
      <c r="BE275" s="12">
        <v>1</v>
      </c>
      <c r="BF275" s="12">
        <f t="shared" si="65"/>
        <v>1</v>
      </c>
      <c r="BG275" s="12">
        <f t="shared" si="74"/>
        <v>2</v>
      </c>
      <c r="BH275" s="67">
        <v>0</v>
      </c>
      <c r="BI275" s="67">
        <v>1</v>
      </c>
      <c r="BJ275" s="67">
        <v>0</v>
      </c>
      <c r="BK275" s="67">
        <v>0</v>
      </c>
      <c r="BL275" s="67">
        <v>0</v>
      </c>
      <c r="BM275" s="67">
        <v>0</v>
      </c>
      <c r="BN275" s="67">
        <v>1</v>
      </c>
      <c r="BO275" s="67">
        <v>0</v>
      </c>
      <c r="BP275" s="67">
        <v>0</v>
      </c>
      <c r="BQ275" s="67">
        <v>0</v>
      </c>
      <c r="BR275" s="67">
        <v>1</v>
      </c>
      <c r="BS275" s="67">
        <v>0</v>
      </c>
      <c r="BT275" s="67">
        <v>0</v>
      </c>
      <c r="BU275" s="70">
        <v>7</v>
      </c>
      <c r="BV275" s="29">
        <f t="shared" si="66"/>
        <v>1.9781246088546319E-4</v>
      </c>
      <c r="BW275">
        <f t="shared" si="67"/>
        <v>0.87528310193156111</v>
      </c>
      <c r="BX275">
        <f t="shared" si="68"/>
        <v>0.55002080963175637</v>
      </c>
      <c r="BY275">
        <f t="shared" si="69"/>
        <v>0.32778177112653761</v>
      </c>
      <c r="BZ275">
        <f t="shared" si="70"/>
        <v>0.39380416832397891</v>
      </c>
      <c r="CA275">
        <f t="shared" si="71"/>
        <v>8.3401599596422994E-3</v>
      </c>
      <c r="CB275">
        <f t="shared" si="72"/>
        <v>0.67891464284095016</v>
      </c>
    </row>
    <row r="276" spans="1:80" x14ac:dyDescent="0.45">
      <c r="A276" s="11">
        <v>21</v>
      </c>
      <c r="B276" s="12">
        <f t="shared" si="60"/>
        <v>21</v>
      </c>
      <c r="C276" s="12" t="s">
        <v>59</v>
      </c>
      <c r="D276" s="12">
        <v>0</v>
      </c>
      <c r="E276" s="12" t="s">
        <v>53</v>
      </c>
      <c r="F276" s="12">
        <v>0</v>
      </c>
      <c r="G276" s="12">
        <v>1</v>
      </c>
      <c r="H276" s="12" t="s">
        <v>61</v>
      </c>
      <c r="I276" s="12">
        <v>1</v>
      </c>
      <c r="J276" s="12">
        <v>0</v>
      </c>
      <c r="K276" s="12">
        <v>3</v>
      </c>
      <c r="L276" s="12">
        <f t="shared" si="61"/>
        <v>3</v>
      </c>
      <c r="M276" s="12">
        <v>2</v>
      </c>
      <c r="N276" s="12" t="s">
        <v>70</v>
      </c>
      <c r="O276" s="12">
        <v>0</v>
      </c>
      <c r="P276" s="12">
        <v>0</v>
      </c>
      <c r="Q276" s="12">
        <v>1</v>
      </c>
      <c r="R276" s="12">
        <v>0</v>
      </c>
      <c r="S276" s="12">
        <v>0</v>
      </c>
      <c r="T276" s="12">
        <v>4</v>
      </c>
      <c r="U276" s="12" t="s">
        <v>62</v>
      </c>
      <c r="V276" s="12">
        <v>0</v>
      </c>
      <c r="W276" s="12">
        <v>100</v>
      </c>
      <c r="X276" s="12">
        <v>2</v>
      </c>
      <c r="Y276" s="12">
        <v>1</v>
      </c>
      <c r="Z276" s="12" t="s">
        <v>63</v>
      </c>
      <c r="AA276" s="12">
        <v>0</v>
      </c>
      <c r="AB276" s="12">
        <v>0</v>
      </c>
      <c r="AC276" s="12">
        <v>0</v>
      </c>
      <c r="AD276" s="12">
        <v>0</v>
      </c>
      <c r="AE276" s="12">
        <v>0</v>
      </c>
      <c r="AF276" s="12">
        <v>0</v>
      </c>
      <c r="AG276" s="12">
        <v>0</v>
      </c>
      <c r="AH276" s="12">
        <v>1</v>
      </c>
      <c r="AI276" s="12">
        <v>3</v>
      </c>
      <c r="AJ276" s="12" t="s">
        <v>57</v>
      </c>
      <c r="AK276" s="12">
        <v>1</v>
      </c>
      <c r="AL276" s="12">
        <v>0</v>
      </c>
      <c r="AM276" s="12">
        <v>3230</v>
      </c>
      <c r="AN276" s="12">
        <f t="shared" si="62"/>
        <v>3230</v>
      </c>
      <c r="AO276" s="12">
        <v>1</v>
      </c>
      <c r="AP276" s="12" t="s">
        <v>59</v>
      </c>
      <c r="AQ276" s="12">
        <v>0</v>
      </c>
      <c r="AR276" s="12">
        <v>17</v>
      </c>
      <c r="AS276" s="12">
        <v>3</v>
      </c>
      <c r="AT276" s="12">
        <v>1</v>
      </c>
      <c r="AU276" s="12">
        <v>0</v>
      </c>
      <c r="AV276" s="12">
        <v>3</v>
      </c>
      <c r="AW276" s="12">
        <f t="shared" si="63"/>
        <v>3</v>
      </c>
      <c r="AX276" s="12">
        <v>4</v>
      </c>
      <c r="AY276" s="12">
        <v>4</v>
      </c>
      <c r="AZ276" s="12">
        <v>3</v>
      </c>
      <c r="BA276" s="12">
        <f t="shared" si="64"/>
        <v>3</v>
      </c>
      <c r="BB276" s="12">
        <v>2</v>
      </c>
      <c r="BC276" s="12">
        <v>1</v>
      </c>
      <c r="BD276" s="12">
        <f t="shared" si="73"/>
        <v>1</v>
      </c>
      <c r="BE276" s="12">
        <v>0</v>
      </c>
      <c r="BF276" s="12">
        <f t="shared" si="65"/>
        <v>0</v>
      </c>
      <c r="BG276" s="12">
        <f t="shared" si="74"/>
        <v>0</v>
      </c>
      <c r="BH276" s="67">
        <v>1</v>
      </c>
      <c r="BI276" s="67">
        <v>0</v>
      </c>
      <c r="BJ276" s="67">
        <v>0</v>
      </c>
      <c r="BK276" s="67">
        <v>0</v>
      </c>
      <c r="BL276" s="67">
        <v>1</v>
      </c>
      <c r="BM276" s="67">
        <v>0</v>
      </c>
      <c r="BN276" s="67">
        <v>0</v>
      </c>
      <c r="BO276" s="67">
        <v>0</v>
      </c>
      <c r="BP276" s="67">
        <v>0</v>
      </c>
      <c r="BQ276" s="67">
        <v>0</v>
      </c>
      <c r="BR276" s="67">
        <v>0</v>
      </c>
      <c r="BS276" s="67">
        <v>0</v>
      </c>
      <c r="BT276" s="67">
        <v>3</v>
      </c>
      <c r="BU276" s="70">
        <v>0</v>
      </c>
      <c r="BV276" s="29">
        <f t="shared" si="66"/>
        <v>0.6951914478627198</v>
      </c>
      <c r="BW276">
        <f t="shared" si="67"/>
        <v>1.1555414682655611</v>
      </c>
      <c r="BX276">
        <f t="shared" si="68"/>
        <v>1.0641079755250529</v>
      </c>
      <c r="BY276">
        <f t="shared" si="69"/>
        <v>0.65423109602898355</v>
      </c>
      <c r="BZ276">
        <f t="shared" si="70"/>
        <v>0.76386092994953758</v>
      </c>
      <c r="CA276">
        <f t="shared" si="71"/>
        <v>1.7430934315652469</v>
      </c>
      <c r="CB276">
        <f t="shared" si="72"/>
        <v>0.36858985273641137</v>
      </c>
    </row>
    <row r="277" spans="1:80" x14ac:dyDescent="0.45">
      <c r="A277" s="11">
        <v>37</v>
      </c>
      <c r="B277" s="12">
        <f t="shared" si="60"/>
        <v>37</v>
      </c>
      <c r="C277" s="12" t="s">
        <v>59</v>
      </c>
      <c r="D277" s="12">
        <v>0</v>
      </c>
      <c r="E277" s="12" t="s">
        <v>86</v>
      </c>
      <c r="F277" s="12">
        <v>0</v>
      </c>
      <c r="G277" s="12">
        <v>0</v>
      </c>
      <c r="H277" s="12" t="s">
        <v>61</v>
      </c>
      <c r="I277" s="12">
        <v>1</v>
      </c>
      <c r="J277" s="12">
        <v>0</v>
      </c>
      <c r="K277" s="12">
        <v>1</v>
      </c>
      <c r="L277" s="12">
        <f t="shared" si="61"/>
        <v>1</v>
      </c>
      <c r="M277" s="12">
        <v>4</v>
      </c>
      <c r="N277" s="12" t="s">
        <v>70</v>
      </c>
      <c r="O277" s="12">
        <v>0</v>
      </c>
      <c r="P277" s="12">
        <v>0</v>
      </c>
      <c r="Q277" s="12">
        <v>1</v>
      </c>
      <c r="R277" s="12">
        <v>0</v>
      </c>
      <c r="S277" s="12">
        <v>0</v>
      </c>
      <c r="T277" s="12">
        <v>1</v>
      </c>
      <c r="U277" s="12" t="s">
        <v>19</v>
      </c>
      <c r="V277" s="12">
        <v>1</v>
      </c>
      <c r="W277" s="12">
        <v>80</v>
      </c>
      <c r="X277" s="12">
        <v>3</v>
      </c>
      <c r="Y277" s="12">
        <v>3</v>
      </c>
      <c r="Z277" s="12" t="s">
        <v>89</v>
      </c>
      <c r="AA277" s="12">
        <v>0</v>
      </c>
      <c r="AB277" s="12">
        <v>0</v>
      </c>
      <c r="AC277" s="12">
        <v>0</v>
      </c>
      <c r="AD277" s="12">
        <v>0</v>
      </c>
      <c r="AE277" s="12">
        <v>0</v>
      </c>
      <c r="AF277" s="12">
        <v>0</v>
      </c>
      <c r="AG277" s="12">
        <v>0</v>
      </c>
      <c r="AH277" s="12">
        <v>0</v>
      </c>
      <c r="AI277" s="12">
        <v>4</v>
      </c>
      <c r="AJ277" s="12" t="s">
        <v>78</v>
      </c>
      <c r="AK277" s="12">
        <v>0</v>
      </c>
      <c r="AL277" s="12">
        <v>0</v>
      </c>
      <c r="AM277" s="12">
        <v>13603</v>
      </c>
      <c r="AN277" s="12">
        <f t="shared" si="62"/>
        <v>13603</v>
      </c>
      <c r="AO277" s="12">
        <v>2</v>
      </c>
      <c r="AP277" s="12" t="s">
        <v>52</v>
      </c>
      <c r="AQ277" s="12">
        <v>1</v>
      </c>
      <c r="AR277" s="12">
        <v>18</v>
      </c>
      <c r="AS277" s="12">
        <v>3</v>
      </c>
      <c r="AT277" s="12">
        <v>1</v>
      </c>
      <c r="AU277" s="12">
        <v>2</v>
      </c>
      <c r="AV277" s="12">
        <v>15</v>
      </c>
      <c r="AW277" s="12">
        <f t="shared" si="63"/>
        <v>15</v>
      </c>
      <c r="AX277" s="12">
        <v>2</v>
      </c>
      <c r="AY277" s="12">
        <v>3</v>
      </c>
      <c r="AZ277" s="12">
        <v>5</v>
      </c>
      <c r="BA277" s="12">
        <f t="shared" si="64"/>
        <v>5</v>
      </c>
      <c r="BB277" s="12">
        <v>2</v>
      </c>
      <c r="BC277" s="12">
        <v>0</v>
      </c>
      <c r="BD277" s="12">
        <f t="shared" si="73"/>
        <v>0</v>
      </c>
      <c r="BE277" s="12">
        <v>2</v>
      </c>
      <c r="BF277" s="12">
        <f t="shared" si="65"/>
        <v>2</v>
      </c>
      <c r="BG277" s="12">
        <f t="shared" si="74"/>
        <v>6</v>
      </c>
      <c r="BH277" s="67">
        <v>1</v>
      </c>
      <c r="BI277" s="67">
        <v>0</v>
      </c>
      <c r="BJ277" s="67">
        <v>0</v>
      </c>
      <c r="BK277" s="67">
        <v>0</v>
      </c>
      <c r="BL277" s="67">
        <v>0</v>
      </c>
      <c r="BM277" s="67">
        <v>1</v>
      </c>
      <c r="BN277" s="67">
        <v>0</v>
      </c>
      <c r="BO277" s="67">
        <v>0</v>
      </c>
      <c r="BP277" s="67">
        <v>0</v>
      </c>
      <c r="BQ277" s="67">
        <v>2</v>
      </c>
      <c r="BR277" s="67">
        <v>0</v>
      </c>
      <c r="BS277" s="67">
        <v>0</v>
      </c>
      <c r="BT277" s="67">
        <v>15</v>
      </c>
      <c r="BU277" s="70">
        <v>0</v>
      </c>
      <c r="BV277" s="29">
        <f t="shared" si="66"/>
        <v>1.5080998052006138</v>
      </c>
      <c r="BW277">
        <f t="shared" si="67"/>
        <v>0.59502473559756086</v>
      </c>
      <c r="BX277">
        <f t="shared" si="68"/>
        <v>0.47815352215483642</v>
      </c>
      <c r="BY277">
        <f t="shared" si="69"/>
        <v>0.32778177112653761</v>
      </c>
      <c r="BZ277">
        <f t="shared" si="70"/>
        <v>1.01056543769991</v>
      </c>
      <c r="CA277">
        <f t="shared" si="71"/>
        <v>8.3401599596422994E-3</v>
      </c>
      <c r="CB277">
        <f t="shared" si="72"/>
        <v>0.67891464284095016</v>
      </c>
    </row>
    <row r="278" spans="1:80" x14ac:dyDescent="0.45">
      <c r="A278" s="11">
        <v>35</v>
      </c>
      <c r="B278" s="12">
        <f t="shared" si="60"/>
        <v>35</v>
      </c>
      <c r="C278" s="12" t="s">
        <v>59</v>
      </c>
      <c r="D278" s="12">
        <v>0</v>
      </c>
      <c r="E278" s="12" t="s">
        <v>53</v>
      </c>
      <c r="F278" s="12">
        <v>0</v>
      </c>
      <c r="G278" s="12">
        <v>1</v>
      </c>
      <c r="H278" s="12" t="s">
        <v>61</v>
      </c>
      <c r="I278" s="12">
        <v>1</v>
      </c>
      <c r="J278" s="12">
        <v>0</v>
      </c>
      <c r="K278" s="12">
        <v>22</v>
      </c>
      <c r="L278" s="12">
        <f t="shared" si="61"/>
        <v>22</v>
      </c>
      <c r="M278" s="12">
        <v>3</v>
      </c>
      <c r="N278" s="12" t="s">
        <v>55</v>
      </c>
      <c r="O278" s="12">
        <v>1</v>
      </c>
      <c r="P278" s="12">
        <v>0</v>
      </c>
      <c r="Q278" s="12">
        <v>0</v>
      </c>
      <c r="R278" s="12">
        <v>0</v>
      </c>
      <c r="S278" s="12">
        <v>0</v>
      </c>
      <c r="T278" s="12">
        <v>2</v>
      </c>
      <c r="U278" s="12" t="s">
        <v>19</v>
      </c>
      <c r="V278" s="12">
        <v>1</v>
      </c>
      <c r="W278" s="12">
        <v>71</v>
      </c>
      <c r="X278" s="12">
        <v>4</v>
      </c>
      <c r="Y278" s="12">
        <v>3</v>
      </c>
      <c r="Z278" s="12" t="s">
        <v>87</v>
      </c>
      <c r="AA278" s="12">
        <v>0</v>
      </c>
      <c r="AB278" s="12">
        <v>0</v>
      </c>
      <c r="AC278" s="12">
        <v>0</v>
      </c>
      <c r="AD278" s="12">
        <v>1</v>
      </c>
      <c r="AE278" s="12">
        <v>0</v>
      </c>
      <c r="AF278" s="12">
        <v>0</v>
      </c>
      <c r="AG278" s="12">
        <v>0</v>
      </c>
      <c r="AH278" s="12">
        <v>0</v>
      </c>
      <c r="AI278" s="12">
        <v>2</v>
      </c>
      <c r="AJ278" s="12" t="s">
        <v>78</v>
      </c>
      <c r="AK278" s="12">
        <v>0</v>
      </c>
      <c r="AL278" s="12">
        <v>0</v>
      </c>
      <c r="AM278" s="12">
        <v>11996</v>
      </c>
      <c r="AN278" s="12">
        <f t="shared" si="62"/>
        <v>11996</v>
      </c>
      <c r="AO278" s="12">
        <v>7</v>
      </c>
      <c r="AP278" s="12" t="s">
        <v>59</v>
      </c>
      <c r="AQ278" s="12">
        <v>0</v>
      </c>
      <c r="AR278" s="12">
        <v>18</v>
      </c>
      <c r="AS278" s="12">
        <v>3</v>
      </c>
      <c r="AT278" s="12">
        <v>2</v>
      </c>
      <c r="AU278" s="12">
        <v>1</v>
      </c>
      <c r="AV278" s="12">
        <v>10</v>
      </c>
      <c r="AW278" s="12">
        <f t="shared" si="63"/>
        <v>10</v>
      </c>
      <c r="AX278" s="12">
        <v>6</v>
      </c>
      <c r="AY278" s="12">
        <v>2</v>
      </c>
      <c r="AZ278" s="12">
        <v>7</v>
      </c>
      <c r="BA278" s="12">
        <f t="shared" si="64"/>
        <v>7</v>
      </c>
      <c r="BB278" s="12">
        <v>7</v>
      </c>
      <c r="BC278" s="12">
        <v>6</v>
      </c>
      <c r="BD278" s="12">
        <f t="shared" si="73"/>
        <v>6</v>
      </c>
      <c r="BE278" s="12">
        <v>2</v>
      </c>
      <c r="BF278" s="12">
        <f t="shared" si="65"/>
        <v>2</v>
      </c>
      <c r="BG278" s="12">
        <f t="shared" si="74"/>
        <v>6</v>
      </c>
      <c r="BH278" s="67">
        <v>1</v>
      </c>
      <c r="BI278" s="67">
        <v>0</v>
      </c>
      <c r="BJ278" s="67">
        <v>0</v>
      </c>
      <c r="BK278" s="67">
        <v>0</v>
      </c>
      <c r="BL278" s="67">
        <v>1</v>
      </c>
      <c r="BM278" s="67">
        <v>0</v>
      </c>
      <c r="BN278" s="67">
        <v>0</v>
      </c>
      <c r="BO278" s="67">
        <v>0</v>
      </c>
      <c r="BP278" s="67">
        <v>0</v>
      </c>
      <c r="BQ278" s="67">
        <v>2</v>
      </c>
      <c r="BR278" s="67">
        <v>0</v>
      </c>
      <c r="BS278" s="67">
        <v>0</v>
      </c>
      <c r="BT278" s="67">
        <v>10</v>
      </c>
      <c r="BU278" s="70">
        <v>0</v>
      </c>
      <c r="BV278" s="29">
        <f t="shared" si="66"/>
        <v>1.1667627721655442</v>
      </c>
      <c r="BW278">
        <f t="shared" si="67"/>
        <v>0.59502473559756086</v>
      </c>
      <c r="BX278">
        <f t="shared" si="68"/>
        <v>0.1644554352117841</v>
      </c>
      <c r="BY278">
        <f t="shared" si="69"/>
        <v>1.3324462240916321E-3</v>
      </c>
      <c r="BZ278">
        <f t="shared" si="70"/>
        <v>1.579831893679001</v>
      </c>
      <c r="CA278">
        <f t="shared" si="71"/>
        <v>0.21058903898096887</v>
      </c>
      <c r="CB278">
        <f t="shared" si="72"/>
        <v>1.1830340977862825</v>
      </c>
    </row>
    <row r="279" spans="1:80" x14ac:dyDescent="0.45">
      <c r="A279" s="11">
        <v>38</v>
      </c>
      <c r="B279" s="12">
        <f t="shared" si="60"/>
        <v>38</v>
      </c>
      <c r="C279" s="12" t="s">
        <v>59</v>
      </c>
      <c r="D279" s="12">
        <v>0</v>
      </c>
      <c r="E279" s="12" t="s">
        <v>53</v>
      </c>
      <c r="F279" s="12">
        <v>0</v>
      </c>
      <c r="G279" s="12">
        <v>1</v>
      </c>
      <c r="H279" s="12" t="s">
        <v>54</v>
      </c>
      <c r="I279" s="12">
        <v>0</v>
      </c>
      <c r="J279" s="12">
        <v>1</v>
      </c>
      <c r="K279" s="12">
        <v>7</v>
      </c>
      <c r="L279" s="12">
        <f t="shared" si="61"/>
        <v>7</v>
      </c>
      <c r="M279" s="12">
        <v>2</v>
      </c>
      <c r="N279" s="12" t="s">
        <v>70</v>
      </c>
      <c r="O279" s="12">
        <v>0</v>
      </c>
      <c r="P279" s="12">
        <v>0</v>
      </c>
      <c r="Q279" s="12">
        <v>1</v>
      </c>
      <c r="R279" s="12">
        <v>0</v>
      </c>
      <c r="S279" s="12">
        <v>0</v>
      </c>
      <c r="T279" s="12">
        <v>1</v>
      </c>
      <c r="U279" s="12" t="s">
        <v>19</v>
      </c>
      <c r="V279" s="12">
        <v>1</v>
      </c>
      <c r="W279" s="12">
        <v>44</v>
      </c>
      <c r="X279" s="12">
        <v>4</v>
      </c>
      <c r="Y279" s="12">
        <v>2</v>
      </c>
      <c r="Z279" s="12" t="s">
        <v>56</v>
      </c>
      <c r="AA279" s="12">
        <v>0</v>
      </c>
      <c r="AB279" s="12">
        <v>1</v>
      </c>
      <c r="AC279" s="12">
        <v>0</v>
      </c>
      <c r="AD279" s="12">
        <v>0</v>
      </c>
      <c r="AE279" s="12">
        <v>0</v>
      </c>
      <c r="AF279" s="12">
        <v>0</v>
      </c>
      <c r="AG279" s="12">
        <v>0</v>
      </c>
      <c r="AH279" s="12">
        <v>0</v>
      </c>
      <c r="AI279" s="12">
        <v>1</v>
      </c>
      <c r="AJ279" s="12" t="s">
        <v>78</v>
      </c>
      <c r="AK279" s="12">
        <v>0</v>
      </c>
      <c r="AL279" s="12">
        <v>0</v>
      </c>
      <c r="AM279" s="12">
        <v>5605</v>
      </c>
      <c r="AN279" s="12">
        <f t="shared" si="62"/>
        <v>5605</v>
      </c>
      <c r="AO279" s="12">
        <v>1</v>
      </c>
      <c r="AP279" s="12" t="s">
        <v>52</v>
      </c>
      <c r="AQ279" s="12">
        <v>1</v>
      </c>
      <c r="AR279" s="12">
        <v>24</v>
      </c>
      <c r="AS279" s="12">
        <v>4</v>
      </c>
      <c r="AT279" s="12">
        <v>3</v>
      </c>
      <c r="AU279" s="12">
        <v>1</v>
      </c>
      <c r="AV279" s="12">
        <v>8</v>
      </c>
      <c r="AW279" s="12">
        <f t="shared" si="63"/>
        <v>8</v>
      </c>
      <c r="AX279" s="12">
        <v>3</v>
      </c>
      <c r="AY279" s="12">
        <v>3</v>
      </c>
      <c r="AZ279" s="12">
        <v>8</v>
      </c>
      <c r="BA279" s="12">
        <f t="shared" si="64"/>
        <v>8</v>
      </c>
      <c r="BB279" s="12">
        <v>0</v>
      </c>
      <c r="BC279" s="12">
        <v>7</v>
      </c>
      <c r="BD279" s="12">
        <f t="shared" si="73"/>
        <v>7</v>
      </c>
      <c r="BE279" s="12">
        <v>7</v>
      </c>
      <c r="BF279" s="12">
        <f t="shared" si="65"/>
        <v>7</v>
      </c>
      <c r="BG279" s="12">
        <f t="shared" si="74"/>
        <v>14</v>
      </c>
      <c r="BH279" s="67">
        <v>1</v>
      </c>
      <c r="BI279" s="67">
        <v>0</v>
      </c>
      <c r="BJ279" s="67">
        <v>0</v>
      </c>
      <c r="BK279" s="67">
        <v>0</v>
      </c>
      <c r="BL279" s="67">
        <v>0</v>
      </c>
      <c r="BM279" s="67">
        <v>1</v>
      </c>
      <c r="BN279" s="67">
        <v>0</v>
      </c>
      <c r="BO279" s="67">
        <v>0</v>
      </c>
      <c r="BP279" s="67">
        <v>0</v>
      </c>
      <c r="BQ279" s="67">
        <v>0</v>
      </c>
      <c r="BR279" s="67">
        <v>7</v>
      </c>
      <c r="BS279" s="67">
        <v>0</v>
      </c>
      <c r="BT279" s="67">
        <v>0</v>
      </c>
      <c r="BU279" s="70">
        <v>8</v>
      </c>
      <c r="BV279" s="29">
        <f t="shared" si="66"/>
        <v>0.19072632436658393</v>
      </c>
      <c r="BW279">
        <f t="shared" si="67"/>
        <v>0.80626709607243985</v>
      </c>
      <c r="BX279">
        <f t="shared" si="68"/>
        <v>0.42149901815843233</v>
      </c>
      <c r="BY279">
        <f t="shared" si="69"/>
        <v>0.16189221622713135</v>
      </c>
      <c r="BZ279">
        <f t="shared" si="70"/>
        <v>0.27045191444879263</v>
      </c>
      <c r="CA279">
        <f t="shared" si="71"/>
        <v>0.11780475942994788</v>
      </c>
      <c r="CB279">
        <f t="shared" si="72"/>
        <v>1.4933588878908215</v>
      </c>
    </row>
    <row r="280" spans="1:80" x14ac:dyDescent="0.45">
      <c r="A280" s="11">
        <v>26</v>
      </c>
      <c r="B280" s="12">
        <f t="shared" si="60"/>
        <v>26</v>
      </c>
      <c r="C280" s="12" t="s">
        <v>59</v>
      </c>
      <c r="D280" s="12">
        <v>0</v>
      </c>
      <c r="E280" s="12" t="s">
        <v>60</v>
      </c>
      <c r="F280" s="12">
        <v>1</v>
      </c>
      <c r="G280" s="12">
        <v>0</v>
      </c>
      <c r="H280" s="12" t="s">
        <v>61</v>
      </c>
      <c r="I280" s="12">
        <v>1</v>
      </c>
      <c r="J280" s="12">
        <v>0</v>
      </c>
      <c r="K280" s="12">
        <v>1</v>
      </c>
      <c r="L280" s="12">
        <f t="shared" si="61"/>
        <v>1</v>
      </c>
      <c r="M280" s="12">
        <v>3</v>
      </c>
      <c r="N280" s="12" t="s">
        <v>55</v>
      </c>
      <c r="O280" s="12">
        <v>1</v>
      </c>
      <c r="P280" s="12">
        <v>0</v>
      </c>
      <c r="Q280" s="12">
        <v>0</v>
      </c>
      <c r="R280" s="12">
        <v>0</v>
      </c>
      <c r="S280" s="12">
        <v>0</v>
      </c>
      <c r="T280" s="12">
        <v>3</v>
      </c>
      <c r="U280" s="12" t="s">
        <v>19</v>
      </c>
      <c r="V280" s="12">
        <v>1</v>
      </c>
      <c r="W280" s="12">
        <v>84</v>
      </c>
      <c r="X280" s="12">
        <v>3</v>
      </c>
      <c r="Y280" s="12">
        <v>2</v>
      </c>
      <c r="Z280" s="12" t="s">
        <v>83</v>
      </c>
      <c r="AA280" s="12">
        <v>0</v>
      </c>
      <c r="AB280" s="12">
        <v>0</v>
      </c>
      <c r="AC280" s="12">
        <v>0</v>
      </c>
      <c r="AD280" s="12">
        <v>0</v>
      </c>
      <c r="AE280" s="12">
        <v>1</v>
      </c>
      <c r="AF280" s="12">
        <v>1</v>
      </c>
      <c r="AG280" s="12">
        <v>0</v>
      </c>
      <c r="AH280" s="12">
        <v>0</v>
      </c>
      <c r="AI280" s="12">
        <v>2</v>
      </c>
      <c r="AJ280" s="12" t="s">
        <v>78</v>
      </c>
      <c r="AK280" s="12">
        <v>0</v>
      </c>
      <c r="AL280" s="12">
        <v>0</v>
      </c>
      <c r="AM280" s="12">
        <v>6397</v>
      </c>
      <c r="AN280" s="12">
        <f t="shared" si="62"/>
        <v>6397</v>
      </c>
      <c r="AO280" s="12">
        <v>1</v>
      </c>
      <c r="AP280" s="12" t="s">
        <v>59</v>
      </c>
      <c r="AQ280" s="12">
        <v>0</v>
      </c>
      <c r="AR280" s="12">
        <v>20</v>
      </c>
      <c r="AS280" s="12">
        <v>4</v>
      </c>
      <c r="AT280" s="12">
        <v>1</v>
      </c>
      <c r="AU280" s="12">
        <v>1</v>
      </c>
      <c r="AV280" s="12">
        <v>6</v>
      </c>
      <c r="AW280" s="12">
        <f t="shared" si="63"/>
        <v>6</v>
      </c>
      <c r="AX280" s="12">
        <v>6</v>
      </c>
      <c r="AY280" s="12">
        <v>1</v>
      </c>
      <c r="AZ280" s="12">
        <v>6</v>
      </c>
      <c r="BA280" s="12">
        <f t="shared" si="64"/>
        <v>6</v>
      </c>
      <c r="BB280" s="12">
        <v>5</v>
      </c>
      <c r="BC280" s="12">
        <v>1</v>
      </c>
      <c r="BD280" s="12">
        <f t="shared" si="73"/>
        <v>1</v>
      </c>
      <c r="BE280" s="12">
        <v>4</v>
      </c>
      <c r="BF280" s="12">
        <f t="shared" si="65"/>
        <v>4</v>
      </c>
      <c r="BG280" s="12">
        <f t="shared" si="74"/>
        <v>8</v>
      </c>
      <c r="BH280" s="67">
        <v>0</v>
      </c>
      <c r="BI280" s="67">
        <v>0</v>
      </c>
      <c r="BJ280" s="67">
        <v>1</v>
      </c>
      <c r="BK280" s="67">
        <v>0</v>
      </c>
      <c r="BL280" s="67">
        <v>1</v>
      </c>
      <c r="BM280" s="67">
        <v>0</v>
      </c>
      <c r="BN280" s="67">
        <v>0</v>
      </c>
      <c r="BO280" s="67">
        <v>0</v>
      </c>
      <c r="BP280" s="67">
        <v>0</v>
      </c>
      <c r="BQ280" s="67">
        <v>4</v>
      </c>
      <c r="BR280" s="67">
        <v>0</v>
      </c>
      <c r="BS280" s="67">
        <v>0</v>
      </c>
      <c r="BT280" s="67">
        <v>6</v>
      </c>
      <c r="BU280" s="70">
        <v>0</v>
      </c>
      <c r="BV280" s="29">
        <f t="shared" si="66"/>
        <v>2.2500481078609365E-2</v>
      </c>
      <c r="BW280">
        <f t="shared" si="67"/>
        <v>3.4508002929560584E-2</v>
      </c>
      <c r="BX280">
        <f t="shared" si="68"/>
        <v>0.67854260110508058</v>
      </c>
      <c r="BY280">
        <f t="shared" si="69"/>
        <v>0.16455710867531462</v>
      </c>
      <c r="BZ280">
        <f t="shared" si="70"/>
        <v>1.01056543769991</v>
      </c>
      <c r="CA280">
        <f t="shared" si="71"/>
        <v>1.195770434213719</v>
      </c>
      <c r="CB280">
        <f t="shared" si="72"/>
        <v>0.36858985273641137</v>
      </c>
    </row>
    <row r="281" spans="1:80" x14ac:dyDescent="0.45">
      <c r="A281" s="11">
        <v>50</v>
      </c>
      <c r="B281" s="12">
        <f t="shared" si="60"/>
        <v>50</v>
      </c>
      <c r="C281" s="12" t="s">
        <v>59</v>
      </c>
      <c r="D281" s="12">
        <v>0</v>
      </c>
      <c r="E281" s="12" t="s">
        <v>53</v>
      </c>
      <c r="F281" s="12">
        <v>0</v>
      </c>
      <c r="G281" s="12">
        <v>1</v>
      </c>
      <c r="H281" s="12" t="s">
        <v>61</v>
      </c>
      <c r="I281" s="12">
        <v>1</v>
      </c>
      <c r="J281" s="12">
        <v>0</v>
      </c>
      <c r="K281" s="12">
        <v>4</v>
      </c>
      <c r="L281" s="12">
        <f t="shared" si="61"/>
        <v>4</v>
      </c>
      <c r="M281" s="12">
        <v>1</v>
      </c>
      <c r="N281" s="12" t="s">
        <v>55</v>
      </c>
      <c r="O281" s="12">
        <v>1</v>
      </c>
      <c r="P281" s="12">
        <v>0</v>
      </c>
      <c r="Q281" s="12">
        <v>0</v>
      </c>
      <c r="R281" s="12">
        <v>0</v>
      </c>
      <c r="S281" s="12">
        <v>0</v>
      </c>
      <c r="T281" s="12">
        <v>1</v>
      </c>
      <c r="U281" s="12" t="s">
        <v>62</v>
      </c>
      <c r="V281" s="12">
        <v>0</v>
      </c>
      <c r="W281" s="12">
        <v>96</v>
      </c>
      <c r="X281" s="12">
        <v>3</v>
      </c>
      <c r="Y281" s="12">
        <v>5</v>
      </c>
      <c r="Z281" s="12" t="s">
        <v>89</v>
      </c>
      <c r="AA281" s="12">
        <v>0</v>
      </c>
      <c r="AB281" s="12">
        <v>0</v>
      </c>
      <c r="AC281" s="12">
        <v>0</v>
      </c>
      <c r="AD281" s="12">
        <v>0</v>
      </c>
      <c r="AE281" s="12">
        <v>0</v>
      </c>
      <c r="AF281" s="12">
        <v>0</v>
      </c>
      <c r="AG281" s="12">
        <v>0</v>
      </c>
      <c r="AH281" s="12">
        <v>0</v>
      </c>
      <c r="AI281" s="12">
        <v>2</v>
      </c>
      <c r="AJ281" s="12" t="s">
        <v>78</v>
      </c>
      <c r="AK281" s="12">
        <v>0</v>
      </c>
      <c r="AL281" s="12">
        <v>0</v>
      </c>
      <c r="AM281" s="12">
        <v>19144</v>
      </c>
      <c r="AN281" s="12">
        <f t="shared" si="62"/>
        <v>19144</v>
      </c>
      <c r="AO281" s="12">
        <v>3</v>
      </c>
      <c r="AP281" s="12" t="s">
        <v>59</v>
      </c>
      <c r="AQ281" s="12">
        <v>0</v>
      </c>
      <c r="AR281" s="12">
        <v>14</v>
      </c>
      <c r="AS281" s="12">
        <v>3</v>
      </c>
      <c r="AT281" s="12">
        <v>1</v>
      </c>
      <c r="AU281" s="12">
        <v>2</v>
      </c>
      <c r="AV281" s="12">
        <v>28</v>
      </c>
      <c r="AW281" s="12">
        <f t="shared" si="63"/>
        <v>28</v>
      </c>
      <c r="AX281" s="12">
        <v>4</v>
      </c>
      <c r="AY281" s="12">
        <v>2</v>
      </c>
      <c r="AZ281" s="12">
        <v>10</v>
      </c>
      <c r="BA281" s="12">
        <f t="shared" si="64"/>
        <v>10</v>
      </c>
      <c r="BB281" s="12">
        <v>4</v>
      </c>
      <c r="BC281" s="12">
        <v>1</v>
      </c>
      <c r="BD281" s="12">
        <f t="shared" si="73"/>
        <v>1</v>
      </c>
      <c r="BE281" s="12">
        <v>6</v>
      </c>
      <c r="BF281" s="12">
        <f t="shared" si="65"/>
        <v>6</v>
      </c>
      <c r="BG281" s="12">
        <f t="shared" si="74"/>
        <v>30</v>
      </c>
      <c r="BH281" s="67">
        <v>1</v>
      </c>
      <c r="BI281" s="67">
        <v>0</v>
      </c>
      <c r="BJ281" s="67">
        <v>0</v>
      </c>
      <c r="BK281" s="67">
        <v>0</v>
      </c>
      <c r="BL281" s="67">
        <v>1</v>
      </c>
      <c r="BM281" s="67">
        <v>0</v>
      </c>
      <c r="BN281" s="67">
        <v>0</v>
      </c>
      <c r="BO281" s="67">
        <v>0</v>
      </c>
      <c r="BP281" s="67">
        <v>0</v>
      </c>
      <c r="BQ281" s="67">
        <v>6</v>
      </c>
      <c r="BR281" s="67">
        <v>0</v>
      </c>
      <c r="BS281" s="67">
        <v>0</v>
      </c>
      <c r="BT281" s="67">
        <v>28</v>
      </c>
      <c r="BU281" s="70">
        <v>0</v>
      </c>
      <c r="BV281" s="29">
        <f t="shared" si="66"/>
        <v>2.6850434891130721</v>
      </c>
      <c r="BW281">
        <f t="shared" si="67"/>
        <v>0.52600872973843971</v>
      </c>
      <c r="BX281">
        <f t="shared" si="68"/>
        <v>2.1489368113080496</v>
      </c>
      <c r="BY281">
        <f t="shared" si="69"/>
        <v>0.48834154112957734</v>
      </c>
      <c r="BZ281">
        <f t="shared" si="70"/>
        <v>0.64050867607435136</v>
      </c>
      <c r="CA281">
        <f t="shared" si="71"/>
        <v>1.4313799530736149</v>
      </c>
      <c r="CB281">
        <f t="shared" si="72"/>
        <v>0.36858985273641137</v>
      </c>
    </row>
    <row r="282" spans="1:80" x14ac:dyDescent="0.45">
      <c r="A282" s="11">
        <v>53</v>
      </c>
      <c r="B282" s="12">
        <f t="shared" si="60"/>
        <v>53</v>
      </c>
      <c r="C282" s="12" t="s">
        <v>59</v>
      </c>
      <c r="D282" s="12">
        <v>0</v>
      </c>
      <c r="E282" s="12" t="s">
        <v>53</v>
      </c>
      <c r="F282" s="12">
        <v>0</v>
      </c>
      <c r="G282" s="12">
        <v>1</v>
      </c>
      <c r="H282" s="12" t="s">
        <v>61</v>
      </c>
      <c r="I282" s="12">
        <v>1</v>
      </c>
      <c r="J282" s="12">
        <v>0</v>
      </c>
      <c r="K282" s="12">
        <v>3</v>
      </c>
      <c r="L282" s="12">
        <f t="shared" si="61"/>
        <v>3</v>
      </c>
      <c r="M282" s="12">
        <v>4</v>
      </c>
      <c r="N282" s="12" t="s">
        <v>70</v>
      </c>
      <c r="O282" s="12">
        <v>0</v>
      </c>
      <c r="P282" s="12">
        <v>0</v>
      </c>
      <c r="Q282" s="12">
        <v>1</v>
      </c>
      <c r="R282" s="12">
        <v>0</v>
      </c>
      <c r="S282" s="12">
        <v>0</v>
      </c>
      <c r="T282" s="12">
        <v>3</v>
      </c>
      <c r="U282" s="12" t="s">
        <v>62</v>
      </c>
      <c r="V282" s="12">
        <v>0</v>
      </c>
      <c r="W282" s="12">
        <v>45</v>
      </c>
      <c r="X282" s="12">
        <v>3</v>
      </c>
      <c r="Y282" s="12">
        <v>4</v>
      </c>
      <c r="Z282" s="12" t="s">
        <v>89</v>
      </c>
      <c r="AA282" s="12">
        <v>0</v>
      </c>
      <c r="AB282" s="12">
        <v>0</v>
      </c>
      <c r="AC282" s="12">
        <v>0</v>
      </c>
      <c r="AD282" s="12">
        <v>0</v>
      </c>
      <c r="AE282" s="12">
        <v>0</v>
      </c>
      <c r="AF282" s="12">
        <v>0</v>
      </c>
      <c r="AG282" s="12">
        <v>0</v>
      </c>
      <c r="AH282" s="12">
        <v>0</v>
      </c>
      <c r="AI282" s="12">
        <v>3</v>
      </c>
      <c r="AJ282" s="12" t="s">
        <v>64</v>
      </c>
      <c r="AK282" s="12">
        <v>0</v>
      </c>
      <c r="AL282" s="12">
        <v>1</v>
      </c>
      <c r="AM282" s="12">
        <v>17584</v>
      </c>
      <c r="AN282" s="12">
        <f t="shared" si="62"/>
        <v>17584</v>
      </c>
      <c r="AO282" s="12">
        <v>3</v>
      </c>
      <c r="AP282" s="12" t="s">
        <v>52</v>
      </c>
      <c r="AQ282" s="12">
        <v>1</v>
      </c>
      <c r="AR282" s="12">
        <v>16</v>
      </c>
      <c r="AS282" s="12">
        <v>3</v>
      </c>
      <c r="AT282" s="12">
        <v>4</v>
      </c>
      <c r="AU282" s="12">
        <v>3</v>
      </c>
      <c r="AV282" s="12">
        <v>21</v>
      </c>
      <c r="AW282" s="12">
        <f t="shared" si="63"/>
        <v>21</v>
      </c>
      <c r="AX282" s="12">
        <v>5</v>
      </c>
      <c r="AY282" s="12">
        <v>2</v>
      </c>
      <c r="AZ282" s="12">
        <v>5</v>
      </c>
      <c r="BA282" s="12">
        <f t="shared" si="64"/>
        <v>5</v>
      </c>
      <c r="BB282" s="12">
        <v>3</v>
      </c>
      <c r="BC282" s="12">
        <v>1</v>
      </c>
      <c r="BD282" s="12">
        <f t="shared" si="73"/>
        <v>1</v>
      </c>
      <c r="BE282" s="12">
        <v>3</v>
      </c>
      <c r="BF282" s="12">
        <f t="shared" si="65"/>
        <v>3</v>
      </c>
      <c r="BG282" s="12">
        <f t="shared" si="74"/>
        <v>12</v>
      </c>
      <c r="BH282" s="67">
        <v>0</v>
      </c>
      <c r="BI282" s="67">
        <v>1</v>
      </c>
      <c r="BJ282" s="67">
        <v>0</v>
      </c>
      <c r="BK282" s="67">
        <v>0</v>
      </c>
      <c r="BL282" s="67">
        <v>0</v>
      </c>
      <c r="BM282" s="67">
        <v>0</v>
      </c>
      <c r="BN282" s="67">
        <v>0</v>
      </c>
      <c r="BO282" s="67">
        <v>1</v>
      </c>
      <c r="BP282" s="67">
        <v>0</v>
      </c>
      <c r="BQ282" s="67">
        <v>3</v>
      </c>
      <c r="BR282" s="67">
        <v>0</v>
      </c>
      <c r="BS282" s="67">
        <v>0</v>
      </c>
      <c r="BT282" s="67">
        <v>21</v>
      </c>
      <c r="BU282" s="70">
        <v>0</v>
      </c>
      <c r="BV282" s="29">
        <f t="shared" si="66"/>
        <v>2.3536895553640313</v>
      </c>
      <c r="BW282">
        <f t="shared" si="67"/>
        <v>0.31476636926356072</v>
      </c>
      <c r="BX282">
        <f t="shared" si="68"/>
        <v>1.2492842709947811</v>
      </c>
      <c r="BY282">
        <f t="shared" si="69"/>
        <v>0.32778177112653761</v>
      </c>
      <c r="BZ282">
        <f t="shared" si="70"/>
        <v>0.76386092994953758</v>
      </c>
      <c r="CA282">
        <f t="shared" si="71"/>
        <v>1.7597737514845315</v>
      </c>
      <c r="CB282">
        <f t="shared" si="72"/>
        <v>0.36858985273641137</v>
      </c>
    </row>
    <row r="283" spans="1:80" x14ac:dyDescent="0.45">
      <c r="A283" s="11">
        <v>42</v>
      </c>
      <c r="B283" s="12">
        <f t="shared" si="60"/>
        <v>42</v>
      </c>
      <c r="C283" s="12" t="s">
        <v>59</v>
      </c>
      <c r="D283" s="12">
        <v>0</v>
      </c>
      <c r="E283" s="12" t="s">
        <v>53</v>
      </c>
      <c r="F283" s="12">
        <v>0</v>
      </c>
      <c r="G283" s="12">
        <v>1</v>
      </c>
      <c r="H283" s="12" t="s">
        <v>54</v>
      </c>
      <c r="I283" s="12">
        <v>0</v>
      </c>
      <c r="J283" s="12">
        <v>1</v>
      </c>
      <c r="K283" s="12">
        <v>1</v>
      </c>
      <c r="L283" s="12">
        <f t="shared" si="61"/>
        <v>1</v>
      </c>
      <c r="M283" s="12">
        <v>1</v>
      </c>
      <c r="N283" s="12" t="s">
        <v>55</v>
      </c>
      <c r="O283" s="12">
        <v>1</v>
      </c>
      <c r="P283" s="12">
        <v>0</v>
      </c>
      <c r="Q283" s="12">
        <v>0</v>
      </c>
      <c r="R283" s="12">
        <v>0</v>
      </c>
      <c r="S283" s="12">
        <v>0</v>
      </c>
      <c r="T283" s="12">
        <v>2</v>
      </c>
      <c r="U283" s="12" t="s">
        <v>62</v>
      </c>
      <c r="V283" s="12">
        <v>0</v>
      </c>
      <c r="W283" s="12">
        <v>99</v>
      </c>
      <c r="X283" s="12">
        <v>3</v>
      </c>
      <c r="Y283" s="12">
        <v>2</v>
      </c>
      <c r="Z283" s="12" t="s">
        <v>56</v>
      </c>
      <c r="AA283" s="12">
        <v>0</v>
      </c>
      <c r="AB283" s="12">
        <v>1</v>
      </c>
      <c r="AC283" s="12">
        <v>0</v>
      </c>
      <c r="AD283" s="12">
        <v>0</v>
      </c>
      <c r="AE283" s="12">
        <v>0</v>
      </c>
      <c r="AF283" s="12">
        <v>0</v>
      </c>
      <c r="AG283" s="12">
        <v>0</v>
      </c>
      <c r="AH283" s="12">
        <v>0</v>
      </c>
      <c r="AI283" s="12">
        <v>3</v>
      </c>
      <c r="AJ283" s="12" t="s">
        <v>64</v>
      </c>
      <c r="AK283" s="12">
        <v>0</v>
      </c>
      <c r="AL283" s="12">
        <v>1</v>
      </c>
      <c r="AM283" s="12">
        <v>4907</v>
      </c>
      <c r="AN283" s="12">
        <f t="shared" si="62"/>
        <v>4907</v>
      </c>
      <c r="AO283" s="12">
        <v>1</v>
      </c>
      <c r="AP283" s="12" t="s">
        <v>59</v>
      </c>
      <c r="AQ283" s="12">
        <v>0</v>
      </c>
      <c r="AR283" s="12">
        <v>25</v>
      </c>
      <c r="AS283" s="12">
        <v>4</v>
      </c>
      <c r="AT283" s="12">
        <v>3</v>
      </c>
      <c r="AU283" s="12">
        <v>0</v>
      </c>
      <c r="AV283" s="12">
        <v>20</v>
      </c>
      <c r="AW283" s="12">
        <f t="shared" si="63"/>
        <v>20</v>
      </c>
      <c r="AX283" s="12">
        <v>3</v>
      </c>
      <c r="AY283" s="12">
        <v>3</v>
      </c>
      <c r="AZ283" s="12">
        <v>20</v>
      </c>
      <c r="BA283" s="12">
        <f t="shared" si="64"/>
        <v>20</v>
      </c>
      <c r="BB283" s="12">
        <v>16</v>
      </c>
      <c r="BC283" s="12">
        <v>11</v>
      </c>
      <c r="BD283" s="12">
        <f t="shared" si="73"/>
        <v>11</v>
      </c>
      <c r="BE283" s="12">
        <v>6</v>
      </c>
      <c r="BF283" s="12">
        <f t="shared" si="65"/>
        <v>6</v>
      </c>
      <c r="BG283" s="12">
        <f t="shared" si="74"/>
        <v>12</v>
      </c>
      <c r="BH283" s="67">
        <v>0</v>
      </c>
      <c r="BI283" s="67">
        <v>1</v>
      </c>
      <c r="BJ283" s="67">
        <v>0</v>
      </c>
      <c r="BK283" s="67">
        <v>0</v>
      </c>
      <c r="BL283" s="67">
        <v>0</v>
      </c>
      <c r="BM283" s="67">
        <v>0</v>
      </c>
      <c r="BN283" s="67">
        <v>1</v>
      </c>
      <c r="BO283" s="67">
        <v>0</v>
      </c>
      <c r="BP283" s="67">
        <v>0</v>
      </c>
      <c r="BQ283" s="67">
        <v>0</v>
      </c>
      <c r="BR283" s="67">
        <v>6</v>
      </c>
      <c r="BS283" s="67">
        <v>0</v>
      </c>
      <c r="BT283" s="67">
        <v>0</v>
      </c>
      <c r="BU283" s="70">
        <v>20</v>
      </c>
      <c r="BV283" s="29">
        <f t="shared" si="66"/>
        <v>0.33898596908250089</v>
      </c>
      <c r="BW283">
        <f t="shared" si="67"/>
        <v>0.52600872973843971</v>
      </c>
      <c r="BX283">
        <f t="shared" si="68"/>
        <v>1.120762479521457</v>
      </c>
      <c r="BY283">
        <f t="shared" si="69"/>
        <v>2.1205881656418071</v>
      </c>
      <c r="BZ283">
        <f t="shared" si="70"/>
        <v>1.01056543769991</v>
      </c>
      <c r="CA283">
        <f t="shared" si="71"/>
        <v>0.55566315731117022</v>
      </c>
      <c r="CB283">
        <f t="shared" si="72"/>
        <v>2.7346580483089769</v>
      </c>
    </row>
    <row r="284" spans="1:80" x14ac:dyDescent="0.45">
      <c r="A284" s="11">
        <v>29</v>
      </c>
      <c r="B284" s="12">
        <f t="shared" si="60"/>
        <v>29</v>
      </c>
      <c r="C284" s="12" t="s">
        <v>59</v>
      </c>
      <c r="D284" s="12">
        <v>0</v>
      </c>
      <c r="E284" s="12" t="s">
        <v>60</v>
      </c>
      <c r="F284" s="12">
        <v>1</v>
      </c>
      <c r="G284" s="12">
        <v>0</v>
      </c>
      <c r="H284" s="12" t="s">
        <v>54</v>
      </c>
      <c r="I284" s="12">
        <v>0</v>
      </c>
      <c r="J284" s="12">
        <v>1</v>
      </c>
      <c r="K284" s="12">
        <v>2</v>
      </c>
      <c r="L284" s="12">
        <f t="shared" si="61"/>
        <v>2</v>
      </c>
      <c r="M284" s="12">
        <v>2</v>
      </c>
      <c r="N284" s="12" t="s">
        <v>55</v>
      </c>
      <c r="O284" s="12">
        <v>1</v>
      </c>
      <c r="P284" s="12">
        <v>0</v>
      </c>
      <c r="Q284" s="12">
        <v>0</v>
      </c>
      <c r="R284" s="12">
        <v>0</v>
      </c>
      <c r="S284" s="12">
        <v>0</v>
      </c>
      <c r="T284" s="12">
        <v>2</v>
      </c>
      <c r="U284" s="12" t="s">
        <v>62</v>
      </c>
      <c r="V284" s="12">
        <v>0</v>
      </c>
      <c r="W284" s="12">
        <v>44</v>
      </c>
      <c r="X284" s="12">
        <v>3</v>
      </c>
      <c r="Y284" s="12">
        <v>2</v>
      </c>
      <c r="Z284" s="12" t="s">
        <v>56</v>
      </c>
      <c r="AA284" s="12">
        <v>0</v>
      </c>
      <c r="AB284" s="12">
        <v>1</v>
      </c>
      <c r="AC284" s="12">
        <v>0</v>
      </c>
      <c r="AD284" s="12">
        <v>0</v>
      </c>
      <c r="AE284" s="12">
        <v>0</v>
      </c>
      <c r="AF284" s="12">
        <v>0</v>
      </c>
      <c r="AG284" s="12">
        <v>0</v>
      </c>
      <c r="AH284" s="12">
        <v>0</v>
      </c>
      <c r="AI284" s="12">
        <v>4</v>
      </c>
      <c r="AJ284" s="12" t="s">
        <v>57</v>
      </c>
      <c r="AK284" s="12">
        <v>1</v>
      </c>
      <c r="AL284" s="12">
        <v>0</v>
      </c>
      <c r="AM284" s="12">
        <v>4554</v>
      </c>
      <c r="AN284" s="12">
        <f t="shared" si="62"/>
        <v>4554</v>
      </c>
      <c r="AO284" s="12">
        <v>1</v>
      </c>
      <c r="AP284" s="12" t="s">
        <v>59</v>
      </c>
      <c r="AQ284" s="12">
        <v>0</v>
      </c>
      <c r="AR284" s="12">
        <v>18</v>
      </c>
      <c r="AS284" s="12">
        <v>3</v>
      </c>
      <c r="AT284" s="12">
        <v>1</v>
      </c>
      <c r="AU284" s="12">
        <v>0</v>
      </c>
      <c r="AV284" s="12">
        <v>10</v>
      </c>
      <c r="AW284" s="12">
        <f t="shared" si="63"/>
        <v>10</v>
      </c>
      <c r="AX284" s="12">
        <v>3</v>
      </c>
      <c r="AY284" s="12">
        <v>2</v>
      </c>
      <c r="AZ284" s="12">
        <v>10</v>
      </c>
      <c r="BA284" s="12">
        <f t="shared" si="64"/>
        <v>10</v>
      </c>
      <c r="BB284" s="12">
        <v>7</v>
      </c>
      <c r="BC284" s="12">
        <v>0</v>
      </c>
      <c r="BD284" s="12">
        <f t="shared" si="73"/>
        <v>0</v>
      </c>
      <c r="BE284" s="12">
        <v>9</v>
      </c>
      <c r="BF284" s="12">
        <f t="shared" si="65"/>
        <v>9</v>
      </c>
      <c r="BG284" s="12">
        <f t="shared" si="74"/>
        <v>18</v>
      </c>
      <c r="BH284" s="67">
        <v>0</v>
      </c>
      <c r="BI284" s="67">
        <v>0</v>
      </c>
      <c r="BJ284" s="67">
        <v>1</v>
      </c>
      <c r="BK284" s="67">
        <v>0</v>
      </c>
      <c r="BL284" s="67">
        <v>1</v>
      </c>
      <c r="BM284" s="67">
        <v>0</v>
      </c>
      <c r="BN284" s="67">
        <v>0</v>
      </c>
      <c r="BO284" s="67">
        <v>0</v>
      </c>
      <c r="BP284" s="67">
        <v>0</v>
      </c>
      <c r="BQ284" s="67">
        <v>0</v>
      </c>
      <c r="BR284" s="67">
        <v>9</v>
      </c>
      <c r="BS284" s="67">
        <v>0</v>
      </c>
      <c r="BT284" s="67">
        <v>0</v>
      </c>
      <c r="BU284" s="70">
        <v>10</v>
      </c>
      <c r="BV284" s="29">
        <f t="shared" si="66"/>
        <v>0.41396541691161076</v>
      </c>
      <c r="BW284">
        <f t="shared" si="67"/>
        <v>1.3667838287404401</v>
      </c>
      <c r="BX284">
        <f t="shared" si="68"/>
        <v>0.1644554352117841</v>
      </c>
      <c r="BY284">
        <f t="shared" si="69"/>
        <v>0.48834154112957734</v>
      </c>
      <c r="BZ284">
        <f t="shared" si="70"/>
        <v>0.88721318382472392</v>
      </c>
      <c r="CA284">
        <f t="shared" si="71"/>
        <v>0.86737663580280233</v>
      </c>
      <c r="CB284">
        <f t="shared" si="72"/>
        <v>0.67891464284095016</v>
      </c>
    </row>
    <row r="285" spans="1:80" x14ac:dyDescent="0.45">
      <c r="A285" s="11">
        <v>55</v>
      </c>
      <c r="B285" s="12">
        <f t="shared" si="60"/>
        <v>55</v>
      </c>
      <c r="C285" s="12" t="s">
        <v>59</v>
      </c>
      <c r="D285" s="12">
        <v>0</v>
      </c>
      <c r="E285" s="12" t="s">
        <v>53</v>
      </c>
      <c r="F285" s="12">
        <v>0</v>
      </c>
      <c r="G285" s="12">
        <v>1</v>
      </c>
      <c r="H285" s="12" t="s">
        <v>61</v>
      </c>
      <c r="I285" s="12">
        <v>1</v>
      </c>
      <c r="J285" s="12">
        <v>0</v>
      </c>
      <c r="K285" s="12">
        <v>20</v>
      </c>
      <c r="L285" s="12">
        <f t="shared" si="61"/>
        <v>20</v>
      </c>
      <c r="M285" s="12">
        <v>2</v>
      </c>
      <c r="N285" s="12" t="s">
        <v>91</v>
      </c>
      <c r="O285" s="12">
        <v>0</v>
      </c>
      <c r="P285" s="12">
        <v>0</v>
      </c>
      <c r="Q285" s="12">
        <v>0</v>
      </c>
      <c r="R285" s="12">
        <v>0</v>
      </c>
      <c r="S285" s="12">
        <v>1</v>
      </c>
      <c r="T285" s="12">
        <v>2</v>
      </c>
      <c r="U285" s="12" t="s">
        <v>62</v>
      </c>
      <c r="V285" s="12">
        <v>0</v>
      </c>
      <c r="W285" s="12">
        <v>37</v>
      </c>
      <c r="X285" s="12">
        <v>3</v>
      </c>
      <c r="Y285" s="12">
        <v>2</v>
      </c>
      <c r="Z285" s="12" t="s">
        <v>67</v>
      </c>
      <c r="AA285" s="12">
        <v>0</v>
      </c>
      <c r="AB285" s="12">
        <v>0</v>
      </c>
      <c r="AC285" s="12">
        <v>1</v>
      </c>
      <c r="AD285" s="12">
        <v>0</v>
      </c>
      <c r="AE285" s="12">
        <v>0</v>
      </c>
      <c r="AF285" s="12">
        <v>0</v>
      </c>
      <c r="AG285" s="12">
        <v>0</v>
      </c>
      <c r="AH285" s="12">
        <v>0</v>
      </c>
      <c r="AI285" s="12">
        <v>4</v>
      </c>
      <c r="AJ285" s="12" t="s">
        <v>64</v>
      </c>
      <c r="AK285" s="12">
        <v>0</v>
      </c>
      <c r="AL285" s="12">
        <v>1</v>
      </c>
      <c r="AM285" s="12">
        <v>5415</v>
      </c>
      <c r="AN285" s="12">
        <f t="shared" si="62"/>
        <v>5415</v>
      </c>
      <c r="AO285" s="12">
        <v>3</v>
      </c>
      <c r="AP285" s="12" t="s">
        <v>52</v>
      </c>
      <c r="AQ285" s="12">
        <v>1</v>
      </c>
      <c r="AR285" s="12">
        <v>19</v>
      </c>
      <c r="AS285" s="12">
        <v>3</v>
      </c>
      <c r="AT285" s="12">
        <v>4</v>
      </c>
      <c r="AU285" s="12">
        <v>1</v>
      </c>
      <c r="AV285" s="12">
        <v>12</v>
      </c>
      <c r="AW285" s="12">
        <f t="shared" si="63"/>
        <v>12</v>
      </c>
      <c r="AX285" s="12">
        <v>4</v>
      </c>
      <c r="AY285" s="12">
        <v>3</v>
      </c>
      <c r="AZ285" s="12">
        <v>10</v>
      </c>
      <c r="BA285" s="12">
        <f t="shared" si="64"/>
        <v>10</v>
      </c>
      <c r="BB285" s="12">
        <v>7</v>
      </c>
      <c r="BC285" s="12">
        <v>0</v>
      </c>
      <c r="BD285" s="12">
        <f t="shared" si="73"/>
        <v>0</v>
      </c>
      <c r="BE285" s="12">
        <v>8</v>
      </c>
      <c r="BF285" s="12">
        <f t="shared" si="65"/>
        <v>8</v>
      </c>
      <c r="BG285" s="12">
        <f t="shared" si="74"/>
        <v>16</v>
      </c>
      <c r="BH285" s="67">
        <v>0</v>
      </c>
      <c r="BI285" s="67">
        <v>1</v>
      </c>
      <c r="BJ285" s="67">
        <v>0</v>
      </c>
      <c r="BK285" s="67">
        <v>0</v>
      </c>
      <c r="BL285" s="67">
        <v>0</v>
      </c>
      <c r="BM285" s="67">
        <v>0</v>
      </c>
      <c r="BN285" s="67">
        <v>0</v>
      </c>
      <c r="BO285" s="67">
        <v>1</v>
      </c>
      <c r="BP285" s="67">
        <v>0</v>
      </c>
      <c r="BQ285" s="67">
        <v>8</v>
      </c>
      <c r="BR285" s="67">
        <v>0</v>
      </c>
      <c r="BS285" s="67">
        <v>0</v>
      </c>
      <c r="BT285" s="67">
        <v>12</v>
      </c>
      <c r="BU285" s="70">
        <v>0</v>
      </c>
      <c r="BV285" s="29">
        <f t="shared" si="66"/>
        <v>0.23108353424627479</v>
      </c>
      <c r="BW285">
        <f t="shared" si="67"/>
        <v>1.08652546240644</v>
      </c>
      <c r="BX285">
        <f t="shared" si="68"/>
        <v>9.2588147734864096E-2</v>
      </c>
      <c r="BY285">
        <f t="shared" si="69"/>
        <v>0.48834154112957734</v>
      </c>
      <c r="BZ285">
        <f t="shared" si="70"/>
        <v>1.3331273859286286</v>
      </c>
      <c r="CA285">
        <f t="shared" si="71"/>
        <v>1.9787029504251428</v>
      </c>
      <c r="CB285">
        <f t="shared" si="72"/>
        <v>0.67891464284095016</v>
      </c>
    </row>
    <row r="286" spans="1:80" x14ac:dyDescent="0.45">
      <c r="A286" s="11">
        <v>26</v>
      </c>
      <c r="B286" s="12">
        <f t="shared" si="60"/>
        <v>26</v>
      </c>
      <c r="C286" s="12" t="s">
        <v>59</v>
      </c>
      <c r="D286" s="12">
        <v>0</v>
      </c>
      <c r="E286" s="12" t="s">
        <v>60</v>
      </c>
      <c r="F286" s="12">
        <v>1</v>
      </c>
      <c r="G286" s="12">
        <v>0</v>
      </c>
      <c r="H286" s="12" t="s">
        <v>61</v>
      </c>
      <c r="I286" s="12">
        <v>1</v>
      </c>
      <c r="J286" s="12">
        <v>0</v>
      </c>
      <c r="K286" s="12">
        <v>11</v>
      </c>
      <c r="L286" s="12">
        <f t="shared" si="61"/>
        <v>11</v>
      </c>
      <c r="M286" s="12">
        <v>2</v>
      </c>
      <c r="N286" s="12" t="s">
        <v>70</v>
      </c>
      <c r="O286" s="12">
        <v>0</v>
      </c>
      <c r="P286" s="12">
        <v>0</v>
      </c>
      <c r="Q286" s="12">
        <v>1</v>
      </c>
      <c r="R286" s="12">
        <v>0</v>
      </c>
      <c r="S286" s="12">
        <v>0</v>
      </c>
      <c r="T286" s="12">
        <v>1</v>
      </c>
      <c r="U286" s="12" t="s">
        <v>62</v>
      </c>
      <c r="V286" s="12">
        <v>0</v>
      </c>
      <c r="W286" s="12">
        <v>60</v>
      </c>
      <c r="X286" s="12">
        <v>3</v>
      </c>
      <c r="Y286" s="12">
        <v>2</v>
      </c>
      <c r="Z286" s="12" t="s">
        <v>85</v>
      </c>
      <c r="AA286" s="12">
        <v>1</v>
      </c>
      <c r="AB286" s="12">
        <v>0</v>
      </c>
      <c r="AC286" s="12">
        <v>0</v>
      </c>
      <c r="AD286" s="12">
        <v>0</v>
      </c>
      <c r="AE286" s="12">
        <v>0</v>
      </c>
      <c r="AF286" s="12">
        <v>0</v>
      </c>
      <c r="AG286" s="12">
        <v>0</v>
      </c>
      <c r="AH286" s="12">
        <v>0</v>
      </c>
      <c r="AI286" s="12">
        <v>1</v>
      </c>
      <c r="AJ286" s="12" t="s">
        <v>64</v>
      </c>
      <c r="AK286" s="12">
        <v>0</v>
      </c>
      <c r="AL286" s="12">
        <v>1</v>
      </c>
      <c r="AM286" s="12">
        <v>4741</v>
      </c>
      <c r="AN286" s="12">
        <f t="shared" si="62"/>
        <v>4741</v>
      </c>
      <c r="AO286" s="12">
        <v>1</v>
      </c>
      <c r="AP286" s="12" t="s">
        <v>52</v>
      </c>
      <c r="AQ286" s="12">
        <v>1</v>
      </c>
      <c r="AR286" s="12">
        <v>13</v>
      </c>
      <c r="AS286" s="12">
        <v>3</v>
      </c>
      <c r="AT286" s="12">
        <v>3</v>
      </c>
      <c r="AU286" s="12">
        <v>1</v>
      </c>
      <c r="AV286" s="12">
        <v>5</v>
      </c>
      <c r="AW286" s="12">
        <f t="shared" si="63"/>
        <v>5</v>
      </c>
      <c r="AX286" s="12">
        <v>3</v>
      </c>
      <c r="AY286" s="12">
        <v>3</v>
      </c>
      <c r="AZ286" s="12">
        <v>5</v>
      </c>
      <c r="BA286" s="12">
        <f t="shared" si="64"/>
        <v>5</v>
      </c>
      <c r="BB286" s="12">
        <v>3</v>
      </c>
      <c r="BC286" s="12">
        <v>3</v>
      </c>
      <c r="BD286" s="12">
        <f t="shared" si="73"/>
        <v>3</v>
      </c>
      <c r="BE286" s="12">
        <v>3</v>
      </c>
      <c r="BF286" s="12">
        <f t="shared" si="65"/>
        <v>3</v>
      </c>
      <c r="BG286" s="12">
        <f t="shared" si="74"/>
        <v>6</v>
      </c>
      <c r="BH286" s="67">
        <v>0</v>
      </c>
      <c r="BI286" s="67">
        <v>0</v>
      </c>
      <c r="BJ286" s="67">
        <v>0</v>
      </c>
      <c r="BK286" s="67">
        <v>1</v>
      </c>
      <c r="BL286" s="67">
        <v>0</v>
      </c>
      <c r="BM286" s="67">
        <v>0</v>
      </c>
      <c r="BN286" s="67">
        <v>0</v>
      </c>
      <c r="BO286" s="67">
        <v>1</v>
      </c>
      <c r="BP286" s="67">
        <v>0</v>
      </c>
      <c r="BQ286" s="67">
        <v>3</v>
      </c>
      <c r="BR286" s="67">
        <v>0</v>
      </c>
      <c r="BS286" s="67">
        <v>0</v>
      </c>
      <c r="BT286" s="67">
        <v>5</v>
      </c>
      <c r="BU286" s="70">
        <v>0</v>
      </c>
      <c r="BV286" s="29">
        <f t="shared" si="66"/>
        <v>0.37424542613528344</v>
      </c>
      <c r="BW286">
        <f t="shared" si="67"/>
        <v>0.31476636926356072</v>
      </c>
      <c r="BX286">
        <f t="shared" si="68"/>
        <v>0.80706439257840468</v>
      </c>
      <c r="BY286">
        <f t="shared" si="69"/>
        <v>0.32778177112653761</v>
      </c>
      <c r="BZ286">
        <f t="shared" si="70"/>
        <v>0.22295710105195232</v>
      </c>
      <c r="CA286">
        <f t="shared" si="71"/>
        <v>1.195770434213719</v>
      </c>
      <c r="CB286">
        <f t="shared" si="72"/>
        <v>0.2520597274726662</v>
      </c>
    </row>
    <row r="287" spans="1:80" x14ac:dyDescent="0.45">
      <c r="A287" s="11">
        <v>37</v>
      </c>
      <c r="B287" s="12">
        <f t="shared" si="60"/>
        <v>37</v>
      </c>
      <c r="C287" s="12" t="s">
        <v>59</v>
      </c>
      <c r="D287" s="12">
        <v>0</v>
      </c>
      <c r="E287" s="12" t="s">
        <v>53</v>
      </c>
      <c r="F287" s="12">
        <v>0</v>
      </c>
      <c r="G287" s="12">
        <v>1</v>
      </c>
      <c r="H287" s="12" t="s">
        <v>61</v>
      </c>
      <c r="I287" s="12">
        <v>1</v>
      </c>
      <c r="J287" s="12">
        <v>0</v>
      </c>
      <c r="K287" s="12">
        <v>1</v>
      </c>
      <c r="L287" s="12">
        <f t="shared" si="61"/>
        <v>1</v>
      </c>
      <c r="M287" s="12">
        <v>3</v>
      </c>
      <c r="N287" s="12" t="s">
        <v>55</v>
      </c>
      <c r="O287" s="12">
        <v>1</v>
      </c>
      <c r="P287" s="12">
        <v>0</v>
      </c>
      <c r="Q287" s="12">
        <v>0</v>
      </c>
      <c r="R287" s="12">
        <v>0</v>
      </c>
      <c r="S287" s="12">
        <v>0</v>
      </c>
      <c r="T287" s="12">
        <v>4</v>
      </c>
      <c r="U287" s="12" t="s">
        <v>19</v>
      </c>
      <c r="V287" s="12">
        <v>1</v>
      </c>
      <c r="W287" s="12">
        <v>42</v>
      </c>
      <c r="X287" s="12">
        <v>3</v>
      </c>
      <c r="Y287" s="12">
        <v>1</v>
      </c>
      <c r="Z287" s="12" t="s">
        <v>63</v>
      </c>
      <c r="AA287" s="12">
        <v>0</v>
      </c>
      <c r="AB287" s="12">
        <v>0</v>
      </c>
      <c r="AC287" s="12">
        <v>0</v>
      </c>
      <c r="AD287" s="12">
        <v>0</v>
      </c>
      <c r="AE287" s="12">
        <v>0</v>
      </c>
      <c r="AF287" s="12">
        <v>0</v>
      </c>
      <c r="AG287" s="12">
        <v>0</v>
      </c>
      <c r="AH287" s="12">
        <v>1</v>
      </c>
      <c r="AI287" s="12">
        <v>4</v>
      </c>
      <c r="AJ287" s="12" t="s">
        <v>57</v>
      </c>
      <c r="AK287" s="12">
        <v>1</v>
      </c>
      <c r="AL287" s="12">
        <v>0</v>
      </c>
      <c r="AM287" s="12">
        <v>2115</v>
      </c>
      <c r="AN287" s="12">
        <f t="shared" si="62"/>
        <v>2115</v>
      </c>
      <c r="AO287" s="12">
        <v>1</v>
      </c>
      <c r="AP287" s="12" t="s">
        <v>59</v>
      </c>
      <c r="AQ287" s="12">
        <v>0</v>
      </c>
      <c r="AR287" s="12">
        <v>12</v>
      </c>
      <c r="AS287" s="12">
        <v>3</v>
      </c>
      <c r="AT287" s="12">
        <v>2</v>
      </c>
      <c r="AU287" s="12">
        <v>0</v>
      </c>
      <c r="AV287" s="12">
        <v>17</v>
      </c>
      <c r="AW287" s="12">
        <f t="shared" si="63"/>
        <v>17</v>
      </c>
      <c r="AX287" s="12">
        <v>3</v>
      </c>
      <c r="AY287" s="12">
        <v>3</v>
      </c>
      <c r="AZ287" s="12">
        <v>17</v>
      </c>
      <c r="BA287" s="12">
        <f t="shared" si="64"/>
        <v>17</v>
      </c>
      <c r="BB287" s="12">
        <v>12</v>
      </c>
      <c r="BC287" s="12">
        <v>5</v>
      </c>
      <c r="BD287" s="12">
        <f t="shared" si="73"/>
        <v>5</v>
      </c>
      <c r="BE287" s="12">
        <v>7</v>
      </c>
      <c r="BF287" s="12">
        <f t="shared" si="65"/>
        <v>7</v>
      </c>
      <c r="BG287" s="12">
        <f t="shared" si="74"/>
        <v>7</v>
      </c>
      <c r="BH287" s="67">
        <v>1</v>
      </c>
      <c r="BI287" s="67">
        <v>0</v>
      </c>
      <c r="BJ287" s="67">
        <v>0</v>
      </c>
      <c r="BK287" s="67">
        <v>0</v>
      </c>
      <c r="BL287" s="67">
        <v>1</v>
      </c>
      <c r="BM287" s="67">
        <v>0</v>
      </c>
      <c r="BN287" s="67">
        <v>0</v>
      </c>
      <c r="BO287" s="67">
        <v>0</v>
      </c>
      <c r="BP287" s="67">
        <v>0</v>
      </c>
      <c r="BQ287" s="67">
        <v>7</v>
      </c>
      <c r="BR287" s="67">
        <v>0</v>
      </c>
      <c r="BS287" s="67">
        <v>0</v>
      </c>
      <c r="BT287" s="67">
        <v>17</v>
      </c>
      <c r="BU287" s="70">
        <v>0</v>
      </c>
      <c r="BV287" s="29">
        <f t="shared" si="66"/>
        <v>0.93202454794616885</v>
      </c>
      <c r="BW287">
        <f t="shared" si="67"/>
        <v>0.80626709607243985</v>
      </c>
      <c r="BX287">
        <f t="shared" si="68"/>
        <v>0.73519710510148462</v>
      </c>
      <c r="BY287">
        <f t="shared" si="69"/>
        <v>1.630914178288138</v>
      </c>
      <c r="BZ287">
        <f t="shared" si="70"/>
        <v>1.01056543769991</v>
      </c>
      <c r="CA287">
        <f t="shared" si="71"/>
        <v>8.3401599596422994E-3</v>
      </c>
      <c r="CB287">
        <f t="shared" si="72"/>
        <v>0.87270930768174382</v>
      </c>
    </row>
    <row r="288" spans="1:80" x14ac:dyDescent="0.45">
      <c r="A288" s="11">
        <v>44</v>
      </c>
      <c r="B288" s="12">
        <f t="shared" si="60"/>
        <v>44</v>
      </c>
      <c r="C288" s="12" t="s">
        <v>52</v>
      </c>
      <c r="D288" s="12">
        <v>1</v>
      </c>
      <c r="E288" s="12" t="s">
        <v>60</v>
      </c>
      <c r="F288" s="12">
        <v>1</v>
      </c>
      <c r="G288" s="12">
        <v>0</v>
      </c>
      <c r="H288" s="12" t="s">
        <v>61</v>
      </c>
      <c r="I288" s="12">
        <v>1</v>
      </c>
      <c r="J288" s="12">
        <v>0</v>
      </c>
      <c r="K288" s="12">
        <v>24</v>
      </c>
      <c r="L288" s="12">
        <f t="shared" si="61"/>
        <v>24</v>
      </c>
      <c r="M288" s="12">
        <v>3</v>
      </c>
      <c r="N288" s="12" t="s">
        <v>55</v>
      </c>
      <c r="O288" s="12">
        <v>1</v>
      </c>
      <c r="P288" s="12">
        <v>0</v>
      </c>
      <c r="Q288" s="12">
        <v>0</v>
      </c>
      <c r="R288" s="12">
        <v>0</v>
      </c>
      <c r="S288" s="12">
        <v>0</v>
      </c>
      <c r="T288" s="12">
        <v>4</v>
      </c>
      <c r="U288" s="12" t="s">
        <v>62</v>
      </c>
      <c r="V288" s="12">
        <v>0</v>
      </c>
      <c r="W288" s="12">
        <v>43</v>
      </c>
      <c r="X288" s="12">
        <v>3</v>
      </c>
      <c r="Y288" s="12">
        <v>1</v>
      </c>
      <c r="Z288" s="12" t="s">
        <v>67</v>
      </c>
      <c r="AA288" s="12">
        <v>0</v>
      </c>
      <c r="AB288" s="12">
        <v>0</v>
      </c>
      <c r="AC288" s="12">
        <v>1</v>
      </c>
      <c r="AD288" s="12">
        <v>0</v>
      </c>
      <c r="AE288" s="12">
        <v>0</v>
      </c>
      <c r="AF288" s="12">
        <v>0</v>
      </c>
      <c r="AG288" s="12">
        <v>0</v>
      </c>
      <c r="AH288" s="12">
        <v>0</v>
      </c>
      <c r="AI288" s="12">
        <v>3</v>
      </c>
      <c r="AJ288" s="12" t="s">
        <v>78</v>
      </c>
      <c r="AK288" s="12">
        <v>0</v>
      </c>
      <c r="AL288" s="12">
        <v>0</v>
      </c>
      <c r="AM288" s="12">
        <v>3161</v>
      </c>
      <c r="AN288" s="12">
        <f t="shared" si="62"/>
        <v>3161</v>
      </c>
      <c r="AO288" s="12">
        <v>3</v>
      </c>
      <c r="AP288" s="12" t="s">
        <v>52</v>
      </c>
      <c r="AQ288" s="12">
        <v>1</v>
      </c>
      <c r="AR288" s="12">
        <v>22</v>
      </c>
      <c r="AS288" s="12">
        <v>4</v>
      </c>
      <c r="AT288" s="12">
        <v>4</v>
      </c>
      <c r="AU288" s="12">
        <v>1</v>
      </c>
      <c r="AV288" s="12">
        <v>19</v>
      </c>
      <c r="AW288" s="12">
        <f t="shared" si="63"/>
        <v>19</v>
      </c>
      <c r="AX288" s="12">
        <v>0</v>
      </c>
      <c r="AY288" s="12">
        <v>1</v>
      </c>
      <c r="AZ288" s="12">
        <v>1</v>
      </c>
      <c r="BA288" s="12">
        <f t="shared" si="64"/>
        <v>1</v>
      </c>
      <c r="BB288" s="12">
        <v>0</v>
      </c>
      <c r="BC288" s="12">
        <v>0</v>
      </c>
      <c r="BD288" s="12">
        <f t="shared" si="73"/>
        <v>0</v>
      </c>
      <c r="BE288" s="12">
        <v>0</v>
      </c>
      <c r="BF288" s="12">
        <f t="shared" si="65"/>
        <v>0</v>
      </c>
      <c r="BG288" s="12">
        <f t="shared" si="74"/>
        <v>0</v>
      </c>
      <c r="BH288" s="67">
        <v>0</v>
      </c>
      <c r="BI288" s="67">
        <v>0</v>
      </c>
      <c r="BJ288" s="67">
        <v>1</v>
      </c>
      <c r="BK288" s="67">
        <v>0</v>
      </c>
      <c r="BL288" s="67">
        <v>0</v>
      </c>
      <c r="BM288" s="67">
        <v>1</v>
      </c>
      <c r="BN288" s="67">
        <v>0</v>
      </c>
      <c r="BO288" s="67">
        <v>0</v>
      </c>
      <c r="BP288" s="67">
        <v>0</v>
      </c>
      <c r="BQ288" s="67">
        <v>0</v>
      </c>
      <c r="BR288" s="67">
        <v>0</v>
      </c>
      <c r="BS288" s="67">
        <v>0</v>
      </c>
      <c r="BT288" s="67">
        <v>19</v>
      </c>
      <c r="BU288" s="70">
        <v>0</v>
      </c>
      <c r="BV288" s="29">
        <f t="shared" si="66"/>
        <v>0.70984748724008118</v>
      </c>
      <c r="BW288">
        <f t="shared" si="67"/>
        <v>1.1555414682655611</v>
      </c>
      <c r="BX288">
        <f t="shared" si="68"/>
        <v>0.99224068804813281</v>
      </c>
      <c r="BY288">
        <f t="shared" si="69"/>
        <v>0.9806804209314296</v>
      </c>
      <c r="BZ288">
        <f t="shared" si="70"/>
        <v>1.8265364014293735</v>
      </c>
      <c r="CA288">
        <f t="shared" si="71"/>
        <v>0.77459235625178136</v>
      </c>
      <c r="CB288">
        <f t="shared" si="72"/>
        <v>0.67891464284095016</v>
      </c>
    </row>
    <row r="289" spans="1:80" x14ac:dyDescent="0.45">
      <c r="A289" s="11">
        <v>38</v>
      </c>
      <c r="B289" s="12">
        <f t="shared" si="60"/>
        <v>38</v>
      </c>
      <c r="C289" s="12" t="s">
        <v>59</v>
      </c>
      <c r="D289" s="12">
        <v>0</v>
      </c>
      <c r="E289" s="12" t="s">
        <v>53</v>
      </c>
      <c r="F289" s="12">
        <v>0</v>
      </c>
      <c r="G289" s="12">
        <v>1</v>
      </c>
      <c r="H289" s="12" t="s">
        <v>61</v>
      </c>
      <c r="I289" s="12">
        <v>1</v>
      </c>
      <c r="J289" s="12">
        <v>0</v>
      </c>
      <c r="K289" s="12">
        <v>23</v>
      </c>
      <c r="L289" s="12">
        <f t="shared" si="61"/>
        <v>23</v>
      </c>
      <c r="M289" s="12">
        <v>4</v>
      </c>
      <c r="N289" s="12" t="s">
        <v>55</v>
      </c>
      <c r="O289" s="12">
        <v>1</v>
      </c>
      <c r="P289" s="12">
        <v>0</v>
      </c>
      <c r="Q289" s="12">
        <v>0</v>
      </c>
      <c r="R289" s="12">
        <v>0</v>
      </c>
      <c r="S289" s="12">
        <v>0</v>
      </c>
      <c r="T289" s="12">
        <v>4</v>
      </c>
      <c r="U289" s="12" t="s">
        <v>62</v>
      </c>
      <c r="V289" s="12">
        <v>0</v>
      </c>
      <c r="W289" s="12">
        <v>82</v>
      </c>
      <c r="X289" s="12">
        <v>3</v>
      </c>
      <c r="Y289" s="12">
        <v>2</v>
      </c>
      <c r="Z289" s="12" t="s">
        <v>85</v>
      </c>
      <c r="AA289" s="12">
        <v>1</v>
      </c>
      <c r="AB289" s="12">
        <v>0</v>
      </c>
      <c r="AC289" s="12">
        <v>0</v>
      </c>
      <c r="AD289" s="12">
        <v>0</v>
      </c>
      <c r="AE289" s="12">
        <v>0</v>
      </c>
      <c r="AF289" s="12">
        <v>0</v>
      </c>
      <c r="AG289" s="12">
        <v>0</v>
      </c>
      <c r="AH289" s="12">
        <v>0</v>
      </c>
      <c r="AI289" s="12">
        <v>4</v>
      </c>
      <c r="AJ289" s="12" t="s">
        <v>78</v>
      </c>
      <c r="AK289" s="12">
        <v>0</v>
      </c>
      <c r="AL289" s="12">
        <v>0</v>
      </c>
      <c r="AM289" s="12">
        <v>5745</v>
      </c>
      <c r="AN289" s="12">
        <f t="shared" si="62"/>
        <v>5745</v>
      </c>
      <c r="AO289" s="12">
        <v>9</v>
      </c>
      <c r="AP289" s="12" t="s">
        <v>59</v>
      </c>
      <c r="AQ289" s="12">
        <v>0</v>
      </c>
      <c r="AR289" s="12">
        <v>14</v>
      </c>
      <c r="AS289" s="12">
        <v>3</v>
      </c>
      <c r="AT289" s="12">
        <v>2</v>
      </c>
      <c r="AU289" s="12">
        <v>1</v>
      </c>
      <c r="AV289" s="12">
        <v>10</v>
      </c>
      <c r="AW289" s="12">
        <f t="shared" si="63"/>
        <v>10</v>
      </c>
      <c r="AX289" s="12">
        <v>2</v>
      </c>
      <c r="AY289" s="12">
        <v>3</v>
      </c>
      <c r="AZ289" s="12">
        <v>2</v>
      </c>
      <c r="BA289" s="12">
        <f t="shared" si="64"/>
        <v>2</v>
      </c>
      <c r="BB289" s="12">
        <v>2</v>
      </c>
      <c r="BC289" s="12">
        <v>1</v>
      </c>
      <c r="BD289" s="12">
        <f t="shared" si="73"/>
        <v>1</v>
      </c>
      <c r="BE289" s="12">
        <v>2</v>
      </c>
      <c r="BF289" s="12">
        <f t="shared" si="65"/>
        <v>2</v>
      </c>
      <c r="BG289" s="12">
        <f t="shared" si="74"/>
        <v>4</v>
      </c>
      <c r="BH289" s="67">
        <v>1</v>
      </c>
      <c r="BI289" s="67">
        <v>0</v>
      </c>
      <c r="BJ289" s="67">
        <v>0</v>
      </c>
      <c r="BK289" s="67">
        <v>0</v>
      </c>
      <c r="BL289" s="67">
        <v>1</v>
      </c>
      <c r="BM289" s="67">
        <v>0</v>
      </c>
      <c r="BN289" s="67">
        <v>0</v>
      </c>
      <c r="BO289" s="67">
        <v>0</v>
      </c>
      <c r="BP289" s="67">
        <v>0</v>
      </c>
      <c r="BQ289" s="67">
        <v>2</v>
      </c>
      <c r="BR289" s="67">
        <v>0</v>
      </c>
      <c r="BS289" s="67">
        <v>0</v>
      </c>
      <c r="BT289" s="67">
        <v>10</v>
      </c>
      <c r="BU289" s="70">
        <v>0</v>
      </c>
      <c r="BV289" s="29">
        <f t="shared" si="66"/>
        <v>0.16098943287628539</v>
      </c>
      <c r="BW289">
        <f t="shared" si="67"/>
        <v>0.59502473559756086</v>
      </c>
      <c r="BX289">
        <f t="shared" si="68"/>
        <v>0.1644554352117841</v>
      </c>
      <c r="BY289">
        <f t="shared" si="69"/>
        <v>0.81745575848020657</v>
      </c>
      <c r="BZ289">
        <f t="shared" si="70"/>
        <v>1.7031841475541873</v>
      </c>
      <c r="CA289">
        <f t="shared" si="71"/>
        <v>0.11780475942994788</v>
      </c>
      <c r="CB289">
        <f t="shared" si="72"/>
        <v>0.36858985273641137</v>
      </c>
    </row>
    <row r="290" spans="1:80" x14ac:dyDescent="0.45">
      <c r="A290" s="11">
        <v>26</v>
      </c>
      <c r="B290" s="12">
        <f t="shared" si="60"/>
        <v>26</v>
      </c>
      <c r="C290" s="12" t="s">
        <v>52</v>
      </c>
      <c r="D290" s="12">
        <v>1</v>
      </c>
      <c r="E290" s="12" t="s">
        <v>53</v>
      </c>
      <c r="F290" s="12">
        <v>0</v>
      </c>
      <c r="G290" s="12">
        <v>1</v>
      </c>
      <c r="H290" s="12" t="s">
        <v>61</v>
      </c>
      <c r="I290" s="12">
        <v>1</v>
      </c>
      <c r="J290" s="12">
        <v>0</v>
      </c>
      <c r="K290" s="12">
        <v>16</v>
      </c>
      <c r="L290" s="12">
        <f t="shared" si="61"/>
        <v>16</v>
      </c>
      <c r="M290" s="12">
        <v>4</v>
      </c>
      <c r="N290" s="12" t="s">
        <v>70</v>
      </c>
      <c r="O290" s="12">
        <v>0</v>
      </c>
      <c r="P290" s="12">
        <v>0</v>
      </c>
      <c r="Q290" s="12">
        <v>1</v>
      </c>
      <c r="R290" s="12">
        <v>0</v>
      </c>
      <c r="S290" s="12">
        <v>0</v>
      </c>
      <c r="T290" s="12">
        <v>1</v>
      </c>
      <c r="U290" s="12" t="s">
        <v>62</v>
      </c>
      <c r="V290" s="12">
        <v>0</v>
      </c>
      <c r="W290" s="12">
        <v>45</v>
      </c>
      <c r="X290" s="12">
        <v>3</v>
      </c>
      <c r="Y290" s="12">
        <v>1</v>
      </c>
      <c r="Z290" s="12" t="s">
        <v>67</v>
      </c>
      <c r="AA290" s="12">
        <v>0</v>
      </c>
      <c r="AB290" s="12">
        <v>0</v>
      </c>
      <c r="AC290" s="12">
        <v>1</v>
      </c>
      <c r="AD290" s="12">
        <v>0</v>
      </c>
      <c r="AE290" s="12">
        <v>0</v>
      </c>
      <c r="AF290" s="12">
        <v>0</v>
      </c>
      <c r="AG290" s="12">
        <v>0</v>
      </c>
      <c r="AH290" s="12">
        <v>0</v>
      </c>
      <c r="AI290" s="12">
        <v>2</v>
      </c>
      <c r="AJ290" s="12" t="s">
        <v>78</v>
      </c>
      <c r="AK290" s="12">
        <v>0</v>
      </c>
      <c r="AL290" s="12">
        <v>0</v>
      </c>
      <c r="AM290" s="12">
        <v>2373</v>
      </c>
      <c r="AN290" s="12">
        <f t="shared" si="62"/>
        <v>2373</v>
      </c>
      <c r="AO290" s="12">
        <v>2</v>
      </c>
      <c r="AP290" s="12" t="s">
        <v>52</v>
      </c>
      <c r="AQ290" s="12">
        <v>1</v>
      </c>
      <c r="AR290" s="12">
        <v>13</v>
      </c>
      <c r="AS290" s="12">
        <v>3</v>
      </c>
      <c r="AT290" s="12">
        <v>4</v>
      </c>
      <c r="AU290" s="12">
        <v>1</v>
      </c>
      <c r="AV290" s="12">
        <v>5</v>
      </c>
      <c r="AW290" s="12">
        <f t="shared" si="63"/>
        <v>5</v>
      </c>
      <c r="AX290" s="12">
        <v>2</v>
      </c>
      <c r="AY290" s="12">
        <v>3</v>
      </c>
      <c r="AZ290" s="12">
        <v>3</v>
      </c>
      <c r="BA290" s="12">
        <f t="shared" si="64"/>
        <v>3</v>
      </c>
      <c r="BB290" s="12">
        <v>2</v>
      </c>
      <c r="BC290" s="12">
        <v>0</v>
      </c>
      <c r="BD290" s="12">
        <f t="shared" si="73"/>
        <v>0</v>
      </c>
      <c r="BE290" s="12">
        <v>2</v>
      </c>
      <c r="BF290" s="12">
        <f t="shared" si="65"/>
        <v>2</v>
      </c>
      <c r="BG290" s="12">
        <f t="shared" si="74"/>
        <v>2</v>
      </c>
      <c r="BH290" s="67">
        <v>1</v>
      </c>
      <c r="BI290" s="67">
        <v>0</v>
      </c>
      <c r="BJ290" s="67">
        <v>0</v>
      </c>
      <c r="BK290" s="67">
        <v>0</v>
      </c>
      <c r="BL290" s="67">
        <v>0</v>
      </c>
      <c r="BM290" s="67">
        <v>1</v>
      </c>
      <c r="BN290" s="67">
        <v>0</v>
      </c>
      <c r="BO290" s="67">
        <v>0</v>
      </c>
      <c r="BP290" s="67">
        <v>0</v>
      </c>
      <c r="BQ290" s="67">
        <v>2</v>
      </c>
      <c r="BR290" s="67">
        <v>0</v>
      </c>
      <c r="BS290" s="67">
        <v>0</v>
      </c>
      <c r="BT290" s="67">
        <v>5</v>
      </c>
      <c r="BU290" s="70">
        <v>0</v>
      </c>
      <c r="BV290" s="29">
        <f t="shared" si="66"/>
        <v>0.87722370505690439</v>
      </c>
      <c r="BW290">
        <f t="shared" si="67"/>
        <v>0.59502473559756086</v>
      </c>
      <c r="BX290">
        <f t="shared" si="68"/>
        <v>0.80706439257840468</v>
      </c>
      <c r="BY290">
        <f t="shared" si="69"/>
        <v>0.65423109602898355</v>
      </c>
      <c r="BZ290">
        <f t="shared" si="70"/>
        <v>0.83971837042788355</v>
      </c>
      <c r="CA290">
        <f t="shared" si="71"/>
        <v>1.195770434213719</v>
      </c>
      <c r="CB290">
        <f t="shared" si="72"/>
        <v>0.67891464284095016</v>
      </c>
    </row>
    <row r="291" spans="1:80" x14ac:dyDescent="0.45">
      <c r="A291" s="11">
        <v>28</v>
      </c>
      <c r="B291" s="12">
        <f t="shared" si="60"/>
        <v>28</v>
      </c>
      <c r="C291" s="12" t="s">
        <v>59</v>
      </c>
      <c r="D291" s="12">
        <v>0</v>
      </c>
      <c r="E291" s="12" t="s">
        <v>53</v>
      </c>
      <c r="F291" s="12">
        <v>0</v>
      </c>
      <c r="G291" s="12">
        <v>1</v>
      </c>
      <c r="H291" s="12" t="s">
        <v>61</v>
      </c>
      <c r="I291" s="12">
        <v>1</v>
      </c>
      <c r="J291" s="12">
        <v>0</v>
      </c>
      <c r="K291" s="12">
        <v>8</v>
      </c>
      <c r="L291" s="12">
        <f t="shared" si="61"/>
        <v>8</v>
      </c>
      <c r="M291" s="12">
        <v>2</v>
      </c>
      <c r="N291" s="12" t="s">
        <v>55</v>
      </c>
      <c r="O291" s="12">
        <v>1</v>
      </c>
      <c r="P291" s="12">
        <v>0</v>
      </c>
      <c r="Q291" s="12">
        <v>0</v>
      </c>
      <c r="R291" s="12">
        <v>0</v>
      </c>
      <c r="S291" s="12">
        <v>0</v>
      </c>
      <c r="T291" s="12">
        <v>4</v>
      </c>
      <c r="U291" s="12" t="s">
        <v>19</v>
      </c>
      <c r="V291" s="12">
        <v>1</v>
      </c>
      <c r="W291" s="12">
        <v>66</v>
      </c>
      <c r="X291" s="12">
        <v>3</v>
      </c>
      <c r="Y291" s="12">
        <v>1</v>
      </c>
      <c r="Z291" s="12" t="s">
        <v>63</v>
      </c>
      <c r="AA291" s="12">
        <v>0</v>
      </c>
      <c r="AB291" s="12">
        <v>0</v>
      </c>
      <c r="AC291" s="12">
        <v>0</v>
      </c>
      <c r="AD291" s="12">
        <v>0</v>
      </c>
      <c r="AE291" s="12">
        <v>0</v>
      </c>
      <c r="AF291" s="12">
        <v>0</v>
      </c>
      <c r="AG291" s="12">
        <v>0</v>
      </c>
      <c r="AH291" s="12">
        <v>1</v>
      </c>
      <c r="AI291" s="12">
        <v>4</v>
      </c>
      <c r="AJ291" s="12" t="s">
        <v>57</v>
      </c>
      <c r="AK291" s="12">
        <v>1</v>
      </c>
      <c r="AL291" s="12">
        <v>0</v>
      </c>
      <c r="AM291" s="12">
        <v>3310</v>
      </c>
      <c r="AN291" s="12">
        <f t="shared" si="62"/>
        <v>3310</v>
      </c>
      <c r="AO291" s="12">
        <v>1</v>
      </c>
      <c r="AP291" s="12" t="s">
        <v>59</v>
      </c>
      <c r="AQ291" s="12">
        <v>0</v>
      </c>
      <c r="AR291" s="12">
        <v>21</v>
      </c>
      <c r="AS291" s="12">
        <v>4</v>
      </c>
      <c r="AT291" s="12">
        <v>4</v>
      </c>
      <c r="AU291" s="12">
        <v>0</v>
      </c>
      <c r="AV291" s="12">
        <v>5</v>
      </c>
      <c r="AW291" s="12">
        <f t="shared" si="63"/>
        <v>5</v>
      </c>
      <c r="AX291" s="12">
        <v>3</v>
      </c>
      <c r="AY291" s="12">
        <v>3</v>
      </c>
      <c r="AZ291" s="12">
        <v>5</v>
      </c>
      <c r="BA291" s="12">
        <f t="shared" si="64"/>
        <v>5</v>
      </c>
      <c r="BB291" s="12">
        <v>3</v>
      </c>
      <c r="BC291" s="12">
        <v>0</v>
      </c>
      <c r="BD291" s="12">
        <f t="shared" si="73"/>
        <v>0</v>
      </c>
      <c r="BE291" s="12">
        <v>2</v>
      </c>
      <c r="BF291" s="12">
        <f t="shared" si="65"/>
        <v>2</v>
      </c>
      <c r="BG291" s="12">
        <f t="shared" si="74"/>
        <v>2</v>
      </c>
      <c r="BH291" s="67">
        <v>1</v>
      </c>
      <c r="BI291" s="67">
        <v>0</v>
      </c>
      <c r="BJ291" s="67">
        <v>0</v>
      </c>
      <c r="BK291" s="67">
        <v>0</v>
      </c>
      <c r="BL291" s="67">
        <v>1</v>
      </c>
      <c r="BM291" s="67">
        <v>0</v>
      </c>
      <c r="BN291" s="67">
        <v>0</v>
      </c>
      <c r="BO291" s="67">
        <v>0</v>
      </c>
      <c r="BP291" s="67">
        <v>0</v>
      </c>
      <c r="BQ291" s="67">
        <v>2</v>
      </c>
      <c r="BR291" s="67">
        <v>0</v>
      </c>
      <c r="BS291" s="67">
        <v>0</v>
      </c>
      <c r="BT291" s="67">
        <v>5</v>
      </c>
      <c r="BU291" s="70">
        <v>0</v>
      </c>
      <c r="BV291" s="29">
        <f t="shared" si="66"/>
        <v>0.67819893843969203</v>
      </c>
      <c r="BW291">
        <f t="shared" si="67"/>
        <v>0.59502473559756086</v>
      </c>
      <c r="BX291">
        <f t="shared" si="68"/>
        <v>0.80706439257840468</v>
      </c>
      <c r="BY291">
        <f t="shared" si="69"/>
        <v>0.32778177112653761</v>
      </c>
      <c r="BZ291">
        <f t="shared" si="70"/>
        <v>0.14709966057360641</v>
      </c>
      <c r="CA291">
        <f t="shared" si="71"/>
        <v>0.97684123527310796</v>
      </c>
      <c r="CB291">
        <f t="shared" si="72"/>
        <v>0.67891464284095016</v>
      </c>
    </row>
    <row r="292" spans="1:80" x14ac:dyDescent="0.45">
      <c r="A292" s="11">
        <v>49</v>
      </c>
      <c r="B292" s="12">
        <f t="shared" si="60"/>
        <v>49</v>
      </c>
      <c r="C292" s="12" t="s">
        <v>59</v>
      </c>
      <c r="D292" s="12">
        <v>0</v>
      </c>
      <c r="E292" s="12" t="s">
        <v>60</v>
      </c>
      <c r="F292" s="12">
        <v>1</v>
      </c>
      <c r="G292" s="12">
        <v>0</v>
      </c>
      <c r="H292" s="12" t="s">
        <v>61</v>
      </c>
      <c r="I292" s="12">
        <v>1</v>
      </c>
      <c r="J292" s="12">
        <v>0</v>
      </c>
      <c r="K292" s="12">
        <v>10</v>
      </c>
      <c r="L292" s="12">
        <f t="shared" si="61"/>
        <v>10</v>
      </c>
      <c r="M292" s="12">
        <v>4</v>
      </c>
      <c r="N292" s="12" t="s">
        <v>55</v>
      </c>
      <c r="O292" s="12">
        <v>1</v>
      </c>
      <c r="P292" s="12">
        <v>0</v>
      </c>
      <c r="Q292" s="12">
        <v>0</v>
      </c>
      <c r="R292" s="12">
        <v>0</v>
      </c>
      <c r="S292" s="12">
        <v>0</v>
      </c>
      <c r="T292" s="12">
        <v>3</v>
      </c>
      <c r="U292" s="12" t="s">
        <v>19</v>
      </c>
      <c r="V292" s="12">
        <v>1</v>
      </c>
      <c r="W292" s="12">
        <v>35</v>
      </c>
      <c r="X292" s="12">
        <v>3</v>
      </c>
      <c r="Y292" s="12">
        <v>5</v>
      </c>
      <c r="Z292" s="12" t="s">
        <v>89</v>
      </c>
      <c r="AA292" s="12">
        <v>0</v>
      </c>
      <c r="AB292" s="12">
        <v>0</v>
      </c>
      <c r="AC292" s="12">
        <v>0</v>
      </c>
      <c r="AD292" s="12">
        <v>0</v>
      </c>
      <c r="AE292" s="12">
        <v>0</v>
      </c>
      <c r="AF292" s="12">
        <v>0</v>
      </c>
      <c r="AG292" s="12">
        <v>0</v>
      </c>
      <c r="AH292" s="12">
        <v>0</v>
      </c>
      <c r="AI292" s="12">
        <v>1</v>
      </c>
      <c r="AJ292" s="12" t="s">
        <v>57</v>
      </c>
      <c r="AK292" s="12">
        <v>1</v>
      </c>
      <c r="AL292" s="12">
        <v>0</v>
      </c>
      <c r="AM292" s="12">
        <v>18665</v>
      </c>
      <c r="AN292" s="12">
        <f t="shared" si="62"/>
        <v>18665</v>
      </c>
      <c r="AO292" s="12">
        <v>9</v>
      </c>
      <c r="AP292" s="12" t="s">
        <v>52</v>
      </c>
      <c r="AQ292" s="12">
        <v>1</v>
      </c>
      <c r="AR292" s="12">
        <v>11</v>
      </c>
      <c r="AS292" s="12">
        <v>3</v>
      </c>
      <c r="AT292" s="12">
        <v>4</v>
      </c>
      <c r="AU292" s="12">
        <v>0</v>
      </c>
      <c r="AV292" s="12">
        <v>22</v>
      </c>
      <c r="AW292" s="12">
        <f t="shared" si="63"/>
        <v>22</v>
      </c>
      <c r="AX292" s="12">
        <v>4</v>
      </c>
      <c r="AY292" s="12">
        <v>3</v>
      </c>
      <c r="AZ292" s="12">
        <v>3</v>
      </c>
      <c r="BA292" s="12">
        <f t="shared" si="64"/>
        <v>3</v>
      </c>
      <c r="BB292" s="12">
        <v>2</v>
      </c>
      <c r="BC292" s="12">
        <v>1</v>
      </c>
      <c r="BD292" s="12">
        <f t="shared" si="73"/>
        <v>1</v>
      </c>
      <c r="BE292" s="12">
        <v>2</v>
      </c>
      <c r="BF292" s="12">
        <f t="shared" si="65"/>
        <v>2</v>
      </c>
      <c r="BG292" s="12">
        <f t="shared" si="74"/>
        <v>10</v>
      </c>
      <c r="BH292" s="67">
        <v>0</v>
      </c>
      <c r="BI292" s="67">
        <v>0</v>
      </c>
      <c r="BJ292" s="67">
        <v>1</v>
      </c>
      <c r="BK292" s="67">
        <v>0</v>
      </c>
      <c r="BL292" s="67">
        <v>0</v>
      </c>
      <c r="BM292" s="67">
        <v>1</v>
      </c>
      <c r="BN292" s="67">
        <v>0</v>
      </c>
      <c r="BO292" s="67">
        <v>0</v>
      </c>
      <c r="BP292" s="67">
        <v>0</v>
      </c>
      <c r="BQ292" s="67">
        <v>2</v>
      </c>
      <c r="BR292" s="67">
        <v>0</v>
      </c>
      <c r="BS292" s="67">
        <v>0</v>
      </c>
      <c r="BT292" s="67">
        <v>22</v>
      </c>
      <c r="BU292" s="70">
        <v>0</v>
      </c>
      <c r="BV292" s="29">
        <f t="shared" si="66"/>
        <v>2.5833008389426935</v>
      </c>
      <c r="BW292">
        <f t="shared" si="67"/>
        <v>0.59502473559756086</v>
      </c>
      <c r="BX292">
        <f t="shared" si="68"/>
        <v>1.3778060624681052</v>
      </c>
      <c r="BY292">
        <f t="shared" si="69"/>
        <v>0.65423109602898355</v>
      </c>
      <c r="BZ292">
        <f t="shared" si="70"/>
        <v>9.9604847176766084E-2</v>
      </c>
      <c r="CA292">
        <f t="shared" si="71"/>
        <v>1.3219153536033093</v>
      </c>
      <c r="CB292">
        <f t="shared" si="72"/>
        <v>0.36858985273641137</v>
      </c>
    </row>
    <row r="293" spans="1:80" x14ac:dyDescent="0.45">
      <c r="A293" s="11">
        <v>36</v>
      </c>
      <c r="B293" s="12">
        <f t="shared" si="60"/>
        <v>36</v>
      </c>
      <c r="C293" s="12" t="s">
        <v>59</v>
      </c>
      <c r="D293" s="12">
        <v>0</v>
      </c>
      <c r="E293" s="12" t="s">
        <v>53</v>
      </c>
      <c r="F293" s="12">
        <v>0</v>
      </c>
      <c r="G293" s="12">
        <v>1</v>
      </c>
      <c r="H293" s="12" t="s">
        <v>61</v>
      </c>
      <c r="I293" s="12">
        <v>1</v>
      </c>
      <c r="J293" s="12">
        <v>0</v>
      </c>
      <c r="K293" s="12">
        <v>3</v>
      </c>
      <c r="L293" s="12">
        <f t="shared" si="61"/>
        <v>3</v>
      </c>
      <c r="M293" s="12">
        <v>3</v>
      </c>
      <c r="N293" s="12" t="s">
        <v>91</v>
      </c>
      <c r="O293" s="12">
        <v>0</v>
      </c>
      <c r="P293" s="12">
        <v>0</v>
      </c>
      <c r="Q293" s="12">
        <v>0</v>
      </c>
      <c r="R293" s="12">
        <v>0</v>
      </c>
      <c r="S293" s="12">
        <v>1</v>
      </c>
      <c r="T293" s="12">
        <v>3</v>
      </c>
      <c r="U293" s="12" t="s">
        <v>62</v>
      </c>
      <c r="V293" s="12">
        <v>0</v>
      </c>
      <c r="W293" s="12">
        <v>30</v>
      </c>
      <c r="X293" s="12">
        <v>3</v>
      </c>
      <c r="Y293" s="12">
        <v>2</v>
      </c>
      <c r="Z293" s="12" t="s">
        <v>63</v>
      </c>
      <c r="AA293" s="12">
        <v>0</v>
      </c>
      <c r="AB293" s="12">
        <v>0</v>
      </c>
      <c r="AC293" s="12">
        <v>0</v>
      </c>
      <c r="AD293" s="12">
        <v>0</v>
      </c>
      <c r="AE293" s="12">
        <v>0</v>
      </c>
      <c r="AF293" s="12">
        <v>0</v>
      </c>
      <c r="AG293" s="12">
        <v>0</v>
      </c>
      <c r="AH293" s="12">
        <v>1</v>
      </c>
      <c r="AI293" s="12">
        <v>2</v>
      </c>
      <c r="AJ293" s="12" t="s">
        <v>57</v>
      </c>
      <c r="AK293" s="12">
        <v>1</v>
      </c>
      <c r="AL293" s="12">
        <v>0</v>
      </c>
      <c r="AM293" s="12">
        <v>4485</v>
      </c>
      <c r="AN293" s="12">
        <f t="shared" si="62"/>
        <v>4485</v>
      </c>
      <c r="AO293" s="12">
        <v>4</v>
      </c>
      <c r="AP293" s="12" t="s">
        <v>59</v>
      </c>
      <c r="AQ293" s="12">
        <v>0</v>
      </c>
      <c r="AR293" s="12">
        <v>12</v>
      </c>
      <c r="AS293" s="12">
        <v>3</v>
      </c>
      <c r="AT293" s="12">
        <v>4</v>
      </c>
      <c r="AU293" s="12">
        <v>0</v>
      </c>
      <c r="AV293" s="12">
        <v>10</v>
      </c>
      <c r="AW293" s="12">
        <f t="shared" si="63"/>
        <v>10</v>
      </c>
      <c r="AX293" s="12">
        <v>2</v>
      </c>
      <c r="AY293" s="12">
        <v>3</v>
      </c>
      <c r="AZ293" s="12">
        <v>8</v>
      </c>
      <c r="BA293" s="12">
        <f t="shared" si="64"/>
        <v>8</v>
      </c>
      <c r="BB293" s="12">
        <v>0</v>
      </c>
      <c r="BC293" s="12">
        <v>7</v>
      </c>
      <c r="BD293" s="12">
        <f t="shared" si="73"/>
        <v>7</v>
      </c>
      <c r="BE293" s="12">
        <v>7</v>
      </c>
      <c r="BF293" s="12">
        <f t="shared" si="65"/>
        <v>7</v>
      </c>
      <c r="BG293" s="12">
        <f t="shared" si="74"/>
        <v>14</v>
      </c>
      <c r="BH293" s="67">
        <v>1</v>
      </c>
      <c r="BI293" s="67">
        <v>0</v>
      </c>
      <c r="BJ293" s="67">
        <v>0</v>
      </c>
      <c r="BK293" s="67">
        <v>0</v>
      </c>
      <c r="BL293" s="67">
        <v>1</v>
      </c>
      <c r="BM293" s="67">
        <v>0</v>
      </c>
      <c r="BN293" s="67">
        <v>0</v>
      </c>
      <c r="BO293" s="67">
        <v>0</v>
      </c>
      <c r="BP293" s="67">
        <v>0</v>
      </c>
      <c r="BQ293" s="67">
        <v>7</v>
      </c>
      <c r="BR293" s="67">
        <v>0</v>
      </c>
      <c r="BS293" s="67">
        <v>0</v>
      </c>
      <c r="BT293" s="67">
        <v>10</v>
      </c>
      <c r="BU293" s="70">
        <v>0</v>
      </c>
      <c r="BV293" s="29">
        <f t="shared" si="66"/>
        <v>0.42862145628897219</v>
      </c>
      <c r="BW293">
        <f t="shared" si="67"/>
        <v>0.80626709607243985</v>
      </c>
      <c r="BX293">
        <f t="shared" si="68"/>
        <v>0.1644554352117841</v>
      </c>
      <c r="BY293">
        <f t="shared" si="69"/>
        <v>0.16189221622713135</v>
      </c>
      <c r="BZ293">
        <f t="shared" si="70"/>
        <v>0.76386092994953758</v>
      </c>
      <c r="CA293">
        <f t="shared" si="71"/>
        <v>0.10112443951066327</v>
      </c>
      <c r="CB293">
        <f t="shared" si="72"/>
        <v>1.4933588878908215</v>
      </c>
    </row>
    <row r="294" spans="1:80" x14ac:dyDescent="0.45">
      <c r="A294" s="11">
        <v>31</v>
      </c>
      <c r="B294" s="12">
        <f t="shared" si="60"/>
        <v>31</v>
      </c>
      <c r="C294" s="12" t="s">
        <v>59</v>
      </c>
      <c r="D294" s="12">
        <v>0</v>
      </c>
      <c r="E294" s="12" t="s">
        <v>60</v>
      </c>
      <c r="F294" s="12">
        <v>1</v>
      </c>
      <c r="G294" s="12">
        <v>0</v>
      </c>
      <c r="H294" s="12" t="s">
        <v>54</v>
      </c>
      <c r="I294" s="12">
        <v>0</v>
      </c>
      <c r="J294" s="12">
        <v>1</v>
      </c>
      <c r="K294" s="12">
        <v>5</v>
      </c>
      <c r="L294" s="12">
        <f t="shared" si="61"/>
        <v>5</v>
      </c>
      <c r="M294" s="12">
        <v>3</v>
      </c>
      <c r="N294" s="12" t="s">
        <v>90</v>
      </c>
      <c r="O294" s="12">
        <v>0</v>
      </c>
      <c r="P294" s="12">
        <v>0</v>
      </c>
      <c r="Q294" s="12">
        <v>0</v>
      </c>
      <c r="R294" s="12">
        <v>1</v>
      </c>
      <c r="S294" s="12">
        <v>0</v>
      </c>
      <c r="T294" s="12">
        <v>4</v>
      </c>
      <c r="U294" s="12" t="s">
        <v>19</v>
      </c>
      <c r="V294" s="12">
        <v>1</v>
      </c>
      <c r="W294" s="12">
        <v>84</v>
      </c>
      <c r="X294" s="12">
        <v>3</v>
      </c>
      <c r="Y294" s="12">
        <v>1</v>
      </c>
      <c r="Z294" s="12" t="s">
        <v>88</v>
      </c>
      <c r="AA294" s="12">
        <v>0</v>
      </c>
      <c r="AB294" s="12">
        <v>0</v>
      </c>
      <c r="AC294" s="12">
        <v>0</v>
      </c>
      <c r="AD294" s="12">
        <v>0</v>
      </c>
      <c r="AE294" s="12">
        <v>0</v>
      </c>
      <c r="AF294" s="12">
        <v>0</v>
      </c>
      <c r="AG294" s="12">
        <v>1</v>
      </c>
      <c r="AH294" s="12">
        <v>0</v>
      </c>
      <c r="AI294" s="12">
        <v>2</v>
      </c>
      <c r="AJ294" s="12" t="s">
        <v>78</v>
      </c>
      <c r="AK294" s="12">
        <v>0</v>
      </c>
      <c r="AL294" s="12">
        <v>0</v>
      </c>
      <c r="AM294" s="12">
        <v>2789</v>
      </c>
      <c r="AN294" s="12">
        <f t="shared" si="62"/>
        <v>2789</v>
      </c>
      <c r="AO294" s="12">
        <v>1</v>
      </c>
      <c r="AP294" s="12" t="s">
        <v>59</v>
      </c>
      <c r="AQ294" s="12">
        <v>0</v>
      </c>
      <c r="AR294" s="12">
        <v>11</v>
      </c>
      <c r="AS294" s="12">
        <v>3</v>
      </c>
      <c r="AT294" s="12">
        <v>3</v>
      </c>
      <c r="AU294" s="12">
        <v>1</v>
      </c>
      <c r="AV294" s="12">
        <v>2</v>
      </c>
      <c r="AW294" s="12">
        <f t="shared" si="63"/>
        <v>2</v>
      </c>
      <c r="AX294" s="12">
        <v>5</v>
      </c>
      <c r="AY294" s="12">
        <v>2</v>
      </c>
      <c r="AZ294" s="12">
        <v>2</v>
      </c>
      <c r="BA294" s="12">
        <f t="shared" si="64"/>
        <v>2</v>
      </c>
      <c r="BB294" s="12">
        <v>2</v>
      </c>
      <c r="BC294" s="12">
        <v>2</v>
      </c>
      <c r="BD294" s="12">
        <f t="shared" si="73"/>
        <v>2</v>
      </c>
      <c r="BE294" s="12">
        <v>2</v>
      </c>
      <c r="BF294" s="12">
        <f t="shared" si="65"/>
        <v>2</v>
      </c>
      <c r="BG294" s="12">
        <f t="shared" si="74"/>
        <v>2</v>
      </c>
      <c r="BH294" s="67">
        <v>0</v>
      </c>
      <c r="BI294" s="67">
        <v>0</v>
      </c>
      <c r="BJ294" s="67">
        <v>1</v>
      </c>
      <c r="BK294" s="67">
        <v>0</v>
      </c>
      <c r="BL294" s="67">
        <v>1</v>
      </c>
      <c r="BM294" s="67">
        <v>0</v>
      </c>
      <c r="BN294" s="67">
        <v>0</v>
      </c>
      <c r="BO294" s="67">
        <v>0</v>
      </c>
      <c r="BP294" s="67">
        <v>0</v>
      </c>
      <c r="BQ294" s="67">
        <v>0</v>
      </c>
      <c r="BR294" s="67">
        <v>2</v>
      </c>
      <c r="BS294" s="67">
        <v>0</v>
      </c>
      <c r="BT294" s="67">
        <v>0</v>
      </c>
      <c r="BU294" s="70">
        <v>2</v>
      </c>
      <c r="BV294" s="29">
        <f t="shared" si="66"/>
        <v>0.78886265605716011</v>
      </c>
      <c r="BW294">
        <f t="shared" si="67"/>
        <v>0.59502473559756086</v>
      </c>
      <c r="BX294">
        <f t="shared" si="68"/>
        <v>1.192629766998377</v>
      </c>
      <c r="BY294">
        <f t="shared" si="69"/>
        <v>0.81745575848020657</v>
      </c>
      <c r="BZ294">
        <f t="shared" si="70"/>
        <v>0.51715642219916513</v>
      </c>
      <c r="CA294">
        <f t="shared" si="71"/>
        <v>0.6484474368621912</v>
      </c>
      <c r="CB294">
        <f t="shared" si="72"/>
        <v>5.8265062631872602E-2</v>
      </c>
    </row>
    <row r="295" spans="1:80" x14ac:dyDescent="0.45">
      <c r="A295" s="11">
        <v>26</v>
      </c>
      <c r="B295" s="12">
        <f t="shared" si="60"/>
        <v>26</v>
      </c>
      <c r="C295" s="12" t="s">
        <v>52</v>
      </c>
      <c r="D295" s="12">
        <v>1</v>
      </c>
      <c r="E295" s="12" t="s">
        <v>53</v>
      </c>
      <c r="F295" s="12">
        <v>0</v>
      </c>
      <c r="G295" s="12">
        <v>1</v>
      </c>
      <c r="H295" s="12" t="s">
        <v>54</v>
      </c>
      <c r="I295" s="12">
        <v>0</v>
      </c>
      <c r="J295" s="12">
        <v>1</v>
      </c>
      <c r="K295" s="12">
        <v>4</v>
      </c>
      <c r="L295" s="12">
        <f t="shared" si="61"/>
        <v>4</v>
      </c>
      <c r="M295" s="12">
        <v>4</v>
      </c>
      <c r="N295" s="12" t="s">
        <v>90</v>
      </c>
      <c r="O295" s="12">
        <v>0</v>
      </c>
      <c r="P295" s="12">
        <v>0</v>
      </c>
      <c r="Q295" s="12">
        <v>0</v>
      </c>
      <c r="R295" s="12">
        <v>1</v>
      </c>
      <c r="S295" s="12">
        <v>0</v>
      </c>
      <c r="T295" s="12">
        <v>4</v>
      </c>
      <c r="U295" s="12" t="s">
        <v>62</v>
      </c>
      <c r="V295" s="12">
        <v>0</v>
      </c>
      <c r="W295" s="12">
        <v>48</v>
      </c>
      <c r="X295" s="12">
        <v>2</v>
      </c>
      <c r="Y295" s="12">
        <v>2</v>
      </c>
      <c r="Z295" s="12" t="s">
        <v>56</v>
      </c>
      <c r="AA295" s="12">
        <v>0</v>
      </c>
      <c r="AB295" s="12">
        <v>1</v>
      </c>
      <c r="AC295" s="12">
        <v>0</v>
      </c>
      <c r="AD295" s="12">
        <v>0</v>
      </c>
      <c r="AE295" s="12">
        <v>0</v>
      </c>
      <c r="AF295" s="12">
        <v>0</v>
      </c>
      <c r="AG295" s="12">
        <v>0</v>
      </c>
      <c r="AH295" s="12">
        <v>0</v>
      </c>
      <c r="AI295" s="12">
        <v>4</v>
      </c>
      <c r="AJ295" s="12" t="s">
        <v>57</v>
      </c>
      <c r="AK295" s="12">
        <v>1</v>
      </c>
      <c r="AL295" s="12">
        <v>0</v>
      </c>
      <c r="AM295" s="12">
        <v>5828</v>
      </c>
      <c r="AN295" s="12">
        <f t="shared" si="62"/>
        <v>5828</v>
      </c>
      <c r="AO295" s="12">
        <v>1</v>
      </c>
      <c r="AP295" s="12" t="s">
        <v>52</v>
      </c>
      <c r="AQ295" s="12">
        <v>1</v>
      </c>
      <c r="AR295" s="12">
        <v>12</v>
      </c>
      <c r="AS295" s="12">
        <v>3</v>
      </c>
      <c r="AT295" s="12">
        <v>2</v>
      </c>
      <c r="AU295" s="12">
        <v>0</v>
      </c>
      <c r="AV295" s="12">
        <v>8</v>
      </c>
      <c r="AW295" s="12">
        <f t="shared" si="63"/>
        <v>8</v>
      </c>
      <c r="AX295" s="12">
        <v>0</v>
      </c>
      <c r="AY295" s="12">
        <v>3</v>
      </c>
      <c r="AZ295" s="12">
        <v>8</v>
      </c>
      <c r="BA295" s="12">
        <f t="shared" si="64"/>
        <v>8</v>
      </c>
      <c r="BB295" s="12">
        <v>7</v>
      </c>
      <c r="BC295" s="12">
        <v>7</v>
      </c>
      <c r="BD295" s="12">
        <f t="shared" si="73"/>
        <v>7</v>
      </c>
      <c r="BE295" s="12">
        <v>4</v>
      </c>
      <c r="BF295" s="12">
        <f t="shared" si="65"/>
        <v>4</v>
      </c>
      <c r="BG295" s="12">
        <f t="shared" si="74"/>
        <v>8</v>
      </c>
      <c r="BH295" s="67">
        <v>1</v>
      </c>
      <c r="BI295" s="67">
        <v>0</v>
      </c>
      <c r="BJ295" s="67">
        <v>0</v>
      </c>
      <c r="BK295" s="67">
        <v>0</v>
      </c>
      <c r="BL295" s="67">
        <v>0</v>
      </c>
      <c r="BM295" s="67">
        <v>1</v>
      </c>
      <c r="BN295" s="67">
        <v>0</v>
      </c>
      <c r="BO295" s="67">
        <v>0</v>
      </c>
      <c r="BP295" s="67">
        <v>0</v>
      </c>
      <c r="BQ295" s="67">
        <v>0</v>
      </c>
      <c r="BR295" s="67">
        <v>4</v>
      </c>
      <c r="BS295" s="67">
        <v>0</v>
      </c>
      <c r="BT295" s="67">
        <v>0</v>
      </c>
      <c r="BU295" s="70">
        <v>8</v>
      </c>
      <c r="BV295" s="29">
        <f t="shared" si="66"/>
        <v>0.14335970434989412</v>
      </c>
      <c r="BW295">
        <f t="shared" si="67"/>
        <v>3.4508002929560584E-2</v>
      </c>
      <c r="BX295">
        <f t="shared" si="68"/>
        <v>0.42149901815843233</v>
      </c>
      <c r="BY295">
        <f t="shared" si="69"/>
        <v>0.16189221622713135</v>
      </c>
      <c r="BZ295">
        <f t="shared" si="70"/>
        <v>0.64050867607435136</v>
      </c>
      <c r="CA295">
        <f t="shared" si="71"/>
        <v>1.195770434213719</v>
      </c>
      <c r="CB295">
        <f t="shared" si="72"/>
        <v>1.4933588878908215</v>
      </c>
    </row>
    <row r="296" spans="1:80" x14ac:dyDescent="0.45">
      <c r="A296" s="11">
        <v>37</v>
      </c>
      <c r="B296" s="12">
        <f t="shared" si="60"/>
        <v>37</v>
      </c>
      <c r="C296" s="12" t="s">
        <v>59</v>
      </c>
      <c r="D296" s="12">
        <v>0</v>
      </c>
      <c r="E296" s="12" t="s">
        <v>60</v>
      </c>
      <c r="F296" s="12">
        <v>1</v>
      </c>
      <c r="G296" s="12">
        <v>0</v>
      </c>
      <c r="H296" s="12" t="s">
        <v>61</v>
      </c>
      <c r="I296" s="12">
        <v>1</v>
      </c>
      <c r="J296" s="12">
        <v>0</v>
      </c>
      <c r="K296" s="12">
        <v>9</v>
      </c>
      <c r="L296" s="12">
        <f t="shared" si="61"/>
        <v>9</v>
      </c>
      <c r="M296" s="12">
        <v>3</v>
      </c>
      <c r="N296" s="12" t="s">
        <v>70</v>
      </c>
      <c r="O296" s="12">
        <v>0</v>
      </c>
      <c r="P296" s="12">
        <v>0</v>
      </c>
      <c r="Q296" s="12">
        <v>1</v>
      </c>
      <c r="R296" s="12">
        <v>0</v>
      </c>
      <c r="S296" s="12">
        <v>0</v>
      </c>
      <c r="T296" s="12">
        <v>2</v>
      </c>
      <c r="U296" s="12" t="s">
        <v>62</v>
      </c>
      <c r="V296" s="12">
        <v>0</v>
      </c>
      <c r="W296" s="12">
        <v>53</v>
      </c>
      <c r="X296" s="12">
        <v>3</v>
      </c>
      <c r="Y296" s="12">
        <v>1</v>
      </c>
      <c r="Z296" s="12" t="s">
        <v>63</v>
      </c>
      <c r="AA296" s="12">
        <v>0</v>
      </c>
      <c r="AB296" s="12">
        <v>0</v>
      </c>
      <c r="AC296" s="12">
        <v>0</v>
      </c>
      <c r="AD296" s="12">
        <v>0</v>
      </c>
      <c r="AE296" s="12">
        <v>0</v>
      </c>
      <c r="AF296" s="12">
        <v>0</v>
      </c>
      <c r="AG296" s="12">
        <v>0</v>
      </c>
      <c r="AH296" s="12">
        <v>1</v>
      </c>
      <c r="AI296" s="12">
        <v>4</v>
      </c>
      <c r="AJ296" s="12" t="s">
        <v>64</v>
      </c>
      <c r="AK296" s="12">
        <v>0</v>
      </c>
      <c r="AL296" s="12">
        <v>1</v>
      </c>
      <c r="AM296" s="12">
        <v>2326</v>
      </c>
      <c r="AN296" s="12">
        <f t="shared" si="62"/>
        <v>2326</v>
      </c>
      <c r="AO296" s="12">
        <v>1</v>
      </c>
      <c r="AP296" s="12" t="s">
        <v>52</v>
      </c>
      <c r="AQ296" s="12">
        <v>1</v>
      </c>
      <c r="AR296" s="12">
        <v>12</v>
      </c>
      <c r="AS296" s="12">
        <v>3</v>
      </c>
      <c r="AT296" s="12">
        <v>3</v>
      </c>
      <c r="AU296" s="12">
        <v>3</v>
      </c>
      <c r="AV296" s="12">
        <v>4</v>
      </c>
      <c r="AW296" s="12">
        <f t="shared" si="63"/>
        <v>4</v>
      </c>
      <c r="AX296" s="12">
        <v>3</v>
      </c>
      <c r="AY296" s="12">
        <v>2</v>
      </c>
      <c r="AZ296" s="12">
        <v>4</v>
      </c>
      <c r="BA296" s="12">
        <f t="shared" si="64"/>
        <v>4</v>
      </c>
      <c r="BB296" s="12">
        <v>2</v>
      </c>
      <c r="BC296" s="12">
        <v>1</v>
      </c>
      <c r="BD296" s="12">
        <f t="shared" si="73"/>
        <v>1</v>
      </c>
      <c r="BE296" s="12">
        <v>2</v>
      </c>
      <c r="BF296" s="12">
        <f t="shared" si="65"/>
        <v>2</v>
      </c>
      <c r="BG296" s="12">
        <f t="shared" si="74"/>
        <v>2</v>
      </c>
      <c r="BH296" s="67">
        <v>0</v>
      </c>
      <c r="BI296" s="67">
        <v>0</v>
      </c>
      <c r="BJ296" s="67">
        <v>0</v>
      </c>
      <c r="BK296" s="67">
        <v>1</v>
      </c>
      <c r="BL296" s="67">
        <v>0</v>
      </c>
      <c r="BM296" s="67">
        <v>0</v>
      </c>
      <c r="BN296" s="67">
        <v>0</v>
      </c>
      <c r="BO296" s="67">
        <v>1</v>
      </c>
      <c r="BP296" s="67">
        <v>0</v>
      </c>
      <c r="BQ296" s="67">
        <v>2</v>
      </c>
      <c r="BR296" s="67">
        <v>0</v>
      </c>
      <c r="BS296" s="67">
        <v>0</v>
      </c>
      <c r="BT296" s="67">
        <v>4</v>
      </c>
      <c r="BU296" s="70">
        <v>0</v>
      </c>
      <c r="BV296" s="29">
        <f t="shared" si="66"/>
        <v>0.8872068043429332</v>
      </c>
      <c r="BW296">
        <f t="shared" si="67"/>
        <v>0.59502473559756086</v>
      </c>
      <c r="BX296">
        <f t="shared" si="68"/>
        <v>0.93558618405172878</v>
      </c>
      <c r="BY296">
        <f t="shared" si="69"/>
        <v>0.49100643357776058</v>
      </c>
      <c r="BZ296">
        <f t="shared" si="70"/>
        <v>2.3747406698420157E-2</v>
      </c>
      <c r="CA296">
        <f t="shared" si="71"/>
        <v>8.3401599596422994E-3</v>
      </c>
      <c r="CB296">
        <f t="shared" si="72"/>
        <v>0.36858985273641137</v>
      </c>
    </row>
    <row r="297" spans="1:80" x14ac:dyDescent="0.45">
      <c r="A297" s="11">
        <v>42</v>
      </c>
      <c r="B297" s="12">
        <f t="shared" si="60"/>
        <v>42</v>
      </c>
      <c r="C297" s="12" t="s">
        <v>59</v>
      </c>
      <c r="D297" s="12">
        <v>0</v>
      </c>
      <c r="E297" s="12" t="s">
        <v>60</v>
      </c>
      <c r="F297" s="12">
        <v>1</v>
      </c>
      <c r="G297" s="12">
        <v>0</v>
      </c>
      <c r="H297" s="12" t="s">
        <v>54</v>
      </c>
      <c r="I297" s="12">
        <v>0</v>
      </c>
      <c r="J297" s="12">
        <v>1</v>
      </c>
      <c r="K297" s="12">
        <v>26</v>
      </c>
      <c r="L297" s="12">
        <f t="shared" si="61"/>
        <v>26</v>
      </c>
      <c r="M297" s="12">
        <v>3</v>
      </c>
      <c r="N297" s="12" t="s">
        <v>90</v>
      </c>
      <c r="O297" s="12">
        <v>0</v>
      </c>
      <c r="P297" s="12">
        <v>0</v>
      </c>
      <c r="Q297" s="12">
        <v>0</v>
      </c>
      <c r="R297" s="12">
        <v>1</v>
      </c>
      <c r="S297" s="12">
        <v>0</v>
      </c>
      <c r="T297" s="12">
        <v>3</v>
      </c>
      <c r="U297" s="12" t="s">
        <v>19</v>
      </c>
      <c r="V297" s="12">
        <v>1</v>
      </c>
      <c r="W297" s="12">
        <v>77</v>
      </c>
      <c r="X297" s="12">
        <v>3</v>
      </c>
      <c r="Y297" s="12">
        <v>4</v>
      </c>
      <c r="Z297" s="12" t="s">
        <v>56</v>
      </c>
      <c r="AA297" s="12">
        <v>0</v>
      </c>
      <c r="AB297" s="12">
        <v>1</v>
      </c>
      <c r="AC297" s="12">
        <v>0</v>
      </c>
      <c r="AD297" s="12">
        <v>0</v>
      </c>
      <c r="AE297" s="12">
        <v>0</v>
      </c>
      <c r="AF297" s="12">
        <v>0</v>
      </c>
      <c r="AG297" s="12">
        <v>0</v>
      </c>
      <c r="AH297" s="12">
        <v>0</v>
      </c>
      <c r="AI297" s="12">
        <v>2</v>
      </c>
      <c r="AJ297" s="12" t="s">
        <v>64</v>
      </c>
      <c r="AK297" s="12">
        <v>0</v>
      </c>
      <c r="AL297" s="12">
        <v>1</v>
      </c>
      <c r="AM297" s="12">
        <v>13525</v>
      </c>
      <c r="AN297" s="12">
        <f t="shared" si="62"/>
        <v>13525</v>
      </c>
      <c r="AO297" s="12">
        <v>5</v>
      </c>
      <c r="AP297" s="12" t="s">
        <v>59</v>
      </c>
      <c r="AQ297" s="12">
        <v>0</v>
      </c>
      <c r="AR297" s="12">
        <v>14</v>
      </c>
      <c r="AS297" s="12">
        <v>3</v>
      </c>
      <c r="AT297" s="12">
        <v>4</v>
      </c>
      <c r="AU297" s="12">
        <v>1</v>
      </c>
      <c r="AV297" s="12">
        <v>23</v>
      </c>
      <c r="AW297" s="12">
        <f t="shared" si="63"/>
        <v>23</v>
      </c>
      <c r="AX297" s="12">
        <v>2</v>
      </c>
      <c r="AY297" s="12">
        <v>4</v>
      </c>
      <c r="AZ297" s="12">
        <v>20</v>
      </c>
      <c r="BA297" s="12">
        <f t="shared" si="64"/>
        <v>20</v>
      </c>
      <c r="BB297" s="12">
        <v>4</v>
      </c>
      <c r="BC297" s="12">
        <v>4</v>
      </c>
      <c r="BD297" s="12">
        <f t="shared" si="73"/>
        <v>4</v>
      </c>
      <c r="BE297" s="12">
        <v>8</v>
      </c>
      <c r="BF297" s="12">
        <f t="shared" si="65"/>
        <v>8</v>
      </c>
      <c r="BG297" s="12">
        <f t="shared" si="74"/>
        <v>32</v>
      </c>
      <c r="BH297" s="67">
        <v>0</v>
      </c>
      <c r="BI297" s="67">
        <v>0</v>
      </c>
      <c r="BJ297" s="67">
        <v>0</v>
      </c>
      <c r="BK297" s="67">
        <v>1</v>
      </c>
      <c r="BL297" s="67">
        <v>0</v>
      </c>
      <c r="BM297" s="67">
        <v>0</v>
      </c>
      <c r="BN297" s="67">
        <v>1</v>
      </c>
      <c r="BO297" s="67">
        <v>0</v>
      </c>
      <c r="BP297" s="67">
        <v>0</v>
      </c>
      <c r="BQ297" s="67">
        <v>0</v>
      </c>
      <c r="BR297" s="67">
        <v>8</v>
      </c>
      <c r="BS297" s="67">
        <v>0</v>
      </c>
      <c r="BT297" s="67">
        <v>0</v>
      </c>
      <c r="BU297" s="70">
        <v>23</v>
      </c>
      <c r="BV297" s="29">
        <f t="shared" si="66"/>
        <v>1.4915321085131616</v>
      </c>
      <c r="BW297">
        <f t="shared" si="67"/>
        <v>1.08652546240644</v>
      </c>
      <c r="BX297">
        <f t="shared" si="68"/>
        <v>1.5063278539414293</v>
      </c>
      <c r="BY297">
        <f t="shared" si="69"/>
        <v>2.1205881656418071</v>
      </c>
      <c r="BZ297">
        <f t="shared" si="70"/>
        <v>2.0732409091797459</v>
      </c>
      <c r="CA297">
        <f t="shared" si="71"/>
        <v>0.55566315731117022</v>
      </c>
      <c r="CB297">
        <f t="shared" si="72"/>
        <v>0.56238451757720498</v>
      </c>
    </row>
    <row r="298" spans="1:80" x14ac:dyDescent="0.45">
      <c r="A298" s="11">
        <v>18</v>
      </c>
      <c r="B298" s="12">
        <f t="shared" si="60"/>
        <v>19</v>
      </c>
      <c r="C298" s="12" t="s">
        <v>52</v>
      </c>
      <c r="D298" s="12">
        <v>1</v>
      </c>
      <c r="E298" s="12" t="s">
        <v>53</v>
      </c>
      <c r="F298" s="12">
        <v>0</v>
      </c>
      <c r="G298" s="12">
        <v>1</v>
      </c>
      <c r="H298" s="12" t="s">
        <v>61</v>
      </c>
      <c r="I298" s="12">
        <v>1</v>
      </c>
      <c r="J298" s="12">
        <v>0</v>
      </c>
      <c r="K298" s="12">
        <v>3</v>
      </c>
      <c r="L298" s="12">
        <f t="shared" si="61"/>
        <v>3</v>
      </c>
      <c r="M298" s="12">
        <v>3</v>
      </c>
      <c r="N298" s="12" t="s">
        <v>55</v>
      </c>
      <c r="O298" s="12">
        <v>1</v>
      </c>
      <c r="P298" s="12">
        <v>0</v>
      </c>
      <c r="Q298" s="12">
        <v>0</v>
      </c>
      <c r="R298" s="12">
        <v>0</v>
      </c>
      <c r="S298" s="12">
        <v>0</v>
      </c>
      <c r="T298" s="12">
        <v>3</v>
      </c>
      <c r="U298" s="12" t="s">
        <v>62</v>
      </c>
      <c r="V298" s="12">
        <v>0</v>
      </c>
      <c r="W298" s="12">
        <v>54</v>
      </c>
      <c r="X298" s="12">
        <v>3</v>
      </c>
      <c r="Y298" s="12">
        <v>1</v>
      </c>
      <c r="Z298" s="12" t="s">
        <v>67</v>
      </c>
      <c r="AA298" s="12">
        <v>0</v>
      </c>
      <c r="AB298" s="12">
        <v>0</v>
      </c>
      <c r="AC298" s="12">
        <v>1</v>
      </c>
      <c r="AD298" s="12">
        <v>0</v>
      </c>
      <c r="AE298" s="12">
        <v>0</v>
      </c>
      <c r="AF298" s="12">
        <v>0</v>
      </c>
      <c r="AG298" s="12">
        <v>0</v>
      </c>
      <c r="AH298" s="12">
        <v>0</v>
      </c>
      <c r="AI298" s="12">
        <v>3</v>
      </c>
      <c r="AJ298" s="12" t="s">
        <v>57</v>
      </c>
      <c r="AK298" s="12">
        <v>1</v>
      </c>
      <c r="AL298" s="12">
        <v>0</v>
      </c>
      <c r="AM298" s="12">
        <v>1420</v>
      </c>
      <c r="AN298" s="12">
        <f t="shared" si="62"/>
        <v>1420</v>
      </c>
      <c r="AO298" s="12">
        <v>1</v>
      </c>
      <c r="AP298" s="12" t="s">
        <v>59</v>
      </c>
      <c r="AQ298" s="12">
        <v>0</v>
      </c>
      <c r="AR298" s="12">
        <v>13</v>
      </c>
      <c r="AS298" s="12">
        <v>3</v>
      </c>
      <c r="AT298" s="12">
        <v>3</v>
      </c>
      <c r="AU298" s="12">
        <v>0</v>
      </c>
      <c r="AV298" s="12">
        <v>0</v>
      </c>
      <c r="AW298" s="12">
        <f t="shared" si="63"/>
        <v>1</v>
      </c>
      <c r="AX298" s="12">
        <v>2</v>
      </c>
      <c r="AY298" s="12">
        <v>3</v>
      </c>
      <c r="AZ298" s="12">
        <v>0</v>
      </c>
      <c r="BA298" s="12">
        <f t="shared" si="64"/>
        <v>0</v>
      </c>
      <c r="BB298" s="12">
        <v>0</v>
      </c>
      <c r="BC298" s="12">
        <v>0</v>
      </c>
      <c r="BD298" s="12">
        <f t="shared" si="73"/>
        <v>0</v>
      </c>
      <c r="BE298" s="12">
        <v>0</v>
      </c>
      <c r="BF298" s="12">
        <f t="shared" si="65"/>
        <v>0</v>
      </c>
      <c r="BG298" s="12">
        <f t="shared" si="74"/>
        <v>0</v>
      </c>
      <c r="BH298" s="67">
        <v>1</v>
      </c>
      <c r="BI298" s="67">
        <v>0</v>
      </c>
      <c r="BJ298" s="67">
        <v>0</v>
      </c>
      <c r="BK298" s="67">
        <v>0</v>
      </c>
      <c r="BL298" s="67">
        <v>1</v>
      </c>
      <c r="BM298" s="67">
        <v>0</v>
      </c>
      <c r="BN298" s="67">
        <v>0</v>
      </c>
      <c r="BO298" s="67">
        <v>0</v>
      </c>
      <c r="BP298" s="67">
        <v>0</v>
      </c>
      <c r="BQ298" s="67">
        <v>0</v>
      </c>
      <c r="BR298" s="67">
        <v>0</v>
      </c>
      <c r="BS298" s="67">
        <v>0</v>
      </c>
      <c r="BT298" s="67">
        <v>1</v>
      </c>
      <c r="BU298" s="70">
        <v>0</v>
      </c>
      <c r="BV298" s="29">
        <f t="shared" si="66"/>
        <v>1.0796469735587222</v>
      </c>
      <c r="BW298">
        <f t="shared" si="67"/>
        <v>1.1555414682655611</v>
      </c>
      <c r="BX298">
        <f t="shared" si="68"/>
        <v>1.4496733499450252</v>
      </c>
      <c r="BY298">
        <f t="shared" si="69"/>
        <v>1.1439050833826525</v>
      </c>
      <c r="BZ298">
        <f t="shared" si="70"/>
        <v>0.76386092994953758</v>
      </c>
      <c r="CA298">
        <f t="shared" si="71"/>
        <v>2.0714872299761637</v>
      </c>
      <c r="CB298">
        <f t="shared" si="72"/>
        <v>0.67891464284095016</v>
      </c>
    </row>
    <row r="299" spans="1:80" x14ac:dyDescent="0.45">
      <c r="A299" s="11">
        <v>35</v>
      </c>
      <c r="B299" s="12">
        <f t="shared" si="60"/>
        <v>35</v>
      </c>
      <c r="C299" s="12" t="s">
        <v>59</v>
      </c>
      <c r="D299" s="12">
        <v>0</v>
      </c>
      <c r="E299" s="12" t="s">
        <v>53</v>
      </c>
      <c r="F299" s="12">
        <v>0</v>
      </c>
      <c r="G299" s="12">
        <v>1</v>
      </c>
      <c r="H299" s="12" t="s">
        <v>54</v>
      </c>
      <c r="I299" s="12">
        <v>0</v>
      </c>
      <c r="J299" s="12">
        <v>1</v>
      </c>
      <c r="K299" s="12">
        <v>16</v>
      </c>
      <c r="L299" s="12">
        <f t="shared" si="61"/>
        <v>16</v>
      </c>
      <c r="M299" s="12">
        <v>3</v>
      </c>
      <c r="N299" s="12" t="s">
        <v>90</v>
      </c>
      <c r="O299" s="12">
        <v>0</v>
      </c>
      <c r="P299" s="12">
        <v>0</v>
      </c>
      <c r="Q299" s="12">
        <v>0</v>
      </c>
      <c r="R299" s="12">
        <v>1</v>
      </c>
      <c r="S299" s="12">
        <v>0</v>
      </c>
      <c r="T299" s="12">
        <v>3</v>
      </c>
      <c r="U299" s="12" t="s">
        <v>62</v>
      </c>
      <c r="V299" s="12">
        <v>0</v>
      </c>
      <c r="W299" s="12">
        <v>96</v>
      </c>
      <c r="X299" s="12">
        <v>3</v>
      </c>
      <c r="Y299" s="12">
        <v>3</v>
      </c>
      <c r="Z299" s="12" t="s">
        <v>56</v>
      </c>
      <c r="AA299" s="12">
        <v>0</v>
      </c>
      <c r="AB299" s="12">
        <v>1</v>
      </c>
      <c r="AC299" s="12">
        <v>0</v>
      </c>
      <c r="AD299" s="12">
        <v>0</v>
      </c>
      <c r="AE299" s="12">
        <v>0</v>
      </c>
      <c r="AF299" s="12">
        <v>0</v>
      </c>
      <c r="AG299" s="12">
        <v>0</v>
      </c>
      <c r="AH299" s="12">
        <v>0</v>
      </c>
      <c r="AI299" s="12">
        <v>2</v>
      </c>
      <c r="AJ299" s="12" t="s">
        <v>64</v>
      </c>
      <c r="AK299" s="12">
        <v>0</v>
      </c>
      <c r="AL299" s="12">
        <v>1</v>
      </c>
      <c r="AM299" s="12">
        <v>8020</v>
      </c>
      <c r="AN299" s="12">
        <f t="shared" si="62"/>
        <v>8020</v>
      </c>
      <c r="AO299" s="12">
        <v>0</v>
      </c>
      <c r="AP299" s="12" t="s">
        <v>59</v>
      </c>
      <c r="AQ299" s="12">
        <v>0</v>
      </c>
      <c r="AR299" s="12">
        <v>15</v>
      </c>
      <c r="AS299" s="12">
        <v>3</v>
      </c>
      <c r="AT299" s="12">
        <v>3</v>
      </c>
      <c r="AU299" s="12">
        <v>2</v>
      </c>
      <c r="AV299" s="12">
        <v>12</v>
      </c>
      <c r="AW299" s="12">
        <f t="shared" si="63"/>
        <v>12</v>
      </c>
      <c r="AX299" s="12">
        <v>3</v>
      </c>
      <c r="AY299" s="12">
        <v>2</v>
      </c>
      <c r="AZ299" s="12">
        <v>11</v>
      </c>
      <c r="BA299" s="12">
        <f t="shared" si="64"/>
        <v>11</v>
      </c>
      <c r="BB299" s="12">
        <v>9</v>
      </c>
      <c r="BC299" s="12">
        <v>6</v>
      </c>
      <c r="BD299" s="12">
        <f t="shared" si="73"/>
        <v>6</v>
      </c>
      <c r="BE299" s="12">
        <v>9</v>
      </c>
      <c r="BF299" s="12">
        <f t="shared" si="65"/>
        <v>9</v>
      </c>
      <c r="BG299" s="12">
        <f t="shared" si="74"/>
        <v>27</v>
      </c>
      <c r="BH299" s="67">
        <v>0</v>
      </c>
      <c r="BI299" s="67">
        <v>1</v>
      </c>
      <c r="BJ299" s="67">
        <v>0</v>
      </c>
      <c r="BK299" s="67">
        <v>0</v>
      </c>
      <c r="BL299" s="67">
        <v>0</v>
      </c>
      <c r="BM299" s="67">
        <v>0</v>
      </c>
      <c r="BN299" s="67">
        <v>1</v>
      </c>
      <c r="BO299" s="67">
        <v>0</v>
      </c>
      <c r="BP299" s="67">
        <v>0</v>
      </c>
      <c r="BQ299" s="67">
        <v>0</v>
      </c>
      <c r="BR299" s="67">
        <v>9</v>
      </c>
      <c r="BS299" s="67">
        <v>0</v>
      </c>
      <c r="BT299" s="67">
        <v>0</v>
      </c>
      <c r="BU299" s="70">
        <v>12</v>
      </c>
      <c r="BV299" s="29">
        <f t="shared" si="66"/>
        <v>0.32223505384106577</v>
      </c>
      <c r="BW299">
        <f t="shared" si="67"/>
        <v>1.3667838287404401</v>
      </c>
      <c r="BX299">
        <f t="shared" si="68"/>
        <v>9.2588147734864096E-2</v>
      </c>
      <c r="BY299">
        <f t="shared" si="69"/>
        <v>0.65156620358080031</v>
      </c>
      <c r="BZ299">
        <f t="shared" si="70"/>
        <v>0.83971837042788355</v>
      </c>
      <c r="CA299">
        <f t="shared" si="71"/>
        <v>0.21058903898096887</v>
      </c>
      <c r="CB299">
        <f t="shared" si="72"/>
        <v>1.1830340977862825</v>
      </c>
    </row>
    <row r="300" spans="1:80" x14ac:dyDescent="0.45">
      <c r="A300" s="11">
        <v>36</v>
      </c>
      <c r="B300" s="12">
        <f t="shared" si="60"/>
        <v>36</v>
      </c>
      <c r="C300" s="12" t="s">
        <v>59</v>
      </c>
      <c r="D300" s="12">
        <v>0</v>
      </c>
      <c r="E300" s="12" t="s">
        <v>60</v>
      </c>
      <c r="F300" s="12">
        <v>1</v>
      </c>
      <c r="G300" s="12">
        <v>0</v>
      </c>
      <c r="H300" s="12" t="s">
        <v>61</v>
      </c>
      <c r="I300" s="12">
        <v>1</v>
      </c>
      <c r="J300" s="12">
        <v>0</v>
      </c>
      <c r="K300" s="12">
        <v>18</v>
      </c>
      <c r="L300" s="12">
        <f t="shared" si="61"/>
        <v>18</v>
      </c>
      <c r="M300" s="12">
        <v>4</v>
      </c>
      <c r="N300" s="12" t="s">
        <v>55</v>
      </c>
      <c r="O300" s="12">
        <v>1</v>
      </c>
      <c r="P300" s="12">
        <v>0</v>
      </c>
      <c r="Q300" s="12">
        <v>0</v>
      </c>
      <c r="R300" s="12">
        <v>0</v>
      </c>
      <c r="S300" s="12">
        <v>0</v>
      </c>
      <c r="T300" s="12">
        <v>3</v>
      </c>
      <c r="U300" s="12" t="s">
        <v>62</v>
      </c>
      <c r="V300" s="12">
        <v>0</v>
      </c>
      <c r="W300" s="12">
        <v>81</v>
      </c>
      <c r="X300" s="12">
        <v>4</v>
      </c>
      <c r="Y300" s="12">
        <v>1</v>
      </c>
      <c r="Z300" s="12" t="s">
        <v>67</v>
      </c>
      <c r="AA300" s="12">
        <v>0</v>
      </c>
      <c r="AB300" s="12">
        <v>0</v>
      </c>
      <c r="AC300" s="12">
        <v>1</v>
      </c>
      <c r="AD300" s="12">
        <v>0</v>
      </c>
      <c r="AE300" s="12">
        <v>0</v>
      </c>
      <c r="AF300" s="12">
        <v>0</v>
      </c>
      <c r="AG300" s="12">
        <v>0</v>
      </c>
      <c r="AH300" s="12">
        <v>0</v>
      </c>
      <c r="AI300" s="12">
        <v>4</v>
      </c>
      <c r="AJ300" s="12" t="s">
        <v>64</v>
      </c>
      <c r="AK300" s="12">
        <v>0</v>
      </c>
      <c r="AL300" s="12">
        <v>1</v>
      </c>
      <c r="AM300" s="12">
        <v>3688</v>
      </c>
      <c r="AN300" s="12">
        <f t="shared" si="62"/>
        <v>3688</v>
      </c>
      <c r="AO300" s="12">
        <v>4</v>
      </c>
      <c r="AP300" s="12" t="s">
        <v>59</v>
      </c>
      <c r="AQ300" s="12">
        <v>0</v>
      </c>
      <c r="AR300" s="12">
        <v>18</v>
      </c>
      <c r="AS300" s="12">
        <v>3</v>
      </c>
      <c r="AT300" s="12">
        <v>4</v>
      </c>
      <c r="AU300" s="12">
        <v>2</v>
      </c>
      <c r="AV300" s="12">
        <v>4</v>
      </c>
      <c r="AW300" s="12">
        <f t="shared" si="63"/>
        <v>4</v>
      </c>
      <c r="AX300" s="12">
        <v>2</v>
      </c>
      <c r="AY300" s="12">
        <v>3</v>
      </c>
      <c r="AZ300" s="12">
        <v>1</v>
      </c>
      <c r="BA300" s="12">
        <f t="shared" si="64"/>
        <v>1</v>
      </c>
      <c r="BB300" s="12">
        <v>0</v>
      </c>
      <c r="BC300" s="12">
        <v>0</v>
      </c>
      <c r="BD300" s="12">
        <f t="shared" si="73"/>
        <v>0</v>
      </c>
      <c r="BE300" s="12">
        <v>0</v>
      </c>
      <c r="BF300" s="12">
        <f t="shared" si="65"/>
        <v>0</v>
      </c>
      <c r="BG300" s="12">
        <f t="shared" si="74"/>
        <v>0</v>
      </c>
      <c r="BH300" s="67">
        <v>0</v>
      </c>
      <c r="BI300" s="67">
        <v>0</v>
      </c>
      <c r="BJ300" s="67">
        <v>0</v>
      </c>
      <c r="BK300" s="67">
        <v>1</v>
      </c>
      <c r="BL300" s="67">
        <v>0</v>
      </c>
      <c r="BM300" s="67">
        <v>0</v>
      </c>
      <c r="BN300" s="67">
        <v>1</v>
      </c>
      <c r="BO300" s="67">
        <v>0</v>
      </c>
      <c r="BP300" s="67">
        <v>0</v>
      </c>
      <c r="BQ300" s="67">
        <v>0</v>
      </c>
      <c r="BR300" s="67">
        <v>0</v>
      </c>
      <c r="BS300" s="67">
        <v>0</v>
      </c>
      <c r="BT300" s="67">
        <v>4</v>
      </c>
      <c r="BU300" s="70">
        <v>0</v>
      </c>
      <c r="BV300" s="29">
        <f t="shared" si="66"/>
        <v>0.59790933141588598</v>
      </c>
      <c r="BW300">
        <f t="shared" si="67"/>
        <v>1.1555414682655611</v>
      </c>
      <c r="BX300">
        <f t="shared" si="68"/>
        <v>0.93558618405172878</v>
      </c>
      <c r="BY300">
        <f t="shared" si="69"/>
        <v>0.9806804209314296</v>
      </c>
      <c r="BZ300">
        <f t="shared" si="70"/>
        <v>1.0864228781782561</v>
      </c>
      <c r="CA300">
        <f t="shared" si="71"/>
        <v>0.10112443951066327</v>
      </c>
      <c r="CB300">
        <f t="shared" si="72"/>
        <v>0.67891464284095016</v>
      </c>
    </row>
    <row r="301" spans="1:80" x14ac:dyDescent="0.45">
      <c r="A301" s="11">
        <v>51</v>
      </c>
      <c r="B301" s="12">
        <f t="shared" si="60"/>
        <v>51</v>
      </c>
      <c r="C301" s="12" t="s">
        <v>59</v>
      </c>
      <c r="D301" s="12">
        <v>0</v>
      </c>
      <c r="E301" s="12" t="s">
        <v>53</v>
      </c>
      <c r="F301" s="12">
        <v>0</v>
      </c>
      <c r="G301" s="12">
        <v>1</v>
      </c>
      <c r="H301" s="12" t="s">
        <v>61</v>
      </c>
      <c r="I301" s="12">
        <v>1</v>
      </c>
      <c r="J301" s="12">
        <v>0</v>
      </c>
      <c r="K301" s="12">
        <v>2</v>
      </c>
      <c r="L301" s="12">
        <f t="shared" si="61"/>
        <v>2</v>
      </c>
      <c r="M301" s="12">
        <v>3</v>
      </c>
      <c r="N301" s="12" t="s">
        <v>70</v>
      </c>
      <c r="O301" s="12">
        <v>0</v>
      </c>
      <c r="P301" s="12">
        <v>0</v>
      </c>
      <c r="Q301" s="12">
        <v>1</v>
      </c>
      <c r="R301" s="12">
        <v>0</v>
      </c>
      <c r="S301" s="12">
        <v>0</v>
      </c>
      <c r="T301" s="12">
        <v>4</v>
      </c>
      <c r="U301" s="12" t="s">
        <v>62</v>
      </c>
      <c r="V301" s="12">
        <v>0</v>
      </c>
      <c r="W301" s="12">
        <v>84</v>
      </c>
      <c r="X301" s="12">
        <v>1</v>
      </c>
      <c r="Y301" s="12">
        <v>2</v>
      </c>
      <c r="Z301" s="12" t="s">
        <v>83</v>
      </c>
      <c r="AA301" s="12">
        <v>0</v>
      </c>
      <c r="AB301" s="12">
        <v>0</v>
      </c>
      <c r="AC301" s="12">
        <v>0</v>
      </c>
      <c r="AD301" s="12">
        <v>0</v>
      </c>
      <c r="AE301" s="12">
        <v>1</v>
      </c>
      <c r="AF301" s="12">
        <v>1</v>
      </c>
      <c r="AG301" s="12">
        <v>0</v>
      </c>
      <c r="AH301" s="12">
        <v>0</v>
      </c>
      <c r="AI301" s="12">
        <v>2</v>
      </c>
      <c r="AJ301" s="12" t="s">
        <v>78</v>
      </c>
      <c r="AK301" s="12">
        <v>0</v>
      </c>
      <c r="AL301" s="12">
        <v>0</v>
      </c>
      <c r="AM301" s="12">
        <v>5482</v>
      </c>
      <c r="AN301" s="12">
        <f t="shared" si="62"/>
        <v>5482</v>
      </c>
      <c r="AO301" s="12">
        <v>5</v>
      </c>
      <c r="AP301" s="12" t="s">
        <v>59</v>
      </c>
      <c r="AQ301" s="12">
        <v>0</v>
      </c>
      <c r="AR301" s="12">
        <v>18</v>
      </c>
      <c r="AS301" s="12">
        <v>3</v>
      </c>
      <c r="AT301" s="12">
        <v>4</v>
      </c>
      <c r="AU301" s="12">
        <v>1</v>
      </c>
      <c r="AV301" s="12">
        <v>13</v>
      </c>
      <c r="AW301" s="12">
        <f t="shared" si="63"/>
        <v>13</v>
      </c>
      <c r="AX301" s="12">
        <v>3</v>
      </c>
      <c r="AY301" s="12">
        <v>3</v>
      </c>
      <c r="AZ301" s="12">
        <v>4</v>
      </c>
      <c r="BA301" s="12">
        <f t="shared" si="64"/>
        <v>4</v>
      </c>
      <c r="BB301" s="12">
        <v>1</v>
      </c>
      <c r="BC301" s="12">
        <v>1</v>
      </c>
      <c r="BD301" s="12">
        <f t="shared" si="73"/>
        <v>1</v>
      </c>
      <c r="BE301" s="12">
        <v>2</v>
      </c>
      <c r="BF301" s="12">
        <f t="shared" si="65"/>
        <v>2</v>
      </c>
      <c r="BG301" s="12">
        <f t="shared" si="74"/>
        <v>4</v>
      </c>
      <c r="BH301" s="67">
        <v>1</v>
      </c>
      <c r="BI301" s="67">
        <v>0</v>
      </c>
      <c r="BJ301" s="67">
        <v>0</v>
      </c>
      <c r="BK301" s="67">
        <v>0</v>
      </c>
      <c r="BL301" s="67">
        <v>1</v>
      </c>
      <c r="BM301" s="67">
        <v>0</v>
      </c>
      <c r="BN301" s="67">
        <v>0</v>
      </c>
      <c r="BO301" s="67">
        <v>0</v>
      </c>
      <c r="BP301" s="67">
        <v>0</v>
      </c>
      <c r="BQ301" s="67">
        <v>2</v>
      </c>
      <c r="BR301" s="67">
        <v>0</v>
      </c>
      <c r="BS301" s="67">
        <v>0</v>
      </c>
      <c r="BT301" s="67">
        <v>13</v>
      </c>
      <c r="BU301" s="70">
        <v>0</v>
      </c>
      <c r="BV301" s="29">
        <f t="shared" si="66"/>
        <v>0.21685230760448906</v>
      </c>
      <c r="BW301">
        <f t="shared" si="67"/>
        <v>0.59502473559756086</v>
      </c>
      <c r="BX301">
        <f t="shared" si="68"/>
        <v>0.22110993920818819</v>
      </c>
      <c r="BY301">
        <f t="shared" si="69"/>
        <v>0.49100643357776058</v>
      </c>
      <c r="BZ301">
        <f t="shared" si="70"/>
        <v>0.88721318382472392</v>
      </c>
      <c r="CA301">
        <f t="shared" si="71"/>
        <v>1.5408445525439205</v>
      </c>
      <c r="CB301">
        <f t="shared" si="72"/>
        <v>0.36858985273641137</v>
      </c>
    </row>
    <row r="302" spans="1:80" x14ac:dyDescent="0.45">
      <c r="A302" s="11">
        <v>41</v>
      </c>
      <c r="B302" s="12">
        <f t="shared" si="60"/>
        <v>41</v>
      </c>
      <c r="C302" s="12" t="s">
        <v>59</v>
      </c>
      <c r="D302" s="12">
        <v>0</v>
      </c>
      <c r="E302" s="12" t="s">
        <v>53</v>
      </c>
      <c r="F302" s="12">
        <v>0</v>
      </c>
      <c r="G302" s="12">
        <v>1</v>
      </c>
      <c r="H302" s="12" t="s">
        <v>54</v>
      </c>
      <c r="I302" s="12">
        <v>0</v>
      </c>
      <c r="J302" s="12">
        <v>1</v>
      </c>
      <c r="K302" s="12">
        <v>2</v>
      </c>
      <c r="L302" s="12">
        <f t="shared" si="61"/>
        <v>2</v>
      </c>
      <c r="M302" s="12">
        <v>4</v>
      </c>
      <c r="N302" s="12" t="s">
        <v>55</v>
      </c>
      <c r="O302" s="12">
        <v>1</v>
      </c>
      <c r="P302" s="12">
        <v>0</v>
      </c>
      <c r="Q302" s="12">
        <v>0</v>
      </c>
      <c r="R302" s="12">
        <v>0</v>
      </c>
      <c r="S302" s="12">
        <v>0</v>
      </c>
      <c r="T302" s="12">
        <v>4</v>
      </c>
      <c r="U302" s="12" t="s">
        <v>62</v>
      </c>
      <c r="V302" s="12">
        <v>0</v>
      </c>
      <c r="W302" s="12">
        <v>88</v>
      </c>
      <c r="X302" s="12">
        <v>3</v>
      </c>
      <c r="Y302" s="12">
        <v>4</v>
      </c>
      <c r="Z302" s="12" t="s">
        <v>87</v>
      </c>
      <c r="AA302" s="12">
        <v>0</v>
      </c>
      <c r="AB302" s="12">
        <v>0</v>
      </c>
      <c r="AC302" s="12">
        <v>0</v>
      </c>
      <c r="AD302" s="12">
        <v>1</v>
      </c>
      <c r="AE302" s="12">
        <v>0</v>
      </c>
      <c r="AF302" s="12">
        <v>0</v>
      </c>
      <c r="AG302" s="12">
        <v>0</v>
      </c>
      <c r="AH302" s="12">
        <v>0</v>
      </c>
      <c r="AI302" s="12">
        <v>2</v>
      </c>
      <c r="AJ302" s="12" t="s">
        <v>57</v>
      </c>
      <c r="AK302" s="12">
        <v>1</v>
      </c>
      <c r="AL302" s="12">
        <v>0</v>
      </c>
      <c r="AM302" s="12">
        <v>16015</v>
      </c>
      <c r="AN302" s="12">
        <f t="shared" si="62"/>
        <v>16015</v>
      </c>
      <c r="AO302" s="12">
        <v>1</v>
      </c>
      <c r="AP302" s="12" t="s">
        <v>59</v>
      </c>
      <c r="AQ302" s="12">
        <v>0</v>
      </c>
      <c r="AR302" s="12">
        <v>19</v>
      </c>
      <c r="AS302" s="12">
        <v>3</v>
      </c>
      <c r="AT302" s="12">
        <v>2</v>
      </c>
      <c r="AU302" s="12">
        <v>0</v>
      </c>
      <c r="AV302" s="12">
        <v>22</v>
      </c>
      <c r="AW302" s="12">
        <f t="shared" si="63"/>
        <v>22</v>
      </c>
      <c r="AX302" s="12">
        <v>2</v>
      </c>
      <c r="AY302" s="12">
        <v>3</v>
      </c>
      <c r="AZ302" s="12">
        <v>22</v>
      </c>
      <c r="BA302" s="12">
        <f t="shared" si="64"/>
        <v>22</v>
      </c>
      <c r="BB302" s="12">
        <v>10</v>
      </c>
      <c r="BC302" s="12">
        <v>0</v>
      </c>
      <c r="BD302" s="12">
        <f t="shared" si="73"/>
        <v>0</v>
      </c>
      <c r="BE302" s="12">
        <v>4</v>
      </c>
      <c r="BF302" s="12">
        <f t="shared" si="65"/>
        <v>4</v>
      </c>
      <c r="BG302" s="12">
        <f t="shared" si="74"/>
        <v>16</v>
      </c>
      <c r="BH302" s="67">
        <v>1</v>
      </c>
      <c r="BI302" s="67">
        <v>0</v>
      </c>
      <c r="BJ302" s="67">
        <v>0</v>
      </c>
      <c r="BK302" s="67">
        <v>0</v>
      </c>
      <c r="BL302" s="67">
        <v>1</v>
      </c>
      <c r="BM302" s="67">
        <v>0</v>
      </c>
      <c r="BN302" s="67">
        <v>0</v>
      </c>
      <c r="BO302" s="67">
        <v>0</v>
      </c>
      <c r="BP302" s="67">
        <v>0</v>
      </c>
      <c r="BQ302" s="67">
        <v>0</v>
      </c>
      <c r="BR302" s="67">
        <v>4</v>
      </c>
      <c r="BS302" s="67">
        <v>0</v>
      </c>
      <c r="BT302" s="67">
        <v>0</v>
      </c>
      <c r="BU302" s="70">
        <v>22</v>
      </c>
      <c r="BV302" s="29">
        <f t="shared" si="66"/>
        <v>2.0204239643049</v>
      </c>
      <c r="BW302">
        <f t="shared" si="67"/>
        <v>3.4508002929560584E-2</v>
      </c>
      <c r="BX302">
        <f t="shared" si="68"/>
        <v>1.3778060624681052</v>
      </c>
      <c r="BY302">
        <f t="shared" si="69"/>
        <v>2.4470374905442531</v>
      </c>
      <c r="BZ302">
        <f t="shared" si="70"/>
        <v>0.88721318382472392</v>
      </c>
      <c r="CA302">
        <f t="shared" si="71"/>
        <v>0.4461985578408646</v>
      </c>
      <c r="CB302">
        <f t="shared" si="72"/>
        <v>0.67891464284095016</v>
      </c>
    </row>
    <row r="303" spans="1:80" x14ac:dyDescent="0.45">
      <c r="A303" s="11">
        <v>18</v>
      </c>
      <c r="B303" s="12">
        <f t="shared" si="60"/>
        <v>19</v>
      </c>
      <c r="C303" s="12" t="s">
        <v>59</v>
      </c>
      <c r="D303" s="12">
        <v>0</v>
      </c>
      <c r="E303" s="12" t="s">
        <v>53</v>
      </c>
      <c r="F303" s="12">
        <v>0</v>
      </c>
      <c r="G303" s="12">
        <v>1</v>
      </c>
      <c r="H303" s="12" t="s">
        <v>54</v>
      </c>
      <c r="I303" s="12">
        <v>0</v>
      </c>
      <c r="J303" s="12">
        <v>1</v>
      </c>
      <c r="K303" s="12">
        <v>10</v>
      </c>
      <c r="L303" s="12">
        <f t="shared" si="61"/>
        <v>10</v>
      </c>
      <c r="M303" s="12">
        <v>3</v>
      </c>
      <c r="N303" s="12" t="s">
        <v>70</v>
      </c>
      <c r="O303" s="12">
        <v>0</v>
      </c>
      <c r="P303" s="12">
        <v>0</v>
      </c>
      <c r="Q303" s="12">
        <v>1</v>
      </c>
      <c r="R303" s="12">
        <v>0</v>
      </c>
      <c r="S303" s="12">
        <v>0</v>
      </c>
      <c r="T303" s="12">
        <v>4</v>
      </c>
      <c r="U303" s="12" t="s">
        <v>19</v>
      </c>
      <c r="V303" s="12">
        <v>1</v>
      </c>
      <c r="W303" s="12">
        <v>69</v>
      </c>
      <c r="X303" s="12">
        <v>2</v>
      </c>
      <c r="Y303" s="12">
        <v>1</v>
      </c>
      <c r="Z303" s="12" t="s">
        <v>88</v>
      </c>
      <c r="AA303" s="12">
        <v>0</v>
      </c>
      <c r="AB303" s="12">
        <v>0</v>
      </c>
      <c r="AC303" s="12">
        <v>0</v>
      </c>
      <c r="AD303" s="12">
        <v>0</v>
      </c>
      <c r="AE303" s="12">
        <v>0</v>
      </c>
      <c r="AF303" s="12">
        <v>0</v>
      </c>
      <c r="AG303" s="12">
        <v>1</v>
      </c>
      <c r="AH303" s="12">
        <v>0</v>
      </c>
      <c r="AI303" s="12">
        <v>3</v>
      </c>
      <c r="AJ303" s="12" t="s">
        <v>57</v>
      </c>
      <c r="AK303" s="12">
        <v>1</v>
      </c>
      <c r="AL303" s="12">
        <v>0</v>
      </c>
      <c r="AM303" s="12">
        <v>1200</v>
      </c>
      <c r="AN303" s="12">
        <f t="shared" si="62"/>
        <v>1382.46</v>
      </c>
      <c r="AO303" s="12">
        <v>1</v>
      </c>
      <c r="AP303" s="12" t="s">
        <v>59</v>
      </c>
      <c r="AQ303" s="12">
        <v>0</v>
      </c>
      <c r="AR303" s="12">
        <v>12</v>
      </c>
      <c r="AS303" s="12">
        <v>3</v>
      </c>
      <c r="AT303" s="12">
        <v>1</v>
      </c>
      <c r="AU303" s="12">
        <v>0</v>
      </c>
      <c r="AV303" s="12">
        <v>0</v>
      </c>
      <c r="AW303" s="12">
        <f t="shared" si="63"/>
        <v>1</v>
      </c>
      <c r="AX303" s="12">
        <v>2</v>
      </c>
      <c r="AY303" s="12">
        <v>3</v>
      </c>
      <c r="AZ303" s="12">
        <v>0</v>
      </c>
      <c r="BA303" s="12">
        <f t="shared" si="64"/>
        <v>0</v>
      </c>
      <c r="BB303" s="12">
        <v>0</v>
      </c>
      <c r="BC303" s="12">
        <v>0</v>
      </c>
      <c r="BD303" s="12">
        <f t="shared" si="73"/>
        <v>0</v>
      </c>
      <c r="BE303" s="12">
        <v>0</v>
      </c>
      <c r="BF303" s="12">
        <f t="shared" si="65"/>
        <v>0</v>
      </c>
      <c r="BG303" s="12">
        <f t="shared" si="74"/>
        <v>0</v>
      </c>
      <c r="BH303" s="67">
        <v>1</v>
      </c>
      <c r="BI303" s="67">
        <v>0</v>
      </c>
      <c r="BJ303" s="67">
        <v>0</v>
      </c>
      <c r="BK303" s="67">
        <v>0</v>
      </c>
      <c r="BL303" s="67">
        <v>1</v>
      </c>
      <c r="BM303" s="67">
        <v>0</v>
      </c>
      <c r="BN303" s="67">
        <v>0</v>
      </c>
      <c r="BO303" s="67">
        <v>0</v>
      </c>
      <c r="BP303" s="67">
        <v>0</v>
      </c>
      <c r="BQ303" s="67">
        <v>0</v>
      </c>
      <c r="BR303" s="67">
        <v>0</v>
      </c>
      <c r="BS303" s="67">
        <v>0</v>
      </c>
      <c r="BT303" s="67">
        <v>0</v>
      </c>
      <c r="BU303" s="70">
        <v>1</v>
      </c>
      <c r="BV303" s="29">
        <f t="shared" si="66"/>
        <v>1.1263763744720485</v>
      </c>
      <c r="BW303">
        <f t="shared" si="67"/>
        <v>1.1555414682655611</v>
      </c>
      <c r="BX303">
        <f t="shared" si="68"/>
        <v>1.4496733499450252</v>
      </c>
      <c r="BY303">
        <f t="shared" si="69"/>
        <v>1.1439050833826525</v>
      </c>
      <c r="BZ303">
        <f t="shared" si="70"/>
        <v>9.9604847176766084E-2</v>
      </c>
      <c r="CA303">
        <f t="shared" si="71"/>
        <v>2.0714872299761637</v>
      </c>
      <c r="CB303">
        <f t="shared" si="72"/>
        <v>0.67891464284095016</v>
      </c>
    </row>
    <row r="304" spans="1:80" x14ac:dyDescent="0.45">
      <c r="A304" s="11">
        <v>28</v>
      </c>
      <c r="B304" s="12">
        <f t="shared" si="60"/>
        <v>28</v>
      </c>
      <c r="C304" s="12" t="s">
        <v>59</v>
      </c>
      <c r="D304" s="12">
        <v>0</v>
      </c>
      <c r="E304" s="12" t="s">
        <v>53</v>
      </c>
      <c r="F304" s="12">
        <v>0</v>
      </c>
      <c r="G304" s="12">
        <v>1</v>
      </c>
      <c r="H304" s="12" t="s">
        <v>61</v>
      </c>
      <c r="I304" s="12">
        <v>1</v>
      </c>
      <c r="J304" s="12">
        <v>0</v>
      </c>
      <c r="K304" s="12">
        <v>16</v>
      </c>
      <c r="L304" s="12">
        <f t="shared" si="61"/>
        <v>16</v>
      </c>
      <c r="M304" s="12">
        <v>2</v>
      </c>
      <c r="N304" s="12" t="s">
        <v>70</v>
      </c>
      <c r="O304" s="12">
        <v>0</v>
      </c>
      <c r="P304" s="12">
        <v>0</v>
      </c>
      <c r="Q304" s="12">
        <v>1</v>
      </c>
      <c r="R304" s="12">
        <v>0</v>
      </c>
      <c r="S304" s="12">
        <v>0</v>
      </c>
      <c r="T304" s="12">
        <v>2</v>
      </c>
      <c r="U304" s="12" t="s">
        <v>62</v>
      </c>
      <c r="V304" s="12">
        <v>0</v>
      </c>
      <c r="W304" s="12">
        <v>68</v>
      </c>
      <c r="X304" s="12">
        <v>4</v>
      </c>
      <c r="Y304" s="12">
        <v>2</v>
      </c>
      <c r="Z304" s="12" t="s">
        <v>85</v>
      </c>
      <c r="AA304" s="12">
        <v>1</v>
      </c>
      <c r="AB304" s="12">
        <v>0</v>
      </c>
      <c r="AC304" s="12">
        <v>0</v>
      </c>
      <c r="AD304" s="12">
        <v>0</v>
      </c>
      <c r="AE304" s="12">
        <v>0</v>
      </c>
      <c r="AF304" s="12">
        <v>0</v>
      </c>
      <c r="AG304" s="12">
        <v>0</v>
      </c>
      <c r="AH304" s="12">
        <v>0</v>
      </c>
      <c r="AI304" s="12">
        <v>1</v>
      </c>
      <c r="AJ304" s="12" t="s">
        <v>57</v>
      </c>
      <c r="AK304" s="12">
        <v>1</v>
      </c>
      <c r="AL304" s="12">
        <v>0</v>
      </c>
      <c r="AM304" s="12">
        <v>5661</v>
      </c>
      <c r="AN304" s="12">
        <f t="shared" si="62"/>
        <v>5661</v>
      </c>
      <c r="AO304" s="12">
        <v>0</v>
      </c>
      <c r="AP304" s="12" t="s">
        <v>59</v>
      </c>
      <c r="AQ304" s="12">
        <v>0</v>
      </c>
      <c r="AR304" s="12">
        <v>19</v>
      </c>
      <c r="AS304" s="12">
        <v>3</v>
      </c>
      <c r="AT304" s="12">
        <v>3</v>
      </c>
      <c r="AU304" s="12">
        <v>0</v>
      </c>
      <c r="AV304" s="12">
        <v>9</v>
      </c>
      <c r="AW304" s="12">
        <f t="shared" si="63"/>
        <v>9</v>
      </c>
      <c r="AX304" s="12">
        <v>2</v>
      </c>
      <c r="AY304" s="12">
        <v>3</v>
      </c>
      <c r="AZ304" s="12">
        <v>8</v>
      </c>
      <c r="BA304" s="12">
        <f t="shared" si="64"/>
        <v>8</v>
      </c>
      <c r="BB304" s="12">
        <v>3</v>
      </c>
      <c r="BC304" s="12">
        <v>0</v>
      </c>
      <c r="BD304" s="12">
        <f t="shared" si="73"/>
        <v>0</v>
      </c>
      <c r="BE304" s="12">
        <v>7</v>
      </c>
      <c r="BF304" s="12">
        <f t="shared" si="65"/>
        <v>7</v>
      </c>
      <c r="BG304" s="12">
        <f t="shared" si="74"/>
        <v>14</v>
      </c>
      <c r="BH304" s="67">
        <v>1</v>
      </c>
      <c r="BI304" s="67">
        <v>0</v>
      </c>
      <c r="BJ304" s="67">
        <v>0</v>
      </c>
      <c r="BK304" s="67">
        <v>0</v>
      </c>
      <c r="BL304" s="67">
        <v>1</v>
      </c>
      <c r="BM304" s="67">
        <v>0</v>
      </c>
      <c r="BN304" s="67">
        <v>0</v>
      </c>
      <c r="BO304" s="67">
        <v>0</v>
      </c>
      <c r="BP304" s="67">
        <v>0</v>
      </c>
      <c r="BQ304" s="67">
        <v>7</v>
      </c>
      <c r="BR304" s="67">
        <v>0</v>
      </c>
      <c r="BS304" s="67">
        <v>0</v>
      </c>
      <c r="BT304" s="67">
        <v>9</v>
      </c>
      <c r="BU304" s="70">
        <v>0</v>
      </c>
      <c r="BV304" s="29">
        <f t="shared" si="66"/>
        <v>0.17883156777046452</v>
      </c>
      <c r="BW304">
        <f t="shared" si="67"/>
        <v>0.80626709607243985</v>
      </c>
      <c r="BX304">
        <f t="shared" si="68"/>
        <v>0.29297722668510823</v>
      </c>
      <c r="BY304">
        <f t="shared" si="69"/>
        <v>0.16189221622713135</v>
      </c>
      <c r="BZ304">
        <f t="shared" si="70"/>
        <v>0.83971837042788355</v>
      </c>
      <c r="CA304">
        <f t="shared" si="71"/>
        <v>0.97684123527310796</v>
      </c>
      <c r="CB304">
        <f t="shared" si="72"/>
        <v>0.67891464284095016</v>
      </c>
    </row>
    <row r="305" spans="1:80" x14ac:dyDescent="0.45">
      <c r="A305" s="11">
        <v>31</v>
      </c>
      <c r="B305" s="12">
        <f t="shared" si="60"/>
        <v>31</v>
      </c>
      <c r="C305" s="12" t="s">
        <v>59</v>
      </c>
      <c r="D305" s="12">
        <v>0</v>
      </c>
      <c r="E305" s="12" t="s">
        <v>53</v>
      </c>
      <c r="F305" s="12">
        <v>0</v>
      </c>
      <c r="G305" s="12">
        <v>1</v>
      </c>
      <c r="H305" s="12" t="s">
        <v>54</v>
      </c>
      <c r="I305" s="12">
        <v>0</v>
      </c>
      <c r="J305" s="12">
        <v>1</v>
      </c>
      <c r="K305" s="12">
        <v>7</v>
      </c>
      <c r="L305" s="12">
        <f t="shared" si="61"/>
        <v>7</v>
      </c>
      <c r="M305" s="12">
        <v>3</v>
      </c>
      <c r="N305" s="12" t="s">
        <v>91</v>
      </c>
      <c r="O305" s="12">
        <v>0</v>
      </c>
      <c r="P305" s="12">
        <v>0</v>
      </c>
      <c r="Q305" s="12">
        <v>0</v>
      </c>
      <c r="R305" s="12">
        <v>0</v>
      </c>
      <c r="S305" s="12">
        <v>1</v>
      </c>
      <c r="T305" s="12">
        <v>2</v>
      </c>
      <c r="U305" s="12" t="s">
        <v>62</v>
      </c>
      <c r="V305" s="12">
        <v>0</v>
      </c>
      <c r="W305" s="12">
        <v>100</v>
      </c>
      <c r="X305" s="12">
        <v>4</v>
      </c>
      <c r="Y305" s="12">
        <v>2</v>
      </c>
      <c r="Z305" s="12" t="s">
        <v>56</v>
      </c>
      <c r="AA305" s="12">
        <v>0</v>
      </c>
      <c r="AB305" s="12">
        <v>1</v>
      </c>
      <c r="AC305" s="12">
        <v>0</v>
      </c>
      <c r="AD305" s="12">
        <v>0</v>
      </c>
      <c r="AE305" s="12">
        <v>0</v>
      </c>
      <c r="AF305" s="12">
        <v>0</v>
      </c>
      <c r="AG305" s="12">
        <v>0</v>
      </c>
      <c r="AH305" s="12">
        <v>0</v>
      </c>
      <c r="AI305" s="12">
        <v>4</v>
      </c>
      <c r="AJ305" s="12" t="s">
        <v>64</v>
      </c>
      <c r="AK305" s="12">
        <v>0</v>
      </c>
      <c r="AL305" s="12">
        <v>1</v>
      </c>
      <c r="AM305" s="12">
        <v>6929</v>
      </c>
      <c r="AN305" s="12">
        <f t="shared" si="62"/>
        <v>6929</v>
      </c>
      <c r="AO305" s="12">
        <v>4</v>
      </c>
      <c r="AP305" s="12" t="s">
        <v>59</v>
      </c>
      <c r="AQ305" s="12">
        <v>0</v>
      </c>
      <c r="AR305" s="12">
        <v>11</v>
      </c>
      <c r="AS305" s="12">
        <v>3</v>
      </c>
      <c r="AT305" s="12">
        <v>2</v>
      </c>
      <c r="AU305" s="12">
        <v>1</v>
      </c>
      <c r="AV305" s="12">
        <v>10</v>
      </c>
      <c r="AW305" s="12">
        <f t="shared" si="63"/>
        <v>10</v>
      </c>
      <c r="AX305" s="12">
        <v>3</v>
      </c>
      <c r="AY305" s="12">
        <v>2</v>
      </c>
      <c r="AZ305" s="12">
        <v>8</v>
      </c>
      <c r="BA305" s="12">
        <f t="shared" si="64"/>
        <v>8</v>
      </c>
      <c r="BB305" s="12">
        <v>7</v>
      </c>
      <c r="BC305" s="12">
        <v>7</v>
      </c>
      <c r="BD305" s="12">
        <f t="shared" si="73"/>
        <v>7</v>
      </c>
      <c r="BE305" s="12">
        <v>7</v>
      </c>
      <c r="BF305" s="12">
        <f t="shared" si="65"/>
        <v>7</v>
      </c>
      <c r="BG305" s="12">
        <f t="shared" si="74"/>
        <v>14</v>
      </c>
      <c r="BH305" s="67">
        <v>0</v>
      </c>
      <c r="BI305" s="67">
        <v>1</v>
      </c>
      <c r="BJ305" s="67">
        <v>0</v>
      </c>
      <c r="BK305" s="67">
        <v>0</v>
      </c>
      <c r="BL305" s="67">
        <v>0</v>
      </c>
      <c r="BM305" s="67">
        <v>0</v>
      </c>
      <c r="BN305" s="67">
        <v>1</v>
      </c>
      <c r="BO305" s="67">
        <v>0</v>
      </c>
      <c r="BP305" s="67">
        <v>0</v>
      </c>
      <c r="BQ305" s="67">
        <v>0</v>
      </c>
      <c r="BR305" s="67">
        <v>7</v>
      </c>
      <c r="BS305" s="67">
        <v>0</v>
      </c>
      <c r="BT305" s="67">
        <v>0</v>
      </c>
      <c r="BU305" s="70">
        <v>10</v>
      </c>
      <c r="BV305" s="29">
        <f t="shared" si="66"/>
        <v>9.0499706584525066E-2</v>
      </c>
      <c r="BW305">
        <f t="shared" si="67"/>
        <v>0.80626709607243985</v>
      </c>
      <c r="BX305">
        <f t="shared" si="68"/>
        <v>0.1644554352117841</v>
      </c>
      <c r="BY305">
        <f t="shared" si="69"/>
        <v>0.16189221622713135</v>
      </c>
      <c r="BZ305">
        <f t="shared" si="70"/>
        <v>0.27045191444879263</v>
      </c>
      <c r="CA305">
        <f t="shared" si="71"/>
        <v>0.6484474368621912</v>
      </c>
      <c r="CB305">
        <f t="shared" si="72"/>
        <v>1.4933588878908215</v>
      </c>
    </row>
    <row r="306" spans="1:80" x14ac:dyDescent="0.45">
      <c r="A306" s="11">
        <v>39</v>
      </c>
      <c r="B306" s="12">
        <f t="shared" si="60"/>
        <v>39</v>
      </c>
      <c r="C306" s="12" t="s">
        <v>59</v>
      </c>
      <c r="D306" s="12">
        <v>0</v>
      </c>
      <c r="E306" s="12" t="s">
        <v>53</v>
      </c>
      <c r="F306" s="12">
        <v>0</v>
      </c>
      <c r="G306" s="12">
        <v>1</v>
      </c>
      <c r="H306" s="12" t="s">
        <v>61</v>
      </c>
      <c r="I306" s="12">
        <v>1</v>
      </c>
      <c r="J306" s="12">
        <v>0</v>
      </c>
      <c r="K306" s="12">
        <v>1</v>
      </c>
      <c r="L306" s="12">
        <f t="shared" si="61"/>
        <v>1</v>
      </c>
      <c r="M306" s="12">
        <v>3</v>
      </c>
      <c r="N306" s="12" t="s">
        <v>70</v>
      </c>
      <c r="O306" s="12">
        <v>0</v>
      </c>
      <c r="P306" s="12">
        <v>0</v>
      </c>
      <c r="Q306" s="12">
        <v>1</v>
      </c>
      <c r="R306" s="12">
        <v>0</v>
      </c>
      <c r="S306" s="12">
        <v>0</v>
      </c>
      <c r="T306" s="12">
        <v>3</v>
      </c>
      <c r="U306" s="12" t="s">
        <v>62</v>
      </c>
      <c r="V306" s="12">
        <v>0</v>
      </c>
      <c r="W306" s="12">
        <v>48</v>
      </c>
      <c r="X306" s="12">
        <v>4</v>
      </c>
      <c r="Y306" s="12">
        <v>3</v>
      </c>
      <c r="Z306" s="12" t="s">
        <v>85</v>
      </c>
      <c r="AA306" s="12">
        <v>1</v>
      </c>
      <c r="AB306" s="12">
        <v>0</v>
      </c>
      <c r="AC306" s="12">
        <v>0</v>
      </c>
      <c r="AD306" s="12">
        <v>0</v>
      </c>
      <c r="AE306" s="12">
        <v>0</v>
      </c>
      <c r="AF306" s="12">
        <v>0</v>
      </c>
      <c r="AG306" s="12">
        <v>0</v>
      </c>
      <c r="AH306" s="12">
        <v>0</v>
      </c>
      <c r="AI306" s="12">
        <v>4</v>
      </c>
      <c r="AJ306" s="12" t="s">
        <v>78</v>
      </c>
      <c r="AK306" s="12">
        <v>0</v>
      </c>
      <c r="AL306" s="12">
        <v>0</v>
      </c>
      <c r="AM306" s="12">
        <v>9613</v>
      </c>
      <c r="AN306" s="12">
        <f t="shared" si="62"/>
        <v>9613</v>
      </c>
      <c r="AO306" s="12">
        <v>0</v>
      </c>
      <c r="AP306" s="12" t="s">
        <v>59</v>
      </c>
      <c r="AQ306" s="12">
        <v>0</v>
      </c>
      <c r="AR306" s="12">
        <v>17</v>
      </c>
      <c r="AS306" s="12">
        <v>3</v>
      </c>
      <c r="AT306" s="12">
        <v>1</v>
      </c>
      <c r="AU306" s="12">
        <v>3</v>
      </c>
      <c r="AV306" s="12">
        <v>19</v>
      </c>
      <c r="AW306" s="12">
        <f t="shared" si="63"/>
        <v>19</v>
      </c>
      <c r="AX306" s="12">
        <v>5</v>
      </c>
      <c r="AY306" s="12">
        <v>2</v>
      </c>
      <c r="AZ306" s="12">
        <v>18</v>
      </c>
      <c r="BA306" s="12">
        <f t="shared" si="64"/>
        <v>18</v>
      </c>
      <c r="BB306" s="12">
        <v>10</v>
      </c>
      <c r="BC306" s="12">
        <v>3</v>
      </c>
      <c r="BD306" s="12">
        <f t="shared" si="73"/>
        <v>3</v>
      </c>
      <c r="BE306" s="12">
        <v>7</v>
      </c>
      <c r="BF306" s="12">
        <f t="shared" si="65"/>
        <v>7</v>
      </c>
      <c r="BG306" s="12">
        <f t="shared" si="74"/>
        <v>21</v>
      </c>
      <c r="BH306" s="67">
        <v>1</v>
      </c>
      <c r="BI306" s="67">
        <v>0</v>
      </c>
      <c r="BJ306" s="67">
        <v>0</v>
      </c>
      <c r="BK306" s="67">
        <v>0</v>
      </c>
      <c r="BL306" s="67">
        <v>1</v>
      </c>
      <c r="BM306" s="67">
        <v>0</v>
      </c>
      <c r="BN306" s="67">
        <v>0</v>
      </c>
      <c r="BO306" s="67">
        <v>0</v>
      </c>
      <c r="BP306" s="67">
        <v>0</v>
      </c>
      <c r="BQ306" s="67">
        <v>7</v>
      </c>
      <c r="BR306" s="67">
        <v>0</v>
      </c>
      <c r="BS306" s="67">
        <v>0</v>
      </c>
      <c r="BT306" s="67">
        <v>19</v>
      </c>
      <c r="BU306" s="70">
        <v>0</v>
      </c>
      <c r="BV306" s="29">
        <f t="shared" si="66"/>
        <v>0.66059839772710549</v>
      </c>
      <c r="BW306">
        <f t="shared" si="67"/>
        <v>0.80626709607243985</v>
      </c>
      <c r="BX306">
        <f t="shared" si="68"/>
        <v>0.99224068804813281</v>
      </c>
      <c r="BY306">
        <f t="shared" si="69"/>
        <v>1.794138840739361</v>
      </c>
      <c r="BZ306">
        <f t="shared" si="70"/>
        <v>1.01056543769991</v>
      </c>
      <c r="CA306">
        <f t="shared" si="71"/>
        <v>0.22726935890025346</v>
      </c>
      <c r="CB306">
        <f t="shared" si="72"/>
        <v>0.2520597274726662</v>
      </c>
    </row>
    <row r="307" spans="1:80" x14ac:dyDescent="0.45">
      <c r="A307" s="11">
        <v>36</v>
      </c>
      <c r="B307" s="12">
        <f t="shared" si="60"/>
        <v>36</v>
      </c>
      <c r="C307" s="12" t="s">
        <v>59</v>
      </c>
      <c r="D307" s="12">
        <v>0</v>
      </c>
      <c r="E307" s="12" t="s">
        <v>86</v>
      </c>
      <c r="F307" s="12">
        <v>0</v>
      </c>
      <c r="G307" s="12">
        <v>0</v>
      </c>
      <c r="H307" s="12" t="s">
        <v>61</v>
      </c>
      <c r="I307" s="12">
        <v>1</v>
      </c>
      <c r="J307" s="12">
        <v>0</v>
      </c>
      <c r="K307" s="12">
        <v>24</v>
      </c>
      <c r="L307" s="12">
        <f t="shared" si="61"/>
        <v>24</v>
      </c>
      <c r="M307" s="12">
        <v>4</v>
      </c>
      <c r="N307" s="12" t="s">
        <v>55</v>
      </c>
      <c r="O307" s="12">
        <v>1</v>
      </c>
      <c r="P307" s="12">
        <v>0</v>
      </c>
      <c r="Q307" s="12">
        <v>0</v>
      </c>
      <c r="R307" s="12">
        <v>0</v>
      </c>
      <c r="S307" s="12">
        <v>0</v>
      </c>
      <c r="T307" s="12">
        <v>2</v>
      </c>
      <c r="U307" s="12" t="s">
        <v>19</v>
      </c>
      <c r="V307" s="12">
        <v>1</v>
      </c>
      <c r="W307" s="12">
        <v>47</v>
      </c>
      <c r="X307" s="12">
        <v>3</v>
      </c>
      <c r="Y307" s="12">
        <v>2</v>
      </c>
      <c r="Z307" s="12" t="s">
        <v>67</v>
      </c>
      <c r="AA307" s="12">
        <v>0</v>
      </c>
      <c r="AB307" s="12">
        <v>0</v>
      </c>
      <c r="AC307" s="12">
        <v>1</v>
      </c>
      <c r="AD307" s="12">
        <v>0</v>
      </c>
      <c r="AE307" s="12">
        <v>0</v>
      </c>
      <c r="AF307" s="12">
        <v>0</v>
      </c>
      <c r="AG307" s="12">
        <v>0</v>
      </c>
      <c r="AH307" s="12">
        <v>0</v>
      </c>
      <c r="AI307" s="12">
        <v>2</v>
      </c>
      <c r="AJ307" s="12" t="s">
        <v>64</v>
      </c>
      <c r="AK307" s="12">
        <v>0</v>
      </c>
      <c r="AL307" s="12">
        <v>1</v>
      </c>
      <c r="AM307" s="12">
        <v>5674</v>
      </c>
      <c r="AN307" s="12">
        <f t="shared" si="62"/>
        <v>5674</v>
      </c>
      <c r="AO307" s="12">
        <v>7</v>
      </c>
      <c r="AP307" s="12" t="s">
        <v>59</v>
      </c>
      <c r="AQ307" s="12">
        <v>0</v>
      </c>
      <c r="AR307" s="12">
        <v>15</v>
      </c>
      <c r="AS307" s="12">
        <v>3</v>
      </c>
      <c r="AT307" s="12">
        <v>3</v>
      </c>
      <c r="AU307" s="12">
        <v>1</v>
      </c>
      <c r="AV307" s="12">
        <v>11</v>
      </c>
      <c r="AW307" s="12">
        <f t="shared" si="63"/>
        <v>11</v>
      </c>
      <c r="AX307" s="12">
        <v>3</v>
      </c>
      <c r="AY307" s="12">
        <v>3</v>
      </c>
      <c r="AZ307" s="12">
        <v>9</v>
      </c>
      <c r="BA307" s="12">
        <f t="shared" si="64"/>
        <v>9</v>
      </c>
      <c r="BB307" s="12">
        <v>8</v>
      </c>
      <c r="BC307" s="12">
        <v>0</v>
      </c>
      <c r="BD307" s="12">
        <f t="shared" si="73"/>
        <v>0</v>
      </c>
      <c r="BE307" s="12">
        <v>8</v>
      </c>
      <c r="BF307" s="12">
        <f t="shared" si="65"/>
        <v>8</v>
      </c>
      <c r="BG307" s="12">
        <f t="shared" si="74"/>
        <v>16</v>
      </c>
      <c r="BH307" s="67">
        <v>0</v>
      </c>
      <c r="BI307" s="67">
        <v>1</v>
      </c>
      <c r="BJ307" s="67">
        <v>0</v>
      </c>
      <c r="BK307" s="67">
        <v>0</v>
      </c>
      <c r="BL307" s="67">
        <v>0</v>
      </c>
      <c r="BM307" s="67">
        <v>0</v>
      </c>
      <c r="BN307" s="67">
        <v>1</v>
      </c>
      <c r="BO307" s="67">
        <v>0</v>
      </c>
      <c r="BP307" s="67">
        <v>0</v>
      </c>
      <c r="BQ307" s="67">
        <v>8</v>
      </c>
      <c r="BR307" s="67">
        <v>0</v>
      </c>
      <c r="BS307" s="67">
        <v>0</v>
      </c>
      <c r="BT307" s="67">
        <v>11</v>
      </c>
      <c r="BU307" s="70">
        <v>0</v>
      </c>
      <c r="BV307" s="29">
        <f t="shared" si="66"/>
        <v>0.1760702849892225</v>
      </c>
      <c r="BW307">
        <f t="shared" si="67"/>
        <v>1.08652546240644</v>
      </c>
      <c r="BX307">
        <f t="shared" si="68"/>
        <v>3.593364373846001E-2</v>
      </c>
      <c r="BY307">
        <f t="shared" si="69"/>
        <v>0.32511687867835437</v>
      </c>
      <c r="BZ307">
        <f t="shared" si="70"/>
        <v>1.8265364014293735</v>
      </c>
      <c r="CA307">
        <f t="shared" si="71"/>
        <v>0.10112443951066327</v>
      </c>
      <c r="CB307">
        <f t="shared" si="72"/>
        <v>0.67891464284095016</v>
      </c>
    </row>
    <row r="308" spans="1:80" x14ac:dyDescent="0.45">
      <c r="A308" s="11">
        <v>32</v>
      </c>
      <c r="B308" s="12">
        <f t="shared" si="60"/>
        <v>32</v>
      </c>
      <c r="C308" s="12" t="s">
        <v>59</v>
      </c>
      <c r="D308" s="12">
        <v>0</v>
      </c>
      <c r="E308" s="12" t="s">
        <v>53</v>
      </c>
      <c r="F308" s="12">
        <v>0</v>
      </c>
      <c r="G308" s="12">
        <v>1</v>
      </c>
      <c r="H308" s="12" t="s">
        <v>54</v>
      </c>
      <c r="I308" s="12">
        <v>0</v>
      </c>
      <c r="J308" s="12">
        <v>1</v>
      </c>
      <c r="K308" s="12">
        <v>7</v>
      </c>
      <c r="L308" s="12">
        <f t="shared" si="61"/>
        <v>7</v>
      </c>
      <c r="M308" s="12">
        <v>3</v>
      </c>
      <c r="N308" s="12" t="s">
        <v>55</v>
      </c>
      <c r="O308" s="12">
        <v>1</v>
      </c>
      <c r="P308" s="12">
        <v>0</v>
      </c>
      <c r="Q308" s="12">
        <v>0</v>
      </c>
      <c r="R308" s="12">
        <v>0</v>
      </c>
      <c r="S308" s="12">
        <v>0</v>
      </c>
      <c r="T308" s="12">
        <v>4</v>
      </c>
      <c r="U308" s="12" t="s">
        <v>62</v>
      </c>
      <c r="V308" s="12">
        <v>0</v>
      </c>
      <c r="W308" s="12">
        <v>91</v>
      </c>
      <c r="X308" s="12">
        <v>2</v>
      </c>
      <c r="Y308" s="12">
        <v>2</v>
      </c>
      <c r="Z308" s="12" t="s">
        <v>56</v>
      </c>
      <c r="AA308" s="12">
        <v>0</v>
      </c>
      <c r="AB308" s="12">
        <v>1</v>
      </c>
      <c r="AC308" s="12">
        <v>0</v>
      </c>
      <c r="AD308" s="12">
        <v>0</v>
      </c>
      <c r="AE308" s="12">
        <v>0</v>
      </c>
      <c r="AF308" s="12">
        <v>0</v>
      </c>
      <c r="AG308" s="12">
        <v>0</v>
      </c>
      <c r="AH308" s="12">
        <v>0</v>
      </c>
      <c r="AI308" s="12">
        <v>3</v>
      </c>
      <c r="AJ308" s="12" t="s">
        <v>64</v>
      </c>
      <c r="AK308" s="12">
        <v>0</v>
      </c>
      <c r="AL308" s="12">
        <v>1</v>
      </c>
      <c r="AM308" s="12">
        <v>5484</v>
      </c>
      <c r="AN308" s="12">
        <f t="shared" si="62"/>
        <v>5484</v>
      </c>
      <c r="AO308" s="12">
        <v>1</v>
      </c>
      <c r="AP308" s="12" t="s">
        <v>59</v>
      </c>
      <c r="AQ308" s="12">
        <v>0</v>
      </c>
      <c r="AR308" s="12">
        <v>14</v>
      </c>
      <c r="AS308" s="12">
        <v>3</v>
      </c>
      <c r="AT308" s="12">
        <v>3</v>
      </c>
      <c r="AU308" s="12">
        <v>1</v>
      </c>
      <c r="AV308" s="12">
        <v>13</v>
      </c>
      <c r="AW308" s="12">
        <f t="shared" si="63"/>
        <v>13</v>
      </c>
      <c r="AX308" s="12">
        <v>3</v>
      </c>
      <c r="AY308" s="12">
        <v>2</v>
      </c>
      <c r="AZ308" s="12">
        <v>13</v>
      </c>
      <c r="BA308" s="12">
        <f t="shared" si="64"/>
        <v>13</v>
      </c>
      <c r="BB308" s="12">
        <v>8</v>
      </c>
      <c r="BC308" s="12">
        <v>4</v>
      </c>
      <c r="BD308" s="12">
        <f t="shared" si="73"/>
        <v>4</v>
      </c>
      <c r="BE308" s="12">
        <v>8</v>
      </c>
      <c r="BF308" s="12">
        <f t="shared" si="65"/>
        <v>8</v>
      </c>
      <c r="BG308" s="12">
        <f t="shared" si="74"/>
        <v>16</v>
      </c>
      <c r="BH308" s="67">
        <v>0</v>
      </c>
      <c r="BI308" s="67">
        <v>1</v>
      </c>
      <c r="BJ308" s="67">
        <v>0</v>
      </c>
      <c r="BK308" s="67">
        <v>0</v>
      </c>
      <c r="BL308" s="67">
        <v>0</v>
      </c>
      <c r="BM308" s="67">
        <v>0</v>
      </c>
      <c r="BN308" s="67">
        <v>1</v>
      </c>
      <c r="BO308" s="67">
        <v>0</v>
      </c>
      <c r="BP308" s="67">
        <v>0</v>
      </c>
      <c r="BQ308" s="67">
        <v>0</v>
      </c>
      <c r="BR308" s="67">
        <v>8</v>
      </c>
      <c r="BS308" s="67">
        <v>0</v>
      </c>
      <c r="BT308" s="67">
        <v>0</v>
      </c>
      <c r="BU308" s="70">
        <v>13</v>
      </c>
      <c r="BV308" s="29">
        <f t="shared" si="66"/>
        <v>0.21642749486891338</v>
      </c>
      <c r="BW308">
        <f t="shared" si="67"/>
        <v>1.08652546240644</v>
      </c>
      <c r="BX308">
        <f t="shared" si="68"/>
        <v>0.22110993920818819</v>
      </c>
      <c r="BY308">
        <f t="shared" si="69"/>
        <v>0.97801552848324624</v>
      </c>
      <c r="BZ308">
        <f t="shared" si="70"/>
        <v>0.27045191444879263</v>
      </c>
      <c r="CA308">
        <f t="shared" si="71"/>
        <v>0.53898283739188557</v>
      </c>
      <c r="CB308">
        <f t="shared" si="72"/>
        <v>0.56238451757720498</v>
      </c>
    </row>
    <row r="309" spans="1:80" x14ac:dyDescent="0.45">
      <c r="A309" s="11">
        <v>38</v>
      </c>
      <c r="B309" s="12">
        <f t="shared" si="60"/>
        <v>38</v>
      </c>
      <c r="C309" s="12" t="s">
        <v>59</v>
      </c>
      <c r="D309" s="12">
        <v>0</v>
      </c>
      <c r="E309" s="12" t="s">
        <v>53</v>
      </c>
      <c r="F309" s="12">
        <v>0</v>
      </c>
      <c r="G309" s="12">
        <v>1</v>
      </c>
      <c r="H309" s="12" t="s">
        <v>61</v>
      </c>
      <c r="I309" s="12">
        <v>1</v>
      </c>
      <c r="J309" s="12">
        <v>0</v>
      </c>
      <c r="K309" s="12">
        <v>25</v>
      </c>
      <c r="L309" s="12">
        <f t="shared" si="61"/>
        <v>25</v>
      </c>
      <c r="M309" s="12">
        <v>2</v>
      </c>
      <c r="N309" s="12" t="s">
        <v>55</v>
      </c>
      <c r="O309" s="12">
        <v>1</v>
      </c>
      <c r="P309" s="12">
        <v>0</v>
      </c>
      <c r="Q309" s="12">
        <v>0</v>
      </c>
      <c r="R309" s="12">
        <v>0</v>
      </c>
      <c r="S309" s="12">
        <v>0</v>
      </c>
      <c r="T309" s="12">
        <v>1</v>
      </c>
      <c r="U309" s="12" t="s">
        <v>19</v>
      </c>
      <c r="V309" s="12">
        <v>1</v>
      </c>
      <c r="W309" s="12">
        <v>81</v>
      </c>
      <c r="X309" s="12">
        <v>2</v>
      </c>
      <c r="Y309" s="12">
        <v>3</v>
      </c>
      <c r="Z309" s="12" t="s">
        <v>89</v>
      </c>
      <c r="AA309" s="12">
        <v>0</v>
      </c>
      <c r="AB309" s="12">
        <v>0</v>
      </c>
      <c r="AC309" s="12">
        <v>0</v>
      </c>
      <c r="AD309" s="12">
        <v>0</v>
      </c>
      <c r="AE309" s="12">
        <v>0</v>
      </c>
      <c r="AF309" s="12">
        <v>0</v>
      </c>
      <c r="AG309" s="12">
        <v>0</v>
      </c>
      <c r="AH309" s="12">
        <v>0</v>
      </c>
      <c r="AI309" s="12">
        <v>2</v>
      </c>
      <c r="AJ309" s="12" t="s">
        <v>64</v>
      </c>
      <c r="AK309" s="12">
        <v>0</v>
      </c>
      <c r="AL309" s="12">
        <v>1</v>
      </c>
      <c r="AM309" s="12">
        <v>12061</v>
      </c>
      <c r="AN309" s="12">
        <f t="shared" si="62"/>
        <v>12061</v>
      </c>
      <c r="AO309" s="12">
        <v>3</v>
      </c>
      <c r="AP309" s="12" t="s">
        <v>59</v>
      </c>
      <c r="AQ309" s="12">
        <v>0</v>
      </c>
      <c r="AR309" s="12">
        <v>17</v>
      </c>
      <c r="AS309" s="12">
        <v>3</v>
      </c>
      <c r="AT309" s="12">
        <v>3</v>
      </c>
      <c r="AU309" s="12">
        <v>1</v>
      </c>
      <c r="AV309" s="12">
        <v>19</v>
      </c>
      <c r="AW309" s="12">
        <f t="shared" si="63"/>
        <v>19</v>
      </c>
      <c r="AX309" s="12">
        <v>2</v>
      </c>
      <c r="AY309" s="12">
        <v>3</v>
      </c>
      <c r="AZ309" s="12">
        <v>10</v>
      </c>
      <c r="BA309" s="12">
        <f t="shared" si="64"/>
        <v>10</v>
      </c>
      <c r="BB309" s="12">
        <v>8</v>
      </c>
      <c r="BC309" s="12">
        <v>0</v>
      </c>
      <c r="BD309" s="12">
        <f t="shared" si="73"/>
        <v>0</v>
      </c>
      <c r="BE309" s="12">
        <v>1</v>
      </c>
      <c r="BF309" s="12">
        <f t="shared" si="65"/>
        <v>1</v>
      </c>
      <c r="BG309" s="12">
        <f t="shared" si="74"/>
        <v>3</v>
      </c>
      <c r="BH309" s="67">
        <v>0</v>
      </c>
      <c r="BI309" s="67">
        <v>1</v>
      </c>
      <c r="BJ309" s="67">
        <v>0</v>
      </c>
      <c r="BK309" s="67">
        <v>0</v>
      </c>
      <c r="BL309" s="67">
        <v>0</v>
      </c>
      <c r="BM309" s="67">
        <v>0</v>
      </c>
      <c r="BN309" s="67">
        <v>1</v>
      </c>
      <c r="BO309" s="67">
        <v>0</v>
      </c>
      <c r="BP309" s="67">
        <v>0</v>
      </c>
      <c r="BQ309" s="67">
        <v>1</v>
      </c>
      <c r="BR309" s="67">
        <v>0</v>
      </c>
      <c r="BS309" s="67">
        <v>0</v>
      </c>
      <c r="BT309" s="67">
        <v>19</v>
      </c>
      <c r="BU309" s="70">
        <v>0</v>
      </c>
      <c r="BV309" s="29">
        <f t="shared" si="66"/>
        <v>1.1805691860717542</v>
      </c>
      <c r="BW309">
        <f t="shared" si="67"/>
        <v>0.87528310193156111</v>
      </c>
      <c r="BX309">
        <f t="shared" si="68"/>
        <v>0.99224068804813281</v>
      </c>
      <c r="BY309">
        <f t="shared" si="69"/>
        <v>0.48834154112957734</v>
      </c>
      <c r="BZ309">
        <f t="shared" si="70"/>
        <v>1.9498886553045598</v>
      </c>
      <c r="CA309">
        <f t="shared" si="71"/>
        <v>0.11780475942994788</v>
      </c>
      <c r="CB309">
        <f t="shared" si="72"/>
        <v>0.67891464284095016</v>
      </c>
    </row>
    <row r="310" spans="1:80" x14ac:dyDescent="0.45">
      <c r="A310" s="11">
        <v>58</v>
      </c>
      <c r="B310" s="12">
        <f t="shared" si="60"/>
        <v>58</v>
      </c>
      <c r="C310" s="12" t="s">
        <v>59</v>
      </c>
      <c r="D310" s="12">
        <v>0</v>
      </c>
      <c r="E310" s="12" t="s">
        <v>86</v>
      </c>
      <c r="F310" s="12">
        <v>0</v>
      </c>
      <c r="G310" s="12">
        <v>0</v>
      </c>
      <c r="H310" s="12" t="s">
        <v>61</v>
      </c>
      <c r="I310" s="12">
        <v>1</v>
      </c>
      <c r="J310" s="12">
        <v>0</v>
      </c>
      <c r="K310" s="12">
        <v>1</v>
      </c>
      <c r="L310" s="12">
        <f t="shared" si="61"/>
        <v>1</v>
      </c>
      <c r="M310" s="12">
        <v>4</v>
      </c>
      <c r="N310" s="12" t="s">
        <v>55</v>
      </c>
      <c r="O310" s="12">
        <v>1</v>
      </c>
      <c r="P310" s="12">
        <v>0</v>
      </c>
      <c r="Q310" s="12">
        <v>0</v>
      </c>
      <c r="R310" s="12">
        <v>0</v>
      </c>
      <c r="S310" s="12">
        <v>0</v>
      </c>
      <c r="T310" s="12">
        <v>4</v>
      </c>
      <c r="U310" s="12" t="s">
        <v>62</v>
      </c>
      <c r="V310" s="12">
        <v>0</v>
      </c>
      <c r="W310" s="12">
        <v>32</v>
      </c>
      <c r="X310" s="12">
        <v>1</v>
      </c>
      <c r="Y310" s="12">
        <v>2</v>
      </c>
      <c r="Z310" s="12" t="s">
        <v>85</v>
      </c>
      <c r="AA310" s="12">
        <v>1</v>
      </c>
      <c r="AB310" s="12">
        <v>0</v>
      </c>
      <c r="AC310" s="12">
        <v>0</v>
      </c>
      <c r="AD310" s="12">
        <v>0</v>
      </c>
      <c r="AE310" s="12">
        <v>0</v>
      </c>
      <c r="AF310" s="12">
        <v>0</v>
      </c>
      <c r="AG310" s="12">
        <v>0</v>
      </c>
      <c r="AH310" s="12">
        <v>0</v>
      </c>
      <c r="AI310" s="12">
        <v>3</v>
      </c>
      <c r="AJ310" s="12" t="s">
        <v>78</v>
      </c>
      <c r="AK310" s="12">
        <v>0</v>
      </c>
      <c r="AL310" s="12">
        <v>0</v>
      </c>
      <c r="AM310" s="12">
        <v>5660</v>
      </c>
      <c r="AN310" s="12">
        <f t="shared" si="62"/>
        <v>5660</v>
      </c>
      <c r="AO310" s="12">
        <v>2</v>
      </c>
      <c r="AP310" s="12" t="s">
        <v>52</v>
      </c>
      <c r="AQ310" s="12">
        <v>1</v>
      </c>
      <c r="AR310" s="12">
        <v>13</v>
      </c>
      <c r="AS310" s="12">
        <v>3</v>
      </c>
      <c r="AT310" s="12">
        <v>4</v>
      </c>
      <c r="AU310" s="12">
        <v>1</v>
      </c>
      <c r="AV310" s="12">
        <v>12</v>
      </c>
      <c r="AW310" s="12">
        <f t="shared" si="63"/>
        <v>12</v>
      </c>
      <c r="AX310" s="12">
        <v>2</v>
      </c>
      <c r="AY310" s="12">
        <v>3</v>
      </c>
      <c r="AZ310" s="12">
        <v>5</v>
      </c>
      <c r="BA310" s="12">
        <f t="shared" si="64"/>
        <v>5</v>
      </c>
      <c r="BB310" s="12">
        <v>3</v>
      </c>
      <c r="BC310" s="12">
        <v>1</v>
      </c>
      <c r="BD310" s="12">
        <f t="shared" si="73"/>
        <v>1</v>
      </c>
      <c r="BE310" s="12">
        <v>2</v>
      </c>
      <c r="BF310" s="12">
        <f t="shared" si="65"/>
        <v>2</v>
      </c>
      <c r="BG310" s="12">
        <f t="shared" si="74"/>
        <v>4</v>
      </c>
      <c r="BH310" s="67">
        <v>1</v>
      </c>
      <c r="BI310" s="67">
        <v>0</v>
      </c>
      <c r="BJ310" s="67">
        <v>0</v>
      </c>
      <c r="BK310" s="67">
        <v>0</v>
      </c>
      <c r="BL310" s="67">
        <v>0</v>
      </c>
      <c r="BM310" s="67">
        <v>1</v>
      </c>
      <c r="BN310" s="67">
        <v>0</v>
      </c>
      <c r="BO310" s="67">
        <v>0</v>
      </c>
      <c r="BP310" s="67">
        <v>0</v>
      </c>
      <c r="BQ310" s="67">
        <v>2</v>
      </c>
      <c r="BR310" s="67">
        <v>0</v>
      </c>
      <c r="BS310" s="67">
        <v>0</v>
      </c>
      <c r="BT310" s="67">
        <v>12</v>
      </c>
      <c r="BU310" s="70">
        <v>0</v>
      </c>
      <c r="BV310" s="29">
        <f t="shared" si="66"/>
        <v>0.17904397413825235</v>
      </c>
      <c r="BW310">
        <f t="shared" si="67"/>
        <v>0.59502473559756086</v>
      </c>
      <c r="BX310">
        <f t="shared" si="68"/>
        <v>9.2588147734864096E-2</v>
      </c>
      <c r="BY310">
        <f t="shared" si="69"/>
        <v>0.32778177112653761</v>
      </c>
      <c r="BZ310">
        <f t="shared" si="70"/>
        <v>1.01056543769991</v>
      </c>
      <c r="CA310">
        <f t="shared" si="71"/>
        <v>2.3070967488360594</v>
      </c>
      <c r="CB310">
        <f t="shared" si="72"/>
        <v>0.36858985273641137</v>
      </c>
    </row>
    <row r="311" spans="1:80" x14ac:dyDescent="0.45">
      <c r="A311" s="11">
        <v>31</v>
      </c>
      <c r="B311" s="12">
        <f t="shared" si="60"/>
        <v>31</v>
      </c>
      <c r="C311" s="12" t="s">
        <v>59</v>
      </c>
      <c r="D311" s="12">
        <v>0</v>
      </c>
      <c r="E311" s="12" t="s">
        <v>53</v>
      </c>
      <c r="F311" s="12">
        <v>0</v>
      </c>
      <c r="G311" s="12">
        <v>1</v>
      </c>
      <c r="H311" s="12" t="s">
        <v>61</v>
      </c>
      <c r="I311" s="12">
        <v>1</v>
      </c>
      <c r="J311" s="12">
        <v>0</v>
      </c>
      <c r="K311" s="12">
        <v>5</v>
      </c>
      <c r="L311" s="12">
        <f t="shared" si="61"/>
        <v>5</v>
      </c>
      <c r="M311" s="12">
        <v>4</v>
      </c>
      <c r="N311" s="12" t="s">
        <v>91</v>
      </c>
      <c r="O311" s="12">
        <v>0</v>
      </c>
      <c r="P311" s="12">
        <v>0</v>
      </c>
      <c r="Q311" s="12">
        <v>0</v>
      </c>
      <c r="R311" s="12">
        <v>0</v>
      </c>
      <c r="S311" s="12">
        <v>1</v>
      </c>
      <c r="T311" s="12">
        <v>3</v>
      </c>
      <c r="U311" s="12" t="s">
        <v>62</v>
      </c>
      <c r="V311" s="12">
        <v>0</v>
      </c>
      <c r="W311" s="12">
        <v>86</v>
      </c>
      <c r="X311" s="12">
        <v>3</v>
      </c>
      <c r="Y311" s="12">
        <v>1</v>
      </c>
      <c r="Z311" s="12" t="s">
        <v>63</v>
      </c>
      <c r="AA311" s="12">
        <v>0</v>
      </c>
      <c r="AB311" s="12">
        <v>0</v>
      </c>
      <c r="AC311" s="12">
        <v>0</v>
      </c>
      <c r="AD311" s="12">
        <v>0</v>
      </c>
      <c r="AE311" s="12">
        <v>0</v>
      </c>
      <c r="AF311" s="12">
        <v>0</v>
      </c>
      <c r="AG311" s="12">
        <v>0</v>
      </c>
      <c r="AH311" s="12">
        <v>1</v>
      </c>
      <c r="AI311" s="12">
        <v>4</v>
      </c>
      <c r="AJ311" s="12" t="s">
        <v>64</v>
      </c>
      <c r="AK311" s="12">
        <v>0</v>
      </c>
      <c r="AL311" s="12">
        <v>1</v>
      </c>
      <c r="AM311" s="12">
        <v>4821</v>
      </c>
      <c r="AN311" s="12">
        <f t="shared" si="62"/>
        <v>4821</v>
      </c>
      <c r="AO311" s="12">
        <v>0</v>
      </c>
      <c r="AP311" s="12" t="s">
        <v>52</v>
      </c>
      <c r="AQ311" s="12">
        <v>1</v>
      </c>
      <c r="AR311" s="12">
        <v>12</v>
      </c>
      <c r="AS311" s="12">
        <v>3</v>
      </c>
      <c r="AT311" s="12">
        <v>3</v>
      </c>
      <c r="AU311" s="12">
        <v>1</v>
      </c>
      <c r="AV311" s="12">
        <v>6</v>
      </c>
      <c r="AW311" s="12">
        <f t="shared" si="63"/>
        <v>6</v>
      </c>
      <c r="AX311" s="12">
        <v>4</v>
      </c>
      <c r="AY311" s="12">
        <v>3</v>
      </c>
      <c r="AZ311" s="12">
        <v>5</v>
      </c>
      <c r="BA311" s="12">
        <f t="shared" si="64"/>
        <v>5</v>
      </c>
      <c r="BB311" s="12">
        <v>2</v>
      </c>
      <c r="BC311" s="12">
        <v>0</v>
      </c>
      <c r="BD311" s="12">
        <f t="shared" si="73"/>
        <v>0</v>
      </c>
      <c r="BE311" s="12">
        <v>3</v>
      </c>
      <c r="BF311" s="12">
        <f t="shared" si="65"/>
        <v>3</v>
      </c>
      <c r="BG311" s="12">
        <f t="shared" si="74"/>
        <v>3</v>
      </c>
      <c r="BH311" s="67">
        <v>0</v>
      </c>
      <c r="BI311" s="67">
        <v>1</v>
      </c>
      <c r="BJ311" s="67">
        <v>0</v>
      </c>
      <c r="BK311" s="67">
        <v>0</v>
      </c>
      <c r="BL311" s="67">
        <v>0</v>
      </c>
      <c r="BM311" s="67">
        <v>0</v>
      </c>
      <c r="BN311" s="67">
        <v>0</v>
      </c>
      <c r="BO311" s="67">
        <v>1</v>
      </c>
      <c r="BP311" s="67">
        <v>0</v>
      </c>
      <c r="BQ311" s="67">
        <v>3</v>
      </c>
      <c r="BR311" s="67">
        <v>0</v>
      </c>
      <c r="BS311" s="67">
        <v>0</v>
      </c>
      <c r="BT311" s="67">
        <v>6</v>
      </c>
      <c r="BU311" s="70">
        <v>0</v>
      </c>
      <c r="BV311" s="29">
        <f t="shared" si="66"/>
        <v>0.35725291671225573</v>
      </c>
      <c r="BW311">
        <f t="shared" si="67"/>
        <v>0.31476636926356072</v>
      </c>
      <c r="BX311">
        <f t="shared" si="68"/>
        <v>0.67854260110508058</v>
      </c>
      <c r="BY311">
        <f t="shared" si="69"/>
        <v>0.32778177112653761</v>
      </c>
      <c r="BZ311">
        <f t="shared" si="70"/>
        <v>0.51715642219916513</v>
      </c>
      <c r="CA311">
        <f t="shared" si="71"/>
        <v>0.6484474368621912</v>
      </c>
      <c r="CB311">
        <f t="shared" si="72"/>
        <v>0.67891464284095016</v>
      </c>
    </row>
    <row r="312" spans="1:80" x14ac:dyDescent="0.45">
      <c r="A312" s="11">
        <v>31</v>
      </c>
      <c r="B312" s="12">
        <f t="shared" si="60"/>
        <v>31</v>
      </c>
      <c r="C312" s="12" t="s">
        <v>59</v>
      </c>
      <c r="D312" s="12">
        <v>0</v>
      </c>
      <c r="E312" s="12" t="s">
        <v>53</v>
      </c>
      <c r="F312" s="12">
        <v>0</v>
      </c>
      <c r="G312" s="12">
        <v>1</v>
      </c>
      <c r="H312" s="12" t="s">
        <v>97</v>
      </c>
      <c r="I312" s="12">
        <v>0</v>
      </c>
      <c r="J312" s="12">
        <v>0</v>
      </c>
      <c r="K312" s="12">
        <v>2</v>
      </c>
      <c r="L312" s="12">
        <f t="shared" si="61"/>
        <v>2</v>
      </c>
      <c r="M312" s="12">
        <v>3</v>
      </c>
      <c r="N312" s="12" t="s">
        <v>97</v>
      </c>
      <c r="O312" s="12">
        <v>0</v>
      </c>
      <c r="P312" s="12">
        <v>0</v>
      </c>
      <c r="Q312" s="12">
        <v>0</v>
      </c>
      <c r="R312" s="12">
        <v>0</v>
      </c>
      <c r="S312" s="12">
        <v>0</v>
      </c>
      <c r="T312" s="12">
        <v>1</v>
      </c>
      <c r="U312" s="12" t="s">
        <v>62</v>
      </c>
      <c r="V312" s="12">
        <v>0</v>
      </c>
      <c r="W312" s="12">
        <v>62</v>
      </c>
      <c r="X312" s="12">
        <v>2</v>
      </c>
      <c r="Y312" s="12">
        <v>2</v>
      </c>
      <c r="Z312" s="12" t="s">
        <v>97</v>
      </c>
      <c r="AA312" s="12">
        <v>0</v>
      </c>
      <c r="AB312" s="12">
        <v>0</v>
      </c>
      <c r="AC312" s="12">
        <v>0</v>
      </c>
      <c r="AD312" s="12">
        <v>0</v>
      </c>
      <c r="AE312" s="12">
        <v>0</v>
      </c>
      <c r="AF312" s="12">
        <v>0</v>
      </c>
      <c r="AG312" s="12">
        <v>0</v>
      </c>
      <c r="AH312" s="12">
        <v>0</v>
      </c>
      <c r="AI312" s="12">
        <v>1</v>
      </c>
      <c r="AJ312" s="12" t="s">
        <v>64</v>
      </c>
      <c r="AK312" s="12">
        <v>0</v>
      </c>
      <c r="AL312" s="12">
        <v>1</v>
      </c>
      <c r="AM312" s="12">
        <v>6410</v>
      </c>
      <c r="AN312" s="12">
        <f t="shared" si="62"/>
        <v>6410</v>
      </c>
      <c r="AO312" s="12">
        <v>3</v>
      </c>
      <c r="AP312" s="12" t="s">
        <v>59</v>
      </c>
      <c r="AQ312" s="12">
        <v>0</v>
      </c>
      <c r="AR312" s="12">
        <v>12</v>
      </c>
      <c r="AS312" s="12">
        <v>3</v>
      </c>
      <c r="AT312" s="12">
        <v>4</v>
      </c>
      <c r="AU312" s="12">
        <v>0</v>
      </c>
      <c r="AV312" s="12">
        <v>9</v>
      </c>
      <c r="AW312" s="12">
        <f t="shared" si="63"/>
        <v>9</v>
      </c>
      <c r="AX312" s="12">
        <v>1</v>
      </c>
      <c r="AY312" s="12">
        <v>3</v>
      </c>
      <c r="AZ312" s="12">
        <v>2</v>
      </c>
      <c r="BA312" s="12">
        <f t="shared" si="64"/>
        <v>2</v>
      </c>
      <c r="BB312" s="12">
        <v>2</v>
      </c>
      <c r="BC312" s="12">
        <v>1</v>
      </c>
      <c r="BD312" s="12">
        <f t="shared" si="73"/>
        <v>1</v>
      </c>
      <c r="BE312" s="12">
        <v>0</v>
      </c>
      <c r="BF312" s="12">
        <f t="shared" si="65"/>
        <v>0</v>
      </c>
      <c r="BG312" s="12">
        <f t="shared" si="74"/>
        <v>0</v>
      </c>
      <c r="BH312" s="67">
        <v>0</v>
      </c>
      <c r="BI312" s="67">
        <v>1</v>
      </c>
      <c r="BJ312" s="67">
        <v>0</v>
      </c>
      <c r="BK312" s="67">
        <v>0</v>
      </c>
      <c r="BL312" s="67">
        <v>0</v>
      </c>
      <c r="BM312" s="67">
        <v>0</v>
      </c>
      <c r="BN312" s="67">
        <v>1</v>
      </c>
      <c r="BO312" s="67">
        <v>0</v>
      </c>
      <c r="BP312" s="67">
        <v>0</v>
      </c>
      <c r="BQ312" s="67">
        <v>0</v>
      </c>
      <c r="BR312" s="67">
        <v>0</v>
      </c>
      <c r="BS312" s="67">
        <v>9</v>
      </c>
      <c r="BT312" s="67">
        <v>0</v>
      </c>
      <c r="BU312" s="70">
        <v>0</v>
      </c>
      <c r="BV312" s="29">
        <f t="shared" si="66"/>
        <v>1.9739198297367356E-2</v>
      </c>
      <c r="BW312">
        <f t="shared" si="67"/>
        <v>1.1555414682655611</v>
      </c>
      <c r="BX312">
        <f t="shared" si="68"/>
        <v>0.29297722668510823</v>
      </c>
      <c r="BY312">
        <f t="shared" si="69"/>
        <v>0.81745575848020657</v>
      </c>
      <c r="BZ312">
        <f t="shared" si="70"/>
        <v>0.88721318382472392</v>
      </c>
      <c r="CA312">
        <f t="shared" si="71"/>
        <v>0.6484474368621912</v>
      </c>
      <c r="CB312">
        <f t="shared" si="72"/>
        <v>0.36858985273641137</v>
      </c>
    </row>
    <row r="313" spans="1:80" x14ac:dyDescent="0.45">
      <c r="A313" s="11">
        <v>45</v>
      </c>
      <c r="B313" s="12">
        <f t="shared" si="60"/>
        <v>45</v>
      </c>
      <c r="C313" s="12" t="s">
        <v>59</v>
      </c>
      <c r="D313" s="12">
        <v>0</v>
      </c>
      <c r="E313" s="12" t="s">
        <v>60</v>
      </c>
      <c r="F313" s="12">
        <v>1</v>
      </c>
      <c r="G313" s="12">
        <v>0</v>
      </c>
      <c r="H313" s="12" t="s">
        <v>61</v>
      </c>
      <c r="I313" s="12">
        <v>1</v>
      </c>
      <c r="J313" s="12">
        <v>0</v>
      </c>
      <c r="K313" s="12">
        <v>7</v>
      </c>
      <c r="L313" s="12">
        <f t="shared" si="61"/>
        <v>7</v>
      </c>
      <c r="M313" s="12">
        <v>3</v>
      </c>
      <c r="N313" s="12" t="s">
        <v>55</v>
      </c>
      <c r="O313" s="12">
        <v>1</v>
      </c>
      <c r="P313" s="12">
        <v>0</v>
      </c>
      <c r="Q313" s="12">
        <v>0</v>
      </c>
      <c r="R313" s="12">
        <v>0</v>
      </c>
      <c r="S313" s="12">
        <v>0</v>
      </c>
      <c r="T313" s="12">
        <v>1</v>
      </c>
      <c r="U313" s="12" t="s">
        <v>62</v>
      </c>
      <c r="V313" s="12">
        <v>0</v>
      </c>
      <c r="W313" s="12">
        <v>97</v>
      </c>
      <c r="X313" s="12">
        <v>3</v>
      </c>
      <c r="Y313" s="12">
        <v>3</v>
      </c>
      <c r="Z313" s="12" t="s">
        <v>67</v>
      </c>
      <c r="AA313" s="12">
        <v>0</v>
      </c>
      <c r="AB313" s="12">
        <v>0</v>
      </c>
      <c r="AC313" s="12">
        <v>1</v>
      </c>
      <c r="AD313" s="12">
        <v>0</v>
      </c>
      <c r="AE313" s="12">
        <v>0</v>
      </c>
      <c r="AF313" s="12">
        <v>0</v>
      </c>
      <c r="AG313" s="12">
        <v>0</v>
      </c>
      <c r="AH313" s="12">
        <v>0</v>
      </c>
      <c r="AI313" s="12">
        <v>1</v>
      </c>
      <c r="AJ313" s="12" t="s">
        <v>78</v>
      </c>
      <c r="AK313" s="12">
        <v>0</v>
      </c>
      <c r="AL313" s="12">
        <v>0</v>
      </c>
      <c r="AM313" s="12">
        <v>5210</v>
      </c>
      <c r="AN313" s="12">
        <f t="shared" si="62"/>
        <v>5210</v>
      </c>
      <c r="AO313" s="12">
        <v>1</v>
      </c>
      <c r="AP313" s="12" t="s">
        <v>59</v>
      </c>
      <c r="AQ313" s="12">
        <v>0</v>
      </c>
      <c r="AR313" s="12">
        <v>18</v>
      </c>
      <c r="AS313" s="12">
        <v>3</v>
      </c>
      <c r="AT313" s="12">
        <v>1</v>
      </c>
      <c r="AU313" s="12">
        <v>1</v>
      </c>
      <c r="AV313" s="12">
        <v>24</v>
      </c>
      <c r="AW313" s="12">
        <f t="shared" si="63"/>
        <v>24</v>
      </c>
      <c r="AX313" s="12">
        <v>2</v>
      </c>
      <c r="AY313" s="12">
        <v>3</v>
      </c>
      <c r="AZ313" s="12">
        <v>24</v>
      </c>
      <c r="BA313" s="12">
        <f t="shared" si="64"/>
        <v>24</v>
      </c>
      <c r="BB313" s="12">
        <v>9</v>
      </c>
      <c r="BC313" s="12">
        <v>9</v>
      </c>
      <c r="BD313" s="12">
        <f t="shared" si="73"/>
        <v>9</v>
      </c>
      <c r="BE313" s="12">
        <v>11</v>
      </c>
      <c r="BF313" s="12">
        <f t="shared" si="65"/>
        <v>11</v>
      </c>
      <c r="BG313" s="12">
        <f t="shared" si="74"/>
        <v>33</v>
      </c>
      <c r="BH313" s="67">
        <v>0</v>
      </c>
      <c r="BI313" s="67">
        <v>0</v>
      </c>
      <c r="BJ313" s="67">
        <v>1</v>
      </c>
      <c r="BK313" s="67">
        <v>0</v>
      </c>
      <c r="BL313" s="67">
        <v>1</v>
      </c>
      <c r="BM313" s="67">
        <v>0</v>
      </c>
      <c r="BN313" s="67">
        <v>0</v>
      </c>
      <c r="BO313" s="67">
        <v>0</v>
      </c>
      <c r="BP313" s="67">
        <v>0</v>
      </c>
      <c r="BQ313" s="67">
        <v>11</v>
      </c>
      <c r="BR313" s="67">
        <v>0</v>
      </c>
      <c r="BS313" s="67">
        <v>0</v>
      </c>
      <c r="BT313" s="67">
        <v>24</v>
      </c>
      <c r="BU313" s="70">
        <v>0</v>
      </c>
      <c r="BV313" s="29">
        <f t="shared" si="66"/>
        <v>0.27462683964278334</v>
      </c>
      <c r="BW313">
        <f t="shared" si="67"/>
        <v>1.9273005614084406</v>
      </c>
      <c r="BX313">
        <f t="shared" si="68"/>
        <v>1.6348496454147534</v>
      </c>
      <c r="BY313">
        <f t="shared" si="69"/>
        <v>2.7734868154466992</v>
      </c>
      <c r="BZ313">
        <f t="shared" si="70"/>
        <v>0.27045191444879263</v>
      </c>
      <c r="CA313">
        <f t="shared" si="71"/>
        <v>0.88405695572208698</v>
      </c>
      <c r="CB313">
        <f t="shared" si="72"/>
        <v>2.114008468099899</v>
      </c>
    </row>
    <row r="314" spans="1:80" x14ac:dyDescent="0.45">
      <c r="A314" s="11">
        <v>31</v>
      </c>
      <c r="B314" s="12">
        <f t="shared" si="60"/>
        <v>31</v>
      </c>
      <c r="C314" s="12" t="s">
        <v>59</v>
      </c>
      <c r="D314" s="12">
        <v>0</v>
      </c>
      <c r="E314" s="12" t="s">
        <v>53</v>
      </c>
      <c r="F314" s="12">
        <v>0</v>
      </c>
      <c r="G314" s="12">
        <v>1</v>
      </c>
      <c r="H314" s="12" t="s">
        <v>61</v>
      </c>
      <c r="I314" s="12">
        <v>1</v>
      </c>
      <c r="J314" s="12">
        <v>0</v>
      </c>
      <c r="K314" s="12">
        <v>2</v>
      </c>
      <c r="L314" s="12">
        <f t="shared" si="61"/>
        <v>2</v>
      </c>
      <c r="M314" s="12">
        <v>4</v>
      </c>
      <c r="N314" s="12" t="s">
        <v>55</v>
      </c>
      <c r="O314" s="12">
        <v>1</v>
      </c>
      <c r="P314" s="12">
        <v>0</v>
      </c>
      <c r="Q314" s="12">
        <v>0</v>
      </c>
      <c r="R314" s="12">
        <v>0</v>
      </c>
      <c r="S314" s="12">
        <v>0</v>
      </c>
      <c r="T314" s="12">
        <v>3</v>
      </c>
      <c r="U314" s="12" t="s">
        <v>62</v>
      </c>
      <c r="V314" s="12">
        <v>0</v>
      </c>
      <c r="W314" s="12">
        <v>32</v>
      </c>
      <c r="X314" s="12">
        <v>3</v>
      </c>
      <c r="Y314" s="12">
        <v>1</v>
      </c>
      <c r="Z314" s="12" t="s">
        <v>63</v>
      </c>
      <c r="AA314" s="12">
        <v>0</v>
      </c>
      <c r="AB314" s="12">
        <v>0</v>
      </c>
      <c r="AC314" s="12">
        <v>0</v>
      </c>
      <c r="AD314" s="12">
        <v>0</v>
      </c>
      <c r="AE314" s="12">
        <v>0</v>
      </c>
      <c r="AF314" s="12">
        <v>0</v>
      </c>
      <c r="AG314" s="12">
        <v>0</v>
      </c>
      <c r="AH314" s="12">
        <v>1</v>
      </c>
      <c r="AI314" s="12">
        <v>4</v>
      </c>
      <c r="AJ314" s="12" t="s">
        <v>78</v>
      </c>
      <c r="AK314" s="12">
        <v>0</v>
      </c>
      <c r="AL314" s="12">
        <v>0</v>
      </c>
      <c r="AM314" s="12">
        <v>2695</v>
      </c>
      <c r="AN314" s="12">
        <f t="shared" si="62"/>
        <v>2695</v>
      </c>
      <c r="AO314" s="12">
        <v>0</v>
      </c>
      <c r="AP314" s="12" t="s">
        <v>52</v>
      </c>
      <c r="AQ314" s="12">
        <v>1</v>
      </c>
      <c r="AR314" s="12">
        <v>18</v>
      </c>
      <c r="AS314" s="12">
        <v>3</v>
      </c>
      <c r="AT314" s="12">
        <v>2</v>
      </c>
      <c r="AU314" s="12">
        <v>1</v>
      </c>
      <c r="AV314" s="12">
        <v>3</v>
      </c>
      <c r="AW314" s="12">
        <f t="shared" si="63"/>
        <v>3</v>
      </c>
      <c r="AX314" s="12">
        <v>2</v>
      </c>
      <c r="AY314" s="12">
        <v>1</v>
      </c>
      <c r="AZ314" s="12">
        <v>2</v>
      </c>
      <c r="BA314" s="12">
        <f t="shared" si="64"/>
        <v>2</v>
      </c>
      <c r="BB314" s="12">
        <v>2</v>
      </c>
      <c r="BC314" s="12">
        <v>2</v>
      </c>
      <c r="BD314" s="12">
        <f t="shared" si="73"/>
        <v>2</v>
      </c>
      <c r="BE314" s="12">
        <v>2</v>
      </c>
      <c r="BF314" s="12">
        <f t="shared" si="65"/>
        <v>2</v>
      </c>
      <c r="BG314" s="12">
        <f t="shared" si="74"/>
        <v>2</v>
      </c>
      <c r="BH314" s="67">
        <v>1</v>
      </c>
      <c r="BI314" s="67">
        <v>0</v>
      </c>
      <c r="BJ314" s="67">
        <v>0</v>
      </c>
      <c r="BK314" s="67">
        <v>0</v>
      </c>
      <c r="BL314" s="67">
        <v>0</v>
      </c>
      <c r="BM314" s="67">
        <v>1</v>
      </c>
      <c r="BN314" s="67">
        <v>0</v>
      </c>
      <c r="BO314" s="67">
        <v>0</v>
      </c>
      <c r="BP314" s="67">
        <v>0</v>
      </c>
      <c r="BQ314" s="67">
        <v>2</v>
      </c>
      <c r="BR314" s="67">
        <v>0</v>
      </c>
      <c r="BS314" s="67">
        <v>0</v>
      </c>
      <c r="BT314" s="67">
        <v>3</v>
      </c>
      <c r="BU314" s="70">
        <v>0</v>
      </c>
      <c r="BV314" s="29">
        <f t="shared" si="66"/>
        <v>0.80882885462921772</v>
      </c>
      <c r="BW314">
        <f t="shared" si="67"/>
        <v>0.59502473559756086</v>
      </c>
      <c r="BX314">
        <f t="shared" si="68"/>
        <v>1.0641079755250529</v>
      </c>
      <c r="BY314">
        <f t="shared" si="69"/>
        <v>0.81745575848020657</v>
      </c>
      <c r="BZ314">
        <f t="shared" si="70"/>
        <v>0.88721318382472392</v>
      </c>
      <c r="CA314">
        <f t="shared" si="71"/>
        <v>0.6484474368621912</v>
      </c>
      <c r="CB314">
        <f t="shared" si="72"/>
        <v>5.8265062631872602E-2</v>
      </c>
    </row>
    <row r="315" spans="1:80" x14ac:dyDescent="0.45">
      <c r="A315" s="11">
        <v>33</v>
      </c>
      <c r="B315" s="12">
        <f t="shared" si="60"/>
        <v>33</v>
      </c>
      <c r="C315" s="12" t="s">
        <v>59</v>
      </c>
      <c r="D315" s="12">
        <v>0</v>
      </c>
      <c r="E315" s="12" t="s">
        <v>60</v>
      </c>
      <c r="F315" s="12">
        <v>1</v>
      </c>
      <c r="G315" s="12">
        <v>0</v>
      </c>
      <c r="H315" s="12" t="s">
        <v>61</v>
      </c>
      <c r="I315" s="12">
        <v>1</v>
      </c>
      <c r="J315" s="12">
        <v>0</v>
      </c>
      <c r="K315" s="12">
        <v>5</v>
      </c>
      <c r="L315" s="12">
        <f t="shared" si="61"/>
        <v>5</v>
      </c>
      <c r="M315" s="12">
        <v>4</v>
      </c>
      <c r="N315" s="12" t="s">
        <v>55</v>
      </c>
      <c r="O315" s="12">
        <v>1</v>
      </c>
      <c r="P315" s="12">
        <v>0</v>
      </c>
      <c r="Q315" s="12">
        <v>0</v>
      </c>
      <c r="R315" s="12">
        <v>0</v>
      </c>
      <c r="S315" s="12">
        <v>0</v>
      </c>
      <c r="T315" s="12">
        <v>4</v>
      </c>
      <c r="U315" s="12" t="s">
        <v>19</v>
      </c>
      <c r="V315" s="12">
        <v>1</v>
      </c>
      <c r="W315" s="12">
        <v>74</v>
      </c>
      <c r="X315" s="12">
        <v>3</v>
      </c>
      <c r="Y315" s="12">
        <v>3</v>
      </c>
      <c r="Z315" s="12" t="s">
        <v>87</v>
      </c>
      <c r="AA315" s="12">
        <v>0</v>
      </c>
      <c r="AB315" s="12">
        <v>0</v>
      </c>
      <c r="AC315" s="12">
        <v>0</v>
      </c>
      <c r="AD315" s="12">
        <v>1</v>
      </c>
      <c r="AE315" s="12">
        <v>0</v>
      </c>
      <c r="AF315" s="12">
        <v>0</v>
      </c>
      <c r="AG315" s="12">
        <v>0</v>
      </c>
      <c r="AH315" s="12">
        <v>0</v>
      </c>
      <c r="AI315" s="12">
        <v>2</v>
      </c>
      <c r="AJ315" s="12" t="s">
        <v>64</v>
      </c>
      <c r="AK315" s="12">
        <v>0</v>
      </c>
      <c r="AL315" s="12">
        <v>1</v>
      </c>
      <c r="AM315" s="12">
        <v>11878</v>
      </c>
      <c r="AN315" s="12">
        <f t="shared" si="62"/>
        <v>11878</v>
      </c>
      <c r="AO315" s="12">
        <v>6</v>
      </c>
      <c r="AP315" s="12" t="s">
        <v>59</v>
      </c>
      <c r="AQ315" s="12">
        <v>0</v>
      </c>
      <c r="AR315" s="12">
        <v>11</v>
      </c>
      <c r="AS315" s="12">
        <v>3</v>
      </c>
      <c r="AT315" s="12">
        <v>2</v>
      </c>
      <c r="AU315" s="12">
        <v>2</v>
      </c>
      <c r="AV315" s="12">
        <v>12</v>
      </c>
      <c r="AW315" s="12">
        <f t="shared" si="63"/>
        <v>12</v>
      </c>
      <c r="AX315" s="12">
        <v>2</v>
      </c>
      <c r="AY315" s="12">
        <v>3</v>
      </c>
      <c r="AZ315" s="12">
        <v>10</v>
      </c>
      <c r="BA315" s="12">
        <f t="shared" si="64"/>
        <v>10</v>
      </c>
      <c r="BB315" s="12">
        <v>6</v>
      </c>
      <c r="BC315" s="12">
        <v>8</v>
      </c>
      <c r="BD315" s="12">
        <f t="shared" si="73"/>
        <v>8</v>
      </c>
      <c r="BE315" s="12">
        <v>8</v>
      </c>
      <c r="BF315" s="12">
        <f t="shared" si="65"/>
        <v>8</v>
      </c>
      <c r="BG315" s="12">
        <f t="shared" si="74"/>
        <v>24</v>
      </c>
      <c r="BH315" s="67">
        <v>0</v>
      </c>
      <c r="BI315" s="67">
        <v>0</v>
      </c>
      <c r="BJ315" s="67">
        <v>0</v>
      </c>
      <c r="BK315" s="67">
        <v>1</v>
      </c>
      <c r="BL315" s="67">
        <v>0</v>
      </c>
      <c r="BM315" s="67">
        <v>0</v>
      </c>
      <c r="BN315" s="67">
        <v>1</v>
      </c>
      <c r="BO315" s="67">
        <v>0</v>
      </c>
      <c r="BP315" s="67">
        <v>0</v>
      </c>
      <c r="BQ315" s="67">
        <v>8</v>
      </c>
      <c r="BR315" s="67">
        <v>0</v>
      </c>
      <c r="BS315" s="67">
        <v>0</v>
      </c>
      <c r="BT315" s="67">
        <v>12</v>
      </c>
      <c r="BU315" s="70">
        <v>0</v>
      </c>
      <c r="BV315" s="29">
        <f t="shared" si="66"/>
        <v>1.1416988207665781</v>
      </c>
      <c r="BW315">
        <f t="shared" si="67"/>
        <v>1.08652546240644</v>
      </c>
      <c r="BX315">
        <f t="shared" si="68"/>
        <v>9.2588147734864096E-2</v>
      </c>
      <c r="BY315">
        <f t="shared" si="69"/>
        <v>0.48834154112957734</v>
      </c>
      <c r="BZ315">
        <f t="shared" si="70"/>
        <v>0.51715642219916513</v>
      </c>
      <c r="CA315">
        <f t="shared" si="71"/>
        <v>0.42951823792158</v>
      </c>
      <c r="CB315">
        <f t="shared" si="72"/>
        <v>1.8036836779953602</v>
      </c>
    </row>
    <row r="316" spans="1:80" x14ac:dyDescent="0.45">
      <c r="A316" s="11">
        <v>39</v>
      </c>
      <c r="B316" s="12">
        <f t="shared" si="60"/>
        <v>39</v>
      </c>
      <c r="C316" s="12" t="s">
        <v>59</v>
      </c>
      <c r="D316" s="12">
        <v>0</v>
      </c>
      <c r="E316" s="12" t="s">
        <v>53</v>
      </c>
      <c r="F316" s="12">
        <v>0</v>
      </c>
      <c r="G316" s="12">
        <v>1</v>
      </c>
      <c r="H316" s="12" t="s">
        <v>61</v>
      </c>
      <c r="I316" s="12">
        <v>1</v>
      </c>
      <c r="J316" s="12">
        <v>0</v>
      </c>
      <c r="K316" s="12">
        <v>10</v>
      </c>
      <c r="L316" s="12">
        <f t="shared" si="61"/>
        <v>10</v>
      </c>
      <c r="M316" s="12">
        <v>1</v>
      </c>
      <c r="N316" s="12" t="s">
        <v>70</v>
      </c>
      <c r="O316" s="12">
        <v>0</v>
      </c>
      <c r="P316" s="12">
        <v>0</v>
      </c>
      <c r="Q316" s="12">
        <v>1</v>
      </c>
      <c r="R316" s="12">
        <v>0</v>
      </c>
      <c r="S316" s="12">
        <v>0</v>
      </c>
      <c r="T316" s="12">
        <v>3</v>
      </c>
      <c r="U316" s="12" t="s">
        <v>62</v>
      </c>
      <c r="V316" s="12">
        <v>0</v>
      </c>
      <c r="W316" s="12">
        <v>99</v>
      </c>
      <c r="X316" s="12">
        <v>3</v>
      </c>
      <c r="Y316" s="12">
        <v>4</v>
      </c>
      <c r="Z316" s="12" t="s">
        <v>87</v>
      </c>
      <c r="AA316" s="12">
        <v>0</v>
      </c>
      <c r="AB316" s="12">
        <v>0</v>
      </c>
      <c r="AC316" s="12">
        <v>0</v>
      </c>
      <c r="AD316" s="12">
        <v>1</v>
      </c>
      <c r="AE316" s="12">
        <v>0</v>
      </c>
      <c r="AF316" s="12">
        <v>0</v>
      </c>
      <c r="AG316" s="12">
        <v>0</v>
      </c>
      <c r="AH316" s="12">
        <v>0</v>
      </c>
      <c r="AI316" s="12">
        <v>1</v>
      </c>
      <c r="AJ316" s="12" t="s">
        <v>64</v>
      </c>
      <c r="AK316" s="12">
        <v>0</v>
      </c>
      <c r="AL316" s="12">
        <v>1</v>
      </c>
      <c r="AM316" s="12">
        <v>17068</v>
      </c>
      <c r="AN316" s="12">
        <f t="shared" si="62"/>
        <v>17068</v>
      </c>
      <c r="AO316" s="12">
        <v>1</v>
      </c>
      <c r="AP316" s="12" t="s">
        <v>52</v>
      </c>
      <c r="AQ316" s="12">
        <v>1</v>
      </c>
      <c r="AR316" s="12">
        <v>14</v>
      </c>
      <c r="AS316" s="12">
        <v>3</v>
      </c>
      <c r="AT316" s="12">
        <v>4</v>
      </c>
      <c r="AU316" s="12">
        <v>0</v>
      </c>
      <c r="AV316" s="12">
        <v>21</v>
      </c>
      <c r="AW316" s="12">
        <f t="shared" si="63"/>
        <v>21</v>
      </c>
      <c r="AX316" s="12">
        <v>3</v>
      </c>
      <c r="AY316" s="12">
        <v>3</v>
      </c>
      <c r="AZ316" s="12">
        <v>21</v>
      </c>
      <c r="BA316" s="12">
        <f t="shared" si="64"/>
        <v>21</v>
      </c>
      <c r="BB316" s="12">
        <v>9</v>
      </c>
      <c r="BC316" s="12">
        <v>11</v>
      </c>
      <c r="BD316" s="12">
        <f t="shared" si="73"/>
        <v>11</v>
      </c>
      <c r="BE316" s="12">
        <v>10</v>
      </c>
      <c r="BF316" s="12">
        <f t="shared" si="65"/>
        <v>10</v>
      </c>
      <c r="BG316" s="12">
        <f t="shared" si="74"/>
        <v>40</v>
      </c>
      <c r="BH316" s="67">
        <v>0</v>
      </c>
      <c r="BI316" s="67">
        <v>1</v>
      </c>
      <c r="BJ316" s="67">
        <v>0</v>
      </c>
      <c r="BK316" s="67">
        <v>0</v>
      </c>
      <c r="BL316" s="67">
        <v>0</v>
      </c>
      <c r="BM316" s="67">
        <v>0</v>
      </c>
      <c r="BN316" s="67">
        <v>0</v>
      </c>
      <c r="BO316" s="67">
        <v>1</v>
      </c>
      <c r="BP316" s="67">
        <v>0</v>
      </c>
      <c r="BQ316" s="67">
        <v>10</v>
      </c>
      <c r="BR316" s="67">
        <v>0</v>
      </c>
      <c r="BS316" s="67">
        <v>0</v>
      </c>
      <c r="BT316" s="67">
        <v>21</v>
      </c>
      <c r="BU316" s="70">
        <v>0</v>
      </c>
      <c r="BV316" s="29">
        <f t="shared" si="66"/>
        <v>2.2440878695855027</v>
      </c>
      <c r="BW316">
        <f t="shared" si="67"/>
        <v>1.6470421950744405</v>
      </c>
      <c r="BX316">
        <f t="shared" si="68"/>
        <v>1.2492842709947811</v>
      </c>
      <c r="BY316">
        <f t="shared" si="69"/>
        <v>2.2838128280930299</v>
      </c>
      <c r="BZ316">
        <f t="shared" si="70"/>
        <v>9.9604847176766084E-2</v>
      </c>
      <c r="CA316">
        <f t="shared" si="71"/>
        <v>0.22726935890025346</v>
      </c>
      <c r="CB316">
        <f t="shared" si="72"/>
        <v>2.7346580483089769</v>
      </c>
    </row>
    <row r="317" spans="1:80" x14ac:dyDescent="0.45">
      <c r="A317" s="11">
        <v>43</v>
      </c>
      <c r="B317" s="12">
        <f t="shared" si="60"/>
        <v>43</v>
      </c>
      <c r="C317" s="12" t="s">
        <v>59</v>
      </c>
      <c r="D317" s="12">
        <v>0</v>
      </c>
      <c r="E317" s="12" t="s">
        <v>60</v>
      </c>
      <c r="F317" s="12">
        <v>1</v>
      </c>
      <c r="G317" s="12">
        <v>0</v>
      </c>
      <c r="H317" s="12" t="s">
        <v>61</v>
      </c>
      <c r="I317" s="12">
        <v>1</v>
      </c>
      <c r="J317" s="12">
        <v>0</v>
      </c>
      <c r="K317" s="12">
        <v>10</v>
      </c>
      <c r="L317" s="12">
        <f t="shared" si="61"/>
        <v>10</v>
      </c>
      <c r="M317" s="12">
        <v>4</v>
      </c>
      <c r="N317" s="12" t="s">
        <v>55</v>
      </c>
      <c r="O317" s="12">
        <v>1</v>
      </c>
      <c r="P317" s="12">
        <v>0</v>
      </c>
      <c r="Q317" s="12">
        <v>0</v>
      </c>
      <c r="R317" s="12">
        <v>0</v>
      </c>
      <c r="S317" s="12">
        <v>0</v>
      </c>
      <c r="T317" s="12">
        <v>3</v>
      </c>
      <c r="U317" s="12" t="s">
        <v>19</v>
      </c>
      <c r="V317" s="12">
        <v>1</v>
      </c>
      <c r="W317" s="12">
        <v>33</v>
      </c>
      <c r="X317" s="12">
        <v>3</v>
      </c>
      <c r="Y317" s="12">
        <v>1</v>
      </c>
      <c r="Z317" s="12" t="s">
        <v>67</v>
      </c>
      <c r="AA317" s="12">
        <v>0</v>
      </c>
      <c r="AB317" s="12">
        <v>0</v>
      </c>
      <c r="AC317" s="12">
        <v>1</v>
      </c>
      <c r="AD317" s="12">
        <v>0</v>
      </c>
      <c r="AE317" s="12">
        <v>0</v>
      </c>
      <c r="AF317" s="12">
        <v>0</v>
      </c>
      <c r="AG317" s="12">
        <v>0</v>
      </c>
      <c r="AH317" s="12">
        <v>0</v>
      </c>
      <c r="AI317" s="12">
        <v>4</v>
      </c>
      <c r="AJ317" s="12" t="s">
        <v>57</v>
      </c>
      <c r="AK317" s="12">
        <v>1</v>
      </c>
      <c r="AL317" s="12">
        <v>0</v>
      </c>
      <c r="AM317" s="12">
        <v>2455</v>
      </c>
      <c r="AN317" s="12">
        <f t="shared" si="62"/>
        <v>2455</v>
      </c>
      <c r="AO317" s="12">
        <v>0</v>
      </c>
      <c r="AP317" s="12" t="s">
        <v>59</v>
      </c>
      <c r="AQ317" s="12">
        <v>0</v>
      </c>
      <c r="AR317" s="12">
        <v>19</v>
      </c>
      <c r="AS317" s="12">
        <v>3</v>
      </c>
      <c r="AT317" s="12">
        <v>1</v>
      </c>
      <c r="AU317" s="12">
        <v>0</v>
      </c>
      <c r="AV317" s="12">
        <v>9</v>
      </c>
      <c r="AW317" s="12">
        <f t="shared" si="63"/>
        <v>9</v>
      </c>
      <c r="AX317" s="12">
        <v>5</v>
      </c>
      <c r="AY317" s="12">
        <v>3</v>
      </c>
      <c r="AZ317" s="12">
        <v>8</v>
      </c>
      <c r="BA317" s="12">
        <f t="shared" si="64"/>
        <v>8</v>
      </c>
      <c r="BB317" s="12">
        <v>7</v>
      </c>
      <c r="BC317" s="12">
        <v>1</v>
      </c>
      <c r="BD317" s="12">
        <f t="shared" si="73"/>
        <v>1</v>
      </c>
      <c r="BE317" s="12">
        <v>7</v>
      </c>
      <c r="BF317" s="12">
        <f t="shared" si="65"/>
        <v>7</v>
      </c>
      <c r="BG317" s="12">
        <f t="shared" si="74"/>
        <v>7</v>
      </c>
      <c r="BH317" s="67">
        <v>0</v>
      </c>
      <c r="BI317" s="67">
        <v>0</v>
      </c>
      <c r="BJ317" s="67">
        <v>1</v>
      </c>
      <c r="BK317" s="67">
        <v>0</v>
      </c>
      <c r="BL317" s="67">
        <v>1</v>
      </c>
      <c r="BM317" s="67">
        <v>0</v>
      </c>
      <c r="BN317" s="67">
        <v>0</v>
      </c>
      <c r="BO317" s="67">
        <v>0</v>
      </c>
      <c r="BP317" s="67">
        <v>0</v>
      </c>
      <c r="BQ317" s="67">
        <v>7</v>
      </c>
      <c r="BR317" s="67">
        <v>0</v>
      </c>
      <c r="BS317" s="67">
        <v>0</v>
      </c>
      <c r="BT317" s="67">
        <v>9</v>
      </c>
      <c r="BU317" s="70">
        <v>0</v>
      </c>
      <c r="BV317" s="29">
        <f t="shared" si="66"/>
        <v>0.85980638289830091</v>
      </c>
      <c r="BW317">
        <f t="shared" si="67"/>
        <v>0.80626709607243985</v>
      </c>
      <c r="BX317">
        <f t="shared" si="68"/>
        <v>0.29297722668510823</v>
      </c>
      <c r="BY317">
        <f t="shared" si="69"/>
        <v>0.16189221622713135</v>
      </c>
      <c r="BZ317">
        <f t="shared" si="70"/>
        <v>9.9604847176766084E-2</v>
      </c>
      <c r="CA317">
        <f t="shared" si="71"/>
        <v>0.66512775678147573</v>
      </c>
      <c r="CB317">
        <f t="shared" si="72"/>
        <v>0.36858985273641137</v>
      </c>
    </row>
    <row r="318" spans="1:80" x14ac:dyDescent="0.45">
      <c r="A318" s="11">
        <v>49</v>
      </c>
      <c r="B318" s="12">
        <f t="shared" si="60"/>
        <v>49</v>
      </c>
      <c r="C318" s="12" t="s">
        <v>59</v>
      </c>
      <c r="D318" s="12">
        <v>0</v>
      </c>
      <c r="E318" s="12" t="s">
        <v>53</v>
      </c>
      <c r="F318" s="12">
        <v>0</v>
      </c>
      <c r="G318" s="12">
        <v>1</v>
      </c>
      <c r="H318" s="12" t="s">
        <v>61</v>
      </c>
      <c r="I318" s="12">
        <v>1</v>
      </c>
      <c r="J318" s="12">
        <v>0</v>
      </c>
      <c r="K318" s="12">
        <v>1</v>
      </c>
      <c r="L318" s="12">
        <f t="shared" si="61"/>
        <v>1</v>
      </c>
      <c r="M318" s="12">
        <v>2</v>
      </c>
      <c r="N318" s="12" t="s">
        <v>91</v>
      </c>
      <c r="O318" s="12">
        <v>0</v>
      </c>
      <c r="P318" s="12">
        <v>0</v>
      </c>
      <c r="Q318" s="12">
        <v>0</v>
      </c>
      <c r="R318" s="12">
        <v>0</v>
      </c>
      <c r="S318" s="12">
        <v>1</v>
      </c>
      <c r="T318" s="12">
        <v>3</v>
      </c>
      <c r="U318" s="12" t="s">
        <v>19</v>
      </c>
      <c r="V318" s="12">
        <v>1</v>
      </c>
      <c r="W318" s="12">
        <v>90</v>
      </c>
      <c r="X318" s="12">
        <v>2</v>
      </c>
      <c r="Y318" s="12">
        <v>4</v>
      </c>
      <c r="Z318" s="12" t="s">
        <v>85</v>
      </c>
      <c r="AA318" s="12">
        <v>1</v>
      </c>
      <c r="AB318" s="12">
        <v>0</v>
      </c>
      <c r="AC318" s="12">
        <v>0</v>
      </c>
      <c r="AD318" s="12">
        <v>0</v>
      </c>
      <c r="AE318" s="12">
        <v>0</v>
      </c>
      <c r="AF318" s="12">
        <v>0</v>
      </c>
      <c r="AG318" s="12">
        <v>0</v>
      </c>
      <c r="AH318" s="12">
        <v>0</v>
      </c>
      <c r="AI318" s="12">
        <v>3</v>
      </c>
      <c r="AJ318" s="12" t="s">
        <v>57</v>
      </c>
      <c r="AK318" s="12">
        <v>1</v>
      </c>
      <c r="AL318" s="12">
        <v>0</v>
      </c>
      <c r="AM318" s="12">
        <v>13964</v>
      </c>
      <c r="AN318" s="12">
        <f t="shared" si="62"/>
        <v>13964</v>
      </c>
      <c r="AO318" s="12">
        <v>7</v>
      </c>
      <c r="AP318" s="12" t="s">
        <v>52</v>
      </c>
      <c r="AQ318" s="12">
        <v>1</v>
      </c>
      <c r="AR318" s="12">
        <v>12</v>
      </c>
      <c r="AS318" s="12">
        <v>3</v>
      </c>
      <c r="AT318" s="12">
        <v>4</v>
      </c>
      <c r="AU318" s="12">
        <v>0</v>
      </c>
      <c r="AV318" s="12">
        <v>25</v>
      </c>
      <c r="AW318" s="12">
        <f t="shared" si="63"/>
        <v>25</v>
      </c>
      <c r="AX318" s="12">
        <v>2</v>
      </c>
      <c r="AY318" s="12">
        <v>3</v>
      </c>
      <c r="AZ318" s="12">
        <v>7</v>
      </c>
      <c r="BA318" s="12">
        <f t="shared" si="64"/>
        <v>7</v>
      </c>
      <c r="BB318" s="12">
        <v>1</v>
      </c>
      <c r="BC318" s="12">
        <v>0</v>
      </c>
      <c r="BD318" s="12">
        <f t="shared" si="73"/>
        <v>0</v>
      </c>
      <c r="BE318" s="12">
        <v>7</v>
      </c>
      <c r="BF318" s="12">
        <f t="shared" si="65"/>
        <v>7</v>
      </c>
      <c r="BG318" s="12">
        <f t="shared" si="74"/>
        <v>28</v>
      </c>
      <c r="BH318" s="67">
        <v>1</v>
      </c>
      <c r="BI318" s="67">
        <v>0</v>
      </c>
      <c r="BJ318" s="67">
        <v>0</v>
      </c>
      <c r="BK318" s="67">
        <v>0</v>
      </c>
      <c r="BL318" s="67">
        <v>0</v>
      </c>
      <c r="BM318" s="67">
        <v>1</v>
      </c>
      <c r="BN318" s="67">
        <v>0</v>
      </c>
      <c r="BO318" s="67">
        <v>0</v>
      </c>
      <c r="BP318" s="67">
        <v>0</v>
      </c>
      <c r="BQ318" s="67">
        <v>7</v>
      </c>
      <c r="BR318" s="67">
        <v>0</v>
      </c>
      <c r="BS318" s="67">
        <v>0</v>
      </c>
      <c r="BT318" s="67">
        <v>25</v>
      </c>
      <c r="BU318" s="70">
        <v>0</v>
      </c>
      <c r="BV318" s="29">
        <f t="shared" si="66"/>
        <v>1.5847785039720264</v>
      </c>
      <c r="BW318">
        <f t="shared" si="67"/>
        <v>0.80626709607243985</v>
      </c>
      <c r="BX318">
        <f t="shared" si="68"/>
        <v>1.7633714368880775</v>
      </c>
      <c r="BY318">
        <f t="shared" si="69"/>
        <v>1.3324462240916321E-3</v>
      </c>
      <c r="BZ318">
        <f t="shared" si="70"/>
        <v>1.01056543769991</v>
      </c>
      <c r="CA318">
        <f t="shared" si="71"/>
        <v>1.3219153536033093</v>
      </c>
      <c r="CB318">
        <f t="shared" si="72"/>
        <v>0.67891464284095016</v>
      </c>
    </row>
    <row r="319" spans="1:80" x14ac:dyDescent="0.45">
      <c r="A319" s="11">
        <v>52</v>
      </c>
      <c r="B319" s="12">
        <f t="shared" si="60"/>
        <v>52</v>
      </c>
      <c r="C319" s="12" t="s">
        <v>52</v>
      </c>
      <c r="D319" s="12">
        <v>1</v>
      </c>
      <c r="E319" s="12" t="s">
        <v>53</v>
      </c>
      <c r="F319" s="12">
        <v>0</v>
      </c>
      <c r="G319" s="12">
        <v>1</v>
      </c>
      <c r="H319" s="12" t="s">
        <v>61</v>
      </c>
      <c r="I319" s="12">
        <v>1</v>
      </c>
      <c r="J319" s="12">
        <v>0</v>
      </c>
      <c r="K319" s="12">
        <v>8</v>
      </c>
      <c r="L319" s="12">
        <f t="shared" si="61"/>
        <v>8</v>
      </c>
      <c r="M319" s="12">
        <v>4</v>
      </c>
      <c r="N319" s="12" t="s">
        <v>70</v>
      </c>
      <c r="O319" s="12">
        <v>0</v>
      </c>
      <c r="P319" s="12">
        <v>0</v>
      </c>
      <c r="Q319" s="12">
        <v>1</v>
      </c>
      <c r="R319" s="12">
        <v>0</v>
      </c>
      <c r="S319" s="12">
        <v>0</v>
      </c>
      <c r="T319" s="12">
        <v>3</v>
      </c>
      <c r="U319" s="12" t="s">
        <v>62</v>
      </c>
      <c r="V319" s="12">
        <v>0</v>
      </c>
      <c r="W319" s="12">
        <v>85</v>
      </c>
      <c r="X319" s="12">
        <v>2</v>
      </c>
      <c r="Y319" s="12">
        <v>2</v>
      </c>
      <c r="Z319" s="12" t="s">
        <v>63</v>
      </c>
      <c r="AA319" s="12">
        <v>0</v>
      </c>
      <c r="AB319" s="12">
        <v>0</v>
      </c>
      <c r="AC319" s="12">
        <v>0</v>
      </c>
      <c r="AD319" s="12">
        <v>0</v>
      </c>
      <c r="AE319" s="12">
        <v>0</v>
      </c>
      <c r="AF319" s="12">
        <v>0</v>
      </c>
      <c r="AG319" s="12">
        <v>0</v>
      </c>
      <c r="AH319" s="12">
        <v>1</v>
      </c>
      <c r="AI319" s="12">
        <v>2</v>
      </c>
      <c r="AJ319" s="12" t="s">
        <v>64</v>
      </c>
      <c r="AK319" s="12">
        <v>0</v>
      </c>
      <c r="AL319" s="12">
        <v>1</v>
      </c>
      <c r="AM319" s="12">
        <v>4941</v>
      </c>
      <c r="AN319" s="12">
        <f t="shared" si="62"/>
        <v>4941</v>
      </c>
      <c r="AO319" s="12">
        <v>2</v>
      </c>
      <c r="AP319" s="12" t="s">
        <v>59</v>
      </c>
      <c r="AQ319" s="12">
        <v>0</v>
      </c>
      <c r="AR319" s="12">
        <v>15</v>
      </c>
      <c r="AS319" s="12">
        <v>3</v>
      </c>
      <c r="AT319" s="12">
        <v>1</v>
      </c>
      <c r="AU319" s="12">
        <v>0</v>
      </c>
      <c r="AV319" s="12">
        <v>11</v>
      </c>
      <c r="AW319" s="12">
        <f t="shared" si="63"/>
        <v>11</v>
      </c>
      <c r="AX319" s="12">
        <v>3</v>
      </c>
      <c r="AY319" s="12">
        <v>2</v>
      </c>
      <c r="AZ319" s="12">
        <v>8</v>
      </c>
      <c r="BA319" s="12">
        <f t="shared" si="64"/>
        <v>8</v>
      </c>
      <c r="BB319" s="12">
        <v>2</v>
      </c>
      <c r="BC319" s="12">
        <v>7</v>
      </c>
      <c r="BD319" s="12">
        <f t="shared" si="73"/>
        <v>7</v>
      </c>
      <c r="BE319" s="12">
        <v>7</v>
      </c>
      <c r="BF319" s="12">
        <f t="shared" si="65"/>
        <v>7</v>
      </c>
      <c r="BG319" s="12">
        <f t="shared" si="74"/>
        <v>14</v>
      </c>
      <c r="BH319" s="67">
        <v>0</v>
      </c>
      <c r="BI319" s="67">
        <v>1</v>
      </c>
      <c r="BJ319" s="67">
        <v>0</v>
      </c>
      <c r="BK319" s="67">
        <v>0</v>
      </c>
      <c r="BL319" s="67">
        <v>0</v>
      </c>
      <c r="BM319" s="67">
        <v>0</v>
      </c>
      <c r="BN319" s="67">
        <v>1</v>
      </c>
      <c r="BO319" s="67">
        <v>0</v>
      </c>
      <c r="BP319" s="67">
        <v>0</v>
      </c>
      <c r="BQ319" s="67">
        <v>7</v>
      </c>
      <c r="BR319" s="67">
        <v>0</v>
      </c>
      <c r="BS319" s="67">
        <v>0</v>
      </c>
      <c r="BT319" s="67">
        <v>11</v>
      </c>
      <c r="BU319" s="70">
        <v>0</v>
      </c>
      <c r="BV319" s="29">
        <f t="shared" si="66"/>
        <v>0.33176415257771413</v>
      </c>
      <c r="BW319">
        <f t="shared" si="67"/>
        <v>0.80626709607243985</v>
      </c>
      <c r="BX319">
        <f t="shared" si="68"/>
        <v>3.593364373846001E-2</v>
      </c>
      <c r="BY319">
        <f t="shared" si="69"/>
        <v>0.16189221622713135</v>
      </c>
      <c r="BZ319">
        <f t="shared" si="70"/>
        <v>0.14709966057360641</v>
      </c>
      <c r="CA319">
        <f t="shared" si="71"/>
        <v>1.6503091520142259</v>
      </c>
      <c r="CB319">
        <f t="shared" si="72"/>
        <v>1.4933588878908215</v>
      </c>
    </row>
    <row r="320" spans="1:80" x14ac:dyDescent="0.45">
      <c r="A320" s="11">
        <v>27</v>
      </c>
      <c r="B320" s="12">
        <f t="shared" si="60"/>
        <v>27</v>
      </c>
      <c r="C320" s="12" t="s">
        <v>59</v>
      </c>
      <c r="D320" s="12">
        <v>0</v>
      </c>
      <c r="E320" s="12" t="s">
        <v>53</v>
      </c>
      <c r="F320" s="12">
        <v>0</v>
      </c>
      <c r="G320" s="12">
        <v>1</v>
      </c>
      <c r="H320" s="12" t="s">
        <v>61</v>
      </c>
      <c r="I320" s="12">
        <v>1</v>
      </c>
      <c r="J320" s="12">
        <v>0</v>
      </c>
      <c r="K320" s="12">
        <v>5</v>
      </c>
      <c r="L320" s="12">
        <f t="shared" si="61"/>
        <v>5</v>
      </c>
      <c r="M320" s="12">
        <v>3</v>
      </c>
      <c r="N320" s="12" t="s">
        <v>55</v>
      </c>
      <c r="O320" s="12">
        <v>1</v>
      </c>
      <c r="P320" s="12">
        <v>0</v>
      </c>
      <c r="Q320" s="12">
        <v>0</v>
      </c>
      <c r="R320" s="12">
        <v>0</v>
      </c>
      <c r="S320" s="12">
        <v>0</v>
      </c>
      <c r="T320" s="12">
        <v>3</v>
      </c>
      <c r="U320" s="12" t="s">
        <v>19</v>
      </c>
      <c r="V320" s="12">
        <v>1</v>
      </c>
      <c r="W320" s="12">
        <v>85</v>
      </c>
      <c r="X320" s="12">
        <v>3</v>
      </c>
      <c r="Y320" s="12">
        <v>1</v>
      </c>
      <c r="Z320" s="12" t="s">
        <v>63</v>
      </c>
      <c r="AA320" s="12">
        <v>0</v>
      </c>
      <c r="AB320" s="12">
        <v>0</v>
      </c>
      <c r="AC320" s="12">
        <v>0</v>
      </c>
      <c r="AD320" s="12">
        <v>0</v>
      </c>
      <c r="AE320" s="12">
        <v>0</v>
      </c>
      <c r="AF320" s="12">
        <v>0</v>
      </c>
      <c r="AG320" s="12">
        <v>0</v>
      </c>
      <c r="AH320" s="12">
        <v>1</v>
      </c>
      <c r="AI320" s="12">
        <v>2</v>
      </c>
      <c r="AJ320" s="12" t="s">
        <v>57</v>
      </c>
      <c r="AK320" s="12">
        <v>1</v>
      </c>
      <c r="AL320" s="12">
        <v>0</v>
      </c>
      <c r="AM320" s="12">
        <v>2478</v>
      </c>
      <c r="AN320" s="12">
        <f t="shared" si="62"/>
        <v>2478</v>
      </c>
      <c r="AO320" s="12">
        <v>1</v>
      </c>
      <c r="AP320" s="12" t="s">
        <v>52</v>
      </c>
      <c r="AQ320" s="12">
        <v>1</v>
      </c>
      <c r="AR320" s="12">
        <v>12</v>
      </c>
      <c r="AS320" s="12">
        <v>3</v>
      </c>
      <c r="AT320" s="12">
        <v>2</v>
      </c>
      <c r="AU320" s="12">
        <v>0</v>
      </c>
      <c r="AV320" s="12">
        <v>4</v>
      </c>
      <c r="AW320" s="12">
        <f t="shared" si="63"/>
        <v>4</v>
      </c>
      <c r="AX320" s="12">
        <v>2</v>
      </c>
      <c r="AY320" s="12">
        <v>2</v>
      </c>
      <c r="AZ320" s="12">
        <v>4</v>
      </c>
      <c r="BA320" s="12">
        <f t="shared" si="64"/>
        <v>4</v>
      </c>
      <c r="BB320" s="12">
        <v>3</v>
      </c>
      <c r="BC320" s="12">
        <v>1</v>
      </c>
      <c r="BD320" s="12">
        <f t="shared" si="73"/>
        <v>1</v>
      </c>
      <c r="BE320" s="12">
        <v>2</v>
      </c>
      <c r="BF320" s="12">
        <f t="shared" si="65"/>
        <v>2</v>
      </c>
      <c r="BG320" s="12">
        <f t="shared" si="74"/>
        <v>2</v>
      </c>
      <c r="BH320" s="67">
        <v>1</v>
      </c>
      <c r="BI320" s="67">
        <v>0</v>
      </c>
      <c r="BJ320" s="67">
        <v>0</v>
      </c>
      <c r="BK320" s="67">
        <v>0</v>
      </c>
      <c r="BL320" s="67">
        <v>0</v>
      </c>
      <c r="BM320" s="67">
        <v>1</v>
      </c>
      <c r="BN320" s="67">
        <v>0</v>
      </c>
      <c r="BO320" s="67">
        <v>0</v>
      </c>
      <c r="BP320" s="67">
        <v>0</v>
      </c>
      <c r="BQ320" s="67">
        <v>2</v>
      </c>
      <c r="BR320" s="67">
        <v>0</v>
      </c>
      <c r="BS320" s="67">
        <v>0</v>
      </c>
      <c r="BT320" s="67">
        <v>4</v>
      </c>
      <c r="BU320" s="70">
        <v>0</v>
      </c>
      <c r="BV320" s="29">
        <f t="shared" si="66"/>
        <v>0.85492103643918049</v>
      </c>
      <c r="BW320">
        <f t="shared" si="67"/>
        <v>0.59502473559756086</v>
      </c>
      <c r="BX320">
        <f t="shared" si="68"/>
        <v>0.93558618405172878</v>
      </c>
      <c r="BY320">
        <f t="shared" si="69"/>
        <v>0.49100643357776058</v>
      </c>
      <c r="BZ320">
        <f t="shared" si="70"/>
        <v>0.51715642219916513</v>
      </c>
      <c r="CA320">
        <f t="shared" si="71"/>
        <v>1.0863058347434136</v>
      </c>
      <c r="CB320">
        <f t="shared" si="72"/>
        <v>0.36858985273641137</v>
      </c>
    </row>
    <row r="321" spans="1:80" x14ac:dyDescent="0.45">
      <c r="A321" s="11">
        <v>32</v>
      </c>
      <c r="B321" s="12">
        <f t="shared" si="60"/>
        <v>32</v>
      </c>
      <c r="C321" s="12" t="s">
        <v>59</v>
      </c>
      <c r="D321" s="12">
        <v>0</v>
      </c>
      <c r="E321" s="12" t="s">
        <v>53</v>
      </c>
      <c r="F321" s="12">
        <v>0</v>
      </c>
      <c r="G321" s="12">
        <v>1</v>
      </c>
      <c r="H321" s="12" t="s">
        <v>54</v>
      </c>
      <c r="I321" s="12">
        <v>0</v>
      </c>
      <c r="J321" s="12">
        <v>1</v>
      </c>
      <c r="K321" s="12">
        <v>8</v>
      </c>
      <c r="L321" s="12">
        <f t="shared" si="61"/>
        <v>8</v>
      </c>
      <c r="M321" s="12">
        <v>2</v>
      </c>
      <c r="N321" s="12" t="s">
        <v>91</v>
      </c>
      <c r="O321" s="12">
        <v>0</v>
      </c>
      <c r="P321" s="12">
        <v>0</v>
      </c>
      <c r="Q321" s="12">
        <v>0</v>
      </c>
      <c r="R321" s="12">
        <v>0</v>
      </c>
      <c r="S321" s="12">
        <v>1</v>
      </c>
      <c r="T321" s="12">
        <v>3</v>
      </c>
      <c r="U321" s="12" t="s">
        <v>19</v>
      </c>
      <c r="V321" s="12">
        <v>1</v>
      </c>
      <c r="W321" s="12">
        <v>65</v>
      </c>
      <c r="X321" s="12">
        <v>2</v>
      </c>
      <c r="Y321" s="12">
        <v>2</v>
      </c>
      <c r="Z321" s="12" t="s">
        <v>56</v>
      </c>
      <c r="AA321" s="12">
        <v>0</v>
      </c>
      <c r="AB321" s="12">
        <v>1</v>
      </c>
      <c r="AC321" s="12">
        <v>0</v>
      </c>
      <c r="AD321" s="12">
        <v>0</v>
      </c>
      <c r="AE321" s="12">
        <v>0</v>
      </c>
      <c r="AF321" s="12">
        <v>0</v>
      </c>
      <c r="AG321" s="12">
        <v>0</v>
      </c>
      <c r="AH321" s="12">
        <v>0</v>
      </c>
      <c r="AI321" s="12">
        <v>2</v>
      </c>
      <c r="AJ321" s="12" t="s">
        <v>64</v>
      </c>
      <c r="AK321" s="12">
        <v>0</v>
      </c>
      <c r="AL321" s="12">
        <v>1</v>
      </c>
      <c r="AM321" s="12">
        <v>5228</v>
      </c>
      <c r="AN321" s="12">
        <f t="shared" si="62"/>
        <v>5228</v>
      </c>
      <c r="AO321" s="12">
        <v>1</v>
      </c>
      <c r="AP321" s="12" t="s">
        <v>52</v>
      </c>
      <c r="AQ321" s="12">
        <v>1</v>
      </c>
      <c r="AR321" s="12">
        <v>11</v>
      </c>
      <c r="AS321" s="12">
        <v>3</v>
      </c>
      <c r="AT321" s="12">
        <v>4</v>
      </c>
      <c r="AU321" s="12">
        <v>0</v>
      </c>
      <c r="AV321" s="12">
        <v>13</v>
      </c>
      <c r="AW321" s="12">
        <f t="shared" si="63"/>
        <v>13</v>
      </c>
      <c r="AX321" s="12">
        <v>2</v>
      </c>
      <c r="AY321" s="12">
        <v>3</v>
      </c>
      <c r="AZ321" s="12">
        <v>13</v>
      </c>
      <c r="BA321" s="12">
        <f t="shared" si="64"/>
        <v>13</v>
      </c>
      <c r="BB321" s="12">
        <v>12</v>
      </c>
      <c r="BC321" s="12">
        <v>11</v>
      </c>
      <c r="BD321" s="12">
        <f t="shared" si="73"/>
        <v>11</v>
      </c>
      <c r="BE321" s="12">
        <v>9</v>
      </c>
      <c r="BF321" s="12">
        <f t="shared" si="65"/>
        <v>9</v>
      </c>
      <c r="BG321" s="12">
        <f t="shared" si="74"/>
        <v>18</v>
      </c>
      <c r="BH321" s="67">
        <v>0</v>
      </c>
      <c r="BI321" s="67">
        <v>1</v>
      </c>
      <c r="BJ321" s="67">
        <v>0</v>
      </c>
      <c r="BK321" s="67">
        <v>0</v>
      </c>
      <c r="BL321" s="67">
        <v>0</v>
      </c>
      <c r="BM321" s="67">
        <v>0</v>
      </c>
      <c r="BN321" s="67">
        <v>0</v>
      </c>
      <c r="BO321" s="67">
        <v>1</v>
      </c>
      <c r="BP321" s="67">
        <v>0</v>
      </c>
      <c r="BQ321" s="67">
        <v>0</v>
      </c>
      <c r="BR321" s="67">
        <v>9</v>
      </c>
      <c r="BS321" s="67">
        <v>0</v>
      </c>
      <c r="BT321" s="67">
        <v>0</v>
      </c>
      <c r="BU321" s="70">
        <v>13</v>
      </c>
      <c r="BV321" s="29">
        <f t="shared" si="66"/>
        <v>0.27080352502260213</v>
      </c>
      <c r="BW321">
        <f t="shared" si="67"/>
        <v>1.3667838287404401</v>
      </c>
      <c r="BX321">
        <f t="shared" si="68"/>
        <v>0.22110993920818819</v>
      </c>
      <c r="BY321">
        <f t="shared" si="69"/>
        <v>0.97801552848324624</v>
      </c>
      <c r="BZ321">
        <f t="shared" si="70"/>
        <v>0.14709966057360641</v>
      </c>
      <c r="CA321">
        <f t="shared" si="71"/>
        <v>0.53898283739188557</v>
      </c>
      <c r="CB321">
        <f t="shared" si="72"/>
        <v>2.7346580483089769</v>
      </c>
    </row>
    <row r="322" spans="1:80" x14ac:dyDescent="0.45">
      <c r="A322" s="11">
        <v>27</v>
      </c>
      <c r="B322" s="12">
        <f t="shared" ref="B322:B385" si="75">IF(A322&gt;$CD$29,$CD$29,IF(A322&lt;$CD$30,$CD$30,A322))</f>
        <v>27</v>
      </c>
      <c r="C322" s="12" t="s">
        <v>59</v>
      </c>
      <c r="D322" s="12">
        <v>0</v>
      </c>
      <c r="E322" s="12" t="s">
        <v>53</v>
      </c>
      <c r="F322" s="12">
        <v>0</v>
      </c>
      <c r="G322" s="12">
        <v>1</v>
      </c>
      <c r="H322" s="12" t="s">
        <v>54</v>
      </c>
      <c r="I322" s="12">
        <v>0</v>
      </c>
      <c r="J322" s="12">
        <v>1</v>
      </c>
      <c r="K322" s="12">
        <v>2</v>
      </c>
      <c r="L322" s="12">
        <f t="shared" ref="L322:L385" si="76">IF(K322&gt;$CD$25,$CD$25,IF(K322&lt;$CD$26,$CD$26,K322))</f>
        <v>2</v>
      </c>
      <c r="M322" s="12">
        <v>3</v>
      </c>
      <c r="N322" s="12" t="s">
        <v>55</v>
      </c>
      <c r="O322" s="12">
        <v>1</v>
      </c>
      <c r="P322" s="12">
        <v>0</v>
      </c>
      <c r="Q322" s="12">
        <v>0</v>
      </c>
      <c r="R322" s="12">
        <v>0</v>
      </c>
      <c r="S322" s="12">
        <v>0</v>
      </c>
      <c r="T322" s="12">
        <v>4</v>
      </c>
      <c r="U322" s="12" t="s">
        <v>62</v>
      </c>
      <c r="V322" s="12">
        <v>0</v>
      </c>
      <c r="W322" s="12">
        <v>74</v>
      </c>
      <c r="X322" s="12">
        <v>3</v>
      </c>
      <c r="Y322" s="12">
        <v>2</v>
      </c>
      <c r="Z322" s="12" t="s">
        <v>56</v>
      </c>
      <c r="AA322" s="12">
        <v>0</v>
      </c>
      <c r="AB322" s="12">
        <v>1</v>
      </c>
      <c r="AC322" s="12">
        <v>0</v>
      </c>
      <c r="AD322" s="12">
        <v>0</v>
      </c>
      <c r="AE322" s="12">
        <v>0</v>
      </c>
      <c r="AF322" s="12">
        <v>0</v>
      </c>
      <c r="AG322" s="12">
        <v>0</v>
      </c>
      <c r="AH322" s="12">
        <v>0</v>
      </c>
      <c r="AI322" s="12">
        <v>3</v>
      </c>
      <c r="AJ322" s="12" t="s">
        <v>57</v>
      </c>
      <c r="AK322" s="12">
        <v>1</v>
      </c>
      <c r="AL322" s="12">
        <v>0</v>
      </c>
      <c r="AM322" s="12">
        <v>4478</v>
      </c>
      <c r="AN322" s="12">
        <f t="shared" ref="AN322:AN385" si="77">IF(AM322&gt;$CD$8,$CD$8,IF(AM322&lt;$CD$9,$CD$9,AM322))</f>
        <v>4478</v>
      </c>
      <c r="AO322" s="12">
        <v>1</v>
      </c>
      <c r="AP322" s="12" t="s">
        <v>52</v>
      </c>
      <c r="AQ322" s="12">
        <v>1</v>
      </c>
      <c r="AR322" s="12">
        <v>11</v>
      </c>
      <c r="AS322" s="12">
        <v>3</v>
      </c>
      <c r="AT322" s="12">
        <v>1</v>
      </c>
      <c r="AU322" s="12">
        <v>0</v>
      </c>
      <c r="AV322" s="12">
        <v>5</v>
      </c>
      <c r="AW322" s="12">
        <f t="shared" ref="AW322:AW385" si="78">IF(AV322&gt;$CD$17,$CD$17,IF(AV322&lt;$CD$18,$CD$18,AV322))</f>
        <v>5</v>
      </c>
      <c r="AX322" s="12">
        <v>3</v>
      </c>
      <c r="AY322" s="12">
        <v>3</v>
      </c>
      <c r="AZ322" s="12">
        <v>5</v>
      </c>
      <c r="BA322" s="12">
        <f t="shared" ref="BA322:BA385" si="79">IF(AZ322&gt; $CD$21,$CD$21,IF(AZ322&lt;$CD$22,$CD$22,AZ322))</f>
        <v>5</v>
      </c>
      <c r="BB322" s="12">
        <v>4</v>
      </c>
      <c r="BC322" s="12">
        <v>0</v>
      </c>
      <c r="BD322" s="12">
        <f t="shared" si="73"/>
        <v>0</v>
      </c>
      <c r="BE322" s="12">
        <v>4</v>
      </c>
      <c r="BF322" s="12">
        <f t="shared" ref="BF322:BF385" si="80">IF(BE322&gt;$CD$12,$CD$12,IF(BE322&lt;$CD$13,$CD$13,BE322))</f>
        <v>4</v>
      </c>
      <c r="BG322" s="12">
        <f t="shared" si="74"/>
        <v>8</v>
      </c>
      <c r="BH322" s="67">
        <v>1</v>
      </c>
      <c r="BI322" s="67">
        <v>0</v>
      </c>
      <c r="BJ322" s="67">
        <v>0</v>
      </c>
      <c r="BK322" s="67">
        <v>0</v>
      </c>
      <c r="BL322" s="67">
        <v>0</v>
      </c>
      <c r="BM322" s="67">
        <v>1</v>
      </c>
      <c r="BN322" s="67">
        <v>0</v>
      </c>
      <c r="BO322" s="67">
        <v>0</v>
      </c>
      <c r="BP322" s="67">
        <v>0</v>
      </c>
      <c r="BQ322" s="67">
        <v>0</v>
      </c>
      <c r="BR322" s="67">
        <v>4</v>
      </c>
      <c r="BS322" s="67">
        <v>0</v>
      </c>
      <c r="BT322" s="67">
        <v>0</v>
      </c>
      <c r="BU322" s="70">
        <v>5</v>
      </c>
      <c r="BV322" s="29">
        <f t="shared" ref="BV322:BV385" si="81">ABS((AM322-AVERAGE(AM:AM))/_xlfn.STDEV.S(AM:AM))</f>
        <v>0.43010830086348711</v>
      </c>
      <c r="BW322">
        <f t="shared" ref="BW322:BW385" si="82">ABS((BE322-AVERAGE(BE:BE))/_xlfn.STDEV.S(BE:BE))</f>
        <v>3.4508002929560584E-2</v>
      </c>
      <c r="BX322">
        <f t="shared" ref="BX322:BX385" si="83">ABS((AV322-AVERAGE(AV:AV))/_xlfn.STDEV.S(AV:AV))</f>
        <v>0.80706439257840468</v>
      </c>
      <c r="BY322">
        <f t="shared" ref="BY322:BY385" si="84">ABS((AZ322-AVERAGE(AZ:AZ))/_xlfn.STDEV.S(AZ:AZ))</f>
        <v>0.32778177112653761</v>
      </c>
      <c r="BZ322">
        <f t="shared" ref="BZ322:BZ385" si="85">ABS((K322-AVERAGE(K:K))/_xlfn.STDEV.S(K:K))</f>
        <v>0.88721318382472392</v>
      </c>
      <c r="CA322">
        <f t="shared" ref="CA322:CA385" si="86">ABS((A322-AVERAGE(A:A))/_xlfn.STDEV.S(A:A))</f>
        <v>1.0863058347434136</v>
      </c>
      <c r="CB322">
        <f t="shared" ref="CB322:CB385" si="87">ABS((BC322-AVERAGE(BC:BC))/_xlfn.STDEV.S(BC:BC))</f>
        <v>0.67891464284095016</v>
      </c>
    </row>
    <row r="323" spans="1:80" x14ac:dyDescent="0.45">
      <c r="A323" s="11">
        <v>31</v>
      </c>
      <c r="B323" s="12">
        <f t="shared" si="75"/>
        <v>31</v>
      </c>
      <c r="C323" s="12" t="s">
        <v>59</v>
      </c>
      <c r="D323" s="12">
        <v>0</v>
      </c>
      <c r="E323" s="12" t="s">
        <v>53</v>
      </c>
      <c r="F323" s="12">
        <v>0</v>
      </c>
      <c r="G323" s="12">
        <v>1</v>
      </c>
      <c r="H323" s="12" t="s">
        <v>54</v>
      </c>
      <c r="I323" s="12">
        <v>0</v>
      </c>
      <c r="J323" s="12">
        <v>1</v>
      </c>
      <c r="K323" s="12">
        <v>7</v>
      </c>
      <c r="L323" s="12">
        <f t="shared" si="76"/>
        <v>7</v>
      </c>
      <c r="M323" s="12">
        <v>3</v>
      </c>
      <c r="N323" s="12" t="s">
        <v>90</v>
      </c>
      <c r="O323" s="12">
        <v>0</v>
      </c>
      <c r="P323" s="12">
        <v>0</v>
      </c>
      <c r="Q323" s="12">
        <v>0</v>
      </c>
      <c r="R323" s="12">
        <v>1</v>
      </c>
      <c r="S323" s="12">
        <v>0</v>
      </c>
      <c r="T323" s="12">
        <v>4</v>
      </c>
      <c r="U323" s="12" t="s">
        <v>62</v>
      </c>
      <c r="V323" s="12">
        <v>0</v>
      </c>
      <c r="W323" s="12">
        <v>73</v>
      </c>
      <c r="X323" s="12">
        <v>3</v>
      </c>
      <c r="Y323" s="12">
        <v>2</v>
      </c>
      <c r="Z323" s="12" t="s">
        <v>56</v>
      </c>
      <c r="AA323" s="12">
        <v>0</v>
      </c>
      <c r="AB323" s="12">
        <v>1</v>
      </c>
      <c r="AC323" s="12">
        <v>0</v>
      </c>
      <c r="AD323" s="12">
        <v>0</v>
      </c>
      <c r="AE323" s="12">
        <v>0</v>
      </c>
      <c r="AF323" s="12">
        <v>0</v>
      </c>
      <c r="AG323" s="12">
        <v>0</v>
      </c>
      <c r="AH323" s="12">
        <v>0</v>
      </c>
      <c r="AI323" s="12">
        <v>4</v>
      </c>
      <c r="AJ323" s="12" t="s">
        <v>78</v>
      </c>
      <c r="AK323" s="12">
        <v>0</v>
      </c>
      <c r="AL323" s="12">
        <v>0</v>
      </c>
      <c r="AM323" s="12">
        <v>7547</v>
      </c>
      <c r="AN323" s="12">
        <f t="shared" si="77"/>
        <v>7547</v>
      </c>
      <c r="AO323" s="12">
        <v>4</v>
      </c>
      <c r="AP323" s="12" t="s">
        <v>59</v>
      </c>
      <c r="AQ323" s="12">
        <v>0</v>
      </c>
      <c r="AR323" s="12">
        <v>12</v>
      </c>
      <c r="AS323" s="12">
        <v>3</v>
      </c>
      <c r="AT323" s="12">
        <v>4</v>
      </c>
      <c r="AU323" s="12">
        <v>3</v>
      </c>
      <c r="AV323" s="12">
        <v>13</v>
      </c>
      <c r="AW323" s="12">
        <f t="shared" si="78"/>
        <v>13</v>
      </c>
      <c r="AX323" s="12">
        <v>3</v>
      </c>
      <c r="AY323" s="12">
        <v>3</v>
      </c>
      <c r="AZ323" s="12">
        <v>7</v>
      </c>
      <c r="BA323" s="12">
        <f t="shared" si="79"/>
        <v>7</v>
      </c>
      <c r="BB323" s="12">
        <v>7</v>
      </c>
      <c r="BC323" s="12">
        <v>1</v>
      </c>
      <c r="BD323" s="12">
        <f t="shared" ref="BD323:BD386" si="88">IF(BC323&gt;$CD$33,$CD$33,BC323)</f>
        <v>1</v>
      </c>
      <c r="BE323" s="12">
        <v>7</v>
      </c>
      <c r="BF323" s="12">
        <f t="shared" si="80"/>
        <v>7</v>
      </c>
      <c r="BG323" s="12">
        <f t="shared" ref="BG323:BG386" si="89">BF323*Y323</f>
        <v>14</v>
      </c>
      <c r="BH323" s="67">
        <v>1</v>
      </c>
      <c r="BI323" s="67">
        <v>0</v>
      </c>
      <c r="BJ323" s="67">
        <v>0</v>
      </c>
      <c r="BK323" s="67">
        <v>0</v>
      </c>
      <c r="BL323" s="67">
        <v>1</v>
      </c>
      <c r="BM323" s="67">
        <v>0</v>
      </c>
      <c r="BN323" s="67">
        <v>0</v>
      </c>
      <c r="BO323" s="67">
        <v>0</v>
      </c>
      <c r="BP323" s="67">
        <v>0</v>
      </c>
      <c r="BQ323" s="67">
        <v>0</v>
      </c>
      <c r="BR323" s="67">
        <v>7</v>
      </c>
      <c r="BS323" s="67">
        <v>0</v>
      </c>
      <c r="BT323" s="67">
        <v>0</v>
      </c>
      <c r="BU323" s="70">
        <v>13</v>
      </c>
      <c r="BV323" s="29">
        <f t="shared" si="81"/>
        <v>0.2217668418774143</v>
      </c>
      <c r="BW323">
        <f t="shared" si="82"/>
        <v>0.80626709607243985</v>
      </c>
      <c r="BX323">
        <f t="shared" si="83"/>
        <v>0.22110993920818819</v>
      </c>
      <c r="BY323">
        <f t="shared" si="84"/>
        <v>1.3324462240916321E-3</v>
      </c>
      <c r="BZ323">
        <f t="shared" si="85"/>
        <v>0.27045191444879263</v>
      </c>
      <c r="CA323">
        <f t="shared" si="86"/>
        <v>0.6484474368621912</v>
      </c>
      <c r="CB323">
        <f t="shared" si="87"/>
        <v>0.36858985273641137</v>
      </c>
    </row>
    <row r="324" spans="1:80" x14ac:dyDescent="0.45">
      <c r="A324" s="11">
        <v>32</v>
      </c>
      <c r="B324" s="12">
        <f t="shared" si="75"/>
        <v>32</v>
      </c>
      <c r="C324" s="12" t="s">
        <v>59</v>
      </c>
      <c r="D324" s="12">
        <v>0</v>
      </c>
      <c r="E324" s="12" t="s">
        <v>53</v>
      </c>
      <c r="F324" s="12">
        <v>0</v>
      </c>
      <c r="G324" s="12">
        <v>1</v>
      </c>
      <c r="H324" s="12" t="s">
        <v>61</v>
      </c>
      <c r="I324" s="12">
        <v>1</v>
      </c>
      <c r="J324" s="12">
        <v>0</v>
      </c>
      <c r="K324" s="12">
        <v>2</v>
      </c>
      <c r="L324" s="12">
        <f t="shared" si="76"/>
        <v>2</v>
      </c>
      <c r="M324" s="12">
        <v>4</v>
      </c>
      <c r="N324" s="12" t="s">
        <v>70</v>
      </c>
      <c r="O324" s="12">
        <v>0</v>
      </c>
      <c r="P324" s="12">
        <v>0</v>
      </c>
      <c r="Q324" s="12">
        <v>1</v>
      </c>
      <c r="R324" s="12">
        <v>0</v>
      </c>
      <c r="S324" s="12">
        <v>0</v>
      </c>
      <c r="T324" s="12">
        <v>1</v>
      </c>
      <c r="U324" s="12" t="s">
        <v>19</v>
      </c>
      <c r="V324" s="12">
        <v>1</v>
      </c>
      <c r="W324" s="12">
        <v>74</v>
      </c>
      <c r="X324" s="12">
        <v>4</v>
      </c>
      <c r="Y324" s="12">
        <v>2</v>
      </c>
      <c r="Z324" s="12" t="s">
        <v>63</v>
      </c>
      <c r="AA324" s="12">
        <v>0</v>
      </c>
      <c r="AB324" s="12">
        <v>0</v>
      </c>
      <c r="AC324" s="12">
        <v>0</v>
      </c>
      <c r="AD324" s="12">
        <v>0</v>
      </c>
      <c r="AE324" s="12">
        <v>0</v>
      </c>
      <c r="AF324" s="12">
        <v>0</v>
      </c>
      <c r="AG324" s="12">
        <v>0</v>
      </c>
      <c r="AH324" s="12">
        <v>1</v>
      </c>
      <c r="AI324" s="12">
        <v>4</v>
      </c>
      <c r="AJ324" s="12" t="s">
        <v>57</v>
      </c>
      <c r="AK324" s="12">
        <v>1</v>
      </c>
      <c r="AL324" s="12">
        <v>0</v>
      </c>
      <c r="AM324" s="12">
        <v>5055</v>
      </c>
      <c r="AN324" s="12">
        <f t="shared" si="77"/>
        <v>5055</v>
      </c>
      <c r="AO324" s="12">
        <v>7</v>
      </c>
      <c r="AP324" s="12" t="s">
        <v>59</v>
      </c>
      <c r="AQ324" s="12">
        <v>0</v>
      </c>
      <c r="AR324" s="12">
        <v>16</v>
      </c>
      <c r="AS324" s="12">
        <v>3</v>
      </c>
      <c r="AT324" s="12">
        <v>3</v>
      </c>
      <c r="AU324" s="12">
        <v>0</v>
      </c>
      <c r="AV324" s="12">
        <v>10</v>
      </c>
      <c r="AW324" s="12">
        <f t="shared" si="78"/>
        <v>10</v>
      </c>
      <c r="AX324" s="12">
        <v>0</v>
      </c>
      <c r="AY324" s="12">
        <v>2</v>
      </c>
      <c r="AZ324" s="12">
        <v>7</v>
      </c>
      <c r="BA324" s="12">
        <f t="shared" si="79"/>
        <v>7</v>
      </c>
      <c r="BB324" s="12">
        <v>7</v>
      </c>
      <c r="BC324" s="12">
        <v>0</v>
      </c>
      <c r="BD324" s="12">
        <f t="shared" si="88"/>
        <v>0</v>
      </c>
      <c r="BE324" s="12">
        <v>7</v>
      </c>
      <c r="BF324" s="12">
        <f t="shared" si="80"/>
        <v>7</v>
      </c>
      <c r="BG324" s="12">
        <f t="shared" si="89"/>
        <v>14</v>
      </c>
      <c r="BH324" s="67">
        <v>1</v>
      </c>
      <c r="BI324" s="67">
        <v>0</v>
      </c>
      <c r="BJ324" s="67">
        <v>0</v>
      </c>
      <c r="BK324" s="67">
        <v>0</v>
      </c>
      <c r="BL324" s="67">
        <v>1</v>
      </c>
      <c r="BM324" s="67">
        <v>0</v>
      </c>
      <c r="BN324" s="67">
        <v>0</v>
      </c>
      <c r="BO324" s="67">
        <v>0</v>
      </c>
      <c r="BP324" s="67">
        <v>0</v>
      </c>
      <c r="BQ324" s="67">
        <v>7</v>
      </c>
      <c r="BR324" s="67">
        <v>0</v>
      </c>
      <c r="BS324" s="67">
        <v>0</v>
      </c>
      <c r="BT324" s="67">
        <v>10</v>
      </c>
      <c r="BU324" s="70">
        <v>0</v>
      </c>
      <c r="BV324" s="29">
        <f t="shared" si="81"/>
        <v>0.3075498266498996</v>
      </c>
      <c r="BW324">
        <f t="shared" si="82"/>
        <v>0.80626709607243985</v>
      </c>
      <c r="BX324">
        <f t="shared" si="83"/>
        <v>0.1644554352117841</v>
      </c>
      <c r="BY324">
        <f t="shared" si="84"/>
        <v>1.3324462240916321E-3</v>
      </c>
      <c r="BZ324">
        <f t="shared" si="85"/>
        <v>0.88721318382472392</v>
      </c>
      <c r="CA324">
        <f t="shared" si="86"/>
        <v>0.53898283739188557</v>
      </c>
      <c r="CB324">
        <f t="shared" si="87"/>
        <v>0.67891464284095016</v>
      </c>
    </row>
    <row r="325" spans="1:80" x14ac:dyDescent="0.45">
      <c r="A325" s="11">
        <v>28</v>
      </c>
      <c r="B325" s="12">
        <f t="shared" si="75"/>
        <v>28</v>
      </c>
      <c r="C325" s="12" t="s">
        <v>52</v>
      </c>
      <c r="D325" s="12">
        <v>1</v>
      </c>
      <c r="E325" s="12" t="s">
        <v>53</v>
      </c>
      <c r="F325" s="12">
        <v>0</v>
      </c>
      <c r="G325" s="12">
        <v>1</v>
      </c>
      <c r="H325" s="12" t="s">
        <v>61</v>
      </c>
      <c r="I325" s="12">
        <v>1</v>
      </c>
      <c r="J325" s="12">
        <v>0</v>
      </c>
      <c r="K325" s="12">
        <v>2</v>
      </c>
      <c r="L325" s="12">
        <f t="shared" si="76"/>
        <v>2</v>
      </c>
      <c r="M325" s="12">
        <v>4</v>
      </c>
      <c r="N325" s="12" t="s">
        <v>70</v>
      </c>
      <c r="O325" s="12">
        <v>0</v>
      </c>
      <c r="P325" s="12">
        <v>0</v>
      </c>
      <c r="Q325" s="12">
        <v>1</v>
      </c>
      <c r="R325" s="12">
        <v>0</v>
      </c>
      <c r="S325" s="12">
        <v>0</v>
      </c>
      <c r="T325" s="12">
        <v>1</v>
      </c>
      <c r="U325" s="12" t="s">
        <v>62</v>
      </c>
      <c r="V325" s="12">
        <v>0</v>
      </c>
      <c r="W325" s="12">
        <v>84</v>
      </c>
      <c r="X325" s="12">
        <v>1</v>
      </c>
      <c r="Y325" s="12">
        <v>1</v>
      </c>
      <c r="Z325" s="12" t="s">
        <v>63</v>
      </c>
      <c r="AA325" s="12">
        <v>0</v>
      </c>
      <c r="AB325" s="12">
        <v>0</v>
      </c>
      <c r="AC325" s="12">
        <v>0</v>
      </c>
      <c r="AD325" s="12">
        <v>0</v>
      </c>
      <c r="AE325" s="12">
        <v>0</v>
      </c>
      <c r="AF325" s="12">
        <v>0</v>
      </c>
      <c r="AG325" s="12">
        <v>0</v>
      </c>
      <c r="AH325" s="12">
        <v>1</v>
      </c>
      <c r="AI325" s="12">
        <v>4</v>
      </c>
      <c r="AJ325" s="12" t="s">
        <v>64</v>
      </c>
      <c r="AK325" s="12">
        <v>0</v>
      </c>
      <c r="AL325" s="12">
        <v>1</v>
      </c>
      <c r="AM325" s="12">
        <v>3464</v>
      </c>
      <c r="AN325" s="12">
        <f t="shared" si="77"/>
        <v>3464</v>
      </c>
      <c r="AO325" s="12">
        <v>5</v>
      </c>
      <c r="AP325" s="12" t="s">
        <v>52</v>
      </c>
      <c r="AQ325" s="12">
        <v>1</v>
      </c>
      <c r="AR325" s="12">
        <v>13</v>
      </c>
      <c r="AS325" s="12">
        <v>3</v>
      </c>
      <c r="AT325" s="12">
        <v>4</v>
      </c>
      <c r="AU325" s="12">
        <v>0</v>
      </c>
      <c r="AV325" s="12">
        <v>5</v>
      </c>
      <c r="AW325" s="12">
        <f t="shared" si="78"/>
        <v>5</v>
      </c>
      <c r="AX325" s="12">
        <v>4</v>
      </c>
      <c r="AY325" s="12">
        <v>2</v>
      </c>
      <c r="AZ325" s="12">
        <v>3</v>
      </c>
      <c r="BA325" s="12">
        <f t="shared" si="79"/>
        <v>3</v>
      </c>
      <c r="BB325" s="12">
        <v>2</v>
      </c>
      <c r="BC325" s="12">
        <v>2</v>
      </c>
      <c r="BD325" s="12">
        <f t="shared" si="88"/>
        <v>2</v>
      </c>
      <c r="BE325" s="12">
        <v>2</v>
      </c>
      <c r="BF325" s="12">
        <f t="shared" si="80"/>
        <v>2</v>
      </c>
      <c r="BG325" s="12">
        <f t="shared" si="89"/>
        <v>2</v>
      </c>
      <c r="BH325" s="67">
        <v>0</v>
      </c>
      <c r="BI325" s="67">
        <v>1</v>
      </c>
      <c r="BJ325" s="67">
        <v>0</v>
      </c>
      <c r="BK325" s="67">
        <v>0</v>
      </c>
      <c r="BL325" s="67">
        <v>0</v>
      </c>
      <c r="BM325" s="67">
        <v>0</v>
      </c>
      <c r="BN325" s="67">
        <v>0</v>
      </c>
      <c r="BO325" s="67">
        <v>1</v>
      </c>
      <c r="BP325" s="67">
        <v>0</v>
      </c>
      <c r="BQ325" s="67">
        <v>2</v>
      </c>
      <c r="BR325" s="67">
        <v>0</v>
      </c>
      <c r="BS325" s="67">
        <v>0</v>
      </c>
      <c r="BT325" s="67">
        <v>5</v>
      </c>
      <c r="BU325" s="70">
        <v>0</v>
      </c>
      <c r="BV325" s="29">
        <f t="shared" si="81"/>
        <v>0.64548835780036362</v>
      </c>
      <c r="BW325">
        <f t="shared" si="82"/>
        <v>0.59502473559756086</v>
      </c>
      <c r="BX325">
        <f t="shared" si="83"/>
        <v>0.80706439257840468</v>
      </c>
      <c r="BY325">
        <f t="shared" si="84"/>
        <v>0.65423109602898355</v>
      </c>
      <c r="BZ325">
        <f t="shared" si="85"/>
        <v>0.88721318382472392</v>
      </c>
      <c r="CA325">
        <f t="shared" si="86"/>
        <v>0.97684123527310796</v>
      </c>
      <c r="CB325">
        <f t="shared" si="87"/>
        <v>5.8265062631872602E-2</v>
      </c>
    </row>
    <row r="326" spans="1:80" x14ac:dyDescent="0.45">
      <c r="A326" s="11">
        <v>30</v>
      </c>
      <c r="B326" s="12">
        <f t="shared" si="75"/>
        <v>30</v>
      </c>
      <c r="C326" s="12" t="s">
        <v>59</v>
      </c>
      <c r="D326" s="12">
        <v>0</v>
      </c>
      <c r="E326" s="12" t="s">
        <v>53</v>
      </c>
      <c r="F326" s="12">
        <v>0</v>
      </c>
      <c r="G326" s="12">
        <v>1</v>
      </c>
      <c r="H326" s="12" t="s">
        <v>61</v>
      </c>
      <c r="I326" s="12">
        <v>1</v>
      </c>
      <c r="J326" s="12">
        <v>0</v>
      </c>
      <c r="K326" s="12">
        <v>28</v>
      </c>
      <c r="L326" s="12">
        <f t="shared" si="76"/>
        <v>28</v>
      </c>
      <c r="M326" s="12">
        <v>2</v>
      </c>
      <c r="N326" s="12" t="s">
        <v>70</v>
      </c>
      <c r="O326" s="12">
        <v>0</v>
      </c>
      <c r="P326" s="12">
        <v>0</v>
      </c>
      <c r="Q326" s="12">
        <v>1</v>
      </c>
      <c r="R326" s="12">
        <v>0</v>
      </c>
      <c r="S326" s="12">
        <v>0</v>
      </c>
      <c r="T326" s="12">
        <v>4</v>
      </c>
      <c r="U326" s="12" t="s">
        <v>19</v>
      </c>
      <c r="V326" s="12">
        <v>1</v>
      </c>
      <c r="W326" s="12">
        <v>64</v>
      </c>
      <c r="X326" s="12">
        <v>3</v>
      </c>
      <c r="Y326" s="12">
        <v>2</v>
      </c>
      <c r="Z326" s="12" t="s">
        <v>63</v>
      </c>
      <c r="AA326" s="12">
        <v>0</v>
      </c>
      <c r="AB326" s="12">
        <v>0</v>
      </c>
      <c r="AC326" s="12">
        <v>0</v>
      </c>
      <c r="AD326" s="12">
        <v>0</v>
      </c>
      <c r="AE326" s="12">
        <v>0</v>
      </c>
      <c r="AF326" s="12">
        <v>0</v>
      </c>
      <c r="AG326" s="12">
        <v>0</v>
      </c>
      <c r="AH326" s="12">
        <v>1</v>
      </c>
      <c r="AI326" s="12">
        <v>4</v>
      </c>
      <c r="AJ326" s="12" t="s">
        <v>64</v>
      </c>
      <c r="AK326" s="12">
        <v>0</v>
      </c>
      <c r="AL326" s="12">
        <v>1</v>
      </c>
      <c r="AM326" s="12">
        <v>5775</v>
      </c>
      <c r="AN326" s="12">
        <f t="shared" si="77"/>
        <v>5775</v>
      </c>
      <c r="AO326" s="12">
        <v>1</v>
      </c>
      <c r="AP326" s="12" t="s">
        <v>59</v>
      </c>
      <c r="AQ326" s="12">
        <v>0</v>
      </c>
      <c r="AR326" s="12">
        <v>13</v>
      </c>
      <c r="AS326" s="12">
        <v>3</v>
      </c>
      <c r="AT326" s="12">
        <v>4</v>
      </c>
      <c r="AU326" s="12">
        <v>2</v>
      </c>
      <c r="AV326" s="12">
        <v>11</v>
      </c>
      <c r="AW326" s="12">
        <f t="shared" si="78"/>
        <v>11</v>
      </c>
      <c r="AX326" s="12">
        <v>2</v>
      </c>
      <c r="AY326" s="12">
        <v>3</v>
      </c>
      <c r="AZ326" s="12">
        <v>10</v>
      </c>
      <c r="BA326" s="12">
        <f t="shared" si="79"/>
        <v>10</v>
      </c>
      <c r="BB326" s="12">
        <v>8</v>
      </c>
      <c r="BC326" s="12">
        <v>1</v>
      </c>
      <c r="BD326" s="12">
        <f t="shared" si="88"/>
        <v>1</v>
      </c>
      <c r="BE326" s="12">
        <v>9</v>
      </c>
      <c r="BF326" s="12">
        <f t="shared" si="80"/>
        <v>9</v>
      </c>
      <c r="BG326" s="12">
        <f t="shared" si="89"/>
        <v>18</v>
      </c>
      <c r="BH326" s="67">
        <v>0</v>
      </c>
      <c r="BI326" s="67">
        <v>1</v>
      </c>
      <c r="BJ326" s="67">
        <v>0</v>
      </c>
      <c r="BK326" s="67">
        <v>0</v>
      </c>
      <c r="BL326" s="67">
        <v>0</v>
      </c>
      <c r="BM326" s="67">
        <v>0</v>
      </c>
      <c r="BN326" s="67">
        <v>1</v>
      </c>
      <c r="BO326" s="67">
        <v>0</v>
      </c>
      <c r="BP326" s="67">
        <v>0</v>
      </c>
      <c r="BQ326" s="67">
        <v>9</v>
      </c>
      <c r="BR326" s="67">
        <v>0</v>
      </c>
      <c r="BS326" s="67">
        <v>0</v>
      </c>
      <c r="BT326" s="67">
        <v>11</v>
      </c>
      <c r="BU326" s="70">
        <v>0</v>
      </c>
      <c r="BV326" s="29">
        <f t="shared" si="81"/>
        <v>0.15461724184264999</v>
      </c>
      <c r="BW326">
        <f t="shared" si="82"/>
        <v>1.3667838287404401</v>
      </c>
      <c r="BX326">
        <f t="shared" si="83"/>
        <v>3.593364373846001E-2</v>
      </c>
      <c r="BY326">
        <f t="shared" si="84"/>
        <v>0.48834154112957734</v>
      </c>
      <c r="BZ326">
        <f t="shared" si="85"/>
        <v>2.3199454169301186</v>
      </c>
      <c r="CA326">
        <f t="shared" si="86"/>
        <v>0.75791203633249671</v>
      </c>
      <c r="CB326">
        <f t="shared" si="87"/>
        <v>0.36858985273641137</v>
      </c>
    </row>
    <row r="327" spans="1:80" x14ac:dyDescent="0.45">
      <c r="A327" s="11">
        <v>31</v>
      </c>
      <c r="B327" s="12">
        <f t="shared" si="75"/>
        <v>31</v>
      </c>
      <c r="C327" s="12" t="s">
        <v>59</v>
      </c>
      <c r="D327" s="12">
        <v>0</v>
      </c>
      <c r="E327" s="12" t="s">
        <v>60</v>
      </c>
      <c r="F327" s="12">
        <v>1</v>
      </c>
      <c r="G327" s="12">
        <v>0</v>
      </c>
      <c r="H327" s="12" t="s">
        <v>61</v>
      </c>
      <c r="I327" s="12">
        <v>1</v>
      </c>
      <c r="J327" s="12">
        <v>0</v>
      </c>
      <c r="K327" s="12">
        <v>7</v>
      </c>
      <c r="L327" s="12">
        <f t="shared" si="76"/>
        <v>7</v>
      </c>
      <c r="M327" s="12">
        <v>2</v>
      </c>
      <c r="N327" s="12" t="s">
        <v>55</v>
      </c>
      <c r="O327" s="12">
        <v>1</v>
      </c>
      <c r="P327" s="12">
        <v>0</v>
      </c>
      <c r="Q327" s="12">
        <v>0</v>
      </c>
      <c r="R327" s="12">
        <v>0</v>
      </c>
      <c r="S327" s="12">
        <v>0</v>
      </c>
      <c r="T327" s="12">
        <v>3</v>
      </c>
      <c r="U327" s="12" t="s">
        <v>19</v>
      </c>
      <c r="V327" s="12">
        <v>1</v>
      </c>
      <c r="W327" s="12">
        <v>48</v>
      </c>
      <c r="X327" s="12">
        <v>2</v>
      </c>
      <c r="Y327" s="12">
        <v>3</v>
      </c>
      <c r="Z327" s="12" t="s">
        <v>83</v>
      </c>
      <c r="AA327" s="12">
        <v>0</v>
      </c>
      <c r="AB327" s="12">
        <v>0</v>
      </c>
      <c r="AC327" s="12">
        <v>0</v>
      </c>
      <c r="AD327" s="12">
        <v>0</v>
      </c>
      <c r="AE327" s="12">
        <v>1</v>
      </c>
      <c r="AF327" s="12">
        <v>1</v>
      </c>
      <c r="AG327" s="12">
        <v>0</v>
      </c>
      <c r="AH327" s="12">
        <v>0</v>
      </c>
      <c r="AI327" s="12">
        <v>3</v>
      </c>
      <c r="AJ327" s="12" t="s">
        <v>64</v>
      </c>
      <c r="AK327" s="12">
        <v>0</v>
      </c>
      <c r="AL327" s="12">
        <v>1</v>
      </c>
      <c r="AM327" s="12">
        <v>8943</v>
      </c>
      <c r="AN327" s="12">
        <f t="shared" si="77"/>
        <v>8943</v>
      </c>
      <c r="AO327" s="12">
        <v>1</v>
      </c>
      <c r="AP327" s="12" t="s">
        <v>59</v>
      </c>
      <c r="AQ327" s="12">
        <v>0</v>
      </c>
      <c r="AR327" s="12">
        <v>24</v>
      </c>
      <c r="AS327" s="12">
        <v>4</v>
      </c>
      <c r="AT327" s="12">
        <v>1</v>
      </c>
      <c r="AU327" s="12">
        <v>1</v>
      </c>
      <c r="AV327" s="12">
        <v>10</v>
      </c>
      <c r="AW327" s="12">
        <f t="shared" si="78"/>
        <v>10</v>
      </c>
      <c r="AX327" s="12">
        <v>2</v>
      </c>
      <c r="AY327" s="12">
        <v>3</v>
      </c>
      <c r="AZ327" s="12">
        <v>10</v>
      </c>
      <c r="BA327" s="12">
        <f t="shared" si="79"/>
        <v>10</v>
      </c>
      <c r="BB327" s="12">
        <v>9</v>
      </c>
      <c r="BC327" s="12">
        <v>8</v>
      </c>
      <c r="BD327" s="12">
        <f t="shared" si="88"/>
        <v>8</v>
      </c>
      <c r="BE327" s="12">
        <v>9</v>
      </c>
      <c r="BF327" s="12">
        <f t="shared" si="80"/>
        <v>9</v>
      </c>
      <c r="BG327" s="12">
        <f t="shared" si="89"/>
        <v>27</v>
      </c>
      <c r="BH327" s="67">
        <v>0</v>
      </c>
      <c r="BI327" s="67">
        <v>0</v>
      </c>
      <c r="BJ327" s="67">
        <v>0</v>
      </c>
      <c r="BK327" s="67">
        <v>1</v>
      </c>
      <c r="BL327" s="67">
        <v>0</v>
      </c>
      <c r="BM327" s="67">
        <v>0</v>
      </c>
      <c r="BN327" s="67">
        <v>1</v>
      </c>
      <c r="BO327" s="67">
        <v>0</v>
      </c>
      <c r="BP327" s="67">
        <v>0</v>
      </c>
      <c r="BQ327" s="67">
        <v>9</v>
      </c>
      <c r="BR327" s="67">
        <v>0</v>
      </c>
      <c r="BS327" s="67">
        <v>0</v>
      </c>
      <c r="BT327" s="67">
        <v>10</v>
      </c>
      <c r="BU327" s="70">
        <v>0</v>
      </c>
      <c r="BV327" s="29">
        <f t="shared" si="81"/>
        <v>0.51828613130924828</v>
      </c>
      <c r="BW327">
        <f t="shared" si="82"/>
        <v>1.3667838287404401</v>
      </c>
      <c r="BX327">
        <f t="shared" si="83"/>
        <v>0.1644554352117841</v>
      </c>
      <c r="BY327">
        <f t="shared" si="84"/>
        <v>0.48834154112957734</v>
      </c>
      <c r="BZ327">
        <f t="shared" si="85"/>
        <v>0.27045191444879263</v>
      </c>
      <c r="CA327">
        <f t="shared" si="86"/>
        <v>0.6484474368621912</v>
      </c>
      <c r="CB327">
        <f t="shared" si="87"/>
        <v>1.8036836779953602</v>
      </c>
    </row>
    <row r="328" spans="1:80" x14ac:dyDescent="0.45">
      <c r="A328" s="11">
        <v>39</v>
      </c>
      <c r="B328" s="12">
        <f t="shared" si="75"/>
        <v>39</v>
      </c>
      <c r="C328" s="12" t="s">
        <v>59</v>
      </c>
      <c r="D328" s="12">
        <v>0</v>
      </c>
      <c r="E328" s="12" t="s">
        <v>60</v>
      </c>
      <c r="F328" s="12">
        <v>1</v>
      </c>
      <c r="G328" s="12">
        <v>0</v>
      </c>
      <c r="H328" s="12" t="s">
        <v>61</v>
      </c>
      <c r="I328" s="12">
        <v>1</v>
      </c>
      <c r="J328" s="12">
        <v>0</v>
      </c>
      <c r="K328" s="12">
        <v>7</v>
      </c>
      <c r="L328" s="12">
        <f t="shared" si="76"/>
        <v>7</v>
      </c>
      <c r="M328" s="12">
        <v>2</v>
      </c>
      <c r="N328" s="12" t="s">
        <v>70</v>
      </c>
      <c r="O328" s="12">
        <v>0</v>
      </c>
      <c r="P328" s="12">
        <v>0</v>
      </c>
      <c r="Q328" s="12">
        <v>1</v>
      </c>
      <c r="R328" s="12">
        <v>0</v>
      </c>
      <c r="S328" s="12">
        <v>0</v>
      </c>
      <c r="T328" s="12">
        <v>3</v>
      </c>
      <c r="U328" s="12" t="s">
        <v>62</v>
      </c>
      <c r="V328" s="12">
        <v>0</v>
      </c>
      <c r="W328" s="12">
        <v>54</v>
      </c>
      <c r="X328" s="12">
        <v>2</v>
      </c>
      <c r="Y328" s="12">
        <v>5</v>
      </c>
      <c r="Z328" s="12" t="s">
        <v>87</v>
      </c>
      <c r="AA328" s="12">
        <v>0</v>
      </c>
      <c r="AB328" s="12">
        <v>0</v>
      </c>
      <c r="AC328" s="12">
        <v>0</v>
      </c>
      <c r="AD328" s="12">
        <v>1</v>
      </c>
      <c r="AE328" s="12">
        <v>0</v>
      </c>
      <c r="AF328" s="12">
        <v>0</v>
      </c>
      <c r="AG328" s="12">
        <v>0</v>
      </c>
      <c r="AH328" s="12">
        <v>0</v>
      </c>
      <c r="AI328" s="12">
        <v>4</v>
      </c>
      <c r="AJ328" s="12" t="s">
        <v>64</v>
      </c>
      <c r="AK328" s="12">
        <v>0</v>
      </c>
      <c r="AL328" s="12">
        <v>1</v>
      </c>
      <c r="AM328" s="12">
        <v>19272</v>
      </c>
      <c r="AN328" s="12">
        <f t="shared" si="77"/>
        <v>19272</v>
      </c>
      <c r="AO328" s="12">
        <v>1</v>
      </c>
      <c r="AP328" s="12" t="s">
        <v>59</v>
      </c>
      <c r="AQ328" s="12">
        <v>0</v>
      </c>
      <c r="AR328" s="12">
        <v>15</v>
      </c>
      <c r="AS328" s="12">
        <v>3</v>
      </c>
      <c r="AT328" s="12">
        <v>1</v>
      </c>
      <c r="AU328" s="12">
        <v>1</v>
      </c>
      <c r="AV328" s="12">
        <v>21</v>
      </c>
      <c r="AW328" s="12">
        <f t="shared" si="78"/>
        <v>21</v>
      </c>
      <c r="AX328" s="12">
        <v>2</v>
      </c>
      <c r="AY328" s="12">
        <v>3</v>
      </c>
      <c r="AZ328" s="12">
        <v>21</v>
      </c>
      <c r="BA328" s="12">
        <f t="shared" si="79"/>
        <v>21</v>
      </c>
      <c r="BB328" s="12">
        <v>9</v>
      </c>
      <c r="BC328" s="12">
        <v>13</v>
      </c>
      <c r="BD328" s="12">
        <f t="shared" si="88"/>
        <v>13</v>
      </c>
      <c r="BE328" s="12">
        <v>3</v>
      </c>
      <c r="BF328" s="12">
        <f t="shared" si="80"/>
        <v>3</v>
      </c>
      <c r="BG328" s="12">
        <f t="shared" si="89"/>
        <v>15</v>
      </c>
      <c r="BH328" s="67">
        <v>0</v>
      </c>
      <c r="BI328" s="67">
        <v>0</v>
      </c>
      <c r="BJ328" s="67">
        <v>0</v>
      </c>
      <c r="BK328" s="67">
        <v>1</v>
      </c>
      <c r="BL328" s="67">
        <v>0</v>
      </c>
      <c r="BM328" s="67">
        <v>0</v>
      </c>
      <c r="BN328" s="67">
        <v>1</v>
      </c>
      <c r="BO328" s="67">
        <v>0</v>
      </c>
      <c r="BP328" s="67">
        <v>0</v>
      </c>
      <c r="BQ328" s="67">
        <v>3</v>
      </c>
      <c r="BR328" s="67">
        <v>0</v>
      </c>
      <c r="BS328" s="67">
        <v>0</v>
      </c>
      <c r="BT328" s="67">
        <v>21</v>
      </c>
      <c r="BU328" s="70">
        <v>0</v>
      </c>
      <c r="BV328" s="29">
        <f t="shared" si="81"/>
        <v>2.7122315041899165</v>
      </c>
      <c r="BW328">
        <f t="shared" si="82"/>
        <v>0.31476636926356072</v>
      </c>
      <c r="BX328">
        <f t="shared" si="83"/>
        <v>1.2492842709947811</v>
      </c>
      <c r="BY328">
        <f t="shared" si="84"/>
        <v>2.2838128280930299</v>
      </c>
      <c r="BZ328">
        <f t="shared" si="85"/>
        <v>0.27045191444879263</v>
      </c>
      <c r="CA328">
        <f t="shared" si="86"/>
        <v>0.22726935890025346</v>
      </c>
      <c r="CB328">
        <f t="shared" si="87"/>
        <v>3.3553076285180543</v>
      </c>
    </row>
    <row r="329" spans="1:80" x14ac:dyDescent="0.45">
      <c r="A329" s="11">
        <v>39</v>
      </c>
      <c r="B329" s="12">
        <f t="shared" si="75"/>
        <v>39</v>
      </c>
      <c r="C329" s="12" t="s">
        <v>52</v>
      </c>
      <c r="D329" s="12">
        <v>1</v>
      </c>
      <c r="E329" s="12" t="s">
        <v>53</v>
      </c>
      <c r="F329" s="12">
        <v>0</v>
      </c>
      <c r="G329" s="12">
        <v>1</v>
      </c>
      <c r="H329" s="12" t="s">
        <v>54</v>
      </c>
      <c r="I329" s="12">
        <v>0</v>
      </c>
      <c r="J329" s="12">
        <v>1</v>
      </c>
      <c r="K329" s="12">
        <v>3</v>
      </c>
      <c r="L329" s="12">
        <f t="shared" si="76"/>
        <v>3</v>
      </c>
      <c r="M329" s="12">
        <v>2</v>
      </c>
      <c r="N329" s="12" t="s">
        <v>70</v>
      </c>
      <c r="O329" s="12">
        <v>0</v>
      </c>
      <c r="P329" s="12">
        <v>0</v>
      </c>
      <c r="Q329" s="12">
        <v>1</v>
      </c>
      <c r="R329" s="12">
        <v>0</v>
      </c>
      <c r="S329" s="12">
        <v>0</v>
      </c>
      <c r="T329" s="12">
        <v>4</v>
      </c>
      <c r="U329" s="12" t="s">
        <v>19</v>
      </c>
      <c r="V329" s="12">
        <v>1</v>
      </c>
      <c r="W329" s="12">
        <v>41</v>
      </c>
      <c r="X329" s="12">
        <v>3</v>
      </c>
      <c r="Y329" s="12">
        <v>2</v>
      </c>
      <c r="Z329" s="12" t="s">
        <v>56</v>
      </c>
      <c r="AA329" s="12">
        <v>0</v>
      </c>
      <c r="AB329" s="12">
        <v>1</v>
      </c>
      <c r="AC329" s="12">
        <v>0</v>
      </c>
      <c r="AD329" s="12">
        <v>0</v>
      </c>
      <c r="AE329" s="12">
        <v>0</v>
      </c>
      <c r="AF329" s="12">
        <v>0</v>
      </c>
      <c r="AG329" s="12">
        <v>0</v>
      </c>
      <c r="AH329" s="12">
        <v>0</v>
      </c>
      <c r="AI329" s="12">
        <v>3</v>
      </c>
      <c r="AJ329" s="12" t="s">
        <v>64</v>
      </c>
      <c r="AK329" s="12">
        <v>0</v>
      </c>
      <c r="AL329" s="12">
        <v>1</v>
      </c>
      <c r="AM329" s="12">
        <v>5238</v>
      </c>
      <c r="AN329" s="12">
        <f t="shared" si="77"/>
        <v>5238</v>
      </c>
      <c r="AO329" s="12">
        <v>4</v>
      </c>
      <c r="AP329" s="12" t="s">
        <v>52</v>
      </c>
      <c r="AQ329" s="12">
        <v>1</v>
      </c>
      <c r="AR329" s="12">
        <v>18</v>
      </c>
      <c r="AS329" s="12">
        <v>3</v>
      </c>
      <c r="AT329" s="12">
        <v>1</v>
      </c>
      <c r="AU329" s="12">
        <v>0</v>
      </c>
      <c r="AV329" s="12">
        <v>12</v>
      </c>
      <c r="AW329" s="12">
        <f t="shared" si="78"/>
        <v>12</v>
      </c>
      <c r="AX329" s="12">
        <v>3</v>
      </c>
      <c r="AY329" s="12">
        <v>2</v>
      </c>
      <c r="AZ329" s="12">
        <v>1</v>
      </c>
      <c r="BA329" s="12">
        <f t="shared" si="79"/>
        <v>1</v>
      </c>
      <c r="BB329" s="12">
        <v>0</v>
      </c>
      <c r="BC329" s="12">
        <v>0</v>
      </c>
      <c r="BD329" s="12">
        <f t="shared" si="88"/>
        <v>0</v>
      </c>
      <c r="BE329" s="12">
        <v>0</v>
      </c>
      <c r="BF329" s="12">
        <f t="shared" si="80"/>
        <v>0</v>
      </c>
      <c r="BG329" s="12">
        <f t="shared" si="89"/>
        <v>0</v>
      </c>
      <c r="BH329" s="67">
        <v>0</v>
      </c>
      <c r="BI329" s="67">
        <v>1</v>
      </c>
      <c r="BJ329" s="67">
        <v>0</v>
      </c>
      <c r="BK329" s="67">
        <v>0</v>
      </c>
      <c r="BL329" s="67">
        <v>0</v>
      </c>
      <c r="BM329" s="67">
        <v>0</v>
      </c>
      <c r="BN329" s="67">
        <v>0</v>
      </c>
      <c r="BO329" s="67">
        <v>1</v>
      </c>
      <c r="BP329" s="67">
        <v>0</v>
      </c>
      <c r="BQ329" s="67">
        <v>0</v>
      </c>
      <c r="BR329" s="67">
        <v>0</v>
      </c>
      <c r="BS329" s="67">
        <v>0</v>
      </c>
      <c r="BT329" s="67">
        <v>0</v>
      </c>
      <c r="BU329" s="70">
        <v>12</v>
      </c>
      <c r="BV329" s="29">
        <f t="shared" si="81"/>
        <v>0.26867946134472365</v>
      </c>
      <c r="BW329">
        <f t="shared" si="82"/>
        <v>1.1555414682655611</v>
      </c>
      <c r="BX329">
        <f t="shared" si="83"/>
        <v>9.2588147734864096E-2</v>
      </c>
      <c r="BY329">
        <f t="shared" si="84"/>
        <v>0.9806804209314296</v>
      </c>
      <c r="BZ329">
        <f t="shared" si="85"/>
        <v>0.76386092994953758</v>
      </c>
      <c r="CA329">
        <f t="shared" si="86"/>
        <v>0.22726935890025346</v>
      </c>
      <c r="CB329">
        <f t="shared" si="87"/>
        <v>0.67891464284095016</v>
      </c>
    </row>
    <row r="330" spans="1:80" x14ac:dyDescent="0.45">
      <c r="A330" s="11">
        <v>33</v>
      </c>
      <c r="B330" s="12">
        <f t="shared" si="75"/>
        <v>33</v>
      </c>
      <c r="C330" s="12" t="s">
        <v>59</v>
      </c>
      <c r="D330" s="12">
        <v>0</v>
      </c>
      <c r="E330" s="12" t="s">
        <v>60</v>
      </c>
      <c r="F330" s="12">
        <v>1</v>
      </c>
      <c r="G330" s="12">
        <v>0</v>
      </c>
      <c r="H330" s="12" t="s">
        <v>54</v>
      </c>
      <c r="I330" s="12">
        <v>0</v>
      </c>
      <c r="J330" s="12">
        <v>1</v>
      </c>
      <c r="K330" s="12">
        <v>10</v>
      </c>
      <c r="L330" s="12">
        <f t="shared" si="76"/>
        <v>10</v>
      </c>
      <c r="M330" s="12">
        <v>3</v>
      </c>
      <c r="N330" s="12" t="s">
        <v>90</v>
      </c>
      <c r="O330" s="12">
        <v>0</v>
      </c>
      <c r="P330" s="12">
        <v>0</v>
      </c>
      <c r="Q330" s="12">
        <v>0</v>
      </c>
      <c r="R330" s="12">
        <v>1</v>
      </c>
      <c r="S330" s="12">
        <v>0</v>
      </c>
      <c r="T330" s="12">
        <v>2</v>
      </c>
      <c r="U330" s="12" t="s">
        <v>62</v>
      </c>
      <c r="V330" s="12">
        <v>0</v>
      </c>
      <c r="W330" s="12">
        <v>46</v>
      </c>
      <c r="X330" s="12">
        <v>2</v>
      </c>
      <c r="Y330" s="12">
        <v>2</v>
      </c>
      <c r="Z330" s="12" t="s">
        <v>56</v>
      </c>
      <c r="AA330" s="12">
        <v>0</v>
      </c>
      <c r="AB330" s="12">
        <v>1</v>
      </c>
      <c r="AC330" s="12">
        <v>0</v>
      </c>
      <c r="AD330" s="12">
        <v>0</v>
      </c>
      <c r="AE330" s="12">
        <v>0</v>
      </c>
      <c r="AF330" s="12">
        <v>0</v>
      </c>
      <c r="AG330" s="12">
        <v>0</v>
      </c>
      <c r="AH330" s="12">
        <v>0</v>
      </c>
      <c r="AI330" s="12">
        <v>4</v>
      </c>
      <c r="AJ330" s="12" t="s">
        <v>57</v>
      </c>
      <c r="AK330" s="12">
        <v>1</v>
      </c>
      <c r="AL330" s="12">
        <v>0</v>
      </c>
      <c r="AM330" s="12">
        <v>4682</v>
      </c>
      <c r="AN330" s="12">
        <f t="shared" si="77"/>
        <v>4682</v>
      </c>
      <c r="AO330" s="12">
        <v>3</v>
      </c>
      <c r="AP330" s="12" t="s">
        <v>59</v>
      </c>
      <c r="AQ330" s="12">
        <v>0</v>
      </c>
      <c r="AR330" s="12">
        <v>14</v>
      </c>
      <c r="AS330" s="12">
        <v>3</v>
      </c>
      <c r="AT330" s="12">
        <v>3</v>
      </c>
      <c r="AU330" s="12">
        <v>0</v>
      </c>
      <c r="AV330" s="12">
        <v>9</v>
      </c>
      <c r="AW330" s="12">
        <f t="shared" si="78"/>
        <v>9</v>
      </c>
      <c r="AX330" s="12">
        <v>6</v>
      </c>
      <c r="AY330" s="12">
        <v>2</v>
      </c>
      <c r="AZ330" s="12">
        <v>7</v>
      </c>
      <c r="BA330" s="12">
        <f t="shared" si="79"/>
        <v>7</v>
      </c>
      <c r="BB330" s="12">
        <v>7</v>
      </c>
      <c r="BC330" s="12">
        <v>0</v>
      </c>
      <c r="BD330" s="12">
        <f t="shared" si="88"/>
        <v>0</v>
      </c>
      <c r="BE330" s="12">
        <v>1</v>
      </c>
      <c r="BF330" s="12">
        <f t="shared" si="80"/>
        <v>1</v>
      </c>
      <c r="BG330" s="12">
        <f t="shared" si="89"/>
        <v>2</v>
      </c>
      <c r="BH330" s="67">
        <v>0</v>
      </c>
      <c r="BI330" s="67">
        <v>0</v>
      </c>
      <c r="BJ330" s="67">
        <v>1</v>
      </c>
      <c r="BK330" s="67">
        <v>0</v>
      </c>
      <c r="BL330" s="67">
        <v>1</v>
      </c>
      <c r="BM330" s="67">
        <v>0</v>
      </c>
      <c r="BN330" s="67">
        <v>0</v>
      </c>
      <c r="BO330" s="67">
        <v>0</v>
      </c>
      <c r="BP330" s="67">
        <v>0</v>
      </c>
      <c r="BQ330" s="67">
        <v>0</v>
      </c>
      <c r="BR330" s="67">
        <v>1</v>
      </c>
      <c r="BS330" s="67">
        <v>0</v>
      </c>
      <c r="BT330" s="67">
        <v>0</v>
      </c>
      <c r="BU330" s="70">
        <v>9</v>
      </c>
      <c r="BV330" s="29">
        <f t="shared" si="81"/>
        <v>0.38677740183476639</v>
      </c>
      <c r="BW330">
        <f t="shared" si="82"/>
        <v>0.87528310193156111</v>
      </c>
      <c r="BX330">
        <f t="shared" si="83"/>
        <v>0.29297722668510823</v>
      </c>
      <c r="BY330">
        <f t="shared" si="84"/>
        <v>1.3324462240916321E-3</v>
      </c>
      <c r="BZ330">
        <f t="shared" si="85"/>
        <v>9.9604847176766084E-2</v>
      </c>
      <c r="CA330">
        <f t="shared" si="86"/>
        <v>0.42951823792158</v>
      </c>
      <c r="CB330">
        <f t="shared" si="87"/>
        <v>0.67891464284095016</v>
      </c>
    </row>
    <row r="331" spans="1:80" x14ac:dyDescent="0.45">
      <c r="A331" s="11">
        <v>47</v>
      </c>
      <c r="B331" s="12">
        <f t="shared" si="75"/>
        <v>47</v>
      </c>
      <c r="C331" s="12" t="s">
        <v>59</v>
      </c>
      <c r="D331" s="12">
        <v>0</v>
      </c>
      <c r="E331" s="12" t="s">
        <v>53</v>
      </c>
      <c r="F331" s="12">
        <v>0</v>
      </c>
      <c r="G331" s="12">
        <v>1</v>
      </c>
      <c r="H331" s="12" t="s">
        <v>61</v>
      </c>
      <c r="I331" s="12">
        <v>1</v>
      </c>
      <c r="J331" s="12">
        <v>0</v>
      </c>
      <c r="K331" s="12">
        <v>5</v>
      </c>
      <c r="L331" s="12">
        <f t="shared" si="76"/>
        <v>5</v>
      </c>
      <c r="M331" s="12">
        <v>5</v>
      </c>
      <c r="N331" s="12" t="s">
        <v>55</v>
      </c>
      <c r="O331" s="12">
        <v>1</v>
      </c>
      <c r="P331" s="12">
        <v>0</v>
      </c>
      <c r="Q331" s="12">
        <v>0</v>
      </c>
      <c r="R331" s="12">
        <v>0</v>
      </c>
      <c r="S331" s="12">
        <v>0</v>
      </c>
      <c r="T331" s="12">
        <v>4</v>
      </c>
      <c r="U331" s="12" t="s">
        <v>62</v>
      </c>
      <c r="V331" s="12">
        <v>0</v>
      </c>
      <c r="W331" s="12">
        <v>42</v>
      </c>
      <c r="X331" s="12">
        <v>3</v>
      </c>
      <c r="Y331" s="12">
        <v>5</v>
      </c>
      <c r="Z331" s="12" t="s">
        <v>89</v>
      </c>
      <c r="AA331" s="12">
        <v>0</v>
      </c>
      <c r="AB331" s="12">
        <v>0</v>
      </c>
      <c r="AC331" s="12">
        <v>0</v>
      </c>
      <c r="AD331" s="12">
        <v>0</v>
      </c>
      <c r="AE331" s="12">
        <v>0</v>
      </c>
      <c r="AF331" s="12">
        <v>0</v>
      </c>
      <c r="AG331" s="12">
        <v>0</v>
      </c>
      <c r="AH331" s="12">
        <v>0</v>
      </c>
      <c r="AI331" s="12">
        <v>3</v>
      </c>
      <c r="AJ331" s="12" t="s">
        <v>64</v>
      </c>
      <c r="AK331" s="12">
        <v>0</v>
      </c>
      <c r="AL331" s="12">
        <v>1</v>
      </c>
      <c r="AM331" s="12">
        <v>18300</v>
      </c>
      <c r="AN331" s="12">
        <f t="shared" si="77"/>
        <v>18300</v>
      </c>
      <c r="AO331" s="12">
        <v>4</v>
      </c>
      <c r="AP331" s="12" t="s">
        <v>59</v>
      </c>
      <c r="AQ331" s="12">
        <v>0</v>
      </c>
      <c r="AR331" s="12">
        <v>11</v>
      </c>
      <c r="AS331" s="12">
        <v>3</v>
      </c>
      <c r="AT331" s="12">
        <v>2</v>
      </c>
      <c r="AU331" s="12">
        <v>1</v>
      </c>
      <c r="AV331" s="12">
        <v>21</v>
      </c>
      <c r="AW331" s="12">
        <f t="shared" si="78"/>
        <v>21</v>
      </c>
      <c r="AX331" s="12">
        <v>2</v>
      </c>
      <c r="AY331" s="12">
        <v>3</v>
      </c>
      <c r="AZ331" s="12">
        <v>3</v>
      </c>
      <c r="BA331" s="12">
        <f t="shared" si="79"/>
        <v>3</v>
      </c>
      <c r="BB331" s="12">
        <v>2</v>
      </c>
      <c r="BC331" s="12">
        <v>1</v>
      </c>
      <c r="BD331" s="12">
        <f t="shared" si="88"/>
        <v>1</v>
      </c>
      <c r="BE331" s="12">
        <v>1</v>
      </c>
      <c r="BF331" s="12">
        <f t="shared" si="80"/>
        <v>1</v>
      </c>
      <c r="BG331" s="12">
        <f t="shared" si="89"/>
        <v>5</v>
      </c>
      <c r="BH331" s="67">
        <v>0</v>
      </c>
      <c r="BI331" s="67">
        <v>1</v>
      </c>
      <c r="BJ331" s="67">
        <v>0</v>
      </c>
      <c r="BK331" s="67">
        <v>0</v>
      </c>
      <c r="BL331" s="67">
        <v>0</v>
      </c>
      <c r="BM331" s="67">
        <v>0</v>
      </c>
      <c r="BN331" s="67">
        <v>1</v>
      </c>
      <c r="BO331" s="67">
        <v>0</v>
      </c>
      <c r="BP331" s="67">
        <v>0</v>
      </c>
      <c r="BQ331" s="67">
        <v>1</v>
      </c>
      <c r="BR331" s="67">
        <v>0</v>
      </c>
      <c r="BS331" s="67">
        <v>0</v>
      </c>
      <c r="BT331" s="67">
        <v>21</v>
      </c>
      <c r="BU331" s="70">
        <v>0</v>
      </c>
      <c r="BV331" s="29">
        <f t="shared" si="81"/>
        <v>2.5057725147001295</v>
      </c>
      <c r="BW331">
        <f t="shared" si="82"/>
        <v>0.87528310193156111</v>
      </c>
      <c r="BX331">
        <f t="shared" si="83"/>
        <v>1.2492842709947811</v>
      </c>
      <c r="BY331">
        <f t="shared" si="84"/>
        <v>0.65423109602898355</v>
      </c>
      <c r="BZ331">
        <f t="shared" si="85"/>
        <v>0.51715642219916513</v>
      </c>
      <c r="CA331">
        <f t="shared" si="86"/>
        <v>1.102986154662698</v>
      </c>
      <c r="CB331">
        <f t="shared" si="87"/>
        <v>0.36858985273641137</v>
      </c>
    </row>
    <row r="332" spans="1:80" x14ac:dyDescent="0.45">
      <c r="A332" s="11">
        <v>43</v>
      </c>
      <c r="B332" s="12">
        <f t="shared" si="75"/>
        <v>43</v>
      </c>
      <c r="C332" s="12" t="s">
        <v>59</v>
      </c>
      <c r="D332" s="12">
        <v>0</v>
      </c>
      <c r="E332" s="12" t="s">
        <v>60</v>
      </c>
      <c r="F332" s="12">
        <v>1</v>
      </c>
      <c r="G332" s="12">
        <v>0</v>
      </c>
      <c r="H332" s="12" t="s">
        <v>61</v>
      </c>
      <c r="I332" s="12">
        <v>1</v>
      </c>
      <c r="J332" s="12">
        <v>0</v>
      </c>
      <c r="K332" s="12">
        <v>10</v>
      </c>
      <c r="L332" s="12">
        <f t="shared" si="76"/>
        <v>10</v>
      </c>
      <c r="M332" s="12">
        <v>4</v>
      </c>
      <c r="N332" s="12" t="s">
        <v>55</v>
      </c>
      <c r="O332" s="12">
        <v>1</v>
      </c>
      <c r="P332" s="12">
        <v>0</v>
      </c>
      <c r="Q332" s="12">
        <v>0</v>
      </c>
      <c r="R332" s="12">
        <v>0</v>
      </c>
      <c r="S332" s="12">
        <v>0</v>
      </c>
      <c r="T332" s="12">
        <v>3</v>
      </c>
      <c r="U332" s="12" t="s">
        <v>19</v>
      </c>
      <c r="V332" s="12">
        <v>1</v>
      </c>
      <c r="W332" s="12">
        <v>82</v>
      </c>
      <c r="X332" s="12">
        <v>2</v>
      </c>
      <c r="Y332" s="12">
        <v>2</v>
      </c>
      <c r="Z332" s="12" t="s">
        <v>67</v>
      </c>
      <c r="AA332" s="12">
        <v>0</v>
      </c>
      <c r="AB332" s="12">
        <v>0</v>
      </c>
      <c r="AC332" s="12">
        <v>1</v>
      </c>
      <c r="AD332" s="12">
        <v>0</v>
      </c>
      <c r="AE332" s="12">
        <v>0</v>
      </c>
      <c r="AF332" s="12">
        <v>0</v>
      </c>
      <c r="AG332" s="12">
        <v>0</v>
      </c>
      <c r="AH332" s="12">
        <v>0</v>
      </c>
      <c r="AI332" s="12">
        <v>3</v>
      </c>
      <c r="AJ332" s="12" t="s">
        <v>78</v>
      </c>
      <c r="AK332" s="12">
        <v>0</v>
      </c>
      <c r="AL332" s="12">
        <v>0</v>
      </c>
      <c r="AM332" s="12">
        <v>5257</v>
      </c>
      <c r="AN332" s="12">
        <f t="shared" si="77"/>
        <v>5257</v>
      </c>
      <c r="AO332" s="12">
        <v>1</v>
      </c>
      <c r="AP332" s="12" t="s">
        <v>59</v>
      </c>
      <c r="AQ332" s="12">
        <v>0</v>
      </c>
      <c r="AR332" s="12">
        <v>11</v>
      </c>
      <c r="AS332" s="12">
        <v>3</v>
      </c>
      <c r="AT332" s="12">
        <v>2</v>
      </c>
      <c r="AU332" s="12">
        <v>1</v>
      </c>
      <c r="AV332" s="12">
        <v>9</v>
      </c>
      <c r="AW332" s="12">
        <f t="shared" si="78"/>
        <v>9</v>
      </c>
      <c r="AX332" s="12">
        <v>3</v>
      </c>
      <c r="AY332" s="12">
        <v>4</v>
      </c>
      <c r="AZ332" s="12">
        <v>9</v>
      </c>
      <c r="BA332" s="12">
        <f t="shared" si="79"/>
        <v>9</v>
      </c>
      <c r="BB332" s="12">
        <v>7</v>
      </c>
      <c r="BC332" s="12">
        <v>0</v>
      </c>
      <c r="BD332" s="12">
        <f t="shared" si="88"/>
        <v>0</v>
      </c>
      <c r="BE332" s="12">
        <v>0</v>
      </c>
      <c r="BF332" s="12">
        <f t="shared" si="80"/>
        <v>0</v>
      </c>
      <c r="BG332" s="12">
        <f t="shared" si="89"/>
        <v>0</v>
      </c>
      <c r="BH332" s="67">
        <v>0</v>
      </c>
      <c r="BI332" s="67">
        <v>0</v>
      </c>
      <c r="BJ332" s="67">
        <v>1</v>
      </c>
      <c r="BK332" s="67">
        <v>0</v>
      </c>
      <c r="BL332" s="67">
        <v>1</v>
      </c>
      <c r="BM332" s="67">
        <v>0</v>
      </c>
      <c r="BN332" s="67">
        <v>0</v>
      </c>
      <c r="BO332" s="67">
        <v>0</v>
      </c>
      <c r="BP332" s="67">
        <v>0</v>
      </c>
      <c r="BQ332" s="67">
        <v>0</v>
      </c>
      <c r="BR332" s="67">
        <v>0</v>
      </c>
      <c r="BS332" s="67">
        <v>0</v>
      </c>
      <c r="BT332" s="67">
        <v>9</v>
      </c>
      <c r="BU332" s="70">
        <v>0</v>
      </c>
      <c r="BV332" s="29">
        <f t="shared" si="81"/>
        <v>0.26464374035675459</v>
      </c>
      <c r="BW332">
        <f t="shared" si="82"/>
        <v>1.1555414682655611</v>
      </c>
      <c r="BX332">
        <f t="shared" si="83"/>
        <v>0.29297722668510823</v>
      </c>
      <c r="BY332">
        <f t="shared" si="84"/>
        <v>0.32511687867835437</v>
      </c>
      <c r="BZ332">
        <f t="shared" si="85"/>
        <v>9.9604847176766084E-2</v>
      </c>
      <c r="CA332">
        <f t="shared" si="86"/>
        <v>0.66512775678147573</v>
      </c>
      <c r="CB332">
        <f t="shared" si="87"/>
        <v>0.67891464284095016</v>
      </c>
    </row>
    <row r="333" spans="1:80" x14ac:dyDescent="0.45">
      <c r="A333" s="11">
        <v>27</v>
      </c>
      <c r="B333" s="12">
        <f t="shared" si="75"/>
        <v>27</v>
      </c>
      <c r="C333" s="12" t="s">
        <v>59</v>
      </c>
      <c r="D333" s="12">
        <v>0</v>
      </c>
      <c r="E333" s="12" t="s">
        <v>86</v>
      </c>
      <c r="F333" s="12">
        <v>0</v>
      </c>
      <c r="G333" s="12">
        <v>0</v>
      </c>
      <c r="H333" s="12" t="s">
        <v>54</v>
      </c>
      <c r="I333" s="12">
        <v>0</v>
      </c>
      <c r="J333" s="12">
        <v>1</v>
      </c>
      <c r="K333" s="12">
        <v>1</v>
      </c>
      <c r="L333" s="12">
        <f t="shared" si="76"/>
        <v>1</v>
      </c>
      <c r="M333" s="12">
        <v>1</v>
      </c>
      <c r="N333" s="12" t="s">
        <v>90</v>
      </c>
      <c r="O333" s="12">
        <v>0</v>
      </c>
      <c r="P333" s="12">
        <v>0</v>
      </c>
      <c r="Q333" s="12">
        <v>0</v>
      </c>
      <c r="R333" s="12">
        <v>1</v>
      </c>
      <c r="S333" s="12">
        <v>0</v>
      </c>
      <c r="T333" s="12">
        <v>3</v>
      </c>
      <c r="U333" s="12" t="s">
        <v>62</v>
      </c>
      <c r="V333" s="12">
        <v>0</v>
      </c>
      <c r="W333" s="12">
        <v>73</v>
      </c>
      <c r="X333" s="12">
        <v>3</v>
      </c>
      <c r="Y333" s="12">
        <v>2</v>
      </c>
      <c r="Z333" s="12" t="s">
        <v>56</v>
      </c>
      <c r="AA333" s="12">
        <v>0</v>
      </c>
      <c r="AB333" s="12">
        <v>1</v>
      </c>
      <c r="AC333" s="12">
        <v>0</v>
      </c>
      <c r="AD333" s="12">
        <v>0</v>
      </c>
      <c r="AE333" s="12">
        <v>0</v>
      </c>
      <c r="AF333" s="12">
        <v>0</v>
      </c>
      <c r="AG333" s="12">
        <v>0</v>
      </c>
      <c r="AH333" s="12">
        <v>0</v>
      </c>
      <c r="AI333" s="12">
        <v>2</v>
      </c>
      <c r="AJ333" s="12" t="s">
        <v>64</v>
      </c>
      <c r="AK333" s="12">
        <v>0</v>
      </c>
      <c r="AL333" s="12">
        <v>1</v>
      </c>
      <c r="AM333" s="12">
        <v>6349</v>
      </c>
      <c r="AN333" s="12">
        <f t="shared" si="77"/>
        <v>6349</v>
      </c>
      <c r="AO333" s="12">
        <v>0</v>
      </c>
      <c r="AP333" s="12" t="s">
        <v>52</v>
      </c>
      <c r="AQ333" s="12">
        <v>1</v>
      </c>
      <c r="AR333" s="12">
        <v>13</v>
      </c>
      <c r="AS333" s="12">
        <v>3</v>
      </c>
      <c r="AT333" s="12">
        <v>4</v>
      </c>
      <c r="AU333" s="12">
        <v>1</v>
      </c>
      <c r="AV333" s="12">
        <v>6</v>
      </c>
      <c r="AW333" s="12">
        <f t="shared" si="78"/>
        <v>6</v>
      </c>
      <c r="AX333" s="12">
        <v>0</v>
      </c>
      <c r="AY333" s="12">
        <v>3</v>
      </c>
      <c r="AZ333" s="12">
        <v>5</v>
      </c>
      <c r="BA333" s="12">
        <f t="shared" si="79"/>
        <v>5</v>
      </c>
      <c r="BB333" s="12">
        <v>4</v>
      </c>
      <c r="BC333" s="12">
        <v>1</v>
      </c>
      <c r="BD333" s="12">
        <f t="shared" si="88"/>
        <v>1</v>
      </c>
      <c r="BE333" s="12">
        <v>4</v>
      </c>
      <c r="BF333" s="12">
        <f t="shared" si="80"/>
        <v>4</v>
      </c>
      <c r="BG333" s="12">
        <f t="shared" si="89"/>
        <v>8</v>
      </c>
      <c r="BH333" s="67">
        <v>0</v>
      </c>
      <c r="BI333" s="67">
        <v>1</v>
      </c>
      <c r="BJ333" s="67">
        <v>0</v>
      </c>
      <c r="BK333" s="67">
        <v>0</v>
      </c>
      <c r="BL333" s="67">
        <v>0</v>
      </c>
      <c r="BM333" s="67">
        <v>0</v>
      </c>
      <c r="BN333" s="67">
        <v>0</v>
      </c>
      <c r="BO333" s="67">
        <v>1</v>
      </c>
      <c r="BP333" s="67">
        <v>0</v>
      </c>
      <c r="BQ333" s="67">
        <v>0</v>
      </c>
      <c r="BR333" s="67">
        <v>4</v>
      </c>
      <c r="BS333" s="67">
        <v>0</v>
      </c>
      <c r="BT333" s="67">
        <v>0</v>
      </c>
      <c r="BU333" s="70">
        <v>6</v>
      </c>
      <c r="BV333" s="29">
        <f t="shared" si="81"/>
        <v>3.2695986732426005E-2</v>
      </c>
      <c r="BW333">
        <f t="shared" si="82"/>
        <v>3.4508002929560584E-2</v>
      </c>
      <c r="BX333">
        <f t="shared" si="83"/>
        <v>0.67854260110508058</v>
      </c>
      <c r="BY333">
        <f t="shared" si="84"/>
        <v>0.32778177112653761</v>
      </c>
      <c r="BZ333">
        <f t="shared" si="85"/>
        <v>1.01056543769991</v>
      </c>
      <c r="CA333">
        <f t="shared" si="86"/>
        <v>1.0863058347434136</v>
      </c>
      <c r="CB333">
        <f t="shared" si="87"/>
        <v>0.36858985273641137</v>
      </c>
    </row>
    <row r="334" spans="1:80" x14ac:dyDescent="0.45">
      <c r="A334" s="11">
        <v>54</v>
      </c>
      <c r="B334" s="12">
        <f t="shared" si="75"/>
        <v>54</v>
      </c>
      <c r="C334" s="12" t="s">
        <v>59</v>
      </c>
      <c r="D334" s="12">
        <v>0</v>
      </c>
      <c r="E334" s="12" t="s">
        <v>60</v>
      </c>
      <c r="F334" s="12">
        <v>1</v>
      </c>
      <c r="G334" s="12">
        <v>0</v>
      </c>
      <c r="H334" s="12" t="s">
        <v>61</v>
      </c>
      <c r="I334" s="12">
        <v>1</v>
      </c>
      <c r="J334" s="12">
        <v>0</v>
      </c>
      <c r="K334" s="12">
        <v>20</v>
      </c>
      <c r="L334" s="12">
        <f t="shared" si="76"/>
        <v>20</v>
      </c>
      <c r="M334" s="12">
        <v>4</v>
      </c>
      <c r="N334" s="12" t="s">
        <v>55</v>
      </c>
      <c r="O334" s="12">
        <v>1</v>
      </c>
      <c r="P334" s="12">
        <v>0</v>
      </c>
      <c r="Q334" s="12">
        <v>0</v>
      </c>
      <c r="R334" s="12">
        <v>0</v>
      </c>
      <c r="S334" s="12">
        <v>0</v>
      </c>
      <c r="T334" s="12">
        <v>4</v>
      </c>
      <c r="U334" s="12" t="s">
        <v>19</v>
      </c>
      <c r="V334" s="12">
        <v>1</v>
      </c>
      <c r="W334" s="12">
        <v>31</v>
      </c>
      <c r="X334" s="12">
        <v>3</v>
      </c>
      <c r="Y334" s="12">
        <v>2</v>
      </c>
      <c r="Z334" s="12" t="s">
        <v>63</v>
      </c>
      <c r="AA334" s="12">
        <v>0</v>
      </c>
      <c r="AB334" s="12">
        <v>0</v>
      </c>
      <c r="AC334" s="12">
        <v>0</v>
      </c>
      <c r="AD334" s="12">
        <v>0</v>
      </c>
      <c r="AE334" s="12">
        <v>0</v>
      </c>
      <c r="AF334" s="12">
        <v>0</v>
      </c>
      <c r="AG334" s="12">
        <v>0</v>
      </c>
      <c r="AH334" s="12">
        <v>1</v>
      </c>
      <c r="AI334" s="12">
        <v>3</v>
      </c>
      <c r="AJ334" s="12" t="s">
        <v>57</v>
      </c>
      <c r="AK334" s="12">
        <v>1</v>
      </c>
      <c r="AL334" s="12">
        <v>0</v>
      </c>
      <c r="AM334" s="12">
        <v>4869</v>
      </c>
      <c r="AN334" s="12">
        <f t="shared" si="77"/>
        <v>4869</v>
      </c>
      <c r="AO334" s="12">
        <v>3</v>
      </c>
      <c r="AP334" s="12" t="s">
        <v>59</v>
      </c>
      <c r="AQ334" s="12">
        <v>0</v>
      </c>
      <c r="AR334" s="12">
        <v>12</v>
      </c>
      <c r="AS334" s="12">
        <v>3</v>
      </c>
      <c r="AT334" s="12">
        <v>4</v>
      </c>
      <c r="AU334" s="12">
        <v>0</v>
      </c>
      <c r="AV334" s="12">
        <v>20</v>
      </c>
      <c r="AW334" s="12">
        <f t="shared" si="78"/>
        <v>20</v>
      </c>
      <c r="AX334" s="12">
        <v>4</v>
      </c>
      <c r="AY334" s="12">
        <v>2</v>
      </c>
      <c r="AZ334" s="12">
        <v>4</v>
      </c>
      <c r="BA334" s="12">
        <f t="shared" si="79"/>
        <v>4</v>
      </c>
      <c r="BB334" s="12">
        <v>3</v>
      </c>
      <c r="BC334" s="12">
        <v>0</v>
      </c>
      <c r="BD334" s="12">
        <f t="shared" si="88"/>
        <v>0</v>
      </c>
      <c r="BE334" s="12">
        <v>3</v>
      </c>
      <c r="BF334" s="12">
        <f t="shared" si="80"/>
        <v>3</v>
      </c>
      <c r="BG334" s="12">
        <f t="shared" si="89"/>
        <v>6</v>
      </c>
      <c r="BH334" s="67">
        <v>0</v>
      </c>
      <c r="BI334" s="67">
        <v>0</v>
      </c>
      <c r="BJ334" s="67">
        <v>1</v>
      </c>
      <c r="BK334" s="67">
        <v>0</v>
      </c>
      <c r="BL334" s="67">
        <v>1</v>
      </c>
      <c r="BM334" s="67">
        <v>0</v>
      </c>
      <c r="BN334" s="67">
        <v>0</v>
      </c>
      <c r="BO334" s="67">
        <v>0</v>
      </c>
      <c r="BP334" s="67">
        <v>0</v>
      </c>
      <c r="BQ334" s="67">
        <v>3</v>
      </c>
      <c r="BR334" s="67">
        <v>0</v>
      </c>
      <c r="BS334" s="67">
        <v>0</v>
      </c>
      <c r="BT334" s="67">
        <v>20</v>
      </c>
      <c r="BU334" s="70">
        <v>0</v>
      </c>
      <c r="BV334" s="29">
        <f t="shared" si="81"/>
        <v>0.34705741105843907</v>
      </c>
      <c r="BW334">
        <f t="shared" si="82"/>
        <v>0.31476636926356072</v>
      </c>
      <c r="BX334">
        <f t="shared" si="83"/>
        <v>1.120762479521457</v>
      </c>
      <c r="BY334">
        <f t="shared" si="84"/>
        <v>0.49100643357776058</v>
      </c>
      <c r="BZ334">
        <f t="shared" si="85"/>
        <v>1.3331273859286286</v>
      </c>
      <c r="CA334">
        <f t="shared" si="86"/>
        <v>1.8692383509548371</v>
      </c>
      <c r="CB334">
        <f t="shared" si="87"/>
        <v>0.67891464284095016</v>
      </c>
    </row>
    <row r="335" spans="1:80" x14ac:dyDescent="0.45">
      <c r="A335" s="11">
        <v>43</v>
      </c>
      <c r="B335" s="12">
        <f t="shared" si="75"/>
        <v>43</v>
      </c>
      <c r="C335" s="12" t="s">
        <v>59</v>
      </c>
      <c r="D335" s="12">
        <v>0</v>
      </c>
      <c r="E335" s="12" t="s">
        <v>53</v>
      </c>
      <c r="F335" s="12">
        <v>0</v>
      </c>
      <c r="G335" s="12">
        <v>1</v>
      </c>
      <c r="H335" s="12" t="s">
        <v>61</v>
      </c>
      <c r="I335" s="12">
        <v>1</v>
      </c>
      <c r="J335" s="12">
        <v>0</v>
      </c>
      <c r="K335" s="12">
        <v>7</v>
      </c>
      <c r="L335" s="12">
        <f t="shared" si="76"/>
        <v>7</v>
      </c>
      <c r="M335" s="12">
        <v>3</v>
      </c>
      <c r="N335" s="12" t="s">
        <v>55</v>
      </c>
      <c r="O335" s="12">
        <v>1</v>
      </c>
      <c r="P335" s="12">
        <v>0</v>
      </c>
      <c r="Q335" s="12">
        <v>0</v>
      </c>
      <c r="R335" s="12">
        <v>0</v>
      </c>
      <c r="S335" s="12">
        <v>0</v>
      </c>
      <c r="T335" s="12">
        <v>3</v>
      </c>
      <c r="U335" s="12" t="s">
        <v>19</v>
      </c>
      <c r="V335" s="12">
        <v>1</v>
      </c>
      <c r="W335" s="12">
        <v>43</v>
      </c>
      <c r="X335" s="12">
        <v>3</v>
      </c>
      <c r="Y335" s="12">
        <v>3</v>
      </c>
      <c r="Z335" s="12" t="s">
        <v>85</v>
      </c>
      <c r="AA335" s="12">
        <v>1</v>
      </c>
      <c r="AB335" s="12">
        <v>0</v>
      </c>
      <c r="AC335" s="12">
        <v>0</v>
      </c>
      <c r="AD335" s="12">
        <v>0</v>
      </c>
      <c r="AE335" s="12">
        <v>0</v>
      </c>
      <c r="AF335" s="12">
        <v>0</v>
      </c>
      <c r="AG335" s="12">
        <v>0</v>
      </c>
      <c r="AH335" s="12">
        <v>0</v>
      </c>
      <c r="AI335" s="12">
        <v>1</v>
      </c>
      <c r="AJ335" s="12" t="s">
        <v>64</v>
      </c>
      <c r="AK335" s="12">
        <v>0</v>
      </c>
      <c r="AL335" s="12">
        <v>1</v>
      </c>
      <c r="AM335" s="12">
        <v>9985</v>
      </c>
      <c r="AN335" s="12">
        <f t="shared" si="77"/>
        <v>9985</v>
      </c>
      <c r="AO335" s="12">
        <v>8</v>
      </c>
      <c r="AP335" s="12" t="s">
        <v>59</v>
      </c>
      <c r="AQ335" s="12">
        <v>0</v>
      </c>
      <c r="AR335" s="12">
        <v>16</v>
      </c>
      <c r="AS335" s="12">
        <v>3</v>
      </c>
      <c r="AT335" s="12">
        <v>1</v>
      </c>
      <c r="AU335" s="12">
        <v>1</v>
      </c>
      <c r="AV335" s="12">
        <v>10</v>
      </c>
      <c r="AW335" s="12">
        <f t="shared" si="78"/>
        <v>10</v>
      </c>
      <c r="AX335" s="12">
        <v>1</v>
      </c>
      <c r="AY335" s="12">
        <v>2</v>
      </c>
      <c r="AZ335" s="12">
        <v>1</v>
      </c>
      <c r="BA335" s="12">
        <f t="shared" si="79"/>
        <v>1</v>
      </c>
      <c r="BB335" s="12">
        <v>0</v>
      </c>
      <c r="BC335" s="12">
        <v>0</v>
      </c>
      <c r="BD335" s="12">
        <f t="shared" si="88"/>
        <v>0</v>
      </c>
      <c r="BE335" s="12">
        <v>0</v>
      </c>
      <c r="BF335" s="12">
        <f t="shared" si="80"/>
        <v>0</v>
      </c>
      <c r="BG335" s="12">
        <f t="shared" si="89"/>
        <v>0</v>
      </c>
      <c r="BH335" s="67">
        <v>0</v>
      </c>
      <c r="BI335" s="67">
        <v>1</v>
      </c>
      <c r="BJ335" s="67">
        <v>0</v>
      </c>
      <c r="BK335" s="67">
        <v>0</v>
      </c>
      <c r="BL335" s="67">
        <v>0</v>
      </c>
      <c r="BM335" s="67">
        <v>0</v>
      </c>
      <c r="BN335" s="67">
        <v>1</v>
      </c>
      <c r="BO335" s="67">
        <v>0</v>
      </c>
      <c r="BP335" s="67">
        <v>0</v>
      </c>
      <c r="BQ335" s="67">
        <v>0</v>
      </c>
      <c r="BR335" s="67">
        <v>0</v>
      </c>
      <c r="BS335" s="67">
        <v>0</v>
      </c>
      <c r="BT335" s="67">
        <v>10</v>
      </c>
      <c r="BU335" s="70">
        <v>0</v>
      </c>
      <c r="BV335" s="29">
        <f t="shared" si="81"/>
        <v>0.73961356654418453</v>
      </c>
      <c r="BW335">
        <f t="shared" si="82"/>
        <v>1.1555414682655611</v>
      </c>
      <c r="BX335">
        <f t="shared" si="83"/>
        <v>0.1644554352117841</v>
      </c>
      <c r="BY335">
        <f t="shared" si="84"/>
        <v>0.9806804209314296</v>
      </c>
      <c r="BZ335">
        <f t="shared" si="85"/>
        <v>0.27045191444879263</v>
      </c>
      <c r="CA335">
        <f t="shared" si="86"/>
        <v>0.66512775678147573</v>
      </c>
      <c r="CB335">
        <f t="shared" si="87"/>
        <v>0.67891464284095016</v>
      </c>
    </row>
    <row r="336" spans="1:80" x14ac:dyDescent="0.45">
      <c r="A336" s="11">
        <v>45</v>
      </c>
      <c r="B336" s="12">
        <f t="shared" si="75"/>
        <v>45</v>
      </c>
      <c r="C336" s="12" t="s">
        <v>59</v>
      </c>
      <c r="D336" s="12">
        <v>0</v>
      </c>
      <c r="E336" s="12" t="s">
        <v>53</v>
      </c>
      <c r="F336" s="12">
        <v>0</v>
      </c>
      <c r="G336" s="12">
        <v>1</v>
      </c>
      <c r="H336" s="12" t="s">
        <v>61</v>
      </c>
      <c r="I336" s="12">
        <v>1</v>
      </c>
      <c r="J336" s="12">
        <v>0</v>
      </c>
      <c r="K336" s="12">
        <v>8</v>
      </c>
      <c r="L336" s="12">
        <f t="shared" si="76"/>
        <v>8</v>
      </c>
      <c r="M336" s="12">
        <v>4</v>
      </c>
      <c r="N336" s="12" t="s">
        <v>66</v>
      </c>
      <c r="O336" s="12">
        <v>0</v>
      </c>
      <c r="P336" s="12">
        <v>1</v>
      </c>
      <c r="Q336" s="12">
        <v>0</v>
      </c>
      <c r="R336" s="12">
        <v>0</v>
      </c>
      <c r="S336" s="12">
        <v>0</v>
      </c>
      <c r="T336" s="12">
        <v>4</v>
      </c>
      <c r="U336" s="12" t="s">
        <v>62</v>
      </c>
      <c r="V336" s="12">
        <v>0</v>
      </c>
      <c r="W336" s="12">
        <v>75</v>
      </c>
      <c r="X336" s="12">
        <v>3</v>
      </c>
      <c r="Y336" s="12">
        <v>2</v>
      </c>
      <c r="Z336" s="12" t="s">
        <v>63</v>
      </c>
      <c r="AA336" s="12">
        <v>0</v>
      </c>
      <c r="AB336" s="12">
        <v>0</v>
      </c>
      <c r="AC336" s="12">
        <v>0</v>
      </c>
      <c r="AD336" s="12">
        <v>0</v>
      </c>
      <c r="AE336" s="12">
        <v>0</v>
      </c>
      <c r="AF336" s="12">
        <v>0</v>
      </c>
      <c r="AG336" s="12">
        <v>0</v>
      </c>
      <c r="AH336" s="12">
        <v>1</v>
      </c>
      <c r="AI336" s="12">
        <v>4</v>
      </c>
      <c r="AJ336" s="12" t="s">
        <v>64</v>
      </c>
      <c r="AK336" s="12">
        <v>0</v>
      </c>
      <c r="AL336" s="12">
        <v>1</v>
      </c>
      <c r="AM336" s="12">
        <v>3697</v>
      </c>
      <c r="AN336" s="12">
        <f t="shared" si="77"/>
        <v>3697</v>
      </c>
      <c r="AO336" s="12">
        <v>9</v>
      </c>
      <c r="AP336" s="12" t="s">
        <v>59</v>
      </c>
      <c r="AQ336" s="12">
        <v>0</v>
      </c>
      <c r="AR336" s="12">
        <v>14</v>
      </c>
      <c r="AS336" s="12">
        <v>3</v>
      </c>
      <c r="AT336" s="12">
        <v>1</v>
      </c>
      <c r="AU336" s="12">
        <v>2</v>
      </c>
      <c r="AV336" s="12">
        <v>12</v>
      </c>
      <c r="AW336" s="12">
        <f t="shared" si="78"/>
        <v>12</v>
      </c>
      <c r="AX336" s="12">
        <v>3</v>
      </c>
      <c r="AY336" s="12">
        <v>3</v>
      </c>
      <c r="AZ336" s="12">
        <v>10</v>
      </c>
      <c r="BA336" s="12">
        <f t="shared" si="79"/>
        <v>10</v>
      </c>
      <c r="BB336" s="12">
        <v>9</v>
      </c>
      <c r="BC336" s="12">
        <v>9</v>
      </c>
      <c r="BD336" s="12">
        <f t="shared" si="88"/>
        <v>9</v>
      </c>
      <c r="BE336" s="12">
        <v>8</v>
      </c>
      <c r="BF336" s="12">
        <f t="shared" si="80"/>
        <v>8</v>
      </c>
      <c r="BG336" s="12">
        <f t="shared" si="89"/>
        <v>16</v>
      </c>
      <c r="BH336" s="67">
        <v>0</v>
      </c>
      <c r="BI336" s="67">
        <v>1</v>
      </c>
      <c r="BJ336" s="67">
        <v>0</v>
      </c>
      <c r="BK336" s="67">
        <v>0</v>
      </c>
      <c r="BL336" s="67">
        <v>0</v>
      </c>
      <c r="BM336" s="67">
        <v>0</v>
      </c>
      <c r="BN336" s="67">
        <v>1</v>
      </c>
      <c r="BO336" s="67">
        <v>0</v>
      </c>
      <c r="BP336" s="67">
        <v>0</v>
      </c>
      <c r="BQ336" s="67">
        <v>8</v>
      </c>
      <c r="BR336" s="67">
        <v>0</v>
      </c>
      <c r="BS336" s="67">
        <v>0</v>
      </c>
      <c r="BT336" s="67">
        <v>12</v>
      </c>
      <c r="BU336" s="70">
        <v>0</v>
      </c>
      <c r="BV336" s="29">
        <f t="shared" si="81"/>
        <v>0.59599767410579541</v>
      </c>
      <c r="BW336">
        <f t="shared" si="82"/>
        <v>1.08652546240644</v>
      </c>
      <c r="BX336">
        <f t="shared" si="83"/>
        <v>9.2588147734864096E-2</v>
      </c>
      <c r="BY336">
        <f t="shared" si="84"/>
        <v>0.48834154112957734</v>
      </c>
      <c r="BZ336">
        <f t="shared" si="85"/>
        <v>0.14709966057360641</v>
      </c>
      <c r="CA336">
        <f t="shared" si="86"/>
        <v>0.88405695572208698</v>
      </c>
      <c r="CB336">
        <f t="shared" si="87"/>
        <v>2.114008468099899</v>
      </c>
    </row>
    <row r="337" spans="1:80" x14ac:dyDescent="0.45">
      <c r="A337" s="11">
        <v>40</v>
      </c>
      <c r="B337" s="12">
        <f t="shared" si="75"/>
        <v>40</v>
      </c>
      <c r="C337" s="12" t="s">
        <v>59</v>
      </c>
      <c r="D337" s="12">
        <v>0</v>
      </c>
      <c r="E337" s="12" t="s">
        <v>53</v>
      </c>
      <c r="F337" s="12">
        <v>0</v>
      </c>
      <c r="G337" s="12">
        <v>1</v>
      </c>
      <c r="H337" s="12" t="s">
        <v>54</v>
      </c>
      <c r="I337" s="12">
        <v>0</v>
      </c>
      <c r="J337" s="12">
        <v>1</v>
      </c>
      <c r="K337" s="12">
        <v>1</v>
      </c>
      <c r="L337" s="12">
        <f t="shared" si="76"/>
        <v>1</v>
      </c>
      <c r="M337" s="12">
        <v>2</v>
      </c>
      <c r="N337" s="12" t="s">
        <v>70</v>
      </c>
      <c r="O337" s="12">
        <v>0</v>
      </c>
      <c r="P337" s="12">
        <v>0</v>
      </c>
      <c r="Q337" s="12">
        <v>1</v>
      </c>
      <c r="R337" s="12">
        <v>0</v>
      </c>
      <c r="S337" s="12">
        <v>0</v>
      </c>
      <c r="T337" s="12">
        <v>2</v>
      </c>
      <c r="U337" s="12" t="s">
        <v>62</v>
      </c>
      <c r="V337" s="12">
        <v>0</v>
      </c>
      <c r="W337" s="12">
        <v>57</v>
      </c>
      <c r="X337" s="12">
        <v>1</v>
      </c>
      <c r="Y337" s="12">
        <v>2</v>
      </c>
      <c r="Z337" s="12" t="s">
        <v>56</v>
      </c>
      <c r="AA337" s="12">
        <v>0</v>
      </c>
      <c r="AB337" s="12">
        <v>1</v>
      </c>
      <c r="AC337" s="12">
        <v>0</v>
      </c>
      <c r="AD337" s="12">
        <v>0</v>
      </c>
      <c r="AE337" s="12">
        <v>0</v>
      </c>
      <c r="AF337" s="12">
        <v>0</v>
      </c>
      <c r="AG337" s="12">
        <v>0</v>
      </c>
      <c r="AH337" s="12">
        <v>0</v>
      </c>
      <c r="AI337" s="12">
        <v>4</v>
      </c>
      <c r="AJ337" s="12" t="s">
        <v>64</v>
      </c>
      <c r="AK337" s="12">
        <v>0</v>
      </c>
      <c r="AL337" s="12">
        <v>1</v>
      </c>
      <c r="AM337" s="12">
        <v>7457</v>
      </c>
      <c r="AN337" s="12">
        <f t="shared" si="77"/>
        <v>7457</v>
      </c>
      <c r="AO337" s="12">
        <v>2</v>
      </c>
      <c r="AP337" s="12" t="s">
        <v>52</v>
      </c>
      <c r="AQ337" s="12">
        <v>1</v>
      </c>
      <c r="AR337" s="12">
        <v>22</v>
      </c>
      <c r="AS337" s="12">
        <v>4</v>
      </c>
      <c r="AT337" s="12">
        <v>3</v>
      </c>
      <c r="AU337" s="12">
        <v>3</v>
      </c>
      <c r="AV337" s="12">
        <v>6</v>
      </c>
      <c r="AW337" s="12">
        <f t="shared" si="78"/>
        <v>6</v>
      </c>
      <c r="AX337" s="12">
        <v>2</v>
      </c>
      <c r="AY337" s="12">
        <v>2</v>
      </c>
      <c r="AZ337" s="12">
        <v>4</v>
      </c>
      <c r="BA337" s="12">
        <f t="shared" si="79"/>
        <v>4</v>
      </c>
      <c r="BB337" s="12">
        <v>3</v>
      </c>
      <c r="BC337" s="12">
        <v>0</v>
      </c>
      <c r="BD337" s="12">
        <f t="shared" si="88"/>
        <v>0</v>
      </c>
      <c r="BE337" s="12">
        <v>2</v>
      </c>
      <c r="BF337" s="12">
        <f t="shared" si="80"/>
        <v>2</v>
      </c>
      <c r="BG337" s="12">
        <f t="shared" si="89"/>
        <v>4</v>
      </c>
      <c r="BH337" s="67">
        <v>0</v>
      </c>
      <c r="BI337" s="67">
        <v>1</v>
      </c>
      <c r="BJ337" s="67">
        <v>0</v>
      </c>
      <c r="BK337" s="67">
        <v>0</v>
      </c>
      <c r="BL337" s="67">
        <v>0</v>
      </c>
      <c r="BM337" s="67">
        <v>0</v>
      </c>
      <c r="BN337" s="67">
        <v>0</v>
      </c>
      <c r="BO337" s="67">
        <v>1</v>
      </c>
      <c r="BP337" s="67">
        <v>0</v>
      </c>
      <c r="BQ337" s="67">
        <v>0</v>
      </c>
      <c r="BR337" s="67">
        <v>2</v>
      </c>
      <c r="BS337" s="67">
        <v>0</v>
      </c>
      <c r="BT337" s="67">
        <v>0</v>
      </c>
      <c r="BU337" s="70">
        <v>6</v>
      </c>
      <c r="BV337" s="29">
        <f t="shared" si="81"/>
        <v>0.2026502687765081</v>
      </c>
      <c r="BW337">
        <f t="shared" si="82"/>
        <v>0.59502473559756086</v>
      </c>
      <c r="BX337">
        <f t="shared" si="83"/>
        <v>0.67854260110508058</v>
      </c>
      <c r="BY337">
        <f t="shared" si="84"/>
        <v>0.49100643357776058</v>
      </c>
      <c r="BZ337">
        <f t="shared" si="85"/>
        <v>1.01056543769991</v>
      </c>
      <c r="CA337">
        <f t="shared" si="86"/>
        <v>0.33673395837055903</v>
      </c>
      <c r="CB337">
        <f t="shared" si="87"/>
        <v>0.67891464284095016</v>
      </c>
    </row>
    <row r="338" spans="1:80" x14ac:dyDescent="0.45">
      <c r="A338" s="11">
        <v>29</v>
      </c>
      <c r="B338" s="12">
        <f t="shared" si="75"/>
        <v>29</v>
      </c>
      <c r="C338" s="12" t="s">
        <v>52</v>
      </c>
      <c r="D338" s="12">
        <v>1</v>
      </c>
      <c r="E338" s="12" t="s">
        <v>53</v>
      </c>
      <c r="F338" s="12">
        <v>0</v>
      </c>
      <c r="G338" s="12">
        <v>1</v>
      </c>
      <c r="H338" s="12" t="s">
        <v>61</v>
      </c>
      <c r="I338" s="12">
        <v>1</v>
      </c>
      <c r="J338" s="12">
        <v>0</v>
      </c>
      <c r="K338" s="12">
        <v>8</v>
      </c>
      <c r="L338" s="12">
        <f t="shared" si="76"/>
        <v>8</v>
      </c>
      <c r="M338" s="12">
        <v>4</v>
      </c>
      <c r="N338" s="12" t="s">
        <v>66</v>
      </c>
      <c r="O338" s="12">
        <v>0</v>
      </c>
      <c r="P338" s="12">
        <v>1</v>
      </c>
      <c r="Q338" s="12">
        <v>0</v>
      </c>
      <c r="R338" s="12">
        <v>0</v>
      </c>
      <c r="S338" s="12">
        <v>0</v>
      </c>
      <c r="T338" s="12">
        <v>2</v>
      </c>
      <c r="U338" s="12" t="s">
        <v>62</v>
      </c>
      <c r="V338" s="12">
        <v>0</v>
      </c>
      <c r="W338" s="12">
        <v>77</v>
      </c>
      <c r="X338" s="12">
        <v>1</v>
      </c>
      <c r="Y338" s="12">
        <v>1</v>
      </c>
      <c r="Z338" s="12" t="s">
        <v>67</v>
      </c>
      <c r="AA338" s="12">
        <v>0</v>
      </c>
      <c r="AB338" s="12">
        <v>0</v>
      </c>
      <c r="AC338" s="12">
        <v>1</v>
      </c>
      <c r="AD338" s="12">
        <v>0</v>
      </c>
      <c r="AE338" s="12">
        <v>0</v>
      </c>
      <c r="AF338" s="12">
        <v>0</v>
      </c>
      <c r="AG338" s="12">
        <v>0</v>
      </c>
      <c r="AH338" s="12">
        <v>0</v>
      </c>
      <c r="AI338" s="12">
        <v>1</v>
      </c>
      <c r="AJ338" s="12" t="s">
        <v>64</v>
      </c>
      <c r="AK338" s="12">
        <v>0</v>
      </c>
      <c r="AL338" s="12">
        <v>1</v>
      </c>
      <c r="AM338" s="12">
        <v>2119</v>
      </c>
      <c r="AN338" s="12">
        <f t="shared" si="77"/>
        <v>2119</v>
      </c>
      <c r="AO338" s="12">
        <v>1</v>
      </c>
      <c r="AP338" s="12" t="s">
        <v>52</v>
      </c>
      <c r="AQ338" s="12">
        <v>1</v>
      </c>
      <c r="AR338" s="12">
        <v>11</v>
      </c>
      <c r="AS338" s="12">
        <v>3</v>
      </c>
      <c r="AT338" s="12">
        <v>4</v>
      </c>
      <c r="AU338" s="12">
        <v>0</v>
      </c>
      <c r="AV338" s="12">
        <v>7</v>
      </c>
      <c r="AW338" s="12">
        <f t="shared" si="78"/>
        <v>7</v>
      </c>
      <c r="AX338" s="12">
        <v>4</v>
      </c>
      <c r="AY338" s="12">
        <v>2</v>
      </c>
      <c r="AZ338" s="12">
        <v>7</v>
      </c>
      <c r="BA338" s="12">
        <f t="shared" si="79"/>
        <v>7</v>
      </c>
      <c r="BB338" s="12">
        <v>7</v>
      </c>
      <c r="BC338" s="12">
        <v>0</v>
      </c>
      <c r="BD338" s="12">
        <f t="shared" si="88"/>
        <v>0</v>
      </c>
      <c r="BE338" s="12">
        <v>7</v>
      </c>
      <c r="BF338" s="12">
        <f t="shared" si="80"/>
        <v>7</v>
      </c>
      <c r="BG338" s="12">
        <f t="shared" si="89"/>
        <v>7</v>
      </c>
      <c r="BH338" s="67">
        <v>0</v>
      </c>
      <c r="BI338" s="67">
        <v>1</v>
      </c>
      <c r="BJ338" s="67">
        <v>0</v>
      </c>
      <c r="BK338" s="67">
        <v>0</v>
      </c>
      <c r="BL338" s="67">
        <v>0</v>
      </c>
      <c r="BM338" s="67">
        <v>0</v>
      </c>
      <c r="BN338" s="67">
        <v>0</v>
      </c>
      <c r="BO338" s="67">
        <v>1</v>
      </c>
      <c r="BP338" s="67">
        <v>0</v>
      </c>
      <c r="BQ338" s="67">
        <v>7</v>
      </c>
      <c r="BR338" s="67">
        <v>0</v>
      </c>
      <c r="BS338" s="67">
        <v>0</v>
      </c>
      <c r="BT338" s="67">
        <v>7</v>
      </c>
      <c r="BU338" s="70">
        <v>0</v>
      </c>
      <c r="BV338" s="29">
        <f t="shared" si="81"/>
        <v>0.93117492247501743</v>
      </c>
      <c r="BW338">
        <f t="shared" si="82"/>
        <v>0.80626709607243985</v>
      </c>
      <c r="BX338">
        <f t="shared" si="83"/>
        <v>0.55002080963175637</v>
      </c>
      <c r="BY338">
        <f t="shared" si="84"/>
        <v>1.3324462240916321E-3</v>
      </c>
      <c r="BZ338">
        <f t="shared" si="85"/>
        <v>0.14709966057360641</v>
      </c>
      <c r="CA338">
        <f t="shared" si="86"/>
        <v>0.86737663580280233</v>
      </c>
      <c r="CB338">
        <f t="shared" si="87"/>
        <v>0.67891464284095016</v>
      </c>
    </row>
    <row r="339" spans="1:80" x14ac:dyDescent="0.45">
      <c r="A339" s="11">
        <v>29</v>
      </c>
      <c r="B339" s="12">
        <f t="shared" si="75"/>
        <v>29</v>
      </c>
      <c r="C339" s="12" t="s">
        <v>59</v>
      </c>
      <c r="D339" s="12">
        <v>0</v>
      </c>
      <c r="E339" s="12" t="s">
        <v>53</v>
      </c>
      <c r="F339" s="12">
        <v>0</v>
      </c>
      <c r="G339" s="12">
        <v>1</v>
      </c>
      <c r="H339" s="12" t="s">
        <v>61</v>
      </c>
      <c r="I339" s="12">
        <v>1</v>
      </c>
      <c r="J339" s="12">
        <v>0</v>
      </c>
      <c r="K339" s="12">
        <v>9</v>
      </c>
      <c r="L339" s="12">
        <f t="shared" si="76"/>
        <v>9</v>
      </c>
      <c r="M339" s="12">
        <v>5</v>
      </c>
      <c r="N339" s="12" t="s">
        <v>66</v>
      </c>
      <c r="O339" s="12">
        <v>0</v>
      </c>
      <c r="P339" s="12">
        <v>1</v>
      </c>
      <c r="Q339" s="12">
        <v>0</v>
      </c>
      <c r="R339" s="12">
        <v>0</v>
      </c>
      <c r="S339" s="12">
        <v>0</v>
      </c>
      <c r="T339" s="12">
        <v>2</v>
      </c>
      <c r="U339" s="12" t="s">
        <v>62</v>
      </c>
      <c r="V339" s="12">
        <v>0</v>
      </c>
      <c r="W339" s="12">
        <v>30</v>
      </c>
      <c r="X339" s="12">
        <v>2</v>
      </c>
      <c r="Y339" s="12">
        <v>1</v>
      </c>
      <c r="Z339" s="12" t="s">
        <v>67</v>
      </c>
      <c r="AA339" s="12">
        <v>0</v>
      </c>
      <c r="AB339" s="12">
        <v>0</v>
      </c>
      <c r="AC339" s="12">
        <v>1</v>
      </c>
      <c r="AD339" s="12">
        <v>0</v>
      </c>
      <c r="AE339" s="12">
        <v>0</v>
      </c>
      <c r="AF339" s="12">
        <v>0</v>
      </c>
      <c r="AG339" s="12">
        <v>0</v>
      </c>
      <c r="AH339" s="12">
        <v>0</v>
      </c>
      <c r="AI339" s="12">
        <v>4</v>
      </c>
      <c r="AJ339" s="12" t="s">
        <v>57</v>
      </c>
      <c r="AK339" s="12">
        <v>1</v>
      </c>
      <c r="AL339" s="12">
        <v>0</v>
      </c>
      <c r="AM339" s="12">
        <v>3983</v>
      </c>
      <c r="AN339" s="12">
        <f t="shared" si="77"/>
        <v>3983</v>
      </c>
      <c r="AO339" s="12">
        <v>0</v>
      </c>
      <c r="AP339" s="12" t="s">
        <v>59</v>
      </c>
      <c r="AQ339" s="12">
        <v>0</v>
      </c>
      <c r="AR339" s="12">
        <v>17</v>
      </c>
      <c r="AS339" s="12">
        <v>3</v>
      </c>
      <c r="AT339" s="12">
        <v>3</v>
      </c>
      <c r="AU339" s="12">
        <v>0</v>
      </c>
      <c r="AV339" s="12">
        <v>4</v>
      </c>
      <c r="AW339" s="12">
        <f t="shared" si="78"/>
        <v>4</v>
      </c>
      <c r="AX339" s="12">
        <v>2</v>
      </c>
      <c r="AY339" s="12">
        <v>3</v>
      </c>
      <c r="AZ339" s="12">
        <v>3</v>
      </c>
      <c r="BA339" s="12">
        <f t="shared" si="79"/>
        <v>3</v>
      </c>
      <c r="BB339" s="12">
        <v>2</v>
      </c>
      <c r="BC339" s="12">
        <v>2</v>
      </c>
      <c r="BD339" s="12">
        <f t="shared" si="88"/>
        <v>2</v>
      </c>
      <c r="BE339" s="12">
        <v>2</v>
      </c>
      <c r="BF339" s="12">
        <f t="shared" si="80"/>
        <v>2</v>
      </c>
      <c r="BG339" s="12">
        <f t="shared" si="89"/>
        <v>2</v>
      </c>
      <c r="BH339" s="67">
        <v>1</v>
      </c>
      <c r="BI339" s="67">
        <v>0</v>
      </c>
      <c r="BJ339" s="67">
        <v>0</v>
      </c>
      <c r="BK339" s="67">
        <v>0</v>
      </c>
      <c r="BL339" s="67">
        <v>1</v>
      </c>
      <c r="BM339" s="67">
        <v>0</v>
      </c>
      <c r="BN339" s="67">
        <v>0</v>
      </c>
      <c r="BO339" s="67">
        <v>0</v>
      </c>
      <c r="BP339" s="67">
        <v>0</v>
      </c>
      <c r="BQ339" s="67">
        <v>2</v>
      </c>
      <c r="BR339" s="67">
        <v>0</v>
      </c>
      <c r="BS339" s="67">
        <v>0</v>
      </c>
      <c r="BT339" s="67">
        <v>4</v>
      </c>
      <c r="BU339" s="70">
        <v>0</v>
      </c>
      <c r="BV339" s="29">
        <f t="shared" si="81"/>
        <v>0.53524945291847126</v>
      </c>
      <c r="BW339">
        <f t="shared" si="82"/>
        <v>0.59502473559756086</v>
      </c>
      <c r="BX339">
        <f t="shared" si="83"/>
        <v>0.93558618405172878</v>
      </c>
      <c r="BY339">
        <f t="shared" si="84"/>
        <v>0.65423109602898355</v>
      </c>
      <c r="BZ339">
        <f t="shared" si="85"/>
        <v>2.3747406698420157E-2</v>
      </c>
      <c r="CA339">
        <f t="shared" si="86"/>
        <v>0.86737663580280233</v>
      </c>
      <c r="CB339">
        <f t="shared" si="87"/>
        <v>5.8265062631872602E-2</v>
      </c>
    </row>
    <row r="340" spans="1:80" x14ac:dyDescent="0.45">
      <c r="A340" s="11">
        <v>30</v>
      </c>
      <c r="B340" s="12">
        <f t="shared" si="75"/>
        <v>30</v>
      </c>
      <c r="C340" s="12" t="s">
        <v>59</v>
      </c>
      <c r="D340" s="12">
        <v>0</v>
      </c>
      <c r="E340" s="12" t="s">
        <v>53</v>
      </c>
      <c r="F340" s="12">
        <v>0</v>
      </c>
      <c r="G340" s="12">
        <v>1</v>
      </c>
      <c r="H340" s="12" t="s">
        <v>54</v>
      </c>
      <c r="I340" s="12">
        <v>0</v>
      </c>
      <c r="J340" s="12">
        <v>1</v>
      </c>
      <c r="K340" s="12">
        <v>5</v>
      </c>
      <c r="L340" s="12">
        <f t="shared" si="76"/>
        <v>5</v>
      </c>
      <c r="M340" s="12">
        <v>3</v>
      </c>
      <c r="N340" s="12" t="s">
        <v>90</v>
      </c>
      <c r="O340" s="12">
        <v>0</v>
      </c>
      <c r="P340" s="12">
        <v>0</v>
      </c>
      <c r="Q340" s="12">
        <v>0</v>
      </c>
      <c r="R340" s="12">
        <v>1</v>
      </c>
      <c r="S340" s="12">
        <v>0</v>
      </c>
      <c r="T340" s="12">
        <v>4</v>
      </c>
      <c r="U340" s="12" t="s">
        <v>19</v>
      </c>
      <c r="V340" s="12">
        <v>1</v>
      </c>
      <c r="W340" s="12">
        <v>30</v>
      </c>
      <c r="X340" s="12">
        <v>2</v>
      </c>
      <c r="Y340" s="12">
        <v>2</v>
      </c>
      <c r="Z340" s="12" t="s">
        <v>56</v>
      </c>
      <c r="AA340" s="12">
        <v>0</v>
      </c>
      <c r="AB340" s="12">
        <v>1</v>
      </c>
      <c r="AC340" s="12">
        <v>0</v>
      </c>
      <c r="AD340" s="12">
        <v>0</v>
      </c>
      <c r="AE340" s="12">
        <v>0</v>
      </c>
      <c r="AF340" s="12">
        <v>0</v>
      </c>
      <c r="AG340" s="12">
        <v>0</v>
      </c>
      <c r="AH340" s="12">
        <v>0</v>
      </c>
      <c r="AI340" s="12">
        <v>3</v>
      </c>
      <c r="AJ340" s="12" t="s">
        <v>78</v>
      </c>
      <c r="AK340" s="12">
        <v>0</v>
      </c>
      <c r="AL340" s="12">
        <v>0</v>
      </c>
      <c r="AM340" s="12">
        <v>6118</v>
      </c>
      <c r="AN340" s="12">
        <f t="shared" si="77"/>
        <v>6118</v>
      </c>
      <c r="AO340" s="12">
        <v>1</v>
      </c>
      <c r="AP340" s="12" t="s">
        <v>59</v>
      </c>
      <c r="AQ340" s="12">
        <v>0</v>
      </c>
      <c r="AR340" s="12">
        <v>13</v>
      </c>
      <c r="AS340" s="12">
        <v>3</v>
      </c>
      <c r="AT340" s="12">
        <v>3</v>
      </c>
      <c r="AU340" s="12">
        <v>3</v>
      </c>
      <c r="AV340" s="12">
        <v>10</v>
      </c>
      <c r="AW340" s="12">
        <f t="shared" si="78"/>
        <v>10</v>
      </c>
      <c r="AX340" s="12">
        <v>2</v>
      </c>
      <c r="AY340" s="12">
        <v>3</v>
      </c>
      <c r="AZ340" s="12">
        <v>10</v>
      </c>
      <c r="BA340" s="12">
        <f t="shared" si="79"/>
        <v>10</v>
      </c>
      <c r="BB340" s="12">
        <v>9</v>
      </c>
      <c r="BC340" s="12">
        <v>1</v>
      </c>
      <c r="BD340" s="12">
        <f t="shared" si="88"/>
        <v>1</v>
      </c>
      <c r="BE340" s="12">
        <v>2</v>
      </c>
      <c r="BF340" s="12">
        <f t="shared" si="80"/>
        <v>2</v>
      </c>
      <c r="BG340" s="12">
        <f t="shared" si="89"/>
        <v>4</v>
      </c>
      <c r="BH340" s="67">
        <v>1</v>
      </c>
      <c r="BI340" s="67">
        <v>0</v>
      </c>
      <c r="BJ340" s="67">
        <v>0</v>
      </c>
      <c r="BK340" s="67">
        <v>0</v>
      </c>
      <c r="BL340" s="67">
        <v>1</v>
      </c>
      <c r="BM340" s="67">
        <v>0</v>
      </c>
      <c r="BN340" s="67">
        <v>0</v>
      </c>
      <c r="BO340" s="67">
        <v>0</v>
      </c>
      <c r="BP340" s="67">
        <v>0</v>
      </c>
      <c r="BQ340" s="67">
        <v>0</v>
      </c>
      <c r="BR340" s="67">
        <v>2</v>
      </c>
      <c r="BS340" s="67">
        <v>0</v>
      </c>
      <c r="BT340" s="67">
        <v>0</v>
      </c>
      <c r="BU340" s="70">
        <v>10</v>
      </c>
      <c r="BV340" s="29">
        <f t="shared" si="81"/>
        <v>8.1761857691418582E-2</v>
      </c>
      <c r="BW340">
        <f t="shared" si="82"/>
        <v>0.59502473559756086</v>
      </c>
      <c r="BX340">
        <f t="shared" si="83"/>
        <v>0.1644554352117841</v>
      </c>
      <c r="BY340">
        <f t="shared" si="84"/>
        <v>0.48834154112957734</v>
      </c>
      <c r="BZ340">
        <f t="shared" si="85"/>
        <v>0.51715642219916513</v>
      </c>
      <c r="CA340">
        <f t="shared" si="86"/>
        <v>0.75791203633249671</v>
      </c>
      <c r="CB340">
        <f t="shared" si="87"/>
        <v>0.36858985273641137</v>
      </c>
    </row>
    <row r="341" spans="1:80" x14ac:dyDescent="0.45">
      <c r="A341" s="11">
        <v>27</v>
      </c>
      <c r="B341" s="12">
        <f t="shared" si="75"/>
        <v>27</v>
      </c>
      <c r="C341" s="12" t="s">
        <v>59</v>
      </c>
      <c r="D341" s="12">
        <v>0</v>
      </c>
      <c r="E341" s="12" t="s">
        <v>53</v>
      </c>
      <c r="F341" s="12">
        <v>0</v>
      </c>
      <c r="G341" s="12">
        <v>1</v>
      </c>
      <c r="H341" s="12" t="s">
        <v>54</v>
      </c>
      <c r="I341" s="12">
        <v>0</v>
      </c>
      <c r="J341" s="12">
        <v>1</v>
      </c>
      <c r="K341" s="12">
        <v>8</v>
      </c>
      <c r="L341" s="12">
        <f t="shared" si="76"/>
        <v>8</v>
      </c>
      <c r="M341" s="12">
        <v>4</v>
      </c>
      <c r="N341" s="12" t="s">
        <v>90</v>
      </c>
      <c r="O341" s="12">
        <v>0</v>
      </c>
      <c r="P341" s="12">
        <v>0</v>
      </c>
      <c r="Q341" s="12">
        <v>0</v>
      </c>
      <c r="R341" s="12">
        <v>1</v>
      </c>
      <c r="S341" s="12">
        <v>0</v>
      </c>
      <c r="T341" s="12">
        <v>2</v>
      </c>
      <c r="U341" s="12" t="s">
        <v>19</v>
      </c>
      <c r="V341" s="12">
        <v>1</v>
      </c>
      <c r="W341" s="12">
        <v>56</v>
      </c>
      <c r="X341" s="12">
        <v>3</v>
      </c>
      <c r="Y341" s="12">
        <v>2</v>
      </c>
      <c r="Z341" s="12" t="s">
        <v>56</v>
      </c>
      <c r="AA341" s="12">
        <v>0</v>
      </c>
      <c r="AB341" s="12">
        <v>1</v>
      </c>
      <c r="AC341" s="12">
        <v>0</v>
      </c>
      <c r="AD341" s="12">
        <v>0</v>
      </c>
      <c r="AE341" s="12">
        <v>0</v>
      </c>
      <c r="AF341" s="12">
        <v>0</v>
      </c>
      <c r="AG341" s="12">
        <v>0</v>
      </c>
      <c r="AH341" s="12">
        <v>0</v>
      </c>
      <c r="AI341" s="12">
        <v>2</v>
      </c>
      <c r="AJ341" s="12" t="s">
        <v>64</v>
      </c>
      <c r="AK341" s="12">
        <v>0</v>
      </c>
      <c r="AL341" s="12">
        <v>1</v>
      </c>
      <c r="AM341" s="12">
        <v>6214</v>
      </c>
      <c r="AN341" s="12">
        <f t="shared" si="77"/>
        <v>6214</v>
      </c>
      <c r="AO341" s="12">
        <v>1</v>
      </c>
      <c r="AP341" s="12" t="s">
        <v>59</v>
      </c>
      <c r="AQ341" s="12">
        <v>0</v>
      </c>
      <c r="AR341" s="12">
        <v>18</v>
      </c>
      <c r="AS341" s="12">
        <v>3</v>
      </c>
      <c r="AT341" s="12">
        <v>1</v>
      </c>
      <c r="AU341" s="12">
        <v>1</v>
      </c>
      <c r="AV341" s="12">
        <v>8</v>
      </c>
      <c r="AW341" s="12">
        <f t="shared" si="78"/>
        <v>8</v>
      </c>
      <c r="AX341" s="12">
        <v>3</v>
      </c>
      <c r="AY341" s="12">
        <v>3</v>
      </c>
      <c r="AZ341" s="12">
        <v>8</v>
      </c>
      <c r="BA341" s="12">
        <f t="shared" si="79"/>
        <v>8</v>
      </c>
      <c r="BB341" s="12">
        <v>7</v>
      </c>
      <c r="BC341" s="12">
        <v>0</v>
      </c>
      <c r="BD341" s="12">
        <f t="shared" si="88"/>
        <v>0</v>
      </c>
      <c r="BE341" s="12">
        <v>7</v>
      </c>
      <c r="BF341" s="12">
        <f t="shared" si="80"/>
        <v>7</v>
      </c>
      <c r="BG341" s="12">
        <f t="shared" si="89"/>
        <v>14</v>
      </c>
      <c r="BH341" s="67">
        <v>0</v>
      </c>
      <c r="BI341" s="67">
        <v>1</v>
      </c>
      <c r="BJ341" s="67">
        <v>0</v>
      </c>
      <c r="BK341" s="67">
        <v>0</v>
      </c>
      <c r="BL341" s="67">
        <v>0</v>
      </c>
      <c r="BM341" s="67">
        <v>0</v>
      </c>
      <c r="BN341" s="67">
        <v>1</v>
      </c>
      <c r="BO341" s="67">
        <v>0</v>
      </c>
      <c r="BP341" s="67">
        <v>0</v>
      </c>
      <c r="BQ341" s="67">
        <v>0</v>
      </c>
      <c r="BR341" s="67">
        <v>7</v>
      </c>
      <c r="BS341" s="67">
        <v>0</v>
      </c>
      <c r="BT341" s="67">
        <v>0</v>
      </c>
      <c r="BU341" s="70">
        <v>8</v>
      </c>
      <c r="BV341" s="29">
        <f t="shared" si="81"/>
        <v>6.1370846383785302E-2</v>
      </c>
      <c r="BW341">
        <f t="shared" si="82"/>
        <v>0.80626709607243985</v>
      </c>
      <c r="BX341">
        <f t="shared" si="83"/>
        <v>0.42149901815843233</v>
      </c>
      <c r="BY341">
        <f t="shared" si="84"/>
        <v>0.16189221622713135</v>
      </c>
      <c r="BZ341">
        <f t="shared" si="85"/>
        <v>0.14709966057360641</v>
      </c>
      <c r="CA341">
        <f t="shared" si="86"/>
        <v>1.0863058347434136</v>
      </c>
      <c r="CB341">
        <f t="shared" si="87"/>
        <v>0.67891464284095016</v>
      </c>
    </row>
    <row r="342" spans="1:80" x14ac:dyDescent="0.45">
      <c r="A342" s="11">
        <v>37</v>
      </c>
      <c r="B342" s="12">
        <f t="shared" si="75"/>
        <v>37</v>
      </c>
      <c r="C342" s="12" t="s">
        <v>59</v>
      </c>
      <c r="D342" s="12">
        <v>0</v>
      </c>
      <c r="E342" s="12" t="s">
        <v>53</v>
      </c>
      <c r="F342" s="12">
        <v>0</v>
      </c>
      <c r="G342" s="12">
        <v>1</v>
      </c>
      <c r="H342" s="12" t="s">
        <v>61</v>
      </c>
      <c r="I342" s="12">
        <v>1</v>
      </c>
      <c r="J342" s="12">
        <v>0</v>
      </c>
      <c r="K342" s="12">
        <v>5</v>
      </c>
      <c r="L342" s="12">
        <f t="shared" si="76"/>
        <v>5</v>
      </c>
      <c r="M342" s="12">
        <v>2</v>
      </c>
      <c r="N342" s="12" t="s">
        <v>70</v>
      </c>
      <c r="O342" s="12">
        <v>0</v>
      </c>
      <c r="P342" s="12">
        <v>0</v>
      </c>
      <c r="Q342" s="12">
        <v>1</v>
      </c>
      <c r="R342" s="12">
        <v>0</v>
      </c>
      <c r="S342" s="12">
        <v>0</v>
      </c>
      <c r="T342" s="12">
        <v>4</v>
      </c>
      <c r="U342" s="12" t="s">
        <v>62</v>
      </c>
      <c r="V342" s="12">
        <v>0</v>
      </c>
      <c r="W342" s="12">
        <v>61</v>
      </c>
      <c r="X342" s="12">
        <v>3</v>
      </c>
      <c r="Y342" s="12">
        <v>2</v>
      </c>
      <c r="Z342" s="12" t="s">
        <v>83</v>
      </c>
      <c r="AA342" s="12">
        <v>0</v>
      </c>
      <c r="AB342" s="12">
        <v>0</v>
      </c>
      <c r="AC342" s="12">
        <v>0</v>
      </c>
      <c r="AD342" s="12">
        <v>0</v>
      </c>
      <c r="AE342" s="12">
        <v>1</v>
      </c>
      <c r="AF342" s="12">
        <v>1</v>
      </c>
      <c r="AG342" s="12">
        <v>0</v>
      </c>
      <c r="AH342" s="12">
        <v>0</v>
      </c>
      <c r="AI342" s="12">
        <v>4</v>
      </c>
      <c r="AJ342" s="12" t="s">
        <v>78</v>
      </c>
      <c r="AK342" s="12">
        <v>0</v>
      </c>
      <c r="AL342" s="12">
        <v>0</v>
      </c>
      <c r="AM342" s="12">
        <v>6347</v>
      </c>
      <c r="AN342" s="12">
        <f t="shared" si="77"/>
        <v>6347</v>
      </c>
      <c r="AO342" s="12">
        <v>7</v>
      </c>
      <c r="AP342" s="12" t="s">
        <v>59</v>
      </c>
      <c r="AQ342" s="12">
        <v>0</v>
      </c>
      <c r="AR342" s="12">
        <v>16</v>
      </c>
      <c r="AS342" s="12">
        <v>3</v>
      </c>
      <c r="AT342" s="12">
        <v>3</v>
      </c>
      <c r="AU342" s="12">
        <v>2</v>
      </c>
      <c r="AV342" s="12">
        <v>8</v>
      </c>
      <c r="AW342" s="12">
        <f t="shared" si="78"/>
        <v>8</v>
      </c>
      <c r="AX342" s="12">
        <v>2</v>
      </c>
      <c r="AY342" s="12">
        <v>2</v>
      </c>
      <c r="AZ342" s="12">
        <v>6</v>
      </c>
      <c r="BA342" s="12">
        <f t="shared" si="79"/>
        <v>6</v>
      </c>
      <c r="BB342" s="12">
        <v>2</v>
      </c>
      <c r="BC342" s="12">
        <v>0</v>
      </c>
      <c r="BD342" s="12">
        <f t="shared" si="88"/>
        <v>0</v>
      </c>
      <c r="BE342" s="12">
        <v>4</v>
      </c>
      <c r="BF342" s="12">
        <f t="shared" si="80"/>
        <v>4</v>
      </c>
      <c r="BG342" s="12">
        <f t="shared" si="89"/>
        <v>8</v>
      </c>
      <c r="BH342" s="67">
        <v>1</v>
      </c>
      <c r="BI342" s="67">
        <v>0</v>
      </c>
      <c r="BJ342" s="67">
        <v>0</v>
      </c>
      <c r="BK342" s="67">
        <v>0</v>
      </c>
      <c r="BL342" s="67">
        <v>1</v>
      </c>
      <c r="BM342" s="67">
        <v>0</v>
      </c>
      <c r="BN342" s="67">
        <v>0</v>
      </c>
      <c r="BO342" s="67">
        <v>0</v>
      </c>
      <c r="BP342" s="67">
        <v>0</v>
      </c>
      <c r="BQ342" s="67">
        <v>4</v>
      </c>
      <c r="BR342" s="67">
        <v>0</v>
      </c>
      <c r="BS342" s="67">
        <v>0</v>
      </c>
      <c r="BT342" s="67">
        <v>8</v>
      </c>
      <c r="BU342" s="70">
        <v>0</v>
      </c>
      <c r="BV342" s="29">
        <f t="shared" si="81"/>
        <v>3.3120799468001699E-2</v>
      </c>
      <c r="BW342">
        <f t="shared" si="82"/>
        <v>3.4508002929560584E-2</v>
      </c>
      <c r="BX342">
        <f t="shared" si="83"/>
        <v>0.42149901815843233</v>
      </c>
      <c r="BY342">
        <f t="shared" si="84"/>
        <v>0.16455710867531462</v>
      </c>
      <c r="BZ342">
        <f t="shared" si="85"/>
        <v>0.51715642219916513</v>
      </c>
      <c r="CA342">
        <f t="shared" si="86"/>
        <v>8.3401599596422994E-3</v>
      </c>
      <c r="CB342">
        <f t="shared" si="87"/>
        <v>0.67891464284095016</v>
      </c>
    </row>
    <row r="343" spans="1:80" x14ac:dyDescent="0.45">
      <c r="A343" s="11">
        <v>38</v>
      </c>
      <c r="B343" s="12">
        <f t="shared" si="75"/>
        <v>38</v>
      </c>
      <c r="C343" s="12" t="s">
        <v>59</v>
      </c>
      <c r="D343" s="12">
        <v>0</v>
      </c>
      <c r="E343" s="12" t="s">
        <v>53</v>
      </c>
      <c r="F343" s="12">
        <v>0</v>
      </c>
      <c r="G343" s="12">
        <v>1</v>
      </c>
      <c r="H343" s="12" t="s">
        <v>61</v>
      </c>
      <c r="I343" s="12">
        <v>1</v>
      </c>
      <c r="J343" s="12">
        <v>0</v>
      </c>
      <c r="K343" s="12">
        <v>15</v>
      </c>
      <c r="L343" s="12">
        <f t="shared" si="76"/>
        <v>15</v>
      </c>
      <c r="M343" s="12">
        <v>2</v>
      </c>
      <c r="N343" s="12" t="s">
        <v>55</v>
      </c>
      <c r="O343" s="12">
        <v>1</v>
      </c>
      <c r="P343" s="12">
        <v>0</v>
      </c>
      <c r="Q343" s="12">
        <v>0</v>
      </c>
      <c r="R343" s="12">
        <v>0</v>
      </c>
      <c r="S343" s="12">
        <v>0</v>
      </c>
      <c r="T343" s="12">
        <v>3</v>
      </c>
      <c r="U343" s="12" t="s">
        <v>62</v>
      </c>
      <c r="V343" s="12">
        <v>0</v>
      </c>
      <c r="W343" s="12">
        <v>92</v>
      </c>
      <c r="X343" s="12">
        <v>2</v>
      </c>
      <c r="Y343" s="12">
        <v>3</v>
      </c>
      <c r="Z343" s="12" t="s">
        <v>89</v>
      </c>
      <c r="AA343" s="12">
        <v>0</v>
      </c>
      <c r="AB343" s="12">
        <v>0</v>
      </c>
      <c r="AC343" s="12">
        <v>0</v>
      </c>
      <c r="AD343" s="12">
        <v>0</v>
      </c>
      <c r="AE343" s="12">
        <v>0</v>
      </c>
      <c r="AF343" s="12">
        <v>0</v>
      </c>
      <c r="AG343" s="12">
        <v>0</v>
      </c>
      <c r="AH343" s="12">
        <v>0</v>
      </c>
      <c r="AI343" s="12">
        <v>4</v>
      </c>
      <c r="AJ343" s="12" t="s">
        <v>78</v>
      </c>
      <c r="AK343" s="12">
        <v>0</v>
      </c>
      <c r="AL343" s="12">
        <v>0</v>
      </c>
      <c r="AM343" s="12">
        <v>11510</v>
      </c>
      <c r="AN343" s="12">
        <f t="shared" si="77"/>
        <v>11510</v>
      </c>
      <c r="AO343" s="12">
        <v>0</v>
      </c>
      <c r="AP343" s="12" t="s">
        <v>52</v>
      </c>
      <c r="AQ343" s="12">
        <v>1</v>
      </c>
      <c r="AR343" s="12">
        <v>14</v>
      </c>
      <c r="AS343" s="12">
        <v>3</v>
      </c>
      <c r="AT343" s="12">
        <v>2</v>
      </c>
      <c r="AU343" s="12">
        <v>1</v>
      </c>
      <c r="AV343" s="12">
        <v>12</v>
      </c>
      <c r="AW343" s="12">
        <f t="shared" si="78"/>
        <v>12</v>
      </c>
      <c r="AX343" s="12">
        <v>3</v>
      </c>
      <c r="AY343" s="12">
        <v>3</v>
      </c>
      <c r="AZ343" s="12">
        <v>11</v>
      </c>
      <c r="BA343" s="12">
        <f t="shared" si="79"/>
        <v>11</v>
      </c>
      <c r="BB343" s="12">
        <v>10</v>
      </c>
      <c r="BC343" s="12">
        <v>2</v>
      </c>
      <c r="BD343" s="12">
        <f t="shared" si="88"/>
        <v>2</v>
      </c>
      <c r="BE343" s="12">
        <v>9</v>
      </c>
      <c r="BF343" s="12">
        <f t="shared" si="80"/>
        <v>9</v>
      </c>
      <c r="BG343" s="12">
        <f t="shared" si="89"/>
        <v>27</v>
      </c>
      <c r="BH343" s="67">
        <v>1</v>
      </c>
      <c r="BI343" s="67">
        <v>0</v>
      </c>
      <c r="BJ343" s="67">
        <v>0</v>
      </c>
      <c r="BK343" s="67">
        <v>0</v>
      </c>
      <c r="BL343" s="67">
        <v>0</v>
      </c>
      <c r="BM343" s="67">
        <v>1</v>
      </c>
      <c r="BN343" s="67">
        <v>0</v>
      </c>
      <c r="BO343" s="67">
        <v>0</v>
      </c>
      <c r="BP343" s="67">
        <v>0</v>
      </c>
      <c r="BQ343" s="67">
        <v>9</v>
      </c>
      <c r="BR343" s="67">
        <v>0</v>
      </c>
      <c r="BS343" s="67">
        <v>0</v>
      </c>
      <c r="BT343" s="67">
        <v>12</v>
      </c>
      <c r="BU343" s="70">
        <v>0</v>
      </c>
      <c r="BV343" s="29">
        <f t="shared" si="81"/>
        <v>1.0635332774206507</v>
      </c>
      <c r="BW343">
        <f t="shared" si="82"/>
        <v>1.3667838287404401</v>
      </c>
      <c r="BX343">
        <f t="shared" si="83"/>
        <v>9.2588147734864096E-2</v>
      </c>
      <c r="BY343">
        <f t="shared" si="84"/>
        <v>0.65156620358080031</v>
      </c>
      <c r="BZ343">
        <f t="shared" si="85"/>
        <v>0.71636611655269733</v>
      </c>
      <c r="CA343">
        <f t="shared" si="86"/>
        <v>0.11780475942994788</v>
      </c>
      <c r="CB343">
        <f t="shared" si="87"/>
        <v>5.8265062631872602E-2</v>
      </c>
    </row>
    <row r="344" spans="1:80" x14ac:dyDescent="0.45">
      <c r="A344" s="11">
        <v>31</v>
      </c>
      <c r="B344" s="12">
        <f t="shared" si="75"/>
        <v>31</v>
      </c>
      <c r="C344" s="12" t="s">
        <v>59</v>
      </c>
      <c r="D344" s="12">
        <v>0</v>
      </c>
      <c r="E344" s="12" t="s">
        <v>53</v>
      </c>
      <c r="F344" s="12">
        <v>0</v>
      </c>
      <c r="G344" s="12">
        <v>1</v>
      </c>
      <c r="H344" s="12" t="s">
        <v>61</v>
      </c>
      <c r="I344" s="12">
        <v>1</v>
      </c>
      <c r="J344" s="12">
        <v>0</v>
      </c>
      <c r="K344" s="12">
        <v>7</v>
      </c>
      <c r="L344" s="12">
        <f t="shared" si="76"/>
        <v>7</v>
      </c>
      <c r="M344" s="12">
        <v>4</v>
      </c>
      <c r="N344" s="12" t="s">
        <v>70</v>
      </c>
      <c r="O344" s="12">
        <v>0</v>
      </c>
      <c r="P344" s="12">
        <v>0</v>
      </c>
      <c r="Q344" s="12">
        <v>1</v>
      </c>
      <c r="R344" s="12">
        <v>0</v>
      </c>
      <c r="S344" s="12">
        <v>0</v>
      </c>
      <c r="T344" s="12">
        <v>3</v>
      </c>
      <c r="U344" s="12" t="s">
        <v>19</v>
      </c>
      <c r="V344" s="12">
        <v>1</v>
      </c>
      <c r="W344" s="12">
        <v>39</v>
      </c>
      <c r="X344" s="12">
        <v>3</v>
      </c>
      <c r="Y344" s="12">
        <v>3</v>
      </c>
      <c r="Z344" s="12" t="s">
        <v>83</v>
      </c>
      <c r="AA344" s="12">
        <v>0</v>
      </c>
      <c r="AB344" s="12">
        <v>0</v>
      </c>
      <c r="AC344" s="12">
        <v>0</v>
      </c>
      <c r="AD344" s="12">
        <v>0</v>
      </c>
      <c r="AE344" s="12">
        <v>1</v>
      </c>
      <c r="AF344" s="12">
        <v>1</v>
      </c>
      <c r="AG344" s="12">
        <v>0</v>
      </c>
      <c r="AH344" s="12">
        <v>0</v>
      </c>
      <c r="AI344" s="12">
        <v>4</v>
      </c>
      <c r="AJ344" s="12" t="s">
        <v>57</v>
      </c>
      <c r="AK344" s="12">
        <v>1</v>
      </c>
      <c r="AL344" s="12">
        <v>0</v>
      </c>
      <c r="AM344" s="12">
        <v>7143</v>
      </c>
      <c r="AN344" s="12">
        <f t="shared" si="77"/>
        <v>7143</v>
      </c>
      <c r="AO344" s="12">
        <v>1</v>
      </c>
      <c r="AP344" s="12" t="s">
        <v>52</v>
      </c>
      <c r="AQ344" s="12">
        <v>1</v>
      </c>
      <c r="AR344" s="12">
        <v>14</v>
      </c>
      <c r="AS344" s="12">
        <v>3</v>
      </c>
      <c r="AT344" s="12">
        <v>3</v>
      </c>
      <c r="AU344" s="12">
        <v>0</v>
      </c>
      <c r="AV344" s="12">
        <v>11</v>
      </c>
      <c r="AW344" s="12">
        <f t="shared" si="78"/>
        <v>11</v>
      </c>
      <c r="AX344" s="12">
        <v>2</v>
      </c>
      <c r="AY344" s="12">
        <v>2</v>
      </c>
      <c r="AZ344" s="12">
        <v>11</v>
      </c>
      <c r="BA344" s="12">
        <f t="shared" si="79"/>
        <v>11</v>
      </c>
      <c r="BB344" s="12">
        <v>9</v>
      </c>
      <c r="BC344" s="12">
        <v>4</v>
      </c>
      <c r="BD344" s="12">
        <f t="shared" si="88"/>
        <v>4</v>
      </c>
      <c r="BE344" s="12">
        <v>10</v>
      </c>
      <c r="BF344" s="12">
        <f t="shared" si="80"/>
        <v>10</v>
      </c>
      <c r="BG344" s="12">
        <f t="shared" si="89"/>
        <v>30</v>
      </c>
      <c r="BH344" s="67">
        <v>1</v>
      </c>
      <c r="BI344" s="67">
        <v>0</v>
      </c>
      <c r="BJ344" s="67">
        <v>0</v>
      </c>
      <c r="BK344" s="67">
        <v>0</v>
      </c>
      <c r="BL344" s="67">
        <v>0</v>
      </c>
      <c r="BM344" s="67">
        <v>1</v>
      </c>
      <c r="BN344" s="67">
        <v>0</v>
      </c>
      <c r="BO344" s="67">
        <v>0</v>
      </c>
      <c r="BP344" s="67">
        <v>0</v>
      </c>
      <c r="BQ344" s="67">
        <v>10</v>
      </c>
      <c r="BR344" s="67">
        <v>0</v>
      </c>
      <c r="BS344" s="67">
        <v>0</v>
      </c>
      <c r="BT344" s="67">
        <v>11</v>
      </c>
      <c r="BU344" s="70">
        <v>0</v>
      </c>
      <c r="BV344" s="29">
        <f t="shared" si="81"/>
        <v>0.13595466929112426</v>
      </c>
      <c r="BW344">
        <f t="shared" si="82"/>
        <v>1.6470421950744405</v>
      </c>
      <c r="BX344">
        <f t="shared" si="83"/>
        <v>3.593364373846001E-2</v>
      </c>
      <c r="BY344">
        <f t="shared" si="84"/>
        <v>0.65156620358080031</v>
      </c>
      <c r="BZ344">
        <f t="shared" si="85"/>
        <v>0.27045191444879263</v>
      </c>
      <c r="CA344">
        <f t="shared" si="86"/>
        <v>0.6484474368621912</v>
      </c>
      <c r="CB344">
        <f t="shared" si="87"/>
        <v>0.56238451757720498</v>
      </c>
    </row>
    <row r="345" spans="1:80" x14ac:dyDescent="0.45">
      <c r="A345" s="11">
        <v>29</v>
      </c>
      <c r="B345" s="12">
        <f t="shared" si="75"/>
        <v>29</v>
      </c>
      <c r="C345" s="12" t="s">
        <v>59</v>
      </c>
      <c r="D345" s="12">
        <v>0</v>
      </c>
      <c r="E345" s="12" t="s">
        <v>53</v>
      </c>
      <c r="F345" s="12">
        <v>0</v>
      </c>
      <c r="G345" s="12">
        <v>1</v>
      </c>
      <c r="H345" s="12" t="s">
        <v>54</v>
      </c>
      <c r="I345" s="12">
        <v>0</v>
      </c>
      <c r="J345" s="12">
        <v>1</v>
      </c>
      <c r="K345" s="12">
        <v>10</v>
      </c>
      <c r="L345" s="12">
        <f t="shared" si="76"/>
        <v>10</v>
      </c>
      <c r="M345" s="12">
        <v>1</v>
      </c>
      <c r="N345" s="12" t="s">
        <v>90</v>
      </c>
      <c r="O345" s="12">
        <v>0</v>
      </c>
      <c r="P345" s="12">
        <v>0</v>
      </c>
      <c r="Q345" s="12">
        <v>0</v>
      </c>
      <c r="R345" s="12">
        <v>1</v>
      </c>
      <c r="S345" s="12">
        <v>0</v>
      </c>
      <c r="T345" s="12">
        <v>4</v>
      </c>
      <c r="U345" s="12" t="s">
        <v>19</v>
      </c>
      <c r="V345" s="12">
        <v>1</v>
      </c>
      <c r="W345" s="12">
        <v>39</v>
      </c>
      <c r="X345" s="12">
        <v>2</v>
      </c>
      <c r="Y345" s="12">
        <v>2</v>
      </c>
      <c r="Z345" s="12" t="s">
        <v>56</v>
      </c>
      <c r="AA345" s="12">
        <v>0</v>
      </c>
      <c r="AB345" s="12">
        <v>1</v>
      </c>
      <c r="AC345" s="12">
        <v>0</v>
      </c>
      <c r="AD345" s="12">
        <v>0</v>
      </c>
      <c r="AE345" s="12">
        <v>0</v>
      </c>
      <c r="AF345" s="12">
        <v>0</v>
      </c>
      <c r="AG345" s="12">
        <v>0</v>
      </c>
      <c r="AH345" s="12">
        <v>0</v>
      </c>
      <c r="AI345" s="12">
        <v>2</v>
      </c>
      <c r="AJ345" s="12" t="s">
        <v>78</v>
      </c>
      <c r="AK345" s="12">
        <v>0</v>
      </c>
      <c r="AL345" s="12">
        <v>0</v>
      </c>
      <c r="AM345" s="12">
        <v>8268</v>
      </c>
      <c r="AN345" s="12">
        <f t="shared" si="77"/>
        <v>8268</v>
      </c>
      <c r="AO345" s="12">
        <v>1</v>
      </c>
      <c r="AP345" s="12" t="s">
        <v>52</v>
      </c>
      <c r="AQ345" s="12">
        <v>1</v>
      </c>
      <c r="AR345" s="12">
        <v>14</v>
      </c>
      <c r="AS345" s="12">
        <v>3</v>
      </c>
      <c r="AT345" s="12">
        <v>1</v>
      </c>
      <c r="AU345" s="12">
        <v>2</v>
      </c>
      <c r="AV345" s="12">
        <v>7</v>
      </c>
      <c r="AW345" s="12">
        <f t="shared" si="78"/>
        <v>7</v>
      </c>
      <c r="AX345" s="12">
        <v>2</v>
      </c>
      <c r="AY345" s="12">
        <v>3</v>
      </c>
      <c r="AZ345" s="12">
        <v>7</v>
      </c>
      <c r="BA345" s="12">
        <f t="shared" si="79"/>
        <v>7</v>
      </c>
      <c r="BB345" s="12">
        <v>7</v>
      </c>
      <c r="BC345" s="12">
        <v>1</v>
      </c>
      <c r="BD345" s="12">
        <f t="shared" si="88"/>
        <v>1</v>
      </c>
      <c r="BE345" s="12">
        <v>7</v>
      </c>
      <c r="BF345" s="12">
        <f t="shared" si="80"/>
        <v>7</v>
      </c>
      <c r="BG345" s="12">
        <f t="shared" si="89"/>
        <v>14</v>
      </c>
      <c r="BH345" s="67">
        <v>1</v>
      </c>
      <c r="BI345" s="67">
        <v>0</v>
      </c>
      <c r="BJ345" s="67">
        <v>0</v>
      </c>
      <c r="BK345" s="67">
        <v>0</v>
      </c>
      <c r="BL345" s="67">
        <v>0</v>
      </c>
      <c r="BM345" s="67">
        <v>1</v>
      </c>
      <c r="BN345" s="67">
        <v>0</v>
      </c>
      <c r="BO345" s="67">
        <v>0</v>
      </c>
      <c r="BP345" s="67">
        <v>0</v>
      </c>
      <c r="BQ345" s="67">
        <v>0</v>
      </c>
      <c r="BR345" s="67">
        <v>7</v>
      </c>
      <c r="BS345" s="67">
        <v>0</v>
      </c>
      <c r="BT345" s="67">
        <v>0</v>
      </c>
      <c r="BU345" s="70">
        <v>7</v>
      </c>
      <c r="BV345" s="29">
        <f t="shared" si="81"/>
        <v>0.37491183305245174</v>
      </c>
      <c r="BW345">
        <f t="shared" si="82"/>
        <v>0.80626709607243985</v>
      </c>
      <c r="BX345">
        <f t="shared" si="83"/>
        <v>0.55002080963175637</v>
      </c>
      <c r="BY345">
        <f t="shared" si="84"/>
        <v>1.3324462240916321E-3</v>
      </c>
      <c r="BZ345">
        <f t="shared" si="85"/>
        <v>9.9604847176766084E-2</v>
      </c>
      <c r="CA345">
        <f t="shared" si="86"/>
        <v>0.86737663580280233</v>
      </c>
      <c r="CB345">
        <f t="shared" si="87"/>
        <v>0.36858985273641137</v>
      </c>
    </row>
    <row r="346" spans="1:80" x14ac:dyDescent="0.45">
      <c r="A346" s="11">
        <v>35</v>
      </c>
      <c r="B346" s="12">
        <f t="shared" si="75"/>
        <v>35</v>
      </c>
      <c r="C346" s="12" t="s">
        <v>59</v>
      </c>
      <c r="D346" s="12">
        <v>0</v>
      </c>
      <c r="E346" s="12" t="s">
        <v>53</v>
      </c>
      <c r="F346" s="12">
        <v>0</v>
      </c>
      <c r="G346" s="12">
        <v>1</v>
      </c>
      <c r="H346" s="12" t="s">
        <v>61</v>
      </c>
      <c r="I346" s="12">
        <v>1</v>
      </c>
      <c r="J346" s="12">
        <v>0</v>
      </c>
      <c r="K346" s="12">
        <v>5</v>
      </c>
      <c r="L346" s="12">
        <f t="shared" si="76"/>
        <v>5</v>
      </c>
      <c r="M346" s="12">
        <v>4</v>
      </c>
      <c r="N346" s="12" t="s">
        <v>91</v>
      </c>
      <c r="O346" s="12">
        <v>0</v>
      </c>
      <c r="P346" s="12">
        <v>0</v>
      </c>
      <c r="Q346" s="12">
        <v>0</v>
      </c>
      <c r="R346" s="12">
        <v>0</v>
      </c>
      <c r="S346" s="12">
        <v>1</v>
      </c>
      <c r="T346" s="12">
        <v>3</v>
      </c>
      <c r="U346" s="12" t="s">
        <v>62</v>
      </c>
      <c r="V346" s="12">
        <v>0</v>
      </c>
      <c r="W346" s="12">
        <v>62</v>
      </c>
      <c r="X346" s="12">
        <v>3</v>
      </c>
      <c r="Y346" s="12">
        <v>3</v>
      </c>
      <c r="Z346" s="12" t="s">
        <v>83</v>
      </c>
      <c r="AA346" s="12">
        <v>0</v>
      </c>
      <c r="AB346" s="12">
        <v>0</v>
      </c>
      <c r="AC346" s="12">
        <v>0</v>
      </c>
      <c r="AD346" s="12">
        <v>0</v>
      </c>
      <c r="AE346" s="12">
        <v>1</v>
      </c>
      <c r="AF346" s="12">
        <v>1</v>
      </c>
      <c r="AG346" s="12">
        <v>0</v>
      </c>
      <c r="AH346" s="12">
        <v>0</v>
      </c>
      <c r="AI346" s="12">
        <v>2</v>
      </c>
      <c r="AJ346" s="12" t="s">
        <v>57</v>
      </c>
      <c r="AK346" s="12">
        <v>1</v>
      </c>
      <c r="AL346" s="12">
        <v>0</v>
      </c>
      <c r="AM346" s="12">
        <v>8095</v>
      </c>
      <c r="AN346" s="12">
        <f t="shared" si="77"/>
        <v>8095</v>
      </c>
      <c r="AO346" s="12">
        <v>0</v>
      </c>
      <c r="AP346" s="12" t="s">
        <v>59</v>
      </c>
      <c r="AQ346" s="12">
        <v>0</v>
      </c>
      <c r="AR346" s="12">
        <v>13</v>
      </c>
      <c r="AS346" s="12">
        <v>3</v>
      </c>
      <c r="AT346" s="12">
        <v>4</v>
      </c>
      <c r="AU346" s="12">
        <v>0</v>
      </c>
      <c r="AV346" s="12">
        <v>17</v>
      </c>
      <c r="AW346" s="12">
        <f t="shared" si="78"/>
        <v>17</v>
      </c>
      <c r="AX346" s="12">
        <v>5</v>
      </c>
      <c r="AY346" s="12">
        <v>3</v>
      </c>
      <c r="AZ346" s="12">
        <v>16</v>
      </c>
      <c r="BA346" s="12">
        <f t="shared" si="79"/>
        <v>16</v>
      </c>
      <c r="BB346" s="12">
        <v>6</v>
      </c>
      <c r="BC346" s="12">
        <v>0</v>
      </c>
      <c r="BD346" s="12">
        <f t="shared" si="88"/>
        <v>0</v>
      </c>
      <c r="BE346" s="12">
        <v>13</v>
      </c>
      <c r="BF346" s="12">
        <f t="shared" si="80"/>
        <v>13</v>
      </c>
      <c r="BG346" s="12">
        <f t="shared" si="89"/>
        <v>39</v>
      </c>
      <c r="BH346" s="67">
        <v>1</v>
      </c>
      <c r="BI346" s="67">
        <v>0</v>
      </c>
      <c r="BJ346" s="67">
        <v>0</v>
      </c>
      <c r="BK346" s="67">
        <v>0</v>
      </c>
      <c r="BL346" s="67">
        <v>1</v>
      </c>
      <c r="BM346" s="67">
        <v>0</v>
      </c>
      <c r="BN346" s="67">
        <v>0</v>
      </c>
      <c r="BO346" s="67">
        <v>0</v>
      </c>
      <c r="BP346" s="67">
        <v>0</v>
      </c>
      <c r="BQ346" s="67">
        <v>13</v>
      </c>
      <c r="BR346" s="67">
        <v>0</v>
      </c>
      <c r="BS346" s="67">
        <v>0</v>
      </c>
      <c r="BT346" s="67">
        <v>17</v>
      </c>
      <c r="BU346" s="70">
        <v>0</v>
      </c>
      <c r="BV346" s="29">
        <f t="shared" si="81"/>
        <v>0.33816553142515426</v>
      </c>
      <c r="BW346">
        <f t="shared" si="82"/>
        <v>2.4878172940764407</v>
      </c>
      <c r="BX346">
        <f t="shared" si="83"/>
        <v>0.73519710510148462</v>
      </c>
      <c r="BY346">
        <f t="shared" si="84"/>
        <v>1.4676895158369152</v>
      </c>
      <c r="BZ346">
        <f t="shared" si="85"/>
        <v>0.51715642219916513</v>
      </c>
      <c r="CA346">
        <f t="shared" si="86"/>
        <v>0.21058903898096887</v>
      </c>
      <c r="CB346">
        <f t="shared" si="87"/>
        <v>0.67891464284095016</v>
      </c>
    </row>
    <row r="347" spans="1:80" x14ac:dyDescent="0.45">
      <c r="A347" s="11">
        <v>23</v>
      </c>
      <c r="B347" s="12">
        <f t="shared" si="75"/>
        <v>23</v>
      </c>
      <c r="C347" s="12" t="s">
        <v>59</v>
      </c>
      <c r="D347" s="12">
        <v>0</v>
      </c>
      <c r="E347" s="12" t="s">
        <v>53</v>
      </c>
      <c r="F347" s="12">
        <v>0</v>
      </c>
      <c r="G347" s="12">
        <v>1</v>
      </c>
      <c r="H347" s="12" t="s">
        <v>61</v>
      </c>
      <c r="I347" s="12">
        <v>1</v>
      </c>
      <c r="J347" s="12">
        <v>0</v>
      </c>
      <c r="K347" s="12">
        <v>26</v>
      </c>
      <c r="L347" s="12">
        <f t="shared" si="76"/>
        <v>26</v>
      </c>
      <c r="M347" s="12">
        <v>1</v>
      </c>
      <c r="N347" s="12" t="s">
        <v>55</v>
      </c>
      <c r="O347" s="12">
        <v>1</v>
      </c>
      <c r="P347" s="12">
        <v>0</v>
      </c>
      <c r="Q347" s="12">
        <v>0</v>
      </c>
      <c r="R347" s="12">
        <v>0</v>
      </c>
      <c r="S347" s="12">
        <v>0</v>
      </c>
      <c r="T347" s="12">
        <v>3</v>
      </c>
      <c r="U347" s="12" t="s">
        <v>62</v>
      </c>
      <c r="V347" s="12">
        <v>0</v>
      </c>
      <c r="W347" s="12">
        <v>83</v>
      </c>
      <c r="X347" s="12">
        <v>3</v>
      </c>
      <c r="Y347" s="12">
        <v>1</v>
      </c>
      <c r="Z347" s="12" t="s">
        <v>63</v>
      </c>
      <c r="AA347" s="12">
        <v>0</v>
      </c>
      <c r="AB347" s="12">
        <v>0</v>
      </c>
      <c r="AC347" s="12">
        <v>0</v>
      </c>
      <c r="AD347" s="12">
        <v>0</v>
      </c>
      <c r="AE347" s="12">
        <v>0</v>
      </c>
      <c r="AF347" s="12">
        <v>0</v>
      </c>
      <c r="AG347" s="12">
        <v>0</v>
      </c>
      <c r="AH347" s="12">
        <v>1</v>
      </c>
      <c r="AI347" s="12">
        <v>4</v>
      </c>
      <c r="AJ347" s="12" t="s">
        <v>78</v>
      </c>
      <c r="AK347" s="12">
        <v>0</v>
      </c>
      <c r="AL347" s="12">
        <v>0</v>
      </c>
      <c r="AM347" s="12">
        <v>2904</v>
      </c>
      <c r="AN347" s="12">
        <f t="shared" si="77"/>
        <v>2904</v>
      </c>
      <c r="AO347" s="12">
        <v>1</v>
      </c>
      <c r="AP347" s="12" t="s">
        <v>59</v>
      </c>
      <c r="AQ347" s="12">
        <v>0</v>
      </c>
      <c r="AR347" s="12">
        <v>12</v>
      </c>
      <c r="AS347" s="12">
        <v>3</v>
      </c>
      <c r="AT347" s="12">
        <v>3</v>
      </c>
      <c r="AU347" s="12">
        <v>2</v>
      </c>
      <c r="AV347" s="12">
        <v>4</v>
      </c>
      <c r="AW347" s="12">
        <f t="shared" si="78"/>
        <v>4</v>
      </c>
      <c r="AX347" s="12">
        <v>2</v>
      </c>
      <c r="AY347" s="12">
        <v>2</v>
      </c>
      <c r="AZ347" s="12">
        <v>4</v>
      </c>
      <c r="BA347" s="12">
        <f t="shared" si="79"/>
        <v>4</v>
      </c>
      <c r="BB347" s="12">
        <v>2</v>
      </c>
      <c r="BC347" s="12">
        <v>0</v>
      </c>
      <c r="BD347" s="12">
        <f t="shared" si="88"/>
        <v>0</v>
      </c>
      <c r="BE347" s="12">
        <v>2</v>
      </c>
      <c r="BF347" s="12">
        <f t="shared" si="80"/>
        <v>2</v>
      </c>
      <c r="BG347" s="12">
        <f t="shared" si="89"/>
        <v>2</v>
      </c>
      <c r="BH347" s="67">
        <v>1</v>
      </c>
      <c r="BI347" s="67">
        <v>0</v>
      </c>
      <c r="BJ347" s="67">
        <v>0</v>
      </c>
      <c r="BK347" s="67">
        <v>0</v>
      </c>
      <c r="BL347" s="67">
        <v>1</v>
      </c>
      <c r="BM347" s="67">
        <v>0</v>
      </c>
      <c r="BN347" s="67">
        <v>0</v>
      </c>
      <c r="BO347" s="67">
        <v>0</v>
      </c>
      <c r="BP347" s="67">
        <v>0</v>
      </c>
      <c r="BQ347" s="67">
        <v>2</v>
      </c>
      <c r="BR347" s="67">
        <v>0</v>
      </c>
      <c r="BS347" s="67">
        <v>0</v>
      </c>
      <c r="BT347" s="67">
        <v>4</v>
      </c>
      <c r="BU347" s="70">
        <v>0</v>
      </c>
      <c r="BV347" s="29">
        <f t="shared" si="81"/>
        <v>0.76443592376155778</v>
      </c>
      <c r="BW347">
        <f t="shared" si="82"/>
        <v>0.59502473559756086</v>
      </c>
      <c r="BX347">
        <f t="shared" si="83"/>
        <v>0.93558618405172878</v>
      </c>
      <c r="BY347">
        <f t="shared" si="84"/>
        <v>0.49100643357776058</v>
      </c>
      <c r="BZ347">
        <f t="shared" si="85"/>
        <v>2.0732409091797459</v>
      </c>
      <c r="CA347">
        <f t="shared" si="86"/>
        <v>1.5241642326246359</v>
      </c>
      <c r="CB347">
        <f t="shared" si="87"/>
        <v>0.67891464284095016</v>
      </c>
    </row>
    <row r="348" spans="1:80" x14ac:dyDescent="0.45">
      <c r="A348" s="11">
        <v>41</v>
      </c>
      <c r="B348" s="12">
        <f t="shared" si="75"/>
        <v>41</v>
      </c>
      <c r="C348" s="12" t="s">
        <v>59</v>
      </c>
      <c r="D348" s="12">
        <v>0</v>
      </c>
      <c r="E348" s="12" t="s">
        <v>53</v>
      </c>
      <c r="F348" s="12">
        <v>0</v>
      </c>
      <c r="G348" s="12">
        <v>1</v>
      </c>
      <c r="H348" s="12" t="s">
        <v>61</v>
      </c>
      <c r="I348" s="12">
        <v>1</v>
      </c>
      <c r="J348" s="12">
        <v>0</v>
      </c>
      <c r="K348" s="12">
        <v>6</v>
      </c>
      <c r="L348" s="12">
        <f t="shared" si="76"/>
        <v>6</v>
      </c>
      <c r="M348" s="12">
        <v>3</v>
      </c>
      <c r="N348" s="12" t="s">
        <v>70</v>
      </c>
      <c r="O348" s="12">
        <v>0</v>
      </c>
      <c r="P348" s="12">
        <v>0</v>
      </c>
      <c r="Q348" s="12">
        <v>1</v>
      </c>
      <c r="R348" s="12">
        <v>0</v>
      </c>
      <c r="S348" s="12">
        <v>0</v>
      </c>
      <c r="T348" s="12">
        <v>4</v>
      </c>
      <c r="U348" s="12" t="s">
        <v>62</v>
      </c>
      <c r="V348" s="12">
        <v>0</v>
      </c>
      <c r="W348" s="12">
        <v>95</v>
      </c>
      <c r="X348" s="12">
        <v>2</v>
      </c>
      <c r="Y348" s="12">
        <v>2</v>
      </c>
      <c r="Z348" s="12" t="s">
        <v>83</v>
      </c>
      <c r="AA348" s="12">
        <v>0</v>
      </c>
      <c r="AB348" s="12">
        <v>0</v>
      </c>
      <c r="AC348" s="12">
        <v>0</v>
      </c>
      <c r="AD348" s="12">
        <v>0</v>
      </c>
      <c r="AE348" s="12">
        <v>1</v>
      </c>
      <c r="AF348" s="12">
        <v>1</v>
      </c>
      <c r="AG348" s="12">
        <v>0</v>
      </c>
      <c r="AH348" s="12">
        <v>0</v>
      </c>
      <c r="AI348" s="12">
        <v>2</v>
      </c>
      <c r="AJ348" s="12" t="s">
        <v>57</v>
      </c>
      <c r="AK348" s="12">
        <v>1</v>
      </c>
      <c r="AL348" s="12">
        <v>0</v>
      </c>
      <c r="AM348" s="12">
        <v>6032</v>
      </c>
      <c r="AN348" s="12">
        <f t="shared" si="77"/>
        <v>6032</v>
      </c>
      <c r="AO348" s="12">
        <v>6</v>
      </c>
      <c r="AP348" s="12" t="s">
        <v>52</v>
      </c>
      <c r="AQ348" s="12">
        <v>1</v>
      </c>
      <c r="AR348" s="12">
        <v>15</v>
      </c>
      <c r="AS348" s="12">
        <v>3</v>
      </c>
      <c r="AT348" s="12">
        <v>4</v>
      </c>
      <c r="AU348" s="12">
        <v>0</v>
      </c>
      <c r="AV348" s="12">
        <v>8</v>
      </c>
      <c r="AW348" s="12">
        <f t="shared" si="78"/>
        <v>8</v>
      </c>
      <c r="AX348" s="12">
        <v>3</v>
      </c>
      <c r="AY348" s="12">
        <v>3</v>
      </c>
      <c r="AZ348" s="12">
        <v>5</v>
      </c>
      <c r="BA348" s="12">
        <f t="shared" si="79"/>
        <v>5</v>
      </c>
      <c r="BB348" s="12">
        <v>4</v>
      </c>
      <c r="BC348" s="12">
        <v>1</v>
      </c>
      <c r="BD348" s="12">
        <f t="shared" si="88"/>
        <v>1</v>
      </c>
      <c r="BE348" s="12">
        <v>2</v>
      </c>
      <c r="BF348" s="12">
        <f t="shared" si="80"/>
        <v>2</v>
      </c>
      <c r="BG348" s="12">
        <f t="shared" si="89"/>
        <v>4</v>
      </c>
      <c r="BH348" s="67">
        <v>1</v>
      </c>
      <c r="BI348" s="67">
        <v>0</v>
      </c>
      <c r="BJ348" s="67">
        <v>0</v>
      </c>
      <c r="BK348" s="67">
        <v>0</v>
      </c>
      <c r="BL348" s="67">
        <v>0</v>
      </c>
      <c r="BM348" s="67">
        <v>1</v>
      </c>
      <c r="BN348" s="67">
        <v>0</v>
      </c>
      <c r="BO348" s="67">
        <v>0</v>
      </c>
      <c r="BP348" s="67">
        <v>0</v>
      </c>
      <c r="BQ348" s="67">
        <v>2</v>
      </c>
      <c r="BR348" s="67">
        <v>0</v>
      </c>
      <c r="BS348" s="67">
        <v>0</v>
      </c>
      <c r="BT348" s="67">
        <v>8</v>
      </c>
      <c r="BU348" s="70">
        <v>0</v>
      </c>
      <c r="BV348" s="29">
        <f t="shared" si="81"/>
        <v>0.10002880532117339</v>
      </c>
      <c r="BW348">
        <f t="shared" si="82"/>
        <v>0.59502473559756086</v>
      </c>
      <c r="BX348">
        <f t="shared" si="83"/>
        <v>0.42149901815843233</v>
      </c>
      <c r="BY348">
        <f t="shared" si="84"/>
        <v>0.32778177112653761</v>
      </c>
      <c r="BZ348">
        <f t="shared" si="85"/>
        <v>0.39380416832397891</v>
      </c>
      <c r="CA348">
        <f t="shared" si="86"/>
        <v>0.4461985578408646</v>
      </c>
      <c r="CB348">
        <f t="shared" si="87"/>
        <v>0.36858985273641137</v>
      </c>
    </row>
    <row r="349" spans="1:80" x14ac:dyDescent="0.45">
      <c r="A349" s="11">
        <v>47</v>
      </c>
      <c r="B349" s="12">
        <f t="shared" si="75"/>
        <v>47</v>
      </c>
      <c r="C349" s="12" t="s">
        <v>59</v>
      </c>
      <c r="D349" s="12">
        <v>0</v>
      </c>
      <c r="E349" s="12" t="s">
        <v>60</v>
      </c>
      <c r="F349" s="12">
        <v>1</v>
      </c>
      <c r="G349" s="12">
        <v>0</v>
      </c>
      <c r="H349" s="12" t="s">
        <v>54</v>
      </c>
      <c r="I349" s="12">
        <v>0</v>
      </c>
      <c r="J349" s="12">
        <v>1</v>
      </c>
      <c r="K349" s="12">
        <v>4</v>
      </c>
      <c r="L349" s="12">
        <f t="shared" si="76"/>
        <v>4</v>
      </c>
      <c r="M349" s="12">
        <v>1</v>
      </c>
      <c r="N349" s="12" t="s">
        <v>70</v>
      </c>
      <c r="O349" s="12">
        <v>0</v>
      </c>
      <c r="P349" s="12">
        <v>0</v>
      </c>
      <c r="Q349" s="12">
        <v>1</v>
      </c>
      <c r="R349" s="12">
        <v>0</v>
      </c>
      <c r="S349" s="12">
        <v>0</v>
      </c>
      <c r="T349" s="12">
        <v>2</v>
      </c>
      <c r="U349" s="12" t="s">
        <v>62</v>
      </c>
      <c r="V349" s="12">
        <v>0</v>
      </c>
      <c r="W349" s="12">
        <v>99</v>
      </c>
      <c r="X349" s="12">
        <v>3</v>
      </c>
      <c r="Y349" s="12">
        <v>2</v>
      </c>
      <c r="Z349" s="12" t="s">
        <v>88</v>
      </c>
      <c r="AA349" s="12">
        <v>0</v>
      </c>
      <c r="AB349" s="12">
        <v>0</v>
      </c>
      <c r="AC349" s="12">
        <v>0</v>
      </c>
      <c r="AD349" s="12">
        <v>0</v>
      </c>
      <c r="AE349" s="12">
        <v>0</v>
      </c>
      <c r="AF349" s="12">
        <v>0</v>
      </c>
      <c r="AG349" s="12">
        <v>1</v>
      </c>
      <c r="AH349" s="12">
        <v>0</v>
      </c>
      <c r="AI349" s="12">
        <v>3</v>
      </c>
      <c r="AJ349" s="12" t="s">
        <v>57</v>
      </c>
      <c r="AK349" s="12">
        <v>1</v>
      </c>
      <c r="AL349" s="12">
        <v>0</v>
      </c>
      <c r="AM349" s="12">
        <v>2976</v>
      </c>
      <c r="AN349" s="12">
        <f t="shared" si="77"/>
        <v>2976</v>
      </c>
      <c r="AO349" s="12">
        <v>3</v>
      </c>
      <c r="AP349" s="12" t="s">
        <v>59</v>
      </c>
      <c r="AQ349" s="12">
        <v>0</v>
      </c>
      <c r="AR349" s="12">
        <v>19</v>
      </c>
      <c r="AS349" s="12">
        <v>3</v>
      </c>
      <c r="AT349" s="12">
        <v>1</v>
      </c>
      <c r="AU349" s="12">
        <v>0</v>
      </c>
      <c r="AV349" s="12">
        <v>5</v>
      </c>
      <c r="AW349" s="12">
        <f t="shared" si="78"/>
        <v>5</v>
      </c>
      <c r="AX349" s="12">
        <v>3</v>
      </c>
      <c r="AY349" s="12">
        <v>3</v>
      </c>
      <c r="AZ349" s="12">
        <v>0</v>
      </c>
      <c r="BA349" s="12">
        <f t="shared" si="79"/>
        <v>0</v>
      </c>
      <c r="BB349" s="12">
        <v>0</v>
      </c>
      <c r="BC349" s="12">
        <v>0</v>
      </c>
      <c r="BD349" s="12">
        <f t="shared" si="88"/>
        <v>0</v>
      </c>
      <c r="BE349" s="12">
        <v>0</v>
      </c>
      <c r="BF349" s="12">
        <f t="shared" si="80"/>
        <v>0</v>
      </c>
      <c r="BG349" s="12">
        <f t="shared" si="89"/>
        <v>0</v>
      </c>
      <c r="BH349" s="67">
        <v>0</v>
      </c>
      <c r="BI349" s="67">
        <v>0</v>
      </c>
      <c r="BJ349" s="67">
        <v>1</v>
      </c>
      <c r="BK349" s="67">
        <v>0</v>
      </c>
      <c r="BL349" s="67">
        <v>1</v>
      </c>
      <c r="BM349" s="67">
        <v>0</v>
      </c>
      <c r="BN349" s="67">
        <v>0</v>
      </c>
      <c r="BO349" s="67">
        <v>0</v>
      </c>
      <c r="BP349" s="67">
        <v>0</v>
      </c>
      <c r="BQ349" s="67">
        <v>0</v>
      </c>
      <c r="BR349" s="67">
        <v>0</v>
      </c>
      <c r="BS349" s="67">
        <v>0</v>
      </c>
      <c r="BT349" s="67">
        <v>0</v>
      </c>
      <c r="BU349" s="70">
        <v>5</v>
      </c>
      <c r="BV349" s="29">
        <f t="shared" si="81"/>
        <v>0.74914266528083284</v>
      </c>
      <c r="BW349">
        <f t="shared" si="82"/>
        <v>1.1555414682655611</v>
      </c>
      <c r="BX349">
        <f t="shared" si="83"/>
        <v>0.80706439257840468</v>
      </c>
      <c r="BY349">
        <f t="shared" si="84"/>
        <v>1.1439050833826525</v>
      </c>
      <c r="BZ349">
        <f t="shared" si="85"/>
        <v>0.64050867607435136</v>
      </c>
      <c r="CA349">
        <f t="shared" si="86"/>
        <v>1.102986154662698</v>
      </c>
      <c r="CB349">
        <f t="shared" si="87"/>
        <v>0.67891464284095016</v>
      </c>
    </row>
    <row r="350" spans="1:80" x14ac:dyDescent="0.45">
      <c r="A350" s="11">
        <v>42</v>
      </c>
      <c r="B350" s="12">
        <f t="shared" si="75"/>
        <v>42</v>
      </c>
      <c r="C350" s="12" t="s">
        <v>59</v>
      </c>
      <c r="D350" s="12">
        <v>0</v>
      </c>
      <c r="E350" s="12" t="s">
        <v>53</v>
      </c>
      <c r="F350" s="12">
        <v>0</v>
      </c>
      <c r="G350" s="12">
        <v>1</v>
      </c>
      <c r="H350" s="12" t="s">
        <v>61</v>
      </c>
      <c r="I350" s="12">
        <v>1</v>
      </c>
      <c r="J350" s="12">
        <v>0</v>
      </c>
      <c r="K350" s="12">
        <v>23</v>
      </c>
      <c r="L350" s="12">
        <f t="shared" si="76"/>
        <v>23</v>
      </c>
      <c r="M350" s="12">
        <v>5</v>
      </c>
      <c r="N350" s="12" t="s">
        <v>55</v>
      </c>
      <c r="O350" s="12">
        <v>1</v>
      </c>
      <c r="P350" s="12">
        <v>0</v>
      </c>
      <c r="Q350" s="12">
        <v>0</v>
      </c>
      <c r="R350" s="12">
        <v>0</v>
      </c>
      <c r="S350" s="12">
        <v>0</v>
      </c>
      <c r="T350" s="12">
        <v>1</v>
      </c>
      <c r="U350" s="12" t="s">
        <v>19</v>
      </c>
      <c r="V350" s="12">
        <v>1</v>
      </c>
      <c r="W350" s="12">
        <v>44</v>
      </c>
      <c r="X350" s="12">
        <v>3</v>
      </c>
      <c r="Y350" s="12">
        <v>4</v>
      </c>
      <c r="Z350" s="12" t="s">
        <v>89</v>
      </c>
      <c r="AA350" s="12">
        <v>0</v>
      </c>
      <c r="AB350" s="12">
        <v>0</v>
      </c>
      <c r="AC350" s="12">
        <v>0</v>
      </c>
      <c r="AD350" s="12">
        <v>0</v>
      </c>
      <c r="AE350" s="12">
        <v>0</v>
      </c>
      <c r="AF350" s="12">
        <v>0</v>
      </c>
      <c r="AG350" s="12">
        <v>0</v>
      </c>
      <c r="AH350" s="12">
        <v>0</v>
      </c>
      <c r="AI350" s="12">
        <v>4</v>
      </c>
      <c r="AJ350" s="12" t="s">
        <v>57</v>
      </c>
      <c r="AK350" s="12">
        <v>1</v>
      </c>
      <c r="AL350" s="12">
        <v>0</v>
      </c>
      <c r="AM350" s="12">
        <v>15992</v>
      </c>
      <c r="AN350" s="12">
        <f t="shared" si="77"/>
        <v>15992</v>
      </c>
      <c r="AO350" s="12">
        <v>2</v>
      </c>
      <c r="AP350" s="12" t="s">
        <v>59</v>
      </c>
      <c r="AQ350" s="12">
        <v>0</v>
      </c>
      <c r="AR350" s="12">
        <v>14</v>
      </c>
      <c r="AS350" s="12">
        <v>3</v>
      </c>
      <c r="AT350" s="12">
        <v>2</v>
      </c>
      <c r="AU350" s="12">
        <v>0</v>
      </c>
      <c r="AV350" s="12">
        <v>16</v>
      </c>
      <c r="AW350" s="12">
        <f t="shared" si="78"/>
        <v>16</v>
      </c>
      <c r="AX350" s="12">
        <v>2</v>
      </c>
      <c r="AY350" s="12">
        <v>3</v>
      </c>
      <c r="AZ350" s="12">
        <v>1</v>
      </c>
      <c r="BA350" s="12">
        <f t="shared" si="79"/>
        <v>1</v>
      </c>
      <c r="BB350" s="12">
        <v>0</v>
      </c>
      <c r="BC350" s="12">
        <v>0</v>
      </c>
      <c r="BD350" s="12">
        <f t="shared" si="88"/>
        <v>0</v>
      </c>
      <c r="BE350" s="12">
        <v>0</v>
      </c>
      <c r="BF350" s="12">
        <f t="shared" si="80"/>
        <v>0</v>
      </c>
      <c r="BG350" s="12">
        <f t="shared" si="89"/>
        <v>0</v>
      </c>
      <c r="BH350" s="67">
        <v>1</v>
      </c>
      <c r="BI350" s="67">
        <v>0</v>
      </c>
      <c r="BJ350" s="67">
        <v>0</v>
      </c>
      <c r="BK350" s="67">
        <v>0</v>
      </c>
      <c r="BL350" s="67">
        <v>1</v>
      </c>
      <c r="BM350" s="67">
        <v>0</v>
      </c>
      <c r="BN350" s="67">
        <v>0</v>
      </c>
      <c r="BO350" s="67">
        <v>0</v>
      </c>
      <c r="BP350" s="67">
        <v>0</v>
      </c>
      <c r="BQ350" s="67">
        <v>0</v>
      </c>
      <c r="BR350" s="67">
        <v>0</v>
      </c>
      <c r="BS350" s="67">
        <v>0</v>
      </c>
      <c r="BT350" s="67">
        <v>16</v>
      </c>
      <c r="BU350" s="70">
        <v>0</v>
      </c>
      <c r="BV350" s="29">
        <f t="shared" si="81"/>
        <v>2.0155386178457793</v>
      </c>
      <c r="BW350">
        <f t="shared" si="82"/>
        <v>1.1555414682655611</v>
      </c>
      <c r="BX350">
        <f t="shared" si="83"/>
        <v>0.60667531362816052</v>
      </c>
      <c r="BY350">
        <f t="shared" si="84"/>
        <v>0.9806804209314296</v>
      </c>
      <c r="BZ350">
        <f t="shared" si="85"/>
        <v>1.7031841475541873</v>
      </c>
      <c r="CA350">
        <f t="shared" si="86"/>
        <v>0.55566315731117022</v>
      </c>
      <c r="CB350">
        <f t="shared" si="87"/>
        <v>0.67891464284095016</v>
      </c>
    </row>
    <row r="351" spans="1:80" x14ac:dyDescent="0.45">
      <c r="A351" s="11">
        <v>29</v>
      </c>
      <c r="B351" s="12">
        <f t="shared" si="75"/>
        <v>29</v>
      </c>
      <c r="C351" s="12" t="s">
        <v>59</v>
      </c>
      <c r="D351" s="12">
        <v>0</v>
      </c>
      <c r="E351" s="12" t="s">
        <v>86</v>
      </c>
      <c r="F351" s="12">
        <v>0</v>
      </c>
      <c r="G351" s="12">
        <v>0</v>
      </c>
      <c r="H351" s="12" t="s">
        <v>54</v>
      </c>
      <c r="I351" s="12">
        <v>0</v>
      </c>
      <c r="J351" s="12">
        <v>1</v>
      </c>
      <c r="K351" s="12">
        <v>2</v>
      </c>
      <c r="L351" s="12">
        <f t="shared" si="76"/>
        <v>2</v>
      </c>
      <c r="M351" s="12">
        <v>3</v>
      </c>
      <c r="N351" s="12" t="s">
        <v>55</v>
      </c>
      <c r="O351" s="12">
        <v>1</v>
      </c>
      <c r="P351" s="12">
        <v>0</v>
      </c>
      <c r="Q351" s="12">
        <v>0</v>
      </c>
      <c r="R351" s="12">
        <v>0</v>
      </c>
      <c r="S351" s="12">
        <v>0</v>
      </c>
      <c r="T351" s="12">
        <v>4</v>
      </c>
      <c r="U351" s="12" t="s">
        <v>62</v>
      </c>
      <c r="V351" s="12">
        <v>0</v>
      </c>
      <c r="W351" s="12">
        <v>61</v>
      </c>
      <c r="X351" s="12">
        <v>3</v>
      </c>
      <c r="Y351" s="12">
        <v>2</v>
      </c>
      <c r="Z351" s="12" t="s">
        <v>56</v>
      </c>
      <c r="AA351" s="12">
        <v>0</v>
      </c>
      <c r="AB351" s="12">
        <v>1</v>
      </c>
      <c r="AC351" s="12">
        <v>0</v>
      </c>
      <c r="AD351" s="12">
        <v>0</v>
      </c>
      <c r="AE351" s="12">
        <v>0</v>
      </c>
      <c r="AF351" s="12">
        <v>0</v>
      </c>
      <c r="AG351" s="12">
        <v>0</v>
      </c>
      <c r="AH351" s="12">
        <v>0</v>
      </c>
      <c r="AI351" s="12">
        <v>3</v>
      </c>
      <c r="AJ351" s="12" t="s">
        <v>64</v>
      </c>
      <c r="AK351" s="12">
        <v>0</v>
      </c>
      <c r="AL351" s="12">
        <v>1</v>
      </c>
      <c r="AM351" s="12">
        <v>4649</v>
      </c>
      <c r="AN351" s="12">
        <f t="shared" si="77"/>
        <v>4649</v>
      </c>
      <c r="AO351" s="12">
        <v>1</v>
      </c>
      <c r="AP351" s="12" t="s">
        <v>59</v>
      </c>
      <c r="AQ351" s="12">
        <v>0</v>
      </c>
      <c r="AR351" s="12">
        <v>14</v>
      </c>
      <c r="AS351" s="12">
        <v>3</v>
      </c>
      <c r="AT351" s="12">
        <v>1</v>
      </c>
      <c r="AU351" s="12">
        <v>1</v>
      </c>
      <c r="AV351" s="12">
        <v>4</v>
      </c>
      <c r="AW351" s="12">
        <f t="shared" si="78"/>
        <v>4</v>
      </c>
      <c r="AX351" s="12">
        <v>3</v>
      </c>
      <c r="AY351" s="12">
        <v>2</v>
      </c>
      <c r="AZ351" s="12">
        <v>4</v>
      </c>
      <c r="BA351" s="12">
        <f t="shared" si="79"/>
        <v>4</v>
      </c>
      <c r="BB351" s="12">
        <v>3</v>
      </c>
      <c r="BC351" s="12">
        <v>0</v>
      </c>
      <c r="BD351" s="12">
        <f t="shared" si="88"/>
        <v>0</v>
      </c>
      <c r="BE351" s="12">
        <v>2</v>
      </c>
      <c r="BF351" s="12">
        <f t="shared" si="80"/>
        <v>2</v>
      </c>
      <c r="BG351" s="12">
        <f t="shared" si="89"/>
        <v>4</v>
      </c>
      <c r="BH351" s="67">
        <v>0</v>
      </c>
      <c r="BI351" s="67">
        <v>1</v>
      </c>
      <c r="BJ351" s="67">
        <v>0</v>
      </c>
      <c r="BK351" s="67">
        <v>0</v>
      </c>
      <c r="BL351" s="67">
        <v>0</v>
      </c>
      <c r="BM351" s="67">
        <v>0</v>
      </c>
      <c r="BN351" s="67">
        <v>1</v>
      </c>
      <c r="BO351" s="67">
        <v>0</v>
      </c>
      <c r="BP351" s="67">
        <v>0</v>
      </c>
      <c r="BQ351" s="67">
        <v>0</v>
      </c>
      <c r="BR351" s="67">
        <v>2</v>
      </c>
      <c r="BS351" s="67">
        <v>0</v>
      </c>
      <c r="BT351" s="67">
        <v>0</v>
      </c>
      <c r="BU351" s="70">
        <v>4</v>
      </c>
      <c r="BV351" s="29">
        <f t="shared" si="81"/>
        <v>0.39378681197176535</v>
      </c>
      <c r="BW351">
        <f t="shared" si="82"/>
        <v>0.59502473559756086</v>
      </c>
      <c r="BX351">
        <f t="shared" si="83"/>
        <v>0.93558618405172878</v>
      </c>
      <c r="BY351">
        <f t="shared" si="84"/>
        <v>0.49100643357776058</v>
      </c>
      <c r="BZ351">
        <f t="shared" si="85"/>
        <v>0.88721318382472392</v>
      </c>
      <c r="CA351">
        <f t="shared" si="86"/>
        <v>0.86737663580280233</v>
      </c>
      <c r="CB351">
        <f t="shared" si="87"/>
        <v>0.67891464284095016</v>
      </c>
    </row>
    <row r="352" spans="1:80" x14ac:dyDescent="0.45">
      <c r="A352" s="11">
        <v>42</v>
      </c>
      <c r="B352" s="12">
        <f t="shared" si="75"/>
        <v>42</v>
      </c>
      <c r="C352" s="12" t="s">
        <v>59</v>
      </c>
      <c r="D352" s="12">
        <v>0</v>
      </c>
      <c r="E352" s="12" t="s">
        <v>53</v>
      </c>
      <c r="F352" s="12">
        <v>0</v>
      </c>
      <c r="G352" s="12">
        <v>1</v>
      </c>
      <c r="H352" s="12" t="s">
        <v>97</v>
      </c>
      <c r="I352" s="12">
        <v>0</v>
      </c>
      <c r="J352" s="12">
        <v>0</v>
      </c>
      <c r="K352" s="12">
        <v>2</v>
      </c>
      <c r="L352" s="12">
        <f t="shared" si="76"/>
        <v>2</v>
      </c>
      <c r="M352" s="12">
        <v>1</v>
      </c>
      <c r="N352" s="12" t="s">
        <v>91</v>
      </c>
      <c r="O352" s="12">
        <v>0</v>
      </c>
      <c r="P352" s="12">
        <v>0</v>
      </c>
      <c r="Q352" s="12">
        <v>0</v>
      </c>
      <c r="R352" s="12">
        <v>0</v>
      </c>
      <c r="S352" s="12">
        <v>1</v>
      </c>
      <c r="T352" s="12">
        <v>3</v>
      </c>
      <c r="U352" s="12" t="s">
        <v>62</v>
      </c>
      <c r="V352" s="12">
        <v>0</v>
      </c>
      <c r="W352" s="12">
        <v>52</v>
      </c>
      <c r="X352" s="12">
        <v>3</v>
      </c>
      <c r="Y352" s="12">
        <v>1</v>
      </c>
      <c r="Z352" s="12" t="s">
        <v>97</v>
      </c>
      <c r="AA352" s="12">
        <v>0</v>
      </c>
      <c r="AB352" s="12">
        <v>0</v>
      </c>
      <c r="AC352" s="12">
        <v>0</v>
      </c>
      <c r="AD352" s="12">
        <v>0</v>
      </c>
      <c r="AE352" s="12">
        <v>0</v>
      </c>
      <c r="AF352" s="12">
        <v>0</v>
      </c>
      <c r="AG352" s="12">
        <v>0</v>
      </c>
      <c r="AH352" s="12">
        <v>0</v>
      </c>
      <c r="AI352" s="12">
        <v>3</v>
      </c>
      <c r="AJ352" s="12" t="s">
        <v>78</v>
      </c>
      <c r="AK352" s="12">
        <v>0</v>
      </c>
      <c r="AL352" s="12">
        <v>0</v>
      </c>
      <c r="AM352" s="12">
        <v>2696</v>
      </c>
      <c r="AN352" s="12">
        <f t="shared" si="77"/>
        <v>2696</v>
      </c>
      <c r="AO352" s="12">
        <v>0</v>
      </c>
      <c r="AP352" s="12" t="s">
        <v>52</v>
      </c>
      <c r="AQ352" s="12">
        <v>1</v>
      </c>
      <c r="AR352" s="12">
        <v>11</v>
      </c>
      <c r="AS352" s="12">
        <v>3</v>
      </c>
      <c r="AT352" s="12">
        <v>3</v>
      </c>
      <c r="AU352" s="12">
        <v>1</v>
      </c>
      <c r="AV352" s="12">
        <v>4</v>
      </c>
      <c r="AW352" s="12">
        <f t="shared" si="78"/>
        <v>4</v>
      </c>
      <c r="AX352" s="12">
        <v>5</v>
      </c>
      <c r="AY352" s="12">
        <v>3</v>
      </c>
      <c r="AZ352" s="12">
        <v>3</v>
      </c>
      <c r="BA352" s="12">
        <f t="shared" si="79"/>
        <v>3</v>
      </c>
      <c r="BB352" s="12">
        <v>2</v>
      </c>
      <c r="BC352" s="12">
        <v>1</v>
      </c>
      <c r="BD352" s="12">
        <f t="shared" si="88"/>
        <v>1</v>
      </c>
      <c r="BE352" s="12">
        <v>0</v>
      </c>
      <c r="BF352" s="12">
        <f t="shared" si="80"/>
        <v>0</v>
      </c>
      <c r="BG352" s="12">
        <f t="shared" si="89"/>
        <v>0</v>
      </c>
      <c r="BH352" s="67">
        <v>1</v>
      </c>
      <c r="BI352" s="67">
        <v>0</v>
      </c>
      <c r="BJ352" s="67">
        <v>0</v>
      </c>
      <c r="BK352" s="67">
        <v>0</v>
      </c>
      <c r="BL352" s="67">
        <v>0</v>
      </c>
      <c r="BM352" s="67">
        <v>1</v>
      </c>
      <c r="BN352" s="67">
        <v>0</v>
      </c>
      <c r="BO352" s="67">
        <v>0</v>
      </c>
      <c r="BP352" s="67">
        <v>0</v>
      </c>
      <c r="BQ352" s="67">
        <v>0</v>
      </c>
      <c r="BR352" s="67">
        <v>0</v>
      </c>
      <c r="BS352" s="67">
        <v>4</v>
      </c>
      <c r="BT352" s="67">
        <v>0</v>
      </c>
      <c r="BU352" s="70">
        <v>0</v>
      </c>
      <c r="BV352" s="29">
        <f t="shared" si="81"/>
        <v>0.80861644826142987</v>
      </c>
      <c r="BW352">
        <f t="shared" si="82"/>
        <v>1.1555414682655611</v>
      </c>
      <c r="BX352">
        <f t="shared" si="83"/>
        <v>0.93558618405172878</v>
      </c>
      <c r="BY352">
        <f t="shared" si="84"/>
        <v>0.65423109602898355</v>
      </c>
      <c r="BZ352">
        <f t="shared" si="85"/>
        <v>0.88721318382472392</v>
      </c>
      <c r="CA352">
        <f t="shared" si="86"/>
        <v>0.55566315731117022</v>
      </c>
      <c r="CB352">
        <f t="shared" si="87"/>
        <v>0.36858985273641137</v>
      </c>
    </row>
    <row r="353" spans="1:80" x14ac:dyDescent="0.45">
      <c r="A353" s="11">
        <v>32</v>
      </c>
      <c r="B353" s="12">
        <f t="shared" si="75"/>
        <v>32</v>
      </c>
      <c r="C353" s="12" t="s">
        <v>59</v>
      </c>
      <c r="D353" s="12">
        <v>0</v>
      </c>
      <c r="E353" s="12" t="s">
        <v>53</v>
      </c>
      <c r="F353" s="12">
        <v>0</v>
      </c>
      <c r="G353" s="12">
        <v>1</v>
      </c>
      <c r="H353" s="12" t="s">
        <v>61</v>
      </c>
      <c r="I353" s="12">
        <v>1</v>
      </c>
      <c r="J353" s="12">
        <v>0</v>
      </c>
      <c r="K353" s="12">
        <v>2</v>
      </c>
      <c r="L353" s="12">
        <f t="shared" si="76"/>
        <v>2</v>
      </c>
      <c r="M353" s="12">
        <v>3</v>
      </c>
      <c r="N353" s="12" t="s">
        <v>70</v>
      </c>
      <c r="O353" s="12">
        <v>0</v>
      </c>
      <c r="P353" s="12">
        <v>0</v>
      </c>
      <c r="Q353" s="12">
        <v>1</v>
      </c>
      <c r="R353" s="12">
        <v>0</v>
      </c>
      <c r="S353" s="12">
        <v>0</v>
      </c>
      <c r="T353" s="12">
        <v>3</v>
      </c>
      <c r="U353" s="12" t="s">
        <v>19</v>
      </c>
      <c r="V353" s="12">
        <v>1</v>
      </c>
      <c r="W353" s="12">
        <v>75</v>
      </c>
      <c r="X353" s="12">
        <v>3</v>
      </c>
      <c r="Y353" s="12">
        <v>1</v>
      </c>
      <c r="Z353" s="12" t="s">
        <v>67</v>
      </c>
      <c r="AA353" s="12">
        <v>0</v>
      </c>
      <c r="AB353" s="12">
        <v>0</v>
      </c>
      <c r="AC353" s="12">
        <v>1</v>
      </c>
      <c r="AD353" s="12">
        <v>0</v>
      </c>
      <c r="AE353" s="12">
        <v>0</v>
      </c>
      <c r="AF353" s="12">
        <v>0</v>
      </c>
      <c r="AG353" s="12">
        <v>0</v>
      </c>
      <c r="AH353" s="12">
        <v>0</v>
      </c>
      <c r="AI353" s="12">
        <v>2</v>
      </c>
      <c r="AJ353" s="12" t="s">
        <v>64</v>
      </c>
      <c r="AK353" s="12">
        <v>0</v>
      </c>
      <c r="AL353" s="12">
        <v>1</v>
      </c>
      <c r="AM353" s="12">
        <v>2370</v>
      </c>
      <c r="AN353" s="12">
        <f t="shared" si="77"/>
        <v>2370</v>
      </c>
      <c r="AO353" s="12">
        <v>1</v>
      </c>
      <c r="AP353" s="12" t="s">
        <v>59</v>
      </c>
      <c r="AQ353" s="12">
        <v>0</v>
      </c>
      <c r="AR353" s="12">
        <v>13</v>
      </c>
      <c r="AS353" s="12">
        <v>3</v>
      </c>
      <c r="AT353" s="12">
        <v>3</v>
      </c>
      <c r="AU353" s="12">
        <v>1</v>
      </c>
      <c r="AV353" s="12">
        <v>8</v>
      </c>
      <c r="AW353" s="12">
        <f t="shared" si="78"/>
        <v>8</v>
      </c>
      <c r="AX353" s="12">
        <v>4</v>
      </c>
      <c r="AY353" s="12">
        <v>3</v>
      </c>
      <c r="AZ353" s="12">
        <v>8</v>
      </c>
      <c r="BA353" s="12">
        <f t="shared" si="79"/>
        <v>8</v>
      </c>
      <c r="BB353" s="12">
        <v>0</v>
      </c>
      <c r="BC353" s="12">
        <v>0</v>
      </c>
      <c r="BD353" s="12">
        <f t="shared" si="88"/>
        <v>0</v>
      </c>
      <c r="BE353" s="12">
        <v>7</v>
      </c>
      <c r="BF353" s="12">
        <f t="shared" si="80"/>
        <v>7</v>
      </c>
      <c r="BG353" s="12">
        <f t="shared" si="89"/>
        <v>7</v>
      </c>
      <c r="BH353" s="67">
        <v>0</v>
      </c>
      <c r="BI353" s="67">
        <v>1</v>
      </c>
      <c r="BJ353" s="67">
        <v>0</v>
      </c>
      <c r="BK353" s="67">
        <v>0</v>
      </c>
      <c r="BL353" s="67">
        <v>0</v>
      </c>
      <c r="BM353" s="67">
        <v>0</v>
      </c>
      <c r="BN353" s="67">
        <v>1</v>
      </c>
      <c r="BO353" s="67">
        <v>0</v>
      </c>
      <c r="BP353" s="67">
        <v>0</v>
      </c>
      <c r="BQ353" s="67">
        <v>7</v>
      </c>
      <c r="BR353" s="67">
        <v>0</v>
      </c>
      <c r="BS353" s="67">
        <v>0</v>
      </c>
      <c r="BT353" s="67">
        <v>8</v>
      </c>
      <c r="BU353" s="70">
        <v>0</v>
      </c>
      <c r="BV353" s="29">
        <f t="shared" si="81"/>
        <v>0.87786092416026795</v>
      </c>
      <c r="BW353">
        <f t="shared" si="82"/>
        <v>0.80626709607243985</v>
      </c>
      <c r="BX353">
        <f t="shared" si="83"/>
        <v>0.42149901815843233</v>
      </c>
      <c r="BY353">
        <f t="shared" si="84"/>
        <v>0.16189221622713135</v>
      </c>
      <c r="BZ353">
        <f t="shared" si="85"/>
        <v>0.88721318382472392</v>
      </c>
      <c r="CA353">
        <f t="shared" si="86"/>
        <v>0.53898283739188557</v>
      </c>
      <c r="CB353">
        <f t="shared" si="87"/>
        <v>0.67891464284095016</v>
      </c>
    </row>
    <row r="354" spans="1:80" x14ac:dyDescent="0.45">
      <c r="A354" s="11">
        <v>48</v>
      </c>
      <c r="B354" s="12">
        <f t="shared" si="75"/>
        <v>48</v>
      </c>
      <c r="C354" s="12" t="s">
        <v>59</v>
      </c>
      <c r="D354" s="12">
        <v>0</v>
      </c>
      <c r="E354" s="12" t="s">
        <v>53</v>
      </c>
      <c r="F354" s="12">
        <v>0</v>
      </c>
      <c r="G354" s="12">
        <v>1</v>
      </c>
      <c r="H354" s="12" t="s">
        <v>54</v>
      </c>
      <c r="I354" s="12">
        <v>0</v>
      </c>
      <c r="J354" s="12">
        <v>1</v>
      </c>
      <c r="K354" s="12">
        <v>29</v>
      </c>
      <c r="L354" s="12">
        <f t="shared" si="76"/>
        <v>29</v>
      </c>
      <c r="M354" s="12">
        <v>1</v>
      </c>
      <c r="N354" s="12" t="s">
        <v>70</v>
      </c>
      <c r="O354" s="12">
        <v>0</v>
      </c>
      <c r="P354" s="12">
        <v>0</v>
      </c>
      <c r="Q354" s="12">
        <v>1</v>
      </c>
      <c r="R354" s="12">
        <v>0</v>
      </c>
      <c r="S354" s="12">
        <v>0</v>
      </c>
      <c r="T354" s="12">
        <v>1</v>
      </c>
      <c r="U354" s="12" t="s">
        <v>19</v>
      </c>
      <c r="V354" s="12">
        <v>1</v>
      </c>
      <c r="W354" s="12">
        <v>91</v>
      </c>
      <c r="X354" s="12">
        <v>3</v>
      </c>
      <c r="Y354" s="12">
        <v>3</v>
      </c>
      <c r="Z354" s="12" t="s">
        <v>87</v>
      </c>
      <c r="AA354" s="12">
        <v>0</v>
      </c>
      <c r="AB354" s="12">
        <v>0</v>
      </c>
      <c r="AC354" s="12">
        <v>0</v>
      </c>
      <c r="AD354" s="12">
        <v>1</v>
      </c>
      <c r="AE354" s="12">
        <v>0</v>
      </c>
      <c r="AF354" s="12">
        <v>0</v>
      </c>
      <c r="AG354" s="12">
        <v>0</v>
      </c>
      <c r="AH354" s="12">
        <v>0</v>
      </c>
      <c r="AI354" s="12">
        <v>3</v>
      </c>
      <c r="AJ354" s="12" t="s">
        <v>64</v>
      </c>
      <c r="AK354" s="12">
        <v>0</v>
      </c>
      <c r="AL354" s="12">
        <v>1</v>
      </c>
      <c r="AM354" s="12">
        <v>12504</v>
      </c>
      <c r="AN354" s="12">
        <f t="shared" si="77"/>
        <v>12504</v>
      </c>
      <c r="AO354" s="12">
        <v>3</v>
      </c>
      <c r="AP354" s="12" t="s">
        <v>59</v>
      </c>
      <c r="AQ354" s="12">
        <v>0</v>
      </c>
      <c r="AR354" s="12">
        <v>21</v>
      </c>
      <c r="AS354" s="12">
        <v>4</v>
      </c>
      <c r="AT354" s="12">
        <v>2</v>
      </c>
      <c r="AU354" s="12">
        <v>1</v>
      </c>
      <c r="AV354" s="12">
        <v>15</v>
      </c>
      <c r="AW354" s="12">
        <f t="shared" si="78"/>
        <v>15</v>
      </c>
      <c r="AX354" s="12">
        <v>3</v>
      </c>
      <c r="AY354" s="12">
        <v>1</v>
      </c>
      <c r="AZ354" s="12">
        <v>0</v>
      </c>
      <c r="BA354" s="12">
        <f t="shared" si="79"/>
        <v>0</v>
      </c>
      <c r="BB354" s="12">
        <v>0</v>
      </c>
      <c r="BC354" s="12">
        <v>0</v>
      </c>
      <c r="BD354" s="12">
        <f t="shared" si="88"/>
        <v>0</v>
      </c>
      <c r="BE354" s="12">
        <v>0</v>
      </c>
      <c r="BF354" s="12">
        <f t="shared" si="80"/>
        <v>0</v>
      </c>
      <c r="BG354" s="12">
        <f t="shared" si="89"/>
        <v>0</v>
      </c>
      <c r="BH354" s="67">
        <v>0</v>
      </c>
      <c r="BI354" s="67">
        <v>1</v>
      </c>
      <c r="BJ354" s="67">
        <v>0</v>
      </c>
      <c r="BK354" s="67">
        <v>0</v>
      </c>
      <c r="BL354" s="67">
        <v>0</v>
      </c>
      <c r="BM354" s="67">
        <v>0</v>
      </c>
      <c r="BN354" s="67">
        <v>1</v>
      </c>
      <c r="BO354" s="67">
        <v>0</v>
      </c>
      <c r="BP354" s="67">
        <v>0</v>
      </c>
      <c r="BQ354" s="67">
        <v>0</v>
      </c>
      <c r="BR354" s="67">
        <v>0</v>
      </c>
      <c r="BS354" s="67">
        <v>0</v>
      </c>
      <c r="BT354" s="67">
        <v>0</v>
      </c>
      <c r="BU354" s="70">
        <v>15</v>
      </c>
      <c r="BV354" s="29">
        <f t="shared" si="81"/>
        <v>1.2746652070017703</v>
      </c>
      <c r="BW354">
        <f t="shared" si="82"/>
        <v>1.1555414682655611</v>
      </c>
      <c r="BX354">
        <f t="shared" si="83"/>
        <v>0.47815352215483642</v>
      </c>
      <c r="BY354">
        <f t="shared" si="84"/>
        <v>1.1439050833826525</v>
      </c>
      <c r="BZ354">
        <f t="shared" si="85"/>
        <v>2.4432976708053049</v>
      </c>
      <c r="CA354">
        <f t="shared" si="86"/>
        <v>1.2124507541330036</v>
      </c>
      <c r="CB354">
        <f t="shared" si="87"/>
        <v>0.67891464284095016</v>
      </c>
    </row>
    <row r="355" spans="1:80" x14ac:dyDescent="0.45">
      <c r="A355" s="11">
        <v>37</v>
      </c>
      <c r="B355" s="12">
        <f t="shared" si="75"/>
        <v>37</v>
      </c>
      <c r="C355" s="12" t="s">
        <v>59</v>
      </c>
      <c r="D355" s="12">
        <v>0</v>
      </c>
      <c r="E355" s="12" t="s">
        <v>53</v>
      </c>
      <c r="F355" s="12">
        <v>0</v>
      </c>
      <c r="G355" s="12">
        <v>1</v>
      </c>
      <c r="H355" s="12" t="s">
        <v>61</v>
      </c>
      <c r="I355" s="12">
        <v>1</v>
      </c>
      <c r="J355" s="12">
        <v>0</v>
      </c>
      <c r="K355" s="12">
        <v>6</v>
      </c>
      <c r="L355" s="12">
        <f t="shared" si="76"/>
        <v>6</v>
      </c>
      <c r="M355" s="12">
        <v>3</v>
      </c>
      <c r="N355" s="12" t="s">
        <v>70</v>
      </c>
      <c r="O355" s="12">
        <v>0</v>
      </c>
      <c r="P355" s="12">
        <v>0</v>
      </c>
      <c r="Q355" s="12">
        <v>1</v>
      </c>
      <c r="R355" s="12">
        <v>0</v>
      </c>
      <c r="S355" s="12">
        <v>0</v>
      </c>
      <c r="T355" s="12">
        <v>3</v>
      </c>
      <c r="U355" s="12" t="s">
        <v>62</v>
      </c>
      <c r="V355" s="12">
        <v>0</v>
      </c>
      <c r="W355" s="12">
        <v>51</v>
      </c>
      <c r="X355" s="12">
        <v>4</v>
      </c>
      <c r="Y355" s="12">
        <v>2</v>
      </c>
      <c r="Z355" s="12" t="s">
        <v>63</v>
      </c>
      <c r="AA355" s="12">
        <v>0</v>
      </c>
      <c r="AB355" s="12">
        <v>0</v>
      </c>
      <c r="AC355" s="12">
        <v>0</v>
      </c>
      <c r="AD355" s="12">
        <v>0</v>
      </c>
      <c r="AE355" s="12">
        <v>0</v>
      </c>
      <c r="AF355" s="12">
        <v>0</v>
      </c>
      <c r="AG355" s="12">
        <v>0</v>
      </c>
      <c r="AH355" s="12">
        <v>1</v>
      </c>
      <c r="AI355" s="12">
        <v>1</v>
      </c>
      <c r="AJ355" s="12" t="s">
        <v>78</v>
      </c>
      <c r="AK355" s="12">
        <v>0</v>
      </c>
      <c r="AL355" s="12">
        <v>0</v>
      </c>
      <c r="AM355" s="12">
        <v>5974</v>
      </c>
      <c r="AN355" s="12">
        <f t="shared" si="77"/>
        <v>5974</v>
      </c>
      <c r="AO355" s="12">
        <v>4</v>
      </c>
      <c r="AP355" s="12" t="s">
        <v>52</v>
      </c>
      <c r="AQ355" s="12">
        <v>1</v>
      </c>
      <c r="AR355" s="12">
        <v>13</v>
      </c>
      <c r="AS355" s="12">
        <v>3</v>
      </c>
      <c r="AT355" s="12">
        <v>1</v>
      </c>
      <c r="AU355" s="12">
        <v>2</v>
      </c>
      <c r="AV355" s="12">
        <v>13</v>
      </c>
      <c r="AW355" s="12">
        <f t="shared" si="78"/>
        <v>13</v>
      </c>
      <c r="AX355" s="12">
        <v>2</v>
      </c>
      <c r="AY355" s="12">
        <v>3</v>
      </c>
      <c r="AZ355" s="12">
        <v>7</v>
      </c>
      <c r="BA355" s="12">
        <f t="shared" si="79"/>
        <v>7</v>
      </c>
      <c r="BB355" s="12">
        <v>7</v>
      </c>
      <c r="BC355" s="12">
        <v>6</v>
      </c>
      <c r="BD355" s="12">
        <f t="shared" si="88"/>
        <v>6</v>
      </c>
      <c r="BE355" s="12">
        <v>7</v>
      </c>
      <c r="BF355" s="12">
        <f t="shared" si="80"/>
        <v>7</v>
      </c>
      <c r="BG355" s="12">
        <f t="shared" si="89"/>
        <v>14</v>
      </c>
      <c r="BH355" s="67">
        <v>1</v>
      </c>
      <c r="BI355" s="67">
        <v>0</v>
      </c>
      <c r="BJ355" s="67">
        <v>0</v>
      </c>
      <c r="BK355" s="67">
        <v>0</v>
      </c>
      <c r="BL355" s="67">
        <v>0</v>
      </c>
      <c r="BM355" s="67">
        <v>1</v>
      </c>
      <c r="BN355" s="67">
        <v>0</v>
      </c>
      <c r="BO355" s="67">
        <v>0</v>
      </c>
      <c r="BP355" s="67">
        <v>0</v>
      </c>
      <c r="BQ355" s="67">
        <v>7</v>
      </c>
      <c r="BR355" s="67">
        <v>0</v>
      </c>
      <c r="BS355" s="67">
        <v>0</v>
      </c>
      <c r="BT355" s="67">
        <v>13</v>
      </c>
      <c r="BU355" s="70">
        <v>0</v>
      </c>
      <c r="BV355" s="29">
        <f t="shared" si="81"/>
        <v>0.11234837465286851</v>
      </c>
      <c r="BW355">
        <f t="shared" si="82"/>
        <v>0.80626709607243985</v>
      </c>
      <c r="BX355">
        <f t="shared" si="83"/>
        <v>0.22110993920818819</v>
      </c>
      <c r="BY355">
        <f t="shared" si="84"/>
        <v>1.3324462240916321E-3</v>
      </c>
      <c r="BZ355">
        <f t="shared" si="85"/>
        <v>0.39380416832397891</v>
      </c>
      <c r="CA355">
        <f t="shared" si="86"/>
        <v>8.3401599596422994E-3</v>
      </c>
      <c r="CB355">
        <f t="shared" si="87"/>
        <v>1.1830340977862825</v>
      </c>
    </row>
    <row r="356" spans="1:80" x14ac:dyDescent="0.45">
      <c r="A356" s="11">
        <v>30</v>
      </c>
      <c r="B356" s="12">
        <f t="shared" si="75"/>
        <v>30</v>
      </c>
      <c r="C356" s="12" t="s">
        <v>59</v>
      </c>
      <c r="D356" s="12">
        <v>0</v>
      </c>
      <c r="E356" s="12" t="s">
        <v>86</v>
      </c>
      <c r="F356" s="12">
        <v>0</v>
      </c>
      <c r="G356" s="12">
        <v>0</v>
      </c>
      <c r="H356" s="12" t="s">
        <v>54</v>
      </c>
      <c r="I356" s="12">
        <v>0</v>
      </c>
      <c r="J356" s="12">
        <v>1</v>
      </c>
      <c r="K356" s="12">
        <v>25</v>
      </c>
      <c r="L356" s="12">
        <f t="shared" si="76"/>
        <v>25</v>
      </c>
      <c r="M356" s="12">
        <v>2</v>
      </c>
      <c r="N356" s="12" t="s">
        <v>91</v>
      </c>
      <c r="O356" s="12">
        <v>0</v>
      </c>
      <c r="P356" s="12">
        <v>0</v>
      </c>
      <c r="Q356" s="12">
        <v>0</v>
      </c>
      <c r="R356" s="12">
        <v>0</v>
      </c>
      <c r="S356" s="12">
        <v>1</v>
      </c>
      <c r="T356" s="12">
        <v>4</v>
      </c>
      <c r="U356" s="12" t="s">
        <v>19</v>
      </c>
      <c r="V356" s="12">
        <v>1</v>
      </c>
      <c r="W356" s="12">
        <v>85</v>
      </c>
      <c r="X356" s="12">
        <v>3</v>
      </c>
      <c r="Y356" s="12">
        <v>2</v>
      </c>
      <c r="Z356" s="12" t="s">
        <v>56</v>
      </c>
      <c r="AA356" s="12">
        <v>0</v>
      </c>
      <c r="AB356" s="12">
        <v>1</v>
      </c>
      <c r="AC356" s="12">
        <v>0</v>
      </c>
      <c r="AD356" s="12">
        <v>0</v>
      </c>
      <c r="AE356" s="12">
        <v>0</v>
      </c>
      <c r="AF356" s="12">
        <v>0</v>
      </c>
      <c r="AG356" s="12">
        <v>0</v>
      </c>
      <c r="AH356" s="12">
        <v>0</v>
      </c>
      <c r="AI356" s="12">
        <v>3</v>
      </c>
      <c r="AJ356" s="12" t="s">
        <v>64</v>
      </c>
      <c r="AK356" s="12">
        <v>0</v>
      </c>
      <c r="AL356" s="12">
        <v>1</v>
      </c>
      <c r="AM356" s="12">
        <v>4736</v>
      </c>
      <c r="AN356" s="12">
        <f t="shared" si="77"/>
        <v>4736</v>
      </c>
      <c r="AO356" s="12">
        <v>7</v>
      </c>
      <c r="AP356" s="12" t="s">
        <v>52</v>
      </c>
      <c r="AQ356" s="12">
        <v>1</v>
      </c>
      <c r="AR356" s="12">
        <v>12</v>
      </c>
      <c r="AS356" s="12">
        <v>3</v>
      </c>
      <c r="AT356" s="12">
        <v>2</v>
      </c>
      <c r="AU356" s="12">
        <v>1</v>
      </c>
      <c r="AV356" s="12">
        <v>4</v>
      </c>
      <c r="AW356" s="12">
        <f t="shared" si="78"/>
        <v>4</v>
      </c>
      <c r="AX356" s="12">
        <v>2</v>
      </c>
      <c r="AY356" s="12">
        <v>4</v>
      </c>
      <c r="AZ356" s="12">
        <v>2</v>
      </c>
      <c r="BA356" s="12">
        <f t="shared" si="79"/>
        <v>2</v>
      </c>
      <c r="BB356" s="12">
        <v>2</v>
      </c>
      <c r="BC356" s="12">
        <v>2</v>
      </c>
      <c r="BD356" s="12">
        <f t="shared" si="88"/>
        <v>2</v>
      </c>
      <c r="BE356" s="12">
        <v>2</v>
      </c>
      <c r="BF356" s="12">
        <f t="shared" si="80"/>
        <v>2</v>
      </c>
      <c r="BG356" s="12">
        <f t="shared" si="89"/>
        <v>4</v>
      </c>
      <c r="BH356" s="67">
        <v>0</v>
      </c>
      <c r="BI356" s="67">
        <v>1</v>
      </c>
      <c r="BJ356" s="67">
        <v>0</v>
      </c>
      <c r="BK356" s="67">
        <v>0</v>
      </c>
      <c r="BL356" s="67">
        <v>0</v>
      </c>
      <c r="BM356" s="67">
        <v>0</v>
      </c>
      <c r="BN356" s="67">
        <v>0</v>
      </c>
      <c r="BO356" s="67">
        <v>1</v>
      </c>
      <c r="BP356" s="67">
        <v>0</v>
      </c>
      <c r="BQ356" s="67">
        <v>0</v>
      </c>
      <c r="BR356" s="67">
        <v>2</v>
      </c>
      <c r="BS356" s="67">
        <v>0</v>
      </c>
      <c r="BT356" s="67">
        <v>0</v>
      </c>
      <c r="BU356" s="70">
        <v>4</v>
      </c>
      <c r="BV356" s="29">
        <f t="shared" si="81"/>
        <v>0.37530745797422266</v>
      </c>
      <c r="BW356">
        <f t="shared" si="82"/>
        <v>0.59502473559756086</v>
      </c>
      <c r="BX356">
        <f t="shared" si="83"/>
        <v>0.93558618405172878</v>
      </c>
      <c r="BY356">
        <f t="shared" si="84"/>
        <v>0.81745575848020657</v>
      </c>
      <c r="BZ356">
        <f t="shared" si="85"/>
        <v>1.9498886553045598</v>
      </c>
      <c r="CA356">
        <f t="shared" si="86"/>
        <v>0.75791203633249671</v>
      </c>
      <c r="CB356">
        <f t="shared" si="87"/>
        <v>5.8265062631872602E-2</v>
      </c>
    </row>
    <row r="357" spans="1:80" x14ac:dyDescent="0.45">
      <c r="A357" s="11">
        <v>26</v>
      </c>
      <c r="B357" s="12">
        <f t="shared" si="75"/>
        <v>26</v>
      </c>
      <c r="C357" s="12" t="s">
        <v>59</v>
      </c>
      <c r="D357" s="12">
        <v>0</v>
      </c>
      <c r="E357" s="12" t="s">
        <v>53</v>
      </c>
      <c r="F357" s="12">
        <v>0</v>
      </c>
      <c r="G357" s="12">
        <v>1</v>
      </c>
      <c r="H357" s="12" t="s">
        <v>54</v>
      </c>
      <c r="I357" s="12">
        <v>0</v>
      </c>
      <c r="J357" s="12">
        <v>1</v>
      </c>
      <c r="K357" s="12">
        <v>1</v>
      </c>
      <c r="L357" s="12">
        <f t="shared" si="76"/>
        <v>1</v>
      </c>
      <c r="M357" s="12">
        <v>3</v>
      </c>
      <c r="N357" s="12" t="s">
        <v>55</v>
      </c>
      <c r="O357" s="12">
        <v>1</v>
      </c>
      <c r="P357" s="12">
        <v>0</v>
      </c>
      <c r="Q357" s="12">
        <v>0</v>
      </c>
      <c r="R357" s="12">
        <v>0</v>
      </c>
      <c r="S357" s="12">
        <v>0</v>
      </c>
      <c r="T357" s="12">
        <v>3</v>
      </c>
      <c r="U357" s="12" t="s">
        <v>62</v>
      </c>
      <c r="V357" s="12">
        <v>0</v>
      </c>
      <c r="W357" s="12">
        <v>57</v>
      </c>
      <c r="X357" s="12">
        <v>3</v>
      </c>
      <c r="Y357" s="12">
        <v>2</v>
      </c>
      <c r="Z357" s="12" t="s">
        <v>56</v>
      </c>
      <c r="AA357" s="12">
        <v>0</v>
      </c>
      <c r="AB357" s="12">
        <v>1</v>
      </c>
      <c r="AC357" s="12">
        <v>0</v>
      </c>
      <c r="AD357" s="12">
        <v>0</v>
      </c>
      <c r="AE357" s="12">
        <v>0</v>
      </c>
      <c r="AF357" s="12">
        <v>0</v>
      </c>
      <c r="AG357" s="12">
        <v>0</v>
      </c>
      <c r="AH357" s="12">
        <v>0</v>
      </c>
      <c r="AI357" s="12">
        <v>3</v>
      </c>
      <c r="AJ357" s="12" t="s">
        <v>64</v>
      </c>
      <c r="AK357" s="12">
        <v>0</v>
      </c>
      <c r="AL357" s="12">
        <v>1</v>
      </c>
      <c r="AM357" s="12">
        <v>5296</v>
      </c>
      <c r="AN357" s="12">
        <f t="shared" si="77"/>
        <v>5296</v>
      </c>
      <c r="AO357" s="12">
        <v>1</v>
      </c>
      <c r="AP357" s="12" t="s">
        <v>59</v>
      </c>
      <c r="AQ357" s="12">
        <v>0</v>
      </c>
      <c r="AR357" s="12">
        <v>17</v>
      </c>
      <c r="AS357" s="12">
        <v>3</v>
      </c>
      <c r="AT357" s="12">
        <v>2</v>
      </c>
      <c r="AU357" s="12">
        <v>1</v>
      </c>
      <c r="AV357" s="12">
        <v>8</v>
      </c>
      <c r="AW357" s="12">
        <f t="shared" si="78"/>
        <v>8</v>
      </c>
      <c r="AX357" s="12">
        <v>3</v>
      </c>
      <c r="AY357" s="12">
        <v>3</v>
      </c>
      <c r="AZ357" s="12">
        <v>8</v>
      </c>
      <c r="BA357" s="12">
        <f t="shared" si="79"/>
        <v>8</v>
      </c>
      <c r="BB357" s="12">
        <v>7</v>
      </c>
      <c r="BC357" s="12">
        <v>7</v>
      </c>
      <c r="BD357" s="12">
        <f t="shared" si="88"/>
        <v>7</v>
      </c>
      <c r="BE357" s="12">
        <v>7</v>
      </c>
      <c r="BF357" s="12">
        <f t="shared" si="80"/>
        <v>7</v>
      </c>
      <c r="BG357" s="12">
        <f t="shared" si="89"/>
        <v>14</v>
      </c>
      <c r="BH357" s="67">
        <v>0</v>
      </c>
      <c r="BI357" s="67">
        <v>1</v>
      </c>
      <c r="BJ357" s="67">
        <v>0</v>
      </c>
      <c r="BK357" s="67">
        <v>0</v>
      </c>
      <c r="BL357" s="67">
        <v>0</v>
      </c>
      <c r="BM357" s="67">
        <v>0</v>
      </c>
      <c r="BN357" s="67">
        <v>1</v>
      </c>
      <c r="BO357" s="67">
        <v>0</v>
      </c>
      <c r="BP357" s="67">
        <v>0</v>
      </c>
      <c r="BQ357" s="67">
        <v>0</v>
      </c>
      <c r="BR357" s="67">
        <v>7</v>
      </c>
      <c r="BS357" s="67">
        <v>0</v>
      </c>
      <c r="BT357" s="67">
        <v>0</v>
      </c>
      <c r="BU357" s="70">
        <v>8</v>
      </c>
      <c r="BV357" s="29">
        <f t="shared" si="81"/>
        <v>0.25635989201302856</v>
      </c>
      <c r="BW357">
        <f t="shared" si="82"/>
        <v>0.80626709607243985</v>
      </c>
      <c r="BX357">
        <f t="shared" si="83"/>
        <v>0.42149901815843233</v>
      </c>
      <c r="BY357">
        <f t="shared" si="84"/>
        <v>0.16189221622713135</v>
      </c>
      <c r="BZ357">
        <f t="shared" si="85"/>
        <v>1.01056543769991</v>
      </c>
      <c r="CA357">
        <f t="shared" si="86"/>
        <v>1.195770434213719</v>
      </c>
      <c r="CB357">
        <f t="shared" si="87"/>
        <v>1.4933588878908215</v>
      </c>
    </row>
    <row r="358" spans="1:80" x14ac:dyDescent="0.45">
      <c r="A358" s="11">
        <v>42</v>
      </c>
      <c r="B358" s="12">
        <f t="shared" si="75"/>
        <v>42</v>
      </c>
      <c r="C358" s="12" t="s">
        <v>59</v>
      </c>
      <c r="D358" s="12">
        <v>0</v>
      </c>
      <c r="E358" s="12" t="s">
        <v>53</v>
      </c>
      <c r="F358" s="12">
        <v>0</v>
      </c>
      <c r="G358" s="12">
        <v>1</v>
      </c>
      <c r="H358" s="12" t="s">
        <v>61</v>
      </c>
      <c r="I358" s="12">
        <v>1</v>
      </c>
      <c r="J358" s="12">
        <v>0</v>
      </c>
      <c r="K358" s="12">
        <v>2</v>
      </c>
      <c r="L358" s="12">
        <f t="shared" si="76"/>
        <v>2</v>
      </c>
      <c r="M358" s="12">
        <v>4</v>
      </c>
      <c r="N358" s="12" t="s">
        <v>66</v>
      </c>
      <c r="O358" s="12">
        <v>0</v>
      </c>
      <c r="P358" s="12">
        <v>1</v>
      </c>
      <c r="Q358" s="12">
        <v>0</v>
      </c>
      <c r="R358" s="12">
        <v>0</v>
      </c>
      <c r="S358" s="12">
        <v>0</v>
      </c>
      <c r="T358" s="12">
        <v>1</v>
      </c>
      <c r="U358" s="12" t="s">
        <v>62</v>
      </c>
      <c r="V358" s="12">
        <v>0</v>
      </c>
      <c r="W358" s="12">
        <v>98</v>
      </c>
      <c r="X358" s="12">
        <v>2</v>
      </c>
      <c r="Y358" s="12">
        <v>2</v>
      </c>
      <c r="Z358" s="12" t="s">
        <v>85</v>
      </c>
      <c r="AA358" s="12">
        <v>1</v>
      </c>
      <c r="AB358" s="12">
        <v>0</v>
      </c>
      <c r="AC358" s="12">
        <v>0</v>
      </c>
      <c r="AD358" s="12">
        <v>0</v>
      </c>
      <c r="AE358" s="12">
        <v>0</v>
      </c>
      <c r="AF358" s="12">
        <v>0</v>
      </c>
      <c r="AG358" s="12">
        <v>0</v>
      </c>
      <c r="AH358" s="12">
        <v>0</v>
      </c>
      <c r="AI358" s="12">
        <v>4</v>
      </c>
      <c r="AJ358" s="12" t="s">
        <v>57</v>
      </c>
      <c r="AK358" s="12">
        <v>1</v>
      </c>
      <c r="AL358" s="12">
        <v>0</v>
      </c>
      <c r="AM358" s="12">
        <v>6781</v>
      </c>
      <c r="AN358" s="12">
        <f t="shared" si="77"/>
        <v>6781</v>
      </c>
      <c r="AO358" s="12">
        <v>3</v>
      </c>
      <c r="AP358" s="12" t="s">
        <v>59</v>
      </c>
      <c r="AQ358" s="12">
        <v>0</v>
      </c>
      <c r="AR358" s="12">
        <v>23</v>
      </c>
      <c r="AS358" s="12">
        <v>4</v>
      </c>
      <c r="AT358" s="12">
        <v>2</v>
      </c>
      <c r="AU358" s="12">
        <v>0</v>
      </c>
      <c r="AV358" s="12">
        <v>14</v>
      </c>
      <c r="AW358" s="12">
        <f t="shared" si="78"/>
        <v>14</v>
      </c>
      <c r="AX358" s="12">
        <v>6</v>
      </c>
      <c r="AY358" s="12">
        <v>3</v>
      </c>
      <c r="AZ358" s="12">
        <v>1</v>
      </c>
      <c r="BA358" s="12">
        <f t="shared" si="79"/>
        <v>1</v>
      </c>
      <c r="BB358" s="12">
        <v>0</v>
      </c>
      <c r="BC358" s="12">
        <v>0</v>
      </c>
      <c r="BD358" s="12">
        <f t="shared" si="88"/>
        <v>0</v>
      </c>
      <c r="BE358" s="12">
        <v>0</v>
      </c>
      <c r="BF358" s="12">
        <f t="shared" si="80"/>
        <v>0</v>
      </c>
      <c r="BG358" s="12">
        <f t="shared" si="89"/>
        <v>0</v>
      </c>
      <c r="BH358" s="67">
        <v>1</v>
      </c>
      <c r="BI358" s="67">
        <v>0</v>
      </c>
      <c r="BJ358" s="67">
        <v>0</v>
      </c>
      <c r="BK358" s="67">
        <v>0</v>
      </c>
      <c r="BL358" s="67">
        <v>1</v>
      </c>
      <c r="BM358" s="67">
        <v>0</v>
      </c>
      <c r="BN358" s="67">
        <v>0</v>
      </c>
      <c r="BO358" s="67">
        <v>0</v>
      </c>
      <c r="BP358" s="67">
        <v>0</v>
      </c>
      <c r="BQ358" s="67">
        <v>0</v>
      </c>
      <c r="BR358" s="67">
        <v>0</v>
      </c>
      <c r="BS358" s="67">
        <v>0</v>
      </c>
      <c r="BT358" s="67">
        <v>14</v>
      </c>
      <c r="BU358" s="70">
        <v>0</v>
      </c>
      <c r="BV358" s="29">
        <f t="shared" si="81"/>
        <v>5.9063564151923757E-2</v>
      </c>
      <c r="BW358">
        <f t="shared" si="82"/>
        <v>1.1555414682655611</v>
      </c>
      <c r="BX358">
        <f t="shared" si="83"/>
        <v>0.34963173068151232</v>
      </c>
      <c r="BY358">
        <f t="shared" si="84"/>
        <v>0.9806804209314296</v>
      </c>
      <c r="BZ358">
        <f t="shared" si="85"/>
        <v>0.88721318382472392</v>
      </c>
      <c r="CA358">
        <f t="shared" si="86"/>
        <v>0.55566315731117022</v>
      </c>
      <c r="CB358">
        <f t="shared" si="87"/>
        <v>0.67891464284095016</v>
      </c>
    </row>
    <row r="359" spans="1:80" x14ac:dyDescent="0.45">
      <c r="A359" s="11">
        <v>21</v>
      </c>
      <c r="B359" s="12">
        <f t="shared" si="75"/>
        <v>21</v>
      </c>
      <c r="C359" s="12" t="s">
        <v>52</v>
      </c>
      <c r="D359" s="12">
        <v>1</v>
      </c>
      <c r="E359" s="12" t="s">
        <v>60</v>
      </c>
      <c r="F359" s="12">
        <v>1</v>
      </c>
      <c r="G359" s="12">
        <v>0</v>
      </c>
      <c r="H359" s="12" t="s">
        <v>54</v>
      </c>
      <c r="I359" s="12">
        <v>0</v>
      </c>
      <c r="J359" s="12">
        <v>1</v>
      </c>
      <c r="K359" s="12">
        <v>1</v>
      </c>
      <c r="L359" s="12">
        <f t="shared" si="76"/>
        <v>1</v>
      </c>
      <c r="M359" s="12">
        <v>1</v>
      </c>
      <c r="N359" s="12" t="s">
        <v>91</v>
      </c>
      <c r="O359" s="12">
        <v>0</v>
      </c>
      <c r="P359" s="12">
        <v>0</v>
      </c>
      <c r="Q359" s="12">
        <v>0</v>
      </c>
      <c r="R359" s="12">
        <v>0</v>
      </c>
      <c r="S359" s="12">
        <v>1</v>
      </c>
      <c r="T359" s="12">
        <v>1</v>
      </c>
      <c r="U359" s="12" t="s">
        <v>19</v>
      </c>
      <c r="V359" s="12">
        <v>1</v>
      </c>
      <c r="W359" s="12">
        <v>99</v>
      </c>
      <c r="X359" s="12">
        <v>2</v>
      </c>
      <c r="Y359" s="12">
        <v>1</v>
      </c>
      <c r="Z359" s="12" t="s">
        <v>88</v>
      </c>
      <c r="AA359" s="12">
        <v>0</v>
      </c>
      <c r="AB359" s="12">
        <v>0</v>
      </c>
      <c r="AC359" s="12">
        <v>0</v>
      </c>
      <c r="AD359" s="12">
        <v>0</v>
      </c>
      <c r="AE359" s="12">
        <v>0</v>
      </c>
      <c r="AF359" s="12">
        <v>0</v>
      </c>
      <c r="AG359" s="12">
        <v>1</v>
      </c>
      <c r="AH359" s="12">
        <v>0</v>
      </c>
      <c r="AI359" s="12">
        <v>2</v>
      </c>
      <c r="AJ359" s="12" t="s">
        <v>57</v>
      </c>
      <c r="AK359" s="12">
        <v>1</v>
      </c>
      <c r="AL359" s="12">
        <v>0</v>
      </c>
      <c r="AM359" s="12">
        <v>2174</v>
      </c>
      <c r="AN359" s="12">
        <f t="shared" si="77"/>
        <v>2174</v>
      </c>
      <c r="AO359" s="12">
        <v>1</v>
      </c>
      <c r="AP359" s="12" t="s">
        <v>52</v>
      </c>
      <c r="AQ359" s="12">
        <v>1</v>
      </c>
      <c r="AR359" s="12">
        <v>11</v>
      </c>
      <c r="AS359" s="12">
        <v>3</v>
      </c>
      <c r="AT359" s="12">
        <v>3</v>
      </c>
      <c r="AU359" s="12">
        <v>0</v>
      </c>
      <c r="AV359" s="12">
        <v>3</v>
      </c>
      <c r="AW359" s="12">
        <f t="shared" si="78"/>
        <v>3</v>
      </c>
      <c r="AX359" s="12">
        <v>3</v>
      </c>
      <c r="AY359" s="12">
        <v>3</v>
      </c>
      <c r="AZ359" s="12">
        <v>3</v>
      </c>
      <c r="BA359" s="12">
        <f t="shared" si="79"/>
        <v>3</v>
      </c>
      <c r="BB359" s="12">
        <v>2</v>
      </c>
      <c r="BC359" s="12">
        <v>1</v>
      </c>
      <c r="BD359" s="12">
        <f t="shared" si="88"/>
        <v>1</v>
      </c>
      <c r="BE359" s="12">
        <v>2</v>
      </c>
      <c r="BF359" s="12">
        <f t="shared" si="80"/>
        <v>2</v>
      </c>
      <c r="BG359" s="12">
        <f t="shared" si="89"/>
        <v>2</v>
      </c>
      <c r="BH359" s="67">
        <v>0</v>
      </c>
      <c r="BI359" s="67">
        <v>0</v>
      </c>
      <c r="BJ359" s="67">
        <v>1</v>
      </c>
      <c r="BK359" s="67">
        <v>0</v>
      </c>
      <c r="BL359" s="67">
        <v>0</v>
      </c>
      <c r="BM359" s="67">
        <v>1</v>
      </c>
      <c r="BN359" s="67">
        <v>0</v>
      </c>
      <c r="BO359" s="67">
        <v>0</v>
      </c>
      <c r="BP359" s="67">
        <v>0</v>
      </c>
      <c r="BQ359" s="67">
        <v>0</v>
      </c>
      <c r="BR359" s="67">
        <v>2</v>
      </c>
      <c r="BS359" s="67">
        <v>0</v>
      </c>
      <c r="BT359" s="67">
        <v>0</v>
      </c>
      <c r="BU359" s="70">
        <v>3</v>
      </c>
      <c r="BV359" s="29">
        <f t="shared" si="81"/>
        <v>0.9194925722466859</v>
      </c>
      <c r="BW359">
        <f t="shared" si="82"/>
        <v>0.59502473559756086</v>
      </c>
      <c r="BX359">
        <f t="shared" si="83"/>
        <v>1.0641079755250529</v>
      </c>
      <c r="BY359">
        <f t="shared" si="84"/>
        <v>0.65423109602898355</v>
      </c>
      <c r="BZ359">
        <f t="shared" si="85"/>
        <v>1.01056543769991</v>
      </c>
      <c r="CA359">
        <f t="shared" si="86"/>
        <v>1.7430934315652469</v>
      </c>
      <c r="CB359">
        <f t="shared" si="87"/>
        <v>0.36858985273641137</v>
      </c>
    </row>
    <row r="360" spans="1:80" x14ac:dyDescent="0.45">
      <c r="A360" s="11">
        <v>36</v>
      </c>
      <c r="B360" s="12">
        <f t="shared" si="75"/>
        <v>36</v>
      </c>
      <c r="C360" s="12" t="s">
        <v>59</v>
      </c>
      <c r="D360" s="12">
        <v>0</v>
      </c>
      <c r="E360" s="12" t="s">
        <v>86</v>
      </c>
      <c r="F360" s="12">
        <v>0</v>
      </c>
      <c r="G360" s="12">
        <v>0</v>
      </c>
      <c r="H360" s="12" t="s">
        <v>54</v>
      </c>
      <c r="I360" s="12">
        <v>0</v>
      </c>
      <c r="J360" s="12">
        <v>1</v>
      </c>
      <c r="K360" s="12">
        <v>1</v>
      </c>
      <c r="L360" s="12">
        <f t="shared" si="76"/>
        <v>1</v>
      </c>
      <c r="M360" s="12">
        <v>5</v>
      </c>
      <c r="N360" s="12" t="s">
        <v>70</v>
      </c>
      <c r="O360" s="12">
        <v>0</v>
      </c>
      <c r="P360" s="12">
        <v>0</v>
      </c>
      <c r="Q360" s="12">
        <v>1</v>
      </c>
      <c r="R360" s="12">
        <v>0</v>
      </c>
      <c r="S360" s="12">
        <v>0</v>
      </c>
      <c r="T360" s="12">
        <v>4</v>
      </c>
      <c r="U360" s="12" t="s">
        <v>19</v>
      </c>
      <c r="V360" s="12">
        <v>1</v>
      </c>
      <c r="W360" s="12">
        <v>45</v>
      </c>
      <c r="X360" s="12">
        <v>3</v>
      </c>
      <c r="Y360" s="12">
        <v>2</v>
      </c>
      <c r="Z360" s="12" t="s">
        <v>56</v>
      </c>
      <c r="AA360" s="12">
        <v>0</v>
      </c>
      <c r="AB360" s="12">
        <v>1</v>
      </c>
      <c r="AC360" s="12">
        <v>0</v>
      </c>
      <c r="AD360" s="12">
        <v>0</v>
      </c>
      <c r="AE360" s="12">
        <v>0</v>
      </c>
      <c r="AF360" s="12">
        <v>0</v>
      </c>
      <c r="AG360" s="12">
        <v>0</v>
      </c>
      <c r="AH360" s="12">
        <v>0</v>
      </c>
      <c r="AI360" s="12">
        <v>4</v>
      </c>
      <c r="AJ360" s="12" t="s">
        <v>57</v>
      </c>
      <c r="AK360" s="12">
        <v>1</v>
      </c>
      <c r="AL360" s="12">
        <v>0</v>
      </c>
      <c r="AM360" s="12">
        <v>6653</v>
      </c>
      <c r="AN360" s="12">
        <f t="shared" si="77"/>
        <v>6653</v>
      </c>
      <c r="AO360" s="12">
        <v>4</v>
      </c>
      <c r="AP360" s="12" t="s">
        <v>59</v>
      </c>
      <c r="AQ360" s="12">
        <v>0</v>
      </c>
      <c r="AR360" s="12">
        <v>15</v>
      </c>
      <c r="AS360" s="12">
        <v>3</v>
      </c>
      <c r="AT360" s="12">
        <v>2</v>
      </c>
      <c r="AU360" s="12">
        <v>0</v>
      </c>
      <c r="AV360" s="12">
        <v>7</v>
      </c>
      <c r="AW360" s="12">
        <f t="shared" si="78"/>
        <v>7</v>
      </c>
      <c r="AX360" s="12">
        <v>6</v>
      </c>
      <c r="AY360" s="12">
        <v>3</v>
      </c>
      <c r="AZ360" s="12">
        <v>1</v>
      </c>
      <c r="BA360" s="12">
        <f t="shared" si="79"/>
        <v>1</v>
      </c>
      <c r="BB360" s="12">
        <v>0</v>
      </c>
      <c r="BC360" s="12">
        <v>0</v>
      </c>
      <c r="BD360" s="12">
        <f t="shared" si="88"/>
        <v>0</v>
      </c>
      <c r="BE360" s="12">
        <v>0</v>
      </c>
      <c r="BF360" s="12">
        <f t="shared" si="80"/>
        <v>0</v>
      </c>
      <c r="BG360" s="12">
        <f t="shared" si="89"/>
        <v>0</v>
      </c>
      <c r="BH360" s="67">
        <v>1</v>
      </c>
      <c r="BI360" s="67">
        <v>0</v>
      </c>
      <c r="BJ360" s="67">
        <v>0</v>
      </c>
      <c r="BK360" s="67">
        <v>0</v>
      </c>
      <c r="BL360" s="67">
        <v>1</v>
      </c>
      <c r="BM360" s="67">
        <v>0</v>
      </c>
      <c r="BN360" s="67">
        <v>0</v>
      </c>
      <c r="BO360" s="67">
        <v>0</v>
      </c>
      <c r="BP360" s="67">
        <v>0</v>
      </c>
      <c r="BQ360" s="67">
        <v>0</v>
      </c>
      <c r="BR360" s="67">
        <v>0</v>
      </c>
      <c r="BS360" s="67">
        <v>0</v>
      </c>
      <c r="BT360" s="67">
        <v>0</v>
      </c>
      <c r="BU360" s="70">
        <v>7</v>
      </c>
      <c r="BV360" s="29">
        <f t="shared" si="81"/>
        <v>3.1875549075079383E-2</v>
      </c>
      <c r="BW360">
        <f t="shared" si="82"/>
        <v>1.1555414682655611</v>
      </c>
      <c r="BX360">
        <f t="shared" si="83"/>
        <v>0.55002080963175637</v>
      </c>
      <c r="BY360">
        <f t="shared" si="84"/>
        <v>0.9806804209314296</v>
      </c>
      <c r="BZ360">
        <f t="shared" si="85"/>
        <v>1.01056543769991</v>
      </c>
      <c r="CA360">
        <f t="shared" si="86"/>
        <v>0.10112443951066327</v>
      </c>
      <c r="CB360">
        <f t="shared" si="87"/>
        <v>0.67891464284095016</v>
      </c>
    </row>
    <row r="361" spans="1:80" x14ac:dyDescent="0.45">
      <c r="A361" s="11">
        <v>36</v>
      </c>
      <c r="B361" s="12">
        <f t="shared" si="75"/>
        <v>36</v>
      </c>
      <c r="C361" s="12" t="s">
        <v>59</v>
      </c>
      <c r="D361" s="12">
        <v>0</v>
      </c>
      <c r="E361" s="12" t="s">
        <v>60</v>
      </c>
      <c r="F361" s="12">
        <v>1</v>
      </c>
      <c r="G361" s="12">
        <v>0</v>
      </c>
      <c r="H361" s="12" t="s">
        <v>54</v>
      </c>
      <c r="I361" s="12">
        <v>0</v>
      </c>
      <c r="J361" s="12">
        <v>1</v>
      </c>
      <c r="K361" s="12">
        <v>3</v>
      </c>
      <c r="L361" s="12">
        <f t="shared" si="76"/>
        <v>3</v>
      </c>
      <c r="M361" s="12">
        <v>4</v>
      </c>
      <c r="N361" s="12" t="s">
        <v>70</v>
      </c>
      <c r="O361" s="12">
        <v>0</v>
      </c>
      <c r="P361" s="12">
        <v>0</v>
      </c>
      <c r="Q361" s="12">
        <v>1</v>
      </c>
      <c r="R361" s="12">
        <v>0</v>
      </c>
      <c r="S361" s="12">
        <v>0</v>
      </c>
      <c r="T361" s="12">
        <v>1</v>
      </c>
      <c r="U361" s="12" t="s">
        <v>62</v>
      </c>
      <c r="V361" s="12">
        <v>0</v>
      </c>
      <c r="W361" s="12">
        <v>48</v>
      </c>
      <c r="X361" s="12">
        <v>2</v>
      </c>
      <c r="Y361" s="12">
        <v>3</v>
      </c>
      <c r="Z361" s="12" t="s">
        <v>56</v>
      </c>
      <c r="AA361" s="12">
        <v>0</v>
      </c>
      <c r="AB361" s="12">
        <v>1</v>
      </c>
      <c r="AC361" s="12">
        <v>0</v>
      </c>
      <c r="AD361" s="12">
        <v>0</v>
      </c>
      <c r="AE361" s="12">
        <v>0</v>
      </c>
      <c r="AF361" s="12">
        <v>0</v>
      </c>
      <c r="AG361" s="12">
        <v>0</v>
      </c>
      <c r="AH361" s="12">
        <v>0</v>
      </c>
      <c r="AI361" s="12">
        <v>4</v>
      </c>
      <c r="AJ361" s="12" t="s">
        <v>64</v>
      </c>
      <c r="AK361" s="12">
        <v>0</v>
      </c>
      <c r="AL361" s="12">
        <v>1</v>
      </c>
      <c r="AM361" s="12">
        <v>9699</v>
      </c>
      <c r="AN361" s="12">
        <f t="shared" si="77"/>
        <v>9699</v>
      </c>
      <c r="AO361" s="12">
        <v>4</v>
      </c>
      <c r="AP361" s="12" t="s">
        <v>59</v>
      </c>
      <c r="AQ361" s="12">
        <v>0</v>
      </c>
      <c r="AR361" s="12">
        <v>11</v>
      </c>
      <c r="AS361" s="12">
        <v>3</v>
      </c>
      <c r="AT361" s="12">
        <v>1</v>
      </c>
      <c r="AU361" s="12">
        <v>1</v>
      </c>
      <c r="AV361" s="12">
        <v>16</v>
      </c>
      <c r="AW361" s="12">
        <f t="shared" si="78"/>
        <v>16</v>
      </c>
      <c r="AX361" s="12">
        <v>2</v>
      </c>
      <c r="AY361" s="12">
        <v>3</v>
      </c>
      <c r="AZ361" s="12">
        <v>13</v>
      </c>
      <c r="BA361" s="12">
        <f t="shared" si="79"/>
        <v>13</v>
      </c>
      <c r="BB361" s="12">
        <v>9</v>
      </c>
      <c r="BC361" s="12">
        <v>1</v>
      </c>
      <c r="BD361" s="12">
        <f t="shared" si="88"/>
        <v>1</v>
      </c>
      <c r="BE361" s="12">
        <v>12</v>
      </c>
      <c r="BF361" s="12">
        <f t="shared" si="80"/>
        <v>12</v>
      </c>
      <c r="BG361" s="12">
        <f t="shared" si="89"/>
        <v>36</v>
      </c>
      <c r="BH361" s="67">
        <v>0</v>
      </c>
      <c r="BI361" s="67">
        <v>0</v>
      </c>
      <c r="BJ361" s="67">
        <v>0</v>
      </c>
      <c r="BK361" s="67">
        <v>1</v>
      </c>
      <c r="BL361" s="67">
        <v>0</v>
      </c>
      <c r="BM361" s="67">
        <v>0</v>
      </c>
      <c r="BN361" s="67">
        <v>1</v>
      </c>
      <c r="BO361" s="67">
        <v>0</v>
      </c>
      <c r="BP361" s="67">
        <v>0</v>
      </c>
      <c r="BQ361" s="67">
        <v>0</v>
      </c>
      <c r="BR361" s="67">
        <v>12</v>
      </c>
      <c r="BS361" s="67">
        <v>0</v>
      </c>
      <c r="BT361" s="67">
        <v>0</v>
      </c>
      <c r="BU361" s="70">
        <v>16</v>
      </c>
      <c r="BV361" s="29">
        <f t="shared" si="81"/>
        <v>0.67886534535686038</v>
      </c>
      <c r="BW361">
        <f t="shared" si="82"/>
        <v>2.2075589277424408</v>
      </c>
      <c r="BX361">
        <f t="shared" si="83"/>
        <v>0.60667531362816052</v>
      </c>
      <c r="BY361">
        <f t="shared" si="84"/>
        <v>0.97801552848324624</v>
      </c>
      <c r="BZ361">
        <f t="shared" si="85"/>
        <v>0.76386092994953758</v>
      </c>
      <c r="CA361">
        <f t="shared" si="86"/>
        <v>0.10112443951066327</v>
      </c>
      <c r="CB361">
        <f t="shared" si="87"/>
        <v>0.36858985273641137</v>
      </c>
    </row>
    <row r="362" spans="1:80" x14ac:dyDescent="0.45">
      <c r="A362" s="11">
        <v>57</v>
      </c>
      <c r="B362" s="12">
        <f t="shared" si="75"/>
        <v>57</v>
      </c>
      <c r="C362" s="12" t="s">
        <v>59</v>
      </c>
      <c r="D362" s="12">
        <v>0</v>
      </c>
      <c r="E362" s="12" t="s">
        <v>53</v>
      </c>
      <c r="F362" s="12">
        <v>0</v>
      </c>
      <c r="G362" s="12">
        <v>1</v>
      </c>
      <c r="H362" s="12" t="s">
        <v>61</v>
      </c>
      <c r="I362" s="12">
        <v>1</v>
      </c>
      <c r="J362" s="12">
        <v>0</v>
      </c>
      <c r="K362" s="12">
        <v>1</v>
      </c>
      <c r="L362" s="12">
        <f t="shared" si="76"/>
        <v>1</v>
      </c>
      <c r="M362" s="12">
        <v>4</v>
      </c>
      <c r="N362" s="12" t="s">
        <v>70</v>
      </c>
      <c r="O362" s="12">
        <v>0</v>
      </c>
      <c r="P362" s="12">
        <v>0</v>
      </c>
      <c r="Q362" s="12">
        <v>1</v>
      </c>
      <c r="R362" s="12">
        <v>0</v>
      </c>
      <c r="S362" s="12">
        <v>0</v>
      </c>
      <c r="T362" s="12">
        <v>4</v>
      </c>
      <c r="U362" s="12" t="s">
        <v>62</v>
      </c>
      <c r="V362" s="12">
        <v>0</v>
      </c>
      <c r="W362" s="12">
        <v>88</v>
      </c>
      <c r="X362" s="12">
        <v>3</v>
      </c>
      <c r="Y362" s="12">
        <v>2</v>
      </c>
      <c r="Z362" s="12" t="s">
        <v>85</v>
      </c>
      <c r="AA362" s="12">
        <v>1</v>
      </c>
      <c r="AB362" s="12">
        <v>0</v>
      </c>
      <c r="AC362" s="12">
        <v>0</v>
      </c>
      <c r="AD362" s="12">
        <v>0</v>
      </c>
      <c r="AE362" s="12">
        <v>0</v>
      </c>
      <c r="AF362" s="12">
        <v>0</v>
      </c>
      <c r="AG362" s="12">
        <v>0</v>
      </c>
      <c r="AH362" s="12">
        <v>0</v>
      </c>
      <c r="AI362" s="12">
        <v>3</v>
      </c>
      <c r="AJ362" s="12" t="s">
        <v>64</v>
      </c>
      <c r="AK362" s="12">
        <v>0</v>
      </c>
      <c r="AL362" s="12">
        <v>1</v>
      </c>
      <c r="AM362" s="12">
        <v>6755</v>
      </c>
      <c r="AN362" s="12">
        <f t="shared" si="77"/>
        <v>6755</v>
      </c>
      <c r="AO362" s="12">
        <v>2</v>
      </c>
      <c r="AP362" s="12" t="s">
        <v>59</v>
      </c>
      <c r="AQ362" s="12">
        <v>0</v>
      </c>
      <c r="AR362" s="12">
        <v>11</v>
      </c>
      <c r="AS362" s="12">
        <v>3</v>
      </c>
      <c r="AT362" s="12">
        <v>3</v>
      </c>
      <c r="AU362" s="12">
        <v>0</v>
      </c>
      <c r="AV362" s="12">
        <v>15</v>
      </c>
      <c r="AW362" s="12">
        <f t="shared" si="78"/>
        <v>15</v>
      </c>
      <c r="AX362" s="12">
        <v>2</v>
      </c>
      <c r="AY362" s="12">
        <v>3</v>
      </c>
      <c r="AZ362" s="12">
        <v>3</v>
      </c>
      <c r="BA362" s="12">
        <f t="shared" si="79"/>
        <v>3</v>
      </c>
      <c r="BB362" s="12">
        <v>2</v>
      </c>
      <c r="BC362" s="12">
        <v>1</v>
      </c>
      <c r="BD362" s="12">
        <f t="shared" si="88"/>
        <v>1</v>
      </c>
      <c r="BE362" s="12">
        <v>2</v>
      </c>
      <c r="BF362" s="12">
        <f t="shared" si="80"/>
        <v>2</v>
      </c>
      <c r="BG362" s="12">
        <f t="shared" si="89"/>
        <v>4</v>
      </c>
      <c r="BH362" s="67">
        <v>0</v>
      </c>
      <c r="BI362" s="67">
        <v>1</v>
      </c>
      <c r="BJ362" s="67">
        <v>0</v>
      </c>
      <c r="BK362" s="67">
        <v>0</v>
      </c>
      <c r="BL362" s="67">
        <v>0</v>
      </c>
      <c r="BM362" s="67">
        <v>0</v>
      </c>
      <c r="BN362" s="67">
        <v>1</v>
      </c>
      <c r="BO362" s="67">
        <v>0</v>
      </c>
      <c r="BP362" s="67">
        <v>0</v>
      </c>
      <c r="BQ362" s="67">
        <v>2</v>
      </c>
      <c r="BR362" s="67">
        <v>0</v>
      </c>
      <c r="BS362" s="67">
        <v>0</v>
      </c>
      <c r="BT362" s="67">
        <v>15</v>
      </c>
      <c r="BU362" s="70">
        <v>0</v>
      </c>
      <c r="BV362" s="29">
        <f t="shared" si="81"/>
        <v>5.3540998589439746E-2</v>
      </c>
      <c r="BW362">
        <f t="shared" si="82"/>
        <v>0.59502473559756086</v>
      </c>
      <c r="BX362">
        <f t="shared" si="83"/>
        <v>0.47815352215483642</v>
      </c>
      <c r="BY362">
        <f t="shared" si="84"/>
        <v>0.65423109602898355</v>
      </c>
      <c r="BZ362">
        <f t="shared" si="85"/>
        <v>1.01056543769991</v>
      </c>
      <c r="CA362">
        <f t="shared" si="86"/>
        <v>2.197632149365754</v>
      </c>
      <c r="CB362">
        <f t="shared" si="87"/>
        <v>0.36858985273641137</v>
      </c>
    </row>
    <row r="363" spans="1:80" x14ac:dyDescent="0.45">
      <c r="A363" s="11">
        <v>40</v>
      </c>
      <c r="B363" s="12">
        <f t="shared" si="75"/>
        <v>40</v>
      </c>
      <c r="C363" s="12" t="s">
        <v>59</v>
      </c>
      <c r="D363" s="12">
        <v>0</v>
      </c>
      <c r="E363" s="12" t="s">
        <v>53</v>
      </c>
      <c r="F363" s="12">
        <v>0</v>
      </c>
      <c r="G363" s="12">
        <v>1</v>
      </c>
      <c r="H363" s="12" t="s">
        <v>61</v>
      </c>
      <c r="I363" s="12">
        <v>1</v>
      </c>
      <c r="J363" s="12">
        <v>0</v>
      </c>
      <c r="K363" s="12">
        <v>10</v>
      </c>
      <c r="L363" s="12">
        <f t="shared" si="76"/>
        <v>10</v>
      </c>
      <c r="M363" s="12">
        <v>4</v>
      </c>
      <c r="N363" s="12" t="s">
        <v>55</v>
      </c>
      <c r="O363" s="12">
        <v>1</v>
      </c>
      <c r="P363" s="12">
        <v>0</v>
      </c>
      <c r="Q363" s="12">
        <v>0</v>
      </c>
      <c r="R363" s="12">
        <v>0</v>
      </c>
      <c r="S363" s="12">
        <v>0</v>
      </c>
      <c r="T363" s="12">
        <v>4</v>
      </c>
      <c r="U363" s="12" t="s">
        <v>19</v>
      </c>
      <c r="V363" s="12">
        <v>1</v>
      </c>
      <c r="W363" s="12">
        <v>46</v>
      </c>
      <c r="X363" s="12">
        <v>4</v>
      </c>
      <c r="Y363" s="12">
        <v>1</v>
      </c>
      <c r="Z363" s="12" t="s">
        <v>67</v>
      </c>
      <c r="AA363" s="12">
        <v>0</v>
      </c>
      <c r="AB363" s="12">
        <v>0</v>
      </c>
      <c r="AC363" s="12">
        <v>1</v>
      </c>
      <c r="AD363" s="12">
        <v>0</v>
      </c>
      <c r="AE363" s="12">
        <v>0</v>
      </c>
      <c r="AF363" s="12">
        <v>0</v>
      </c>
      <c r="AG363" s="12">
        <v>0</v>
      </c>
      <c r="AH363" s="12">
        <v>0</v>
      </c>
      <c r="AI363" s="12">
        <v>3</v>
      </c>
      <c r="AJ363" s="12" t="s">
        <v>64</v>
      </c>
      <c r="AK363" s="12">
        <v>0</v>
      </c>
      <c r="AL363" s="12">
        <v>1</v>
      </c>
      <c r="AM363" s="12">
        <v>2213</v>
      </c>
      <c r="AN363" s="12">
        <f t="shared" si="77"/>
        <v>2213</v>
      </c>
      <c r="AO363" s="12">
        <v>3</v>
      </c>
      <c r="AP363" s="12" t="s">
        <v>52</v>
      </c>
      <c r="AQ363" s="12">
        <v>1</v>
      </c>
      <c r="AR363" s="12">
        <v>13</v>
      </c>
      <c r="AS363" s="12">
        <v>3</v>
      </c>
      <c r="AT363" s="12">
        <v>3</v>
      </c>
      <c r="AU363" s="12">
        <v>1</v>
      </c>
      <c r="AV363" s="12">
        <v>10</v>
      </c>
      <c r="AW363" s="12">
        <f t="shared" si="78"/>
        <v>10</v>
      </c>
      <c r="AX363" s="12">
        <v>3</v>
      </c>
      <c r="AY363" s="12">
        <v>3</v>
      </c>
      <c r="AZ363" s="12">
        <v>7</v>
      </c>
      <c r="BA363" s="12">
        <f t="shared" si="79"/>
        <v>7</v>
      </c>
      <c r="BB363" s="12">
        <v>7</v>
      </c>
      <c r="BC363" s="12">
        <v>1</v>
      </c>
      <c r="BD363" s="12">
        <f t="shared" si="88"/>
        <v>1</v>
      </c>
      <c r="BE363" s="12">
        <v>7</v>
      </c>
      <c r="BF363" s="12">
        <f t="shared" si="80"/>
        <v>7</v>
      </c>
      <c r="BG363" s="12">
        <f t="shared" si="89"/>
        <v>7</v>
      </c>
      <c r="BH363" s="67">
        <v>0</v>
      </c>
      <c r="BI363" s="67">
        <v>1</v>
      </c>
      <c r="BJ363" s="67">
        <v>0</v>
      </c>
      <c r="BK363" s="67">
        <v>0</v>
      </c>
      <c r="BL363" s="67">
        <v>0</v>
      </c>
      <c r="BM363" s="67">
        <v>0</v>
      </c>
      <c r="BN363" s="67">
        <v>0</v>
      </c>
      <c r="BO363" s="67">
        <v>1</v>
      </c>
      <c r="BP363" s="67">
        <v>0</v>
      </c>
      <c r="BQ363" s="67">
        <v>7</v>
      </c>
      <c r="BR363" s="67">
        <v>0</v>
      </c>
      <c r="BS363" s="67">
        <v>0</v>
      </c>
      <c r="BT363" s="67">
        <v>10</v>
      </c>
      <c r="BU363" s="70">
        <v>0</v>
      </c>
      <c r="BV363" s="29">
        <f t="shared" si="81"/>
        <v>0.91120872390295982</v>
      </c>
      <c r="BW363">
        <f t="shared" si="82"/>
        <v>0.80626709607243985</v>
      </c>
      <c r="BX363">
        <f t="shared" si="83"/>
        <v>0.1644554352117841</v>
      </c>
      <c r="BY363">
        <f t="shared" si="84"/>
        <v>1.3324462240916321E-3</v>
      </c>
      <c r="BZ363">
        <f t="shared" si="85"/>
        <v>9.9604847176766084E-2</v>
      </c>
      <c r="CA363">
        <f t="shared" si="86"/>
        <v>0.33673395837055903</v>
      </c>
      <c r="CB363">
        <f t="shared" si="87"/>
        <v>0.36858985273641137</v>
      </c>
    </row>
    <row r="364" spans="1:80" x14ac:dyDescent="0.45">
      <c r="A364" s="11">
        <v>21</v>
      </c>
      <c r="B364" s="12">
        <f t="shared" si="75"/>
        <v>21</v>
      </c>
      <c r="C364" s="12" t="s">
        <v>59</v>
      </c>
      <c r="D364" s="12">
        <v>0</v>
      </c>
      <c r="E364" s="12" t="s">
        <v>86</v>
      </c>
      <c r="F364" s="12">
        <v>0</v>
      </c>
      <c r="G364" s="12">
        <v>0</v>
      </c>
      <c r="H364" s="12" t="s">
        <v>54</v>
      </c>
      <c r="I364" s="12">
        <v>0</v>
      </c>
      <c r="J364" s="12">
        <v>1</v>
      </c>
      <c r="K364" s="12">
        <v>9</v>
      </c>
      <c r="L364" s="12">
        <f t="shared" si="76"/>
        <v>9</v>
      </c>
      <c r="M364" s="12">
        <v>2</v>
      </c>
      <c r="N364" s="12" t="s">
        <v>70</v>
      </c>
      <c r="O364" s="12">
        <v>0</v>
      </c>
      <c r="P364" s="12">
        <v>0</v>
      </c>
      <c r="Q364" s="12">
        <v>1</v>
      </c>
      <c r="R364" s="12">
        <v>0</v>
      </c>
      <c r="S364" s="12">
        <v>0</v>
      </c>
      <c r="T364" s="12">
        <v>1</v>
      </c>
      <c r="U364" s="12" t="s">
        <v>62</v>
      </c>
      <c r="V364" s="12">
        <v>0</v>
      </c>
      <c r="W364" s="12">
        <v>39</v>
      </c>
      <c r="X364" s="12">
        <v>3</v>
      </c>
      <c r="Y364" s="12">
        <v>1</v>
      </c>
      <c r="Z364" s="12" t="s">
        <v>88</v>
      </c>
      <c r="AA364" s="12">
        <v>0</v>
      </c>
      <c r="AB364" s="12">
        <v>0</v>
      </c>
      <c r="AC364" s="12">
        <v>0</v>
      </c>
      <c r="AD364" s="12">
        <v>0</v>
      </c>
      <c r="AE364" s="12">
        <v>0</v>
      </c>
      <c r="AF364" s="12">
        <v>0</v>
      </c>
      <c r="AG364" s="12">
        <v>1</v>
      </c>
      <c r="AH364" s="12">
        <v>0</v>
      </c>
      <c r="AI364" s="12">
        <v>4</v>
      </c>
      <c r="AJ364" s="12" t="s">
        <v>57</v>
      </c>
      <c r="AK364" s="12">
        <v>1</v>
      </c>
      <c r="AL364" s="12">
        <v>0</v>
      </c>
      <c r="AM364" s="12">
        <v>2610</v>
      </c>
      <c r="AN364" s="12">
        <f t="shared" si="77"/>
        <v>2610</v>
      </c>
      <c r="AO364" s="12">
        <v>1</v>
      </c>
      <c r="AP364" s="12" t="s">
        <v>59</v>
      </c>
      <c r="AQ364" s="12">
        <v>0</v>
      </c>
      <c r="AR364" s="12">
        <v>24</v>
      </c>
      <c r="AS364" s="12">
        <v>4</v>
      </c>
      <c r="AT364" s="12">
        <v>3</v>
      </c>
      <c r="AU364" s="12">
        <v>0</v>
      </c>
      <c r="AV364" s="12">
        <v>3</v>
      </c>
      <c r="AW364" s="12">
        <f t="shared" si="78"/>
        <v>3</v>
      </c>
      <c r="AX364" s="12">
        <v>3</v>
      </c>
      <c r="AY364" s="12">
        <v>2</v>
      </c>
      <c r="AZ364" s="12">
        <v>3</v>
      </c>
      <c r="BA364" s="12">
        <f t="shared" si="79"/>
        <v>3</v>
      </c>
      <c r="BB364" s="12">
        <v>2</v>
      </c>
      <c r="BC364" s="12">
        <v>2</v>
      </c>
      <c r="BD364" s="12">
        <f t="shared" si="88"/>
        <v>2</v>
      </c>
      <c r="BE364" s="12">
        <v>2</v>
      </c>
      <c r="BF364" s="12">
        <f t="shared" si="80"/>
        <v>2</v>
      </c>
      <c r="BG364" s="12">
        <f t="shared" si="89"/>
        <v>2</v>
      </c>
      <c r="BH364" s="67">
        <v>1</v>
      </c>
      <c r="BI364" s="67">
        <v>0</v>
      </c>
      <c r="BJ364" s="67">
        <v>0</v>
      </c>
      <c r="BK364" s="67">
        <v>0</v>
      </c>
      <c r="BL364" s="67">
        <v>1</v>
      </c>
      <c r="BM364" s="67">
        <v>0</v>
      </c>
      <c r="BN364" s="67">
        <v>0</v>
      </c>
      <c r="BO364" s="67">
        <v>0</v>
      </c>
      <c r="BP364" s="67">
        <v>0</v>
      </c>
      <c r="BQ364" s="67">
        <v>0</v>
      </c>
      <c r="BR364" s="67">
        <v>2</v>
      </c>
      <c r="BS364" s="67">
        <v>0</v>
      </c>
      <c r="BT364" s="67">
        <v>0</v>
      </c>
      <c r="BU364" s="70">
        <v>3</v>
      </c>
      <c r="BV364" s="29">
        <f t="shared" si="81"/>
        <v>0.82688339589118476</v>
      </c>
      <c r="BW364">
        <f t="shared" si="82"/>
        <v>0.59502473559756086</v>
      </c>
      <c r="BX364">
        <f t="shared" si="83"/>
        <v>1.0641079755250529</v>
      </c>
      <c r="BY364">
        <f t="shared" si="84"/>
        <v>0.65423109602898355</v>
      </c>
      <c r="BZ364">
        <f t="shared" si="85"/>
        <v>2.3747406698420157E-2</v>
      </c>
      <c r="CA364">
        <f t="shared" si="86"/>
        <v>1.7430934315652469</v>
      </c>
      <c r="CB364">
        <f t="shared" si="87"/>
        <v>5.8265062631872602E-2</v>
      </c>
    </row>
    <row r="365" spans="1:80" x14ac:dyDescent="0.45">
      <c r="A365" s="11">
        <v>33</v>
      </c>
      <c r="B365" s="12">
        <f t="shared" si="75"/>
        <v>33</v>
      </c>
      <c r="C365" s="12" t="s">
        <v>52</v>
      </c>
      <c r="D365" s="12">
        <v>1</v>
      </c>
      <c r="E365" s="12" t="s">
        <v>53</v>
      </c>
      <c r="F365" s="12">
        <v>0</v>
      </c>
      <c r="G365" s="12">
        <v>1</v>
      </c>
      <c r="H365" s="12" t="s">
        <v>54</v>
      </c>
      <c r="I365" s="12">
        <v>0</v>
      </c>
      <c r="J365" s="12">
        <v>1</v>
      </c>
      <c r="K365" s="12">
        <v>5</v>
      </c>
      <c r="L365" s="12">
        <f t="shared" si="76"/>
        <v>5</v>
      </c>
      <c r="M365" s="12">
        <v>3</v>
      </c>
      <c r="N365" s="12" t="s">
        <v>90</v>
      </c>
      <c r="O365" s="12">
        <v>0</v>
      </c>
      <c r="P365" s="12">
        <v>0</v>
      </c>
      <c r="Q365" s="12">
        <v>0</v>
      </c>
      <c r="R365" s="12">
        <v>1</v>
      </c>
      <c r="S365" s="12">
        <v>0</v>
      </c>
      <c r="T365" s="12">
        <v>4</v>
      </c>
      <c r="U365" s="12" t="s">
        <v>19</v>
      </c>
      <c r="V365" s="12">
        <v>1</v>
      </c>
      <c r="W365" s="12">
        <v>34</v>
      </c>
      <c r="X365" s="12">
        <v>3</v>
      </c>
      <c r="Y365" s="12">
        <v>1</v>
      </c>
      <c r="Z365" s="12" t="s">
        <v>88</v>
      </c>
      <c r="AA365" s="12">
        <v>0</v>
      </c>
      <c r="AB365" s="12">
        <v>0</v>
      </c>
      <c r="AC365" s="12">
        <v>0</v>
      </c>
      <c r="AD365" s="12">
        <v>0</v>
      </c>
      <c r="AE365" s="12">
        <v>0</v>
      </c>
      <c r="AF365" s="12">
        <v>0</v>
      </c>
      <c r="AG365" s="12">
        <v>1</v>
      </c>
      <c r="AH365" s="12">
        <v>0</v>
      </c>
      <c r="AI365" s="12">
        <v>3</v>
      </c>
      <c r="AJ365" s="12" t="s">
        <v>57</v>
      </c>
      <c r="AK365" s="12">
        <v>1</v>
      </c>
      <c r="AL365" s="12">
        <v>0</v>
      </c>
      <c r="AM365" s="12">
        <v>2851</v>
      </c>
      <c r="AN365" s="12">
        <f t="shared" si="77"/>
        <v>2851</v>
      </c>
      <c r="AO365" s="12">
        <v>1</v>
      </c>
      <c r="AP365" s="12" t="s">
        <v>52</v>
      </c>
      <c r="AQ365" s="12">
        <v>1</v>
      </c>
      <c r="AR365" s="12">
        <v>13</v>
      </c>
      <c r="AS365" s="12">
        <v>3</v>
      </c>
      <c r="AT365" s="12">
        <v>2</v>
      </c>
      <c r="AU365" s="12">
        <v>0</v>
      </c>
      <c r="AV365" s="12">
        <v>1</v>
      </c>
      <c r="AW365" s="12">
        <f t="shared" si="78"/>
        <v>1</v>
      </c>
      <c r="AX365" s="12">
        <v>2</v>
      </c>
      <c r="AY365" s="12">
        <v>3</v>
      </c>
      <c r="AZ365" s="12">
        <v>1</v>
      </c>
      <c r="BA365" s="12">
        <f t="shared" si="79"/>
        <v>1</v>
      </c>
      <c r="BB365" s="12">
        <v>0</v>
      </c>
      <c r="BC365" s="12">
        <v>0</v>
      </c>
      <c r="BD365" s="12">
        <f t="shared" si="88"/>
        <v>0</v>
      </c>
      <c r="BE365" s="12">
        <v>0</v>
      </c>
      <c r="BF365" s="12">
        <f t="shared" si="80"/>
        <v>0</v>
      </c>
      <c r="BG365" s="12">
        <f t="shared" si="89"/>
        <v>0</v>
      </c>
      <c r="BH365" s="67">
        <v>1</v>
      </c>
      <c r="BI365" s="67">
        <v>0</v>
      </c>
      <c r="BJ365" s="67">
        <v>0</v>
      </c>
      <c r="BK365" s="67">
        <v>0</v>
      </c>
      <c r="BL365" s="67">
        <v>0</v>
      </c>
      <c r="BM365" s="67">
        <v>1</v>
      </c>
      <c r="BN365" s="67">
        <v>0</v>
      </c>
      <c r="BO365" s="67">
        <v>0</v>
      </c>
      <c r="BP365" s="67">
        <v>0</v>
      </c>
      <c r="BQ365" s="67">
        <v>0</v>
      </c>
      <c r="BR365" s="67">
        <v>0</v>
      </c>
      <c r="BS365" s="67">
        <v>0</v>
      </c>
      <c r="BT365" s="67">
        <v>0</v>
      </c>
      <c r="BU365" s="70">
        <v>1</v>
      </c>
      <c r="BV365" s="29">
        <f t="shared" si="81"/>
        <v>0.77569346125431371</v>
      </c>
      <c r="BW365">
        <f t="shared" si="82"/>
        <v>1.1555414682655611</v>
      </c>
      <c r="BX365">
        <f t="shared" si="83"/>
        <v>1.3211515584717011</v>
      </c>
      <c r="BY365">
        <f t="shared" si="84"/>
        <v>0.9806804209314296</v>
      </c>
      <c r="BZ365">
        <f t="shared" si="85"/>
        <v>0.51715642219916513</v>
      </c>
      <c r="CA365">
        <f t="shared" si="86"/>
        <v>0.42951823792158</v>
      </c>
      <c r="CB365">
        <f t="shared" si="87"/>
        <v>0.67891464284095016</v>
      </c>
    </row>
    <row r="366" spans="1:80" x14ac:dyDescent="0.45">
      <c r="A366" s="11">
        <v>37</v>
      </c>
      <c r="B366" s="12">
        <f t="shared" si="75"/>
        <v>37</v>
      </c>
      <c r="C366" s="12" t="s">
        <v>59</v>
      </c>
      <c r="D366" s="12">
        <v>0</v>
      </c>
      <c r="E366" s="12" t="s">
        <v>53</v>
      </c>
      <c r="F366" s="12">
        <v>0</v>
      </c>
      <c r="G366" s="12">
        <v>1</v>
      </c>
      <c r="H366" s="12" t="s">
        <v>61</v>
      </c>
      <c r="I366" s="12">
        <v>1</v>
      </c>
      <c r="J366" s="12">
        <v>0</v>
      </c>
      <c r="K366" s="12">
        <v>10</v>
      </c>
      <c r="L366" s="12">
        <f t="shared" si="76"/>
        <v>10</v>
      </c>
      <c r="M366" s="12">
        <v>3</v>
      </c>
      <c r="N366" s="12" t="s">
        <v>70</v>
      </c>
      <c r="O366" s="12">
        <v>0</v>
      </c>
      <c r="P366" s="12">
        <v>0</v>
      </c>
      <c r="Q366" s="12">
        <v>1</v>
      </c>
      <c r="R366" s="12">
        <v>0</v>
      </c>
      <c r="S366" s="12">
        <v>0</v>
      </c>
      <c r="T366" s="12">
        <v>3</v>
      </c>
      <c r="U366" s="12" t="s">
        <v>19</v>
      </c>
      <c r="V366" s="12">
        <v>1</v>
      </c>
      <c r="W366" s="12">
        <v>98</v>
      </c>
      <c r="X366" s="12">
        <v>3</v>
      </c>
      <c r="Y366" s="12">
        <v>1</v>
      </c>
      <c r="Z366" s="12" t="s">
        <v>67</v>
      </c>
      <c r="AA366" s="12">
        <v>0</v>
      </c>
      <c r="AB366" s="12">
        <v>0</v>
      </c>
      <c r="AC366" s="12">
        <v>1</v>
      </c>
      <c r="AD366" s="12">
        <v>0</v>
      </c>
      <c r="AE366" s="12">
        <v>0</v>
      </c>
      <c r="AF366" s="12">
        <v>0</v>
      </c>
      <c r="AG366" s="12">
        <v>0</v>
      </c>
      <c r="AH366" s="12">
        <v>0</v>
      </c>
      <c r="AI366" s="12">
        <v>1</v>
      </c>
      <c r="AJ366" s="12" t="s">
        <v>64</v>
      </c>
      <c r="AK366" s="12">
        <v>0</v>
      </c>
      <c r="AL366" s="12">
        <v>1</v>
      </c>
      <c r="AM366" s="12">
        <v>3452</v>
      </c>
      <c r="AN366" s="12">
        <f t="shared" si="77"/>
        <v>3452</v>
      </c>
      <c r="AO366" s="12">
        <v>6</v>
      </c>
      <c r="AP366" s="12" t="s">
        <v>59</v>
      </c>
      <c r="AQ366" s="12">
        <v>0</v>
      </c>
      <c r="AR366" s="12">
        <v>20</v>
      </c>
      <c r="AS366" s="12">
        <v>4</v>
      </c>
      <c r="AT366" s="12">
        <v>2</v>
      </c>
      <c r="AU366" s="12">
        <v>1</v>
      </c>
      <c r="AV366" s="12">
        <v>17</v>
      </c>
      <c r="AW366" s="12">
        <f t="shared" si="78"/>
        <v>17</v>
      </c>
      <c r="AX366" s="12">
        <v>3</v>
      </c>
      <c r="AY366" s="12">
        <v>3</v>
      </c>
      <c r="AZ366" s="12">
        <v>5</v>
      </c>
      <c r="BA366" s="12">
        <f t="shared" si="79"/>
        <v>5</v>
      </c>
      <c r="BB366" s="12">
        <v>4</v>
      </c>
      <c r="BC366" s="12">
        <v>0</v>
      </c>
      <c r="BD366" s="12">
        <f t="shared" si="88"/>
        <v>0</v>
      </c>
      <c r="BE366" s="12">
        <v>3</v>
      </c>
      <c r="BF366" s="12">
        <f t="shared" si="80"/>
        <v>3</v>
      </c>
      <c r="BG366" s="12">
        <f t="shared" si="89"/>
        <v>3</v>
      </c>
      <c r="BH366" s="67">
        <v>0</v>
      </c>
      <c r="BI366" s="67">
        <v>1</v>
      </c>
      <c r="BJ366" s="67">
        <v>0</v>
      </c>
      <c r="BK366" s="67">
        <v>0</v>
      </c>
      <c r="BL366" s="67">
        <v>0</v>
      </c>
      <c r="BM366" s="67">
        <v>0</v>
      </c>
      <c r="BN366" s="67">
        <v>1</v>
      </c>
      <c r="BO366" s="67">
        <v>0</v>
      </c>
      <c r="BP366" s="67">
        <v>0</v>
      </c>
      <c r="BQ366" s="67">
        <v>3</v>
      </c>
      <c r="BR366" s="67">
        <v>0</v>
      </c>
      <c r="BS366" s="67">
        <v>0</v>
      </c>
      <c r="BT366" s="67">
        <v>17</v>
      </c>
      <c r="BU366" s="70">
        <v>0</v>
      </c>
      <c r="BV366" s="29">
        <f t="shared" si="81"/>
        <v>0.64803723421381776</v>
      </c>
      <c r="BW366">
        <f t="shared" si="82"/>
        <v>0.31476636926356072</v>
      </c>
      <c r="BX366">
        <f t="shared" si="83"/>
        <v>0.73519710510148462</v>
      </c>
      <c r="BY366">
        <f t="shared" si="84"/>
        <v>0.32778177112653761</v>
      </c>
      <c r="BZ366">
        <f t="shared" si="85"/>
        <v>9.9604847176766084E-2</v>
      </c>
      <c r="CA366">
        <f t="shared" si="86"/>
        <v>8.3401599596422994E-3</v>
      </c>
      <c r="CB366">
        <f t="shared" si="87"/>
        <v>0.67891464284095016</v>
      </c>
    </row>
    <row r="367" spans="1:80" x14ac:dyDescent="0.45">
      <c r="A367" s="11">
        <v>46</v>
      </c>
      <c r="B367" s="12">
        <f t="shared" si="75"/>
        <v>46</v>
      </c>
      <c r="C367" s="12" t="s">
        <v>59</v>
      </c>
      <c r="D367" s="12">
        <v>0</v>
      </c>
      <c r="E367" s="12" t="s">
        <v>86</v>
      </c>
      <c r="F367" s="12">
        <v>0</v>
      </c>
      <c r="G367" s="12">
        <v>0</v>
      </c>
      <c r="H367" s="12" t="s">
        <v>61</v>
      </c>
      <c r="I367" s="12">
        <v>1</v>
      </c>
      <c r="J367" s="12">
        <v>0</v>
      </c>
      <c r="K367" s="12">
        <v>7</v>
      </c>
      <c r="L367" s="12">
        <f t="shared" si="76"/>
        <v>7</v>
      </c>
      <c r="M367" s="12">
        <v>4</v>
      </c>
      <c r="N367" s="12" t="s">
        <v>70</v>
      </c>
      <c r="O367" s="12">
        <v>0</v>
      </c>
      <c r="P367" s="12">
        <v>0</v>
      </c>
      <c r="Q367" s="12">
        <v>1</v>
      </c>
      <c r="R367" s="12">
        <v>0</v>
      </c>
      <c r="S367" s="12">
        <v>0</v>
      </c>
      <c r="T367" s="12">
        <v>3</v>
      </c>
      <c r="U367" s="12" t="s">
        <v>19</v>
      </c>
      <c r="V367" s="12">
        <v>1</v>
      </c>
      <c r="W367" s="12">
        <v>30</v>
      </c>
      <c r="X367" s="12">
        <v>3</v>
      </c>
      <c r="Y367" s="12">
        <v>2</v>
      </c>
      <c r="Z367" s="12" t="s">
        <v>83</v>
      </c>
      <c r="AA367" s="12">
        <v>0</v>
      </c>
      <c r="AB367" s="12">
        <v>0</v>
      </c>
      <c r="AC367" s="12">
        <v>0</v>
      </c>
      <c r="AD367" s="12">
        <v>0</v>
      </c>
      <c r="AE367" s="12">
        <v>1</v>
      </c>
      <c r="AF367" s="12">
        <v>1</v>
      </c>
      <c r="AG367" s="12">
        <v>0</v>
      </c>
      <c r="AH367" s="12">
        <v>0</v>
      </c>
      <c r="AI367" s="12">
        <v>3</v>
      </c>
      <c r="AJ367" s="12" t="s">
        <v>64</v>
      </c>
      <c r="AK367" s="12">
        <v>0</v>
      </c>
      <c r="AL367" s="12">
        <v>1</v>
      </c>
      <c r="AM367" s="12">
        <v>5258</v>
      </c>
      <c r="AN367" s="12">
        <f t="shared" si="77"/>
        <v>5258</v>
      </c>
      <c r="AO367" s="12">
        <v>2</v>
      </c>
      <c r="AP367" s="12" t="s">
        <v>59</v>
      </c>
      <c r="AQ367" s="12">
        <v>0</v>
      </c>
      <c r="AR367" s="12">
        <v>14</v>
      </c>
      <c r="AS367" s="12">
        <v>3</v>
      </c>
      <c r="AT367" s="12">
        <v>3</v>
      </c>
      <c r="AU367" s="12">
        <v>0</v>
      </c>
      <c r="AV367" s="12">
        <v>7</v>
      </c>
      <c r="AW367" s="12">
        <f t="shared" si="78"/>
        <v>7</v>
      </c>
      <c r="AX367" s="12">
        <v>2</v>
      </c>
      <c r="AY367" s="12">
        <v>4</v>
      </c>
      <c r="AZ367" s="12">
        <v>1</v>
      </c>
      <c r="BA367" s="12">
        <f t="shared" si="79"/>
        <v>1</v>
      </c>
      <c r="BB367" s="12">
        <v>0</v>
      </c>
      <c r="BC367" s="12">
        <v>0</v>
      </c>
      <c r="BD367" s="12">
        <f t="shared" si="88"/>
        <v>0</v>
      </c>
      <c r="BE367" s="12">
        <v>0</v>
      </c>
      <c r="BF367" s="12">
        <f t="shared" si="80"/>
        <v>0</v>
      </c>
      <c r="BG367" s="12">
        <f t="shared" si="89"/>
        <v>0</v>
      </c>
      <c r="BH367" s="67">
        <v>0</v>
      </c>
      <c r="BI367" s="67">
        <v>1</v>
      </c>
      <c r="BJ367" s="67">
        <v>0</v>
      </c>
      <c r="BK367" s="67">
        <v>0</v>
      </c>
      <c r="BL367" s="67">
        <v>0</v>
      </c>
      <c r="BM367" s="67">
        <v>0</v>
      </c>
      <c r="BN367" s="67">
        <v>1</v>
      </c>
      <c r="BO367" s="67">
        <v>0</v>
      </c>
      <c r="BP367" s="67">
        <v>0</v>
      </c>
      <c r="BQ367" s="67">
        <v>0</v>
      </c>
      <c r="BR367" s="67">
        <v>0</v>
      </c>
      <c r="BS367" s="67">
        <v>0</v>
      </c>
      <c r="BT367" s="67">
        <v>7</v>
      </c>
      <c r="BU367" s="70">
        <v>0</v>
      </c>
      <c r="BV367" s="29">
        <f t="shared" si="81"/>
        <v>0.26443133398896673</v>
      </c>
      <c r="BW367">
        <f t="shared" si="82"/>
        <v>1.1555414682655611</v>
      </c>
      <c r="BX367">
        <f t="shared" si="83"/>
        <v>0.55002080963175637</v>
      </c>
      <c r="BY367">
        <f t="shared" si="84"/>
        <v>0.9806804209314296</v>
      </c>
      <c r="BZ367">
        <f t="shared" si="85"/>
        <v>0.27045191444879263</v>
      </c>
      <c r="CA367">
        <f t="shared" si="86"/>
        <v>0.99352155519239249</v>
      </c>
      <c r="CB367">
        <f t="shared" si="87"/>
        <v>0.67891464284095016</v>
      </c>
    </row>
    <row r="368" spans="1:80" x14ac:dyDescent="0.45">
      <c r="A368" s="11">
        <v>41</v>
      </c>
      <c r="B368" s="12">
        <f t="shared" si="75"/>
        <v>41</v>
      </c>
      <c r="C368" s="12" t="s">
        <v>52</v>
      </c>
      <c r="D368" s="12">
        <v>1</v>
      </c>
      <c r="E368" s="12" t="s">
        <v>60</v>
      </c>
      <c r="F368" s="12">
        <v>1</v>
      </c>
      <c r="G368" s="12">
        <v>0</v>
      </c>
      <c r="H368" s="12" t="s">
        <v>54</v>
      </c>
      <c r="I368" s="12">
        <v>0</v>
      </c>
      <c r="J368" s="12">
        <v>1</v>
      </c>
      <c r="K368" s="12">
        <v>4</v>
      </c>
      <c r="L368" s="12">
        <f t="shared" si="76"/>
        <v>4</v>
      </c>
      <c r="M368" s="12">
        <v>3</v>
      </c>
      <c r="N368" s="12" t="s">
        <v>90</v>
      </c>
      <c r="O368" s="12">
        <v>0</v>
      </c>
      <c r="P368" s="12">
        <v>0</v>
      </c>
      <c r="Q368" s="12">
        <v>0</v>
      </c>
      <c r="R368" s="12">
        <v>1</v>
      </c>
      <c r="S368" s="12">
        <v>0</v>
      </c>
      <c r="T368" s="12">
        <v>1</v>
      </c>
      <c r="U368" s="12" t="s">
        <v>62</v>
      </c>
      <c r="V368" s="12">
        <v>0</v>
      </c>
      <c r="W368" s="12">
        <v>56</v>
      </c>
      <c r="X368" s="12">
        <v>3</v>
      </c>
      <c r="Y368" s="12">
        <v>2</v>
      </c>
      <c r="Z368" s="12" t="s">
        <v>56</v>
      </c>
      <c r="AA368" s="12">
        <v>0</v>
      </c>
      <c r="AB368" s="12">
        <v>1</v>
      </c>
      <c r="AC368" s="12">
        <v>0</v>
      </c>
      <c r="AD368" s="12">
        <v>0</v>
      </c>
      <c r="AE368" s="12">
        <v>0</v>
      </c>
      <c r="AF368" s="12">
        <v>0</v>
      </c>
      <c r="AG368" s="12">
        <v>0</v>
      </c>
      <c r="AH368" s="12">
        <v>0</v>
      </c>
      <c r="AI368" s="12">
        <v>2</v>
      </c>
      <c r="AJ368" s="12" t="s">
        <v>57</v>
      </c>
      <c r="AK368" s="12">
        <v>1</v>
      </c>
      <c r="AL368" s="12">
        <v>0</v>
      </c>
      <c r="AM368" s="12">
        <v>9355</v>
      </c>
      <c r="AN368" s="12">
        <f t="shared" si="77"/>
        <v>9355</v>
      </c>
      <c r="AO368" s="12">
        <v>1</v>
      </c>
      <c r="AP368" s="12" t="s">
        <v>59</v>
      </c>
      <c r="AQ368" s="12">
        <v>0</v>
      </c>
      <c r="AR368" s="12">
        <v>18</v>
      </c>
      <c r="AS368" s="12">
        <v>3</v>
      </c>
      <c r="AT368" s="12">
        <v>3</v>
      </c>
      <c r="AU368" s="12">
        <v>0</v>
      </c>
      <c r="AV368" s="12">
        <v>8</v>
      </c>
      <c r="AW368" s="12">
        <f t="shared" si="78"/>
        <v>8</v>
      </c>
      <c r="AX368" s="12">
        <v>5</v>
      </c>
      <c r="AY368" s="12">
        <v>3</v>
      </c>
      <c r="AZ368" s="12">
        <v>8</v>
      </c>
      <c r="BA368" s="12">
        <f t="shared" si="79"/>
        <v>8</v>
      </c>
      <c r="BB368" s="12">
        <v>7</v>
      </c>
      <c r="BC368" s="12">
        <v>7</v>
      </c>
      <c r="BD368" s="12">
        <f t="shared" si="88"/>
        <v>7</v>
      </c>
      <c r="BE368" s="12">
        <v>7</v>
      </c>
      <c r="BF368" s="12">
        <f t="shared" si="80"/>
        <v>7</v>
      </c>
      <c r="BG368" s="12">
        <f t="shared" si="89"/>
        <v>14</v>
      </c>
      <c r="BH368" s="67">
        <v>0</v>
      </c>
      <c r="BI368" s="67">
        <v>0</v>
      </c>
      <c r="BJ368" s="67">
        <v>1</v>
      </c>
      <c r="BK368" s="67">
        <v>0</v>
      </c>
      <c r="BL368" s="67">
        <v>1</v>
      </c>
      <c r="BM368" s="67">
        <v>0</v>
      </c>
      <c r="BN368" s="67">
        <v>0</v>
      </c>
      <c r="BO368" s="67">
        <v>0</v>
      </c>
      <c r="BP368" s="67">
        <v>0</v>
      </c>
      <c r="BQ368" s="67">
        <v>0</v>
      </c>
      <c r="BR368" s="67">
        <v>7</v>
      </c>
      <c r="BS368" s="67">
        <v>0</v>
      </c>
      <c r="BT368" s="67">
        <v>0</v>
      </c>
      <c r="BU368" s="70">
        <v>8</v>
      </c>
      <c r="BV368" s="29">
        <f t="shared" si="81"/>
        <v>0.60579755483784103</v>
      </c>
      <c r="BW368">
        <f t="shared" si="82"/>
        <v>0.80626709607243985</v>
      </c>
      <c r="BX368">
        <f t="shared" si="83"/>
        <v>0.42149901815843233</v>
      </c>
      <c r="BY368">
        <f t="shared" si="84"/>
        <v>0.16189221622713135</v>
      </c>
      <c r="BZ368">
        <f t="shared" si="85"/>
        <v>0.64050867607435136</v>
      </c>
      <c r="CA368">
        <f t="shared" si="86"/>
        <v>0.4461985578408646</v>
      </c>
      <c r="CB368">
        <f t="shared" si="87"/>
        <v>1.4933588878908215</v>
      </c>
    </row>
    <row r="369" spans="1:80" x14ac:dyDescent="0.45">
      <c r="A369" s="11">
        <v>50</v>
      </c>
      <c r="B369" s="12">
        <f t="shared" si="75"/>
        <v>50</v>
      </c>
      <c r="C369" s="12" t="s">
        <v>59</v>
      </c>
      <c r="D369" s="12">
        <v>0</v>
      </c>
      <c r="E369" s="12" t="s">
        <v>53</v>
      </c>
      <c r="F369" s="12">
        <v>0</v>
      </c>
      <c r="G369" s="12">
        <v>1</v>
      </c>
      <c r="H369" s="12" t="s">
        <v>61</v>
      </c>
      <c r="I369" s="12">
        <v>1</v>
      </c>
      <c r="J369" s="12">
        <v>0</v>
      </c>
      <c r="K369" s="12">
        <v>10</v>
      </c>
      <c r="L369" s="12">
        <f t="shared" si="76"/>
        <v>10</v>
      </c>
      <c r="M369" s="12">
        <v>3</v>
      </c>
      <c r="N369" s="12" t="s">
        <v>91</v>
      </c>
      <c r="O369" s="12">
        <v>0</v>
      </c>
      <c r="P369" s="12">
        <v>0</v>
      </c>
      <c r="Q369" s="12">
        <v>0</v>
      </c>
      <c r="R369" s="12">
        <v>0</v>
      </c>
      <c r="S369" s="12">
        <v>1</v>
      </c>
      <c r="T369" s="12">
        <v>4</v>
      </c>
      <c r="U369" s="12" t="s">
        <v>62</v>
      </c>
      <c r="V369" s="12">
        <v>0</v>
      </c>
      <c r="W369" s="12">
        <v>100</v>
      </c>
      <c r="X369" s="12">
        <v>2</v>
      </c>
      <c r="Y369" s="12">
        <v>3</v>
      </c>
      <c r="Z369" s="12" t="s">
        <v>85</v>
      </c>
      <c r="AA369" s="12">
        <v>1</v>
      </c>
      <c r="AB369" s="12">
        <v>0</v>
      </c>
      <c r="AC369" s="12">
        <v>0</v>
      </c>
      <c r="AD369" s="12">
        <v>0</v>
      </c>
      <c r="AE369" s="12">
        <v>0</v>
      </c>
      <c r="AF369" s="12">
        <v>0</v>
      </c>
      <c r="AG369" s="12">
        <v>0</v>
      </c>
      <c r="AH369" s="12">
        <v>0</v>
      </c>
      <c r="AI369" s="12">
        <v>4</v>
      </c>
      <c r="AJ369" s="12" t="s">
        <v>57</v>
      </c>
      <c r="AK369" s="12">
        <v>1</v>
      </c>
      <c r="AL369" s="12">
        <v>0</v>
      </c>
      <c r="AM369" s="12">
        <v>10496</v>
      </c>
      <c r="AN369" s="12">
        <f t="shared" si="77"/>
        <v>10496</v>
      </c>
      <c r="AO369" s="12">
        <v>6</v>
      </c>
      <c r="AP369" s="12" t="s">
        <v>59</v>
      </c>
      <c r="AQ369" s="12">
        <v>0</v>
      </c>
      <c r="AR369" s="12">
        <v>15</v>
      </c>
      <c r="AS369" s="12">
        <v>3</v>
      </c>
      <c r="AT369" s="12">
        <v>4</v>
      </c>
      <c r="AU369" s="12">
        <v>0</v>
      </c>
      <c r="AV369" s="12">
        <v>20</v>
      </c>
      <c r="AW369" s="12">
        <f t="shared" si="78"/>
        <v>20</v>
      </c>
      <c r="AX369" s="12">
        <v>2</v>
      </c>
      <c r="AY369" s="12">
        <v>3</v>
      </c>
      <c r="AZ369" s="12">
        <v>4</v>
      </c>
      <c r="BA369" s="12">
        <f t="shared" si="79"/>
        <v>4</v>
      </c>
      <c r="BB369" s="12">
        <v>3</v>
      </c>
      <c r="BC369" s="12">
        <v>1</v>
      </c>
      <c r="BD369" s="12">
        <f t="shared" si="88"/>
        <v>1</v>
      </c>
      <c r="BE369" s="12">
        <v>3</v>
      </c>
      <c r="BF369" s="12">
        <f t="shared" si="80"/>
        <v>3</v>
      </c>
      <c r="BG369" s="12">
        <f t="shared" si="89"/>
        <v>9</v>
      </c>
      <c r="BH369" s="67">
        <v>1</v>
      </c>
      <c r="BI369" s="67">
        <v>0</v>
      </c>
      <c r="BJ369" s="67">
        <v>0</v>
      </c>
      <c r="BK369" s="67">
        <v>0</v>
      </c>
      <c r="BL369" s="67">
        <v>1</v>
      </c>
      <c r="BM369" s="67">
        <v>0</v>
      </c>
      <c r="BN369" s="67">
        <v>0</v>
      </c>
      <c r="BO369" s="67">
        <v>0</v>
      </c>
      <c r="BP369" s="67">
        <v>0</v>
      </c>
      <c r="BQ369" s="67">
        <v>3</v>
      </c>
      <c r="BR369" s="67">
        <v>0</v>
      </c>
      <c r="BS369" s="67">
        <v>0</v>
      </c>
      <c r="BT369" s="67">
        <v>20</v>
      </c>
      <c r="BU369" s="70">
        <v>0</v>
      </c>
      <c r="BV369" s="29">
        <f t="shared" si="81"/>
        <v>0.84815322048377417</v>
      </c>
      <c r="BW369">
        <f t="shared" si="82"/>
        <v>0.31476636926356072</v>
      </c>
      <c r="BX369">
        <f t="shared" si="83"/>
        <v>1.120762479521457</v>
      </c>
      <c r="BY369">
        <f t="shared" si="84"/>
        <v>0.49100643357776058</v>
      </c>
      <c r="BZ369">
        <f t="shared" si="85"/>
        <v>9.9604847176766084E-2</v>
      </c>
      <c r="CA369">
        <f t="shared" si="86"/>
        <v>1.4313799530736149</v>
      </c>
      <c r="CB369">
        <f t="shared" si="87"/>
        <v>0.36858985273641137</v>
      </c>
    </row>
    <row r="370" spans="1:80" x14ac:dyDescent="0.45">
      <c r="A370" s="11">
        <v>40</v>
      </c>
      <c r="B370" s="12">
        <f t="shared" si="75"/>
        <v>40</v>
      </c>
      <c r="C370" s="12" t="s">
        <v>52</v>
      </c>
      <c r="D370" s="12">
        <v>1</v>
      </c>
      <c r="E370" s="12" t="s">
        <v>53</v>
      </c>
      <c r="F370" s="12">
        <v>0</v>
      </c>
      <c r="G370" s="12">
        <v>1</v>
      </c>
      <c r="H370" s="12" t="s">
        <v>54</v>
      </c>
      <c r="I370" s="12">
        <v>0</v>
      </c>
      <c r="J370" s="12">
        <v>1</v>
      </c>
      <c r="K370" s="12">
        <v>22</v>
      </c>
      <c r="L370" s="12">
        <f t="shared" si="76"/>
        <v>22</v>
      </c>
      <c r="M370" s="12">
        <v>2</v>
      </c>
      <c r="N370" s="12" t="s">
        <v>90</v>
      </c>
      <c r="O370" s="12">
        <v>0</v>
      </c>
      <c r="P370" s="12">
        <v>0</v>
      </c>
      <c r="Q370" s="12">
        <v>0</v>
      </c>
      <c r="R370" s="12">
        <v>1</v>
      </c>
      <c r="S370" s="12">
        <v>0</v>
      </c>
      <c r="T370" s="12">
        <v>3</v>
      </c>
      <c r="U370" s="12" t="s">
        <v>62</v>
      </c>
      <c r="V370" s="12">
        <v>0</v>
      </c>
      <c r="W370" s="12">
        <v>68</v>
      </c>
      <c r="X370" s="12">
        <v>2</v>
      </c>
      <c r="Y370" s="12">
        <v>2</v>
      </c>
      <c r="Z370" s="12" t="s">
        <v>56</v>
      </c>
      <c r="AA370" s="12">
        <v>0</v>
      </c>
      <c r="AB370" s="12">
        <v>1</v>
      </c>
      <c r="AC370" s="12">
        <v>0</v>
      </c>
      <c r="AD370" s="12">
        <v>0</v>
      </c>
      <c r="AE370" s="12">
        <v>0</v>
      </c>
      <c r="AF370" s="12">
        <v>0</v>
      </c>
      <c r="AG370" s="12">
        <v>0</v>
      </c>
      <c r="AH370" s="12">
        <v>0</v>
      </c>
      <c r="AI370" s="12">
        <v>3</v>
      </c>
      <c r="AJ370" s="12" t="s">
        <v>64</v>
      </c>
      <c r="AK370" s="12">
        <v>0</v>
      </c>
      <c r="AL370" s="12">
        <v>1</v>
      </c>
      <c r="AM370" s="12">
        <v>6380</v>
      </c>
      <c r="AN370" s="12">
        <f t="shared" si="77"/>
        <v>6380</v>
      </c>
      <c r="AO370" s="12">
        <v>2</v>
      </c>
      <c r="AP370" s="12" t="s">
        <v>52</v>
      </c>
      <c r="AQ370" s="12">
        <v>1</v>
      </c>
      <c r="AR370" s="12">
        <v>12</v>
      </c>
      <c r="AS370" s="12">
        <v>3</v>
      </c>
      <c r="AT370" s="12">
        <v>1</v>
      </c>
      <c r="AU370" s="12">
        <v>2</v>
      </c>
      <c r="AV370" s="12">
        <v>8</v>
      </c>
      <c r="AW370" s="12">
        <f t="shared" si="78"/>
        <v>8</v>
      </c>
      <c r="AX370" s="12">
        <v>6</v>
      </c>
      <c r="AY370" s="12">
        <v>3</v>
      </c>
      <c r="AZ370" s="12">
        <v>6</v>
      </c>
      <c r="BA370" s="12">
        <f t="shared" si="79"/>
        <v>6</v>
      </c>
      <c r="BB370" s="12">
        <v>4</v>
      </c>
      <c r="BC370" s="12">
        <v>1</v>
      </c>
      <c r="BD370" s="12">
        <f t="shared" si="88"/>
        <v>1</v>
      </c>
      <c r="BE370" s="12">
        <v>0</v>
      </c>
      <c r="BF370" s="12">
        <f t="shared" si="80"/>
        <v>0</v>
      </c>
      <c r="BG370" s="12">
        <f t="shared" si="89"/>
        <v>0</v>
      </c>
      <c r="BH370" s="67">
        <v>0</v>
      </c>
      <c r="BI370" s="67">
        <v>1</v>
      </c>
      <c r="BJ370" s="67">
        <v>0</v>
      </c>
      <c r="BK370" s="67">
        <v>0</v>
      </c>
      <c r="BL370" s="67">
        <v>0</v>
      </c>
      <c r="BM370" s="67">
        <v>0</v>
      </c>
      <c r="BN370" s="67">
        <v>0</v>
      </c>
      <c r="BO370" s="67">
        <v>1</v>
      </c>
      <c r="BP370" s="67">
        <v>0</v>
      </c>
      <c r="BQ370" s="67">
        <v>0</v>
      </c>
      <c r="BR370" s="67">
        <v>0</v>
      </c>
      <c r="BS370" s="67">
        <v>0</v>
      </c>
      <c r="BT370" s="67">
        <v>0</v>
      </c>
      <c r="BU370" s="70">
        <v>8</v>
      </c>
      <c r="BV370" s="29">
        <f t="shared" si="81"/>
        <v>2.6111389331002759E-2</v>
      </c>
      <c r="BW370">
        <f t="shared" si="82"/>
        <v>1.1555414682655611</v>
      </c>
      <c r="BX370">
        <f t="shared" si="83"/>
        <v>0.42149901815843233</v>
      </c>
      <c r="BY370">
        <f t="shared" si="84"/>
        <v>0.16455710867531462</v>
      </c>
      <c r="BZ370">
        <f t="shared" si="85"/>
        <v>1.579831893679001</v>
      </c>
      <c r="CA370">
        <f t="shared" si="86"/>
        <v>0.33673395837055903</v>
      </c>
      <c r="CB370">
        <f t="shared" si="87"/>
        <v>0.36858985273641137</v>
      </c>
    </row>
    <row r="371" spans="1:80" x14ac:dyDescent="0.45">
      <c r="A371" s="11">
        <v>31</v>
      </c>
      <c r="B371" s="12">
        <f t="shared" si="75"/>
        <v>31</v>
      </c>
      <c r="C371" s="12" t="s">
        <v>59</v>
      </c>
      <c r="D371" s="12">
        <v>0</v>
      </c>
      <c r="E371" s="12" t="s">
        <v>53</v>
      </c>
      <c r="F371" s="12">
        <v>0</v>
      </c>
      <c r="G371" s="12">
        <v>1</v>
      </c>
      <c r="H371" s="12" t="s">
        <v>61</v>
      </c>
      <c r="I371" s="12">
        <v>1</v>
      </c>
      <c r="J371" s="12">
        <v>0</v>
      </c>
      <c r="K371" s="12">
        <v>9</v>
      </c>
      <c r="L371" s="12">
        <f t="shared" si="76"/>
        <v>9</v>
      </c>
      <c r="M371" s="12">
        <v>4</v>
      </c>
      <c r="N371" s="12" t="s">
        <v>55</v>
      </c>
      <c r="O371" s="12">
        <v>1</v>
      </c>
      <c r="P371" s="12">
        <v>0</v>
      </c>
      <c r="Q371" s="12">
        <v>0</v>
      </c>
      <c r="R371" s="12">
        <v>0</v>
      </c>
      <c r="S371" s="12">
        <v>0</v>
      </c>
      <c r="T371" s="12">
        <v>3</v>
      </c>
      <c r="U371" s="12" t="s">
        <v>62</v>
      </c>
      <c r="V371" s="12">
        <v>0</v>
      </c>
      <c r="W371" s="12">
        <v>42</v>
      </c>
      <c r="X371" s="12">
        <v>2</v>
      </c>
      <c r="Y371" s="12">
        <v>1</v>
      </c>
      <c r="Z371" s="12" t="s">
        <v>63</v>
      </c>
      <c r="AA371" s="12">
        <v>0</v>
      </c>
      <c r="AB371" s="12">
        <v>0</v>
      </c>
      <c r="AC371" s="12">
        <v>0</v>
      </c>
      <c r="AD371" s="12">
        <v>0</v>
      </c>
      <c r="AE371" s="12">
        <v>0</v>
      </c>
      <c r="AF371" s="12">
        <v>0</v>
      </c>
      <c r="AG371" s="12">
        <v>0</v>
      </c>
      <c r="AH371" s="12">
        <v>1</v>
      </c>
      <c r="AI371" s="12">
        <v>2</v>
      </c>
      <c r="AJ371" s="12" t="s">
        <v>57</v>
      </c>
      <c r="AK371" s="12">
        <v>1</v>
      </c>
      <c r="AL371" s="12">
        <v>0</v>
      </c>
      <c r="AM371" s="12">
        <v>2657</v>
      </c>
      <c r="AN371" s="12">
        <f t="shared" si="77"/>
        <v>2657</v>
      </c>
      <c r="AO371" s="12">
        <v>0</v>
      </c>
      <c r="AP371" s="12" t="s">
        <v>52</v>
      </c>
      <c r="AQ371" s="12">
        <v>1</v>
      </c>
      <c r="AR371" s="12">
        <v>16</v>
      </c>
      <c r="AS371" s="12">
        <v>3</v>
      </c>
      <c r="AT371" s="12">
        <v>4</v>
      </c>
      <c r="AU371" s="12">
        <v>0</v>
      </c>
      <c r="AV371" s="12">
        <v>3</v>
      </c>
      <c r="AW371" s="12">
        <f t="shared" si="78"/>
        <v>3</v>
      </c>
      <c r="AX371" s="12">
        <v>5</v>
      </c>
      <c r="AY371" s="12">
        <v>3</v>
      </c>
      <c r="AZ371" s="12">
        <v>2</v>
      </c>
      <c r="BA371" s="12">
        <f t="shared" si="79"/>
        <v>2</v>
      </c>
      <c r="BB371" s="12">
        <v>2</v>
      </c>
      <c r="BC371" s="12">
        <v>2</v>
      </c>
      <c r="BD371" s="12">
        <f t="shared" si="88"/>
        <v>2</v>
      </c>
      <c r="BE371" s="12">
        <v>2</v>
      </c>
      <c r="BF371" s="12">
        <f t="shared" si="80"/>
        <v>2</v>
      </c>
      <c r="BG371" s="12">
        <f t="shared" si="89"/>
        <v>2</v>
      </c>
      <c r="BH371" s="67">
        <v>1</v>
      </c>
      <c r="BI371" s="67">
        <v>0</v>
      </c>
      <c r="BJ371" s="67">
        <v>0</v>
      </c>
      <c r="BK371" s="67">
        <v>0</v>
      </c>
      <c r="BL371" s="67">
        <v>0</v>
      </c>
      <c r="BM371" s="67">
        <v>1</v>
      </c>
      <c r="BN371" s="67">
        <v>0</v>
      </c>
      <c r="BO371" s="67">
        <v>0</v>
      </c>
      <c r="BP371" s="67">
        <v>0</v>
      </c>
      <c r="BQ371" s="67">
        <v>2</v>
      </c>
      <c r="BR371" s="67">
        <v>0</v>
      </c>
      <c r="BS371" s="67">
        <v>0</v>
      </c>
      <c r="BT371" s="67">
        <v>3</v>
      </c>
      <c r="BU371" s="70">
        <v>0</v>
      </c>
      <c r="BV371" s="29">
        <f t="shared" si="81"/>
        <v>0.81690029660515595</v>
      </c>
      <c r="BW371">
        <f t="shared" si="82"/>
        <v>0.59502473559756086</v>
      </c>
      <c r="BX371">
        <f t="shared" si="83"/>
        <v>1.0641079755250529</v>
      </c>
      <c r="BY371">
        <f t="shared" si="84"/>
        <v>0.81745575848020657</v>
      </c>
      <c r="BZ371">
        <f t="shared" si="85"/>
        <v>2.3747406698420157E-2</v>
      </c>
      <c r="CA371">
        <f t="shared" si="86"/>
        <v>0.6484474368621912</v>
      </c>
      <c r="CB371">
        <f t="shared" si="87"/>
        <v>5.8265062631872602E-2</v>
      </c>
    </row>
    <row r="372" spans="1:80" x14ac:dyDescent="0.45">
      <c r="A372" s="11">
        <v>21</v>
      </c>
      <c r="B372" s="12">
        <f t="shared" si="75"/>
        <v>21</v>
      </c>
      <c r="C372" s="12" t="s">
        <v>52</v>
      </c>
      <c r="D372" s="12">
        <v>1</v>
      </c>
      <c r="E372" s="12" t="s">
        <v>53</v>
      </c>
      <c r="F372" s="12">
        <v>0</v>
      </c>
      <c r="G372" s="12">
        <v>1</v>
      </c>
      <c r="H372" s="12" t="s">
        <v>54</v>
      </c>
      <c r="I372" s="12">
        <v>0</v>
      </c>
      <c r="J372" s="12">
        <v>1</v>
      </c>
      <c r="K372" s="12">
        <v>12</v>
      </c>
      <c r="L372" s="12">
        <f t="shared" si="76"/>
        <v>12</v>
      </c>
      <c r="M372" s="12">
        <v>3</v>
      </c>
      <c r="N372" s="12" t="s">
        <v>55</v>
      </c>
      <c r="O372" s="12">
        <v>1</v>
      </c>
      <c r="P372" s="12">
        <v>0</v>
      </c>
      <c r="Q372" s="12">
        <v>0</v>
      </c>
      <c r="R372" s="12">
        <v>0</v>
      </c>
      <c r="S372" s="12">
        <v>0</v>
      </c>
      <c r="T372" s="12">
        <v>3</v>
      </c>
      <c r="U372" s="12" t="s">
        <v>19</v>
      </c>
      <c r="V372" s="12">
        <v>1</v>
      </c>
      <c r="W372" s="12">
        <v>90</v>
      </c>
      <c r="X372" s="12">
        <v>4</v>
      </c>
      <c r="Y372" s="12">
        <v>1</v>
      </c>
      <c r="Z372" s="12" t="s">
        <v>88</v>
      </c>
      <c r="AA372" s="12">
        <v>0</v>
      </c>
      <c r="AB372" s="12">
        <v>0</v>
      </c>
      <c r="AC372" s="12">
        <v>0</v>
      </c>
      <c r="AD372" s="12">
        <v>0</v>
      </c>
      <c r="AE372" s="12">
        <v>0</v>
      </c>
      <c r="AF372" s="12">
        <v>0</v>
      </c>
      <c r="AG372" s="12">
        <v>1</v>
      </c>
      <c r="AH372" s="12">
        <v>0</v>
      </c>
      <c r="AI372" s="12">
        <v>2</v>
      </c>
      <c r="AJ372" s="12" t="s">
        <v>57</v>
      </c>
      <c r="AK372" s="12">
        <v>1</v>
      </c>
      <c r="AL372" s="12">
        <v>0</v>
      </c>
      <c r="AM372" s="12">
        <v>2716</v>
      </c>
      <c r="AN372" s="12">
        <f t="shared" si="77"/>
        <v>2716</v>
      </c>
      <c r="AO372" s="12">
        <v>1</v>
      </c>
      <c r="AP372" s="12" t="s">
        <v>59</v>
      </c>
      <c r="AQ372" s="12">
        <v>0</v>
      </c>
      <c r="AR372" s="12">
        <v>15</v>
      </c>
      <c r="AS372" s="12">
        <v>3</v>
      </c>
      <c r="AT372" s="12">
        <v>4</v>
      </c>
      <c r="AU372" s="12">
        <v>0</v>
      </c>
      <c r="AV372" s="12">
        <v>1</v>
      </c>
      <c r="AW372" s="12">
        <f t="shared" si="78"/>
        <v>1</v>
      </c>
      <c r="AX372" s="12">
        <v>0</v>
      </c>
      <c r="AY372" s="12">
        <v>3</v>
      </c>
      <c r="AZ372" s="12">
        <v>1</v>
      </c>
      <c r="BA372" s="12">
        <f t="shared" si="79"/>
        <v>1</v>
      </c>
      <c r="BB372" s="12">
        <v>0</v>
      </c>
      <c r="BC372" s="12">
        <v>0</v>
      </c>
      <c r="BD372" s="12">
        <f t="shared" si="88"/>
        <v>0</v>
      </c>
      <c r="BE372" s="12">
        <v>0</v>
      </c>
      <c r="BF372" s="12">
        <f t="shared" si="80"/>
        <v>0</v>
      </c>
      <c r="BG372" s="12">
        <f t="shared" si="89"/>
        <v>0</v>
      </c>
      <c r="BH372" s="67">
        <v>1</v>
      </c>
      <c r="BI372" s="67">
        <v>0</v>
      </c>
      <c r="BJ372" s="67">
        <v>0</v>
      </c>
      <c r="BK372" s="67">
        <v>0</v>
      </c>
      <c r="BL372" s="67">
        <v>1</v>
      </c>
      <c r="BM372" s="67">
        <v>0</v>
      </c>
      <c r="BN372" s="67">
        <v>0</v>
      </c>
      <c r="BO372" s="67">
        <v>0</v>
      </c>
      <c r="BP372" s="67">
        <v>0</v>
      </c>
      <c r="BQ372" s="67">
        <v>0</v>
      </c>
      <c r="BR372" s="67">
        <v>0</v>
      </c>
      <c r="BS372" s="67">
        <v>0</v>
      </c>
      <c r="BT372" s="67">
        <v>0</v>
      </c>
      <c r="BU372" s="70">
        <v>1</v>
      </c>
      <c r="BV372" s="29">
        <f t="shared" si="81"/>
        <v>0.80436832090567301</v>
      </c>
      <c r="BW372">
        <f t="shared" si="82"/>
        <v>1.1555414682655611</v>
      </c>
      <c r="BX372">
        <f t="shared" si="83"/>
        <v>1.3211515584717011</v>
      </c>
      <c r="BY372">
        <f t="shared" si="84"/>
        <v>0.9806804209314296</v>
      </c>
      <c r="BZ372">
        <f t="shared" si="85"/>
        <v>0.3463093549271386</v>
      </c>
      <c r="CA372">
        <f t="shared" si="86"/>
        <v>1.7430934315652469</v>
      </c>
      <c r="CB372">
        <f t="shared" si="87"/>
        <v>0.67891464284095016</v>
      </c>
    </row>
    <row r="373" spans="1:80" x14ac:dyDescent="0.45">
      <c r="A373" s="11">
        <v>29</v>
      </c>
      <c r="B373" s="12">
        <f t="shared" si="75"/>
        <v>29</v>
      </c>
      <c r="C373" s="12" t="s">
        <v>59</v>
      </c>
      <c r="D373" s="12">
        <v>0</v>
      </c>
      <c r="E373" s="12" t="s">
        <v>53</v>
      </c>
      <c r="F373" s="12">
        <v>0</v>
      </c>
      <c r="G373" s="12">
        <v>1</v>
      </c>
      <c r="H373" s="12" t="s">
        <v>61</v>
      </c>
      <c r="I373" s="12">
        <v>1</v>
      </c>
      <c r="J373" s="12">
        <v>0</v>
      </c>
      <c r="K373" s="12">
        <v>23</v>
      </c>
      <c r="L373" s="12">
        <f t="shared" si="76"/>
        <v>23</v>
      </c>
      <c r="M373" s="12">
        <v>3</v>
      </c>
      <c r="N373" s="12" t="s">
        <v>55</v>
      </c>
      <c r="O373" s="12">
        <v>1</v>
      </c>
      <c r="P373" s="12">
        <v>0</v>
      </c>
      <c r="Q373" s="12">
        <v>0</v>
      </c>
      <c r="R373" s="12">
        <v>0</v>
      </c>
      <c r="S373" s="12">
        <v>0</v>
      </c>
      <c r="T373" s="12">
        <v>4</v>
      </c>
      <c r="U373" s="12" t="s">
        <v>62</v>
      </c>
      <c r="V373" s="12">
        <v>0</v>
      </c>
      <c r="W373" s="12">
        <v>54</v>
      </c>
      <c r="X373" s="12">
        <v>3</v>
      </c>
      <c r="Y373" s="12">
        <v>1</v>
      </c>
      <c r="Z373" s="12" t="s">
        <v>63</v>
      </c>
      <c r="AA373" s="12">
        <v>0</v>
      </c>
      <c r="AB373" s="12">
        <v>0</v>
      </c>
      <c r="AC373" s="12">
        <v>0</v>
      </c>
      <c r="AD373" s="12">
        <v>0</v>
      </c>
      <c r="AE373" s="12">
        <v>0</v>
      </c>
      <c r="AF373" s="12">
        <v>0</v>
      </c>
      <c r="AG373" s="12">
        <v>0</v>
      </c>
      <c r="AH373" s="12">
        <v>1</v>
      </c>
      <c r="AI373" s="12">
        <v>4</v>
      </c>
      <c r="AJ373" s="12" t="s">
        <v>57</v>
      </c>
      <c r="AK373" s="12">
        <v>1</v>
      </c>
      <c r="AL373" s="12">
        <v>0</v>
      </c>
      <c r="AM373" s="12">
        <v>2201</v>
      </c>
      <c r="AN373" s="12">
        <f t="shared" si="77"/>
        <v>2201</v>
      </c>
      <c r="AO373" s="12">
        <v>9</v>
      </c>
      <c r="AP373" s="12" t="s">
        <v>59</v>
      </c>
      <c r="AQ373" s="12">
        <v>0</v>
      </c>
      <c r="AR373" s="12">
        <v>16</v>
      </c>
      <c r="AS373" s="12">
        <v>3</v>
      </c>
      <c r="AT373" s="12">
        <v>4</v>
      </c>
      <c r="AU373" s="12">
        <v>0</v>
      </c>
      <c r="AV373" s="12">
        <v>6</v>
      </c>
      <c r="AW373" s="12">
        <f t="shared" si="78"/>
        <v>6</v>
      </c>
      <c r="AX373" s="12">
        <v>4</v>
      </c>
      <c r="AY373" s="12">
        <v>3</v>
      </c>
      <c r="AZ373" s="12">
        <v>3</v>
      </c>
      <c r="BA373" s="12">
        <f t="shared" si="79"/>
        <v>3</v>
      </c>
      <c r="BB373" s="12">
        <v>2</v>
      </c>
      <c r="BC373" s="12">
        <v>1</v>
      </c>
      <c r="BD373" s="12">
        <f t="shared" si="88"/>
        <v>1</v>
      </c>
      <c r="BE373" s="12">
        <v>2</v>
      </c>
      <c r="BF373" s="12">
        <f t="shared" si="80"/>
        <v>2</v>
      </c>
      <c r="BG373" s="12">
        <f t="shared" si="89"/>
        <v>2</v>
      </c>
      <c r="BH373" s="67">
        <v>1</v>
      </c>
      <c r="BI373" s="67">
        <v>0</v>
      </c>
      <c r="BJ373" s="67">
        <v>0</v>
      </c>
      <c r="BK373" s="67">
        <v>0</v>
      </c>
      <c r="BL373" s="67">
        <v>1</v>
      </c>
      <c r="BM373" s="67">
        <v>0</v>
      </c>
      <c r="BN373" s="67">
        <v>0</v>
      </c>
      <c r="BO373" s="67">
        <v>0</v>
      </c>
      <c r="BP373" s="67">
        <v>0</v>
      </c>
      <c r="BQ373" s="67">
        <v>2</v>
      </c>
      <c r="BR373" s="67">
        <v>0</v>
      </c>
      <c r="BS373" s="67">
        <v>0</v>
      </c>
      <c r="BT373" s="67">
        <v>6</v>
      </c>
      <c r="BU373" s="70">
        <v>0</v>
      </c>
      <c r="BV373" s="29">
        <f t="shared" si="81"/>
        <v>0.91375760031641395</v>
      </c>
      <c r="BW373">
        <f t="shared" si="82"/>
        <v>0.59502473559756086</v>
      </c>
      <c r="BX373">
        <f t="shared" si="83"/>
        <v>0.67854260110508058</v>
      </c>
      <c r="BY373">
        <f t="shared" si="84"/>
        <v>0.65423109602898355</v>
      </c>
      <c r="BZ373">
        <f t="shared" si="85"/>
        <v>1.7031841475541873</v>
      </c>
      <c r="CA373">
        <f t="shared" si="86"/>
        <v>0.86737663580280233</v>
      </c>
      <c r="CB373">
        <f t="shared" si="87"/>
        <v>0.36858985273641137</v>
      </c>
    </row>
    <row r="374" spans="1:80" x14ac:dyDescent="0.45">
      <c r="A374" s="11">
        <v>35</v>
      </c>
      <c r="B374" s="12">
        <f t="shared" si="75"/>
        <v>35</v>
      </c>
      <c r="C374" s="12" t="s">
        <v>59</v>
      </c>
      <c r="D374" s="12">
        <v>0</v>
      </c>
      <c r="E374" s="12" t="s">
        <v>53</v>
      </c>
      <c r="F374" s="12">
        <v>0</v>
      </c>
      <c r="G374" s="12">
        <v>1</v>
      </c>
      <c r="H374" s="12" t="s">
        <v>61</v>
      </c>
      <c r="I374" s="12">
        <v>1</v>
      </c>
      <c r="J374" s="12">
        <v>0</v>
      </c>
      <c r="K374" s="12">
        <v>9</v>
      </c>
      <c r="L374" s="12">
        <f t="shared" si="76"/>
        <v>9</v>
      </c>
      <c r="M374" s="12">
        <v>4</v>
      </c>
      <c r="N374" s="12" t="s">
        <v>55</v>
      </c>
      <c r="O374" s="12">
        <v>1</v>
      </c>
      <c r="P374" s="12">
        <v>0</v>
      </c>
      <c r="Q374" s="12">
        <v>0</v>
      </c>
      <c r="R374" s="12">
        <v>0</v>
      </c>
      <c r="S374" s="12">
        <v>0</v>
      </c>
      <c r="T374" s="12">
        <v>3</v>
      </c>
      <c r="U374" s="12" t="s">
        <v>62</v>
      </c>
      <c r="V374" s="12">
        <v>0</v>
      </c>
      <c r="W374" s="12">
        <v>97</v>
      </c>
      <c r="X374" s="12">
        <v>2</v>
      </c>
      <c r="Y374" s="12">
        <v>2</v>
      </c>
      <c r="Z374" s="12" t="s">
        <v>85</v>
      </c>
      <c r="AA374" s="12">
        <v>1</v>
      </c>
      <c r="AB374" s="12">
        <v>0</v>
      </c>
      <c r="AC374" s="12">
        <v>0</v>
      </c>
      <c r="AD374" s="12">
        <v>0</v>
      </c>
      <c r="AE374" s="12">
        <v>0</v>
      </c>
      <c r="AF374" s="12">
        <v>0</v>
      </c>
      <c r="AG374" s="12">
        <v>0</v>
      </c>
      <c r="AH374" s="12">
        <v>0</v>
      </c>
      <c r="AI374" s="12">
        <v>2</v>
      </c>
      <c r="AJ374" s="12" t="s">
        <v>57</v>
      </c>
      <c r="AK374" s="12">
        <v>1</v>
      </c>
      <c r="AL374" s="12">
        <v>0</v>
      </c>
      <c r="AM374" s="12">
        <v>6540</v>
      </c>
      <c r="AN374" s="12">
        <f t="shared" si="77"/>
        <v>6540</v>
      </c>
      <c r="AO374" s="12">
        <v>9</v>
      </c>
      <c r="AP374" s="12" t="s">
        <v>59</v>
      </c>
      <c r="AQ374" s="12">
        <v>0</v>
      </c>
      <c r="AR374" s="12">
        <v>19</v>
      </c>
      <c r="AS374" s="12">
        <v>3</v>
      </c>
      <c r="AT374" s="12">
        <v>3</v>
      </c>
      <c r="AU374" s="12">
        <v>0</v>
      </c>
      <c r="AV374" s="12">
        <v>10</v>
      </c>
      <c r="AW374" s="12">
        <f t="shared" si="78"/>
        <v>10</v>
      </c>
      <c r="AX374" s="12">
        <v>5</v>
      </c>
      <c r="AY374" s="12">
        <v>3</v>
      </c>
      <c r="AZ374" s="12">
        <v>1</v>
      </c>
      <c r="BA374" s="12">
        <f t="shared" si="79"/>
        <v>1</v>
      </c>
      <c r="BB374" s="12">
        <v>1</v>
      </c>
      <c r="BC374" s="12">
        <v>0</v>
      </c>
      <c r="BD374" s="12">
        <f t="shared" si="88"/>
        <v>0</v>
      </c>
      <c r="BE374" s="12">
        <v>0</v>
      </c>
      <c r="BF374" s="12">
        <f t="shared" si="80"/>
        <v>0</v>
      </c>
      <c r="BG374" s="12">
        <f t="shared" si="89"/>
        <v>0</v>
      </c>
      <c r="BH374" s="67">
        <v>1</v>
      </c>
      <c r="BI374" s="67">
        <v>0</v>
      </c>
      <c r="BJ374" s="67">
        <v>0</v>
      </c>
      <c r="BK374" s="67">
        <v>0</v>
      </c>
      <c r="BL374" s="67">
        <v>1</v>
      </c>
      <c r="BM374" s="67">
        <v>0</v>
      </c>
      <c r="BN374" s="67">
        <v>0</v>
      </c>
      <c r="BO374" s="67">
        <v>0</v>
      </c>
      <c r="BP374" s="67">
        <v>0</v>
      </c>
      <c r="BQ374" s="67">
        <v>0</v>
      </c>
      <c r="BR374" s="67">
        <v>0</v>
      </c>
      <c r="BS374" s="67">
        <v>0</v>
      </c>
      <c r="BT374" s="67">
        <v>10</v>
      </c>
      <c r="BU374" s="70">
        <v>0</v>
      </c>
      <c r="BV374" s="29">
        <f t="shared" si="81"/>
        <v>7.8736295150527106E-3</v>
      </c>
      <c r="BW374">
        <f t="shared" si="82"/>
        <v>1.1555414682655611</v>
      </c>
      <c r="BX374">
        <f t="shared" si="83"/>
        <v>0.1644554352117841</v>
      </c>
      <c r="BY374">
        <f t="shared" si="84"/>
        <v>0.9806804209314296</v>
      </c>
      <c r="BZ374">
        <f t="shared" si="85"/>
        <v>2.3747406698420157E-2</v>
      </c>
      <c r="CA374">
        <f t="shared" si="86"/>
        <v>0.21058903898096887</v>
      </c>
      <c r="CB374">
        <f t="shared" si="87"/>
        <v>0.67891464284095016</v>
      </c>
    </row>
    <row r="375" spans="1:80" x14ac:dyDescent="0.45">
      <c r="A375" s="11">
        <v>27</v>
      </c>
      <c r="B375" s="12">
        <f t="shared" si="75"/>
        <v>27</v>
      </c>
      <c r="C375" s="12" t="s">
        <v>59</v>
      </c>
      <c r="D375" s="12">
        <v>0</v>
      </c>
      <c r="E375" s="12" t="s">
        <v>53</v>
      </c>
      <c r="F375" s="12">
        <v>0</v>
      </c>
      <c r="G375" s="12">
        <v>1</v>
      </c>
      <c r="H375" s="12" t="s">
        <v>61</v>
      </c>
      <c r="I375" s="12">
        <v>1</v>
      </c>
      <c r="J375" s="12">
        <v>0</v>
      </c>
      <c r="K375" s="12">
        <v>1</v>
      </c>
      <c r="L375" s="12">
        <f t="shared" si="76"/>
        <v>1</v>
      </c>
      <c r="M375" s="12">
        <v>2</v>
      </c>
      <c r="N375" s="12" t="s">
        <v>70</v>
      </c>
      <c r="O375" s="12">
        <v>0</v>
      </c>
      <c r="P375" s="12">
        <v>0</v>
      </c>
      <c r="Q375" s="12">
        <v>1</v>
      </c>
      <c r="R375" s="12">
        <v>0</v>
      </c>
      <c r="S375" s="12">
        <v>0</v>
      </c>
      <c r="T375" s="12">
        <v>4</v>
      </c>
      <c r="U375" s="12" t="s">
        <v>62</v>
      </c>
      <c r="V375" s="12">
        <v>0</v>
      </c>
      <c r="W375" s="12">
        <v>82</v>
      </c>
      <c r="X375" s="12">
        <v>3</v>
      </c>
      <c r="Y375" s="12">
        <v>1</v>
      </c>
      <c r="Z375" s="12" t="s">
        <v>67</v>
      </c>
      <c r="AA375" s="12">
        <v>0</v>
      </c>
      <c r="AB375" s="12">
        <v>0</v>
      </c>
      <c r="AC375" s="12">
        <v>1</v>
      </c>
      <c r="AD375" s="12">
        <v>0</v>
      </c>
      <c r="AE375" s="12">
        <v>0</v>
      </c>
      <c r="AF375" s="12">
        <v>0</v>
      </c>
      <c r="AG375" s="12">
        <v>0</v>
      </c>
      <c r="AH375" s="12">
        <v>0</v>
      </c>
      <c r="AI375" s="12">
        <v>2</v>
      </c>
      <c r="AJ375" s="12" t="s">
        <v>78</v>
      </c>
      <c r="AK375" s="12">
        <v>0</v>
      </c>
      <c r="AL375" s="12">
        <v>0</v>
      </c>
      <c r="AM375" s="12">
        <v>3816</v>
      </c>
      <c r="AN375" s="12">
        <f t="shared" si="77"/>
        <v>3816</v>
      </c>
      <c r="AO375" s="12">
        <v>1</v>
      </c>
      <c r="AP375" s="12" t="s">
        <v>59</v>
      </c>
      <c r="AQ375" s="12">
        <v>0</v>
      </c>
      <c r="AR375" s="12">
        <v>11</v>
      </c>
      <c r="AS375" s="12">
        <v>3</v>
      </c>
      <c r="AT375" s="12">
        <v>2</v>
      </c>
      <c r="AU375" s="12">
        <v>1</v>
      </c>
      <c r="AV375" s="12">
        <v>5</v>
      </c>
      <c r="AW375" s="12">
        <f t="shared" si="78"/>
        <v>5</v>
      </c>
      <c r="AX375" s="12">
        <v>2</v>
      </c>
      <c r="AY375" s="12">
        <v>3</v>
      </c>
      <c r="AZ375" s="12">
        <v>5</v>
      </c>
      <c r="BA375" s="12">
        <f t="shared" si="79"/>
        <v>5</v>
      </c>
      <c r="BB375" s="12">
        <v>2</v>
      </c>
      <c r="BC375" s="12">
        <v>0</v>
      </c>
      <c r="BD375" s="12">
        <f t="shared" si="88"/>
        <v>0</v>
      </c>
      <c r="BE375" s="12">
        <v>4</v>
      </c>
      <c r="BF375" s="12">
        <f t="shared" si="80"/>
        <v>4</v>
      </c>
      <c r="BG375" s="12">
        <f t="shared" si="89"/>
        <v>4</v>
      </c>
      <c r="BH375" s="67">
        <v>1</v>
      </c>
      <c r="BI375" s="67">
        <v>0</v>
      </c>
      <c r="BJ375" s="67">
        <v>0</v>
      </c>
      <c r="BK375" s="67">
        <v>0</v>
      </c>
      <c r="BL375" s="67">
        <v>1</v>
      </c>
      <c r="BM375" s="67">
        <v>0</v>
      </c>
      <c r="BN375" s="67">
        <v>0</v>
      </c>
      <c r="BO375" s="67">
        <v>0</v>
      </c>
      <c r="BP375" s="67">
        <v>0</v>
      </c>
      <c r="BQ375" s="67">
        <v>4</v>
      </c>
      <c r="BR375" s="67">
        <v>0</v>
      </c>
      <c r="BS375" s="67">
        <v>0</v>
      </c>
      <c r="BT375" s="67">
        <v>5</v>
      </c>
      <c r="BU375" s="70">
        <v>0</v>
      </c>
      <c r="BV375" s="29">
        <f t="shared" si="81"/>
        <v>0.57072131633904166</v>
      </c>
      <c r="BW375">
        <f t="shared" si="82"/>
        <v>3.4508002929560584E-2</v>
      </c>
      <c r="BX375">
        <f t="shared" si="83"/>
        <v>0.80706439257840468</v>
      </c>
      <c r="BY375">
        <f t="shared" si="84"/>
        <v>0.32778177112653761</v>
      </c>
      <c r="BZ375">
        <f t="shared" si="85"/>
        <v>1.01056543769991</v>
      </c>
      <c r="CA375">
        <f t="shared" si="86"/>
        <v>1.0863058347434136</v>
      </c>
      <c r="CB375">
        <f t="shared" si="87"/>
        <v>0.67891464284095016</v>
      </c>
    </row>
    <row r="376" spans="1:80" x14ac:dyDescent="0.45">
      <c r="A376" s="11">
        <v>28</v>
      </c>
      <c r="B376" s="12">
        <f t="shared" si="75"/>
        <v>28</v>
      </c>
      <c r="C376" s="12" t="s">
        <v>59</v>
      </c>
      <c r="D376" s="12">
        <v>0</v>
      </c>
      <c r="E376" s="12" t="s">
        <v>53</v>
      </c>
      <c r="F376" s="12">
        <v>0</v>
      </c>
      <c r="G376" s="12">
        <v>1</v>
      </c>
      <c r="H376" s="12" t="s">
        <v>54</v>
      </c>
      <c r="I376" s="12">
        <v>0</v>
      </c>
      <c r="J376" s="12">
        <v>1</v>
      </c>
      <c r="K376" s="12">
        <v>9</v>
      </c>
      <c r="L376" s="12">
        <f t="shared" si="76"/>
        <v>9</v>
      </c>
      <c r="M376" s="12">
        <v>4</v>
      </c>
      <c r="N376" s="12" t="s">
        <v>55</v>
      </c>
      <c r="O376" s="12">
        <v>1</v>
      </c>
      <c r="P376" s="12">
        <v>0</v>
      </c>
      <c r="Q376" s="12">
        <v>0</v>
      </c>
      <c r="R376" s="12">
        <v>0</v>
      </c>
      <c r="S376" s="12">
        <v>0</v>
      </c>
      <c r="T376" s="12">
        <v>2</v>
      </c>
      <c r="U376" s="12" t="s">
        <v>62</v>
      </c>
      <c r="V376" s="12">
        <v>0</v>
      </c>
      <c r="W376" s="12">
        <v>92</v>
      </c>
      <c r="X376" s="12">
        <v>3</v>
      </c>
      <c r="Y376" s="12">
        <v>2</v>
      </c>
      <c r="Z376" s="12" t="s">
        <v>56</v>
      </c>
      <c r="AA376" s="12">
        <v>0</v>
      </c>
      <c r="AB376" s="12">
        <v>1</v>
      </c>
      <c r="AC376" s="12">
        <v>0</v>
      </c>
      <c r="AD376" s="12">
        <v>0</v>
      </c>
      <c r="AE376" s="12">
        <v>0</v>
      </c>
      <c r="AF376" s="12">
        <v>0</v>
      </c>
      <c r="AG376" s="12">
        <v>0</v>
      </c>
      <c r="AH376" s="12">
        <v>0</v>
      </c>
      <c r="AI376" s="12">
        <v>4</v>
      </c>
      <c r="AJ376" s="12" t="s">
        <v>57</v>
      </c>
      <c r="AK376" s="12">
        <v>1</v>
      </c>
      <c r="AL376" s="12">
        <v>0</v>
      </c>
      <c r="AM376" s="12">
        <v>5253</v>
      </c>
      <c r="AN376" s="12">
        <f t="shared" si="77"/>
        <v>5253</v>
      </c>
      <c r="AO376" s="12">
        <v>1</v>
      </c>
      <c r="AP376" s="12" t="s">
        <v>59</v>
      </c>
      <c r="AQ376" s="12">
        <v>0</v>
      </c>
      <c r="AR376" s="12">
        <v>16</v>
      </c>
      <c r="AS376" s="12">
        <v>3</v>
      </c>
      <c r="AT376" s="12">
        <v>4</v>
      </c>
      <c r="AU376" s="12">
        <v>0</v>
      </c>
      <c r="AV376" s="12">
        <v>7</v>
      </c>
      <c r="AW376" s="12">
        <f t="shared" si="78"/>
        <v>7</v>
      </c>
      <c r="AX376" s="12">
        <v>1</v>
      </c>
      <c r="AY376" s="12">
        <v>3</v>
      </c>
      <c r="AZ376" s="12">
        <v>7</v>
      </c>
      <c r="BA376" s="12">
        <f t="shared" si="79"/>
        <v>7</v>
      </c>
      <c r="BB376" s="12">
        <v>5</v>
      </c>
      <c r="BC376" s="12">
        <v>0</v>
      </c>
      <c r="BD376" s="12">
        <f t="shared" si="88"/>
        <v>0</v>
      </c>
      <c r="BE376" s="12">
        <v>7</v>
      </c>
      <c r="BF376" s="12">
        <f t="shared" si="80"/>
        <v>7</v>
      </c>
      <c r="BG376" s="12">
        <f t="shared" si="89"/>
        <v>14</v>
      </c>
      <c r="BH376" s="67">
        <v>1</v>
      </c>
      <c r="BI376" s="67">
        <v>0</v>
      </c>
      <c r="BJ376" s="67">
        <v>0</v>
      </c>
      <c r="BK376" s="67">
        <v>0</v>
      </c>
      <c r="BL376" s="67">
        <v>1</v>
      </c>
      <c r="BM376" s="67">
        <v>0</v>
      </c>
      <c r="BN376" s="67">
        <v>0</v>
      </c>
      <c r="BO376" s="67">
        <v>0</v>
      </c>
      <c r="BP376" s="67">
        <v>0</v>
      </c>
      <c r="BQ376" s="67">
        <v>0</v>
      </c>
      <c r="BR376" s="67">
        <v>7</v>
      </c>
      <c r="BS376" s="67">
        <v>0</v>
      </c>
      <c r="BT376" s="67">
        <v>0</v>
      </c>
      <c r="BU376" s="70">
        <v>7</v>
      </c>
      <c r="BV376" s="29">
        <f t="shared" si="81"/>
        <v>0.26549336582790595</v>
      </c>
      <c r="BW376">
        <f t="shared" si="82"/>
        <v>0.80626709607243985</v>
      </c>
      <c r="BX376">
        <f t="shared" si="83"/>
        <v>0.55002080963175637</v>
      </c>
      <c r="BY376">
        <f t="shared" si="84"/>
        <v>1.3324462240916321E-3</v>
      </c>
      <c r="BZ376">
        <f t="shared" si="85"/>
        <v>2.3747406698420157E-2</v>
      </c>
      <c r="CA376">
        <f t="shared" si="86"/>
        <v>0.97684123527310796</v>
      </c>
      <c r="CB376">
        <f t="shared" si="87"/>
        <v>0.67891464284095016</v>
      </c>
    </row>
    <row r="377" spans="1:80" x14ac:dyDescent="0.45">
      <c r="A377" s="11">
        <v>49</v>
      </c>
      <c r="B377" s="12">
        <f t="shared" si="75"/>
        <v>49</v>
      </c>
      <c r="C377" s="12" t="s">
        <v>59</v>
      </c>
      <c r="D377" s="12">
        <v>0</v>
      </c>
      <c r="E377" s="12" t="s">
        <v>53</v>
      </c>
      <c r="F377" s="12">
        <v>0</v>
      </c>
      <c r="G377" s="12">
        <v>1</v>
      </c>
      <c r="H377" s="12" t="s">
        <v>61</v>
      </c>
      <c r="I377" s="12">
        <v>1</v>
      </c>
      <c r="J377" s="12">
        <v>0</v>
      </c>
      <c r="K377" s="12">
        <v>7</v>
      </c>
      <c r="L377" s="12">
        <f t="shared" si="76"/>
        <v>7</v>
      </c>
      <c r="M377" s="12">
        <v>3</v>
      </c>
      <c r="N377" s="12" t="s">
        <v>66</v>
      </c>
      <c r="O377" s="12">
        <v>0</v>
      </c>
      <c r="P377" s="12">
        <v>1</v>
      </c>
      <c r="Q377" s="12">
        <v>0</v>
      </c>
      <c r="R377" s="12">
        <v>0</v>
      </c>
      <c r="S377" s="12">
        <v>0</v>
      </c>
      <c r="T377" s="12">
        <v>2</v>
      </c>
      <c r="U377" s="12" t="s">
        <v>62</v>
      </c>
      <c r="V377" s="12">
        <v>0</v>
      </c>
      <c r="W377" s="12">
        <v>31</v>
      </c>
      <c r="X377" s="12">
        <v>2</v>
      </c>
      <c r="Y377" s="12">
        <v>3</v>
      </c>
      <c r="Z377" s="12" t="s">
        <v>85</v>
      </c>
      <c r="AA377" s="12">
        <v>1</v>
      </c>
      <c r="AB377" s="12">
        <v>0</v>
      </c>
      <c r="AC377" s="12">
        <v>0</v>
      </c>
      <c r="AD377" s="12">
        <v>0</v>
      </c>
      <c r="AE377" s="12">
        <v>0</v>
      </c>
      <c r="AF377" s="12">
        <v>0</v>
      </c>
      <c r="AG377" s="12">
        <v>0</v>
      </c>
      <c r="AH377" s="12">
        <v>0</v>
      </c>
      <c r="AI377" s="12">
        <v>3</v>
      </c>
      <c r="AJ377" s="12" t="s">
        <v>57</v>
      </c>
      <c r="AK377" s="12">
        <v>1</v>
      </c>
      <c r="AL377" s="12">
        <v>0</v>
      </c>
      <c r="AM377" s="12">
        <v>10965</v>
      </c>
      <c r="AN377" s="12">
        <f t="shared" si="77"/>
        <v>10965</v>
      </c>
      <c r="AO377" s="12">
        <v>8</v>
      </c>
      <c r="AP377" s="12" t="s">
        <v>59</v>
      </c>
      <c r="AQ377" s="12">
        <v>0</v>
      </c>
      <c r="AR377" s="12">
        <v>24</v>
      </c>
      <c r="AS377" s="12">
        <v>4</v>
      </c>
      <c r="AT377" s="12">
        <v>3</v>
      </c>
      <c r="AU377" s="12">
        <v>0</v>
      </c>
      <c r="AV377" s="12">
        <v>26</v>
      </c>
      <c r="AW377" s="12">
        <f t="shared" si="78"/>
        <v>26</v>
      </c>
      <c r="AX377" s="12">
        <v>2</v>
      </c>
      <c r="AY377" s="12">
        <v>3</v>
      </c>
      <c r="AZ377" s="12">
        <v>5</v>
      </c>
      <c r="BA377" s="12">
        <f t="shared" si="79"/>
        <v>5</v>
      </c>
      <c r="BB377" s="12">
        <v>2</v>
      </c>
      <c r="BC377" s="12">
        <v>0</v>
      </c>
      <c r="BD377" s="12">
        <f t="shared" si="88"/>
        <v>0</v>
      </c>
      <c r="BE377" s="12">
        <v>0</v>
      </c>
      <c r="BF377" s="12">
        <f t="shared" si="80"/>
        <v>0</v>
      </c>
      <c r="BG377" s="12">
        <f t="shared" si="89"/>
        <v>0</v>
      </c>
      <c r="BH377" s="67">
        <v>1</v>
      </c>
      <c r="BI377" s="67">
        <v>0</v>
      </c>
      <c r="BJ377" s="67">
        <v>0</v>
      </c>
      <c r="BK377" s="67">
        <v>0</v>
      </c>
      <c r="BL377" s="67">
        <v>1</v>
      </c>
      <c r="BM377" s="67">
        <v>0</v>
      </c>
      <c r="BN377" s="67">
        <v>0</v>
      </c>
      <c r="BO377" s="67">
        <v>0</v>
      </c>
      <c r="BP377" s="67">
        <v>0</v>
      </c>
      <c r="BQ377" s="67">
        <v>0</v>
      </c>
      <c r="BR377" s="67">
        <v>0</v>
      </c>
      <c r="BS377" s="67">
        <v>0</v>
      </c>
      <c r="BT377" s="67">
        <v>26</v>
      </c>
      <c r="BU377" s="70">
        <v>0</v>
      </c>
      <c r="BV377" s="29">
        <f t="shared" si="81"/>
        <v>0.94777180697627428</v>
      </c>
      <c r="BW377">
        <f t="shared" si="82"/>
        <v>1.1555414682655611</v>
      </c>
      <c r="BX377">
        <f t="shared" si="83"/>
        <v>1.8918932283614016</v>
      </c>
      <c r="BY377">
        <f t="shared" si="84"/>
        <v>0.32778177112653761</v>
      </c>
      <c r="BZ377">
        <f t="shared" si="85"/>
        <v>0.27045191444879263</v>
      </c>
      <c r="CA377">
        <f t="shared" si="86"/>
        <v>1.3219153536033093</v>
      </c>
      <c r="CB377">
        <f t="shared" si="87"/>
        <v>0.67891464284095016</v>
      </c>
    </row>
    <row r="378" spans="1:80" x14ac:dyDescent="0.45">
      <c r="A378" s="11">
        <v>51</v>
      </c>
      <c r="B378" s="12">
        <f t="shared" si="75"/>
        <v>51</v>
      </c>
      <c r="C378" s="12" t="s">
        <v>59</v>
      </c>
      <c r="D378" s="12">
        <v>0</v>
      </c>
      <c r="E378" s="12" t="s">
        <v>53</v>
      </c>
      <c r="F378" s="12">
        <v>0</v>
      </c>
      <c r="G378" s="12">
        <v>1</v>
      </c>
      <c r="H378" s="12" t="s">
        <v>54</v>
      </c>
      <c r="I378" s="12">
        <v>0</v>
      </c>
      <c r="J378" s="12">
        <v>1</v>
      </c>
      <c r="K378" s="12">
        <v>14</v>
      </c>
      <c r="L378" s="12">
        <f t="shared" si="76"/>
        <v>14</v>
      </c>
      <c r="M378" s="12">
        <v>2</v>
      </c>
      <c r="N378" s="12" t="s">
        <v>55</v>
      </c>
      <c r="O378" s="12">
        <v>1</v>
      </c>
      <c r="P378" s="12">
        <v>0</v>
      </c>
      <c r="Q378" s="12">
        <v>0</v>
      </c>
      <c r="R378" s="12">
        <v>0</v>
      </c>
      <c r="S378" s="12">
        <v>0</v>
      </c>
      <c r="T378" s="12">
        <v>3</v>
      </c>
      <c r="U378" s="12" t="s">
        <v>19</v>
      </c>
      <c r="V378" s="12">
        <v>1</v>
      </c>
      <c r="W378" s="12">
        <v>87</v>
      </c>
      <c r="X378" s="12">
        <v>3</v>
      </c>
      <c r="Y378" s="12">
        <v>2</v>
      </c>
      <c r="Z378" s="12" t="s">
        <v>56</v>
      </c>
      <c r="AA378" s="12">
        <v>0</v>
      </c>
      <c r="AB378" s="12">
        <v>1</v>
      </c>
      <c r="AC378" s="12">
        <v>0</v>
      </c>
      <c r="AD378" s="12">
        <v>0</v>
      </c>
      <c r="AE378" s="12">
        <v>0</v>
      </c>
      <c r="AF378" s="12">
        <v>0</v>
      </c>
      <c r="AG378" s="12">
        <v>0</v>
      </c>
      <c r="AH378" s="12">
        <v>0</v>
      </c>
      <c r="AI378" s="12">
        <v>4</v>
      </c>
      <c r="AJ378" s="12" t="s">
        <v>64</v>
      </c>
      <c r="AK378" s="12">
        <v>0</v>
      </c>
      <c r="AL378" s="12">
        <v>1</v>
      </c>
      <c r="AM378" s="12">
        <v>4936</v>
      </c>
      <c r="AN378" s="12">
        <f t="shared" si="77"/>
        <v>4936</v>
      </c>
      <c r="AO378" s="12">
        <v>4</v>
      </c>
      <c r="AP378" s="12" t="s">
        <v>59</v>
      </c>
      <c r="AQ378" s="12">
        <v>0</v>
      </c>
      <c r="AR378" s="12">
        <v>11</v>
      </c>
      <c r="AS378" s="12">
        <v>3</v>
      </c>
      <c r="AT378" s="12">
        <v>3</v>
      </c>
      <c r="AU378" s="12">
        <v>1</v>
      </c>
      <c r="AV378" s="12">
        <v>18</v>
      </c>
      <c r="AW378" s="12">
        <f t="shared" si="78"/>
        <v>18</v>
      </c>
      <c r="AX378" s="12">
        <v>2</v>
      </c>
      <c r="AY378" s="12">
        <v>2</v>
      </c>
      <c r="AZ378" s="12">
        <v>7</v>
      </c>
      <c r="BA378" s="12">
        <f t="shared" si="79"/>
        <v>7</v>
      </c>
      <c r="BB378" s="12">
        <v>7</v>
      </c>
      <c r="BC378" s="12">
        <v>0</v>
      </c>
      <c r="BD378" s="12">
        <f t="shared" si="88"/>
        <v>0</v>
      </c>
      <c r="BE378" s="12">
        <v>7</v>
      </c>
      <c r="BF378" s="12">
        <f t="shared" si="80"/>
        <v>7</v>
      </c>
      <c r="BG378" s="12">
        <f t="shared" si="89"/>
        <v>14</v>
      </c>
      <c r="BH378" s="67">
        <v>0</v>
      </c>
      <c r="BI378" s="67">
        <v>1</v>
      </c>
      <c r="BJ378" s="67">
        <v>0</v>
      </c>
      <c r="BK378" s="67">
        <v>0</v>
      </c>
      <c r="BL378" s="67">
        <v>0</v>
      </c>
      <c r="BM378" s="67">
        <v>0</v>
      </c>
      <c r="BN378" s="67">
        <v>1</v>
      </c>
      <c r="BO378" s="67">
        <v>0</v>
      </c>
      <c r="BP378" s="67">
        <v>0</v>
      </c>
      <c r="BQ378" s="67">
        <v>0</v>
      </c>
      <c r="BR378" s="67">
        <v>7</v>
      </c>
      <c r="BS378" s="67">
        <v>0</v>
      </c>
      <c r="BT378" s="67">
        <v>0</v>
      </c>
      <c r="BU378" s="70">
        <v>18</v>
      </c>
      <c r="BV378" s="29">
        <f t="shared" si="81"/>
        <v>0.33282618441665335</v>
      </c>
      <c r="BW378">
        <f t="shared" si="82"/>
        <v>0.80626709607243985</v>
      </c>
      <c r="BX378">
        <f t="shared" si="83"/>
        <v>0.86371889657480871</v>
      </c>
      <c r="BY378">
        <f t="shared" si="84"/>
        <v>1.3324462240916321E-3</v>
      </c>
      <c r="BZ378">
        <f t="shared" si="85"/>
        <v>0.59301386267751111</v>
      </c>
      <c r="CA378">
        <f t="shared" si="86"/>
        <v>1.5408445525439205</v>
      </c>
      <c r="CB378">
        <f t="shared" si="87"/>
        <v>0.67891464284095016</v>
      </c>
    </row>
    <row r="379" spans="1:80" x14ac:dyDescent="0.45">
      <c r="A379" s="11">
        <v>36</v>
      </c>
      <c r="B379" s="12">
        <f t="shared" si="75"/>
        <v>36</v>
      </c>
      <c r="C379" s="12" t="s">
        <v>59</v>
      </c>
      <c r="D379" s="12">
        <v>0</v>
      </c>
      <c r="E379" s="12" t="s">
        <v>53</v>
      </c>
      <c r="F379" s="12">
        <v>0</v>
      </c>
      <c r="G379" s="12">
        <v>1</v>
      </c>
      <c r="H379" s="12" t="s">
        <v>61</v>
      </c>
      <c r="I379" s="12">
        <v>1</v>
      </c>
      <c r="J379" s="12">
        <v>0</v>
      </c>
      <c r="K379" s="12">
        <v>2</v>
      </c>
      <c r="L379" s="12">
        <f t="shared" si="76"/>
        <v>2</v>
      </c>
      <c r="M379" s="12">
        <v>3</v>
      </c>
      <c r="N379" s="12" t="s">
        <v>55</v>
      </c>
      <c r="O379" s="12">
        <v>1</v>
      </c>
      <c r="P379" s="12">
        <v>0</v>
      </c>
      <c r="Q379" s="12">
        <v>0</v>
      </c>
      <c r="R379" s="12">
        <v>0</v>
      </c>
      <c r="S379" s="12">
        <v>0</v>
      </c>
      <c r="T379" s="12">
        <v>4</v>
      </c>
      <c r="U379" s="12" t="s">
        <v>19</v>
      </c>
      <c r="V379" s="12">
        <v>1</v>
      </c>
      <c r="W379" s="12">
        <v>96</v>
      </c>
      <c r="X379" s="12">
        <v>3</v>
      </c>
      <c r="Y379" s="12">
        <v>1</v>
      </c>
      <c r="Z379" s="12" t="s">
        <v>63</v>
      </c>
      <c r="AA379" s="12">
        <v>0</v>
      </c>
      <c r="AB379" s="12">
        <v>0</v>
      </c>
      <c r="AC379" s="12">
        <v>0</v>
      </c>
      <c r="AD379" s="12">
        <v>0</v>
      </c>
      <c r="AE379" s="12">
        <v>0</v>
      </c>
      <c r="AF379" s="12">
        <v>0</v>
      </c>
      <c r="AG379" s="12">
        <v>0</v>
      </c>
      <c r="AH379" s="12">
        <v>1</v>
      </c>
      <c r="AI379" s="12">
        <v>3</v>
      </c>
      <c r="AJ379" s="12" t="s">
        <v>64</v>
      </c>
      <c r="AK379" s="12">
        <v>0</v>
      </c>
      <c r="AL379" s="12">
        <v>1</v>
      </c>
      <c r="AM379" s="12">
        <v>2543</v>
      </c>
      <c r="AN379" s="12">
        <f t="shared" si="77"/>
        <v>2543</v>
      </c>
      <c r="AO379" s="12">
        <v>4</v>
      </c>
      <c r="AP379" s="12" t="s">
        <v>59</v>
      </c>
      <c r="AQ379" s="12">
        <v>0</v>
      </c>
      <c r="AR379" s="12">
        <v>13</v>
      </c>
      <c r="AS379" s="12">
        <v>3</v>
      </c>
      <c r="AT379" s="12">
        <v>2</v>
      </c>
      <c r="AU379" s="12">
        <v>1</v>
      </c>
      <c r="AV379" s="12">
        <v>6</v>
      </c>
      <c r="AW379" s="12">
        <f t="shared" si="78"/>
        <v>6</v>
      </c>
      <c r="AX379" s="12">
        <v>3</v>
      </c>
      <c r="AY379" s="12">
        <v>3</v>
      </c>
      <c r="AZ379" s="12">
        <v>2</v>
      </c>
      <c r="BA379" s="12">
        <f t="shared" si="79"/>
        <v>2</v>
      </c>
      <c r="BB379" s="12">
        <v>2</v>
      </c>
      <c r="BC379" s="12">
        <v>2</v>
      </c>
      <c r="BD379" s="12">
        <f t="shared" si="88"/>
        <v>2</v>
      </c>
      <c r="BE379" s="12">
        <v>2</v>
      </c>
      <c r="BF379" s="12">
        <f t="shared" si="80"/>
        <v>2</v>
      </c>
      <c r="BG379" s="12">
        <f t="shared" si="89"/>
        <v>2</v>
      </c>
      <c r="BH379" s="67">
        <v>0</v>
      </c>
      <c r="BI379" s="67">
        <v>1</v>
      </c>
      <c r="BJ379" s="67">
        <v>0</v>
      </c>
      <c r="BK379" s="67">
        <v>0</v>
      </c>
      <c r="BL379" s="67">
        <v>0</v>
      </c>
      <c r="BM379" s="67">
        <v>0</v>
      </c>
      <c r="BN379" s="67">
        <v>1</v>
      </c>
      <c r="BO379" s="67">
        <v>0</v>
      </c>
      <c r="BP379" s="67">
        <v>0</v>
      </c>
      <c r="BQ379" s="67">
        <v>2</v>
      </c>
      <c r="BR379" s="67">
        <v>0</v>
      </c>
      <c r="BS379" s="67">
        <v>0</v>
      </c>
      <c r="BT379" s="67">
        <v>6</v>
      </c>
      <c r="BU379" s="70">
        <v>0</v>
      </c>
      <c r="BV379" s="29">
        <f t="shared" si="81"/>
        <v>0.84111462253297042</v>
      </c>
      <c r="BW379">
        <f t="shared" si="82"/>
        <v>0.59502473559756086</v>
      </c>
      <c r="BX379">
        <f t="shared" si="83"/>
        <v>0.67854260110508058</v>
      </c>
      <c r="BY379">
        <f t="shared" si="84"/>
        <v>0.81745575848020657</v>
      </c>
      <c r="BZ379">
        <f t="shared" si="85"/>
        <v>0.88721318382472392</v>
      </c>
      <c r="CA379">
        <f t="shared" si="86"/>
        <v>0.10112443951066327</v>
      </c>
      <c r="CB379">
        <f t="shared" si="87"/>
        <v>5.8265062631872602E-2</v>
      </c>
    </row>
    <row r="380" spans="1:80" x14ac:dyDescent="0.45">
      <c r="A380" s="11">
        <v>34</v>
      </c>
      <c r="B380" s="12">
        <f t="shared" si="75"/>
        <v>34</v>
      </c>
      <c r="C380" s="12" t="s">
        <v>52</v>
      </c>
      <c r="D380" s="12">
        <v>1</v>
      </c>
      <c r="E380" s="12" t="s">
        <v>86</v>
      </c>
      <c r="F380" s="12">
        <v>0</v>
      </c>
      <c r="G380" s="12">
        <v>0</v>
      </c>
      <c r="H380" s="12" t="s">
        <v>54</v>
      </c>
      <c r="I380" s="12">
        <v>0</v>
      </c>
      <c r="J380" s="12">
        <v>1</v>
      </c>
      <c r="K380" s="12">
        <v>19</v>
      </c>
      <c r="L380" s="12">
        <f t="shared" si="76"/>
        <v>19</v>
      </c>
      <c r="M380" s="12">
        <v>3</v>
      </c>
      <c r="N380" s="12" t="s">
        <v>90</v>
      </c>
      <c r="O380" s="12">
        <v>0</v>
      </c>
      <c r="P380" s="12">
        <v>0</v>
      </c>
      <c r="Q380" s="12">
        <v>0</v>
      </c>
      <c r="R380" s="12">
        <v>1</v>
      </c>
      <c r="S380" s="12">
        <v>0</v>
      </c>
      <c r="T380" s="12">
        <v>1</v>
      </c>
      <c r="U380" s="12" t="s">
        <v>62</v>
      </c>
      <c r="V380" s="12">
        <v>0</v>
      </c>
      <c r="W380" s="12">
        <v>67</v>
      </c>
      <c r="X380" s="12">
        <v>4</v>
      </c>
      <c r="Y380" s="12">
        <v>2</v>
      </c>
      <c r="Z380" s="12" t="s">
        <v>56</v>
      </c>
      <c r="AA380" s="12">
        <v>0</v>
      </c>
      <c r="AB380" s="12">
        <v>1</v>
      </c>
      <c r="AC380" s="12">
        <v>0</v>
      </c>
      <c r="AD380" s="12">
        <v>0</v>
      </c>
      <c r="AE380" s="12">
        <v>0</v>
      </c>
      <c r="AF380" s="12">
        <v>0</v>
      </c>
      <c r="AG380" s="12">
        <v>0</v>
      </c>
      <c r="AH380" s="12">
        <v>0</v>
      </c>
      <c r="AI380" s="12">
        <v>4</v>
      </c>
      <c r="AJ380" s="12" t="s">
        <v>57</v>
      </c>
      <c r="AK380" s="12">
        <v>1</v>
      </c>
      <c r="AL380" s="12">
        <v>0</v>
      </c>
      <c r="AM380" s="12">
        <v>5304</v>
      </c>
      <c r="AN380" s="12">
        <f t="shared" si="77"/>
        <v>5304</v>
      </c>
      <c r="AO380" s="12">
        <v>8</v>
      </c>
      <c r="AP380" s="12" t="s">
        <v>52</v>
      </c>
      <c r="AQ380" s="12">
        <v>1</v>
      </c>
      <c r="AR380" s="12">
        <v>13</v>
      </c>
      <c r="AS380" s="12">
        <v>3</v>
      </c>
      <c r="AT380" s="12">
        <v>2</v>
      </c>
      <c r="AU380" s="12">
        <v>0</v>
      </c>
      <c r="AV380" s="12">
        <v>9</v>
      </c>
      <c r="AW380" s="12">
        <f t="shared" si="78"/>
        <v>9</v>
      </c>
      <c r="AX380" s="12">
        <v>3</v>
      </c>
      <c r="AY380" s="12">
        <v>2</v>
      </c>
      <c r="AZ380" s="12">
        <v>5</v>
      </c>
      <c r="BA380" s="12">
        <f t="shared" si="79"/>
        <v>5</v>
      </c>
      <c r="BB380" s="12">
        <v>2</v>
      </c>
      <c r="BC380" s="12">
        <v>0</v>
      </c>
      <c r="BD380" s="12">
        <f t="shared" si="88"/>
        <v>0</v>
      </c>
      <c r="BE380" s="12">
        <v>4</v>
      </c>
      <c r="BF380" s="12">
        <f t="shared" si="80"/>
        <v>4</v>
      </c>
      <c r="BG380" s="12">
        <f t="shared" si="89"/>
        <v>8</v>
      </c>
      <c r="BH380" s="67">
        <v>1</v>
      </c>
      <c r="BI380" s="67">
        <v>0</v>
      </c>
      <c r="BJ380" s="67">
        <v>0</v>
      </c>
      <c r="BK380" s="67">
        <v>0</v>
      </c>
      <c r="BL380" s="67">
        <v>0</v>
      </c>
      <c r="BM380" s="67">
        <v>1</v>
      </c>
      <c r="BN380" s="67">
        <v>0</v>
      </c>
      <c r="BO380" s="67">
        <v>0</v>
      </c>
      <c r="BP380" s="67">
        <v>0</v>
      </c>
      <c r="BQ380" s="67">
        <v>0</v>
      </c>
      <c r="BR380" s="67">
        <v>4</v>
      </c>
      <c r="BS380" s="67">
        <v>0</v>
      </c>
      <c r="BT380" s="67">
        <v>0</v>
      </c>
      <c r="BU380" s="70">
        <v>9</v>
      </c>
      <c r="BV380" s="29">
        <f t="shared" si="81"/>
        <v>0.25466064107072578</v>
      </c>
      <c r="BW380">
        <f t="shared" si="82"/>
        <v>3.4508002929560584E-2</v>
      </c>
      <c r="BX380">
        <f t="shared" si="83"/>
        <v>0.29297722668510823</v>
      </c>
      <c r="BY380">
        <f t="shared" si="84"/>
        <v>0.32778177112653761</v>
      </c>
      <c r="BZ380">
        <f t="shared" si="85"/>
        <v>1.2097751320534422</v>
      </c>
      <c r="CA380">
        <f t="shared" si="86"/>
        <v>0.32005363845127444</v>
      </c>
      <c r="CB380">
        <f t="shared" si="87"/>
        <v>0.67891464284095016</v>
      </c>
    </row>
    <row r="381" spans="1:80" x14ac:dyDescent="0.45">
      <c r="A381" s="11">
        <v>55</v>
      </c>
      <c r="B381" s="12">
        <f t="shared" si="75"/>
        <v>55</v>
      </c>
      <c r="C381" s="12" t="s">
        <v>59</v>
      </c>
      <c r="D381" s="12">
        <v>0</v>
      </c>
      <c r="E381" s="12" t="s">
        <v>53</v>
      </c>
      <c r="F381" s="12">
        <v>0</v>
      </c>
      <c r="G381" s="12">
        <v>1</v>
      </c>
      <c r="H381" s="12" t="s">
        <v>61</v>
      </c>
      <c r="I381" s="12">
        <v>1</v>
      </c>
      <c r="J381" s="12">
        <v>0</v>
      </c>
      <c r="K381" s="12">
        <v>2</v>
      </c>
      <c r="L381" s="12">
        <f t="shared" si="76"/>
        <v>2</v>
      </c>
      <c r="M381" s="12">
        <v>3</v>
      </c>
      <c r="N381" s="12" t="s">
        <v>55</v>
      </c>
      <c r="O381" s="12">
        <v>1</v>
      </c>
      <c r="P381" s="12">
        <v>0</v>
      </c>
      <c r="Q381" s="12">
        <v>0</v>
      </c>
      <c r="R381" s="12">
        <v>0</v>
      </c>
      <c r="S381" s="12">
        <v>0</v>
      </c>
      <c r="T381" s="12">
        <v>3</v>
      </c>
      <c r="U381" s="12" t="s">
        <v>19</v>
      </c>
      <c r="V381" s="12">
        <v>1</v>
      </c>
      <c r="W381" s="12">
        <v>97</v>
      </c>
      <c r="X381" s="12">
        <v>3</v>
      </c>
      <c r="Y381" s="12">
        <v>4</v>
      </c>
      <c r="Z381" s="12" t="s">
        <v>87</v>
      </c>
      <c r="AA381" s="12">
        <v>0</v>
      </c>
      <c r="AB381" s="12">
        <v>0</v>
      </c>
      <c r="AC381" s="12">
        <v>0</v>
      </c>
      <c r="AD381" s="12">
        <v>1</v>
      </c>
      <c r="AE381" s="12">
        <v>0</v>
      </c>
      <c r="AF381" s="12">
        <v>0</v>
      </c>
      <c r="AG381" s="12">
        <v>0</v>
      </c>
      <c r="AH381" s="12">
        <v>0</v>
      </c>
      <c r="AI381" s="12">
        <v>4</v>
      </c>
      <c r="AJ381" s="12" t="s">
        <v>57</v>
      </c>
      <c r="AK381" s="12">
        <v>1</v>
      </c>
      <c r="AL381" s="12">
        <v>0</v>
      </c>
      <c r="AM381" s="12">
        <v>16659</v>
      </c>
      <c r="AN381" s="12">
        <f t="shared" si="77"/>
        <v>16659</v>
      </c>
      <c r="AO381" s="12">
        <v>2</v>
      </c>
      <c r="AP381" s="12" t="s">
        <v>52</v>
      </c>
      <c r="AQ381" s="12">
        <v>1</v>
      </c>
      <c r="AR381" s="12">
        <v>13</v>
      </c>
      <c r="AS381" s="12">
        <v>3</v>
      </c>
      <c r="AT381" s="12">
        <v>3</v>
      </c>
      <c r="AU381" s="12">
        <v>0</v>
      </c>
      <c r="AV381" s="12">
        <v>30</v>
      </c>
      <c r="AW381" s="12">
        <f t="shared" si="78"/>
        <v>30</v>
      </c>
      <c r="AX381" s="12">
        <v>2</v>
      </c>
      <c r="AY381" s="12">
        <v>3</v>
      </c>
      <c r="AZ381" s="12">
        <v>5</v>
      </c>
      <c r="BA381" s="12">
        <f t="shared" si="79"/>
        <v>5</v>
      </c>
      <c r="BB381" s="12">
        <v>4</v>
      </c>
      <c r="BC381" s="12">
        <v>1</v>
      </c>
      <c r="BD381" s="12">
        <f t="shared" si="88"/>
        <v>1</v>
      </c>
      <c r="BE381" s="12">
        <v>2</v>
      </c>
      <c r="BF381" s="12">
        <f t="shared" si="80"/>
        <v>2</v>
      </c>
      <c r="BG381" s="12">
        <f t="shared" si="89"/>
        <v>8</v>
      </c>
      <c r="BH381" s="67">
        <v>1</v>
      </c>
      <c r="BI381" s="67">
        <v>0</v>
      </c>
      <c r="BJ381" s="67">
        <v>0</v>
      </c>
      <c r="BK381" s="67">
        <v>0</v>
      </c>
      <c r="BL381" s="67">
        <v>0</v>
      </c>
      <c r="BM381" s="67">
        <v>1</v>
      </c>
      <c r="BN381" s="67">
        <v>0</v>
      </c>
      <c r="BO381" s="67">
        <v>0</v>
      </c>
      <c r="BP381" s="67">
        <v>0</v>
      </c>
      <c r="BQ381" s="67">
        <v>2</v>
      </c>
      <c r="BR381" s="67">
        <v>0</v>
      </c>
      <c r="BS381" s="67">
        <v>0</v>
      </c>
      <c r="BT381" s="67">
        <v>30</v>
      </c>
      <c r="BU381" s="70">
        <v>0</v>
      </c>
      <c r="BV381" s="29">
        <f t="shared" si="81"/>
        <v>2.1572136651602731</v>
      </c>
      <c r="BW381">
        <f t="shared" si="82"/>
        <v>0.59502473559756086</v>
      </c>
      <c r="BX381">
        <f t="shared" si="83"/>
        <v>2.4059803942546978</v>
      </c>
      <c r="BY381">
        <f t="shared" si="84"/>
        <v>0.32778177112653761</v>
      </c>
      <c r="BZ381">
        <f t="shared" si="85"/>
        <v>0.88721318382472392</v>
      </c>
      <c r="CA381">
        <f t="shared" si="86"/>
        <v>1.9787029504251428</v>
      </c>
      <c r="CB381">
        <f t="shared" si="87"/>
        <v>0.36858985273641137</v>
      </c>
    </row>
    <row r="382" spans="1:80" x14ac:dyDescent="0.45">
      <c r="A382" s="11">
        <v>24</v>
      </c>
      <c r="B382" s="12">
        <f t="shared" si="75"/>
        <v>24</v>
      </c>
      <c r="C382" s="12" t="s">
        <v>59</v>
      </c>
      <c r="D382" s="12">
        <v>0</v>
      </c>
      <c r="E382" s="12" t="s">
        <v>53</v>
      </c>
      <c r="F382" s="12">
        <v>0</v>
      </c>
      <c r="G382" s="12">
        <v>1</v>
      </c>
      <c r="H382" s="12" t="s">
        <v>54</v>
      </c>
      <c r="I382" s="12">
        <v>0</v>
      </c>
      <c r="J382" s="12">
        <v>1</v>
      </c>
      <c r="K382" s="12">
        <v>10</v>
      </c>
      <c r="L382" s="12">
        <f t="shared" si="76"/>
        <v>10</v>
      </c>
      <c r="M382" s="12">
        <v>4</v>
      </c>
      <c r="N382" s="12" t="s">
        <v>90</v>
      </c>
      <c r="O382" s="12">
        <v>0</v>
      </c>
      <c r="P382" s="12">
        <v>0</v>
      </c>
      <c r="Q382" s="12">
        <v>0</v>
      </c>
      <c r="R382" s="12">
        <v>1</v>
      </c>
      <c r="S382" s="12">
        <v>0</v>
      </c>
      <c r="T382" s="12">
        <v>4</v>
      </c>
      <c r="U382" s="12" t="s">
        <v>19</v>
      </c>
      <c r="V382" s="12">
        <v>1</v>
      </c>
      <c r="W382" s="12">
        <v>77</v>
      </c>
      <c r="X382" s="12">
        <v>3</v>
      </c>
      <c r="Y382" s="12">
        <v>2</v>
      </c>
      <c r="Z382" s="12" t="s">
        <v>56</v>
      </c>
      <c r="AA382" s="12">
        <v>0</v>
      </c>
      <c r="AB382" s="12">
        <v>1</v>
      </c>
      <c r="AC382" s="12">
        <v>0</v>
      </c>
      <c r="AD382" s="12">
        <v>0</v>
      </c>
      <c r="AE382" s="12">
        <v>0</v>
      </c>
      <c r="AF382" s="12">
        <v>0</v>
      </c>
      <c r="AG382" s="12">
        <v>0</v>
      </c>
      <c r="AH382" s="12">
        <v>0</v>
      </c>
      <c r="AI382" s="12">
        <v>3</v>
      </c>
      <c r="AJ382" s="12" t="s">
        <v>78</v>
      </c>
      <c r="AK382" s="12">
        <v>0</v>
      </c>
      <c r="AL382" s="12">
        <v>0</v>
      </c>
      <c r="AM382" s="12">
        <v>4260</v>
      </c>
      <c r="AN382" s="12">
        <f t="shared" si="77"/>
        <v>4260</v>
      </c>
      <c r="AO382" s="12">
        <v>1</v>
      </c>
      <c r="AP382" s="12" t="s">
        <v>52</v>
      </c>
      <c r="AQ382" s="12">
        <v>1</v>
      </c>
      <c r="AR382" s="12">
        <v>12</v>
      </c>
      <c r="AS382" s="12">
        <v>3</v>
      </c>
      <c r="AT382" s="12">
        <v>4</v>
      </c>
      <c r="AU382" s="12">
        <v>1</v>
      </c>
      <c r="AV382" s="12">
        <v>5</v>
      </c>
      <c r="AW382" s="12">
        <f t="shared" si="78"/>
        <v>5</v>
      </c>
      <c r="AX382" s="12">
        <v>2</v>
      </c>
      <c r="AY382" s="12">
        <v>4</v>
      </c>
      <c r="AZ382" s="12">
        <v>5</v>
      </c>
      <c r="BA382" s="12">
        <f t="shared" si="79"/>
        <v>5</v>
      </c>
      <c r="BB382" s="12">
        <v>2</v>
      </c>
      <c r="BC382" s="12">
        <v>0</v>
      </c>
      <c r="BD382" s="12">
        <f t="shared" si="88"/>
        <v>0</v>
      </c>
      <c r="BE382" s="12">
        <v>3</v>
      </c>
      <c r="BF382" s="12">
        <f t="shared" si="80"/>
        <v>3</v>
      </c>
      <c r="BG382" s="12">
        <f t="shared" si="89"/>
        <v>6</v>
      </c>
      <c r="BH382" s="67">
        <v>1</v>
      </c>
      <c r="BI382" s="67">
        <v>0</v>
      </c>
      <c r="BJ382" s="67">
        <v>0</v>
      </c>
      <c r="BK382" s="67">
        <v>0</v>
      </c>
      <c r="BL382" s="67">
        <v>0</v>
      </c>
      <c r="BM382" s="67">
        <v>1</v>
      </c>
      <c r="BN382" s="67">
        <v>0</v>
      </c>
      <c r="BO382" s="67">
        <v>0</v>
      </c>
      <c r="BP382" s="67">
        <v>0</v>
      </c>
      <c r="BQ382" s="67">
        <v>0</v>
      </c>
      <c r="BR382" s="67">
        <v>3</v>
      </c>
      <c r="BS382" s="67">
        <v>0</v>
      </c>
      <c r="BT382" s="67">
        <v>0</v>
      </c>
      <c r="BU382" s="70">
        <v>5</v>
      </c>
      <c r="BV382" s="29">
        <f t="shared" si="81"/>
        <v>0.47641288904123769</v>
      </c>
      <c r="BW382">
        <f t="shared" si="82"/>
        <v>0.31476636926356072</v>
      </c>
      <c r="BX382">
        <f t="shared" si="83"/>
        <v>0.80706439257840468</v>
      </c>
      <c r="BY382">
        <f t="shared" si="84"/>
        <v>0.32778177112653761</v>
      </c>
      <c r="BZ382">
        <f t="shared" si="85"/>
        <v>9.9604847176766084E-2</v>
      </c>
      <c r="CA382">
        <f t="shared" si="86"/>
        <v>1.4146996331543302</v>
      </c>
      <c r="CB382">
        <f t="shared" si="87"/>
        <v>0.67891464284095016</v>
      </c>
    </row>
    <row r="383" spans="1:80" x14ac:dyDescent="0.45">
      <c r="A383" s="11">
        <v>30</v>
      </c>
      <c r="B383" s="12">
        <f t="shared" si="75"/>
        <v>30</v>
      </c>
      <c r="C383" s="12" t="s">
        <v>59</v>
      </c>
      <c r="D383" s="12">
        <v>0</v>
      </c>
      <c r="E383" s="12" t="s">
        <v>53</v>
      </c>
      <c r="F383" s="12">
        <v>0</v>
      </c>
      <c r="G383" s="12">
        <v>1</v>
      </c>
      <c r="H383" s="12" t="s">
        <v>54</v>
      </c>
      <c r="I383" s="12">
        <v>0</v>
      </c>
      <c r="J383" s="12">
        <v>1</v>
      </c>
      <c r="K383" s="12">
        <v>2</v>
      </c>
      <c r="L383" s="12">
        <f t="shared" si="76"/>
        <v>2</v>
      </c>
      <c r="M383" s="12">
        <v>1</v>
      </c>
      <c r="N383" s="12" t="s">
        <v>91</v>
      </c>
      <c r="O383" s="12">
        <v>0</v>
      </c>
      <c r="P383" s="12">
        <v>0</v>
      </c>
      <c r="Q383" s="12">
        <v>0</v>
      </c>
      <c r="R383" s="12">
        <v>0</v>
      </c>
      <c r="S383" s="12">
        <v>1</v>
      </c>
      <c r="T383" s="12">
        <v>3</v>
      </c>
      <c r="U383" s="12" t="s">
        <v>62</v>
      </c>
      <c r="V383" s="12">
        <v>0</v>
      </c>
      <c r="W383" s="12">
        <v>72</v>
      </c>
      <c r="X383" s="12">
        <v>3</v>
      </c>
      <c r="Y383" s="12">
        <v>1</v>
      </c>
      <c r="Z383" s="12" t="s">
        <v>88</v>
      </c>
      <c r="AA383" s="12">
        <v>0</v>
      </c>
      <c r="AB383" s="12">
        <v>0</v>
      </c>
      <c r="AC383" s="12">
        <v>0</v>
      </c>
      <c r="AD383" s="12">
        <v>0</v>
      </c>
      <c r="AE383" s="12">
        <v>0</v>
      </c>
      <c r="AF383" s="12">
        <v>0</v>
      </c>
      <c r="AG383" s="12">
        <v>1</v>
      </c>
      <c r="AH383" s="12">
        <v>0</v>
      </c>
      <c r="AI383" s="12">
        <v>2</v>
      </c>
      <c r="AJ383" s="12" t="s">
        <v>64</v>
      </c>
      <c r="AK383" s="12">
        <v>0</v>
      </c>
      <c r="AL383" s="12">
        <v>1</v>
      </c>
      <c r="AM383" s="12">
        <v>2476</v>
      </c>
      <c r="AN383" s="12">
        <f t="shared" si="77"/>
        <v>2476</v>
      </c>
      <c r="AO383" s="12">
        <v>1</v>
      </c>
      <c r="AP383" s="12" t="s">
        <v>59</v>
      </c>
      <c r="AQ383" s="12">
        <v>0</v>
      </c>
      <c r="AR383" s="12">
        <v>18</v>
      </c>
      <c r="AS383" s="12">
        <v>3</v>
      </c>
      <c r="AT383" s="12">
        <v>1</v>
      </c>
      <c r="AU383" s="12">
        <v>1</v>
      </c>
      <c r="AV383" s="12">
        <v>1</v>
      </c>
      <c r="AW383" s="12">
        <f t="shared" si="78"/>
        <v>1</v>
      </c>
      <c r="AX383" s="12">
        <v>3</v>
      </c>
      <c r="AY383" s="12">
        <v>3</v>
      </c>
      <c r="AZ383" s="12">
        <v>1</v>
      </c>
      <c r="BA383" s="12">
        <f t="shared" si="79"/>
        <v>1</v>
      </c>
      <c r="BB383" s="12">
        <v>0</v>
      </c>
      <c r="BC383" s="12">
        <v>0</v>
      </c>
      <c r="BD383" s="12">
        <f t="shared" si="88"/>
        <v>0</v>
      </c>
      <c r="BE383" s="12">
        <v>0</v>
      </c>
      <c r="BF383" s="12">
        <f t="shared" si="80"/>
        <v>0</v>
      </c>
      <c r="BG383" s="12">
        <f t="shared" si="89"/>
        <v>0</v>
      </c>
      <c r="BH383" s="67">
        <v>0</v>
      </c>
      <c r="BI383" s="67">
        <v>1</v>
      </c>
      <c r="BJ383" s="67">
        <v>0</v>
      </c>
      <c r="BK383" s="67">
        <v>0</v>
      </c>
      <c r="BL383" s="67">
        <v>0</v>
      </c>
      <c r="BM383" s="67">
        <v>0</v>
      </c>
      <c r="BN383" s="67">
        <v>1</v>
      </c>
      <c r="BO383" s="67">
        <v>0</v>
      </c>
      <c r="BP383" s="67">
        <v>0</v>
      </c>
      <c r="BQ383" s="67">
        <v>0</v>
      </c>
      <c r="BR383" s="67">
        <v>0</v>
      </c>
      <c r="BS383" s="67">
        <v>0</v>
      </c>
      <c r="BT383" s="67">
        <v>0</v>
      </c>
      <c r="BU383" s="70">
        <v>1</v>
      </c>
      <c r="BV383" s="29">
        <f t="shared" si="81"/>
        <v>0.8553458491747562</v>
      </c>
      <c r="BW383">
        <f t="shared" si="82"/>
        <v>1.1555414682655611</v>
      </c>
      <c r="BX383">
        <f t="shared" si="83"/>
        <v>1.3211515584717011</v>
      </c>
      <c r="BY383">
        <f t="shared" si="84"/>
        <v>0.9806804209314296</v>
      </c>
      <c r="BZ383">
        <f t="shared" si="85"/>
        <v>0.88721318382472392</v>
      </c>
      <c r="CA383">
        <f t="shared" si="86"/>
        <v>0.75791203633249671</v>
      </c>
      <c r="CB383">
        <f t="shared" si="87"/>
        <v>0.67891464284095016</v>
      </c>
    </row>
    <row r="384" spans="1:80" x14ac:dyDescent="0.45">
      <c r="A384" s="11">
        <v>26</v>
      </c>
      <c r="B384" s="12">
        <f t="shared" si="75"/>
        <v>26</v>
      </c>
      <c r="C384" s="12" t="s">
        <v>52</v>
      </c>
      <c r="D384" s="12">
        <v>1</v>
      </c>
      <c r="E384" s="12" t="s">
        <v>60</v>
      </c>
      <c r="F384" s="12">
        <v>1</v>
      </c>
      <c r="G384" s="12">
        <v>0</v>
      </c>
      <c r="H384" s="12" t="s">
        <v>61</v>
      </c>
      <c r="I384" s="12">
        <v>1</v>
      </c>
      <c r="J384" s="12">
        <v>0</v>
      </c>
      <c r="K384" s="12">
        <v>3</v>
      </c>
      <c r="L384" s="12">
        <f t="shared" si="76"/>
        <v>3</v>
      </c>
      <c r="M384" s="12">
        <v>1</v>
      </c>
      <c r="N384" s="12" t="s">
        <v>91</v>
      </c>
      <c r="O384" s="12">
        <v>0</v>
      </c>
      <c r="P384" s="12">
        <v>0</v>
      </c>
      <c r="Q384" s="12">
        <v>0</v>
      </c>
      <c r="R384" s="12">
        <v>0</v>
      </c>
      <c r="S384" s="12">
        <v>1</v>
      </c>
      <c r="T384" s="12">
        <v>3</v>
      </c>
      <c r="U384" s="12" t="s">
        <v>62</v>
      </c>
      <c r="V384" s="12">
        <v>0</v>
      </c>
      <c r="W384" s="12">
        <v>73</v>
      </c>
      <c r="X384" s="12">
        <v>3</v>
      </c>
      <c r="Y384" s="12">
        <v>1</v>
      </c>
      <c r="Z384" s="12" t="s">
        <v>63</v>
      </c>
      <c r="AA384" s="12">
        <v>0</v>
      </c>
      <c r="AB384" s="12">
        <v>0</v>
      </c>
      <c r="AC384" s="12">
        <v>0</v>
      </c>
      <c r="AD384" s="12">
        <v>0</v>
      </c>
      <c r="AE384" s="12">
        <v>0</v>
      </c>
      <c r="AF384" s="12">
        <v>0</v>
      </c>
      <c r="AG384" s="12">
        <v>0</v>
      </c>
      <c r="AH384" s="12">
        <v>1</v>
      </c>
      <c r="AI384" s="12">
        <v>1</v>
      </c>
      <c r="AJ384" s="12" t="s">
        <v>57</v>
      </c>
      <c r="AK384" s="12">
        <v>1</v>
      </c>
      <c r="AL384" s="12">
        <v>0</v>
      </c>
      <c r="AM384" s="12">
        <v>3102</v>
      </c>
      <c r="AN384" s="12">
        <f t="shared" si="77"/>
        <v>3102</v>
      </c>
      <c r="AO384" s="12">
        <v>0</v>
      </c>
      <c r="AP384" s="12" t="s">
        <v>59</v>
      </c>
      <c r="AQ384" s="12">
        <v>0</v>
      </c>
      <c r="AR384" s="12">
        <v>22</v>
      </c>
      <c r="AS384" s="12">
        <v>4</v>
      </c>
      <c r="AT384" s="12">
        <v>3</v>
      </c>
      <c r="AU384" s="12">
        <v>0</v>
      </c>
      <c r="AV384" s="12">
        <v>7</v>
      </c>
      <c r="AW384" s="12">
        <f t="shared" si="78"/>
        <v>7</v>
      </c>
      <c r="AX384" s="12">
        <v>2</v>
      </c>
      <c r="AY384" s="12">
        <v>3</v>
      </c>
      <c r="AZ384" s="12">
        <v>6</v>
      </c>
      <c r="BA384" s="12">
        <f t="shared" si="79"/>
        <v>6</v>
      </c>
      <c r="BB384" s="12">
        <v>4</v>
      </c>
      <c r="BC384" s="12">
        <v>0</v>
      </c>
      <c r="BD384" s="12">
        <f t="shared" si="88"/>
        <v>0</v>
      </c>
      <c r="BE384" s="12">
        <v>4</v>
      </c>
      <c r="BF384" s="12">
        <f t="shared" si="80"/>
        <v>4</v>
      </c>
      <c r="BG384" s="12">
        <f t="shared" si="89"/>
        <v>4</v>
      </c>
      <c r="BH384" s="67">
        <v>0</v>
      </c>
      <c r="BI384" s="67">
        <v>0</v>
      </c>
      <c r="BJ384" s="67">
        <v>1</v>
      </c>
      <c r="BK384" s="67">
        <v>0</v>
      </c>
      <c r="BL384" s="67">
        <v>1</v>
      </c>
      <c r="BM384" s="67">
        <v>0</v>
      </c>
      <c r="BN384" s="67">
        <v>0</v>
      </c>
      <c r="BO384" s="67">
        <v>0</v>
      </c>
      <c r="BP384" s="67">
        <v>0</v>
      </c>
      <c r="BQ384" s="67">
        <v>4</v>
      </c>
      <c r="BR384" s="67">
        <v>0</v>
      </c>
      <c r="BS384" s="67">
        <v>0</v>
      </c>
      <c r="BT384" s="67">
        <v>7</v>
      </c>
      <c r="BU384" s="70">
        <v>0</v>
      </c>
      <c r="BV384" s="29">
        <f t="shared" si="81"/>
        <v>0.72237946293956412</v>
      </c>
      <c r="BW384">
        <f t="shared" si="82"/>
        <v>3.4508002929560584E-2</v>
      </c>
      <c r="BX384">
        <f t="shared" si="83"/>
        <v>0.55002080963175637</v>
      </c>
      <c r="BY384">
        <f t="shared" si="84"/>
        <v>0.16455710867531462</v>
      </c>
      <c r="BZ384">
        <f t="shared" si="85"/>
        <v>0.76386092994953758</v>
      </c>
      <c r="CA384">
        <f t="shared" si="86"/>
        <v>1.195770434213719</v>
      </c>
      <c r="CB384">
        <f t="shared" si="87"/>
        <v>0.67891464284095016</v>
      </c>
    </row>
    <row r="385" spans="1:80" x14ac:dyDescent="0.45">
      <c r="A385" s="11">
        <v>22</v>
      </c>
      <c r="B385" s="12">
        <f t="shared" si="75"/>
        <v>22</v>
      </c>
      <c r="C385" s="12" t="s">
        <v>59</v>
      </c>
      <c r="D385" s="12">
        <v>0</v>
      </c>
      <c r="E385" s="12" t="s">
        <v>53</v>
      </c>
      <c r="F385" s="12">
        <v>0</v>
      </c>
      <c r="G385" s="12">
        <v>1</v>
      </c>
      <c r="H385" s="12" t="s">
        <v>61</v>
      </c>
      <c r="I385" s="12">
        <v>1</v>
      </c>
      <c r="J385" s="12">
        <v>0</v>
      </c>
      <c r="K385" s="12">
        <v>11</v>
      </c>
      <c r="L385" s="12">
        <f t="shared" si="76"/>
        <v>11</v>
      </c>
      <c r="M385" s="12">
        <v>3</v>
      </c>
      <c r="N385" s="12" t="s">
        <v>70</v>
      </c>
      <c r="O385" s="12">
        <v>0</v>
      </c>
      <c r="P385" s="12">
        <v>0</v>
      </c>
      <c r="Q385" s="12">
        <v>1</v>
      </c>
      <c r="R385" s="12">
        <v>0</v>
      </c>
      <c r="S385" s="12">
        <v>0</v>
      </c>
      <c r="T385" s="12">
        <v>1</v>
      </c>
      <c r="U385" s="12" t="s">
        <v>19</v>
      </c>
      <c r="V385" s="12">
        <v>1</v>
      </c>
      <c r="W385" s="12">
        <v>43</v>
      </c>
      <c r="X385" s="12">
        <v>3</v>
      </c>
      <c r="Y385" s="12">
        <v>1</v>
      </c>
      <c r="Z385" s="12" t="s">
        <v>63</v>
      </c>
      <c r="AA385" s="12">
        <v>0</v>
      </c>
      <c r="AB385" s="12">
        <v>0</v>
      </c>
      <c r="AC385" s="12">
        <v>0</v>
      </c>
      <c r="AD385" s="12">
        <v>0</v>
      </c>
      <c r="AE385" s="12">
        <v>0</v>
      </c>
      <c r="AF385" s="12">
        <v>0</v>
      </c>
      <c r="AG385" s="12">
        <v>0</v>
      </c>
      <c r="AH385" s="12">
        <v>1</v>
      </c>
      <c r="AI385" s="12">
        <v>2</v>
      </c>
      <c r="AJ385" s="12" t="s">
        <v>64</v>
      </c>
      <c r="AK385" s="12">
        <v>0</v>
      </c>
      <c r="AL385" s="12">
        <v>1</v>
      </c>
      <c r="AM385" s="12">
        <v>2244</v>
      </c>
      <c r="AN385" s="12">
        <f t="shared" si="77"/>
        <v>2244</v>
      </c>
      <c r="AO385" s="12">
        <v>1</v>
      </c>
      <c r="AP385" s="12" t="s">
        <v>59</v>
      </c>
      <c r="AQ385" s="12">
        <v>0</v>
      </c>
      <c r="AR385" s="12">
        <v>13</v>
      </c>
      <c r="AS385" s="12">
        <v>3</v>
      </c>
      <c r="AT385" s="12">
        <v>4</v>
      </c>
      <c r="AU385" s="12">
        <v>1</v>
      </c>
      <c r="AV385" s="12">
        <v>2</v>
      </c>
      <c r="AW385" s="12">
        <f t="shared" si="78"/>
        <v>2</v>
      </c>
      <c r="AX385" s="12">
        <v>1</v>
      </c>
      <c r="AY385" s="12">
        <v>3</v>
      </c>
      <c r="AZ385" s="12">
        <v>2</v>
      </c>
      <c r="BA385" s="12">
        <f t="shared" si="79"/>
        <v>2</v>
      </c>
      <c r="BB385" s="12">
        <v>1</v>
      </c>
      <c r="BC385" s="12">
        <v>1</v>
      </c>
      <c r="BD385" s="12">
        <f t="shared" si="88"/>
        <v>1</v>
      </c>
      <c r="BE385" s="12">
        <v>2</v>
      </c>
      <c r="BF385" s="12">
        <f t="shared" si="80"/>
        <v>2</v>
      </c>
      <c r="BG385" s="12">
        <f t="shared" si="89"/>
        <v>2</v>
      </c>
      <c r="BH385" s="67">
        <v>0</v>
      </c>
      <c r="BI385" s="67">
        <v>1</v>
      </c>
      <c r="BJ385" s="67">
        <v>0</v>
      </c>
      <c r="BK385" s="67">
        <v>0</v>
      </c>
      <c r="BL385" s="67">
        <v>0</v>
      </c>
      <c r="BM385" s="67">
        <v>0</v>
      </c>
      <c r="BN385" s="67">
        <v>1</v>
      </c>
      <c r="BO385" s="67">
        <v>0</v>
      </c>
      <c r="BP385" s="67">
        <v>0</v>
      </c>
      <c r="BQ385" s="67">
        <v>2</v>
      </c>
      <c r="BR385" s="67">
        <v>0</v>
      </c>
      <c r="BS385" s="67">
        <v>0</v>
      </c>
      <c r="BT385" s="67">
        <v>2</v>
      </c>
      <c r="BU385" s="70">
        <v>0</v>
      </c>
      <c r="BV385" s="29">
        <f t="shared" si="81"/>
        <v>0.90462412650153656</v>
      </c>
      <c r="BW385">
        <f t="shared" si="82"/>
        <v>0.59502473559756086</v>
      </c>
      <c r="BX385">
        <f t="shared" si="83"/>
        <v>1.192629766998377</v>
      </c>
      <c r="BY385">
        <f t="shared" si="84"/>
        <v>0.81745575848020657</v>
      </c>
      <c r="BZ385">
        <f t="shared" si="85"/>
        <v>0.22295710105195232</v>
      </c>
      <c r="CA385">
        <f t="shared" si="86"/>
        <v>1.6336288320949415</v>
      </c>
      <c r="CB385">
        <f t="shared" si="87"/>
        <v>0.36858985273641137</v>
      </c>
    </row>
    <row r="386" spans="1:80" x14ac:dyDescent="0.45">
      <c r="A386" s="11">
        <v>36</v>
      </c>
      <c r="B386" s="12">
        <f t="shared" ref="B386:B449" si="90">IF(A386&gt;$CD$29,$CD$29,IF(A386&lt;$CD$30,$CD$30,A386))</f>
        <v>36</v>
      </c>
      <c r="C386" s="12" t="s">
        <v>59</v>
      </c>
      <c r="D386" s="12">
        <v>0</v>
      </c>
      <c r="E386" s="12" t="s">
        <v>53</v>
      </c>
      <c r="F386" s="12">
        <v>0</v>
      </c>
      <c r="G386" s="12">
        <v>1</v>
      </c>
      <c r="H386" s="12" t="s">
        <v>54</v>
      </c>
      <c r="I386" s="12">
        <v>0</v>
      </c>
      <c r="J386" s="12">
        <v>1</v>
      </c>
      <c r="K386" s="12">
        <v>2</v>
      </c>
      <c r="L386" s="12">
        <f t="shared" ref="L386:L449" si="91">IF(K386&gt;$CD$25,$CD$25,IF(K386&lt;$CD$26,$CD$26,K386))</f>
        <v>2</v>
      </c>
      <c r="M386" s="12">
        <v>2</v>
      </c>
      <c r="N386" s="12" t="s">
        <v>70</v>
      </c>
      <c r="O386" s="12">
        <v>0</v>
      </c>
      <c r="P386" s="12">
        <v>0</v>
      </c>
      <c r="Q386" s="12">
        <v>1</v>
      </c>
      <c r="R386" s="12">
        <v>0</v>
      </c>
      <c r="S386" s="12">
        <v>0</v>
      </c>
      <c r="T386" s="12">
        <v>2</v>
      </c>
      <c r="U386" s="12" t="s">
        <v>62</v>
      </c>
      <c r="V386" s="12">
        <v>0</v>
      </c>
      <c r="W386" s="12">
        <v>61</v>
      </c>
      <c r="X386" s="12">
        <v>2</v>
      </c>
      <c r="Y386" s="12">
        <v>3</v>
      </c>
      <c r="Z386" s="12" t="s">
        <v>56</v>
      </c>
      <c r="AA386" s="12">
        <v>0</v>
      </c>
      <c r="AB386" s="12">
        <v>1</v>
      </c>
      <c r="AC386" s="12">
        <v>0</v>
      </c>
      <c r="AD386" s="12">
        <v>0</v>
      </c>
      <c r="AE386" s="12">
        <v>0</v>
      </c>
      <c r="AF386" s="12">
        <v>0</v>
      </c>
      <c r="AG386" s="12">
        <v>0</v>
      </c>
      <c r="AH386" s="12">
        <v>0</v>
      </c>
      <c r="AI386" s="12">
        <v>3</v>
      </c>
      <c r="AJ386" s="12" t="s">
        <v>64</v>
      </c>
      <c r="AK386" s="12">
        <v>0</v>
      </c>
      <c r="AL386" s="12">
        <v>1</v>
      </c>
      <c r="AM386" s="12">
        <v>7596</v>
      </c>
      <c r="AN386" s="12">
        <f t="shared" ref="AN386:AN449" si="92">IF(AM386&gt;$CD$8,$CD$8,IF(AM386&lt;$CD$9,$CD$9,AM386))</f>
        <v>7596</v>
      </c>
      <c r="AO386" s="12">
        <v>1</v>
      </c>
      <c r="AP386" s="12" t="s">
        <v>59</v>
      </c>
      <c r="AQ386" s="12">
        <v>0</v>
      </c>
      <c r="AR386" s="12">
        <v>13</v>
      </c>
      <c r="AS386" s="12">
        <v>3</v>
      </c>
      <c r="AT386" s="12">
        <v>2</v>
      </c>
      <c r="AU386" s="12">
        <v>2</v>
      </c>
      <c r="AV386" s="12">
        <v>10</v>
      </c>
      <c r="AW386" s="12">
        <f t="shared" ref="AW386:AW449" si="93">IF(AV386&gt;$CD$17,$CD$17,IF(AV386&lt;$CD$18,$CD$18,AV386))</f>
        <v>10</v>
      </c>
      <c r="AX386" s="12">
        <v>2</v>
      </c>
      <c r="AY386" s="12">
        <v>3</v>
      </c>
      <c r="AZ386" s="12">
        <v>10</v>
      </c>
      <c r="BA386" s="12">
        <f t="shared" ref="BA386:BA449" si="94">IF(AZ386&gt; $CD$21,$CD$21,IF(AZ386&lt;$CD$22,$CD$22,AZ386))</f>
        <v>10</v>
      </c>
      <c r="BB386" s="12">
        <v>9</v>
      </c>
      <c r="BC386" s="12">
        <v>9</v>
      </c>
      <c r="BD386" s="12">
        <f t="shared" si="88"/>
        <v>9</v>
      </c>
      <c r="BE386" s="12">
        <v>0</v>
      </c>
      <c r="BF386" s="12">
        <f t="shared" ref="BF386:BF449" si="95">IF(BE386&gt;$CD$12,$CD$12,IF(BE386&lt;$CD$13,$CD$13,BE386))</f>
        <v>0</v>
      </c>
      <c r="BG386" s="12">
        <f t="shared" si="89"/>
        <v>0</v>
      </c>
      <c r="BH386" s="67">
        <v>0</v>
      </c>
      <c r="BI386" s="67">
        <v>1</v>
      </c>
      <c r="BJ386" s="67">
        <v>0</v>
      </c>
      <c r="BK386" s="67">
        <v>0</v>
      </c>
      <c r="BL386" s="67">
        <v>0</v>
      </c>
      <c r="BM386" s="67">
        <v>0</v>
      </c>
      <c r="BN386" s="67">
        <v>1</v>
      </c>
      <c r="BO386" s="67">
        <v>0</v>
      </c>
      <c r="BP386" s="67">
        <v>0</v>
      </c>
      <c r="BQ386" s="67">
        <v>0</v>
      </c>
      <c r="BR386" s="67">
        <v>0</v>
      </c>
      <c r="BS386" s="67">
        <v>0</v>
      </c>
      <c r="BT386" s="67">
        <v>0</v>
      </c>
      <c r="BU386" s="70">
        <v>10</v>
      </c>
      <c r="BV386" s="29">
        <f t="shared" ref="BV386:BV449" si="96">ABS((AM386-AVERAGE(AM:AM))/_xlfn.STDEV.S(AM:AM))</f>
        <v>0.23217475389901879</v>
      </c>
      <c r="BW386">
        <f t="shared" ref="BW386:BW449" si="97">ABS((BE386-AVERAGE(BE:BE))/_xlfn.STDEV.S(BE:BE))</f>
        <v>1.1555414682655611</v>
      </c>
      <c r="BX386">
        <f t="shared" ref="BX386:BX449" si="98">ABS((AV386-AVERAGE(AV:AV))/_xlfn.STDEV.S(AV:AV))</f>
        <v>0.1644554352117841</v>
      </c>
      <c r="BY386">
        <f t="shared" ref="BY386:BY449" si="99">ABS((AZ386-AVERAGE(AZ:AZ))/_xlfn.STDEV.S(AZ:AZ))</f>
        <v>0.48834154112957734</v>
      </c>
      <c r="BZ386">
        <f t="shared" ref="BZ386:BZ449" si="100">ABS((K386-AVERAGE(K:K))/_xlfn.STDEV.S(K:K))</f>
        <v>0.88721318382472392</v>
      </c>
      <c r="CA386">
        <f t="shared" ref="CA386:CA449" si="101">ABS((A386-AVERAGE(A:A))/_xlfn.STDEV.S(A:A))</f>
        <v>0.10112443951066327</v>
      </c>
      <c r="CB386">
        <f t="shared" ref="CB386:CB449" si="102">ABS((BC386-AVERAGE(BC:BC))/_xlfn.STDEV.S(BC:BC))</f>
        <v>2.114008468099899</v>
      </c>
    </row>
    <row r="387" spans="1:80" x14ac:dyDescent="0.45">
      <c r="A387" s="11">
        <v>30</v>
      </c>
      <c r="B387" s="12">
        <f t="shared" si="90"/>
        <v>30</v>
      </c>
      <c r="C387" s="12" t="s">
        <v>52</v>
      </c>
      <c r="D387" s="12">
        <v>1</v>
      </c>
      <c r="E387" s="12" t="s">
        <v>60</v>
      </c>
      <c r="F387" s="12">
        <v>1</v>
      </c>
      <c r="G387" s="12">
        <v>0</v>
      </c>
      <c r="H387" s="12" t="s">
        <v>61</v>
      </c>
      <c r="I387" s="12">
        <v>1</v>
      </c>
      <c r="J387" s="12">
        <v>0</v>
      </c>
      <c r="K387" s="12">
        <v>4</v>
      </c>
      <c r="L387" s="12">
        <f t="shared" si="91"/>
        <v>4</v>
      </c>
      <c r="M387" s="12">
        <v>3</v>
      </c>
      <c r="N387" s="12" t="s">
        <v>91</v>
      </c>
      <c r="O387" s="12">
        <v>0</v>
      </c>
      <c r="P387" s="12">
        <v>0</v>
      </c>
      <c r="Q387" s="12">
        <v>0</v>
      </c>
      <c r="R387" s="12">
        <v>0</v>
      </c>
      <c r="S387" s="12">
        <v>1</v>
      </c>
      <c r="T387" s="12">
        <v>3</v>
      </c>
      <c r="U387" s="12" t="s">
        <v>62</v>
      </c>
      <c r="V387" s="12">
        <v>0</v>
      </c>
      <c r="W387" s="12">
        <v>40</v>
      </c>
      <c r="X387" s="12">
        <v>3</v>
      </c>
      <c r="Y387" s="12">
        <v>1</v>
      </c>
      <c r="Z387" s="12" t="s">
        <v>63</v>
      </c>
      <c r="AA387" s="12">
        <v>0</v>
      </c>
      <c r="AB387" s="12">
        <v>0</v>
      </c>
      <c r="AC387" s="12">
        <v>0</v>
      </c>
      <c r="AD387" s="12">
        <v>0</v>
      </c>
      <c r="AE387" s="12">
        <v>0</v>
      </c>
      <c r="AF387" s="12">
        <v>0</v>
      </c>
      <c r="AG387" s="12">
        <v>0</v>
      </c>
      <c r="AH387" s="12">
        <v>1</v>
      </c>
      <c r="AI387" s="12">
        <v>4</v>
      </c>
      <c r="AJ387" s="12" t="s">
        <v>57</v>
      </c>
      <c r="AK387" s="12">
        <v>1</v>
      </c>
      <c r="AL387" s="12">
        <v>0</v>
      </c>
      <c r="AM387" s="12">
        <v>2285</v>
      </c>
      <c r="AN387" s="12">
        <f t="shared" si="92"/>
        <v>2285</v>
      </c>
      <c r="AO387" s="12">
        <v>9</v>
      </c>
      <c r="AP387" s="12" t="s">
        <v>52</v>
      </c>
      <c r="AQ387" s="12">
        <v>1</v>
      </c>
      <c r="AR387" s="12">
        <v>23</v>
      </c>
      <c r="AS387" s="12">
        <v>4</v>
      </c>
      <c r="AT387" s="12">
        <v>3</v>
      </c>
      <c r="AU387" s="12">
        <v>0</v>
      </c>
      <c r="AV387" s="12">
        <v>3</v>
      </c>
      <c r="AW387" s="12">
        <f t="shared" si="93"/>
        <v>3</v>
      </c>
      <c r="AX387" s="12">
        <v>4</v>
      </c>
      <c r="AY387" s="12">
        <v>3</v>
      </c>
      <c r="AZ387" s="12">
        <v>1</v>
      </c>
      <c r="BA387" s="12">
        <f t="shared" si="94"/>
        <v>1</v>
      </c>
      <c r="BB387" s="12">
        <v>0</v>
      </c>
      <c r="BC387" s="12">
        <v>0</v>
      </c>
      <c r="BD387" s="12">
        <f t="shared" ref="BD387:BD450" si="103">IF(BC387&gt;$CD$33,$CD$33,BC387)</f>
        <v>0</v>
      </c>
      <c r="BE387" s="12">
        <v>0</v>
      </c>
      <c r="BF387" s="12">
        <f t="shared" si="95"/>
        <v>0</v>
      </c>
      <c r="BG387" s="12">
        <f t="shared" ref="BG387:BG450" si="104">BF387*Y387</f>
        <v>0</v>
      </c>
      <c r="BH387" s="67">
        <v>0</v>
      </c>
      <c r="BI387" s="67">
        <v>0</v>
      </c>
      <c r="BJ387" s="67">
        <v>1</v>
      </c>
      <c r="BK387" s="67">
        <v>0</v>
      </c>
      <c r="BL387" s="67">
        <v>0</v>
      </c>
      <c r="BM387" s="67">
        <v>1</v>
      </c>
      <c r="BN387" s="67">
        <v>0</v>
      </c>
      <c r="BO387" s="67">
        <v>0</v>
      </c>
      <c r="BP387" s="67">
        <v>0</v>
      </c>
      <c r="BQ387" s="67">
        <v>0</v>
      </c>
      <c r="BR387" s="67">
        <v>0</v>
      </c>
      <c r="BS387" s="67">
        <v>0</v>
      </c>
      <c r="BT387" s="67">
        <v>3</v>
      </c>
      <c r="BU387" s="70">
        <v>0</v>
      </c>
      <c r="BV387" s="29">
        <f t="shared" si="96"/>
        <v>0.89591546542223488</v>
      </c>
      <c r="BW387">
        <f t="shared" si="97"/>
        <v>1.1555414682655611</v>
      </c>
      <c r="BX387">
        <f t="shared" si="98"/>
        <v>1.0641079755250529</v>
      </c>
      <c r="BY387">
        <f t="shared" si="99"/>
        <v>0.9806804209314296</v>
      </c>
      <c r="BZ387">
        <f t="shared" si="100"/>
        <v>0.64050867607435136</v>
      </c>
      <c r="CA387">
        <f t="shared" si="101"/>
        <v>0.75791203633249671</v>
      </c>
      <c r="CB387">
        <f t="shared" si="102"/>
        <v>0.67891464284095016</v>
      </c>
    </row>
    <row r="388" spans="1:80" x14ac:dyDescent="0.45">
      <c r="A388" s="11">
        <v>37</v>
      </c>
      <c r="B388" s="12">
        <f t="shared" si="90"/>
        <v>37</v>
      </c>
      <c r="C388" s="12" t="s">
        <v>59</v>
      </c>
      <c r="D388" s="12">
        <v>0</v>
      </c>
      <c r="E388" s="12" t="s">
        <v>53</v>
      </c>
      <c r="F388" s="12">
        <v>0</v>
      </c>
      <c r="G388" s="12">
        <v>1</v>
      </c>
      <c r="H388" s="12" t="s">
        <v>61</v>
      </c>
      <c r="I388" s="12">
        <v>1</v>
      </c>
      <c r="J388" s="12">
        <v>0</v>
      </c>
      <c r="K388" s="12">
        <v>14</v>
      </c>
      <c r="L388" s="12">
        <f t="shared" si="91"/>
        <v>14</v>
      </c>
      <c r="M388" s="12">
        <v>3</v>
      </c>
      <c r="N388" s="12" t="s">
        <v>55</v>
      </c>
      <c r="O388" s="12">
        <v>1</v>
      </c>
      <c r="P388" s="12">
        <v>0</v>
      </c>
      <c r="Q388" s="12">
        <v>0</v>
      </c>
      <c r="R388" s="12">
        <v>0</v>
      </c>
      <c r="S388" s="12">
        <v>0</v>
      </c>
      <c r="T388" s="12">
        <v>4</v>
      </c>
      <c r="U388" s="12" t="s">
        <v>19</v>
      </c>
      <c r="V388" s="12">
        <v>1</v>
      </c>
      <c r="W388" s="12">
        <v>95</v>
      </c>
      <c r="X388" s="12">
        <v>3</v>
      </c>
      <c r="Y388" s="12">
        <v>1</v>
      </c>
      <c r="Z388" s="12" t="s">
        <v>67</v>
      </c>
      <c r="AA388" s="12">
        <v>0</v>
      </c>
      <c r="AB388" s="12">
        <v>0</v>
      </c>
      <c r="AC388" s="12">
        <v>1</v>
      </c>
      <c r="AD388" s="12">
        <v>0</v>
      </c>
      <c r="AE388" s="12">
        <v>0</v>
      </c>
      <c r="AF388" s="12">
        <v>0</v>
      </c>
      <c r="AG388" s="12">
        <v>0</v>
      </c>
      <c r="AH388" s="12">
        <v>0</v>
      </c>
      <c r="AI388" s="12">
        <v>1</v>
      </c>
      <c r="AJ388" s="12" t="s">
        <v>78</v>
      </c>
      <c r="AK388" s="12">
        <v>0</v>
      </c>
      <c r="AL388" s="12">
        <v>0</v>
      </c>
      <c r="AM388" s="12">
        <v>3034</v>
      </c>
      <c r="AN388" s="12">
        <f t="shared" si="92"/>
        <v>3034</v>
      </c>
      <c r="AO388" s="12">
        <v>1</v>
      </c>
      <c r="AP388" s="12" t="s">
        <v>59</v>
      </c>
      <c r="AQ388" s="12">
        <v>0</v>
      </c>
      <c r="AR388" s="12">
        <v>12</v>
      </c>
      <c r="AS388" s="12">
        <v>3</v>
      </c>
      <c r="AT388" s="12">
        <v>3</v>
      </c>
      <c r="AU388" s="12">
        <v>1</v>
      </c>
      <c r="AV388" s="12">
        <v>18</v>
      </c>
      <c r="AW388" s="12">
        <f t="shared" si="93"/>
        <v>18</v>
      </c>
      <c r="AX388" s="12">
        <v>2</v>
      </c>
      <c r="AY388" s="12">
        <v>2</v>
      </c>
      <c r="AZ388" s="12">
        <v>18</v>
      </c>
      <c r="BA388" s="12">
        <f t="shared" si="94"/>
        <v>18</v>
      </c>
      <c r="BB388" s="12">
        <v>7</v>
      </c>
      <c r="BC388" s="12">
        <v>12</v>
      </c>
      <c r="BD388" s="12">
        <f t="shared" si="103"/>
        <v>12</v>
      </c>
      <c r="BE388" s="12">
        <v>17</v>
      </c>
      <c r="BF388" s="12">
        <f t="shared" si="95"/>
        <v>14</v>
      </c>
      <c r="BG388" s="12">
        <f t="shared" si="104"/>
        <v>14</v>
      </c>
      <c r="BH388" s="67">
        <v>1</v>
      </c>
      <c r="BI388" s="67">
        <v>0</v>
      </c>
      <c r="BJ388" s="67">
        <v>0</v>
      </c>
      <c r="BK388" s="67">
        <v>0</v>
      </c>
      <c r="BL388" s="67">
        <v>1</v>
      </c>
      <c r="BM388" s="67">
        <v>0</v>
      </c>
      <c r="BN388" s="67">
        <v>0</v>
      </c>
      <c r="BO388" s="67">
        <v>0</v>
      </c>
      <c r="BP388" s="67">
        <v>0</v>
      </c>
      <c r="BQ388" s="67">
        <v>14</v>
      </c>
      <c r="BR388" s="67">
        <v>0</v>
      </c>
      <c r="BS388" s="67">
        <v>0</v>
      </c>
      <c r="BT388" s="67">
        <v>18</v>
      </c>
      <c r="BU388" s="70">
        <v>0</v>
      </c>
      <c r="BV388" s="29">
        <f t="shared" si="96"/>
        <v>0.73682309594913775</v>
      </c>
      <c r="BW388">
        <f t="shared" si="97"/>
        <v>3.6088507594124417</v>
      </c>
      <c r="BX388">
        <f t="shared" si="98"/>
        <v>0.86371889657480871</v>
      </c>
      <c r="BY388">
        <f t="shared" si="99"/>
        <v>1.794138840739361</v>
      </c>
      <c r="BZ388">
        <f t="shared" si="100"/>
        <v>0.59301386267751111</v>
      </c>
      <c r="CA388">
        <f t="shared" si="101"/>
        <v>8.3401599596422994E-3</v>
      </c>
      <c r="CB388">
        <f t="shared" si="102"/>
        <v>3.0449828384135156</v>
      </c>
    </row>
    <row r="389" spans="1:80" x14ac:dyDescent="0.45">
      <c r="A389" s="11">
        <v>40</v>
      </c>
      <c r="B389" s="12">
        <f t="shared" si="90"/>
        <v>40</v>
      </c>
      <c r="C389" s="12" t="s">
        <v>59</v>
      </c>
      <c r="D389" s="12">
        <v>0</v>
      </c>
      <c r="E389" s="12" t="s">
        <v>53</v>
      </c>
      <c r="F389" s="12">
        <v>0</v>
      </c>
      <c r="G389" s="12">
        <v>1</v>
      </c>
      <c r="H389" s="12" t="s">
        <v>54</v>
      </c>
      <c r="I389" s="12">
        <v>0</v>
      </c>
      <c r="J389" s="12">
        <v>1</v>
      </c>
      <c r="K389" s="12">
        <v>2</v>
      </c>
      <c r="L389" s="12">
        <f t="shared" si="91"/>
        <v>2</v>
      </c>
      <c r="M389" s="12">
        <v>2</v>
      </c>
      <c r="N389" s="12" t="s">
        <v>90</v>
      </c>
      <c r="O389" s="12">
        <v>0</v>
      </c>
      <c r="P389" s="12">
        <v>0</v>
      </c>
      <c r="Q389" s="12">
        <v>0</v>
      </c>
      <c r="R389" s="12">
        <v>1</v>
      </c>
      <c r="S389" s="12">
        <v>0</v>
      </c>
      <c r="T389" s="12">
        <v>4</v>
      </c>
      <c r="U389" s="12" t="s">
        <v>19</v>
      </c>
      <c r="V389" s="12">
        <v>1</v>
      </c>
      <c r="W389" s="12">
        <v>46</v>
      </c>
      <c r="X389" s="12">
        <v>3</v>
      </c>
      <c r="Y389" s="12">
        <v>2</v>
      </c>
      <c r="Z389" s="12" t="s">
        <v>56</v>
      </c>
      <c r="AA389" s="12">
        <v>0</v>
      </c>
      <c r="AB389" s="12">
        <v>1</v>
      </c>
      <c r="AC389" s="12">
        <v>0</v>
      </c>
      <c r="AD389" s="12">
        <v>0</v>
      </c>
      <c r="AE389" s="12">
        <v>0</v>
      </c>
      <c r="AF389" s="12">
        <v>0</v>
      </c>
      <c r="AG389" s="12">
        <v>0</v>
      </c>
      <c r="AH389" s="12">
        <v>0</v>
      </c>
      <c r="AI389" s="12">
        <v>2</v>
      </c>
      <c r="AJ389" s="12" t="s">
        <v>78</v>
      </c>
      <c r="AK389" s="12">
        <v>0</v>
      </c>
      <c r="AL389" s="12">
        <v>0</v>
      </c>
      <c r="AM389" s="12">
        <v>5715</v>
      </c>
      <c r="AN389" s="12">
        <f t="shared" si="92"/>
        <v>5715</v>
      </c>
      <c r="AO389" s="12">
        <v>7</v>
      </c>
      <c r="AP389" s="12" t="s">
        <v>59</v>
      </c>
      <c r="AQ389" s="12">
        <v>0</v>
      </c>
      <c r="AR389" s="12">
        <v>12</v>
      </c>
      <c r="AS389" s="12">
        <v>3</v>
      </c>
      <c r="AT389" s="12">
        <v>3</v>
      </c>
      <c r="AU389" s="12">
        <v>2</v>
      </c>
      <c r="AV389" s="12">
        <v>8</v>
      </c>
      <c r="AW389" s="12">
        <f t="shared" si="93"/>
        <v>8</v>
      </c>
      <c r="AX389" s="12">
        <v>5</v>
      </c>
      <c r="AY389" s="12">
        <v>3</v>
      </c>
      <c r="AZ389" s="12">
        <v>5</v>
      </c>
      <c r="BA389" s="12">
        <f t="shared" si="94"/>
        <v>5</v>
      </c>
      <c r="BB389" s="12">
        <v>4</v>
      </c>
      <c r="BC389" s="12">
        <v>1</v>
      </c>
      <c r="BD389" s="12">
        <f t="shared" si="103"/>
        <v>1</v>
      </c>
      <c r="BE389" s="12">
        <v>3</v>
      </c>
      <c r="BF389" s="12">
        <f t="shared" si="95"/>
        <v>3</v>
      </c>
      <c r="BG389" s="12">
        <f t="shared" si="104"/>
        <v>6</v>
      </c>
      <c r="BH389" s="67">
        <v>1</v>
      </c>
      <c r="BI389" s="67">
        <v>0</v>
      </c>
      <c r="BJ389" s="67">
        <v>0</v>
      </c>
      <c r="BK389" s="67">
        <v>0</v>
      </c>
      <c r="BL389" s="67">
        <v>1</v>
      </c>
      <c r="BM389" s="67">
        <v>0</v>
      </c>
      <c r="BN389" s="67">
        <v>0</v>
      </c>
      <c r="BO389" s="67">
        <v>0</v>
      </c>
      <c r="BP389" s="67">
        <v>0</v>
      </c>
      <c r="BQ389" s="67">
        <v>0</v>
      </c>
      <c r="BR389" s="67">
        <v>3</v>
      </c>
      <c r="BS389" s="67">
        <v>0</v>
      </c>
      <c r="BT389" s="67">
        <v>0</v>
      </c>
      <c r="BU389" s="70">
        <v>8</v>
      </c>
      <c r="BV389" s="29">
        <f t="shared" si="96"/>
        <v>0.16736162390992079</v>
      </c>
      <c r="BW389">
        <f t="shared" si="97"/>
        <v>0.31476636926356072</v>
      </c>
      <c r="BX389">
        <f t="shared" si="98"/>
        <v>0.42149901815843233</v>
      </c>
      <c r="BY389">
        <f t="shared" si="99"/>
        <v>0.32778177112653761</v>
      </c>
      <c r="BZ389">
        <f t="shared" si="100"/>
        <v>0.88721318382472392</v>
      </c>
      <c r="CA389">
        <f t="shared" si="101"/>
        <v>0.33673395837055903</v>
      </c>
      <c r="CB389">
        <f t="shared" si="102"/>
        <v>0.36858985273641137</v>
      </c>
    </row>
    <row r="390" spans="1:80" x14ac:dyDescent="0.45">
      <c r="A390" s="11">
        <v>42</v>
      </c>
      <c r="B390" s="12">
        <f t="shared" si="90"/>
        <v>42</v>
      </c>
      <c r="C390" s="12" t="s">
        <v>59</v>
      </c>
      <c r="D390" s="12">
        <v>0</v>
      </c>
      <c r="E390" s="12" t="s">
        <v>53</v>
      </c>
      <c r="F390" s="12">
        <v>0</v>
      </c>
      <c r="G390" s="12">
        <v>1</v>
      </c>
      <c r="H390" s="12" t="s">
        <v>61</v>
      </c>
      <c r="I390" s="12">
        <v>1</v>
      </c>
      <c r="J390" s="12">
        <v>0</v>
      </c>
      <c r="K390" s="12">
        <v>1</v>
      </c>
      <c r="L390" s="12">
        <f t="shared" si="91"/>
        <v>1</v>
      </c>
      <c r="M390" s="12">
        <v>4</v>
      </c>
      <c r="N390" s="12" t="s">
        <v>55</v>
      </c>
      <c r="O390" s="12">
        <v>1</v>
      </c>
      <c r="P390" s="12">
        <v>0</v>
      </c>
      <c r="Q390" s="12">
        <v>0</v>
      </c>
      <c r="R390" s="12">
        <v>0</v>
      </c>
      <c r="S390" s="12">
        <v>0</v>
      </c>
      <c r="T390" s="12">
        <v>2</v>
      </c>
      <c r="U390" s="12" t="s">
        <v>19</v>
      </c>
      <c r="V390" s="12">
        <v>1</v>
      </c>
      <c r="W390" s="12">
        <v>95</v>
      </c>
      <c r="X390" s="12">
        <v>3</v>
      </c>
      <c r="Y390" s="12">
        <v>1</v>
      </c>
      <c r="Z390" s="12" t="s">
        <v>67</v>
      </c>
      <c r="AA390" s="12">
        <v>0</v>
      </c>
      <c r="AB390" s="12">
        <v>0</v>
      </c>
      <c r="AC390" s="12">
        <v>1</v>
      </c>
      <c r="AD390" s="12">
        <v>0</v>
      </c>
      <c r="AE390" s="12">
        <v>0</v>
      </c>
      <c r="AF390" s="12">
        <v>0</v>
      </c>
      <c r="AG390" s="12">
        <v>0</v>
      </c>
      <c r="AH390" s="12">
        <v>0</v>
      </c>
      <c r="AI390" s="12">
        <v>1</v>
      </c>
      <c r="AJ390" s="12" t="s">
        <v>78</v>
      </c>
      <c r="AK390" s="12">
        <v>0</v>
      </c>
      <c r="AL390" s="12">
        <v>0</v>
      </c>
      <c r="AM390" s="12">
        <v>2576</v>
      </c>
      <c r="AN390" s="12">
        <f t="shared" si="92"/>
        <v>2576</v>
      </c>
      <c r="AO390" s="12">
        <v>3</v>
      </c>
      <c r="AP390" s="12" t="s">
        <v>59</v>
      </c>
      <c r="AQ390" s="12">
        <v>0</v>
      </c>
      <c r="AR390" s="12">
        <v>16</v>
      </c>
      <c r="AS390" s="12">
        <v>3</v>
      </c>
      <c r="AT390" s="12">
        <v>2</v>
      </c>
      <c r="AU390" s="12">
        <v>1</v>
      </c>
      <c r="AV390" s="12">
        <v>8</v>
      </c>
      <c r="AW390" s="12">
        <f t="shared" si="93"/>
        <v>8</v>
      </c>
      <c r="AX390" s="12">
        <v>5</v>
      </c>
      <c r="AY390" s="12">
        <v>3</v>
      </c>
      <c r="AZ390" s="12">
        <v>5</v>
      </c>
      <c r="BA390" s="12">
        <f t="shared" si="94"/>
        <v>5</v>
      </c>
      <c r="BB390" s="12">
        <v>2</v>
      </c>
      <c r="BC390" s="12">
        <v>1</v>
      </c>
      <c r="BD390" s="12">
        <f t="shared" si="103"/>
        <v>1</v>
      </c>
      <c r="BE390" s="12">
        <v>2</v>
      </c>
      <c r="BF390" s="12">
        <f t="shared" si="95"/>
        <v>2</v>
      </c>
      <c r="BG390" s="12">
        <f t="shared" si="104"/>
        <v>2</v>
      </c>
      <c r="BH390" s="67">
        <v>1</v>
      </c>
      <c r="BI390" s="67">
        <v>0</v>
      </c>
      <c r="BJ390" s="67">
        <v>0</v>
      </c>
      <c r="BK390" s="67">
        <v>0</v>
      </c>
      <c r="BL390" s="67">
        <v>1</v>
      </c>
      <c r="BM390" s="67">
        <v>0</v>
      </c>
      <c r="BN390" s="67">
        <v>0</v>
      </c>
      <c r="BO390" s="67">
        <v>0</v>
      </c>
      <c r="BP390" s="67">
        <v>0</v>
      </c>
      <c r="BQ390" s="67">
        <v>2</v>
      </c>
      <c r="BR390" s="67">
        <v>0</v>
      </c>
      <c r="BS390" s="67">
        <v>0</v>
      </c>
      <c r="BT390" s="67">
        <v>8</v>
      </c>
      <c r="BU390" s="70">
        <v>0</v>
      </c>
      <c r="BV390" s="29">
        <f t="shared" si="96"/>
        <v>0.83410521239597146</v>
      </c>
      <c r="BW390">
        <f t="shared" si="97"/>
        <v>0.59502473559756086</v>
      </c>
      <c r="BX390">
        <f t="shared" si="98"/>
        <v>0.42149901815843233</v>
      </c>
      <c r="BY390">
        <f t="shared" si="99"/>
        <v>0.32778177112653761</v>
      </c>
      <c r="BZ390">
        <f t="shared" si="100"/>
        <v>1.01056543769991</v>
      </c>
      <c r="CA390">
        <f t="shared" si="101"/>
        <v>0.55566315731117022</v>
      </c>
      <c r="CB390">
        <f t="shared" si="102"/>
        <v>0.36858985273641137</v>
      </c>
    </row>
    <row r="391" spans="1:80" x14ac:dyDescent="0.45">
      <c r="A391" s="11">
        <v>37</v>
      </c>
      <c r="B391" s="12">
        <f t="shared" si="90"/>
        <v>37</v>
      </c>
      <c r="C391" s="12" t="s">
        <v>59</v>
      </c>
      <c r="D391" s="12">
        <v>0</v>
      </c>
      <c r="E391" s="12" t="s">
        <v>53</v>
      </c>
      <c r="F391" s="12">
        <v>0</v>
      </c>
      <c r="G391" s="12">
        <v>1</v>
      </c>
      <c r="H391" s="12" t="s">
        <v>61</v>
      </c>
      <c r="I391" s="12">
        <v>1</v>
      </c>
      <c r="J391" s="12">
        <v>0</v>
      </c>
      <c r="K391" s="12">
        <v>10</v>
      </c>
      <c r="L391" s="12">
        <f t="shared" si="91"/>
        <v>10</v>
      </c>
      <c r="M391" s="12">
        <v>4</v>
      </c>
      <c r="N391" s="12" t="s">
        <v>55</v>
      </c>
      <c r="O391" s="12">
        <v>1</v>
      </c>
      <c r="P391" s="12">
        <v>0</v>
      </c>
      <c r="Q391" s="12">
        <v>0</v>
      </c>
      <c r="R391" s="12">
        <v>0</v>
      </c>
      <c r="S391" s="12">
        <v>0</v>
      </c>
      <c r="T391" s="12">
        <v>3</v>
      </c>
      <c r="U391" s="12" t="s">
        <v>62</v>
      </c>
      <c r="V391" s="12">
        <v>0</v>
      </c>
      <c r="W391" s="12">
        <v>49</v>
      </c>
      <c r="X391" s="12">
        <v>3</v>
      </c>
      <c r="Y391" s="12">
        <v>2</v>
      </c>
      <c r="Z391" s="12" t="s">
        <v>83</v>
      </c>
      <c r="AA391" s="12">
        <v>0</v>
      </c>
      <c r="AB391" s="12">
        <v>0</v>
      </c>
      <c r="AC391" s="12">
        <v>0</v>
      </c>
      <c r="AD391" s="12">
        <v>0</v>
      </c>
      <c r="AE391" s="12">
        <v>1</v>
      </c>
      <c r="AF391" s="12">
        <v>1</v>
      </c>
      <c r="AG391" s="12">
        <v>0</v>
      </c>
      <c r="AH391" s="12">
        <v>0</v>
      </c>
      <c r="AI391" s="12">
        <v>2</v>
      </c>
      <c r="AJ391" s="12" t="s">
        <v>57</v>
      </c>
      <c r="AK391" s="12">
        <v>1</v>
      </c>
      <c r="AL391" s="12">
        <v>0</v>
      </c>
      <c r="AM391" s="12">
        <v>4197</v>
      </c>
      <c r="AN391" s="12">
        <f t="shared" si="92"/>
        <v>4197</v>
      </c>
      <c r="AO391" s="12">
        <v>2</v>
      </c>
      <c r="AP391" s="12" t="s">
        <v>52</v>
      </c>
      <c r="AQ391" s="12">
        <v>1</v>
      </c>
      <c r="AR391" s="12">
        <v>12</v>
      </c>
      <c r="AS391" s="12">
        <v>3</v>
      </c>
      <c r="AT391" s="12">
        <v>4</v>
      </c>
      <c r="AU391" s="12">
        <v>0</v>
      </c>
      <c r="AV391" s="12">
        <v>18</v>
      </c>
      <c r="AW391" s="12">
        <f t="shared" si="93"/>
        <v>18</v>
      </c>
      <c r="AX391" s="12">
        <v>2</v>
      </c>
      <c r="AY391" s="12">
        <v>2</v>
      </c>
      <c r="AZ391" s="12">
        <v>1</v>
      </c>
      <c r="BA391" s="12">
        <f t="shared" si="94"/>
        <v>1</v>
      </c>
      <c r="BB391" s="12">
        <v>0</v>
      </c>
      <c r="BC391" s="12">
        <v>0</v>
      </c>
      <c r="BD391" s="12">
        <f t="shared" si="103"/>
        <v>0</v>
      </c>
      <c r="BE391" s="12">
        <v>1</v>
      </c>
      <c r="BF391" s="12">
        <f t="shared" si="95"/>
        <v>1</v>
      </c>
      <c r="BG391" s="12">
        <f t="shared" si="104"/>
        <v>2</v>
      </c>
      <c r="BH391" s="67">
        <v>1</v>
      </c>
      <c r="BI391" s="67">
        <v>0</v>
      </c>
      <c r="BJ391" s="67">
        <v>0</v>
      </c>
      <c r="BK391" s="67">
        <v>0</v>
      </c>
      <c r="BL391" s="67">
        <v>0</v>
      </c>
      <c r="BM391" s="67">
        <v>1</v>
      </c>
      <c r="BN391" s="67">
        <v>0</v>
      </c>
      <c r="BO391" s="67">
        <v>0</v>
      </c>
      <c r="BP391" s="67">
        <v>0</v>
      </c>
      <c r="BQ391" s="67">
        <v>1</v>
      </c>
      <c r="BR391" s="67">
        <v>0</v>
      </c>
      <c r="BS391" s="67">
        <v>0</v>
      </c>
      <c r="BT391" s="67">
        <v>18</v>
      </c>
      <c r="BU391" s="70">
        <v>0</v>
      </c>
      <c r="BV391" s="29">
        <f t="shared" si="96"/>
        <v>0.48979449021187205</v>
      </c>
      <c r="BW391">
        <f t="shared" si="97"/>
        <v>0.87528310193156111</v>
      </c>
      <c r="BX391">
        <f t="shared" si="98"/>
        <v>0.86371889657480871</v>
      </c>
      <c r="BY391">
        <f t="shared" si="99"/>
        <v>0.9806804209314296</v>
      </c>
      <c r="BZ391">
        <f t="shared" si="100"/>
        <v>9.9604847176766084E-2</v>
      </c>
      <c r="CA391">
        <f t="shared" si="101"/>
        <v>8.3401599596422994E-3</v>
      </c>
      <c r="CB391">
        <f t="shared" si="102"/>
        <v>0.67891464284095016</v>
      </c>
    </row>
    <row r="392" spans="1:80" x14ac:dyDescent="0.45">
      <c r="A392" s="11">
        <v>43</v>
      </c>
      <c r="B392" s="12">
        <f t="shared" si="90"/>
        <v>43</v>
      </c>
      <c r="C392" s="12" t="s">
        <v>59</v>
      </c>
      <c r="D392" s="12">
        <v>0</v>
      </c>
      <c r="E392" s="12" t="s">
        <v>53</v>
      </c>
      <c r="F392" s="12">
        <v>0</v>
      </c>
      <c r="G392" s="12">
        <v>1</v>
      </c>
      <c r="H392" s="12" t="s">
        <v>61</v>
      </c>
      <c r="I392" s="12">
        <v>1</v>
      </c>
      <c r="J392" s="12">
        <v>0</v>
      </c>
      <c r="K392" s="12">
        <v>12</v>
      </c>
      <c r="L392" s="12">
        <f t="shared" si="91"/>
        <v>12</v>
      </c>
      <c r="M392" s="12">
        <v>3</v>
      </c>
      <c r="N392" s="12" t="s">
        <v>55</v>
      </c>
      <c r="O392" s="12">
        <v>1</v>
      </c>
      <c r="P392" s="12">
        <v>0</v>
      </c>
      <c r="Q392" s="12">
        <v>0</v>
      </c>
      <c r="R392" s="12">
        <v>0</v>
      </c>
      <c r="S392" s="12">
        <v>0</v>
      </c>
      <c r="T392" s="12">
        <v>1</v>
      </c>
      <c r="U392" s="12" t="s">
        <v>62</v>
      </c>
      <c r="V392" s="12">
        <v>0</v>
      </c>
      <c r="W392" s="12">
        <v>59</v>
      </c>
      <c r="X392" s="12">
        <v>2</v>
      </c>
      <c r="Y392" s="12">
        <v>4</v>
      </c>
      <c r="Z392" s="12" t="s">
        <v>89</v>
      </c>
      <c r="AA392" s="12">
        <v>0</v>
      </c>
      <c r="AB392" s="12">
        <v>0</v>
      </c>
      <c r="AC392" s="12">
        <v>0</v>
      </c>
      <c r="AD392" s="12">
        <v>0</v>
      </c>
      <c r="AE392" s="12">
        <v>0</v>
      </c>
      <c r="AF392" s="12">
        <v>0</v>
      </c>
      <c r="AG392" s="12">
        <v>0</v>
      </c>
      <c r="AH392" s="12">
        <v>0</v>
      </c>
      <c r="AI392" s="12">
        <v>2</v>
      </c>
      <c r="AJ392" s="12" t="s">
        <v>78</v>
      </c>
      <c r="AK392" s="12">
        <v>0</v>
      </c>
      <c r="AL392" s="12">
        <v>0</v>
      </c>
      <c r="AM392" s="12">
        <v>14336</v>
      </c>
      <c r="AN392" s="12">
        <f t="shared" si="92"/>
        <v>14336</v>
      </c>
      <c r="AO392" s="12">
        <v>1</v>
      </c>
      <c r="AP392" s="12" t="s">
        <v>59</v>
      </c>
      <c r="AQ392" s="12">
        <v>0</v>
      </c>
      <c r="AR392" s="12">
        <v>11</v>
      </c>
      <c r="AS392" s="12">
        <v>3</v>
      </c>
      <c r="AT392" s="12">
        <v>3</v>
      </c>
      <c r="AU392" s="12">
        <v>1</v>
      </c>
      <c r="AV392" s="12">
        <v>25</v>
      </c>
      <c r="AW392" s="12">
        <f t="shared" si="93"/>
        <v>25</v>
      </c>
      <c r="AX392" s="12">
        <v>3</v>
      </c>
      <c r="AY392" s="12">
        <v>3</v>
      </c>
      <c r="AZ392" s="12">
        <v>25</v>
      </c>
      <c r="BA392" s="12">
        <f t="shared" si="94"/>
        <v>25</v>
      </c>
      <c r="BB392" s="12">
        <v>10</v>
      </c>
      <c r="BC392" s="12">
        <v>3</v>
      </c>
      <c r="BD392" s="12">
        <f t="shared" si="103"/>
        <v>3</v>
      </c>
      <c r="BE392" s="12">
        <v>9</v>
      </c>
      <c r="BF392" s="12">
        <f t="shared" si="95"/>
        <v>9</v>
      </c>
      <c r="BG392" s="12">
        <f t="shared" si="104"/>
        <v>36</v>
      </c>
      <c r="BH392" s="67">
        <v>1</v>
      </c>
      <c r="BI392" s="67">
        <v>0</v>
      </c>
      <c r="BJ392" s="67">
        <v>0</v>
      </c>
      <c r="BK392" s="67">
        <v>0</v>
      </c>
      <c r="BL392" s="67">
        <v>1</v>
      </c>
      <c r="BM392" s="67">
        <v>0</v>
      </c>
      <c r="BN392" s="67">
        <v>0</v>
      </c>
      <c r="BO392" s="67">
        <v>0</v>
      </c>
      <c r="BP392" s="67">
        <v>0</v>
      </c>
      <c r="BQ392" s="67">
        <v>9</v>
      </c>
      <c r="BR392" s="67">
        <v>0</v>
      </c>
      <c r="BS392" s="67">
        <v>0</v>
      </c>
      <c r="BT392" s="67">
        <v>25</v>
      </c>
      <c r="BU392" s="70">
        <v>0</v>
      </c>
      <c r="BV392" s="29">
        <f t="shared" si="96"/>
        <v>1.6637936727891054</v>
      </c>
      <c r="BW392">
        <f t="shared" si="97"/>
        <v>1.3667838287404401</v>
      </c>
      <c r="BX392">
        <f t="shared" si="98"/>
        <v>1.7633714368880775</v>
      </c>
      <c r="BY392">
        <f t="shared" si="99"/>
        <v>2.936711477897922</v>
      </c>
      <c r="BZ392">
        <f t="shared" si="100"/>
        <v>0.3463093549271386</v>
      </c>
      <c r="CA392">
        <f t="shared" si="101"/>
        <v>0.66512775678147573</v>
      </c>
      <c r="CB392">
        <f t="shared" si="102"/>
        <v>0.2520597274726662</v>
      </c>
    </row>
    <row r="393" spans="1:80" x14ac:dyDescent="0.45">
      <c r="A393" s="11">
        <v>40</v>
      </c>
      <c r="B393" s="12">
        <f t="shared" si="90"/>
        <v>40</v>
      </c>
      <c r="C393" s="12" t="s">
        <v>59</v>
      </c>
      <c r="D393" s="12">
        <v>0</v>
      </c>
      <c r="E393" s="12" t="s">
        <v>53</v>
      </c>
      <c r="F393" s="12">
        <v>0</v>
      </c>
      <c r="G393" s="12">
        <v>1</v>
      </c>
      <c r="H393" s="12" t="s">
        <v>61</v>
      </c>
      <c r="I393" s="12">
        <v>1</v>
      </c>
      <c r="J393" s="12">
        <v>0</v>
      </c>
      <c r="K393" s="12">
        <v>2</v>
      </c>
      <c r="L393" s="12">
        <f t="shared" si="91"/>
        <v>2</v>
      </c>
      <c r="M393" s="12">
        <v>3</v>
      </c>
      <c r="N393" s="12" t="s">
        <v>70</v>
      </c>
      <c r="O393" s="12">
        <v>0</v>
      </c>
      <c r="P393" s="12">
        <v>0</v>
      </c>
      <c r="Q393" s="12">
        <v>1</v>
      </c>
      <c r="R393" s="12">
        <v>0</v>
      </c>
      <c r="S393" s="12">
        <v>0</v>
      </c>
      <c r="T393" s="12">
        <v>2</v>
      </c>
      <c r="U393" s="12" t="s">
        <v>19</v>
      </c>
      <c r="V393" s="12">
        <v>1</v>
      </c>
      <c r="W393" s="12">
        <v>78</v>
      </c>
      <c r="X393" s="12">
        <v>2</v>
      </c>
      <c r="Y393" s="12">
        <v>2</v>
      </c>
      <c r="Z393" s="12" t="s">
        <v>67</v>
      </c>
      <c r="AA393" s="12">
        <v>0</v>
      </c>
      <c r="AB393" s="12">
        <v>0</v>
      </c>
      <c r="AC393" s="12">
        <v>1</v>
      </c>
      <c r="AD393" s="12">
        <v>0</v>
      </c>
      <c r="AE393" s="12">
        <v>0</v>
      </c>
      <c r="AF393" s="12">
        <v>0</v>
      </c>
      <c r="AG393" s="12">
        <v>0</v>
      </c>
      <c r="AH393" s="12">
        <v>0</v>
      </c>
      <c r="AI393" s="12">
        <v>3</v>
      </c>
      <c r="AJ393" s="12" t="s">
        <v>64</v>
      </c>
      <c r="AK393" s="12">
        <v>0</v>
      </c>
      <c r="AL393" s="12">
        <v>1</v>
      </c>
      <c r="AM393" s="12">
        <v>3448</v>
      </c>
      <c r="AN393" s="12">
        <f t="shared" si="92"/>
        <v>3448</v>
      </c>
      <c r="AO393" s="12">
        <v>6</v>
      </c>
      <c r="AP393" s="12" t="s">
        <v>59</v>
      </c>
      <c r="AQ393" s="12">
        <v>0</v>
      </c>
      <c r="AR393" s="12">
        <v>22</v>
      </c>
      <c r="AS393" s="12">
        <v>4</v>
      </c>
      <c r="AT393" s="12">
        <v>2</v>
      </c>
      <c r="AU393" s="12">
        <v>1</v>
      </c>
      <c r="AV393" s="12">
        <v>20</v>
      </c>
      <c r="AW393" s="12">
        <f t="shared" si="93"/>
        <v>20</v>
      </c>
      <c r="AX393" s="12">
        <v>3</v>
      </c>
      <c r="AY393" s="12">
        <v>3</v>
      </c>
      <c r="AZ393" s="12">
        <v>1</v>
      </c>
      <c r="BA393" s="12">
        <f t="shared" si="94"/>
        <v>1</v>
      </c>
      <c r="BB393" s="12">
        <v>0</v>
      </c>
      <c r="BC393" s="12">
        <v>0</v>
      </c>
      <c r="BD393" s="12">
        <f t="shared" si="103"/>
        <v>0</v>
      </c>
      <c r="BE393" s="12">
        <v>0</v>
      </c>
      <c r="BF393" s="12">
        <f t="shared" si="95"/>
        <v>0</v>
      </c>
      <c r="BG393" s="12">
        <f t="shared" si="104"/>
        <v>0</v>
      </c>
      <c r="BH393" s="67">
        <v>0</v>
      </c>
      <c r="BI393" s="67">
        <v>1</v>
      </c>
      <c r="BJ393" s="67">
        <v>0</v>
      </c>
      <c r="BK393" s="67">
        <v>0</v>
      </c>
      <c r="BL393" s="67">
        <v>0</v>
      </c>
      <c r="BM393" s="67">
        <v>0</v>
      </c>
      <c r="BN393" s="67">
        <v>1</v>
      </c>
      <c r="BO393" s="67">
        <v>0</v>
      </c>
      <c r="BP393" s="67">
        <v>0</v>
      </c>
      <c r="BQ393" s="67">
        <v>0</v>
      </c>
      <c r="BR393" s="67">
        <v>0</v>
      </c>
      <c r="BS393" s="67">
        <v>0</v>
      </c>
      <c r="BT393" s="67">
        <v>20</v>
      </c>
      <c r="BU393" s="70">
        <v>0</v>
      </c>
      <c r="BV393" s="29">
        <f t="shared" si="96"/>
        <v>0.64888685968496917</v>
      </c>
      <c r="BW393">
        <f t="shared" si="97"/>
        <v>1.1555414682655611</v>
      </c>
      <c r="BX393">
        <f t="shared" si="98"/>
        <v>1.120762479521457</v>
      </c>
      <c r="BY393">
        <f t="shared" si="99"/>
        <v>0.9806804209314296</v>
      </c>
      <c r="BZ393">
        <f t="shared" si="100"/>
        <v>0.88721318382472392</v>
      </c>
      <c r="CA393">
        <f t="shared" si="101"/>
        <v>0.33673395837055903</v>
      </c>
      <c r="CB393">
        <f t="shared" si="102"/>
        <v>0.67891464284095016</v>
      </c>
    </row>
    <row r="394" spans="1:80" x14ac:dyDescent="0.45">
      <c r="A394" s="11">
        <v>54</v>
      </c>
      <c r="B394" s="12">
        <f t="shared" si="90"/>
        <v>54</v>
      </c>
      <c r="C394" s="12" t="s">
        <v>59</v>
      </c>
      <c r="D394" s="12">
        <v>0</v>
      </c>
      <c r="E394" s="12" t="s">
        <v>53</v>
      </c>
      <c r="F394" s="12">
        <v>0</v>
      </c>
      <c r="G394" s="12">
        <v>1</v>
      </c>
      <c r="H394" s="12" t="s">
        <v>61</v>
      </c>
      <c r="I394" s="12">
        <v>1</v>
      </c>
      <c r="J394" s="12">
        <v>0</v>
      </c>
      <c r="K394" s="12">
        <v>5</v>
      </c>
      <c r="L394" s="12">
        <f t="shared" si="91"/>
        <v>5</v>
      </c>
      <c r="M394" s="12">
        <v>2</v>
      </c>
      <c r="N394" s="12" t="s">
        <v>70</v>
      </c>
      <c r="O394" s="12">
        <v>0</v>
      </c>
      <c r="P394" s="12">
        <v>0</v>
      </c>
      <c r="Q394" s="12">
        <v>1</v>
      </c>
      <c r="R394" s="12">
        <v>0</v>
      </c>
      <c r="S394" s="12">
        <v>0</v>
      </c>
      <c r="T394" s="12">
        <v>1</v>
      </c>
      <c r="U394" s="12" t="s">
        <v>62</v>
      </c>
      <c r="V394" s="12">
        <v>0</v>
      </c>
      <c r="W394" s="12">
        <v>86</v>
      </c>
      <c r="X394" s="12">
        <v>3</v>
      </c>
      <c r="Y394" s="12">
        <v>5</v>
      </c>
      <c r="Z394" s="12" t="s">
        <v>89</v>
      </c>
      <c r="AA394" s="12">
        <v>0</v>
      </c>
      <c r="AB394" s="12">
        <v>0</v>
      </c>
      <c r="AC394" s="12">
        <v>0</v>
      </c>
      <c r="AD394" s="12">
        <v>0</v>
      </c>
      <c r="AE394" s="12">
        <v>0</v>
      </c>
      <c r="AF394" s="12">
        <v>0</v>
      </c>
      <c r="AG394" s="12">
        <v>0</v>
      </c>
      <c r="AH394" s="12">
        <v>0</v>
      </c>
      <c r="AI394" s="12">
        <v>1</v>
      </c>
      <c r="AJ394" s="12" t="s">
        <v>64</v>
      </c>
      <c r="AK394" s="12">
        <v>0</v>
      </c>
      <c r="AL394" s="12">
        <v>1</v>
      </c>
      <c r="AM394" s="12">
        <v>19406</v>
      </c>
      <c r="AN394" s="12">
        <f t="shared" si="92"/>
        <v>19406</v>
      </c>
      <c r="AO394" s="12">
        <v>4</v>
      </c>
      <c r="AP394" s="12" t="s">
        <v>59</v>
      </c>
      <c r="AQ394" s="12">
        <v>0</v>
      </c>
      <c r="AR394" s="12">
        <v>11</v>
      </c>
      <c r="AS394" s="12">
        <v>3</v>
      </c>
      <c r="AT394" s="12">
        <v>3</v>
      </c>
      <c r="AU394" s="12">
        <v>1</v>
      </c>
      <c r="AV394" s="12">
        <v>24</v>
      </c>
      <c r="AW394" s="12">
        <f t="shared" si="93"/>
        <v>24</v>
      </c>
      <c r="AX394" s="12">
        <v>4</v>
      </c>
      <c r="AY394" s="12">
        <v>2</v>
      </c>
      <c r="AZ394" s="12">
        <v>4</v>
      </c>
      <c r="BA394" s="12">
        <f t="shared" si="94"/>
        <v>4</v>
      </c>
      <c r="BB394" s="12">
        <v>2</v>
      </c>
      <c r="BC394" s="12">
        <v>1</v>
      </c>
      <c r="BD394" s="12">
        <f t="shared" si="103"/>
        <v>1</v>
      </c>
      <c r="BE394" s="12">
        <v>2</v>
      </c>
      <c r="BF394" s="12">
        <f t="shared" si="95"/>
        <v>2</v>
      </c>
      <c r="BG394" s="12">
        <f t="shared" si="104"/>
        <v>10</v>
      </c>
      <c r="BH394" s="67">
        <v>0</v>
      </c>
      <c r="BI394" s="67">
        <v>1</v>
      </c>
      <c r="BJ394" s="67">
        <v>0</v>
      </c>
      <c r="BK394" s="67">
        <v>0</v>
      </c>
      <c r="BL394" s="67">
        <v>0</v>
      </c>
      <c r="BM394" s="67">
        <v>0</v>
      </c>
      <c r="BN394" s="67">
        <v>1</v>
      </c>
      <c r="BO394" s="67">
        <v>0</v>
      </c>
      <c r="BP394" s="67">
        <v>0</v>
      </c>
      <c r="BQ394" s="67">
        <v>2</v>
      </c>
      <c r="BR394" s="67">
        <v>0</v>
      </c>
      <c r="BS394" s="67">
        <v>0</v>
      </c>
      <c r="BT394" s="67">
        <v>24</v>
      </c>
      <c r="BU394" s="70">
        <v>0</v>
      </c>
      <c r="BV394" s="29">
        <f t="shared" si="96"/>
        <v>2.7406939574734879</v>
      </c>
      <c r="BW394">
        <f t="shared" si="97"/>
        <v>0.59502473559756086</v>
      </c>
      <c r="BX394">
        <f t="shared" si="98"/>
        <v>1.6348496454147534</v>
      </c>
      <c r="BY394">
        <f t="shared" si="99"/>
        <v>0.49100643357776058</v>
      </c>
      <c r="BZ394">
        <f t="shared" si="100"/>
        <v>0.51715642219916513</v>
      </c>
      <c r="CA394">
        <f t="shared" si="101"/>
        <v>1.8692383509548371</v>
      </c>
      <c r="CB394">
        <f t="shared" si="102"/>
        <v>0.36858985273641137</v>
      </c>
    </row>
    <row r="395" spans="1:80" x14ac:dyDescent="0.45">
      <c r="A395" s="11">
        <v>34</v>
      </c>
      <c r="B395" s="12">
        <f t="shared" si="90"/>
        <v>34</v>
      </c>
      <c r="C395" s="12" t="s">
        <v>59</v>
      </c>
      <c r="D395" s="12">
        <v>0</v>
      </c>
      <c r="E395" s="12" t="s">
        <v>86</v>
      </c>
      <c r="F395" s="12">
        <v>0</v>
      </c>
      <c r="G395" s="12">
        <v>0</v>
      </c>
      <c r="H395" s="12" t="s">
        <v>54</v>
      </c>
      <c r="I395" s="12">
        <v>0</v>
      </c>
      <c r="J395" s="12">
        <v>1</v>
      </c>
      <c r="K395" s="12">
        <v>4</v>
      </c>
      <c r="L395" s="12">
        <f t="shared" si="91"/>
        <v>4</v>
      </c>
      <c r="M395" s="12">
        <v>4</v>
      </c>
      <c r="N395" s="12" t="s">
        <v>90</v>
      </c>
      <c r="O395" s="12">
        <v>0</v>
      </c>
      <c r="P395" s="12">
        <v>0</v>
      </c>
      <c r="Q395" s="12">
        <v>0</v>
      </c>
      <c r="R395" s="12">
        <v>1</v>
      </c>
      <c r="S395" s="12">
        <v>0</v>
      </c>
      <c r="T395" s="12">
        <v>3</v>
      </c>
      <c r="U395" s="12" t="s">
        <v>19</v>
      </c>
      <c r="V395" s="12">
        <v>1</v>
      </c>
      <c r="W395" s="12">
        <v>72</v>
      </c>
      <c r="X395" s="12">
        <v>3</v>
      </c>
      <c r="Y395" s="12">
        <v>2</v>
      </c>
      <c r="Z395" s="12" t="s">
        <v>56</v>
      </c>
      <c r="AA395" s="12">
        <v>0</v>
      </c>
      <c r="AB395" s="12">
        <v>1</v>
      </c>
      <c r="AC395" s="12">
        <v>0</v>
      </c>
      <c r="AD395" s="12">
        <v>0</v>
      </c>
      <c r="AE395" s="12">
        <v>0</v>
      </c>
      <c r="AF395" s="12">
        <v>0</v>
      </c>
      <c r="AG395" s="12">
        <v>0</v>
      </c>
      <c r="AH395" s="12">
        <v>0</v>
      </c>
      <c r="AI395" s="12">
        <v>3</v>
      </c>
      <c r="AJ395" s="12" t="s">
        <v>64</v>
      </c>
      <c r="AK395" s="12">
        <v>0</v>
      </c>
      <c r="AL395" s="12">
        <v>1</v>
      </c>
      <c r="AM395" s="12">
        <v>6538</v>
      </c>
      <c r="AN395" s="12">
        <f t="shared" si="92"/>
        <v>6538</v>
      </c>
      <c r="AO395" s="12">
        <v>9</v>
      </c>
      <c r="AP395" s="12" t="s">
        <v>59</v>
      </c>
      <c r="AQ395" s="12">
        <v>0</v>
      </c>
      <c r="AR395" s="12">
        <v>15</v>
      </c>
      <c r="AS395" s="12">
        <v>3</v>
      </c>
      <c r="AT395" s="12">
        <v>1</v>
      </c>
      <c r="AU395" s="12">
        <v>1</v>
      </c>
      <c r="AV395" s="12">
        <v>6</v>
      </c>
      <c r="AW395" s="12">
        <f t="shared" si="93"/>
        <v>6</v>
      </c>
      <c r="AX395" s="12">
        <v>3</v>
      </c>
      <c r="AY395" s="12">
        <v>3</v>
      </c>
      <c r="AZ395" s="12">
        <v>3</v>
      </c>
      <c r="BA395" s="12">
        <f t="shared" si="94"/>
        <v>3</v>
      </c>
      <c r="BB395" s="12">
        <v>2</v>
      </c>
      <c r="BC395" s="12">
        <v>1</v>
      </c>
      <c r="BD395" s="12">
        <f t="shared" si="103"/>
        <v>1</v>
      </c>
      <c r="BE395" s="12">
        <v>2</v>
      </c>
      <c r="BF395" s="12">
        <f t="shared" si="95"/>
        <v>2</v>
      </c>
      <c r="BG395" s="12">
        <f t="shared" si="104"/>
        <v>4</v>
      </c>
      <c r="BH395" s="67">
        <v>0</v>
      </c>
      <c r="BI395" s="67">
        <v>1</v>
      </c>
      <c r="BJ395" s="67">
        <v>0</v>
      </c>
      <c r="BK395" s="67">
        <v>0</v>
      </c>
      <c r="BL395" s="67">
        <v>0</v>
      </c>
      <c r="BM395" s="67">
        <v>0</v>
      </c>
      <c r="BN395" s="67">
        <v>1</v>
      </c>
      <c r="BO395" s="67">
        <v>0</v>
      </c>
      <c r="BP395" s="67">
        <v>0</v>
      </c>
      <c r="BQ395" s="67">
        <v>0</v>
      </c>
      <c r="BR395" s="67">
        <v>2</v>
      </c>
      <c r="BS395" s="67">
        <v>0</v>
      </c>
      <c r="BT395" s="67">
        <v>0</v>
      </c>
      <c r="BU395" s="70">
        <v>6</v>
      </c>
      <c r="BV395" s="29">
        <f t="shared" si="96"/>
        <v>7.4488167794770173E-3</v>
      </c>
      <c r="BW395">
        <f t="shared" si="97"/>
        <v>0.59502473559756086</v>
      </c>
      <c r="BX395">
        <f t="shared" si="98"/>
        <v>0.67854260110508058</v>
      </c>
      <c r="BY395">
        <f t="shared" si="99"/>
        <v>0.65423109602898355</v>
      </c>
      <c r="BZ395">
        <f t="shared" si="100"/>
        <v>0.64050867607435136</v>
      </c>
      <c r="CA395">
        <f t="shared" si="101"/>
        <v>0.32005363845127444</v>
      </c>
      <c r="CB395">
        <f t="shared" si="102"/>
        <v>0.36858985273641137</v>
      </c>
    </row>
    <row r="396" spans="1:80" x14ac:dyDescent="0.45">
      <c r="A396" s="11">
        <v>31</v>
      </c>
      <c r="B396" s="12">
        <f t="shared" si="90"/>
        <v>31</v>
      </c>
      <c r="C396" s="12" t="s">
        <v>59</v>
      </c>
      <c r="D396" s="12">
        <v>0</v>
      </c>
      <c r="E396" s="12" t="s">
        <v>53</v>
      </c>
      <c r="F396" s="12">
        <v>0</v>
      </c>
      <c r="G396" s="12">
        <v>1</v>
      </c>
      <c r="H396" s="12" t="s">
        <v>61</v>
      </c>
      <c r="I396" s="12">
        <v>1</v>
      </c>
      <c r="J396" s="12">
        <v>0</v>
      </c>
      <c r="K396" s="12">
        <v>7</v>
      </c>
      <c r="L396" s="12">
        <f t="shared" si="91"/>
        <v>7</v>
      </c>
      <c r="M396" s="12">
        <v>2</v>
      </c>
      <c r="N396" s="12" t="s">
        <v>70</v>
      </c>
      <c r="O396" s="12">
        <v>0</v>
      </c>
      <c r="P396" s="12">
        <v>0</v>
      </c>
      <c r="Q396" s="12">
        <v>1</v>
      </c>
      <c r="R396" s="12">
        <v>0</v>
      </c>
      <c r="S396" s="12">
        <v>0</v>
      </c>
      <c r="T396" s="12">
        <v>2</v>
      </c>
      <c r="U396" s="12" t="s">
        <v>19</v>
      </c>
      <c r="V396" s="12">
        <v>1</v>
      </c>
      <c r="W396" s="12">
        <v>31</v>
      </c>
      <c r="X396" s="12">
        <v>3</v>
      </c>
      <c r="Y396" s="12">
        <v>2</v>
      </c>
      <c r="Z396" s="12" t="s">
        <v>83</v>
      </c>
      <c r="AA396" s="12">
        <v>0</v>
      </c>
      <c r="AB396" s="12">
        <v>0</v>
      </c>
      <c r="AC396" s="12">
        <v>0</v>
      </c>
      <c r="AD396" s="12">
        <v>0</v>
      </c>
      <c r="AE396" s="12">
        <v>1</v>
      </c>
      <c r="AF396" s="12">
        <v>1</v>
      </c>
      <c r="AG396" s="12">
        <v>0</v>
      </c>
      <c r="AH396" s="12">
        <v>0</v>
      </c>
      <c r="AI396" s="12">
        <v>1</v>
      </c>
      <c r="AJ396" s="12" t="s">
        <v>64</v>
      </c>
      <c r="AK396" s="12">
        <v>0</v>
      </c>
      <c r="AL396" s="12">
        <v>1</v>
      </c>
      <c r="AM396" s="12">
        <v>4306</v>
      </c>
      <c r="AN396" s="12">
        <f t="shared" si="92"/>
        <v>4306</v>
      </c>
      <c r="AO396" s="12">
        <v>1</v>
      </c>
      <c r="AP396" s="12" t="s">
        <v>59</v>
      </c>
      <c r="AQ396" s="12">
        <v>0</v>
      </c>
      <c r="AR396" s="12">
        <v>12</v>
      </c>
      <c r="AS396" s="12">
        <v>3</v>
      </c>
      <c r="AT396" s="12">
        <v>2</v>
      </c>
      <c r="AU396" s="12">
        <v>1</v>
      </c>
      <c r="AV396" s="12">
        <v>13</v>
      </c>
      <c r="AW396" s="12">
        <f t="shared" si="93"/>
        <v>13</v>
      </c>
      <c r="AX396" s="12">
        <v>5</v>
      </c>
      <c r="AY396" s="12">
        <v>1</v>
      </c>
      <c r="AZ396" s="12">
        <v>13</v>
      </c>
      <c r="BA396" s="12">
        <f t="shared" si="94"/>
        <v>13</v>
      </c>
      <c r="BB396" s="12">
        <v>10</v>
      </c>
      <c r="BC396" s="12">
        <v>3</v>
      </c>
      <c r="BD396" s="12">
        <f t="shared" si="103"/>
        <v>3</v>
      </c>
      <c r="BE396" s="12">
        <v>12</v>
      </c>
      <c r="BF396" s="12">
        <f t="shared" si="95"/>
        <v>12</v>
      </c>
      <c r="BG396" s="12">
        <f t="shared" si="104"/>
        <v>24</v>
      </c>
      <c r="BH396" s="67">
        <v>0</v>
      </c>
      <c r="BI396" s="67">
        <v>1</v>
      </c>
      <c r="BJ396" s="67">
        <v>0</v>
      </c>
      <c r="BK396" s="67">
        <v>0</v>
      </c>
      <c r="BL396" s="67">
        <v>0</v>
      </c>
      <c r="BM396" s="67">
        <v>0</v>
      </c>
      <c r="BN396" s="67">
        <v>1</v>
      </c>
      <c r="BO396" s="67">
        <v>0</v>
      </c>
      <c r="BP396" s="67">
        <v>0</v>
      </c>
      <c r="BQ396" s="67">
        <v>12</v>
      </c>
      <c r="BR396" s="67">
        <v>0</v>
      </c>
      <c r="BS396" s="67">
        <v>0</v>
      </c>
      <c r="BT396" s="67">
        <v>13</v>
      </c>
      <c r="BU396" s="70">
        <v>0</v>
      </c>
      <c r="BV396" s="29">
        <f t="shared" si="96"/>
        <v>0.46664219612299673</v>
      </c>
      <c r="BW396">
        <f t="shared" si="97"/>
        <v>2.2075589277424408</v>
      </c>
      <c r="BX396">
        <f t="shared" si="98"/>
        <v>0.22110993920818819</v>
      </c>
      <c r="BY396">
        <f t="shared" si="99"/>
        <v>0.97801552848324624</v>
      </c>
      <c r="BZ396">
        <f t="shared" si="100"/>
        <v>0.27045191444879263</v>
      </c>
      <c r="CA396">
        <f t="shared" si="101"/>
        <v>0.6484474368621912</v>
      </c>
      <c r="CB396">
        <f t="shared" si="102"/>
        <v>0.2520597274726662</v>
      </c>
    </row>
    <row r="397" spans="1:80" x14ac:dyDescent="0.45">
      <c r="A397" s="11">
        <v>43</v>
      </c>
      <c r="B397" s="12">
        <f t="shared" si="90"/>
        <v>43</v>
      </c>
      <c r="C397" s="12" t="s">
        <v>59</v>
      </c>
      <c r="D397" s="12">
        <v>0</v>
      </c>
      <c r="E397" s="12" t="s">
        <v>60</v>
      </c>
      <c r="F397" s="12">
        <v>1</v>
      </c>
      <c r="G397" s="12">
        <v>0</v>
      </c>
      <c r="H397" s="12" t="s">
        <v>61</v>
      </c>
      <c r="I397" s="12">
        <v>1</v>
      </c>
      <c r="J397" s="12">
        <v>0</v>
      </c>
      <c r="K397" s="12">
        <v>21</v>
      </c>
      <c r="L397" s="12">
        <f t="shared" si="91"/>
        <v>21</v>
      </c>
      <c r="M397" s="12">
        <v>3</v>
      </c>
      <c r="N397" s="12" t="s">
        <v>70</v>
      </c>
      <c r="O397" s="12">
        <v>0</v>
      </c>
      <c r="P397" s="12">
        <v>0</v>
      </c>
      <c r="Q397" s="12">
        <v>1</v>
      </c>
      <c r="R397" s="12">
        <v>0</v>
      </c>
      <c r="S397" s="12">
        <v>0</v>
      </c>
      <c r="T397" s="12">
        <v>4</v>
      </c>
      <c r="U397" s="12" t="s">
        <v>62</v>
      </c>
      <c r="V397" s="12">
        <v>0</v>
      </c>
      <c r="W397" s="12">
        <v>61</v>
      </c>
      <c r="X397" s="12">
        <v>3</v>
      </c>
      <c r="Y397" s="12">
        <v>1</v>
      </c>
      <c r="Z397" s="12" t="s">
        <v>67</v>
      </c>
      <c r="AA397" s="12">
        <v>0</v>
      </c>
      <c r="AB397" s="12">
        <v>0</v>
      </c>
      <c r="AC397" s="12">
        <v>1</v>
      </c>
      <c r="AD397" s="12">
        <v>0</v>
      </c>
      <c r="AE397" s="12">
        <v>0</v>
      </c>
      <c r="AF397" s="12">
        <v>0</v>
      </c>
      <c r="AG397" s="12">
        <v>0</v>
      </c>
      <c r="AH397" s="12">
        <v>0</v>
      </c>
      <c r="AI397" s="12">
        <v>4</v>
      </c>
      <c r="AJ397" s="12" t="s">
        <v>64</v>
      </c>
      <c r="AK397" s="12">
        <v>0</v>
      </c>
      <c r="AL397" s="12">
        <v>1</v>
      </c>
      <c r="AM397" s="12">
        <v>2258</v>
      </c>
      <c r="AN397" s="12">
        <f t="shared" si="92"/>
        <v>2258</v>
      </c>
      <c r="AO397" s="12">
        <v>7</v>
      </c>
      <c r="AP397" s="12" t="s">
        <v>59</v>
      </c>
      <c r="AQ397" s="12">
        <v>0</v>
      </c>
      <c r="AR397" s="12">
        <v>20</v>
      </c>
      <c r="AS397" s="12">
        <v>4</v>
      </c>
      <c r="AT397" s="12">
        <v>1</v>
      </c>
      <c r="AU397" s="12">
        <v>1</v>
      </c>
      <c r="AV397" s="12">
        <v>8</v>
      </c>
      <c r="AW397" s="12">
        <f t="shared" si="93"/>
        <v>8</v>
      </c>
      <c r="AX397" s="12">
        <v>1</v>
      </c>
      <c r="AY397" s="12">
        <v>3</v>
      </c>
      <c r="AZ397" s="12">
        <v>3</v>
      </c>
      <c r="BA397" s="12">
        <f t="shared" si="94"/>
        <v>3</v>
      </c>
      <c r="BB397" s="12">
        <v>2</v>
      </c>
      <c r="BC397" s="12">
        <v>1</v>
      </c>
      <c r="BD397" s="12">
        <f t="shared" si="103"/>
        <v>1</v>
      </c>
      <c r="BE397" s="12">
        <v>2</v>
      </c>
      <c r="BF397" s="12">
        <f t="shared" si="95"/>
        <v>2</v>
      </c>
      <c r="BG397" s="12">
        <f t="shared" si="104"/>
        <v>2</v>
      </c>
      <c r="BH397" s="67">
        <v>0</v>
      </c>
      <c r="BI397" s="67">
        <v>0</v>
      </c>
      <c r="BJ397" s="67">
        <v>0</v>
      </c>
      <c r="BK397" s="67">
        <v>1</v>
      </c>
      <c r="BL397" s="67">
        <v>0</v>
      </c>
      <c r="BM397" s="67">
        <v>0</v>
      </c>
      <c r="BN397" s="67">
        <v>1</v>
      </c>
      <c r="BO397" s="67">
        <v>0</v>
      </c>
      <c r="BP397" s="67">
        <v>0</v>
      </c>
      <c r="BQ397" s="67">
        <v>2</v>
      </c>
      <c r="BR397" s="67">
        <v>0</v>
      </c>
      <c r="BS397" s="67">
        <v>0</v>
      </c>
      <c r="BT397" s="67">
        <v>8</v>
      </c>
      <c r="BU397" s="70">
        <v>0</v>
      </c>
      <c r="BV397" s="29">
        <f t="shared" si="96"/>
        <v>0.90165043735250672</v>
      </c>
      <c r="BW397">
        <f t="shared" si="97"/>
        <v>0.59502473559756086</v>
      </c>
      <c r="BX397">
        <f t="shared" si="98"/>
        <v>0.42149901815843233</v>
      </c>
      <c r="BY397">
        <f t="shared" si="99"/>
        <v>0.65423109602898355</v>
      </c>
      <c r="BZ397">
        <f t="shared" si="100"/>
        <v>1.4564796398038149</v>
      </c>
      <c r="CA397">
        <f t="shared" si="101"/>
        <v>0.66512775678147573</v>
      </c>
      <c r="CB397">
        <f t="shared" si="102"/>
        <v>0.36858985273641137</v>
      </c>
    </row>
    <row r="398" spans="1:80" x14ac:dyDescent="0.45">
      <c r="A398" s="11">
        <v>43</v>
      </c>
      <c r="B398" s="12">
        <f t="shared" si="90"/>
        <v>43</v>
      </c>
      <c r="C398" s="12" t="s">
        <v>59</v>
      </c>
      <c r="D398" s="12">
        <v>0</v>
      </c>
      <c r="E398" s="12" t="s">
        <v>53</v>
      </c>
      <c r="F398" s="12">
        <v>0</v>
      </c>
      <c r="G398" s="12">
        <v>1</v>
      </c>
      <c r="H398" s="12" t="s">
        <v>61</v>
      </c>
      <c r="I398" s="12">
        <v>1</v>
      </c>
      <c r="J398" s="12">
        <v>0</v>
      </c>
      <c r="K398" s="12">
        <v>8</v>
      </c>
      <c r="L398" s="12">
        <f t="shared" si="91"/>
        <v>8</v>
      </c>
      <c r="M398" s="12">
        <v>4</v>
      </c>
      <c r="N398" s="12" t="s">
        <v>66</v>
      </c>
      <c r="O398" s="12">
        <v>0</v>
      </c>
      <c r="P398" s="12">
        <v>1</v>
      </c>
      <c r="Q398" s="12">
        <v>0</v>
      </c>
      <c r="R398" s="12">
        <v>0</v>
      </c>
      <c r="S398" s="12">
        <v>0</v>
      </c>
      <c r="T398" s="12">
        <v>3</v>
      </c>
      <c r="U398" s="12" t="s">
        <v>19</v>
      </c>
      <c r="V398" s="12">
        <v>1</v>
      </c>
      <c r="W398" s="12">
        <v>74</v>
      </c>
      <c r="X398" s="12">
        <v>3</v>
      </c>
      <c r="Y398" s="12">
        <v>2</v>
      </c>
      <c r="Z398" s="12" t="s">
        <v>85</v>
      </c>
      <c r="AA398" s="12">
        <v>1</v>
      </c>
      <c r="AB398" s="12">
        <v>0</v>
      </c>
      <c r="AC398" s="12">
        <v>0</v>
      </c>
      <c r="AD398" s="12">
        <v>0</v>
      </c>
      <c r="AE398" s="12">
        <v>0</v>
      </c>
      <c r="AF398" s="12">
        <v>0</v>
      </c>
      <c r="AG398" s="12">
        <v>0</v>
      </c>
      <c r="AH398" s="12">
        <v>0</v>
      </c>
      <c r="AI398" s="12">
        <v>3</v>
      </c>
      <c r="AJ398" s="12" t="s">
        <v>78</v>
      </c>
      <c r="AK398" s="12">
        <v>0</v>
      </c>
      <c r="AL398" s="12">
        <v>0</v>
      </c>
      <c r="AM398" s="12">
        <v>4522</v>
      </c>
      <c r="AN398" s="12">
        <f t="shared" si="92"/>
        <v>4522</v>
      </c>
      <c r="AO398" s="12">
        <v>4</v>
      </c>
      <c r="AP398" s="12" t="s">
        <v>52</v>
      </c>
      <c r="AQ398" s="12">
        <v>1</v>
      </c>
      <c r="AR398" s="12">
        <v>14</v>
      </c>
      <c r="AS398" s="12">
        <v>3</v>
      </c>
      <c r="AT398" s="12">
        <v>4</v>
      </c>
      <c r="AU398" s="12">
        <v>0</v>
      </c>
      <c r="AV398" s="12">
        <v>8</v>
      </c>
      <c r="AW398" s="12">
        <f t="shared" si="93"/>
        <v>8</v>
      </c>
      <c r="AX398" s="12">
        <v>3</v>
      </c>
      <c r="AY398" s="12">
        <v>3</v>
      </c>
      <c r="AZ398" s="12">
        <v>5</v>
      </c>
      <c r="BA398" s="12">
        <f t="shared" si="94"/>
        <v>5</v>
      </c>
      <c r="BB398" s="12">
        <v>2</v>
      </c>
      <c r="BC398" s="12">
        <v>0</v>
      </c>
      <c r="BD398" s="12">
        <f t="shared" si="103"/>
        <v>0</v>
      </c>
      <c r="BE398" s="12">
        <v>2</v>
      </c>
      <c r="BF398" s="12">
        <f t="shared" si="95"/>
        <v>2</v>
      </c>
      <c r="BG398" s="12">
        <f t="shared" si="104"/>
        <v>4</v>
      </c>
      <c r="BH398" s="67">
        <v>1</v>
      </c>
      <c r="BI398" s="67">
        <v>0</v>
      </c>
      <c r="BJ398" s="67">
        <v>0</v>
      </c>
      <c r="BK398" s="67">
        <v>0</v>
      </c>
      <c r="BL398" s="67">
        <v>0</v>
      </c>
      <c r="BM398" s="67">
        <v>1</v>
      </c>
      <c r="BN398" s="67">
        <v>0</v>
      </c>
      <c r="BO398" s="67">
        <v>0</v>
      </c>
      <c r="BP398" s="67">
        <v>0</v>
      </c>
      <c r="BQ398" s="67">
        <v>2</v>
      </c>
      <c r="BR398" s="67">
        <v>0</v>
      </c>
      <c r="BS398" s="67">
        <v>0</v>
      </c>
      <c r="BT398" s="67">
        <v>8</v>
      </c>
      <c r="BU398" s="70">
        <v>0</v>
      </c>
      <c r="BV398" s="29">
        <f t="shared" si="96"/>
        <v>0.42076242068082187</v>
      </c>
      <c r="BW398">
        <f t="shared" si="97"/>
        <v>0.59502473559756086</v>
      </c>
      <c r="BX398">
        <f t="shared" si="98"/>
        <v>0.42149901815843233</v>
      </c>
      <c r="BY398">
        <f t="shared" si="99"/>
        <v>0.32778177112653761</v>
      </c>
      <c r="BZ398">
        <f t="shared" si="100"/>
        <v>0.14709966057360641</v>
      </c>
      <c r="CA398">
        <f t="shared" si="101"/>
        <v>0.66512775678147573</v>
      </c>
      <c r="CB398">
        <f t="shared" si="102"/>
        <v>0.67891464284095016</v>
      </c>
    </row>
    <row r="399" spans="1:80" x14ac:dyDescent="0.45">
      <c r="A399" s="11">
        <v>25</v>
      </c>
      <c r="B399" s="12">
        <f t="shared" si="90"/>
        <v>25</v>
      </c>
      <c r="C399" s="12" t="s">
        <v>59</v>
      </c>
      <c r="D399" s="12">
        <v>0</v>
      </c>
      <c r="E399" s="12" t="s">
        <v>53</v>
      </c>
      <c r="F399" s="12">
        <v>0</v>
      </c>
      <c r="G399" s="12">
        <v>1</v>
      </c>
      <c r="H399" s="12" t="s">
        <v>54</v>
      </c>
      <c r="I399" s="12">
        <v>0</v>
      </c>
      <c r="J399" s="12">
        <v>1</v>
      </c>
      <c r="K399" s="12">
        <v>4</v>
      </c>
      <c r="L399" s="12">
        <f t="shared" si="91"/>
        <v>4</v>
      </c>
      <c r="M399" s="12">
        <v>2</v>
      </c>
      <c r="N399" s="12" t="s">
        <v>55</v>
      </c>
      <c r="O399" s="12">
        <v>1</v>
      </c>
      <c r="P399" s="12">
        <v>0</v>
      </c>
      <c r="Q399" s="12">
        <v>0</v>
      </c>
      <c r="R399" s="12">
        <v>0</v>
      </c>
      <c r="S399" s="12">
        <v>0</v>
      </c>
      <c r="T399" s="12">
        <v>2</v>
      </c>
      <c r="U399" s="12" t="s">
        <v>19</v>
      </c>
      <c r="V399" s="12">
        <v>1</v>
      </c>
      <c r="W399" s="12">
        <v>99</v>
      </c>
      <c r="X399" s="12">
        <v>2</v>
      </c>
      <c r="Y399" s="12">
        <v>2</v>
      </c>
      <c r="Z399" s="12" t="s">
        <v>56</v>
      </c>
      <c r="AA399" s="12">
        <v>0</v>
      </c>
      <c r="AB399" s="12">
        <v>1</v>
      </c>
      <c r="AC399" s="12">
        <v>0</v>
      </c>
      <c r="AD399" s="12">
        <v>0</v>
      </c>
      <c r="AE399" s="12">
        <v>0</v>
      </c>
      <c r="AF399" s="12">
        <v>0</v>
      </c>
      <c r="AG399" s="12">
        <v>0</v>
      </c>
      <c r="AH399" s="12">
        <v>0</v>
      </c>
      <c r="AI399" s="12">
        <v>4</v>
      </c>
      <c r="AJ399" s="12" t="s">
        <v>57</v>
      </c>
      <c r="AK399" s="12">
        <v>1</v>
      </c>
      <c r="AL399" s="12">
        <v>0</v>
      </c>
      <c r="AM399" s="12">
        <v>4487</v>
      </c>
      <c r="AN399" s="12">
        <f t="shared" si="92"/>
        <v>4487</v>
      </c>
      <c r="AO399" s="12">
        <v>1</v>
      </c>
      <c r="AP399" s="12" t="s">
        <v>52</v>
      </c>
      <c r="AQ399" s="12">
        <v>1</v>
      </c>
      <c r="AR399" s="12">
        <v>11</v>
      </c>
      <c r="AS399" s="12">
        <v>3</v>
      </c>
      <c r="AT399" s="12">
        <v>2</v>
      </c>
      <c r="AU399" s="12">
        <v>0</v>
      </c>
      <c r="AV399" s="12">
        <v>5</v>
      </c>
      <c r="AW399" s="12">
        <f t="shared" si="93"/>
        <v>5</v>
      </c>
      <c r="AX399" s="12">
        <v>3</v>
      </c>
      <c r="AY399" s="12">
        <v>3</v>
      </c>
      <c r="AZ399" s="12">
        <v>5</v>
      </c>
      <c r="BA399" s="12">
        <f t="shared" si="94"/>
        <v>5</v>
      </c>
      <c r="BB399" s="12">
        <v>4</v>
      </c>
      <c r="BC399" s="12">
        <v>1</v>
      </c>
      <c r="BD399" s="12">
        <f t="shared" si="103"/>
        <v>1</v>
      </c>
      <c r="BE399" s="12">
        <v>3</v>
      </c>
      <c r="BF399" s="12">
        <f t="shared" si="95"/>
        <v>3</v>
      </c>
      <c r="BG399" s="12">
        <f t="shared" si="104"/>
        <v>6</v>
      </c>
      <c r="BH399" s="67">
        <v>1</v>
      </c>
      <c r="BI399" s="67">
        <v>0</v>
      </c>
      <c r="BJ399" s="67">
        <v>0</v>
      </c>
      <c r="BK399" s="67">
        <v>0</v>
      </c>
      <c r="BL399" s="67">
        <v>0</v>
      </c>
      <c r="BM399" s="67">
        <v>1</v>
      </c>
      <c r="BN399" s="67">
        <v>0</v>
      </c>
      <c r="BO399" s="67">
        <v>0</v>
      </c>
      <c r="BP399" s="67">
        <v>0</v>
      </c>
      <c r="BQ399" s="67">
        <v>0</v>
      </c>
      <c r="BR399" s="67">
        <v>3</v>
      </c>
      <c r="BS399" s="67">
        <v>0</v>
      </c>
      <c r="BT399" s="67">
        <v>0</v>
      </c>
      <c r="BU399" s="70">
        <v>5</v>
      </c>
      <c r="BV399" s="29">
        <f t="shared" si="96"/>
        <v>0.42819664355339648</v>
      </c>
      <c r="BW399">
        <f t="shared" si="97"/>
        <v>0.31476636926356072</v>
      </c>
      <c r="BX399">
        <f t="shared" si="98"/>
        <v>0.80706439257840468</v>
      </c>
      <c r="BY399">
        <f t="shared" si="99"/>
        <v>0.32778177112653761</v>
      </c>
      <c r="BZ399">
        <f t="shared" si="100"/>
        <v>0.64050867607435136</v>
      </c>
      <c r="CA399">
        <f t="shared" si="101"/>
        <v>1.3052350336840246</v>
      </c>
      <c r="CB399">
        <f t="shared" si="102"/>
        <v>0.36858985273641137</v>
      </c>
    </row>
    <row r="400" spans="1:80" x14ac:dyDescent="0.45">
      <c r="A400" s="11">
        <v>37</v>
      </c>
      <c r="B400" s="12">
        <f t="shared" si="90"/>
        <v>37</v>
      </c>
      <c r="C400" s="12" t="s">
        <v>59</v>
      </c>
      <c r="D400" s="12">
        <v>0</v>
      </c>
      <c r="E400" s="12" t="s">
        <v>86</v>
      </c>
      <c r="F400" s="12">
        <v>0</v>
      </c>
      <c r="G400" s="12">
        <v>0</v>
      </c>
      <c r="H400" s="12" t="s">
        <v>61</v>
      </c>
      <c r="I400" s="12">
        <v>1</v>
      </c>
      <c r="J400" s="12">
        <v>0</v>
      </c>
      <c r="K400" s="12">
        <v>25</v>
      </c>
      <c r="L400" s="12">
        <f t="shared" si="91"/>
        <v>25</v>
      </c>
      <c r="M400" s="12">
        <v>5</v>
      </c>
      <c r="N400" s="12" t="s">
        <v>70</v>
      </c>
      <c r="O400" s="12">
        <v>0</v>
      </c>
      <c r="P400" s="12">
        <v>0</v>
      </c>
      <c r="Q400" s="12">
        <v>1</v>
      </c>
      <c r="R400" s="12">
        <v>0</v>
      </c>
      <c r="S400" s="12">
        <v>0</v>
      </c>
      <c r="T400" s="12">
        <v>2</v>
      </c>
      <c r="U400" s="12" t="s">
        <v>19</v>
      </c>
      <c r="V400" s="12">
        <v>1</v>
      </c>
      <c r="W400" s="12">
        <v>72</v>
      </c>
      <c r="X400" s="12">
        <v>3</v>
      </c>
      <c r="Y400" s="12">
        <v>2</v>
      </c>
      <c r="Z400" s="12" t="s">
        <v>63</v>
      </c>
      <c r="AA400" s="12">
        <v>0</v>
      </c>
      <c r="AB400" s="12">
        <v>0</v>
      </c>
      <c r="AC400" s="12">
        <v>0</v>
      </c>
      <c r="AD400" s="12">
        <v>0</v>
      </c>
      <c r="AE400" s="12">
        <v>0</v>
      </c>
      <c r="AF400" s="12">
        <v>0</v>
      </c>
      <c r="AG400" s="12">
        <v>0</v>
      </c>
      <c r="AH400" s="12">
        <v>1</v>
      </c>
      <c r="AI400" s="12">
        <v>3</v>
      </c>
      <c r="AJ400" s="12" t="s">
        <v>64</v>
      </c>
      <c r="AK400" s="12">
        <v>0</v>
      </c>
      <c r="AL400" s="12">
        <v>1</v>
      </c>
      <c r="AM400" s="12">
        <v>4449</v>
      </c>
      <c r="AN400" s="12">
        <f t="shared" si="92"/>
        <v>4449</v>
      </c>
      <c r="AO400" s="12">
        <v>3</v>
      </c>
      <c r="AP400" s="12" t="s">
        <v>52</v>
      </c>
      <c r="AQ400" s="12">
        <v>1</v>
      </c>
      <c r="AR400" s="12">
        <v>15</v>
      </c>
      <c r="AS400" s="12">
        <v>3</v>
      </c>
      <c r="AT400" s="12">
        <v>1</v>
      </c>
      <c r="AU400" s="12">
        <v>2</v>
      </c>
      <c r="AV400" s="12">
        <v>15</v>
      </c>
      <c r="AW400" s="12">
        <f t="shared" si="93"/>
        <v>15</v>
      </c>
      <c r="AX400" s="12">
        <v>2</v>
      </c>
      <c r="AY400" s="12">
        <v>3</v>
      </c>
      <c r="AZ400" s="12">
        <v>13</v>
      </c>
      <c r="BA400" s="12">
        <f t="shared" si="94"/>
        <v>13</v>
      </c>
      <c r="BB400" s="12">
        <v>11</v>
      </c>
      <c r="BC400" s="12">
        <v>10</v>
      </c>
      <c r="BD400" s="12">
        <f t="shared" si="103"/>
        <v>10</v>
      </c>
      <c r="BE400" s="12">
        <v>7</v>
      </c>
      <c r="BF400" s="12">
        <f t="shared" si="95"/>
        <v>7</v>
      </c>
      <c r="BG400" s="12">
        <f t="shared" si="104"/>
        <v>14</v>
      </c>
      <c r="BH400" s="67">
        <v>0</v>
      </c>
      <c r="BI400" s="67">
        <v>1</v>
      </c>
      <c r="BJ400" s="67">
        <v>0</v>
      </c>
      <c r="BK400" s="67">
        <v>0</v>
      </c>
      <c r="BL400" s="67">
        <v>0</v>
      </c>
      <c r="BM400" s="67">
        <v>0</v>
      </c>
      <c r="BN400" s="67">
        <v>0</v>
      </c>
      <c r="BO400" s="67">
        <v>1</v>
      </c>
      <c r="BP400" s="67">
        <v>0</v>
      </c>
      <c r="BQ400" s="67">
        <v>7</v>
      </c>
      <c r="BR400" s="67">
        <v>0</v>
      </c>
      <c r="BS400" s="67">
        <v>0</v>
      </c>
      <c r="BT400" s="67">
        <v>15</v>
      </c>
      <c r="BU400" s="70">
        <v>0</v>
      </c>
      <c r="BV400" s="29">
        <f t="shared" si="96"/>
        <v>0.43626808552933466</v>
      </c>
      <c r="BW400">
        <f t="shared" si="97"/>
        <v>0.80626709607243985</v>
      </c>
      <c r="BX400">
        <f t="shared" si="98"/>
        <v>0.47815352215483642</v>
      </c>
      <c r="BY400">
        <f t="shared" si="99"/>
        <v>0.97801552848324624</v>
      </c>
      <c r="BZ400">
        <f t="shared" si="100"/>
        <v>1.9498886553045598</v>
      </c>
      <c r="CA400">
        <f t="shared" si="101"/>
        <v>8.3401599596422994E-3</v>
      </c>
      <c r="CB400">
        <f t="shared" si="102"/>
        <v>2.4243332582044381</v>
      </c>
    </row>
    <row r="401" spans="1:80" x14ac:dyDescent="0.45">
      <c r="A401" s="11">
        <v>31</v>
      </c>
      <c r="B401" s="12">
        <f t="shared" si="90"/>
        <v>31</v>
      </c>
      <c r="C401" s="12" t="s">
        <v>59</v>
      </c>
      <c r="D401" s="12">
        <v>0</v>
      </c>
      <c r="E401" s="12" t="s">
        <v>53</v>
      </c>
      <c r="F401" s="12">
        <v>0</v>
      </c>
      <c r="G401" s="12">
        <v>1</v>
      </c>
      <c r="H401" s="12" t="s">
        <v>61</v>
      </c>
      <c r="I401" s="12">
        <v>1</v>
      </c>
      <c r="J401" s="12">
        <v>0</v>
      </c>
      <c r="K401" s="12">
        <v>1</v>
      </c>
      <c r="L401" s="12">
        <f t="shared" si="91"/>
        <v>1</v>
      </c>
      <c r="M401" s="12">
        <v>2</v>
      </c>
      <c r="N401" s="12" t="s">
        <v>55</v>
      </c>
      <c r="O401" s="12">
        <v>1</v>
      </c>
      <c r="P401" s="12">
        <v>0</v>
      </c>
      <c r="Q401" s="12">
        <v>0</v>
      </c>
      <c r="R401" s="12">
        <v>0</v>
      </c>
      <c r="S401" s="12">
        <v>0</v>
      </c>
      <c r="T401" s="12">
        <v>4</v>
      </c>
      <c r="U401" s="12" t="s">
        <v>62</v>
      </c>
      <c r="V401" s="12">
        <v>0</v>
      </c>
      <c r="W401" s="12">
        <v>98</v>
      </c>
      <c r="X401" s="12">
        <v>2</v>
      </c>
      <c r="Y401" s="12">
        <v>1</v>
      </c>
      <c r="Z401" s="12" t="s">
        <v>67</v>
      </c>
      <c r="AA401" s="12">
        <v>0</v>
      </c>
      <c r="AB401" s="12">
        <v>0</v>
      </c>
      <c r="AC401" s="12">
        <v>1</v>
      </c>
      <c r="AD401" s="12">
        <v>0</v>
      </c>
      <c r="AE401" s="12">
        <v>0</v>
      </c>
      <c r="AF401" s="12">
        <v>0</v>
      </c>
      <c r="AG401" s="12">
        <v>0</v>
      </c>
      <c r="AH401" s="12">
        <v>0</v>
      </c>
      <c r="AI401" s="12">
        <v>1</v>
      </c>
      <c r="AJ401" s="12" t="s">
        <v>64</v>
      </c>
      <c r="AK401" s="12">
        <v>0</v>
      </c>
      <c r="AL401" s="12">
        <v>1</v>
      </c>
      <c r="AM401" s="12">
        <v>2218</v>
      </c>
      <c r="AN401" s="12">
        <f t="shared" si="92"/>
        <v>2218</v>
      </c>
      <c r="AO401" s="12">
        <v>1</v>
      </c>
      <c r="AP401" s="12" t="s">
        <v>59</v>
      </c>
      <c r="AQ401" s="12">
        <v>0</v>
      </c>
      <c r="AR401" s="12">
        <v>12</v>
      </c>
      <c r="AS401" s="12">
        <v>3</v>
      </c>
      <c r="AT401" s="12">
        <v>3</v>
      </c>
      <c r="AU401" s="12">
        <v>1</v>
      </c>
      <c r="AV401" s="12">
        <v>4</v>
      </c>
      <c r="AW401" s="12">
        <f t="shared" si="93"/>
        <v>4</v>
      </c>
      <c r="AX401" s="12">
        <v>3</v>
      </c>
      <c r="AY401" s="12">
        <v>3</v>
      </c>
      <c r="AZ401" s="12">
        <v>4</v>
      </c>
      <c r="BA401" s="12">
        <f t="shared" si="94"/>
        <v>4</v>
      </c>
      <c r="BB401" s="12">
        <v>2</v>
      </c>
      <c r="BC401" s="12">
        <v>3</v>
      </c>
      <c r="BD401" s="12">
        <f t="shared" si="103"/>
        <v>3</v>
      </c>
      <c r="BE401" s="12">
        <v>2</v>
      </c>
      <c r="BF401" s="12">
        <f t="shared" si="95"/>
        <v>2</v>
      </c>
      <c r="BG401" s="12">
        <f t="shared" si="104"/>
        <v>2</v>
      </c>
      <c r="BH401" s="67">
        <v>0</v>
      </c>
      <c r="BI401" s="67">
        <v>1</v>
      </c>
      <c r="BJ401" s="67">
        <v>0</v>
      </c>
      <c r="BK401" s="67">
        <v>0</v>
      </c>
      <c r="BL401" s="67">
        <v>0</v>
      </c>
      <c r="BM401" s="67">
        <v>0</v>
      </c>
      <c r="BN401" s="67">
        <v>1</v>
      </c>
      <c r="BO401" s="67">
        <v>0</v>
      </c>
      <c r="BP401" s="67">
        <v>0</v>
      </c>
      <c r="BQ401" s="67">
        <v>2</v>
      </c>
      <c r="BR401" s="67">
        <v>0</v>
      </c>
      <c r="BS401" s="67">
        <v>0</v>
      </c>
      <c r="BT401" s="67">
        <v>4</v>
      </c>
      <c r="BU401" s="70">
        <v>0</v>
      </c>
      <c r="BV401" s="29">
        <f t="shared" si="96"/>
        <v>0.91014669206402066</v>
      </c>
      <c r="BW401">
        <f t="shared" si="97"/>
        <v>0.59502473559756086</v>
      </c>
      <c r="BX401">
        <f t="shared" si="98"/>
        <v>0.93558618405172878</v>
      </c>
      <c r="BY401">
        <f t="shared" si="99"/>
        <v>0.49100643357776058</v>
      </c>
      <c r="BZ401">
        <f t="shared" si="100"/>
        <v>1.01056543769991</v>
      </c>
      <c r="CA401">
        <f t="shared" si="101"/>
        <v>0.6484474368621912</v>
      </c>
      <c r="CB401">
        <f t="shared" si="102"/>
        <v>0.2520597274726662</v>
      </c>
    </row>
    <row r="402" spans="1:80" x14ac:dyDescent="0.45">
      <c r="A402" s="11">
        <v>39</v>
      </c>
      <c r="B402" s="12">
        <f t="shared" si="90"/>
        <v>39</v>
      </c>
      <c r="C402" s="12" t="s">
        <v>59</v>
      </c>
      <c r="D402" s="12">
        <v>0</v>
      </c>
      <c r="E402" s="12" t="s">
        <v>60</v>
      </c>
      <c r="F402" s="12">
        <v>1</v>
      </c>
      <c r="G402" s="12">
        <v>0</v>
      </c>
      <c r="H402" s="12" t="s">
        <v>61</v>
      </c>
      <c r="I402" s="12">
        <v>1</v>
      </c>
      <c r="J402" s="12">
        <v>0</v>
      </c>
      <c r="K402" s="12">
        <v>1</v>
      </c>
      <c r="L402" s="12">
        <f t="shared" si="91"/>
        <v>1</v>
      </c>
      <c r="M402" s="12">
        <v>1</v>
      </c>
      <c r="N402" s="12" t="s">
        <v>55</v>
      </c>
      <c r="O402" s="12">
        <v>1</v>
      </c>
      <c r="P402" s="12">
        <v>0</v>
      </c>
      <c r="Q402" s="12">
        <v>0</v>
      </c>
      <c r="R402" s="12">
        <v>0</v>
      </c>
      <c r="S402" s="12">
        <v>0</v>
      </c>
      <c r="T402" s="12">
        <v>2</v>
      </c>
      <c r="U402" s="12" t="s">
        <v>62</v>
      </c>
      <c r="V402" s="12">
        <v>0</v>
      </c>
      <c r="W402" s="12">
        <v>52</v>
      </c>
      <c r="X402" s="12">
        <v>3</v>
      </c>
      <c r="Y402" s="12">
        <v>5</v>
      </c>
      <c r="Z402" s="12" t="s">
        <v>87</v>
      </c>
      <c r="AA402" s="12">
        <v>0</v>
      </c>
      <c r="AB402" s="12">
        <v>0</v>
      </c>
      <c r="AC402" s="12">
        <v>0</v>
      </c>
      <c r="AD402" s="12">
        <v>1</v>
      </c>
      <c r="AE402" s="12">
        <v>0</v>
      </c>
      <c r="AF402" s="12">
        <v>0</v>
      </c>
      <c r="AG402" s="12">
        <v>0</v>
      </c>
      <c r="AH402" s="12">
        <v>0</v>
      </c>
      <c r="AI402" s="12">
        <v>3</v>
      </c>
      <c r="AJ402" s="12" t="s">
        <v>78</v>
      </c>
      <c r="AK402" s="12">
        <v>0</v>
      </c>
      <c r="AL402" s="12">
        <v>0</v>
      </c>
      <c r="AM402" s="12">
        <v>19197</v>
      </c>
      <c r="AN402" s="12">
        <f t="shared" si="92"/>
        <v>19197</v>
      </c>
      <c r="AO402" s="12">
        <v>1</v>
      </c>
      <c r="AP402" s="12" t="s">
        <v>52</v>
      </c>
      <c r="AQ402" s="12">
        <v>1</v>
      </c>
      <c r="AR402" s="12">
        <v>14</v>
      </c>
      <c r="AS402" s="12">
        <v>3</v>
      </c>
      <c r="AT402" s="12">
        <v>3</v>
      </c>
      <c r="AU402" s="12">
        <v>1</v>
      </c>
      <c r="AV402" s="12">
        <v>21</v>
      </c>
      <c r="AW402" s="12">
        <f t="shared" si="93"/>
        <v>21</v>
      </c>
      <c r="AX402" s="12">
        <v>3</v>
      </c>
      <c r="AY402" s="12">
        <v>3</v>
      </c>
      <c r="AZ402" s="12">
        <v>21</v>
      </c>
      <c r="BA402" s="12">
        <f t="shared" si="94"/>
        <v>21</v>
      </c>
      <c r="BB402" s="12">
        <v>8</v>
      </c>
      <c r="BC402" s="12">
        <v>1</v>
      </c>
      <c r="BD402" s="12">
        <f t="shared" si="103"/>
        <v>1</v>
      </c>
      <c r="BE402" s="12">
        <v>6</v>
      </c>
      <c r="BF402" s="12">
        <f t="shared" si="95"/>
        <v>6</v>
      </c>
      <c r="BG402" s="12">
        <f t="shared" si="104"/>
        <v>30</v>
      </c>
      <c r="BH402" s="67">
        <v>0</v>
      </c>
      <c r="BI402" s="67">
        <v>0</v>
      </c>
      <c r="BJ402" s="67">
        <v>1</v>
      </c>
      <c r="BK402" s="67">
        <v>0</v>
      </c>
      <c r="BL402" s="67">
        <v>0</v>
      </c>
      <c r="BM402" s="67">
        <v>1</v>
      </c>
      <c r="BN402" s="67">
        <v>0</v>
      </c>
      <c r="BO402" s="67">
        <v>0</v>
      </c>
      <c r="BP402" s="67">
        <v>0</v>
      </c>
      <c r="BQ402" s="67">
        <v>6</v>
      </c>
      <c r="BR402" s="67">
        <v>0</v>
      </c>
      <c r="BS402" s="67">
        <v>0</v>
      </c>
      <c r="BT402" s="67">
        <v>21</v>
      </c>
      <c r="BU402" s="70">
        <v>0</v>
      </c>
      <c r="BV402" s="29">
        <f t="shared" si="96"/>
        <v>2.6963010266058278</v>
      </c>
      <c r="BW402">
        <f t="shared" si="97"/>
        <v>0.52600872973843971</v>
      </c>
      <c r="BX402">
        <f t="shared" si="98"/>
        <v>1.2492842709947811</v>
      </c>
      <c r="BY402">
        <f t="shared" si="99"/>
        <v>2.2838128280930299</v>
      </c>
      <c r="BZ402">
        <f t="shared" si="100"/>
        <v>1.01056543769991</v>
      </c>
      <c r="CA402">
        <f t="shared" si="101"/>
        <v>0.22726935890025346</v>
      </c>
      <c r="CB402">
        <f t="shared" si="102"/>
        <v>0.36858985273641137</v>
      </c>
    </row>
    <row r="403" spans="1:80" x14ac:dyDescent="0.45">
      <c r="A403" s="11">
        <v>56</v>
      </c>
      <c r="B403" s="12">
        <f t="shared" si="90"/>
        <v>56</v>
      </c>
      <c r="C403" s="12" t="s">
        <v>59</v>
      </c>
      <c r="D403" s="12">
        <v>0</v>
      </c>
      <c r="E403" s="12" t="s">
        <v>60</v>
      </c>
      <c r="F403" s="12">
        <v>1</v>
      </c>
      <c r="G403" s="12">
        <v>0</v>
      </c>
      <c r="H403" s="12" t="s">
        <v>54</v>
      </c>
      <c r="I403" s="12">
        <v>0</v>
      </c>
      <c r="J403" s="12">
        <v>1</v>
      </c>
      <c r="K403" s="12">
        <v>6</v>
      </c>
      <c r="L403" s="12">
        <f t="shared" si="91"/>
        <v>6</v>
      </c>
      <c r="M403" s="12">
        <v>3</v>
      </c>
      <c r="N403" s="12" t="s">
        <v>55</v>
      </c>
      <c r="O403" s="12">
        <v>1</v>
      </c>
      <c r="P403" s="12">
        <v>0</v>
      </c>
      <c r="Q403" s="12">
        <v>0</v>
      </c>
      <c r="R403" s="12">
        <v>0</v>
      </c>
      <c r="S403" s="12">
        <v>0</v>
      </c>
      <c r="T403" s="12">
        <v>3</v>
      </c>
      <c r="U403" s="12" t="s">
        <v>19</v>
      </c>
      <c r="V403" s="12">
        <v>1</v>
      </c>
      <c r="W403" s="12">
        <v>86</v>
      </c>
      <c r="X403" s="12">
        <v>4</v>
      </c>
      <c r="Y403" s="12">
        <v>4</v>
      </c>
      <c r="Z403" s="12" t="s">
        <v>56</v>
      </c>
      <c r="AA403" s="12">
        <v>0</v>
      </c>
      <c r="AB403" s="12">
        <v>1</v>
      </c>
      <c r="AC403" s="12">
        <v>0</v>
      </c>
      <c r="AD403" s="12">
        <v>0</v>
      </c>
      <c r="AE403" s="12">
        <v>0</v>
      </c>
      <c r="AF403" s="12">
        <v>0</v>
      </c>
      <c r="AG403" s="12">
        <v>0</v>
      </c>
      <c r="AH403" s="12">
        <v>0</v>
      </c>
      <c r="AI403" s="12">
        <v>1</v>
      </c>
      <c r="AJ403" s="12" t="s">
        <v>64</v>
      </c>
      <c r="AK403" s="12">
        <v>0</v>
      </c>
      <c r="AL403" s="12">
        <v>1</v>
      </c>
      <c r="AM403" s="12">
        <v>13212</v>
      </c>
      <c r="AN403" s="12">
        <f t="shared" si="92"/>
        <v>13212</v>
      </c>
      <c r="AO403" s="12">
        <v>9</v>
      </c>
      <c r="AP403" s="12" t="s">
        <v>59</v>
      </c>
      <c r="AQ403" s="12">
        <v>0</v>
      </c>
      <c r="AR403" s="12">
        <v>11</v>
      </c>
      <c r="AS403" s="12">
        <v>3</v>
      </c>
      <c r="AT403" s="12">
        <v>4</v>
      </c>
      <c r="AU403" s="12">
        <v>3</v>
      </c>
      <c r="AV403" s="12">
        <v>36</v>
      </c>
      <c r="AW403" s="12">
        <f t="shared" si="93"/>
        <v>35</v>
      </c>
      <c r="AX403" s="12">
        <v>0</v>
      </c>
      <c r="AY403" s="12">
        <v>2</v>
      </c>
      <c r="AZ403" s="12">
        <v>7</v>
      </c>
      <c r="BA403" s="12">
        <f t="shared" si="94"/>
        <v>7</v>
      </c>
      <c r="BB403" s="12">
        <v>7</v>
      </c>
      <c r="BC403" s="12">
        <v>7</v>
      </c>
      <c r="BD403" s="12">
        <f t="shared" si="103"/>
        <v>7</v>
      </c>
      <c r="BE403" s="12">
        <v>7</v>
      </c>
      <c r="BF403" s="12">
        <f t="shared" si="95"/>
        <v>7</v>
      </c>
      <c r="BG403" s="12">
        <f t="shared" si="104"/>
        <v>28</v>
      </c>
      <c r="BH403" s="67">
        <v>0</v>
      </c>
      <c r="BI403" s="67">
        <v>0</v>
      </c>
      <c r="BJ403" s="67">
        <v>0</v>
      </c>
      <c r="BK403" s="67">
        <v>1</v>
      </c>
      <c r="BL403" s="67">
        <v>0</v>
      </c>
      <c r="BM403" s="67">
        <v>0</v>
      </c>
      <c r="BN403" s="67">
        <v>1</v>
      </c>
      <c r="BO403" s="67">
        <v>0</v>
      </c>
      <c r="BP403" s="67">
        <v>0</v>
      </c>
      <c r="BQ403" s="67">
        <v>0</v>
      </c>
      <c r="BR403" s="67">
        <v>7</v>
      </c>
      <c r="BS403" s="67">
        <v>0</v>
      </c>
      <c r="BT403" s="67">
        <v>0</v>
      </c>
      <c r="BU403" s="70">
        <v>35</v>
      </c>
      <c r="BV403" s="29">
        <f t="shared" si="96"/>
        <v>1.4250489153955657</v>
      </c>
      <c r="BW403">
        <f t="shared" si="97"/>
        <v>0.80626709607243985</v>
      </c>
      <c r="BX403">
        <f t="shared" si="98"/>
        <v>3.1771111430946424</v>
      </c>
      <c r="BY403">
        <f t="shared" si="99"/>
        <v>1.3324462240916321E-3</v>
      </c>
      <c r="BZ403">
        <f t="shared" si="100"/>
        <v>0.39380416832397891</v>
      </c>
      <c r="CA403">
        <f t="shared" si="101"/>
        <v>2.0881675498954482</v>
      </c>
      <c r="CB403">
        <f t="shared" si="102"/>
        <v>1.4933588878908215</v>
      </c>
    </row>
    <row r="404" spans="1:80" x14ac:dyDescent="0.45">
      <c r="A404" s="11">
        <v>30</v>
      </c>
      <c r="B404" s="12">
        <f t="shared" si="90"/>
        <v>30</v>
      </c>
      <c r="C404" s="12" t="s">
        <v>59</v>
      </c>
      <c r="D404" s="12">
        <v>0</v>
      </c>
      <c r="E404" s="12" t="s">
        <v>53</v>
      </c>
      <c r="F404" s="12">
        <v>0</v>
      </c>
      <c r="G404" s="12">
        <v>1</v>
      </c>
      <c r="H404" s="12" t="s">
        <v>54</v>
      </c>
      <c r="I404" s="12">
        <v>0</v>
      </c>
      <c r="J404" s="12">
        <v>1</v>
      </c>
      <c r="K404" s="12">
        <v>12</v>
      </c>
      <c r="L404" s="12">
        <f t="shared" si="91"/>
        <v>12</v>
      </c>
      <c r="M404" s="12">
        <v>3</v>
      </c>
      <c r="N404" s="12" t="s">
        <v>91</v>
      </c>
      <c r="O404" s="12">
        <v>0</v>
      </c>
      <c r="P404" s="12">
        <v>0</v>
      </c>
      <c r="Q404" s="12">
        <v>0</v>
      </c>
      <c r="R404" s="12">
        <v>0</v>
      </c>
      <c r="S404" s="12">
        <v>1</v>
      </c>
      <c r="T404" s="12">
        <v>2</v>
      </c>
      <c r="U404" s="12" t="s">
        <v>19</v>
      </c>
      <c r="V404" s="12">
        <v>1</v>
      </c>
      <c r="W404" s="12">
        <v>83</v>
      </c>
      <c r="X404" s="12">
        <v>3</v>
      </c>
      <c r="Y404" s="12">
        <v>2</v>
      </c>
      <c r="Z404" s="12" t="s">
        <v>56</v>
      </c>
      <c r="AA404" s="12">
        <v>0</v>
      </c>
      <c r="AB404" s="12">
        <v>1</v>
      </c>
      <c r="AC404" s="12">
        <v>0</v>
      </c>
      <c r="AD404" s="12">
        <v>0</v>
      </c>
      <c r="AE404" s="12">
        <v>0</v>
      </c>
      <c r="AF404" s="12">
        <v>0</v>
      </c>
      <c r="AG404" s="12">
        <v>0</v>
      </c>
      <c r="AH404" s="12">
        <v>0</v>
      </c>
      <c r="AI404" s="12">
        <v>3</v>
      </c>
      <c r="AJ404" s="12" t="s">
        <v>57</v>
      </c>
      <c r="AK404" s="12">
        <v>1</v>
      </c>
      <c r="AL404" s="12">
        <v>0</v>
      </c>
      <c r="AM404" s="12">
        <v>6577</v>
      </c>
      <c r="AN404" s="12">
        <f t="shared" si="92"/>
        <v>6577</v>
      </c>
      <c r="AO404" s="12">
        <v>0</v>
      </c>
      <c r="AP404" s="12" t="s">
        <v>59</v>
      </c>
      <c r="AQ404" s="12">
        <v>0</v>
      </c>
      <c r="AR404" s="12">
        <v>11</v>
      </c>
      <c r="AS404" s="12">
        <v>3</v>
      </c>
      <c r="AT404" s="12">
        <v>2</v>
      </c>
      <c r="AU404" s="12">
        <v>0</v>
      </c>
      <c r="AV404" s="12">
        <v>6</v>
      </c>
      <c r="AW404" s="12">
        <f t="shared" si="93"/>
        <v>6</v>
      </c>
      <c r="AX404" s="12">
        <v>6</v>
      </c>
      <c r="AY404" s="12">
        <v>3</v>
      </c>
      <c r="AZ404" s="12">
        <v>5</v>
      </c>
      <c r="BA404" s="12">
        <f t="shared" si="94"/>
        <v>5</v>
      </c>
      <c r="BB404" s="12">
        <v>4</v>
      </c>
      <c r="BC404" s="12">
        <v>4</v>
      </c>
      <c r="BD404" s="12">
        <f t="shared" si="103"/>
        <v>4</v>
      </c>
      <c r="BE404" s="12">
        <v>4</v>
      </c>
      <c r="BF404" s="12">
        <f t="shared" si="95"/>
        <v>4</v>
      </c>
      <c r="BG404" s="12">
        <f t="shared" si="104"/>
        <v>8</v>
      </c>
      <c r="BH404" s="67">
        <v>1</v>
      </c>
      <c r="BI404" s="67">
        <v>0</v>
      </c>
      <c r="BJ404" s="67">
        <v>0</v>
      </c>
      <c r="BK404" s="67">
        <v>0</v>
      </c>
      <c r="BL404" s="67">
        <v>1</v>
      </c>
      <c r="BM404" s="67">
        <v>0</v>
      </c>
      <c r="BN404" s="67">
        <v>0</v>
      </c>
      <c r="BO404" s="67">
        <v>0</v>
      </c>
      <c r="BP404" s="67">
        <v>0</v>
      </c>
      <c r="BQ404" s="67">
        <v>0</v>
      </c>
      <c r="BR404" s="67">
        <v>4</v>
      </c>
      <c r="BS404" s="67">
        <v>0</v>
      </c>
      <c r="BT404" s="67">
        <v>0</v>
      </c>
      <c r="BU404" s="70">
        <v>6</v>
      </c>
      <c r="BV404" s="29">
        <f t="shared" si="96"/>
        <v>1.5732665123203038E-2</v>
      </c>
      <c r="BW404">
        <f t="shared" si="97"/>
        <v>3.4508002929560584E-2</v>
      </c>
      <c r="BX404">
        <f t="shared" si="98"/>
        <v>0.67854260110508058</v>
      </c>
      <c r="BY404">
        <f t="shared" si="99"/>
        <v>0.32778177112653761</v>
      </c>
      <c r="BZ404">
        <f t="shared" si="100"/>
        <v>0.3463093549271386</v>
      </c>
      <c r="CA404">
        <f t="shared" si="101"/>
        <v>0.75791203633249671</v>
      </c>
      <c r="CB404">
        <f t="shared" si="102"/>
        <v>0.56238451757720498</v>
      </c>
    </row>
    <row r="405" spans="1:80" x14ac:dyDescent="0.45">
      <c r="A405" s="11">
        <v>41</v>
      </c>
      <c r="B405" s="12">
        <f t="shared" si="90"/>
        <v>41</v>
      </c>
      <c r="C405" s="12" t="s">
        <v>59</v>
      </c>
      <c r="D405" s="12">
        <v>0</v>
      </c>
      <c r="E405" s="12" t="s">
        <v>53</v>
      </c>
      <c r="F405" s="12">
        <v>0</v>
      </c>
      <c r="G405" s="12">
        <v>1</v>
      </c>
      <c r="H405" s="12" t="s">
        <v>54</v>
      </c>
      <c r="I405" s="12">
        <v>0</v>
      </c>
      <c r="J405" s="12">
        <v>1</v>
      </c>
      <c r="K405" s="12">
        <v>1</v>
      </c>
      <c r="L405" s="12">
        <f t="shared" si="91"/>
        <v>1</v>
      </c>
      <c r="M405" s="12">
        <v>3</v>
      </c>
      <c r="N405" s="12" t="s">
        <v>90</v>
      </c>
      <c r="O405" s="12">
        <v>0</v>
      </c>
      <c r="P405" s="12">
        <v>0</v>
      </c>
      <c r="Q405" s="12">
        <v>0</v>
      </c>
      <c r="R405" s="12">
        <v>1</v>
      </c>
      <c r="S405" s="12">
        <v>0</v>
      </c>
      <c r="T405" s="12">
        <v>2</v>
      </c>
      <c r="U405" s="12" t="s">
        <v>62</v>
      </c>
      <c r="V405" s="12">
        <v>0</v>
      </c>
      <c r="W405" s="12">
        <v>49</v>
      </c>
      <c r="X405" s="12">
        <v>4</v>
      </c>
      <c r="Y405" s="12">
        <v>3</v>
      </c>
      <c r="Z405" s="12" t="s">
        <v>56</v>
      </c>
      <c r="AA405" s="12">
        <v>0</v>
      </c>
      <c r="AB405" s="12">
        <v>1</v>
      </c>
      <c r="AC405" s="12">
        <v>0</v>
      </c>
      <c r="AD405" s="12">
        <v>0</v>
      </c>
      <c r="AE405" s="12">
        <v>0</v>
      </c>
      <c r="AF405" s="12">
        <v>0</v>
      </c>
      <c r="AG405" s="12">
        <v>0</v>
      </c>
      <c r="AH405" s="12">
        <v>0</v>
      </c>
      <c r="AI405" s="12">
        <v>1</v>
      </c>
      <c r="AJ405" s="12" t="s">
        <v>64</v>
      </c>
      <c r="AK405" s="12">
        <v>0</v>
      </c>
      <c r="AL405" s="12">
        <v>1</v>
      </c>
      <c r="AM405" s="12">
        <v>8392</v>
      </c>
      <c r="AN405" s="12">
        <f t="shared" si="92"/>
        <v>8392</v>
      </c>
      <c r="AO405" s="12">
        <v>1</v>
      </c>
      <c r="AP405" s="12" t="s">
        <v>59</v>
      </c>
      <c r="AQ405" s="12">
        <v>0</v>
      </c>
      <c r="AR405" s="12">
        <v>16</v>
      </c>
      <c r="AS405" s="12">
        <v>3</v>
      </c>
      <c r="AT405" s="12">
        <v>3</v>
      </c>
      <c r="AU405" s="12">
        <v>1</v>
      </c>
      <c r="AV405" s="12">
        <v>10</v>
      </c>
      <c r="AW405" s="12">
        <f t="shared" si="93"/>
        <v>10</v>
      </c>
      <c r="AX405" s="12">
        <v>2</v>
      </c>
      <c r="AY405" s="12">
        <v>3</v>
      </c>
      <c r="AZ405" s="12">
        <v>10</v>
      </c>
      <c r="BA405" s="12">
        <f t="shared" si="94"/>
        <v>10</v>
      </c>
      <c r="BB405" s="12">
        <v>7</v>
      </c>
      <c r="BC405" s="12">
        <v>0</v>
      </c>
      <c r="BD405" s="12">
        <f t="shared" si="103"/>
        <v>0</v>
      </c>
      <c r="BE405" s="12">
        <v>7</v>
      </c>
      <c r="BF405" s="12">
        <f t="shared" si="95"/>
        <v>7</v>
      </c>
      <c r="BG405" s="12">
        <f t="shared" si="104"/>
        <v>21</v>
      </c>
      <c r="BH405" s="67">
        <v>0</v>
      </c>
      <c r="BI405" s="67">
        <v>1</v>
      </c>
      <c r="BJ405" s="67">
        <v>0</v>
      </c>
      <c r="BK405" s="67">
        <v>0</v>
      </c>
      <c r="BL405" s="67">
        <v>0</v>
      </c>
      <c r="BM405" s="67">
        <v>0</v>
      </c>
      <c r="BN405" s="67">
        <v>1</v>
      </c>
      <c r="BO405" s="67">
        <v>0</v>
      </c>
      <c r="BP405" s="67">
        <v>0</v>
      </c>
      <c r="BQ405" s="67">
        <v>0</v>
      </c>
      <c r="BR405" s="67">
        <v>7</v>
      </c>
      <c r="BS405" s="67">
        <v>0</v>
      </c>
      <c r="BT405" s="67">
        <v>0</v>
      </c>
      <c r="BU405" s="70">
        <v>10</v>
      </c>
      <c r="BV405" s="29">
        <f t="shared" si="96"/>
        <v>0.40125022265814475</v>
      </c>
      <c r="BW405">
        <f t="shared" si="97"/>
        <v>0.80626709607243985</v>
      </c>
      <c r="BX405">
        <f t="shared" si="98"/>
        <v>0.1644554352117841</v>
      </c>
      <c r="BY405">
        <f t="shared" si="99"/>
        <v>0.48834154112957734</v>
      </c>
      <c r="BZ405">
        <f t="shared" si="100"/>
        <v>1.01056543769991</v>
      </c>
      <c r="CA405">
        <f t="shared" si="101"/>
        <v>0.4461985578408646</v>
      </c>
      <c r="CB405">
        <f t="shared" si="102"/>
        <v>0.67891464284095016</v>
      </c>
    </row>
    <row r="406" spans="1:80" x14ac:dyDescent="0.45">
      <c r="A406" s="11">
        <v>28</v>
      </c>
      <c r="B406" s="12">
        <f t="shared" si="90"/>
        <v>28</v>
      </c>
      <c r="C406" s="12" t="s">
        <v>59</v>
      </c>
      <c r="D406" s="12">
        <v>0</v>
      </c>
      <c r="E406" s="12" t="s">
        <v>53</v>
      </c>
      <c r="F406" s="12">
        <v>0</v>
      </c>
      <c r="G406" s="12">
        <v>1</v>
      </c>
      <c r="H406" s="12" t="s">
        <v>61</v>
      </c>
      <c r="I406" s="12">
        <v>1</v>
      </c>
      <c r="J406" s="12">
        <v>0</v>
      </c>
      <c r="K406" s="12">
        <v>17</v>
      </c>
      <c r="L406" s="12">
        <f t="shared" si="91"/>
        <v>17</v>
      </c>
      <c r="M406" s="12">
        <v>2</v>
      </c>
      <c r="N406" s="12" t="s">
        <v>70</v>
      </c>
      <c r="O406" s="12">
        <v>0</v>
      </c>
      <c r="P406" s="12">
        <v>0</v>
      </c>
      <c r="Q406" s="12">
        <v>1</v>
      </c>
      <c r="R406" s="12">
        <v>0</v>
      </c>
      <c r="S406" s="12">
        <v>0</v>
      </c>
      <c r="T406" s="12">
        <v>3</v>
      </c>
      <c r="U406" s="12" t="s">
        <v>62</v>
      </c>
      <c r="V406" s="12">
        <v>0</v>
      </c>
      <c r="W406" s="12">
        <v>79</v>
      </c>
      <c r="X406" s="12">
        <v>3</v>
      </c>
      <c r="Y406" s="12">
        <v>2</v>
      </c>
      <c r="Z406" s="12" t="s">
        <v>67</v>
      </c>
      <c r="AA406" s="12">
        <v>0</v>
      </c>
      <c r="AB406" s="12">
        <v>0</v>
      </c>
      <c r="AC406" s="12">
        <v>1</v>
      </c>
      <c r="AD406" s="12">
        <v>0</v>
      </c>
      <c r="AE406" s="12">
        <v>0</v>
      </c>
      <c r="AF406" s="12">
        <v>0</v>
      </c>
      <c r="AG406" s="12">
        <v>0</v>
      </c>
      <c r="AH406" s="12">
        <v>0</v>
      </c>
      <c r="AI406" s="12">
        <v>1</v>
      </c>
      <c r="AJ406" s="12" t="s">
        <v>78</v>
      </c>
      <c r="AK406" s="12">
        <v>0</v>
      </c>
      <c r="AL406" s="12">
        <v>0</v>
      </c>
      <c r="AM406" s="12">
        <v>4558</v>
      </c>
      <c r="AN406" s="12">
        <f t="shared" si="92"/>
        <v>4558</v>
      </c>
      <c r="AO406" s="12">
        <v>1</v>
      </c>
      <c r="AP406" s="12" t="s">
        <v>59</v>
      </c>
      <c r="AQ406" s="12">
        <v>0</v>
      </c>
      <c r="AR406" s="12">
        <v>12</v>
      </c>
      <c r="AS406" s="12">
        <v>3</v>
      </c>
      <c r="AT406" s="12">
        <v>4</v>
      </c>
      <c r="AU406" s="12">
        <v>1</v>
      </c>
      <c r="AV406" s="12">
        <v>10</v>
      </c>
      <c r="AW406" s="12">
        <f t="shared" si="93"/>
        <v>10</v>
      </c>
      <c r="AX406" s="12">
        <v>2</v>
      </c>
      <c r="AY406" s="12">
        <v>3</v>
      </c>
      <c r="AZ406" s="12">
        <v>10</v>
      </c>
      <c r="BA406" s="12">
        <f t="shared" si="94"/>
        <v>10</v>
      </c>
      <c r="BB406" s="12">
        <v>0</v>
      </c>
      <c r="BC406" s="12">
        <v>1</v>
      </c>
      <c r="BD406" s="12">
        <f t="shared" si="103"/>
        <v>1</v>
      </c>
      <c r="BE406" s="12">
        <v>8</v>
      </c>
      <c r="BF406" s="12">
        <f t="shared" si="95"/>
        <v>8</v>
      </c>
      <c r="BG406" s="12">
        <f t="shared" si="104"/>
        <v>16</v>
      </c>
      <c r="BH406" s="67">
        <v>1</v>
      </c>
      <c r="BI406" s="67">
        <v>0</v>
      </c>
      <c r="BJ406" s="67">
        <v>0</v>
      </c>
      <c r="BK406" s="67">
        <v>0</v>
      </c>
      <c r="BL406" s="67">
        <v>1</v>
      </c>
      <c r="BM406" s="67">
        <v>0</v>
      </c>
      <c r="BN406" s="67">
        <v>0</v>
      </c>
      <c r="BO406" s="67">
        <v>0</v>
      </c>
      <c r="BP406" s="67">
        <v>0</v>
      </c>
      <c r="BQ406" s="67">
        <v>8</v>
      </c>
      <c r="BR406" s="67">
        <v>0</v>
      </c>
      <c r="BS406" s="67">
        <v>0</v>
      </c>
      <c r="BT406" s="67">
        <v>10</v>
      </c>
      <c r="BU406" s="70">
        <v>0</v>
      </c>
      <c r="BV406" s="29">
        <f t="shared" si="96"/>
        <v>0.4131157914404594</v>
      </c>
      <c r="BW406">
        <f t="shared" si="97"/>
        <v>1.08652546240644</v>
      </c>
      <c r="BX406">
        <f t="shared" si="98"/>
        <v>0.1644554352117841</v>
      </c>
      <c r="BY406">
        <f t="shared" si="99"/>
        <v>0.48834154112957734</v>
      </c>
      <c r="BZ406">
        <f t="shared" si="100"/>
        <v>0.96307062430306978</v>
      </c>
      <c r="CA406">
        <f t="shared" si="101"/>
        <v>0.97684123527310796</v>
      </c>
      <c r="CB406">
        <f t="shared" si="102"/>
        <v>0.36858985273641137</v>
      </c>
    </row>
    <row r="407" spans="1:80" x14ac:dyDescent="0.45">
      <c r="A407" s="11">
        <v>25</v>
      </c>
      <c r="B407" s="12">
        <f t="shared" si="90"/>
        <v>25</v>
      </c>
      <c r="C407" s="12" t="s">
        <v>52</v>
      </c>
      <c r="D407" s="12">
        <v>1</v>
      </c>
      <c r="E407" s="12" t="s">
        <v>53</v>
      </c>
      <c r="F407" s="12">
        <v>0</v>
      </c>
      <c r="G407" s="12">
        <v>1</v>
      </c>
      <c r="H407" s="12" t="s">
        <v>61</v>
      </c>
      <c r="I407" s="12">
        <v>1</v>
      </c>
      <c r="J407" s="12">
        <v>0</v>
      </c>
      <c r="K407" s="12">
        <v>3</v>
      </c>
      <c r="L407" s="12">
        <f t="shared" si="91"/>
        <v>3</v>
      </c>
      <c r="M407" s="12">
        <v>3</v>
      </c>
      <c r="N407" s="12" t="s">
        <v>70</v>
      </c>
      <c r="O407" s="12">
        <v>0</v>
      </c>
      <c r="P407" s="12">
        <v>0</v>
      </c>
      <c r="Q407" s="12">
        <v>1</v>
      </c>
      <c r="R407" s="12">
        <v>0</v>
      </c>
      <c r="S407" s="12">
        <v>0</v>
      </c>
      <c r="T407" s="12">
        <v>1</v>
      </c>
      <c r="U407" s="12" t="s">
        <v>62</v>
      </c>
      <c r="V407" s="12">
        <v>0</v>
      </c>
      <c r="W407" s="12">
        <v>91</v>
      </c>
      <c r="X407" s="12">
        <v>3</v>
      </c>
      <c r="Y407" s="12">
        <v>1</v>
      </c>
      <c r="Z407" s="12" t="s">
        <v>67</v>
      </c>
      <c r="AA407" s="12">
        <v>0</v>
      </c>
      <c r="AB407" s="12">
        <v>0</v>
      </c>
      <c r="AC407" s="12">
        <v>1</v>
      </c>
      <c r="AD407" s="12">
        <v>0</v>
      </c>
      <c r="AE407" s="12">
        <v>0</v>
      </c>
      <c r="AF407" s="12">
        <v>0</v>
      </c>
      <c r="AG407" s="12">
        <v>0</v>
      </c>
      <c r="AH407" s="12">
        <v>0</v>
      </c>
      <c r="AI407" s="12">
        <v>1</v>
      </c>
      <c r="AJ407" s="12" t="s">
        <v>64</v>
      </c>
      <c r="AK407" s="12">
        <v>0</v>
      </c>
      <c r="AL407" s="12">
        <v>1</v>
      </c>
      <c r="AM407" s="12">
        <v>4031</v>
      </c>
      <c r="AN407" s="12">
        <f t="shared" si="92"/>
        <v>4031</v>
      </c>
      <c r="AO407" s="12">
        <v>5</v>
      </c>
      <c r="AP407" s="12" t="s">
        <v>59</v>
      </c>
      <c r="AQ407" s="12">
        <v>0</v>
      </c>
      <c r="AR407" s="12">
        <v>13</v>
      </c>
      <c r="AS407" s="12">
        <v>3</v>
      </c>
      <c r="AT407" s="12">
        <v>3</v>
      </c>
      <c r="AU407" s="12">
        <v>1</v>
      </c>
      <c r="AV407" s="12">
        <v>6</v>
      </c>
      <c r="AW407" s="12">
        <f t="shared" si="93"/>
        <v>6</v>
      </c>
      <c r="AX407" s="12">
        <v>5</v>
      </c>
      <c r="AY407" s="12">
        <v>3</v>
      </c>
      <c r="AZ407" s="12">
        <v>2</v>
      </c>
      <c r="BA407" s="12">
        <f t="shared" si="94"/>
        <v>2</v>
      </c>
      <c r="BB407" s="12">
        <v>2</v>
      </c>
      <c r="BC407" s="12">
        <v>0</v>
      </c>
      <c r="BD407" s="12">
        <f t="shared" si="103"/>
        <v>0</v>
      </c>
      <c r="BE407" s="12">
        <v>2</v>
      </c>
      <c r="BF407" s="12">
        <f t="shared" si="95"/>
        <v>2</v>
      </c>
      <c r="BG407" s="12">
        <f t="shared" si="104"/>
        <v>2</v>
      </c>
      <c r="BH407" s="67">
        <v>0</v>
      </c>
      <c r="BI407" s="67">
        <v>1</v>
      </c>
      <c r="BJ407" s="67">
        <v>0</v>
      </c>
      <c r="BK407" s="67">
        <v>0</v>
      </c>
      <c r="BL407" s="67">
        <v>0</v>
      </c>
      <c r="BM407" s="67">
        <v>0</v>
      </c>
      <c r="BN407" s="67">
        <v>1</v>
      </c>
      <c r="BO407" s="67">
        <v>0</v>
      </c>
      <c r="BP407" s="67">
        <v>0</v>
      </c>
      <c r="BQ407" s="67">
        <v>2</v>
      </c>
      <c r="BR407" s="67">
        <v>0</v>
      </c>
      <c r="BS407" s="67">
        <v>0</v>
      </c>
      <c r="BT407" s="67">
        <v>6</v>
      </c>
      <c r="BU407" s="70">
        <v>0</v>
      </c>
      <c r="BV407" s="29">
        <f t="shared" si="96"/>
        <v>0.5250539472646546</v>
      </c>
      <c r="BW407">
        <f t="shared" si="97"/>
        <v>0.59502473559756086</v>
      </c>
      <c r="BX407">
        <f t="shared" si="98"/>
        <v>0.67854260110508058</v>
      </c>
      <c r="BY407">
        <f t="shared" si="99"/>
        <v>0.81745575848020657</v>
      </c>
      <c r="BZ407">
        <f t="shared" si="100"/>
        <v>0.76386092994953758</v>
      </c>
      <c r="CA407">
        <f t="shared" si="101"/>
        <v>1.3052350336840246</v>
      </c>
      <c r="CB407">
        <f t="shared" si="102"/>
        <v>0.67891464284095016</v>
      </c>
    </row>
    <row r="408" spans="1:80" x14ac:dyDescent="0.45">
      <c r="A408" s="11">
        <v>52</v>
      </c>
      <c r="B408" s="12">
        <f t="shared" si="90"/>
        <v>52</v>
      </c>
      <c r="C408" s="12" t="s">
        <v>59</v>
      </c>
      <c r="D408" s="12">
        <v>0</v>
      </c>
      <c r="E408" s="12" t="s">
        <v>53</v>
      </c>
      <c r="F408" s="12">
        <v>0</v>
      </c>
      <c r="G408" s="12">
        <v>1</v>
      </c>
      <c r="H408" s="12" t="s">
        <v>61</v>
      </c>
      <c r="I408" s="12">
        <v>1</v>
      </c>
      <c r="J408" s="12">
        <v>0</v>
      </c>
      <c r="K408" s="12">
        <v>3</v>
      </c>
      <c r="L408" s="12">
        <f t="shared" si="91"/>
        <v>3</v>
      </c>
      <c r="M408" s="12">
        <v>3</v>
      </c>
      <c r="N408" s="12" t="s">
        <v>70</v>
      </c>
      <c r="O408" s="12">
        <v>0</v>
      </c>
      <c r="P408" s="12">
        <v>0</v>
      </c>
      <c r="Q408" s="12">
        <v>1</v>
      </c>
      <c r="R408" s="12">
        <v>0</v>
      </c>
      <c r="S408" s="12">
        <v>0</v>
      </c>
      <c r="T408" s="12">
        <v>4</v>
      </c>
      <c r="U408" s="12" t="s">
        <v>62</v>
      </c>
      <c r="V408" s="12">
        <v>0</v>
      </c>
      <c r="W408" s="12">
        <v>39</v>
      </c>
      <c r="X408" s="12">
        <v>2</v>
      </c>
      <c r="Y408" s="12">
        <v>3</v>
      </c>
      <c r="Z408" s="12" t="s">
        <v>83</v>
      </c>
      <c r="AA408" s="12">
        <v>0</v>
      </c>
      <c r="AB408" s="12">
        <v>0</v>
      </c>
      <c r="AC408" s="12">
        <v>0</v>
      </c>
      <c r="AD408" s="12">
        <v>0</v>
      </c>
      <c r="AE408" s="12">
        <v>1</v>
      </c>
      <c r="AF408" s="12">
        <v>1</v>
      </c>
      <c r="AG408" s="12">
        <v>0</v>
      </c>
      <c r="AH408" s="12">
        <v>0</v>
      </c>
      <c r="AI408" s="12">
        <v>3</v>
      </c>
      <c r="AJ408" s="12" t="s">
        <v>64</v>
      </c>
      <c r="AK408" s="12">
        <v>0</v>
      </c>
      <c r="AL408" s="12">
        <v>1</v>
      </c>
      <c r="AM408" s="12">
        <v>7969</v>
      </c>
      <c r="AN408" s="12">
        <f t="shared" si="92"/>
        <v>7969</v>
      </c>
      <c r="AO408" s="12">
        <v>2</v>
      </c>
      <c r="AP408" s="12" t="s">
        <v>52</v>
      </c>
      <c r="AQ408" s="12">
        <v>1</v>
      </c>
      <c r="AR408" s="12">
        <v>14</v>
      </c>
      <c r="AS408" s="12">
        <v>3</v>
      </c>
      <c r="AT408" s="12">
        <v>3</v>
      </c>
      <c r="AU408" s="12">
        <v>0</v>
      </c>
      <c r="AV408" s="12">
        <v>28</v>
      </c>
      <c r="AW408" s="12">
        <f t="shared" si="93"/>
        <v>28</v>
      </c>
      <c r="AX408" s="12">
        <v>4</v>
      </c>
      <c r="AY408" s="12">
        <v>3</v>
      </c>
      <c r="AZ408" s="12">
        <v>5</v>
      </c>
      <c r="BA408" s="12">
        <f t="shared" si="94"/>
        <v>5</v>
      </c>
      <c r="BB408" s="12">
        <v>4</v>
      </c>
      <c r="BC408" s="12">
        <v>0</v>
      </c>
      <c r="BD408" s="12">
        <f t="shared" si="103"/>
        <v>0</v>
      </c>
      <c r="BE408" s="12">
        <v>4</v>
      </c>
      <c r="BF408" s="12">
        <f t="shared" si="95"/>
        <v>4</v>
      </c>
      <c r="BG408" s="12">
        <f t="shared" si="104"/>
        <v>12</v>
      </c>
      <c r="BH408" s="67">
        <v>0</v>
      </c>
      <c r="BI408" s="67">
        <v>1</v>
      </c>
      <c r="BJ408" s="67">
        <v>0</v>
      </c>
      <c r="BK408" s="67">
        <v>0</v>
      </c>
      <c r="BL408" s="67">
        <v>0</v>
      </c>
      <c r="BM408" s="67">
        <v>0</v>
      </c>
      <c r="BN408" s="67">
        <v>0</v>
      </c>
      <c r="BO408" s="67">
        <v>1</v>
      </c>
      <c r="BP408" s="67">
        <v>0</v>
      </c>
      <c r="BQ408" s="67">
        <v>4</v>
      </c>
      <c r="BR408" s="67">
        <v>0</v>
      </c>
      <c r="BS408" s="67">
        <v>0</v>
      </c>
      <c r="BT408" s="67">
        <v>28</v>
      </c>
      <c r="BU408" s="70">
        <v>0</v>
      </c>
      <c r="BV408" s="29">
        <f t="shared" si="96"/>
        <v>0.3114023290838856</v>
      </c>
      <c r="BW408">
        <f t="shared" si="97"/>
        <v>3.4508002929560584E-2</v>
      </c>
      <c r="BX408">
        <f t="shared" si="98"/>
        <v>2.1489368113080496</v>
      </c>
      <c r="BY408">
        <f t="shared" si="99"/>
        <v>0.32778177112653761</v>
      </c>
      <c r="BZ408">
        <f t="shared" si="100"/>
        <v>0.76386092994953758</v>
      </c>
      <c r="CA408">
        <f t="shared" si="101"/>
        <v>1.6503091520142259</v>
      </c>
      <c r="CB408">
        <f t="shared" si="102"/>
        <v>0.67891464284095016</v>
      </c>
    </row>
    <row r="409" spans="1:80" x14ac:dyDescent="0.45">
      <c r="A409" s="11">
        <v>45</v>
      </c>
      <c r="B409" s="12">
        <f t="shared" si="90"/>
        <v>45</v>
      </c>
      <c r="C409" s="12" t="s">
        <v>59</v>
      </c>
      <c r="D409" s="12">
        <v>0</v>
      </c>
      <c r="E409" s="12" t="s">
        <v>53</v>
      </c>
      <c r="F409" s="12">
        <v>0</v>
      </c>
      <c r="G409" s="12">
        <v>1</v>
      </c>
      <c r="H409" s="12" t="s">
        <v>61</v>
      </c>
      <c r="I409" s="12">
        <v>1</v>
      </c>
      <c r="J409" s="12">
        <v>0</v>
      </c>
      <c r="K409" s="12">
        <v>10</v>
      </c>
      <c r="L409" s="12">
        <f t="shared" si="91"/>
        <v>10</v>
      </c>
      <c r="M409" s="12">
        <v>2</v>
      </c>
      <c r="N409" s="12" t="s">
        <v>55</v>
      </c>
      <c r="O409" s="12">
        <v>1</v>
      </c>
      <c r="P409" s="12">
        <v>0</v>
      </c>
      <c r="Q409" s="12">
        <v>0</v>
      </c>
      <c r="R409" s="12">
        <v>0</v>
      </c>
      <c r="S409" s="12">
        <v>0</v>
      </c>
      <c r="T409" s="12">
        <v>1</v>
      </c>
      <c r="U409" s="12" t="s">
        <v>62</v>
      </c>
      <c r="V409" s="12">
        <v>0</v>
      </c>
      <c r="W409" s="12">
        <v>69</v>
      </c>
      <c r="X409" s="12">
        <v>3</v>
      </c>
      <c r="Y409" s="12">
        <v>1</v>
      </c>
      <c r="Z409" s="12" t="s">
        <v>63</v>
      </c>
      <c r="AA409" s="12">
        <v>0</v>
      </c>
      <c r="AB409" s="12">
        <v>0</v>
      </c>
      <c r="AC409" s="12">
        <v>0</v>
      </c>
      <c r="AD409" s="12">
        <v>0</v>
      </c>
      <c r="AE409" s="12">
        <v>0</v>
      </c>
      <c r="AF409" s="12">
        <v>0</v>
      </c>
      <c r="AG409" s="12">
        <v>0</v>
      </c>
      <c r="AH409" s="12">
        <v>1</v>
      </c>
      <c r="AI409" s="12">
        <v>4</v>
      </c>
      <c r="AJ409" s="12" t="s">
        <v>64</v>
      </c>
      <c r="AK409" s="12">
        <v>0</v>
      </c>
      <c r="AL409" s="12">
        <v>1</v>
      </c>
      <c r="AM409" s="12">
        <v>2654</v>
      </c>
      <c r="AN409" s="12">
        <f t="shared" si="92"/>
        <v>2654</v>
      </c>
      <c r="AO409" s="12">
        <v>3</v>
      </c>
      <c r="AP409" s="12" t="s">
        <v>59</v>
      </c>
      <c r="AQ409" s="12">
        <v>0</v>
      </c>
      <c r="AR409" s="12">
        <v>21</v>
      </c>
      <c r="AS409" s="12">
        <v>4</v>
      </c>
      <c r="AT409" s="12">
        <v>4</v>
      </c>
      <c r="AU409" s="12">
        <v>2</v>
      </c>
      <c r="AV409" s="12">
        <v>8</v>
      </c>
      <c r="AW409" s="12">
        <f t="shared" si="93"/>
        <v>8</v>
      </c>
      <c r="AX409" s="12">
        <v>3</v>
      </c>
      <c r="AY409" s="12">
        <v>2</v>
      </c>
      <c r="AZ409" s="12">
        <v>2</v>
      </c>
      <c r="BA409" s="12">
        <f t="shared" si="94"/>
        <v>2</v>
      </c>
      <c r="BB409" s="12">
        <v>2</v>
      </c>
      <c r="BC409" s="12">
        <v>0</v>
      </c>
      <c r="BD409" s="12">
        <f t="shared" si="103"/>
        <v>0</v>
      </c>
      <c r="BE409" s="12">
        <v>2</v>
      </c>
      <c r="BF409" s="12">
        <f t="shared" si="95"/>
        <v>2</v>
      </c>
      <c r="BG409" s="12">
        <f t="shared" si="104"/>
        <v>2</v>
      </c>
      <c r="BH409" s="67">
        <v>0</v>
      </c>
      <c r="BI409" s="67">
        <v>1</v>
      </c>
      <c r="BJ409" s="67">
        <v>0</v>
      </c>
      <c r="BK409" s="67">
        <v>0</v>
      </c>
      <c r="BL409" s="67">
        <v>0</v>
      </c>
      <c r="BM409" s="67">
        <v>0</v>
      </c>
      <c r="BN409" s="67">
        <v>1</v>
      </c>
      <c r="BO409" s="67">
        <v>0</v>
      </c>
      <c r="BP409" s="67">
        <v>0</v>
      </c>
      <c r="BQ409" s="67">
        <v>2</v>
      </c>
      <c r="BR409" s="67">
        <v>0</v>
      </c>
      <c r="BS409" s="67">
        <v>0</v>
      </c>
      <c r="BT409" s="67">
        <v>8</v>
      </c>
      <c r="BU409" s="70">
        <v>0</v>
      </c>
      <c r="BV409" s="29">
        <f t="shared" si="96"/>
        <v>0.8175375157085194</v>
      </c>
      <c r="BW409">
        <f t="shared" si="97"/>
        <v>0.59502473559756086</v>
      </c>
      <c r="BX409">
        <f t="shared" si="98"/>
        <v>0.42149901815843233</v>
      </c>
      <c r="BY409">
        <f t="shared" si="99"/>
        <v>0.81745575848020657</v>
      </c>
      <c r="BZ409">
        <f t="shared" si="100"/>
        <v>9.9604847176766084E-2</v>
      </c>
      <c r="CA409">
        <f t="shared" si="101"/>
        <v>0.88405695572208698</v>
      </c>
      <c r="CB409">
        <f t="shared" si="102"/>
        <v>0.67891464284095016</v>
      </c>
    </row>
    <row r="410" spans="1:80" x14ac:dyDescent="0.45">
      <c r="A410" s="11">
        <v>52</v>
      </c>
      <c r="B410" s="12">
        <f t="shared" si="90"/>
        <v>52</v>
      </c>
      <c r="C410" s="12" t="s">
        <v>59</v>
      </c>
      <c r="D410" s="12">
        <v>0</v>
      </c>
      <c r="E410" s="12" t="s">
        <v>53</v>
      </c>
      <c r="F410" s="12">
        <v>0</v>
      </c>
      <c r="G410" s="12">
        <v>1</v>
      </c>
      <c r="H410" s="12" t="s">
        <v>61</v>
      </c>
      <c r="I410" s="12">
        <v>1</v>
      </c>
      <c r="J410" s="12">
        <v>0</v>
      </c>
      <c r="K410" s="12">
        <v>4</v>
      </c>
      <c r="L410" s="12">
        <f t="shared" si="91"/>
        <v>4</v>
      </c>
      <c r="M410" s="12">
        <v>2</v>
      </c>
      <c r="N410" s="12" t="s">
        <v>55</v>
      </c>
      <c r="O410" s="12">
        <v>1</v>
      </c>
      <c r="P410" s="12">
        <v>0</v>
      </c>
      <c r="Q410" s="12">
        <v>0</v>
      </c>
      <c r="R410" s="12">
        <v>0</v>
      </c>
      <c r="S410" s="12">
        <v>0</v>
      </c>
      <c r="T410" s="12">
        <v>4</v>
      </c>
      <c r="U410" s="12" t="s">
        <v>19</v>
      </c>
      <c r="V410" s="12">
        <v>1</v>
      </c>
      <c r="W410" s="12">
        <v>30</v>
      </c>
      <c r="X410" s="12">
        <v>3</v>
      </c>
      <c r="Y410" s="12">
        <v>4</v>
      </c>
      <c r="Z410" s="12" t="s">
        <v>87</v>
      </c>
      <c r="AA410" s="12">
        <v>0</v>
      </c>
      <c r="AB410" s="12">
        <v>0</v>
      </c>
      <c r="AC410" s="12">
        <v>0</v>
      </c>
      <c r="AD410" s="12">
        <v>1</v>
      </c>
      <c r="AE410" s="12">
        <v>0</v>
      </c>
      <c r="AF410" s="12">
        <v>0</v>
      </c>
      <c r="AG410" s="12">
        <v>0</v>
      </c>
      <c r="AH410" s="12">
        <v>0</v>
      </c>
      <c r="AI410" s="12">
        <v>4</v>
      </c>
      <c r="AJ410" s="12" t="s">
        <v>64</v>
      </c>
      <c r="AK410" s="12">
        <v>0</v>
      </c>
      <c r="AL410" s="12">
        <v>1</v>
      </c>
      <c r="AM410" s="12">
        <v>16555</v>
      </c>
      <c r="AN410" s="12">
        <f t="shared" si="92"/>
        <v>16555</v>
      </c>
      <c r="AO410" s="12">
        <v>2</v>
      </c>
      <c r="AP410" s="12" t="s">
        <v>59</v>
      </c>
      <c r="AQ410" s="12">
        <v>0</v>
      </c>
      <c r="AR410" s="12">
        <v>13</v>
      </c>
      <c r="AS410" s="12">
        <v>3</v>
      </c>
      <c r="AT410" s="12">
        <v>4</v>
      </c>
      <c r="AU410" s="12">
        <v>0</v>
      </c>
      <c r="AV410" s="12">
        <v>31</v>
      </c>
      <c r="AW410" s="12">
        <f t="shared" si="93"/>
        <v>31</v>
      </c>
      <c r="AX410" s="12">
        <v>2</v>
      </c>
      <c r="AY410" s="12">
        <v>1</v>
      </c>
      <c r="AZ410" s="12">
        <v>5</v>
      </c>
      <c r="BA410" s="12">
        <f t="shared" si="94"/>
        <v>5</v>
      </c>
      <c r="BB410" s="12">
        <v>2</v>
      </c>
      <c r="BC410" s="12">
        <v>1</v>
      </c>
      <c r="BD410" s="12">
        <f t="shared" si="103"/>
        <v>1</v>
      </c>
      <c r="BE410" s="12">
        <v>4</v>
      </c>
      <c r="BF410" s="12">
        <f t="shared" si="95"/>
        <v>4</v>
      </c>
      <c r="BG410" s="12">
        <f t="shared" si="104"/>
        <v>16</v>
      </c>
      <c r="BH410" s="67">
        <v>0</v>
      </c>
      <c r="BI410" s="67">
        <v>1</v>
      </c>
      <c r="BJ410" s="67">
        <v>0</v>
      </c>
      <c r="BK410" s="67">
        <v>0</v>
      </c>
      <c r="BL410" s="67">
        <v>0</v>
      </c>
      <c r="BM410" s="67">
        <v>0</v>
      </c>
      <c r="BN410" s="67">
        <v>1</v>
      </c>
      <c r="BO410" s="67">
        <v>0</v>
      </c>
      <c r="BP410" s="67">
        <v>0</v>
      </c>
      <c r="BQ410" s="67">
        <v>4</v>
      </c>
      <c r="BR410" s="67">
        <v>0</v>
      </c>
      <c r="BS410" s="67">
        <v>0</v>
      </c>
      <c r="BT410" s="67">
        <v>31</v>
      </c>
      <c r="BU410" s="70">
        <v>0</v>
      </c>
      <c r="BV410" s="29">
        <f t="shared" si="96"/>
        <v>2.1351234029103372</v>
      </c>
      <c r="BW410">
        <f t="shared" si="97"/>
        <v>3.4508002929560584E-2</v>
      </c>
      <c r="BX410">
        <f t="shared" si="98"/>
        <v>2.5345021857280217</v>
      </c>
      <c r="BY410">
        <f t="shared" si="99"/>
        <v>0.32778177112653761</v>
      </c>
      <c r="BZ410">
        <f t="shared" si="100"/>
        <v>0.64050867607435136</v>
      </c>
      <c r="CA410">
        <f t="shared" si="101"/>
        <v>1.6503091520142259</v>
      </c>
      <c r="CB410">
        <f t="shared" si="102"/>
        <v>0.36858985273641137</v>
      </c>
    </row>
    <row r="411" spans="1:80" x14ac:dyDescent="0.45">
      <c r="A411" s="11">
        <v>42</v>
      </c>
      <c r="B411" s="12">
        <f t="shared" si="90"/>
        <v>42</v>
      </c>
      <c r="C411" s="12" t="s">
        <v>59</v>
      </c>
      <c r="D411" s="12">
        <v>0</v>
      </c>
      <c r="E411" s="12" t="s">
        <v>60</v>
      </c>
      <c r="F411" s="12">
        <v>1</v>
      </c>
      <c r="G411" s="12">
        <v>0</v>
      </c>
      <c r="H411" s="12" t="s">
        <v>61</v>
      </c>
      <c r="I411" s="12">
        <v>1</v>
      </c>
      <c r="J411" s="12">
        <v>0</v>
      </c>
      <c r="K411" s="12">
        <v>29</v>
      </c>
      <c r="L411" s="12">
        <f t="shared" si="91"/>
        <v>29</v>
      </c>
      <c r="M411" s="12">
        <v>2</v>
      </c>
      <c r="N411" s="12" t="s">
        <v>55</v>
      </c>
      <c r="O411" s="12">
        <v>1</v>
      </c>
      <c r="P411" s="12">
        <v>0</v>
      </c>
      <c r="Q411" s="12">
        <v>0</v>
      </c>
      <c r="R411" s="12">
        <v>0</v>
      </c>
      <c r="S411" s="12">
        <v>0</v>
      </c>
      <c r="T411" s="12">
        <v>1</v>
      </c>
      <c r="U411" s="12" t="s">
        <v>19</v>
      </c>
      <c r="V411" s="12">
        <v>1</v>
      </c>
      <c r="W411" s="12">
        <v>92</v>
      </c>
      <c r="X411" s="12">
        <v>3</v>
      </c>
      <c r="Y411" s="12">
        <v>2</v>
      </c>
      <c r="Z411" s="12" t="s">
        <v>63</v>
      </c>
      <c r="AA411" s="12">
        <v>0</v>
      </c>
      <c r="AB411" s="12">
        <v>0</v>
      </c>
      <c r="AC411" s="12">
        <v>0</v>
      </c>
      <c r="AD411" s="12">
        <v>0</v>
      </c>
      <c r="AE411" s="12">
        <v>0</v>
      </c>
      <c r="AF411" s="12">
        <v>0</v>
      </c>
      <c r="AG411" s="12">
        <v>0</v>
      </c>
      <c r="AH411" s="12">
        <v>1</v>
      </c>
      <c r="AI411" s="12">
        <v>3</v>
      </c>
      <c r="AJ411" s="12" t="s">
        <v>78</v>
      </c>
      <c r="AK411" s="12">
        <v>0</v>
      </c>
      <c r="AL411" s="12">
        <v>0</v>
      </c>
      <c r="AM411" s="12">
        <v>4556</v>
      </c>
      <c r="AN411" s="12">
        <f t="shared" si="92"/>
        <v>4556</v>
      </c>
      <c r="AO411" s="12">
        <v>2</v>
      </c>
      <c r="AP411" s="12" t="s">
        <v>59</v>
      </c>
      <c r="AQ411" s="12">
        <v>0</v>
      </c>
      <c r="AR411" s="12">
        <v>11</v>
      </c>
      <c r="AS411" s="12">
        <v>3</v>
      </c>
      <c r="AT411" s="12">
        <v>2</v>
      </c>
      <c r="AU411" s="12">
        <v>1</v>
      </c>
      <c r="AV411" s="12">
        <v>19</v>
      </c>
      <c r="AW411" s="12">
        <f t="shared" si="93"/>
        <v>19</v>
      </c>
      <c r="AX411" s="12">
        <v>3</v>
      </c>
      <c r="AY411" s="12">
        <v>3</v>
      </c>
      <c r="AZ411" s="12">
        <v>5</v>
      </c>
      <c r="BA411" s="12">
        <f t="shared" si="94"/>
        <v>5</v>
      </c>
      <c r="BB411" s="12">
        <v>4</v>
      </c>
      <c r="BC411" s="12">
        <v>0</v>
      </c>
      <c r="BD411" s="12">
        <f t="shared" si="103"/>
        <v>0</v>
      </c>
      <c r="BE411" s="12">
        <v>2</v>
      </c>
      <c r="BF411" s="12">
        <f t="shared" si="95"/>
        <v>2</v>
      </c>
      <c r="BG411" s="12">
        <f t="shared" si="104"/>
        <v>4</v>
      </c>
      <c r="BH411" s="67">
        <v>0</v>
      </c>
      <c r="BI411" s="67">
        <v>0</v>
      </c>
      <c r="BJ411" s="67">
        <v>1</v>
      </c>
      <c r="BK411" s="67">
        <v>0</v>
      </c>
      <c r="BL411" s="67">
        <v>1</v>
      </c>
      <c r="BM411" s="67">
        <v>0</v>
      </c>
      <c r="BN411" s="67">
        <v>0</v>
      </c>
      <c r="BO411" s="67">
        <v>0</v>
      </c>
      <c r="BP411" s="67">
        <v>0</v>
      </c>
      <c r="BQ411" s="67">
        <v>2</v>
      </c>
      <c r="BR411" s="67">
        <v>0</v>
      </c>
      <c r="BS411" s="67">
        <v>0</v>
      </c>
      <c r="BT411" s="67">
        <v>19</v>
      </c>
      <c r="BU411" s="70">
        <v>0</v>
      </c>
      <c r="BV411" s="29">
        <f t="shared" si="96"/>
        <v>0.41354060417603511</v>
      </c>
      <c r="BW411">
        <f t="shared" si="97"/>
        <v>0.59502473559756086</v>
      </c>
      <c r="BX411">
        <f t="shared" si="98"/>
        <v>0.99224068804813281</v>
      </c>
      <c r="BY411">
        <f t="shared" si="99"/>
        <v>0.32778177112653761</v>
      </c>
      <c r="BZ411">
        <f t="shared" si="100"/>
        <v>2.4432976708053049</v>
      </c>
      <c r="CA411">
        <f t="shared" si="101"/>
        <v>0.55566315731117022</v>
      </c>
      <c r="CB411">
        <f t="shared" si="102"/>
        <v>0.67891464284095016</v>
      </c>
    </row>
    <row r="412" spans="1:80" x14ac:dyDescent="0.45">
      <c r="A412" s="11">
        <v>30</v>
      </c>
      <c r="B412" s="12">
        <f t="shared" si="90"/>
        <v>30</v>
      </c>
      <c r="C412" s="12" t="s">
        <v>59</v>
      </c>
      <c r="D412" s="12">
        <v>0</v>
      </c>
      <c r="E412" s="12" t="s">
        <v>53</v>
      </c>
      <c r="F412" s="12">
        <v>0</v>
      </c>
      <c r="G412" s="12">
        <v>1</v>
      </c>
      <c r="H412" s="12" t="s">
        <v>61</v>
      </c>
      <c r="I412" s="12">
        <v>1</v>
      </c>
      <c r="J412" s="12">
        <v>0</v>
      </c>
      <c r="K412" s="12">
        <v>2</v>
      </c>
      <c r="L412" s="12">
        <f t="shared" si="91"/>
        <v>2</v>
      </c>
      <c r="M412" s="12">
        <v>3</v>
      </c>
      <c r="N412" s="12" t="s">
        <v>55</v>
      </c>
      <c r="O412" s="12">
        <v>1</v>
      </c>
      <c r="P412" s="12">
        <v>0</v>
      </c>
      <c r="Q412" s="12">
        <v>0</v>
      </c>
      <c r="R412" s="12">
        <v>0</v>
      </c>
      <c r="S412" s="12">
        <v>0</v>
      </c>
      <c r="T412" s="12">
        <v>3</v>
      </c>
      <c r="U412" s="12" t="s">
        <v>19</v>
      </c>
      <c r="V412" s="12">
        <v>1</v>
      </c>
      <c r="W412" s="12">
        <v>43</v>
      </c>
      <c r="X412" s="12">
        <v>1</v>
      </c>
      <c r="Y412" s="12">
        <v>2</v>
      </c>
      <c r="Z412" s="12" t="s">
        <v>83</v>
      </c>
      <c r="AA412" s="12">
        <v>0</v>
      </c>
      <c r="AB412" s="12">
        <v>0</v>
      </c>
      <c r="AC412" s="12">
        <v>0</v>
      </c>
      <c r="AD412" s="12">
        <v>0</v>
      </c>
      <c r="AE412" s="12">
        <v>1</v>
      </c>
      <c r="AF412" s="12">
        <v>1</v>
      </c>
      <c r="AG412" s="12">
        <v>0</v>
      </c>
      <c r="AH412" s="12">
        <v>0</v>
      </c>
      <c r="AI412" s="12">
        <v>4</v>
      </c>
      <c r="AJ412" s="12" t="s">
        <v>57</v>
      </c>
      <c r="AK412" s="12">
        <v>1</v>
      </c>
      <c r="AL412" s="12">
        <v>0</v>
      </c>
      <c r="AM412" s="12">
        <v>6091</v>
      </c>
      <c r="AN412" s="12">
        <f t="shared" si="92"/>
        <v>6091</v>
      </c>
      <c r="AO412" s="12">
        <v>2</v>
      </c>
      <c r="AP412" s="12" t="s">
        <v>59</v>
      </c>
      <c r="AQ412" s="12">
        <v>0</v>
      </c>
      <c r="AR412" s="12">
        <v>20</v>
      </c>
      <c r="AS412" s="12">
        <v>4</v>
      </c>
      <c r="AT412" s="12">
        <v>3</v>
      </c>
      <c r="AU412" s="12">
        <v>0</v>
      </c>
      <c r="AV412" s="12">
        <v>11</v>
      </c>
      <c r="AW412" s="12">
        <f t="shared" si="93"/>
        <v>11</v>
      </c>
      <c r="AX412" s="12">
        <v>2</v>
      </c>
      <c r="AY412" s="12">
        <v>3</v>
      </c>
      <c r="AZ412" s="12">
        <v>5</v>
      </c>
      <c r="BA412" s="12">
        <f t="shared" si="94"/>
        <v>5</v>
      </c>
      <c r="BB412" s="12">
        <v>4</v>
      </c>
      <c r="BC412" s="12">
        <v>0</v>
      </c>
      <c r="BD412" s="12">
        <f t="shared" si="103"/>
        <v>0</v>
      </c>
      <c r="BE412" s="12">
        <v>2</v>
      </c>
      <c r="BF412" s="12">
        <f t="shared" si="95"/>
        <v>2</v>
      </c>
      <c r="BG412" s="12">
        <f t="shared" si="104"/>
        <v>4</v>
      </c>
      <c r="BH412" s="67">
        <v>1</v>
      </c>
      <c r="BI412" s="67">
        <v>0</v>
      </c>
      <c r="BJ412" s="67">
        <v>0</v>
      </c>
      <c r="BK412" s="67">
        <v>0</v>
      </c>
      <c r="BL412" s="67">
        <v>1</v>
      </c>
      <c r="BM412" s="67">
        <v>0</v>
      </c>
      <c r="BN412" s="67">
        <v>0</v>
      </c>
      <c r="BO412" s="67">
        <v>0</v>
      </c>
      <c r="BP412" s="67">
        <v>0</v>
      </c>
      <c r="BQ412" s="67">
        <v>2</v>
      </c>
      <c r="BR412" s="67">
        <v>0</v>
      </c>
      <c r="BS412" s="67">
        <v>0</v>
      </c>
      <c r="BT412" s="67">
        <v>11</v>
      </c>
      <c r="BU412" s="70">
        <v>0</v>
      </c>
      <c r="BV412" s="29">
        <f t="shared" si="96"/>
        <v>8.7496829621690447E-2</v>
      </c>
      <c r="BW412">
        <f t="shared" si="97"/>
        <v>0.59502473559756086</v>
      </c>
      <c r="BX412">
        <f t="shared" si="98"/>
        <v>3.593364373846001E-2</v>
      </c>
      <c r="BY412">
        <f t="shared" si="99"/>
        <v>0.32778177112653761</v>
      </c>
      <c r="BZ412">
        <f t="shared" si="100"/>
        <v>0.88721318382472392</v>
      </c>
      <c r="CA412">
        <f t="shared" si="101"/>
        <v>0.75791203633249671</v>
      </c>
      <c r="CB412">
        <f t="shared" si="102"/>
        <v>0.67891464284095016</v>
      </c>
    </row>
    <row r="413" spans="1:80" x14ac:dyDescent="0.45">
      <c r="A413" s="11">
        <v>60</v>
      </c>
      <c r="B413" s="12">
        <f t="shared" si="90"/>
        <v>58.309999999999945</v>
      </c>
      <c r="C413" s="12" t="s">
        <v>59</v>
      </c>
      <c r="D413" s="12">
        <v>0</v>
      </c>
      <c r="E413" s="12" t="s">
        <v>53</v>
      </c>
      <c r="F413" s="12">
        <v>0</v>
      </c>
      <c r="G413" s="12">
        <v>1</v>
      </c>
      <c r="H413" s="12" t="s">
        <v>61</v>
      </c>
      <c r="I413" s="12">
        <v>1</v>
      </c>
      <c r="J413" s="12">
        <v>0</v>
      </c>
      <c r="K413" s="12">
        <v>7</v>
      </c>
      <c r="L413" s="12">
        <f t="shared" si="91"/>
        <v>7</v>
      </c>
      <c r="M413" s="12">
        <v>3</v>
      </c>
      <c r="N413" s="12" t="s">
        <v>55</v>
      </c>
      <c r="O413" s="12">
        <v>1</v>
      </c>
      <c r="P413" s="12">
        <v>0</v>
      </c>
      <c r="Q413" s="12">
        <v>0</v>
      </c>
      <c r="R413" s="12">
        <v>0</v>
      </c>
      <c r="S413" s="12">
        <v>0</v>
      </c>
      <c r="T413" s="12">
        <v>1</v>
      </c>
      <c r="U413" s="12" t="s">
        <v>19</v>
      </c>
      <c r="V413" s="12">
        <v>1</v>
      </c>
      <c r="W413" s="12">
        <v>41</v>
      </c>
      <c r="X413" s="12">
        <v>3</v>
      </c>
      <c r="Y413" s="12">
        <v>5</v>
      </c>
      <c r="Z413" s="12" t="s">
        <v>87</v>
      </c>
      <c r="AA413" s="12">
        <v>0</v>
      </c>
      <c r="AB413" s="12">
        <v>0</v>
      </c>
      <c r="AC413" s="12">
        <v>0</v>
      </c>
      <c r="AD413" s="12">
        <v>1</v>
      </c>
      <c r="AE413" s="12">
        <v>0</v>
      </c>
      <c r="AF413" s="12">
        <v>0</v>
      </c>
      <c r="AG413" s="12">
        <v>0</v>
      </c>
      <c r="AH413" s="12">
        <v>0</v>
      </c>
      <c r="AI413" s="12">
        <v>1</v>
      </c>
      <c r="AJ413" s="12" t="s">
        <v>64</v>
      </c>
      <c r="AK413" s="12">
        <v>0</v>
      </c>
      <c r="AL413" s="12">
        <v>1</v>
      </c>
      <c r="AM413" s="12">
        <v>19566</v>
      </c>
      <c r="AN413" s="12">
        <f t="shared" si="92"/>
        <v>19566</v>
      </c>
      <c r="AO413" s="12">
        <v>5</v>
      </c>
      <c r="AP413" s="12" t="s">
        <v>59</v>
      </c>
      <c r="AQ413" s="12">
        <v>0</v>
      </c>
      <c r="AR413" s="12">
        <v>11</v>
      </c>
      <c r="AS413" s="12">
        <v>3</v>
      </c>
      <c r="AT413" s="12">
        <v>4</v>
      </c>
      <c r="AU413" s="12">
        <v>0</v>
      </c>
      <c r="AV413" s="12">
        <v>33</v>
      </c>
      <c r="AW413" s="12">
        <f t="shared" si="93"/>
        <v>33</v>
      </c>
      <c r="AX413" s="12">
        <v>5</v>
      </c>
      <c r="AY413" s="12">
        <v>1</v>
      </c>
      <c r="AZ413" s="12">
        <v>29</v>
      </c>
      <c r="BA413" s="12">
        <f t="shared" si="94"/>
        <v>29</v>
      </c>
      <c r="BB413" s="12">
        <v>8</v>
      </c>
      <c r="BC413" s="12">
        <v>11</v>
      </c>
      <c r="BD413" s="12">
        <f t="shared" si="103"/>
        <v>11</v>
      </c>
      <c r="BE413" s="12">
        <v>10</v>
      </c>
      <c r="BF413" s="12">
        <f t="shared" si="95"/>
        <v>10</v>
      </c>
      <c r="BG413" s="12">
        <f t="shared" si="104"/>
        <v>50</v>
      </c>
      <c r="BH413" s="67">
        <v>0</v>
      </c>
      <c r="BI413" s="67">
        <v>1</v>
      </c>
      <c r="BJ413" s="67">
        <v>0</v>
      </c>
      <c r="BK413" s="67">
        <v>0</v>
      </c>
      <c r="BL413" s="67">
        <v>0</v>
      </c>
      <c r="BM413" s="67">
        <v>0</v>
      </c>
      <c r="BN413" s="67">
        <v>1</v>
      </c>
      <c r="BO413" s="67">
        <v>0</v>
      </c>
      <c r="BP413" s="67">
        <v>0</v>
      </c>
      <c r="BQ413" s="67">
        <v>10</v>
      </c>
      <c r="BR413" s="67">
        <v>0</v>
      </c>
      <c r="BS413" s="67">
        <v>0</v>
      </c>
      <c r="BT413" s="67">
        <v>33</v>
      </c>
      <c r="BU413" s="70">
        <v>0</v>
      </c>
      <c r="BV413" s="29">
        <f t="shared" si="96"/>
        <v>2.7746789763195436</v>
      </c>
      <c r="BW413">
        <f t="shared" si="97"/>
        <v>1.6470421950744405</v>
      </c>
      <c r="BX413">
        <f t="shared" si="98"/>
        <v>2.7915457686746699</v>
      </c>
      <c r="BY413">
        <f t="shared" si="99"/>
        <v>3.5896101277028141</v>
      </c>
      <c r="BZ413">
        <f t="shared" si="100"/>
        <v>0.27045191444879263</v>
      </c>
      <c r="CA413">
        <f t="shared" si="101"/>
        <v>2.5260259477766707</v>
      </c>
      <c r="CB413">
        <f t="shared" si="102"/>
        <v>2.7346580483089769</v>
      </c>
    </row>
    <row r="414" spans="1:80" x14ac:dyDescent="0.45">
      <c r="A414" s="11">
        <v>46</v>
      </c>
      <c r="B414" s="12">
        <f t="shared" si="90"/>
        <v>46</v>
      </c>
      <c r="C414" s="12" t="s">
        <v>59</v>
      </c>
      <c r="D414" s="12">
        <v>0</v>
      </c>
      <c r="E414" s="12" t="s">
        <v>53</v>
      </c>
      <c r="F414" s="12">
        <v>0</v>
      </c>
      <c r="G414" s="12">
        <v>1</v>
      </c>
      <c r="H414" s="12" t="s">
        <v>61</v>
      </c>
      <c r="I414" s="12">
        <v>1</v>
      </c>
      <c r="J414" s="12">
        <v>0</v>
      </c>
      <c r="K414" s="12">
        <v>18</v>
      </c>
      <c r="L414" s="12">
        <f t="shared" si="91"/>
        <v>18</v>
      </c>
      <c r="M414" s="12">
        <v>3</v>
      </c>
      <c r="N414" s="12" t="s">
        <v>70</v>
      </c>
      <c r="O414" s="12">
        <v>0</v>
      </c>
      <c r="P414" s="12">
        <v>0</v>
      </c>
      <c r="Q414" s="12">
        <v>1</v>
      </c>
      <c r="R414" s="12">
        <v>0</v>
      </c>
      <c r="S414" s="12">
        <v>0</v>
      </c>
      <c r="T414" s="12">
        <v>3</v>
      </c>
      <c r="U414" s="12" t="s">
        <v>19</v>
      </c>
      <c r="V414" s="12">
        <v>1</v>
      </c>
      <c r="W414" s="12">
        <v>87</v>
      </c>
      <c r="X414" s="12">
        <v>3</v>
      </c>
      <c r="Y414" s="12">
        <v>2</v>
      </c>
      <c r="Z414" s="12" t="s">
        <v>83</v>
      </c>
      <c r="AA414" s="12">
        <v>0</v>
      </c>
      <c r="AB414" s="12">
        <v>0</v>
      </c>
      <c r="AC414" s="12">
        <v>0</v>
      </c>
      <c r="AD414" s="12">
        <v>0</v>
      </c>
      <c r="AE414" s="12">
        <v>1</v>
      </c>
      <c r="AF414" s="12">
        <v>1</v>
      </c>
      <c r="AG414" s="12">
        <v>0</v>
      </c>
      <c r="AH414" s="12">
        <v>0</v>
      </c>
      <c r="AI414" s="12">
        <v>3</v>
      </c>
      <c r="AJ414" s="12" t="s">
        <v>78</v>
      </c>
      <c r="AK414" s="12">
        <v>0</v>
      </c>
      <c r="AL414" s="12">
        <v>0</v>
      </c>
      <c r="AM414" s="12">
        <v>4810</v>
      </c>
      <c r="AN414" s="12">
        <f t="shared" si="92"/>
        <v>4810</v>
      </c>
      <c r="AO414" s="12">
        <v>2</v>
      </c>
      <c r="AP414" s="12" t="s">
        <v>59</v>
      </c>
      <c r="AQ414" s="12">
        <v>0</v>
      </c>
      <c r="AR414" s="12">
        <v>14</v>
      </c>
      <c r="AS414" s="12">
        <v>3</v>
      </c>
      <c r="AT414" s="12">
        <v>3</v>
      </c>
      <c r="AU414" s="12">
        <v>1</v>
      </c>
      <c r="AV414" s="12">
        <v>19</v>
      </c>
      <c r="AW414" s="12">
        <f t="shared" si="93"/>
        <v>19</v>
      </c>
      <c r="AX414" s="12">
        <v>5</v>
      </c>
      <c r="AY414" s="12">
        <v>2</v>
      </c>
      <c r="AZ414" s="12">
        <v>10</v>
      </c>
      <c r="BA414" s="12">
        <f t="shared" si="94"/>
        <v>10</v>
      </c>
      <c r="BB414" s="12">
        <v>7</v>
      </c>
      <c r="BC414" s="12">
        <v>0</v>
      </c>
      <c r="BD414" s="12">
        <f t="shared" si="103"/>
        <v>0</v>
      </c>
      <c r="BE414" s="12">
        <v>8</v>
      </c>
      <c r="BF414" s="12">
        <f t="shared" si="95"/>
        <v>8</v>
      </c>
      <c r="BG414" s="12">
        <f t="shared" si="104"/>
        <v>16</v>
      </c>
      <c r="BH414" s="67">
        <v>1</v>
      </c>
      <c r="BI414" s="67">
        <v>0</v>
      </c>
      <c r="BJ414" s="67">
        <v>0</v>
      </c>
      <c r="BK414" s="67">
        <v>0</v>
      </c>
      <c r="BL414" s="67">
        <v>1</v>
      </c>
      <c r="BM414" s="67">
        <v>0</v>
      </c>
      <c r="BN414" s="67">
        <v>0</v>
      </c>
      <c r="BO414" s="67">
        <v>0</v>
      </c>
      <c r="BP414" s="67">
        <v>0</v>
      </c>
      <c r="BQ414" s="67">
        <v>8</v>
      </c>
      <c r="BR414" s="67">
        <v>0</v>
      </c>
      <c r="BS414" s="67">
        <v>0</v>
      </c>
      <c r="BT414" s="67">
        <v>19</v>
      </c>
      <c r="BU414" s="70">
        <v>0</v>
      </c>
      <c r="BV414" s="29">
        <f t="shared" si="96"/>
        <v>0.35958938675792201</v>
      </c>
      <c r="BW414">
        <f t="shared" si="97"/>
        <v>1.08652546240644</v>
      </c>
      <c r="BX414">
        <f t="shared" si="98"/>
        <v>0.99224068804813281</v>
      </c>
      <c r="BY414">
        <f t="shared" si="99"/>
        <v>0.48834154112957734</v>
      </c>
      <c r="BZ414">
        <f t="shared" si="100"/>
        <v>1.0864228781782561</v>
      </c>
      <c r="CA414">
        <f t="shared" si="101"/>
        <v>0.99352155519239249</v>
      </c>
      <c r="CB414">
        <f t="shared" si="102"/>
        <v>0.67891464284095016</v>
      </c>
    </row>
    <row r="415" spans="1:80" x14ac:dyDescent="0.45">
      <c r="A415" s="11">
        <v>42</v>
      </c>
      <c r="B415" s="12">
        <f t="shared" si="90"/>
        <v>42</v>
      </c>
      <c r="C415" s="12" t="s">
        <v>59</v>
      </c>
      <c r="D415" s="12">
        <v>0</v>
      </c>
      <c r="E415" s="12" t="s">
        <v>60</v>
      </c>
      <c r="F415" s="12">
        <v>1</v>
      </c>
      <c r="G415" s="12">
        <v>0</v>
      </c>
      <c r="H415" s="12" t="s">
        <v>61</v>
      </c>
      <c r="I415" s="12">
        <v>1</v>
      </c>
      <c r="J415" s="12">
        <v>0</v>
      </c>
      <c r="K415" s="12">
        <v>28</v>
      </c>
      <c r="L415" s="12">
        <f t="shared" si="91"/>
        <v>28</v>
      </c>
      <c r="M415" s="12">
        <v>4</v>
      </c>
      <c r="N415" s="12" t="s">
        <v>91</v>
      </c>
      <c r="O415" s="12">
        <v>0</v>
      </c>
      <c r="P415" s="12">
        <v>0</v>
      </c>
      <c r="Q415" s="12">
        <v>0</v>
      </c>
      <c r="R415" s="12">
        <v>0</v>
      </c>
      <c r="S415" s="12">
        <v>1</v>
      </c>
      <c r="T415" s="12">
        <v>4</v>
      </c>
      <c r="U415" s="12" t="s">
        <v>19</v>
      </c>
      <c r="V415" s="12">
        <v>1</v>
      </c>
      <c r="W415" s="12">
        <v>88</v>
      </c>
      <c r="X415" s="12">
        <v>2</v>
      </c>
      <c r="Y415" s="12">
        <v>2</v>
      </c>
      <c r="Z415" s="12" t="s">
        <v>85</v>
      </c>
      <c r="AA415" s="12">
        <v>1</v>
      </c>
      <c r="AB415" s="12">
        <v>0</v>
      </c>
      <c r="AC415" s="12">
        <v>0</v>
      </c>
      <c r="AD415" s="12">
        <v>0</v>
      </c>
      <c r="AE415" s="12">
        <v>0</v>
      </c>
      <c r="AF415" s="12">
        <v>0</v>
      </c>
      <c r="AG415" s="12">
        <v>0</v>
      </c>
      <c r="AH415" s="12">
        <v>0</v>
      </c>
      <c r="AI415" s="12">
        <v>4</v>
      </c>
      <c r="AJ415" s="12" t="s">
        <v>64</v>
      </c>
      <c r="AK415" s="12">
        <v>0</v>
      </c>
      <c r="AL415" s="12">
        <v>1</v>
      </c>
      <c r="AM415" s="12">
        <v>4523</v>
      </c>
      <c r="AN415" s="12">
        <f t="shared" si="92"/>
        <v>4523</v>
      </c>
      <c r="AO415" s="12">
        <v>0</v>
      </c>
      <c r="AP415" s="12" t="s">
        <v>59</v>
      </c>
      <c r="AQ415" s="12">
        <v>0</v>
      </c>
      <c r="AR415" s="12">
        <v>11</v>
      </c>
      <c r="AS415" s="12">
        <v>3</v>
      </c>
      <c r="AT415" s="12">
        <v>4</v>
      </c>
      <c r="AU415" s="12">
        <v>3</v>
      </c>
      <c r="AV415" s="12">
        <v>7</v>
      </c>
      <c r="AW415" s="12">
        <f t="shared" si="93"/>
        <v>7</v>
      </c>
      <c r="AX415" s="12">
        <v>4</v>
      </c>
      <c r="AY415" s="12">
        <v>4</v>
      </c>
      <c r="AZ415" s="12">
        <v>6</v>
      </c>
      <c r="BA415" s="12">
        <f t="shared" si="94"/>
        <v>6</v>
      </c>
      <c r="BB415" s="12">
        <v>5</v>
      </c>
      <c r="BC415" s="12">
        <v>0</v>
      </c>
      <c r="BD415" s="12">
        <f t="shared" si="103"/>
        <v>0</v>
      </c>
      <c r="BE415" s="12">
        <v>4</v>
      </c>
      <c r="BF415" s="12">
        <f t="shared" si="95"/>
        <v>4</v>
      </c>
      <c r="BG415" s="12">
        <f t="shared" si="104"/>
        <v>8</v>
      </c>
      <c r="BH415" s="67">
        <v>0</v>
      </c>
      <c r="BI415" s="67">
        <v>0</v>
      </c>
      <c r="BJ415" s="67">
        <v>0</v>
      </c>
      <c r="BK415" s="67">
        <v>1</v>
      </c>
      <c r="BL415" s="67">
        <v>0</v>
      </c>
      <c r="BM415" s="67">
        <v>0</v>
      </c>
      <c r="BN415" s="67">
        <v>1</v>
      </c>
      <c r="BO415" s="67">
        <v>0</v>
      </c>
      <c r="BP415" s="67">
        <v>0</v>
      </c>
      <c r="BQ415" s="67">
        <v>4</v>
      </c>
      <c r="BR415" s="67">
        <v>0</v>
      </c>
      <c r="BS415" s="67">
        <v>0</v>
      </c>
      <c r="BT415" s="67">
        <v>7</v>
      </c>
      <c r="BU415" s="70">
        <v>0</v>
      </c>
      <c r="BV415" s="29">
        <f t="shared" si="96"/>
        <v>0.42055001431303402</v>
      </c>
      <c r="BW415">
        <f t="shared" si="97"/>
        <v>3.4508002929560584E-2</v>
      </c>
      <c r="BX415">
        <f t="shared" si="98"/>
        <v>0.55002080963175637</v>
      </c>
      <c r="BY415">
        <f t="shared" si="99"/>
        <v>0.16455710867531462</v>
      </c>
      <c r="BZ415">
        <f t="shared" si="100"/>
        <v>2.3199454169301186</v>
      </c>
      <c r="CA415">
        <f t="shared" si="101"/>
        <v>0.55566315731117022</v>
      </c>
      <c r="CB415">
        <f t="shared" si="102"/>
        <v>0.67891464284095016</v>
      </c>
    </row>
    <row r="416" spans="1:80" x14ac:dyDescent="0.45">
      <c r="A416" s="11">
        <v>24</v>
      </c>
      <c r="B416" s="12">
        <f t="shared" si="90"/>
        <v>24</v>
      </c>
      <c r="C416" s="12" t="s">
        <v>52</v>
      </c>
      <c r="D416" s="12">
        <v>1</v>
      </c>
      <c r="E416" s="12" t="s">
        <v>53</v>
      </c>
      <c r="F416" s="12">
        <v>0</v>
      </c>
      <c r="G416" s="12">
        <v>1</v>
      </c>
      <c r="H416" s="12" t="s">
        <v>54</v>
      </c>
      <c r="I416" s="12">
        <v>0</v>
      </c>
      <c r="J416" s="12">
        <v>1</v>
      </c>
      <c r="K416" s="12">
        <v>1</v>
      </c>
      <c r="L416" s="12">
        <f t="shared" si="91"/>
        <v>1</v>
      </c>
      <c r="M416" s="12">
        <v>1</v>
      </c>
      <c r="N416" s="12" t="s">
        <v>91</v>
      </c>
      <c r="O416" s="12">
        <v>0</v>
      </c>
      <c r="P416" s="12">
        <v>0</v>
      </c>
      <c r="Q416" s="12">
        <v>0</v>
      </c>
      <c r="R416" s="12">
        <v>0</v>
      </c>
      <c r="S416" s="12">
        <v>1</v>
      </c>
      <c r="T416" s="12">
        <v>1</v>
      </c>
      <c r="U416" s="12" t="s">
        <v>19</v>
      </c>
      <c r="V416" s="12">
        <v>1</v>
      </c>
      <c r="W416" s="12">
        <v>62</v>
      </c>
      <c r="X416" s="12">
        <v>3</v>
      </c>
      <c r="Y416" s="12">
        <v>1</v>
      </c>
      <c r="Z416" s="12" t="s">
        <v>88</v>
      </c>
      <c r="AA416" s="12">
        <v>0</v>
      </c>
      <c r="AB416" s="12">
        <v>0</v>
      </c>
      <c r="AC416" s="12">
        <v>0</v>
      </c>
      <c r="AD416" s="12">
        <v>0</v>
      </c>
      <c r="AE416" s="12">
        <v>0</v>
      </c>
      <c r="AF416" s="12">
        <v>0</v>
      </c>
      <c r="AG416" s="12">
        <v>1</v>
      </c>
      <c r="AH416" s="12">
        <v>0</v>
      </c>
      <c r="AI416" s="12">
        <v>2</v>
      </c>
      <c r="AJ416" s="12" t="s">
        <v>57</v>
      </c>
      <c r="AK416" s="12">
        <v>1</v>
      </c>
      <c r="AL416" s="12">
        <v>0</v>
      </c>
      <c r="AM416" s="12">
        <v>3202</v>
      </c>
      <c r="AN416" s="12">
        <f t="shared" si="92"/>
        <v>3202</v>
      </c>
      <c r="AO416" s="12">
        <v>1</v>
      </c>
      <c r="AP416" s="12" t="s">
        <v>52</v>
      </c>
      <c r="AQ416" s="12">
        <v>1</v>
      </c>
      <c r="AR416" s="12">
        <v>16</v>
      </c>
      <c r="AS416" s="12">
        <v>3</v>
      </c>
      <c r="AT416" s="12">
        <v>2</v>
      </c>
      <c r="AU416" s="12">
        <v>0</v>
      </c>
      <c r="AV416" s="12">
        <v>6</v>
      </c>
      <c r="AW416" s="12">
        <f t="shared" si="93"/>
        <v>6</v>
      </c>
      <c r="AX416" s="12">
        <v>4</v>
      </c>
      <c r="AY416" s="12">
        <v>3</v>
      </c>
      <c r="AZ416" s="12">
        <v>5</v>
      </c>
      <c r="BA416" s="12">
        <f t="shared" si="94"/>
        <v>5</v>
      </c>
      <c r="BB416" s="12">
        <v>3</v>
      </c>
      <c r="BC416" s="12">
        <v>1</v>
      </c>
      <c r="BD416" s="12">
        <f t="shared" si="103"/>
        <v>1</v>
      </c>
      <c r="BE416" s="12">
        <v>4</v>
      </c>
      <c r="BF416" s="12">
        <f t="shared" si="95"/>
        <v>4</v>
      </c>
      <c r="BG416" s="12">
        <f t="shared" si="104"/>
        <v>4</v>
      </c>
      <c r="BH416" s="67">
        <v>1</v>
      </c>
      <c r="BI416" s="67">
        <v>0</v>
      </c>
      <c r="BJ416" s="67">
        <v>0</v>
      </c>
      <c r="BK416" s="67">
        <v>0</v>
      </c>
      <c r="BL416" s="67">
        <v>0</v>
      </c>
      <c r="BM416" s="67">
        <v>1</v>
      </c>
      <c r="BN416" s="67">
        <v>0</v>
      </c>
      <c r="BO416" s="67">
        <v>0</v>
      </c>
      <c r="BP416" s="67">
        <v>0</v>
      </c>
      <c r="BQ416" s="67">
        <v>0</v>
      </c>
      <c r="BR416" s="67">
        <v>4</v>
      </c>
      <c r="BS416" s="67">
        <v>0</v>
      </c>
      <c r="BT416" s="67">
        <v>0</v>
      </c>
      <c r="BU416" s="70">
        <v>6</v>
      </c>
      <c r="BV416" s="29">
        <f t="shared" si="96"/>
        <v>0.70113882616077949</v>
      </c>
      <c r="BW416">
        <f t="shared" si="97"/>
        <v>3.4508002929560584E-2</v>
      </c>
      <c r="BX416">
        <f t="shared" si="98"/>
        <v>0.67854260110508058</v>
      </c>
      <c r="BY416">
        <f t="shared" si="99"/>
        <v>0.32778177112653761</v>
      </c>
      <c r="BZ416">
        <f t="shared" si="100"/>
        <v>1.01056543769991</v>
      </c>
      <c r="CA416">
        <f t="shared" si="101"/>
        <v>1.4146996331543302</v>
      </c>
      <c r="CB416">
        <f t="shared" si="102"/>
        <v>0.36858985273641137</v>
      </c>
    </row>
    <row r="417" spans="1:80" x14ac:dyDescent="0.45">
      <c r="A417" s="11">
        <v>34</v>
      </c>
      <c r="B417" s="12">
        <f t="shared" si="90"/>
        <v>34</v>
      </c>
      <c r="C417" s="12" t="s">
        <v>52</v>
      </c>
      <c r="D417" s="12">
        <v>1</v>
      </c>
      <c r="E417" s="12" t="s">
        <v>60</v>
      </c>
      <c r="F417" s="12">
        <v>1</v>
      </c>
      <c r="G417" s="12">
        <v>0</v>
      </c>
      <c r="H417" s="12" t="s">
        <v>54</v>
      </c>
      <c r="I417" s="12">
        <v>0</v>
      </c>
      <c r="J417" s="12">
        <v>1</v>
      </c>
      <c r="K417" s="12">
        <v>6</v>
      </c>
      <c r="L417" s="12">
        <f t="shared" si="91"/>
        <v>6</v>
      </c>
      <c r="M417" s="12">
        <v>2</v>
      </c>
      <c r="N417" s="12" t="s">
        <v>90</v>
      </c>
      <c r="O417" s="12">
        <v>0</v>
      </c>
      <c r="P417" s="12">
        <v>0</v>
      </c>
      <c r="Q417" s="12">
        <v>0</v>
      </c>
      <c r="R417" s="12">
        <v>1</v>
      </c>
      <c r="S417" s="12">
        <v>0</v>
      </c>
      <c r="T417" s="12">
        <v>4</v>
      </c>
      <c r="U417" s="12" t="s">
        <v>19</v>
      </c>
      <c r="V417" s="12">
        <v>1</v>
      </c>
      <c r="W417" s="12">
        <v>33</v>
      </c>
      <c r="X417" s="12">
        <v>1</v>
      </c>
      <c r="Y417" s="12">
        <v>1</v>
      </c>
      <c r="Z417" s="12" t="s">
        <v>88</v>
      </c>
      <c r="AA417" s="12">
        <v>0</v>
      </c>
      <c r="AB417" s="12">
        <v>0</v>
      </c>
      <c r="AC417" s="12">
        <v>0</v>
      </c>
      <c r="AD417" s="12">
        <v>0</v>
      </c>
      <c r="AE417" s="12">
        <v>0</v>
      </c>
      <c r="AF417" s="12">
        <v>0</v>
      </c>
      <c r="AG417" s="12">
        <v>1</v>
      </c>
      <c r="AH417" s="12">
        <v>0</v>
      </c>
      <c r="AI417" s="12">
        <v>3</v>
      </c>
      <c r="AJ417" s="12" t="s">
        <v>78</v>
      </c>
      <c r="AK417" s="12">
        <v>0</v>
      </c>
      <c r="AL417" s="12">
        <v>0</v>
      </c>
      <c r="AM417" s="12">
        <v>2351</v>
      </c>
      <c r="AN417" s="12">
        <f t="shared" si="92"/>
        <v>2351</v>
      </c>
      <c r="AO417" s="12">
        <v>0</v>
      </c>
      <c r="AP417" s="12" t="s">
        <v>59</v>
      </c>
      <c r="AQ417" s="12">
        <v>0</v>
      </c>
      <c r="AR417" s="12">
        <v>16</v>
      </c>
      <c r="AS417" s="12">
        <v>3</v>
      </c>
      <c r="AT417" s="12">
        <v>4</v>
      </c>
      <c r="AU417" s="12">
        <v>1</v>
      </c>
      <c r="AV417" s="12">
        <v>3</v>
      </c>
      <c r="AW417" s="12">
        <f t="shared" si="93"/>
        <v>3</v>
      </c>
      <c r="AX417" s="12">
        <v>3</v>
      </c>
      <c r="AY417" s="12">
        <v>2</v>
      </c>
      <c r="AZ417" s="12">
        <v>2</v>
      </c>
      <c r="BA417" s="12">
        <f t="shared" si="94"/>
        <v>2</v>
      </c>
      <c r="BB417" s="12">
        <v>2</v>
      </c>
      <c r="BC417" s="12">
        <v>1</v>
      </c>
      <c r="BD417" s="12">
        <f t="shared" si="103"/>
        <v>1</v>
      </c>
      <c r="BE417" s="12">
        <v>0</v>
      </c>
      <c r="BF417" s="12">
        <f t="shared" si="95"/>
        <v>0</v>
      </c>
      <c r="BG417" s="12">
        <f t="shared" si="104"/>
        <v>0</v>
      </c>
      <c r="BH417" s="67">
        <v>0</v>
      </c>
      <c r="BI417" s="67">
        <v>0</v>
      </c>
      <c r="BJ417" s="67">
        <v>1</v>
      </c>
      <c r="BK417" s="67">
        <v>0</v>
      </c>
      <c r="BL417" s="67">
        <v>1</v>
      </c>
      <c r="BM417" s="67">
        <v>0</v>
      </c>
      <c r="BN417" s="67">
        <v>0</v>
      </c>
      <c r="BO417" s="67">
        <v>0</v>
      </c>
      <c r="BP417" s="67">
        <v>0</v>
      </c>
      <c r="BQ417" s="67">
        <v>0</v>
      </c>
      <c r="BR417" s="67">
        <v>0</v>
      </c>
      <c r="BS417" s="67">
        <v>0</v>
      </c>
      <c r="BT417" s="67">
        <v>0</v>
      </c>
      <c r="BU417" s="70">
        <v>3</v>
      </c>
      <c r="BV417" s="29">
        <f t="shared" si="96"/>
        <v>0.88189664514823696</v>
      </c>
      <c r="BW417">
        <f t="shared" si="97"/>
        <v>1.1555414682655611</v>
      </c>
      <c r="BX417">
        <f t="shared" si="98"/>
        <v>1.0641079755250529</v>
      </c>
      <c r="BY417">
        <f t="shared" si="99"/>
        <v>0.81745575848020657</v>
      </c>
      <c r="BZ417">
        <f t="shared" si="100"/>
        <v>0.39380416832397891</v>
      </c>
      <c r="CA417">
        <f t="shared" si="101"/>
        <v>0.32005363845127444</v>
      </c>
      <c r="CB417">
        <f t="shared" si="102"/>
        <v>0.36858985273641137</v>
      </c>
    </row>
    <row r="418" spans="1:80" x14ac:dyDescent="0.45">
      <c r="A418" s="11">
        <v>38</v>
      </c>
      <c r="B418" s="12">
        <f t="shared" si="90"/>
        <v>38</v>
      </c>
      <c r="C418" s="12" t="s">
        <v>59</v>
      </c>
      <c r="D418" s="12">
        <v>0</v>
      </c>
      <c r="E418" s="12" t="s">
        <v>60</v>
      </c>
      <c r="F418" s="12">
        <v>1</v>
      </c>
      <c r="G418" s="12">
        <v>0</v>
      </c>
      <c r="H418" s="12" t="s">
        <v>61</v>
      </c>
      <c r="I418" s="12">
        <v>1</v>
      </c>
      <c r="J418" s="12">
        <v>0</v>
      </c>
      <c r="K418" s="12">
        <v>2</v>
      </c>
      <c r="L418" s="12">
        <f t="shared" si="91"/>
        <v>2</v>
      </c>
      <c r="M418" s="12">
        <v>2</v>
      </c>
      <c r="N418" s="12" t="s">
        <v>55</v>
      </c>
      <c r="O418" s="12">
        <v>1</v>
      </c>
      <c r="P418" s="12">
        <v>0</v>
      </c>
      <c r="Q418" s="12">
        <v>0</v>
      </c>
      <c r="R418" s="12">
        <v>0</v>
      </c>
      <c r="S418" s="12">
        <v>0</v>
      </c>
      <c r="T418" s="12">
        <v>4</v>
      </c>
      <c r="U418" s="12" t="s">
        <v>62</v>
      </c>
      <c r="V418" s="12">
        <v>0</v>
      </c>
      <c r="W418" s="12">
        <v>42</v>
      </c>
      <c r="X418" s="12">
        <v>3</v>
      </c>
      <c r="Y418" s="12">
        <v>1</v>
      </c>
      <c r="Z418" s="12" t="s">
        <v>67</v>
      </c>
      <c r="AA418" s="12">
        <v>0</v>
      </c>
      <c r="AB418" s="12">
        <v>0</v>
      </c>
      <c r="AC418" s="12">
        <v>1</v>
      </c>
      <c r="AD418" s="12">
        <v>0</v>
      </c>
      <c r="AE418" s="12">
        <v>0</v>
      </c>
      <c r="AF418" s="12">
        <v>0</v>
      </c>
      <c r="AG418" s="12">
        <v>0</v>
      </c>
      <c r="AH418" s="12">
        <v>0</v>
      </c>
      <c r="AI418" s="12">
        <v>4</v>
      </c>
      <c r="AJ418" s="12" t="s">
        <v>64</v>
      </c>
      <c r="AK418" s="12">
        <v>0</v>
      </c>
      <c r="AL418" s="12">
        <v>1</v>
      </c>
      <c r="AM418" s="12">
        <v>1702</v>
      </c>
      <c r="AN418" s="12">
        <f t="shared" si="92"/>
        <v>1702</v>
      </c>
      <c r="AO418" s="12">
        <v>1</v>
      </c>
      <c r="AP418" s="12" t="s">
        <v>52</v>
      </c>
      <c r="AQ418" s="12">
        <v>1</v>
      </c>
      <c r="AR418" s="12">
        <v>23</v>
      </c>
      <c r="AS418" s="12">
        <v>4</v>
      </c>
      <c r="AT418" s="12">
        <v>3</v>
      </c>
      <c r="AU418" s="12">
        <v>1</v>
      </c>
      <c r="AV418" s="12">
        <v>1</v>
      </c>
      <c r="AW418" s="12">
        <f t="shared" si="93"/>
        <v>1</v>
      </c>
      <c r="AX418" s="12">
        <v>3</v>
      </c>
      <c r="AY418" s="12">
        <v>3</v>
      </c>
      <c r="AZ418" s="12">
        <v>1</v>
      </c>
      <c r="BA418" s="12">
        <f t="shared" si="94"/>
        <v>1</v>
      </c>
      <c r="BB418" s="12">
        <v>0</v>
      </c>
      <c r="BC418" s="12">
        <v>0</v>
      </c>
      <c r="BD418" s="12">
        <f t="shared" si="103"/>
        <v>0</v>
      </c>
      <c r="BE418" s="12">
        <v>0</v>
      </c>
      <c r="BF418" s="12">
        <f t="shared" si="95"/>
        <v>0</v>
      </c>
      <c r="BG418" s="12">
        <f t="shared" si="104"/>
        <v>0</v>
      </c>
      <c r="BH418" s="67">
        <v>0</v>
      </c>
      <c r="BI418" s="67">
        <v>0</v>
      </c>
      <c r="BJ418" s="67">
        <v>0</v>
      </c>
      <c r="BK418" s="67">
        <v>1</v>
      </c>
      <c r="BL418" s="67">
        <v>0</v>
      </c>
      <c r="BM418" s="67">
        <v>0</v>
      </c>
      <c r="BN418" s="67">
        <v>0</v>
      </c>
      <c r="BO418" s="67">
        <v>1</v>
      </c>
      <c r="BP418" s="67">
        <v>0</v>
      </c>
      <c r="BQ418" s="67">
        <v>0</v>
      </c>
      <c r="BR418" s="67">
        <v>0</v>
      </c>
      <c r="BS418" s="67">
        <v>0</v>
      </c>
      <c r="BT418" s="67">
        <v>1</v>
      </c>
      <c r="BU418" s="70">
        <v>0</v>
      </c>
      <c r="BV418" s="29">
        <f t="shared" si="96"/>
        <v>1.0197483778425496</v>
      </c>
      <c r="BW418">
        <f t="shared" si="97"/>
        <v>1.1555414682655611</v>
      </c>
      <c r="BX418">
        <f t="shared" si="98"/>
        <v>1.3211515584717011</v>
      </c>
      <c r="BY418">
        <f t="shared" si="99"/>
        <v>0.9806804209314296</v>
      </c>
      <c r="BZ418">
        <f t="shared" si="100"/>
        <v>0.88721318382472392</v>
      </c>
      <c r="CA418">
        <f t="shared" si="101"/>
        <v>0.11780475942994788</v>
      </c>
      <c r="CB418">
        <f t="shared" si="102"/>
        <v>0.67891464284095016</v>
      </c>
    </row>
    <row r="419" spans="1:80" x14ac:dyDescent="0.45">
      <c r="A419" s="11">
        <v>40</v>
      </c>
      <c r="B419" s="12">
        <f t="shared" si="90"/>
        <v>40</v>
      </c>
      <c r="C419" s="12" t="s">
        <v>59</v>
      </c>
      <c r="D419" s="12">
        <v>0</v>
      </c>
      <c r="E419" s="12" t="s">
        <v>53</v>
      </c>
      <c r="F419" s="12">
        <v>0</v>
      </c>
      <c r="G419" s="12">
        <v>1</v>
      </c>
      <c r="H419" s="12" t="s">
        <v>54</v>
      </c>
      <c r="I419" s="12">
        <v>0</v>
      </c>
      <c r="J419" s="12">
        <v>1</v>
      </c>
      <c r="K419" s="12">
        <v>2</v>
      </c>
      <c r="L419" s="12">
        <f t="shared" si="91"/>
        <v>2</v>
      </c>
      <c r="M419" s="12">
        <v>4</v>
      </c>
      <c r="N419" s="12" t="s">
        <v>55</v>
      </c>
      <c r="O419" s="12">
        <v>1</v>
      </c>
      <c r="P419" s="12">
        <v>0</v>
      </c>
      <c r="Q419" s="12">
        <v>0</v>
      </c>
      <c r="R419" s="12">
        <v>0</v>
      </c>
      <c r="S419" s="12">
        <v>0</v>
      </c>
      <c r="T419" s="12">
        <v>3</v>
      </c>
      <c r="U419" s="12" t="s">
        <v>19</v>
      </c>
      <c r="V419" s="12">
        <v>1</v>
      </c>
      <c r="W419" s="12">
        <v>79</v>
      </c>
      <c r="X419" s="12">
        <v>3</v>
      </c>
      <c r="Y419" s="12">
        <v>5</v>
      </c>
      <c r="Z419" s="12" t="s">
        <v>87</v>
      </c>
      <c r="AA419" s="12">
        <v>0</v>
      </c>
      <c r="AB419" s="12">
        <v>0</v>
      </c>
      <c r="AC419" s="12">
        <v>0</v>
      </c>
      <c r="AD419" s="12">
        <v>1</v>
      </c>
      <c r="AE419" s="12">
        <v>0</v>
      </c>
      <c r="AF419" s="12">
        <v>0</v>
      </c>
      <c r="AG419" s="12">
        <v>0</v>
      </c>
      <c r="AH419" s="12">
        <v>0</v>
      </c>
      <c r="AI419" s="12">
        <v>3</v>
      </c>
      <c r="AJ419" s="12" t="s">
        <v>64</v>
      </c>
      <c r="AK419" s="12">
        <v>0</v>
      </c>
      <c r="AL419" s="12">
        <v>1</v>
      </c>
      <c r="AM419" s="12">
        <v>18041</v>
      </c>
      <c r="AN419" s="12">
        <f t="shared" si="92"/>
        <v>18041</v>
      </c>
      <c r="AO419" s="12">
        <v>0</v>
      </c>
      <c r="AP419" s="12" t="s">
        <v>59</v>
      </c>
      <c r="AQ419" s="12">
        <v>0</v>
      </c>
      <c r="AR419" s="12">
        <v>14</v>
      </c>
      <c r="AS419" s="12">
        <v>3</v>
      </c>
      <c r="AT419" s="12">
        <v>4</v>
      </c>
      <c r="AU419" s="12">
        <v>0</v>
      </c>
      <c r="AV419" s="12">
        <v>21</v>
      </c>
      <c r="AW419" s="12">
        <f t="shared" si="93"/>
        <v>21</v>
      </c>
      <c r="AX419" s="12">
        <v>2</v>
      </c>
      <c r="AY419" s="12">
        <v>3</v>
      </c>
      <c r="AZ419" s="12">
        <v>20</v>
      </c>
      <c r="BA419" s="12">
        <f t="shared" si="94"/>
        <v>20</v>
      </c>
      <c r="BB419" s="12">
        <v>15</v>
      </c>
      <c r="BC419" s="12">
        <v>1</v>
      </c>
      <c r="BD419" s="12">
        <f t="shared" si="103"/>
        <v>1</v>
      </c>
      <c r="BE419" s="12">
        <v>12</v>
      </c>
      <c r="BF419" s="12">
        <f t="shared" si="95"/>
        <v>12</v>
      </c>
      <c r="BG419" s="12">
        <f t="shared" si="104"/>
        <v>60</v>
      </c>
      <c r="BH419" s="67">
        <v>0</v>
      </c>
      <c r="BI419" s="67">
        <v>1</v>
      </c>
      <c r="BJ419" s="67">
        <v>0</v>
      </c>
      <c r="BK419" s="67">
        <v>0</v>
      </c>
      <c r="BL419" s="67">
        <v>0</v>
      </c>
      <c r="BM419" s="67">
        <v>0</v>
      </c>
      <c r="BN419" s="67">
        <v>1</v>
      </c>
      <c r="BO419" s="67">
        <v>0</v>
      </c>
      <c r="BP419" s="67">
        <v>0</v>
      </c>
      <c r="BQ419" s="67">
        <v>0</v>
      </c>
      <c r="BR419" s="67">
        <v>12</v>
      </c>
      <c r="BS419" s="67">
        <v>0</v>
      </c>
      <c r="BT419" s="67">
        <v>0</v>
      </c>
      <c r="BU419" s="70">
        <v>21</v>
      </c>
      <c r="BV419" s="29">
        <f t="shared" si="96"/>
        <v>2.4507592654430774</v>
      </c>
      <c r="BW419">
        <f t="shared" si="97"/>
        <v>2.2075589277424408</v>
      </c>
      <c r="BX419">
        <f t="shared" si="98"/>
        <v>1.2492842709947811</v>
      </c>
      <c r="BY419">
        <f t="shared" si="99"/>
        <v>2.1205881656418071</v>
      </c>
      <c r="BZ419">
        <f t="shared" si="100"/>
        <v>0.88721318382472392</v>
      </c>
      <c r="CA419">
        <f t="shared" si="101"/>
        <v>0.33673395837055903</v>
      </c>
      <c r="CB419">
        <f t="shared" si="102"/>
        <v>0.36858985273641137</v>
      </c>
    </row>
    <row r="420" spans="1:80" x14ac:dyDescent="0.45">
      <c r="A420" s="11">
        <v>26</v>
      </c>
      <c r="B420" s="12">
        <f t="shared" si="90"/>
        <v>26</v>
      </c>
      <c r="C420" s="12" t="s">
        <v>59</v>
      </c>
      <c r="D420" s="12">
        <v>0</v>
      </c>
      <c r="E420" s="12" t="s">
        <v>53</v>
      </c>
      <c r="F420" s="12">
        <v>0</v>
      </c>
      <c r="G420" s="12">
        <v>1</v>
      </c>
      <c r="H420" s="12" t="s">
        <v>61</v>
      </c>
      <c r="I420" s="12">
        <v>1</v>
      </c>
      <c r="J420" s="12">
        <v>0</v>
      </c>
      <c r="K420" s="12">
        <v>23</v>
      </c>
      <c r="L420" s="12">
        <f t="shared" si="91"/>
        <v>23</v>
      </c>
      <c r="M420" s="12">
        <v>3</v>
      </c>
      <c r="N420" s="12" t="s">
        <v>55</v>
      </c>
      <c r="O420" s="12">
        <v>1</v>
      </c>
      <c r="P420" s="12">
        <v>0</v>
      </c>
      <c r="Q420" s="12">
        <v>0</v>
      </c>
      <c r="R420" s="12">
        <v>0</v>
      </c>
      <c r="S420" s="12">
        <v>0</v>
      </c>
      <c r="T420" s="12">
        <v>1</v>
      </c>
      <c r="U420" s="12" t="s">
        <v>19</v>
      </c>
      <c r="V420" s="12">
        <v>1</v>
      </c>
      <c r="W420" s="12">
        <v>90</v>
      </c>
      <c r="X420" s="12">
        <v>3</v>
      </c>
      <c r="Y420" s="12">
        <v>1</v>
      </c>
      <c r="Z420" s="12" t="s">
        <v>63</v>
      </c>
      <c r="AA420" s="12">
        <v>0</v>
      </c>
      <c r="AB420" s="12">
        <v>0</v>
      </c>
      <c r="AC420" s="12">
        <v>0</v>
      </c>
      <c r="AD420" s="12">
        <v>0</v>
      </c>
      <c r="AE420" s="12">
        <v>0</v>
      </c>
      <c r="AF420" s="12">
        <v>0</v>
      </c>
      <c r="AG420" s="12">
        <v>0</v>
      </c>
      <c r="AH420" s="12">
        <v>1</v>
      </c>
      <c r="AI420" s="12">
        <v>4</v>
      </c>
      <c r="AJ420" s="12" t="s">
        <v>78</v>
      </c>
      <c r="AK420" s="12">
        <v>0</v>
      </c>
      <c r="AL420" s="12">
        <v>0</v>
      </c>
      <c r="AM420" s="12">
        <v>2886</v>
      </c>
      <c r="AN420" s="12">
        <f t="shared" si="92"/>
        <v>2886</v>
      </c>
      <c r="AO420" s="12">
        <v>1</v>
      </c>
      <c r="AP420" s="12" t="s">
        <v>59</v>
      </c>
      <c r="AQ420" s="12">
        <v>0</v>
      </c>
      <c r="AR420" s="12">
        <v>22</v>
      </c>
      <c r="AS420" s="12">
        <v>4</v>
      </c>
      <c r="AT420" s="12">
        <v>2</v>
      </c>
      <c r="AU420" s="12">
        <v>2</v>
      </c>
      <c r="AV420" s="12">
        <v>3</v>
      </c>
      <c r="AW420" s="12">
        <f t="shared" si="93"/>
        <v>3</v>
      </c>
      <c r="AX420" s="12">
        <v>3</v>
      </c>
      <c r="AY420" s="12">
        <v>1</v>
      </c>
      <c r="AZ420" s="12">
        <v>3</v>
      </c>
      <c r="BA420" s="12">
        <f t="shared" si="94"/>
        <v>3</v>
      </c>
      <c r="BB420" s="12">
        <v>2</v>
      </c>
      <c r="BC420" s="12">
        <v>0</v>
      </c>
      <c r="BD420" s="12">
        <f t="shared" si="103"/>
        <v>0</v>
      </c>
      <c r="BE420" s="12">
        <v>2</v>
      </c>
      <c r="BF420" s="12">
        <f t="shared" si="95"/>
        <v>2</v>
      </c>
      <c r="BG420" s="12">
        <f t="shared" si="104"/>
        <v>2</v>
      </c>
      <c r="BH420" s="67">
        <v>1</v>
      </c>
      <c r="BI420" s="67">
        <v>0</v>
      </c>
      <c r="BJ420" s="67">
        <v>0</v>
      </c>
      <c r="BK420" s="67">
        <v>0</v>
      </c>
      <c r="BL420" s="67">
        <v>1</v>
      </c>
      <c r="BM420" s="67">
        <v>0</v>
      </c>
      <c r="BN420" s="67">
        <v>0</v>
      </c>
      <c r="BO420" s="67">
        <v>0</v>
      </c>
      <c r="BP420" s="67">
        <v>0</v>
      </c>
      <c r="BQ420" s="67">
        <v>2</v>
      </c>
      <c r="BR420" s="67">
        <v>0</v>
      </c>
      <c r="BS420" s="67">
        <v>0</v>
      </c>
      <c r="BT420" s="67">
        <v>3</v>
      </c>
      <c r="BU420" s="70">
        <v>0</v>
      </c>
      <c r="BV420" s="29">
        <f t="shared" si="96"/>
        <v>0.76825923838173904</v>
      </c>
      <c r="BW420">
        <f t="shared" si="97"/>
        <v>0.59502473559756086</v>
      </c>
      <c r="BX420">
        <f t="shared" si="98"/>
        <v>1.0641079755250529</v>
      </c>
      <c r="BY420">
        <f t="shared" si="99"/>
        <v>0.65423109602898355</v>
      </c>
      <c r="BZ420">
        <f t="shared" si="100"/>
        <v>1.7031841475541873</v>
      </c>
      <c r="CA420">
        <f t="shared" si="101"/>
        <v>1.195770434213719</v>
      </c>
      <c r="CB420">
        <f t="shared" si="102"/>
        <v>0.67891464284095016</v>
      </c>
    </row>
    <row r="421" spans="1:80" x14ac:dyDescent="0.45">
      <c r="A421" s="11">
        <v>30</v>
      </c>
      <c r="B421" s="12">
        <f t="shared" si="90"/>
        <v>30</v>
      </c>
      <c r="C421" s="12" t="s">
        <v>59</v>
      </c>
      <c r="D421" s="12">
        <v>0</v>
      </c>
      <c r="E421" s="12" t="s">
        <v>86</v>
      </c>
      <c r="F421" s="12">
        <v>0</v>
      </c>
      <c r="G421" s="12">
        <v>0</v>
      </c>
      <c r="H421" s="12" t="s">
        <v>61</v>
      </c>
      <c r="I421" s="12">
        <v>1</v>
      </c>
      <c r="J421" s="12">
        <v>0</v>
      </c>
      <c r="K421" s="12">
        <v>3</v>
      </c>
      <c r="L421" s="12">
        <f t="shared" si="91"/>
        <v>3</v>
      </c>
      <c r="M421" s="12">
        <v>3</v>
      </c>
      <c r="N421" s="12" t="s">
        <v>55</v>
      </c>
      <c r="O421" s="12">
        <v>1</v>
      </c>
      <c r="P421" s="12">
        <v>0</v>
      </c>
      <c r="Q421" s="12">
        <v>0</v>
      </c>
      <c r="R421" s="12">
        <v>0</v>
      </c>
      <c r="S421" s="12">
        <v>0</v>
      </c>
      <c r="T421" s="12">
        <v>3</v>
      </c>
      <c r="U421" s="12" t="s">
        <v>62</v>
      </c>
      <c r="V421" s="12">
        <v>0</v>
      </c>
      <c r="W421" s="12">
        <v>53</v>
      </c>
      <c r="X421" s="12">
        <v>3</v>
      </c>
      <c r="Y421" s="12">
        <v>1</v>
      </c>
      <c r="Z421" s="12" t="s">
        <v>67</v>
      </c>
      <c r="AA421" s="12">
        <v>0</v>
      </c>
      <c r="AB421" s="12">
        <v>0</v>
      </c>
      <c r="AC421" s="12">
        <v>1</v>
      </c>
      <c r="AD421" s="12">
        <v>0</v>
      </c>
      <c r="AE421" s="12">
        <v>0</v>
      </c>
      <c r="AF421" s="12">
        <v>0</v>
      </c>
      <c r="AG421" s="12">
        <v>0</v>
      </c>
      <c r="AH421" s="12">
        <v>0</v>
      </c>
      <c r="AI421" s="12">
        <v>4</v>
      </c>
      <c r="AJ421" s="12" t="s">
        <v>64</v>
      </c>
      <c r="AK421" s="12">
        <v>0</v>
      </c>
      <c r="AL421" s="12">
        <v>1</v>
      </c>
      <c r="AM421" s="12">
        <v>2097</v>
      </c>
      <c r="AN421" s="12">
        <f t="shared" si="92"/>
        <v>2097</v>
      </c>
      <c r="AO421" s="12">
        <v>4</v>
      </c>
      <c r="AP421" s="12" t="s">
        <v>59</v>
      </c>
      <c r="AQ421" s="12">
        <v>0</v>
      </c>
      <c r="AR421" s="12">
        <v>15</v>
      </c>
      <c r="AS421" s="12">
        <v>3</v>
      </c>
      <c r="AT421" s="12">
        <v>3</v>
      </c>
      <c r="AU421" s="12">
        <v>1</v>
      </c>
      <c r="AV421" s="12">
        <v>9</v>
      </c>
      <c r="AW421" s="12">
        <f t="shared" si="93"/>
        <v>9</v>
      </c>
      <c r="AX421" s="12">
        <v>3</v>
      </c>
      <c r="AY421" s="12">
        <v>1</v>
      </c>
      <c r="AZ421" s="12">
        <v>5</v>
      </c>
      <c r="BA421" s="12">
        <f t="shared" si="94"/>
        <v>5</v>
      </c>
      <c r="BB421" s="12">
        <v>3</v>
      </c>
      <c r="BC421" s="12">
        <v>1</v>
      </c>
      <c r="BD421" s="12">
        <f t="shared" si="103"/>
        <v>1</v>
      </c>
      <c r="BE421" s="12">
        <v>4</v>
      </c>
      <c r="BF421" s="12">
        <f t="shared" si="95"/>
        <v>4</v>
      </c>
      <c r="BG421" s="12">
        <f t="shared" si="104"/>
        <v>4</v>
      </c>
      <c r="BH421" s="67">
        <v>0</v>
      </c>
      <c r="BI421" s="67">
        <v>1</v>
      </c>
      <c r="BJ421" s="67">
        <v>0</v>
      </c>
      <c r="BK421" s="67">
        <v>0</v>
      </c>
      <c r="BL421" s="67">
        <v>0</v>
      </c>
      <c r="BM421" s="67">
        <v>0</v>
      </c>
      <c r="BN421" s="67">
        <v>1</v>
      </c>
      <c r="BO421" s="67">
        <v>0</v>
      </c>
      <c r="BP421" s="67">
        <v>0</v>
      </c>
      <c r="BQ421" s="67">
        <v>4</v>
      </c>
      <c r="BR421" s="67">
        <v>0</v>
      </c>
      <c r="BS421" s="67">
        <v>0</v>
      </c>
      <c r="BT421" s="67">
        <v>9</v>
      </c>
      <c r="BU421" s="70">
        <v>0</v>
      </c>
      <c r="BV421" s="29">
        <f t="shared" si="96"/>
        <v>0.93584786256635</v>
      </c>
      <c r="BW421">
        <f t="shared" si="97"/>
        <v>3.4508002929560584E-2</v>
      </c>
      <c r="BX421">
        <f t="shared" si="98"/>
        <v>0.29297722668510823</v>
      </c>
      <c r="BY421">
        <f t="shared" si="99"/>
        <v>0.32778177112653761</v>
      </c>
      <c r="BZ421">
        <f t="shared" si="100"/>
        <v>0.76386092994953758</v>
      </c>
      <c r="CA421">
        <f t="shared" si="101"/>
        <v>0.75791203633249671</v>
      </c>
      <c r="CB421">
        <f t="shared" si="102"/>
        <v>0.36858985273641137</v>
      </c>
    </row>
    <row r="422" spans="1:80" x14ac:dyDescent="0.45">
      <c r="A422" s="11">
        <v>29</v>
      </c>
      <c r="B422" s="12">
        <f t="shared" si="90"/>
        <v>29</v>
      </c>
      <c r="C422" s="12" t="s">
        <v>59</v>
      </c>
      <c r="D422" s="12">
        <v>0</v>
      </c>
      <c r="E422" s="12" t="s">
        <v>53</v>
      </c>
      <c r="F422" s="12">
        <v>0</v>
      </c>
      <c r="G422" s="12">
        <v>1</v>
      </c>
      <c r="H422" s="12" t="s">
        <v>61</v>
      </c>
      <c r="I422" s="12">
        <v>1</v>
      </c>
      <c r="J422" s="12">
        <v>0</v>
      </c>
      <c r="K422" s="12">
        <v>3</v>
      </c>
      <c r="L422" s="12">
        <f t="shared" si="91"/>
        <v>3</v>
      </c>
      <c r="M422" s="12">
        <v>4</v>
      </c>
      <c r="N422" s="12" t="s">
        <v>70</v>
      </c>
      <c r="O422" s="12">
        <v>0</v>
      </c>
      <c r="P422" s="12">
        <v>0</v>
      </c>
      <c r="Q422" s="12">
        <v>1</v>
      </c>
      <c r="R422" s="12">
        <v>0</v>
      </c>
      <c r="S422" s="12">
        <v>0</v>
      </c>
      <c r="T422" s="12">
        <v>2</v>
      </c>
      <c r="U422" s="12" t="s">
        <v>62</v>
      </c>
      <c r="V422" s="12">
        <v>0</v>
      </c>
      <c r="W422" s="12">
        <v>93</v>
      </c>
      <c r="X422" s="12">
        <v>2</v>
      </c>
      <c r="Y422" s="12">
        <v>3</v>
      </c>
      <c r="Z422" s="12" t="s">
        <v>89</v>
      </c>
      <c r="AA422" s="12">
        <v>0</v>
      </c>
      <c r="AB422" s="12">
        <v>0</v>
      </c>
      <c r="AC422" s="12">
        <v>0</v>
      </c>
      <c r="AD422" s="12">
        <v>0</v>
      </c>
      <c r="AE422" s="12">
        <v>0</v>
      </c>
      <c r="AF422" s="12">
        <v>0</v>
      </c>
      <c r="AG422" s="12">
        <v>0</v>
      </c>
      <c r="AH422" s="12">
        <v>0</v>
      </c>
      <c r="AI422" s="12">
        <v>3</v>
      </c>
      <c r="AJ422" s="12" t="s">
        <v>64</v>
      </c>
      <c r="AK422" s="12">
        <v>0</v>
      </c>
      <c r="AL422" s="12">
        <v>1</v>
      </c>
      <c r="AM422" s="12">
        <v>11935</v>
      </c>
      <c r="AN422" s="12">
        <f t="shared" si="92"/>
        <v>11935</v>
      </c>
      <c r="AO422" s="12">
        <v>1</v>
      </c>
      <c r="AP422" s="12" t="s">
        <v>59</v>
      </c>
      <c r="AQ422" s="12">
        <v>0</v>
      </c>
      <c r="AR422" s="12">
        <v>18</v>
      </c>
      <c r="AS422" s="12">
        <v>3</v>
      </c>
      <c r="AT422" s="12">
        <v>3</v>
      </c>
      <c r="AU422" s="12">
        <v>0</v>
      </c>
      <c r="AV422" s="12">
        <v>10</v>
      </c>
      <c r="AW422" s="12">
        <f t="shared" si="93"/>
        <v>10</v>
      </c>
      <c r="AX422" s="12">
        <v>2</v>
      </c>
      <c r="AY422" s="12">
        <v>3</v>
      </c>
      <c r="AZ422" s="12">
        <v>10</v>
      </c>
      <c r="BA422" s="12">
        <f t="shared" si="94"/>
        <v>10</v>
      </c>
      <c r="BB422" s="12">
        <v>2</v>
      </c>
      <c r="BC422" s="12">
        <v>0</v>
      </c>
      <c r="BD422" s="12">
        <f t="shared" si="103"/>
        <v>0</v>
      </c>
      <c r="BE422" s="12">
        <v>7</v>
      </c>
      <c r="BF422" s="12">
        <f t="shared" si="95"/>
        <v>7</v>
      </c>
      <c r="BG422" s="12">
        <f t="shared" si="104"/>
        <v>21</v>
      </c>
      <c r="BH422" s="67">
        <v>0</v>
      </c>
      <c r="BI422" s="67">
        <v>1</v>
      </c>
      <c r="BJ422" s="67">
        <v>0</v>
      </c>
      <c r="BK422" s="67">
        <v>0</v>
      </c>
      <c r="BL422" s="67">
        <v>0</v>
      </c>
      <c r="BM422" s="67">
        <v>0</v>
      </c>
      <c r="BN422" s="67">
        <v>1</v>
      </c>
      <c r="BO422" s="67">
        <v>0</v>
      </c>
      <c r="BP422" s="67">
        <v>0</v>
      </c>
      <c r="BQ422" s="67">
        <v>7</v>
      </c>
      <c r="BR422" s="67">
        <v>0</v>
      </c>
      <c r="BS422" s="67">
        <v>0</v>
      </c>
      <c r="BT422" s="67">
        <v>10</v>
      </c>
      <c r="BU422" s="70">
        <v>0</v>
      </c>
      <c r="BV422" s="29">
        <f t="shared" si="96"/>
        <v>1.1538059837304855</v>
      </c>
      <c r="BW422">
        <f t="shared" si="97"/>
        <v>0.80626709607243985</v>
      </c>
      <c r="BX422">
        <f t="shared" si="98"/>
        <v>0.1644554352117841</v>
      </c>
      <c r="BY422">
        <f t="shared" si="99"/>
        <v>0.48834154112957734</v>
      </c>
      <c r="BZ422">
        <f t="shared" si="100"/>
        <v>0.76386092994953758</v>
      </c>
      <c r="CA422">
        <f t="shared" si="101"/>
        <v>0.86737663580280233</v>
      </c>
      <c r="CB422">
        <f t="shared" si="102"/>
        <v>0.67891464284095016</v>
      </c>
    </row>
    <row r="423" spans="1:80" x14ac:dyDescent="0.45">
      <c r="A423" s="11">
        <v>29</v>
      </c>
      <c r="B423" s="12">
        <f t="shared" si="90"/>
        <v>29</v>
      </c>
      <c r="C423" s="12" t="s">
        <v>52</v>
      </c>
      <c r="D423" s="12">
        <v>1</v>
      </c>
      <c r="E423" s="12" t="s">
        <v>53</v>
      </c>
      <c r="F423" s="12">
        <v>0</v>
      </c>
      <c r="G423" s="12">
        <v>1</v>
      </c>
      <c r="H423" s="12" t="s">
        <v>61</v>
      </c>
      <c r="I423" s="12">
        <v>1</v>
      </c>
      <c r="J423" s="12">
        <v>0</v>
      </c>
      <c r="K423" s="12">
        <v>25</v>
      </c>
      <c r="L423" s="12">
        <f t="shared" si="91"/>
        <v>25</v>
      </c>
      <c r="M423" s="12">
        <v>5</v>
      </c>
      <c r="N423" s="12" t="s">
        <v>91</v>
      </c>
      <c r="O423" s="12">
        <v>0</v>
      </c>
      <c r="P423" s="12">
        <v>0</v>
      </c>
      <c r="Q423" s="12">
        <v>0</v>
      </c>
      <c r="R423" s="12">
        <v>0</v>
      </c>
      <c r="S423" s="12">
        <v>1</v>
      </c>
      <c r="T423" s="12">
        <v>3</v>
      </c>
      <c r="U423" s="12" t="s">
        <v>19</v>
      </c>
      <c r="V423" s="12">
        <v>1</v>
      </c>
      <c r="W423" s="12">
        <v>71</v>
      </c>
      <c r="X423" s="12">
        <v>2</v>
      </c>
      <c r="Y423" s="12">
        <v>1</v>
      </c>
      <c r="Z423" s="12" t="s">
        <v>63</v>
      </c>
      <c r="AA423" s="12">
        <v>0</v>
      </c>
      <c r="AB423" s="12">
        <v>0</v>
      </c>
      <c r="AC423" s="12">
        <v>0</v>
      </c>
      <c r="AD423" s="12">
        <v>0</v>
      </c>
      <c r="AE423" s="12">
        <v>0</v>
      </c>
      <c r="AF423" s="12">
        <v>0</v>
      </c>
      <c r="AG423" s="12">
        <v>0</v>
      </c>
      <c r="AH423" s="12">
        <v>1</v>
      </c>
      <c r="AI423" s="12">
        <v>2</v>
      </c>
      <c r="AJ423" s="12" t="s">
        <v>64</v>
      </c>
      <c r="AK423" s="12">
        <v>0</v>
      </c>
      <c r="AL423" s="12">
        <v>1</v>
      </c>
      <c r="AM423" s="12">
        <v>2546</v>
      </c>
      <c r="AN423" s="12">
        <f t="shared" si="92"/>
        <v>2546</v>
      </c>
      <c r="AO423" s="12">
        <v>5</v>
      </c>
      <c r="AP423" s="12" t="s">
        <v>59</v>
      </c>
      <c r="AQ423" s="12">
        <v>0</v>
      </c>
      <c r="AR423" s="12">
        <v>16</v>
      </c>
      <c r="AS423" s="12">
        <v>3</v>
      </c>
      <c r="AT423" s="12">
        <v>2</v>
      </c>
      <c r="AU423" s="12">
        <v>0</v>
      </c>
      <c r="AV423" s="12">
        <v>6</v>
      </c>
      <c r="AW423" s="12">
        <f t="shared" si="93"/>
        <v>6</v>
      </c>
      <c r="AX423" s="12">
        <v>2</v>
      </c>
      <c r="AY423" s="12">
        <v>4</v>
      </c>
      <c r="AZ423" s="12">
        <v>2</v>
      </c>
      <c r="BA423" s="12">
        <f t="shared" si="94"/>
        <v>2</v>
      </c>
      <c r="BB423" s="12">
        <v>2</v>
      </c>
      <c r="BC423" s="12">
        <v>1</v>
      </c>
      <c r="BD423" s="12">
        <f t="shared" si="103"/>
        <v>1</v>
      </c>
      <c r="BE423" s="12">
        <v>1</v>
      </c>
      <c r="BF423" s="12">
        <f t="shared" si="95"/>
        <v>1</v>
      </c>
      <c r="BG423" s="12">
        <f t="shared" si="104"/>
        <v>1</v>
      </c>
      <c r="BH423" s="67">
        <v>0</v>
      </c>
      <c r="BI423" s="67">
        <v>1</v>
      </c>
      <c r="BJ423" s="67">
        <v>0</v>
      </c>
      <c r="BK423" s="67">
        <v>0</v>
      </c>
      <c r="BL423" s="67">
        <v>0</v>
      </c>
      <c r="BM423" s="67">
        <v>0</v>
      </c>
      <c r="BN423" s="67">
        <v>1</v>
      </c>
      <c r="BO423" s="67">
        <v>0</v>
      </c>
      <c r="BP423" s="67">
        <v>0</v>
      </c>
      <c r="BQ423" s="67">
        <v>1</v>
      </c>
      <c r="BR423" s="67">
        <v>0</v>
      </c>
      <c r="BS423" s="67">
        <v>0</v>
      </c>
      <c r="BT423" s="67">
        <v>6</v>
      </c>
      <c r="BU423" s="70">
        <v>0</v>
      </c>
      <c r="BV423" s="29">
        <f t="shared" si="96"/>
        <v>0.84047740342960686</v>
      </c>
      <c r="BW423">
        <f t="shared" si="97"/>
        <v>0.87528310193156111</v>
      </c>
      <c r="BX423">
        <f t="shared" si="98"/>
        <v>0.67854260110508058</v>
      </c>
      <c r="BY423">
        <f t="shared" si="99"/>
        <v>0.81745575848020657</v>
      </c>
      <c r="BZ423">
        <f t="shared" si="100"/>
        <v>1.9498886553045598</v>
      </c>
      <c r="CA423">
        <f t="shared" si="101"/>
        <v>0.86737663580280233</v>
      </c>
      <c r="CB423">
        <f t="shared" si="102"/>
        <v>0.36858985273641137</v>
      </c>
    </row>
    <row r="424" spans="1:80" x14ac:dyDescent="0.45">
      <c r="A424" s="11">
        <v>19</v>
      </c>
      <c r="B424" s="12">
        <f t="shared" si="90"/>
        <v>19</v>
      </c>
      <c r="C424" s="12" t="s">
        <v>52</v>
      </c>
      <c r="D424" s="12">
        <v>1</v>
      </c>
      <c r="E424" s="12" t="s">
        <v>53</v>
      </c>
      <c r="F424" s="12">
        <v>0</v>
      </c>
      <c r="G424" s="12">
        <v>1</v>
      </c>
      <c r="H424" s="12" t="s">
        <v>97</v>
      </c>
      <c r="I424" s="12">
        <v>0</v>
      </c>
      <c r="J424" s="12">
        <v>0</v>
      </c>
      <c r="K424" s="12">
        <v>2</v>
      </c>
      <c r="L424" s="12">
        <f t="shared" si="91"/>
        <v>2</v>
      </c>
      <c r="M424" s="12">
        <v>2</v>
      </c>
      <c r="N424" s="12" t="s">
        <v>91</v>
      </c>
      <c r="O424" s="12">
        <v>0</v>
      </c>
      <c r="P424" s="12">
        <v>0</v>
      </c>
      <c r="Q424" s="12">
        <v>0</v>
      </c>
      <c r="R424" s="12">
        <v>0</v>
      </c>
      <c r="S424" s="12">
        <v>1</v>
      </c>
      <c r="T424" s="12">
        <v>1</v>
      </c>
      <c r="U424" s="12" t="s">
        <v>62</v>
      </c>
      <c r="V424" s="12">
        <v>0</v>
      </c>
      <c r="W424" s="12">
        <v>52</v>
      </c>
      <c r="X424" s="12">
        <v>2</v>
      </c>
      <c r="Y424" s="12">
        <v>1</v>
      </c>
      <c r="Z424" s="12" t="s">
        <v>97</v>
      </c>
      <c r="AA424" s="12">
        <v>0</v>
      </c>
      <c r="AB424" s="12">
        <v>0</v>
      </c>
      <c r="AC424" s="12">
        <v>0</v>
      </c>
      <c r="AD424" s="12">
        <v>0</v>
      </c>
      <c r="AE424" s="12">
        <v>0</v>
      </c>
      <c r="AF424" s="12">
        <v>0</v>
      </c>
      <c r="AG424" s="12">
        <v>0</v>
      </c>
      <c r="AH424" s="12">
        <v>0</v>
      </c>
      <c r="AI424" s="12">
        <v>4</v>
      </c>
      <c r="AJ424" s="12" t="s">
        <v>57</v>
      </c>
      <c r="AK424" s="12">
        <v>1</v>
      </c>
      <c r="AL424" s="12">
        <v>0</v>
      </c>
      <c r="AM424" s="12">
        <v>2564</v>
      </c>
      <c r="AN424" s="12">
        <f t="shared" si="92"/>
        <v>2564</v>
      </c>
      <c r="AO424" s="12">
        <v>1</v>
      </c>
      <c r="AP424" s="12" t="s">
        <v>59</v>
      </c>
      <c r="AQ424" s="12">
        <v>0</v>
      </c>
      <c r="AR424" s="12">
        <v>12</v>
      </c>
      <c r="AS424" s="12">
        <v>3</v>
      </c>
      <c r="AT424" s="12">
        <v>3</v>
      </c>
      <c r="AU424" s="12">
        <v>0</v>
      </c>
      <c r="AV424" s="12">
        <v>1</v>
      </c>
      <c r="AW424" s="12">
        <f t="shared" si="93"/>
        <v>1</v>
      </c>
      <c r="AX424" s="12">
        <v>3</v>
      </c>
      <c r="AY424" s="12">
        <v>4</v>
      </c>
      <c r="AZ424" s="12">
        <v>1</v>
      </c>
      <c r="BA424" s="12">
        <f t="shared" si="94"/>
        <v>1</v>
      </c>
      <c r="BB424" s="12">
        <v>0</v>
      </c>
      <c r="BC424" s="12">
        <v>0</v>
      </c>
      <c r="BD424" s="12">
        <f t="shared" si="103"/>
        <v>0</v>
      </c>
      <c r="BE424" s="12">
        <v>0</v>
      </c>
      <c r="BF424" s="12">
        <f t="shared" si="95"/>
        <v>0</v>
      </c>
      <c r="BG424" s="12">
        <f t="shared" si="104"/>
        <v>0</v>
      </c>
      <c r="BH424" s="67">
        <v>1</v>
      </c>
      <c r="BI424" s="67">
        <v>0</v>
      </c>
      <c r="BJ424" s="67">
        <v>0</v>
      </c>
      <c r="BK424" s="67">
        <v>0</v>
      </c>
      <c r="BL424" s="67">
        <v>1</v>
      </c>
      <c r="BM424" s="67">
        <v>0</v>
      </c>
      <c r="BN424" s="67">
        <v>0</v>
      </c>
      <c r="BO424" s="67">
        <v>0</v>
      </c>
      <c r="BP424" s="67">
        <v>0</v>
      </c>
      <c r="BQ424" s="67">
        <v>0</v>
      </c>
      <c r="BR424" s="67">
        <v>0</v>
      </c>
      <c r="BS424" s="67">
        <v>1</v>
      </c>
      <c r="BT424" s="67">
        <v>0</v>
      </c>
      <c r="BU424" s="70">
        <v>0</v>
      </c>
      <c r="BV424" s="29">
        <f t="shared" si="96"/>
        <v>0.8366540888094256</v>
      </c>
      <c r="BW424">
        <f t="shared" si="97"/>
        <v>1.1555414682655611</v>
      </c>
      <c r="BX424">
        <f t="shared" si="98"/>
        <v>1.3211515584717011</v>
      </c>
      <c r="BY424">
        <f t="shared" si="99"/>
        <v>0.9806804209314296</v>
      </c>
      <c r="BZ424">
        <f t="shared" si="100"/>
        <v>0.88721318382472392</v>
      </c>
      <c r="CA424">
        <f t="shared" si="101"/>
        <v>1.9620226305058581</v>
      </c>
      <c r="CB424">
        <f t="shared" si="102"/>
        <v>0.67891464284095016</v>
      </c>
    </row>
    <row r="425" spans="1:80" x14ac:dyDescent="0.45">
      <c r="A425" s="11">
        <v>30</v>
      </c>
      <c r="B425" s="12">
        <f t="shared" si="90"/>
        <v>30</v>
      </c>
      <c r="C425" s="12" t="s">
        <v>59</v>
      </c>
      <c r="D425" s="12">
        <v>0</v>
      </c>
      <c r="E425" s="12" t="s">
        <v>86</v>
      </c>
      <c r="F425" s="12">
        <v>0</v>
      </c>
      <c r="G425" s="12">
        <v>0</v>
      </c>
      <c r="H425" s="12" t="s">
        <v>54</v>
      </c>
      <c r="I425" s="12">
        <v>0</v>
      </c>
      <c r="J425" s="12">
        <v>1</v>
      </c>
      <c r="K425" s="12">
        <v>22</v>
      </c>
      <c r="L425" s="12">
        <f t="shared" si="91"/>
        <v>22</v>
      </c>
      <c r="M425" s="12">
        <v>4</v>
      </c>
      <c r="N425" s="12" t="s">
        <v>66</v>
      </c>
      <c r="O425" s="12">
        <v>0</v>
      </c>
      <c r="P425" s="12">
        <v>1</v>
      </c>
      <c r="Q425" s="12">
        <v>0</v>
      </c>
      <c r="R425" s="12">
        <v>0</v>
      </c>
      <c r="S425" s="12">
        <v>0</v>
      </c>
      <c r="T425" s="12">
        <v>3</v>
      </c>
      <c r="U425" s="12" t="s">
        <v>19</v>
      </c>
      <c r="V425" s="12">
        <v>1</v>
      </c>
      <c r="W425" s="12">
        <v>69</v>
      </c>
      <c r="X425" s="12">
        <v>3</v>
      </c>
      <c r="Y425" s="12">
        <v>3</v>
      </c>
      <c r="Z425" s="12" t="s">
        <v>56</v>
      </c>
      <c r="AA425" s="12">
        <v>0</v>
      </c>
      <c r="AB425" s="12">
        <v>1</v>
      </c>
      <c r="AC425" s="12">
        <v>0</v>
      </c>
      <c r="AD425" s="12">
        <v>0</v>
      </c>
      <c r="AE425" s="12">
        <v>0</v>
      </c>
      <c r="AF425" s="12">
        <v>0</v>
      </c>
      <c r="AG425" s="12">
        <v>0</v>
      </c>
      <c r="AH425" s="12">
        <v>0</v>
      </c>
      <c r="AI425" s="12">
        <v>1</v>
      </c>
      <c r="AJ425" s="12" t="s">
        <v>64</v>
      </c>
      <c r="AK425" s="12">
        <v>0</v>
      </c>
      <c r="AL425" s="12">
        <v>1</v>
      </c>
      <c r="AM425" s="12">
        <v>8412</v>
      </c>
      <c r="AN425" s="12">
        <f t="shared" si="92"/>
        <v>8412</v>
      </c>
      <c r="AO425" s="12">
        <v>0</v>
      </c>
      <c r="AP425" s="12" t="s">
        <v>59</v>
      </c>
      <c r="AQ425" s="12">
        <v>0</v>
      </c>
      <c r="AR425" s="12">
        <v>11</v>
      </c>
      <c r="AS425" s="12">
        <v>3</v>
      </c>
      <c r="AT425" s="12">
        <v>3</v>
      </c>
      <c r="AU425" s="12">
        <v>0</v>
      </c>
      <c r="AV425" s="12">
        <v>10</v>
      </c>
      <c r="AW425" s="12">
        <f t="shared" si="93"/>
        <v>10</v>
      </c>
      <c r="AX425" s="12">
        <v>3</v>
      </c>
      <c r="AY425" s="12">
        <v>3</v>
      </c>
      <c r="AZ425" s="12">
        <v>9</v>
      </c>
      <c r="BA425" s="12">
        <f t="shared" si="94"/>
        <v>9</v>
      </c>
      <c r="BB425" s="12">
        <v>8</v>
      </c>
      <c r="BC425" s="12">
        <v>7</v>
      </c>
      <c r="BD425" s="12">
        <f t="shared" si="103"/>
        <v>7</v>
      </c>
      <c r="BE425" s="12">
        <v>8</v>
      </c>
      <c r="BF425" s="12">
        <f t="shared" si="95"/>
        <v>8</v>
      </c>
      <c r="BG425" s="12">
        <f t="shared" si="104"/>
        <v>24</v>
      </c>
      <c r="BH425" s="67">
        <v>0</v>
      </c>
      <c r="BI425" s="67">
        <v>1</v>
      </c>
      <c r="BJ425" s="67">
        <v>0</v>
      </c>
      <c r="BK425" s="67">
        <v>0</v>
      </c>
      <c r="BL425" s="67">
        <v>0</v>
      </c>
      <c r="BM425" s="67">
        <v>0</v>
      </c>
      <c r="BN425" s="67">
        <v>1</v>
      </c>
      <c r="BO425" s="67">
        <v>0</v>
      </c>
      <c r="BP425" s="67">
        <v>0</v>
      </c>
      <c r="BQ425" s="67">
        <v>0</v>
      </c>
      <c r="BR425" s="67">
        <v>8</v>
      </c>
      <c r="BS425" s="67">
        <v>0</v>
      </c>
      <c r="BT425" s="67">
        <v>0</v>
      </c>
      <c r="BU425" s="70">
        <v>10</v>
      </c>
      <c r="BV425" s="29">
        <f t="shared" si="96"/>
        <v>0.40549835001390167</v>
      </c>
      <c r="BW425">
        <f t="shared" si="97"/>
        <v>1.08652546240644</v>
      </c>
      <c r="BX425">
        <f t="shared" si="98"/>
        <v>0.1644554352117841</v>
      </c>
      <c r="BY425">
        <f t="shared" si="99"/>
        <v>0.32511687867835437</v>
      </c>
      <c r="BZ425">
        <f t="shared" si="100"/>
        <v>1.579831893679001</v>
      </c>
      <c r="CA425">
        <f t="shared" si="101"/>
        <v>0.75791203633249671</v>
      </c>
      <c r="CB425">
        <f t="shared" si="102"/>
        <v>1.4933588878908215</v>
      </c>
    </row>
    <row r="426" spans="1:80" x14ac:dyDescent="0.45">
      <c r="A426" s="11">
        <v>57</v>
      </c>
      <c r="B426" s="12">
        <f t="shared" si="90"/>
        <v>57</v>
      </c>
      <c r="C426" s="12" t="s">
        <v>59</v>
      </c>
      <c r="D426" s="12">
        <v>0</v>
      </c>
      <c r="E426" s="12" t="s">
        <v>53</v>
      </c>
      <c r="F426" s="12">
        <v>0</v>
      </c>
      <c r="G426" s="12">
        <v>1</v>
      </c>
      <c r="H426" s="12" t="s">
        <v>54</v>
      </c>
      <c r="I426" s="12">
        <v>0</v>
      </c>
      <c r="J426" s="12">
        <v>1</v>
      </c>
      <c r="K426" s="12">
        <v>29</v>
      </c>
      <c r="L426" s="12">
        <f t="shared" si="91"/>
        <v>29</v>
      </c>
      <c r="M426" s="12">
        <v>3</v>
      </c>
      <c r="N426" s="12" t="s">
        <v>90</v>
      </c>
      <c r="O426" s="12">
        <v>0</v>
      </c>
      <c r="P426" s="12">
        <v>0</v>
      </c>
      <c r="Q426" s="12">
        <v>0</v>
      </c>
      <c r="R426" s="12">
        <v>1</v>
      </c>
      <c r="S426" s="12">
        <v>0</v>
      </c>
      <c r="T426" s="12">
        <v>1</v>
      </c>
      <c r="U426" s="12" t="s">
        <v>62</v>
      </c>
      <c r="V426" s="12">
        <v>0</v>
      </c>
      <c r="W426" s="12">
        <v>56</v>
      </c>
      <c r="X426" s="12">
        <v>2</v>
      </c>
      <c r="Y426" s="12">
        <v>4</v>
      </c>
      <c r="Z426" s="12" t="s">
        <v>87</v>
      </c>
      <c r="AA426" s="12">
        <v>0</v>
      </c>
      <c r="AB426" s="12">
        <v>0</v>
      </c>
      <c r="AC426" s="12">
        <v>0</v>
      </c>
      <c r="AD426" s="12">
        <v>1</v>
      </c>
      <c r="AE426" s="12">
        <v>0</v>
      </c>
      <c r="AF426" s="12">
        <v>0</v>
      </c>
      <c r="AG426" s="12">
        <v>0</v>
      </c>
      <c r="AH426" s="12">
        <v>0</v>
      </c>
      <c r="AI426" s="12">
        <v>4</v>
      </c>
      <c r="AJ426" s="12" t="s">
        <v>78</v>
      </c>
      <c r="AK426" s="12">
        <v>0</v>
      </c>
      <c r="AL426" s="12">
        <v>0</v>
      </c>
      <c r="AM426" s="12">
        <v>14118</v>
      </c>
      <c r="AN426" s="12">
        <f t="shared" si="92"/>
        <v>14118</v>
      </c>
      <c r="AO426" s="12">
        <v>3</v>
      </c>
      <c r="AP426" s="12" t="s">
        <v>59</v>
      </c>
      <c r="AQ426" s="12">
        <v>0</v>
      </c>
      <c r="AR426" s="12">
        <v>12</v>
      </c>
      <c r="AS426" s="12">
        <v>3</v>
      </c>
      <c r="AT426" s="12">
        <v>3</v>
      </c>
      <c r="AU426" s="12">
        <v>1</v>
      </c>
      <c r="AV426" s="12">
        <v>32</v>
      </c>
      <c r="AW426" s="12">
        <f t="shared" si="93"/>
        <v>32</v>
      </c>
      <c r="AX426" s="12">
        <v>3</v>
      </c>
      <c r="AY426" s="12">
        <v>2</v>
      </c>
      <c r="AZ426" s="12">
        <v>1</v>
      </c>
      <c r="BA426" s="12">
        <f t="shared" si="94"/>
        <v>1</v>
      </c>
      <c r="BB426" s="12">
        <v>0</v>
      </c>
      <c r="BC426" s="12">
        <v>0</v>
      </c>
      <c r="BD426" s="12">
        <f t="shared" si="103"/>
        <v>0</v>
      </c>
      <c r="BE426" s="12">
        <v>0</v>
      </c>
      <c r="BF426" s="12">
        <f t="shared" si="95"/>
        <v>0</v>
      </c>
      <c r="BG426" s="12">
        <f t="shared" si="104"/>
        <v>0</v>
      </c>
      <c r="BH426" s="67">
        <v>1</v>
      </c>
      <c r="BI426" s="67">
        <v>0</v>
      </c>
      <c r="BJ426" s="67">
        <v>0</v>
      </c>
      <c r="BK426" s="67">
        <v>0</v>
      </c>
      <c r="BL426" s="67">
        <v>1</v>
      </c>
      <c r="BM426" s="67">
        <v>0</v>
      </c>
      <c r="BN426" s="67">
        <v>0</v>
      </c>
      <c r="BO426" s="67">
        <v>0</v>
      </c>
      <c r="BP426" s="67">
        <v>0</v>
      </c>
      <c r="BQ426" s="67">
        <v>0</v>
      </c>
      <c r="BR426" s="67">
        <v>0</v>
      </c>
      <c r="BS426" s="67">
        <v>0</v>
      </c>
      <c r="BT426" s="67">
        <v>0</v>
      </c>
      <c r="BU426" s="70">
        <v>32</v>
      </c>
      <c r="BV426" s="29">
        <f t="shared" si="96"/>
        <v>1.6174890846113548</v>
      </c>
      <c r="BW426">
        <f t="shared" si="97"/>
        <v>1.1555414682655611</v>
      </c>
      <c r="BX426">
        <f t="shared" si="98"/>
        <v>2.663023977201346</v>
      </c>
      <c r="BY426">
        <f t="shared" si="99"/>
        <v>0.9806804209314296</v>
      </c>
      <c r="BZ426">
        <f t="shared" si="100"/>
        <v>2.4432976708053049</v>
      </c>
      <c r="CA426">
        <f t="shared" si="101"/>
        <v>2.197632149365754</v>
      </c>
      <c r="CB426">
        <f t="shared" si="102"/>
        <v>0.67891464284095016</v>
      </c>
    </row>
    <row r="427" spans="1:80" x14ac:dyDescent="0.45">
      <c r="A427" s="11">
        <v>50</v>
      </c>
      <c r="B427" s="12">
        <f t="shared" si="90"/>
        <v>50</v>
      </c>
      <c r="C427" s="12" t="s">
        <v>59</v>
      </c>
      <c r="D427" s="12">
        <v>0</v>
      </c>
      <c r="E427" s="12" t="s">
        <v>53</v>
      </c>
      <c r="F427" s="12">
        <v>0</v>
      </c>
      <c r="G427" s="12">
        <v>1</v>
      </c>
      <c r="H427" s="12" t="s">
        <v>61</v>
      </c>
      <c r="I427" s="12">
        <v>1</v>
      </c>
      <c r="J427" s="12">
        <v>0</v>
      </c>
      <c r="K427" s="12">
        <v>29</v>
      </c>
      <c r="L427" s="12">
        <f t="shared" si="91"/>
        <v>29</v>
      </c>
      <c r="M427" s="12">
        <v>4</v>
      </c>
      <c r="N427" s="12" t="s">
        <v>55</v>
      </c>
      <c r="O427" s="12">
        <v>1</v>
      </c>
      <c r="P427" s="12">
        <v>0</v>
      </c>
      <c r="Q427" s="12">
        <v>0</v>
      </c>
      <c r="R427" s="12">
        <v>0</v>
      </c>
      <c r="S427" s="12">
        <v>0</v>
      </c>
      <c r="T427" s="12">
        <v>2</v>
      </c>
      <c r="U427" s="12" t="s">
        <v>62</v>
      </c>
      <c r="V427" s="12">
        <v>0</v>
      </c>
      <c r="W427" s="12">
        <v>88</v>
      </c>
      <c r="X427" s="12">
        <v>2</v>
      </c>
      <c r="Y427" s="12">
        <v>4</v>
      </c>
      <c r="Z427" s="12" t="s">
        <v>87</v>
      </c>
      <c r="AA427" s="12">
        <v>0</v>
      </c>
      <c r="AB427" s="12">
        <v>0</v>
      </c>
      <c r="AC427" s="12">
        <v>0</v>
      </c>
      <c r="AD427" s="12">
        <v>1</v>
      </c>
      <c r="AE427" s="12">
        <v>0</v>
      </c>
      <c r="AF427" s="12">
        <v>0</v>
      </c>
      <c r="AG427" s="12">
        <v>0</v>
      </c>
      <c r="AH427" s="12">
        <v>0</v>
      </c>
      <c r="AI427" s="12">
        <v>3</v>
      </c>
      <c r="AJ427" s="12" t="s">
        <v>64</v>
      </c>
      <c r="AK427" s="12">
        <v>0</v>
      </c>
      <c r="AL427" s="12">
        <v>1</v>
      </c>
      <c r="AM427" s="12">
        <v>17046</v>
      </c>
      <c r="AN427" s="12">
        <f t="shared" si="92"/>
        <v>17046</v>
      </c>
      <c r="AO427" s="12">
        <v>0</v>
      </c>
      <c r="AP427" s="12" t="s">
        <v>59</v>
      </c>
      <c r="AQ427" s="12">
        <v>0</v>
      </c>
      <c r="AR427" s="12">
        <v>15</v>
      </c>
      <c r="AS427" s="12">
        <v>3</v>
      </c>
      <c r="AT427" s="12">
        <v>2</v>
      </c>
      <c r="AU427" s="12">
        <v>1</v>
      </c>
      <c r="AV427" s="12">
        <v>28</v>
      </c>
      <c r="AW427" s="12">
        <f t="shared" si="93"/>
        <v>28</v>
      </c>
      <c r="AX427" s="12">
        <v>2</v>
      </c>
      <c r="AY427" s="12">
        <v>3</v>
      </c>
      <c r="AZ427" s="12">
        <v>27</v>
      </c>
      <c r="BA427" s="12">
        <f t="shared" si="94"/>
        <v>27</v>
      </c>
      <c r="BB427" s="12">
        <v>10</v>
      </c>
      <c r="BC427" s="12">
        <v>15</v>
      </c>
      <c r="BD427" s="12">
        <f t="shared" si="103"/>
        <v>14</v>
      </c>
      <c r="BE427" s="12">
        <v>7</v>
      </c>
      <c r="BF427" s="12">
        <f t="shared" si="95"/>
        <v>7</v>
      </c>
      <c r="BG427" s="12">
        <f t="shared" si="104"/>
        <v>28</v>
      </c>
      <c r="BH427" s="67">
        <v>0</v>
      </c>
      <c r="BI427" s="67">
        <v>1</v>
      </c>
      <c r="BJ427" s="67">
        <v>0</v>
      </c>
      <c r="BK427" s="67">
        <v>0</v>
      </c>
      <c r="BL427" s="67">
        <v>0</v>
      </c>
      <c r="BM427" s="67">
        <v>0</v>
      </c>
      <c r="BN427" s="67">
        <v>1</v>
      </c>
      <c r="BO427" s="67">
        <v>0</v>
      </c>
      <c r="BP427" s="67">
        <v>0</v>
      </c>
      <c r="BQ427" s="67">
        <v>7</v>
      </c>
      <c r="BR427" s="67">
        <v>0</v>
      </c>
      <c r="BS427" s="67">
        <v>0</v>
      </c>
      <c r="BT427" s="67">
        <v>28</v>
      </c>
      <c r="BU427" s="70">
        <v>0</v>
      </c>
      <c r="BV427" s="29">
        <f t="shared" si="96"/>
        <v>2.2394149294941696</v>
      </c>
      <c r="BW427">
        <f t="shared" si="97"/>
        <v>0.80626709607243985</v>
      </c>
      <c r="BX427">
        <f t="shared" si="98"/>
        <v>2.1489368113080496</v>
      </c>
      <c r="BY427">
        <f t="shared" si="99"/>
        <v>3.263160802800368</v>
      </c>
      <c r="BZ427">
        <f t="shared" si="100"/>
        <v>2.4432976708053049</v>
      </c>
      <c r="CA427">
        <f t="shared" si="101"/>
        <v>1.4313799530736149</v>
      </c>
      <c r="CB427">
        <f t="shared" si="102"/>
        <v>3.9759572087271318</v>
      </c>
    </row>
    <row r="428" spans="1:80" x14ac:dyDescent="0.45">
      <c r="A428" s="11">
        <v>30</v>
      </c>
      <c r="B428" s="12">
        <f t="shared" si="90"/>
        <v>30</v>
      </c>
      <c r="C428" s="12" t="s">
        <v>59</v>
      </c>
      <c r="D428" s="12">
        <v>0</v>
      </c>
      <c r="E428" s="12" t="s">
        <v>86</v>
      </c>
      <c r="F428" s="12">
        <v>0</v>
      </c>
      <c r="G428" s="12">
        <v>0</v>
      </c>
      <c r="H428" s="12" t="s">
        <v>61</v>
      </c>
      <c r="I428" s="12">
        <v>1</v>
      </c>
      <c r="J428" s="12">
        <v>0</v>
      </c>
      <c r="K428" s="12">
        <v>2</v>
      </c>
      <c r="L428" s="12">
        <f t="shared" si="91"/>
        <v>2</v>
      </c>
      <c r="M428" s="12">
        <v>3</v>
      </c>
      <c r="N428" s="12" t="s">
        <v>70</v>
      </c>
      <c r="O428" s="12">
        <v>0</v>
      </c>
      <c r="P428" s="12">
        <v>0</v>
      </c>
      <c r="Q428" s="12">
        <v>1</v>
      </c>
      <c r="R428" s="12">
        <v>0</v>
      </c>
      <c r="S428" s="12">
        <v>0</v>
      </c>
      <c r="T428" s="12">
        <v>3</v>
      </c>
      <c r="U428" s="12" t="s">
        <v>19</v>
      </c>
      <c r="V428" s="12">
        <v>1</v>
      </c>
      <c r="W428" s="12">
        <v>49</v>
      </c>
      <c r="X428" s="12">
        <v>3</v>
      </c>
      <c r="Y428" s="12">
        <v>1</v>
      </c>
      <c r="Z428" s="12" t="s">
        <v>67</v>
      </c>
      <c r="AA428" s="12">
        <v>0</v>
      </c>
      <c r="AB428" s="12">
        <v>0</v>
      </c>
      <c r="AC428" s="12">
        <v>1</v>
      </c>
      <c r="AD428" s="12">
        <v>0</v>
      </c>
      <c r="AE428" s="12">
        <v>0</v>
      </c>
      <c r="AF428" s="12">
        <v>0</v>
      </c>
      <c r="AG428" s="12">
        <v>0</v>
      </c>
      <c r="AH428" s="12">
        <v>0</v>
      </c>
      <c r="AI428" s="12">
        <v>4</v>
      </c>
      <c r="AJ428" s="12" t="s">
        <v>57</v>
      </c>
      <c r="AK428" s="12">
        <v>1</v>
      </c>
      <c r="AL428" s="12">
        <v>0</v>
      </c>
      <c r="AM428" s="12">
        <v>2564</v>
      </c>
      <c r="AN428" s="12">
        <f t="shared" si="92"/>
        <v>2564</v>
      </c>
      <c r="AO428" s="12">
        <v>0</v>
      </c>
      <c r="AP428" s="12" t="s">
        <v>59</v>
      </c>
      <c r="AQ428" s="12">
        <v>0</v>
      </c>
      <c r="AR428" s="12">
        <v>14</v>
      </c>
      <c r="AS428" s="12">
        <v>3</v>
      </c>
      <c r="AT428" s="12">
        <v>3</v>
      </c>
      <c r="AU428" s="12">
        <v>0</v>
      </c>
      <c r="AV428" s="12">
        <v>12</v>
      </c>
      <c r="AW428" s="12">
        <f t="shared" si="93"/>
        <v>12</v>
      </c>
      <c r="AX428" s="12">
        <v>2</v>
      </c>
      <c r="AY428" s="12">
        <v>2</v>
      </c>
      <c r="AZ428" s="12">
        <v>11</v>
      </c>
      <c r="BA428" s="12">
        <f t="shared" si="94"/>
        <v>11</v>
      </c>
      <c r="BB428" s="12">
        <v>7</v>
      </c>
      <c r="BC428" s="12">
        <v>6</v>
      </c>
      <c r="BD428" s="12">
        <f t="shared" si="103"/>
        <v>6</v>
      </c>
      <c r="BE428" s="12">
        <v>7</v>
      </c>
      <c r="BF428" s="12">
        <f t="shared" si="95"/>
        <v>7</v>
      </c>
      <c r="BG428" s="12">
        <f t="shared" si="104"/>
        <v>7</v>
      </c>
      <c r="BH428" s="67">
        <v>1</v>
      </c>
      <c r="BI428" s="67">
        <v>0</v>
      </c>
      <c r="BJ428" s="67">
        <v>0</v>
      </c>
      <c r="BK428" s="67">
        <v>0</v>
      </c>
      <c r="BL428" s="67">
        <v>1</v>
      </c>
      <c r="BM428" s="67">
        <v>0</v>
      </c>
      <c r="BN428" s="67">
        <v>0</v>
      </c>
      <c r="BO428" s="67">
        <v>0</v>
      </c>
      <c r="BP428" s="67">
        <v>0</v>
      </c>
      <c r="BQ428" s="67">
        <v>7</v>
      </c>
      <c r="BR428" s="67">
        <v>0</v>
      </c>
      <c r="BS428" s="67">
        <v>0</v>
      </c>
      <c r="BT428" s="67">
        <v>12</v>
      </c>
      <c r="BU428" s="70">
        <v>0</v>
      </c>
      <c r="BV428" s="29">
        <f t="shared" si="96"/>
        <v>0.8366540888094256</v>
      </c>
      <c r="BW428">
        <f t="shared" si="97"/>
        <v>0.80626709607243985</v>
      </c>
      <c r="BX428">
        <f t="shared" si="98"/>
        <v>9.2588147734864096E-2</v>
      </c>
      <c r="BY428">
        <f t="shared" si="99"/>
        <v>0.65156620358080031</v>
      </c>
      <c r="BZ428">
        <f t="shared" si="100"/>
        <v>0.88721318382472392</v>
      </c>
      <c r="CA428">
        <f t="shared" si="101"/>
        <v>0.75791203633249671</v>
      </c>
      <c r="CB428">
        <f t="shared" si="102"/>
        <v>1.1830340977862825</v>
      </c>
    </row>
    <row r="429" spans="1:80" x14ac:dyDescent="0.45">
      <c r="A429" s="11">
        <v>60</v>
      </c>
      <c r="B429" s="12">
        <f t="shared" si="90"/>
        <v>58.309999999999945</v>
      </c>
      <c r="C429" s="12" t="s">
        <v>59</v>
      </c>
      <c r="D429" s="12">
        <v>0</v>
      </c>
      <c r="E429" s="12" t="s">
        <v>60</v>
      </c>
      <c r="F429" s="12">
        <v>1</v>
      </c>
      <c r="G429" s="12">
        <v>0</v>
      </c>
      <c r="H429" s="12" t="s">
        <v>54</v>
      </c>
      <c r="I429" s="12">
        <v>0</v>
      </c>
      <c r="J429" s="12">
        <v>1</v>
      </c>
      <c r="K429" s="12">
        <v>28</v>
      </c>
      <c r="L429" s="12">
        <f t="shared" si="91"/>
        <v>28</v>
      </c>
      <c r="M429" s="12">
        <v>3</v>
      </c>
      <c r="N429" s="12" t="s">
        <v>90</v>
      </c>
      <c r="O429" s="12">
        <v>0</v>
      </c>
      <c r="P429" s="12">
        <v>0</v>
      </c>
      <c r="Q429" s="12">
        <v>0</v>
      </c>
      <c r="R429" s="12">
        <v>1</v>
      </c>
      <c r="S429" s="12">
        <v>0</v>
      </c>
      <c r="T429" s="12">
        <v>3</v>
      </c>
      <c r="U429" s="12" t="s">
        <v>19</v>
      </c>
      <c r="V429" s="12">
        <v>1</v>
      </c>
      <c r="W429" s="12">
        <v>80</v>
      </c>
      <c r="X429" s="12">
        <v>2</v>
      </c>
      <c r="Y429" s="12">
        <v>3</v>
      </c>
      <c r="Z429" s="12" t="s">
        <v>56</v>
      </c>
      <c r="AA429" s="12">
        <v>0</v>
      </c>
      <c r="AB429" s="12">
        <v>1</v>
      </c>
      <c r="AC429" s="12">
        <v>0</v>
      </c>
      <c r="AD429" s="12">
        <v>0</v>
      </c>
      <c r="AE429" s="12">
        <v>0</v>
      </c>
      <c r="AF429" s="12">
        <v>0</v>
      </c>
      <c r="AG429" s="12">
        <v>0</v>
      </c>
      <c r="AH429" s="12">
        <v>0</v>
      </c>
      <c r="AI429" s="12">
        <v>1</v>
      </c>
      <c r="AJ429" s="12" t="s">
        <v>64</v>
      </c>
      <c r="AK429" s="12">
        <v>0</v>
      </c>
      <c r="AL429" s="12">
        <v>1</v>
      </c>
      <c r="AM429" s="12">
        <v>10266</v>
      </c>
      <c r="AN429" s="12">
        <f t="shared" si="92"/>
        <v>10266</v>
      </c>
      <c r="AO429" s="12">
        <v>4</v>
      </c>
      <c r="AP429" s="12" t="s">
        <v>59</v>
      </c>
      <c r="AQ429" s="12">
        <v>0</v>
      </c>
      <c r="AR429" s="12">
        <v>19</v>
      </c>
      <c r="AS429" s="12">
        <v>3</v>
      </c>
      <c r="AT429" s="12">
        <v>4</v>
      </c>
      <c r="AU429" s="12">
        <v>0</v>
      </c>
      <c r="AV429" s="12">
        <v>22</v>
      </c>
      <c r="AW429" s="12">
        <f t="shared" si="93"/>
        <v>22</v>
      </c>
      <c r="AX429" s="12">
        <v>5</v>
      </c>
      <c r="AY429" s="12">
        <v>4</v>
      </c>
      <c r="AZ429" s="12">
        <v>18</v>
      </c>
      <c r="BA429" s="12">
        <f t="shared" si="94"/>
        <v>18</v>
      </c>
      <c r="BB429" s="12">
        <v>13</v>
      </c>
      <c r="BC429" s="12">
        <v>13</v>
      </c>
      <c r="BD429" s="12">
        <f t="shared" si="103"/>
        <v>13</v>
      </c>
      <c r="BE429" s="12">
        <v>11</v>
      </c>
      <c r="BF429" s="12">
        <f t="shared" si="95"/>
        <v>11</v>
      </c>
      <c r="BG429" s="12">
        <f t="shared" si="104"/>
        <v>33</v>
      </c>
      <c r="BH429" s="67">
        <v>0</v>
      </c>
      <c r="BI429" s="67">
        <v>0</v>
      </c>
      <c r="BJ429" s="67">
        <v>0</v>
      </c>
      <c r="BK429" s="67">
        <v>1</v>
      </c>
      <c r="BL429" s="67">
        <v>0</v>
      </c>
      <c r="BM429" s="67">
        <v>0</v>
      </c>
      <c r="BN429" s="67">
        <v>1</v>
      </c>
      <c r="BO429" s="67">
        <v>0</v>
      </c>
      <c r="BP429" s="67">
        <v>0</v>
      </c>
      <c r="BQ429" s="67">
        <v>0</v>
      </c>
      <c r="BR429" s="67">
        <v>11</v>
      </c>
      <c r="BS429" s="67">
        <v>0</v>
      </c>
      <c r="BT429" s="67">
        <v>0</v>
      </c>
      <c r="BU429" s="70">
        <v>22</v>
      </c>
      <c r="BV429" s="29">
        <f t="shared" si="96"/>
        <v>0.79929975589256941</v>
      </c>
      <c r="BW429">
        <f t="shared" si="97"/>
        <v>1.9273005614084406</v>
      </c>
      <c r="BX429">
        <f t="shared" si="98"/>
        <v>1.3778060624681052</v>
      </c>
      <c r="BY429">
        <f t="shared" si="99"/>
        <v>1.794138840739361</v>
      </c>
      <c r="BZ429">
        <f t="shared" si="100"/>
        <v>2.3199454169301186</v>
      </c>
      <c r="CA429">
        <f t="shared" si="101"/>
        <v>2.5260259477766707</v>
      </c>
      <c r="CB429">
        <f t="shared" si="102"/>
        <v>3.3553076285180543</v>
      </c>
    </row>
    <row r="430" spans="1:80" x14ac:dyDescent="0.45">
      <c r="A430" s="11">
        <v>47</v>
      </c>
      <c r="B430" s="12">
        <f t="shared" si="90"/>
        <v>47</v>
      </c>
      <c r="C430" s="12" t="s">
        <v>59</v>
      </c>
      <c r="D430" s="12">
        <v>0</v>
      </c>
      <c r="E430" s="12" t="s">
        <v>53</v>
      </c>
      <c r="F430" s="12">
        <v>0</v>
      </c>
      <c r="G430" s="12">
        <v>1</v>
      </c>
      <c r="H430" s="12" t="s">
        <v>61</v>
      </c>
      <c r="I430" s="12">
        <v>1</v>
      </c>
      <c r="J430" s="12">
        <v>0</v>
      </c>
      <c r="K430" s="12">
        <v>2</v>
      </c>
      <c r="L430" s="12">
        <f t="shared" si="91"/>
        <v>2</v>
      </c>
      <c r="M430" s="12">
        <v>2</v>
      </c>
      <c r="N430" s="12" t="s">
        <v>70</v>
      </c>
      <c r="O430" s="12">
        <v>0</v>
      </c>
      <c r="P430" s="12">
        <v>0</v>
      </c>
      <c r="Q430" s="12">
        <v>1</v>
      </c>
      <c r="R430" s="12">
        <v>0</v>
      </c>
      <c r="S430" s="12">
        <v>0</v>
      </c>
      <c r="T430" s="12">
        <v>1</v>
      </c>
      <c r="U430" s="12" t="s">
        <v>19</v>
      </c>
      <c r="V430" s="12">
        <v>1</v>
      </c>
      <c r="W430" s="12">
        <v>65</v>
      </c>
      <c r="X430" s="12">
        <v>3</v>
      </c>
      <c r="Y430" s="12">
        <v>2</v>
      </c>
      <c r="Z430" s="12" t="s">
        <v>83</v>
      </c>
      <c r="AA430" s="12">
        <v>0</v>
      </c>
      <c r="AB430" s="12">
        <v>0</v>
      </c>
      <c r="AC430" s="12">
        <v>0</v>
      </c>
      <c r="AD430" s="12">
        <v>0</v>
      </c>
      <c r="AE430" s="12">
        <v>1</v>
      </c>
      <c r="AF430" s="12">
        <v>1</v>
      </c>
      <c r="AG430" s="12">
        <v>0</v>
      </c>
      <c r="AH430" s="12">
        <v>0</v>
      </c>
      <c r="AI430" s="12">
        <v>4</v>
      </c>
      <c r="AJ430" s="12" t="s">
        <v>78</v>
      </c>
      <c r="AK430" s="12">
        <v>0</v>
      </c>
      <c r="AL430" s="12">
        <v>0</v>
      </c>
      <c r="AM430" s="12">
        <v>5070</v>
      </c>
      <c r="AN430" s="12">
        <f t="shared" si="92"/>
        <v>5070</v>
      </c>
      <c r="AO430" s="12">
        <v>5</v>
      </c>
      <c r="AP430" s="12" t="s">
        <v>59</v>
      </c>
      <c r="AQ430" s="12">
        <v>0</v>
      </c>
      <c r="AR430" s="12">
        <v>13</v>
      </c>
      <c r="AS430" s="12">
        <v>3</v>
      </c>
      <c r="AT430" s="12">
        <v>3</v>
      </c>
      <c r="AU430" s="12">
        <v>3</v>
      </c>
      <c r="AV430" s="12">
        <v>20</v>
      </c>
      <c r="AW430" s="12">
        <f t="shared" si="93"/>
        <v>20</v>
      </c>
      <c r="AX430" s="12">
        <v>2</v>
      </c>
      <c r="AY430" s="12">
        <v>3</v>
      </c>
      <c r="AZ430" s="12">
        <v>5</v>
      </c>
      <c r="BA430" s="12">
        <f t="shared" si="94"/>
        <v>5</v>
      </c>
      <c r="BB430" s="12">
        <v>0</v>
      </c>
      <c r="BC430" s="12">
        <v>0</v>
      </c>
      <c r="BD430" s="12">
        <f t="shared" si="103"/>
        <v>0</v>
      </c>
      <c r="BE430" s="12">
        <v>4</v>
      </c>
      <c r="BF430" s="12">
        <f t="shared" si="95"/>
        <v>4</v>
      </c>
      <c r="BG430" s="12">
        <f t="shared" si="104"/>
        <v>8</v>
      </c>
      <c r="BH430" s="67">
        <v>1</v>
      </c>
      <c r="BI430" s="67">
        <v>0</v>
      </c>
      <c r="BJ430" s="67">
        <v>0</v>
      </c>
      <c r="BK430" s="67">
        <v>0</v>
      </c>
      <c r="BL430" s="67">
        <v>1</v>
      </c>
      <c r="BM430" s="67">
        <v>0</v>
      </c>
      <c r="BN430" s="67">
        <v>0</v>
      </c>
      <c r="BO430" s="67">
        <v>0</v>
      </c>
      <c r="BP430" s="67">
        <v>0</v>
      </c>
      <c r="BQ430" s="67">
        <v>4</v>
      </c>
      <c r="BR430" s="67">
        <v>0</v>
      </c>
      <c r="BS430" s="67">
        <v>0</v>
      </c>
      <c r="BT430" s="67">
        <v>20</v>
      </c>
      <c r="BU430" s="70">
        <v>0</v>
      </c>
      <c r="BV430" s="29">
        <f t="shared" si="96"/>
        <v>0.30436373113308191</v>
      </c>
      <c r="BW430">
        <f t="shared" si="97"/>
        <v>3.4508002929560584E-2</v>
      </c>
      <c r="BX430">
        <f t="shared" si="98"/>
        <v>1.120762479521457</v>
      </c>
      <c r="BY430">
        <f t="shared" si="99"/>
        <v>0.32778177112653761</v>
      </c>
      <c r="BZ430">
        <f t="shared" si="100"/>
        <v>0.88721318382472392</v>
      </c>
      <c r="CA430">
        <f t="shared" si="101"/>
        <v>1.102986154662698</v>
      </c>
      <c r="CB430">
        <f t="shared" si="102"/>
        <v>0.67891464284095016</v>
      </c>
    </row>
    <row r="431" spans="1:80" x14ac:dyDescent="0.45">
      <c r="A431" s="11">
        <v>46</v>
      </c>
      <c r="B431" s="12">
        <f t="shared" si="90"/>
        <v>46</v>
      </c>
      <c r="C431" s="12" t="s">
        <v>59</v>
      </c>
      <c r="D431" s="12">
        <v>0</v>
      </c>
      <c r="E431" s="12" t="s">
        <v>53</v>
      </c>
      <c r="F431" s="12">
        <v>0</v>
      </c>
      <c r="G431" s="12">
        <v>1</v>
      </c>
      <c r="H431" s="12" t="s">
        <v>61</v>
      </c>
      <c r="I431" s="12">
        <v>1</v>
      </c>
      <c r="J431" s="12">
        <v>0</v>
      </c>
      <c r="K431" s="12">
        <v>2</v>
      </c>
      <c r="L431" s="12">
        <f t="shared" si="91"/>
        <v>2</v>
      </c>
      <c r="M431" s="12">
        <v>3</v>
      </c>
      <c r="N431" s="12" t="s">
        <v>55</v>
      </c>
      <c r="O431" s="12">
        <v>1</v>
      </c>
      <c r="P431" s="12">
        <v>0</v>
      </c>
      <c r="Q431" s="12">
        <v>0</v>
      </c>
      <c r="R431" s="12">
        <v>0</v>
      </c>
      <c r="S431" s="12">
        <v>0</v>
      </c>
      <c r="T431" s="12">
        <v>1</v>
      </c>
      <c r="U431" s="12" t="s">
        <v>62</v>
      </c>
      <c r="V431" s="12">
        <v>0</v>
      </c>
      <c r="W431" s="12">
        <v>51</v>
      </c>
      <c r="X431" s="12">
        <v>3</v>
      </c>
      <c r="Y431" s="12">
        <v>4</v>
      </c>
      <c r="Z431" s="12" t="s">
        <v>89</v>
      </c>
      <c r="AA431" s="12">
        <v>0</v>
      </c>
      <c r="AB431" s="12">
        <v>0</v>
      </c>
      <c r="AC431" s="12">
        <v>0</v>
      </c>
      <c r="AD431" s="12">
        <v>0</v>
      </c>
      <c r="AE431" s="12">
        <v>0</v>
      </c>
      <c r="AF431" s="12">
        <v>0</v>
      </c>
      <c r="AG431" s="12">
        <v>0</v>
      </c>
      <c r="AH431" s="12">
        <v>0</v>
      </c>
      <c r="AI431" s="12">
        <v>3</v>
      </c>
      <c r="AJ431" s="12" t="s">
        <v>64</v>
      </c>
      <c r="AK431" s="12">
        <v>0</v>
      </c>
      <c r="AL431" s="12">
        <v>1</v>
      </c>
      <c r="AM431" s="12">
        <v>17861</v>
      </c>
      <c r="AN431" s="12">
        <f t="shared" si="92"/>
        <v>17861</v>
      </c>
      <c r="AO431" s="12">
        <v>6</v>
      </c>
      <c r="AP431" s="12" t="s">
        <v>59</v>
      </c>
      <c r="AQ431" s="12">
        <v>0</v>
      </c>
      <c r="AR431" s="12">
        <v>13</v>
      </c>
      <c r="AS431" s="12">
        <v>3</v>
      </c>
      <c r="AT431" s="12">
        <v>3</v>
      </c>
      <c r="AU431" s="12">
        <v>0</v>
      </c>
      <c r="AV431" s="12">
        <v>26</v>
      </c>
      <c r="AW431" s="12">
        <f t="shared" si="93"/>
        <v>26</v>
      </c>
      <c r="AX431" s="12">
        <v>2</v>
      </c>
      <c r="AY431" s="12">
        <v>1</v>
      </c>
      <c r="AZ431" s="12">
        <v>3</v>
      </c>
      <c r="BA431" s="12">
        <f t="shared" si="94"/>
        <v>3</v>
      </c>
      <c r="BB431" s="12">
        <v>2</v>
      </c>
      <c r="BC431" s="12">
        <v>0</v>
      </c>
      <c r="BD431" s="12">
        <f t="shared" si="103"/>
        <v>0</v>
      </c>
      <c r="BE431" s="12">
        <v>1</v>
      </c>
      <c r="BF431" s="12">
        <f t="shared" si="95"/>
        <v>1</v>
      </c>
      <c r="BG431" s="12">
        <f t="shared" si="104"/>
        <v>4</v>
      </c>
      <c r="BH431" s="67">
        <v>0</v>
      </c>
      <c r="BI431" s="67">
        <v>1</v>
      </c>
      <c r="BJ431" s="67">
        <v>0</v>
      </c>
      <c r="BK431" s="67">
        <v>0</v>
      </c>
      <c r="BL431" s="67">
        <v>0</v>
      </c>
      <c r="BM431" s="67">
        <v>0</v>
      </c>
      <c r="BN431" s="67">
        <v>1</v>
      </c>
      <c r="BO431" s="67">
        <v>0</v>
      </c>
      <c r="BP431" s="67">
        <v>0</v>
      </c>
      <c r="BQ431" s="67">
        <v>1</v>
      </c>
      <c r="BR431" s="67">
        <v>0</v>
      </c>
      <c r="BS431" s="67">
        <v>0</v>
      </c>
      <c r="BT431" s="67">
        <v>26</v>
      </c>
      <c r="BU431" s="70">
        <v>0</v>
      </c>
      <c r="BV431" s="29">
        <f t="shared" si="96"/>
        <v>2.412526119241265</v>
      </c>
      <c r="BW431">
        <f t="shared" si="97"/>
        <v>0.87528310193156111</v>
      </c>
      <c r="BX431">
        <f t="shared" si="98"/>
        <v>1.8918932283614016</v>
      </c>
      <c r="BY431">
        <f t="shared" si="99"/>
        <v>0.65423109602898355</v>
      </c>
      <c r="BZ431">
        <f t="shared" si="100"/>
        <v>0.88721318382472392</v>
      </c>
      <c r="CA431">
        <f t="shared" si="101"/>
        <v>0.99352155519239249</v>
      </c>
      <c r="CB431">
        <f t="shared" si="102"/>
        <v>0.67891464284095016</v>
      </c>
    </row>
    <row r="432" spans="1:80" x14ac:dyDescent="0.45">
      <c r="A432" s="11">
        <v>35</v>
      </c>
      <c r="B432" s="12">
        <f t="shared" si="90"/>
        <v>35</v>
      </c>
      <c r="C432" s="12" t="s">
        <v>59</v>
      </c>
      <c r="D432" s="12">
        <v>0</v>
      </c>
      <c r="E432" s="12" t="s">
        <v>53</v>
      </c>
      <c r="F432" s="12">
        <v>0</v>
      </c>
      <c r="G432" s="12">
        <v>1</v>
      </c>
      <c r="H432" s="12" t="s">
        <v>61</v>
      </c>
      <c r="I432" s="12">
        <v>1</v>
      </c>
      <c r="J432" s="12">
        <v>0</v>
      </c>
      <c r="K432" s="12">
        <v>22</v>
      </c>
      <c r="L432" s="12">
        <f t="shared" si="91"/>
        <v>22</v>
      </c>
      <c r="M432" s="12">
        <v>3</v>
      </c>
      <c r="N432" s="12" t="s">
        <v>55</v>
      </c>
      <c r="O432" s="12">
        <v>1</v>
      </c>
      <c r="P432" s="12">
        <v>0</v>
      </c>
      <c r="Q432" s="12">
        <v>0</v>
      </c>
      <c r="R432" s="12">
        <v>0</v>
      </c>
      <c r="S432" s="12">
        <v>0</v>
      </c>
      <c r="T432" s="12">
        <v>4</v>
      </c>
      <c r="U432" s="12" t="s">
        <v>62</v>
      </c>
      <c r="V432" s="12">
        <v>0</v>
      </c>
      <c r="W432" s="12">
        <v>46</v>
      </c>
      <c r="X432" s="12">
        <v>1</v>
      </c>
      <c r="Y432" s="12">
        <v>1</v>
      </c>
      <c r="Z432" s="12" t="s">
        <v>67</v>
      </c>
      <c r="AA432" s="12">
        <v>0</v>
      </c>
      <c r="AB432" s="12">
        <v>0</v>
      </c>
      <c r="AC432" s="12">
        <v>1</v>
      </c>
      <c r="AD432" s="12">
        <v>0</v>
      </c>
      <c r="AE432" s="12">
        <v>0</v>
      </c>
      <c r="AF432" s="12">
        <v>0</v>
      </c>
      <c r="AG432" s="12">
        <v>0</v>
      </c>
      <c r="AH432" s="12">
        <v>0</v>
      </c>
      <c r="AI432" s="12">
        <v>3</v>
      </c>
      <c r="AJ432" s="12" t="s">
        <v>57</v>
      </c>
      <c r="AK432" s="12">
        <v>1</v>
      </c>
      <c r="AL432" s="12">
        <v>0</v>
      </c>
      <c r="AM432" s="12">
        <v>4230</v>
      </c>
      <c r="AN432" s="12">
        <f t="shared" si="92"/>
        <v>4230</v>
      </c>
      <c r="AO432" s="12">
        <v>0</v>
      </c>
      <c r="AP432" s="12" t="s">
        <v>59</v>
      </c>
      <c r="AQ432" s="12">
        <v>0</v>
      </c>
      <c r="AR432" s="12">
        <v>15</v>
      </c>
      <c r="AS432" s="12">
        <v>3</v>
      </c>
      <c r="AT432" s="12">
        <v>3</v>
      </c>
      <c r="AU432" s="12">
        <v>0</v>
      </c>
      <c r="AV432" s="12">
        <v>6</v>
      </c>
      <c r="AW432" s="12">
        <f t="shared" si="93"/>
        <v>6</v>
      </c>
      <c r="AX432" s="12">
        <v>2</v>
      </c>
      <c r="AY432" s="12">
        <v>3</v>
      </c>
      <c r="AZ432" s="12">
        <v>5</v>
      </c>
      <c r="BA432" s="12">
        <f t="shared" si="94"/>
        <v>5</v>
      </c>
      <c r="BB432" s="12">
        <v>4</v>
      </c>
      <c r="BC432" s="12">
        <v>4</v>
      </c>
      <c r="BD432" s="12">
        <f t="shared" si="103"/>
        <v>4</v>
      </c>
      <c r="BE432" s="12">
        <v>3</v>
      </c>
      <c r="BF432" s="12">
        <f t="shared" si="95"/>
        <v>3</v>
      </c>
      <c r="BG432" s="12">
        <f t="shared" si="104"/>
        <v>3</v>
      </c>
      <c r="BH432" s="67">
        <v>1</v>
      </c>
      <c r="BI432" s="67">
        <v>0</v>
      </c>
      <c r="BJ432" s="67">
        <v>0</v>
      </c>
      <c r="BK432" s="67">
        <v>0</v>
      </c>
      <c r="BL432" s="67">
        <v>1</v>
      </c>
      <c r="BM432" s="67">
        <v>0</v>
      </c>
      <c r="BN432" s="67">
        <v>0</v>
      </c>
      <c r="BO432" s="67">
        <v>0</v>
      </c>
      <c r="BP432" s="67">
        <v>0</v>
      </c>
      <c r="BQ432" s="67">
        <v>3</v>
      </c>
      <c r="BR432" s="67">
        <v>0</v>
      </c>
      <c r="BS432" s="67">
        <v>0</v>
      </c>
      <c r="BT432" s="67">
        <v>6</v>
      </c>
      <c r="BU432" s="70">
        <v>0</v>
      </c>
      <c r="BV432" s="29">
        <f t="shared" si="96"/>
        <v>0.48278508007487309</v>
      </c>
      <c r="BW432">
        <f t="shared" si="97"/>
        <v>0.31476636926356072</v>
      </c>
      <c r="BX432">
        <f t="shared" si="98"/>
        <v>0.67854260110508058</v>
      </c>
      <c r="BY432">
        <f t="shared" si="99"/>
        <v>0.32778177112653761</v>
      </c>
      <c r="BZ432">
        <f t="shared" si="100"/>
        <v>1.579831893679001</v>
      </c>
      <c r="CA432">
        <f t="shared" si="101"/>
        <v>0.21058903898096887</v>
      </c>
      <c r="CB432">
        <f t="shared" si="102"/>
        <v>0.56238451757720498</v>
      </c>
    </row>
    <row r="433" spans="1:80" x14ac:dyDescent="0.45">
      <c r="A433" s="11">
        <v>54</v>
      </c>
      <c r="B433" s="12">
        <f t="shared" si="90"/>
        <v>54</v>
      </c>
      <c r="C433" s="12" t="s">
        <v>59</v>
      </c>
      <c r="D433" s="12">
        <v>0</v>
      </c>
      <c r="E433" s="12" t="s">
        <v>53</v>
      </c>
      <c r="F433" s="12">
        <v>0</v>
      </c>
      <c r="G433" s="12">
        <v>1</v>
      </c>
      <c r="H433" s="12" t="s">
        <v>61</v>
      </c>
      <c r="I433" s="12">
        <v>1</v>
      </c>
      <c r="J433" s="12">
        <v>0</v>
      </c>
      <c r="K433" s="12">
        <v>8</v>
      </c>
      <c r="L433" s="12">
        <f t="shared" si="91"/>
        <v>8</v>
      </c>
      <c r="M433" s="12">
        <v>4</v>
      </c>
      <c r="N433" s="12" t="s">
        <v>55</v>
      </c>
      <c r="O433" s="12">
        <v>1</v>
      </c>
      <c r="P433" s="12">
        <v>0</v>
      </c>
      <c r="Q433" s="12">
        <v>0</v>
      </c>
      <c r="R433" s="12">
        <v>0</v>
      </c>
      <c r="S433" s="12">
        <v>0</v>
      </c>
      <c r="T433" s="12">
        <v>3</v>
      </c>
      <c r="U433" s="12" t="s">
        <v>19</v>
      </c>
      <c r="V433" s="12">
        <v>1</v>
      </c>
      <c r="W433" s="12">
        <v>42</v>
      </c>
      <c r="X433" s="12">
        <v>3</v>
      </c>
      <c r="Y433" s="12">
        <v>2</v>
      </c>
      <c r="Z433" s="12" t="s">
        <v>67</v>
      </c>
      <c r="AA433" s="12">
        <v>0</v>
      </c>
      <c r="AB433" s="12">
        <v>0</v>
      </c>
      <c r="AC433" s="12">
        <v>1</v>
      </c>
      <c r="AD433" s="12">
        <v>0</v>
      </c>
      <c r="AE433" s="12">
        <v>0</v>
      </c>
      <c r="AF433" s="12">
        <v>0</v>
      </c>
      <c r="AG433" s="12">
        <v>0</v>
      </c>
      <c r="AH433" s="12">
        <v>0</v>
      </c>
      <c r="AI433" s="12">
        <v>3</v>
      </c>
      <c r="AJ433" s="12" t="s">
        <v>57</v>
      </c>
      <c r="AK433" s="12">
        <v>1</v>
      </c>
      <c r="AL433" s="12">
        <v>0</v>
      </c>
      <c r="AM433" s="12">
        <v>3780</v>
      </c>
      <c r="AN433" s="12">
        <f t="shared" si="92"/>
        <v>3780</v>
      </c>
      <c r="AO433" s="12">
        <v>7</v>
      </c>
      <c r="AP433" s="12" t="s">
        <v>59</v>
      </c>
      <c r="AQ433" s="12">
        <v>0</v>
      </c>
      <c r="AR433" s="12">
        <v>11</v>
      </c>
      <c r="AS433" s="12">
        <v>3</v>
      </c>
      <c r="AT433" s="12">
        <v>3</v>
      </c>
      <c r="AU433" s="12">
        <v>0</v>
      </c>
      <c r="AV433" s="12">
        <v>19</v>
      </c>
      <c r="AW433" s="12">
        <f t="shared" si="93"/>
        <v>19</v>
      </c>
      <c r="AX433" s="12">
        <v>3</v>
      </c>
      <c r="AY433" s="12">
        <v>3</v>
      </c>
      <c r="AZ433" s="12">
        <v>1</v>
      </c>
      <c r="BA433" s="12">
        <f t="shared" si="94"/>
        <v>1</v>
      </c>
      <c r="BB433" s="12">
        <v>0</v>
      </c>
      <c r="BC433" s="12">
        <v>0</v>
      </c>
      <c r="BD433" s="12">
        <f t="shared" si="103"/>
        <v>0</v>
      </c>
      <c r="BE433" s="12">
        <v>0</v>
      </c>
      <c r="BF433" s="12">
        <f t="shared" si="95"/>
        <v>0</v>
      </c>
      <c r="BG433" s="12">
        <f t="shared" si="104"/>
        <v>0</v>
      </c>
      <c r="BH433" s="67">
        <v>1</v>
      </c>
      <c r="BI433" s="67">
        <v>0</v>
      </c>
      <c r="BJ433" s="67">
        <v>0</v>
      </c>
      <c r="BK433" s="67">
        <v>0</v>
      </c>
      <c r="BL433" s="67">
        <v>1</v>
      </c>
      <c r="BM433" s="67">
        <v>0</v>
      </c>
      <c r="BN433" s="67">
        <v>0</v>
      </c>
      <c r="BO433" s="67">
        <v>0</v>
      </c>
      <c r="BP433" s="67">
        <v>0</v>
      </c>
      <c r="BQ433" s="67">
        <v>0</v>
      </c>
      <c r="BR433" s="67">
        <v>0</v>
      </c>
      <c r="BS433" s="67">
        <v>0</v>
      </c>
      <c r="BT433" s="67">
        <v>19</v>
      </c>
      <c r="BU433" s="70">
        <v>0</v>
      </c>
      <c r="BV433" s="29">
        <f t="shared" si="96"/>
        <v>0.57836794557940407</v>
      </c>
      <c r="BW433">
        <f t="shared" si="97"/>
        <v>1.1555414682655611</v>
      </c>
      <c r="BX433">
        <f t="shared" si="98"/>
        <v>0.99224068804813281</v>
      </c>
      <c r="BY433">
        <f t="shared" si="99"/>
        <v>0.9806804209314296</v>
      </c>
      <c r="BZ433">
        <f t="shared" si="100"/>
        <v>0.14709966057360641</v>
      </c>
      <c r="CA433">
        <f t="shared" si="101"/>
        <v>1.8692383509548371</v>
      </c>
      <c r="CB433">
        <f t="shared" si="102"/>
        <v>0.67891464284095016</v>
      </c>
    </row>
    <row r="434" spans="1:80" x14ac:dyDescent="0.45">
      <c r="A434" s="11">
        <v>34</v>
      </c>
      <c r="B434" s="12">
        <f t="shared" si="90"/>
        <v>34</v>
      </c>
      <c r="C434" s="12" t="s">
        <v>59</v>
      </c>
      <c r="D434" s="12">
        <v>0</v>
      </c>
      <c r="E434" s="12" t="s">
        <v>53</v>
      </c>
      <c r="F434" s="12">
        <v>0</v>
      </c>
      <c r="G434" s="12">
        <v>1</v>
      </c>
      <c r="H434" s="12" t="s">
        <v>61</v>
      </c>
      <c r="I434" s="12">
        <v>1</v>
      </c>
      <c r="J434" s="12">
        <v>0</v>
      </c>
      <c r="K434" s="12">
        <v>2</v>
      </c>
      <c r="L434" s="12">
        <f t="shared" si="91"/>
        <v>2</v>
      </c>
      <c r="M434" s="12">
        <v>4</v>
      </c>
      <c r="N434" s="12" t="s">
        <v>55</v>
      </c>
      <c r="O434" s="12">
        <v>1</v>
      </c>
      <c r="P434" s="12">
        <v>0</v>
      </c>
      <c r="Q434" s="12">
        <v>0</v>
      </c>
      <c r="R434" s="12">
        <v>0</v>
      </c>
      <c r="S434" s="12">
        <v>0</v>
      </c>
      <c r="T434" s="12">
        <v>4</v>
      </c>
      <c r="U434" s="12" t="s">
        <v>62</v>
      </c>
      <c r="V434" s="12">
        <v>0</v>
      </c>
      <c r="W434" s="12">
        <v>62</v>
      </c>
      <c r="X434" s="12">
        <v>2</v>
      </c>
      <c r="Y434" s="12">
        <v>1</v>
      </c>
      <c r="Z434" s="12" t="s">
        <v>63</v>
      </c>
      <c r="AA434" s="12">
        <v>0</v>
      </c>
      <c r="AB434" s="12">
        <v>0</v>
      </c>
      <c r="AC434" s="12">
        <v>0</v>
      </c>
      <c r="AD434" s="12">
        <v>0</v>
      </c>
      <c r="AE434" s="12">
        <v>0</v>
      </c>
      <c r="AF434" s="12">
        <v>0</v>
      </c>
      <c r="AG434" s="12">
        <v>0</v>
      </c>
      <c r="AH434" s="12">
        <v>1</v>
      </c>
      <c r="AI434" s="12">
        <v>3</v>
      </c>
      <c r="AJ434" s="12" t="s">
        <v>78</v>
      </c>
      <c r="AK434" s="12">
        <v>0</v>
      </c>
      <c r="AL434" s="12">
        <v>0</v>
      </c>
      <c r="AM434" s="12">
        <v>2768</v>
      </c>
      <c r="AN434" s="12">
        <f t="shared" si="92"/>
        <v>2768</v>
      </c>
      <c r="AO434" s="12">
        <v>3</v>
      </c>
      <c r="AP434" s="12" t="s">
        <v>59</v>
      </c>
      <c r="AQ434" s="12">
        <v>0</v>
      </c>
      <c r="AR434" s="12">
        <v>12</v>
      </c>
      <c r="AS434" s="12">
        <v>3</v>
      </c>
      <c r="AT434" s="12">
        <v>3</v>
      </c>
      <c r="AU434" s="12">
        <v>1</v>
      </c>
      <c r="AV434" s="12">
        <v>14</v>
      </c>
      <c r="AW434" s="12">
        <f t="shared" si="93"/>
        <v>14</v>
      </c>
      <c r="AX434" s="12">
        <v>3</v>
      </c>
      <c r="AY434" s="12">
        <v>3</v>
      </c>
      <c r="AZ434" s="12">
        <v>7</v>
      </c>
      <c r="BA434" s="12">
        <f t="shared" si="94"/>
        <v>7</v>
      </c>
      <c r="BB434" s="12">
        <v>3</v>
      </c>
      <c r="BC434" s="12">
        <v>5</v>
      </c>
      <c r="BD434" s="12">
        <f t="shared" si="103"/>
        <v>5</v>
      </c>
      <c r="BE434" s="12">
        <v>7</v>
      </c>
      <c r="BF434" s="12">
        <f t="shared" si="95"/>
        <v>7</v>
      </c>
      <c r="BG434" s="12">
        <f t="shared" si="104"/>
        <v>7</v>
      </c>
      <c r="BH434" s="67">
        <v>1</v>
      </c>
      <c r="BI434" s="67">
        <v>0</v>
      </c>
      <c r="BJ434" s="67">
        <v>0</v>
      </c>
      <c r="BK434" s="67">
        <v>0</v>
      </c>
      <c r="BL434" s="67">
        <v>1</v>
      </c>
      <c r="BM434" s="67">
        <v>0</v>
      </c>
      <c r="BN434" s="67">
        <v>0</v>
      </c>
      <c r="BO434" s="67">
        <v>0</v>
      </c>
      <c r="BP434" s="67">
        <v>0</v>
      </c>
      <c r="BQ434" s="67">
        <v>7</v>
      </c>
      <c r="BR434" s="67">
        <v>0</v>
      </c>
      <c r="BS434" s="67">
        <v>0</v>
      </c>
      <c r="BT434" s="67">
        <v>14</v>
      </c>
      <c r="BU434" s="70">
        <v>0</v>
      </c>
      <c r="BV434" s="29">
        <f t="shared" si="96"/>
        <v>0.79332318978070493</v>
      </c>
      <c r="BW434">
        <f t="shared" si="97"/>
        <v>0.80626709607243985</v>
      </c>
      <c r="BX434">
        <f t="shared" si="98"/>
        <v>0.34963173068151232</v>
      </c>
      <c r="BY434">
        <f t="shared" si="99"/>
        <v>1.3324462240916321E-3</v>
      </c>
      <c r="BZ434">
        <f t="shared" si="100"/>
        <v>0.88721318382472392</v>
      </c>
      <c r="CA434">
        <f t="shared" si="101"/>
        <v>0.32005363845127444</v>
      </c>
      <c r="CB434">
        <f t="shared" si="102"/>
        <v>0.87270930768174382</v>
      </c>
    </row>
    <row r="435" spans="1:80" x14ac:dyDescent="0.45">
      <c r="A435" s="11">
        <v>46</v>
      </c>
      <c r="B435" s="12">
        <f t="shared" si="90"/>
        <v>46</v>
      </c>
      <c r="C435" s="12" t="s">
        <v>59</v>
      </c>
      <c r="D435" s="12">
        <v>0</v>
      </c>
      <c r="E435" s="12" t="s">
        <v>53</v>
      </c>
      <c r="F435" s="12">
        <v>0</v>
      </c>
      <c r="G435" s="12">
        <v>1</v>
      </c>
      <c r="H435" s="12" t="s">
        <v>54</v>
      </c>
      <c r="I435" s="12">
        <v>0</v>
      </c>
      <c r="J435" s="12">
        <v>1</v>
      </c>
      <c r="K435" s="12">
        <v>10</v>
      </c>
      <c r="L435" s="12">
        <f t="shared" si="91"/>
        <v>10</v>
      </c>
      <c r="M435" s="12">
        <v>3</v>
      </c>
      <c r="N435" s="12" t="s">
        <v>90</v>
      </c>
      <c r="O435" s="12">
        <v>0</v>
      </c>
      <c r="P435" s="12">
        <v>0</v>
      </c>
      <c r="Q435" s="12">
        <v>0</v>
      </c>
      <c r="R435" s="12">
        <v>1</v>
      </c>
      <c r="S435" s="12">
        <v>0</v>
      </c>
      <c r="T435" s="12">
        <v>3</v>
      </c>
      <c r="U435" s="12" t="s">
        <v>19</v>
      </c>
      <c r="V435" s="12">
        <v>1</v>
      </c>
      <c r="W435" s="12">
        <v>94</v>
      </c>
      <c r="X435" s="12">
        <v>2</v>
      </c>
      <c r="Y435" s="12">
        <v>3</v>
      </c>
      <c r="Z435" s="12" t="s">
        <v>56</v>
      </c>
      <c r="AA435" s="12">
        <v>0</v>
      </c>
      <c r="AB435" s="12">
        <v>1</v>
      </c>
      <c r="AC435" s="12">
        <v>0</v>
      </c>
      <c r="AD435" s="12">
        <v>0</v>
      </c>
      <c r="AE435" s="12">
        <v>0</v>
      </c>
      <c r="AF435" s="12">
        <v>0</v>
      </c>
      <c r="AG435" s="12">
        <v>0</v>
      </c>
      <c r="AH435" s="12">
        <v>0</v>
      </c>
      <c r="AI435" s="12">
        <v>4</v>
      </c>
      <c r="AJ435" s="12" t="s">
        <v>64</v>
      </c>
      <c r="AK435" s="12">
        <v>0</v>
      </c>
      <c r="AL435" s="12">
        <v>1</v>
      </c>
      <c r="AM435" s="12">
        <v>9071</v>
      </c>
      <c r="AN435" s="12">
        <f t="shared" si="92"/>
        <v>9071</v>
      </c>
      <c r="AO435" s="12">
        <v>2</v>
      </c>
      <c r="AP435" s="12" t="s">
        <v>52</v>
      </c>
      <c r="AQ435" s="12">
        <v>1</v>
      </c>
      <c r="AR435" s="12">
        <v>19</v>
      </c>
      <c r="AS435" s="12">
        <v>3</v>
      </c>
      <c r="AT435" s="12">
        <v>3</v>
      </c>
      <c r="AU435" s="12">
        <v>1</v>
      </c>
      <c r="AV435" s="12">
        <v>15</v>
      </c>
      <c r="AW435" s="12">
        <f t="shared" si="93"/>
        <v>15</v>
      </c>
      <c r="AX435" s="12">
        <v>3</v>
      </c>
      <c r="AY435" s="12">
        <v>3</v>
      </c>
      <c r="AZ435" s="12">
        <v>3</v>
      </c>
      <c r="BA435" s="12">
        <f t="shared" si="94"/>
        <v>3</v>
      </c>
      <c r="BB435" s="12">
        <v>2</v>
      </c>
      <c r="BC435" s="12">
        <v>1</v>
      </c>
      <c r="BD435" s="12">
        <f t="shared" si="103"/>
        <v>1</v>
      </c>
      <c r="BE435" s="12">
        <v>2</v>
      </c>
      <c r="BF435" s="12">
        <f t="shared" si="95"/>
        <v>2</v>
      </c>
      <c r="BG435" s="12">
        <f t="shared" si="104"/>
        <v>6</v>
      </c>
      <c r="BH435" s="67">
        <v>0</v>
      </c>
      <c r="BI435" s="67">
        <v>1</v>
      </c>
      <c r="BJ435" s="67">
        <v>0</v>
      </c>
      <c r="BK435" s="67">
        <v>0</v>
      </c>
      <c r="BL435" s="67">
        <v>0</v>
      </c>
      <c r="BM435" s="67">
        <v>0</v>
      </c>
      <c r="BN435" s="67">
        <v>0</v>
      </c>
      <c r="BO435" s="67">
        <v>1</v>
      </c>
      <c r="BP435" s="67">
        <v>0</v>
      </c>
      <c r="BQ435" s="67">
        <v>0</v>
      </c>
      <c r="BR435" s="67">
        <v>2</v>
      </c>
      <c r="BS435" s="67">
        <v>0</v>
      </c>
      <c r="BT435" s="67">
        <v>0</v>
      </c>
      <c r="BU435" s="70">
        <v>15</v>
      </c>
      <c r="BV435" s="29">
        <f t="shared" si="96"/>
        <v>0.5454741463860926</v>
      </c>
      <c r="BW435">
        <f t="shared" si="97"/>
        <v>0.59502473559756086</v>
      </c>
      <c r="BX435">
        <f t="shared" si="98"/>
        <v>0.47815352215483642</v>
      </c>
      <c r="BY435">
        <f t="shared" si="99"/>
        <v>0.65423109602898355</v>
      </c>
      <c r="BZ435">
        <f t="shared" si="100"/>
        <v>9.9604847176766084E-2</v>
      </c>
      <c r="CA435">
        <f t="shared" si="101"/>
        <v>0.99352155519239249</v>
      </c>
      <c r="CB435">
        <f t="shared" si="102"/>
        <v>0.36858985273641137</v>
      </c>
    </row>
    <row r="436" spans="1:80" x14ac:dyDescent="0.45">
      <c r="A436" s="11">
        <v>31</v>
      </c>
      <c r="B436" s="12">
        <f t="shared" si="90"/>
        <v>31</v>
      </c>
      <c r="C436" s="12" t="s">
        <v>59</v>
      </c>
      <c r="D436" s="12">
        <v>0</v>
      </c>
      <c r="E436" s="12" t="s">
        <v>53</v>
      </c>
      <c r="F436" s="12">
        <v>0</v>
      </c>
      <c r="G436" s="12">
        <v>1</v>
      </c>
      <c r="H436" s="12" t="s">
        <v>61</v>
      </c>
      <c r="I436" s="12">
        <v>1</v>
      </c>
      <c r="J436" s="12">
        <v>0</v>
      </c>
      <c r="K436" s="12">
        <v>9</v>
      </c>
      <c r="L436" s="12">
        <f t="shared" si="91"/>
        <v>9</v>
      </c>
      <c r="M436" s="12">
        <v>1</v>
      </c>
      <c r="N436" s="12" t="s">
        <v>55</v>
      </c>
      <c r="O436" s="12">
        <v>1</v>
      </c>
      <c r="P436" s="12">
        <v>0</v>
      </c>
      <c r="Q436" s="12">
        <v>0</v>
      </c>
      <c r="R436" s="12">
        <v>0</v>
      </c>
      <c r="S436" s="12">
        <v>0</v>
      </c>
      <c r="T436" s="12">
        <v>3</v>
      </c>
      <c r="U436" s="12" t="s">
        <v>62</v>
      </c>
      <c r="V436" s="12">
        <v>0</v>
      </c>
      <c r="W436" s="12">
        <v>33</v>
      </c>
      <c r="X436" s="12">
        <v>3</v>
      </c>
      <c r="Y436" s="12">
        <v>3</v>
      </c>
      <c r="Z436" s="12" t="s">
        <v>83</v>
      </c>
      <c r="AA436" s="12">
        <v>0</v>
      </c>
      <c r="AB436" s="12">
        <v>0</v>
      </c>
      <c r="AC436" s="12">
        <v>0</v>
      </c>
      <c r="AD436" s="12">
        <v>0</v>
      </c>
      <c r="AE436" s="12">
        <v>1</v>
      </c>
      <c r="AF436" s="12">
        <v>1</v>
      </c>
      <c r="AG436" s="12">
        <v>0</v>
      </c>
      <c r="AH436" s="12">
        <v>0</v>
      </c>
      <c r="AI436" s="12">
        <v>2</v>
      </c>
      <c r="AJ436" s="12" t="s">
        <v>78</v>
      </c>
      <c r="AK436" s="12">
        <v>0</v>
      </c>
      <c r="AL436" s="12">
        <v>0</v>
      </c>
      <c r="AM436" s="12">
        <v>10648</v>
      </c>
      <c r="AN436" s="12">
        <f t="shared" si="92"/>
        <v>10648</v>
      </c>
      <c r="AO436" s="12">
        <v>1</v>
      </c>
      <c r="AP436" s="12" t="s">
        <v>59</v>
      </c>
      <c r="AQ436" s="12">
        <v>0</v>
      </c>
      <c r="AR436" s="12">
        <v>25</v>
      </c>
      <c r="AS436" s="12">
        <v>4</v>
      </c>
      <c r="AT436" s="12">
        <v>4</v>
      </c>
      <c r="AU436" s="12">
        <v>1</v>
      </c>
      <c r="AV436" s="12">
        <v>13</v>
      </c>
      <c r="AW436" s="12">
        <f t="shared" si="93"/>
        <v>13</v>
      </c>
      <c r="AX436" s="12">
        <v>6</v>
      </c>
      <c r="AY436" s="12">
        <v>4</v>
      </c>
      <c r="AZ436" s="12">
        <v>13</v>
      </c>
      <c r="BA436" s="12">
        <f t="shared" si="94"/>
        <v>13</v>
      </c>
      <c r="BB436" s="12">
        <v>8</v>
      </c>
      <c r="BC436" s="12">
        <v>0</v>
      </c>
      <c r="BD436" s="12">
        <f t="shared" si="103"/>
        <v>0</v>
      </c>
      <c r="BE436" s="12">
        <v>8</v>
      </c>
      <c r="BF436" s="12">
        <f t="shared" si="95"/>
        <v>8</v>
      </c>
      <c r="BG436" s="12">
        <f t="shared" si="104"/>
        <v>24</v>
      </c>
      <c r="BH436" s="67">
        <v>1</v>
      </c>
      <c r="BI436" s="67">
        <v>0</v>
      </c>
      <c r="BJ436" s="67">
        <v>0</v>
      </c>
      <c r="BK436" s="67">
        <v>0</v>
      </c>
      <c r="BL436" s="67">
        <v>1</v>
      </c>
      <c r="BM436" s="67">
        <v>0</v>
      </c>
      <c r="BN436" s="67">
        <v>0</v>
      </c>
      <c r="BO436" s="67">
        <v>0</v>
      </c>
      <c r="BP436" s="67">
        <v>0</v>
      </c>
      <c r="BQ436" s="67">
        <v>8</v>
      </c>
      <c r="BR436" s="67">
        <v>0</v>
      </c>
      <c r="BS436" s="67">
        <v>0</v>
      </c>
      <c r="BT436" s="67">
        <v>13</v>
      </c>
      <c r="BU436" s="70">
        <v>0</v>
      </c>
      <c r="BV436" s="29">
        <f t="shared" si="96"/>
        <v>0.88043898838752688</v>
      </c>
      <c r="BW436">
        <f t="shared" si="97"/>
        <v>1.08652546240644</v>
      </c>
      <c r="BX436">
        <f t="shared" si="98"/>
        <v>0.22110993920818819</v>
      </c>
      <c r="BY436">
        <f t="shared" si="99"/>
        <v>0.97801552848324624</v>
      </c>
      <c r="BZ436">
        <f t="shared" si="100"/>
        <v>2.3747406698420157E-2</v>
      </c>
      <c r="CA436">
        <f t="shared" si="101"/>
        <v>0.6484474368621912</v>
      </c>
      <c r="CB436">
        <f t="shared" si="102"/>
        <v>0.67891464284095016</v>
      </c>
    </row>
    <row r="437" spans="1:80" x14ac:dyDescent="0.45">
      <c r="A437" s="11">
        <v>33</v>
      </c>
      <c r="B437" s="12">
        <f t="shared" si="90"/>
        <v>33</v>
      </c>
      <c r="C437" s="12" t="s">
        <v>52</v>
      </c>
      <c r="D437" s="12">
        <v>1</v>
      </c>
      <c r="E437" s="12" t="s">
        <v>53</v>
      </c>
      <c r="F437" s="12">
        <v>0</v>
      </c>
      <c r="G437" s="12">
        <v>1</v>
      </c>
      <c r="H437" s="12" t="s">
        <v>61</v>
      </c>
      <c r="I437" s="12">
        <v>1</v>
      </c>
      <c r="J437" s="12">
        <v>0</v>
      </c>
      <c r="K437" s="12">
        <v>15</v>
      </c>
      <c r="L437" s="12">
        <f t="shared" si="91"/>
        <v>15</v>
      </c>
      <c r="M437" s="12">
        <v>1</v>
      </c>
      <c r="N437" s="12" t="s">
        <v>70</v>
      </c>
      <c r="O437" s="12">
        <v>0</v>
      </c>
      <c r="P437" s="12">
        <v>0</v>
      </c>
      <c r="Q437" s="12">
        <v>1</v>
      </c>
      <c r="R437" s="12">
        <v>0</v>
      </c>
      <c r="S437" s="12">
        <v>0</v>
      </c>
      <c r="T437" s="12">
        <v>2</v>
      </c>
      <c r="U437" s="12" t="s">
        <v>62</v>
      </c>
      <c r="V437" s="12">
        <v>0</v>
      </c>
      <c r="W437" s="12">
        <v>56</v>
      </c>
      <c r="X437" s="12">
        <v>3</v>
      </c>
      <c r="Y437" s="12">
        <v>3</v>
      </c>
      <c r="Z437" s="12" t="s">
        <v>87</v>
      </c>
      <c r="AA437" s="12">
        <v>0</v>
      </c>
      <c r="AB437" s="12">
        <v>0</v>
      </c>
      <c r="AC437" s="12">
        <v>0</v>
      </c>
      <c r="AD437" s="12">
        <v>1</v>
      </c>
      <c r="AE437" s="12">
        <v>0</v>
      </c>
      <c r="AF437" s="12">
        <v>0</v>
      </c>
      <c r="AG437" s="12">
        <v>0</v>
      </c>
      <c r="AH437" s="12">
        <v>0</v>
      </c>
      <c r="AI437" s="12">
        <v>3</v>
      </c>
      <c r="AJ437" s="12" t="s">
        <v>64</v>
      </c>
      <c r="AK437" s="12">
        <v>0</v>
      </c>
      <c r="AL437" s="12">
        <v>1</v>
      </c>
      <c r="AM437" s="12">
        <v>13610</v>
      </c>
      <c r="AN437" s="12">
        <f t="shared" si="92"/>
        <v>13610</v>
      </c>
      <c r="AO437" s="12">
        <v>7</v>
      </c>
      <c r="AP437" s="12" t="s">
        <v>52</v>
      </c>
      <c r="AQ437" s="12">
        <v>1</v>
      </c>
      <c r="AR437" s="12">
        <v>12</v>
      </c>
      <c r="AS437" s="12">
        <v>3</v>
      </c>
      <c r="AT437" s="12">
        <v>4</v>
      </c>
      <c r="AU437" s="12">
        <v>0</v>
      </c>
      <c r="AV437" s="12">
        <v>15</v>
      </c>
      <c r="AW437" s="12">
        <f t="shared" si="93"/>
        <v>15</v>
      </c>
      <c r="AX437" s="12">
        <v>2</v>
      </c>
      <c r="AY437" s="12">
        <v>4</v>
      </c>
      <c r="AZ437" s="12">
        <v>7</v>
      </c>
      <c r="BA437" s="12">
        <f t="shared" si="94"/>
        <v>7</v>
      </c>
      <c r="BB437" s="12">
        <v>6</v>
      </c>
      <c r="BC437" s="12">
        <v>7</v>
      </c>
      <c r="BD437" s="12">
        <f t="shared" si="103"/>
        <v>7</v>
      </c>
      <c r="BE437" s="12">
        <v>7</v>
      </c>
      <c r="BF437" s="12">
        <f t="shared" si="95"/>
        <v>7</v>
      </c>
      <c r="BG437" s="12">
        <f t="shared" si="104"/>
        <v>21</v>
      </c>
      <c r="BH437" s="67">
        <v>0</v>
      </c>
      <c r="BI437" s="67">
        <v>1</v>
      </c>
      <c r="BJ437" s="67">
        <v>0</v>
      </c>
      <c r="BK437" s="67">
        <v>0</v>
      </c>
      <c r="BL437" s="67">
        <v>0</v>
      </c>
      <c r="BM437" s="67">
        <v>0</v>
      </c>
      <c r="BN437" s="67">
        <v>0</v>
      </c>
      <c r="BO437" s="67">
        <v>1</v>
      </c>
      <c r="BP437" s="67">
        <v>0</v>
      </c>
      <c r="BQ437" s="67">
        <v>7</v>
      </c>
      <c r="BR437" s="67">
        <v>0</v>
      </c>
      <c r="BS437" s="67">
        <v>0</v>
      </c>
      <c r="BT437" s="67">
        <v>15</v>
      </c>
      <c r="BU437" s="70">
        <v>0</v>
      </c>
      <c r="BV437" s="29">
        <f t="shared" si="96"/>
        <v>1.5095866497751287</v>
      </c>
      <c r="BW437">
        <f t="shared" si="97"/>
        <v>0.80626709607243985</v>
      </c>
      <c r="BX437">
        <f t="shared" si="98"/>
        <v>0.47815352215483642</v>
      </c>
      <c r="BY437">
        <f t="shared" si="99"/>
        <v>1.3324462240916321E-3</v>
      </c>
      <c r="BZ437">
        <f t="shared" si="100"/>
        <v>0.71636611655269733</v>
      </c>
      <c r="CA437">
        <f t="shared" si="101"/>
        <v>0.42951823792158</v>
      </c>
      <c r="CB437">
        <f t="shared" si="102"/>
        <v>1.4933588878908215</v>
      </c>
    </row>
    <row r="438" spans="1:80" x14ac:dyDescent="0.45">
      <c r="A438" s="11">
        <v>33</v>
      </c>
      <c r="B438" s="12">
        <f t="shared" si="90"/>
        <v>33</v>
      </c>
      <c r="C438" s="12" t="s">
        <v>52</v>
      </c>
      <c r="D438" s="12">
        <v>1</v>
      </c>
      <c r="E438" s="12" t="s">
        <v>53</v>
      </c>
      <c r="F438" s="12">
        <v>0</v>
      </c>
      <c r="G438" s="12">
        <v>1</v>
      </c>
      <c r="H438" s="12" t="s">
        <v>61</v>
      </c>
      <c r="I438" s="12">
        <v>1</v>
      </c>
      <c r="J438" s="12">
        <v>0</v>
      </c>
      <c r="K438" s="12">
        <v>10</v>
      </c>
      <c r="L438" s="12">
        <f t="shared" si="91"/>
        <v>10</v>
      </c>
      <c r="M438" s="12">
        <v>1</v>
      </c>
      <c r="N438" s="12" t="s">
        <v>70</v>
      </c>
      <c r="O438" s="12">
        <v>0</v>
      </c>
      <c r="P438" s="12">
        <v>0</v>
      </c>
      <c r="Q438" s="12">
        <v>1</v>
      </c>
      <c r="R438" s="12">
        <v>0</v>
      </c>
      <c r="S438" s="12">
        <v>0</v>
      </c>
      <c r="T438" s="12">
        <v>1</v>
      </c>
      <c r="U438" s="12" t="s">
        <v>62</v>
      </c>
      <c r="V438" s="12">
        <v>0</v>
      </c>
      <c r="W438" s="12">
        <v>38</v>
      </c>
      <c r="X438" s="12">
        <v>1</v>
      </c>
      <c r="Y438" s="12">
        <v>1</v>
      </c>
      <c r="Z438" s="12" t="s">
        <v>67</v>
      </c>
      <c r="AA438" s="12">
        <v>0</v>
      </c>
      <c r="AB438" s="12">
        <v>0</v>
      </c>
      <c r="AC438" s="12">
        <v>1</v>
      </c>
      <c r="AD438" s="12">
        <v>0</v>
      </c>
      <c r="AE438" s="12">
        <v>0</v>
      </c>
      <c r="AF438" s="12">
        <v>0</v>
      </c>
      <c r="AG438" s="12">
        <v>0</v>
      </c>
      <c r="AH438" s="12">
        <v>0</v>
      </c>
      <c r="AI438" s="12">
        <v>4</v>
      </c>
      <c r="AJ438" s="12" t="s">
        <v>78</v>
      </c>
      <c r="AK438" s="12">
        <v>0</v>
      </c>
      <c r="AL438" s="12">
        <v>0</v>
      </c>
      <c r="AM438" s="12">
        <v>3408</v>
      </c>
      <c r="AN438" s="12">
        <f t="shared" si="92"/>
        <v>3408</v>
      </c>
      <c r="AO438" s="12">
        <v>7</v>
      </c>
      <c r="AP438" s="12" t="s">
        <v>59</v>
      </c>
      <c r="AQ438" s="12">
        <v>0</v>
      </c>
      <c r="AR438" s="12">
        <v>13</v>
      </c>
      <c r="AS438" s="12">
        <v>3</v>
      </c>
      <c r="AT438" s="12">
        <v>1</v>
      </c>
      <c r="AU438" s="12">
        <v>3</v>
      </c>
      <c r="AV438" s="12">
        <v>8</v>
      </c>
      <c r="AW438" s="12">
        <f t="shared" si="93"/>
        <v>8</v>
      </c>
      <c r="AX438" s="12">
        <v>2</v>
      </c>
      <c r="AY438" s="12">
        <v>3</v>
      </c>
      <c r="AZ438" s="12">
        <v>4</v>
      </c>
      <c r="BA438" s="12">
        <f t="shared" si="94"/>
        <v>4</v>
      </c>
      <c r="BB438" s="12">
        <v>3</v>
      </c>
      <c r="BC438" s="12">
        <v>1</v>
      </c>
      <c r="BD438" s="12">
        <f t="shared" si="103"/>
        <v>1</v>
      </c>
      <c r="BE438" s="12">
        <v>3</v>
      </c>
      <c r="BF438" s="12">
        <f t="shared" si="95"/>
        <v>3</v>
      </c>
      <c r="BG438" s="12">
        <f t="shared" si="104"/>
        <v>3</v>
      </c>
      <c r="BH438" s="67">
        <v>1</v>
      </c>
      <c r="BI438" s="67">
        <v>0</v>
      </c>
      <c r="BJ438" s="67">
        <v>0</v>
      </c>
      <c r="BK438" s="67">
        <v>0</v>
      </c>
      <c r="BL438" s="67">
        <v>1</v>
      </c>
      <c r="BM438" s="67">
        <v>0</v>
      </c>
      <c r="BN438" s="67">
        <v>0</v>
      </c>
      <c r="BO438" s="67">
        <v>0</v>
      </c>
      <c r="BP438" s="67">
        <v>0</v>
      </c>
      <c r="BQ438" s="67">
        <v>3</v>
      </c>
      <c r="BR438" s="67">
        <v>0</v>
      </c>
      <c r="BS438" s="67">
        <v>0</v>
      </c>
      <c r="BT438" s="67">
        <v>8</v>
      </c>
      <c r="BU438" s="70">
        <v>0</v>
      </c>
      <c r="BV438" s="29">
        <f t="shared" si="96"/>
        <v>0.65738311439648311</v>
      </c>
      <c r="BW438">
        <f t="shared" si="97"/>
        <v>0.31476636926356072</v>
      </c>
      <c r="BX438">
        <f t="shared" si="98"/>
        <v>0.42149901815843233</v>
      </c>
      <c r="BY438">
        <f t="shared" si="99"/>
        <v>0.49100643357776058</v>
      </c>
      <c r="BZ438">
        <f t="shared" si="100"/>
        <v>9.9604847176766084E-2</v>
      </c>
      <c r="CA438">
        <f t="shared" si="101"/>
        <v>0.42951823792158</v>
      </c>
      <c r="CB438">
        <f t="shared" si="102"/>
        <v>0.36858985273641137</v>
      </c>
    </row>
    <row r="439" spans="1:80" x14ac:dyDescent="0.45">
      <c r="A439" s="11">
        <v>30</v>
      </c>
      <c r="B439" s="12">
        <f t="shared" si="90"/>
        <v>30</v>
      </c>
      <c r="C439" s="12" t="s">
        <v>59</v>
      </c>
      <c r="D439" s="12">
        <v>0</v>
      </c>
      <c r="E439" s="12" t="s">
        <v>53</v>
      </c>
      <c r="F439" s="12">
        <v>0</v>
      </c>
      <c r="G439" s="12">
        <v>1</v>
      </c>
      <c r="H439" s="12" t="s">
        <v>54</v>
      </c>
      <c r="I439" s="12">
        <v>0</v>
      </c>
      <c r="J439" s="12">
        <v>1</v>
      </c>
      <c r="K439" s="12">
        <v>7</v>
      </c>
      <c r="L439" s="12">
        <f t="shared" si="91"/>
        <v>7</v>
      </c>
      <c r="M439" s="12">
        <v>1</v>
      </c>
      <c r="N439" s="12" t="s">
        <v>90</v>
      </c>
      <c r="O439" s="12">
        <v>0</v>
      </c>
      <c r="P439" s="12">
        <v>0</v>
      </c>
      <c r="Q439" s="12">
        <v>0</v>
      </c>
      <c r="R439" s="12">
        <v>1</v>
      </c>
      <c r="S439" s="12">
        <v>0</v>
      </c>
      <c r="T439" s="12">
        <v>4</v>
      </c>
      <c r="U439" s="12" t="s">
        <v>62</v>
      </c>
      <c r="V439" s="12">
        <v>0</v>
      </c>
      <c r="W439" s="12">
        <v>57</v>
      </c>
      <c r="X439" s="12">
        <v>3</v>
      </c>
      <c r="Y439" s="12">
        <v>1</v>
      </c>
      <c r="Z439" s="12" t="s">
        <v>88</v>
      </c>
      <c r="AA439" s="12">
        <v>0</v>
      </c>
      <c r="AB439" s="12">
        <v>0</v>
      </c>
      <c r="AC439" s="12">
        <v>0</v>
      </c>
      <c r="AD439" s="12">
        <v>0</v>
      </c>
      <c r="AE439" s="12">
        <v>0</v>
      </c>
      <c r="AF439" s="12">
        <v>0</v>
      </c>
      <c r="AG439" s="12">
        <v>1</v>
      </c>
      <c r="AH439" s="12">
        <v>0</v>
      </c>
      <c r="AI439" s="12">
        <v>2</v>
      </c>
      <c r="AJ439" s="12" t="s">
        <v>57</v>
      </c>
      <c r="AK439" s="12">
        <v>1</v>
      </c>
      <c r="AL439" s="12">
        <v>0</v>
      </c>
      <c r="AM439" s="12">
        <v>2983</v>
      </c>
      <c r="AN439" s="12">
        <f t="shared" si="92"/>
        <v>2983</v>
      </c>
      <c r="AO439" s="12">
        <v>0</v>
      </c>
      <c r="AP439" s="12" t="s">
        <v>59</v>
      </c>
      <c r="AQ439" s="12">
        <v>0</v>
      </c>
      <c r="AR439" s="12">
        <v>14</v>
      </c>
      <c r="AS439" s="12">
        <v>3</v>
      </c>
      <c r="AT439" s="12">
        <v>1</v>
      </c>
      <c r="AU439" s="12">
        <v>0</v>
      </c>
      <c r="AV439" s="12">
        <v>4</v>
      </c>
      <c r="AW439" s="12">
        <f t="shared" si="93"/>
        <v>4</v>
      </c>
      <c r="AX439" s="12">
        <v>3</v>
      </c>
      <c r="AY439" s="12">
        <v>3</v>
      </c>
      <c r="AZ439" s="12">
        <v>3</v>
      </c>
      <c r="BA439" s="12">
        <f t="shared" si="94"/>
        <v>3</v>
      </c>
      <c r="BB439" s="12">
        <v>2</v>
      </c>
      <c r="BC439" s="12">
        <v>1</v>
      </c>
      <c r="BD439" s="12">
        <f t="shared" si="103"/>
        <v>1</v>
      </c>
      <c r="BE439" s="12">
        <v>2</v>
      </c>
      <c r="BF439" s="12">
        <f t="shared" si="95"/>
        <v>2</v>
      </c>
      <c r="BG439" s="12">
        <f t="shared" si="104"/>
        <v>2</v>
      </c>
      <c r="BH439" s="67">
        <v>1</v>
      </c>
      <c r="BI439" s="67">
        <v>0</v>
      </c>
      <c r="BJ439" s="67">
        <v>0</v>
      </c>
      <c r="BK439" s="67">
        <v>0</v>
      </c>
      <c r="BL439" s="67">
        <v>1</v>
      </c>
      <c r="BM439" s="67">
        <v>0</v>
      </c>
      <c r="BN439" s="67">
        <v>0</v>
      </c>
      <c r="BO439" s="67">
        <v>0</v>
      </c>
      <c r="BP439" s="67">
        <v>0</v>
      </c>
      <c r="BQ439" s="67">
        <v>0</v>
      </c>
      <c r="BR439" s="67">
        <v>2</v>
      </c>
      <c r="BS439" s="67">
        <v>0</v>
      </c>
      <c r="BT439" s="67">
        <v>0</v>
      </c>
      <c r="BU439" s="70">
        <v>4</v>
      </c>
      <c r="BV439" s="29">
        <f t="shared" si="96"/>
        <v>0.74765582070631786</v>
      </c>
      <c r="BW439">
        <f t="shared" si="97"/>
        <v>0.59502473559756086</v>
      </c>
      <c r="BX439">
        <f t="shared" si="98"/>
        <v>0.93558618405172878</v>
      </c>
      <c r="BY439">
        <f t="shared" si="99"/>
        <v>0.65423109602898355</v>
      </c>
      <c r="BZ439">
        <f t="shared" si="100"/>
        <v>0.27045191444879263</v>
      </c>
      <c r="CA439">
        <f t="shared" si="101"/>
        <v>0.75791203633249671</v>
      </c>
      <c r="CB439">
        <f t="shared" si="102"/>
        <v>0.36858985273641137</v>
      </c>
    </row>
    <row r="440" spans="1:80" x14ac:dyDescent="0.45">
      <c r="A440" s="11">
        <v>35</v>
      </c>
      <c r="B440" s="12">
        <f t="shared" si="90"/>
        <v>35</v>
      </c>
      <c r="C440" s="12" t="s">
        <v>59</v>
      </c>
      <c r="D440" s="12">
        <v>0</v>
      </c>
      <c r="E440" s="12" t="s">
        <v>53</v>
      </c>
      <c r="F440" s="12">
        <v>0</v>
      </c>
      <c r="G440" s="12">
        <v>1</v>
      </c>
      <c r="H440" s="12" t="s">
        <v>61</v>
      </c>
      <c r="I440" s="12">
        <v>1</v>
      </c>
      <c r="J440" s="12">
        <v>0</v>
      </c>
      <c r="K440" s="12">
        <v>16</v>
      </c>
      <c r="L440" s="12">
        <f t="shared" si="91"/>
        <v>16</v>
      </c>
      <c r="M440" s="12">
        <v>3</v>
      </c>
      <c r="N440" s="12" t="s">
        <v>55</v>
      </c>
      <c r="O440" s="12">
        <v>1</v>
      </c>
      <c r="P440" s="12">
        <v>0</v>
      </c>
      <c r="Q440" s="12">
        <v>0</v>
      </c>
      <c r="R440" s="12">
        <v>0</v>
      </c>
      <c r="S440" s="12">
        <v>0</v>
      </c>
      <c r="T440" s="12">
        <v>4</v>
      </c>
      <c r="U440" s="12" t="s">
        <v>62</v>
      </c>
      <c r="V440" s="12">
        <v>0</v>
      </c>
      <c r="W440" s="12">
        <v>72</v>
      </c>
      <c r="X440" s="12">
        <v>3</v>
      </c>
      <c r="Y440" s="12">
        <v>3</v>
      </c>
      <c r="Z440" s="12" t="s">
        <v>85</v>
      </c>
      <c r="AA440" s="12">
        <v>1</v>
      </c>
      <c r="AB440" s="12">
        <v>0</v>
      </c>
      <c r="AC440" s="12">
        <v>0</v>
      </c>
      <c r="AD440" s="12">
        <v>0</v>
      </c>
      <c r="AE440" s="12">
        <v>0</v>
      </c>
      <c r="AF440" s="12">
        <v>0</v>
      </c>
      <c r="AG440" s="12">
        <v>0</v>
      </c>
      <c r="AH440" s="12">
        <v>0</v>
      </c>
      <c r="AI440" s="12">
        <v>3</v>
      </c>
      <c r="AJ440" s="12" t="s">
        <v>64</v>
      </c>
      <c r="AK440" s="12">
        <v>0</v>
      </c>
      <c r="AL440" s="12">
        <v>1</v>
      </c>
      <c r="AM440" s="12">
        <v>7632</v>
      </c>
      <c r="AN440" s="12">
        <f t="shared" si="92"/>
        <v>7632</v>
      </c>
      <c r="AO440" s="12">
        <v>4</v>
      </c>
      <c r="AP440" s="12" t="s">
        <v>52</v>
      </c>
      <c r="AQ440" s="12">
        <v>1</v>
      </c>
      <c r="AR440" s="12">
        <v>12</v>
      </c>
      <c r="AS440" s="12">
        <v>3</v>
      </c>
      <c r="AT440" s="12">
        <v>3</v>
      </c>
      <c r="AU440" s="12">
        <v>0</v>
      </c>
      <c r="AV440" s="12">
        <v>10</v>
      </c>
      <c r="AW440" s="12">
        <f t="shared" si="93"/>
        <v>10</v>
      </c>
      <c r="AX440" s="12">
        <v>2</v>
      </c>
      <c r="AY440" s="12">
        <v>3</v>
      </c>
      <c r="AZ440" s="12">
        <v>8</v>
      </c>
      <c r="BA440" s="12">
        <f t="shared" si="94"/>
        <v>8</v>
      </c>
      <c r="BB440" s="12">
        <v>7</v>
      </c>
      <c r="BC440" s="12">
        <v>0</v>
      </c>
      <c r="BD440" s="12">
        <f t="shared" si="103"/>
        <v>0</v>
      </c>
      <c r="BE440" s="12">
        <v>0</v>
      </c>
      <c r="BF440" s="12">
        <f t="shared" si="95"/>
        <v>0</v>
      </c>
      <c r="BG440" s="12">
        <f t="shared" si="104"/>
        <v>0</v>
      </c>
      <c r="BH440" s="67">
        <v>0</v>
      </c>
      <c r="BI440" s="67">
        <v>1</v>
      </c>
      <c r="BJ440" s="67">
        <v>0</v>
      </c>
      <c r="BK440" s="67">
        <v>0</v>
      </c>
      <c r="BL440" s="67">
        <v>0</v>
      </c>
      <c r="BM440" s="67">
        <v>0</v>
      </c>
      <c r="BN440" s="67">
        <v>0</v>
      </c>
      <c r="BO440" s="67">
        <v>1</v>
      </c>
      <c r="BP440" s="67">
        <v>0</v>
      </c>
      <c r="BQ440" s="67">
        <v>0</v>
      </c>
      <c r="BR440" s="67">
        <v>0</v>
      </c>
      <c r="BS440" s="67">
        <v>0</v>
      </c>
      <c r="BT440" s="67">
        <v>10</v>
      </c>
      <c r="BU440" s="70">
        <v>0</v>
      </c>
      <c r="BV440" s="29">
        <f t="shared" si="96"/>
        <v>0.23982138313938128</v>
      </c>
      <c r="BW440">
        <f t="shared" si="97"/>
        <v>1.1555414682655611</v>
      </c>
      <c r="BX440">
        <f t="shared" si="98"/>
        <v>0.1644554352117841</v>
      </c>
      <c r="BY440">
        <f t="shared" si="99"/>
        <v>0.16189221622713135</v>
      </c>
      <c r="BZ440">
        <f t="shared" si="100"/>
        <v>0.83971837042788355</v>
      </c>
      <c r="CA440">
        <f t="shared" si="101"/>
        <v>0.21058903898096887</v>
      </c>
      <c r="CB440">
        <f t="shared" si="102"/>
        <v>0.67891464284095016</v>
      </c>
    </row>
    <row r="441" spans="1:80" x14ac:dyDescent="0.45">
      <c r="A441" s="11">
        <v>31</v>
      </c>
      <c r="B441" s="12">
        <f t="shared" si="90"/>
        <v>31</v>
      </c>
      <c r="C441" s="12" t="s">
        <v>52</v>
      </c>
      <c r="D441" s="12">
        <v>1</v>
      </c>
      <c r="E441" s="12" t="s">
        <v>60</v>
      </c>
      <c r="F441" s="12">
        <v>1</v>
      </c>
      <c r="G441" s="12">
        <v>0</v>
      </c>
      <c r="H441" s="12" t="s">
        <v>61</v>
      </c>
      <c r="I441" s="12">
        <v>1</v>
      </c>
      <c r="J441" s="12">
        <v>0</v>
      </c>
      <c r="K441" s="12">
        <v>20</v>
      </c>
      <c r="L441" s="12">
        <f t="shared" si="91"/>
        <v>20</v>
      </c>
      <c r="M441" s="12">
        <v>3</v>
      </c>
      <c r="N441" s="12" t="s">
        <v>55</v>
      </c>
      <c r="O441" s="12">
        <v>1</v>
      </c>
      <c r="P441" s="12">
        <v>0</v>
      </c>
      <c r="Q441" s="12">
        <v>0</v>
      </c>
      <c r="R441" s="12">
        <v>0</v>
      </c>
      <c r="S441" s="12">
        <v>0</v>
      </c>
      <c r="T441" s="12">
        <v>1</v>
      </c>
      <c r="U441" s="12" t="s">
        <v>62</v>
      </c>
      <c r="V441" s="12">
        <v>0</v>
      </c>
      <c r="W441" s="12">
        <v>66</v>
      </c>
      <c r="X441" s="12">
        <v>3</v>
      </c>
      <c r="Y441" s="12">
        <v>3</v>
      </c>
      <c r="Z441" s="12" t="s">
        <v>85</v>
      </c>
      <c r="AA441" s="12">
        <v>1</v>
      </c>
      <c r="AB441" s="12">
        <v>0</v>
      </c>
      <c r="AC441" s="12">
        <v>0</v>
      </c>
      <c r="AD441" s="12">
        <v>0</v>
      </c>
      <c r="AE441" s="12">
        <v>0</v>
      </c>
      <c r="AF441" s="12">
        <v>0</v>
      </c>
      <c r="AG441" s="12">
        <v>0</v>
      </c>
      <c r="AH441" s="12">
        <v>0</v>
      </c>
      <c r="AI441" s="12">
        <v>3</v>
      </c>
      <c r="AJ441" s="12" t="s">
        <v>64</v>
      </c>
      <c r="AK441" s="12">
        <v>0</v>
      </c>
      <c r="AL441" s="12">
        <v>1</v>
      </c>
      <c r="AM441" s="12">
        <v>9824</v>
      </c>
      <c r="AN441" s="12">
        <f t="shared" si="92"/>
        <v>9824</v>
      </c>
      <c r="AO441" s="12">
        <v>3</v>
      </c>
      <c r="AP441" s="12" t="s">
        <v>59</v>
      </c>
      <c r="AQ441" s="12">
        <v>0</v>
      </c>
      <c r="AR441" s="12">
        <v>12</v>
      </c>
      <c r="AS441" s="12">
        <v>3</v>
      </c>
      <c r="AT441" s="12">
        <v>1</v>
      </c>
      <c r="AU441" s="12">
        <v>0</v>
      </c>
      <c r="AV441" s="12">
        <v>12</v>
      </c>
      <c r="AW441" s="12">
        <f t="shared" si="93"/>
        <v>12</v>
      </c>
      <c r="AX441" s="12">
        <v>2</v>
      </c>
      <c r="AY441" s="12">
        <v>3</v>
      </c>
      <c r="AZ441" s="12">
        <v>1</v>
      </c>
      <c r="BA441" s="12">
        <f t="shared" si="94"/>
        <v>1</v>
      </c>
      <c r="BB441" s="12">
        <v>0</v>
      </c>
      <c r="BC441" s="12">
        <v>0</v>
      </c>
      <c r="BD441" s="12">
        <f t="shared" si="103"/>
        <v>0</v>
      </c>
      <c r="BE441" s="12">
        <v>0</v>
      </c>
      <c r="BF441" s="12">
        <f t="shared" si="95"/>
        <v>0</v>
      </c>
      <c r="BG441" s="12">
        <f t="shared" si="104"/>
        <v>0</v>
      </c>
      <c r="BH441" s="67">
        <v>0</v>
      </c>
      <c r="BI441" s="67">
        <v>0</v>
      </c>
      <c r="BJ441" s="67">
        <v>0</v>
      </c>
      <c r="BK441" s="67">
        <v>1</v>
      </c>
      <c r="BL441" s="67">
        <v>0</v>
      </c>
      <c r="BM441" s="67">
        <v>0</v>
      </c>
      <c r="BN441" s="67">
        <v>1</v>
      </c>
      <c r="BO441" s="67">
        <v>0</v>
      </c>
      <c r="BP441" s="67">
        <v>0</v>
      </c>
      <c r="BQ441" s="67">
        <v>0</v>
      </c>
      <c r="BR441" s="67">
        <v>0</v>
      </c>
      <c r="BS441" s="67">
        <v>0</v>
      </c>
      <c r="BT441" s="67">
        <v>12</v>
      </c>
      <c r="BU441" s="70">
        <v>0</v>
      </c>
      <c r="BV441" s="29">
        <f t="shared" si="96"/>
        <v>0.70541614133034114</v>
      </c>
      <c r="BW441">
        <f t="shared" si="97"/>
        <v>1.1555414682655611</v>
      </c>
      <c r="BX441">
        <f t="shared" si="98"/>
        <v>9.2588147734864096E-2</v>
      </c>
      <c r="BY441">
        <f t="shared" si="99"/>
        <v>0.9806804209314296</v>
      </c>
      <c r="BZ441">
        <f t="shared" si="100"/>
        <v>1.3331273859286286</v>
      </c>
      <c r="CA441">
        <f t="shared" si="101"/>
        <v>0.6484474368621912</v>
      </c>
      <c r="CB441">
        <f t="shared" si="102"/>
        <v>0.67891464284095016</v>
      </c>
    </row>
    <row r="442" spans="1:80" x14ac:dyDescent="0.45">
      <c r="A442" s="11">
        <v>34</v>
      </c>
      <c r="B442" s="12">
        <f t="shared" si="90"/>
        <v>34</v>
      </c>
      <c r="C442" s="12" t="s">
        <v>52</v>
      </c>
      <c r="D442" s="12">
        <v>1</v>
      </c>
      <c r="E442" s="12" t="s">
        <v>60</v>
      </c>
      <c r="F442" s="12">
        <v>1</v>
      </c>
      <c r="G442" s="12">
        <v>0</v>
      </c>
      <c r="H442" s="12" t="s">
        <v>97</v>
      </c>
      <c r="I442" s="12">
        <v>0</v>
      </c>
      <c r="J442" s="12">
        <v>0</v>
      </c>
      <c r="K442" s="12">
        <v>23</v>
      </c>
      <c r="L442" s="12">
        <f t="shared" si="91"/>
        <v>23</v>
      </c>
      <c r="M442" s="12">
        <v>3</v>
      </c>
      <c r="N442" s="12" t="s">
        <v>97</v>
      </c>
      <c r="O442" s="12">
        <v>0</v>
      </c>
      <c r="P442" s="12">
        <v>0</v>
      </c>
      <c r="Q442" s="12">
        <v>0</v>
      </c>
      <c r="R442" s="12">
        <v>0</v>
      </c>
      <c r="S442" s="12">
        <v>0</v>
      </c>
      <c r="T442" s="12">
        <v>2</v>
      </c>
      <c r="U442" s="12" t="s">
        <v>19</v>
      </c>
      <c r="V442" s="12">
        <v>1</v>
      </c>
      <c r="W442" s="12">
        <v>43</v>
      </c>
      <c r="X442" s="12">
        <v>3</v>
      </c>
      <c r="Y442" s="12">
        <v>3</v>
      </c>
      <c r="Z442" s="12" t="s">
        <v>97</v>
      </c>
      <c r="AA442" s="12">
        <v>0</v>
      </c>
      <c r="AB442" s="12">
        <v>0</v>
      </c>
      <c r="AC442" s="12">
        <v>0</v>
      </c>
      <c r="AD442" s="12">
        <v>0</v>
      </c>
      <c r="AE442" s="12">
        <v>0</v>
      </c>
      <c r="AF442" s="12">
        <v>0</v>
      </c>
      <c r="AG442" s="12">
        <v>0</v>
      </c>
      <c r="AH442" s="12">
        <v>0</v>
      </c>
      <c r="AI442" s="12">
        <v>1</v>
      </c>
      <c r="AJ442" s="12" t="s">
        <v>78</v>
      </c>
      <c r="AK442" s="12">
        <v>0</v>
      </c>
      <c r="AL442" s="12">
        <v>0</v>
      </c>
      <c r="AM442" s="12">
        <v>9950</v>
      </c>
      <c r="AN442" s="12">
        <f t="shared" si="92"/>
        <v>9950</v>
      </c>
      <c r="AO442" s="12">
        <v>9</v>
      </c>
      <c r="AP442" s="12" t="s">
        <v>52</v>
      </c>
      <c r="AQ442" s="12">
        <v>1</v>
      </c>
      <c r="AR442" s="12">
        <v>15</v>
      </c>
      <c r="AS442" s="12">
        <v>3</v>
      </c>
      <c r="AT442" s="12">
        <v>3</v>
      </c>
      <c r="AU442" s="12">
        <v>3</v>
      </c>
      <c r="AV442" s="12">
        <v>11</v>
      </c>
      <c r="AW442" s="12">
        <f t="shared" si="93"/>
        <v>11</v>
      </c>
      <c r="AX442" s="12">
        <v>2</v>
      </c>
      <c r="AY442" s="12">
        <v>3</v>
      </c>
      <c r="AZ442" s="12">
        <v>3</v>
      </c>
      <c r="BA442" s="12">
        <f t="shared" si="94"/>
        <v>3</v>
      </c>
      <c r="BB442" s="12">
        <v>2</v>
      </c>
      <c r="BC442" s="12">
        <v>0</v>
      </c>
      <c r="BD442" s="12">
        <f t="shared" si="103"/>
        <v>0</v>
      </c>
      <c r="BE442" s="12">
        <v>2</v>
      </c>
      <c r="BF442" s="12">
        <f t="shared" si="95"/>
        <v>2</v>
      </c>
      <c r="BG442" s="12">
        <f t="shared" si="104"/>
        <v>6</v>
      </c>
      <c r="BH442" s="67">
        <v>0</v>
      </c>
      <c r="BI442" s="67">
        <v>0</v>
      </c>
      <c r="BJ442" s="67">
        <v>1</v>
      </c>
      <c r="BK442" s="67">
        <v>0</v>
      </c>
      <c r="BL442" s="67">
        <v>0</v>
      </c>
      <c r="BM442" s="67">
        <v>1</v>
      </c>
      <c r="BN442" s="67">
        <v>0</v>
      </c>
      <c r="BO442" s="67">
        <v>0</v>
      </c>
      <c r="BP442" s="67">
        <v>2</v>
      </c>
      <c r="BQ442" s="67">
        <v>0</v>
      </c>
      <c r="BR442" s="67">
        <v>0</v>
      </c>
      <c r="BS442" s="67">
        <v>11</v>
      </c>
      <c r="BT442" s="67">
        <v>0</v>
      </c>
      <c r="BU442" s="70">
        <v>0</v>
      </c>
      <c r="BV442" s="29">
        <f t="shared" si="96"/>
        <v>0.73217934367160986</v>
      </c>
      <c r="BW442">
        <f t="shared" si="97"/>
        <v>0.59502473559756086</v>
      </c>
      <c r="BX442">
        <f t="shared" si="98"/>
        <v>3.593364373846001E-2</v>
      </c>
      <c r="BY442">
        <f t="shared" si="99"/>
        <v>0.65423109602898355</v>
      </c>
      <c r="BZ442">
        <f t="shared" si="100"/>
        <v>1.7031841475541873</v>
      </c>
      <c r="CA442">
        <f t="shared" si="101"/>
        <v>0.32005363845127444</v>
      </c>
      <c r="CB442">
        <f t="shared" si="102"/>
        <v>0.67891464284095016</v>
      </c>
    </row>
    <row r="443" spans="1:80" x14ac:dyDescent="0.45">
      <c r="A443" s="11">
        <v>42</v>
      </c>
      <c r="B443" s="12">
        <f t="shared" si="90"/>
        <v>42</v>
      </c>
      <c r="C443" s="12" t="s">
        <v>59</v>
      </c>
      <c r="D443" s="12">
        <v>0</v>
      </c>
      <c r="E443" s="12" t="s">
        <v>60</v>
      </c>
      <c r="F443" s="12">
        <v>1</v>
      </c>
      <c r="G443" s="12">
        <v>0</v>
      </c>
      <c r="H443" s="12" t="s">
        <v>61</v>
      </c>
      <c r="I443" s="12">
        <v>1</v>
      </c>
      <c r="J443" s="12">
        <v>0</v>
      </c>
      <c r="K443" s="12">
        <v>5</v>
      </c>
      <c r="L443" s="12">
        <f t="shared" si="91"/>
        <v>5</v>
      </c>
      <c r="M443" s="12">
        <v>2</v>
      </c>
      <c r="N443" s="12" t="s">
        <v>66</v>
      </c>
      <c r="O443" s="12">
        <v>0</v>
      </c>
      <c r="P443" s="12">
        <v>1</v>
      </c>
      <c r="Q443" s="12">
        <v>0</v>
      </c>
      <c r="R443" s="12">
        <v>0</v>
      </c>
      <c r="S443" s="12">
        <v>0</v>
      </c>
      <c r="T443" s="12">
        <v>2</v>
      </c>
      <c r="U443" s="12" t="s">
        <v>62</v>
      </c>
      <c r="V443" s="12">
        <v>0</v>
      </c>
      <c r="W443" s="12">
        <v>97</v>
      </c>
      <c r="X443" s="12">
        <v>3</v>
      </c>
      <c r="Y443" s="12">
        <v>1</v>
      </c>
      <c r="Z443" s="12" t="s">
        <v>67</v>
      </c>
      <c r="AA443" s="12">
        <v>0</v>
      </c>
      <c r="AB443" s="12">
        <v>0</v>
      </c>
      <c r="AC443" s="12">
        <v>1</v>
      </c>
      <c r="AD443" s="12">
        <v>0</v>
      </c>
      <c r="AE443" s="12">
        <v>0</v>
      </c>
      <c r="AF443" s="12">
        <v>0</v>
      </c>
      <c r="AG443" s="12">
        <v>0</v>
      </c>
      <c r="AH443" s="12">
        <v>0</v>
      </c>
      <c r="AI443" s="12">
        <v>3</v>
      </c>
      <c r="AJ443" s="12" t="s">
        <v>64</v>
      </c>
      <c r="AK443" s="12">
        <v>0</v>
      </c>
      <c r="AL443" s="12">
        <v>1</v>
      </c>
      <c r="AM443" s="12">
        <v>2093</v>
      </c>
      <c r="AN443" s="12">
        <f t="shared" si="92"/>
        <v>2093</v>
      </c>
      <c r="AO443" s="12">
        <v>4</v>
      </c>
      <c r="AP443" s="12" t="s">
        <v>59</v>
      </c>
      <c r="AQ443" s="12">
        <v>0</v>
      </c>
      <c r="AR443" s="12">
        <v>17</v>
      </c>
      <c r="AS443" s="12">
        <v>3</v>
      </c>
      <c r="AT443" s="12">
        <v>4</v>
      </c>
      <c r="AU443" s="12">
        <v>1</v>
      </c>
      <c r="AV443" s="12">
        <v>8</v>
      </c>
      <c r="AW443" s="12">
        <f t="shared" si="93"/>
        <v>8</v>
      </c>
      <c r="AX443" s="12">
        <v>4</v>
      </c>
      <c r="AY443" s="12">
        <v>3</v>
      </c>
      <c r="AZ443" s="12">
        <v>2</v>
      </c>
      <c r="BA443" s="12">
        <f t="shared" si="94"/>
        <v>2</v>
      </c>
      <c r="BB443" s="12">
        <v>2</v>
      </c>
      <c r="BC443" s="12">
        <v>2</v>
      </c>
      <c r="BD443" s="12">
        <f t="shared" si="103"/>
        <v>2</v>
      </c>
      <c r="BE443" s="12">
        <v>0</v>
      </c>
      <c r="BF443" s="12">
        <f t="shared" si="95"/>
        <v>0</v>
      </c>
      <c r="BG443" s="12">
        <f t="shared" si="104"/>
        <v>0</v>
      </c>
      <c r="BH443" s="67">
        <v>0</v>
      </c>
      <c r="BI443" s="67">
        <v>0</v>
      </c>
      <c r="BJ443" s="67">
        <v>0</v>
      </c>
      <c r="BK443" s="67">
        <v>1</v>
      </c>
      <c r="BL443" s="67">
        <v>0</v>
      </c>
      <c r="BM443" s="67">
        <v>0</v>
      </c>
      <c r="BN443" s="67">
        <v>1</v>
      </c>
      <c r="BO443" s="67">
        <v>0</v>
      </c>
      <c r="BP443" s="67">
        <v>0</v>
      </c>
      <c r="BQ443" s="67">
        <v>0</v>
      </c>
      <c r="BR443" s="67">
        <v>0</v>
      </c>
      <c r="BS443" s="67">
        <v>0</v>
      </c>
      <c r="BT443" s="67">
        <v>8</v>
      </c>
      <c r="BU443" s="70">
        <v>0</v>
      </c>
      <c r="BV443" s="29">
        <f t="shared" si="96"/>
        <v>0.93669748803750141</v>
      </c>
      <c r="BW443">
        <f t="shared" si="97"/>
        <v>1.1555414682655611</v>
      </c>
      <c r="BX443">
        <f t="shared" si="98"/>
        <v>0.42149901815843233</v>
      </c>
      <c r="BY443">
        <f t="shared" si="99"/>
        <v>0.81745575848020657</v>
      </c>
      <c r="BZ443">
        <f t="shared" si="100"/>
        <v>0.51715642219916513</v>
      </c>
      <c r="CA443">
        <f t="shared" si="101"/>
        <v>0.55566315731117022</v>
      </c>
      <c r="CB443">
        <f t="shared" si="102"/>
        <v>5.8265062631872602E-2</v>
      </c>
    </row>
    <row r="444" spans="1:80" x14ac:dyDescent="0.45">
      <c r="A444" s="11">
        <v>36</v>
      </c>
      <c r="B444" s="12">
        <f t="shared" si="90"/>
        <v>36</v>
      </c>
      <c r="C444" s="12" t="s">
        <v>59</v>
      </c>
      <c r="D444" s="12">
        <v>0</v>
      </c>
      <c r="E444" s="12" t="s">
        <v>86</v>
      </c>
      <c r="F444" s="12">
        <v>0</v>
      </c>
      <c r="G444" s="12">
        <v>0</v>
      </c>
      <c r="H444" s="12" t="s">
        <v>54</v>
      </c>
      <c r="I444" s="12">
        <v>0</v>
      </c>
      <c r="J444" s="12">
        <v>1</v>
      </c>
      <c r="K444" s="12">
        <v>10</v>
      </c>
      <c r="L444" s="12">
        <f t="shared" si="91"/>
        <v>10</v>
      </c>
      <c r="M444" s="12">
        <v>4</v>
      </c>
      <c r="N444" s="12" t="s">
        <v>70</v>
      </c>
      <c r="O444" s="12">
        <v>0</v>
      </c>
      <c r="P444" s="12">
        <v>0</v>
      </c>
      <c r="Q444" s="12">
        <v>1</v>
      </c>
      <c r="R444" s="12">
        <v>0</v>
      </c>
      <c r="S444" s="12">
        <v>0</v>
      </c>
      <c r="T444" s="12">
        <v>2</v>
      </c>
      <c r="U444" s="12" t="s">
        <v>62</v>
      </c>
      <c r="V444" s="12">
        <v>0</v>
      </c>
      <c r="W444" s="12">
        <v>32</v>
      </c>
      <c r="X444" s="12">
        <v>3</v>
      </c>
      <c r="Y444" s="12">
        <v>3</v>
      </c>
      <c r="Z444" s="12" t="s">
        <v>56</v>
      </c>
      <c r="AA444" s="12">
        <v>0</v>
      </c>
      <c r="AB444" s="12">
        <v>1</v>
      </c>
      <c r="AC444" s="12">
        <v>0</v>
      </c>
      <c r="AD444" s="12">
        <v>0</v>
      </c>
      <c r="AE444" s="12">
        <v>0</v>
      </c>
      <c r="AF444" s="12">
        <v>0</v>
      </c>
      <c r="AG444" s="12">
        <v>0</v>
      </c>
      <c r="AH444" s="12">
        <v>0</v>
      </c>
      <c r="AI444" s="12">
        <v>4</v>
      </c>
      <c r="AJ444" s="12" t="s">
        <v>57</v>
      </c>
      <c r="AK444" s="12">
        <v>1</v>
      </c>
      <c r="AL444" s="12">
        <v>0</v>
      </c>
      <c r="AM444" s="12">
        <v>9980</v>
      </c>
      <c r="AN444" s="12">
        <f t="shared" si="92"/>
        <v>9980</v>
      </c>
      <c r="AO444" s="12">
        <v>1</v>
      </c>
      <c r="AP444" s="12" t="s">
        <v>59</v>
      </c>
      <c r="AQ444" s="12">
        <v>0</v>
      </c>
      <c r="AR444" s="12">
        <v>14</v>
      </c>
      <c r="AS444" s="12">
        <v>3</v>
      </c>
      <c r="AT444" s="12">
        <v>4</v>
      </c>
      <c r="AU444" s="12">
        <v>0</v>
      </c>
      <c r="AV444" s="12">
        <v>10</v>
      </c>
      <c r="AW444" s="12">
        <f t="shared" si="93"/>
        <v>10</v>
      </c>
      <c r="AX444" s="12">
        <v>3</v>
      </c>
      <c r="AY444" s="12">
        <v>2</v>
      </c>
      <c r="AZ444" s="12">
        <v>10</v>
      </c>
      <c r="BA444" s="12">
        <f t="shared" si="94"/>
        <v>10</v>
      </c>
      <c r="BB444" s="12">
        <v>3</v>
      </c>
      <c r="BC444" s="12">
        <v>9</v>
      </c>
      <c r="BD444" s="12">
        <f t="shared" si="103"/>
        <v>9</v>
      </c>
      <c r="BE444" s="12">
        <v>7</v>
      </c>
      <c r="BF444" s="12">
        <f t="shared" si="95"/>
        <v>7</v>
      </c>
      <c r="BG444" s="12">
        <f t="shared" si="104"/>
        <v>21</v>
      </c>
      <c r="BH444" s="67">
        <v>1</v>
      </c>
      <c r="BI444" s="67">
        <v>0</v>
      </c>
      <c r="BJ444" s="67">
        <v>0</v>
      </c>
      <c r="BK444" s="67">
        <v>0</v>
      </c>
      <c r="BL444" s="67">
        <v>1</v>
      </c>
      <c r="BM444" s="67">
        <v>0</v>
      </c>
      <c r="BN444" s="67">
        <v>0</v>
      </c>
      <c r="BO444" s="67">
        <v>0</v>
      </c>
      <c r="BP444" s="67">
        <v>0</v>
      </c>
      <c r="BQ444" s="67">
        <v>0</v>
      </c>
      <c r="BR444" s="67">
        <v>7</v>
      </c>
      <c r="BS444" s="67">
        <v>0</v>
      </c>
      <c r="BT444" s="67">
        <v>0</v>
      </c>
      <c r="BU444" s="70">
        <v>10</v>
      </c>
      <c r="BV444" s="29">
        <f t="shared" si="96"/>
        <v>0.73855153470524526</v>
      </c>
      <c r="BW444">
        <f t="shared" si="97"/>
        <v>0.80626709607243985</v>
      </c>
      <c r="BX444">
        <f t="shared" si="98"/>
        <v>0.1644554352117841</v>
      </c>
      <c r="BY444">
        <f t="shared" si="99"/>
        <v>0.48834154112957734</v>
      </c>
      <c r="BZ444">
        <f t="shared" si="100"/>
        <v>9.9604847176766084E-2</v>
      </c>
      <c r="CA444">
        <f t="shared" si="101"/>
        <v>0.10112443951066327</v>
      </c>
      <c r="CB444">
        <f t="shared" si="102"/>
        <v>2.114008468099899</v>
      </c>
    </row>
    <row r="445" spans="1:80" x14ac:dyDescent="0.45">
      <c r="A445" s="11">
        <v>22</v>
      </c>
      <c r="B445" s="12">
        <f t="shared" si="90"/>
        <v>22</v>
      </c>
      <c r="C445" s="12" t="s">
        <v>52</v>
      </c>
      <c r="D445" s="12">
        <v>1</v>
      </c>
      <c r="E445" s="12" t="s">
        <v>60</v>
      </c>
      <c r="F445" s="12">
        <v>1</v>
      </c>
      <c r="G445" s="12">
        <v>0</v>
      </c>
      <c r="H445" s="12" t="s">
        <v>61</v>
      </c>
      <c r="I445" s="12">
        <v>1</v>
      </c>
      <c r="J445" s="12">
        <v>0</v>
      </c>
      <c r="K445" s="12">
        <v>4</v>
      </c>
      <c r="L445" s="12">
        <f t="shared" si="91"/>
        <v>4</v>
      </c>
      <c r="M445" s="12">
        <v>1</v>
      </c>
      <c r="N445" s="12" t="s">
        <v>91</v>
      </c>
      <c r="O445" s="12">
        <v>0</v>
      </c>
      <c r="P445" s="12">
        <v>0</v>
      </c>
      <c r="Q445" s="12">
        <v>0</v>
      </c>
      <c r="R445" s="12">
        <v>0</v>
      </c>
      <c r="S445" s="12">
        <v>1</v>
      </c>
      <c r="T445" s="12">
        <v>3</v>
      </c>
      <c r="U445" s="12" t="s">
        <v>62</v>
      </c>
      <c r="V445" s="12">
        <v>0</v>
      </c>
      <c r="W445" s="12">
        <v>99</v>
      </c>
      <c r="X445" s="12">
        <v>2</v>
      </c>
      <c r="Y445" s="12">
        <v>1</v>
      </c>
      <c r="Z445" s="12" t="s">
        <v>67</v>
      </c>
      <c r="AA445" s="12">
        <v>0</v>
      </c>
      <c r="AB445" s="12">
        <v>0</v>
      </c>
      <c r="AC445" s="12">
        <v>1</v>
      </c>
      <c r="AD445" s="12">
        <v>0</v>
      </c>
      <c r="AE445" s="12">
        <v>0</v>
      </c>
      <c r="AF445" s="12">
        <v>0</v>
      </c>
      <c r="AG445" s="12">
        <v>0</v>
      </c>
      <c r="AH445" s="12">
        <v>0</v>
      </c>
      <c r="AI445" s="12">
        <v>3</v>
      </c>
      <c r="AJ445" s="12" t="s">
        <v>57</v>
      </c>
      <c r="AK445" s="12">
        <v>1</v>
      </c>
      <c r="AL445" s="12">
        <v>0</v>
      </c>
      <c r="AM445" s="12">
        <v>3894</v>
      </c>
      <c r="AN445" s="12">
        <f t="shared" si="92"/>
        <v>3894</v>
      </c>
      <c r="AO445" s="12">
        <v>5</v>
      </c>
      <c r="AP445" s="12" t="s">
        <v>59</v>
      </c>
      <c r="AQ445" s="12">
        <v>0</v>
      </c>
      <c r="AR445" s="12">
        <v>16</v>
      </c>
      <c r="AS445" s="12">
        <v>3</v>
      </c>
      <c r="AT445" s="12">
        <v>3</v>
      </c>
      <c r="AU445" s="12">
        <v>0</v>
      </c>
      <c r="AV445" s="12">
        <v>4</v>
      </c>
      <c r="AW445" s="12">
        <f t="shared" si="93"/>
        <v>4</v>
      </c>
      <c r="AX445" s="12">
        <v>3</v>
      </c>
      <c r="AY445" s="12">
        <v>3</v>
      </c>
      <c r="AZ445" s="12">
        <v>2</v>
      </c>
      <c r="BA445" s="12">
        <f t="shared" si="94"/>
        <v>2</v>
      </c>
      <c r="BB445" s="12">
        <v>2</v>
      </c>
      <c r="BC445" s="12">
        <v>1</v>
      </c>
      <c r="BD445" s="12">
        <f t="shared" si="103"/>
        <v>1</v>
      </c>
      <c r="BE445" s="12">
        <v>2</v>
      </c>
      <c r="BF445" s="12">
        <f t="shared" si="95"/>
        <v>2</v>
      </c>
      <c r="BG445" s="12">
        <f t="shared" si="104"/>
        <v>2</v>
      </c>
      <c r="BH445" s="67">
        <v>0</v>
      </c>
      <c r="BI445" s="67">
        <v>0</v>
      </c>
      <c r="BJ445" s="67">
        <v>1</v>
      </c>
      <c r="BK445" s="67">
        <v>0</v>
      </c>
      <c r="BL445" s="67">
        <v>1</v>
      </c>
      <c r="BM445" s="67">
        <v>0</v>
      </c>
      <c r="BN445" s="67">
        <v>0</v>
      </c>
      <c r="BO445" s="67">
        <v>0</v>
      </c>
      <c r="BP445" s="67">
        <v>0</v>
      </c>
      <c r="BQ445" s="67">
        <v>2</v>
      </c>
      <c r="BR445" s="67">
        <v>0</v>
      </c>
      <c r="BS445" s="67">
        <v>0</v>
      </c>
      <c r="BT445" s="67">
        <v>4</v>
      </c>
      <c r="BU445" s="70">
        <v>0</v>
      </c>
      <c r="BV445" s="29">
        <f t="shared" si="96"/>
        <v>0.5541536196515896</v>
      </c>
      <c r="BW445">
        <f t="shared" si="97"/>
        <v>0.59502473559756086</v>
      </c>
      <c r="BX445">
        <f t="shared" si="98"/>
        <v>0.93558618405172878</v>
      </c>
      <c r="BY445">
        <f t="shared" si="99"/>
        <v>0.81745575848020657</v>
      </c>
      <c r="BZ445">
        <f t="shared" si="100"/>
        <v>0.64050867607435136</v>
      </c>
      <c r="CA445">
        <f t="shared" si="101"/>
        <v>1.6336288320949415</v>
      </c>
      <c r="CB445">
        <f t="shared" si="102"/>
        <v>0.36858985273641137</v>
      </c>
    </row>
    <row r="446" spans="1:80" x14ac:dyDescent="0.45">
      <c r="A446" s="11">
        <v>48</v>
      </c>
      <c r="B446" s="12">
        <f t="shared" si="90"/>
        <v>48</v>
      </c>
      <c r="C446" s="12" t="s">
        <v>59</v>
      </c>
      <c r="D446" s="12">
        <v>0</v>
      </c>
      <c r="E446" s="12" t="s">
        <v>53</v>
      </c>
      <c r="F446" s="12">
        <v>0</v>
      </c>
      <c r="G446" s="12">
        <v>1</v>
      </c>
      <c r="H446" s="12" t="s">
        <v>54</v>
      </c>
      <c r="I446" s="12">
        <v>0</v>
      </c>
      <c r="J446" s="12">
        <v>1</v>
      </c>
      <c r="K446" s="12">
        <v>2</v>
      </c>
      <c r="L446" s="12">
        <f t="shared" si="91"/>
        <v>2</v>
      </c>
      <c r="M446" s="12">
        <v>5</v>
      </c>
      <c r="N446" s="12" t="s">
        <v>90</v>
      </c>
      <c r="O446" s="12">
        <v>0</v>
      </c>
      <c r="P446" s="12">
        <v>0</v>
      </c>
      <c r="Q446" s="12">
        <v>0</v>
      </c>
      <c r="R446" s="12">
        <v>1</v>
      </c>
      <c r="S446" s="12">
        <v>0</v>
      </c>
      <c r="T446" s="12">
        <v>2</v>
      </c>
      <c r="U446" s="12" t="s">
        <v>19</v>
      </c>
      <c r="V446" s="12">
        <v>1</v>
      </c>
      <c r="W446" s="12">
        <v>37</v>
      </c>
      <c r="X446" s="12">
        <v>3</v>
      </c>
      <c r="Y446" s="12">
        <v>2</v>
      </c>
      <c r="Z446" s="12" t="s">
        <v>56</v>
      </c>
      <c r="AA446" s="12">
        <v>0</v>
      </c>
      <c r="AB446" s="12">
        <v>1</v>
      </c>
      <c r="AC446" s="12">
        <v>0</v>
      </c>
      <c r="AD446" s="12">
        <v>0</v>
      </c>
      <c r="AE446" s="12">
        <v>0</v>
      </c>
      <c r="AF446" s="12">
        <v>0</v>
      </c>
      <c r="AG446" s="12">
        <v>0</v>
      </c>
      <c r="AH446" s="12">
        <v>0</v>
      </c>
      <c r="AI446" s="12">
        <v>4</v>
      </c>
      <c r="AJ446" s="12" t="s">
        <v>64</v>
      </c>
      <c r="AK446" s="12">
        <v>0</v>
      </c>
      <c r="AL446" s="12">
        <v>1</v>
      </c>
      <c r="AM446" s="12">
        <v>4051</v>
      </c>
      <c r="AN446" s="12">
        <f t="shared" si="92"/>
        <v>4051</v>
      </c>
      <c r="AO446" s="12">
        <v>2</v>
      </c>
      <c r="AP446" s="12" t="s">
        <v>59</v>
      </c>
      <c r="AQ446" s="12">
        <v>0</v>
      </c>
      <c r="AR446" s="12">
        <v>14</v>
      </c>
      <c r="AS446" s="12">
        <v>3</v>
      </c>
      <c r="AT446" s="12">
        <v>1</v>
      </c>
      <c r="AU446" s="12">
        <v>1</v>
      </c>
      <c r="AV446" s="12">
        <v>14</v>
      </c>
      <c r="AW446" s="12">
        <f t="shared" si="93"/>
        <v>14</v>
      </c>
      <c r="AX446" s="12">
        <v>2</v>
      </c>
      <c r="AY446" s="12">
        <v>3</v>
      </c>
      <c r="AZ446" s="12">
        <v>9</v>
      </c>
      <c r="BA446" s="12">
        <f t="shared" si="94"/>
        <v>9</v>
      </c>
      <c r="BB446" s="12">
        <v>7</v>
      </c>
      <c r="BC446" s="12">
        <v>6</v>
      </c>
      <c r="BD446" s="12">
        <f t="shared" si="103"/>
        <v>6</v>
      </c>
      <c r="BE446" s="12">
        <v>7</v>
      </c>
      <c r="BF446" s="12">
        <f t="shared" si="95"/>
        <v>7</v>
      </c>
      <c r="BG446" s="12">
        <f t="shared" si="104"/>
        <v>14</v>
      </c>
      <c r="BH446" s="67">
        <v>0</v>
      </c>
      <c r="BI446" s="67">
        <v>1</v>
      </c>
      <c r="BJ446" s="67">
        <v>0</v>
      </c>
      <c r="BK446" s="67">
        <v>0</v>
      </c>
      <c r="BL446" s="67">
        <v>0</v>
      </c>
      <c r="BM446" s="67">
        <v>0</v>
      </c>
      <c r="BN446" s="67">
        <v>1</v>
      </c>
      <c r="BO446" s="67">
        <v>0</v>
      </c>
      <c r="BP446" s="67">
        <v>0</v>
      </c>
      <c r="BQ446" s="67">
        <v>0</v>
      </c>
      <c r="BR446" s="67">
        <v>7</v>
      </c>
      <c r="BS446" s="67">
        <v>0</v>
      </c>
      <c r="BT446" s="67">
        <v>0</v>
      </c>
      <c r="BU446" s="70">
        <v>14</v>
      </c>
      <c r="BV446" s="29">
        <f t="shared" si="96"/>
        <v>0.52080581990889763</v>
      </c>
      <c r="BW446">
        <f t="shared" si="97"/>
        <v>0.80626709607243985</v>
      </c>
      <c r="BX446">
        <f t="shared" si="98"/>
        <v>0.34963173068151232</v>
      </c>
      <c r="BY446">
        <f t="shared" si="99"/>
        <v>0.32511687867835437</v>
      </c>
      <c r="BZ446">
        <f t="shared" si="100"/>
        <v>0.88721318382472392</v>
      </c>
      <c r="CA446">
        <f t="shared" si="101"/>
        <v>1.2124507541330036</v>
      </c>
      <c r="CB446">
        <f t="shared" si="102"/>
        <v>1.1830340977862825</v>
      </c>
    </row>
    <row r="447" spans="1:80" x14ac:dyDescent="0.45">
      <c r="A447" s="11">
        <v>55</v>
      </c>
      <c r="B447" s="12">
        <f t="shared" si="90"/>
        <v>55</v>
      </c>
      <c r="C447" s="12" t="s">
        <v>59</v>
      </c>
      <c r="D447" s="12">
        <v>0</v>
      </c>
      <c r="E447" s="12" t="s">
        <v>53</v>
      </c>
      <c r="F447" s="12">
        <v>0</v>
      </c>
      <c r="G447" s="12">
        <v>1</v>
      </c>
      <c r="H447" s="12" t="s">
        <v>54</v>
      </c>
      <c r="I447" s="12">
        <v>0</v>
      </c>
      <c r="J447" s="12">
        <v>1</v>
      </c>
      <c r="K447" s="12">
        <v>18</v>
      </c>
      <c r="L447" s="12">
        <f t="shared" si="91"/>
        <v>18</v>
      </c>
      <c r="M447" s="12">
        <v>5</v>
      </c>
      <c r="N447" s="12" t="s">
        <v>55</v>
      </c>
      <c r="O447" s="12">
        <v>1</v>
      </c>
      <c r="P447" s="12">
        <v>0</v>
      </c>
      <c r="Q447" s="12">
        <v>0</v>
      </c>
      <c r="R447" s="12">
        <v>0</v>
      </c>
      <c r="S447" s="12">
        <v>0</v>
      </c>
      <c r="T447" s="12">
        <v>1</v>
      </c>
      <c r="U447" s="12" t="s">
        <v>19</v>
      </c>
      <c r="V447" s="12">
        <v>1</v>
      </c>
      <c r="W447" s="12">
        <v>83</v>
      </c>
      <c r="X447" s="12">
        <v>3</v>
      </c>
      <c r="Y447" s="12">
        <v>4</v>
      </c>
      <c r="Z447" s="12" t="s">
        <v>87</v>
      </c>
      <c r="AA447" s="12">
        <v>0</v>
      </c>
      <c r="AB447" s="12">
        <v>0</v>
      </c>
      <c r="AC447" s="12">
        <v>0</v>
      </c>
      <c r="AD447" s="12">
        <v>1</v>
      </c>
      <c r="AE447" s="12">
        <v>0</v>
      </c>
      <c r="AF447" s="12">
        <v>0</v>
      </c>
      <c r="AG447" s="12">
        <v>0</v>
      </c>
      <c r="AH447" s="12">
        <v>0</v>
      </c>
      <c r="AI447" s="12">
        <v>2</v>
      </c>
      <c r="AJ447" s="12" t="s">
        <v>57</v>
      </c>
      <c r="AK447" s="12">
        <v>1</v>
      </c>
      <c r="AL447" s="12">
        <v>0</v>
      </c>
      <c r="AM447" s="12">
        <v>16835</v>
      </c>
      <c r="AN447" s="12">
        <f t="shared" si="92"/>
        <v>16835</v>
      </c>
      <c r="AO447" s="12">
        <v>3</v>
      </c>
      <c r="AP447" s="12" t="s">
        <v>59</v>
      </c>
      <c r="AQ447" s="12">
        <v>0</v>
      </c>
      <c r="AR447" s="12">
        <v>23</v>
      </c>
      <c r="AS447" s="12">
        <v>4</v>
      </c>
      <c r="AT447" s="12">
        <v>4</v>
      </c>
      <c r="AU447" s="12">
        <v>0</v>
      </c>
      <c r="AV447" s="12">
        <v>37</v>
      </c>
      <c r="AW447" s="12">
        <f t="shared" si="93"/>
        <v>35</v>
      </c>
      <c r="AX447" s="12">
        <v>2</v>
      </c>
      <c r="AY447" s="12">
        <v>3</v>
      </c>
      <c r="AZ447" s="12">
        <v>10</v>
      </c>
      <c r="BA447" s="12">
        <f t="shared" si="94"/>
        <v>10</v>
      </c>
      <c r="BB447" s="12">
        <v>9</v>
      </c>
      <c r="BC447" s="12">
        <v>7</v>
      </c>
      <c r="BD447" s="12">
        <f t="shared" si="103"/>
        <v>7</v>
      </c>
      <c r="BE447" s="12">
        <v>7</v>
      </c>
      <c r="BF447" s="12">
        <f t="shared" si="95"/>
        <v>7</v>
      </c>
      <c r="BG447" s="12">
        <f t="shared" si="104"/>
        <v>28</v>
      </c>
      <c r="BH447" s="67">
        <v>1</v>
      </c>
      <c r="BI447" s="67">
        <v>0</v>
      </c>
      <c r="BJ447" s="67">
        <v>0</v>
      </c>
      <c r="BK447" s="67">
        <v>0</v>
      </c>
      <c r="BL447" s="67">
        <v>1</v>
      </c>
      <c r="BM447" s="67">
        <v>0</v>
      </c>
      <c r="BN447" s="67">
        <v>0</v>
      </c>
      <c r="BO447" s="67">
        <v>0</v>
      </c>
      <c r="BP447" s="67">
        <v>0</v>
      </c>
      <c r="BQ447" s="67">
        <v>0</v>
      </c>
      <c r="BR447" s="67">
        <v>7</v>
      </c>
      <c r="BS447" s="67">
        <v>0</v>
      </c>
      <c r="BT447" s="67">
        <v>0</v>
      </c>
      <c r="BU447" s="70">
        <v>35</v>
      </c>
      <c r="BV447" s="29">
        <f t="shared" si="96"/>
        <v>2.1945971858909341</v>
      </c>
      <c r="BW447">
        <f t="shared" si="97"/>
        <v>0.80626709607243985</v>
      </c>
      <c r="BX447">
        <f t="shared" si="98"/>
        <v>3.3056329345679663</v>
      </c>
      <c r="BY447">
        <f t="shared" si="99"/>
        <v>0.48834154112957734</v>
      </c>
      <c r="BZ447">
        <f t="shared" si="100"/>
        <v>1.0864228781782561</v>
      </c>
      <c r="CA447">
        <f t="shared" si="101"/>
        <v>1.9787029504251428</v>
      </c>
      <c r="CB447">
        <f t="shared" si="102"/>
        <v>1.4933588878908215</v>
      </c>
    </row>
    <row r="448" spans="1:80" x14ac:dyDescent="0.45">
      <c r="A448" s="11">
        <v>41</v>
      </c>
      <c r="B448" s="12">
        <f t="shared" si="90"/>
        <v>41</v>
      </c>
      <c r="C448" s="12" t="s">
        <v>59</v>
      </c>
      <c r="D448" s="12">
        <v>0</v>
      </c>
      <c r="E448" s="12" t="s">
        <v>86</v>
      </c>
      <c r="F448" s="12">
        <v>0</v>
      </c>
      <c r="G448" s="12">
        <v>0</v>
      </c>
      <c r="H448" s="12" t="s">
        <v>54</v>
      </c>
      <c r="I448" s="12">
        <v>0</v>
      </c>
      <c r="J448" s="12">
        <v>1</v>
      </c>
      <c r="K448" s="12">
        <v>10</v>
      </c>
      <c r="L448" s="12">
        <f t="shared" si="91"/>
        <v>10</v>
      </c>
      <c r="M448" s="12">
        <v>2</v>
      </c>
      <c r="N448" s="12" t="s">
        <v>55</v>
      </c>
      <c r="O448" s="12">
        <v>1</v>
      </c>
      <c r="P448" s="12">
        <v>0</v>
      </c>
      <c r="Q448" s="12">
        <v>0</v>
      </c>
      <c r="R448" s="12">
        <v>0</v>
      </c>
      <c r="S448" s="12">
        <v>0</v>
      </c>
      <c r="T448" s="12">
        <v>4</v>
      </c>
      <c r="U448" s="12" t="s">
        <v>62</v>
      </c>
      <c r="V448" s="12">
        <v>0</v>
      </c>
      <c r="W448" s="12">
        <v>56</v>
      </c>
      <c r="X448" s="12">
        <v>3</v>
      </c>
      <c r="Y448" s="12">
        <v>2</v>
      </c>
      <c r="Z448" s="12" t="s">
        <v>56</v>
      </c>
      <c r="AA448" s="12">
        <v>0</v>
      </c>
      <c r="AB448" s="12">
        <v>1</v>
      </c>
      <c r="AC448" s="12">
        <v>0</v>
      </c>
      <c r="AD448" s="12">
        <v>0</v>
      </c>
      <c r="AE448" s="12">
        <v>0</v>
      </c>
      <c r="AF448" s="12">
        <v>0</v>
      </c>
      <c r="AG448" s="12">
        <v>0</v>
      </c>
      <c r="AH448" s="12">
        <v>0</v>
      </c>
      <c r="AI448" s="12">
        <v>4</v>
      </c>
      <c r="AJ448" s="12" t="s">
        <v>57</v>
      </c>
      <c r="AK448" s="12">
        <v>1</v>
      </c>
      <c r="AL448" s="12">
        <v>0</v>
      </c>
      <c r="AM448" s="12">
        <v>6230</v>
      </c>
      <c r="AN448" s="12">
        <f t="shared" si="92"/>
        <v>6230</v>
      </c>
      <c r="AO448" s="12">
        <v>7</v>
      </c>
      <c r="AP448" s="12" t="s">
        <v>59</v>
      </c>
      <c r="AQ448" s="12">
        <v>0</v>
      </c>
      <c r="AR448" s="12">
        <v>14</v>
      </c>
      <c r="AS448" s="12">
        <v>3</v>
      </c>
      <c r="AT448" s="12">
        <v>4</v>
      </c>
      <c r="AU448" s="12">
        <v>0</v>
      </c>
      <c r="AV448" s="12">
        <v>16</v>
      </c>
      <c r="AW448" s="12">
        <f t="shared" si="93"/>
        <v>16</v>
      </c>
      <c r="AX448" s="12">
        <v>3</v>
      </c>
      <c r="AY448" s="12">
        <v>3</v>
      </c>
      <c r="AZ448" s="12">
        <v>14</v>
      </c>
      <c r="BA448" s="12">
        <f t="shared" si="94"/>
        <v>14</v>
      </c>
      <c r="BB448" s="12">
        <v>3</v>
      </c>
      <c r="BC448" s="12">
        <v>1</v>
      </c>
      <c r="BD448" s="12">
        <f t="shared" si="103"/>
        <v>1</v>
      </c>
      <c r="BE448" s="12">
        <v>10</v>
      </c>
      <c r="BF448" s="12">
        <f t="shared" si="95"/>
        <v>10</v>
      </c>
      <c r="BG448" s="12">
        <f t="shared" si="104"/>
        <v>20</v>
      </c>
      <c r="BH448" s="67">
        <v>1</v>
      </c>
      <c r="BI448" s="67">
        <v>0</v>
      </c>
      <c r="BJ448" s="67">
        <v>0</v>
      </c>
      <c r="BK448" s="67">
        <v>0</v>
      </c>
      <c r="BL448" s="67">
        <v>1</v>
      </c>
      <c r="BM448" s="67">
        <v>0</v>
      </c>
      <c r="BN448" s="67">
        <v>0</v>
      </c>
      <c r="BO448" s="67">
        <v>0</v>
      </c>
      <c r="BP448" s="67">
        <v>0</v>
      </c>
      <c r="BQ448" s="67">
        <v>0</v>
      </c>
      <c r="BR448" s="67">
        <v>10</v>
      </c>
      <c r="BS448" s="67">
        <v>0</v>
      </c>
      <c r="BT448" s="67">
        <v>0</v>
      </c>
      <c r="BU448" s="70">
        <v>16</v>
      </c>
      <c r="BV448" s="29">
        <f t="shared" si="96"/>
        <v>5.7972344499179755E-2</v>
      </c>
      <c r="BW448">
        <f t="shared" si="97"/>
        <v>1.6470421950744405</v>
      </c>
      <c r="BX448">
        <f t="shared" si="98"/>
        <v>0.60667531362816052</v>
      </c>
      <c r="BY448">
        <f t="shared" si="99"/>
        <v>1.1412401909344694</v>
      </c>
      <c r="BZ448">
        <f t="shared" si="100"/>
        <v>9.9604847176766084E-2</v>
      </c>
      <c r="CA448">
        <f t="shared" si="101"/>
        <v>0.4461985578408646</v>
      </c>
      <c r="CB448">
        <f t="shared" si="102"/>
        <v>0.36858985273641137</v>
      </c>
    </row>
    <row r="449" spans="1:80" x14ac:dyDescent="0.45">
      <c r="A449" s="11">
        <v>35</v>
      </c>
      <c r="B449" s="12">
        <f t="shared" si="90"/>
        <v>35</v>
      </c>
      <c r="C449" s="12" t="s">
        <v>59</v>
      </c>
      <c r="D449" s="12">
        <v>0</v>
      </c>
      <c r="E449" s="12" t="s">
        <v>53</v>
      </c>
      <c r="F449" s="12">
        <v>0</v>
      </c>
      <c r="G449" s="12">
        <v>1</v>
      </c>
      <c r="H449" s="12" t="s">
        <v>54</v>
      </c>
      <c r="I449" s="12">
        <v>0</v>
      </c>
      <c r="J449" s="12">
        <v>1</v>
      </c>
      <c r="K449" s="12">
        <v>1</v>
      </c>
      <c r="L449" s="12">
        <f t="shared" si="91"/>
        <v>1</v>
      </c>
      <c r="M449" s="12">
        <v>3</v>
      </c>
      <c r="N449" s="12" t="s">
        <v>90</v>
      </c>
      <c r="O449" s="12">
        <v>0</v>
      </c>
      <c r="P449" s="12">
        <v>0</v>
      </c>
      <c r="Q449" s="12">
        <v>0</v>
      </c>
      <c r="R449" s="12">
        <v>1</v>
      </c>
      <c r="S449" s="12">
        <v>0</v>
      </c>
      <c r="T449" s="12">
        <v>2</v>
      </c>
      <c r="U449" s="12" t="s">
        <v>62</v>
      </c>
      <c r="V449" s="12">
        <v>0</v>
      </c>
      <c r="W449" s="12">
        <v>85</v>
      </c>
      <c r="X449" s="12">
        <v>3</v>
      </c>
      <c r="Y449" s="12">
        <v>2</v>
      </c>
      <c r="Z449" s="12" t="s">
        <v>56</v>
      </c>
      <c r="AA449" s="12">
        <v>0</v>
      </c>
      <c r="AB449" s="12">
        <v>1</v>
      </c>
      <c r="AC449" s="12">
        <v>0</v>
      </c>
      <c r="AD449" s="12">
        <v>0</v>
      </c>
      <c r="AE449" s="12">
        <v>0</v>
      </c>
      <c r="AF449" s="12">
        <v>0</v>
      </c>
      <c r="AG449" s="12">
        <v>0</v>
      </c>
      <c r="AH449" s="12">
        <v>0</v>
      </c>
      <c r="AI449" s="12">
        <v>3</v>
      </c>
      <c r="AJ449" s="12" t="s">
        <v>64</v>
      </c>
      <c r="AK449" s="12">
        <v>0</v>
      </c>
      <c r="AL449" s="12">
        <v>1</v>
      </c>
      <c r="AM449" s="12">
        <v>4717</v>
      </c>
      <c r="AN449" s="12">
        <f t="shared" si="92"/>
        <v>4717</v>
      </c>
      <c r="AO449" s="12">
        <v>9</v>
      </c>
      <c r="AP449" s="12" t="s">
        <v>59</v>
      </c>
      <c r="AQ449" s="12">
        <v>0</v>
      </c>
      <c r="AR449" s="12">
        <v>11</v>
      </c>
      <c r="AS449" s="12">
        <v>3</v>
      </c>
      <c r="AT449" s="12">
        <v>3</v>
      </c>
      <c r="AU449" s="12">
        <v>0</v>
      </c>
      <c r="AV449" s="12">
        <v>15</v>
      </c>
      <c r="AW449" s="12">
        <f t="shared" si="93"/>
        <v>15</v>
      </c>
      <c r="AX449" s="12">
        <v>2</v>
      </c>
      <c r="AY449" s="12">
        <v>3</v>
      </c>
      <c r="AZ449" s="12">
        <v>11</v>
      </c>
      <c r="BA449" s="12">
        <f t="shared" si="94"/>
        <v>11</v>
      </c>
      <c r="BB449" s="12">
        <v>9</v>
      </c>
      <c r="BC449" s="12">
        <v>6</v>
      </c>
      <c r="BD449" s="12">
        <f t="shared" si="103"/>
        <v>6</v>
      </c>
      <c r="BE449" s="12">
        <v>9</v>
      </c>
      <c r="BF449" s="12">
        <f t="shared" si="95"/>
        <v>9</v>
      </c>
      <c r="BG449" s="12">
        <f t="shared" si="104"/>
        <v>18</v>
      </c>
      <c r="BH449" s="67">
        <v>0</v>
      </c>
      <c r="BI449" s="67">
        <v>1</v>
      </c>
      <c r="BJ449" s="67">
        <v>0</v>
      </c>
      <c r="BK449" s="67">
        <v>0</v>
      </c>
      <c r="BL449" s="67">
        <v>0</v>
      </c>
      <c r="BM449" s="67">
        <v>0</v>
      </c>
      <c r="BN449" s="67">
        <v>1</v>
      </c>
      <c r="BO449" s="67">
        <v>0</v>
      </c>
      <c r="BP449" s="67">
        <v>0</v>
      </c>
      <c r="BQ449" s="67">
        <v>0</v>
      </c>
      <c r="BR449" s="67">
        <v>9</v>
      </c>
      <c r="BS449" s="67">
        <v>0</v>
      </c>
      <c r="BT449" s="67">
        <v>0</v>
      </c>
      <c r="BU449" s="70">
        <v>15</v>
      </c>
      <c r="BV449" s="29">
        <f t="shared" si="96"/>
        <v>0.37934317896219177</v>
      </c>
      <c r="BW449">
        <f t="shared" si="97"/>
        <v>1.3667838287404401</v>
      </c>
      <c r="BX449">
        <f t="shared" si="98"/>
        <v>0.47815352215483642</v>
      </c>
      <c r="BY449">
        <f t="shared" si="99"/>
        <v>0.65156620358080031</v>
      </c>
      <c r="BZ449">
        <f t="shared" si="100"/>
        <v>1.01056543769991</v>
      </c>
      <c r="CA449">
        <f t="shared" si="101"/>
        <v>0.21058903898096887</v>
      </c>
      <c r="CB449">
        <f t="shared" si="102"/>
        <v>1.1830340977862825</v>
      </c>
    </row>
    <row r="450" spans="1:80" x14ac:dyDescent="0.45">
      <c r="A450" s="11">
        <v>40</v>
      </c>
      <c r="B450" s="12">
        <f t="shared" ref="B450:B513" si="105">IF(A450&gt;$CD$29,$CD$29,IF(A450&lt;$CD$30,$CD$30,A450))</f>
        <v>40</v>
      </c>
      <c r="C450" s="12" t="s">
        <v>59</v>
      </c>
      <c r="D450" s="12">
        <v>0</v>
      </c>
      <c r="E450" s="12" t="s">
        <v>53</v>
      </c>
      <c r="F450" s="12">
        <v>0</v>
      </c>
      <c r="G450" s="12">
        <v>1</v>
      </c>
      <c r="H450" s="12" t="s">
        <v>61</v>
      </c>
      <c r="I450" s="12">
        <v>1</v>
      </c>
      <c r="J450" s="12">
        <v>0</v>
      </c>
      <c r="K450" s="12">
        <v>6</v>
      </c>
      <c r="L450" s="12">
        <f t="shared" ref="L450:L513" si="106">IF(K450&gt;$CD$25,$CD$25,IF(K450&lt;$CD$26,$CD$26,K450))</f>
        <v>6</v>
      </c>
      <c r="M450" s="12">
        <v>3</v>
      </c>
      <c r="N450" s="12" t="s">
        <v>55</v>
      </c>
      <c r="O450" s="12">
        <v>1</v>
      </c>
      <c r="P450" s="12">
        <v>0</v>
      </c>
      <c r="Q450" s="12">
        <v>0</v>
      </c>
      <c r="R450" s="12">
        <v>0</v>
      </c>
      <c r="S450" s="12">
        <v>0</v>
      </c>
      <c r="T450" s="12">
        <v>2</v>
      </c>
      <c r="U450" s="12" t="s">
        <v>19</v>
      </c>
      <c r="V450" s="12">
        <v>1</v>
      </c>
      <c r="W450" s="12">
        <v>75</v>
      </c>
      <c r="X450" s="12">
        <v>3</v>
      </c>
      <c r="Y450" s="12">
        <v>4</v>
      </c>
      <c r="Z450" s="12" t="s">
        <v>83</v>
      </c>
      <c r="AA450" s="12">
        <v>0</v>
      </c>
      <c r="AB450" s="12">
        <v>0</v>
      </c>
      <c r="AC450" s="12">
        <v>0</v>
      </c>
      <c r="AD450" s="12">
        <v>0</v>
      </c>
      <c r="AE450" s="12">
        <v>1</v>
      </c>
      <c r="AF450" s="12">
        <v>1</v>
      </c>
      <c r="AG450" s="12">
        <v>0</v>
      </c>
      <c r="AH450" s="12">
        <v>0</v>
      </c>
      <c r="AI450" s="12">
        <v>3</v>
      </c>
      <c r="AJ450" s="12" t="s">
        <v>57</v>
      </c>
      <c r="AK450" s="12">
        <v>1</v>
      </c>
      <c r="AL450" s="12">
        <v>0</v>
      </c>
      <c r="AM450" s="12">
        <v>13237</v>
      </c>
      <c r="AN450" s="12">
        <f t="shared" ref="AN450:AN513" si="107">IF(AM450&gt;$CD$8,$CD$8,IF(AM450&lt;$CD$9,$CD$9,AM450))</f>
        <v>13237</v>
      </c>
      <c r="AO450" s="12">
        <v>7</v>
      </c>
      <c r="AP450" s="12" t="s">
        <v>59</v>
      </c>
      <c r="AQ450" s="12">
        <v>0</v>
      </c>
      <c r="AR450" s="12">
        <v>15</v>
      </c>
      <c r="AS450" s="12">
        <v>3</v>
      </c>
      <c r="AT450" s="12">
        <v>3</v>
      </c>
      <c r="AU450" s="12">
        <v>0</v>
      </c>
      <c r="AV450" s="12">
        <v>22</v>
      </c>
      <c r="AW450" s="12">
        <f t="shared" ref="AW450:AW513" si="108">IF(AV450&gt;$CD$17,$CD$17,IF(AV450&lt;$CD$18,$CD$18,AV450))</f>
        <v>22</v>
      </c>
      <c r="AX450" s="12">
        <v>3</v>
      </c>
      <c r="AY450" s="12">
        <v>3</v>
      </c>
      <c r="AZ450" s="12">
        <v>20</v>
      </c>
      <c r="BA450" s="12">
        <f t="shared" ref="BA450:BA513" si="109">IF(AZ450&gt; $CD$21,$CD$21,IF(AZ450&lt;$CD$22,$CD$22,AZ450))</f>
        <v>20</v>
      </c>
      <c r="BB450" s="12">
        <v>6</v>
      </c>
      <c r="BC450" s="12">
        <v>5</v>
      </c>
      <c r="BD450" s="12">
        <f t="shared" si="103"/>
        <v>5</v>
      </c>
      <c r="BE450" s="12">
        <v>13</v>
      </c>
      <c r="BF450" s="12">
        <f t="shared" ref="BF450:BF513" si="110">IF(BE450&gt;$CD$12,$CD$12,IF(BE450&lt;$CD$13,$CD$13,BE450))</f>
        <v>13</v>
      </c>
      <c r="BG450" s="12">
        <f t="shared" si="104"/>
        <v>52</v>
      </c>
      <c r="BH450" s="67">
        <v>1</v>
      </c>
      <c r="BI450" s="67">
        <v>0</v>
      </c>
      <c r="BJ450" s="67">
        <v>0</v>
      </c>
      <c r="BK450" s="67">
        <v>0</v>
      </c>
      <c r="BL450" s="67">
        <v>1</v>
      </c>
      <c r="BM450" s="67">
        <v>0</v>
      </c>
      <c r="BN450" s="67">
        <v>0</v>
      </c>
      <c r="BO450" s="67">
        <v>0</v>
      </c>
      <c r="BP450" s="67">
        <v>0</v>
      </c>
      <c r="BQ450" s="67">
        <v>13</v>
      </c>
      <c r="BR450" s="67">
        <v>0</v>
      </c>
      <c r="BS450" s="67">
        <v>0</v>
      </c>
      <c r="BT450" s="67">
        <v>22</v>
      </c>
      <c r="BU450" s="70">
        <v>0</v>
      </c>
      <c r="BV450" s="29">
        <f t="shared" ref="BV450:BV513" si="111">ABS((AM450-AVERAGE(AM:AM))/_xlfn.STDEV.S(AM:AM))</f>
        <v>1.4303590745902619</v>
      </c>
      <c r="BW450">
        <f t="shared" ref="BW450:BW513" si="112">ABS((BE450-AVERAGE(BE:BE))/_xlfn.STDEV.S(BE:BE))</f>
        <v>2.4878172940764407</v>
      </c>
      <c r="BX450">
        <f t="shared" ref="BX450:BX513" si="113">ABS((AV450-AVERAGE(AV:AV))/_xlfn.STDEV.S(AV:AV))</f>
        <v>1.3778060624681052</v>
      </c>
      <c r="BY450">
        <f t="shared" ref="BY450:BY513" si="114">ABS((AZ450-AVERAGE(AZ:AZ))/_xlfn.STDEV.S(AZ:AZ))</f>
        <v>2.1205881656418071</v>
      </c>
      <c r="BZ450">
        <f t="shared" ref="BZ450:BZ513" si="115">ABS((K450-AVERAGE(K:K))/_xlfn.STDEV.S(K:K))</f>
        <v>0.39380416832397891</v>
      </c>
      <c r="CA450">
        <f t="shared" ref="CA450:CA513" si="116">ABS((A450-AVERAGE(A:A))/_xlfn.STDEV.S(A:A))</f>
        <v>0.33673395837055903</v>
      </c>
      <c r="CB450">
        <f t="shared" ref="CB450:CB513" si="117">ABS((BC450-AVERAGE(BC:BC))/_xlfn.STDEV.S(BC:BC))</f>
        <v>0.87270930768174382</v>
      </c>
    </row>
    <row r="451" spans="1:80" x14ac:dyDescent="0.45">
      <c r="A451" s="11">
        <v>39</v>
      </c>
      <c r="B451" s="12">
        <f t="shared" si="105"/>
        <v>39</v>
      </c>
      <c r="C451" s="12" t="s">
        <v>59</v>
      </c>
      <c r="D451" s="12">
        <v>0</v>
      </c>
      <c r="E451" s="12" t="s">
        <v>60</v>
      </c>
      <c r="F451" s="12">
        <v>1</v>
      </c>
      <c r="G451" s="12">
        <v>0</v>
      </c>
      <c r="H451" s="12" t="s">
        <v>61</v>
      </c>
      <c r="I451" s="12">
        <v>1</v>
      </c>
      <c r="J451" s="12">
        <v>0</v>
      </c>
      <c r="K451" s="12">
        <v>8</v>
      </c>
      <c r="L451" s="12">
        <f t="shared" si="106"/>
        <v>8</v>
      </c>
      <c r="M451" s="12">
        <v>1</v>
      </c>
      <c r="N451" s="12" t="s">
        <v>55</v>
      </c>
      <c r="O451" s="12">
        <v>1</v>
      </c>
      <c r="P451" s="12">
        <v>0</v>
      </c>
      <c r="Q451" s="12">
        <v>0</v>
      </c>
      <c r="R451" s="12">
        <v>0</v>
      </c>
      <c r="S451" s="12">
        <v>0</v>
      </c>
      <c r="T451" s="12">
        <v>3</v>
      </c>
      <c r="U451" s="12" t="s">
        <v>19</v>
      </c>
      <c r="V451" s="12">
        <v>1</v>
      </c>
      <c r="W451" s="12">
        <v>48</v>
      </c>
      <c r="X451" s="12">
        <v>3</v>
      </c>
      <c r="Y451" s="12">
        <v>1</v>
      </c>
      <c r="Z451" s="12" t="s">
        <v>67</v>
      </c>
      <c r="AA451" s="12">
        <v>0</v>
      </c>
      <c r="AB451" s="12">
        <v>0</v>
      </c>
      <c r="AC451" s="12">
        <v>1</v>
      </c>
      <c r="AD451" s="12">
        <v>0</v>
      </c>
      <c r="AE451" s="12">
        <v>0</v>
      </c>
      <c r="AF451" s="12">
        <v>0</v>
      </c>
      <c r="AG451" s="12">
        <v>0</v>
      </c>
      <c r="AH451" s="12">
        <v>0</v>
      </c>
      <c r="AI451" s="12">
        <v>3</v>
      </c>
      <c r="AJ451" s="12" t="s">
        <v>64</v>
      </c>
      <c r="AK451" s="12">
        <v>0</v>
      </c>
      <c r="AL451" s="12">
        <v>1</v>
      </c>
      <c r="AM451" s="12">
        <v>3755</v>
      </c>
      <c r="AN451" s="12">
        <f t="shared" si="107"/>
        <v>3755</v>
      </c>
      <c r="AO451" s="12">
        <v>1</v>
      </c>
      <c r="AP451" s="12" t="s">
        <v>59</v>
      </c>
      <c r="AQ451" s="12">
        <v>0</v>
      </c>
      <c r="AR451" s="12">
        <v>11</v>
      </c>
      <c r="AS451" s="12">
        <v>3</v>
      </c>
      <c r="AT451" s="12">
        <v>1</v>
      </c>
      <c r="AU451" s="12">
        <v>1</v>
      </c>
      <c r="AV451" s="12">
        <v>8</v>
      </c>
      <c r="AW451" s="12">
        <f t="shared" si="108"/>
        <v>8</v>
      </c>
      <c r="AX451" s="12">
        <v>3</v>
      </c>
      <c r="AY451" s="12">
        <v>3</v>
      </c>
      <c r="AZ451" s="12">
        <v>8</v>
      </c>
      <c r="BA451" s="12">
        <f t="shared" si="109"/>
        <v>8</v>
      </c>
      <c r="BB451" s="12">
        <v>3</v>
      </c>
      <c r="BC451" s="12">
        <v>0</v>
      </c>
      <c r="BD451" s="12">
        <f t="shared" ref="BD451:BD514" si="118">IF(BC451&gt;$CD$33,$CD$33,BC451)</f>
        <v>0</v>
      </c>
      <c r="BE451" s="12">
        <v>7</v>
      </c>
      <c r="BF451" s="12">
        <f t="shared" si="110"/>
        <v>7</v>
      </c>
      <c r="BG451" s="12">
        <f t="shared" ref="BG451:BG514" si="119">BF451*Y451</f>
        <v>7</v>
      </c>
      <c r="BH451" s="67">
        <v>0</v>
      </c>
      <c r="BI451" s="67">
        <v>0</v>
      </c>
      <c r="BJ451" s="67">
        <v>0</v>
      </c>
      <c r="BK451" s="67">
        <v>1</v>
      </c>
      <c r="BL451" s="67">
        <v>0</v>
      </c>
      <c r="BM451" s="67">
        <v>0</v>
      </c>
      <c r="BN451" s="67">
        <v>1</v>
      </c>
      <c r="BO451" s="67">
        <v>0</v>
      </c>
      <c r="BP451" s="67">
        <v>0</v>
      </c>
      <c r="BQ451" s="67">
        <v>7</v>
      </c>
      <c r="BR451" s="67">
        <v>0</v>
      </c>
      <c r="BS451" s="67">
        <v>0</v>
      </c>
      <c r="BT451" s="67">
        <v>8</v>
      </c>
      <c r="BU451" s="70">
        <v>0</v>
      </c>
      <c r="BV451" s="29">
        <f t="shared" si="111"/>
        <v>0.58367810477410031</v>
      </c>
      <c r="BW451">
        <f t="shared" si="112"/>
        <v>0.80626709607243985</v>
      </c>
      <c r="BX451">
        <f t="shared" si="113"/>
        <v>0.42149901815843233</v>
      </c>
      <c r="BY451">
        <f t="shared" si="114"/>
        <v>0.16189221622713135</v>
      </c>
      <c r="BZ451">
        <f t="shared" si="115"/>
        <v>0.14709966057360641</v>
      </c>
      <c r="CA451">
        <f t="shared" si="116"/>
        <v>0.22726935890025346</v>
      </c>
      <c r="CB451">
        <f t="shared" si="117"/>
        <v>0.67891464284095016</v>
      </c>
    </row>
    <row r="452" spans="1:80" x14ac:dyDescent="0.45">
      <c r="A452" s="11">
        <v>31</v>
      </c>
      <c r="B452" s="12">
        <f t="shared" si="105"/>
        <v>31</v>
      </c>
      <c r="C452" s="12" t="s">
        <v>59</v>
      </c>
      <c r="D452" s="12">
        <v>0</v>
      </c>
      <c r="E452" s="12" t="s">
        <v>53</v>
      </c>
      <c r="F452" s="12">
        <v>0</v>
      </c>
      <c r="G452" s="12">
        <v>1</v>
      </c>
      <c r="H452" s="12" t="s">
        <v>54</v>
      </c>
      <c r="I452" s="12">
        <v>0</v>
      </c>
      <c r="J452" s="12">
        <v>1</v>
      </c>
      <c r="K452" s="12">
        <v>2</v>
      </c>
      <c r="L452" s="12">
        <f t="shared" si="106"/>
        <v>2</v>
      </c>
      <c r="M452" s="12">
        <v>1</v>
      </c>
      <c r="N452" s="12" t="s">
        <v>55</v>
      </c>
      <c r="O452" s="12">
        <v>1</v>
      </c>
      <c r="P452" s="12">
        <v>0</v>
      </c>
      <c r="Q452" s="12">
        <v>0</v>
      </c>
      <c r="R452" s="12">
        <v>0</v>
      </c>
      <c r="S452" s="12">
        <v>0</v>
      </c>
      <c r="T452" s="12">
        <v>2</v>
      </c>
      <c r="U452" s="12" t="s">
        <v>62</v>
      </c>
      <c r="V452" s="12">
        <v>0</v>
      </c>
      <c r="W452" s="12">
        <v>77</v>
      </c>
      <c r="X452" s="12">
        <v>3</v>
      </c>
      <c r="Y452" s="12">
        <v>2</v>
      </c>
      <c r="Z452" s="12" t="s">
        <v>56</v>
      </c>
      <c r="AA452" s="12">
        <v>0</v>
      </c>
      <c r="AB452" s="12">
        <v>1</v>
      </c>
      <c r="AC452" s="12">
        <v>0</v>
      </c>
      <c r="AD452" s="12">
        <v>0</v>
      </c>
      <c r="AE452" s="12">
        <v>0</v>
      </c>
      <c r="AF452" s="12">
        <v>0</v>
      </c>
      <c r="AG452" s="12">
        <v>0</v>
      </c>
      <c r="AH452" s="12">
        <v>0</v>
      </c>
      <c r="AI452" s="12">
        <v>4</v>
      </c>
      <c r="AJ452" s="12" t="s">
        <v>57</v>
      </c>
      <c r="AK452" s="12">
        <v>1</v>
      </c>
      <c r="AL452" s="12">
        <v>0</v>
      </c>
      <c r="AM452" s="12">
        <v>6582</v>
      </c>
      <c r="AN452" s="12">
        <f t="shared" si="107"/>
        <v>6582</v>
      </c>
      <c r="AO452" s="12">
        <v>4</v>
      </c>
      <c r="AP452" s="12" t="s">
        <v>52</v>
      </c>
      <c r="AQ452" s="12">
        <v>1</v>
      </c>
      <c r="AR452" s="12">
        <v>13</v>
      </c>
      <c r="AS452" s="12">
        <v>3</v>
      </c>
      <c r="AT452" s="12">
        <v>3</v>
      </c>
      <c r="AU452" s="12">
        <v>0</v>
      </c>
      <c r="AV452" s="12">
        <v>10</v>
      </c>
      <c r="AW452" s="12">
        <f t="shared" si="108"/>
        <v>10</v>
      </c>
      <c r="AX452" s="12">
        <v>2</v>
      </c>
      <c r="AY452" s="12">
        <v>4</v>
      </c>
      <c r="AZ452" s="12">
        <v>6</v>
      </c>
      <c r="BA452" s="12">
        <f t="shared" si="109"/>
        <v>6</v>
      </c>
      <c r="BB452" s="12">
        <v>5</v>
      </c>
      <c r="BC452" s="12">
        <v>0</v>
      </c>
      <c r="BD452" s="12">
        <f t="shared" si="118"/>
        <v>0</v>
      </c>
      <c r="BE452" s="12">
        <v>5</v>
      </c>
      <c r="BF452" s="12">
        <f t="shared" si="110"/>
        <v>5</v>
      </c>
      <c r="BG452" s="12">
        <f t="shared" si="119"/>
        <v>10</v>
      </c>
      <c r="BH452" s="67">
        <v>1</v>
      </c>
      <c r="BI452" s="67">
        <v>0</v>
      </c>
      <c r="BJ452" s="67">
        <v>0</v>
      </c>
      <c r="BK452" s="67">
        <v>0</v>
      </c>
      <c r="BL452" s="67">
        <v>0</v>
      </c>
      <c r="BM452" s="67">
        <v>1</v>
      </c>
      <c r="BN452" s="67">
        <v>0</v>
      </c>
      <c r="BO452" s="67">
        <v>0</v>
      </c>
      <c r="BP452" s="67">
        <v>0</v>
      </c>
      <c r="BQ452" s="67">
        <v>0</v>
      </c>
      <c r="BR452" s="67">
        <v>5</v>
      </c>
      <c r="BS452" s="67">
        <v>0</v>
      </c>
      <c r="BT452" s="67">
        <v>0</v>
      </c>
      <c r="BU452" s="70">
        <v>10</v>
      </c>
      <c r="BV452" s="29">
        <f t="shared" si="111"/>
        <v>1.679469696214227E-2</v>
      </c>
      <c r="BW452">
        <f t="shared" si="112"/>
        <v>0.24575036340443959</v>
      </c>
      <c r="BX452">
        <f t="shared" si="113"/>
        <v>0.1644554352117841</v>
      </c>
      <c r="BY452">
        <f t="shared" si="114"/>
        <v>0.16455710867531462</v>
      </c>
      <c r="BZ452">
        <f t="shared" si="115"/>
        <v>0.88721318382472392</v>
      </c>
      <c r="CA452">
        <f t="shared" si="116"/>
        <v>0.6484474368621912</v>
      </c>
      <c r="CB452">
        <f t="shared" si="117"/>
        <v>0.67891464284095016</v>
      </c>
    </row>
    <row r="453" spans="1:80" x14ac:dyDescent="0.45">
      <c r="A453" s="11">
        <v>42</v>
      </c>
      <c r="B453" s="12">
        <f t="shared" si="105"/>
        <v>42</v>
      </c>
      <c r="C453" s="12" t="s">
        <v>59</v>
      </c>
      <c r="D453" s="12">
        <v>0</v>
      </c>
      <c r="E453" s="12" t="s">
        <v>53</v>
      </c>
      <c r="F453" s="12">
        <v>0</v>
      </c>
      <c r="G453" s="12">
        <v>1</v>
      </c>
      <c r="H453" s="12" t="s">
        <v>61</v>
      </c>
      <c r="I453" s="12">
        <v>1</v>
      </c>
      <c r="J453" s="12">
        <v>0</v>
      </c>
      <c r="K453" s="12">
        <v>24</v>
      </c>
      <c r="L453" s="12">
        <f t="shared" si="106"/>
        <v>24</v>
      </c>
      <c r="M453" s="12">
        <v>3</v>
      </c>
      <c r="N453" s="12" t="s">
        <v>70</v>
      </c>
      <c r="O453" s="12">
        <v>0</v>
      </c>
      <c r="P453" s="12">
        <v>0</v>
      </c>
      <c r="Q453" s="12">
        <v>1</v>
      </c>
      <c r="R453" s="12">
        <v>0</v>
      </c>
      <c r="S453" s="12">
        <v>0</v>
      </c>
      <c r="T453" s="12">
        <v>4</v>
      </c>
      <c r="U453" s="12" t="s">
        <v>62</v>
      </c>
      <c r="V453" s="12">
        <v>0</v>
      </c>
      <c r="W453" s="12">
        <v>56</v>
      </c>
      <c r="X453" s="12">
        <v>3</v>
      </c>
      <c r="Y453" s="12">
        <v>3</v>
      </c>
      <c r="Z453" s="12" t="s">
        <v>83</v>
      </c>
      <c r="AA453" s="12">
        <v>0</v>
      </c>
      <c r="AB453" s="12">
        <v>0</v>
      </c>
      <c r="AC453" s="12">
        <v>0</v>
      </c>
      <c r="AD453" s="12">
        <v>0</v>
      </c>
      <c r="AE453" s="12">
        <v>1</v>
      </c>
      <c r="AF453" s="12">
        <v>1</v>
      </c>
      <c r="AG453" s="12">
        <v>0</v>
      </c>
      <c r="AH453" s="12">
        <v>0</v>
      </c>
      <c r="AI453" s="12">
        <v>1</v>
      </c>
      <c r="AJ453" s="12" t="s">
        <v>64</v>
      </c>
      <c r="AK453" s="12">
        <v>0</v>
      </c>
      <c r="AL453" s="12">
        <v>1</v>
      </c>
      <c r="AM453" s="12">
        <v>7406</v>
      </c>
      <c r="AN453" s="12">
        <f t="shared" si="107"/>
        <v>7406</v>
      </c>
      <c r="AO453" s="12">
        <v>1</v>
      </c>
      <c r="AP453" s="12" t="s">
        <v>52</v>
      </c>
      <c r="AQ453" s="12">
        <v>1</v>
      </c>
      <c r="AR453" s="12">
        <v>21</v>
      </c>
      <c r="AS453" s="12">
        <v>4</v>
      </c>
      <c r="AT453" s="12">
        <v>4</v>
      </c>
      <c r="AU453" s="12">
        <v>1</v>
      </c>
      <c r="AV453" s="12">
        <v>10</v>
      </c>
      <c r="AW453" s="12">
        <f t="shared" si="108"/>
        <v>10</v>
      </c>
      <c r="AX453" s="12">
        <v>5</v>
      </c>
      <c r="AY453" s="12">
        <v>2</v>
      </c>
      <c r="AZ453" s="12">
        <v>10</v>
      </c>
      <c r="BA453" s="12">
        <f t="shared" si="109"/>
        <v>10</v>
      </c>
      <c r="BB453" s="12">
        <v>9</v>
      </c>
      <c r="BC453" s="12">
        <v>5</v>
      </c>
      <c r="BD453" s="12">
        <f t="shared" si="118"/>
        <v>5</v>
      </c>
      <c r="BE453" s="12">
        <v>8</v>
      </c>
      <c r="BF453" s="12">
        <f t="shared" si="110"/>
        <v>8</v>
      </c>
      <c r="BG453" s="12">
        <f t="shared" si="119"/>
        <v>24</v>
      </c>
      <c r="BH453" s="67">
        <v>0</v>
      </c>
      <c r="BI453" s="67">
        <v>1</v>
      </c>
      <c r="BJ453" s="67">
        <v>0</v>
      </c>
      <c r="BK453" s="67">
        <v>0</v>
      </c>
      <c r="BL453" s="67">
        <v>0</v>
      </c>
      <c r="BM453" s="67">
        <v>0</v>
      </c>
      <c r="BN453" s="67">
        <v>0</v>
      </c>
      <c r="BO453" s="67">
        <v>1</v>
      </c>
      <c r="BP453" s="67">
        <v>0</v>
      </c>
      <c r="BQ453" s="67">
        <v>8</v>
      </c>
      <c r="BR453" s="67">
        <v>0</v>
      </c>
      <c r="BS453" s="67">
        <v>0</v>
      </c>
      <c r="BT453" s="67">
        <v>10</v>
      </c>
      <c r="BU453" s="70">
        <v>0</v>
      </c>
      <c r="BV453" s="29">
        <f t="shared" si="111"/>
        <v>0.19181754401932793</v>
      </c>
      <c r="BW453">
        <f t="shared" si="112"/>
        <v>1.08652546240644</v>
      </c>
      <c r="BX453">
        <f t="shared" si="113"/>
        <v>0.1644554352117841</v>
      </c>
      <c r="BY453">
        <f t="shared" si="114"/>
        <v>0.48834154112957734</v>
      </c>
      <c r="BZ453">
        <f t="shared" si="115"/>
        <v>1.8265364014293735</v>
      </c>
      <c r="CA453">
        <f t="shared" si="116"/>
        <v>0.55566315731117022</v>
      </c>
      <c r="CB453">
        <f t="shared" si="117"/>
        <v>0.87270930768174382</v>
      </c>
    </row>
    <row r="454" spans="1:80" x14ac:dyDescent="0.45">
      <c r="A454" s="11">
        <v>45</v>
      </c>
      <c r="B454" s="12">
        <f t="shared" si="105"/>
        <v>45</v>
      </c>
      <c r="C454" s="12" t="s">
        <v>59</v>
      </c>
      <c r="D454" s="12">
        <v>0</v>
      </c>
      <c r="E454" s="12" t="s">
        <v>53</v>
      </c>
      <c r="F454" s="12">
        <v>0</v>
      </c>
      <c r="G454" s="12">
        <v>1</v>
      </c>
      <c r="H454" s="12" t="s">
        <v>54</v>
      </c>
      <c r="I454" s="12">
        <v>0</v>
      </c>
      <c r="J454" s="12">
        <v>1</v>
      </c>
      <c r="K454" s="12">
        <v>2</v>
      </c>
      <c r="L454" s="12">
        <f t="shared" si="106"/>
        <v>2</v>
      </c>
      <c r="M454" s="12">
        <v>3</v>
      </c>
      <c r="N454" s="12" t="s">
        <v>66</v>
      </c>
      <c r="O454" s="12">
        <v>0</v>
      </c>
      <c r="P454" s="12">
        <v>1</v>
      </c>
      <c r="Q454" s="12">
        <v>0</v>
      </c>
      <c r="R454" s="12">
        <v>0</v>
      </c>
      <c r="S454" s="12">
        <v>0</v>
      </c>
      <c r="T454" s="12">
        <v>4</v>
      </c>
      <c r="U454" s="12" t="s">
        <v>62</v>
      </c>
      <c r="V454" s="12">
        <v>0</v>
      </c>
      <c r="W454" s="12">
        <v>61</v>
      </c>
      <c r="X454" s="12">
        <v>3</v>
      </c>
      <c r="Y454" s="12">
        <v>2</v>
      </c>
      <c r="Z454" s="12" t="s">
        <v>56</v>
      </c>
      <c r="AA454" s="12">
        <v>0</v>
      </c>
      <c r="AB454" s="12">
        <v>1</v>
      </c>
      <c r="AC454" s="12">
        <v>0</v>
      </c>
      <c r="AD454" s="12">
        <v>0</v>
      </c>
      <c r="AE454" s="12">
        <v>0</v>
      </c>
      <c r="AF454" s="12">
        <v>0</v>
      </c>
      <c r="AG454" s="12">
        <v>0</v>
      </c>
      <c r="AH454" s="12">
        <v>0</v>
      </c>
      <c r="AI454" s="12">
        <v>2</v>
      </c>
      <c r="AJ454" s="12" t="s">
        <v>64</v>
      </c>
      <c r="AK454" s="12">
        <v>0</v>
      </c>
      <c r="AL454" s="12">
        <v>1</v>
      </c>
      <c r="AM454" s="12">
        <v>4805</v>
      </c>
      <c r="AN454" s="12">
        <f t="shared" si="107"/>
        <v>4805</v>
      </c>
      <c r="AO454" s="12">
        <v>0</v>
      </c>
      <c r="AP454" s="12" t="s">
        <v>59</v>
      </c>
      <c r="AQ454" s="12">
        <v>0</v>
      </c>
      <c r="AR454" s="12">
        <v>19</v>
      </c>
      <c r="AS454" s="12">
        <v>3</v>
      </c>
      <c r="AT454" s="12">
        <v>2</v>
      </c>
      <c r="AU454" s="12">
        <v>1</v>
      </c>
      <c r="AV454" s="12">
        <v>9</v>
      </c>
      <c r="AW454" s="12">
        <f t="shared" si="108"/>
        <v>9</v>
      </c>
      <c r="AX454" s="12">
        <v>3</v>
      </c>
      <c r="AY454" s="12">
        <v>4</v>
      </c>
      <c r="AZ454" s="12">
        <v>8</v>
      </c>
      <c r="BA454" s="12">
        <f t="shared" si="109"/>
        <v>8</v>
      </c>
      <c r="BB454" s="12">
        <v>7</v>
      </c>
      <c r="BC454" s="12">
        <v>3</v>
      </c>
      <c r="BD454" s="12">
        <f t="shared" si="118"/>
        <v>3</v>
      </c>
      <c r="BE454" s="12">
        <v>7</v>
      </c>
      <c r="BF454" s="12">
        <f t="shared" si="110"/>
        <v>7</v>
      </c>
      <c r="BG454" s="12">
        <f t="shared" si="119"/>
        <v>14</v>
      </c>
      <c r="BH454" s="67">
        <v>0</v>
      </c>
      <c r="BI454" s="67">
        <v>1</v>
      </c>
      <c r="BJ454" s="67">
        <v>0</v>
      </c>
      <c r="BK454" s="67">
        <v>0</v>
      </c>
      <c r="BL454" s="67">
        <v>0</v>
      </c>
      <c r="BM454" s="67">
        <v>0</v>
      </c>
      <c r="BN454" s="67">
        <v>1</v>
      </c>
      <c r="BO454" s="67">
        <v>0</v>
      </c>
      <c r="BP454" s="67">
        <v>0</v>
      </c>
      <c r="BQ454" s="67">
        <v>0</v>
      </c>
      <c r="BR454" s="67">
        <v>7</v>
      </c>
      <c r="BS454" s="67">
        <v>0</v>
      </c>
      <c r="BT454" s="67">
        <v>0</v>
      </c>
      <c r="BU454" s="70">
        <v>9</v>
      </c>
      <c r="BV454" s="29">
        <f t="shared" si="111"/>
        <v>0.36065141859686128</v>
      </c>
      <c r="BW454">
        <f t="shared" si="112"/>
        <v>0.80626709607243985</v>
      </c>
      <c r="BX454">
        <f t="shared" si="113"/>
        <v>0.29297722668510823</v>
      </c>
      <c r="BY454">
        <f t="shared" si="114"/>
        <v>0.16189221622713135</v>
      </c>
      <c r="BZ454">
        <f t="shared" si="115"/>
        <v>0.88721318382472392</v>
      </c>
      <c r="CA454">
        <f t="shared" si="116"/>
        <v>0.88405695572208698</v>
      </c>
      <c r="CB454">
        <f t="shared" si="117"/>
        <v>0.2520597274726662</v>
      </c>
    </row>
    <row r="455" spans="1:80" x14ac:dyDescent="0.45">
      <c r="A455" s="11">
        <v>26</v>
      </c>
      <c r="B455" s="12">
        <f t="shared" si="105"/>
        <v>26</v>
      </c>
      <c r="C455" s="12" t="s">
        <v>52</v>
      </c>
      <c r="D455" s="12">
        <v>1</v>
      </c>
      <c r="E455" s="12" t="s">
        <v>60</v>
      </c>
      <c r="F455" s="12">
        <v>1</v>
      </c>
      <c r="G455" s="12">
        <v>0</v>
      </c>
      <c r="H455" s="12" t="s">
        <v>97</v>
      </c>
      <c r="I455" s="12">
        <v>0</v>
      </c>
      <c r="J455" s="12">
        <v>0</v>
      </c>
      <c r="K455" s="12">
        <v>17</v>
      </c>
      <c r="L455" s="12">
        <f t="shared" si="106"/>
        <v>17</v>
      </c>
      <c r="M455" s="12">
        <v>4</v>
      </c>
      <c r="N455" s="12" t="s">
        <v>55</v>
      </c>
      <c r="O455" s="12">
        <v>1</v>
      </c>
      <c r="P455" s="12">
        <v>0</v>
      </c>
      <c r="Q455" s="12">
        <v>0</v>
      </c>
      <c r="R455" s="12">
        <v>0</v>
      </c>
      <c r="S455" s="12">
        <v>0</v>
      </c>
      <c r="T455" s="12">
        <v>2</v>
      </c>
      <c r="U455" s="12" t="s">
        <v>19</v>
      </c>
      <c r="V455" s="12">
        <v>1</v>
      </c>
      <c r="W455" s="12">
        <v>58</v>
      </c>
      <c r="X455" s="12">
        <v>3</v>
      </c>
      <c r="Y455" s="12">
        <v>1</v>
      </c>
      <c r="Z455" s="12" t="s">
        <v>97</v>
      </c>
      <c r="AA455" s="12">
        <v>0</v>
      </c>
      <c r="AB455" s="12">
        <v>0</v>
      </c>
      <c r="AC455" s="12">
        <v>0</v>
      </c>
      <c r="AD455" s="12">
        <v>0</v>
      </c>
      <c r="AE455" s="12">
        <v>0</v>
      </c>
      <c r="AF455" s="12">
        <v>0</v>
      </c>
      <c r="AG455" s="12">
        <v>0</v>
      </c>
      <c r="AH455" s="12">
        <v>0</v>
      </c>
      <c r="AI455" s="12">
        <v>3</v>
      </c>
      <c r="AJ455" s="12" t="s">
        <v>78</v>
      </c>
      <c r="AK455" s="12">
        <v>0</v>
      </c>
      <c r="AL455" s="12">
        <v>0</v>
      </c>
      <c r="AM455" s="12">
        <v>2741</v>
      </c>
      <c r="AN455" s="12">
        <f t="shared" si="107"/>
        <v>2741</v>
      </c>
      <c r="AO455" s="12">
        <v>0</v>
      </c>
      <c r="AP455" s="12" t="s">
        <v>52</v>
      </c>
      <c r="AQ455" s="12">
        <v>1</v>
      </c>
      <c r="AR455" s="12">
        <v>11</v>
      </c>
      <c r="AS455" s="12">
        <v>3</v>
      </c>
      <c r="AT455" s="12">
        <v>2</v>
      </c>
      <c r="AU455" s="12">
        <v>1</v>
      </c>
      <c r="AV455" s="12">
        <v>8</v>
      </c>
      <c r="AW455" s="12">
        <f t="shared" si="108"/>
        <v>8</v>
      </c>
      <c r="AX455" s="12">
        <v>2</v>
      </c>
      <c r="AY455" s="12">
        <v>2</v>
      </c>
      <c r="AZ455" s="12">
        <v>7</v>
      </c>
      <c r="BA455" s="12">
        <f t="shared" si="109"/>
        <v>7</v>
      </c>
      <c r="BB455" s="12">
        <v>7</v>
      </c>
      <c r="BC455" s="12">
        <v>1</v>
      </c>
      <c r="BD455" s="12">
        <f t="shared" si="118"/>
        <v>1</v>
      </c>
      <c r="BE455" s="12">
        <v>0</v>
      </c>
      <c r="BF455" s="12">
        <f t="shared" si="110"/>
        <v>0</v>
      </c>
      <c r="BG455" s="12">
        <f t="shared" si="119"/>
        <v>0</v>
      </c>
      <c r="BH455" s="67">
        <v>0</v>
      </c>
      <c r="BI455" s="67">
        <v>0</v>
      </c>
      <c r="BJ455" s="67">
        <v>1</v>
      </c>
      <c r="BK455" s="67">
        <v>0</v>
      </c>
      <c r="BL455" s="67">
        <v>0</v>
      </c>
      <c r="BM455" s="67">
        <v>1</v>
      </c>
      <c r="BN455" s="67">
        <v>0</v>
      </c>
      <c r="BO455" s="67">
        <v>0</v>
      </c>
      <c r="BP455" s="67">
        <v>0</v>
      </c>
      <c r="BQ455" s="67">
        <v>0</v>
      </c>
      <c r="BR455" s="67">
        <v>0</v>
      </c>
      <c r="BS455" s="67">
        <v>8</v>
      </c>
      <c r="BT455" s="67">
        <v>0</v>
      </c>
      <c r="BU455" s="70">
        <v>0</v>
      </c>
      <c r="BV455" s="29">
        <f t="shared" si="111"/>
        <v>0.79905816171097677</v>
      </c>
      <c r="BW455">
        <f t="shared" si="112"/>
        <v>1.1555414682655611</v>
      </c>
      <c r="BX455">
        <f t="shared" si="113"/>
        <v>0.42149901815843233</v>
      </c>
      <c r="BY455">
        <f t="shared" si="114"/>
        <v>1.3324462240916321E-3</v>
      </c>
      <c r="BZ455">
        <f t="shared" si="115"/>
        <v>0.96307062430306978</v>
      </c>
      <c r="CA455">
        <f t="shared" si="116"/>
        <v>1.195770434213719</v>
      </c>
      <c r="CB455">
        <f t="shared" si="117"/>
        <v>0.36858985273641137</v>
      </c>
    </row>
    <row r="456" spans="1:80" x14ac:dyDescent="0.45">
      <c r="A456" s="11">
        <v>29</v>
      </c>
      <c r="B456" s="12">
        <f t="shared" si="105"/>
        <v>29</v>
      </c>
      <c r="C456" s="12" t="s">
        <v>59</v>
      </c>
      <c r="D456" s="12">
        <v>0</v>
      </c>
      <c r="E456" s="12" t="s">
        <v>53</v>
      </c>
      <c r="F456" s="12">
        <v>0</v>
      </c>
      <c r="G456" s="12">
        <v>1</v>
      </c>
      <c r="H456" s="12" t="s">
        <v>61</v>
      </c>
      <c r="I456" s="12">
        <v>1</v>
      </c>
      <c r="J456" s="12">
        <v>0</v>
      </c>
      <c r="K456" s="12">
        <v>19</v>
      </c>
      <c r="L456" s="12">
        <f t="shared" si="106"/>
        <v>19</v>
      </c>
      <c r="M456" s="12">
        <v>3</v>
      </c>
      <c r="N456" s="12" t="s">
        <v>91</v>
      </c>
      <c r="O456" s="12">
        <v>0</v>
      </c>
      <c r="P456" s="12">
        <v>0</v>
      </c>
      <c r="Q456" s="12">
        <v>0</v>
      </c>
      <c r="R456" s="12">
        <v>0</v>
      </c>
      <c r="S456" s="12">
        <v>1</v>
      </c>
      <c r="T456" s="12">
        <v>4</v>
      </c>
      <c r="U456" s="12" t="s">
        <v>62</v>
      </c>
      <c r="V456" s="12">
        <v>0</v>
      </c>
      <c r="W456" s="12">
        <v>34</v>
      </c>
      <c r="X456" s="12">
        <v>3</v>
      </c>
      <c r="Y456" s="12">
        <v>2</v>
      </c>
      <c r="Z456" s="12" t="s">
        <v>83</v>
      </c>
      <c r="AA456" s="12">
        <v>0</v>
      </c>
      <c r="AB456" s="12">
        <v>0</v>
      </c>
      <c r="AC456" s="12">
        <v>0</v>
      </c>
      <c r="AD456" s="12">
        <v>0</v>
      </c>
      <c r="AE456" s="12">
        <v>1</v>
      </c>
      <c r="AF456" s="12">
        <v>1</v>
      </c>
      <c r="AG456" s="12">
        <v>0</v>
      </c>
      <c r="AH456" s="12">
        <v>0</v>
      </c>
      <c r="AI456" s="12">
        <v>4</v>
      </c>
      <c r="AJ456" s="12" t="s">
        <v>78</v>
      </c>
      <c r="AK456" s="12">
        <v>0</v>
      </c>
      <c r="AL456" s="12">
        <v>0</v>
      </c>
      <c r="AM456" s="12">
        <v>4262</v>
      </c>
      <c r="AN456" s="12">
        <f t="shared" si="107"/>
        <v>4262</v>
      </c>
      <c r="AO456" s="12">
        <v>4</v>
      </c>
      <c r="AP456" s="12" t="s">
        <v>59</v>
      </c>
      <c r="AQ456" s="12">
        <v>0</v>
      </c>
      <c r="AR456" s="12">
        <v>12</v>
      </c>
      <c r="AS456" s="12">
        <v>3</v>
      </c>
      <c r="AT456" s="12">
        <v>2</v>
      </c>
      <c r="AU456" s="12">
        <v>2</v>
      </c>
      <c r="AV456" s="12">
        <v>8</v>
      </c>
      <c r="AW456" s="12">
        <f t="shared" si="108"/>
        <v>8</v>
      </c>
      <c r="AX456" s="12">
        <v>2</v>
      </c>
      <c r="AY456" s="12">
        <v>4</v>
      </c>
      <c r="AZ456" s="12">
        <v>3</v>
      </c>
      <c r="BA456" s="12">
        <f t="shared" si="109"/>
        <v>3</v>
      </c>
      <c r="BB456" s="12">
        <v>2</v>
      </c>
      <c r="BC456" s="12">
        <v>1</v>
      </c>
      <c r="BD456" s="12">
        <f t="shared" si="118"/>
        <v>1</v>
      </c>
      <c r="BE456" s="12">
        <v>2</v>
      </c>
      <c r="BF456" s="12">
        <f t="shared" si="110"/>
        <v>2</v>
      </c>
      <c r="BG456" s="12">
        <f t="shared" si="119"/>
        <v>4</v>
      </c>
      <c r="BH456" s="67">
        <v>1</v>
      </c>
      <c r="BI456" s="67">
        <v>0</v>
      </c>
      <c r="BJ456" s="67">
        <v>0</v>
      </c>
      <c r="BK456" s="67">
        <v>0</v>
      </c>
      <c r="BL456" s="67">
        <v>1</v>
      </c>
      <c r="BM456" s="67">
        <v>0</v>
      </c>
      <c r="BN456" s="67">
        <v>0</v>
      </c>
      <c r="BO456" s="67">
        <v>0</v>
      </c>
      <c r="BP456" s="67">
        <v>0</v>
      </c>
      <c r="BQ456" s="67">
        <v>2</v>
      </c>
      <c r="BR456" s="67">
        <v>0</v>
      </c>
      <c r="BS456" s="67">
        <v>0</v>
      </c>
      <c r="BT456" s="67">
        <v>8</v>
      </c>
      <c r="BU456" s="70">
        <v>0</v>
      </c>
      <c r="BV456" s="29">
        <f t="shared" si="111"/>
        <v>0.47598807630566203</v>
      </c>
      <c r="BW456">
        <f t="shared" si="112"/>
        <v>0.59502473559756086</v>
      </c>
      <c r="BX456">
        <f t="shared" si="113"/>
        <v>0.42149901815843233</v>
      </c>
      <c r="BY456">
        <f t="shared" si="114"/>
        <v>0.65423109602898355</v>
      </c>
      <c r="BZ456">
        <f t="shared" si="115"/>
        <v>1.2097751320534422</v>
      </c>
      <c r="CA456">
        <f t="shared" si="116"/>
        <v>0.86737663580280233</v>
      </c>
      <c r="CB456">
        <f t="shared" si="117"/>
        <v>0.36858985273641137</v>
      </c>
    </row>
    <row r="457" spans="1:80" x14ac:dyDescent="0.45">
      <c r="A457" s="11">
        <v>33</v>
      </c>
      <c r="B457" s="12">
        <f t="shared" si="105"/>
        <v>33</v>
      </c>
      <c r="C457" s="12" t="s">
        <v>59</v>
      </c>
      <c r="D457" s="12">
        <v>0</v>
      </c>
      <c r="E457" s="12" t="s">
        <v>53</v>
      </c>
      <c r="F457" s="12">
        <v>0</v>
      </c>
      <c r="G457" s="12">
        <v>1</v>
      </c>
      <c r="H457" s="12" t="s">
        <v>61</v>
      </c>
      <c r="I457" s="12">
        <v>1</v>
      </c>
      <c r="J457" s="12">
        <v>0</v>
      </c>
      <c r="K457" s="12">
        <v>1</v>
      </c>
      <c r="L457" s="12">
        <f t="shared" si="106"/>
        <v>1</v>
      </c>
      <c r="M457" s="12">
        <v>5</v>
      </c>
      <c r="N457" s="12" t="s">
        <v>70</v>
      </c>
      <c r="O457" s="12">
        <v>0</v>
      </c>
      <c r="P457" s="12">
        <v>0</v>
      </c>
      <c r="Q457" s="12">
        <v>1</v>
      </c>
      <c r="R457" s="12">
        <v>0</v>
      </c>
      <c r="S457" s="12">
        <v>0</v>
      </c>
      <c r="T457" s="12">
        <v>1</v>
      </c>
      <c r="U457" s="12" t="s">
        <v>19</v>
      </c>
      <c r="V457" s="12">
        <v>1</v>
      </c>
      <c r="W457" s="12">
        <v>95</v>
      </c>
      <c r="X457" s="12">
        <v>4</v>
      </c>
      <c r="Y457" s="12">
        <v>4</v>
      </c>
      <c r="Z457" s="12" t="s">
        <v>89</v>
      </c>
      <c r="AA457" s="12">
        <v>0</v>
      </c>
      <c r="AB457" s="12">
        <v>0</v>
      </c>
      <c r="AC457" s="12">
        <v>0</v>
      </c>
      <c r="AD457" s="12">
        <v>0</v>
      </c>
      <c r="AE457" s="12">
        <v>0</v>
      </c>
      <c r="AF457" s="12">
        <v>0</v>
      </c>
      <c r="AG457" s="12">
        <v>0</v>
      </c>
      <c r="AH457" s="12">
        <v>0</v>
      </c>
      <c r="AI457" s="12">
        <v>3</v>
      </c>
      <c r="AJ457" s="12" t="s">
        <v>78</v>
      </c>
      <c r="AK457" s="12">
        <v>0</v>
      </c>
      <c r="AL457" s="12">
        <v>0</v>
      </c>
      <c r="AM457" s="12">
        <v>16184</v>
      </c>
      <c r="AN457" s="12">
        <f t="shared" si="107"/>
        <v>16184</v>
      </c>
      <c r="AO457" s="12">
        <v>4</v>
      </c>
      <c r="AP457" s="12" t="s">
        <v>59</v>
      </c>
      <c r="AQ457" s="12">
        <v>0</v>
      </c>
      <c r="AR457" s="12">
        <v>19</v>
      </c>
      <c r="AS457" s="12">
        <v>3</v>
      </c>
      <c r="AT457" s="12">
        <v>3</v>
      </c>
      <c r="AU457" s="12">
        <v>1</v>
      </c>
      <c r="AV457" s="12">
        <v>10</v>
      </c>
      <c r="AW457" s="12">
        <f t="shared" si="108"/>
        <v>10</v>
      </c>
      <c r="AX457" s="12">
        <v>2</v>
      </c>
      <c r="AY457" s="12">
        <v>3</v>
      </c>
      <c r="AZ457" s="12">
        <v>6</v>
      </c>
      <c r="BA457" s="12">
        <f t="shared" si="109"/>
        <v>6</v>
      </c>
      <c r="BB457" s="12">
        <v>1</v>
      </c>
      <c r="BC457" s="12">
        <v>0</v>
      </c>
      <c r="BD457" s="12">
        <f t="shared" si="118"/>
        <v>0</v>
      </c>
      <c r="BE457" s="12">
        <v>5</v>
      </c>
      <c r="BF457" s="12">
        <f t="shared" si="110"/>
        <v>5</v>
      </c>
      <c r="BG457" s="12">
        <f t="shared" si="119"/>
        <v>20</v>
      </c>
      <c r="BH457" s="67">
        <v>1</v>
      </c>
      <c r="BI457" s="67">
        <v>0</v>
      </c>
      <c r="BJ457" s="67">
        <v>0</v>
      </c>
      <c r="BK457" s="67">
        <v>0</v>
      </c>
      <c r="BL457" s="67">
        <v>1</v>
      </c>
      <c r="BM457" s="67">
        <v>0</v>
      </c>
      <c r="BN457" s="67">
        <v>0</v>
      </c>
      <c r="BO457" s="67">
        <v>0</v>
      </c>
      <c r="BP457" s="67">
        <v>0</v>
      </c>
      <c r="BQ457" s="67">
        <v>5</v>
      </c>
      <c r="BR457" s="67">
        <v>0</v>
      </c>
      <c r="BS457" s="67">
        <v>0</v>
      </c>
      <c r="BT457" s="67">
        <v>10</v>
      </c>
      <c r="BU457" s="70">
        <v>0</v>
      </c>
      <c r="BV457" s="29">
        <f t="shared" si="111"/>
        <v>2.0563206404610459</v>
      </c>
      <c r="BW457">
        <f t="shared" si="112"/>
        <v>0.24575036340443959</v>
      </c>
      <c r="BX457">
        <f t="shared" si="113"/>
        <v>0.1644554352117841</v>
      </c>
      <c r="BY457">
        <f t="shared" si="114"/>
        <v>0.16455710867531462</v>
      </c>
      <c r="BZ457">
        <f t="shared" si="115"/>
        <v>1.01056543769991</v>
      </c>
      <c r="CA457">
        <f t="shared" si="116"/>
        <v>0.42951823792158</v>
      </c>
      <c r="CB457">
        <f t="shared" si="117"/>
        <v>0.67891464284095016</v>
      </c>
    </row>
    <row r="458" spans="1:80" x14ac:dyDescent="0.45">
      <c r="A458" s="11">
        <v>31</v>
      </c>
      <c r="B458" s="12">
        <f t="shared" si="105"/>
        <v>31</v>
      </c>
      <c r="C458" s="12" t="s">
        <v>59</v>
      </c>
      <c r="D458" s="12">
        <v>0</v>
      </c>
      <c r="E458" s="12" t="s">
        <v>53</v>
      </c>
      <c r="F458" s="12">
        <v>0</v>
      </c>
      <c r="G458" s="12">
        <v>1</v>
      </c>
      <c r="H458" s="12" t="s">
        <v>54</v>
      </c>
      <c r="I458" s="12">
        <v>0</v>
      </c>
      <c r="J458" s="12">
        <v>1</v>
      </c>
      <c r="K458" s="12">
        <v>7</v>
      </c>
      <c r="L458" s="12">
        <f t="shared" si="106"/>
        <v>7</v>
      </c>
      <c r="M458" s="12">
        <v>3</v>
      </c>
      <c r="N458" s="12" t="s">
        <v>55</v>
      </c>
      <c r="O458" s="12">
        <v>1</v>
      </c>
      <c r="P458" s="12">
        <v>0</v>
      </c>
      <c r="Q458" s="12">
        <v>0</v>
      </c>
      <c r="R458" s="12">
        <v>0</v>
      </c>
      <c r="S458" s="12">
        <v>0</v>
      </c>
      <c r="T458" s="12">
        <v>3</v>
      </c>
      <c r="U458" s="12" t="s">
        <v>62</v>
      </c>
      <c r="V458" s="12">
        <v>0</v>
      </c>
      <c r="W458" s="12">
        <v>44</v>
      </c>
      <c r="X458" s="12">
        <v>2</v>
      </c>
      <c r="Y458" s="12">
        <v>3</v>
      </c>
      <c r="Z458" s="12" t="s">
        <v>87</v>
      </c>
      <c r="AA458" s="12">
        <v>0</v>
      </c>
      <c r="AB458" s="12">
        <v>0</v>
      </c>
      <c r="AC458" s="12">
        <v>0</v>
      </c>
      <c r="AD458" s="12">
        <v>1</v>
      </c>
      <c r="AE458" s="12">
        <v>0</v>
      </c>
      <c r="AF458" s="12">
        <v>0</v>
      </c>
      <c r="AG458" s="12">
        <v>0</v>
      </c>
      <c r="AH458" s="12">
        <v>0</v>
      </c>
      <c r="AI458" s="12">
        <v>4</v>
      </c>
      <c r="AJ458" s="12" t="s">
        <v>78</v>
      </c>
      <c r="AK458" s="12">
        <v>0</v>
      </c>
      <c r="AL458" s="12">
        <v>0</v>
      </c>
      <c r="AM458" s="12">
        <v>11557</v>
      </c>
      <c r="AN458" s="12">
        <f t="shared" si="107"/>
        <v>11557</v>
      </c>
      <c r="AO458" s="12">
        <v>9</v>
      </c>
      <c r="AP458" s="12" t="s">
        <v>59</v>
      </c>
      <c r="AQ458" s="12">
        <v>0</v>
      </c>
      <c r="AR458" s="12">
        <v>21</v>
      </c>
      <c r="AS458" s="12">
        <v>4</v>
      </c>
      <c r="AT458" s="12">
        <v>3</v>
      </c>
      <c r="AU458" s="12">
        <v>1</v>
      </c>
      <c r="AV458" s="12">
        <v>10</v>
      </c>
      <c r="AW458" s="12">
        <f t="shared" si="108"/>
        <v>10</v>
      </c>
      <c r="AX458" s="12">
        <v>3</v>
      </c>
      <c r="AY458" s="12">
        <v>2</v>
      </c>
      <c r="AZ458" s="12">
        <v>5</v>
      </c>
      <c r="BA458" s="12">
        <f t="shared" si="109"/>
        <v>5</v>
      </c>
      <c r="BB458" s="12">
        <v>4</v>
      </c>
      <c r="BC458" s="12">
        <v>0</v>
      </c>
      <c r="BD458" s="12">
        <f t="shared" si="118"/>
        <v>0</v>
      </c>
      <c r="BE458" s="12">
        <v>1</v>
      </c>
      <c r="BF458" s="12">
        <f t="shared" si="110"/>
        <v>1</v>
      </c>
      <c r="BG458" s="12">
        <f t="shared" si="119"/>
        <v>3</v>
      </c>
      <c r="BH458" s="67">
        <v>1</v>
      </c>
      <c r="BI458" s="67">
        <v>0</v>
      </c>
      <c r="BJ458" s="67">
        <v>0</v>
      </c>
      <c r="BK458" s="67">
        <v>0</v>
      </c>
      <c r="BL458" s="67">
        <v>1</v>
      </c>
      <c r="BM458" s="67">
        <v>0</v>
      </c>
      <c r="BN458" s="67">
        <v>0</v>
      </c>
      <c r="BO458" s="67">
        <v>0</v>
      </c>
      <c r="BP458" s="67">
        <v>0</v>
      </c>
      <c r="BQ458" s="67">
        <v>0</v>
      </c>
      <c r="BR458" s="67">
        <v>1</v>
      </c>
      <c r="BS458" s="67">
        <v>0</v>
      </c>
      <c r="BT458" s="67">
        <v>0</v>
      </c>
      <c r="BU458" s="70">
        <v>10</v>
      </c>
      <c r="BV458" s="29">
        <f t="shared" si="111"/>
        <v>1.0735163767066795</v>
      </c>
      <c r="BW458">
        <f t="shared" si="112"/>
        <v>0.87528310193156111</v>
      </c>
      <c r="BX458">
        <f t="shared" si="113"/>
        <v>0.1644554352117841</v>
      </c>
      <c r="BY458">
        <f t="shared" si="114"/>
        <v>0.32778177112653761</v>
      </c>
      <c r="BZ458">
        <f t="shared" si="115"/>
        <v>0.27045191444879263</v>
      </c>
      <c r="CA458">
        <f t="shared" si="116"/>
        <v>0.6484474368621912</v>
      </c>
      <c r="CB458">
        <f t="shared" si="117"/>
        <v>0.67891464284095016</v>
      </c>
    </row>
    <row r="459" spans="1:80" x14ac:dyDescent="0.45">
      <c r="A459" s="11">
        <v>18</v>
      </c>
      <c r="B459" s="12">
        <f t="shared" si="105"/>
        <v>19</v>
      </c>
      <c r="C459" s="12" t="s">
        <v>52</v>
      </c>
      <c r="D459" s="12">
        <v>1</v>
      </c>
      <c r="E459" s="12" t="s">
        <v>60</v>
      </c>
      <c r="F459" s="12">
        <v>1</v>
      </c>
      <c r="G459" s="12">
        <v>0</v>
      </c>
      <c r="H459" s="12" t="s">
        <v>54</v>
      </c>
      <c r="I459" s="12">
        <v>0</v>
      </c>
      <c r="J459" s="12">
        <v>1</v>
      </c>
      <c r="K459" s="12">
        <v>5</v>
      </c>
      <c r="L459" s="12">
        <f t="shared" si="106"/>
        <v>5</v>
      </c>
      <c r="M459" s="12">
        <v>3</v>
      </c>
      <c r="N459" s="12" t="s">
        <v>90</v>
      </c>
      <c r="O459" s="12">
        <v>0</v>
      </c>
      <c r="P459" s="12">
        <v>0</v>
      </c>
      <c r="Q459" s="12">
        <v>0</v>
      </c>
      <c r="R459" s="12">
        <v>1</v>
      </c>
      <c r="S459" s="12">
        <v>0</v>
      </c>
      <c r="T459" s="12">
        <v>2</v>
      </c>
      <c r="U459" s="12" t="s">
        <v>62</v>
      </c>
      <c r="V459" s="12">
        <v>0</v>
      </c>
      <c r="W459" s="12">
        <v>69</v>
      </c>
      <c r="X459" s="12">
        <v>3</v>
      </c>
      <c r="Y459" s="12">
        <v>1</v>
      </c>
      <c r="Z459" s="12" t="s">
        <v>88</v>
      </c>
      <c r="AA459" s="12">
        <v>0</v>
      </c>
      <c r="AB459" s="12">
        <v>0</v>
      </c>
      <c r="AC459" s="12">
        <v>0</v>
      </c>
      <c r="AD459" s="12">
        <v>0</v>
      </c>
      <c r="AE459" s="12">
        <v>0</v>
      </c>
      <c r="AF459" s="12">
        <v>0</v>
      </c>
      <c r="AG459" s="12">
        <v>1</v>
      </c>
      <c r="AH459" s="12">
        <v>0</v>
      </c>
      <c r="AI459" s="12">
        <v>2</v>
      </c>
      <c r="AJ459" s="12" t="s">
        <v>57</v>
      </c>
      <c r="AK459" s="12">
        <v>1</v>
      </c>
      <c r="AL459" s="12">
        <v>0</v>
      </c>
      <c r="AM459" s="12">
        <v>1878</v>
      </c>
      <c r="AN459" s="12">
        <f t="shared" si="107"/>
        <v>1878</v>
      </c>
      <c r="AO459" s="12">
        <v>1</v>
      </c>
      <c r="AP459" s="12" t="s">
        <v>52</v>
      </c>
      <c r="AQ459" s="12">
        <v>1</v>
      </c>
      <c r="AR459" s="12">
        <v>14</v>
      </c>
      <c r="AS459" s="12">
        <v>3</v>
      </c>
      <c r="AT459" s="12">
        <v>4</v>
      </c>
      <c r="AU459" s="12">
        <v>0</v>
      </c>
      <c r="AV459" s="12">
        <v>0</v>
      </c>
      <c r="AW459" s="12">
        <f t="shared" si="108"/>
        <v>1</v>
      </c>
      <c r="AX459" s="12">
        <v>3</v>
      </c>
      <c r="AY459" s="12">
        <v>3</v>
      </c>
      <c r="AZ459" s="12">
        <v>0</v>
      </c>
      <c r="BA459" s="12">
        <f t="shared" si="109"/>
        <v>0</v>
      </c>
      <c r="BB459" s="12">
        <v>0</v>
      </c>
      <c r="BC459" s="12">
        <v>0</v>
      </c>
      <c r="BD459" s="12">
        <f t="shared" si="118"/>
        <v>0</v>
      </c>
      <c r="BE459" s="12">
        <v>0</v>
      </c>
      <c r="BF459" s="12">
        <f t="shared" si="110"/>
        <v>0</v>
      </c>
      <c r="BG459" s="12">
        <f t="shared" si="119"/>
        <v>0</v>
      </c>
      <c r="BH459" s="67">
        <v>0</v>
      </c>
      <c r="BI459" s="67">
        <v>0</v>
      </c>
      <c r="BJ459" s="67">
        <v>1</v>
      </c>
      <c r="BK459" s="67">
        <v>0</v>
      </c>
      <c r="BL459" s="67">
        <v>0</v>
      </c>
      <c r="BM459" s="67">
        <v>1</v>
      </c>
      <c r="BN459" s="67">
        <v>0</v>
      </c>
      <c r="BO459" s="67">
        <v>0</v>
      </c>
      <c r="BP459" s="67">
        <v>0</v>
      </c>
      <c r="BQ459" s="67">
        <v>0</v>
      </c>
      <c r="BR459" s="67">
        <v>0</v>
      </c>
      <c r="BS459" s="67">
        <v>0</v>
      </c>
      <c r="BT459" s="67">
        <v>0</v>
      </c>
      <c r="BU459" s="70">
        <v>1</v>
      </c>
      <c r="BV459" s="29">
        <f t="shared" si="111"/>
        <v>0.98236485711188848</v>
      </c>
      <c r="BW459">
        <f t="shared" si="112"/>
        <v>1.1555414682655611</v>
      </c>
      <c r="BX459">
        <f t="shared" si="113"/>
        <v>1.4496733499450252</v>
      </c>
      <c r="BY459">
        <f t="shared" si="114"/>
        <v>1.1439050833826525</v>
      </c>
      <c r="BZ459">
        <f t="shared" si="115"/>
        <v>0.51715642219916513</v>
      </c>
      <c r="CA459">
        <f t="shared" si="116"/>
        <v>2.0714872299761637</v>
      </c>
      <c r="CB459">
        <f t="shared" si="117"/>
        <v>0.67891464284095016</v>
      </c>
    </row>
    <row r="460" spans="1:80" x14ac:dyDescent="0.45">
      <c r="A460" s="11">
        <v>40</v>
      </c>
      <c r="B460" s="12">
        <f t="shared" si="105"/>
        <v>40</v>
      </c>
      <c r="C460" s="12" t="s">
        <v>59</v>
      </c>
      <c r="D460" s="12">
        <v>0</v>
      </c>
      <c r="E460" s="12" t="s">
        <v>86</v>
      </c>
      <c r="F460" s="12">
        <v>0</v>
      </c>
      <c r="G460" s="12">
        <v>0</v>
      </c>
      <c r="H460" s="12" t="s">
        <v>54</v>
      </c>
      <c r="I460" s="12">
        <v>0</v>
      </c>
      <c r="J460" s="12">
        <v>1</v>
      </c>
      <c r="K460" s="12">
        <v>28</v>
      </c>
      <c r="L460" s="12">
        <f t="shared" si="106"/>
        <v>28</v>
      </c>
      <c r="M460" s="12">
        <v>3</v>
      </c>
      <c r="N460" s="12" t="s">
        <v>66</v>
      </c>
      <c r="O460" s="12">
        <v>0</v>
      </c>
      <c r="P460" s="12">
        <v>1</v>
      </c>
      <c r="Q460" s="12">
        <v>0</v>
      </c>
      <c r="R460" s="12">
        <v>0</v>
      </c>
      <c r="S460" s="12">
        <v>0</v>
      </c>
      <c r="T460" s="12">
        <v>3</v>
      </c>
      <c r="U460" s="12" t="s">
        <v>62</v>
      </c>
      <c r="V460" s="12">
        <v>0</v>
      </c>
      <c r="W460" s="12">
        <v>58</v>
      </c>
      <c r="X460" s="12">
        <v>1</v>
      </c>
      <c r="Y460" s="12">
        <v>3</v>
      </c>
      <c r="Z460" s="12" t="s">
        <v>56</v>
      </c>
      <c r="AA460" s="12">
        <v>0</v>
      </c>
      <c r="AB460" s="12">
        <v>1</v>
      </c>
      <c r="AC460" s="12">
        <v>0</v>
      </c>
      <c r="AD460" s="12">
        <v>0</v>
      </c>
      <c r="AE460" s="12">
        <v>0</v>
      </c>
      <c r="AF460" s="12">
        <v>0</v>
      </c>
      <c r="AG460" s="12">
        <v>0</v>
      </c>
      <c r="AH460" s="12">
        <v>0</v>
      </c>
      <c r="AI460" s="12">
        <v>1</v>
      </c>
      <c r="AJ460" s="12" t="s">
        <v>78</v>
      </c>
      <c r="AK460" s="12">
        <v>0</v>
      </c>
      <c r="AL460" s="12">
        <v>0</v>
      </c>
      <c r="AM460" s="12">
        <v>10932</v>
      </c>
      <c r="AN460" s="12">
        <f t="shared" si="107"/>
        <v>10932</v>
      </c>
      <c r="AO460" s="12">
        <v>3</v>
      </c>
      <c r="AP460" s="12" t="s">
        <v>59</v>
      </c>
      <c r="AQ460" s="12">
        <v>0</v>
      </c>
      <c r="AR460" s="12">
        <v>15</v>
      </c>
      <c r="AS460" s="12">
        <v>3</v>
      </c>
      <c r="AT460" s="12">
        <v>3</v>
      </c>
      <c r="AU460" s="12">
        <v>1</v>
      </c>
      <c r="AV460" s="12">
        <v>20</v>
      </c>
      <c r="AW460" s="12">
        <f t="shared" si="108"/>
        <v>20</v>
      </c>
      <c r="AX460" s="12">
        <v>2</v>
      </c>
      <c r="AY460" s="12">
        <v>3</v>
      </c>
      <c r="AZ460" s="12">
        <v>1</v>
      </c>
      <c r="BA460" s="12">
        <f t="shared" si="109"/>
        <v>1</v>
      </c>
      <c r="BB460" s="12">
        <v>0</v>
      </c>
      <c r="BC460" s="12">
        <v>0</v>
      </c>
      <c r="BD460" s="12">
        <f t="shared" si="118"/>
        <v>0</v>
      </c>
      <c r="BE460" s="12">
        <v>1</v>
      </c>
      <c r="BF460" s="12">
        <f t="shared" si="110"/>
        <v>1</v>
      </c>
      <c r="BG460" s="12">
        <f t="shared" si="119"/>
        <v>3</v>
      </c>
      <c r="BH460" s="67">
        <v>1</v>
      </c>
      <c r="BI460" s="67">
        <v>0</v>
      </c>
      <c r="BJ460" s="67">
        <v>0</v>
      </c>
      <c r="BK460" s="67">
        <v>0</v>
      </c>
      <c r="BL460" s="67">
        <v>1</v>
      </c>
      <c r="BM460" s="67">
        <v>0</v>
      </c>
      <c r="BN460" s="67">
        <v>0</v>
      </c>
      <c r="BO460" s="67">
        <v>0</v>
      </c>
      <c r="BP460" s="67">
        <v>0</v>
      </c>
      <c r="BQ460" s="67">
        <v>0</v>
      </c>
      <c r="BR460" s="67">
        <v>1</v>
      </c>
      <c r="BS460" s="67">
        <v>0</v>
      </c>
      <c r="BT460" s="67">
        <v>0</v>
      </c>
      <c r="BU460" s="70">
        <v>20</v>
      </c>
      <c r="BV460" s="29">
        <f t="shared" si="111"/>
        <v>0.94076239683927532</v>
      </c>
      <c r="BW460">
        <f t="shared" si="112"/>
        <v>0.87528310193156111</v>
      </c>
      <c r="BX460">
        <f t="shared" si="113"/>
        <v>1.120762479521457</v>
      </c>
      <c r="BY460">
        <f t="shared" si="114"/>
        <v>0.9806804209314296</v>
      </c>
      <c r="BZ460">
        <f t="shared" si="115"/>
        <v>2.3199454169301186</v>
      </c>
      <c r="CA460">
        <f t="shared" si="116"/>
        <v>0.33673395837055903</v>
      </c>
      <c r="CB460">
        <f t="shared" si="117"/>
        <v>0.67891464284095016</v>
      </c>
    </row>
    <row r="461" spans="1:80" x14ac:dyDescent="0.45">
      <c r="A461" s="11">
        <v>41</v>
      </c>
      <c r="B461" s="12">
        <f t="shared" si="105"/>
        <v>41</v>
      </c>
      <c r="C461" s="12" t="s">
        <v>59</v>
      </c>
      <c r="D461" s="12">
        <v>0</v>
      </c>
      <c r="E461" s="12" t="s">
        <v>86</v>
      </c>
      <c r="F461" s="12">
        <v>0</v>
      </c>
      <c r="G461" s="12">
        <v>0</v>
      </c>
      <c r="H461" s="12" t="s">
        <v>61</v>
      </c>
      <c r="I461" s="12">
        <v>1</v>
      </c>
      <c r="J461" s="12">
        <v>0</v>
      </c>
      <c r="K461" s="12">
        <v>2</v>
      </c>
      <c r="L461" s="12">
        <f t="shared" si="106"/>
        <v>2</v>
      </c>
      <c r="M461" s="12">
        <v>4</v>
      </c>
      <c r="N461" s="12" t="s">
        <v>66</v>
      </c>
      <c r="O461" s="12">
        <v>0</v>
      </c>
      <c r="P461" s="12">
        <v>1</v>
      </c>
      <c r="Q461" s="12">
        <v>0</v>
      </c>
      <c r="R461" s="12">
        <v>0</v>
      </c>
      <c r="S461" s="12">
        <v>0</v>
      </c>
      <c r="T461" s="12">
        <v>1</v>
      </c>
      <c r="U461" s="12" t="s">
        <v>19</v>
      </c>
      <c r="V461" s="12">
        <v>1</v>
      </c>
      <c r="W461" s="12">
        <v>62</v>
      </c>
      <c r="X461" s="12">
        <v>2</v>
      </c>
      <c r="Y461" s="12">
        <v>2</v>
      </c>
      <c r="Z461" s="12" t="s">
        <v>85</v>
      </c>
      <c r="AA461" s="12">
        <v>1</v>
      </c>
      <c r="AB461" s="12">
        <v>0</v>
      </c>
      <c r="AC461" s="12">
        <v>0</v>
      </c>
      <c r="AD461" s="12">
        <v>0</v>
      </c>
      <c r="AE461" s="12">
        <v>0</v>
      </c>
      <c r="AF461" s="12">
        <v>0</v>
      </c>
      <c r="AG461" s="12">
        <v>0</v>
      </c>
      <c r="AH461" s="12">
        <v>0</v>
      </c>
      <c r="AI461" s="12">
        <v>3</v>
      </c>
      <c r="AJ461" s="12" t="s">
        <v>57</v>
      </c>
      <c r="AK461" s="12">
        <v>1</v>
      </c>
      <c r="AL461" s="12">
        <v>0</v>
      </c>
      <c r="AM461" s="12">
        <v>6811</v>
      </c>
      <c r="AN461" s="12">
        <f t="shared" si="107"/>
        <v>6811</v>
      </c>
      <c r="AO461" s="12">
        <v>2</v>
      </c>
      <c r="AP461" s="12" t="s">
        <v>52</v>
      </c>
      <c r="AQ461" s="12">
        <v>1</v>
      </c>
      <c r="AR461" s="12">
        <v>17</v>
      </c>
      <c r="AS461" s="12">
        <v>3</v>
      </c>
      <c r="AT461" s="12">
        <v>1</v>
      </c>
      <c r="AU461" s="12">
        <v>0</v>
      </c>
      <c r="AV461" s="12">
        <v>10</v>
      </c>
      <c r="AW461" s="12">
        <f t="shared" si="108"/>
        <v>10</v>
      </c>
      <c r="AX461" s="12">
        <v>3</v>
      </c>
      <c r="AY461" s="12">
        <v>3</v>
      </c>
      <c r="AZ461" s="12">
        <v>8</v>
      </c>
      <c r="BA461" s="12">
        <f t="shared" si="109"/>
        <v>8</v>
      </c>
      <c r="BB461" s="12">
        <v>7</v>
      </c>
      <c r="BC461" s="12">
        <v>0</v>
      </c>
      <c r="BD461" s="12">
        <f t="shared" si="118"/>
        <v>0</v>
      </c>
      <c r="BE461" s="12">
        <v>7</v>
      </c>
      <c r="BF461" s="12">
        <f t="shared" si="110"/>
        <v>7</v>
      </c>
      <c r="BG461" s="12">
        <f t="shared" si="119"/>
        <v>14</v>
      </c>
      <c r="BH461" s="67">
        <v>1</v>
      </c>
      <c r="BI461" s="67">
        <v>0</v>
      </c>
      <c r="BJ461" s="67">
        <v>0</v>
      </c>
      <c r="BK461" s="67">
        <v>0</v>
      </c>
      <c r="BL461" s="67">
        <v>0</v>
      </c>
      <c r="BM461" s="67">
        <v>1</v>
      </c>
      <c r="BN461" s="67">
        <v>0</v>
      </c>
      <c r="BO461" s="67">
        <v>0</v>
      </c>
      <c r="BP461" s="67">
        <v>0</v>
      </c>
      <c r="BQ461" s="67">
        <v>7</v>
      </c>
      <c r="BR461" s="67">
        <v>0</v>
      </c>
      <c r="BS461" s="67">
        <v>0</v>
      </c>
      <c r="BT461" s="67">
        <v>10</v>
      </c>
      <c r="BU461" s="70">
        <v>0</v>
      </c>
      <c r="BV461" s="29">
        <f t="shared" si="111"/>
        <v>6.5435755185559163E-2</v>
      </c>
      <c r="BW461">
        <f t="shared" si="112"/>
        <v>0.80626709607243985</v>
      </c>
      <c r="BX461">
        <f t="shared" si="113"/>
        <v>0.1644554352117841</v>
      </c>
      <c r="BY461">
        <f t="shared" si="114"/>
        <v>0.16189221622713135</v>
      </c>
      <c r="BZ461">
        <f t="shared" si="115"/>
        <v>0.88721318382472392</v>
      </c>
      <c r="CA461">
        <f t="shared" si="116"/>
        <v>0.4461985578408646</v>
      </c>
      <c r="CB461">
        <f t="shared" si="117"/>
        <v>0.67891464284095016</v>
      </c>
    </row>
    <row r="462" spans="1:80" x14ac:dyDescent="0.45">
      <c r="A462" s="11">
        <v>26</v>
      </c>
      <c r="B462" s="12">
        <f t="shared" si="105"/>
        <v>26</v>
      </c>
      <c r="C462" s="12" t="s">
        <v>59</v>
      </c>
      <c r="D462" s="12">
        <v>0</v>
      </c>
      <c r="E462" s="12" t="s">
        <v>53</v>
      </c>
      <c r="F462" s="12">
        <v>0</v>
      </c>
      <c r="G462" s="12">
        <v>1</v>
      </c>
      <c r="H462" s="12" t="s">
        <v>54</v>
      </c>
      <c r="I462" s="12">
        <v>0</v>
      </c>
      <c r="J462" s="12">
        <v>1</v>
      </c>
      <c r="K462" s="12">
        <v>29</v>
      </c>
      <c r="L462" s="12">
        <f t="shared" si="106"/>
        <v>29</v>
      </c>
      <c r="M462" s="12">
        <v>2</v>
      </c>
      <c r="N462" s="12" t="s">
        <v>70</v>
      </c>
      <c r="O462" s="12">
        <v>0</v>
      </c>
      <c r="P462" s="12">
        <v>0</v>
      </c>
      <c r="Q462" s="12">
        <v>1</v>
      </c>
      <c r="R462" s="12">
        <v>0</v>
      </c>
      <c r="S462" s="12">
        <v>0</v>
      </c>
      <c r="T462" s="12">
        <v>1</v>
      </c>
      <c r="U462" s="12" t="s">
        <v>62</v>
      </c>
      <c r="V462" s="12">
        <v>0</v>
      </c>
      <c r="W462" s="12">
        <v>45</v>
      </c>
      <c r="X462" s="12">
        <v>3</v>
      </c>
      <c r="Y462" s="12">
        <v>2</v>
      </c>
      <c r="Z462" s="12" t="s">
        <v>56</v>
      </c>
      <c r="AA462" s="12">
        <v>0</v>
      </c>
      <c r="AB462" s="12">
        <v>1</v>
      </c>
      <c r="AC462" s="12">
        <v>0</v>
      </c>
      <c r="AD462" s="12">
        <v>0</v>
      </c>
      <c r="AE462" s="12">
        <v>0</v>
      </c>
      <c r="AF462" s="12">
        <v>0</v>
      </c>
      <c r="AG462" s="12">
        <v>0</v>
      </c>
      <c r="AH462" s="12">
        <v>0</v>
      </c>
      <c r="AI462" s="12">
        <v>3</v>
      </c>
      <c r="AJ462" s="12" t="s">
        <v>78</v>
      </c>
      <c r="AK462" s="12">
        <v>0</v>
      </c>
      <c r="AL462" s="12">
        <v>0</v>
      </c>
      <c r="AM462" s="12">
        <v>4306</v>
      </c>
      <c r="AN462" s="12">
        <f t="shared" si="107"/>
        <v>4306</v>
      </c>
      <c r="AO462" s="12">
        <v>5</v>
      </c>
      <c r="AP462" s="12" t="s">
        <v>59</v>
      </c>
      <c r="AQ462" s="12">
        <v>0</v>
      </c>
      <c r="AR462" s="12">
        <v>12</v>
      </c>
      <c r="AS462" s="12">
        <v>3</v>
      </c>
      <c r="AT462" s="12">
        <v>1</v>
      </c>
      <c r="AU462" s="12">
        <v>2</v>
      </c>
      <c r="AV462" s="12">
        <v>8</v>
      </c>
      <c r="AW462" s="12">
        <f t="shared" si="108"/>
        <v>8</v>
      </c>
      <c r="AX462" s="12">
        <v>5</v>
      </c>
      <c r="AY462" s="12">
        <v>3</v>
      </c>
      <c r="AZ462" s="12">
        <v>0</v>
      </c>
      <c r="BA462" s="12">
        <f t="shared" si="109"/>
        <v>0</v>
      </c>
      <c r="BB462" s="12">
        <v>0</v>
      </c>
      <c r="BC462" s="12">
        <v>0</v>
      </c>
      <c r="BD462" s="12">
        <f t="shared" si="118"/>
        <v>0</v>
      </c>
      <c r="BE462" s="12">
        <v>0</v>
      </c>
      <c r="BF462" s="12">
        <f t="shared" si="110"/>
        <v>0</v>
      </c>
      <c r="BG462" s="12">
        <f t="shared" si="119"/>
        <v>0</v>
      </c>
      <c r="BH462" s="67">
        <v>1</v>
      </c>
      <c r="BI462" s="67">
        <v>0</v>
      </c>
      <c r="BJ462" s="67">
        <v>0</v>
      </c>
      <c r="BK462" s="67">
        <v>0</v>
      </c>
      <c r="BL462" s="67">
        <v>1</v>
      </c>
      <c r="BM462" s="67">
        <v>0</v>
      </c>
      <c r="BN462" s="67">
        <v>0</v>
      </c>
      <c r="BO462" s="67">
        <v>0</v>
      </c>
      <c r="BP462" s="67">
        <v>0</v>
      </c>
      <c r="BQ462" s="67">
        <v>0</v>
      </c>
      <c r="BR462" s="67">
        <v>0</v>
      </c>
      <c r="BS462" s="67">
        <v>0</v>
      </c>
      <c r="BT462" s="67">
        <v>0</v>
      </c>
      <c r="BU462" s="70">
        <v>8</v>
      </c>
      <c r="BV462" s="29">
        <f t="shared" si="111"/>
        <v>0.46664219612299673</v>
      </c>
      <c r="BW462">
        <f t="shared" si="112"/>
        <v>1.1555414682655611</v>
      </c>
      <c r="BX462">
        <f t="shared" si="113"/>
        <v>0.42149901815843233</v>
      </c>
      <c r="BY462">
        <f t="shared" si="114"/>
        <v>1.1439050833826525</v>
      </c>
      <c r="BZ462">
        <f t="shared" si="115"/>
        <v>2.4432976708053049</v>
      </c>
      <c r="CA462">
        <f t="shared" si="116"/>
        <v>1.195770434213719</v>
      </c>
      <c r="CB462">
        <f t="shared" si="117"/>
        <v>0.67891464284095016</v>
      </c>
    </row>
    <row r="463" spans="1:80" x14ac:dyDescent="0.45">
      <c r="A463" s="11">
        <v>35</v>
      </c>
      <c r="B463" s="12">
        <f t="shared" si="105"/>
        <v>35</v>
      </c>
      <c r="C463" s="12" t="s">
        <v>59</v>
      </c>
      <c r="D463" s="12">
        <v>0</v>
      </c>
      <c r="E463" s="12" t="s">
        <v>53</v>
      </c>
      <c r="F463" s="12">
        <v>0</v>
      </c>
      <c r="G463" s="12">
        <v>1</v>
      </c>
      <c r="H463" s="12" t="s">
        <v>54</v>
      </c>
      <c r="I463" s="12">
        <v>0</v>
      </c>
      <c r="J463" s="12">
        <v>1</v>
      </c>
      <c r="K463" s="12">
        <v>1</v>
      </c>
      <c r="L463" s="12">
        <f t="shared" si="106"/>
        <v>1</v>
      </c>
      <c r="M463" s="12">
        <v>3</v>
      </c>
      <c r="N463" s="12" t="s">
        <v>70</v>
      </c>
      <c r="O463" s="12">
        <v>0</v>
      </c>
      <c r="P463" s="12">
        <v>0</v>
      </c>
      <c r="Q463" s="12">
        <v>1</v>
      </c>
      <c r="R463" s="12">
        <v>0</v>
      </c>
      <c r="S463" s="12">
        <v>0</v>
      </c>
      <c r="T463" s="12">
        <v>1</v>
      </c>
      <c r="U463" s="12" t="s">
        <v>19</v>
      </c>
      <c r="V463" s="12">
        <v>1</v>
      </c>
      <c r="W463" s="12">
        <v>80</v>
      </c>
      <c r="X463" s="12">
        <v>3</v>
      </c>
      <c r="Y463" s="12">
        <v>2</v>
      </c>
      <c r="Z463" s="12" t="s">
        <v>56</v>
      </c>
      <c r="AA463" s="12">
        <v>0</v>
      </c>
      <c r="AB463" s="12">
        <v>1</v>
      </c>
      <c r="AC463" s="12">
        <v>0</v>
      </c>
      <c r="AD463" s="12">
        <v>0</v>
      </c>
      <c r="AE463" s="12">
        <v>0</v>
      </c>
      <c r="AF463" s="12">
        <v>0</v>
      </c>
      <c r="AG463" s="12">
        <v>0</v>
      </c>
      <c r="AH463" s="12">
        <v>0</v>
      </c>
      <c r="AI463" s="12">
        <v>3</v>
      </c>
      <c r="AJ463" s="12" t="s">
        <v>57</v>
      </c>
      <c r="AK463" s="12">
        <v>1</v>
      </c>
      <c r="AL463" s="12">
        <v>0</v>
      </c>
      <c r="AM463" s="12">
        <v>4859</v>
      </c>
      <c r="AN463" s="12">
        <f t="shared" si="107"/>
        <v>4859</v>
      </c>
      <c r="AO463" s="12">
        <v>1</v>
      </c>
      <c r="AP463" s="12" t="s">
        <v>59</v>
      </c>
      <c r="AQ463" s="12">
        <v>0</v>
      </c>
      <c r="AR463" s="12">
        <v>16</v>
      </c>
      <c r="AS463" s="12">
        <v>3</v>
      </c>
      <c r="AT463" s="12">
        <v>4</v>
      </c>
      <c r="AU463" s="12">
        <v>0</v>
      </c>
      <c r="AV463" s="12">
        <v>5</v>
      </c>
      <c r="AW463" s="12">
        <f t="shared" si="108"/>
        <v>5</v>
      </c>
      <c r="AX463" s="12">
        <v>3</v>
      </c>
      <c r="AY463" s="12">
        <v>3</v>
      </c>
      <c r="AZ463" s="12">
        <v>5</v>
      </c>
      <c r="BA463" s="12">
        <f t="shared" si="109"/>
        <v>5</v>
      </c>
      <c r="BB463" s="12">
        <v>4</v>
      </c>
      <c r="BC463" s="12">
        <v>0</v>
      </c>
      <c r="BD463" s="12">
        <f t="shared" si="118"/>
        <v>0</v>
      </c>
      <c r="BE463" s="12">
        <v>3</v>
      </c>
      <c r="BF463" s="12">
        <f t="shared" si="110"/>
        <v>3</v>
      </c>
      <c r="BG463" s="12">
        <f t="shared" si="119"/>
        <v>6</v>
      </c>
      <c r="BH463" s="67">
        <v>1</v>
      </c>
      <c r="BI463" s="67">
        <v>0</v>
      </c>
      <c r="BJ463" s="67">
        <v>0</v>
      </c>
      <c r="BK463" s="67">
        <v>0</v>
      </c>
      <c r="BL463" s="67">
        <v>1</v>
      </c>
      <c r="BM463" s="67">
        <v>0</v>
      </c>
      <c r="BN463" s="67">
        <v>0</v>
      </c>
      <c r="BO463" s="67">
        <v>0</v>
      </c>
      <c r="BP463" s="67">
        <v>0</v>
      </c>
      <c r="BQ463" s="67">
        <v>0</v>
      </c>
      <c r="BR463" s="67">
        <v>3</v>
      </c>
      <c r="BS463" s="67">
        <v>0</v>
      </c>
      <c r="BT463" s="67">
        <v>0</v>
      </c>
      <c r="BU463" s="70">
        <v>5</v>
      </c>
      <c r="BV463" s="29">
        <f t="shared" si="111"/>
        <v>0.34918147473631755</v>
      </c>
      <c r="BW463">
        <f t="shared" si="112"/>
        <v>0.31476636926356072</v>
      </c>
      <c r="BX463">
        <f t="shared" si="113"/>
        <v>0.80706439257840468</v>
      </c>
      <c r="BY463">
        <f t="shared" si="114"/>
        <v>0.32778177112653761</v>
      </c>
      <c r="BZ463">
        <f t="shared" si="115"/>
        <v>1.01056543769991</v>
      </c>
      <c r="CA463">
        <f t="shared" si="116"/>
        <v>0.21058903898096887</v>
      </c>
      <c r="CB463">
        <f t="shared" si="117"/>
        <v>0.67891464284095016</v>
      </c>
    </row>
    <row r="464" spans="1:80" x14ac:dyDescent="0.45">
      <c r="A464" s="11">
        <v>34</v>
      </c>
      <c r="B464" s="12">
        <f t="shared" si="105"/>
        <v>34</v>
      </c>
      <c r="C464" s="12" t="s">
        <v>59</v>
      </c>
      <c r="D464" s="12">
        <v>0</v>
      </c>
      <c r="E464" s="12" t="s">
        <v>53</v>
      </c>
      <c r="F464" s="12">
        <v>0</v>
      </c>
      <c r="G464" s="12">
        <v>1</v>
      </c>
      <c r="H464" s="12" t="s">
        <v>54</v>
      </c>
      <c r="I464" s="12">
        <v>0</v>
      </c>
      <c r="J464" s="12">
        <v>1</v>
      </c>
      <c r="K464" s="12">
        <v>21</v>
      </c>
      <c r="L464" s="12">
        <f t="shared" si="106"/>
        <v>21</v>
      </c>
      <c r="M464" s="12">
        <v>4</v>
      </c>
      <c r="N464" s="12" t="s">
        <v>55</v>
      </c>
      <c r="O464" s="12">
        <v>1</v>
      </c>
      <c r="P464" s="12">
        <v>0</v>
      </c>
      <c r="Q464" s="12">
        <v>0</v>
      </c>
      <c r="R464" s="12">
        <v>0</v>
      </c>
      <c r="S464" s="12">
        <v>0</v>
      </c>
      <c r="T464" s="12">
        <v>4</v>
      </c>
      <c r="U464" s="12" t="s">
        <v>62</v>
      </c>
      <c r="V464" s="12">
        <v>0</v>
      </c>
      <c r="W464" s="12">
        <v>74</v>
      </c>
      <c r="X464" s="12">
        <v>4</v>
      </c>
      <c r="Y464" s="12">
        <v>2</v>
      </c>
      <c r="Z464" s="12" t="s">
        <v>56</v>
      </c>
      <c r="AA464" s="12">
        <v>0</v>
      </c>
      <c r="AB464" s="12">
        <v>1</v>
      </c>
      <c r="AC464" s="12">
        <v>0</v>
      </c>
      <c r="AD464" s="12">
        <v>0</v>
      </c>
      <c r="AE464" s="12">
        <v>0</v>
      </c>
      <c r="AF464" s="12">
        <v>0</v>
      </c>
      <c r="AG464" s="12">
        <v>0</v>
      </c>
      <c r="AH464" s="12">
        <v>0</v>
      </c>
      <c r="AI464" s="12">
        <v>4</v>
      </c>
      <c r="AJ464" s="12" t="s">
        <v>57</v>
      </c>
      <c r="AK464" s="12">
        <v>1</v>
      </c>
      <c r="AL464" s="12">
        <v>0</v>
      </c>
      <c r="AM464" s="12">
        <v>5337</v>
      </c>
      <c r="AN464" s="12">
        <f t="shared" si="107"/>
        <v>5337</v>
      </c>
      <c r="AO464" s="12">
        <v>1</v>
      </c>
      <c r="AP464" s="12" t="s">
        <v>59</v>
      </c>
      <c r="AQ464" s="12">
        <v>0</v>
      </c>
      <c r="AR464" s="12">
        <v>12</v>
      </c>
      <c r="AS464" s="12">
        <v>3</v>
      </c>
      <c r="AT464" s="12">
        <v>4</v>
      </c>
      <c r="AU464" s="12">
        <v>0</v>
      </c>
      <c r="AV464" s="12">
        <v>10</v>
      </c>
      <c r="AW464" s="12">
        <f t="shared" si="108"/>
        <v>10</v>
      </c>
      <c r="AX464" s="12">
        <v>3</v>
      </c>
      <c r="AY464" s="12">
        <v>3</v>
      </c>
      <c r="AZ464" s="12">
        <v>10</v>
      </c>
      <c r="BA464" s="12">
        <f t="shared" si="109"/>
        <v>10</v>
      </c>
      <c r="BB464" s="12">
        <v>7</v>
      </c>
      <c r="BC464" s="12">
        <v>5</v>
      </c>
      <c r="BD464" s="12">
        <f t="shared" si="118"/>
        <v>5</v>
      </c>
      <c r="BE464" s="12">
        <v>7</v>
      </c>
      <c r="BF464" s="12">
        <f t="shared" si="110"/>
        <v>7</v>
      </c>
      <c r="BG464" s="12">
        <f t="shared" si="119"/>
        <v>14</v>
      </c>
      <c r="BH464" s="67">
        <v>1</v>
      </c>
      <c r="BI464" s="67">
        <v>0</v>
      </c>
      <c r="BJ464" s="67">
        <v>0</v>
      </c>
      <c r="BK464" s="67">
        <v>0</v>
      </c>
      <c r="BL464" s="67">
        <v>1</v>
      </c>
      <c r="BM464" s="67">
        <v>0</v>
      </c>
      <c r="BN464" s="67">
        <v>0</v>
      </c>
      <c r="BO464" s="67">
        <v>0</v>
      </c>
      <c r="BP464" s="67">
        <v>0</v>
      </c>
      <c r="BQ464" s="67">
        <v>0</v>
      </c>
      <c r="BR464" s="67">
        <v>7</v>
      </c>
      <c r="BS464" s="67">
        <v>0</v>
      </c>
      <c r="BT464" s="67">
        <v>0</v>
      </c>
      <c r="BU464" s="70">
        <v>10</v>
      </c>
      <c r="BV464" s="29">
        <f t="shared" si="111"/>
        <v>0.24765123093372685</v>
      </c>
      <c r="BW464">
        <f t="shared" si="112"/>
        <v>0.80626709607243985</v>
      </c>
      <c r="BX464">
        <f t="shared" si="113"/>
        <v>0.1644554352117841</v>
      </c>
      <c r="BY464">
        <f t="shared" si="114"/>
        <v>0.48834154112957734</v>
      </c>
      <c r="BZ464">
        <f t="shared" si="115"/>
        <v>1.4564796398038149</v>
      </c>
      <c r="CA464">
        <f t="shared" si="116"/>
        <v>0.32005363845127444</v>
      </c>
      <c r="CB464">
        <f t="shared" si="117"/>
        <v>0.87270930768174382</v>
      </c>
    </row>
    <row r="465" spans="1:80" x14ac:dyDescent="0.45">
      <c r="A465" s="11">
        <v>26</v>
      </c>
      <c r="B465" s="12">
        <f t="shared" si="105"/>
        <v>26</v>
      </c>
      <c r="C465" s="12" t="s">
        <v>52</v>
      </c>
      <c r="D465" s="12">
        <v>1</v>
      </c>
      <c r="E465" s="12" t="s">
        <v>53</v>
      </c>
      <c r="F465" s="12">
        <v>0</v>
      </c>
      <c r="G465" s="12">
        <v>1</v>
      </c>
      <c r="H465" s="12" t="s">
        <v>61</v>
      </c>
      <c r="I465" s="12">
        <v>1</v>
      </c>
      <c r="J465" s="12">
        <v>0</v>
      </c>
      <c r="K465" s="12">
        <v>24</v>
      </c>
      <c r="L465" s="12">
        <f t="shared" si="106"/>
        <v>24</v>
      </c>
      <c r="M465" s="12">
        <v>3</v>
      </c>
      <c r="N465" s="12" t="s">
        <v>91</v>
      </c>
      <c r="O465" s="12">
        <v>0</v>
      </c>
      <c r="P465" s="12">
        <v>0</v>
      </c>
      <c r="Q465" s="12">
        <v>0</v>
      </c>
      <c r="R465" s="12">
        <v>0</v>
      </c>
      <c r="S465" s="12">
        <v>1</v>
      </c>
      <c r="T465" s="12">
        <v>3</v>
      </c>
      <c r="U465" s="12" t="s">
        <v>62</v>
      </c>
      <c r="V465" s="12">
        <v>0</v>
      </c>
      <c r="W465" s="12">
        <v>66</v>
      </c>
      <c r="X465" s="12">
        <v>1</v>
      </c>
      <c r="Y465" s="12">
        <v>1</v>
      </c>
      <c r="Z465" s="12" t="s">
        <v>67</v>
      </c>
      <c r="AA465" s="12">
        <v>0</v>
      </c>
      <c r="AB465" s="12">
        <v>0</v>
      </c>
      <c r="AC465" s="12">
        <v>1</v>
      </c>
      <c r="AD465" s="12">
        <v>0</v>
      </c>
      <c r="AE465" s="12">
        <v>0</v>
      </c>
      <c r="AF465" s="12">
        <v>0</v>
      </c>
      <c r="AG465" s="12">
        <v>0</v>
      </c>
      <c r="AH465" s="12">
        <v>0</v>
      </c>
      <c r="AI465" s="12">
        <v>4</v>
      </c>
      <c r="AJ465" s="12" t="s">
        <v>57</v>
      </c>
      <c r="AK465" s="12">
        <v>1</v>
      </c>
      <c r="AL465" s="12">
        <v>0</v>
      </c>
      <c r="AM465" s="12">
        <v>2340</v>
      </c>
      <c r="AN465" s="12">
        <f t="shared" si="107"/>
        <v>2340</v>
      </c>
      <c r="AO465" s="12">
        <v>1</v>
      </c>
      <c r="AP465" s="12" t="s">
        <v>52</v>
      </c>
      <c r="AQ465" s="12">
        <v>1</v>
      </c>
      <c r="AR465" s="12">
        <v>18</v>
      </c>
      <c r="AS465" s="12">
        <v>3</v>
      </c>
      <c r="AT465" s="12">
        <v>2</v>
      </c>
      <c r="AU465" s="12">
        <v>0</v>
      </c>
      <c r="AV465" s="12">
        <v>1</v>
      </c>
      <c r="AW465" s="12">
        <f t="shared" si="108"/>
        <v>1</v>
      </c>
      <c r="AX465" s="12">
        <v>3</v>
      </c>
      <c r="AY465" s="12">
        <v>1</v>
      </c>
      <c r="AZ465" s="12">
        <v>1</v>
      </c>
      <c r="BA465" s="12">
        <f t="shared" si="109"/>
        <v>1</v>
      </c>
      <c r="BB465" s="12">
        <v>0</v>
      </c>
      <c r="BC465" s="12">
        <v>0</v>
      </c>
      <c r="BD465" s="12">
        <f t="shared" si="118"/>
        <v>0</v>
      </c>
      <c r="BE465" s="12">
        <v>0</v>
      </c>
      <c r="BF465" s="12">
        <f t="shared" si="110"/>
        <v>0</v>
      </c>
      <c r="BG465" s="12">
        <f t="shared" si="119"/>
        <v>0</v>
      </c>
      <c r="BH465" s="67">
        <v>1</v>
      </c>
      <c r="BI465" s="67">
        <v>0</v>
      </c>
      <c r="BJ465" s="67">
        <v>0</v>
      </c>
      <c r="BK465" s="67">
        <v>0</v>
      </c>
      <c r="BL465" s="67">
        <v>0</v>
      </c>
      <c r="BM465" s="67">
        <v>1</v>
      </c>
      <c r="BN465" s="67">
        <v>0</v>
      </c>
      <c r="BO465" s="67">
        <v>0</v>
      </c>
      <c r="BP465" s="67">
        <v>0</v>
      </c>
      <c r="BQ465" s="67">
        <v>0</v>
      </c>
      <c r="BR465" s="67">
        <v>0</v>
      </c>
      <c r="BS465" s="67">
        <v>0</v>
      </c>
      <c r="BT465" s="67">
        <v>1</v>
      </c>
      <c r="BU465" s="70">
        <v>0</v>
      </c>
      <c r="BV465" s="29">
        <f t="shared" si="111"/>
        <v>0.88423311519390335</v>
      </c>
      <c r="BW465">
        <f t="shared" si="112"/>
        <v>1.1555414682655611</v>
      </c>
      <c r="BX465">
        <f t="shared" si="113"/>
        <v>1.3211515584717011</v>
      </c>
      <c r="BY465">
        <f t="shared" si="114"/>
        <v>0.9806804209314296</v>
      </c>
      <c r="BZ465">
        <f t="shared" si="115"/>
        <v>1.8265364014293735</v>
      </c>
      <c r="CA465">
        <f t="shared" si="116"/>
        <v>1.195770434213719</v>
      </c>
      <c r="CB465">
        <f t="shared" si="117"/>
        <v>0.67891464284095016</v>
      </c>
    </row>
    <row r="466" spans="1:80" x14ac:dyDescent="0.45">
      <c r="A466" s="11">
        <v>37</v>
      </c>
      <c r="B466" s="12">
        <f t="shared" si="105"/>
        <v>37</v>
      </c>
      <c r="C466" s="12" t="s">
        <v>59</v>
      </c>
      <c r="D466" s="12">
        <v>0</v>
      </c>
      <c r="E466" s="12" t="s">
        <v>53</v>
      </c>
      <c r="F466" s="12">
        <v>0</v>
      </c>
      <c r="G466" s="12">
        <v>1</v>
      </c>
      <c r="H466" s="12" t="s">
        <v>61</v>
      </c>
      <c r="I466" s="12">
        <v>1</v>
      </c>
      <c r="J466" s="12">
        <v>0</v>
      </c>
      <c r="K466" s="12">
        <v>1</v>
      </c>
      <c r="L466" s="12">
        <f t="shared" si="106"/>
        <v>1</v>
      </c>
      <c r="M466" s="12">
        <v>3</v>
      </c>
      <c r="N466" s="12" t="s">
        <v>91</v>
      </c>
      <c r="O466" s="12">
        <v>0</v>
      </c>
      <c r="P466" s="12">
        <v>0</v>
      </c>
      <c r="Q466" s="12">
        <v>0</v>
      </c>
      <c r="R466" s="12">
        <v>0</v>
      </c>
      <c r="S466" s="12">
        <v>1</v>
      </c>
      <c r="T466" s="12">
        <v>2</v>
      </c>
      <c r="U466" s="12" t="s">
        <v>19</v>
      </c>
      <c r="V466" s="12">
        <v>1</v>
      </c>
      <c r="W466" s="12">
        <v>59</v>
      </c>
      <c r="X466" s="12">
        <v>3</v>
      </c>
      <c r="Y466" s="12">
        <v>3</v>
      </c>
      <c r="Z466" s="12" t="s">
        <v>83</v>
      </c>
      <c r="AA466" s="12">
        <v>0</v>
      </c>
      <c r="AB466" s="12">
        <v>0</v>
      </c>
      <c r="AC466" s="12">
        <v>0</v>
      </c>
      <c r="AD466" s="12">
        <v>0</v>
      </c>
      <c r="AE466" s="12">
        <v>1</v>
      </c>
      <c r="AF466" s="12">
        <v>1</v>
      </c>
      <c r="AG466" s="12">
        <v>0</v>
      </c>
      <c r="AH466" s="12">
        <v>0</v>
      </c>
      <c r="AI466" s="12">
        <v>4</v>
      </c>
      <c r="AJ466" s="12" t="s">
        <v>57</v>
      </c>
      <c r="AK466" s="12">
        <v>1</v>
      </c>
      <c r="AL466" s="12">
        <v>0</v>
      </c>
      <c r="AM466" s="12">
        <v>7491</v>
      </c>
      <c r="AN466" s="12">
        <f t="shared" si="107"/>
        <v>7491</v>
      </c>
      <c r="AO466" s="12">
        <v>4</v>
      </c>
      <c r="AP466" s="12" t="s">
        <v>59</v>
      </c>
      <c r="AQ466" s="12">
        <v>0</v>
      </c>
      <c r="AR466" s="12">
        <v>17</v>
      </c>
      <c r="AS466" s="12">
        <v>3</v>
      </c>
      <c r="AT466" s="12">
        <v>4</v>
      </c>
      <c r="AU466" s="12">
        <v>0</v>
      </c>
      <c r="AV466" s="12">
        <v>12</v>
      </c>
      <c r="AW466" s="12">
        <f t="shared" si="108"/>
        <v>12</v>
      </c>
      <c r="AX466" s="12">
        <v>3</v>
      </c>
      <c r="AY466" s="12">
        <v>4</v>
      </c>
      <c r="AZ466" s="12">
        <v>6</v>
      </c>
      <c r="BA466" s="12">
        <f t="shared" si="109"/>
        <v>6</v>
      </c>
      <c r="BB466" s="12">
        <v>5</v>
      </c>
      <c r="BC466" s="12">
        <v>1</v>
      </c>
      <c r="BD466" s="12">
        <f t="shared" si="118"/>
        <v>1</v>
      </c>
      <c r="BE466" s="12">
        <v>2</v>
      </c>
      <c r="BF466" s="12">
        <f t="shared" si="110"/>
        <v>2</v>
      </c>
      <c r="BG466" s="12">
        <f t="shared" si="119"/>
        <v>6</v>
      </c>
      <c r="BH466" s="67">
        <v>1</v>
      </c>
      <c r="BI466" s="67">
        <v>0</v>
      </c>
      <c r="BJ466" s="67">
        <v>0</v>
      </c>
      <c r="BK466" s="67">
        <v>0</v>
      </c>
      <c r="BL466" s="67">
        <v>1</v>
      </c>
      <c r="BM466" s="67">
        <v>0</v>
      </c>
      <c r="BN466" s="67">
        <v>0</v>
      </c>
      <c r="BO466" s="67">
        <v>0</v>
      </c>
      <c r="BP466" s="67">
        <v>0</v>
      </c>
      <c r="BQ466" s="67">
        <v>2</v>
      </c>
      <c r="BR466" s="67">
        <v>0</v>
      </c>
      <c r="BS466" s="67">
        <v>0</v>
      </c>
      <c r="BT466" s="67">
        <v>12</v>
      </c>
      <c r="BU466" s="70">
        <v>0</v>
      </c>
      <c r="BV466" s="29">
        <f t="shared" si="111"/>
        <v>0.20987208528129489</v>
      </c>
      <c r="BW466">
        <f t="shared" si="112"/>
        <v>0.59502473559756086</v>
      </c>
      <c r="BX466">
        <f t="shared" si="113"/>
        <v>9.2588147734864096E-2</v>
      </c>
      <c r="BY466">
        <f t="shared" si="114"/>
        <v>0.16455710867531462</v>
      </c>
      <c r="BZ466">
        <f t="shared" si="115"/>
        <v>1.01056543769991</v>
      </c>
      <c r="CA466">
        <f t="shared" si="116"/>
        <v>8.3401599596422994E-3</v>
      </c>
      <c r="CB466">
        <f t="shared" si="117"/>
        <v>0.36858985273641137</v>
      </c>
    </row>
    <row r="467" spans="1:80" x14ac:dyDescent="0.45">
      <c r="A467" s="11">
        <v>46</v>
      </c>
      <c r="B467" s="12">
        <f t="shared" si="105"/>
        <v>46</v>
      </c>
      <c r="C467" s="12" t="s">
        <v>59</v>
      </c>
      <c r="D467" s="12">
        <v>0</v>
      </c>
      <c r="E467" s="12" t="s">
        <v>60</v>
      </c>
      <c r="F467" s="12">
        <v>1</v>
      </c>
      <c r="G467" s="12">
        <v>0</v>
      </c>
      <c r="H467" s="12" t="s">
        <v>61</v>
      </c>
      <c r="I467" s="12">
        <v>1</v>
      </c>
      <c r="J467" s="12">
        <v>0</v>
      </c>
      <c r="K467" s="12">
        <v>18</v>
      </c>
      <c r="L467" s="12">
        <f t="shared" si="106"/>
        <v>18</v>
      </c>
      <c r="M467" s="12">
        <v>1</v>
      </c>
      <c r="N467" s="12" t="s">
        <v>70</v>
      </c>
      <c r="O467" s="12">
        <v>0</v>
      </c>
      <c r="P467" s="12">
        <v>0</v>
      </c>
      <c r="Q467" s="12">
        <v>1</v>
      </c>
      <c r="R467" s="12">
        <v>0</v>
      </c>
      <c r="S467" s="12">
        <v>0</v>
      </c>
      <c r="T467" s="12">
        <v>1</v>
      </c>
      <c r="U467" s="12" t="s">
        <v>19</v>
      </c>
      <c r="V467" s="12">
        <v>1</v>
      </c>
      <c r="W467" s="12">
        <v>86</v>
      </c>
      <c r="X467" s="12">
        <v>3</v>
      </c>
      <c r="Y467" s="12">
        <v>3</v>
      </c>
      <c r="Z467" s="12" t="s">
        <v>85</v>
      </c>
      <c r="AA467" s="12">
        <v>1</v>
      </c>
      <c r="AB467" s="12">
        <v>0</v>
      </c>
      <c r="AC467" s="12">
        <v>0</v>
      </c>
      <c r="AD467" s="12">
        <v>0</v>
      </c>
      <c r="AE467" s="12">
        <v>0</v>
      </c>
      <c r="AF467" s="12">
        <v>0</v>
      </c>
      <c r="AG467" s="12">
        <v>0</v>
      </c>
      <c r="AH467" s="12">
        <v>0</v>
      </c>
      <c r="AI467" s="12">
        <v>3</v>
      </c>
      <c r="AJ467" s="12" t="s">
        <v>64</v>
      </c>
      <c r="AK467" s="12">
        <v>0</v>
      </c>
      <c r="AL467" s="12">
        <v>1</v>
      </c>
      <c r="AM467" s="12">
        <v>10527</v>
      </c>
      <c r="AN467" s="12">
        <f t="shared" si="107"/>
        <v>10527</v>
      </c>
      <c r="AO467" s="12">
        <v>5</v>
      </c>
      <c r="AP467" s="12" t="s">
        <v>59</v>
      </c>
      <c r="AQ467" s="12">
        <v>0</v>
      </c>
      <c r="AR467" s="12">
        <v>11</v>
      </c>
      <c r="AS467" s="12">
        <v>3</v>
      </c>
      <c r="AT467" s="12">
        <v>4</v>
      </c>
      <c r="AU467" s="12">
        <v>0</v>
      </c>
      <c r="AV467" s="12">
        <v>28</v>
      </c>
      <c r="AW467" s="12">
        <f t="shared" si="108"/>
        <v>28</v>
      </c>
      <c r="AX467" s="12">
        <v>3</v>
      </c>
      <c r="AY467" s="12">
        <v>2</v>
      </c>
      <c r="AZ467" s="12">
        <v>2</v>
      </c>
      <c r="BA467" s="12">
        <f t="shared" si="109"/>
        <v>2</v>
      </c>
      <c r="BB467" s="12">
        <v>2</v>
      </c>
      <c r="BC467" s="12">
        <v>1</v>
      </c>
      <c r="BD467" s="12">
        <f t="shared" si="118"/>
        <v>1</v>
      </c>
      <c r="BE467" s="12">
        <v>2</v>
      </c>
      <c r="BF467" s="12">
        <f t="shared" si="110"/>
        <v>2</v>
      </c>
      <c r="BG467" s="12">
        <f t="shared" si="119"/>
        <v>6</v>
      </c>
      <c r="BH467" s="67">
        <v>0</v>
      </c>
      <c r="BI467" s="67">
        <v>0</v>
      </c>
      <c r="BJ467" s="67">
        <v>0</v>
      </c>
      <c r="BK467" s="67">
        <v>1</v>
      </c>
      <c r="BL467" s="67">
        <v>0</v>
      </c>
      <c r="BM467" s="67">
        <v>0</v>
      </c>
      <c r="BN467" s="67">
        <v>1</v>
      </c>
      <c r="BO467" s="67">
        <v>0</v>
      </c>
      <c r="BP467" s="67">
        <v>0</v>
      </c>
      <c r="BQ467" s="67">
        <v>2</v>
      </c>
      <c r="BR467" s="67">
        <v>0</v>
      </c>
      <c r="BS467" s="67">
        <v>0</v>
      </c>
      <c r="BT467" s="67">
        <v>28</v>
      </c>
      <c r="BU467" s="70">
        <v>0</v>
      </c>
      <c r="BV467" s="29">
        <f t="shared" si="111"/>
        <v>0.85473781788519743</v>
      </c>
      <c r="BW467">
        <f t="shared" si="112"/>
        <v>0.59502473559756086</v>
      </c>
      <c r="BX467">
        <f t="shared" si="113"/>
        <v>2.1489368113080496</v>
      </c>
      <c r="BY467">
        <f t="shared" si="114"/>
        <v>0.81745575848020657</v>
      </c>
      <c r="BZ467">
        <f t="shared" si="115"/>
        <v>1.0864228781782561</v>
      </c>
      <c r="CA467">
        <f t="shared" si="116"/>
        <v>0.99352155519239249</v>
      </c>
      <c r="CB467">
        <f t="shared" si="117"/>
        <v>0.36858985273641137</v>
      </c>
    </row>
    <row r="468" spans="1:80" x14ac:dyDescent="0.45">
      <c r="A468" s="11">
        <v>41</v>
      </c>
      <c r="B468" s="12">
        <f t="shared" si="105"/>
        <v>41</v>
      </c>
      <c r="C468" s="12" t="s">
        <v>59</v>
      </c>
      <c r="D468" s="12">
        <v>0</v>
      </c>
      <c r="E468" s="12" t="s">
        <v>53</v>
      </c>
      <c r="F468" s="12">
        <v>0</v>
      </c>
      <c r="G468" s="12">
        <v>1</v>
      </c>
      <c r="H468" s="12" t="s">
        <v>54</v>
      </c>
      <c r="I468" s="12">
        <v>0</v>
      </c>
      <c r="J468" s="12">
        <v>1</v>
      </c>
      <c r="K468" s="12">
        <v>2</v>
      </c>
      <c r="L468" s="12">
        <f t="shared" si="106"/>
        <v>2</v>
      </c>
      <c r="M468" s="12">
        <v>5</v>
      </c>
      <c r="N468" s="12" t="s">
        <v>55</v>
      </c>
      <c r="O468" s="12">
        <v>1</v>
      </c>
      <c r="P468" s="12">
        <v>0</v>
      </c>
      <c r="Q468" s="12">
        <v>0</v>
      </c>
      <c r="R468" s="12">
        <v>0</v>
      </c>
      <c r="S468" s="12">
        <v>0</v>
      </c>
      <c r="T468" s="12">
        <v>2</v>
      </c>
      <c r="U468" s="12" t="s">
        <v>19</v>
      </c>
      <c r="V468" s="12">
        <v>1</v>
      </c>
      <c r="W468" s="12">
        <v>91</v>
      </c>
      <c r="X468" s="12">
        <v>3</v>
      </c>
      <c r="Y468" s="12">
        <v>4</v>
      </c>
      <c r="Z468" s="12" t="s">
        <v>87</v>
      </c>
      <c r="AA468" s="12">
        <v>0</v>
      </c>
      <c r="AB468" s="12">
        <v>0</v>
      </c>
      <c r="AC468" s="12">
        <v>0</v>
      </c>
      <c r="AD468" s="12">
        <v>1</v>
      </c>
      <c r="AE468" s="12">
        <v>0</v>
      </c>
      <c r="AF468" s="12">
        <v>0</v>
      </c>
      <c r="AG468" s="12">
        <v>0</v>
      </c>
      <c r="AH468" s="12">
        <v>0</v>
      </c>
      <c r="AI468" s="12">
        <v>1</v>
      </c>
      <c r="AJ468" s="12" t="s">
        <v>64</v>
      </c>
      <c r="AK468" s="12">
        <v>0</v>
      </c>
      <c r="AL468" s="12">
        <v>1</v>
      </c>
      <c r="AM468" s="12">
        <v>16595</v>
      </c>
      <c r="AN468" s="12">
        <f t="shared" si="107"/>
        <v>16595</v>
      </c>
      <c r="AO468" s="12">
        <v>7</v>
      </c>
      <c r="AP468" s="12" t="s">
        <v>59</v>
      </c>
      <c r="AQ468" s="12">
        <v>0</v>
      </c>
      <c r="AR468" s="12">
        <v>16</v>
      </c>
      <c r="AS468" s="12">
        <v>3</v>
      </c>
      <c r="AT468" s="12">
        <v>2</v>
      </c>
      <c r="AU468" s="12">
        <v>1</v>
      </c>
      <c r="AV468" s="12">
        <v>22</v>
      </c>
      <c r="AW468" s="12">
        <f t="shared" si="108"/>
        <v>22</v>
      </c>
      <c r="AX468" s="12">
        <v>2</v>
      </c>
      <c r="AY468" s="12">
        <v>3</v>
      </c>
      <c r="AZ468" s="12">
        <v>18</v>
      </c>
      <c r="BA468" s="12">
        <f t="shared" si="109"/>
        <v>18</v>
      </c>
      <c r="BB468" s="12">
        <v>16</v>
      </c>
      <c r="BC468" s="12">
        <v>11</v>
      </c>
      <c r="BD468" s="12">
        <f t="shared" si="118"/>
        <v>11</v>
      </c>
      <c r="BE468" s="12">
        <v>8</v>
      </c>
      <c r="BF468" s="12">
        <f t="shared" si="110"/>
        <v>8</v>
      </c>
      <c r="BG468" s="12">
        <f t="shared" si="119"/>
        <v>32</v>
      </c>
      <c r="BH468" s="67">
        <v>0</v>
      </c>
      <c r="BI468" s="67">
        <v>1</v>
      </c>
      <c r="BJ468" s="67">
        <v>0</v>
      </c>
      <c r="BK468" s="67">
        <v>0</v>
      </c>
      <c r="BL468" s="67">
        <v>0</v>
      </c>
      <c r="BM468" s="67">
        <v>0</v>
      </c>
      <c r="BN468" s="67">
        <v>1</v>
      </c>
      <c r="BO468" s="67">
        <v>0</v>
      </c>
      <c r="BP468" s="67">
        <v>0</v>
      </c>
      <c r="BQ468" s="67">
        <v>0</v>
      </c>
      <c r="BR468" s="67">
        <v>8</v>
      </c>
      <c r="BS468" s="67">
        <v>0</v>
      </c>
      <c r="BT468" s="67">
        <v>0</v>
      </c>
      <c r="BU468" s="70">
        <v>22</v>
      </c>
      <c r="BV468" s="29">
        <f t="shared" si="111"/>
        <v>2.1436196576218509</v>
      </c>
      <c r="BW468">
        <f t="shared" si="112"/>
        <v>1.08652546240644</v>
      </c>
      <c r="BX468">
        <f t="shared" si="113"/>
        <v>1.3778060624681052</v>
      </c>
      <c r="BY468">
        <f t="shared" si="114"/>
        <v>1.794138840739361</v>
      </c>
      <c r="BZ468">
        <f t="shared" si="115"/>
        <v>0.88721318382472392</v>
      </c>
      <c r="CA468">
        <f t="shared" si="116"/>
        <v>0.4461985578408646</v>
      </c>
      <c r="CB468">
        <f t="shared" si="117"/>
        <v>2.7346580483089769</v>
      </c>
    </row>
    <row r="469" spans="1:80" x14ac:dyDescent="0.45">
      <c r="A469" s="11">
        <v>37</v>
      </c>
      <c r="B469" s="12">
        <f t="shared" si="105"/>
        <v>37</v>
      </c>
      <c r="C469" s="12" t="s">
        <v>59</v>
      </c>
      <c r="D469" s="12">
        <v>0</v>
      </c>
      <c r="E469" s="12" t="s">
        <v>86</v>
      </c>
      <c r="F469" s="12">
        <v>0</v>
      </c>
      <c r="G469" s="12">
        <v>0</v>
      </c>
      <c r="H469" s="12" t="s">
        <v>54</v>
      </c>
      <c r="I469" s="12">
        <v>0</v>
      </c>
      <c r="J469" s="12">
        <v>1</v>
      </c>
      <c r="K469" s="12">
        <v>9</v>
      </c>
      <c r="L469" s="12">
        <f t="shared" si="106"/>
        <v>9</v>
      </c>
      <c r="M469" s="12">
        <v>4</v>
      </c>
      <c r="N469" s="12" t="s">
        <v>70</v>
      </c>
      <c r="O469" s="12">
        <v>0</v>
      </c>
      <c r="P469" s="12">
        <v>0</v>
      </c>
      <c r="Q469" s="12">
        <v>1</v>
      </c>
      <c r="R469" s="12">
        <v>0</v>
      </c>
      <c r="S469" s="12">
        <v>0</v>
      </c>
      <c r="T469" s="12">
        <v>1</v>
      </c>
      <c r="U469" s="12" t="s">
        <v>62</v>
      </c>
      <c r="V469" s="12">
        <v>0</v>
      </c>
      <c r="W469" s="12">
        <v>69</v>
      </c>
      <c r="X469" s="12">
        <v>3</v>
      </c>
      <c r="Y469" s="12">
        <v>3</v>
      </c>
      <c r="Z469" s="12" t="s">
        <v>56</v>
      </c>
      <c r="AA469" s="12">
        <v>0</v>
      </c>
      <c r="AB469" s="12">
        <v>1</v>
      </c>
      <c r="AC469" s="12">
        <v>0</v>
      </c>
      <c r="AD469" s="12">
        <v>0</v>
      </c>
      <c r="AE469" s="12">
        <v>0</v>
      </c>
      <c r="AF469" s="12">
        <v>0</v>
      </c>
      <c r="AG469" s="12">
        <v>0</v>
      </c>
      <c r="AH469" s="12">
        <v>0</v>
      </c>
      <c r="AI469" s="12">
        <v>2</v>
      </c>
      <c r="AJ469" s="12" t="s">
        <v>78</v>
      </c>
      <c r="AK469" s="12">
        <v>0</v>
      </c>
      <c r="AL469" s="12">
        <v>0</v>
      </c>
      <c r="AM469" s="12">
        <v>8834</v>
      </c>
      <c r="AN469" s="12">
        <f t="shared" si="107"/>
        <v>8834</v>
      </c>
      <c r="AO469" s="12">
        <v>1</v>
      </c>
      <c r="AP469" s="12" t="s">
        <v>59</v>
      </c>
      <c r="AQ469" s="12">
        <v>0</v>
      </c>
      <c r="AR469" s="12">
        <v>13</v>
      </c>
      <c r="AS469" s="12">
        <v>3</v>
      </c>
      <c r="AT469" s="12">
        <v>4</v>
      </c>
      <c r="AU469" s="12">
        <v>1</v>
      </c>
      <c r="AV469" s="12">
        <v>9</v>
      </c>
      <c r="AW469" s="12">
        <f t="shared" si="108"/>
        <v>9</v>
      </c>
      <c r="AX469" s="12">
        <v>6</v>
      </c>
      <c r="AY469" s="12">
        <v>3</v>
      </c>
      <c r="AZ469" s="12">
        <v>9</v>
      </c>
      <c r="BA469" s="12">
        <f t="shared" si="109"/>
        <v>9</v>
      </c>
      <c r="BB469" s="12">
        <v>5</v>
      </c>
      <c r="BC469" s="12">
        <v>7</v>
      </c>
      <c r="BD469" s="12">
        <f t="shared" si="118"/>
        <v>7</v>
      </c>
      <c r="BE469" s="12">
        <v>7</v>
      </c>
      <c r="BF469" s="12">
        <f t="shared" si="110"/>
        <v>7</v>
      </c>
      <c r="BG469" s="12">
        <f t="shared" si="119"/>
        <v>21</v>
      </c>
      <c r="BH469" s="67">
        <v>1</v>
      </c>
      <c r="BI469" s="67">
        <v>0</v>
      </c>
      <c r="BJ469" s="67">
        <v>0</v>
      </c>
      <c r="BK469" s="67">
        <v>0</v>
      </c>
      <c r="BL469" s="67">
        <v>1</v>
      </c>
      <c r="BM469" s="67">
        <v>0</v>
      </c>
      <c r="BN469" s="67">
        <v>0</v>
      </c>
      <c r="BO469" s="67">
        <v>0</v>
      </c>
      <c r="BP469" s="67">
        <v>0</v>
      </c>
      <c r="BQ469" s="67">
        <v>0</v>
      </c>
      <c r="BR469" s="67">
        <v>7</v>
      </c>
      <c r="BS469" s="67">
        <v>0</v>
      </c>
      <c r="BT469" s="67">
        <v>0</v>
      </c>
      <c r="BU469" s="70">
        <v>9</v>
      </c>
      <c r="BV469" s="29">
        <f t="shared" si="111"/>
        <v>0.49513383722037296</v>
      </c>
      <c r="BW469">
        <f t="shared" si="112"/>
        <v>0.80626709607243985</v>
      </c>
      <c r="BX469">
        <f t="shared" si="113"/>
        <v>0.29297722668510823</v>
      </c>
      <c r="BY469">
        <f t="shared" si="114"/>
        <v>0.32511687867835437</v>
      </c>
      <c r="BZ469">
        <f t="shared" si="115"/>
        <v>2.3747406698420157E-2</v>
      </c>
      <c r="CA469">
        <f t="shared" si="116"/>
        <v>8.3401599596422994E-3</v>
      </c>
      <c r="CB469">
        <f t="shared" si="117"/>
        <v>1.4933588878908215</v>
      </c>
    </row>
    <row r="470" spans="1:80" x14ac:dyDescent="0.45">
      <c r="A470" s="11">
        <v>52</v>
      </c>
      <c r="B470" s="12">
        <f t="shared" si="105"/>
        <v>52</v>
      </c>
      <c r="C470" s="12" t="s">
        <v>59</v>
      </c>
      <c r="D470" s="12">
        <v>0</v>
      </c>
      <c r="E470" s="12" t="s">
        <v>53</v>
      </c>
      <c r="F470" s="12">
        <v>0</v>
      </c>
      <c r="G470" s="12">
        <v>1</v>
      </c>
      <c r="H470" s="12" t="s">
        <v>61</v>
      </c>
      <c r="I470" s="12">
        <v>1</v>
      </c>
      <c r="J470" s="12">
        <v>0</v>
      </c>
      <c r="K470" s="12">
        <v>6</v>
      </c>
      <c r="L470" s="12">
        <f t="shared" si="106"/>
        <v>6</v>
      </c>
      <c r="M470" s="12">
        <v>2</v>
      </c>
      <c r="N470" s="12" t="s">
        <v>91</v>
      </c>
      <c r="O470" s="12">
        <v>0</v>
      </c>
      <c r="P470" s="12">
        <v>0</v>
      </c>
      <c r="Q470" s="12">
        <v>0</v>
      </c>
      <c r="R470" s="12">
        <v>0</v>
      </c>
      <c r="S470" s="12">
        <v>1</v>
      </c>
      <c r="T470" s="12">
        <v>4</v>
      </c>
      <c r="U470" s="12" t="s">
        <v>62</v>
      </c>
      <c r="V470" s="12">
        <v>0</v>
      </c>
      <c r="W470" s="12">
        <v>78</v>
      </c>
      <c r="X470" s="12">
        <v>3</v>
      </c>
      <c r="Y470" s="12">
        <v>2</v>
      </c>
      <c r="Z470" s="12" t="s">
        <v>63</v>
      </c>
      <c r="AA470" s="12">
        <v>0</v>
      </c>
      <c r="AB470" s="12">
        <v>0</v>
      </c>
      <c r="AC470" s="12">
        <v>0</v>
      </c>
      <c r="AD470" s="12">
        <v>0</v>
      </c>
      <c r="AE470" s="12">
        <v>0</v>
      </c>
      <c r="AF470" s="12">
        <v>0</v>
      </c>
      <c r="AG470" s="12">
        <v>0</v>
      </c>
      <c r="AH470" s="12">
        <v>1</v>
      </c>
      <c r="AI470" s="12">
        <v>1</v>
      </c>
      <c r="AJ470" s="12" t="s">
        <v>78</v>
      </c>
      <c r="AK470" s="12">
        <v>0</v>
      </c>
      <c r="AL470" s="12">
        <v>0</v>
      </c>
      <c r="AM470" s="12">
        <v>5577</v>
      </c>
      <c r="AN470" s="12">
        <f t="shared" si="107"/>
        <v>5577</v>
      </c>
      <c r="AO470" s="12">
        <v>3</v>
      </c>
      <c r="AP470" s="12" t="s">
        <v>52</v>
      </c>
      <c r="AQ470" s="12">
        <v>1</v>
      </c>
      <c r="AR470" s="12">
        <v>12</v>
      </c>
      <c r="AS470" s="12">
        <v>3</v>
      </c>
      <c r="AT470" s="12">
        <v>2</v>
      </c>
      <c r="AU470" s="12">
        <v>2</v>
      </c>
      <c r="AV470" s="12">
        <v>18</v>
      </c>
      <c r="AW470" s="12">
        <f t="shared" si="108"/>
        <v>18</v>
      </c>
      <c r="AX470" s="12">
        <v>3</v>
      </c>
      <c r="AY470" s="12">
        <v>3</v>
      </c>
      <c r="AZ470" s="12">
        <v>10</v>
      </c>
      <c r="BA470" s="12">
        <f t="shared" si="109"/>
        <v>10</v>
      </c>
      <c r="BB470" s="12">
        <v>9</v>
      </c>
      <c r="BC470" s="12">
        <v>6</v>
      </c>
      <c r="BD470" s="12">
        <f t="shared" si="118"/>
        <v>6</v>
      </c>
      <c r="BE470" s="12">
        <v>9</v>
      </c>
      <c r="BF470" s="12">
        <f t="shared" si="110"/>
        <v>9</v>
      </c>
      <c r="BG470" s="12">
        <f t="shared" si="119"/>
        <v>18</v>
      </c>
      <c r="BH470" s="67">
        <v>1</v>
      </c>
      <c r="BI470" s="67">
        <v>0</v>
      </c>
      <c r="BJ470" s="67">
        <v>0</v>
      </c>
      <c r="BK470" s="67">
        <v>0</v>
      </c>
      <c r="BL470" s="67">
        <v>0</v>
      </c>
      <c r="BM470" s="67">
        <v>1</v>
      </c>
      <c r="BN470" s="67">
        <v>0</v>
      </c>
      <c r="BO470" s="67">
        <v>0</v>
      </c>
      <c r="BP470" s="67">
        <v>0</v>
      </c>
      <c r="BQ470" s="67">
        <v>9</v>
      </c>
      <c r="BR470" s="67">
        <v>0</v>
      </c>
      <c r="BS470" s="67">
        <v>0</v>
      </c>
      <c r="BT470" s="67">
        <v>18</v>
      </c>
      <c r="BU470" s="70">
        <v>0</v>
      </c>
      <c r="BV470" s="29">
        <f t="shared" si="111"/>
        <v>0.19667370266464362</v>
      </c>
      <c r="BW470">
        <f t="shared" si="112"/>
        <v>1.3667838287404401</v>
      </c>
      <c r="BX470">
        <f t="shared" si="113"/>
        <v>0.86371889657480871</v>
      </c>
      <c r="BY470">
        <f t="shared" si="114"/>
        <v>0.48834154112957734</v>
      </c>
      <c r="BZ470">
        <f t="shared" si="115"/>
        <v>0.39380416832397891</v>
      </c>
      <c r="CA470">
        <f t="shared" si="116"/>
        <v>1.6503091520142259</v>
      </c>
      <c r="CB470">
        <f t="shared" si="117"/>
        <v>1.1830340977862825</v>
      </c>
    </row>
    <row r="471" spans="1:80" x14ac:dyDescent="0.45">
      <c r="A471" s="11">
        <v>32</v>
      </c>
      <c r="B471" s="12">
        <f t="shared" si="105"/>
        <v>32</v>
      </c>
      <c r="C471" s="12" t="s">
        <v>52</v>
      </c>
      <c r="D471" s="12">
        <v>1</v>
      </c>
      <c r="E471" s="12" t="s">
        <v>86</v>
      </c>
      <c r="F471" s="12">
        <v>0</v>
      </c>
      <c r="G471" s="12">
        <v>0</v>
      </c>
      <c r="H471" s="12" t="s">
        <v>54</v>
      </c>
      <c r="I471" s="12">
        <v>0</v>
      </c>
      <c r="J471" s="12">
        <v>1</v>
      </c>
      <c r="K471" s="12">
        <v>11</v>
      </c>
      <c r="L471" s="12">
        <f t="shared" si="106"/>
        <v>11</v>
      </c>
      <c r="M471" s="12">
        <v>4</v>
      </c>
      <c r="N471" s="12" t="s">
        <v>66</v>
      </c>
      <c r="O471" s="12">
        <v>0</v>
      </c>
      <c r="P471" s="12">
        <v>1</v>
      </c>
      <c r="Q471" s="12">
        <v>0</v>
      </c>
      <c r="R471" s="12">
        <v>0</v>
      </c>
      <c r="S471" s="12">
        <v>0</v>
      </c>
      <c r="T471" s="12">
        <v>4</v>
      </c>
      <c r="U471" s="12" t="s">
        <v>62</v>
      </c>
      <c r="V471" s="12">
        <v>0</v>
      </c>
      <c r="W471" s="12">
        <v>60</v>
      </c>
      <c r="X471" s="12">
        <v>4</v>
      </c>
      <c r="Y471" s="12">
        <v>2</v>
      </c>
      <c r="Z471" s="12" t="s">
        <v>56</v>
      </c>
      <c r="AA471" s="12">
        <v>0</v>
      </c>
      <c r="AB471" s="12">
        <v>1</v>
      </c>
      <c r="AC471" s="12">
        <v>0</v>
      </c>
      <c r="AD471" s="12">
        <v>0</v>
      </c>
      <c r="AE471" s="12">
        <v>0</v>
      </c>
      <c r="AF471" s="12">
        <v>0</v>
      </c>
      <c r="AG471" s="12">
        <v>0</v>
      </c>
      <c r="AH471" s="12">
        <v>0</v>
      </c>
      <c r="AI471" s="12">
        <v>3</v>
      </c>
      <c r="AJ471" s="12" t="s">
        <v>64</v>
      </c>
      <c r="AK471" s="12">
        <v>0</v>
      </c>
      <c r="AL471" s="12">
        <v>1</v>
      </c>
      <c r="AM471" s="12">
        <v>4707</v>
      </c>
      <c r="AN471" s="12">
        <f t="shared" si="107"/>
        <v>4707</v>
      </c>
      <c r="AO471" s="12">
        <v>8</v>
      </c>
      <c r="AP471" s="12" t="s">
        <v>59</v>
      </c>
      <c r="AQ471" s="12">
        <v>0</v>
      </c>
      <c r="AR471" s="12">
        <v>12</v>
      </c>
      <c r="AS471" s="12">
        <v>3</v>
      </c>
      <c r="AT471" s="12">
        <v>4</v>
      </c>
      <c r="AU471" s="12">
        <v>0</v>
      </c>
      <c r="AV471" s="12">
        <v>6</v>
      </c>
      <c r="AW471" s="12">
        <f t="shared" si="108"/>
        <v>6</v>
      </c>
      <c r="AX471" s="12">
        <v>2</v>
      </c>
      <c r="AY471" s="12">
        <v>3</v>
      </c>
      <c r="AZ471" s="12">
        <v>4</v>
      </c>
      <c r="BA471" s="12">
        <f t="shared" si="109"/>
        <v>4</v>
      </c>
      <c r="BB471" s="12">
        <v>2</v>
      </c>
      <c r="BC471" s="12">
        <v>1</v>
      </c>
      <c r="BD471" s="12">
        <f t="shared" si="118"/>
        <v>1</v>
      </c>
      <c r="BE471" s="12">
        <v>2</v>
      </c>
      <c r="BF471" s="12">
        <f t="shared" si="110"/>
        <v>2</v>
      </c>
      <c r="BG471" s="12">
        <f t="shared" si="119"/>
        <v>4</v>
      </c>
      <c r="BH471" s="67">
        <v>0</v>
      </c>
      <c r="BI471" s="67">
        <v>1</v>
      </c>
      <c r="BJ471" s="67">
        <v>0</v>
      </c>
      <c r="BK471" s="67">
        <v>0</v>
      </c>
      <c r="BL471" s="67">
        <v>0</v>
      </c>
      <c r="BM471" s="67">
        <v>0</v>
      </c>
      <c r="BN471" s="67">
        <v>1</v>
      </c>
      <c r="BO471" s="67">
        <v>0</v>
      </c>
      <c r="BP471" s="67">
        <v>0</v>
      </c>
      <c r="BQ471" s="67">
        <v>0</v>
      </c>
      <c r="BR471" s="67">
        <v>2</v>
      </c>
      <c r="BS471" s="67">
        <v>0</v>
      </c>
      <c r="BT471" s="67">
        <v>0</v>
      </c>
      <c r="BU471" s="70">
        <v>6</v>
      </c>
      <c r="BV471" s="29">
        <f t="shared" si="111"/>
        <v>0.38146724264007026</v>
      </c>
      <c r="BW471">
        <f t="shared" si="112"/>
        <v>0.59502473559756086</v>
      </c>
      <c r="BX471">
        <f t="shared" si="113"/>
        <v>0.67854260110508058</v>
      </c>
      <c r="BY471">
        <f t="shared" si="114"/>
        <v>0.49100643357776058</v>
      </c>
      <c r="BZ471">
        <f t="shared" si="115"/>
        <v>0.22295710105195232</v>
      </c>
      <c r="CA471">
        <f t="shared" si="116"/>
        <v>0.53898283739188557</v>
      </c>
      <c r="CB471">
        <f t="shared" si="117"/>
        <v>0.36858985273641137</v>
      </c>
    </row>
    <row r="472" spans="1:80" x14ac:dyDescent="0.45">
      <c r="A472" s="11">
        <v>24</v>
      </c>
      <c r="B472" s="12">
        <f t="shared" si="105"/>
        <v>24</v>
      </c>
      <c r="C472" s="12" t="s">
        <v>59</v>
      </c>
      <c r="D472" s="12">
        <v>0</v>
      </c>
      <c r="E472" s="12" t="s">
        <v>60</v>
      </c>
      <c r="F472" s="12">
        <v>1</v>
      </c>
      <c r="G472" s="12">
        <v>0</v>
      </c>
      <c r="H472" s="12" t="s">
        <v>54</v>
      </c>
      <c r="I472" s="12">
        <v>0</v>
      </c>
      <c r="J472" s="12">
        <v>1</v>
      </c>
      <c r="K472" s="12">
        <v>24</v>
      </c>
      <c r="L472" s="12">
        <f t="shared" si="106"/>
        <v>24</v>
      </c>
      <c r="M472" s="12">
        <v>3</v>
      </c>
      <c r="N472" s="12" t="s">
        <v>70</v>
      </c>
      <c r="O472" s="12">
        <v>0</v>
      </c>
      <c r="P472" s="12">
        <v>0</v>
      </c>
      <c r="Q472" s="12">
        <v>1</v>
      </c>
      <c r="R472" s="12">
        <v>0</v>
      </c>
      <c r="S472" s="12">
        <v>0</v>
      </c>
      <c r="T472" s="12">
        <v>4</v>
      </c>
      <c r="U472" s="12" t="s">
        <v>62</v>
      </c>
      <c r="V472" s="12">
        <v>0</v>
      </c>
      <c r="W472" s="12">
        <v>38</v>
      </c>
      <c r="X472" s="12">
        <v>3</v>
      </c>
      <c r="Y472" s="12">
        <v>1</v>
      </c>
      <c r="Z472" s="12" t="s">
        <v>88</v>
      </c>
      <c r="AA472" s="12">
        <v>0</v>
      </c>
      <c r="AB472" s="12">
        <v>0</v>
      </c>
      <c r="AC472" s="12">
        <v>0</v>
      </c>
      <c r="AD472" s="12">
        <v>0</v>
      </c>
      <c r="AE472" s="12">
        <v>0</v>
      </c>
      <c r="AF472" s="12">
        <v>0</v>
      </c>
      <c r="AG472" s="12">
        <v>1</v>
      </c>
      <c r="AH472" s="12">
        <v>0</v>
      </c>
      <c r="AI472" s="12">
        <v>4</v>
      </c>
      <c r="AJ472" s="12" t="s">
        <v>64</v>
      </c>
      <c r="AK472" s="12">
        <v>0</v>
      </c>
      <c r="AL472" s="12">
        <v>1</v>
      </c>
      <c r="AM472" s="12">
        <v>2400</v>
      </c>
      <c r="AN472" s="12">
        <f t="shared" si="107"/>
        <v>2400</v>
      </c>
      <c r="AO472" s="12">
        <v>0</v>
      </c>
      <c r="AP472" s="12" t="s">
        <v>59</v>
      </c>
      <c r="AQ472" s="12">
        <v>0</v>
      </c>
      <c r="AR472" s="12">
        <v>13</v>
      </c>
      <c r="AS472" s="12">
        <v>3</v>
      </c>
      <c r="AT472" s="12">
        <v>3</v>
      </c>
      <c r="AU472" s="12">
        <v>2</v>
      </c>
      <c r="AV472" s="12">
        <v>3</v>
      </c>
      <c r="AW472" s="12">
        <f t="shared" si="108"/>
        <v>3</v>
      </c>
      <c r="AX472" s="12">
        <v>3</v>
      </c>
      <c r="AY472" s="12">
        <v>3</v>
      </c>
      <c r="AZ472" s="12">
        <v>2</v>
      </c>
      <c r="BA472" s="12">
        <f t="shared" si="109"/>
        <v>2</v>
      </c>
      <c r="BB472" s="12">
        <v>2</v>
      </c>
      <c r="BC472" s="12">
        <v>2</v>
      </c>
      <c r="BD472" s="12">
        <f t="shared" si="118"/>
        <v>2</v>
      </c>
      <c r="BE472" s="12">
        <v>1</v>
      </c>
      <c r="BF472" s="12">
        <f t="shared" si="110"/>
        <v>1</v>
      </c>
      <c r="BG472" s="12">
        <f t="shared" si="119"/>
        <v>1</v>
      </c>
      <c r="BH472" s="67">
        <v>0</v>
      </c>
      <c r="BI472" s="67">
        <v>0</v>
      </c>
      <c r="BJ472" s="67">
        <v>0</v>
      </c>
      <c r="BK472" s="67">
        <v>1</v>
      </c>
      <c r="BL472" s="67">
        <v>0</v>
      </c>
      <c r="BM472" s="67">
        <v>0</v>
      </c>
      <c r="BN472" s="67">
        <v>1</v>
      </c>
      <c r="BO472" s="67">
        <v>0</v>
      </c>
      <c r="BP472" s="67">
        <v>0</v>
      </c>
      <c r="BQ472" s="67">
        <v>0</v>
      </c>
      <c r="BR472" s="67">
        <v>1</v>
      </c>
      <c r="BS472" s="67">
        <v>0</v>
      </c>
      <c r="BT472" s="67">
        <v>0</v>
      </c>
      <c r="BU472" s="70">
        <v>3</v>
      </c>
      <c r="BV472" s="29">
        <f t="shared" si="111"/>
        <v>0.87148873312663255</v>
      </c>
      <c r="BW472">
        <f t="shared" si="112"/>
        <v>0.87528310193156111</v>
      </c>
      <c r="BX472">
        <f t="shared" si="113"/>
        <v>1.0641079755250529</v>
      </c>
      <c r="BY472">
        <f t="shared" si="114"/>
        <v>0.81745575848020657</v>
      </c>
      <c r="BZ472">
        <f t="shared" si="115"/>
        <v>1.8265364014293735</v>
      </c>
      <c r="CA472">
        <f t="shared" si="116"/>
        <v>1.4146996331543302</v>
      </c>
      <c r="CB472">
        <f t="shared" si="117"/>
        <v>5.8265062631872602E-2</v>
      </c>
    </row>
    <row r="473" spans="1:80" x14ac:dyDescent="0.45">
      <c r="A473" s="11">
        <v>38</v>
      </c>
      <c r="B473" s="12">
        <f t="shared" si="105"/>
        <v>38</v>
      </c>
      <c r="C473" s="12" t="s">
        <v>59</v>
      </c>
      <c r="D473" s="12">
        <v>0</v>
      </c>
      <c r="E473" s="12" t="s">
        <v>53</v>
      </c>
      <c r="F473" s="12">
        <v>0</v>
      </c>
      <c r="G473" s="12">
        <v>1</v>
      </c>
      <c r="H473" s="12" t="s">
        <v>61</v>
      </c>
      <c r="I473" s="12">
        <v>1</v>
      </c>
      <c r="J473" s="12">
        <v>0</v>
      </c>
      <c r="K473" s="12">
        <v>10</v>
      </c>
      <c r="L473" s="12">
        <f t="shared" si="106"/>
        <v>10</v>
      </c>
      <c r="M473" s="12">
        <v>3</v>
      </c>
      <c r="N473" s="12" t="s">
        <v>70</v>
      </c>
      <c r="O473" s="12">
        <v>0</v>
      </c>
      <c r="P473" s="12">
        <v>0</v>
      </c>
      <c r="Q473" s="12">
        <v>1</v>
      </c>
      <c r="R473" s="12">
        <v>0</v>
      </c>
      <c r="S473" s="12">
        <v>0</v>
      </c>
      <c r="T473" s="12">
        <v>3</v>
      </c>
      <c r="U473" s="12" t="s">
        <v>19</v>
      </c>
      <c r="V473" s="12">
        <v>1</v>
      </c>
      <c r="W473" s="12">
        <v>76</v>
      </c>
      <c r="X473" s="12">
        <v>3</v>
      </c>
      <c r="Y473" s="12">
        <v>2</v>
      </c>
      <c r="Z473" s="12" t="s">
        <v>85</v>
      </c>
      <c r="AA473" s="12">
        <v>1</v>
      </c>
      <c r="AB473" s="12">
        <v>0</v>
      </c>
      <c r="AC473" s="12">
        <v>0</v>
      </c>
      <c r="AD473" s="12">
        <v>0</v>
      </c>
      <c r="AE473" s="12">
        <v>0</v>
      </c>
      <c r="AF473" s="12">
        <v>0</v>
      </c>
      <c r="AG473" s="12">
        <v>0</v>
      </c>
      <c r="AH473" s="12">
        <v>0</v>
      </c>
      <c r="AI473" s="12">
        <v>3</v>
      </c>
      <c r="AJ473" s="12" t="s">
        <v>64</v>
      </c>
      <c r="AK473" s="12">
        <v>0</v>
      </c>
      <c r="AL473" s="12">
        <v>1</v>
      </c>
      <c r="AM473" s="12">
        <v>9824</v>
      </c>
      <c r="AN473" s="12">
        <f t="shared" si="107"/>
        <v>9824</v>
      </c>
      <c r="AO473" s="12">
        <v>3</v>
      </c>
      <c r="AP473" s="12" t="s">
        <v>59</v>
      </c>
      <c r="AQ473" s="12">
        <v>0</v>
      </c>
      <c r="AR473" s="12">
        <v>19</v>
      </c>
      <c r="AS473" s="12">
        <v>3</v>
      </c>
      <c r="AT473" s="12">
        <v>3</v>
      </c>
      <c r="AU473" s="12">
        <v>1</v>
      </c>
      <c r="AV473" s="12">
        <v>18</v>
      </c>
      <c r="AW473" s="12">
        <f t="shared" si="108"/>
        <v>18</v>
      </c>
      <c r="AX473" s="12">
        <v>4</v>
      </c>
      <c r="AY473" s="12">
        <v>3</v>
      </c>
      <c r="AZ473" s="12">
        <v>1</v>
      </c>
      <c r="BA473" s="12">
        <f t="shared" si="109"/>
        <v>1</v>
      </c>
      <c r="BB473" s="12">
        <v>0</v>
      </c>
      <c r="BC473" s="12">
        <v>0</v>
      </c>
      <c r="BD473" s="12">
        <f t="shared" si="118"/>
        <v>0</v>
      </c>
      <c r="BE473" s="12">
        <v>0</v>
      </c>
      <c r="BF473" s="12">
        <f t="shared" si="110"/>
        <v>0</v>
      </c>
      <c r="BG473" s="12">
        <f t="shared" si="119"/>
        <v>0</v>
      </c>
      <c r="BH473" s="67">
        <v>0</v>
      </c>
      <c r="BI473" s="67">
        <v>1</v>
      </c>
      <c r="BJ473" s="67">
        <v>0</v>
      </c>
      <c r="BK473" s="67">
        <v>0</v>
      </c>
      <c r="BL473" s="67">
        <v>0</v>
      </c>
      <c r="BM473" s="67">
        <v>0</v>
      </c>
      <c r="BN473" s="67">
        <v>1</v>
      </c>
      <c r="BO473" s="67">
        <v>0</v>
      </c>
      <c r="BP473" s="67">
        <v>0</v>
      </c>
      <c r="BQ473" s="67">
        <v>0</v>
      </c>
      <c r="BR473" s="67">
        <v>0</v>
      </c>
      <c r="BS473" s="67">
        <v>0</v>
      </c>
      <c r="BT473" s="67">
        <v>18</v>
      </c>
      <c r="BU473" s="70">
        <v>0</v>
      </c>
      <c r="BV473" s="29">
        <f t="shared" si="111"/>
        <v>0.70541614133034114</v>
      </c>
      <c r="BW473">
        <f t="shared" si="112"/>
        <v>1.1555414682655611</v>
      </c>
      <c r="BX473">
        <f t="shared" si="113"/>
        <v>0.86371889657480871</v>
      </c>
      <c r="BY473">
        <f t="shared" si="114"/>
        <v>0.9806804209314296</v>
      </c>
      <c r="BZ473">
        <f t="shared" si="115"/>
        <v>9.9604847176766084E-2</v>
      </c>
      <c r="CA473">
        <f t="shared" si="116"/>
        <v>0.11780475942994788</v>
      </c>
      <c r="CB473">
        <f t="shared" si="117"/>
        <v>0.67891464284095016</v>
      </c>
    </row>
    <row r="474" spans="1:80" x14ac:dyDescent="0.45">
      <c r="A474" s="11">
        <v>37</v>
      </c>
      <c r="B474" s="12">
        <f t="shared" si="105"/>
        <v>37</v>
      </c>
      <c r="C474" s="12" t="s">
        <v>59</v>
      </c>
      <c r="D474" s="12">
        <v>0</v>
      </c>
      <c r="E474" s="12" t="s">
        <v>53</v>
      </c>
      <c r="F474" s="12">
        <v>0</v>
      </c>
      <c r="G474" s="12">
        <v>1</v>
      </c>
      <c r="H474" s="12" t="s">
        <v>61</v>
      </c>
      <c r="I474" s="12">
        <v>1</v>
      </c>
      <c r="J474" s="12">
        <v>0</v>
      </c>
      <c r="K474" s="12">
        <v>1</v>
      </c>
      <c r="L474" s="12">
        <f t="shared" si="106"/>
        <v>1</v>
      </c>
      <c r="M474" s="12">
        <v>4</v>
      </c>
      <c r="N474" s="12" t="s">
        <v>55</v>
      </c>
      <c r="O474" s="12">
        <v>1</v>
      </c>
      <c r="P474" s="12">
        <v>0</v>
      </c>
      <c r="Q474" s="12">
        <v>0</v>
      </c>
      <c r="R474" s="12">
        <v>0</v>
      </c>
      <c r="S474" s="12">
        <v>0</v>
      </c>
      <c r="T474" s="12">
        <v>2</v>
      </c>
      <c r="U474" s="12" t="s">
        <v>19</v>
      </c>
      <c r="V474" s="12">
        <v>1</v>
      </c>
      <c r="W474" s="12">
        <v>65</v>
      </c>
      <c r="X474" s="12">
        <v>3</v>
      </c>
      <c r="Y474" s="12">
        <v>2</v>
      </c>
      <c r="Z474" s="12" t="s">
        <v>83</v>
      </c>
      <c r="AA474" s="12">
        <v>0</v>
      </c>
      <c r="AB474" s="12">
        <v>0</v>
      </c>
      <c r="AC474" s="12">
        <v>0</v>
      </c>
      <c r="AD474" s="12">
        <v>0</v>
      </c>
      <c r="AE474" s="12">
        <v>1</v>
      </c>
      <c r="AF474" s="12">
        <v>1</v>
      </c>
      <c r="AG474" s="12">
        <v>0</v>
      </c>
      <c r="AH474" s="12">
        <v>0</v>
      </c>
      <c r="AI474" s="12">
        <v>2</v>
      </c>
      <c r="AJ474" s="12" t="s">
        <v>64</v>
      </c>
      <c r="AK474" s="12">
        <v>0</v>
      </c>
      <c r="AL474" s="12">
        <v>1</v>
      </c>
      <c r="AM474" s="12">
        <v>6447</v>
      </c>
      <c r="AN474" s="12">
        <f t="shared" si="107"/>
        <v>6447</v>
      </c>
      <c r="AO474" s="12">
        <v>6</v>
      </c>
      <c r="AP474" s="12" t="s">
        <v>59</v>
      </c>
      <c r="AQ474" s="12">
        <v>0</v>
      </c>
      <c r="AR474" s="12">
        <v>12</v>
      </c>
      <c r="AS474" s="12">
        <v>3</v>
      </c>
      <c r="AT474" s="12">
        <v>2</v>
      </c>
      <c r="AU474" s="12">
        <v>1</v>
      </c>
      <c r="AV474" s="12">
        <v>8</v>
      </c>
      <c r="AW474" s="12">
        <f t="shared" si="108"/>
        <v>8</v>
      </c>
      <c r="AX474" s="12">
        <v>2</v>
      </c>
      <c r="AY474" s="12">
        <v>2</v>
      </c>
      <c r="AZ474" s="12">
        <v>6</v>
      </c>
      <c r="BA474" s="12">
        <f t="shared" si="109"/>
        <v>6</v>
      </c>
      <c r="BB474" s="12">
        <v>5</v>
      </c>
      <c r="BC474" s="12">
        <v>4</v>
      </c>
      <c r="BD474" s="12">
        <f t="shared" si="118"/>
        <v>4</v>
      </c>
      <c r="BE474" s="12">
        <v>3</v>
      </c>
      <c r="BF474" s="12">
        <f t="shared" si="110"/>
        <v>3</v>
      </c>
      <c r="BG474" s="12">
        <f t="shared" si="119"/>
        <v>6</v>
      </c>
      <c r="BH474" s="67">
        <v>0</v>
      </c>
      <c r="BI474" s="67">
        <v>1</v>
      </c>
      <c r="BJ474" s="67">
        <v>0</v>
      </c>
      <c r="BK474" s="67">
        <v>0</v>
      </c>
      <c r="BL474" s="67">
        <v>0</v>
      </c>
      <c r="BM474" s="67">
        <v>0</v>
      </c>
      <c r="BN474" s="67">
        <v>1</v>
      </c>
      <c r="BO474" s="67">
        <v>0</v>
      </c>
      <c r="BP474" s="67">
        <v>0</v>
      </c>
      <c r="BQ474" s="67">
        <v>3</v>
      </c>
      <c r="BR474" s="67">
        <v>0</v>
      </c>
      <c r="BS474" s="67">
        <v>0</v>
      </c>
      <c r="BT474" s="67">
        <v>8</v>
      </c>
      <c r="BU474" s="70">
        <v>0</v>
      </c>
      <c r="BV474" s="29">
        <f t="shared" si="111"/>
        <v>1.188016268921703E-2</v>
      </c>
      <c r="BW474">
        <f t="shared" si="112"/>
        <v>0.31476636926356072</v>
      </c>
      <c r="BX474">
        <f t="shared" si="113"/>
        <v>0.42149901815843233</v>
      </c>
      <c r="BY474">
        <f t="shared" si="114"/>
        <v>0.16455710867531462</v>
      </c>
      <c r="BZ474">
        <f t="shared" si="115"/>
        <v>1.01056543769991</v>
      </c>
      <c r="CA474">
        <f t="shared" si="116"/>
        <v>8.3401599596422994E-3</v>
      </c>
      <c r="CB474">
        <f t="shared" si="117"/>
        <v>0.56238451757720498</v>
      </c>
    </row>
    <row r="475" spans="1:80" x14ac:dyDescent="0.45">
      <c r="A475" s="11">
        <v>49</v>
      </c>
      <c r="B475" s="12">
        <f t="shared" si="105"/>
        <v>49</v>
      </c>
      <c r="C475" s="12" t="s">
        <v>59</v>
      </c>
      <c r="D475" s="12">
        <v>0</v>
      </c>
      <c r="E475" s="12" t="s">
        <v>53</v>
      </c>
      <c r="F475" s="12">
        <v>0</v>
      </c>
      <c r="G475" s="12">
        <v>1</v>
      </c>
      <c r="H475" s="12" t="s">
        <v>61</v>
      </c>
      <c r="I475" s="12">
        <v>1</v>
      </c>
      <c r="J475" s="12">
        <v>0</v>
      </c>
      <c r="K475" s="12">
        <v>18</v>
      </c>
      <c r="L475" s="12">
        <f t="shared" si="106"/>
        <v>18</v>
      </c>
      <c r="M475" s="12">
        <v>4</v>
      </c>
      <c r="N475" s="12" t="s">
        <v>55</v>
      </c>
      <c r="O475" s="12">
        <v>1</v>
      </c>
      <c r="P475" s="12">
        <v>0</v>
      </c>
      <c r="Q475" s="12">
        <v>0</v>
      </c>
      <c r="R475" s="12">
        <v>0</v>
      </c>
      <c r="S475" s="12">
        <v>0</v>
      </c>
      <c r="T475" s="12">
        <v>4</v>
      </c>
      <c r="U475" s="12" t="s">
        <v>62</v>
      </c>
      <c r="V475" s="12">
        <v>0</v>
      </c>
      <c r="W475" s="12">
        <v>58</v>
      </c>
      <c r="X475" s="12">
        <v>2</v>
      </c>
      <c r="Y475" s="12">
        <v>5</v>
      </c>
      <c r="Z475" s="12" t="s">
        <v>89</v>
      </c>
      <c r="AA475" s="12">
        <v>0</v>
      </c>
      <c r="AB475" s="12">
        <v>0</v>
      </c>
      <c r="AC475" s="12">
        <v>0</v>
      </c>
      <c r="AD475" s="12">
        <v>0</v>
      </c>
      <c r="AE475" s="12">
        <v>0</v>
      </c>
      <c r="AF475" s="12">
        <v>0</v>
      </c>
      <c r="AG475" s="12">
        <v>0</v>
      </c>
      <c r="AH475" s="12">
        <v>0</v>
      </c>
      <c r="AI475" s="12">
        <v>3</v>
      </c>
      <c r="AJ475" s="12" t="s">
        <v>78</v>
      </c>
      <c r="AK475" s="12">
        <v>0</v>
      </c>
      <c r="AL475" s="12">
        <v>0</v>
      </c>
      <c r="AM475" s="12">
        <v>19502</v>
      </c>
      <c r="AN475" s="12">
        <f t="shared" si="107"/>
        <v>19502</v>
      </c>
      <c r="AO475" s="12">
        <v>1</v>
      </c>
      <c r="AP475" s="12" t="s">
        <v>52</v>
      </c>
      <c r="AQ475" s="12">
        <v>1</v>
      </c>
      <c r="AR475" s="12">
        <v>17</v>
      </c>
      <c r="AS475" s="12">
        <v>3</v>
      </c>
      <c r="AT475" s="12">
        <v>3</v>
      </c>
      <c r="AU475" s="12">
        <v>1</v>
      </c>
      <c r="AV475" s="12">
        <v>31</v>
      </c>
      <c r="AW475" s="12">
        <f t="shared" si="108"/>
        <v>31</v>
      </c>
      <c r="AX475" s="12">
        <v>5</v>
      </c>
      <c r="AY475" s="12">
        <v>3</v>
      </c>
      <c r="AZ475" s="12">
        <v>31</v>
      </c>
      <c r="BA475" s="12">
        <f t="shared" si="109"/>
        <v>31</v>
      </c>
      <c r="BB475" s="12">
        <v>9</v>
      </c>
      <c r="BC475" s="12">
        <v>0</v>
      </c>
      <c r="BD475" s="12">
        <f t="shared" si="118"/>
        <v>0</v>
      </c>
      <c r="BE475" s="12">
        <v>9</v>
      </c>
      <c r="BF475" s="12">
        <f t="shared" si="110"/>
        <v>9</v>
      </c>
      <c r="BG475" s="12">
        <f t="shared" si="119"/>
        <v>45</v>
      </c>
      <c r="BH475" s="67">
        <v>1</v>
      </c>
      <c r="BI475" s="67">
        <v>0</v>
      </c>
      <c r="BJ475" s="67">
        <v>0</v>
      </c>
      <c r="BK475" s="67">
        <v>0</v>
      </c>
      <c r="BL475" s="67">
        <v>0</v>
      </c>
      <c r="BM475" s="67">
        <v>1</v>
      </c>
      <c r="BN475" s="67">
        <v>0</v>
      </c>
      <c r="BO475" s="67">
        <v>0</v>
      </c>
      <c r="BP475" s="67">
        <v>0</v>
      </c>
      <c r="BQ475" s="67">
        <v>9</v>
      </c>
      <c r="BR475" s="67">
        <v>0</v>
      </c>
      <c r="BS475" s="67">
        <v>0</v>
      </c>
      <c r="BT475" s="67">
        <v>31</v>
      </c>
      <c r="BU475" s="70">
        <v>0</v>
      </c>
      <c r="BV475" s="29">
        <f t="shared" si="111"/>
        <v>2.7610849687811214</v>
      </c>
      <c r="BW475">
        <f t="shared" si="112"/>
        <v>1.3667838287404401</v>
      </c>
      <c r="BX475">
        <f t="shared" si="113"/>
        <v>2.5345021857280217</v>
      </c>
      <c r="BY475">
        <f t="shared" si="114"/>
        <v>3.9160594526052601</v>
      </c>
      <c r="BZ475">
        <f t="shared" si="115"/>
        <v>1.0864228781782561</v>
      </c>
      <c r="CA475">
        <f t="shared" si="116"/>
        <v>1.3219153536033093</v>
      </c>
      <c r="CB475">
        <f t="shared" si="117"/>
        <v>0.67891464284095016</v>
      </c>
    </row>
    <row r="476" spans="1:80" x14ac:dyDescent="0.45">
      <c r="A476" s="11">
        <v>24</v>
      </c>
      <c r="B476" s="12">
        <f t="shared" si="105"/>
        <v>24</v>
      </c>
      <c r="C476" s="12" t="s">
        <v>59</v>
      </c>
      <c r="D476" s="12">
        <v>0</v>
      </c>
      <c r="E476" s="12" t="s">
        <v>53</v>
      </c>
      <c r="F476" s="12">
        <v>0</v>
      </c>
      <c r="G476" s="12">
        <v>1</v>
      </c>
      <c r="H476" s="12" t="s">
        <v>61</v>
      </c>
      <c r="I476" s="12">
        <v>1</v>
      </c>
      <c r="J476" s="12">
        <v>0</v>
      </c>
      <c r="K476" s="12">
        <v>23</v>
      </c>
      <c r="L476" s="12">
        <f t="shared" si="106"/>
        <v>23</v>
      </c>
      <c r="M476" s="12">
        <v>3</v>
      </c>
      <c r="N476" s="12" t="s">
        <v>70</v>
      </c>
      <c r="O476" s="12">
        <v>0</v>
      </c>
      <c r="P476" s="12">
        <v>0</v>
      </c>
      <c r="Q476" s="12">
        <v>1</v>
      </c>
      <c r="R476" s="12">
        <v>0</v>
      </c>
      <c r="S476" s="12">
        <v>0</v>
      </c>
      <c r="T476" s="12">
        <v>2</v>
      </c>
      <c r="U476" s="12" t="s">
        <v>62</v>
      </c>
      <c r="V476" s="12">
        <v>0</v>
      </c>
      <c r="W476" s="12">
        <v>89</v>
      </c>
      <c r="X476" s="12">
        <v>4</v>
      </c>
      <c r="Y476" s="12">
        <v>1</v>
      </c>
      <c r="Z476" s="12" t="s">
        <v>63</v>
      </c>
      <c r="AA476" s="12">
        <v>0</v>
      </c>
      <c r="AB476" s="12">
        <v>0</v>
      </c>
      <c r="AC476" s="12">
        <v>0</v>
      </c>
      <c r="AD476" s="12">
        <v>0</v>
      </c>
      <c r="AE476" s="12">
        <v>0</v>
      </c>
      <c r="AF476" s="12">
        <v>0</v>
      </c>
      <c r="AG476" s="12">
        <v>0</v>
      </c>
      <c r="AH476" s="12">
        <v>1</v>
      </c>
      <c r="AI476" s="12">
        <v>4</v>
      </c>
      <c r="AJ476" s="12" t="s">
        <v>64</v>
      </c>
      <c r="AK476" s="12">
        <v>0</v>
      </c>
      <c r="AL476" s="12">
        <v>1</v>
      </c>
      <c r="AM476" s="12">
        <v>2725</v>
      </c>
      <c r="AN476" s="12">
        <f t="shared" si="107"/>
        <v>2725</v>
      </c>
      <c r="AO476" s="12">
        <v>1</v>
      </c>
      <c r="AP476" s="12" t="s">
        <v>52</v>
      </c>
      <c r="AQ476" s="12">
        <v>1</v>
      </c>
      <c r="AR476" s="12">
        <v>11</v>
      </c>
      <c r="AS476" s="12">
        <v>3</v>
      </c>
      <c r="AT476" s="12">
        <v>2</v>
      </c>
      <c r="AU476" s="12">
        <v>2</v>
      </c>
      <c r="AV476" s="12">
        <v>6</v>
      </c>
      <c r="AW476" s="12">
        <f t="shared" si="108"/>
        <v>6</v>
      </c>
      <c r="AX476" s="12">
        <v>3</v>
      </c>
      <c r="AY476" s="12">
        <v>3</v>
      </c>
      <c r="AZ476" s="12">
        <v>6</v>
      </c>
      <c r="BA476" s="12">
        <f t="shared" si="109"/>
        <v>6</v>
      </c>
      <c r="BB476" s="12">
        <v>5</v>
      </c>
      <c r="BC476" s="12">
        <v>1</v>
      </c>
      <c r="BD476" s="12">
        <f t="shared" si="118"/>
        <v>1</v>
      </c>
      <c r="BE476" s="12">
        <v>4</v>
      </c>
      <c r="BF476" s="12">
        <f t="shared" si="110"/>
        <v>4</v>
      </c>
      <c r="BG476" s="12">
        <f t="shared" si="119"/>
        <v>4</v>
      </c>
      <c r="BH476" s="67">
        <v>0</v>
      </c>
      <c r="BI476" s="67">
        <v>1</v>
      </c>
      <c r="BJ476" s="67">
        <v>0</v>
      </c>
      <c r="BK476" s="67">
        <v>0</v>
      </c>
      <c r="BL476" s="67">
        <v>0</v>
      </c>
      <c r="BM476" s="67">
        <v>0</v>
      </c>
      <c r="BN476" s="67">
        <v>0</v>
      </c>
      <c r="BO476" s="67">
        <v>1</v>
      </c>
      <c r="BP476" s="67">
        <v>0</v>
      </c>
      <c r="BQ476" s="67">
        <v>4</v>
      </c>
      <c r="BR476" s="67">
        <v>0</v>
      </c>
      <c r="BS476" s="67">
        <v>0</v>
      </c>
      <c r="BT476" s="67">
        <v>6</v>
      </c>
      <c r="BU476" s="70">
        <v>0</v>
      </c>
      <c r="BV476" s="29">
        <f t="shared" si="111"/>
        <v>0.80245666359558232</v>
      </c>
      <c r="BW476">
        <f t="shared" si="112"/>
        <v>3.4508002929560584E-2</v>
      </c>
      <c r="BX476">
        <f t="shared" si="113"/>
        <v>0.67854260110508058</v>
      </c>
      <c r="BY476">
        <f t="shared" si="114"/>
        <v>0.16455710867531462</v>
      </c>
      <c r="BZ476">
        <f t="shared" si="115"/>
        <v>1.7031841475541873</v>
      </c>
      <c r="CA476">
        <f t="shared" si="116"/>
        <v>1.4146996331543302</v>
      </c>
      <c r="CB476">
        <f t="shared" si="117"/>
        <v>0.36858985273641137</v>
      </c>
    </row>
    <row r="477" spans="1:80" x14ac:dyDescent="0.45">
      <c r="A477" s="11">
        <v>26</v>
      </c>
      <c r="B477" s="12">
        <f t="shared" si="105"/>
        <v>26</v>
      </c>
      <c r="C477" s="12" t="s">
        <v>59</v>
      </c>
      <c r="D477" s="12">
        <v>0</v>
      </c>
      <c r="E477" s="12" t="s">
        <v>53</v>
      </c>
      <c r="F477" s="12">
        <v>0</v>
      </c>
      <c r="G477" s="12">
        <v>1</v>
      </c>
      <c r="H477" s="12" t="s">
        <v>54</v>
      </c>
      <c r="I477" s="12">
        <v>0</v>
      </c>
      <c r="J477" s="12">
        <v>1</v>
      </c>
      <c r="K477" s="12">
        <v>28</v>
      </c>
      <c r="L477" s="12">
        <f t="shared" si="106"/>
        <v>28</v>
      </c>
      <c r="M477" s="12">
        <v>2</v>
      </c>
      <c r="N477" s="12" t="s">
        <v>90</v>
      </c>
      <c r="O477" s="12">
        <v>0</v>
      </c>
      <c r="P477" s="12">
        <v>0</v>
      </c>
      <c r="Q477" s="12">
        <v>0</v>
      </c>
      <c r="R477" s="12">
        <v>1</v>
      </c>
      <c r="S477" s="12">
        <v>0</v>
      </c>
      <c r="T477" s="12">
        <v>1</v>
      </c>
      <c r="U477" s="12" t="s">
        <v>62</v>
      </c>
      <c r="V477" s="12">
        <v>0</v>
      </c>
      <c r="W477" s="12">
        <v>66</v>
      </c>
      <c r="X477" s="12">
        <v>3</v>
      </c>
      <c r="Y477" s="12">
        <v>2</v>
      </c>
      <c r="Z477" s="12" t="s">
        <v>56</v>
      </c>
      <c r="AA477" s="12">
        <v>0</v>
      </c>
      <c r="AB477" s="12">
        <v>1</v>
      </c>
      <c r="AC477" s="12">
        <v>0</v>
      </c>
      <c r="AD477" s="12">
        <v>0</v>
      </c>
      <c r="AE477" s="12">
        <v>0</v>
      </c>
      <c r="AF477" s="12">
        <v>0</v>
      </c>
      <c r="AG477" s="12">
        <v>0</v>
      </c>
      <c r="AH477" s="12">
        <v>0</v>
      </c>
      <c r="AI477" s="12">
        <v>2</v>
      </c>
      <c r="AJ477" s="12" t="s">
        <v>64</v>
      </c>
      <c r="AK477" s="12">
        <v>0</v>
      </c>
      <c r="AL477" s="12">
        <v>1</v>
      </c>
      <c r="AM477" s="12">
        <v>6272</v>
      </c>
      <c r="AN477" s="12">
        <f t="shared" si="107"/>
        <v>6272</v>
      </c>
      <c r="AO477" s="12">
        <v>1</v>
      </c>
      <c r="AP477" s="12" t="s">
        <v>59</v>
      </c>
      <c r="AQ477" s="12">
        <v>0</v>
      </c>
      <c r="AR477" s="12">
        <v>20</v>
      </c>
      <c r="AS477" s="12">
        <v>4</v>
      </c>
      <c r="AT477" s="12">
        <v>4</v>
      </c>
      <c r="AU477" s="12">
        <v>2</v>
      </c>
      <c r="AV477" s="12">
        <v>6</v>
      </c>
      <c r="AW477" s="12">
        <f t="shared" si="108"/>
        <v>6</v>
      </c>
      <c r="AX477" s="12">
        <v>5</v>
      </c>
      <c r="AY477" s="12">
        <v>4</v>
      </c>
      <c r="AZ477" s="12">
        <v>5</v>
      </c>
      <c r="BA477" s="12">
        <f t="shared" si="109"/>
        <v>5</v>
      </c>
      <c r="BB477" s="12">
        <v>3</v>
      </c>
      <c r="BC477" s="12">
        <v>1</v>
      </c>
      <c r="BD477" s="12">
        <f t="shared" si="118"/>
        <v>1</v>
      </c>
      <c r="BE477" s="12">
        <v>4</v>
      </c>
      <c r="BF477" s="12">
        <f t="shared" si="110"/>
        <v>4</v>
      </c>
      <c r="BG477" s="12">
        <f t="shared" si="119"/>
        <v>8</v>
      </c>
      <c r="BH477" s="67">
        <v>0</v>
      </c>
      <c r="BI477" s="67">
        <v>1</v>
      </c>
      <c r="BJ477" s="67">
        <v>0</v>
      </c>
      <c r="BK477" s="67">
        <v>0</v>
      </c>
      <c r="BL477" s="67">
        <v>0</v>
      </c>
      <c r="BM477" s="67">
        <v>0</v>
      </c>
      <c r="BN477" s="67">
        <v>1</v>
      </c>
      <c r="BO477" s="67">
        <v>0</v>
      </c>
      <c r="BP477" s="67">
        <v>0</v>
      </c>
      <c r="BQ477" s="67">
        <v>0</v>
      </c>
      <c r="BR477" s="67">
        <v>4</v>
      </c>
      <c r="BS477" s="67">
        <v>0</v>
      </c>
      <c r="BT477" s="67">
        <v>0</v>
      </c>
      <c r="BU477" s="70">
        <v>6</v>
      </c>
      <c r="BV477" s="29">
        <f t="shared" si="111"/>
        <v>4.9051277052090198E-2</v>
      </c>
      <c r="BW477">
        <f t="shared" si="112"/>
        <v>3.4508002929560584E-2</v>
      </c>
      <c r="BX477">
        <f t="shared" si="113"/>
        <v>0.67854260110508058</v>
      </c>
      <c r="BY477">
        <f t="shared" si="114"/>
        <v>0.32778177112653761</v>
      </c>
      <c r="BZ477">
        <f t="shared" si="115"/>
        <v>2.3199454169301186</v>
      </c>
      <c r="CA477">
        <f t="shared" si="116"/>
        <v>1.195770434213719</v>
      </c>
      <c r="CB477">
        <f t="shared" si="117"/>
        <v>0.36858985273641137</v>
      </c>
    </row>
    <row r="478" spans="1:80" x14ac:dyDescent="0.45">
      <c r="A478" s="11">
        <v>24</v>
      </c>
      <c r="B478" s="12">
        <f t="shared" si="105"/>
        <v>24</v>
      </c>
      <c r="C478" s="12" t="s">
        <v>59</v>
      </c>
      <c r="D478" s="12">
        <v>0</v>
      </c>
      <c r="E478" s="12" t="s">
        <v>53</v>
      </c>
      <c r="F478" s="12">
        <v>0</v>
      </c>
      <c r="G478" s="12">
        <v>1</v>
      </c>
      <c r="H478" s="12" t="s">
        <v>61</v>
      </c>
      <c r="I478" s="12">
        <v>1</v>
      </c>
      <c r="J478" s="12">
        <v>0</v>
      </c>
      <c r="K478" s="12">
        <v>17</v>
      </c>
      <c r="L478" s="12">
        <f t="shared" si="106"/>
        <v>17</v>
      </c>
      <c r="M478" s="12">
        <v>2</v>
      </c>
      <c r="N478" s="12" t="s">
        <v>66</v>
      </c>
      <c r="O478" s="12">
        <v>0</v>
      </c>
      <c r="P478" s="12">
        <v>1</v>
      </c>
      <c r="Q478" s="12">
        <v>0</v>
      </c>
      <c r="R478" s="12">
        <v>0</v>
      </c>
      <c r="S478" s="12">
        <v>0</v>
      </c>
      <c r="T478" s="12">
        <v>4</v>
      </c>
      <c r="U478" s="12" t="s">
        <v>62</v>
      </c>
      <c r="V478" s="12">
        <v>0</v>
      </c>
      <c r="W478" s="12">
        <v>94</v>
      </c>
      <c r="X478" s="12">
        <v>2</v>
      </c>
      <c r="Y478" s="12">
        <v>1</v>
      </c>
      <c r="Z478" s="12" t="s">
        <v>67</v>
      </c>
      <c r="AA478" s="12">
        <v>0</v>
      </c>
      <c r="AB478" s="12">
        <v>0</v>
      </c>
      <c r="AC478" s="12">
        <v>1</v>
      </c>
      <c r="AD478" s="12">
        <v>0</v>
      </c>
      <c r="AE478" s="12">
        <v>0</v>
      </c>
      <c r="AF478" s="12">
        <v>0</v>
      </c>
      <c r="AG478" s="12">
        <v>0</v>
      </c>
      <c r="AH478" s="12">
        <v>0</v>
      </c>
      <c r="AI478" s="12">
        <v>2</v>
      </c>
      <c r="AJ478" s="12" t="s">
        <v>64</v>
      </c>
      <c r="AK478" s="12">
        <v>0</v>
      </c>
      <c r="AL478" s="12">
        <v>1</v>
      </c>
      <c r="AM478" s="12">
        <v>2127</v>
      </c>
      <c r="AN478" s="12">
        <f t="shared" si="107"/>
        <v>2127</v>
      </c>
      <c r="AO478" s="12">
        <v>1</v>
      </c>
      <c r="AP478" s="12" t="s">
        <v>59</v>
      </c>
      <c r="AQ478" s="12">
        <v>0</v>
      </c>
      <c r="AR478" s="12">
        <v>21</v>
      </c>
      <c r="AS478" s="12">
        <v>4</v>
      </c>
      <c r="AT478" s="12">
        <v>4</v>
      </c>
      <c r="AU478" s="12">
        <v>1</v>
      </c>
      <c r="AV478" s="12">
        <v>1</v>
      </c>
      <c r="AW478" s="12">
        <f t="shared" si="108"/>
        <v>1</v>
      </c>
      <c r="AX478" s="12">
        <v>2</v>
      </c>
      <c r="AY478" s="12">
        <v>3</v>
      </c>
      <c r="AZ478" s="12">
        <v>1</v>
      </c>
      <c r="BA478" s="12">
        <f t="shared" si="109"/>
        <v>1</v>
      </c>
      <c r="BB478" s="12">
        <v>0</v>
      </c>
      <c r="BC478" s="12">
        <v>0</v>
      </c>
      <c r="BD478" s="12">
        <f t="shared" si="118"/>
        <v>0</v>
      </c>
      <c r="BE478" s="12">
        <v>0</v>
      </c>
      <c r="BF478" s="12">
        <f t="shared" si="110"/>
        <v>0</v>
      </c>
      <c r="BG478" s="12">
        <f t="shared" si="119"/>
        <v>0</v>
      </c>
      <c r="BH478" s="67">
        <v>0</v>
      </c>
      <c r="BI478" s="67">
        <v>1</v>
      </c>
      <c r="BJ478" s="67">
        <v>0</v>
      </c>
      <c r="BK478" s="67">
        <v>0</v>
      </c>
      <c r="BL478" s="67">
        <v>0</v>
      </c>
      <c r="BM478" s="67">
        <v>0</v>
      </c>
      <c r="BN478" s="67">
        <v>1</v>
      </c>
      <c r="BO478" s="67">
        <v>0</v>
      </c>
      <c r="BP478" s="67">
        <v>0</v>
      </c>
      <c r="BQ478" s="67">
        <v>0</v>
      </c>
      <c r="BR478" s="67">
        <v>0</v>
      </c>
      <c r="BS478" s="67">
        <v>0</v>
      </c>
      <c r="BT478" s="67">
        <v>1</v>
      </c>
      <c r="BU478" s="70">
        <v>0</v>
      </c>
      <c r="BV478" s="29">
        <f t="shared" si="111"/>
        <v>0.9294756715327146</v>
      </c>
      <c r="BW478">
        <f t="shared" si="112"/>
        <v>1.1555414682655611</v>
      </c>
      <c r="BX478">
        <f t="shared" si="113"/>
        <v>1.3211515584717011</v>
      </c>
      <c r="BY478">
        <f t="shared" si="114"/>
        <v>0.9806804209314296</v>
      </c>
      <c r="BZ478">
        <f t="shared" si="115"/>
        <v>0.96307062430306978</v>
      </c>
      <c r="CA478">
        <f t="shared" si="116"/>
        <v>1.4146996331543302</v>
      </c>
      <c r="CB478">
        <f t="shared" si="117"/>
        <v>0.67891464284095016</v>
      </c>
    </row>
    <row r="479" spans="1:80" x14ac:dyDescent="0.45">
      <c r="A479" s="11">
        <v>50</v>
      </c>
      <c r="B479" s="12">
        <f t="shared" si="105"/>
        <v>50</v>
      </c>
      <c r="C479" s="12" t="s">
        <v>59</v>
      </c>
      <c r="D479" s="12">
        <v>0</v>
      </c>
      <c r="E479" s="12" t="s">
        <v>60</v>
      </c>
      <c r="F479" s="12">
        <v>1</v>
      </c>
      <c r="G479" s="12">
        <v>0</v>
      </c>
      <c r="H479" s="12" t="s">
        <v>97</v>
      </c>
      <c r="I479" s="12">
        <v>0</v>
      </c>
      <c r="J479" s="12">
        <v>0</v>
      </c>
      <c r="K479" s="12">
        <v>3</v>
      </c>
      <c r="L479" s="12">
        <f t="shared" si="106"/>
        <v>3</v>
      </c>
      <c r="M479" s="12">
        <v>3</v>
      </c>
      <c r="N479" s="12" t="s">
        <v>70</v>
      </c>
      <c r="O479" s="12">
        <v>0</v>
      </c>
      <c r="P479" s="12">
        <v>0</v>
      </c>
      <c r="Q479" s="12">
        <v>1</v>
      </c>
      <c r="R479" s="12">
        <v>0</v>
      </c>
      <c r="S479" s="12">
        <v>0</v>
      </c>
      <c r="T479" s="12">
        <v>1</v>
      </c>
      <c r="U479" s="12" t="s">
        <v>62</v>
      </c>
      <c r="V479" s="12">
        <v>0</v>
      </c>
      <c r="W479" s="12">
        <v>99</v>
      </c>
      <c r="X479" s="12">
        <v>3</v>
      </c>
      <c r="Y479" s="12">
        <v>5</v>
      </c>
      <c r="Z479" s="12" t="s">
        <v>87</v>
      </c>
      <c r="AA479" s="12">
        <v>0</v>
      </c>
      <c r="AB479" s="12">
        <v>0</v>
      </c>
      <c r="AC479" s="12">
        <v>0</v>
      </c>
      <c r="AD479" s="12">
        <v>1</v>
      </c>
      <c r="AE479" s="12">
        <v>0</v>
      </c>
      <c r="AF479" s="12">
        <v>0</v>
      </c>
      <c r="AG479" s="12">
        <v>0</v>
      </c>
      <c r="AH479" s="12">
        <v>0</v>
      </c>
      <c r="AI479" s="12">
        <v>2</v>
      </c>
      <c r="AJ479" s="12" t="s">
        <v>64</v>
      </c>
      <c r="AK479" s="12">
        <v>0</v>
      </c>
      <c r="AL479" s="12">
        <v>1</v>
      </c>
      <c r="AM479" s="12">
        <v>18200</v>
      </c>
      <c r="AN479" s="12">
        <f t="shared" si="107"/>
        <v>18200</v>
      </c>
      <c r="AO479" s="12">
        <v>1</v>
      </c>
      <c r="AP479" s="12" t="s">
        <v>59</v>
      </c>
      <c r="AQ479" s="12">
        <v>0</v>
      </c>
      <c r="AR479" s="12">
        <v>11</v>
      </c>
      <c r="AS479" s="12">
        <v>3</v>
      </c>
      <c r="AT479" s="12">
        <v>3</v>
      </c>
      <c r="AU479" s="12">
        <v>1</v>
      </c>
      <c r="AV479" s="12">
        <v>32</v>
      </c>
      <c r="AW479" s="12">
        <f t="shared" si="108"/>
        <v>32</v>
      </c>
      <c r="AX479" s="12">
        <v>2</v>
      </c>
      <c r="AY479" s="12">
        <v>3</v>
      </c>
      <c r="AZ479" s="12">
        <v>32</v>
      </c>
      <c r="BA479" s="12">
        <f t="shared" si="109"/>
        <v>31</v>
      </c>
      <c r="BB479" s="12">
        <v>5</v>
      </c>
      <c r="BC479" s="12">
        <v>10</v>
      </c>
      <c r="BD479" s="12">
        <f t="shared" si="118"/>
        <v>10</v>
      </c>
      <c r="BE479" s="12">
        <v>7</v>
      </c>
      <c r="BF479" s="12">
        <f t="shared" si="110"/>
        <v>7</v>
      </c>
      <c r="BG479" s="12">
        <f t="shared" si="119"/>
        <v>35</v>
      </c>
      <c r="BH479" s="67">
        <v>0</v>
      </c>
      <c r="BI479" s="67">
        <v>0</v>
      </c>
      <c r="BJ479" s="67">
        <v>0</v>
      </c>
      <c r="BK479" s="67">
        <v>1</v>
      </c>
      <c r="BL479" s="67">
        <v>0</v>
      </c>
      <c r="BM479" s="67">
        <v>0</v>
      </c>
      <c r="BN479" s="67">
        <v>1</v>
      </c>
      <c r="BO479" s="67">
        <v>0</v>
      </c>
      <c r="BP479" s="67">
        <v>7</v>
      </c>
      <c r="BQ479" s="67">
        <v>0</v>
      </c>
      <c r="BR479" s="67">
        <v>0</v>
      </c>
      <c r="BS479" s="67">
        <v>32</v>
      </c>
      <c r="BT479" s="67">
        <v>0</v>
      </c>
      <c r="BU479" s="70">
        <v>0</v>
      </c>
      <c r="BV479" s="29">
        <f t="shared" si="111"/>
        <v>2.484531877921345</v>
      </c>
      <c r="BW479">
        <f t="shared" si="112"/>
        <v>0.80626709607243985</v>
      </c>
      <c r="BX479">
        <f t="shared" si="113"/>
        <v>2.663023977201346</v>
      </c>
      <c r="BY479">
        <f t="shared" si="114"/>
        <v>4.0792841150564829</v>
      </c>
      <c r="BZ479">
        <f t="shared" si="115"/>
        <v>0.76386092994953758</v>
      </c>
      <c r="CA479">
        <f t="shared" si="116"/>
        <v>1.4313799530736149</v>
      </c>
      <c r="CB479">
        <f t="shared" si="117"/>
        <v>2.4243332582044381</v>
      </c>
    </row>
    <row r="480" spans="1:80" x14ac:dyDescent="0.45">
      <c r="A480" s="11">
        <v>25</v>
      </c>
      <c r="B480" s="12">
        <f t="shared" si="105"/>
        <v>25</v>
      </c>
      <c r="C480" s="12" t="s">
        <v>59</v>
      </c>
      <c r="D480" s="12">
        <v>0</v>
      </c>
      <c r="E480" s="12" t="s">
        <v>53</v>
      </c>
      <c r="F480" s="12">
        <v>0</v>
      </c>
      <c r="G480" s="12">
        <v>1</v>
      </c>
      <c r="H480" s="12" t="s">
        <v>54</v>
      </c>
      <c r="I480" s="12">
        <v>0</v>
      </c>
      <c r="J480" s="12">
        <v>1</v>
      </c>
      <c r="K480" s="12">
        <v>13</v>
      </c>
      <c r="L480" s="12">
        <f t="shared" si="106"/>
        <v>13</v>
      </c>
      <c r="M480" s="12">
        <v>1</v>
      </c>
      <c r="N480" s="12" t="s">
        <v>70</v>
      </c>
      <c r="O480" s="12">
        <v>0</v>
      </c>
      <c r="P480" s="12">
        <v>0</v>
      </c>
      <c r="Q480" s="12">
        <v>1</v>
      </c>
      <c r="R480" s="12">
        <v>0</v>
      </c>
      <c r="S480" s="12">
        <v>0</v>
      </c>
      <c r="T480" s="12">
        <v>2</v>
      </c>
      <c r="U480" s="12" t="s">
        <v>62</v>
      </c>
      <c r="V480" s="12">
        <v>0</v>
      </c>
      <c r="W480" s="12">
        <v>40</v>
      </c>
      <c r="X480" s="12">
        <v>3</v>
      </c>
      <c r="Y480" s="12">
        <v>1</v>
      </c>
      <c r="Z480" s="12" t="s">
        <v>88</v>
      </c>
      <c r="AA480" s="12">
        <v>0</v>
      </c>
      <c r="AB480" s="12">
        <v>0</v>
      </c>
      <c r="AC480" s="12">
        <v>0</v>
      </c>
      <c r="AD480" s="12">
        <v>0</v>
      </c>
      <c r="AE480" s="12">
        <v>0</v>
      </c>
      <c r="AF480" s="12">
        <v>0</v>
      </c>
      <c r="AG480" s="12">
        <v>1</v>
      </c>
      <c r="AH480" s="12">
        <v>0</v>
      </c>
      <c r="AI480" s="12">
        <v>3</v>
      </c>
      <c r="AJ480" s="12" t="s">
        <v>64</v>
      </c>
      <c r="AK480" s="12">
        <v>0</v>
      </c>
      <c r="AL480" s="12">
        <v>1</v>
      </c>
      <c r="AM480" s="12">
        <v>2096</v>
      </c>
      <c r="AN480" s="12">
        <f t="shared" si="107"/>
        <v>2096</v>
      </c>
      <c r="AO480" s="12">
        <v>1</v>
      </c>
      <c r="AP480" s="12" t="s">
        <v>59</v>
      </c>
      <c r="AQ480" s="12">
        <v>0</v>
      </c>
      <c r="AR480" s="12">
        <v>11</v>
      </c>
      <c r="AS480" s="12">
        <v>3</v>
      </c>
      <c r="AT480" s="12">
        <v>3</v>
      </c>
      <c r="AU480" s="12">
        <v>0</v>
      </c>
      <c r="AV480" s="12">
        <v>7</v>
      </c>
      <c r="AW480" s="12">
        <f t="shared" si="108"/>
        <v>7</v>
      </c>
      <c r="AX480" s="12">
        <v>1</v>
      </c>
      <c r="AY480" s="12">
        <v>3</v>
      </c>
      <c r="AZ480" s="12">
        <v>7</v>
      </c>
      <c r="BA480" s="12">
        <f t="shared" si="109"/>
        <v>7</v>
      </c>
      <c r="BB480" s="12">
        <v>4</v>
      </c>
      <c r="BC480" s="12">
        <v>0</v>
      </c>
      <c r="BD480" s="12">
        <f t="shared" si="118"/>
        <v>0</v>
      </c>
      <c r="BE480" s="12">
        <v>6</v>
      </c>
      <c r="BF480" s="12">
        <f t="shared" si="110"/>
        <v>6</v>
      </c>
      <c r="BG480" s="12">
        <f t="shared" si="119"/>
        <v>6</v>
      </c>
      <c r="BH480" s="67">
        <v>0</v>
      </c>
      <c r="BI480" s="67">
        <v>1</v>
      </c>
      <c r="BJ480" s="67">
        <v>0</v>
      </c>
      <c r="BK480" s="67">
        <v>0</v>
      </c>
      <c r="BL480" s="67">
        <v>0</v>
      </c>
      <c r="BM480" s="67">
        <v>0</v>
      </c>
      <c r="BN480" s="67">
        <v>1</v>
      </c>
      <c r="BO480" s="67">
        <v>0</v>
      </c>
      <c r="BP480" s="67">
        <v>0</v>
      </c>
      <c r="BQ480" s="67">
        <v>0</v>
      </c>
      <c r="BR480" s="67">
        <v>6</v>
      </c>
      <c r="BS480" s="67">
        <v>0</v>
      </c>
      <c r="BT480" s="67">
        <v>0</v>
      </c>
      <c r="BU480" s="70">
        <v>7</v>
      </c>
      <c r="BV480" s="29">
        <f t="shared" si="111"/>
        <v>0.93606026893413785</v>
      </c>
      <c r="BW480">
        <f t="shared" si="112"/>
        <v>0.52600872973843971</v>
      </c>
      <c r="BX480">
        <f t="shared" si="113"/>
        <v>0.55002080963175637</v>
      </c>
      <c r="BY480">
        <f t="shared" si="114"/>
        <v>1.3324462240916321E-3</v>
      </c>
      <c r="BZ480">
        <f t="shared" si="115"/>
        <v>0.46966160880232483</v>
      </c>
      <c r="CA480">
        <f t="shared" si="116"/>
        <v>1.3052350336840246</v>
      </c>
      <c r="CB480">
        <f t="shared" si="117"/>
        <v>0.67891464284095016</v>
      </c>
    </row>
    <row r="481" spans="1:80" x14ac:dyDescent="0.45">
      <c r="A481" s="11">
        <v>24</v>
      </c>
      <c r="B481" s="12">
        <f t="shared" si="105"/>
        <v>24</v>
      </c>
      <c r="C481" s="12" t="s">
        <v>52</v>
      </c>
      <c r="D481" s="12">
        <v>1</v>
      </c>
      <c r="E481" s="12" t="s">
        <v>60</v>
      </c>
      <c r="F481" s="12">
        <v>1</v>
      </c>
      <c r="G481" s="12">
        <v>0</v>
      </c>
      <c r="H481" s="12" t="s">
        <v>61</v>
      </c>
      <c r="I481" s="12">
        <v>1</v>
      </c>
      <c r="J481" s="12">
        <v>0</v>
      </c>
      <c r="K481" s="12">
        <v>7</v>
      </c>
      <c r="L481" s="12">
        <f t="shared" si="106"/>
        <v>7</v>
      </c>
      <c r="M481" s="12">
        <v>3</v>
      </c>
      <c r="N481" s="12" t="s">
        <v>55</v>
      </c>
      <c r="O481" s="12">
        <v>1</v>
      </c>
      <c r="P481" s="12">
        <v>0</v>
      </c>
      <c r="Q481" s="12">
        <v>0</v>
      </c>
      <c r="R481" s="12">
        <v>0</v>
      </c>
      <c r="S481" s="12">
        <v>0</v>
      </c>
      <c r="T481" s="12">
        <v>1</v>
      </c>
      <c r="U481" s="12" t="s">
        <v>19</v>
      </c>
      <c r="V481" s="12">
        <v>1</v>
      </c>
      <c r="W481" s="12">
        <v>55</v>
      </c>
      <c r="X481" s="12">
        <v>3</v>
      </c>
      <c r="Y481" s="12">
        <v>1</v>
      </c>
      <c r="Z481" s="12" t="s">
        <v>67</v>
      </c>
      <c r="AA481" s="12">
        <v>0</v>
      </c>
      <c r="AB481" s="12">
        <v>0</v>
      </c>
      <c r="AC481" s="12">
        <v>1</v>
      </c>
      <c r="AD481" s="12">
        <v>0</v>
      </c>
      <c r="AE481" s="12">
        <v>0</v>
      </c>
      <c r="AF481" s="12">
        <v>0</v>
      </c>
      <c r="AG481" s="12">
        <v>0</v>
      </c>
      <c r="AH481" s="12">
        <v>0</v>
      </c>
      <c r="AI481" s="12">
        <v>3</v>
      </c>
      <c r="AJ481" s="12" t="s">
        <v>64</v>
      </c>
      <c r="AK481" s="12">
        <v>0</v>
      </c>
      <c r="AL481" s="12">
        <v>1</v>
      </c>
      <c r="AM481" s="12">
        <v>2886</v>
      </c>
      <c r="AN481" s="12">
        <f t="shared" si="107"/>
        <v>2886</v>
      </c>
      <c r="AO481" s="12">
        <v>1</v>
      </c>
      <c r="AP481" s="12" t="s">
        <v>52</v>
      </c>
      <c r="AQ481" s="12">
        <v>1</v>
      </c>
      <c r="AR481" s="12">
        <v>16</v>
      </c>
      <c r="AS481" s="12">
        <v>3</v>
      </c>
      <c r="AT481" s="12">
        <v>4</v>
      </c>
      <c r="AU481" s="12">
        <v>1</v>
      </c>
      <c r="AV481" s="12">
        <v>6</v>
      </c>
      <c r="AW481" s="12">
        <f t="shared" si="108"/>
        <v>6</v>
      </c>
      <c r="AX481" s="12">
        <v>4</v>
      </c>
      <c r="AY481" s="12">
        <v>3</v>
      </c>
      <c r="AZ481" s="12">
        <v>6</v>
      </c>
      <c r="BA481" s="12">
        <f t="shared" si="109"/>
        <v>6</v>
      </c>
      <c r="BB481" s="12">
        <v>3</v>
      </c>
      <c r="BC481" s="12">
        <v>1</v>
      </c>
      <c r="BD481" s="12">
        <f t="shared" si="118"/>
        <v>1</v>
      </c>
      <c r="BE481" s="12">
        <v>2</v>
      </c>
      <c r="BF481" s="12">
        <f t="shared" si="110"/>
        <v>2</v>
      </c>
      <c r="BG481" s="12">
        <f t="shared" si="119"/>
        <v>2</v>
      </c>
      <c r="BH481" s="67">
        <v>0</v>
      </c>
      <c r="BI481" s="67">
        <v>0</v>
      </c>
      <c r="BJ481" s="67">
        <v>0</v>
      </c>
      <c r="BK481" s="67">
        <v>1</v>
      </c>
      <c r="BL481" s="67">
        <v>0</v>
      </c>
      <c r="BM481" s="67">
        <v>0</v>
      </c>
      <c r="BN481" s="67">
        <v>0</v>
      </c>
      <c r="BO481" s="67">
        <v>1</v>
      </c>
      <c r="BP481" s="67">
        <v>0</v>
      </c>
      <c r="BQ481" s="67">
        <v>2</v>
      </c>
      <c r="BR481" s="67">
        <v>0</v>
      </c>
      <c r="BS481" s="67">
        <v>0</v>
      </c>
      <c r="BT481" s="67">
        <v>6</v>
      </c>
      <c r="BU481" s="70">
        <v>0</v>
      </c>
      <c r="BV481" s="29">
        <f t="shared" si="111"/>
        <v>0.76825923838173904</v>
      </c>
      <c r="BW481">
        <f t="shared" si="112"/>
        <v>0.59502473559756086</v>
      </c>
      <c r="BX481">
        <f t="shared" si="113"/>
        <v>0.67854260110508058</v>
      </c>
      <c r="BY481">
        <f t="shared" si="114"/>
        <v>0.16455710867531462</v>
      </c>
      <c r="BZ481">
        <f t="shared" si="115"/>
        <v>0.27045191444879263</v>
      </c>
      <c r="CA481">
        <f t="shared" si="116"/>
        <v>1.4146996331543302</v>
      </c>
      <c r="CB481">
        <f t="shared" si="117"/>
        <v>0.36858985273641137</v>
      </c>
    </row>
    <row r="482" spans="1:80" x14ac:dyDescent="0.45">
      <c r="A482" s="11">
        <v>30</v>
      </c>
      <c r="B482" s="12">
        <f t="shared" si="105"/>
        <v>30</v>
      </c>
      <c r="C482" s="12" t="s">
        <v>52</v>
      </c>
      <c r="D482" s="12">
        <v>1</v>
      </c>
      <c r="E482" s="12" t="s">
        <v>60</v>
      </c>
      <c r="F482" s="12">
        <v>1</v>
      </c>
      <c r="G482" s="12">
        <v>0</v>
      </c>
      <c r="H482" s="12" t="s">
        <v>54</v>
      </c>
      <c r="I482" s="12">
        <v>0</v>
      </c>
      <c r="J482" s="12">
        <v>1</v>
      </c>
      <c r="K482" s="12">
        <v>12</v>
      </c>
      <c r="L482" s="12">
        <f t="shared" si="106"/>
        <v>12</v>
      </c>
      <c r="M482" s="12">
        <v>4</v>
      </c>
      <c r="N482" s="12" t="s">
        <v>55</v>
      </c>
      <c r="O482" s="12">
        <v>1</v>
      </c>
      <c r="P482" s="12">
        <v>0</v>
      </c>
      <c r="Q482" s="12">
        <v>0</v>
      </c>
      <c r="R482" s="12">
        <v>0</v>
      </c>
      <c r="S482" s="12">
        <v>0</v>
      </c>
      <c r="T482" s="12">
        <v>2</v>
      </c>
      <c r="U482" s="12" t="s">
        <v>62</v>
      </c>
      <c r="V482" s="12">
        <v>0</v>
      </c>
      <c r="W482" s="12">
        <v>74</v>
      </c>
      <c r="X482" s="12">
        <v>2</v>
      </c>
      <c r="Y482" s="12">
        <v>1</v>
      </c>
      <c r="Z482" s="12" t="s">
        <v>88</v>
      </c>
      <c r="AA482" s="12">
        <v>0</v>
      </c>
      <c r="AB482" s="12">
        <v>0</v>
      </c>
      <c r="AC482" s="12">
        <v>0</v>
      </c>
      <c r="AD482" s="12">
        <v>0</v>
      </c>
      <c r="AE482" s="12">
        <v>0</v>
      </c>
      <c r="AF482" s="12">
        <v>0</v>
      </c>
      <c r="AG482" s="12">
        <v>1</v>
      </c>
      <c r="AH482" s="12">
        <v>0</v>
      </c>
      <c r="AI482" s="12">
        <v>1</v>
      </c>
      <c r="AJ482" s="12" t="s">
        <v>64</v>
      </c>
      <c r="AK482" s="12">
        <v>0</v>
      </c>
      <c r="AL482" s="12">
        <v>1</v>
      </c>
      <c r="AM482" s="12">
        <v>2033</v>
      </c>
      <c r="AN482" s="12">
        <f t="shared" si="107"/>
        <v>2033</v>
      </c>
      <c r="AO482" s="12">
        <v>1</v>
      </c>
      <c r="AP482" s="12" t="s">
        <v>59</v>
      </c>
      <c r="AQ482" s="12">
        <v>0</v>
      </c>
      <c r="AR482" s="12">
        <v>18</v>
      </c>
      <c r="AS482" s="12">
        <v>3</v>
      </c>
      <c r="AT482" s="12">
        <v>3</v>
      </c>
      <c r="AU482" s="12">
        <v>1</v>
      </c>
      <c r="AV482" s="12">
        <v>1</v>
      </c>
      <c r="AW482" s="12">
        <f t="shared" si="108"/>
        <v>1</v>
      </c>
      <c r="AX482" s="12">
        <v>2</v>
      </c>
      <c r="AY482" s="12">
        <v>4</v>
      </c>
      <c r="AZ482" s="12">
        <v>1</v>
      </c>
      <c r="BA482" s="12">
        <f t="shared" si="109"/>
        <v>1</v>
      </c>
      <c r="BB482" s="12">
        <v>0</v>
      </c>
      <c r="BC482" s="12">
        <v>0</v>
      </c>
      <c r="BD482" s="12">
        <f t="shared" si="118"/>
        <v>0</v>
      </c>
      <c r="BE482" s="12">
        <v>0</v>
      </c>
      <c r="BF482" s="12">
        <f t="shared" si="110"/>
        <v>0</v>
      </c>
      <c r="BG482" s="12">
        <f t="shared" si="119"/>
        <v>0</v>
      </c>
      <c r="BH482" s="67">
        <v>0</v>
      </c>
      <c r="BI482" s="67">
        <v>0</v>
      </c>
      <c r="BJ482" s="67">
        <v>0</v>
      </c>
      <c r="BK482" s="67">
        <v>1</v>
      </c>
      <c r="BL482" s="67">
        <v>0</v>
      </c>
      <c r="BM482" s="67">
        <v>0</v>
      </c>
      <c r="BN482" s="67">
        <v>1</v>
      </c>
      <c r="BO482" s="67">
        <v>0</v>
      </c>
      <c r="BP482" s="67">
        <v>0</v>
      </c>
      <c r="BQ482" s="67">
        <v>0</v>
      </c>
      <c r="BR482" s="67">
        <v>0</v>
      </c>
      <c r="BS482" s="67">
        <v>0</v>
      </c>
      <c r="BT482" s="67">
        <v>0</v>
      </c>
      <c r="BU482" s="70">
        <v>1</v>
      </c>
      <c r="BV482" s="29">
        <f t="shared" si="111"/>
        <v>0.94944187010477221</v>
      </c>
      <c r="BW482">
        <f t="shared" si="112"/>
        <v>1.1555414682655611</v>
      </c>
      <c r="BX482">
        <f t="shared" si="113"/>
        <v>1.3211515584717011</v>
      </c>
      <c r="BY482">
        <f t="shared" si="114"/>
        <v>0.9806804209314296</v>
      </c>
      <c r="BZ482">
        <f t="shared" si="115"/>
        <v>0.3463093549271386</v>
      </c>
      <c r="CA482">
        <f t="shared" si="116"/>
        <v>0.75791203633249671</v>
      </c>
      <c r="CB482">
        <f t="shared" si="117"/>
        <v>0.67891464284095016</v>
      </c>
    </row>
    <row r="483" spans="1:80" x14ac:dyDescent="0.45">
      <c r="A483" s="11">
        <v>34</v>
      </c>
      <c r="B483" s="12">
        <f t="shared" si="105"/>
        <v>34</v>
      </c>
      <c r="C483" s="12" t="s">
        <v>59</v>
      </c>
      <c r="D483" s="12">
        <v>0</v>
      </c>
      <c r="E483" s="12" t="s">
        <v>53</v>
      </c>
      <c r="F483" s="12">
        <v>0</v>
      </c>
      <c r="G483" s="12">
        <v>1</v>
      </c>
      <c r="H483" s="12" t="s">
        <v>61</v>
      </c>
      <c r="I483" s="12">
        <v>1</v>
      </c>
      <c r="J483" s="12">
        <v>0</v>
      </c>
      <c r="K483" s="12">
        <v>1</v>
      </c>
      <c r="L483" s="12">
        <f t="shared" si="106"/>
        <v>1</v>
      </c>
      <c r="M483" s="12">
        <v>2</v>
      </c>
      <c r="N483" s="12" t="s">
        <v>55</v>
      </c>
      <c r="O483" s="12">
        <v>1</v>
      </c>
      <c r="P483" s="12">
        <v>0</v>
      </c>
      <c r="Q483" s="12">
        <v>0</v>
      </c>
      <c r="R483" s="12">
        <v>0</v>
      </c>
      <c r="S483" s="12">
        <v>0</v>
      </c>
      <c r="T483" s="12">
        <v>2</v>
      </c>
      <c r="U483" s="12" t="s">
        <v>62</v>
      </c>
      <c r="V483" s="12">
        <v>0</v>
      </c>
      <c r="W483" s="12">
        <v>83</v>
      </c>
      <c r="X483" s="12">
        <v>2</v>
      </c>
      <c r="Y483" s="12">
        <v>1</v>
      </c>
      <c r="Z483" s="12" t="s">
        <v>63</v>
      </c>
      <c r="AA483" s="12">
        <v>0</v>
      </c>
      <c r="AB483" s="12">
        <v>0</v>
      </c>
      <c r="AC483" s="12">
        <v>0</v>
      </c>
      <c r="AD483" s="12">
        <v>0</v>
      </c>
      <c r="AE483" s="12">
        <v>0</v>
      </c>
      <c r="AF483" s="12">
        <v>0</v>
      </c>
      <c r="AG483" s="12">
        <v>0</v>
      </c>
      <c r="AH483" s="12">
        <v>1</v>
      </c>
      <c r="AI483" s="12">
        <v>4</v>
      </c>
      <c r="AJ483" s="12" t="s">
        <v>64</v>
      </c>
      <c r="AK483" s="12">
        <v>0</v>
      </c>
      <c r="AL483" s="12">
        <v>1</v>
      </c>
      <c r="AM483" s="12">
        <v>3622</v>
      </c>
      <c r="AN483" s="12">
        <f t="shared" si="107"/>
        <v>3622</v>
      </c>
      <c r="AO483" s="12">
        <v>1</v>
      </c>
      <c r="AP483" s="12" t="s">
        <v>52</v>
      </c>
      <c r="AQ483" s="12">
        <v>1</v>
      </c>
      <c r="AR483" s="12">
        <v>13</v>
      </c>
      <c r="AS483" s="12">
        <v>3</v>
      </c>
      <c r="AT483" s="12">
        <v>4</v>
      </c>
      <c r="AU483" s="12">
        <v>1</v>
      </c>
      <c r="AV483" s="12">
        <v>6</v>
      </c>
      <c r="AW483" s="12">
        <f t="shared" si="108"/>
        <v>6</v>
      </c>
      <c r="AX483" s="12">
        <v>3</v>
      </c>
      <c r="AY483" s="12">
        <v>3</v>
      </c>
      <c r="AZ483" s="12">
        <v>6</v>
      </c>
      <c r="BA483" s="12">
        <f t="shared" si="109"/>
        <v>6</v>
      </c>
      <c r="BB483" s="12">
        <v>5</v>
      </c>
      <c r="BC483" s="12">
        <v>1</v>
      </c>
      <c r="BD483" s="12">
        <f t="shared" si="118"/>
        <v>1</v>
      </c>
      <c r="BE483" s="12">
        <v>3</v>
      </c>
      <c r="BF483" s="12">
        <f t="shared" si="110"/>
        <v>3</v>
      </c>
      <c r="BG483" s="12">
        <f t="shared" si="119"/>
        <v>3</v>
      </c>
      <c r="BH483" s="67">
        <v>0</v>
      </c>
      <c r="BI483" s="67">
        <v>1</v>
      </c>
      <c r="BJ483" s="67">
        <v>0</v>
      </c>
      <c r="BK483" s="67">
        <v>0</v>
      </c>
      <c r="BL483" s="67">
        <v>0</v>
      </c>
      <c r="BM483" s="67">
        <v>0</v>
      </c>
      <c r="BN483" s="67">
        <v>0</v>
      </c>
      <c r="BO483" s="67">
        <v>1</v>
      </c>
      <c r="BP483" s="67">
        <v>0</v>
      </c>
      <c r="BQ483" s="67">
        <v>3</v>
      </c>
      <c r="BR483" s="67">
        <v>0</v>
      </c>
      <c r="BS483" s="67">
        <v>0</v>
      </c>
      <c r="BT483" s="67">
        <v>6</v>
      </c>
      <c r="BU483" s="70">
        <v>0</v>
      </c>
      <c r="BV483" s="29">
        <f t="shared" si="111"/>
        <v>0.6119281516898839</v>
      </c>
      <c r="BW483">
        <f t="shared" si="112"/>
        <v>0.31476636926356072</v>
      </c>
      <c r="BX483">
        <f t="shared" si="113"/>
        <v>0.67854260110508058</v>
      </c>
      <c r="BY483">
        <f t="shared" si="114"/>
        <v>0.16455710867531462</v>
      </c>
      <c r="BZ483">
        <f t="shared" si="115"/>
        <v>1.01056543769991</v>
      </c>
      <c r="CA483">
        <f t="shared" si="116"/>
        <v>0.32005363845127444</v>
      </c>
      <c r="CB483">
        <f t="shared" si="117"/>
        <v>0.36858985273641137</v>
      </c>
    </row>
    <row r="484" spans="1:80" x14ac:dyDescent="0.45">
      <c r="A484" s="11">
        <v>31</v>
      </c>
      <c r="B484" s="12">
        <f t="shared" si="105"/>
        <v>31</v>
      </c>
      <c r="C484" s="12" t="s">
        <v>52</v>
      </c>
      <c r="D484" s="12">
        <v>1</v>
      </c>
      <c r="E484" s="12" t="s">
        <v>53</v>
      </c>
      <c r="F484" s="12">
        <v>0</v>
      </c>
      <c r="G484" s="12">
        <v>1</v>
      </c>
      <c r="H484" s="12" t="s">
        <v>54</v>
      </c>
      <c r="I484" s="12">
        <v>0</v>
      </c>
      <c r="J484" s="12">
        <v>1</v>
      </c>
      <c r="K484" s="12">
        <v>13</v>
      </c>
      <c r="L484" s="12">
        <f t="shared" si="106"/>
        <v>13</v>
      </c>
      <c r="M484" s="12">
        <v>4</v>
      </c>
      <c r="N484" s="12" t="s">
        <v>70</v>
      </c>
      <c r="O484" s="12">
        <v>0</v>
      </c>
      <c r="P484" s="12">
        <v>0</v>
      </c>
      <c r="Q484" s="12">
        <v>1</v>
      </c>
      <c r="R484" s="12">
        <v>0</v>
      </c>
      <c r="S484" s="12">
        <v>0</v>
      </c>
      <c r="T484" s="12">
        <v>2</v>
      </c>
      <c r="U484" s="12" t="s">
        <v>62</v>
      </c>
      <c r="V484" s="12">
        <v>0</v>
      </c>
      <c r="W484" s="12">
        <v>46</v>
      </c>
      <c r="X484" s="12">
        <v>3</v>
      </c>
      <c r="Y484" s="12">
        <v>2</v>
      </c>
      <c r="Z484" s="12" t="s">
        <v>56</v>
      </c>
      <c r="AA484" s="12">
        <v>0</v>
      </c>
      <c r="AB484" s="12">
        <v>1</v>
      </c>
      <c r="AC484" s="12">
        <v>0</v>
      </c>
      <c r="AD484" s="12">
        <v>0</v>
      </c>
      <c r="AE484" s="12">
        <v>0</v>
      </c>
      <c r="AF484" s="12">
        <v>0</v>
      </c>
      <c r="AG484" s="12">
        <v>0</v>
      </c>
      <c r="AH484" s="12">
        <v>0</v>
      </c>
      <c r="AI484" s="12">
        <v>1</v>
      </c>
      <c r="AJ484" s="12" t="s">
        <v>78</v>
      </c>
      <c r="AK484" s="12">
        <v>0</v>
      </c>
      <c r="AL484" s="12">
        <v>0</v>
      </c>
      <c r="AM484" s="12">
        <v>4233</v>
      </c>
      <c r="AN484" s="12">
        <f t="shared" si="107"/>
        <v>4233</v>
      </c>
      <c r="AO484" s="12">
        <v>2</v>
      </c>
      <c r="AP484" s="12" t="s">
        <v>59</v>
      </c>
      <c r="AQ484" s="12">
        <v>0</v>
      </c>
      <c r="AR484" s="12">
        <v>17</v>
      </c>
      <c r="AS484" s="12">
        <v>3</v>
      </c>
      <c r="AT484" s="12">
        <v>3</v>
      </c>
      <c r="AU484" s="12">
        <v>0</v>
      </c>
      <c r="AV484" s="12">
        <v>9</v>
      </c>
      <c r="AW484" s="12">
        <f t="shared" si="108"/>
        <v>9</v>
      </c>
      <c r="AX484" s="12">
        <v>2</v>
      </c>
      <c r="AY484" s="12">
        <v>1</v>
      </c>
      <c r="AZ484" s="12">
        <v>3</v>
      </c>
      <c r="BA484" s="12">
        <f t="shared" si="109"/>
        <v>3</v>
      </c>
      <c r="BB484" s="12">
        <v>1</v>
      </c>
      <c r="BC484" s="12">
        <v>1</v>
      </c>
      <c r="BD484" s="12">
        <f t="shared" si="118"/>
        <v>1</v>
      </c>
      <c r="BE484" s="12">
        <v>2</v>
      </c>
      <c r="BF484" s="12">
        <f t="shared" si="110"/>
        <v>2</v>
      </c>
      <c r="BG484" s="12">
        <f t="shared" si="119"/>
        <v>4</v>
      </c>
      <c r="BH484" s="67">
        <v>1</v>
      </c>
      <c r="BI484" s="67">
        <v>0</v>
      </c>
      <c r="BJ484" s="67">
        <v>0</v>
      </c>
      <c r="BK484" s="67">
        <v>0</v>
      </c>
      <c r="BL484" s="67">
        <v>1</v>
      </c>
      <c r="BM484" s="67">
        <v>0</v>
      </c>
      <c r="BN484" s="67">
        <v>0</v>
      </c>
      <c r="BO484" s="67">
        <v>0</v>
      </c>
      <c r="BP484" s="67">
        <v>0</v>
      </c>
      <c r="BQ484" s="67">
        <v>0</v>
      </c>
      <c r="BR484" s="67">
        <v>2</v>
      </c>
      <c r="BS484" s="67">
        <v>0</v>
      </c>
      <c r="BT484" s="67">
        <v>0</v>
      </c>
      <c r="BU484" s="70">
        <v>9</v>
      </c>
      <c r="BV484" s="29">
        <f t="shared" si="111"/>
        <v>0.48214786097150958</v>
      </c>
      <c r="BW484">
        <f t="shared" si="112"/>
        <v>0.59502473559756086</v>
      </c>
      <c r="BX484">
        <f t="shared" si="113"/>
        <v>0.29297722668510823</v>
      </c>
      <c r="BY484">
        <f t="shared" si="114"/>
        <v>0.65423109602898355</v>
      </c>
      <c r="BZ484">
        <f t="shared" si="115"/>
        <v>0.46966160880232483</v>
      </c>
      <c r="CA484">
        <f t="shared" si="116"/>
        <v>0.6484474368621912</v>
      </c>
      <c r="CB484">
        <f t="shared" si="117"/>
        <v>0.36858985273641137</v>
      </c>
    </row>
    <row r="485" spans="1:80" x14ac:dyDescent="0.45">
      <c r="A485" s="11">
        <v>35</v>
      </c>
      <c r="B485" s="12">
        <f t="shared" si="105"/>
        <v>35</v>
      </c>
      <c r="C485" s="12" t="s">
        <v>59</v>
      </c>
      <c r="D485" s="12">
        <v>0</v>
      </c>
      <c r="E485" s="12" t="s">
        <v>53</v>
      </c>
      <c r="F485" s="12">
        <v>0</v>
      </c>
      <c r="G485" s="12">
        <v>1</v>
      </c>
      <c r="H485" s="12" t="s">
        <v>61</v>
      </c>
      <c r="I485" s="12">
        <v>1</v>
      </c>
      <c r="J485" s="12">
        <v>0</v>
      </c>
      <c r="K485" s="12">
        <v>25</v>
      </c>
      <c r="L485" s="12">
        <f t="shared" si="106"/>
        <v>25</v>
      </c>
      <c r="M485" s="12">
        <v>2</v>
      </c>
      <c r="N485" s="12" t="s">
        <v>66</v>
      </c>
      <c r="O485" s="12">
        <v>0</v>
      </c>
      <c r="P485" s="12">
        <v>1</v>
      </c>
      <c r="Q485" s="12">
        <v>0</v>
      </c>
      <c r="R485" s="12">
        <v>0</v>
      </c>
      <c r="S485" s="12">
        <v>0</v>
      </c>
      <c r="T485" s="12">
        <v>1</v>
      </c>
      <c r="U485" s="12" t="s">
        <v>62</v>
      </c>
      <c r="V485" s="12">
        <v>0</v>
      </c>
      <c r="W485" s="12">
        <v>54</v>
      </c>
      <c r="X485" s="12">
        <v>2</v>
      </c>
      <c r="Y485" s="12">
        <v>2</v>
      </c>
      <c r="Z485" s="12" t="s">
        <v>67</v>
      </c>
      <c r="AA485" s="12">
        <v>0</v>
      </c>
      <c r="AB485" s="12">
        <v>0</v>
      </c>
      <c r="AC485" s="12">
        <v>1</v>
      </c>
      <c r="AD485" s="12">
        <v>0</v>
      </c>
      <c r="AE485" s="12">
        <v>0</v>
      </c>
      <c r="AF485" s="12">
        <v>0</v>
      </c>
      <c r="AG485" s="12">
        <v>0</v>
      </c>
      <c r="AH485" s="12">
        <v>0</v>
      </c>
      <c r="AI485" s="12">
        <v>4</v>
      </c>
      <c r="AJ485" s="12" t="s">
        <v>57</v>
      </c>
      <c r="AK485" s="12">
        <v>1</v>
      </c>
      <c r="AL485" s="12">
        <v>0</v>
      </c>
      <c r="AM485" s="12">
        <v>3681</v>
      </c>
      <c r="AN485" s="12">
        <f t="shared" si="107"/>
        <v>3681</v>
      </c>
      <c r="AO485" s="12">
        <v>4</v>
      </c>
      <c r="AP485" s="12" t="s">
        <v>59</v>
      </c>
      <c r="AQ485" s="12">
        <v>0</v>
      </c>
      <c r="AR485" s="12">
        <v>14</v>
      </c>
      <c r="AS485" s="12">
        <v>3</v>
      </c>
      <c r="AT485" s="12">
        <v>4</v>
      </c>
      <c r="AU485" s="12">
        <v>0</v>
      </c>
      <c r="AV485" s="12">
        <v>9</v>
      </c>
      <c r="AW485" s="12">
        <f t="shared" si="108"/>
        <v>9</v>
      </c>
      <c r="AX485" s="12">
        <v>3</v>
      </c>
      <c r="AY485" s="12">
        <v>3</v>
      </c>
      <c r="AZ485" s="12">
        <v>3</v>
      </c>
      <c r="BA485" s="12">
        <f t="shared" si="109"/>
        <v>3</v>
      </c>
      <c r="BB485" s="12">
        <v>2</v>
      </c>
      <c r="BC485" s="12">
        <v>0</v>
      </c>
      <c r="BD485" s="12">
        <f t="shared" si="118"/>
        <v>0</v>
      </c>
      <c r="BE485" s="12">
        <v>2</v>
      </c>
      <c r="BF485" s="12">
        <f t="shared" si="110"/>
        <v>2</v>
      </c>
      <c r="BG485" s="12">
        <f t="shared" si="119"/>
        <v>4</v>
      </c>
      <c r="BH485" s="67">
        <v>1</v>
      </c>
      <c r="BI485" s="67">
        <v>0</v>
      </c>
      <c r="BJ485" s="67">
        <v>0</v>
      </c>
      <c r="BK485" s="67">
        <v>0</v>
      </c>
      <c r="BL485" s="67">
        <v>1</v>
      </c>
      <c r="BM485" s="67">
        <v>0</v>
      </c>
      <c r="BN485" s="67">
        <v>0</v>
      </c>
      <c r="BO485" s="67">
        <v>0</v>
      </c>
      <c r="BP485" s="67">
        <v>0</v>
      </c>
      <c r="BQ485" s="67">
        <v>2</v>
      </c>
      <c r="BR485" s="67">
        <v>0</v>
      </c>
      <c r="BS485" s="67">
        <v>0</v>
      </c>
      <c r="BT485" s="67">
        <v>9</v>
      </c>
      <c r="BU485" s="70">
        <v>0</v>
      </c>
      <c r="BV485" s="29">
        <f t="shared" si="111"/>
        <v>0.59939617599040096</v>
      </c>
      <c r="BW485">
        <f t="shared" si="112"/>
        <v>0.59502473559756086</v>
      </c>
      <c r="BX485">
        <f t="shared" si="113"/>
        <v>0.29297722668510823</v>
      </c>
      <c r="BY485">
        <f t="shared" si="114"/>
        <v>0.65423109602898355</v>
      </c>
      <c r="BZ485">
        <f t="shared" si="115"/>
        <v>1.9498886553045598</v>
      </c>
      <c r="CA485">
        <f t="shared" si="116"/>
        <v>0.21058903898096887</v>
      </c>
      <c r="CB485">
        <f t="shared" si="117"/>
        <v>0.67891464284095016</v>
      </c>
    </row>
    <row r="486" spans="1:80" x14ac:dyDescent="0.45">
      <c r="A486" s="11">
        <v>31</v>
      </c>
      <c r="B486" s="12">
        <f t="shared" si="105"/>
        <v>31</v>
      </c>
      <c r="C486" s="12" t="s">
        <v>59</v>
      </c>
      <c r="D486" s="12">
        <v>0</v>
      </c>
      <c r="E486" s="12" t="s">
        <v>53</v>
      </c>
      <c r="F486" s="12">
        <v>0</v>
      </c>
      <c r="G486" s="12">
        <v>1</v>
      </c>
      <c r="H486" s="12" t="s">
        <v>54</v>
      </c>
      <c r="I486" s="12">
        <v>0</v>
      </c>
      <c r="J486" s="12">
        <v>1</v>
      </c>
      <c r="K486" s="12">
        <v>6</v>
      </c>
      <c r="L486" s="12">
        <f t="shared" si="106"/>
        <v>6</v>
      </c>
      <c r="M486" s="12">
        <v>4</v>
      </c>
      <c r="N486" s="12" t="s">
        <v>70</v>
      </c>
      <c r="O486" s="12">
        <v>0</v>
      </c>
      <c r="P486" s="12">
        <v>0</v>
      </c>
      <c r="Q486" s="12">
        <v>1</v>
      </c>
      <c r="R486" s="12">
        <v>0</v>
      </c>
      <c r="S486" s="12">
        <v>0</v>
      </c>
      <c r="T486" s="12">
        <v>1</v>
      </c>
      <c r="U486" s="12" t="s">
        <v>62</v>
      </c>
      <c r="V486" s="12">
        <v>0</v>
      </c>
      <c r="W486" s="12">
        <v>66</v>
      </c>
      <c r="X486" s="12">
        <v>4</v>
      </c>
      <c r="Y486" s="12">
        <v>2</v>
      </c>
      <c r="Z486" s="12" t="s">
        <v>56</v>
      </c>
      <c r="AA486" s="12">
        <v>0</v>
      </c>
      <c r="AB486" s="12">
        <v>1</v>
      </c>
      <c r="AC486" s="12">
        <v>0</v>
      </c>
      <c r="AD486" s="12">
        <v>0</v>
      </c>
      <c r="AE486" s="12">
        <v>0</v>
      </c>
      <c r="AF486" s="12">
        <v>0</v>
      </c>
      <c r="AG486" s="12">
        <v>0</v>
      </c>
      <c r="AH486" s="12">
        <v>0</v>
      </c>
      <c r="AI486" s="12">
        <v>4</v>
      </c>
      <c r="AJ486" s="12" t="s">
        <v>78</v>
      </c>
      <c r="AK486" s="12">
        <v>0</v>
      </c>
      <c r="AL486" s="12">
        <v>0</v>
      </c>
      <c r="AM486" s="12">
        <v>5460</v>
      </c>
      <c r="AN486" s="12">
        <f t="shared" si="107"/>
        <v>5460</v>
      </c>
      <c r="AO486" s="12">
        <v>4</v>
      </c>
      <c r="AP486" s="12" t="s">
        <v>59</v>
      </c>
      <c r="AQ486" s="12">
        <v>0</v>
      </c>
      <c r="AR486" s="12">
        <v>22</v>
      </c>
      <c r="AS486" s="12">
        <v>4</v>
      </c>
      <c r="AT486" s="12">
        <v>4</v>
      </c>
      <c r="AU486" s="12">
        <v>2</v>
      </c>
      <c r="AV486" s="12">
        <v>13</v>
      </c>
      <c r="AW486" s="12">
        <f t="shared" si="108"/>
        <v>13</v>
      </c>
      <c r="AX486" s="12">
        <v>4</v>
      </c>
      <c r="AY486" s="12">
        <v>4</v>
      </c>
      <c r="AZ486" s="12">
        <v>7</v>
      </c>
      <c r="BA486" s="12">
        <f t="shared" si="109"/>
        <v>7</v>
      </c>
      <c r="BB486" s="12">
        <v>7</v>
      </c>
      <c r="BC486" s="12">
        <v>5</v>
      </c>
      <c r="BD486" s="12">
        <f t="shared" si="118"/>
        <v>5</v>
      </c>
      <c r="BE486" s="12">
        <v>7</v>
      </c>
      <c r="BF486" s="12">
        <f t="shared" si="110"/>
        <v>7</v>
      </c>
      <c r="BG486" s="12">
        <f t="shared" si="119"/>
        <v>14</v>
      </c>
      <c r="BH486" s="67">
        <v>1</v>
      </c>
      <c r="BI486" s="67">
        <v>0</v>
      </c>
      <c r="BJ486" s="67">
        <v>0</v>
      </c>
      <c r="BK486" s="67">
        <v>0</v>
      </c>
      <c r="BL486" s="67">
        <v>1</v>
      </c>
      <c r="BM486" s="67">
        <v>0</v>
      </c>
      <c r="BN486" s="67">
        <v>0</v>
      </c>
      <c r="BO486" s="67">
        <v>0</v>
      </c>
      <c r="BP486" s="67">
        <v>0</v>
      </c>
      <c r="BQ486" s="67">
        <v>0</v>
      </c>
      <c r="BR486" s="67">
        <v>7</v>
      </c>
      <c r="BS486" s="67">
        <v>0</v>
      </c>
      <c r="BT486" s="67">
        <v>0</v>
      </c>
      <c r="BU486" s="70">
        <v>13</v>
      </c>
      <c r="BV486" s="29">
        <f t="shared" si="111"/>
        <v>0.22152524769582169</v>
      </c>
      <c r="BW486">
        <f t="shared" si="112"/>
        <v>0.80626709607243985</v>
      </c>
      <c r="BX486">
        <f t="shared" si="113"/>
        <v>0.22110993920818819</v>
      </c>
      <c r="BY486">
        <f t="shared" si="114"/>
        <v>1.3324462240916321E-3</v>
      </c>
      <c r="BZ486">
        <f t="shared" si="115"/>
        <v>0.39380416832397891</v>
      </c>
      <c r="CA486">
        <f t="shared" si="116"/>
        <v>0.6484474368621912</v>
      </c>
      <c r="CB486">
        <f t="shared" si="117"/>
        <v>0.87270930768174382</v>
      </c>
    </row>
    <row r="487" spans="1:80" x14ac:dyDescent="0.45">
      <c r="A487" s="11">
        <v>27</v>
      </c>
      <c r="B487" s="12">
        <f t="shared" si="105"/>
        <v>27</v>
      </c>
      <c r="C487" s="12" t="s">
        <v>59</v>
      </c>
      <c r="D487" s="12">
        <v>0</v>
      </c>
      <c r="E487" s="12" t="s">
        <v>53</v>
      </c>
      <c r="F487" s="12">
        <v>0</v>
      </c>
      <c r="G487" s="12">
        <v>1</v>
      </c>
      <c r="H487" s="12" t="s">
        <v>61</v>
      </c>
      <c r="I487" s="12">
        <v>1</v>
      </c>
      <c r="J487" s="12">
        <v>0</v>
      </c>
      <c r="K487" s="12">
        <v>6</v>
      </c>
      <c r="L487" s="12">
        <f t="shared" si="106"/>
        <v>6</v>
      </c>
      <c r="M487" s="12">
        <v>4</v>
      </c>
      <c r="N487" s="12" t="s">
        <v>70</v>
      </c>
      <c r="O487" s="12">
        <v>0</v>
      </c>
      <c r="P487" s="12">
        <v>0</v>
      </c>
      <c r="Q487" s="12">
        <v>1</v>
      </c>
      <c r="R487" s="12">
        <v>0</v>
      </c>
      <c r="S487" s="12">
        <v>0</v>
      </c>
      <c r="T487" s="12">
        <v>1</v>
      </c>
      <c r="U487" s="12" t="s">
        <v>19</v>
      </c>
      <c r="V487" s="12">
        <v>1</v>
      </c>
      <c r="W487" s="12">
        <v>66</v>
      </c>
      <c r="X487" s="12">
        <v>2</v>
      </c>
      <c r="Y487" s="12">
        <v>1</v>
      </c>
      <c r="Z487" s="12" t="s">
        <v>63</v>
      </c>
      <c r="AA487" s="12">
        <v>0</v>
      </c>
      <c r="AB487" s="12">
        <v>0</v>
      </c>
      <c r="AC487" s="12">
        <v>0</v>
      </c>
      <c r="AD487" s="12">
        <v>0</v>
      </c>
      <c r="AE487" s="12">
        <v>0</v>
      </c>
      <c r="AF487" s="12">
        <v>0</v>
      </c>
      <c r="AG487" s="12">
        <v>0</v>
      </c>
      <c r="AH487" s="12">
        <v>1</v>
      </c>
      <c r="AI487" s="12">
        <v>3</v>
      </c>
      <c r="AJ487" s="12" t="s">
        <v>78</v>
      </c>
      <c r="AK487" s="12">
        <v>0</v>
      </c>
      <c r="AL487" s="12">
        <v>0</v>
      </c>
      <c r="AM487" s="12">
        <v>2187</v>
      </c>
      <c r="AN487" s="12">
        <f t="shared" si="107"/>
        <v>2187</v>
      </c>
      <c r="AO487" s="12">
        <v>0</v>
      </c>
      <c r="AP487" s="12" t="s">
        <v>59</v>
      </c>
      <c r="AQ487" s="12">
        <v>0</v>
      </c>
      <c r="AR487" s="12">
        <v>12</v>
      </c>
      <c r="AS487" s="12">
        <v>3</v>
      </c>
      <c r="AT487" s="12">
        <v>3</v>
      </c>
      <c r="AU487" s="12">
        <v>2</v>
      </c>
      <c r="AV487" s="12">
        <v>6</v>
      </c>
      <c r="AW487" s="12">
        <f t="shared" si="108"/>
        <v>6</v>
      </c>
      <c r="AX487" s="12">
        <v>5</v>
      </c>
      <c r="AY487" s="12">
        <v>2</v>
      </c>
      <c r="AZ487" s="12">
        <v>5</v>
      </c>
      <c r="BA487" s="12">
        <f t="shared" si="109"/>
        <v>5</v>
      </c>
      <c r="BB487" s="12">
        <v>3</v>
      </c>
      <c r="BC487" s="12">
        <v>0</v>
      </c>
      <c r="BD487" s="12">
        <f t="shared" si="118"/>
        <v>0</v>
      </c>
      <c r="BE487" s="12">
        <v>3</v>
      </c>
      <c r="BF487" s="12">
        <f t="shared" si="110"/>
        <v>3</v>
      </c>
      <c r="BG487" s="12">
        <f t="shared" si="119"/>
        <v>3</v>
      </c>
      <c r="BH487" s="67">
        <v>1</v>
      </c>
      <c r="BI487" s="67">
        <v>0</v>
      </c>
      <c r="BJ487" s="67">
        <v>0</v>
      </c>
      <c r="BK487" s="67">
        <v>0</v>
      </c>
      <c r="BL487" s="67">
        <v>1</v>
      </c>
      <c r="BM487" s="67">
        <v>0</v>
      </c>
      <c r="BN487" s="67">
        <v>0</v>
      </c>
      <c r="BO487" s="67">
        <v>0</v>
      </c>
      <c r="BP487" s="67">
        <v>0</v>
      </c>
      <c r="BQ487" s="67">
        <v>3</v>
      </c>
      <c r="BR487" s="67">
        <v>0</v>
      </c>
      <c r="BS487" s="67">
        <v>0</v>
      </c>
      <c r="BT487" s="67">
        <v>6</v>
      </c>
      <c r="BU487" s="70">
        <v>0</v>
      </c>
      <c r="BV487" s="29">
        <f t="shared" si="111"/>
        <v>0.9167312894654438</v>
      </c>
      <c r="BW487">
        <f t="shared" si="112"/>
        <v>0.31476636926356072</v>
      </c>
      <c r="BX487">
        <f t="shared" si="113"/>
        <v>0.67854260110508058</v>
      </c>
      <c r="BY487">
        <f t="shared" si="114"/>
        <v>0.32778177112653761</v>
      </c>
      <c r="BZ487">
        <f t="shared" si="115"/>
        <v>0.39380416832397891</v>
      </c>
      <c r="CA487">
        <f t="shared" si="116"/>
        <v>1.0863058347434136</v>
      </c>
      <c r="CB487">
        <f t="shared" si="117"/>
        <v>0.67891464284095016</v>
      </c>
    </row>
    <row r="488" spans="1:80" x14ac:dyDescent="0.45">
      <c r="A488" s="11">
        <v>37</v>
      </c>
      <c r="B488" s="12">
        <f t="shared" si="105"/>
        <v>37</v>
      </c>
      <c r="C488" s="12" t="s">
        <v>59</v>
      </c>
      <c r="D488" s="12">
        <v>0</v>
      </c>
      <c r="E488" s="12" t="s">
        <v>53</v>
      </c>
      <c r="F488" s="12">
        <v>0</v>
      </c>
      <c r="G488" s="12">
        <v>1</v>
      </c>
      <c r="H488" s="12" t="s">
        <v>54</v>
      </c>
      <c r="I488" s="12">
        <v>0</v>
      </c>
      <c r="J488" s="12">
        <v>1</v>
      </c>
      <c r="K488" s="12">
        <v>2</v>
      </c>
      <c r="L488" s="12">
        <f t="shared" si="106"/>
        <v>2</v>
      </c>
      <c r="M488" s="12">
        <v>3</v>
      </c>
      <c r="N488" s="12" t="s">
        <v>90</v>
      </c>
      <c r="O488" s="12">
        <v>0</v>
      </c>
      <c r="P488" s="12">
        <v>0</v>
      </c>
      <c r="Q488" s="12">
        <v>0</v>
      </c>
      <c r="R488" s="12">
        <v>1</v>
      </c>
      <c r="S488" s="12">
        <v>0</v>
      </c>
      <c r="T488" s="12">
        <v>4</v>
      </c>
      <c r="U488" s="12" t="s">
        <v>62</v>
      </c>
      <c r="V488" s="12">
        <v>0</v>
      </c>
      <c r="W488" s="12">
        <v>75</v>
      </c>
      <c r="X488" s="12">
        <v>3</v>
      </c>
      <c r="Y488" s="12">
        <v>2</v>
      </c>
      <c r="Z488" s="12" t="s">
        <v>56</v>
      </c>
      <c r="AA488" s="12">
        <v>0</v>
      </c>
      <c r="AB488" s="12">
        <v>1</v>
      </c>
      <c r="AC488" s="12">
        <v>0</v>
      </c>
      <c r="AD488" s="12">
        <v>0</v>
      </c>
      <c r="AE488" s="12">
        <v>0</v>
      </c>
      <c r="AF488" s="12">
        <v>0</v>
      </c>
      <c r="AG488" s="12">
        <v>0</v>
      </c>
      <c r="AH488" s="12">
        <v>0</v>
      </c>
      <c r="AI488" s="12">
        <v>3</v>
      </c>
      <c r="AJ488" s="12" t="s">
        <v>64</v>
      </c>
      <c r="AK488" s="12">
        <v>0</v>
      </c>
      <c r="AL488" s="12">
        <v>1</v>
      </c>
      <c r="AM488" s="12">
        <v>9602</v>
      </c>
      <c r="AN488" s="12">
        <f t="shared" si="107"/>
        <v>9602</v>
      </c>
      <c r="AO488" s="12">
        <v>4</v>
      </c>
      <c r="AP488" s="12" t="s">
        <v>52</v>
      </c>
      <c r="AQ488" s="12">
        <v>1</v>
      </c>
      <c r="AR488" s="12">
        <v>11</v>
      </c>
      <c r="AS488" s="12">
        <v>3</v>
      </c>
      <c r="AT488" s="12">
        <v>3</v>
      </c>
      <c r="AU488" s="12">
        <v>1</v>
      </c>
      <c r="AV488" s="12">
        <v>17</v>
      </c>
      <c r="AW488" s="12">
        <f t="shared" si="108"/>
        <v>17</v>
      </c>
      <c r="AX488" s="12">
        <v>3</v>
      </c>
      <c r="AY488" s="12">
        <v>2</v>
      </c>
      <c r="AZ488" s="12">
        <v>3</v>
      </c>
      <c r="BA488" s="12">
        <f t="shared" si="109"/>
        <v>3</v>
      </c>
      <c r="BB488" s="12">
        <v>0</v>
      </c>
      <c r="BC488" s="12">
        <v>1</v>
      </c>
      <c r="BD488" s="12">
        <f t="shared" si="118"/>
        <v>1</v>
      </c>
      <c r="BE488" s="12">
        <v>0</v>
      </c>
      <c r="BF488" s="12">
        <f t="shared" si="110"/>
        <v>0</v>
      </c>
      <c r="BG488" s="12">
        <f t="shared" si="119"/>
        <v>0</v>
      </c>
      <c r="BH488" s="67">
        <v>0</v>
      </c>
      <c r="BI488" s="67">
        <v>1</v>
      </c>
      <c r="BJ488" s="67">
        <v>0</v>
      </c>
      <c r="BK488" s="67">
        <v>0</v>
      </c>
      <c r="BL488" s="67">
        <v>0</v>
      </c>
      <c r="BM488" s="67">
        <v>0</v>
      </c>
      <c r="BN488" s="67">
        <v>0</v>
      </c>
      <c r="BO488" s="67">
        <v>1</v>
      </c>
      <c r="BP488" s="67">
        <v>0</v>
      </c>
      <c r="BQ488" s="67">
        <v>0</v>
      </c>
      <c r="BR488" s="67">
        <v>0</v>
      </c>
      <c r="BS488" s="67">
        <v>0</v>
      </c>
      <c r="BT488" s="67">
        <v>0</v>
      </c>
      <c r="BU488" s="70">
        <v>17</v>
      </c>
      <c r="BV488" s="29">
        <f t="shared" si="111"/>
        <v>0.65826192768143921</v>
      </c>
      <c r="BW488">
        <f t="shared" si="112"/>
        <v>1.1555414682655611</v>
      </c>
      <c r="BX488">
        <f t="shared" si="113"/>
        <v>0.73519710510148462</v>
      </c>
      <c r="BY488">
        <f t="shared" si="114"/>
        <v>0.65423109602898355</v>
      </c>
      <c r="BZ488">
        <f t="shared" si="115"/>
        <v>0.88721318382472392</v>
      </c>
      <c r="CA488">
        <f t="shared" si="116"/>
        <v>8.3401599596422994E-3</v>
      </c>
      <c r="CB488">
        <f t="shared" si="117"/>
        <v>0.36858985273641137</v>
      </c>
    </row>
    <row r="489" spans="1:80" x14ac:dyDescent="0.45">
      <c r="A489" s="11">
        <v>20</v>
      </c>
      <c r="B489" s="12">
        <f t="shared" si="105"/>
        <v>20</v>
      </c>
      <c r="C489" s="12" t="s">
        <v>59</v>
      </c>
      <c r="D489" s="12">
        <v>0</v>
      </c>
      <c r="E489" s="12" t="s">
        <v>53</v>
      </c>
      <c r="F489" s="12">
        <v>0</v>
      </c>
      <c r="G489" s="12">
        <v>1</v>
      </c>
      <c r="H489" s="12" t="s">
        <v>61</v>
      </c>
      <c r="I489" s="12">
        <v>1</v>
      </c>
      <c r="J489" s="12">
        <v>0</v>
      </c>
      <c r="K489" s="12">
        <v>1</v>
      </c>
      <c r="L489" s="12">
        <f t="shared" si="106"/>
        <v>1</v>
      </c>
      <c r="M489" s="12">
        <v>3</v>
      </c>
      <c r="N489" s="12" t="s">
        <v>55</v>
      </c>
      <c r="O489" s="12">
        <v>1</v>
      </c>
      <c r="P489" s="12">
        <v>0</v>
      </c>
      <c r="Q489" s="12">
        <v>0</v>
      </c>
      <c r="R489" s="12">
        <v>0</v>
      </c>
      <c r="S489" s="12">
        <v>0</v>
      </c>
      <c r="T489" s="12">
        <v>4</v>
      </c>
      <c r="U489" s="12" t="s">
        <v>19</v>
      </c>
      <c r="V489" s="12">
        <v>1</v>
      </c>
      <c r="W489" s="12">
        <v>83</v>
      </c>
      <c r="X489" s="12">
        <v>2</v>
      </c>
      <c r="Y489" s="12">
        <v>1</v>
      </c>
      <c r="Z489" s="12" t="s">
        <v>63</v>
      </c>
      <c r="AA489" s="12">
        <v>0</v>
      </c>
      <c r="AB489" s="12">
        <v>0</v>
      </c>
      <c r="AC489" s="12">
        <v>0</v>
      </c>
      <c r="AD489" s="12">
        <v>0</v>
      </c>
      <c r="AE489" s="12">
        <v>0</v>
      </c>
      <c r="AF489" s="12">
        <v>0</v>
      </c>
      <c r="AG489" s="12">
        <v>0</v>
      </c>
      <c r="AH489" s="12">
        <v>1</v>
      </c>
      <c r="AI489" s="12">
        <v>2</v>
      </c>
      <c r="AJ489" s="12" t="s">
        <v>57</v>
      </c>
      <c r="AK489" s="12">
        <v>1</v>
      </c>
      <c r="AL489" s="12">
        <v>0</v>
      </c>
      <c r="AM489" s="12">
        <v>2836</v>
      </c>
      <c r="AN489" s="12">
        <f t="shared" si="107"/>
        <v>2836</v>
      </c>
      <c r="AO489" s="12">
        <v>1</v>
      </c>
      <c r="AP489" s="12" t="s">
        <v>59</v>
      </c>
      <c r="AQ489" s="12">
        <v>0</v>
      </c>
      <c r="AR489" s="12">
        <v>13</v>
      </c>
      <c r="AS489" s="12">
        <v>3</v>
      </c>
      <c r="AT489" s="12">
        <v>4</v>
      </c>
      <c r="AU489" s="12">
        <v>0</v>
      </c>
      <c r="AV489" s="12">
        <v>1</v>
      </c>
      <c r="AW489" s="12">
        <f t="shared" si="108"/>
        <v>1</v>
      </c>
      <c r="AX489" s="12">
        <v>0</v>
      </c>
      <c r="AY489" s="12">
        <v>4</v>
      </c>
      <c r="AZ489" s="12">
        <v>1</v>
      </c>
      <c r="BA489" s="12">
        <f t="shared" si="109"/>
        <v>1</v>
      </c>
      <c r="BB489" s="12">
        <v>0</v>
      </c>
      <c r="BC489" s="12">
        <v>0</v>
      </c>
      <c r="BD489" s="12">
        <f t="shared" si="118"/>
        <v>0</v>
      </c>
      <c r="BE489" s="12">
        <v>0</v>
      </c>
      <c r="BF489" s="12">
        <f t="shared" si="110"/>
        <v>0</v>
      </c>
      <c r="BG489" s="12">
        <f t="shared" si="119"/>
        <v>0</v>
      </c>
      <c r="BH489" s="67">
        <v>1</v>
      </c>
      <c r="BI489" s="67">
        <v>0</v>
      </c>
      <c r="BJ489" s="67">
        <v>0</v>
      </c>
      <c r="BK489" s="67">
        <v>0</v>
      </c>
      <c r="BL489" s="67">
        <v>1</v>
      </c>
      <c r="BM489" s="67">
        <v>0</v>
      </c>
      <c r="BN489" s="67">
        <v>0</v>
      </c>
      <c r="BO489" s="67">
        <v>0</v>
      </c>
      <c r="BP489" s="67">
        <v>0</v>
      </c>
      <c r="BQ489" s="67">
        <v>0</v>
      </c>
      <c r="BR489" s="67">
        <v>0</v>
      </c>
      <c r="BS489" s="67">
        <v>0</v>
      </c>
      <c r="BT489" s="67">
        <v>1</v>
      </c>
      <c r="BU489" s="70">
        <v>0</v>
      </c>
      <c r="BV489" s="29">
        <f t="shared" si="111"/>
        <v>0.77887955677113141</v>
      </c>
      <c r="BW489">
        <f t="shared" si="112"/>
        <v>1.1555414682655611</v>
      </c>
      <c r="BX489">
        <f t="shared" si="113"/>
        <v>1.3211515584717011</v>
      </c>
      <c r="BY489">
        <f t="shared" si="114"/>
        <v>0.9806804209314296</v>
      </c>
      <c r="BZ489">
        <f t="shared" si="115"/>
        <v>1.01056543769991</v>
      </c>
      <c r="CA489">
        <f t="shared" si="116"/>
        <v>1.8525580310355525</v>
      </c>
      <c r="CB489">
        <f t="shared" si="117"/>
        <v>0.67891464284095016</v>
      </c>
    </row>
    <row r="490" spans="1:80" x14ac:dyDescent="0.45">
      <c r="A490" s="11">
        <v>42</v>
      </c>
      <c r="B490" s="12">
        <f t="shared" si="105"/>
        <v>42</v>
      </c>
      <c r="C490" s="12" t="s">
        <v>59</v>
      </c>
      <c r="D490" s="12">
        <v>0</v>
      </c>
      <c r="E490" s="12" t="s">
        <v>53</v>
      </c>
      <c r="F490" s="12">
        <v>0</v>
      </c>
      <c r="G490" s="12">
        <v>1</v>
      </c>
      <c r="H490" s="12" t="s">
        <v>61</v>
      </c>
      <c r="I490" s="12">
        <v>1</v>
      </c>
      <c r="J490" s="12">
        <v>0</v>
      </c>
      <c r="K490" s="12">
        <v>2</v>
      </c>
      <c r="L490" s="12">
        <f t="shared" si="106"/>
        <v>2</v>
      </c>
      <c r="M490" s="12">
        <v>4</v>
      </c>
      <c r="N490" s="12" t="s">
        <v>55</v>
      </c>
      <c r="O490" s="12">
        <v>1</v>
      </c>
      <c r="P490" s="12">
        <v>0</v>
      </c>
      <c r="Q490" s="12">
        <v>0</v>
      </c>
      <c r="R490" s="12">
        <v>0</v>
      </c>
      <c r="S490" s="12">
        <v>0</v>
      </c>
      <c r="T490" s="12">
        <v>3</v>
      </c>
      <c r="U490" s="12" t="s">
        <v>19</v>
      </c>
      <c r="V490" s="12">
        <v>1</v>
      </c>
      <c r="W490" s="12">
        <v>81</v>
      </c>
      <c r="X490" s="12">
        <v>3</v>
      </c>
      <c r="Y490" s="12">
        <v>2</v>
      </c>
      <c r="Z490" s="12" t="s">
        <v>85</v>
      </c>
      <c r="AA490" s="12">
        <v>1</v>
      </c>
      <c r="AB490" s="12">
        <v>0</v>
      </c>
      <c r="AC490" s="12">
        <v>0</v>
      </c>
      <c r="AD490" s="12">
        <v>0</v>
      </c>
      <c r="AE490" s="12">
        <v>0</v>
      </c>
      <c r="AF490" s="12">
        <v>0</v>
      </c>
      <c r="AG490" s="12">
        <v>0</v>
      </c>
      <c r="AH490" s="12">
        <v>0</v>
      </c>
      <c r="AI490" s="12">
        <v>4</v>
      </c>
      <c r="AJ490" s="12" t="s">
        <v>64</v>
      </c>
      <c r="AK490" s="12">
        <v>0</v>
      </c>
      <c r="AL490" s="12">
        <v>1</v>
      </c>
      <c r="AM490" s="12">
        <v>4089</v>
      </c>
      <c r="AN490" s="12">
        <f t="shared" si="107"/>
        <v>4089</v>
      </c>
      <c r="AO490" s="12">
        <v>1</v>
      </c>
      <c r="AP490" s="12" t="s">
        <v>59</v>
      </c>
      <c r="AQ490" s="12">
        <v>0</v>
      </c>
      <c r="AR490" s="12">
        <v>13</v>
      </c>
      <c r="AS490" s="12">
        <v>3</v>
      </c>
      <c r="AT490" s="12">
        <v>2</v>
      </c>
      <c r="AU490" s="12">
        <v>2</v>
      </c>
      <c r="AV490" s="12">
        <v>10</v>
      </c>
      <c r="AW490" s="12">
        <f t="shared" si="108"/>
        <v>10</v>
      </c>
      <c r="AX490" s="12">
        <v>4</v>
      </c>
      <c r="AY490" s="12">
        <v>3</v>
      </c>
      <c r="AZ490" s="12">
        <v>10</v>
      </c>
      <c r="BA490" s="12">
        <f t="shared" si="109"/>
        <v>10</v>
      </c>
      <c r="BB490" s="12">
        <v>2</v>
      </c>
      <c r="BC490" s="12">
        <v>2</v>
      </c>
      <c r="BD490" s="12">
        <f t="shared" si="118"/>
        <v>2</v>
      </c>
      <c r="BE490" s="12">
        <v>2</v>
      </c>
      <c r="BF490" s="12">
        <f t="shared" si="110"/>
        <v>2</v>
      </c>
      <c r="BG490" s="12">
        <f t="shared" si="119"/>
        <v>4</v>
      </c>
      <c r="BH490" s="67">
        <v>0</v>
      </c>
      <c r="BI490" s="67">
        <v>1</v>
      </c>
      <c r="BJ490" s="67">
        <v>0</v>
      </c>
      <c r="BK490" s="67">
        <v>0</v>
      </c>
      <c r="BL490" s="67">
        <v>0</v>
      </c>
      <c r="BM490" s="67">
        <v>0</v>
      </c>
      <c r="BN490" s="67">
        <v>1</v>
      </c>
      <c r="BO490" s="67">
        <v>0</v>
      </c>
      <c r="BP490" s="67">
        <v>0</v>
      </c>
      <c r="BQ490" s="67">
        <v>2</v>
      </c>
      <c r="BR490" s="67">
        <v>0</v>
      </c>
      <c r="BS490" s="67">
        <v>0</v>
      </c>
      <c r="BT490" s="67">
        <v>10</v>
      </c>
      <c r="BU490" s="70">
        <v>0</v>
      </c>
      <c r="BV490" s="29">
        <f t="shared" si="111"/>
        <v>0.51273437793295951</v>
      </c>
      <c r="BW490">
        <f t="shared" si="112"/>
        <v>0.59502473559756086</v>
      </c>
      <c r="BX490">
        <f t="shared" si="113"/>
        <v>0.1644554352117841</v>
      </c>
      <c r="BY490">
        <f t="shared" si="114"/>
        <v>0.48834154112957734</v>
      </c>
      <c r="BZ490">
        <f t="shared" si="115"/>
        <v>0.88721318382472392</v>
      </c>
      <c r="CA490">
        <f t="shared" si="116"/>
        <v>0.55566315731117022</v>
      </c>
      <c r="CB490">
        <f t="shared" si="117"/>
        <v>5.8265062631872602E-2</v>
      </c>
    </row>
    <row r="491" spans="1:80" x14ac:dyDescent="0.45">
      <c r="A491" s="11">
        <v>43</v>
      </c>
      <c r="B491" s="12">
        <f t="shared" si="105"/>
        <v>43</v>
      </c>
      <c r="C491" s="12" t="s">
        <v>59</v>
      </c>
      <c r="D491" s="12">
        <v>0</v>
      </c>
      <c r="E491" s="12" t="s">
        <v>53</v>
      </c>
      <c r="F491" s="12">
        <v>0</v>
      </c>
      <c r="G491" s="12">
        <v>1</v>
      </c>
      <c r="H491" s="12" t="s">
        <v>61</v>
      </c>
      <c r="I491" s="12">
        <v>1</v>
      </c>
      <c r="J491" s="12">
        <v>0</v>
      </c>
      <c r="K491" s="12">
        <v>6</v>
      </c>
      <c r="L491" s="12">
        <f t="shared" si="106"/>
        <v>6</v>
      </c>
      <c r="M491" s="12">
        <v>4</v>
      </c>
      <c r="N491" s="12" t="s">
        <v>66</v>
      </c>
      <c r="O491" s="12">
        <v>0</v>
      </c>
      <c r="P491" s="12">
        <v>1</v>
      </c>
      <c r="Q491" s="12">
        <v>0</v>
      </c>
      <c r="R491" s="12">
        <v>0</v>
      </c>
      <c r="S491" s="12">
        <v>0</v>
      </c>
      <c r="T491" s="12">
        <v>2</v>
      </c>
      <c r="U491" s="12" t="s">
        <v>62</v>
      </c>
      <c r="V491" s="12">
        <v>0</v>
      </c>
      <c r="W491" s="12">
        <v>50</v>
      </c>
      <c r="X491" s="12">
        <v>2</v>
      </c>
      <c r="Y491" s="12">
        <v>4</v>
      </c>
      <c r="Z491" s="12" t="s">
        <v>89</v>
      </c>
      <c r="AA491" s="12">
        <v>0</v>
      </c>
      <c r="AB491" s="12">
        <v>0</v>
      </c>
      <c r="AC491" s="12">
        <v>0</v>
      </c>
      <c r="AD491" s="12">
        <v>0</v>
      </c>
      <c r="AE491" s="12">
        <v>0</v>
      </c>
      <c r="AF491" s="12">
        <v>0</v>
      </c>
      <c r="AG491" s="12">
        <v>0</v>
      </c>
      <c r="AH491" s="12">
        <v>0</v>
      </c>
      <c r="AI491" s="12">
        <v>4</v>
      </c>
      <c r="AJ491" s="12" t="s">
        <v>78</v>
      </c>
      <c r="AK491" s="12">
        <v>0</v>
      </c>
      <c r="AL491" s="12">
        <v>0</v>
      </c>
      <c r="AM491" s="12">
        <v>16627</v>
      </c>
      <c r="AN491" s="12">
        <f t="shared" si="107"/>
        <v>16627</v>
      </c>
      <c r="AO491" s="12">
        <v>4</v>
      </c>
      <c r="AP491" s="12" t="s">
        <v>52</v>
      </c>
      <c r="AQ491" s="12">
        <v>1</v>
      </c>
      <c r="AR491" s="12">
        <v>14</v>
      </c>
      <c r="AS491" s="12">
        <v>3</v>
      </c>
      <c r="AT491" s="12">
        <v>3</v>
      </c>
      <c r="AU491" s="12">
        <v>1</v>
      </c>
      <c r="AV491" s="12">
        <v>21</v>
      </c>
      <c r="AW491" s="12">
        <f t="shared" si="108"/>
        <v>21</v>
      </c>
      <c r="AX491" s="12">
        <v>3</v>
      </c>
      <c r="AY491" s="12">
        <v>2</v>
      </c>
      <c r="AZ491" s="12">
        <v>1</v>
      </c>
      <c r="BA491" s="12">
        <f t="shared" si="109"/>
        <v>1</v>
      </c>
      <c r="BB491" s="12">
        <v>0</v>
      </c>
      <c r="BC491" s="12">
        <v>0</v>
      </c>
      <c r="BD491" s="12">
        <f t="shared" si="118"/>
        <v>0</v>
      </c>
      <c r="BE491" s="12">
        <v>0</v>
      </c>
      <c r="BF491" s="12">
        <f t="shared" si="110"/>
        <v>0</v>
      </c>
      <c r="BG491" s="12">
        <f t="shared" si="119"/>
        <v>0</v>
      </c>
      <c r="BH491" s="67">
        <v>1</v>
      </c>
      <c r="BI491" s="67">
        <v>0</v>
      </c>
      <c r="BJ491" s="67">
        <v>0</v>
      </c>
      <c r="BK491" s="67">
        <v>0</v>
      </c>
      <c r="BL491" s="67">
        <v>0</v>
      </c>
      <c r="BM491" s="67">
        <v>1</v>
      </c>
      <c r="BN491" s="67">
        <v>0</v>
      </c>
      <c r="BO491" s="67">
        <v>0</v>
      </c>
      <c r="BP491" s="67">
        <v>0</v>
      </c>
      <c r="BQ491" s="67">
        <v>0</v>
      </c>
      <c r="BR491" s="67">
        <v>0</v>
      </c>
      <c r="BS491" s="67">
        <v>0</v>
      </c>
      <c r="BT491" s="67">
        <v>21</v>
      </c>
      <c r="BU491" s="70">
        <v>0</v>
      </c>
      <c r="BV491" s="29">
        <f t="shared" si="111"/>
        <v>2.1504166613910622</v>
      </c>
      <c r="BW491">
        <f t="shared" si="112"/>
        <v>1.1555414682655611</v>
      </c>
      <c r="BX491">
        <f t="shared" si="113"/>
        <v>1.2492842709947811</v>
      </c>
      <c r="BY491">
        <f t="shared" si="114"/>
        <v>0.9806804209314296</v>
      </c>
      <c r="BZ491">
        <f t="shared" si="115"/>
        <v>0.39380416832397891</v>
      </c>
      <c r="CA491">
        <f t="shared" si="116"/>
        <v>0.66512775678147573</v>
      </c>
      <c r="CB491">
        <f t="shared" si="117"/>
        <v>0.67891464284095016</v>
      </c>
    </row>
    <row r="492" spans="1:80" x14ac:dyDescent="0.45">
      <c r="A492" s="11">
        <v>38</v>
      </c>
      <c r="B492" s="12">
        <f t="shared" si="105"/>
        <v>38</v>
      </c>
      <c r="C492" s="12" t="s">
        <v>59</v>
      </c>
      <c r="D492" s="12">
        <v>0</v>
      </c>
      <c r="E492" s="12" t="s">
        <v>53</v>
      </c>
      <c r="F492" s="12">
        <v>0</v>
      </c>
      <c r="G492" s="12">
        <v>1</v>
      </c>
      <c r="H492" s="12" t="s">
        <v>61</v>
      </c>
      <c r="I492" s="12">
        <v>1</v>
      </c>
      <c r="J492" s="12">
        <v>0</v>
      </c>
      <c r="K492" s="12">
        <v>1</v>
      </c>
      <c r="L492" s="12">
        <f t="shared" si="106"/>
        <v>1</v>
      </c>
      <c r="M492" s="12">
        <v>1</v>
      </c>
      <c r="N492" s="12" t="s">
        <v>55</v>
      </c>
      <c r="O492" s="12">
        <v>1</v>
      </c>
      <c r="P492" s="12">
        <v>0</v>
      </c>
      <c r="Q492" s="12">
        <v>0</v>
      </c>
      <c r="R492" s="12">
        <v>0</v>
      </c>
      <c r="S492" s="12">
        <v>0</v>
      </c>
      <c r="T492" s="12">
        <v>3</v>
      </c>
      <c r="U492" s="12" t="s">
        <v>19</v>
      </c>
      <c r="V492" s="12">
        <v>1</v>
      </c>
      <c r="W492" s="12">
        <v>43</v>
      </c>
      <c r="X492" s="12">
        <v>3</v>
      </c>
      <c r="Y492" s="12">
        <v>1</v>
      </c>
      <c r="Z492" s="12" t="s">
        <v>63</v>
      </c>
      <c r="AA492" s="12">
        <v>0</v>
      </c>
      <c r="AB492" s="12">
        <v>0</v>
      </c>
      <c r="AC492" s="12">
        <v>0</v>
      </c>
      <c r="AD492" s="12">
        <v>0</v>
      </c>
      <c r="AE492" s="12">
        <v>0</v>
      </c>
      <c r="AF492" s="12">
        <v>0</v>
      </c>
      <c r="AG492" s="12">
        <v>0</v>
      </c>
      <c r="AH492" s="12">
        <v>1</v>
      </c>
      <c r="AI492" s="12">
        <v>1</v>
      </c>
      <c r="AJ492" s="12" t="s">
        <v>57</v>
      </c>
      <c r="AK492" s="12">
        <v>1</v>
      </c>
      <c r="AL492" s="12">
        <v>0</v>
      </c>
      <c r="AM492" s="12">
        <v>2619</v>
      </c>
      <c r="AN492" s="12">
        <f t="shared" si="107"/>
        <v>2619</v>
      </c>
      <c r="AO492" s="12">
        <v>3</v>
      </c>
      <c r="AP492" s="12" t="s">
        <v>59</v>
      </c>
      <c r="AQ492" s="12">
        <v>0</v>
      </c>
      <c r="AR492" s="12">
        <v>17</v>
      </c>
      <c r="AS492" s="12">
        <v>3</v>
      </c>
      <c r="AT492" s="12">
        <v>4</v>
      </c>
      <c r="AU492" s="12">
        <v>0</v>
      </c>
      <c r="AV492" s="12">
        <v>8</v>
      </c>
      <c r="AW492" s="12">
        <f t="shared" si="108"/>
        <v>8</v>
      </c>
      <c r="AX492" s="12">
        <v>3</v>
      </c>
      <c r="AY492" s="12">
        <v>2</v>
      </c>
      <c r="AZ492" s="12">
        <v>0</v>
      </c>
      <c r="BA492" s="12">
        <f t="shared" si="109"/>
        <v>0</v>
      </c>
      <c r="BB492" s="12">
        <v>0</v>
      </c>
      <c r="BC492" s="12">
        <v>0</v>
      </c>
      <c r="BD492" s="12">
        <f t="shared" si="118"/>
        <v>0</v>
      </c>
      <c r="BE492" s="12">
        <v>0</v>
      </c>
      <c r="BF492" s="12">
        <f t="shared" si="110"/>
        <v>0</v>
      </c>
      <c r="BG492" s="12">
        <f t="shared" si="119"/>
        <v>0</v>
      </c>
      <c r="BH492" s="67">
        <v>1</v>
      </c>
      <c r="BI492" s="67">
        <v>0</v>
      </c>
      <c r="BJ492" s="67">
        <v>0</v>
      </c>
      <c r="BK492" s="67">
        <v>0</v>
      </c>
      <c r="BL492" s="67">
        <v>1</v>
      </c>
      <c r="BM492" s="67">
        <v>0</v>
      </c>
      <c r="BN492" s="67">
        <v>0</v>
      </c>
      <c r="BO492" s="67">
        <v>0</v>
      </c>
      <c r="BP492" s="67">
        <v>0</v>
      </c>
      <c r="BQ492" s="67">
        <v>0</v>
      </c>
      <c r="BR492" s="67">
        <v>0</v>
      </c>
      <c r="BS492" s="67">
        <v>0</v>
      </c>
      <c r="BT492" s="67">
        <v>8</v>
      </c>
      <c r="BU492" s="70">
        <v>0</v>
      </c>
      <c r="BV492" s="29">
        <f t="shared" si="111"/>
        <v>0.82497173858109407</v>
      </c>
      <c r="BW492">
        <f t="shared" si="112"/>
        <v>1.1555414682655611</v>
      </c>
      <c r="BX492">
        <f t="shared" si="113"/>
        <v>0.42149901815843233</v>
      </c>
      <c r="BY492">
        <f t="shared" si="114"/>
        <v>1.1439050833826525</v>
      </c>
      <c r="BZ492">
        <f t="shared" si="115"/>
        <v>1.01056543769991</v>
      </c>
      <c r="CA492">
        <f t="shared" si="116"/>
        <v>0.11780475942994788</v>
      </c>
      <c r="CB492">
        <f t="shared" si="117"/>
        <v>0.67891464284095016</v>
      </c>
    </row>
    <row r="493" spans="1:80" x14ac:dyDescent="0.45">
      <c r="A493" s="11">
        <v>43</v>
      </c>
      <c r="B493" s="12">
        <f t="shared" si="105"/>
        <v>43</v>
      </c>
      <c r="C493" s="12" t="s">
        <v>59</v>
      </c>
      <c r="D493" s="12">
        <v>0</v>
      </c>
      <c r="E493" s="12" t="s">
        <v>60</v>
      </c>
      <c r="F493" s="12">
        <v>1</v>
      </c>
      <c r="G493" s="12">
        <v>0</v>
      </c>
      <c r="H493" s="12" t="s">
        <v>61</v>
      </c>
      <c r="I493" s="12">
        <v>1</v>
      </c>
      <c r="J493" s="12">
        <v>0</v>
      </c>
      <c r="K493" s="12">
        <v>9</v>
      </c>
      <c r="L493" s="12">
        <f t="shared" si="106"/>
        <v>9</v>
      </c>
      <c r="M493" s="12">
        <v>5</v>
      </c>
      <c r="N493" s="12" t="s">
        <v>70</v>
      </c>
      <c r="O493" s="12">
        <v>0</v>
      </c>
      <c r="P493" s="12">
        <v>0</v>
      </c>
      <c r="Q493" s="12">
        <v>1</v>
      </c>
      <c r="R493" s="12">
        <v>0</v>
      </c>
      <c r="S493" s="12">
        <v>0</v>
      </c>
      <c r="T493" s="12">
        <v>4</v>
      </c>
      <c r="U493" s="12" t="s">
        <v>62</v>
      </c>
      <c r="V493" s="12">
        <v>0</v>
      </c>
      <c r="W493" s="12">
        <v>72</v>
      </c>
      <c r="X493" s="12">
        <v>3</v>
      </c>
      <c r="Y493" s="12">
        <v>2</v>
      </c>
      <c r="Z493" s="12" t="s">
        <v>67</v>
      </c>
      <c r="AA493" s="12">
        <v>0</v>
      </c>
      <c r="AB493" s="12">
        <v>0</v>
      </c>
      <c r="AC493" s="12">
        <v>1</v>
      </c>
      <c r="AD493" s="12">
        <v>0</v>
      </c>
      <c r="AE493" s="12">
        <v>0</v>
      </c>
      <c r="AF493" s="12">
        <v>0</v>
      </c>
      <c r="AG493" s="12">
        <v>0</v>
      </c>
      <c r="AH493" s="12">
        <v>0</v>
      </c>
      <c r="AI493" s="12">
        <v>3</v>
      </c>
      <c r="AJ493" s="12" t="s">
        <v>78</v>
      </c>
      <c r="AK493" s="12">
        <v>0</v>
      </c>
      <c r="AL493" s="12">
        <v>0</v>
      </c>
      <c r="AM493" s="12">
        <v>5679</v>
      </c>
      <c r="AN493" s="12">
        <f t="shared" si="107"/>
        <v>5679</v>
      </c>
      <c r="AO493" s="12">
        <v>3</v>
      </c>
      <c r="AP493" s="12" t="s">
        <v>52</v>
      </c>
      <c r="AQ493" s="12">
        <v>1</v>
      </c>
      <c r="AR493" s="12">
        <v>13</v>
      </c>
      <c r="AS493" s="12">
        <v>3</v>
      </c>
      <c r="AT493" s="12">
        <v>2</v>
      </c>
      <c r="AU493" s="12">
        <v>1</v>
      </c>
      <c r="AV493" s="12">
        <v>10</v>
      </c>
      <c r="AW493" s="12">
        <f t="shared" si="108"/>
        <v>10</v>
      </c>
      <c r="AX493" s="12">
        <v>3</v>
      </c>
      <c r="AY493" s="12">
        <v>3</v>
      </c>
      <c r="AZ493" s="12">
        <v>8</v>
      </c>
      <c r="BA493" s="12">
        <f t="shared" si="109"/>
        <v>8</v>
      </c>
      <c r="BB493" s="12">
        <v>7</v>
      </c>
      <c r="BC493" s="12">
        <v>4</v>
      </c>
      <c r="BD493" s="12">
        <f t="shared" si="118"/>
        <v>4</v>
      </c>
      <c r="BE493" s="12">
        <v>7</v>
      </c>
      <c r="BF493" s="12">
        <f t="shared" si="110"/>
        <v>7</v>
      </c>
      <c r="BG493" s="12">
        <f t="shared" si="119"/>
        <v>14</v>
      </c>
      <c r="BH493" s="67">
        <v>0</v>
      </c>
      <c r="BI493" s="67">
        <v>0</v>
      </c>
      <c r="BJ493" s="67">
        <v>1</v>
      </c>
      <c r="BK493" s="67">
        <v>0</v>
      </c>
      <c r="BL493" s="67">
        <v>0</v>
      </c>
      <c r="BM493" s="67">
        <v>1</v>
      </c>
      <c r="BN493" s="67">
        <v>0</v>
      </c>
      <c r="BO493" s="67">
        <v>0</v>
      </c>
      <c r="BP493" s="67">
        <v>0</v>
      </c>
      <c r="BQ493" s="67">
        <v>7</v>
      </c>
      <c r="BR493" s="67">
        <v>0</v>
      </c>
      <c r="BS493" s="67">
        <v>0</v>
      </c>
      <c r="BT493" s="67">
        <v>10</v>
      </c>
      <c r="BU493" s="70">
        <v>0</v>
      </c>
      <c r="BV493" s="29">
        <f t="shared" si="111"/>
        <v>0.17500825315028326</v>
      </c>
      <c r="BW493">
        <f t="shared" si="112"/>
        <v>0.80626709607243985</v>
      </c>
      <c r="BX493">
        <f t="shared" si="113"/>
        <v>0.1644554352117841</v>
      </c>
      <c r="BY493">
        <f t="shared" si="114"/>
        <v>0.16189221622713135</v>
      </c>
      <c r="BZ493">
        <f t="shared" si="115"/>
        <v>2.3747406698420157E-2</v>
      </c>
      <c r="CA493">
        <f t="shared" si="116"/>
        <v>0.66512775678147573</v>
      </c>
      <c r="CB493">
        <f t="shared" si="117"/>
        <v>0.56238451757720498</v>
      </c>
    </row>
    <row r="494" spans="1:80" x14ac:dyDescent="0.45">
      <c r="A494" s="11">
        <v>48</v>
      </c>
      <c r="B494" s="12">
        <f t="shared" si="105"/>
        <v>48</v>
      </c>
      <c r="C494" s="12" t="s">
        <v>59</v>
      </c>
      <c r="D494" s="12">
        <v>0</v>
      </c>
      <c r="E494" s="12" t="s">
        <v>53</v>
      </c>
      <c r="F494" s="12">
        <v>0</v>
      </c>
      <c r="G494" s="12">
        <v>1</v>
      </c>
      <c r="H494" s="12" t="s">
        <v>61</v>
      </c>
      <c r="I494" s="12">
        <v>1</v>
      </c>
      <c r="J494" s="12">
        <v>0</v>
      </c>
      <c r="K494" s="12">
        <v>1</v>
      </c>
      <c r="L494" s="12">
        <f t="shared" si="106"/>
        <v>1</v>
      </c>
      <c r="M494" s="12">
        <v>4</v>
      </c>
      <c r="N494" s="12" t="s">
        <v>55</v>
      </c>
      <c r="O494" s="12">
        <v>1</v>
      </c>
      <c r="P494" s="12">
        <v>0</v>
      </c>
      <c r="Q494" s="12">
        <v>0</v>
      </c>
      <c r="R494" s="12">
        <v>0</v>
      </c>
      <c r="S494" s="12">
        <v>0</v>
      </c>
      <c r="T494" s="12">
        <v>4</v>
      </c>
      <c r="U494" s="12" t="s">
        <v>19</v>
      </c>
      <c r="V494" s="12">
        <v>1</v>
      </c>
      <c r="W494" s="12">
        <v>40</v>
      </c>
      <c r="X494" s="12">
        <v>2</v>
      </c>
      <c r="Y494" s="12">
        <v>4</v>
      </c>
      <c r="Z494" s="12" t="s">
        <v>87</v>
      </c>
      <c r="AA494" s="12">
        <v>0</v>
      </c>
      <c r="AB494" s="12">
        <v>0</v>
      </c>
      <c r="AC494" s="12">
        <v>0</v>
      </c>
      <c r="AD494" s="12">
        <v>1</v>
      </c>
      <c r="AE494" s="12">
        <v>0</v>
      </c>
      <c r="AF494" s="12">
        <v>0</v>
      </c>
      <c r="AG494" s="12">
        <v>0</v>
      </c>
      <c r="AH494" s="12">
        <v>0</v>
      </c>
      <c r="AI494" s="12">
        <v>1</v>
      </c>
      <c r="AJ494" s="12" t="s">
        <v>64</v>
      </c>
      <c r="AK494" s="12">
        <v>0</v>
      </c>
      <c r="AL494" s="12">
        <v>1</v>
      </c>
      <c r="AM494" s="12">
        <v>15402</v>
      </c>
      <c r="AN494" s="12">
        <f t="shared" si="107"/>
        <v>15402</v>
      </c>
      <c r="AO494" s="12">
        <v>7</v>
      </c>
      <c r="AP494" s="12" t="s">
        <v>59</v>
      </c>
      <c r="AQ494" s="12">
        <v>0</v>
      </c>
      <c r="AR494" s="12">
        <v>11</v>
      </c>
      <c r="AS494" s="12">
        <v>3</v>
      </c>
      <c r="AT494" s="12">
        <v>1</v>
      </c>
      <c r="AU494" s="12">
        <v>1</v>
      </c>
      <c r="AV494" s="12">
        <v>21</v>
      </c>
      <c r="AW494" s="12">
        <f t="shared" si="108"/>
        <v>21</v>
      </c>
      <c r="AX494" s="12">
        <v>3</v>
      </c>
      <c r="AY494" s="12">
        <v>1</v>
      </c>
      <c r="AZ494" s="12">
        <v>3</v>
      </c>
      <c r="BA494" s="12">
        <f t="shared" si="109"/>
        <v>3</v>
      </c>
      <c r="BB494" s="12">
        <v>2</v>
      </c>
      <c r="BC494" s="12">
        <v>0</v>
      </c>
      <c r="BD494" s="12">
        <f t="shared" si="118"/>
        <v>0</v>
      </c>
      <c r="BE494" s="12">
        <v>2</v>
      </c>
      <c r="BF494" s="12">
        <f t="shared" si="110"/>
        <v>2</v>
      </c>
      <c r="BG494" s="12">
        <f t="shared" si="119"/>
        <v>8</v>
      </c>
      <c r="BH494" s="67">
        <v>0</v>
      </c>
      <c r="BI494" s="67">
        <v>1</v>
      </c>
      <c r="BJ494" s="67">
        <v>0</v>
      </c>
      <c r="BK494" s="67">
        <v>0</v>
      </c>
      <c r="BL494" s="67">
        <v>0</v>
      </c>
      <c r="BM494" s="67">
        <v>0</v>
      </c>
      <c r="BN494" s="67">
        <v>1</v>
      </c>
      <c r="BO494" s="67">
        <v>0</v>
      </c>
      <c r="BP494" s="67">
        <v>0</v>
      </c>
      <c r="BQ494" s="67">
        <v>2</v>
      </c>
      <c r="BR494" s="67">
        <v>0</v>
      </c>
      <c r="BS494" s="67">
        <v>0</v>
      </c>
      <c r="BT494" s="67">
        <v>21</v>
      </c>
      <c r="BU494" s="70">
        <v>0</v>
      </c>
      <c r="BV494" s="29">
        <f t="shared" si="111"/>
        <v>1.8902188608509498</v>
      </c>
      <c r="BW494">
        <f t="shared" si="112"/>
        <v>0.59502473559756086</v>
      </c>
      <c r="BX494">
        <f t="shared" si="113"/>
        <v>1.2492842709947811</v>
      </c>
      <c r="BY494">
        <f t="shared" si="114"/>
        <v>0.65423109602898355</v>
      </c>
      <c r="BZ494">
        <f t="shared" si="115"/>
        <v>1.01056543769991</v>
      </c>
      <c r="CA494">
        <f t="shared" si="116"/>
        <v>1.2124507541330036</v>
      </c>
      <c r="CB494">
        <f t="shared" si="117"/>
        <v>0.67891464284095016</v>
      </c>
    </row>
    <row r="495" spans="1:80" x14ac:dyDescent="0.45">
      <c r="A495" s="11">
        <v>44</v>
      </c>
      <c r="B495" s="12">
        <f t="shared" si="105"/>
        <v>44</v>
      </c>
      <c r="C495" s="12" t="s">
        <v>59</v>
      </c>
      <c r="D495" s="12">
        <v>0</v>
      </c>
      <c r="E495" s="12" t="s">
        <v>53</v>
      </c>
      <c r="F495" s="12">
        <v>0</v>
      </c>
      <c r="G495" s="12">
        <v>1</v>
      </c>
      <c r="H495" s="12" t="s">
        <v>97</v>
      </c>
      <c r="I495" s="12">
        <v>0</v>
      </c>
      <c r="J495" s="12">
        <v>0</v>
      </c>
      <c r="K495" s="12">
        <v>1</v>
      </c>
      <c r="L495" s="12">
        <f t="shared" si="106"/>
        <v>1</v>
      </c>
      <c r="M495" s="12">
        <v>4</v>
      </c>
      <c r="N495" s="12" t="s">
        <v>55</v>
      </c>
      <c r="O495" s="12">
        <v>1</v>
      </c>
      <c r="P495" s="12">
        <v>0</v>
      </c>
      <c r="Q495" s="12">
        <v>0</v>
      </c>
      <c r="R495" s="12">
        <v>0</v>
      </c>
      <c r="S495" s="12">
        <v>0</v>
      </c>
      <c r="T495" s="12">
        <v>1</v>
      </c>
      <c r="U495" s="12" t="s">
        <v>19</v>
      </c>
      <c r="V495" s="12">
        <v>1</v>
      </c>
      <c r="W495" s="12">
        <v>50</v>
      </c>
      <c r="X495" s="12">
        <v>2</v>
      </c>
      <c r="Y495" s="12">
        <v>2</v>
      </c>
      <c r="Z495" s="12" t="s">
        <v>97</v>
      </c>
      <c r="AA495" s="12">
        <v>0</v>
      </c>
      <c r="AB495" s="12">
        <v>0</v>
      </c>
      <c r="AC495" s="12">
        <v>0</v>
      </c>
      <c r="AD495" s="12">
        <v>0</v>
      </c>
      <c r="AE495" s="12">
        <v>0</v>
      </c>
      <c r="AF495" s="12">
        <v>0</v>
      </c>
      <c r="AG495" s="12">
        <v>0</v>
      </c>
      <c r="AH495" s="12">
        <v>0</v>
      </c>
      <c r="AI495" s="12">
        <v>3</v>
      </c>
      <c r="AJ495" s="12" t="s">
        <v>57</v>
      </c>
      <c r="AK495" s="12">
        <v>1</v>
      </c>
      <c r="AL495" s="12">
        <v>0</v>
      </c>
      <c r="AM495" s="12">
        <v>5985</v>
      </c>
      <c r="AN495" s="12">
        <f t="shared" si="107"/>
        <v>5985</v>
      </c>
      <c r="AO495" s="12">
        <v>4</v>
      </c>
      <c r="AP495" s="12" t="s">
        <v>59</v>
      </c>
      <c r="AQ495" s="12">
        <v>0</v>
      </c>
      <c r="AR495" s="12">
        <v>11</v>
      </c>
      <c r="AS495" s="12">
        <v>3</v>
      </c>
      <c r="AT495" s="12">
        <v>2</v>
      </c>
      <c r="AU495" s="12">
        <v>0</v>
      </c>
      <c r="AV495" s="12">
        <v>10</v>
      </c>
      <c r="AW495" s="12">
        <f t="shared" si="108"/>
        <v>10</v>
      </c>
      <c r="AX495" s="12">
        <v>1</v>
      </c>
      <c r="AY495" s="12">
        <v>4</v>
      </c>
      <c r="AZ495" s="12">
        <v>2</v>
      </c>
      <c r="BA495" s="12">
        <f t="shared" si="109"/>
        <v>2</v>
      </c>
      <c r="BB495" s="12">
        <v>2</v>
      </c>
      <c r="BC495" s="12">
        <v>0</v>
      </c>
      <c r="BD495" s="12">
        <f t="shared" si="118"/>
        <v>0</v>
      </c>
      <c r="BE495" s="12">
        <v>2</v>
      </c>
      <c r="BF495" s="12">
        <f t="shared" si="110"/>
        <v>2</v>
      </c>
      <c r="BG495" s="12">
        <f t="shared" si="119"/>
        <v>4</v>
      </c>
      <c r="BH495" s="67">
        <v>1</v>
      </c>
      <c r="BI495" s="67">
        <v>0</v>
      </c>
      <c r="BJ495" s="67">
        <v>0</v>
      </c>
      <c r="BK495" s="67">
        <v>0</v>
      </c>
      <c r="BL495" s="67">
        <v>1</v>
      </c>
      <c r="BM495" s="67">
        <v>0</v>
      </c>
      <c r="BN495" s="67">
        <v>0</v>
      </c>
      <c r="BO495" s="67">
        <v>0</v>
      </c>
      <c r="BP495" s="67">
        <v>2</v>
      </c>
      <c r="BQ495" s="67">
        <v>0</v>
      </c>
      <c r="BR495" s="67">
        <v>0</v>
      </c>
      <c r="BS495" s="67">
        <v>10</v>
      </c>
      <c r="BT495" s="67">
        <v>0</v>
      </c>
      <c r="BU495" s="70">
        <v>0</v>
      </c>
      <c r="BV495" s="29">
        <f t="shared" si="111"/>
        <v>0.1100119046072022</v>
      </c>
      <c r="BW495">
        <f t="shared" si="112"/>
        <v>0.59502473559756086</v>
      </c>
      <c r="BX495">
        <f t="shared" si="113"/>
        <v>0.1644554352117841</v>
      </c>
      <c r="BY495">
        <f t="shared" si="114"/>
        <v>0.81745575848020657</v>
      </c>
      <c r="BZ495">
        <f t="shared" si="115"/>
        <v>1.01056543769991</v>
      </c>
      <c r="CA495">
        <f t="shared" si="116"/>
        <v>0.77459235625178136</v>
      </c>
      <c r="CB495">
        <f t="shared" si="117"/>
        <v>0.67891464284095016</v>
      </c>
    </row>
    <row r="496" spans="1:80" x14ac:dyDescent="0.45">
      <c r="A496" s="11">
        <v>34</v>
      </c>
      <c r="B496" s="12">
        <f t="shared" si="105"/>
        <v>34</v>
      </c>
      <c r="C496" s="12" t="s">
        <v>59</v>
      </c>
      <c r="D496" s="12">
        <v>0</v>
      </c>
      <c r="E496" s="12" t="s">
        <v>53</v>
      </c>
      <c r="F496" s="12">
        <v>0</v>
      </c>
      <c r="G496" s="12">
        <v>1</v>
      </c>
      <c r="H496" s="12" t="s">
        <v>54</v>
      </c>
      <c r="I496" s="12">
        <v>0</v>
      </c>
      <c r="J496" s="12">
        <v>1</v>
      </c>
      <c r="K496" s="12">
        <v>14</v>
      </c>
      <c r="L496" s="12">
        <f t="shared" si="106"/>
        <v>14</v>
      </c>
      <c r="M496" s="12">
        <v>3</v>
      </c>
      <c r="N496" s="12" t="s">
        <v>91</v>
      </c>
      <c r="O496" s="12">
        <v>0</v>
      </c>
      <c r="P496" s="12">
        <v>0</v>
      </c>
      <c r="Q496" s="12">
        <v>0</v>
      </c>
      <c r="R496" s="12">
        <v>0</v>
      </c>
      <c r="S496" s="12">
        <v>1</v>
      </c>
      <c r="T496" s="12">
        <v>3</v>
      </c>
      <c r="U496" s="12" t="s">
        <v>19</v>
      </c>
      <c r="V496" s="12">
        <v>1</v>
      </c>
      <c r="W496" s="12">
        <v>31</v>
      </c>
      <c r="X496" s="12">
        <v>3</v>
      </c>
      <c r="Y496" s="12">
        <v>1</v>
      </c>
      <c r="Z496" s="12" t="s">
        <v>88</v>
      </c>
      <c r="AA496" s="12">
        <v>0</v>
      </c>
      <c r="AB496" s="12">
        <v>0</v>
      </c>
      <c r="AC496" s="12">
        <v>0</v>
      </c>
      <c r="AD496" s="12">
        <v>0</v>
      </c>
      <c r="AE496" s="12">
        <v>0</v>
      </c>
      <c r="AF496" s="12">
        <v>0</v>
      </c>
      <c r="AG496" s="12">
        <v>1</v>
      </c>
      <c r="AH496" s="12">
        <v>0</v>
      </c>
      <c r="AI496" s="12">
        <v>3</v>
      </c>
      <c r="AJ496" s="12" t="s">
        <v>78</v>
      </c>
      <c r="AK496" s="12">
        <v>0</v>
      </c>
      <c r="AL496" s="12">
        <v>0</v>
      </c>
      <c r="AM496" s="12">
        <v>2579</v>
      </c>
      <c r="AN496" s="12">
        <f t="shared" si="107"/>
        <v>2579</v>
      </c>
      <c r="AO496" s="12">
        <v>1</v>
      </c>
      <c r="AP496" s="12" t="s">
        <v>52</v>
      </c>
      <c r="AQ496" s="12">
        <v>1</v>
      </c>
      <c r="AR496" s="12">
        <v>18</v>
      </c>
      <c r="AS496" s="12">
        <v>3</v>
      </c>
      <c r="AT496" s="12">
        <v>4</v>
      </c>
      <c r="AU496" s="12">
        <v>2</v>
      </c>
      <c r="AV496" s="12">
        <v>8</v>
      </c>
      <c r="AW496" s="12">
        <f t="shared" si="108"/>
        <v>8</v>
      </c>
      <c r="AX496" s="12">
        <v>3</v>
      </c>
      <c r="AY496" s="12">
        <v>3</v>
      </c>
      <c r="AZ496" s="12">
        <v>8</v>
      </c>
      <c r="BA496" s="12">
        <f t="shared" si="109"/>
        <v>8</v>
      </c>
      <c r="BB496" s="12">
        <v>2</v>
      </c>
      <c r="BC496" s="12">
        <v>0</v>
      </c>
      <c r="BD496" s="12">
        <f t="shared" si="118"/>
        <v>0</v>
      </c>
      <c r="BE496" s="12">
        <v>6</v>
      </c>
      <c r="BF496" s="12">
        <f t="shared" si="110"/>
        <v>6</v>
      </c>
      <c r="BG496" s="12">
        <f t="shared" si="119"/>
        <v>6</v>
      </c>
      <c r="BH496" s="67">
        <v>1</v>
      </c>
      <c r="BI496" s="67">
        <v>0</v>
      </c>
      <c r="BJ496" s="67">
        <v>0</v>
      </c>
      <c r="BK496" s="67">
        <v>0</v>
      </c>
      <c r="BL496" s="67">
        <v>0</v>
      </c>
      <c r="BM496" s="67">
        <v>1</v>
      </c>
      <c r="BN496" s="67">
        <v>0</v>
      </c>
      <c r="BO496" s="67">
        <v>0</v>
      </c>
      <c r="BP496" s="67">
        <v>0</v>
      </c>
      <c r="BQ496" s="67">
        <v>0</v>
      </c>
      <c r="BR496" s="67">
        <v>6</v>
      </c>
      <c r="BS496" s="67">
        <v>0</v>
      </c>
      <c r="BT496" s="67">
        <v>0</v>
      </c>
      <c r="BU496" s="70">
        <v>8</v>
      </c>
      <c r="BV496" s="29">
        <f t="shared" si="111"/>
        <v>0.8334679932926079</v>
      </c>
      <c r="BW496">
        <f t="shared" si="112"/>
        <v>0.52600872973843971</v>
      </c>
      <c r="BX496">
        <f t="shared" si="113"/>
        <v>0.42149901815843233</v>
      </c>
      <c r="BY496">
        <f t="shared" si="114"/>
        <v>0.16189221622713135</v>
      </c>
      <c r="BZ496">
        <f t="shared" si="115"/>
        <v>0.59301386267751111</v>
      </c>
      <c r="CA496">
        <f t="shared" si="116"/>
        <v>0.32005363845127444</v>
      </c>
      <c r="CB496">
        <f t="shared" si="117"/>
        <v>0.67891464284095016</v>
      </c>
    </row>
    <row r="497" spans="1:80" x14ac:dyDescent="0.45">
      <c r="A497" s="11">
        <v>27</v>
      </c>
      <c r="B497" s="12">
        <f t="shared" si="105"/>
        <v>27</v>
      </c>
      <c r="C497" s="12" t="s">
        <v>52</v>
      </c>
      <c r="D497" s="12">
        <v>1</v>
      </c>
      <c r="E497" s="12" t="s">
        <v>53</v>
      </c>
      <c r="F497" s="12">
        <v>0</v>
      </c>
      <c r="G497" s="12">
        <v>1</v>
      </c>
      <c r="H497" s="12" t="s">
        <v>54</v>
      </c>
      <c r="I497" s="12">
        <v>0</v>
      </c>
      <c r="J497" s="12">
        <v>1</v>
      </c>
      <c r="K497" s="12">
        <v>2</v>
      </c>
      <c r="L497" s="12">
        <f t="shared" si="106"/>
        <v>2</v>
      </c>
      <c r="M497" s="12">
        <v>1</v>
      </c>
      <c r="N497" s="12" t="s">
        <v>90</v>
      </c>
      <c r="O497" s="12">
        <v>0</v>
      </c>
      <c r="P497" s="12">
        <v>0</v>
      </c>
      <c r="Q497" s="12">
        <v>0</v>
      </c>
      <c r="R497" s="12">
        <v>1</v>
      </c>
      <c r="S497" s="12">
        <v>0</v>
      </c>
      <c r="T497" s="12">
        <v>3</v>
      </c>
      <c r="U497" s="12" t="s">
        <v>62</v>
      </c>
      <c r="V497" s="12">
        <v>0</v>
      </c>
      <c r="W497" s="12">
        <v>85</v>
      </c>
      <c r="X497" s="12">
        <v>3</v>
      </c>
      <c r="Y497" s="12">
        <v>1</v>
      </c>
      <c r="Z497" s="12" t="s">
        <v>88</v>
      </c>
      <c r="AA497" s="12">
        <v>0</v>
      </c>
      <c r="AB497" s="12">
        <v>0</v>
      </c>
      <c r="AC497" s="12">
        <v>0</v>
      </c>
      <c r="AD497" s="12">
        <v>0</v>
      </c>
      <c r="AE497" s="12">
        <v>0</v>
      </c>
      <c r="AF497" s="12">
        <v>0</v>
      </c>
      <c r="AG497" s="12">
        <v>1</v>
      </c>
      <c r="AH497" s="12">
        <v>0</v>
      </c>
      <c r="AI497" s="12">
        <v>1</v>
      </c>
      <c r="AJ497" s="12" t="s">
        <v>78</v>
      </c>
      <c r="AK497" s="12">
        <v>0</v>
      </c>
      <c r="AL497" s="12">
        <v>0</v>
      </c>
      <c r="AM497" s="12">
        <v>3041</v>
      </c>
      <c r="AN497" s="12">
        <f t="shared" si="107"/>
        <v>3041</v>
      </c>
      <c r="AO497" s="12">
        <v>0</v>
      </c>
      <c r="AP497" s="12" t="s">
        <v>59</v>
      </c>
      <c r="AQ497" s="12">
        <v>0</v>
      </c>
      <c r="AR497" s="12">
        <v>11</v>
      </c>
      <c r="AS497" s="12">
        <v>3</v>
      </c>
      <c r="AT497" s="12">
        <v>2</v>
      </c>
      <c r="AU497" s="12">
        <v>1</v>
      </c>
      <c r="AV497" s="12">
        <v>5</v>
      </c>
      <c r="AW497" s="12">
        <f t="shared" si="108"/>
        <v>5</v>
      </c>
      <c r="AX497" s="12">
        <v>3</v>
      </c>
      <c r="AY497" s="12">
        <v>3</v>
      </c>
      <c r="AZ497" s="12">
        <v>4</v>
      </c>
      <c r="BA497" s="12">
        <f t="shared" si="109"/>
        <v>4</v>
      </c>
      <c r="BB497" s="12">
        <v>3</v>
      </c>
      <c r="BC497" s="12">
        <v>0</v>
      </c>
      <c r="BD497" s="12">
        <f t="shared" si="118"/>
        <v>0</v>
      </c>
      <c r="BE497" s="12">
        <v>2</v>
      </c>
      <c r="BF497" s="12">
        <f t="shared" si="110"/>
        <v>2</v>
      </c>
      <c r="BG497" s="12">
        <f t="shared" si="119"/>
        <v>2</v>
      </c>
      <c r="BH497" s="67">
        <v>1</v>
      </c>
      <c r="BI497" s="67">
        <v>0</v>
      </c>
      <c r="BJ497" s="67">
        <v>0</v>
      </c>
      <c r="BK497" s="67">
        <v>0</v>
      </c>
      <c r="BL497" s="67">
        <v>1</v>
      </c>
      <c r="BM497" s="67">
        <v>0</v>
      </c>
      <c r="BN497" s="67">
        <v>0</v>
      </c>
      <c r="BO497" s="67">
        <v>0</v>
      </c>
      <c r="BP497" s="67">
        <v>0</v>
      </c>
      <c r="BQ497" s="67">
        <v>0</v>
      </c>
      <c r="BR497" s="67">
        <v>2</v>
      </c>
      <c r="BS497" s="67">
        <v>0</v>
      </c>
      <c r="BT497" s="67">
        <v>0</v>
      </c>
      <c r="BU497" s="70">
        <v>5</v>
      </c>
      <c r="BV497" s="29">
        <f t="shared" si="111"/>
        <v>0.73533625137462277</v>
      </c>
      <c r="BW497">
        <f t="shared" si="112"/>
        <v>0.59502473559756086</v>
      </c>
      <c r="BX497">
        <f t="shared" si="113"/>
        <v>0.80706439257840468</v>
      </c>
      <c r="BY497">
        <f t="shared" si="114"/>
        <v>0.49100643357776058</v>
      </c>
      <c r="BZ497">
        <f t="shared" si="115"/>
        <v>0.88721318382472392</v>
      </c>
      <c r="CA497">
        <f t="shared" si="116"/>
        <v>1.0863058347434136</v>
      </c>
      <c r="CB497">
        <f t="shared" si="117"/>
        <v>0.67891464284095016</v>
      </c>
    </row>
    <row r="498" spans="1:80" x14ac:dyDescent="0.45">
      <c r="A498" s="11">
        <v>21</v>
      </c>
      <c r="B498" s="12">
        <f t="shared" si="105"/>
        <v>21</v>
      </c>
      <c r="C498" s="12" t="s">
        <v>59</v>
      </c>
      <c r="D498" s="12">
        <v>0</v>
      </c>
      <c r="E498" s="12" t="s">
        <v>53</v>
      </c>
      <c r="F498" s="12">
        <v>0</v>
      </c>
      <c r="G498" s="12">
        <v>1</v>
      </c>
      <c r="H498" s="12" t="s">
        <v>54</v>
      </c>
      <c r="I498" s="12">
        <v>0</v>
      </c>
      <c r="J498" s="12">
        <v>1</v>
      </c>
      <c r="K498" s="12">
        <v>22</v>
      </c>
      <c r="L498" s="12">
        <f t="shared" si="106"/>
        <v>22</v>
      </c>
      <c r="M498" s="12">
        <v>1</v>
      </c>
      <c r="N498" s="12" t="s">
        <v>91</v>
      </c>
      <c r="O498" s="12">
        <v>0</v>
      </c>
      <c r="P498" s="12">
        <v>0</v>
      </c>
      <c r="Q498" s="12">
        <v>0</v>
      </c>
      <c r="R498" s="12">
        <v>0</v>
      </c>
      <c r="S498" s="12">
        <v>1</v>
      </c>
      <c r="T498" s="12">
        <v>3</v>
      </c>
      <c r="U498" s="12" t="s">
        <v>62</v>
      </c>
      <c r="V498" s="12">
        <v>0</v>
      </c>
      <c r="W498" s="12">
        <v>49</v>
      </c>
      <c r="X498" s="12">
        <v>3</v>
      </c>
      <c r="Y498" s="12">
        <v>1</v>
      </c>
      <c r="Z498" s="12" t="s">
        <v>88</v>
      </c>
      <c r="AA498" s="12">
        <v>0</v>
      </c>
      <c r="AB498" s="12">
        <v>0</v>
      </c>
      <c r="AC498" s="12">
        <v>0</v>
      </c>
      <c r="AD498" s="12">
        <v>0</v>
      </c>
      <c r="AE498" s="12">
        <v>0</v>
      </c>
      <c r="AF498" s="12">
        <v>0</v>
      </c>
      <c r="AG498" s="12">
        <v>1</v>
      </c>
      <c r="AH498" s="12">
        <v>0</v>
      </c>
      <c r="AI498" s="12">
        <v>3</v>
      </c>
      <c r="AJ498" s="12" t="s">
        <v>57</v>
      </c>
      <c r="AK498" s="12">
        <v>1</v>
      </c>
      <c r="AL498" s="12">
        <v>0</v>
      </c>
      <c r="AM498" s="12">
        <v>3447</v>
      </c>
      <c r="AN498" s="12">
        <f t="shared" si="107"/>
        <v>3447</v>
      </c>
      <c r="AO498" s="12">
        <v>1</v>
      </c>
      <c r="AP498" s="12" t="s">
        <v>59</v>
      </c>
      <c r="AQ498" s="12">
        <v>0</v>
      </c>
      <c r="AR498" s="12">
        <v>11</v>
      </c>
      <c r="AS498" s="12">
        <v>3</v>
      </c>
      <c r="AT498" s="12">
        <v>3</v>
      </c>
      <c r="AU498" s="12">
        <v>0</v>
      </c>
      <c r="AV498" s="12">
        <v>3</v>
      </c>
      <c r="AW498" s="12">
        <f t="shared" si="108"/>
        <v>3</v>
      </c>
      <c r="AX498" s="12">
        <v>2</v>
      </c>
      <c r="AY498" s="12">
        <v>3</v>
      </c>
      <c r="AZ498" s="12">
        <v>3</v>
      </c>
      <c r="BA498" s="12">
        <f t="shared" si="109"/>
        <v>3</v>
      </c>
      <c r="BB498" s="12">
        <v>2</v>
      </c>
      <c r="BC498" s="12">
        <v>1</v>
      </c>
      <c r="BD498" s="12">
        <f t="shared" si="118"/>
        <v>1</v>
      </c>
      <c r="BE498" s="12">
        <v>2</v>
      </c>
      <c r="BF498" s="12">
        <f t="shared" si="110"/>
        <v>2</v>
      </c>
      <c r="BG498" s="12">
        <f t="shared" si="119"/>
        <v>2</v>
      </c>
      <c r="BH498" s="67">
        <v>1</v>
      </c>
      <c r="BI498" s="67">
        <v>0</v>
      </c>
      <c r="BJ498" s="67">
        <v>0</v>
      </c>
      <c r="BK498" s="67">
        <v>0</v>
      </c>
      <c r="BL498" s="67">
        <v>1</v>
      </c>
      <c r="BM498" s="67">
        <v>0</v>
      </c>
      <c r="BN498" s="67">
        <v>0</v>
      </c>
      <c r="BO498" s="67">
        <v>0</v>
      </c>
      <c r="BP498" s="67">
        <v>0</v>
      </c>
      <c r="BQ498" s="67">
        <v>0</v>
      </c>
      <c r="BR498" s="67">
        <v>2</v>
      </c>
      <c r="BS498" s="67">
        <v>0</v>
      </c>
      <c r="BT498" s="67">
        <v>0</v>
      </c>
      <c r="BU498" s="70">
        <v>3</v>
      </c>
      <c r="BV498" s="29">
        <f t="shared" si="111"/>
        <v>0.64909926605275703</v>
      </c>
      <c r="BW498">
        <f t="shared" si="112"/>
        <v>0.59502473559756086</v>
      </c>
      <c r="BX498">
        <f t="shared" si="113"/>
        <v>1.0641079755250529</v>
      </c>
      <c r="BY498">
        <f t="shared" si="114"/>
        <v>0.65423109602898355</v>
      </c>
      <c r="BZ498">
        <f t="shared" si="115"/>
        <v>1.579831893679001</v>
      </c>
      <c r="CA498">
        <f t="shared" si="116"/>
        <v>1.7430934315652469</v>
      </c>
      <c r="CB498">
        <f t="shared" si="117"/>
        <v>0.36858985273641137</v>
      </c>
    </row>
    <row r="499" spans="1:80" x14ac:dyDescent="0.45">
      <c r="A499" s="11">
        <v>44</v>
      </c>
      <c r="B499" s="12">
        <f t="shared" si="105"/>
        <v>44</v>
      </c>
      <c r="C499" s="12" t="s">
        <v>59</v>
      </c>
      <c r="D499" s="12">
        <v>0</v>
      </c>
      <c r="E499" s="12" t="s">
        <v>53</v>
      </c>
      <c r="F499" s="12">
        <v>0</v>
      </c>
      <c r="G499" s="12">
        <v>1</v>
      </c>
      <c r="H499" s="12" t="s">
        <v>61</v>
      </c>
      <c r="I499" s="12">
        <v>1</v>
      </c>
      <c r="J499" s="12">
        <v>0</v>
      </c>
      <c r="K499" s="12">
        <v>3</v>
      </c>
      <c r="L499" s="12">
        <f t="shared" si="106"/>
        <v>3</v>
      </c>
      <c r="M499" s="12">
        <v>4</v>
      </c>
      <c r="N499" s="12" t="s">
        <v>66</v>
      </c>
      <c r="O499" s="12">
        <v>0</v>
      </c>
      <c r="P499" s="12">
        <v>1</v>
      </c>
      <c r="Q499" s="12">
        <v>0</v>
      </c>
      <c r="R499" s="12">
        <v>0</v>
      </c>
      <c r="S499" s="12">
        <v>0</v>
      </c>
      <c r="T499" s="12">
        <v>4</v>
      </c>
      <c r="U499" s="12" t="s">
        <v>62</v>
      </c>
      <c r="V499" s="12">
        <v>0</v>
      </c>
      <c r="W499" s="12">
        <v>35</v>
      </c>
      <c r="X499" s="12">
        <v>3</v>
      </c>
      <c r="Y499" s="12">
        <v>5</v>
      </c>
      <c r="Z499" s="12" t="s">
        <v>87</v>
      </c>
      <c r="AA499" s="12">
        <v>0</v>
      </c>
      <c r="AB499" s="12">
        <v>0</v>
      </c>
      <c r="AC499" s="12">
        <v>0</v>
      </c>
      <c r="AD499" s="12">
        <v>1</v>
      </c>
      <c r="AE499" s="12">
        <v>0</v>
      </c>
      <c r="AF499" s="12">
        <v>0</v>
      </c>
      <c r="AG499" s="12">
        <v>0</v>
      </c>
      <c r="AH499" s="12">
        <v>0</v>
      </c>
      <c r="AI499" s="12">
        <v>4</v>
      </c>
      <c r="AJ499" s="12" t="s">
        <v>64</v>
      </c>
      <c r="AK499" s="12">
        <v>0</v>
      </c>
      <c r="AL499" s="12">
        <v>1</v>
      </c>
      <c r="AM499" s="12">
        <v>19513</v>
      </c>
      <c r="AN499" s="12">
        <f t="shared" si="107"/>
        <v>19513</v>
      </c>
      <c r="AO499" s="12">
        <v>4</v>
      </c>
      <c r="AP499" s="12" t="s">
        <v>52</v>
      </c>
      <c r="AQ499" s="12">
        <v>1</v>
      </c>
      <c r="AR499" s="12">
        <v>12</v>
      </c>
      <c r="AS499" s="12">
        <v>3</v>
      </c>
      <c r="AT499" s="12">
        <v>1</v>
      </c>
      <c r="AU499" s="12">
        <v>1</v>
      </c>
      <c r="AV499" s="12">
        <v>26</v>
      </c>
      <c r="AW499" s="12">
        <f t="shared" si="108"/>
        <v>26</v>
      </c>
      <c r="AX499" s="12">
        <v>2</v>
      </c>
      <c r="AY499" s="12">
        <v>4</v>
      </c>
      <c r="AZ499" s="12">
        <v>2</v>
      </c>
      <c r="BA499" s="12">
        <f t="shared" si="109"/>
        <v>2</v>
      </c>
      <c r="BB499" s="12">
        <v>2</v>
      </c>
      <c r="BC499" s="12">
        <v>0</v>
      </c>
      <c r="BD499" s="12">
        <f t="shared" si="118"/>
        <v>0</v>
      </c>
      <c r="BE499" s="12">
        <v>1</v>
      </c>
      <c r="BF499" s="12">
        <f t="shared" si="110"/>
        <v>1</v>
      </c>
      <c r="BG499" s="12">
        <f t="shared" si="119"/>
        <v>5</v>
      </c>
      <c r="BH499" s="67">
        <v>0</v>
      </c>
      <c r="BI499" s="67">
        <v>1</v>
      </c>
      <c r="BJ499" s="67">
        <v>0</v>
      </c>
      <c r="BK499" s="67">
        <v>0</v>
      </c>
      <c r="BL499" s="67">
        <v>0</v>
      </c>
      <c r="BM499" s="67">
        <v>0</v>
      </c>
      <c r="BN499" s="67">
        <v>0</v>
      </c>
      <c r="BO499" s="67">
        <v>1</v>
      </c>
      <c r="BP499" s="67">
        <v>0</v>
      </c>
      <c r="BQ499" s="67">
        <v>1</v>
      </c>
      <c r="BR499" s="67">
        <v>0</v>
      </c>
      <c r="BS499" s="67">
        <v>0</v>
      </c>
      <c r="BT499" s="67">
        <v>26</v>
      </c>
      <c r="BU499" s="70">
        <v>0</v>
      </c>
      <c r="BV499" s="29">
        <f t="shared" si="111"/>
        <v>2.7634214388267875</v>
      </c>
      <c r="BW499">
        <f t="shared" si="112"/>
        <v>0.87528310193156111</v>
      </c>
      <c r="BX499">
        <f t="shared" si="113"/>
        <v>1.8918932283614016</v>
      </c>
      <c r="BY499">
        <f t="shared" si="114"/>
        <v>0.81745575848020657</v>
      </c>
      <c r="BZ499">
        <f t="shared" si="115"/>
        <v>0.76386092994953758</v>
      </c>
      <c r="CA499">
        <f t="shared" si="116"/>
        <v>0.77459235625178136</v>
      </c>
      <c r="CB499">
        <f t="shared" si="117"/>
        <v>0.67891464284095016</v>
      </c>
    </row>
    <row r="500" spans="1:80" x14ac:dyDescent="0.45">
      <c r="A500" s="11">
        <v>22</v>
      </c>
      <c r="B500" s="12">
        <f t="shared" si="105"/>
        <v>22</v>
      </c>
      <c r="C500" s="12" t="s">
        <v>59</v>
      </c>
      <c r="D500" s="12">
        <v>0</v>
      </c>
      <c r="E500" s="12" t="s">
        <v>53</v>
      </c>
      <c r="F500" s="12">
        <v>0</v>
      </c>
      <c r="G500" s="12">
        <v>1</v>
      </c>
      <c r="H500" s="12" t="s">
        <v>61</v>
      </c>
      <c r="I500" s="12">
        <v>1</v>
      </c>
      <c r="J500" s="12">
        <v>0</v>
      </c>
      <c r="K500" s="12">
        <v>6</v>
      </c>
      <c r="L500" s="12">
        <f t="shared" si="106"/>
        <v>6</v>
      </c>
      <c r="M500" s="12">
        <v>1</v>
      </c>
      <c r="N500" s="12" t="s">
        <v>70</v>
      </c>
      <c r="O500" s="12">
        <v>0</v>
      </c>
      <c r="P500" s="12">
        <v>0</v>
      </c>
      <c r="Q500" s="12">
        <v>1</v>
      </c>
      <c r="R500" s="12">
        <v>0</v>
      </c>
      <c r="S500" s="12">
        <v>0</v>
      </c>
      <c r="T500" s="12">
        <v>1</v>
      </c>
      <c r="U500" s="12" t="s">
        <v>62</v>
      </c>
      <c r="V500" s="12">
        <v>0</v>
      </c>
      <c r="W500" s="12">
        <v>69</v>
      </c>
      <c r="X500" s="12">
        <v>3</v>
      </c>
      <c r="Y500" s="12">
        <v>1</v>
      </c>
      <c r="Z500" s="12" t="s">
        <v>63</v>
      </c>
      <c r="AA500" s="12">
        <v>0</v>
      </c>
      <c r="AB500" s="12">
        <v>0</v>
      </c>
      <c r="AC500" s="12">
        <v>0</v>
      </c>
      <c r="AD500" s="12">
        <v>0</v>
      </c>
      <c r="AE500" s="12">
        <v>0</v>
      </c>
      <c r="AF500" s="12">
        <v>0</v>
      </c>
      <c r="AG500" s="12">
        <v>0</v>
      </c>
      <c r="AH500" s="12">
        <v>1</v>
      </c>
      <c r="AI500" s="12">
        <v>3</v>
      </c>
      <c r="AJ500" s="12" t="s">
        <v>64</v>
      </c>
      <c r="AK500" s="12">
        <v>0</v>
      </c>
      <c r="AL500" s="12">
        <v>1</v>
      </c>
      <c r="AM500" s="12">
        <v>2773</v>
      </c>
      <c r="AN500" s="12">
        <f t="shared" si="107"/>
        <v>2773</v>
      </c>
      <c r="AO500" s="12">
        <v>0</v>
      </c>
      <c r="AP500" s="12" t="s">
        <v>59</v>
      </c>
      <c r="AQ500" s="12">
        <v>0</v>
      </c>
      <c r="AR500" s="12">
        <v>20</v>
      </c>
      <c r="AS500" s="12">
        <v>4</v>
      </c>
      <c r="AT500" s="12">
        <v>4</v>
      </c>
      <c r="AU500" s="12">
        <v>0</v>
      </c>
      <c r="AV500" s="12">
        <v>3</v>
      </c>
      <c r="AW500" s="12">
        <f t="shared" si="108"/>
        <v>3</v>
      </c>
      <c r="AX500" s="12">
        <v>3</v>
      </c>
      <c r="AY500" s="12">
        <v>3</v>
      </c>
      <c r="AZ500" s="12">
        <v>2</v>
      </c>
      <c r="BA500" s="12">
        <f t="shared" si="109"/>
        <v>2</v>
      </c>
      <c r="BB500" s="12">
        <v>2</v>
      </c>
      <c r="BC500" s="12">
        <v>2</v>
      </c>
      <c r="BD500" s="12">
        <f t="shared" si="118"/>
        <v>2</v>
      </c>
      <c r="BE500" s="12">
        <v>2</v>
      </c>
      <c r="BF500" s="12">
        <f t="shared" si="110"/>
        <v>2</v>
      </c>
      <c r="BG500" s="12">
        <f t="shared" si="119"/>
        <v>2</v>
      </c>
      <c r="BH500" s="67">
        <v>0</v>
      </c>
      <c r="BI500" s="67">
        <v>1</v>
      </c>
      <c r="BJ500" s="67">
        <v>0</v>
      </c>
      <c r="BK500" s="67">
        <v>0</v>
      </c>
      <c r="BL500" s="67">
        <v>0</v>
      </c>
      <c r="BM500" s="67">
        <v>0</v>
      </c>
      <c r="BN500" s="67">
        <v>1</v>
      </c>
      <c r="BO500" s="67">
        <v>0</v>
      </c>
      <c r="BP500" s="67">
        <v>0</v>
      </c>
      <c r="BQ500" s="67">
        <v>2</v>
      </c>
      <c r="BR500" s="67">
        <v>0</v>
      </c>
      <c r="BS500" s="67">
        <v>0</v>
      </c>
      <c r="BT500" s="67">
        <v>3</v>
      </c>
      <c r="BU500" s="70">
        <v>0</v>
      </c>
      <c r="BV500" s="29">
        <f t="shared" si="111"/>
        <v>0.79226115794176566</v>
      </c>
      <c r="BW500">
        <f t="shared" si="112"/>
        <v>0.59502473559756086</v>
      </c>
      <c r="BX500">
        <f t="shared" si="113"/>
        <v>1.0641079755250529</v>
      </c>
      <c r="BY500">
        <f t="shared" si="114"/>
        <v>0.81745575848020657</v>
      </c>
      <c r="BZ500">
        <f t="shared" si="115"/>
        <v>0.39380416832397891</v>
      </c>
      <c r="CA500">
        <f t="shared" si="116"/>
        <v>1.6336288320949415</v>
      </c>
      <c r="CB500">
        <f t="shared" si="117"/>
        <v>5.8265062631872602E-2</v>
      </c>
    </row>
    <row r="501" spans="1:80" x14ac:dyDescent="0.45">
      <c r="A501" s="11">
        <v>33</v>
      </c>
      <c r="B501" s="12">
        <f t="shared" si="105"/>
        <v>33</v>
      </c>
      <c r="C501" s="12" t="s">
        <v>59</v>
      </c>
      <c r="D501" s="12">
        <v>0</v>
      </c>
      <c r="E501" s="12" t="s">
        <v>53</v>
      </c>
      <c r="F501" s="12">
        <v>0</v>
      </c>
      <c r="G501" s="12">
        <v>1</v>
      </c>
      <c r="H501" s="12" t="s">
        <v>54</v>
      </c>
      <c r="I501" s="12">
        <v>0</v>
      </c>
      <c r="J501" s="12">
        <v>1</v>
      </c>
      <c r="K501" s="12">
        <v>8</v>
      </c>
      <c r="L501" s="12">
        <f t="shared" si="106"/>
        <v>8</v>
      </c>
      <c r="M501" s="12">
        <v>4</v>
      </c>
      <c r="N501" s="12" t="s">
        <v>90</v>
      </c>
      <c r="O501" s="12">
        <v>0</v>
      </c>
      <c r="P501" s="12">
        <v>0</v>
      </c>
      <c r="Q501" s="12">
        <v>0</v>
      </c>
      <c r="R501" s="12">
        <v>1</v>
      </c>
      <c r="S501" s="12">
        <v>0</v>
      </c>
      <c r="T501" s="12">
        <v>3</v>
      </c>
      <c r="U501" s="12" t="s">
        <v>62</v>
      </c>
      <c r="V501" s="12">
        <v>0</v>
      </c>
      <c r="W501" s="12">
        <v>39</v>
      </c>
      <c r="X501" s="12">
        <v>3</v>
      </c>
      <c r="Y501" s="12">
        <v>2</v>
      </c>
      <c r="Z501" s="12" t="s">
        <v>56</v>
      </c>
      <c r="AA501" s="12">
        <v>0</v>
      </c>
      <c r="AB501" s="12">
        <v>1</v>
      </c>
      <c r="AC501" s="12">
        <v>0</v>
      </c>
      <c r="AD501" s="12">
        <v>0</v>
      </c>
      <c r="AE501" s="12">
        <v>0</v>
      </c>
      <c r="AF501" s="12">
        <v>0</v>
      </c>
      <c r="AG501" s="12">
        <v>0</v>
      </c>
      <c r="AH501" s="12">
        <v>0</v>
      </c>
      <c r="AI501" s="12">
        <v>3</v>
      </c>
      <c r="AJ501" s="12" t="s">
        <v>78</v>
      </c>
      <c r="AK501" s="12">
        <v>0</v>
      </c>
      <c r="AL501" s="12">
        <v>0</v>
      </c>
      <c r="AM501" s="12">
        <v>7104</v>
      </c>
      <c r="AN501" s="12">
        <f t="shared" si="107"/>
        <v>7104</v>
      </c>
      <c r="AO501" s="12">
        <v>0</v>
      </c>
      <c r="AP501" s="12" t="s">
        <v>59</v>
      </c>
      <c r="AQ501" s="12">
        <v>0</v>
      </c>
      <c r="AR501" s="12">
        <v>12</v>
      </c>
      <c r="AS501" s="12">
        <v>3</v>
      </c>
      <c r="AT501" s="12">
        <v>4</v>
      </c>
      <c r="AU501" s="12">
        <v>0</v>
      </c>
      <c r="AV501" s="12">
        <v>6</v>
      </c>
      <c r="AW501" s="12">
        <f t="shared" si="108"/>
        <v>6</v>
      </c>
      <c r="AX501" s="12">
        <v>3</v>
      </c>
      <c r="AY501" s="12">
        <v>3</v>
      </c>
      <c r="AZ501" s="12">
        <v>5</v>
      </c>
      <c r="BA501" s="12">
        <f t="shared" si="109"/>
        <v>5</v>
      </c>
      <c r="BB501" s="12">
        <v>0</v>
      </c>
      <c r="BC501" s="12">
        <v>1</v>
      </c>
      <c r="BD501" s="12">
        <f t="shared" si="118"/>
        <v>1</v>
      </c>
      <c r="BE501" s="12">
        <v>2</v>
      </c>
      <c r="BF501" s="12">
        <f t="shared" si="110"/>
        <v>2</v>
      </c>
      <c r="BG501" s="12">
        <f t="shared" si="119"/>
        <v>4</v>
      </c>
      <c r="BH501" s="67">
        <v>1</v>
      </c>
      <c r="BI501" s="67">
        <v>0</v>
      </c>
      <c r="BJ501" s="67">
        <v>0</v>
      </c>
      <c r="BK501" s="67">
        <v>0</v>
      </c>
      <c r="BL501" s="67">
        <v>1</v>
      </c>
      <c r="BM501" s="67">
        <v>0</v>
      </c>
      <c r="BN501" s="67">
        <v>0</v>
      </c>
      <c r="BO501" s="67">
        <v>0</v>
      </c>
      <c r="BP501" s="67">
        <v>0</v>
      </c>
      <c r="BQ501" s="67">
        <v>0</v>
      </c>
      <c r="BR501" s="67">
        <v>2</v>
      </c>
      <c r="BS501" s="67">
        <v>0</v>
      </c>
      <c r="BT501" s="67">
        <v>0</v>
      </c>
      <c r="BU501" s="70">
        <v>6</v>
      </c>
      <c r="BV501" s="29">
        <f t="shared" si="111"/>
        <v>0.12767082094739823</v>
      </c>
      <c r="BW501">
        <f t="shared" si="112"/>
        <v>0.59502473559756086</v>
      </c>
      <c r="BX501">
        <f t="shared" si="113"/>
        <v>0.67854260110508058</v>
      </c>
      <c r="BY501">
        <f t="shared" si="114"/>
        <v>0.32778177112653761</v>
      </c>
      <c r="BZ501">
        <f t="shared" si="115"/>
        <v>0.14709966057360641</v>
      </c>
      <c r="CA501">
        <f t="shared" si="116"/>
        <v>0.42951823792158</v>
      </c>
      <c r="CB501">
        <f t="shared" si="117"/>
        <v>0.36858985273641137</v>
      </c>
    </row>
    <row r="502" spans="1:80" x14ac:dyDescent="0.45">
      <c r="A502" s="11">
        <v>32</v>
      </c>
      <c r="B502" s="12">
        <f t="shared" si="105"/>
        <v>32</v>
      </c>
      <c r="C502" s="12" t="s">
        <v>59</v>
      </c>
      <c r="D502" s="12">
        <v>0</v>
      </c>
      <c r="E502" s="12" t="s">
        <v>53</v>
      </c>
      <c r="F502" s="12">
        <v>0</v>
      </c>
      <c r="G502" s="12">
        <v>1</v>
      </c>
      <c r="H502" s="12" t="s">
        <v>61</v>
      </c>
      <c r="I502" s="12">
        <v>1</v>
      </c>
      <c r="J502" s="12">
        <v>0</v>
      </c>
      <c r="K502" s="12">
        <v>9</v>
      </c>
      <c r="L502" s="12">
        <f t="shared" si="106"/>
        <v>9</v>
      </c>
      <c r="M502" s="12">
        <v>4</v>
      </c>
      <c r="N502" s="12" t="s">
        <v>55</v>
      </c>
      <c r="O502" s="12">
        <v>1</v>
      </c>
      <c r="P502" s="12">
        <v>0</v>
      </c>
      <c r="Q502" s="12">
        <v>0</v>
      </c>
      <c r="R502" s="12">
        <v>0</v>
      </c>
      <c r="S502" s="12">
        <v>0</v>
      </c>
      <c r="T502" s="12">
        <v>1</v>
      </c>
      <c r="U502" s="12" t="s">
        <v>19</v>
      </c>
      <c r="V502" s="12">
        <v>1</v>
      </c>
      <c r="W502" s="12">
        <v>92</v>
      </c>
      <c r="X502" s="12">
        <v>3</v>
      </c>
      <c r="Y502" s="12">
        <v>2</v>
      </c>
      <c r="Z502" s="12" t="s">
        <v>63</v>
      </c>
      <c r="AA502" s="12">
        <v>0</v>
      </c>
      <c r="AB502" s="12">
        <v>0</v>
      </c>
      <c r="AC502" s="12">
        <v>0</v>
      </c>
      <c r="AD502" s="12">
        <v>0</v>
      </c>
      <c r="AE502" s="12">
        <v>0</v>
      </c>
      <c r="AF502" s="12">
        <v>0</v>
      </c>
      <c r="AG502" s="12">
        <v>0</v>
      </c>
      <c r="AH502" s="12">
        <v>1</v>
      </c>
      <c r="AI502" s="12">
        <v>4</v>
      </c>
      <c r="AJ502" s="12" t="s">
        <v>64</v>
      </c>
      <c r="AK502" s="12">
        <v>0</v>
      </c>
      <c r="AL502" s="12">
        <v>1</v>
      </c>
      <c r="AM502" s="12">
        <v>6322</v>
      </c>
      <c r="AN502" s="12">
        <f t="shared" si="107"/>
        <v>6322</v>
      </c>
      <c r="AO502" s="12">
        <v>1</v>
      </c>
      <c r="AP502" s="12" t="s">
        <v>52</v>
      </c>
      <c r="AQ502" s="12">
        <v>1</v>
      </c>
      <c r="AR502" s="12">
        <v>12</v>
      </c>
      <c r="AS502" s="12">
        <v>3</v>
      </c>
      <c r="AT502" s="12">
        <v>4</v>
      </c>
      <c r="AU502" s="12">
        <v>1</v>
      </c>
      <c r="AV502" s="12">
        <v>6</v>
      </c>
      <c r="AW502" s="12">
        <f t="shared" si="108"/>
        <v>6</v>
      </c>
      <c r="AX502" s="12">
        <v>2</v>
      </c>
      <c r="AY502" s="12">
        <v>2</v>
      </c>
      <c r="AZ502" s="12">
        <v>6</v>
      </c>
      <c r="BA502" s="12">
        <f t="shared" si="109"/>
        <v>6</v>
      </c>
      <c r="BB502" s="12">
        <v>4</v>
      </c>
      <c r="BC502" s="12">
        <v>0</v>
      </c>
      <c r="BD502" s="12">
        <f t="shared" si="118"/>
        <v>0</v>
      </c>
      <c r="BE502" s="12">
        <v>5</v>
      </c>
      <c r="BF502" s="12">
        <f t="shared" si="110"/>
        <v>5</v>
      </c>
      <c r="BG502" s="12">
        <f t="shared" si="119"/>
        <v>10</v>
      </c>
      <c r="BH502" s="67">
        <v>0</v>
      </c>
      <c r="BI502" s="67">
        <v>1</v>
      </c>
      <c r="BJ502" s="67">
        <v>0</v>
      </c>
      <c r="BK502" s="67">
        <v>0</v>
      </c>
      <c r="BL502" s="67">
        <v>0</v>
      </c>
      <c r="BM502" s="67">
        <v>0</v>
      </c>
      <c r="BN502" s="67">
        <v>0</v>
      </c>
      <c r="BO502" s="67">
        <v>1</v>
      </c>
      <c r="BP502" s="67">
        <v>0</v>
      </c>
      <c r="BQ502" s="67">
        <v>5</v>
      </c>
      <c r="BR502" s="67">
        <v>0</v>
      </c>
      <c r="BS502" s="67">
        <v>0</v>
      </c>
      <c r="BT502" s="67">
        <v>6</v>
      </c>
      <c r="BU502" s="70">
        <v>0</v>
      </c>
      <c r="BV502" s="29">
        <f t="shared" si="111"/>
        <v>3.8430958662697863E-2</v>
      </c>
      <c r="BW502">
        <f t="shared" si="112"/>
        <v>0.24575036340443959</v>
      </c>
      <c r="BX502">
        <f t="shared" si="113"/>
        <v>0.67854260110508058</v>
      </c>
      <c r="BY502">
        <f t="shared" si="114"/>
        <v>0.16455710867531462</v>
      </c>
      <c r="BZ502">
        <f t="shared" si="115"/>
        <v>2.3747406698420157E-2</v>
      </c>
      <c r="CA502">
        <f t="shared" si="116"/>
        <v>0.53898283739188557</v>
      </c>
      <c r="CB502">
        <f t="shared" si="117"/>
        <v>0.67891464284095016</v>
      </c>
    </row>
    <row r="503" spans="1:80" x14ac:dyDescent="0.45">
      <c r="A503" s="11">
        <v>30</v>
      </c>
      <c r="B503" s="12">
        <f t="shared" si="105"/>
        <v>30</v>
      </c>
      <c r="C503" s="12" t="s">
        <v>59</v>
      </c>
      <c r="D503" s="12">
        <v>0</v>
      </c>
      <c r="E503" s="12" t="s">
        <v>60</v>
      </c>
      <c r="F503" s="12">
        <v>1</v>
      </c>
      <c r="G503" s="12">
        <v>0</v>
      </c>
      <c r="H503" s="12" t="s">
        <v>61</v>
      </c>
      <c r="I503" s="12">
        <v>1</v>
      </c>
      <c r="J503" s="12">
        <v>0</v>
      </c>
      <c r="K503" s="12">
        <v>3</v>
      </c>
      <c r="L503" s="12">
        <f t="shared" si="106"/>
        <v>3</v>
      </c>
      <c r="M503" s="12">
        <v>3</v>
      </c>
      <c r="N503" s="12" t="s">
        <v>70</v>
      </c>
      <c r="O503" s="12">
        <v>0</v>
      </c>
      <c r="P503" s="12">
        <v>0</v>
      </c>
      <c r="Q503" s="12">
        <v>1</v>
      </c>
      <c r="R503" s="12">
        <v>0</v>
      </c>
      <c r="S503" s="12">
        <v>0</v>
      </c>
      <c r="T503" s="12">
        <v>3</v>
      </c>
      <c r="U503" s="12" t="s">
        <v>19</v>
      </c>
      <c r="V503" s="12">
        <v>1</v>
      </c>
      <c r="W503" s="12">
        <v>71</v>
      </c>
      <c r="X503" s="12">
        <v>3</v>
      </c>
      <c r="Y503" s="12">
        <v>1</v>
      </c>
      <c r="Z503" s="12" t="s">
        <v>63</v>
      </c>
      <c r="AA503" s="12">
        <v>0</v>
      </c>
      <c r="AB503" s="12">
        <v>0</v>
      </c>
      <c r="AC503" s="12">
        <v>0</v>
      </c>
      <c r="AD503" s="12">
        <v>0</v>
      </c>
      <c r="AE503" s="12">
        <v>0</v>
      </c>
      <c r="AF503" s="12">
        <v>0</v>
      </c>
      <c r="AG503" s="12">
        <v>0</v>
      </c>
      <c r="AH503" s="12">
        <v>1</v>
      </c>
      <c r="AI503" s="12">
        <v>3</v>
      </c>
      <c r="AJ503" s="12" t="s">
        <v>78</v>
      </c>
      <c r="AK503" s="12">
        <v>0</v>
      </c>
      <c r="AL503" s="12">
        <v>0</v>
      </c>
      <c r="AM503" s="12">
        <v>2083</v>
      </c>
      <c r="AN503" s="12">
        <f t="shared" si="107"/>
        <v>2083</v>
      </c>
      <c r="AO503" s="12">
        <v>1</v>
      </c>
      <c r="AP503" s="12" t="s">
        <v>59</v>
      </c>
      <c r="AQ503" s="12">
        <v>0</v>
      </c>
      <c r="AR503" s="12">
        <v>20</v>
      </c>
      <c r="AS503" s="12">
        <v>4</v>
      </c>
      <c r="AT503" s="12">
        <v>3</v>
      </c>
      <c r="AU503" s="12">
        <v>1</v>
      </c>
      <c r="AV503" s="12">
        <v>1</v>
      </c>
      <c r="AW503" s="12">
        <f t="shared" si="108"/>
        <v>1</v>
      </c>
      <c r="AX503" s="12">
        <v>2</v>
      </c>
      <c r="AY503" s="12">
        <v>3</v>
      </c>
      <c r="AZ503" s="12">
        <v>1</v>
      </c>
      <c r="BA503" s="12">
        <f t="shared" si="109"/>
        <v>1</v>
      </c>
      <c r="BB503" s="12">
        <v>0</v>
      </c>
      <c r="BC503" s="12">
        <v>0</v>
      </c>
      <c r="BD503" s="12">
        <f t="shared" si="118"/>
        <v>0</v>
      </c>
      <c r="BE503" s="12">
        <v>0</v>
      </c>
      <c r="BF503" s="12">
        <f t="shared" si="110"/>
        <v>0</v>
      </c>
      <c r="BG503" s="12">
        <f t="shared" si="119"/>
        <v>0</v>
      </c>
      <c r="BH503" s="67">
        <v>0</v>
      </c>
      <c r="BI503" s="67">
        <v>0</v>
      </c>
      <c r="BJ503" s="67">
        <v>1</v>
      </c>
      <c r="BK503" s="67">
        <v>0</v>
      </c>
      <c r="BL503" s="67">
        <v>1</v>
      </c>
      <c r="BM503" s="67">
        <v>0</v>
      </c>
      <c r="BN503" s="67">
        <v>0</v>
      </c>
      <c r="BO503" s="67">
        <v>0</v>
      </c>
      <c r="BP503" s="67">
        <v>0</v>
      </c>
      <c r="BQ503" s="67">
        <v>0</v>
      </c>
      <c r="BR503" s="67">
        <v>0</v>
      </c>
      <c r="BS503" s="67">
        <v>0</v>
      </c>
      <c r="BT503" s="67">
        <v>1</v>
      </c>
      <c r="BU503" s="70">
        <v>0</v>
      </c>
      <c r="BV503" s="29">
        <f t="shared" si="111"/>
        <v>0.93882155171537995</v>
      </c>
      <c r="BW503">
        <f t="shared" si="112"/>
        <v>1.1555414682655611</v>
      </c>
      <c r="BX503">
        <f t="shared" si="113"/>
        <v>1.3211515584717011</v>
      </c>
      <c r="BY503">
        <f t="shared" si="114"/>
        <v>0.9806804209314296</v>
      </c>
      <c r="BZ503">
        <f t="shared" si="115"/>
        <v>0.76386092994953758</v>
      </c>
      <c r="CA503">
        <f t="shared" si="116"/>
        <v>0.75791203633249671</v>
      </c>
      <c r="CB503">
        <f t="shared" si="117"/>
        <v>0.67891464284095016</v>
      </c>
    </row>
    <row r="504" spans="1:80" x14ac:dyDescent="0.45">
      <c r="A504" s="11">
        <v>53</v>
      </c>
      <c r="B504" s="12">
        <f t="shared" si="105"/>
        <v>53</v>
      </c>
      <c r="C504" s="12" t="s">
        <v>59</v>
      </c>
      <c r="D504" s="12">
        <v>0</v>
      </c>
      <c r="E504" s="12" t="s">
        <v>53</v>
      </c>
      <c r="F504" s="12">
        <v>0</v>
      </c>
      <c r="G504" s="12">
        <v>1</v>
      </c>
      <c r="H504" s="12" t="s">
        <v>54</v>
      </c>
      <c r="I504" s="12">
        <v>0</v>
      </c>
      <c r="J504" s="12">
        <v>1</v>
      </c>
      <c r="K504" s="12">
        <v>1</v>
      </c>
      <c r="L504" s="12">
        <f t="shared" si="106"/>
        <v>1</v>
      </c>
      <c r="M504" s="12">
        <v>1</v>
      </c>
      <c r="N504" s="12" t="s">
        <v>70</v>
      </c>
      <c r="O504" s="12">
        <v>0</v>
      </c>
      <c r="P504" s="12">
        <v>0</v>
      </c>
      <c r="Q504" s="12">
        <v>1</v>
      </c>
      <c r="R504" s="12">
        <v>0</v>
      </c>
      <c r="S504" s="12">
        <v>0</v>
      </c>
      <c r="T504" s="12">
        <v>4</v>
      </c>
      <c r="U504" s="12" t="s">
        <v>19</v>
      </c>
      <c r="V504" s="12">
        <v>1</v>
      </c>
      <c r="W504" s="12">
        <v>34</v>
      </c>
      <c r="X504" s="12">
        <v>3</v>
      </c>
      <c r="Y504" s="12">
        <v>2</v>
      </c>
      <c r="Z504" s="12" t="s">
        <v>56</v>
      </c>
      <c r="AA504" s="12">
        <v>0</v>
      </c>
      <c r="AB504" s="12">
        <v>1</v>
      </c>
      <c r="AC504" s="12">
        <v>0</v>
      </c>
      <c r="AD504" s="12">
        <v>0</v>
      </c>
      <c r="AE504" s="12">
        <v>0</v>
      </c>
      <c r="AF504" s="12">
        <v>0</v>
      </c>
      <c r="AG504" s="12">
        <v>0</v>
      </c>
      <c r="AH504" s="12">
        <v>0</v>
      </c>
      <c r="AI504" s="12">
        <v>1</v>
      </c>
      <c r="AJ504" s="12" t="s">
        <v>57</v>
      </c>
      <c r="AK504" s="12">
        <v>1</v>
      </c>
      <c r="AL504" s="12">
        <v>0</v>
      </c>
      <c r="AM504" s="12">
        <v>8381</v>
      </c>
      <c r="AN504" s="12">
        <f t="shared" si="107"/>
        <v>8381</v>
      </c>
      <c r="AO504" s="12">
        <v>7</v>
      </c>
      <c r="AP504" s="12" t="s">
        <v>59</v>
      </c>
      <c r="AQ504" s="12">
        <v>0</v>
      </c>
      <c r="AR504" s="12">
        <v>20</v>
      </c>
      <c r="AS504" s="12">
        <v>4</v>
      </c>
      <c r="AT504" s="12">
        <v>4</v>
      </c>
      <c r="AU504" s="12">
        <v>0</v>
      </c>
      <c r="AV504" s="12">
        <v>18</v>
      </c>
      <c r="AW504" s="12">
        <f t="shared" si="108"/>
        <v>18</v>
      </c>
      <c r="AX504" s="12">
        <v>2</v>
      </c>
      <c r="AY504" s="12">
        <v>4</v>
      </c>
      <c r="AZ504" s="12">
        <v>14</v>
      </c>
      <c r="BA504" s="12">
        <f t="shared" si="109"/>
        <v>14</v>
      </c>
      <c r="BB504" s="12">
        <v>7</v>
      </c>
      <c r="BC504" s="12">
        <v>8</v>
      </c>
      <c r="BD504" s="12">
        <f t="shared" si="118"/>
        <v>8</v>
      </c>
      <c r="BE504" s="12">
        <v>10</v>
      </c>
      <c r="BF504" s="12">
        <f t="shared" si="110"/>
        <v>10</v>
      </c>
      <c r="BG504" s="12">
        <f t="shared" si="119"/>
        <v>20</v>
      </c>
      <c r="BH504" s="67">
        <v>1</v>
      </c>
      <c r="BI504" s="67">
        <v>0</v>
      </c>
      <c r="BJ504" s="67">
        <v>0</v>
      </c>
      <c r="BK504" s="67">
        <v>0</v>
      </c>
      <c r="BL504" s="67">
        <v>1</v>
      </c>
      <c r="BM504" s="67">
        <v>0</v>
      </c>
      <c r="BN504" s="67">
        <v>0</v>
      </c>
      <c r="BO504" s="67">
        <v>0</v>
      </c>
      <c r="BP504" s="67">
        <v>0</v>
      </c>
      <c r="BQ504" s="67">
        <v>0</v>
      </c>
      <c r="BR504" s="67">
        <v>10</v>
      </c>
      <c r="BS504" s="67">
        <v>0</v>
      </c>
      <c r="BT504" s="67">
        <v>0</v>
      </c>
      <c r="BU504" s="70">
        <v>18</v>
      </c>
      <c r="BV504" s="29">
        <f t="shared" si="111"/>
        <v>0.39891375261247841</v>
      </c>
      <c r="BW504">
        <f t="shared" si="112"/>
        <v>1.6470421950744405</v>
      </c>
      <c r="BX504">
        <f t="shared" si="113"/>
        <v>0.86371889657480871</v>
      </c>
      <c r="BY504">
        <f t="shared" si="114"/>
        <v>1.1412401909344694</v>
      </c>
      <c r="BZ504">
        <f t="shared" si="115"/>
        <v>1.01056543769991</v>
      </c>
      <c r="CA504">
        <f t="shared" si="116"/>
        <v>1.7597737514845315</v>
      </c>
      <c r="CB504">
        <f t="shared" si="117"/>
        <v>1.8036836779953602</v>
      </c>
    </row>
    <row r="505" spans="1:80" x14ac:dyDescent="0.45">
      <c r="A505" s="11">
        <v>34</v>
      </c>
      <c r="B505" s="12">
        <f t="shared" si="105"/>
        <v>34</v>
      </c>
      <c r="C505" s="12" t="s">
        <v>59</v>
      </c>
      <c r="D505" s="12">
        <v>0</v>
      </c>
      <c r="E505" s="12" t="s">
        <v>53</v>
      </c>
      <c r="F505" s="12">
        <v>0</v>
      </c>
      <c r="G505" s="12">
        <v>1</v>
      </c>
      <c r="H505" s="12" t="s">
        <v>61</v>
      </c>
      <c r="I505" s="12">
        <v>1</v>
      </c>
      <c r="J505" s="12">
        <v>0</v>
      </c>
      <c r="K505" s="12">
        <v>1</v>
      </c>
      <c r="L505" s="12">
        <f t="shared" si="106"/>
        <v>1</v>
      </c>
      <c r="M505" s="12">
        <v>5</v>
      </c>
      <c r="N505" s="12" t="s">
        <v>55</v>
      </c>
      <c r="O505" s="12">
        <v>1</v>
      </c>
      <c r="P505" s="12">
        <v>0</v>
      </c>
      <c r="Q505" s="12">
        <v>0</v>
      </c>
      <c r="R505" s="12">
        <v>0</v>
      </c>
      <c r="S505" s="12">
        <v>0</v>
      </c>
      <c r="T505" s="12">
        <v>2</v>
      </c>
      <c r="U505" s="12" t="s">
        <v>62</v>
      </c>
      <c r="V505" s="12">
        <v>0</v>
      </c>
      <c r="W505" s="12">
        <v>42</v>
      </c>
      <c r="X505" s="12">
        <v>3</v>
      </c>
      <c r="Y505" s="12">
        <v>1</v>
      </c>
      <c r="Z505" s="12" t="s">
        <v>63</v>
      </c>
      <c r="AA505" s="12">
        <v>0</v>
      </c>
      <c r="AB505" s="12">
        <v>0</v>
      </c>
      <c r="AC505" s="12">
        <v>0</v>
      </c>
      <c r="AD505" s="12">
        <v>0</v>
      </c>
      <c r="AE505" s="12">
        <v>0</v>
      </c>
      <c r="AF505" s="12">
        <v>0</v>
      </c>
      <c r="AG505" s="12">
        <v>0</v>
      </c>
      <c r="AH505" s="12">
        <v>1</v>
      </c>
      <c r="AI505" s="12">
        <v>4</v>
      </c>
      <c r="AJ505" s="12" t="s">
        <v>64</v>
      </c>
      <c r="AK505" s="12">
        <v>0</v>
      </c>
      <c r="AL505" s="12">
        <v>1</v>
      </c>
      <c r="AM505" s="12">
        <v>2691</v>
      </c>
      <c r="AN505" s="12">
        <f t="shared" si="107"/>
        <v>2691</v>
      </c>
      <c r="AO505" s="12">
        <v>1</v>
      </c>
      <c r="AP505" s="12" t="s">
        <v>59</v>
      </c>
      <c r="AQ505" s="12">
        <v>0</v>
      </c>
      <c r="AR505" s="12">
        <v>12</v>
      </c>
      <c r="AS505" s="12">
        <v>3</v>
      </c>
      <c r="AT505" s="12">
        <v>4</v>
      </c>
      <c r="AU505" s="12">
        <v>1</v>
      </c>
      <c r="AV505" s="12">
        <v>10</v>
      </c>
      <c r="AW505" s="12">
        <f t="shared" si="108"/>
        <v>10</v>
      </c>
      <c r="AX505" s="12">
        <v>4</v>
      </c>
      <c r="AY505" s="12">
        <v>2</v>
      </c>
      <c r="AZ505" s="12">
        <v>10</v>
      </c>
      <c r="BA505" s="12">
        <f t="shared" si="109"/>
        <v>10</v>
      </c>
      <c r="BB505" s="12">
        <v>9</v>
      </c>
      <c r="BC505" s="12">
        <v>8</v>
      </c>
      <c r="BD505" s="12">
        <f t="shared" si="118"/>
        <v>8</v>
      </c>
      <c r="BE505" s="12">
        <v>8</v>
      </c>
      <c r="BF505" s="12">
        <f t="shared" si="110"/>
        <v>8</v>
      </c>
      <c r="BG505" s="12">
        <f t="shared" si="119"/>
        <v>8</v>
      </c>
      <c r="BH505" s="67">
        <v>0</v>
      </c>
      <c r="BI505" s="67">
        <v>1</v>
      </c>
      <c r="BJ505" s="67">
        <v>0</v>
      </c>
      <c r="BK505" s="67">
        <v>0</v>
      </c>
      <c r="BL505" s="67">
        <v>0</v>
      </c>
      <c r="BM505" s="67">
        <v>0</v>
      </c>
      <c r="BN505" s="67">
        <v>1</v>
      </c>
      <c r="BO505" s="67">
        <v>0</v>
      </c>
      <c r="BP505" s="67">
        <v>0</v>
      </c>
      <c r="BQ505" s="67">
        <v>8</v>
      </c>
      <c r="BR505" s="67">
        <v>0</v>
      </c>
      <c r="BS505" s="67">
        <v>0</v>
      </c>
      <c r="BT505" s="67">
        <v>10</v>
      </c>
      <c r="BU505" s="70">
        <v>0</v>
      </c>
      <c r="BV505" s="29">
        <f t="shared" si="111"/>
        <v>0.80967848010036914</v>
      </c>
      <c r="BW505">
        <f t="shared" si="112"/>
        <v>1.08652546240644</v>
      </c>
      <c r="BX505">
        <f t="shared" si="113"/>
        <v>0.1644554352117841</v>
      </c>
      <c r="BY505">
        <f t="shared" si="114"/>
        <v>0.48834154112957734</v>
      </c>
      <c r="BZ505">
        <f t="shared" si="115"/>
        <v>1.01056543769991</v>
      </c>
      <c r="CA505">
        <f t="shared" si="116"/>
        <v>0.32005363845127444</v>
      </c>
      <c r="CB505">
        <f t="shared" si="117"/>
        <v>1.8036836779953602</v>
      </c>
    </row>
    <row r="506" spans="1:80" x14ac:dyDescent="0.45">
      <c r="A506" s="11">
        <v>45</v>
      </c>
      <c r="B506" s="12">
        <f t="shared" si="105"/>
        <v>45</v>
      </c>
      <c r="C506" s="12" t="s">
        <v>52</v>
      </c>
      <c r="D506" s="12">
        <v>1</v>
      </c>
      <c r="E506" s="12" t="s">
        <v>60</v>
      </c>
      <c r="F506" s="12">
        <v>1</v>
      </c>
      <c r="G506" s="12">
        <v>0</v>
      </c>
      <c r="H506" s="12" t="s">
        <v>54</v>
      </c>
      <c r="I506" s="12">
        <v>0</v>
      </c>
      <c r="J506" s="12">
        <v>1</v>
      </c>
      <c r="K506" s="12">
        <v>26</v>
      </c>
      <c r="L506" s="12">
        <f t="shared" si="106"/>
        <v>26</v>
      </c>
      <c r="M506" s="12">
        <v>4</v>
      </c>
      <c r="N506" s="12" t="s">
        <v>55</v>
      </c>
      <c r="O506" s="12">
        <v>1</v>
      </c>
      <c r="P506" s="12">
        <v>0</v>
      </c>
      <c r="Q506" s="12">
        <v>0</v>
      </c>
      <c r="R506" s="12">
        <v>0</v>
      </c>
      <c r="S506" s="12">
        <v>0</v>
      </c>
      <c r="T506" s="12">
        <v>1</v>
      </c>
      <c r="U506" s="12" t="s">
        <v>19</v>
      </c>
      <c r="V506" s="12">
        <v>1</v>
      </c>
      <c r="W506" s="12">
        <v>100</v>
      </c>
      <c r="X506" s="12">
        <v>3</v>
      </c>
      <c r="Y506" s="12">
        <v>2</v>
      </c>
      <c r="Z506" s="12" t="s">
        <v>56</v>
      </c>
      <c r="AA506" s="12">
        <v>0</v>
      </c>
      <c r="AB506" s="12">
        <v>1</v>
      </c>
      <c r="AC506" s="12">
        <v>0</v>
      </c>
      <c r="AD506" s="12">
        <v>0</v>
      </c>
      <c r="AE506" s="12">
        <v>0</v>
      </c>
      <c r="AF506" s="12">
        <v>0</v>
      </c>
      <c r="AG506" s="12">
        <v>0</v>
      </c>
      <c r="AH506" s="12">
        <v>0</v>
      </c>
      <c r="AI506" s="12">
        <v>1</v>
      </c>
      <c r="AJ506" s="12" t="s">
        <v>64</v>
      </c>
      <c r="AK506" s="12">
        <v>0</v>
      </c>
      <c r="AL506" s="12">
        <v>1</v>
      </c>
      <c r="AM506" s="12">
        <v>4286</v>
      </c>
      <c r="AN506" s="12">
        <f t="shared" si="107"/>
        <v>4286</v>
      </c>
      <c r="AO506" s="12">
        <v>2</v>
      </c>
      <c r="AP506" s="12" t="s">
        <v>59</v>
      </c>
      <c r="AQ506" s="12">
        <v>0</v>
      </c>
      <c r="AR506" s="12">
        <v>14</v>
      </c>
      <c r="AS506" s="12">
        <v>3</v>
      </c>
      <c r="AT506" s="12">
        <v>4</v>
      </c>
      <c r="AU506" s="12">
        <v>2</v>
      </c>
      <c r="AV506" s="12">
        <v>5</v>
      </c>
      <c r="AW506" s="12">
        <f t="shared" si="108"/>
        <v>5</v>
      </c>
      <c r="AX506" s="12">
        <v>4</v>
      </c>
      <c r="AY506" s="12">
        <v>3</v>
      </c>
      <c r="AZ506" s="12">
        <v>1</v>
      </c>
      <c r="BA506" s="12">
        <f t="shared" si="109"/>
        <v>1</v>
      </c>
      <c r="BB506" s="12">
        <v>1</v>
      </c>
      <c r="BC506" s="12">
        <v>0</v>
      </c>
      <c r="BD506" s="12">
        <f t="shared" si="118"/>
        <v>0</v>
      </c>
      <c r="BE506" s="12">
        <v>0</v>
      </c>
      <c r="BF506" s="12">
        <f t="shared" si="110"/>
        <v>0</v>
      </c>
      <c r="BG506" s="12">
        <f t="shared" si="119"/>
        <v>0</v>
      </c>
      <c r="BH506" s="67">
        <v>0</v>
      </c>
      <c r="BI506" s="67">
        <v>0</v>
      </c>
      <c r="BJ506" s="67">
        <v>0</v>
      </c>
      <c r="BK506" s="67">
        <v>1</v>
      </c>
      <c r="BL506" s="67">
        <v>0</v>
      </c>
      <c r="BM506" s="67">
        <v>0</v>
      </c>
      <c r="BN506" s="67">
        <v>1</v>
      </c>
      <c r="BO506" s="67">
        <v>0</v>
      </c>
      <c r="BP506" s="67">
        <v>0</v>
      </c>
      <c r="BQ506" s="67">
        <v>0</v>
      </c>
      <c r="BR506" s="67">
        <v>0</v>
      </c>
      <c r="BS506" s="67">
        <v>0</v>
      </c>
      <c r="BT506" s="67">
        <v>0</v>
      </c>
      <c r="BU506" s="70">
        <v>5</v>
      </c>
      <c r="BV506" s="29">
        <f t="shared" si="111"/>
        <v>0.4708903234787537</v>
      </c>
      <c r="BW506">
        <f t="shared" si="112"/>
        <v>1.1555414682655611</v>
      </c>
      <c r="BX506">
        <f t="shared" si="113"/>
        <v>0.80706439257840468</v>
      </c>
      <c r="BY506">
        <f t="shared" si="114"/>
        <v>0.9806804209314296</v>
      </c>
      <c r="BZ506">
        <f t="shared" si="115"/>
        <v>2.0732409091797459</v>
      </c>
      <c r="CA506">
        <f t="shared" si="116"/>
        <v>0.88405695572208698</v>
      </c>
      <c r="CB506">
        <f t="shared" si="117"/>
        <v>0.67891464284095016</v>
      </c>
    </row>
    <row r="507" spans="1:80" x14ac:dyDescent="0.45">
      <c r="A507" s="11">
        <v>26</v>
      </c>
      <c r="B507" s="12">
        <f t="shared" si="105"/>
        <v>26</v>
      </c>
      <c r="C507" s="12" t="s">
        <v>59</v>
      </c>
      <c r="D507" s="12">
        <v>0</v>
      </c>
      <c r="E507" s="12" t="s">
        <v>53</v>
      </c>
      <c r="F507" s="12">
        <v>0</v>
      </c>
      <c r="G507" s="12">
        <v>1</v>
      </c>
      <c r="H507" s="12" t="s">
        <v>61</v>
      </c>
      <c r="I507" s="12">
        <v>1</v>
      </c>
      <c r="J507" s="12">
        <v>0</v>
      </c>
      <c r="K507" s="12">
        <v>6</v>
      </c>
      <c r="L507" s="12">
        <f t="shared" si="106"/>
        <v>6</v>
      </c>
      <c r="M507" s="12">
        <v>3</v>
      </c>
      <c r="N507" s="12" t="s">
        <v>55</v>
      </c>
      <c r="O507" s="12">
        <v>1</v>
      </c>
      <c r="P507" s="12">
        <v>0</v>
      </c>
      <c r="Q507" s="12">
        <v>0</v>
      </c>
      <c r="R507" s="12">
        <v>0</v>
      </c>
      <c r="S507" s="12">
        <v>0</v>
      </c>
      <c r="T507" s="12">
        <v>3</v>
      </c>
      <c r="U507" s="12" t="s">
        <v>19</v>
      </c>
      <c r="V507" s="12">
        <v>1</v>
      </c>
      <c r="W507" s="12">
        <v>71</v>
      </c>
      <c r="X507" s="12">
        <v>3</v>
      </c>
      <c r="Y507" s="12">
        <v>1</v>
      </c>
      <c r="Z507" s="12" t="s">
        <v>67</v>
      </c>
      <c r="AA507" s="12">
        <v>0</v>
      </c>
      <c r="AB507" s="12">
        <v>0</v>
      </c>
      <c r="AC507" s="12">
        <v>1</v>
      </c>
      <c r="AD507" s="12">
        <v>0</v>
      </c>
      <c r="AE507" s="12">
        <v>0</v>
      </c>
      <c r="AF507" s="12">
        <v>0</v>
      </c>
      <c r="AG507" s="12">
        <v>0</v>
      </c>
      <c r="AH507" s="12">
        <v>0</v>
      </c>
      <c r="AI507" s="12">
        <v>4</v>
      </c>
      <c r="AJ507" s="12" t="s">
        <v>64</v>
      </c>
      <c r="AK507" s="12">
        <v>0</v>
      </c>
      <c r="AL507" s="12">
        <v>1</v>
      </c>
      <c r="AM507" s="12">
        <v>2659</v>
      </c>
      <c r="AN507" s="12">
        <f t="shared" si="107"/>
        <v>2659</v>
      </c>
      <c r="AO507" s="12">
        <v>1</v>
      </c>
      <c r="AP507" s="12" t="s">
        <v>52</v>
      </c>
      <c r="AQ507" s="12">
        <v>1</v>
      </c>
      <c r="AR507" s="12">
        <v>13</v>
      </c>
      <c r="AS507" s="12">
        <v>3</v>
      </c>
      <c r="AT507" s="12">
        <v>3</v>
      </c>
      <c r="AU507" s="12">
        <v>1</v>
      </c>
      <c r="AV507" s="12">
        <v>3</v>
      </c>
      <c r="AW507" s="12">
        <f t="shared" si="108"/>
        <v>3</v>
      </c>
      <c r="AX507" s="12">
        <v>2</v>
      </c>
      <c r="AY507" s="12">
        <v>3</v>
      </c>
      <c r="AZ507" s="12">
        <v>3</v>
      </c>
      <c r="BA507" s="12">
        <f t="shared" si="109"/>
        <v>3</v>
      </c>
      <c r="BB507" s="12">
        <v>2</v>
      </c>
      <c r="BC507" s="12">
        <v>0</v>
      </c>
      <c r="BD507" s="12">
        <f t="shared" si="118"/>
        <v>0</v>
      </c>
      <c r="BE507" s="12">
        <v>2</v>
      </c>
      <c r="BF507" s="12">
        <f t="shared" si="110"/>
        <v>2</v>
      </c>
      <c r="BG507" s="12">
        <f t="shared" si="119"/>
        <v>2</v>
      </c>
      <c r="BH507" s="67">
        <v>0</v>
      </c>
      <c r="BI507" s="67">
        <v>1</v>
      </c>
      <c r="BJ507" s="67">
        <v>0</v>
      </c>
      <c r="BK507" s="67">
        <v>0</v>
      </c>
      <c r="BL507" s="67">
        <v>0</v>
      </c>
      <c r="BM507" s="67">
        <v>0</v>
      </c>
      <c r="BN507" s="67">
        <v>0</v>
      </c>
      <c r="BO507" s="67">
        <v>1</v>
      </c>
      <c r="BP507" s="67">
        <v>0</v>
      </c>
      <c r="BQ507" s="67">
        <v>2</v>
      </c>
      <c r="BR507" s="67">
        <v>0</v>
      </c>
      <c r="BS507" s="67">
        <v>0</v>
      </c>
      <c r="BT507" s="67">
        <v>3</v>
      </c>
      <c r="BU507" s="70">
        <v>0</v>
      </c>
      <c r="BV507" s="29">
        <f t="shared" si="111"/>
        <v>0.81647548386958024</v>
      </c>
      <c r="BW507">
        <f t="shared" si="112"/>
        <v>0.59502473559756086</v>
      </c>
      <c r="BX507">
        <f t="shared" si="113"/>
        <v>1.0641079755250529</v>
      </c>
      <c r="BY507">
        <f t="shared" si="114"/>
        <v>0.65423109602898355</v>
      </c>
      <c r="BZ507">
        <f t="shared" si="115"/>
        <v>0.39380416832397891</v>
      </c>
      <c r="CA507">
        <f t="shared" si="116"/>
        <v>1.195770434213719</v>
      </c>
      <c r="CB507">
        <f t="shared" si="117"/>
        <v>0.67891464284095016</v>
      </c>
    </row>
    <row r="508" spans="1:80" x14ac:dyDescent="0.45">
      <c r="A508" s="11">
        <v>37</v>
      </c>
      <c r="B508" s="12">
        <f t="shared" si="105"/>
        <v>37</v>
      </c>
      <c r="C508" s="12" t="s">
        <v>59</v>
      </c>
      <c r="D508" s="12">
        <v>0</v>
      </c>
      <c r="E508" s="12" t="s">
        <v>53</v>
      </c>
      <c r="F508" s="12">
        <v>0</v>
      </c>
      <c r="G508" s="12">
        <v>1</v>
      </c>
      <c r="H508" s="12" t="s">
        <v>61</v>
      </c>
      <c r="I508" s="12">
        <v>1</v>
      </c>
      <c r="J508" s="12">
        <v>0</v>
      </c>
      <c r="K508" s="12">
        <v>3</v>
      </c>
      <c r="L508" s="12">
        <f t="shared" si="106"/>
        <v>3</v>
      </c>
      <c r="M508" s="12">
        <v>3</v>
      </c>
      <c r="N508" s="12" t="s">
        <v>66</v>
      </c>
      <c r="O508" s="12">
        <v>0</v>
      </c>
      <c r="P508" s="12">
        <v>1</v>
      </c>
      <c r="Q508" s="12">
        <v>0</v>
      </c>
      <c r="R508" s="12">
        <v>0</v>
      </c>
      <c r="S508" s="12">
        <v>0</v>
      </c>
      <c r="T508" s="12">
        <v>3</v>
      </c>
      <c r="U508" s="12" t="s">
        <v>62</v>
      </c>
      <c r="V508" s="12">
        <v>0</v>
      </c>
      <c r="W508" s="12">
        <v>36</v>
      </c>
      <c r="X508" s="12">
        <v>3</v>
      </c>
      <c r="Y508" s="12">
        <v>3</v>
      </c>
      <c r="Z508" s="12" t="s">
        <v>83</v>
      </c>
      <c r="AA508" s="12">
        <v>0</v>
      </c>
      <c r="AB508" s="12">
        <v>0</v>
      </c>
      <c r="AC508" s="12">
        <v>0</v>
      </c>
      <c r="AD508" s="12">
        <v>0</v>
      </c>
      <c r="AE508" s="12">
        <v>1</v>
      </c>
      <c r="AF508" s="12">
        <v>1</v>
      </c>
      <c r="AG508" s="12">
        <v>0</v>
      </c>
      <c r="AH508" s="12">
        <v>0</v>
      </c>
      <c r="AI508" s="12">
        <v>3</v>
      </c>
      <c r="AJ508" s="12" t="s">
        <v>64</v>
      </c>
      <c r="AK508" s="12">
        <v>0</v>
      </c>
      <c r="AL508" s="12">
        <v>1</v>
      </c>
      <c r="AM508" s="12">
        <v>9434</v>
      </c>
      <c r="AN508" s="12">
        <f t="shared" si="107"/>
        <v>9434</v>
      </c>
      <c r="AO508" s="12">
        <v>1</v>
      </c>
      <c r="AP508" s="12" t="s">
        <v>59</v>
      </c>
      <c r="AQ508" s="12">
        <v>0</v>
      </c>
      <c r="AR508" s="12">
        <v>15</v>
      </c>
      <c r="AS508" s="12">
        <v>3</v>
      </c>
      <c r="AT508" s="12">
        <v>3</v>
      </c>
      <c r="AU508" s="12">
        <v>1</v>
      </c>
      <c r="AV508" s="12">
        <v>10</v>
      </c>
      <c r="AW508" s="12">
        <f t="shared" si="108"/>
        <v>10</v>
      </c>
      <c r="AX508" s="12">
        <v>2</v>
      </c>
      <c r="AY508" s="12">
        <v>3</v>
      </c>
      <c r="AZ508" s="12">
        <v>10</v>
      </c>
      <c r="BA508" s="12">
        <f t="shared" si="109"/>
        <v>10</v>
      </c>
      <c r="BB508" s="12">
        <v>7</v>
      </c>
      <c r="BC508" s="12">
        <v>7</v>
      </c>
      <c r="BD508" s="12">
        <f t="shared" si="118"/>
        <v>7</v>
      </c>
      <c r="BE508" s="12">
        <v>8</v>
      </c>
      <c r="BF508" s="12">
        <f t="shared" si="110"/>
        <v>8</v>
      </c>
      <c r="BG508" s="12">
        <f t="shared" si="119"/>
        <v>24</v>
      </c>
      <c r="BH508" s="67">
        <v>0</v>
      </c>
      <c r="BI508" s="67">
        <v>1</v>
      </c>
      <c r="BJ508" s="67">
        <v>0</v>
      </c>
      <c r="BK508" s="67">
        <v>0</v>
      </c>
      <c r="BL508" s="67">
        <v>0</v>
      </c>
      <c r="BM508" s="67">
        <v>0</v>
      </c>
      <c r="BN508" s="67">
        <v>1</v>
      </c>
      <c r="BO508" s="67">
        <v>0</v>
      </c>
      <c r="BP508" s="67">
        <v>0</v>
      </c>
      <c r="BQ508" s="67">
        <v>8</v>
      </c>
      <c r="BR508" s="67">
        <v>0</v>
      </c>
      <c r="BS508" s="67">
        <v>0</v>
      </c>
      <c r="BT508" s="67">
        <v>10</v>
      </c>
      <c r="BU508" s="70">
        <v>0</v>
      </c>
      <c r="BV508" s="29">
        <f t="shared" si="111"/>
        <v>0.62257765789308095</v>
      </c>
      <c r="BW508">
        <f t="shared" si="112"/>
        <v>1.08652546240644</v>
      </c>
      <c r="BX508">
        <f t="shared" si="113"/>
        <v>0.1644554352117841</v>
      </c>
      <c r="BY508">
        <f t="shared" si="114"/>
        <v>0.48834154112957734</v>
      </c>
      <c r="BZ508">
        <f t="shared" si="115"/>
        <v>0.76386092994953758</v>
      </c>
      <c r="CA508">
        <f t="shared" si="116"/>
        <v>8.3401599596422994E-3</v>
      </c>
      <c r="CB508">
        <f t="shared" si="117"/>
        <v>1.4933588878908215</v>
      </c>
    </row>
    <row r="509" spans="1:80" x14ac:dyDescent="0.45">
      <c r="A509" s="11">
        <v>29</v>
      </c>
      <c r="B509" s="12">
        <f t="shared" si="105"/>
        <v>29</v>
      </c>
      <c r="C509" s="12" t="s">
        <v>59</v>
      </c>
      <c r="D509" s="12">
        <v>0</v>
      </c>
      <c r="E509" s="12" t="s">
        <v>53</v>
      </c>
      <c r="F509" s="12">
        <v>0</v>
      </c>
      <c r="G509" s="12">
        <v>1</v>
      </c>
      <c r="H509" s="12" t="s">
        <v>54</v>
      </c>
      <c r="I509" s="12">
        <v>0</v>
      </c>
      <c r="J509" s="12">
        <v>1</v>
      </c>
      <c r="K509" s="12">
        <v>3</v>
      </c>
      <c r="L509" s="12">
        <f t="shared" si="106"/>
        <v>3</v>
      </c>
      <c r="M509" s="12">
        <v>2</v>
      </c>
      <c r="N509" s="12" t="s">
        <v>70</v>
      </c>
      <c r="O509" s="12">
        <v>0</v>
      </c>
      <c r="P509" s="12">
        <v>0</v>
      </c>
      <c r="Q509" s="12">
        <v>1</v>
      </c>
      <c r="R509" s="12">
        <v>0</v>
      </c>
      <c r="S509" s="12">
        <v>0</v>
      </c>
      <c r="T509" s="12">
        <v>2</v>
      </c>
      <c r="U509" s="12" t="s">
        <v>19</v>
      </c>
      <c r="V509" s="12">
        <v>1</v>
      </c>
      <c r="W509" s="12">
        <v>62</v>
      </c>
      <c r="X509" s="12">
        <v>3</v>
      </c>
      <c r="Y509" s="12">
        <v>2</v>
      </c>
      <c r="Z509" s="12" t="s">
        <v>56</v>
      </c>
      <c r="AA509" s="12">
        <v>0</v>
      </c>
      <c r="AB509" s="12">
        <v>1</v>
      </c>
      <c r="AC509" s="12">
        <v>0</v>
      </c>
      <c r="AD509" s="12">
        <v>0</v>
      </c>
      <c r="AE509" s="12">
        <v>0</v>
      </c>
      <c r="AF509" s="12">
        <v>0</v>
      </c>
      <c r="AG509" s="12">
        <v>0</v>
      </c>
      <c r="AH509" s="12">
        <v>0</v>
      </c>
      <c r="AI509" s="12">
        <v>3</v>
      </c>
      <c r="AJ509" s="12" t="s">
        <v>64</v>
      </c>
      <c r="AK509" s="12">
        <v>0</v>
      </c>
      <c r="AL509" s="12">
        <v>1</v>
      </c>
      <c r="AM509" s="12">
        <v>5561</v>
      </c>
      <c r="AN509" s="12">
        <f t="shared" si="107"/>
        <v>5561</v>
      </c>
      <c r="AO509" s="12">
        <v>1</v>
      </c>
      <c r="AP509" s="12" t="s">
        <v>59</v>
      </c>
      <c r="AQ509" s="12">
        <v>0</v>
      </c>
      <c r="AR509" s="12">
        <v>14</v>
      </c>
      <c r="AS509" s="12">
        <v>3</v>
      </c>
      <c r="AT509" s="12">
        <v>1</v>
      </c>
      <c r="AU509" s="12">
        <v>1</v>
      </c>
      <c r="AV509" s="12">
        <v>6</v>
      </c>
      <c r="AW509" s="12">
        <f t="shared" si="108"/>
        <v>6</v>
      </c>
      <c r="AX509" s="12">
        <v>5</v>
      </c>
      <c r="AY509" s="12">
        <v>2</v>
      </c>
      <c r="AZ509" s="12">
        <v>6</v>
      </c>
      <c r="BA509" s="12">
        <f t="shared" si="109"/>
        <v>6</v>
      </c>
      <c r="BB509" s="12">
        <v>0</v>
      </c>
      <c r="BC509" s="12">
        <v>1</v>
      </c>
      <c r="BD509" s="12">
        <f t="shared" si="118"/>
        <v>1</v>
      </c>
      <c r="BE509" s="12">
        <v>2</v>
      </c>
      <c r="BF509" s="12">
        <f t="shared" si="110"/>
        <v>2</v>
      </c>
      <c r="BG509" s="12">
        <f t="shared" si="119"/>
        <v>4</v>
      </c>
      <c r="BH509" s="67">
        <v>0</v>
      </c>
      <c r="BI509" s="67">
        <v>1</v>
      </c>
      <c r="BJ509" s="67">
        <v>0</v>
      </c>
      <c r="BK509" s="67">
        <v>0</v>
      </c>
      <c r="BL509" s="67">
        <v>0</v>
      </c>
      <c r="BM509" s="67">
        <v>0</v>
      </c>
      <c r="BN509" s="67">
        <v>1</v>
      </c>
      <c r="BO509" s="67">
        <v>0</v>
      </c>
      <c r="BP509" s="67">
        <v>0</v>
      </c>
      <c r="BQ509" s="67">
        <v>0</v>
      </c>
      <c r="BR509" s="67">
        <v>2</v>
      </c>
      <c r="BS509" s="67">
        <v>0</v>
      </c>
      <c r="BT509" s="67">
        <v>0</v>
      </c>
      <c r="BU509" s="70">
        <v>6</v>
      </c>
      <c r="BV509" s="29">
        <f t="shared" si="111"/>
        <v>0.20007220454924918</v>
      </c>
      <c r="BW509">
        <f t="shared" si="112"/>
        <v>0.59502473559756086</v>
      </c>
      <c r="BX509">
        <f t="shared" si="113"/>
        <v>0.67854260110508058</v>
      </c>
      <c r="BY509">
        <f t="shared" si="114"/>
        <v>0.16455710867531462</v>
      </c>
      <c r="BZ509">
        <f t="shared" si="115"/>
        <v>0.76386092994953758</v>
      </c>
      <c r="CA509">
        <f t="shared" si="116"/>
        <v>0.86737663580280233</v>
      </c>
      <c r="CB509">
        <f t="shared" si="117"/>
        <v>0.36858985273641137</v>
      </c>
    </row>
    <row r="510" spans="1:80" x14ac:dyDescent="0.45">
      <c r="A510" s="11">
        <v>35</v>
      </c>
      <c r="B510" s="12">
        <f t="shared" si="105"/>
        <v>35</v>
      </c>
      <c r="C510" s="12" t="s">
        <v>59</v>
      </c>
      <c r="D510" s="12">
        <v>0</v>
      </c>
      <c r="E510" s="12" t="s">
        <v>53</v>
      </c>
      <c r="F510" s="12">
        <v>0</v>
      </c>
      <c r="G510" s="12">
        <v>1</v>
      </c>
      <c r="H510" s="12" t="s">
        <v>61</v>
      </c>
      <c r="I510" s="12">
        <v>1</v>
      </c>
      <c r="J510" s="12">
        <v>0</v>
      </c>
      <c r="K510" s="12">
        <v>6</v>
      </c>
      <c r="L510" s="12">
        <f t="shared" si="106"/>
        <v>6</v>
      </c>
      <c r="M510" s="12">
        <v>4</v>
      </c>
      <c r="N510" s="12" t="s">
        <v>55</v>
      </c>
      <c r="O510" s="12">
        <v>1</v>
      </c>
      <c r="P510" s="12">
        <v>0</v>
      </c>
      <c r="Q510" s="12">
        <v>0</v>
      </c>
      <c r="R510" s="12">
        <v>0</v>
      </c>
      <c r="S510" s="12">
        <v>0</v>
      </c>
      <c r="T510" s="12">
        <v>2</v>
      </c>
      <c r="U510" s="12" t="s">
        <v>62</v>
      </c>
      <c r="V510" s="12">
        <v>0</v>
      </c>
      <c r="W510" s="12">
        <v>82</v>
      </c>
      <c r="X510" s="12">
        <v>1</v>
      </c>
      <c r="Y510" s="12">
        <v>2</v>
      </c>
      <c r="Z510" s="12" t="s">
        <v>63</v>
      </c>
      <c r="AA510" s="12">
        <v>0</v>
      </c>
      <c r="AB510" s="12">
        <v>0</v>
      </c>
      <c r="AC510" s="12">
        <v>0</v>
      </c>
      <c r="AD510" s="12">
        <v>0</v>
      </c>
      <c r="AE510" s="12">
        <v>0</v>
      </c>
      <c r="AF510" s="12">
        <v>0</v>
      </c>
      <c r="AG510" s="12">
        <v>0</v>
      </c>
      <c r="AH510" s="12">
        <v>1</v>
      </c>
      <c r="AI510" s="12">
        <v>4</v>
      </c>
      <c r="AJ510" s="12" t="s">
        <v>57</v>
      </c>
      <c r="AK510" s="12">
        <v>1</v>
      </c>
      <c r="AL510" s="12">
        <v>0</v>
      </c>
      <c r="AM510" s="12">
        <v>6646</v>
      </c>
      <c r="AN510" s="12">
        <f t="shared" si="107"/>
        <v>6646</v>
      </c>
      <c r="AO510" s="12">
        <v>1</v>
      </c>
      <c r="AP510" s="12" t="s">
        <v>59</v>
      </c>
      <c r="AQ510" s="12">
        <v>0</v>
      </c>
      <c r="AR510" s="12">
        <v>13</v>
      </c>
      <c r="AS510" s="12">
        <v>3</v>
      </c>
      <c r="AT510" s="12">
        <v>2</v>
      </c>
      <c r="AU510" s="12">
        <v>0</v>
      </c>
      <c r="AV510" s="12">
        <v>17</v>
      </c>
      <c r="AW510" s="12">
        <f t="shared" si="108"/>
        <v>17</v>
      </c>
      <c r="AX510" s="12">
        <v>3</v>
      </c>
      <c r="AY510" s="12">
        <v>3</v>
      </c>
      <c r="AZ510" s="12">
        <v>17</v>
      </c>
      <c r="BA510" s="12">
        <f t="shared" si="109"/>
        <v>17</v>
      </c>
      <c r="BB510" s="12">
        <v>11</v>
      </c>
      <c r="BC510" s="12">
        <v>11</v>
      </c>
      <c r="BD510" s="12">
        <f t="shared" si="118"/>
        <v>11</v>
      </c>
      <c r="BE510" s="12">
        <v>8</v>
      </c>
      <c r="BF510" s="12">
        <f t="shared" si="110"/>
        <v>8</v>
      </c>
      <c r="BG510" s="12">
        <f t="shared" si="119"/>
        <v>16</v>
      </c>
      <c r="BH510" s="67">
        <v>1</v>
      </c>
      <c r="BI510" s="67">
        <v>0</v>
      </c>
      <c r="BJ510" s="67">
        <v>0</v>
      </c>
      <c r="BK510" s="67">
        <v>0</v>
      </c>
      <c r="BL510" s="67">
        <v>1</v>
      </c>
      <c r="BM510" s="67">
        <v>0</v>
      </c>
      <c r="BN510" s="67">
        <v>0</v>
      </c>
      <c r="BO510" s="67">
        <v>0</v>
      </c>
      <c r="BP510" s="67">
        <v>0</v>
      </c>
      <c r="BQ510" s="67">
        <v>8</v>
      </c>
      <c r="BR510" s="67">
        <v>0</v>
      </c>
      <c r="BS510" s="67">
        <v>0</v>
      </c>
      <c r="BT510" s="67">
        <v>17</v>
      </c>
      <c r="BU510" s="70">
        <v>0</v>
      </c>
      <c r="BV510" s="29">
        <f t="shared" si="111"/>
        <v>3.0388704500564457E-2</v>
      </c>
      <c r="BW510">
        <f t="shared" si="112"/>
        <v>1.08652546240644</v>
      </c>
      <c r="BX510">
        <f t="shared" si="113"/>
        <v>0.73519710510148462</v>
      </c>
      <c r="BY510">
        <f t="shared" si="114"/>
        <v>1.630914178288138</v>
      </c>
      <c r="BZ510">
        <f t="shared" si="115"/>
        <v>0.39380416832397891</v>
      </c>
      <c r="CA510">
        <f t="shared" si="116"/>
        <v>0.21058903898096887</v>
      </c>
      <c r="CB510">
        <f t="shared" si="117"/>
        <v>2.7346580483089769</v>
      </c>
    </row>
    <row r="511" spans="1:80" x14ac:dyDescent="0.45">
      <c r="A511" s="11">
        <v>33</v>
      </c>
      <c r="B511" s="12">
        <f t="shared" si="105"/>
        <v>33</v>
      </c>
      <c r="C511" s="12" t="s">
        <v>59</v>
      </c>
      <c r="D511" s="12">
        <v>0</v>
      </c>
      <c r="E511" s="12" t="s">
        <v>60</v>
      </c>
      <c r="F511" s="12">
        <v>1</v>
      </c>
      <c r="G511" s="12">
        <v>0</v>
      </c>
      <c r="H511" s="12" t="s">
        <v>61</v>
      </c>
      <c r="I511" s="12">
        <v>1</v>
      </c>
      <c r="J511" s="12">
        <v>0</v>
      </c>
      <c r="K511" s="12">
        <v>6</v>
      </c>
      <c r="L511" s="12">
        <f t="shared" si="106"/>
        <v>6</v>
      </c>
      <c r="M511" s="12">
        <v>3</v>
      </c>
      <c r="N511" s="12" t="s">
        <v>55</v>
      </c>
      <c r="O511" s="12">
        <v>1</v>
      </c>
      <c r="P511" s="12">
        <v>0</v>
      </c>
      <c r="Q511" s="12">
        <v>0</v>
      </c>
      <c r="R511" s="12">
        <v>0</v>
      </c>
      <c r="S511" s="12">
        <v>0</v>
      </c>
      <c r="T511" s="12">
        <v>3</v>
      </c>
      <c r="U511" s="12" t="s">
        <v>62</v>
      </c>
      <c r="V511" s="12">
        <v>0</v>
      </c>
      <c r="W511" s="12">
        <v>30</v>
      </c>
      <c r="X511" s="12">
        <v>3</v>
      </c>
      <c r="Y511" s="12">
        <v>2</v>
      </c>
      <c r="Z511" s="12" t="s">
        <v>85</v>
      </c>
      <c r="AA511" s="12">
        <v>1</v>
      </c>
      <c r="AB511" s="12">
        <v>0</v>
      </c>
      <c r="AC511" s="12">
        <v>0</v>
      </c>
      <c r="AD511" s="12">
        <v>0</v>
      </c>
      <c r="AE511" s="12">
        <v>0</v>
      </c>
      <c r="AF511" s="12">
        <v>0</v>
      </c>
      <c r="AG511" s="12">
        <v>0</v>
      </c>
      <c r="AH511" s="12">
        <v>0</v>
      </c>
      <c r="AI511" s="12">
        <v>4</v>
      </c>
      <c r="AJ511" s="12" t="s">
        <v>78</v>
      </c>
      <c r="AK511" s="12">
        <v>0</v>
      </c>
      <c r="AL511" s="12">
        <v>0</v>
      </c>
      <c r="AM511" s="12">
        <v>7725</v>
      </c>
      <c r="AN511" s="12">
        <f t="shared" si="107"/>
        <v>7725</v>
      </c>
      <c r="AO511" s="12">
        <v>3</v>
      </c>
      <c r="AP511" s="12" t="s">
        <v>59</v>
      </c>
      <c r="AQ511" s="12">
        <v>0</v>
      </c>
      <c r="AR511" s="12">
        <v>23</v>
      </c>
      <c r="AS511" s="12">
        <v>4</v>
      </c>
      <c r="AT511" s="12">
        <v>3</v>
      </c>
      <c r="AU511" s="12">
        <v>1</v>
      </c>
      <c r="AV511" s="12">
        <v>15</v>
      </c>
      <c r="AW511" s="12">
        <f t="shared" si="108"/>
        <v>15</v>
      </c>
      <c r="AX511" s="12">
        <v>2</v>
      </c>
      <c r="AY511" s="12">
        <v>1</v>
      </c>
      <c r="AZ511" s="12">
        <v>13</v>
      </c>
      <c r="BA511" s="12">
        <f t="shared" si="109"/>
        <v>13</v>
      </c>
      <c r="BB511" s="12">
        <v>11</v>
      </c>
      <c r="BC511" s="12">
        <v>4</v>
      </c>
      <c r="BD511" s="12">
        <f t="shared" si="118"/>
        <v>4</v>
      </c>
      <c r="BE511" s="12">
        <v>7</v>
      </c>
      <c r="BF511" s="12">
        <f t="shared" si="110"/>
        <v>7</v>
      </c>
      <c r="BG511" s="12">
        <f t="shared" si="119"/>
        <v>14</v>
      </c>
      <c r="BH511" s="67">
        <v>0</v>
      </c>
      <c r="BI511" s="67">
        <v>0</v>
      </c>
      <c r="BJ511" s="67">
        <v>1</v>
      </c>
      <c r="BK511" s="67">
        <v>0</v>
      </c>
      <c r="BL511" s="67">
        <v>1</v>
      </c>
      <c r="BM511" s="67">
        <v>0</v>
      </c>
      <c r="BN511" s="67">
        <v>0</v>
      </c>
      <c r="BO511" s="67">
        <v>0</v>
      </c>
      <c r="BP511" s="67">
        <v>0</v>
      </c>
      <c r="BQ511" s="67">
        <v>7</v>
      </c>
      <c r="BR511" s="67">
        <v>0</v>
      </c>
      <c r="BS511" s="67">
        <v>0</v>
      </c>
      <c r="BT511" s="67">
        <v>15</v>
      </c>
      <c r="BU511" s="70">
        <v>0</v>
      </c>
      <c r="BV511" s="29">
        <f t="shared" si="111"/>
        <v>0.25957517534365099</v>
      </c>
      <c r="BW511">
        <f t="shared" si="112"/>
        <v>0.80626709607243985</v>
      </c>
      <c r="BX511">
        <f t="shared" si="113"/>
        <v>0.47815352215483642</v>
      </c>
      <c r="BY511">
        <f t="shared" si="114"/>
        <v>0.97801552848324624</v>
      </c>
      <c r="BZ511">
        <f t="shared" si="115"/>
        <v>0.39380416832397891</v>
      </c>
      <c r="CA511">
        <f t="shared" si="116"/>
        <v>0.42951823792158</v>
      </c>
      <c r="CB511">
        <f t="shared" si="117"/>
        <v>0.56238451757720498</v>
      </c>
    </row>
    <row r="512" spans="1:80" x14ac:dyDescent="0.45">
      <c r="A512" s="11">
        <v>54</v>
      </c>
      <c r="B512" s="12">
        <f t="shared" si="105"/>
        <v>54</v>
      </c>
      <c r="C512" s="12" t="s">
        <v>59</v>
      </c>
      <c r="D512" s="12">
        <v>0</v>
      </c>
      <c r="E512" s="12" t="s">
        <v>53</v>
      </c>
      <c r="F512" s="12">
        <v>0</v>
      </c>
      <c r="G512" s="12">
        <v>1</v>
      </c>
      <c r="H512" s="12" t="s">
        <v>97</v>
      </c>
      <c r="I512" s="12">
        <v>0</v>
      </c>
      <c r="J512" s="12">
        <v>0</v>
      </c>
      <c r="K512" s="12">
        <v>19</v>
      </c>
      <c r="L512" s="12">
        <f t="shared" si="106"/>
        <v>19</v>
      </c>
      <c r="M512" s="12">
        <v>4</v>
      </c>
      <c r="N512" s="12" t="s">
        <v>70</v>
      </c>
      <c r="O512" s="12">
        <v>0</v>
      </c>
      <c r="P512" s="12">
        <v>0</v>
      </c>
      <c r="Q512" s="12">
        <v>1</v>
      </c>
      <c r="R512" s="12">
        <v>0</v>
      </c>
      <c r="S512" s="12">
        <v>0</v>
      </c>
      <c r="T512" s="12">
        <v>3</v>
      </c>
      <c r="U512" s="12" t="s">
        <v>62</v>
      </c>
      <c r="V512" s="12">
        <v>0</v>
      </c>
      <c r="W512" s="12">
        <v>88</v>
      </c>
      <c r="X512" s="12">
        <v>3</v>
      </c>
      <c r="Y512" s="12">
        <v>3</v>
      </c>
      <c r="Z512" s="12" t="s">
        <v>97</v>
      </c>
      <c r="AA512" s="12">
        <v>0</v>
      </c>
      <c r="AB512" s="12">
        <v>0</v>
      </c>
      <c r="AC512" s="12">
        <v>0</v>
      </c>
      <c r="AD512" s="12">
        <v>0</v>
      </c>
      <c r="AE512" s="12">
        <v>0</v>
      </c>
      <c r="AF512" s="12">
        <v>0</v>
      </c>
      <c r="AG512" s="12">
        <v>0</v>
      </c>
      <c r="AH512" s="12">
        <v>0</v>
      </c>
      <c r="AI512" s="12">
        <v>2</v>
      </c>
      <c r="AJ512" s="12" t="s">
        <v>64</v>
      </c>
      <c r="AK512" s="12">
        <v>0</v>
      </c>
      <c r="AL512" s="12">
        <v>1</v>
      </c>
      <c r="AM512" s="12">
        <v>10725</v>
      </c>
      <c r="AN512" s="12">
        <f t="shared" si="107"/>
        <v>10725</v>
      </c>
      <c r="AO512" s="12">
        <v>2</v>
      </c>
      <c r="AP512" s="12" t="s">
        <v>59</v>
      </c>
      <c r="AQ512" s="12">
        <v>0</v>
      </c>
      <c r="AR512" s="12">
        <v>15</v>
      </c>
      <c r="AS512" s="12">
        <v>3</v>
      </c>
      <c r="AT512" s="12">
        <v>3</v>
      </c>
      <c r="AU512" s="12">
        <v>1</v>
      </c>
      <c r="AV512" s="12">
        <v>16</v>
      </c>
      <c r="AW512" s="12">
        <f t="shared" si="108"/>
        <v>16</v>
      </c>
      <c r="AX512" s="12">
        <v>1</v>
      </c>
      <c r="AY512" s="12">
        <v>4</v>
      </c>
      <c r="AZ512" s="12">
        <v>9</v>
      </c>
      <c r="BA512" s="12">
        <f t="shared" si="109"/>
        <v>9</v>
      </c>
      <c r="BB512" s="12">
        <v>7</v>
      </c>
      <c r="BC512" s="12">
        <v>7</v>
      </c>
      <c r="BD512" s="12">
        <f t="shared" si="118"/>
        <v>7</v>
      </c>
      <c r="BE512" s="12">
        <v>1</v>
      </c>
      <c r="BF512" s="12">
        <f t="shared" si="110"/>
        <v>1</v>
      </c>
      <c r="BG512" s="12">
        <f t="shared" si="119"/>
        <v>3</v>
      </c>
      <c r="BH512" s="67">
        <v>0</v>
      </c>
      <c r="BI512" s="67">
        <v>1</v>
      </c>
      <c r="BJ512" s="67">
        <v>0</v>
      </c>
      <c r="BK512" s="67">
        <v>0</v>
      </c>
      <c r="BL512" s="67">
        <v>0</v>
      </c>
      <c r="BM512" s="67">
        <v>0</v>
      </c>
      <c r="BN512" s="67">
        <v>1</v>
      </c>
      <c r="BO512" s="67">
        <v>0</v>
      </c>
      <c r="BP512" s="67">
        <v>1</v>
      </c>
      <c r="BQ512" s="67">
        <v>0</v>
      </c>
      <c r="BR512" s="67">
        <v>0</v>
      </c>
      <c r="BS512" s="67">
        <v>16</v>
      </c>
      <c r="BT512" s="67">
        <v>0</v>
      </c>
      <c r="BU512" s="70">
        <v>0</v>
      </c>
      <c r="BV512" s="29">
        <f t="shared" si="111"/>
        <v>0.89679427870719108</v>
      </c>
      <c r="BW512">
        <f t="shared" si="112"/>
        <v>0.87528310193156111</v>
      </c>
      <c r="BX512">
        <f t="shared" si="113"/>
        <v>0.60667531362816052</v>
      </c>
      <c r="BY512">
        <f t="shared" si="114"/>
        <v>0.32511687867835437</v>
      </c>
      <c r="BZ512">
        <f t="shared" si="115"/>
        <v>1.2097751320534422</v>
      </c>
      <c r="CA512">
        <f t="shared" si="116"/>
        <v>1.8692383509548371</v>
      </c>
      <c r="CB512">
        <f t="shared" si="117"/>
        <v>1.4933588878908215</v>
      </c>
    </row>
    <row r="513" spans="1:80" x14ac:dyDescent="0.45">
      <c r="A513" s="11">
        <v>36</v>
      </c>
      <c r="B513" s="12">
        <f t="shared" si="105"/>
        <v>36</v>
      </c>
      <c r="C513" s="12" t="s">
        <v>59</v>
      </c>
      <c r="D513" s="12">
        <v>0</v>
      </c>
      <c r="E513" s="12" t="s">
        <v>53</v>
      </c>
      <c r="F513" s="12">
        <v>0</v>
      </c>
      <c r="G513" s="12">
        <v>1</v>
      </c>
      <c r="H513" s="12" t="s">
        <v>61</v>
      </c>
      <c r="I513" s="12">
        <v>1</v>
      </c>
      <c r="J513" s="12">
        <v>0</v>
      </c>
      <c r="K513" s="12">
        <v>9</v>
      </c>
      <c r="L513" s="12">
        <f t="shared" si="106"/>
        <v>9</v>
      </c>
      <c r="M513" s="12">
        <v>2</v>
      </c>
      <c r="N513" s="12" t="s">
        <v>70</v>
      </c>
      <c r="O513" s="12">
        <v>0</v>
      </c>
      <c r="P513" s="12">
        <v>0</v>
      </c>
      <c r="Q513" s="12">
        <v>1</v>
      </c>
      <c r="R513" s="12">
        <v>0</v>
      </c>
      <c r="S513" s="12">
        <v>0</v>
      </c>
      <c r="T513" s="12">
        <v>2</v>
      </c>
      <c r="U513" s="12" t="s">
        <v>62</v>
      </c>
      <c r="V513" s="12">
        <v>0</v>
      </c>
      <c r="W513" s="12">
        <v>48</v>
      </c>
      <c r="X513" s="12">
        <v>2</v>
      </c>
      <c r="Y513" s="12">
        <v>2</v>
      </c>
      <c r="Z513" s="12" t="s">
        <v>83</v>
      </c>
      <c r="AA513" s="12">
        <v>0</v>
      </c>
      <c r="AB513" s="12">
        <v>0</v>
      </c>
      <c r="AC513" s="12">
        <v>0</v>
      </c>
      <c r="AD513" s="12">
        <v>0</v>
      </c>
      <c r="AE513" s="12">
        <v>1</v>
      </c>
      <c r="AF513" s="12">
        <v>1</v>
      </c>
      <c r="AG513" s="12">
        <v>0</v>
      </c>
      <c r="AH513" s="12">
        <v>0</v>
      </c>
      <c r="AI513" s="12">
        <v>2</v>
      </c>
      <c r="AJ513" s="12" t="s">
        <v>78</v>
      </c>
      <c r="AK513" s="12">
        <v>0</v>
      </c>
      <c r="AL513" s="12">
        <v>0</v>
      </c>
      <c r="AM513" s="12">
        <v>8847</v>
      </c>
      <c r="AN513" s="12">
        <f t="shared" si="107"/>
        <v>8847</v>
      </c>
      <c r="AO513" s="12">
        <v>2</v>
      </c>
      <c r="AP513" s="12" t="s">
        <v>52</v>
      </c>
      <c r="AQ513" s="12">
        <v>1</v>
      </c>
      <c r="AR513" s="12">
        <v>11</v>
      </c>
      <c r="AS513" s="12">
        <v>3</v>
      </c>
      <c r="AT513" s="12">
        <v>3</v>
      </c>
      <c r="AU513" s="12">
        <v>1</v>
      </c>
      <c r="AV513" s="12">
        <v>13</v>
      </c>
      <c r="AW513" s="12">
        <f t="shared" si="108"/>
        <v>13</v>
      </c>
      <c r="AX513" s="12">
        <v>2</v>
      </c>
      <c r="AY513" s="12">
        <v>3</v>
      </c>
      <c r="AZ513" s="12">
        <v>3</v>
      </c>
      <c r="BA513" s="12">
        <f t="shared" si="109"/>
        <v>3</v>
      </c>
      <c r="BB513" s="12">
        <v>2</v>
      </c>
      <c r="BC513" s="12">
        <v>0</v>
      </c>
      <c r="BD513" s="12">
        <f t="shared" si="118"/>
        <v>0</v>
      </c>
      <c r="BE513" s="12">
        <v>2</v>
      </c>
      <c r="BF513" s="12">
        <f t="shared" si="110"/>
        <v>2</v>
      </c>
      <c r="BG513" s="12">
        <f t="shared" si="119"/>
        <v>4</v>
      </c>
      <c r="BH513" s="67">
        <v>1</v>
      </c>
      <c r="BI513" s="67">
        <v>0</v>
      </c>
      <c r="BJ513" s="67">
        <v>0</v>
      </c>
      <c r="BK513" s="67">
        <v>0</v>
      </c>
      <c r="BL513" s="67">
        <v>0</v>
      </c>
      <c r="BM513" s="67">
        <v>1</v>
      </c>
      <c r="BN513" s="67">
        <v>0</v>
      </c>
      <c r="BO513" s="67">
        <v>0</v>
      </c>
      <c r="BP513" s="67">
        <v>0</v>
      </c>
      <c r="BQ513" s="67">
        <v>2</v>
      </c>
      <c r="BR513" s="67">
        <v>0</v>
      </c>
      <c r="BS513" s="67">
        <v>0</v>
      </c>
      <c r="BT513" s="67">
        <v>13</v>
      </c>
      <c r="BU513" s="70">
        <v>0</v>
      </c>
      <c r="BV513" s="29">
        <f t="shared" si="111"/>
        <v>0.49789512000161495</v>
      </c>
      <c r="BW513">
        <f t="shared" si="112"/>
        <v>0.59502473559756086</v>
      </c>
      <c r="BX513">
        <f t="shared" si="113"/>
        <v>0.22110993920818819</v>
      </c>
      <c r="BY513">
        <f t="shared" si="114"/>
        <v>0.65423109602898355</v>
      </c>
      <c r="BZ513">
        <f t="shared" si="115"/>
        <v>2.3747406698420157E-2</v>
      </c>
      <c r="CA513">
        <f t="shared" si="116"/>
        <v>0.10112443951066327</v>
      </c>
      <c r="CB513">
        <f t="shared" si="117"/>
        <v>0.67891464284095016</v>
      </c>
    </row>
    <row r="514" spans="1:80" x14ac:dyDescent="0.45">
      <c r="A514" s="11">
        <v>27</v>
      </c>
      <c r="B514" s="12">
        <f t="shared" ref="B514:B577" si="120">IF(A514&gt;$CD$29,$CD$29,IF(A514&lt;$CD$30,$CD$30,A514))</f>
        <v>27</v>
      </c>
      <c r="C514" s="12" t="s">
        <v>59</v>
      </c>
      <c r="D514" s="12">
        <v>0</v>
      </c>
      <c r="E514" s="12" t="s">
        <v>53</v>
      </c>
      <c r="F514" s="12">
        <v>0</v>
      </c>
      <c r="G514" s="12">
        <v>1</v>
      </c>
      <c r="H514" s="12" t="s">
        <v>61</v>
      </c>
      <c r="I514" s="12">
        <v>1</v>
      </c>
      <c r="J514" s="12">
        <v>0</v>
      </c>
      <c r="K514" s="12">
        <v>3</v>
      </c>
      <c r="L514" s="12">
        <f t="shared" ref="L514:L577" si="121">IF(K514&gt;$CD$25,$CD$25,IF(K514&lt;$CD$26,$CD$26,K514))</f>
        <v>3</v>
      </c>
      <c r="M514" s="12">
        <v>4</v>
      </c>
      <c r="N514" s="12" t="s">
        <v>70</v>
      </c>
      <c r="O514" s="12">
        <v>0</v>
      </c>
      <c r="P514" s="12">
        <v>0</v>
      </c>
      <c r="Q514" s="12">
        <v>1</v>
      </c>
      <c r="R514" s="12">
        <v>0</v>
      </c>
      <c r="S514" s="12">
        <v>0</v>
      </c>
      <c r="T514" s="12">
        <v>1</v>
      </c>
      <c r="U514" s="12" t="s">
        <v>62</v>
      </c>
      <c r="V514" s="12">
        <v>0</v>
      </c>
      <c r="W514" s="12">
        <v>54</v>
      </c>
      <c r="X514" s="12">
        <v>2</v>
      </c>
      <c r="Y514" s="12">
        <v>1</v>
      </c>
      <c r="Z514" s="12" t="s">
        <v>63</v>
      </c>
      <c r="AA514" s="12">
        <v>0</v>
      </c>
      <c r="AB514" s="12">
        <v>0</v>
      </c>
      <c r="AC514" s="12">
        <v>0</v>
      </c>
      <c r="AD514" s="12">
        <v>0</v>
      </c>
      <c r="AE514" s="12">
        <v>0</v>
      </c>
      <c r="AF514" s="12">
        <v>0</v>
      </c>
      <c r="AG514" s="12">
        <v>0</v>
      </c>
      <c r="AH514" s="12">
        <v>1</v>
      </c>
      <c r="AI514" s="12">
        <v>4</v>
      </c>
      <c r="AJ514" s="12" t="s">
        <v>57</v>
      </c>
      <c r="AK514" s="12">
        <v>1</v>
      </c>
      <c r="AL514" s="12">
        <v>0</v>
      </c>
      <c r="AM514" s="12">
        <v>2045</v>
      </c>
      <c r="AN514" s="12">
        <f t="shared" ref="AN514:AN577" si="122">IF(AM514&gt;$CD$8,$CD$8,IF(AM514&lt;$CD$9,$CD$9,AM514))</f>
        <v>2045</v>
      </c>
      <c r="AO514" s="12">
        <v>0</v>
      </c>
      <c r="AP514" s="12" t="s">
        <v>59</v>
      </c>
      <c r="AQ514" s="12">
        <v>0</v>
      </c>
      <c r="AR514" s="12">
        <v>13</v>
      </c>
      <c r="AS514" s="12">
        <v>3</v>
      </c>
      <c r="AT514" s="12">
        <v>4</v>
      </c>
      <c r="AU514" s="12">
        <v>0</v>
      </c>
      <c r="AV514" s="12">
        <v>5</v>
      </c>
      <c r="AW514" s="12">
        <f t="shared" ref="AW514:AW577" si="123">IF(AV514&gt;$CD$17,$CD$17,IF(AV514&lt;$CD$18,$CD$18,AV514))</f>
        <v>5</v>
      </c>
      <c r="AX514" s="12">
        <v>0</v>
      </c>
      <c r="AY514" s="12">
        <v>3</v>
      </c>
      <c r="AZ514" s="12">
        <v>4</v>
      </c>
      <c r="BA514" s="12">
        <f t="shared" ref="BA514:BA577" si="124">IF(AZ514&gt; $CD$21,$CD$21,IF(AZ514&lt;$CD$22,$CD$22,AZ514))</f>
        <v>4</v>
      </c>
      <c r="BB514" s="12">
        <v>2</v>
      </c>
      <c r="BC514" s="12">
        <v>1</v>
      </c>
      <c r="BD514" s="12">
        <f t="shared" si="118"/>
        <v>1</v>
      </c>
      <c r="BE514" s="12">
        <v>1</v>
      </c>
      <c r="BF514" s="12">
        <f t="shared" ref="BF514:BF577" si="125">IF(BE514&gt;$CD$12,$CD$12,IF(BE514&lt;$CD$13,$CD$13,BE514))</f>
        <v>1</v>
      </c>
      <c r="BG514" s="12">
        <f t="shared" si="119"/>
        <v>1</v>
      </c>
      <c r="BH514" s="67">
        <v>1</v>
      </c>
      <c r="BI514" s="67">
        <v>0</v>
      </c>
      <c r="BJ514" s="67">
        <v>0</v>
      </c>
      <c r="BK514" s="67">
        <v>0</v>
      </c>
      <c r="BL514" s="67">
        <v>1</v>
      </c>
      <c r="BM514" s="67">
        <v>0</v>
      </c>
      <c r="BN514" s="67">
        <v>0</v>
      </c>
      <c r="BO514" s="67">
        <v>0</v>
      </c>
      <c r="BP514" s="67">
        <v>0</v>
      </c>
      <c r="BQ514" s="67">
        <v>1</v>
      </c>
      <c r="BR514" s="67">
        <v>0</v>
      </c>
      <c r="BS514" s="67">
        <v>0</v>
      </c>
      <c r="BT514" s="67">
        <v>5</v>
      </c>
      <c r="BU514" s="70">
        <v>0</v>
      </c>
      <c r="BV514" s="29">
        <f t="shared" ref="BV514:BV577" si="126">ABS((AM514-AVERAGE(AM:AM))/_xlfn.STDEV.S(AM:AM))</f>
        <v>0.94689299369131807</v>
      </c>
      <c r="BW514">
        <f t="shared" ref="BW514:BW577" si="127">ABS((BE514-AVERAGE(BE:BE))/_xlfn.STDEV.S(BE:BE))</f>
        <v>0.87528310193156111</v>
      </c>
      <c r="BX514">
        <f t="shared" ref="BX514:BX577" si="128">ABS((AV514-AVERAGE(AV:AV))/_xlfn.STDEV.S(AV:AV))</f>
        <v>0.80706439257840468</v>
      </c>
      <c r="BY514">
        <f t="shared" ref="BY514:BY577" si="129">ABS((AZ514-AVERAGE(AZ:AZ))/_xlfn.STDEV.S(AZ:AZ))</f>
        <v>0.49100643357776058</v>
      </c>
      <c r="BZ514">
        <f t="shared" ref="BZ514:BZ577" si="130">ABS((K514-AVERAGE(K:K))/_xlfn.STDEV.S(K:K))</f>
        <v>0.76386092994953758</v>
      </c>
      <c r="CA514">
        <f t="shared" ref="CA514:CA577" si="131">ABS((A514-AVERAGE(A:A))/_xlfn.STDEV.S(A:A))</f>
        <v>1.0863058347434136</v>
      </c>
      <c r="CB514">
        <f t="shared" ref="CB514:CB577" si="132">ABS((BC514-AVERAGE(BC:BC))/_xlfn.STDEV.S(BC:BC))</f>
        <v>0.36858985273641137</v>
      </c>
    </row>
    <row r="515" spans="1:80" x14ac:dyDescent="0.45">
      <c r="A515" s="11">
        <v>20</v>
      </c>
      <c r="B515" s="12">
        <f t="shared" si="120"/>
        <v>20</v>
      </c>
      <c r="C515" s="12" t="s">
        <v>52</v>
      </c>
      <c r="D515" s="12">
        <v>1</v>
      </c>
      <c r="E515" s="12" t="s">
        <v>53</v>
      </c>
      <c r="F515" s="12">
        <v>0</v>
      </c>
      <c r="G515" s="12">
        <v>1</v>
      </c>
      <c r="H515" s="12" t="s">
        <v>61</v>
      </c>
      <c r="I515" s="12">
        <v>1</v>
      </c>
      <c r="J515" s="12">
        <v>0</v>
      </c>
      <c r="K515" s="12">
        <v>10</v>
      </c>
      <c r="L515" s="12">
        <f t="shared" si="121"/>
        <v>10</v>
      </c>
      <c r="M515" s="12">
        <v>1</v>
      </c>
      <c r="N515" s="12" t="s">
        <v>70</v>
      </c>
      <c r="O515" s="12">
        <v>0</v>
      </c>
      <c r="P515" s="12">
        <v>0</v>
      </c>
      <c r="Q515" s="12">
        <v>1</v>
      </c>
      <c r="R515" s="12">
        <v>0</v>
      </c>
      <c r="S515" s="12">
        <v>0</v>
      </c>
      <c r="T515" s="12">
        <v>4</v>
      </c>
      <c r="U515" s="12" t="s">
        <v>62</v>
      </c>
      <c r="V515" s="12">
        <v>0</v>
      </c>
      <c r="W515" s="12">
        <v>32</v>
      </c>
      <c r="X515" s="12">
        <v>3</v>
      </c>
      <c r="Y515" s="12">
        <v>1</v>
      </c>
      <c r="Z515" s="12" t="s">
        <v>63</v>
      </c>
      <c r="AA515" s="12">
        <v>0</v>
      </c>
      <c r="AB515" s="12">
        <v>0</v>
      </c>
      <c r="AC515" s="12">
        <v>0</v>
      </c>
      <c r="AD515" s="12">
        <v>0</v>
      </c>
      <c r="AE515" s="12">
        <v>0</v>
      </c>
      <c r="AF515" s="12">
        <v>0</v>
      </c>
      <c r="AG515" s="12">
        <v>0</v>
      </c>
      <c r="AH515" s="12">
        <v>1</v>
      </c>
      <c r="AI515" s="12">
        <v>3</v>
      </c>
      <c r="AJ515" s="12" t="s">
        <v>57</v>
      </c>
      <c r="AK515" s="12">
        <v>1</v>
      </c>
      <c r="AL515" s="12">
        <v>0</v>
      </c>
      <c r="AM515" s="12">
        <v>1009</v>
      </c>
      <c r="AN515" s="12">
        <f t="shared" si="122"/>
        <v>1382.46</v>
      </c>
      <c r="AO515" s="12">
        <v>1</v>
      </c>
      <c r="AP515" s="12" t="s">
        <v>52</v>
      </c>
      <c r="AQ515" s="12">
        <v>1</v>
      </c>
      <c r="AR515" s="12">
        <v>11</v>
      </c>
      <c r="AS515" s="12">
        <v>3</v>
      </c>
      <c r="AT515" s="12">
        <v>4</v>
      </c>
      <c r="AU515" s="12">
        <v>0</v>
      </c>
      <c r="AV515" s="12">
        <v>1</v>
      </c>
      <c r="AW515" s="12">
        <f t="shared" si="123"/>
        <v>1</v>
      </c>
      <c r="AX515" s="12">
        <v>5</v>
      </c>
      <c r="AY515" s="12">
        <v>3</v>
      </c>
      <c r="AZ515" s="12">
        <v>1</v>
      </c>
      <c r="BA515" s="12">
        <f t="shared" si="124"/>
        <v>1</v>
      </c>
      <c r="BB515" s="12">
        <v>0</v>
      </c>
      <c r="BC515" s="12">
        <v>1</v>
      </c>
      <c r="BD515" s="12">
        <f t="shared" ref="BD515:BD578" si="133">IF(BC515&gt;$CD$33,$CD$33,BC515)</f>
        <v>1</v>
      </c>
      <c r="BE515" s="12">
        <v>1</v>
      </c>
      <c r="BF515" s="12">
        <f t="shared" si="125"/>
        <v>1</v>
      </c>
      <c r="BG515" s="12">
        <f t="shared" ref="BG515:BG578" si="134">BF515*Y515</f>
        <v>1</v>
      </c>
      <c r="BH515" s="67">
        <v>1</v>
      </c>
      <c r="BI515" s="67">
        <v>0</v>
      </c>
      <c r="BJ515" s="67">
        <v>0</v>
      </c>
      <c r="BK515" s="67">
        <v>0</v>
      </c>
      <c r="BL515" s="67">
        <v>0</v>
      </c>
      <c r="BM515" s="67">
        <v>1</v>
      </c>
      <c r="BN515" s="67">
        <v>0</v>
      </c>
      <c r="BO515" s="67">
        <v>0</v>
      </c>
      <c r="BP515" s="67">
        <v>0</v>
      </c>
      <c r="BQ515" s="67">
        <v>1</v>
      </c>
      <c r="BR515" s="67">
        <v>0</v>
      </c>
      <c r="BS515" s="67">
        <v>0</v>
      </c>
      <c r="BT515" s="67">
        <v>1</v>
      </c>
      <c r="BU515" s="70">
        <v>0</v>
      </c>
      <c r="BV515" s="29">
        <f t="shared" si="126"/>
        <v>1.1669459907195272</v>
      </c>
      <c r="BW515">
        <f t="shared" si="127"/>
        <v>0.87528310193156111</v>
      </c>
      <c r="BX515">
        <f t="shared" si="128"/>
        <v>1.3211515584717011</v>
      </c>
      <c r="BY515">
        <f t="shared" si="129"/>
        <v>0.9806804209314296</v>
      </c>
      <c r="BZ515">
        <f t="shared" si="130"/>
        <v>9.9604847176766084E-2</v>
      </c>
      <c r="CA515">
        <f t="shared" si="131"/>
        <v>1.8525580310355525</v>
      </c>
      <c r="CB515">
        <f t="shared" si="132"/>
        <v>0.36858985273641137</v>
      </c>
    </row>
    <row r="516" spans="1:80" x14ac:dyDescent="0.45">
      <c r="A516" s="11">
        <v>33</v>
      </c>
      <c r="B516" s="12">
        <f t="shared" si="120"/>
        <v>33</v>
      </c>
      <c r="C516" s="12" t="s">
        <v>52</v>
      </c>
      <c r="D516" s="12">
        <v>1</v>
      </c>
      <c r="E516" s="12" t="s">
        <v>60</v>
      </c>
      <c r="F516" s="12">
        <v>1</v>
      </c>
      <c r="G516" s="12">
        <v>0</v>
      </c>
      <c r="H516" s="12" t="s">
        <v>61</v>
      </c>
      <c r="I516" s="12">
        <v>1</v>
      </c>
      <c r="J516" s="12">
        <v>0</v>
      </c>
      <c r="K516" s="12">
        <v>3</v>
      </c>
      <c r="L516" s="12">
        <f t="shared" si="121"/>
        <v>3</v>
      </c>
      <c r="M516" s="12">
        <v>3</v>
      </c>
      <c r="N516" s="12" t="s">
        <v>55</v>
      </c>
      <c r="O516" s="12">
        <v>1</v>
      </c>
      <c r="P516" s="12">
        <v>0</v>
      </c>
      <c r="Q516" s="12">
        <v>0</v>
      </c>
      <c r="R516" s="12">
        <v>0</v>
      </c>
      <c r="S516" s="12">
        <v>0</v>
      </c>
      <c r="T516" s="12">
        <v>1</v>
      </c>
      <c r="U516" s="12" t="s">
        <v>62</v>
      </c>
      <c r="V516" s="12">
        <v>0</v>
      </c>
      <c r="W516" s="12">
        <v>70</v>
      </c>
      <c r="X516" s="12">
        <v>3</v>
      </c>
      <c r="Y516" s="12">
        <v>1</v>
      </c>
      <c r="Z516" s="12" t="s">
        <v>63</v>
      </c>
      <c r="AA516" s="12">
        <v>0</v>
      </c>
      <c r="AB516" s="12">
        <v>0</v>
      </c>
      <c r="AC516" s="12">
        <v>0</v>
      </c>
      <c r="AD516" s="12">
        <v>0</v>
      </c>
      <c r="AE516" s="12">
        <v>0</v>
      </c>
      <c r="AF516" s="12">
        <v>0</v>
      </c>
      <c r="AG516" s="12">
        <v>0</v>
      </c>
      <c r="AH516" s="12">
        <v>1</v>
      </c>
      <c r="AI516" s="12">
        <v>1</v>
      </c>
      <c r="AJ516" s="12" t="s">
        <v>57</v>
      </c>
      <c r="AK516" s="12">
        <v>1</v>
      </c>
      <c r="AL516" s="12">
        <v>0</v>
      </c>
      <c r="AM516" s="12">
        <v>3348</v>
      </c>
      <c r="AN516" s="12">
        <f t="shared" si="122"/>
        <v>3348</v>
      </c>
      <c r="AO516" s="12">
        <v>1</v>
      </c>
      <c r="AP516" s="12" t="s">
        <v>52</v>
      </c>
      <c r="AQ516" s="12">
        <v>1</v>
      </c>
      <c r="AR516" s="12">
        <v>11</v>
      </c>
      <c r="AS516" s="12">
        <v>3</v>
      </c>
      <c r="AT516" s="12">
        <v>1</v>
      </c>
      <c r="AU516" s="12">
        <v>0</v>
      </c>
      <c r="AV516" s="12">
        <v>10</v>
      </c>
      <c r="AW516" s="12">
        <f t="shared" si="123"/>
        <v>10</v>
      </c>
      <c r="AX516" s="12">
        <v>3</v>
      </c>
      <c r="AY516" s="12">
        <v>3</v>
      </c>
      <c r="AZ516" s="12">
        <v>10</v>
      </c>
      <c r="BA516" s="12">
        <f t="shared" si="124"/>
        <v>10</v>
      </c>
      <c r="BB516" s="12">
        <v>8</v>
      </c>
      <c r="BC516" s="12">
        <v>9</v>
      </c>
      <c r="BD516" s="12">
        <f t="shared" si="133"/>
        <v>9</v>
      </c>
      <c r="BE516" s="12">
        <v>7</v>
      </c>
      <c r="BF516" s="12">
        <f t="shared" si="125"/>
        <v>7</v>
      </c>
      <c r="BG516" s="12">
        <f t="shared" si="134"/>
        <v>7</v>
      </c>
      <c r="BH516" s="67">
        <v>0</v>
      </c>
      <c r="BI516" s="67">
        <v>0</v>
      </c>
      <c r="BJ516" s="67">
        <v>1</v>
      </c>
      <c r="BK516" s="67">
        <v>0</v>
      </c>
      <c r="BL516" s="67">
        <v>0</v>
      </c>
      <c r="BM516" s="67">
        <v>1</v>
      </c>
      <c r="BN516" s="67">
        <v>0</v>
      </c>
      <c r="BO516" s="67">
        <v>0</v>
      </c>
      <c r="BP516" s="67">
        <v>0</v>
      </c>
      <c r="BQ516" s="67">
        <v>7</v>
      </c>
      <c r="BR516" s="67">
        <v>0</v>
      </c>
      <c r="BS516" s="67">
        <v>0</v>
      </c>
      <c r="BT516" s="67">
        <v>10</v>
      </c>
      <c r="BU516" s="70">
        <v>0</v>
      </c>
      <c r="BV516" s="29">
        <f t="shared" si="126"/>
        <v>0.67012749646375391</v>
      </c>
      <c r="BW516">
        <f t="shared" si="127"/>
        <v>0.80626709607243985</v>
      </c>
      <c r="BX516">
        <f t="shared" si="128"/>
        <v>0.1644554352117841</v>
      </c>
      <c r="BY516">
        <f t="shared" si="129"/>
        <v>0.48834154112957734</v>
      </c>
      <c r="BZ516">
        <f t="shared" si="130"/>
        <v>0.76386092994953758</v>
      </c>
      <c r="CA516">
        <f t="shared" si="131"/>
        <v>0.42951823792158</v>
      </c>
      <c r="CB516">
        <f t="shared" si="132"/>
        <v>2.114008468099899</v>
      </c>
    </row>
    <row r="517" spans="1:80" x14ac:dyDescent="0.45">
      <c r="A517" s="11">
        <v>35</v>
      </c>
      <c r="B517" s="12">
        <f t="shared" si="120"/>
        <v>35</v>
      </c>
      <c r="C517" s="12" t="s">
        <v>59</v>
      </c>
      <c r="D517" s="12">
        <v>0</v>
      </c>
      <c r="E517" s="12" t="s">
        <v>86</v>
      </c>
      <c r="F517" s="12">
        <v>0</v>
      </c>
      <c r="G517" s="12">
        <v>0</v>
      </c>
      <c r="H517" s="12" t="s">
        <v>61</v>
      </c>
      <c r="I517" s="12">
        <v>1</v>
      </c>
      <c r="J517" s="12">
        <v>0</v>
      </c>
      <c r="K517" s="12">
        <v>3</v>
      </c>
      <c r="L517" s="12">
        <f t="shared" si="121"/>
        <v>3</v>
      </c>
      <c r="M517" s="12">
        <v>3</v>
      </c>
      <c r="N517" s="12" t="s">
        <v>55</v>
      </c>
      <c r="O517" s="12">
        <v>1</v>
      </c>
      <c r="P517" s="12">
        <v>0</v>
      </c>
      <c r="Q517" s="12">
        <v>0</v>
      </c>
      <c r="R517" s="12">
        <v>0</v>
      </c>
      <c r="S517" s="12">
        <v>0</v>
      </c>
      <c r="T517" s="12">
        <v>3</v>
      </c>
      <c r="U517" s="12" t="s">
        <v>62</v>
      </c>
      <c r="V517" s="12">
        <v>0</v>
      </c>
      <c r="W517" s="12">
        <v>41</v>
      </c>
      <c r="X517" s="12">
        <v>2</v>
      </c>
      <c r="Y517" s="12">
        <v>1</v>
      </c>
      <c r="Z517" s="12" t="s">
        <v>67</v>
      </c>
      <c r="AA517" s="12">
        <v>0</v>
      </c>
      <c r="AB517" s="12">
        <v>0</v>
      </c>
      <c r="AC517" s="12">
        <v>1</v>
      </c>
      <c r="AD517" s="12">
        <v>0</v>
      </c>
      <c r="AE517" s="12">
        <v>0</v>
      </c>
      <c r="AF517" s="12">
        <v>0</v>
      </c>
      <c r="AG517" s="12">
        <v>0</v>
      </c>
      <c r="AH517" s="12">
        <v>0</v>
      </c>
      <c r="AI517" s="12">
        <v>3</v>
      </c>
      <c r="AJ517" s="12" t="s">
        <v>64</v>
      </c>
      <c r="AK517" s="12">
        <v>0</v>
      </c>
      <c r="AL517" s="12">
        <v>1</v>
      </c>
      <c r="AM517" s="12">
        <v>1281</v>
      </c>
      <c r="AN517" s="12">
        <f t="shared" si="122"/>
        <v>1382.46</v>
      </c>
      <c r="AO517" s="12">
        <v>1</v>
      </c>
      <c r="AP517" s="12" t="s">
        <v>59</v>
      </c>
      <c r="AQ517" s="12">
        <v>0</v>
      </c>
      <c r="AR517" s="12">
        <v>18</v>
      </c>
      <c r="AS517" s="12">
        <v>3</v>
      </c>
      <c r="AT517" s="12">
        <v>3</v>
      </c>
      <c r="AU517" s="12">
        <v>2</v>
      </c>
      <c r="AV517" s="12">
        <v>1</v>
      </c>
      <c r="AW517" s="12">
        <f t="shared" si="123"/>
        <v>1</v>
      </c>
      <c r="AX517" s="12">
        <v>3</v>
      </c>
      <c r="AY517" s="12">
        <v>3</v>
      </c>
      <c r="AZ517" s="12">
        <v>1</v>
      </c>
      <c r="BA517" s="12">
        <f t="shared" si="124"/>
        <v>1</v>
      </c>
      <c r="BB517" s="12">
        <v>0</v>
      </c>
      <c r="BC517" s="12">
        <v>0</v>
      </c>
      <c r="BD517" s="12">
        <f t="shared" si="133"/>
        <v>0</v>
      </c>
      <c r="BE517" s="12">
        <v>0</v>
      </c>
      <c r="BF517" s="12">
        <f t="shared" si="125"/>
        <v>0</v>
      </c>
      <c r="BG517" s="12">
        <f t="shared" si="134"/>
        <v>0</v>
      </c>
      <c r="BH517" s="67">
        <v>0</v>
      </c>
      <c r="BI517" s="67">
        <v>1</v>
      </c>
      <c r="BJ517" s="67">
        <v>0</v>
      </c>
      <c r="BK517" s="67">
        <v>0</v>
      </c>
      <c r="BL517" s="67">
        <v>0</v>
      </c>
      <c r="BM517" s="67">
        <v>0</v>
      </c>
      <c r="BN517" s="67">
        <v>1</v>
      </c>
      <c r="BO517" s="67">
        <v>0</v>
      </c>
      <c r="BP517" s="67">
        <v>0</v>
      </c>
      <c r="BQ517" s="67">
        <v>0</v>
      </c>
      <c r="BR517" s="67">
        <v>0</v>
      </c>
      <c r="BS517" s="67">
        <v>0</v>
      </c>
      <c r="BT517" s="67">
        <v>1</v>
      </c>
      <c r="BU517" s="70">
        <v>0</v>
      </c>
      <c r="BV517" s="29">
        <f t="shared" si="126"/>
        <v>1.1091714586812329</v>
      </c>
      <c r="BW517">
        <f t="shared" si="127"/>
        <v>1.1555414682655611</v>
      </c>
      <c r="BX517">
        <f t="shared" si="128"/>
        <v>1.3211515584717011</v>
      </c>
      <c r="BY517">
        <f t="shared" si="129"/>
        <v>0.9806804209314296</v>
      </c>
      <c r="BZ517">
        <f t="shared" si="130"/>
        <v>0.76386092994953758</v>
      </c>
      <c r="CA517">
        <f t="shared" si="131"/>
        <v>0.21058903898096887</v>
      </c>
      <c r="CB517">
        <f t="shared" si="132"/>
        <v>0.67891464284095016</v>
      </c>
    </row>
    <row r="518" spans="1:80" x14ac:dyDescent="0.45">
      <c r="A518" s="11">
        <v>23</v>
      </c>
      <c r="B518" s="12">
        <f t="shared" si="120"/>
        <v>23</v>
      </c>
      <c r="C518" s="12" t="s">
        <v>59</v>
      </c>
      <c r="D518" s="12">
        <v>0</v>
      </c>
      <c r="E518" s="12" t="s">
        <v>53</v>
      </c>
      <c r="F518" s="12">
        <v>0</v>
      </c>
      <c r="G518" s="12">
        <v>1</v>
      </c>
      <c r="H518" s="12" t="s">
        <v>61</v>
      </c>
      <c r="I518" s="12">
        <v>1</v>
      </c>
      <c r="J518" s="12">
        <v>0</v>
      </c>
      <c r="K518" s="12">
        <v>4</v>
      </c>
      <c r="L518" s="12">
        <f t="shared" si="121"/>
        <v>4</v>
      </c>
      <c r="M518" s="12">
        <v>3</v>
      </c>
      <c r="N518" s="12" t="s">
        <v>70</v>
      </c>
      <c r="O518" s="12">
        <v>0</v>
      </c>
      <c r="P518" s="12">
        <v>0</v>
      </c>
      <c r="Q518" s="12">
        <v>1</v>
      </c>
      <c r="R518" s="12">
        <v>0</v>
      </c>
      <c r="S518" s="12">
        <v>0</v>
      </c>
      <c r="T518" s="12">
        <v>1</v>
      </c>
      <c r="U518" s="12" t="s">
        <v>62</v>
      </c>
      <c r="V518" s="12">
        <v>0</v>
      </c>
      <c r="W518" s="12">
        <v>58</v>
      </c>
      <c r="X518" s="12">
        <v>4</v>
      </c>
      <c r="Y518" s="12">
        <v>1</v>
      </c>
      <c r="Z518" s="12" t="s">
        <v>63</v>
      </c>
      <c r="AA518" s="12">
        <v>0</v>
      </c>
      <c r="AB518" s="12">
        <v>0</v>
      </c>
      <c r="AC518" s="12">
        <v>0</v>
      </c>
      <c r="AD518" s="12">
        <v>0</v>
      </c>
      <c r="AE518" s="12">
        <v>0</v>
      </c>
      <c r="AF518" s="12">
        <v>0</v>
      </c>
      <c r="AG518" s="12">
        <v>0</v>
      </c>
      <c r="AH518" s="12">
        <v>1</v>
      </c>
      <c r="AI518" s="12">
        <v>1</v>
      </c>
      <c r="AJ518" s="12" t="s">
        <v>64</v>
      </c>
      <c r="AK518" s="12">
        <v>0</v>
      </c>
      <c r="AL518" s="12">
        <v>1</v>
      </c>
      <c r="AM518" s="12">
        <v>2819</v>
      </c>
      <c r="AN518" s="12">
        <f t="shared" si="122"/>
        <v>2819</v>
      </c>
      <c r="AO518" s="12">
        <v>2</v>
      </c>
      <c r="AP518" s="12" t="s">
        <v>59</v>
      </c>
      <c r="AQ518" s="12">
        <v>0</v>
      </c>
      <c r="AR518" s="12">
        <v>16</v>
      </c>
      <c r="AS518" s="12">
        <v>3</v>
      </c>
      <c r="AT518" s="12">
        <v>1</v>
      </c>
      <c r="AU518" s="12">
        <v>1</v>
      </c>
      <c r="AV518" s="12">
        <v>5</v>
      </c>
      <c r="AW518" s="12">
        <f t="shared" si="123"/>
        <v>5</v>
      </c>
      <c r="AX518" s="12">
        <v>3</v>
      </c>
      <c r="AY518" s="12">
        <v>4</v>
      </c>
      <c r="AZ518" s="12">
        <v>3</v>
      </c>
      <c r="BA518" s="12">
        <f t="shared" si="124"/>
        <v>3</v>
      </c>
      <c r="BB518" s="12">
        <v>2</v>
      </c>
      <c r="BC518" s="12">
        <v>0</v>
      </c>
      <c r="BD518" s="12">
        <f t="shared" si="133"/>
        <v>0</v>
      </c>
      <c r="BE518" s="12">
        <v>2</v>
      </c>
      <c r="BF518" s="12">
        <f t="shared" si="125"/>
        <v>2</v>
      </c>
      <c r="BG518" s="12">
        <f t="shared" si="134"/>
        <v>2</v>
      </c>
      <c r="BH518" s="67">
        <v>0</v>
      </c>
      <c r="BI518" s="67">
        <v>1</v>
      </c>
      <c r="BJ518" s="67">
        <v>0</v>
      </c>
      <c r="BK518" s="67">
        <v>0</v>
      </c>
      <c r="BL518" s="67">
        <v>0</v>
      </c>
      <c r="BM518" s="67">
        <v>0</v>
      </c>
      <c r="BN518" s="67">
        <v>1</v>
      </c>
      <c r="BO518" s="67">
        <v>0</v>
      </c>
      <c r="BP518" s="67">
        <v>0</v>
      </c>
      <c r="BQ518" s="67">
        <v>2</v>
      </c>
      <c r="BR518" s="67">
        <v>0</v>
      </c>
      <c r="BS518" s="67">
        <v>0</v>
      </c>
      <c r="BT518" s="67">
        <v>5</v>
      </c>
      <c r="BU518" s="70">
        <v>0</v>
      </c>
      <c r="BV518" s="29">
        <f t="shared" si="126"/>
        <v>0.78249046502352471</v>
      </c>
      <c r="BW518">
        <f t="shared" si="127"/>
        <v>0.59502473559756086</v>
      </c>
      <c r="BX518">
        <f t="shared" si="128"/>
        <v>0.80706439257840468</v>
      </c>
      <c r="BY518">
        <f t="shared" si="129"/>
        <v>0.65423109602898355</v>
      </c>
      <c r="BZ518">
        <f t="shared" si="130"/>
        <v>0.64050867607435136</v>
      </c>
      <c r="CA518">
        <f t="shared" si="131"/>
        <v>1.5241642326246359</v>
      </c>
      <c r="CB518">
        <f t="shared" si="132"/>
        <v>0.67891464284095016</v>
      </c>
    </row>
    <row r="519" spans="1:80" x14ac:dyDescent="0.45">
      <c r="A519" s="11">
        <v>25</v>
      </c>
      <c r="B519" s="12">
        <f t="shared" si="120"/>
        <v>25</v>
      </c>
      <c r="C519" s="12" t="s">
        <v>59</v>
      </c>
      <c r="D519" s="12">
        <v>0</v>
      </c>
      <c r="E519" s="12" t="s">
        <v>53</v>
      </c>
      <c r="F519" s="12">
        <v>0</v>
      </c>
      <c r="G519" s="12">
        <v>1</v>
      </c>
      <c r="H519" s="12" t="s">
        <v>54</v>
      </c>
      <c r="I519" s="12">
        <v>0</v>
      </c>
      <c r="J519" s="12">
        <v>1</v>
      </c>
      <c r="K519" s="12">
        <v>8</v>
      </c>
      <c r="L519" s="12">
        <f t="shared" si="121"/>
        <v>8</v>
      </c>
      <c r="M519" s="12">
        <v>3</v>
      </c>
      <c r="N519" s="12" t="s">
        <v>55</v>
      </c>
      <c r="O519" s="12">
        <v>1</v>
      </c>
      <c r="P519" s="12">
        <v>0</v>
      </c>
      <c r="Q519" s="12">
        <v>0</v>
      </c>
      <c r="R519" s="12">
        <v>0</v>
      </c>
      <c r="S519" s="12">
        <v>0</v>
      </c>
      <c r="T519" s="12">
        <v>4</v>
      </c>
      <c r="U519" s="12" t="s">
        <v>62</v>
      </c>
      <c r="V519" s="12">
        <v>0</v>
      </c>
      <c r="W519" s="12">
        <v>57</v>
      </c>
      <c r="X519" s="12">
        <v>4</v>
      </c>
      <c r="Y519" s="12">
        <v>2</v>
      </c>
      <c r="Z519" s="12" t="s">
        <v>56</v>
      </c>
      <c r="AA519" s="12">
        <v>0</v>
      </c>
      <c r="AB519" s="12">
        <v>1</v>
      </c>
      <c r="AC519" s="12">
        <v>0</v>
      </c>
      <c r="AD519" s="12">
        <v>0</v>
      </c>
      <c r="AE519" s="12">
        <v>0</v>
      </c>
      <c r="AF519" s="12">
        <v>0</v>
      </c>
      <c r="AG519" s="12">
        <v>0</v>
      </c>
      <c r="AH519" s="12">
        <v>0</v>
      </c>
      <c r="AI519" s="12">
        <v>2</v>
      </c>
      <c r="AJ519" s="12" t="s">
        <v>64</v>
      </c>
      <c r="AK519" s="12">
        <v>0</v>
      </c>
      <c r="AL519" s="12">
        <v>1</v>
      </c>
      <c r="AM519" s="12">
        <v>4851</v>
      </c>
      <c r="AN519" s="12">
        <f t="shared" si="122"/>
        <v>4851</v>
      </c>
      <c r="AO519" s="12">
        <v>0</v>
      </c>
      <c r="AP519" s="12" t="s">
        <v>59</v>
      </c>
      <c r="AQ519" s="12">
        <v>0</v>
      </c>
      <c r="AR519" s="12">
        <v>22</v>
      </c>
      <c r="AS519" s="12">
        <v>4</v>
      </c>
      <c r="AT519" s="12">
        <v>3</v>
      </c>
      <c r="AU519" s="12">
        <v>1</v>
      </c>
      <c r="AV519" s="12">
        <v>4</v>
      </c>
      <c r="AW519" s="12">
        <f t="shared" si="123"/>
        <v>4</v>
      </c>
      <c r="AX519" s="12">
        <v>4</v>
      </c>
      <c r="AY519" s="12">
        <v>3</v>
      </c>
      <c r="AZ519" s="12">
        <v>3</v>
      </c>
      <c r="BA519" s="12">
        <f t="shared" si="124"/>
        <v>3</v>
      </c>
      <c r="BB519" s="12">
        <v>2</v>
      </c>
      <c r="BC519" s="12">
        <v>1</v>
      </c>
      <c r="BD519" s="12">
        <f t="shared" si="133"/>
        <v>1</v>
      </c>
      <c r="BE519" s="12">
        <v>2</v>
      </c>
      <c r="BF519" s="12">
        <f t="shared" si="125"/>
        <v>2</v>
      </c>
      <c r="BG519" s="12">
        <f t="shared" si="134"/>
        <v>4</v>
      </c>
      <c r="BH519" s="67">
        <v>0</v>
      </c>
      <c r="BI519" s="67">
        <v>1</v>
      </c>
      <c r="BJ519" s="67">
        <v>0</v>
      </c>
      <c r="BK519" s="67">
        <v>0</v>
      </c>
      <c r="BL519" s="67">
        <v>0</v>
      </c>
      <c r="BM519" s="67">
        <v>0</v>
      </c>
      <c r="BN519" s="67">
        <v>1</v>
      </c>
      <c r="BO519" s="67">
        <v>0</v>
      </c>
      <c r="BP519" s="67">
        <v>0</v>
      </c>
      <c r="BQ519" s="67">
        <v>0</v>
      </c>
      <c r="BR519" s="67">
        <v>2</v>
      </c>
      <c r="BS519" s="67">
        <v>0</v>
      </c>
      <c r="BT519" s="67">
        <v>0</v>
      </c>
      <c r="BU519" s="70">
        <v>4</v>
      </c>
      <c r="BV519" s="29">
        <f t="shared" si="126"/>
        <v>0.35088072567862033</v>
      </c>
      <c r="BW519">
        <f t="shared" si="127"/>
        <v>0.59502473559756086</v>
      </c>
      <c r="BX519">
        <f t="shared" si="128"/>
        <v>0.93558618405172878</v>
      </c>
      <c r="BY519">
        <f t="shared" si="129"/>
        <v>0.65423109602898355</v>
      </c>
      <c r="BZ519">
        <f t="shared" si="130"/>
        <v>0.14709966057360641</v>
      </c>
      <c r="CA519">
        <f t="shared" si="131"/>
        <v>1.3052350336840246</v>
      </c>
      <c r="CB519">
        <f t="shared" si="132"/>
        <v>0.36858985273641137</v>
      </c>
    </row>
    <row r="520" spans="1:80" x14ac:dyDescent="0.45">
      <c r="A520" s="11">
        <v>38</v>
      </c>
      <c r="B520" s="12">
        <f t="shared" si="120"/>
        <v>38</v>
      </c>
      <c r="C520" s="12" t="s">
        <v>59</v>
      </c>
      <c r="D520" s="12">
        <v>0</v>
      </c>
      <c r="E520" s="12" t="s">
        <v>53</v>
      </c>
      <c r="F520" s="12">
        <v>0</v>
      </c>
      <c r="G520" s="12">
        <v>1</v>
      </c>
      <c r="H520" s="12" t="s">
        <v>54</v>
      </c>
      <c r="I520" s="12">
        <v>0</v>
      </c>
      <c r="J520" s="12">
        <v>1</v>
      </c>
      <c r="K520" s="12">
        <v>7</v>
      </c>
      <c r="L520" s="12">
        <f t="shared" si="121"/>
        <v>7</v>
      </c>
      <c r="M520" s="12">
        <v>4</v>
      </c>
      <c r="N520" s="12" t="s">
        <v>90</v>
      </c>
      <c r="O520" s="12">
        <v>0</v>
      </c>
      <c r="P520" s="12">
        <v>0</v>
      </c>
      <c r="Q520" s="12">
        <v>0</v>
      </c>
      <c r="R520" s="12">
        <v>1</v>
      </c>
      <c r="S520" s="12">
        <v>0</v>
      </c>
      <c r="T520" s="12">
        <v>4</v>
      </c>
      <c r="U520" s="12" t="s">
        <v>19</v>
      </c>
      <c r="V520" s="12">
        <v>1</v>
      </c>
      <c r="W520" s="12">
        <v>46</v>
      </c>
      <c r="X520" s="12">
        <v>2</v>
      </c>
      <c r="Y520" s="12">
        <v>2</v>
      </c>
      <c r="Z520" s="12" t="s">
        <v>56</v>
      </c>
      <c r="AA520" s="12">
        <v>0</v>
      </c>
      <c r="AB520" s="12">
        <v>1</v>
      </c>
      <c r="AC520" s="12">
        <v>0</v>
      </c>
      <c r="AD520" s="12">
        <v>0</v>
      </c>
      <c r="AE520" s="12">
        <v>0</v>
      </c>
      <c r="AF520" s="12">
        <v>0</v>
      </c>
      <c r="AG520" s="12">
        <v>0</v>
      </c>
      <c r="AH520" s="12">
        <v>0</v>
      </c>
      <c r="AI520" s="12">
        <v>4</v>
      </c>
      <c r="AJ520" s="12" t="s">
        <v>57</v>
      </c>
      <c r="AK520" s="12">
        <v>1</v>
      </c>
      <c r="AL520" s="12">
        <v>0</v>
      </c>
      <c r="AM520" s="12">
        <v>4028</v>
      </c>
      <c r="AN520" s="12">
        <f t="shared" si="122"/>
        <v>4028</v>
      </c>
      <c r="AO520" s="12">
        <v>0</v>
      </c>
      <c r="AP520" s="12" t="s">
        <v>59</v>
      </c>
      <c r="AQ520" s="12">
        <v>0</v>
      </c>
      <c r="AR520" s="12">
        <v>20</v>
      </c>
      <c r="AS520" s="12">
        <v>4</v>
      </c>
      <c r="AT520" s="12">
        <v>1</v>
      </c>
      <c r="AU520" s="12">
        <v>0</v>
      </c>
      <c r="AV520" s="12">
        <v>8</v>
      </c>
      <c r="AW520" s="12">
        <f t="shared" si="123"/>
        <v>8</v>
      </c>
      <c r="AX520" s="12">
        <v>2</v>
      </c>
      <c r="AY520" s="12">
        <v>3</v>
      </c>
      <c r="AZ520" s="12">
        <v>7</v>
      </c>
      <c r="BA520" s="12">
        <f t="shared" si="124"/>
        <v>7</v>
      </c>
      <c r="BB520" s="12">
        <v>7</v>
      </c>
      <c r="BC520" s="12">
        <v>0</v>
      </c>
      <c r="BD520" s="12">
        <f t="shared" si="133"/>
        <v>0</v>
      </c>
      <c r="BE520" s="12">
        <v>5</v>
      </c>
      <c r="BF520" s="12">
        <f t="shared" si="125"/>
        <v>5</v>
      </c>
      <c r="BG520" s="12">
        <f t="shared" si="134"/>
        <v>10</v>
      </c>
      <c r="BH520" s="67">
        <v>1</v>
      </c>
      <c r="BI520" s="67">
        <v>0</v>
      </c>
      <c r="BJ520" s="67">
        <v>0</v>
      </c>
      <c r="BK520" s="67">
        <v>0</v>
      </c>
      <c r="BL520" s="67">
        <v>1</v>
      </c>
      <c r="BM520" s="67">
        <v>0</v>
      </c>
      <c r="BN520" s="67">
        <v>0</v>
      </c>
      <c r="BO520" s="67">
        <v>0</v>
      </c>
      <c r="BP520" s="67">
        <v>0</v>
      </c>
      <c r="BQ520" s="67">
        <v>0</v>
      </c>
      <c r="BR520" s="67">
        <v>5</v>
      </c>
      <c r="BS520" s="67">
        <v>0</v>
      </c>
      <c r="BT520" s="67">
        <v>0</v>
      </c>
      <c r="BU520" s="70">
        <v>8</v>
      </c>
      <c r="BV520" s="29">
        <f t="shared" si="126"/>
        <v>0.52569116636801816</v>
      </c>
      <c r="BW520">
        <f t="shared" si="127"/>
        <v>0.24575036340443959</v>
      </c>
      <c r="BX520">
        <f t="shared" si="128"/>
        <v>0.42149901815843233</v>
      </c>
      <c r="BY520">
        <f t="shared" si="129"/>
        <v>1.3324462240916321E-3</v>
      </c>
      <c r="BZ520">
        <f t="shared" si="130"/>
        <v>0.27045191444879263</v>
      </c>
      <c r="CA520">
        <f t="shared" si="131"/>
        <v>0.11780475942994788</v>
      </c>
      <c r="CB520">
        <f t="shared" si="132"/>
        <v>0.67891464284095016</v>
      </c>
    </row>
    <row r="521" spans="1:80" x14ac:dyDescent="0.45">
      <c r="A521" s="11">
        <v>29</v>
      </c>
      <c r="B521" s="12">
        <f t="shared" si="120"/>
        <v>29</v>
      </c>
      <c r="C521" s="12" t="s">
        <v>59</v>
      </c>
      <c r="D521" s="12">
        <v>0</v>
      </c>
      <c r="E521" s="12" t="s">
        <v>60</v>
      </c>
      <c r="F521" s="12">
        <v>1</v>
      </c>
      <c r="G521" s="12">
        <v>0</v>
      </c>
      <c r="H521" s="12" t="s">
        <v>61</v>
      </c>
      <c r="I521" s="12">
        <v>1</v>
      </c>
      <c r="J521" s="12">
        <v>0</v>
      </c>
      <c r="K521" s="12">
        <v>1</v>
      </c>
      <c r="L521" s="12">
        <f t="shared" si="121"/>
        <v>1</v>
      </c>
      <c r="M521" s="12">
        <v>4</v>
      </c>
      <c r="N521" s="12" t="s">
        <v>55</v>
      </c>
      <c r="O521" s="12">
        <v>1</v>
      </c>
      <c r="P521" s="12">
        <v>0</v>
      </c>
      <c r="Q521" s="12">
        <v>0</v>
      </c>
      <c r="R521" s="12">
        <v>0</v>
      </c>
      <c r="S521" s="12">
        <v>0</v>
      </c>
      <c r="T521" s="12">
        <v>2</v>
      </c>
      <c r="U521" s="12" t="s">
        <v>62</v>
      </c>
      <c r="V521" s="12">
        <v>0</v>
      </c>
      <c r="W521" s="12">
        <v>76</v>
      </c>
      <c r="X521" s="12">
        <v>1</v>
      </c>
      <c r="Y521" s="12">
        <v>1</v>
      </c>
      <c r="Z521" s="12" t="s">
        <v>63</v>
      </c>
      <c r="AA521" s="12">
        <v>0</v>
      </c>
      <c r="AB521" s="12">
        <v>0</v>
      </c>
      <c r="AC521" s="12">
        <v>0</v>
      </c>
      <c r="AD521" s="12">
        <v>0</v>
      </c>
      <c r="AE521" s="12">
        <v>0</v>
      </c>
      <c r="AF521" s="12">
        <v>0</v>
      </c>
      <c r="AG521" s="12">
        <v>0</v>
      </c>
      <c r="AH521" s="12">
        <v>1</v>
      </c>
      <c r="AI521" s="12">
        <v>4</v>
      </c>
      <c r="AJ521" s="12" t="s">
        <v>78</v>
      </c>
      <c r="AK521" s="12">
        <v>0</v>
      </c>
      <c r="AL521" s="12">
        <v>0</v>
      </c>
      <c r="AM521" s="12">
        <v>2720</v>
      </c>
      <c r="AN521" s="12">
        <f t="shared" si="122"/>
        <v>2720</v>
      </c>
      <c r="AO521" s="12">
        <v>1</v>
      </c>
      <c r="AP521" s="12" t="s">
        <v>59</v>
      </c>
      <c r="AQ521" s="12">
        <v>0</v>
      </c>
      <c r="AR521" s="12">
        <v>18</v>
      </c>
      <c r="AS521" s="12">
        <v>3</v>
      </c>
      <c r="AT521" s="12">
        <v>4</v>
      </c>
      <c r="AU521" s="12">
        <v>1</v>
      </c>
      <c r="AV521" s="12">
        <v>10</v>
      </c>
      <c r="AW521" s="12">
        <f t="shared" si="123"/>
        <v>10</v>
      </c>
      <c r="AX521" s="12">
        <v>5</v>
      </c>
      <c r="AY521" s="12">
        <v>3</v>
      </c>
      <c r="AZ521" s="12">
        <v>10</v>
      </c>
      <c r="BA521" s="12">
        <f t="shared" si="124"/>
        <v>10</v>
      </c>
      <c r="BB521" s="12">
        <v>7</v>
      </c>
      <c r="BC521" s="12">
        <v>2</v>
      </c>
      <c r="BD521" s="12">
        <f t="shared" si="133"/>
        <v>2</v>
      </c>
      <c r="BE521" s="12">
        <v>8</v>
      </c>
      <c r="BF521" s="12">
        <f t="shared" si="125"/>
        <v>8</v>
      </c>
      <c r="BG521" s="12">
        <f t="shared" si="134"/>
        <v>8</v>
      </c>
      <c r="BH521" s="67">
        <v>0</v>
      </c>
      <c r="BI521" s="67">
        <v>0</v>
      </c>
      <c r="BJ521" s="67">
        <v>1</v>
      </c>
      <c r="BK521" s="67">
        <v>0</v>
      </c>
      <c r="BL521" s="67">
        <v>1</v>
      </c>
      <c r="BM521" s="67">
        <v>0</v>
      </c>
      <c r="BN521" s="67">
        <v>0</v>
      </c>
      <c r="BO521" s="67">
        <v>0</v>
      </c>
      <c r="BP521" s="67">
        <v>0</v>
      </c>
      <c r="BQ521" s="67">
        <v>8</v>
      </c>
      <c r="BR521" s="67">
        <v>0</v>
      </c>
      <c r="BS521" s="67">
        <v>0</v>
      </c>
      <c r="BT521" s="67">
        <v>10</v>
      </c>
      <c r="BU521" s="70">
        <v>0</v>
      </c>
      <c r="BV521" s="29">
        <f t="shared" si="126"/>
        <v>0.80351869543452159</v>
      </c>
      <c r="BW521">
        <f t="shared" si="127"/>
        <v>1.08652546240644</v>
      </c>
      <c r="BX521">
        <f t="shared" si="128"/>
        <v>0.1644554352117841</v>
      </c>
      <c r="BY521">
        <f t="shared" si="129"/>
        <v>0.48834154112957734</v>
      </c>
      <c r="BZ521">
        <f t="shared" si="130"/>
        <v>1.01056543769991</v>
      </c>
      <c r="CA521">
        <f t="shared" si="131"/>
        <v>0.86737663580280233</v>
      </c>
      <c r="CB521">
        <f t="shared" si="132"/>
        <v>5.8265062631872602E-2</v>
      </c>
    </row>
    <row r="522" spans="1:80" x14ac:dyDescent="0.45">
      <c r="A522" s="11">
        <v>48</v>
      </c>
      <c r="B522" s="12">
        <f t="shared" si="120"/>
        <v>48</v>
      </c>
      <c r="C522" s="12" t="s">
        <v>59</v>
      </c>
      <c r="D522" s="12">
        <v>0</v>
      </c>
      <c r="E522" s="12" t="s">
        <v>53</v>
      </c>
      <c r="F522" s="12">
        <v>0</v>
      </c>
      <c r="G522" s="12">
        <v>1</v>
      </c>
      <c r="H522" s="12" t="s">
        <v>54</v>
      </c>
      <c r="I522" s="12">
        <v>0</v>
      </c>
      <c r="J522" s="12">
        <v>1</v>
      </c>
      <c r="K522" s="12">
        <v>2</v>
      </c>
      <c r="L522" s="12">
        <f t="shared" si="121"/>
        <v>2</v>
      </c>
      <c r="M522" s="12">
        <v>1</v>
      </c>
      <c r="N522" s="12" t="s">
        <v>90</v>
      </c>
      <c r="O522" s="12">
        <v>0</v>
      </c>
      <c r="P522" s="12">
        <v>0</v>
      </c>
      <c r="Q522" s="12">
        <v>0</v>
      </c>
      <c r="R522" s="12">
        <v>1</v>
      </c>
      <c r="S522" s="12">
        <v>0</v>
      </c>
      <c r="T522" s="12">
        <v>2</v>
      </c>
      <c r="U522" s="12" t="s">
        <v>62</v>
      </c>
      <c r="V522" s="12">
        <v>0</v>
      </c>
      <c r="W522" s="12">
        <v>56</v>
      </c>
      <c r="X522" s="12">
        <v>4</v>
      </c>
      <c r="Y522" s="12">
        <v>2</v>
      </c>
      <c r="Z522" s="12" t="s">
        <v>56</v>
      </c>
      <c r="AA522" s="12">
        <v>0</v>
      </c>
      <c r="AB522" s="12">
        <v>1</v>
      </c>
      <c r="AC522" s="12">
        <v>0</v>
      </c>
      <c r="AD522" s="12">
        <v>0</v>
      </c>
      <c r="AE522" s="12">
        <v>0</v>
      </c>
      <c r="AF522" s="12">
        <v>0</v>
      </c>
      <c r="AG522" s="12">
        <v>0</v>
      </c>
      <c r="AH522" s="12">
        <v>0</v>
      </c>
      <c r="AI522" s="12">
        <v>2</v>
      </c>
      <c r="AJ522" s="12" t="s">
        <v>64</v>
      </c>
      <c r="AK522" s="12">
        <v>0</v>
      </c>
      <c r="AL522" s="12">
        <v>1</v>
      </c>
      <c r="AM522" s="12">
        <v>8120</v>
      </c>
      <c r="AN522" s="12">
        <f t="shared" si="122"/>
        <v>8120</v>
      </c>
      <c r="AO522" s="12">
        <v>3</v>
      </c>
      <c r="AP522" s="12" t="s">
        <v>59</v>
      </c>
      <c r="AQ522" s="12">
        <v>0</v>
      </c>
      <c r="AR522" s="12">
        <v>12</v>
      </c>
      <c r="AS522" s="12">
        <v>3</v>
      </c>
      <c r="AT522" s="12">
        <v>4</v>
      </c>
      <c r="AU522" s="12">
        <v>0</v>
      </c>
      <c r="AV522" s="12">
        <v>12</v>
      </c>
      <c r="AW522" s="12">
        <f t="shared" si="123"/>
        <v>12</v>
      </c>
      <c r="AX522" s="12">
        <v>3</v>
      </c>
      <c r="AY522" s="12">
        <v>3</v>
      </c>
      <c r="AZ522" s="12">
        <v>2</v>
      </c>
      <c r="BA522" s="12">
        <f t="shared" si="124"/>
        <v>2</v>
      </c>
      <c r="BB522" s="12">
        <v>2</v>
      </c>
      <c r="BC522" s="12">
        <v>2</v>
      </c>
      <c r="BD522" s="12">
        <f t="shared" si="133"/>
        <v>2</v>
      </c>
      <c r="BE522" s="12">
        <v>2</v>
      </c>
      <c r="BF522" s="12">
        <f t="shared" si="125"/>
        <v>2</v>
      </c>
      <c r="BG522" s="12">
        <f t="shared" si="134"/>
        <v>4</v>
      </c>
      <c r="BH522" s="67">
        <v>0</v>
      </c>
      <c r="BI522" s="67">
        <v>1</v>
      </c>
      <c r="BJ522" s="67">
        <v>0</v>
      </c>
      <c r="BK522" s="67">
        <v>0</v>
      </c>
      <c r="BL522" s="67">
        <v>0</v>
      </c>
      <c r="BM522" s="67">
        <v>0</v>
      </c>
      <c r="BN522" s="67">
        <v>1</v>
      </c>
      <c r="BO522" s="67">
        <v>0</v>
      </c>
      <c r="BP522" s="67">
        <v>0</v>
      </c>
      <c r="BQ522" s="67">
        <v>0</v>
      </c>
      <c r="BR522" s="67">
        <v>2</v>
      </c>
      <c r="BS522" s="67">
        <v>0</v>
      </c>
      <c r="BT522" s="67">
        <v>0</v>
      </c>
      <c r="BU522" s="70">
        <v>12</v>
      </c>
      <c r="BV522" s="29">
        <f t="shared" si="126"/>
        <v>0.34347569061985045</v>
      </c>
      <c r="BW522">
        <f t="shared" si="127"/>
        <v>0.59502473559756086</v>
      </c>
      <c r="BX522">
        <f t="shared" si="128"/>
        <v>9.2588147734864096E-2</v>
      </c>
      <c r="BY522">
        <f t="shared" si="129"/>
        <v>0.81745575848020657</v>
      </c>
      <c r="BZ522">
        <f t="shared" si="130"/>
        <v>0.88721318382472392</v>
      </c>
      <c r="CA522">
        <f t="shared" si="131"/>
        <v>1.2124507541330036</v>
      </c>
      <c r="CB522">
        <f t="shared" si="132"/>
        <v>5.8265062631872602E-2</v>
      </c>
    </row>
    <row r="523" spans="1:80" x14ac:dyDescent="0.45">
      <c r="A523" s="11">
        <v>27</v>
      </c>
      <c r="B523" s="12">
        <f t="shared" si="120"/>
        <v>27</v>
      </c>
      <c r="C523" s="12" t="s">
        <v>59</v>
      </c>
      <c r="D523" s="12">
        <v>0</v>
      </c>
      <c r="E523" s="12" t="s">
        <v>60</v>
      </c>
      <c r="F523" s="12">
        <v>1</v>
      </c>
      <c r="G523" s="12">
        <v>0</v>
      </c>
      <c r="H523" s="12" t="s">
        <v>54</v>
      </c>
      <c r="I523" s="12">
        <v>0</v>
      </c>
      <c r="J523" s="12">
        <v>1</v>
      </c>
      <c r="K523" s="12">
        <v>3</v>
      </c>
      <c r="L523" s="12">
        <f t="shared" si="121"/>
        <v>3</v>
      </c>
      <c r="M523" s="12">
        <v>1</v>
      </c>
      <c r="N523" s="12" t="s">
        <v>70</v>
      </c>
      <c r="O523" s="12">
        <v>0</v>
      </c>
      <c r="P523" s="12">
        <v>0</v>
      </c>
      <c r="Q523" s="12">
        <v>1</v>
      </c>
      <c r="R523" s="12">
        <v>0</v>
      </c>
      <c r="S523" s="12">
        <v>0</v>
      </c>
      <c r="T523" s="12">
        <v>4</v>
      </c>
      <c r="U523" s="12" t="s">
        <v>19</v>
      </c>
      <c r="V523" s="12">
        <v>1</v>
      </c>
      <c r="W523" s="12">
        <v>71</v>
      </c>
      <c r="X523" s="12">
        <v>4</v>
      </c>
      <c r="Y523" s="12">
        <v>2</v>
      </c>
      <c r="Z523" s="12" t="s">
        <v>56</v>
      </c>
      <c r="AA523" s="12">
        <v>0</v>
      </c>
      <c r="AB523" s="12">
        <v>1</v>
      </c>
      <c r="AC523" s="12">
        <v>0</v>
      </c>
      <c r="AD523" s="12">
        <v>0</v>
      </c>
      <c r="AE523" s="12">
        <v>0</v>
      </c>
      <c r="AF523" s="12">
        <v>0</v>
      </c>
      <c r="AG523" s="12">
        <v>0</v>
      </c>
      <c r="AH523" s="12">
        <v>0</v>
      </c>
      <c r="AI523" s="12">
        <v>4</v>
      </c>
      <c r="AJ523" s="12" t="s">
        <v>78</v>
      </c>
      <c r="AK523" s="12">
        <v>0</v>
      </c>
      <c r="AL523" s="12">
        <v>0</v>
      </c>
      <c r="AM523" s="12">
        <v>4647</v>
      </c>
      <c r="AN523" s="12">
        <f t="shared" si="122"/>
        <v>4647</v>
      </c>
      <c r="AO523" s="12">
        <v>1</v>
      </c>
      <c r="AP523" s="12" t="s">
        <v>52</v>
      </c>
      <c r="AQ523" s="12">
        <v>1</v>
      </c>
      <c r="AR523" s="12">
        <v>20</v>
      </c>
      <c r="AS523" s="12">
        <v>4</v>
      </c>
      <c r="AT523" s="12">
        <v>2</v>
      </c>
      <c r="AU523" s="12">
        <v>2</v>
      </c>
      <c r="AV523" s="12">
        <v>6</v>
      </c>
      <c r="AW523" s="12">
        <f t="shared" si="123"/>
        <v>6</v>
      </c>
      <c r="AX523" s="12">
        <v>3</v>
      </c>
      <c r="AY523" s="12">
        <v>3</v>
      </c>
      <c r="AZ523" s="12">
        <v>6</v>
      </c>
      <c r="BA523" s="12">
        <f t="shared" si="124"/>
        <v>6</v>
      </c>
      <c r="BB523" s="12">
        <v>5</v>
      </c>
      <c r="BC523" s="12">
        <v>0</v>
      </c>
      <c r="BD523" s="12">
        <f t="shared" si="133"/>
        <v>0</v>
      </c>
      <c r="BE523" s="12">
        <v>4</v>
      </c>
      <c r="BF523" s="12">
        <f t="shared" si="125"/>
        <v>4</v>
      </c>
      <c r="BG523" s="12">
        <f t="shared" si="134"/>
        <v>8</v>
      </c>
      <c r="BH523" s="67">
        <v>0</v>
      </c>
      <c r="BI523" s="67">
        <v>0</v>
      </c>
      <c r="BJ523" s="67">
        <v>1</v>
      </c>
      <c r="BK523" s="67">
        <v>0</v>
      </c>
      <c r="BL523" s="67">
        <v>0</v>
      </c>
      <c r="BM523" s="67">
        <v>1</v>
      </c>
      <c r="BN523" s="67">
        <v>0</v>
      </c>
      <c r="BO523" s="67">
        <v>0</v>
      </c>
      <c r="BP523" s="67">
        <v>0</v>
      </c>
      <c r="BQ523" s="67">
        <v>0</v>
      </c>
      <c r="BR523" s="67">
        <v>4</v>
      </c>
      <c r="BS523" s="67">
        <v>0</v>
      </c>
      <c r="BT523" s="67">
        <v>0</v>
      </c>
      <c r="BU523" s="70">
        <v>6</v>
      </c>
      <c r="BV523" s="29">
        <f t="shared" si="126"/>
        <v>0.39421162470734106</v>
      </c>
      <c r="BW523">
        <f t="shared" si="127"/>
        <v>3.4508002929560584E-2</v>
      </c>
      <c r="BX523">
        <f t="shared" si="128"/>
        <v>0.67854260110508058</v>
      </c>
      <c r="BY523">
        <f t="shared" si="129"/>
        <v>0.16455710867531462</v>
      </c>
      <c r="BZ523">
        <f t="shared" si="130"/>
        <v>0.76386092994953758</v>
      </c>
      <c r="CA523">
        <f t="shared" si="131"/>
        <v>1.0863058347434136</v>
      </c>
      <c r="CB523">
        <f t="shared" si="132"/>
        <v>0.67891464284095016</v>
      </c>
    </row>
    <row r="524" spans="1:80" x14ac:dyDescent="0.45">
      <c r="A524" s="11">
        <v>37</v>
      </c>
      <c r="B524" s="12">
        <f t="shared" si="120"/>
        <v>37</v>
      </c>
      <c r="C524" s="12" t="s">
        <v>59</v>
      </c>
      <c r="D524" s="12">
        <v>0</v>
      </c>
      <c r="E524" s="12" t="s">
        <v>53</v>
      </c>
      <c r="F524" s="12">
        <v>0</v>
      </c>
      <c r="G524" s="12">
        <v>1</v>
      </c>
      <c r="H524" s="12" t="s">
        <v>61</v>
      </c>
      <c r="I524" s="12">
        <v>1</v>
      </c>
      <c r="J524" s="12">
        <v>0</v>
      </c>
      <c r="K524" s="12">
        <v>10</v>
      </c>
      <c r="L524" s="12">
        <f t="shared" si="121"/>
        <v>10</v>
      </c>
      <c r="M524" s="12">
        <v>2</v>
      </c>
      <c r="N524" s="12" t="s">
        <v>55</v>
      </c>
      <c r="O524" s="12">
        <v>1</v>
      </c>
      <c r="P524" s="12">
        <v>0</v>
      </c>
      <c r="Q524" s="12">
        <v>0</v>
      </c>
      <c r="R524" s="12">
        <v>0</v>
      </c>
      <c r="S524" s="12">
        <v>0</v>
      </c>
      <c r="T524" s="12">
        <v>4</v>
      </c>
      <c r="U524" s="12" t="s">
        <v>62</v>
      </c>
      <c r="V524" s="12">
        <v>0</v>
      </c>
      <c r="W524" s="12">
        <v>80</v>
      </c>
      <c r="X524" s="12">
        <v>4</v>
      </c>
      <c r="Y524" s="12">
        <v>1</v>
      </c>
      <c r="Z524" s="12" t="s">
        <v>63</v>
      </c>
      <c r="AA524" s="12">
        <v>0</v>
      </c>
      <c r="AB524" s="12">
        <v>0</v>
      </c>
      <c r="AC524" s="12">
        <v>0</v>
      </c>
      <c r="AD524" s="12">
        <v>0</v>
      </c>
      <c r="AE524" s="12">
        <v>0</v>
      </c>
      <c r="AF524" s="12">
        <v>0</v>
      </c>
      <c r="AG524" s="12">
        <v>0</v>
      </c>
      <c r="AH524" s="12">
        <v>1</v>
      </c>
      <c r="AI524" s="12">
        <v>4</v>
      </c>
      <c r="AJ524" s="12" t="s">
        <v>57</v>
      </c>
      <c r="AK524" s="12">
        <v>1</v>
      </c>
      <c r="AL524" s="12">
        <v>0</v>
      </c>
      <c r="AM524" s="12">
        <v>4680</v>
      </c>
      <c r="AN524" s="12">
        <f t="shared" si="122"/>
        <v>4680</v>
      </c>
      <c r="AO524" s="12">
        <v>3</v>
      </c>
      <c r="AP524" s="12" t="s">
        <v>59</v>
      </c>
      <c r="AQ524" s="12">
        <v>0</v>
      </c>
      <c r="AR524" s="12">
        <v>17</v>
      </c>
      <c r="AS524" s="12">
        <v>3</v>
      </c>
      <c r="AT524" s="12">
        <v>1</v>
      </c>
      <c r="AU524" s="12">
        <v>0</v>
      </c>
      <c r="AV524" s="12">
        <v>4</v>
      </c>
      <c r="AW524" s="12">
        <f t="shared" si="123"/>
        <v>4</v>
      </c>
      <c r="AX524" s="12">
        <v>2</v>
      </c>
      <c r="AY524" s="12">
        <v>3</v>
      </c>
      <c r="AZ524" s="12">
        <v>1</v>
      </c>
      <c r="BA524" s="12">
        <f t="shared" si="124"/>
        <v>1</v>
      </c>
      <c r="BB524" s="12">
        <v>0</v>
      </c>
      <c r="BC524" s="12">
        <v>0</v>
      </c>
      <c r="BD524" s="12">
        <f t="shared" si="133"/>
        <v>0</v>
      </c>
      <c r="BE524" s="12">
        <v>0</v>
      </c>
      <c r="BF524" s="12">
        <f t="shared" si="125"/>
        <v>0</v>
      </c>
      <c r="BG524" s="12">
        <f t="shared" si="134"/>
        <v>0</v>
      </c>
      <c r="BH524" s="67">
        <v>1</v>
      </c>
      <c r="BI524" s="67">
        <v>0</v>
      </c>
      <c r="BJ524" s="67">
        <v>0</v>
      </c>
      <c r="BK524" s="67">
        <v>0</v>
      </c>
      <c r="BL524" s="67">
        <v>1</v>
      </c>
      <c r="BM524" s="67">
        <v>0</v>
      </c>
      <c r="BN524" s="67">
        <v>0</v>
      </c>
      <c r="BO524" s="67">
        <v>0</v>
      </c>
      <c r="BP524" s="67">
        <v>0</v>
      </c>
      <c r="BQ524" s="67">
        <v>0</v>
      </c>
      <c r="BR524" s="67">
        <v>0</v>
      </c>
      <c r="BS524" s="67">
        <v>0</v>
      </c>
      <c r="BT524" s="67">
        <v>4</v>
      </c>
      <c r="BU524" s="70">
        <v>0</v>
      </c>
      <c r="BV524" s="29">
        <f t="shared" si="126"/>
        <v>0.3872022145703421</v>
      </c>
      <c r="BW524">
        <f t="shared" si="127"/>
        <v>1.1555414682655611</v>
      </c>
      <c r="BX524">
        <f t="shared" si="128"/>
        <v>0.93558618405172878</v>
      </c>
      <c r="BY524">
        <f t="shared" si="129"/>
        <v>0.9806804209314296</v>
      </c>
      <c r="BZ524">
        <f t="shared" si="130"/>
        <v>9.9604847176766084E-2</v>
      </c>
      <c r="CA524">
        <f t="shared" si="131"/>
        <v>8.3401599596422994E-3</v>
      </c>
      <c r="CB524">
        <f t="shared" si="132"/>
        <v>0.67891464284095016</v>
      </c>
    </row>
    <row r="525" spans="1:80" x14ac:dyDescent="0.45">
      <c r="A525" s="11">
        <v>50</v>
      </c>
      <c r="B525" s="12">
        <f t="shared" si="120"/>
        <v>50</v>
      </c>
      <c r="C525" s="12" t="s">
        <v>59</v>
      </c>
      <c r="D525" s="12">
        <v>0</v>
      </c>
      <c r="E525" s="12" t="s">
        <v>53</v>
      </c>
      <c r="F525" s="12">
        <v>0</v>
      </c>
      <c r="G525" s="12">
        <v>1</v>
      </c>
      <c r="H525" s="12" t="s">
        <v>61</v>
      </c>
      <c r="I525" s="12">
        <v>1</v>
      </c>
      <c r="J525" s="12">
        <v>0</v>
      </c>
      <c r="K525" s="12">
        <v>28</v>
      </c>
      <c r="L525" s="12">
        <f t="shared" si="121"/>
        <v>28</v>
      </c>
      <c r="M525" s="12">
        <v>1</v>
      </c>
      <c r="N525" s="12" t="s">
        <v>70</v>
      </c>
      <c r="O525" s="12">
        <v>0</v>
      </c>
      <c r="P525" s="12">
        <v>0</v>
      </c>
      <c r="Q525" s="12">
        <v>1</v>
      </c>
      <c r="R525" s="12">
        <v>0</v>
      </c>
      <c r="S525" s="12">
        <v>0</v>
      </c>
      <c r="T525" s="12">
        <v>4</v>
      </c>
      <c r="U525" s="12" t="s">
        <v>62</v>
      </c>
      <c r="V525" s="12">
        <v>0</v>
      </c>
      <c r="W525" s="12">
        <v>74</v>
      </c>
      <c r="X525" s="12">
        <v>4</v>
      </c>
      <c r="Y525" s="12">
        <v>1</v>
      </c>
      <c r="Z525" s="12" t="s">
        <v>67</v>
      </c>
      <c r="AA525" s="12">
        <v>0</v>
      </c>
      <c r="AB525" s="12">
        <v>0</v>
      </c>
      <c r="AC525" s="12">
        <v>1</v>
      </c>
      <c r="AD525" s="12">
        <v>0</v>
      </c>
      <c r="AE525" s="12">
        <v>0</v>
      </c>
      <c r="AF525" s="12">
        <v>0</v>
      </c>
      <c r="AG525" s="12">
        <v>0</v>
      </c>
      <c r="AH525" s="12">
        <v>0</v>
      </c>
      <c r="AI525" s="12">
        <v>3</v>
      </c>
      <c r="AJ525" s="12" t="s">
        <v>64</v>
      </c>
      <c r="AK525" s="12">
        <v>0</v>
      </c>
      <c r="AL525" s="12">
        <v>1</v>
      </c>
      <c r="AM525" s="12">
        <v>3221</v>
      </c>
      <c r="AN525" s="12">
        <f t="shared" si="122"/>
        <v>3221</v>
      </c>
      <c r="AO525" s="12">
        <v>1</v>
      </c>
      <c r="AP525" s="12" t="s">
        <v>52</v>
      </c>
      <c r="AQ525" s="12">
        <v>1</v>
      </c>
      <c r="AR525" s="12">
        <v>11</v>
      </c>
      <c r="AS525" s="12">
        <v>3</v>
      </c>
      <c r="AT525" s="12">
        <v>3</v>
      </c>
      <c r="AU525" s="12">
        <v>3</v>
      </c>
      <c r="AV525" s="12">
        <v>20</v>
      </c>
      <c r="AW525" s="12">
        <f t="shared" si="123"/>
        <v>20</v>
      </c>
      <c r="AX525" s="12">
        <v>3</v>
      </c>
      <c r="AY525" s="12">
        <v>3</v>
      </c>
      <c r="AZ525" s="12">
        <v>20</v>
      </c>
      <c r="BA525" s="12">
        <f t="shared" si="124"/>
        <v>20</v>
      </c>
      <c r="BB525" s="12">
        <v>8</v>
      </c>
      <c r="BC525" s="12">
        <v>3</v>
      </c>
      <c r="BD525" s="12">
        <f t="shared" si="133"/>
        <v>3</v>
      </c>
      <c r="BE525" s="12">
        <v>8</v>
      </c>
      <c r="BF525" s="12">
        <f t="shared" si="125"/>
        <v>8</v>
      </c>
      <c r="BG525" s="12">
        <f t="shared" si="134"/>
        <v>8</v>
      </c>
      <c r="BH525" s="67">
        <v>0</v>
      </c>
      <c r="BI525" s="67">
        <v>1</v>
      </c>
      <c r="BJ525" s="67">
        <v>0</v>
      </c>
      <c r="BK525" s="67">
        <v>0</v>
      </c>
      <c r="BL525" s="67">
        <v>0</v>
      </c>
      <c r="BM525" s="67">
        <v>0</v>
      </c>
      <c r="BN525" s="67">
        <v>0</v>
      </c>
      <c r="BO525" s="67">
        <v>1</v>
      </c>
      <c r="BP525" s="67">
        <v>0</v>
      </c>
      <c r="BQ525" s="67">
        <v>8</v>
      </c>
      <c r="BR525" s="67">
        <v>0</v>
      </c>
      <c r="BS525" s="67">
        <v>0</v>
      </c>
      <c r="BT525" s="67">
        <v>20</v>
      </c>
      <c r="BU525" s="70">
        <v>0</v>
      </c>
      <c r="BV525" s="29">
        <f t="shared" si="126"/>
        <v>0.69710310517281038</v>
      </c>
      <c r="BW525">
        <f t="shared" si="127"/>
        <v>1.08652546240644</v>
      </c>
      <c r="BX525">
        <f t="shared" si="128"/>
        <v>1.120762479521457</v>
      </c>
      <c r="BY525">
        <f t="shared" si="129"/>
        <v>2.1205881656418071</v>
      </c>
      <c r="BZ525">
        <f t="shared" si="130"/>
        <v>2.3199454169301186</v>
      </c>
      <c r="CA525">
        <f t="shared" si="131"/>
        <v>1.4313799530736149</v>
      </c>
      <c r="CB525">
        <f t="shared" si="132"/>
        <v>0.2520597274726662</v>
      </c>
    </row>
    <row r="526" spans="1:80" x14ac:dyDescent="0.45">
      <c r="A526" s="11">
        <v>34</v>
      </c>
      <c r="B526" s="12">
        <f t="shared" si="120"/>
        <v>34</v>
      </c>
      <c r="C526" s="12" t="s">
        <v>59</v>
      </c>
      <c r="D526" s="12">
        <v>0</v>
      </c>
      <c r="E526" s="12" t="s">
        <v>53</v>
      </c>
      <c r="F526" s="12">
        <v>0</v>
      </c>
      <c r="G526" s="12">
        <v>1</v>
      </c>
      <c r="H526" s="12" t="s">
        <v>61</v>
      </c>
      <c r="I526" s="12">
        <v>1</v>
      </c>
      <c r="J526" s="12">
        <v>0</v>
      </c>
      <c r="K526" s="12">
        <v>9</v>
      </c>
      <c r="L526" s="12">
        <f t="shared" si="121"/>
        <v>9</v>
      </c>
      <c r="M526" s="12">
        <v>3</v>
      </c>
      <c r="N526" s="12" t="s">
        <v>70</v>
      </c>
      <c r="O526" s="12">
        <v>0</v>
      </c>
      <c r="P526" s="12">
        <v>0</v>
      </c>
      <c r="Q526" s="12">
        <v>1</v>
      </c>
      <c r="R526" s="12">
        <v>0</v>
      </c>
      <c r="S526" s="12">
        <v>0</v>
      </c>
      <c r="T526" s="12">
        <v>4</v>
      </c>
      <c r="U526" s="12" t="s">
        <v>19</v>
      </c>
      <c r="V526" s="12">
        <v>1</v>
      </c>
      <c r="W526" s="12">
        <v>46</v>
      </c>
      <c r="X526" s="12">
        <v>2</v>
      </c>
      <c r="Y526" s="12">
        <v>3</v>
      </c>
      <c r="Z526" s="12" t="s">
        <v>85</v>
      </c>
      <c r="AA526" s="12">
        <v>1</v>
      </c>
      <c r="AB526" s="12">
        <v>0</v>
      </c>
      <c r="AC526" s="12">
        <v>0</v>
      </c>
      <c r="AD526" s="12">
        <v>0</v>
      </c>
      <c r="AE526" s="12">
        <v>0</v>
      </c>
      <c r="AF526" s="12">
        <v>0</v>
      </c>
      <c r="AG526" s="12">
        <v>0</v>
      </c>
      <c r="AH526" s="12">
        <v>0</v>
      </c>
      <c r="AI526" s="12">
        <v>2</v>
      </c>
      <c r="AJ526" s="12" t="s">
        <v>57</v>
      </c>
      <c r="AK526" s="12">
        <v>1</v>
      </c>
      <c r="AL526" s="12">
        <v>0</v>
      </c>
      <c r="AM526" s="12">
        <v>8621</v>
      </c>
      <c r="AN526" s="12">
        <f t="shared" si="122"/>
        <v>8621</v>
      </c>
      <c r="AO526" s="12">
        <v>1</v>
      </c>
      <c r="AP526" s="12" t="s">
        <v>59</v>
      </c>
      <c r="AQ526" s="12">
        <v>0</v>
      </c>
      <c r="AR526" s="12">
        <v>14</v>
      </c>
      <c r="AS526" s="12">
        <v>3</v>
      </c>
      <c r="AT526" s="12">
        <v>2</v>
      </c>
      <c r="AU526" s="12">
        <v>0</v>
      </c>
      <c r="AV526" s="12">
        <v>9</v>
      </c>
      <c r="AW526" s="12">
        <f t="shared" si="123"/>
        <v>9</v>
      </c>
      <c r="AX526" s="12">
        <v>3</v>
      </c>
      <c r="AY526" s="12">
        <v>4</v>
      </c>
      <c r="AZ526" s="12">
        <v>8</v>
      </c>
      <c r="BA526" s="12">
        <f t="shared" si="124"/>
        <v>8</v>
      </c>
      <c r="BB526" s="12">
        <v>7</v>
      </c>
      <c r="BC526" s="12">
        <v>7</v>
      </c>
      <c r="BD526" s="12">
        <f t="shared" si="133"/>
        <v>7</v>
      </c>
      <c r="BE526" s="12">
        <v>7</v>
      </c>
      <c r="BF526" s="12">
        <f t="shared" si="125"/>
        <v>7</v>
      </c>
      <c r="BG526" s="12">
        <f t="shared" si="134"/>
        <v>21</v>
      </c>
      <c r="BH526" s="67">
        <v>1</v>
      </c>
      <c r="BI526" s="67">
        <v>0</v>
      </c>
      <c r="BJ526" s="67">
        <v>0</v>
      </c>
      <c r="BK526" s="67">
        <v>0</v>
      </c>
      <c r="BL526" s="67">
        <v>1</v>
      </c>
      <c r="BM526" s="67">
        <v>0</v>
      </c>
      <c r="BN526" s="67">
        <v>0</v>
      </c>
      <c r="BO526" s="67">
        <v>0</v>
      </c>
      <c r="BP526" s="67">
        <v>0</v>
      </c>
      <c r="BQ526" s="67">
        <v>7</v>
      </c>
      <c r="BR526" s="67">
        <v>0</v>
      </c>
      <c r="BS526" s="67">
        <v>0</v>
      </c>
      <c r="BT526" s="67">
        <v>9</v>
      </c>
      <c r="BU526" s="70">
        <v>0</v>
      </c>
      <c r="BV526" s="29">
        <f t="shared" si="126"/>
        <v>0.44989128088156161</v>
      </c>
      <c r="BW526">
        <f t="shared" si="127"/>
        <v>0.80626709607243985</v>
      </c>
      <c r="BX526">
        <f t="shared" si="128"/>
        <v>0.29297722668510823</v>
      </c>
      <c r="BY526">
        <f t="shared" si="129"/>
        <v>0.16189221622713135</v>
      </c>
      <c r="BZ526">
        <f t="shared" si="130"/>
        <v>2.3747406698420157E-2</v>
      </c>
      <c r="CA526">
        <f t="shared" si="131"/>
        <v>0.32005363845127444</v>
      </c>
      <c r="CB526">
        <f t="shared" si="132"/>
        <v>1.4933588878908215</v>
      </c>
    </row>
    <row r="527" spans="1:80" x14ac:dyDescent="0.45">
      <c r="A527" s="11">
        <v>24</v>
      </c>
      <c r="B527" s="12">
        <f t="shared" si="120"/>
        <v>24</v>
      </c>
      <c r="C527" s="12" t="s">
        <v>52</v>
      </c>
      <c r="D527" s="12">
        <v>1</v>
      </c>
      <c r="E527" s="12" t="s">
        <v>53</v>
      </c>
      <c r="F527" s="12">
        <v>0</v>
      </c>
      <c r="G527" s="12">
        <v>1</v>
      </c>
      <c r="H527" s="12" t="s">
        <v>54</v>
      </c>
      <c r="I527" s="12">
        <v>0</v>
      </c>
      <c r="J527" s="12">
        <v>1</v>
      </c>
      <c r="K527" s="12">
        <v>3</v>
      </c>
      <c r="L527" s="12">
        <f t="shared" si="121"/>
        <v>3</v>
      </c>
      <c r="M527" s="12">
        <v>2</v>
      </c>
      <c r="N527" s="12" t="s">
        <v>55</v>
      </c>
      <c r="O527" s="12">
        <v>1</v>
      </c>
      <c r="P527" s="12">
        <v>0</v>
      </c>
      <c r="Q527" s="12">
        <v>0</v>
      </c>
      <c r="R527" s="12">
        <v>0</v>
      </c>
      <c r="S527" s="12">
        <v>0</v>
      </c>
      <c r="T527" s="12">
        <v>1</v>
      </c>
      <c r="U527" s="12" t="s">
        <v>19</v>
      </c>
      <c r="V527" s="12">
        <v>1</v>
      </c>
      <c r="W527" s="12">
        <v>65</v>
      </c>
      <c r="X527" s="12">
        <v>3</v>
      </c>
      <c r="Y527" s="12">
        <v>2</v>
      </c>
      <c r="Z527" s="12" t="s">
        <v>56</v>
      </c>
      <c r="AA527" s="12">
        <v>0</v>
      </c>
      <c r="AB527" s="12">
        <v>1</v>
      </c>
      <c r="AC527" s="12">
        <v>0</v>
      </c>
      <c r="AD527" s="12">
        <v>0</v>
      </c>
      <c r="AE527" s="12">
        <v>0</v>
      </c>
      <c r="AF527" s="12">
        <v>0</v>
      </c>
      <c r="AG527" s="12">
        <v>0</v>
      </c>
      <c r="AH527" s="12">
        <v>0</v>
      </c>
      <c r="AI527" s="12">
        <v>3</v>
      </c>
      <c r="AJ527" s="12" t="s">
        <v>57</v>
      </c>
      <c r="AK527" s="12">
        <v>1</v>
      </c>
      <c r="AL527" s="12">
        <v>0</v>
      </c>
      <c r="AM527" s="12">
        <v>4577</v>
      </c>
      <c r="AN527" s="12">
        <f t="shared" si="122"/>
        <v>4577</v>
      </c>
      <c r="AO527" s="12">
        <v>9</v>
      </c>
      <c r="AP527" s="12" t="s">
        <v>59</v>
      </c>
      <c r="AQ527" s="12">
        <v>0</v>
      </c>
      <c r="AR527" s="12">
        <v>14</v>
      </c>
      <c r="AS527" s="12">
        <v>3</v>
      </c>
      <c r="AT527" s="12">
        <v>1</v>
      </c>
      <c r="AU527" s="12">
        <v>0</v>
      </c>
      <c r="AV527" s="12">
        <v>4</v>
      </c>
      <c r="AW527" s="12">
        <f t="shared" si="123"/>
        <v>4</v>
      </c>
      <c r="AX527" s="12">
        <v>3</v>
      </c>
      <c r="AY527" s="12">
        <v>3</v>
      </c>
      <c r="AZ527" s="12">
        <v>2</v>
      </c>
      <c r="BA527" s="12">
        <f t="shared" si="124"/>
        <v>2</v>
      </c>
      <c r="BB527" s="12">
        <v>2</v>
      </c>
      <c r="BC527" s="12">
        <v>2</v>
      </c>
      <c r="BD527" s="12">
        <f t="shared" si="133"/>
        <v>2</v>
      </c>
      <c r="BE527" s="12">
        <v>0</v>
      </c>
      <c r="BF527" s="12">
        <f t="shared" si="125"/>
        <v>0</v>
      </c>
      <c r="BG527" s="12">
        <f t="shared" si="134"/>
        <v>0</v>
      </c>
      <c r="BH527" s="67">
        <v>1</v>
      </c>
      <c r="BI527" s="67">
        <v>0</v>
      </c>
      <c r="BJ527" s="67">
        <v>0</v>
      </c>
      <c r="BK527" s="67">
        <v>0</v>
      </c>
      <c r="BL527" s="67">
        <v>1</v>
      </c>
      <c r="BM527" s="67">
        <v>0</v>
      </c>
      <c r="BN527" s="67">
        <v>0</v>
      </c>
      <c r="BO527" s="67">
        <v>0</v>
      </c>
      <c r="BP527" s="67">
        <v>0</v>
      </c>
      <c r="BQ527" s="67">
        <v>0</v>
      </c>
      <c r="BR527" s="67">
        <v>0</v>
      </c>
      <c r="BS527" s="67">
        <v>0</v>
      </c>
      <c r="BT527" s="67">
        <v>0</v>
      </c>
      <c r="BU527" s="70">
        <v>4</v>
      </c>
      <c r="BV527" s="29">
        <f t="shared" si="126"/>
        <v>0.40908007045249029</v>
      </c>
      <c r="BW527">
        <f t="shared" si="127"/>
        <v>1.1555414682655611</v>
      </c>
      <c r="BX527">
        <f t="shared" si="128"/>
        <v>0.93558618405172878</v>
      </c>
      <c r="BY527">
        <f t="shared" si="129"/>
        <v>0.81745575848020657</v>
      </c>
      <c r="BZ527">
        <f t="shared" si="130"/>
        <v>0.76386092994953758</v>
      </c>
      <c r="CA527">
        <f t="shared" si="131"/>
        <v>1.4146996331543302</v>
      </c>
      <c r="CB527">
        <f t="shared" si="132"/>
        <v>5.8265062631872602E-2</v>
      </c>
    </row>
    <row r="528" spans="1:80" x14ac:dyDescent="0.45">
      <c r="A528" s="11">
        <v>39</v>
      </c>
      <c r="B528" s="12">
        <f t="shared" si="120"/>
        <v>39</v>
      </c>
      <c r="C528" s="12" t="s">
        <v>59</v>
      </c>
      <c r="D528" s="12">
        <v>0</v>
      </c>
      <c r="E528" s="12" t="s">
        <v>53</v>
      </c>
      <c r="F528" s="12">
        <v>0</v>
      </c>
      <c r="G528" s="12">
        <v>1</v>
      </c>
      <c r="H528" s="12" t="s">
        <v>61</v>
      </c>
      <c r="I528" s="12">
        <v>1</v>
      </c>
      <c r="J528" s="12">
        <v>0</v>
      </c>
      <c r="K528" s="12">
        <v>2</v>
      </c>
      <c r="L528" s="12">
        <f t="shared" si="121"/>
        <v>2</v>
      </c>
      <c r="M528" s="12">
        <v>4</v>
      </c>
      <c r="N528" s="12" t="s">
        <v>91</v>
      </c>
      <c r="O528" s="12">
        <v>0</v>
      </c>
      <c r="P528" s="12">
        <v>0</v>
      </c>
      <c r="Q528" s="12">
        <v>0</v>
      </c>
      <c r="R528" s="12">
        <v>0</v>
      </c>
      <c r="S528" s="12">
        <v>1</v>
      </c>
      <c r="T528" s="12">
        <v>4</v>
      </c>
      <c r="U528" s="12" t="s">
        <v>19</v>
      </c>
      <c r="V528" s="12">
        <v>1</v>
      </c>
      <c r="W528" s="12">
        <v>80</v>
      </c>
      <c r="X528" s="12">
        <v>2</v>
      </c>
      <c r="Y528" s="12">
        <v>2</v>
      </c>
      <c r="Z528" s="12" t="s">
        <v>85</v>
      </c>
      <c r="AA528" s="12">
        <v>1</v>
      </c>
      <c r="AB528" s="12">
        <v>0</v>
      </c>
      <c r="AC528" s="12">
        <v>0</v>
      </c>
      <c r="AD528" s="12">
        <v>0</v>
      </c>
      <c r="AE528" s="12">
        <v>0</v>
      </c>
      <c r="AF528" s="12">
        <v>0</v>
      </c>
      <c r="AG528" s="12">
        <v>0</v>
      </c>
      <c r="AH528" s="12">
        <v>0</v>
      </c>
      <c r="AI528" s="12">
        <v>3</v>
      </c>
      <c r="AJ528" s="12" t="s">
        <v>57</v>
      </c>
      <c r="AK528" s="12">
        <v>1</v>
      </c>
      <c r="AL528" s="12">
        <v>0</v>
      </c>
      <c r="AM528" s="12">
        <v>4553</v>
      </c>
      <c r="AN528" s="12">
        <f t="shared" si="122"/>
        <v>4553</v>
      </c>
      <c r="AO528" s="12">
        <v>1</v>
      </c>
      <c r="AP528" s="12" t="s">
        <v>59</v>
      </c>
      <c r="AQ528" s="12">
        <v>0</v>
      </c>
      <c r="AR528" s="12">
        <v>11</v>
      </c>
      <c r="AS528" s="12">
        <v>3</v>
      </c>
      <c r="AT528" s="12">
        <v>1</v>
      </c>
      <c r="AU528" s="12">
        <v>0</v>
      </c>
      <c r="AV528" s="12">
        <v>20</v>
      </c>
      <c r="AW528" s="12">
        <f t="shared" si="123"/>
        <v>20</v>
      </c>
      <c r="AX528" s="12">
        <v>4</v>
      </c>
      <c r="AY528" s="12">
        <v>3</v>
      </c>
      <c r="AZ528" s="12">
        <v>20</v>
      </c>
      <c r="BA528" s="12">
        <f t="shared" si="124"/>
        <v>20</v>
      </c>
      <c r="BB528" s="12">
        <v>7</v>
      </c>
      <c r="BC528" s="12">
        <v>11</v>
      </c>
      <c r="BD528" s="12">
        <f t="shared" si="133"/>
        <v>11</v>
      </c>
      <c r="BE528" s="12">
        <v>10</v>
      </c>
      <c r="BF528" s="12">
        <f t="shared" si="125"/>
        <v>10</v>
      </c>
      <c r="BG528" s="12">
        <f t="shared" si="134"/>
        <v>20</v>
      </c>
      <c r="BH528" s="67">
        <v>1</v>
      </c>
      <c r="BI528" s="67">
        <v>0</v>
      </c>
      <c r="BJ528" s="67">
        <v>0</v>
      </c>
      <c r="BK528" s="67">
        <v>0</v>
      </c>
      <c r="BL528" s="67">
        <v>1</v>
      </c>
      <c r="BM528" s="67">
        <v>0</v>
      </c>
      <c r="BN528" s="67">
        <v>0</v>
      </c>
      <c r="BO528" s="67">
        <v>0</v>
      </c>
      <c r="BP528" s="67">
        <v>0</v>
      </c>
      <c r="BQ528" s="67">
        <v>10</v>
      </c>
      <c r="BR528" s="67">
        <v>0</v>
      </c>
      <c r="BS528" s="67">
        <v>0</v>
      </c>
      <c r="BT528" s="67">
        <v>20</v>
      </c>
      <c r="BU528" s="70">
        <v>0</v>
      </c>
      <c r="BV528" s="29">
        <f t="shared" si="126"/>
        <v>0.41417782327939862</v>
      </c>
      <c r="BW528">
        <f t="shared" si="127"/>
        <v>1.6470421950744405</v>
      </c>
      <c r="BX528">
        <f t="shared" si="128"/>
        <v>1.120762479521457</v>
      </c>
      <c r="BY528">
        <f t="shared" si="129"/>
        <v>2.1205881656418071</v>
      </c>
      <c r="BZ528">
        <f t="shared" si="130"/>
        <v>0.88721318382472392</v>
      </c>
      <c r="CA528">
        <f t="shared" si="131"/>
        <v>0.22726935890025346</v>
      </c>
      <c r="CB528">
        <f t="shared" si="132"/>
        <v>2.7346580483089769</v>
      </c>
    </row>
    <row r="529" spans="1:80" x14ac:dyDescent="0.45">
      <c r="A529" s="11">
        <v>32</v>
      </c>
      <c r="B529" s="12">
        <f t="shared" si="120"/>
        <v>32</v>
      </c>
      <c r="C529" s="12" t="s">
        <v>59</v>
      </c>
      <c r="D529" s="12">
        <v>0</v>
      </c>
      <c r="E529" s="12" t="s">
        <v>53</v>
      </c>
      <c r="F529" s="12">
        <v>0</v>
      </c>
      <c r="G529" s="12">
        <v>1</v>
      </c>
      <c r="H529" s="12" t="s">
        <v>54</v>
      </c>
      <c r="I529" s="12">
        <v>0</v>
      </c>
      <c r="J529" s="12">
        <v>1</v>
      </c>
      <c r="K529" s="12">
        <v>10</v>
      </c>
      <c r="L529" s="12">
        <f t="shared" si="121"/>
        <v>10</v>
      </c>
      <c r="M529" s="12">
        <v>3</v>
      </c>
      <c r="N529" s="12" t="s">
        <v>90</v>
      </c>
      <c r="O529" s="12">
        <v>0</v>
      </c>
      <c r="P529" s="12">
        <v>0</v>
      </c>
      <c r="Q529" s="12">
        <v>0</v>
      </c>
      <c r="R529" s="12">
        <v>1</v>
      </c>
      <c r="S529" s="12">
        <v>0</v>
      </c>
      <c r="T529" s="12">
        <v>4</v>
      </c>
      <c r="U529" s="12" t="s">
        <v>62</v>
      </c>
      <c r="V529" s="12">
        <v>0</v>
      </c>
      <c r="W529" s="12">
        <v>55</v>
      </c>
      <c r="X529" s="12">
        <v>3</v>
      </c>
      <c r="Y529" s="12">
        <v>2</v>
      </c>
      <c r="Z529" s="12" t="s">
        <v>56</v>
      </c>
      <c r="AA529" s="12">
        <v>0</v>
      </c>
      <c r="AB529" s="12">
        <v>1</v>
      </c>
      <c r="AC529" s="12">
        <v>0</v>
      </c>
      <c r="AD529" s="12">
        <v>0</v>
      </c>
      <c r="AE529" s="12">
        <v>0</v>
      </c>
      <c r="AF529" s="12">
        <v>0</v>
      </c>
      <c r="AG529" s="12">
        <v>0</v>
      </c>
      <c r="AH529" s="12">
        <v>0</v>
      </c>
      <c r="AI529" s="12">
        <v>4</v>
      </c>
      <c r="AJ529" s="12" t="s">
        <v>57</v>
      </c>
      <c r="AK529" s="12">
        <v>1</v>
      </c>
      <c r="AL529" s="12">
        <v>0</v>
      </c>
      <c r="AM529" s="12">
        <v>5396</v>
      </c>
      <c r="AN529" s="12">
        <f t="shared" si="122"/>
        <v>5396</v>
      </c>
      <c r="AO529" s="12">
        <v>1</v>
      </c>
      <c r="AP529" s="12" t="s">
        <v>59</v>
      </c>
      <c r="AQ529" s="12">
        <v>0</v>
      </c>
      <c r="AR529" s="12">
        <v>12</v>
      </c>
      <c r="AS529" s="12">
        <v>3</v>
      </c>
      <c r="AT529" s="12">
        <v>4</v>
      </c>
      <c r="AU529" s="12">
        <v>0</v>
      </c>
      <c r="AV529" s="12">
        <v>10</v>
      </c>
      <c r="AW529" s="12">
        <f t="shared" si="123"/>
        <v>10</v>
      </c>
      <c r="AX529" s="12">
        <v>2</v>
      </c>
      <c r="AY529" s="12">
        <v>2</v>
      </c>
      <c r="AZ529" s="12">
        <v>10</v>
      </c>
      <c r="BA529" s="12">
        <f t="shared" si="124"/>
        <v>10</v>
      </c>
      <c r="BB529" s="12">
        <v>7</v>
      </c>
      <c r="BC529" s="12">
        <v>0</v>
      </c>
      <c r="BD529" s="12">
        <f t="shared" si="133"/>
        <v>0</v>
      </c>
      <c r="BE529" s="12">
        <v>8</v>
      </c>
      <c r="BF529" s="12">
        <f t="shared" si="125"/>
        <v>8</v>
      </c>
      <c r="BG529" s="12">
        <f t="shared" si="134"/>
        <v>16</v>
      </c>
      <c r="BH529" s="67">
        <v>1</v>
      </c>
      <c r="BI529" s="67">
        <v>0</v>
      </c>
      <c r="BJ529" s="67">
        <v>0</v>
      </c>
      <c r="BK529" s="67">
        <v>0</v>
      </c>
      <c r="BL529" s="67">
        <v>1</v>
      </c>
      <c r="BM529" s="67">
        <v>0</v>
      </c>
      <c r="BN529" s="67">
        <v>0</v>
      </c>
      <c r="BO529" s="67">
        <v>0</v>
      </c>
      <c r="BP529" s="67">
        <v>0</v>
      </c>
      <c r="BQ529" s="67">
        <v>0</v>
      </c>
      <c r="BR529" s="67">
        <v>8</v>
      </c>
      <c r="BS529" s="67">
        <v>0</v>
      </c>
      <c r="BT529" s="67">
        <v>0</v>
      </c>
      <c r="BU529" s="70">
        <v>10</v>
      </c>
      <c r="BV529" s="29">
        <f t="shared" si="126"/>
        <v>0.23511925523424387</v>
      </c>
      <c r="BW529">
        <f t="shared" si="127"/>
        <v>1.08652546240644</v>
      </c>
      <c r="BX529">
        <f t="shared" si="128"/>
        <v>0.1644554352117841</v>
      </c>
      <c r="BY529">
        <f t="shared" si="129"/>
        <v>0.48834154112957734</v>
      </c>
      <c r="BZ529">
        <f t="shared" si="130"/>
        <v>9.9604847176766084E-2</v>
      </c>
      <c r="CA529">
        <f t="shared" si="131"/>
        <v>0.53898283739188557</v>
      </c>
      <c r="CB529">
        <f t="shared" si="132"/>
        <v>0.67891464284095016</v>
      </c>
    </row>
    <row r="530" spans="1:80" x14ac:dyDescent="0.45">
      <c r="A530" s="11">
        <v>50</v>
      </c>
      <c r="B530" s="12">
        <f t="shared" si="120"/>
        <v>50</v>
      </c>
      <c r="C530" s="12" t="s">
        <v>52</v>
      </c>
      <c r="D530" s="12">
        <v>1</v>
      </c>
      <c r="E530" s="12" t="s">
        <v>60</v>
      </c>
      <c r="F530" s="12">
        <v>1</v>
      </c>
      <c r="G530" s="12">
        <v>0</v>
      </c>
      <c r="H530" s="12" t="s">
        <v>54</v>
      </c>
      <c r="I530" s="12">
        <v>0</v>
      </c>
      <c r="J530" s="12">
        <v>1</v>
      </c>
      <c r="K530" s="12">
        <v>8</v>
      </c>
      <c r="L530" s="12">
        <f t="shared" si="121"/>
        <v>8</v>
      </c>
      <c r="M530" s="12">
        <v>2</v>
      </c>
      <c r="N530" s="12" t="s">
        <v>91</v>
      </c>
      <c r="O530" s="12">
        <v>0</v>
      </c>
      <c r="P530" s="12">
        <v>0</v>
      </c>
      <c r="Q530" s="12">
        <v>0</v>
      </c>
      <c r="R530" s="12">
        <v>0</v>
      </c>
      <c r="S530" s="12">
        <v>1</v>
      </c>
      <c r="T530" s="12">
        <v>2</v>
      </c>
      <c r="U530" s="12" t="s">
        <v>62</v>
      </c>
      <c r="V530" s="12">
        <v>0</v>
      </c>
      <c r="W530" s="12">
        <v>50</v>
      </c>
      <c r="X530" s="12">
        <v>3</v>
      </c>
      <c r="Y530" s="12">
        <v>2</v>
      </c>
      <c r="Z530" s="12" t="s">
        <v>56</v>
      </c>
      <c r="AA530" s="12">
        <v>0</v>
      </c>
      <c r="AB530" s="12">
        <v>1</v>
      </c>
      <c r="AC530" s="12">
        <v>0</v>
      </c>
      <c r="AD530" s="12">
        <v>0</v>
      </c>
      <c r="AE530" s="12">
        <v>0</v>
      </c>
      <c r="AF530" s="12">
        <v>0</v>
      </c>
      <c r="AG530" s="12">
        <v>0</v>
      </c>
      <c r="AH530" s="12">
        <v>0</v>
      </c>
      <c r="AI530" s="12">
        <v>3</v>
      </c>
      <c r="AJ530" s="12" t="s">
        <v>64</v>
      </c>
      <c r="AK530" s="12">
        <v>0</v>
      </c>
      <c r="AL530" s="12">
        <v>1</v>
      </c>
      <c r="AM530" s="12">
        <v>6796</v>
      </c>
      <c r="AN530" s="12">
        <f t="shared" si="122"/>
        <v>6796</v>
      </c>
      <c r="AO530" s="12">
        <v>3</v>
      </c>
      <c r="AP530" s="12" t="s">
        <v>52</v>
      </c>
      <c r="AQ530" s="12">
        <v>1</v>
      </c>
      <c r="AR530" s="12">
        <v>14</v>
      </c>
      <c r="AS530" s="12">
        <v>3</v>
      </c>
      <c r="AT530" s="12">
        <v>1</v>
      </c>
      <c r="AU530" s="12">
        <v>1</v>
      </c>
      <c r="AV530" s="12">
        <v>18</v>
      </c>
      <c r="AW530" s="12">
        <f t="shared" si="123"/>
        <v>18</v>
      </c>
      <c r="AX530" s="12">
        <v>4</v>
      </c>
      <c r="AY530" s="12">
        <v>3</v>
      </c>
      <c r="AZ530" s="12">
        <v>4</v>
      </c>
      <c r="BA530" s="12">
        <f t="shared" si="124"/>
        <v>4</v>
      </c>
      <c r="BB530" s="12">
        <v>3</v>
      </c>
      <c r="BC530" s="12">
        <v>1</v>
      </c>
      <c r="BD530" s="12">
        <f t="shared" si="133"/>
        <v>1</v>
      </c>
      <c r="BE530" s="12">
        <v>3</v>
      </c>
      <c r="BF530" s="12">
        <f t="shared" si="125"/>
        <v>3</v>
      </c>
      <c r="BG530" s="12">
        <f t="shared" si="134"/>
        <v>6</v>
      </c>
      <c r="BH530" s="67">
        <v>0</v>
      </c>
      <c r="BI530" s="67">
        <v>0</v>
      </c>
      <c r="BJ530" s="67">
        <v>0</v>
      </c>
      <c r="BK530" s="67">
        <v>1</v>
      </c>
      <c r="BL530" s="67">
        <v>0</v>
      </c>
      <c r="BM530" s="67">
        <v>0</v>
      </c>
      <c r="BN530" s="67">
        <v>0</v>
      </c>
      <c r="BO530" s="67">
        <v>1</v>
      </c>
      <c r="BP530" s="67">
        <v>0</v>
      </c>
      <c r="BQ530" s="67">
        <v>0</v>
      </c>
      <c r="BR530" s="67">
        <v>3</v>
      </c>
      <c r="BS530" s="67">
        <v>0</v>
      </c>
      <c r="BT530" s="67">
        <v>0</v>
      </c>
      <c r="BU530" s="70">
        <v>18</v>
      </c>
      <c r="BV530" s="29">
        <f t="shared" si="126"/>
        <v>6.2249659668741457E-2</v>
      </c>
      <c r="BW530">
        <f t="shared" si="127"/>
        <v>0.31476636926356072</v>
      </c>
      <c r="BX530">
        <f t="shared" si="128"/>
        <v>0.86371889657480871</v>
      </c>
      <c r="BY530">
        <f t="shared" si="129"/>
        <v>0.49100643357776058</v>
      </c>
      <c r="BZ530">
        <f t="shared" si="130"/>
        <v>0.14709966057360641</v>
      </c>
      <c r="CA530">
        <f t="shared" si="131"/>
        <v>1.4313799530736149</v>
      </c>
      <c r="CB530">
        <f t="shared" si="132"/>
        <v>0.36858985273641137</v>
      </c>
    </row>
    <row r="531" spans="1:80" x14ac:dyDescent="0.45">
      <c r="A531" s="11">
        <v>38</v>
      </c>
      <c r="B531" s="12">
        <f t="shared" si="120"/>
        <v>38</v>
      </c>
      <c r="C531" s="12" t="s">
        <v>59</v>
      </c>
      <c r="D531" s="12">
        <v>0</v>
      </c>
      <c r="E531" s="12" t="s">
        <v>53</v>
      </c>
      <c r="F531" s="12">
        <v>0</v>
      </c>
      <c r="G531" s="12">
        <v>1</v>
      </c>
      <c r="H531" s="12" t="s">
        <v>61</v>
      </c>
      <c r="I531" s="12">
        <v>1</v>
      </c>
      <c r="J531" s="12">
        <v>0</v>
      </c>
      <c r="K531" s="12">
        <v>1</v>
      </c>
      <c r="L531" s="12">
        <f t="shared" si="121"/>
        <v>1</v>
      </c>
      <c r="M531" s="12">
        <v>4</v>
      </c>
      <c r="N531" s="12" t="s">
        <v>55</v>
      </c>
      <c r="O531" s="12">
        <v>1</v>
      </c>
      <c r="P531" s="12">
        <v>0</v>
      </c>
      <c r="Q531" s="12">
        <v>0</v>
      </c>
      <c r="R531" s="12">
        <v>0</v>
      </c>
      <c r="S531" s="12">
        <v>0</v>
      </c>
      <c r="T531" s="12">
        <v>2</v>
      </c>
      <c r="U531" s="12" t="s">
        <v>19</v>
      </c>
      <c r="V531" s="12">
        <v>1</v>
      </c>
      <c r="W531" s="12">
        <v>33</v>
      </c>
      <c r="X531" s="12">
        <v>4</v>
      </c>
      <c r="Y531" s="12">
        <v>2</v>
      </c>
      <c r="Z531" s="12" t="s">
        <v>85</v>
      </c>
      <c r="AA531" s="12">
        <v>1</v>
      </c>
      <c r="AB531" s="12">
        <v>0</v>
      </c>
      <c r="AC531" s="12">
        <v>0</v>
      </c>
      <c r="AD531" s="12">
        <v>0</v>
      </c>
      <c r="AE531" s="12">
        <v>0</v>
      </c>
      <c r="AF531" s="12">
        <v>0</v>
      </c>
      <c r="AG531" s="12">
        <v>0</v>
      </c>
      <c r="AH531" s="12">
        <v>0</v>
      </c>
      <c r="AI531" s="12">
        <v>4</v>
      </c>
      <c r="AJ531" s="12" t="s">
        <v>57</v>
      </c>
      <c r="AK531" s="12">
        <v>1</v>
      </c>
      <c r="AL531" s="12">
        <v>0</v>
      </c>
      <c r="AM531" s="12">
        <v>7625</v>
      </c>
      <c r="AN531" s="12">
        <f t="shared" si="122"/>
        <v>7625</v>
      </c>
      <c r="AO531" s="12">
        <v>0</v>
      </c>
      <c r="AP531" s="12" t="s">
        <v>59</v>
      </c>
      <c r="AQ531" s="12">
        <v>0</v>
      </c>
      <c r="AR531" s="12">
        <v>13</v>
      </c>
      <c r="AS531" s="12">
        <v>3</v>
      </c>
      <c r="AT531" s="12">
        <v>3</v>
      </c>
      <c r="AU531" s="12">
        <v>0</v>
      </c>
      <c r="AV531" s="12">
        <v>10</v>
      </c>
      <c r="AW531" s="12">
        <f t="shared" si="123"/>
        <v>10</v>
      </c>
      <c r="AX531" s="12">
        <v>4</v>
      </c>
      <c r="AY531" s="12">
        <v>2</v>
      </c>
      <c r="AZ531" s="12">
        <v>9</v>
      </c>
      <c r="BA531" s="12">
        <f t="shared" si="124"/>
        <v>9</v>
      </c>
      <c r="BB531" s="12">
        <v>7</v>
      </c>
      <c r="BC531" s="12">
        <v>1</v>
      </c>
      <c r="BD531" s="12">
        <f t="shared" si="133"/>
        <v>1</v>
      </c>
      <c r="BE531" s="12">
        <v>8</v>
      </c>
      <c r="BF531" s="12">
        <f t="shared" si="125"/>
        <v>8</v>
      </c>
      <c r="BG531" s="12">
        <f t="shared" si="134"/>
        <v>16</v>
      </c>
      <c r="BH531" s="67">
        <v>1</v>
      </c>
      <c r="BI531" s="67">
        <v>0</v>
      </c>
      <c r="BJ531" s="67">
        <v>0</v>
      </c>
      <c r="BK531" s="67">
        <v>0</v>
      </c>
      <c r="BL531" s="67">
        <v>1</v>
      </c>
      <c r="BM531" s="67">
        <v>0</v>
      </c>
      <c r="BN531" s="67">
        <v>0</v>
      </c>
      <c r="BO531" s="67">
        <v>0</v>
      </c>
      <c r="BP531" s="67">
        <v>0</v>
      </c>
      <c r="BQ531" s="67">
        <v>8</v>
      </c>
      <c r="BR531" s="67">
        <v>0</v>
      </c>
      <c r="BS531" s="67">
        <v>0</v>
      </c>
      <c r="BT531" s="67">
        <v>10</v>
      </c>
      <c r="BU531" s="70">
        <v>0</v>
      </c>
      <c r="BV531" s="29">
        <f t="shared" si="126"/>
        <v>0.23833453856486636</v>
      </c>
      <c r="BW531">
        <f t="shared" si="127"/>
        <v>1.08652546240644</v>
      </c>
      <c r="BX531">
        <f t="shared" si="128"/>
        <v>0.1644554352117841</v>
      </c>
      <c r="BY531">
        <f t="shared" si="129"/>
        <v>0.32511687867835437</v>
      </c>
      <c r="BZ531">
        <f t="shared" si="130"/>
        <v>1.01056543769991</v>
      </c>
      <c r="CA531">
        <f t="shared" si="131"/>
        <v>0.11780475942994788</v>
      </c>
      <c r="CB531">
        <f t="shared" si="132"/>
        <v>0.36858985273641137</v>
      </c>
    </row>
    <row r="532" spans="1:80" x14ac:dyDescent="0.45">
      <c r="A532" s="11">
        <v>27</v>
      </c>
      <c r="B532" s="12">
        <f t="shared" si="120"/>
        <v>27</v>
      </c>
      <c r="C532" s="12" t="s">
        <v>59</v>
      </c>
      <c r="D532" s="12">
        <v>0</v>
      </c>
      <c r="E532" s="12" t="s">
        <v>53</v>
      </c>
      <c r="F532" s="12">
        <v>0</v>
      </c>
      <c r="G532" s="12">
        <v>1</v>
      </c>
      <c r="H532" s="12" t="s">
        <v>61</v>
      </c>
      <c r="I532" s="12">
        <v>1</v>
      </c>
      <c r="J532" s="12">
        <v>0</v>
      </c>
      <c r="K532" s="12">
        <v>1</v>
      </c>
      <c r="L532" s="12">
        <f t="shared" si="121"/>
        <v>1</v>
      </c>
      <c r="M532" s="12">
        <v>2</v>
      </c>
      <c r="N532" s="12" t="s">
        <v>55</v>
      </c>
      <c r="O532" s="12">
        <v>1</v>
      </c>
      <c r="P532" s="12">
        <v>0</v>
      </c>
      <c r="Q532" s="12">
        <v>0</v>
      </c>
      <c r="R532" s="12">
        <v>0</v>
      </c>
      <c r="S532" s="12">
        <v>0</v>
      </c>
      <c r="T532" s="12">
        <v>3</v>
      </c>
      <c r="U532" s="12" t="s">
        <v>19</v>
      </c>
      <c r="V532" s="12">
        <v>1</v>
      </c>
      <c r="W532" s="12">
        <v>68</v>
      </c>
      <c r="X532" s="12">
        <v>3</v>
      </c>
      <c r="Y532" s="12">
        <v>3</v>
      </c>
      <c r="Z532" s="12" t="s">
        <v>83</v>
      </c>
      <c r="AA532" s="12">
        <v>0</v>
      </c>
      <c r="AB532" s="12">
        <v>0</v>
      </c>
      <c r="AC532" s="12">
        <v>0</v>
      </c>
      <c r="AD532" s="12">
        <v>0</v>
      </c>
      <c r="AE532" s="12">
        <v>1</v>
      </c>
      <c r="AF532" s="12">
        <v>1</v>
      </c>
      <c r="AG532" s="12">
        <v>0</v>
      </c>
      <c r="AH532" s="12">
        <v>0</v>
      </c>
      <c r="AI532" s="12">
        <v>1</v>
      </c>
      <c r="AJ532" s="12" t="s">
        <v>64</v>
      </c>
      <c r="AK532" s="12">
        <v>0</v>
      </c>
      <c r="AL532" s="12">
        <v>1</v>
      </c>
      <c r="AM532" s="12">
        <v>7412</v>
      </c>
      <c r="AN532" s="12">
        <f t="shared" si="122"/>
        <v>7412</v>
      </c>
      <c r="AO532" s="12">
        <v>1</v>
      </c>
      <c r="AP532" s="12" t="s">
        <v>59</v>
      </c>
      <c r="AQ532" s="12">
        <v>0</v>
      </c>
      <c r="AR532" s="12">
        <v>11</v>
      </c>
      <c r="AS532" s="12">
        <v>3</v>
      </c>
      <c r="AT532" s="12">
        <v>4</v>
      </c>
      <c r="AU532" s="12">
        <v>0</v>
      </c>
      <c r="AV532" s="12">
        <v>9</v>
      </c>
      <c r="AW532" s="12">
        <f t="shared" si="123"/>
        <v>9</v>
      </c>
      <c r="AX532" s="12">
        <v>3</v>
      </c>
      <c r="AY532" s="12">
        <v>3</v>
      </c>
      <c r="AZ532" s="12">
        <v>9</v>
      </c>
      <c r="BA532" s="12">
        <f t="shared" si="124"/>
        <v>9</v>
      </c>
      <c r="BB532" s="12">
        <v>7</v>
      </c>
      <c r="BC532" s="12">
        <v>0</v>
      </c>
      <c r="BD532" s="12">
        <f t="shared" si="133"/>
        <v>0</v>
      </c>
      <c r="BE532" s="12">
        <v>7</v>
      </c>
      <c r="BF532" s="12">
        <f t="shared" si="125"/>
        <v>7</v>
      </c>
      <c r="BG532" s="12">
        <f t="shared" si="134"/>
        <v>21</v>
      </c>
      <c r="BH532" s="67">
        <v>0</v>
      </c>
      <c r="BI532" s="67">
        <v>1</v>
      </c>
      <c r="BJ532" s="67">
        <v>0</v>
      </c>
      <c r="BK532" s="67">
        <v>0</v>
      </c>
      <c r="BL532" s="67">
        <v>0</v>
      </c>
      <c r="BM532" s="67">
        <v>0</v>
      </c>
      <c r="BN532" s="67">
        <v>1</v>
      </c>
      <c r="BO532" s="67">
        <v>0</v>
      </c>
      <c r="BP532" s="67">
        <v>0</v>
      </c>
      <c r="BQ532" s="67">
        <v>7</v>
      </c>
      <c r="BR532" s="67">
        <v>0</v>
      </c>
      <c r="BS532" s="67">
        <v>0</v>
      </c>
      <c r="BT532" s="67">
        <v>9</v>
      </c>
      <c r="BU532" s="70">
        <v>0</v>
      </c>
      <c r="BV532" s="29">
        <f t="shared" si="126"/>
        <v>0.193091982226055</v>
      </c>
      <c r="BW532">
        <f t="shared" si="127"/>
        <v>0.80626709607243985</v>
      </c>
      <c r="BX532">
        <f t="shared" si="128"/>
        <v>0.29297722668510823</v>
      </c>
      <c r="BY532">
        <f t="shared" si="129"/>
        <v>0.32511687867835437</v>
      </c>
      <c r="BZ532">
        <f t="shared" si="130"/>
        <v>1.01056543769991</v>
      </c>
      <c r="CA532">
        <f t="shared" si="131"/>
        <v>1.0863058347434136</v>
      </c>
      <c r="CB532">
        <f t="shared" si="132"/>
        <v>0.67891464284095016</v>
      </c>
    </row>
    <row r="533" spans="1:80" x14ac:dyDescent="0.45">
      <c r="A533" s="11">
        <v>32</v>
      </c>
      <c r="B533" s="12">
        <f t="shared" si="120"/>
        <v>32</v>
      </c>
      <c r="C533" s="12" t="s">
        <v>59</v>
      </c>
      <c r="D533" s="12">
        <v>0</v>
      </c>
      <c r="E533" s="12" t="s">
        <v>53</v>
      </c>
      <c r="F533" s="12">
        <v>0</v>
      </c>
      <c r="G533" s="12">
        <v>1</v>
      </c>
      <c r="H533" s="12" t="s">
        <v>61</v>
      </c>
      <c r="I533" s="12">
        <v>1</v>
      </c>
      <c r="J533" s="12">
        <v>0</v>
      </c>
      <c r="K533" s="12">
        <v>3</v>
      </c>
      <c r="L533" s="12">
        <f t="shared" si="121"/>
        <v>3</v>
      </c>
      <c r="M533" s="12">
        <v>2</v>
      </c>
      <c r="N533" s="12" t="s">
        <v>55</v>
      </c>
      <c r="O533" s="12">
        <v>1</v>
      </c>
      <c r="P533" s="12">
        <v>0</v>
      </c>
      <c r="Q533" s="12">
        <v>0</v>
      </c>
      <c r="R533" s="12">
        <v>0</v>
      </c>
      <c r="S533" s="12">
        <v>0</v>
      </c>
      <c r="T533" s="12">
        <v>3</v>
      </c>
      <c r="U533" s="12" t="s">
        <v>19</v>
      </c>
      <c r="V533" s="12">
        <v>1</v>
      </c>
      <c r="W533" s="12">
        <v>39</v>
      </c>
      <c r="X533" s="12">
        <v>3</v>
      </c>
      <c r="Y533" s="12">
        <v>3</v>
      </c>
      <c r="Z533" s="12" t="s">
        <v>89</v>
      </c>
      <c r="AA533" s="12">
        <v>0</v>
      </c>
      <c r="AB533" s="12">
        <v>0</v>
      </c>
      <c r="AC533" s="12">
        <v>0</v>
      </c>
      <c r="AD533" s="12">
        <v>0</v>
      </c>
      <c r="AE533" s="12">
        <v>0</v>
      </c>
      <c r="AF533" s="12">
        <v>0</v>
      </c>
      <c r="AG533" s="12">
        <v>0</v>
      </c>
      <c r="AH533" s="12">
        <v>0</v>
      </c>
      <c r="AI533" s="12">
        <v>4</v>
      </c>
      <c r="AJ533" s="12" t="s">
        <v>57</v>
      </c>
      <c r="AK533" s="12">
        <v>1</v>
      </c>
      <c r="AL533" s="12">
        <v>0</v>
      </c>
      <c r="AM533" s="12">
        <v>11159</v>
      </c>
      <c r="AN533" s="12">
        <f t="shared" si="122"/>
        <v>11159</v>
      </c>
      <c r="AO533" s="12">
        <v>3</v>
      </c>
      <c r="AP533" s="12" t="s">
        <v>59</v>
      </c>
      <c r="AQ533" s="12">
        <v>0</v>
      </c>
      <c r="AR533" s="12">
        <v>15</v>
      </c>
      <c r="AS533" s="12">
        <v>3</v>
      </c>
      <c r="AT533" s="12">
        <v>4</v>
      </c>
      <c r="AU533" s="12">
        <v>0</v>
      </c>
      <c r="AV533" s="12">
        <v>10</v>
      </c>
      <c r="AW533" s="12">
        <f t="shared" si="123"/>
        <v>10</v>
      </c>
      <c r="AX533" s="12">
        <v>6</v>
      </c>
      <c r="AY533" s="12">
        <v>3</v>
      </c>
      <c r="AZ533" s="12">
        <v>7</v>
      </c>
      <c r="BA533" s="12">
        <f t="shared" si="124"/>
        <v>7</v>
      </c>
      <c r="BB533" s="12">
        <v>7</v>
      </c>
      <c r="BC533" s="12">
        <v>7</v>
      </c>
      <c r="BD533" s="12">
        <f t="shared" si="133"/>
        <v>7</v>
      </c>
      <c r="BE533" s="12">
        <v>7</v>
      </c>
      <c r="BF533" s="12">
        <f t="shared" si="125"/>
        <v>7</v>
      </c>
      <c r="BG533" s="12">
        <f t="shared" si="134"/>
        <v>21</v>
      </c>
      <c r="BH533" s="67">
        <v>1</v>
      </c>
      <c r="BI533" s="67">
        <v>0</v>
      </c>
      <c r="BJ533" s="67">
        <v>0</v>
      </c>
      <c r="BK533" s="67">
        <v>0</v>
      </c>
      <c r="BL533" s="67">
        <v>1</v>
      </c>
      <c r="BM533" s="67">
        <v>0</v>
      </c>
      <c r="BN533" s="67">
        <v>0</v>
      </c>
      <c r="BO533" s="67">
        <v>0</v>
      </c>
      <c r="BP533" s="67">
        <v>0</v>
      </c>
      <c r="BQ533" s="67">
        <v>7</v>
      </c>
      <c r="BR533" s="67">
        <v>0</v>
      </c>
      <c r="BS533" s="67">
        <v>0</v>
      </c>
      <c r="BT533" s="67">
        <v>10</v>
      </c>
      <c r="BU533" s="70">
        <v>0</v>
      </c>
      <c r="BV533" s="29">
        <f t="shared" si="126"/>
        <v>0.98897864232711652</v>
      </c>
      <c r="BW533">
        <f t="shared" si="127"/>
        <v>0.80626709607243985</v>
      </c>
      <c r="BX533">
        <f t="shared" si="128"/>
        <v>0.1644554352117841</v>
      </c>
      <c r="BY533">
        <f t="shared" si="129"/>
        <v>1.3324462240916321E-3</v>
      </c>
      <c r="BZ533">
        <f t="shared" si="130"/>
        <v>0.76386092994953758</v>
      </c>
      <c r="CA533">
        <f t="shared" si="131"/>
        <v>0.53898283739188557</v>
      </c>
      <c r="CB533">
        <f t="shared" si="132"/>
        <v>1.4933588878908215</v>
      </c>
    </row>
    <row r="534" spans="1:80" x14ac:dyDescent="0.45">
      <c r="A534" s="11">
        <v>47</v>
      </c>
      <c r="B534" s="12">
        <f t="shared" si="120"/>
        <v>47</v>
      </c>
      <c r="C534" s="12" t="s">
        <v>59</v>
      </c>
      <c r="D534" s="12">
        <v>0</v>
      </c>
      <c r="E534" s="12" t="s">
        <v>53</v>
      </c>
      <c r="F534" s="12">
        <v>0</v>
      </c>
      <c r="G534" s="12">
        <v>1</v>
      </c>
      <c r="H534" s="12" t="s">
        <v>54</v>
      </c>
      <c r="I534" s="12">
        <v>0</v>
      </c>
      <c r="J534" s="12">
        <v>1</v>
      </c>
      <c r="K534" s="12">
        <v>14</v>
      </c>
      <c r="L534" s="12">
        <f t="shared" si="121"/>
        <v>14</v>
      </c>
      <c r="M534" s="12">
        <v>4</v>
      </c>
      <c r="N534" s="12" t="s">
        <v>90</v>
      </c>
      <c r="O534" s="12">
        <v>0</v>
      </c>
      <c r="P534" s="12">
        <v>0</v>
      </c>
      <c r="Q534" s="12">
        <v>0</v>
      </c>
      <c r="R534" s="12">
        <v>1</v>
      </c>
      <c r="S534" s="12">
        <v>0</v>
      </c>
      <c r="T534" s="12">
        <v>4</v>
      </c>
      <c r="U534" s="12" t="s">
        <v>62</v>
      </c>
      <c r="V534" s="12">
        <v>0</v>
      </c>
      <c r="W534" s="12">
        <v>42</v>
      </c>
      <c r="X534" s="12">
        <v>3</v>
      </c>
      <c r="Y534" s="12">
        <v>2</v>
      </c>
      <c r="Z534" s="12" t="s">
        <v>56</v>
      </c>
      <c r="AA534" s="12">
        <v>0</v>
      </c>
      <c r="AB534" s="12">
        <v>1</v>
      </c>
      <c r="AC534" s="12">
        <v>0</v>
      </c>
      <c r="AD534" s="12">
        <v>0</v>
      </c>
      <c r="AE534" s="12">
        <v>0</v>
      </c>
      <c r="AF534" s="12">
        <v>0</v>
      </c>
      <c r="AG534" s="12">
        <v>0</v>
      </c>
      <c r="AH534" s="12">
        <v>0</v>
      </c>
      <c r="AI534" s="12">
        <v>1</v>
      </c>
      <c r="AJ534" s="12" t="s">
        <v>57</v>
      </c>
      <c r="AK534" s="12">
        <v>1</v>
      </c>
      <c r="AL534" s="12">
        <v>0</v>
      </c>
      <c r="AM534" s="12">
        <v>4960</v>
      </c>
      <c r="AN534" s="12">
        <f t="shared" si="122"/>
        <v>4960</v>
      </c>
      <c r="AO534" s="12">
        <v>2</v>
      </c>
      <c r="AP534" s="12" t="s">
        <v>59</v>
      </c>
      <c r="AQ534" s="12">
        <v>0</v>
      </c>
      <c r="AR534" s="12">
        <v>12</v>
      </c>
      <c r="AS534" s="12">
        <v>3</v>
      </c>
      <c r="AT534" s="12">
        <v>4</v>
      </c>
      <c r="AU534" s="12">
        <v>0</v>
      </c>
      <c r="AV534" s="12">
        <v>20</v>
      </c>
      <c r="AW534" s="12">
        <f t="shared" si="123"/>
        <v>20</v>
      </c>
      <c r="AX534" s="12">
        <v>2</v>
      </c>
      <c r="AY534" s="12">
        <v>3</v>
      </c>
      <c r="AZ534" s="12">
        <v>7</v>
      </c>
      <c r="BA534" s="12">
        <f t="shared" si="124"/>
        <v>7</v>
      </c>
      <c r="BB534" s="12">
        <v>7</v>
      </c>
      <c r="BC534" s="12">
        <v>1</v>
      </c>
      <c r="BD534" s="12">
        <f t="shared" si="133"/>
        <v>1</v>
      </c>
      <c r="BE534" s="12">
        <v>7</v>
      </c>
      <c r="BF534" s="12">
        <f t="shared" si="125"/>
        <v>7</v>
      </c>
      <c r="BG534" s="12">
        <f t="shared" si="134"/>
        <v>14</v>
      </c>
      <c r="BH534" s="67">
        <v>1</v>
      </c>
      <c r="BI534" s="67">
        <v>0</v>
      </c>
      <c r="BJ534" s="67">
        <v>0</v>
      </c>
      <c r="BK534" s="67">
        <v>0</v>
      </c>
      <c r="BL534" s="67">
        <v>1</v>
      </c>
      <c r="BM534" s="67">
        <v>0</v>
      </c>
      <c r="BN534" s="67">
        <v>0</v>
      </c>
      <c r="BO534" s="67">
        <v>0</v>
      </c>
      <c r="BP534" s="67">
        <v>0</v>
      </c>
      <c r="BQ534" s="67">
        <v>0</v>
      </c>
      <c r="BR534" s="67">
        <v>7</v>
      </c>
      <c r="BS534" s="67">
        <v>0</v>
      </c>
      <c r="BT534" s="67">
        <v>0</v>
      </c>
      <c r="BU534" s="70">
        <v>20</v>
      </c>
      <c r="BV534" s="29">
        <f t="shared" si="126"/>
        <v>0.32772843158974502</v>
      </c>
      <c r="BW534">
        <f t="shared" si="127"/>
        <v>0.80626709607243985</v>
      </c>
      <c r="BX534">
        <f t="shared" si="128"/>
        <v>1.120762479521457</v>
      </c>
      <c r="BY534">
        <f t="shared" si="129"/>
        <v>1.3324462240916321E-3</v>
      </c>
      <c r="BZ534">
        <f t="shared" si="130"/>
        <v>0.59301386267751111</v>
      </c>
      <c r="CA534">
        <f t="shared" si="131"/>
        <v>1.102986154662698</v>
      </c>
      <c r="CB534">
        <f t="shared" si="132"/>
        <v>0.36858985273641137</v>
      </c>
    </row>
    <row r="535" spans="1:80" x14ac:dyDescent="0.45">
      <c r="A535" s="11">
        <v>40</v>
      </c>
      <c r="B535" s="12">
        <f t="shared" si="120"/>
        <v>40</v>
      </c>
      <c r="C535" s="12" t="s">
        <v>59</v>
      </c>
      <c r="D535" s="12">
        <v>0</v>
      </c>
      <c r="E535" s="12" t="s">
        <v>60</v>
      </c>
      <c r="F535" s="12">
        <v>1</v>
      </c>
      <c r="G535" s="12">
        <v>0</v>
      </c>
      <c r="H535" s="12" t="s">
        <v>54</v>
      </c>
      <c r="I535" s="12">
        <v>0</v>
      </c>
      <c r="J535" s="12">
        <v>1</v>
      </c>
      <c r="K535" s="12">
        <v>5</v>
      </c>
      <c r="L535" s="12">
        <f t="shared" si="121"/>
        <v>5</v>
      </c>
      <c r="M535" s="12">
        <v>4</v>
      </c>
      <c r="N535" s="12" t="s">
        <v>55</v>
      </c>
      <c r="O535" s="12">
        <v>1</v>
      </c>
      <c r="P535" s="12">
        <v>0</v>
      </c>
      <c r="Q535" s="12">
        <v>0</v>
      </c>
      <c r="R535" s="12">
        <v>0</v>
      </c>
      <c r="S535" s="12">
        <v>0</v>
      </c>
      <c r="T535" s="12">
        <v>4</v>
      </c>
      <c r="U535" s="12" t="s">
        <v>62</v>
      </c>
      <c r="V535" s="12">
        <v>0</v>
      </c>
      <c r="W535" s="12">
        <v>48</v>
      </c>
      <c r="X535" s="12">
        <v>2</v>
      </c>
      <c r="Y535" s="12">
        <v>3</v>
      </c>
      <c r="Z535" s="12" t="s">
        <v>56</v>
      </c>
      <c r="AA535" s="12">
        <v>0</v>
      </c>
      <c r="AB535" s="12">
        <v>1</v>
      </c>
      <c r="AC535" s="12">
        <v>0</v>
      </c>
      <c r="AD535" s="12">
        <v>0</v>
      </c>
      <c r="AE535" s="12">
        <v>0</v>
      </c>
      <c r="AF535" s="12">
        <v>0</v>
      </c>
      <c r="AG535" s="12">
        <v>0</v>
      </c>
      <c r="AH535" s="12">
        <v>0</v>
      </c>
      <c r="AI535" s="12">
        <v>1</v>
      </c>
      <c r="AJ535" s="12" t="s">
        <v>64</v>
      </c>
      <c r="AK535" s="12">
        <v>0</v>
      </c>
      <c r="AL535" s="12">
        <v>1</v>
      </c>
      <c r="AM535" s="12">
        <v>10475</v>
      </c>
      <c r="AN535" s="12">
        <f t="shared" si="122"/>
        <v>10475</v>
      </c>
      <c r="AO535" s="12">
        <v>5</v>
      </c>
      <c r="AP535" s="12" t="s">
        <v>52</v>
      </c>
      <c r="AQ535" s="12">
        <v>1</v>
      </c>
      <c r="AR535" s="12">
        <v>21</v>
      </c>
      <c r="AS535" s="12">
        <v>4</v>
      </c>
      <c r="AT535" s="12">
        <v>3</v>
      </c>
      <c r="AU535" s="12">
        <v>1</v>
      </c>
      <c r="AV535" s="12">
        <v>20</v>
      </c>
      <c r="AW535" s="12">
        <f t="shared" si="123"/>
        <v>20</v>
      </c>
      <c r="AX535" s="12">
        <v>2</v>
      </c>
      <c r="AY535" s="12">
        <v>3</v>
      </c>
      <c r="AZ535" s="12">
        <v>18</v>
      </c>
      <c r="BA535" s="12">
        <f t="shared" si="124"/>
        <v>18</v>
      </c>
      <c r="BB535" s="12">
        <v>13</v>
      </c>
      <c r="BC535" s="12">
        <v>1</v>
      </c>
      <c r="BD535" s="12">
        <f t="shared" si="133"/>
        <v>1</v>
      </c>
      <c r="BE535" s="12">
        <v>12</v>
      </c>
      <c r="BF535" s="12">
        <f t="shared" si="125"/>
        <v>12</v>
      </c>
      <c r="BG535" s="12">
        <f t="shared" si="134"/>
        <v>36</v>
      </c>
      <c r="BH535" s="67">
        <v>0</v>
      </c>
      <c r="BI535" s="67">
        <v>0</v>
      </c>
      <c r="BJ535" s="67">
        <v>0</v>
      </c>
      <c r="BK535" s="67">
        <v>1</v>
      </c>
      <c r="BL535" s="67">
        <v>0</v>
      </c>
      <c r="BM535" s="67">
        <v>0</v>
      </c>
      <c r="BN535" s="67">
        <v>0</v>
      </c>
      <c r="BO535" s="67">
        <v>1</v>
      </c>
      <c r="BP535" s="67">
        <v>0</v>
      </c>
      <c r="BQ535" s="67">
        <v>0</v>
      </c>
      <c r="BR535" s="67">
        <v>12</v>
      </c>
      <c r="BS535" s="67">
        <v>0</v>
      </c>
      <c r="BT535" s="67">
        <v>0</v>
      </c>
      <c r="BU535" s="70">
        <v>20</v>
      </c>
      <c r="BV535" s="29">
        <f t="shared" si="126"/>
        <v>0.84369268676022935</v>
      </c>
      <c r="BW535">
        <f t="shared" si="127"/>
        <v>2.2075589277424408</v>
      </c>
      <c r="BX535">
        <f t="shared" si="128"/>
        <v>1.120762479521457</v>
      </c>
      <c r="BY535">
        <f t="shared" si="129"/>
        <v>1.794138840739361</v>
      </c>
      <c r="BZ535">
        <f t="shared" si="130"/>
        <v>0.51715642219916513</v>
      </c>
      <c r="CA535">
        <f t="shared" si="131"/>
        <v>0.33673395837055903</v>
      </c>
      <c r="CB535">
        <f t="shared" si="132"/>
        <v>0.36858985273641137</v>
      </c>
    </row>
    <row r="536" spans="1:80" x14ac:dyDescent="0.45">
      <c r="A536" s="11">
        <v>53</v>
      </c>
      <c r="B536" s="12">
        <f t="shared" si="120"/>
        <v>53</v>
      </c>
      <c r="C536" s="12" t="s">
        <v>59</v>
      </c>
      <c r="D536" s="12">
        <v>0</v>
      </c>
      <c r="E536" s="12" t="s">
        <v>53</v>
      </c>
      <c r="F536" s="12">
        <v>0</v>
      </c>
      <c r="G536" s="12">
        <v>1</v>
      </c>
      <c r="H536" s="12" t="s">
        <v>61</v>
      </c>
      <c r="I536" s="12">
        <v>1</v>
      </c>
      <c r="J536" s="12">
        <v>0</v>
      </c>
      <c r="K536" s="12">
        <v>7</v>
      </c>
      <c r="L536" s="12">
        <f t="shared" si="121"/>
        <v>7</v>
      </c>
      <c r="M536" s="12">
        <v>3</v>
      </c>
      <c r="N536" s="12" t="s">
        <v>55</v>
      </c>
      <c r="O536" s="12">
        <v>1</v>
      </c>
      <c r="P536" s="12">
        <v>0</v>
      </c>
      <c r="Q536" s="12">
        <v>0</v>
      </c>
      <c r="R536" s="12">
        <v>0</v>
      </c>
      <c r="S536" s="12">
        <v>0</v>
      </c>
      <c r="T536" s="12">
        <v>3</v>
      </c>
      <c r="U536" s="12" t="s">
        <v>62</v>
      </c>
      <c r="V536" s="12">
        <v>0</v>
      </c>
      <c r="W536" s="12">
        <v>59</v>
      </c>
      <c r="X536" s="12">
        <v>4</v>
      </c>
      <c r="Y536" s="12">
        <v>4</v>
      </c>
      <c r="Z536" s="12" t="s">
        <v>89</v>
      </c>
      <c r="AA536" s="12">
        <v>0</v>
      </c>
      <c r="AB536" s="12">
        <v>0</v>
      </c>
      <c r="AC536" s="12">
        <v>0</v>
      </c>
      <c r="AD536" s="12">
        <v>0</v>
      </c>
      <c r="AE536" s="12">
        <v>0</v>
      </c>
      <c r="AF536" s="12">
        <v>0</v>
      </c>
      <c r="AG536" s="12">
        <v>0</v>
      </c>
      <c r="AH536" s="12">
        <v>0</v>
      </c>
      <c r="AI536" s="12">
        <v>3</v>
      </c>
      <c r="AJ536" s="12" t="s">
        <v>64</v>
      </c>
      <c r="AK536" s="12">
        <v>0</v>
      </c>
      <c r="AL536" s="12">
        <v>1</v>
      </c>
      <c r="AM536" s="12">
        <v>14814</v>
      </c>
      <c r="AN536" s="12">
        <f t="shared" si="122"/>
        <v>14814</v>
      </c>
      <c r="AO536" s="12">
        <v>3</v>
      </c>
      <c r="AP536" s="12" t="s">
        <v>59</v>
      </c>
      <c r="AQ536" s="12">
        <v>0</v>
      </c>
      <c r="AR536" s="12">
        <v>19</v>
      </c>
      <c r="AS536" s="12">
        <v>3</v>
      </c>
      <c r="AT536" s="12">
        <v>3</v>
      </c>
      <c r="AU536" s="12">
        <v>0</v>
      </c>
      <c r="AV536" s="12">
        <v>32</v>
      </c>
      <c r="AW536" s="12">
        <f t="shared" si="123"/>
        <v>32</v>
      </c>
      <c r="AX536" s="12">
        <v>3</v>
      </c>
      <c r="AY536" s="12">
        <v>3</v>
      </c>
      <c r="AZ536" s="12">
        <v>5</v>
      </c>
      <c r="BA536" s="12">
        <f t="shared" si="124"/>
        <v>5</v>
      </c>
      <c r="BB536" s="12">
        <v>1</v>
      </c>
      <c r="BC536" s="12">
        <v>1</v>
      </c>
      <c r="BD536" s="12">
        <f t="shared" si="133"/>
        <v>1</v>
      </c>
      <c r="BE536" s="12">
        <v>3</v>
      </c>
      <c r="BF536" s="12">
        <f t="shared" si="125"/>
        <v>3</v>
      </c>
      <c r="BG536" s="12">
        <f t="shared" si="134"/>
        <v>12</v>
      </c>
      <c r="BH536" s="67">
        <v>0</v>
      </c>
      <c r="BI536" s="67">
        <v>1</v>
      </c>
      <c r="BJ536" s="67">
        <v>0</v>
      </c>
      <c r="BK536" s="67">
        <v>0</v>
      </c>
      <c r="BL536" s="67">
        <v>0</v>
      </c>
      <c r="BM536" s="67">
        <v>0</v>
      </c>
      <c r="BN536" s="67">
        <v>1</v>
      </c>
      <c r="BO536" s="67">
        <v>0</v>
      </c>
      <c r="BP536" s="67">
        <v>0</v>
      </c>
      <c r="BQ536" s="67">
        <v>3</v>
      </c>
      <c r="BR536" s="67">
        <v>0</v>
      </c>
      <c r="BS536" s="67">
        <v>0</v>
      </c>
      <c r="BT536" s="67">
        <v>32</v>
      </c>
      <c r="BU536" s="70">
        <v>0</v>
      </c>
      <c r="BV536" s="29">
        <f t="shared" si="126"/>
        <v>1.7653239165916961</v>
      </c>
      <c r="BW536">
        <f t="shared" si="127"/>
        <v>0.31476636926356072</v>
      </c>
      <c r="BX536">
        <f t="shared" si="128"/>
        <v>2.663023977201346</v>
      </c>
      <c r="BY536">
        <f t="shared" si="129"/>
        <v>0.32778177112653761</v>
      </c>
      <c r="BZ536">
        <f t="shared" si="130"/>
        <v>0.27045191444879263</v>
      </c>
      <c r="CA536">
        <f t="shared" si="131"/>
        <v>1.7597737514845315</v>
      </c>
      <c r="CB536">
        <f t="shared" si="132"/>
        <v>0.36858985273641137</v>
      </c>
    </row>
    <row r="537" spans="1:80" x14ac:dyDescent="0.45">
      <c r="A537" s="11">
        <v>41</v>
      </c>
      <c r="B537" s="12">
        <f t="shared" si="120"/>
        <v>41</v>
      </c>
      <c r="C537" s="12" t="s">
        <v>59</v>
      </c>
      <c r="D537" s="12">
        <v>0</v>
      </c>
      <c r="E537" s="12" t="s">
        <v>53</v>
      </c>
      <c r="F537" s="12">
        <v>0</v>
      </c>
      <c r="G537" s="12">
        <v>1</v>
      </c>
      <c r="H537" s="12" t="s">
        <v>97</v>
      </c>
      <c r="I537" s="12">
        <v>0</v>
      </c>
      <c r="J537" s="12">
        <v>0</v>
      </c>
      <c r="K537" s="12">
        <v>10</v>
      </c>
      <c r="L537" s="12">
        <f t="shared" si="121"/>
        <v>10</v>
      </c>
      <c r="M537" s="12">
        <v>4</v>
      </c>
      <c r="N537" s="12" t="s">
        <v>97</v>
      </c>
      <c r="O537" s="12">
        <v>0</v>
      </c>
      <c r="P537" s="12">
        <v>0</v>
      </c>
      <c r="Q537" s="12">
        <v>0</v>
      </c>
      <c r="R537" s="12">
        <v>0</v>
      </c>
      <c r="S537" s="12">
        <v>0</v>
      </c>
      <c r="T537" s="12">
        <v>2</v>
      </c>
      <c r="U537" s="12" t="s">
        <v>62</v>
      </c>
      <c r="V537" s="12">
        <v>0</v>
      </c>
      <c r="W537" s="12">
        <v>73</v>
      </c>
      <c r="X537" s="12">
        <v>2</v>
      </c>
      <c r="Y537" s="12">
        <v>5</v>
      </c>
      <c r="Z537" s="12" t="s">
        <v>87</v>
      </c>
      <c r="AA537" s="12">
        <v>0</v>
      </c>
      <c r="AB537" s="12">
        <v>0</v>
      </c>
      <c r="AC537" s="12">
        <v>0</v>
      </c>
      <c r="AD537" s="12">
        <v>1</v>
      </c>
      <c r="AE537" s="12">
        <v>0</v>
      </c>
      <c r="AF537" s="12">
        <v>0</v>
      </c>
      <c r="AG537" s="12">
        <v>0</v>
      </c>
      <c r="AH537" s="12">
        <v>0</v>
      </c>
      <c r="AI537" s="12">
        <v>4</v>
      </c>
      <c r="AJ537" s="12" t="s">
        <v>78</v>
      </c>
      <c r="AK537" s="12">
        <v>0</v>
      </c>
      <c r="AL537" s="12">
        <v>0</v>
      </c>
      <c r="AM537" s="12">
        <v>19141</v>
      </c>
      <c r="AN537" s="12">
        <f t="shared" si="122"/>
        <v>19141</v>
      </c>
      <c r="AO537" s="12">
        <v>3</v>
      </c>
      <c r="AP537" s="12" t="s">
        <v>59</v>
      </c>
      <c r="AQ537" s="12">
        <v>0</v>
      </c>
      <c r="AR537" s="12">
        <v>15</v>
      </c>
      <c r="AS537" s="12">
        <v>3</v>
      </c>
      <c r="AT537" s="12">
        <v>2</v>
      </c>
      <c r="AU537" s="12">
        <v>3</v>
      </c>
      <c r="AV537" s="12">
        <v>23</v>
      </c>
      <c r="AW537" s="12">
        <f t="shared" si="123"/>
        <v>23</v>
      </c>
      <c r="AX537" s="12">
        <v>2</v>
      </c>
      <c r="AY537" s="12">
        <v>2</v>
      </c>
      <c r="AZ537" s="12">
        <v>21</v>
      </c>
      <c r="BA537" s="12">
        <f t="shared" si="124"/>
        <v>21</v>
      </c>
      <c r="BB537" s="12">
        <v>6</v>
      </c>
      <c r="BC537" s="12">
        <v>12</v>
      </c>
      <c r="BD537" s="12">
        <f t="shared" si="133"/>
        <v>12</v>
      </c>
      <c r="BE537" s="12">
        <v>6</v>
      </c>
      <c r="BF537" s="12">
        <f t="shared" si="125"/>
        <v>6</v>
      </c>
      <c r="BG537" s="12">
        <f t="shared" si="134"/>
        <v>30</v>
      </c>
      <c r="BH537" s="67">
        <v>1</v>
      </c>
      <c r="BI537" s="67">
        <v>0</v>
      </c>
      <c r="BJ537" s="67">
        <v>0</v>
      </c>
      <c r="BK537" s="67">
        <v>0</v>
      </c>
      <c r="BL537" s="67">
        <v>1</v>
      </c>
      <c r="BM537" s="67">
        <v>0</v>
      </c>
      <c r="BN537" s="67">
        <v>0</v>
      </c>
      <c r="BO537" s="67">
        <v>0</v>
      </c>
      <c r="BP537" s="67">
        <v>6</v>
      </c>
      <c r="BQ537" s="67">
        <v>0</v>
      </c>
      <c r="BR537" s="67">
        <v>0</v>
      </c>
      <c r="BS537" s="67">
        <v>23</v>
      </c>
      <c r="BT537" s="67">
        <v>0</v>
      </c>
      <c r="BU537" s="70">
        <v>0</v>
      </c>
      <c r="BV537" s="29">
        <f t="shared" si="126"/>
        <v>2.6844062700097084</v>
      </c>
      <c r="BW537">
        <f t="shared" si="127"/>
        <v>0.52600872973843971</v>
      </c>
      <c r="BX537">
        <f t="shared" si="128"/>
        <v>1.5063278539414293</v>
      </c>
      <c r="BY537">
        <f t="shared" si="129"/>
        <v>2.2838128280930299</v>
      </c>
      <c r="BZ537">
        <f t="shared" si="130"/>
        <v>9.9604847176766084E-2</v>
      </c>
      <c r="CA537">
        <f t="shared" si="131"/>
        <v>0.4461985578408646</v>
      </c>
      <c r="CB537">
        <f t="shared" si="132"/>
        <v>3.0449828384135156</v>
      </c>
    </row>
    <row r="538" spans="1:80" x14ac:dyDescent="0.45">
      <c r="A538" s="11">
        <v>60</v>
      </c>
      <c r="B538" s="12">
        <f t="shared" si="120"/>
        <v>58.309999999999945</v>
      </c>
      <c r="C538" s="12" t="s">
        <v>59</v>
      </c>
      <c r="D538" s="12">
        <v>0</v>
      </c>
      <c r="E538" s="12" t="s">
        <v>53</v>
      </c>
      <c r="F538" s="12">
        <v>0</v>
      </c>
      <c r="G538" s="12">
        <v>1</v>
      </c>
      <c r="H538" s="12" t="s">
        <v>54</v>
      </c>
      <c r="I538" s="12">
        <v>0</v>
      </c>
      <c r="J538" s="12">
        <v>1</v>
      </c>
      <c r="K538" s="12">
        <v>16</v>
      </c>
      <c r="L538" s="12">
        <f t="shared" si="121"/>
        <v>16</v>
      </c>
      <c r="M538" s="12">
        <v>4</v>
      </c>
      <c r="N538" s="12" t="s">
        <v>90</v>
      </c>
      <c r="O538" s="12">
        <v>0</v>
      </c>
      <c r="P538" s="12">
        <v>0</v>
      </c>
      <c r="Q538" s="12">
        <v>0</v>
      </c>
      <c r="R538" s="12">
        <v>1</v>
      </c>
      <c r="S538" s="12">
        <v>0</v>
      </c>
      <c r="T538" s="12">
        <v>1</v>
      </c>
      <c r="U538" s="12" t="s">
        <v>62</v>
      </c>
      <c r="V538" s="12">
        <v>0</v>
      </c>
      <c r="W538" s="12">
        <v>84</v>
      </c>
      <c r="X538" s="12">
        <v>3</v>
      </c>
      <c r="Y538" s="12">
        <v>2</v>
      </c>
      <c r="Z538" s="12" t="s">
        <v>56</v>
      </c>
      <c r="AA538" s="12">
        <v>0</v>
      </c>
      <c r="AB538" s="12">
        <v>1</v>
      </c>
      <c r="AC538" s="12">
        <v>0</v>
      </c>
      <c r="AD538" s="12">
        <v>0</v>
      </c>
      <c r="AE538" s="12">
        <v>0</v>
      </c>
      <c r="AF538" s="12">
        <v>0</v>
      </c>
      <c r="AG538" s="12">
        <v>0</v>
      </c>
      <c r="AH538" s="12">
        <v>0</v>
      </c>
      <c r="AI538" s="12">
        <v>1</v>
      </c>
      <c r="AJ538" s="12" t="s">
        <v>57</v>
      </c>
      <c r="AK538" s="12">
        <v>1</v>
      </c>
      <c r="AL538" s="12">
        <v>0</v>
      </c>
      <c r="AM538" s="12">
        <v>5405</v>
      </c>
      <c r="AN538" s="12">
        <f t="shared" si="122"/>
        <v>5405</v>
      </c>
      <c r="AO538" s="12">
        <v>8</v>
      </c>
      <c r="AP538" s="12" t="s">
        <v>59</v>
      </c>
      <c r="AQ538" s="12">
        <v>0</v>
      </c>
      <c r="AR538" s="12">
        <v>14</v>
      </c>
      <c r="AS538" s="12">
        <v>3</v>
      </c>
      <c r="AT538" s="12">
        <v>4</v>
      </c>
      <c r="AU538" s="12">
        <v>0</v>
      </c>
      <c r="AV538" s="12">
        <v>10</v>
      </c>
      <c r="AW538" s="12">
        <f t="shared" si="123"/>
        <v>10</v>
      </c>
      <c r="AX538" s="12">
        <v>1</v>
      </c>
      <c r="AY538" s="12">
        <v>3</v>
      </c>
      <c r="AZ538" s="12">
        <v>2</v>
      </c>
      <c r="BA538" s="12">
        <f t="shared" si="124"/>
        <v>2</v>
      </c>
      <c r="BB538" s="12">
        <v>2</v>
      </c>
      <c r="BC538" s="12">
        <v>2</v>
      </c>
      <c r="BD538" s="12">
        <f t="shared" si="133"/>
        <v>2</v>
      </c>
      <c r="BE538" s="12">
        <v>2</v>
      </c>
      <c r="BF538" s="12">
        <f t="shared" si="125"/>
        <v>2</v>
      </c>
      <c r="BG538" s="12">
        <f t="shared" si="134"/>
        <v>4</v>
      </c>
      <c r="BH538" s="67">
        <v>1</v>
      </c>
      <c r="BI538" s="67">
        <v>0</v>
      </c>
      <c r="BJ538" s="67">
        <v>0</v>
      </c>
      <c r="BK538" s="67">
        <v>0</v>
      </c>
      <c r="BL538" s="67">
        <v>1</v>
      </c>
      <c r="BM538" s="67">
        <v>0</v>
      </c>
      <c r="BN538" s="67">
        <v>0</v>
      </c>
      <c r="BO538" s="67">
        <v>0</v>
      </c>
      <c r="BP538" s="67">
        <v>0</v>
      </c>
      <c r="BQ538" s="67">
        <v>0</v>
      </c>
      <c r="BR538" s="67">
        <v>2</v>
      </c>
      <c r="BS538" s="67">
        <v>0</v>
      </c>
      <c r="BT538" s="67">
        <v>0</v>
      </c>
      <c r="BU538" s="70">
        <v>10</v>
      </c>
      <c r="BV538" s="29">
        <f t="shared" si="126"/>
        <v>0.23320759792415327</v>
      </c>
      <c r="BW538">
        <f t="shared" si="127"/>
        <v>0.59502473559756086</v>
      </c>
      <c r="BX538">
        <f t="shared" si="128"/>
        <v>0.1644554352117841</v>
      </c>
      <c r="BY538">
        <f t="shared" si="129"/>
        <v>0.81745575848020657</v>
      </c>
      <c r="BZ538">
        <f t="shared" si="130"/>
        <v>0.83971837042788355</v>
      </c>
      <c r="CA538">
        <f t="shared" si="131"/>
        <v>2.5260259477766707</v>
      </c>
      <c r="CB538">
        <f t="shared" si="132"/>
        <v>5.8265062631872602E-2</v>
      </c>
    </row>
    <row r="539" spans="1:80" x14ac:dyDescent="0.45">
      <c r="A539" s="11">
        <v>27</v>
      </c>
      <c r="B539" s="12">
        <f t="shared" si="120"/>
        <v>27</v>
      </c>
      <c r="C539" s="12" t="s">
        <v>59</v>
      </c>
      <c r="D539" s="12">
        <v>0</v>
      </c>
      <c r="E539" s="12" t="s">
        <v>60</v>
      </c>
      <c r="F539" s="12">
        <v>1</v>
      </c>
      <c r="G539" s="12">
        <v>0</v>
      </c>
      <c r="H539" s="12" t="s">
        <v>61</v>
      </c>
      <c r="I539" s="12">
        <v>1</v>
      </c>
      <c r="J539" s="12">
        <v>0</v>
      </c>
      <c r="K539" s="12">
        <v>10</v>
      </c>
      <c r="L539" s="12">
        <f t="shared" si="121"/>
        <v>10</v>
      </c>
      <c r="M539" s="12">
        <v>2</v>
      </c>
      <c r="N539" s="12" t="s">
        <v>55</v>
      </c>
      <c r="O539" s="12">
        <v>1</v>
      </c>
      <c r="P539" s="12">
        <v>0</v>
      </c>
      <c r="Q539" s="12">
        <v>0</v>
      </c>
      <c r="R539" s="12">
        <v>0</v>
      </c>
      <c r="S539" s="12">
        <v>0</v>
      </c>
      <c r="T539" s="12">
        <v>4</v>
      </c>
      <c r="U539" s="12" t="s">
        <v>62</v>
      </c>
      <c r="V539" s="12">
        <v>0</v>
      </c>
      <c r="W539" s="12">
        <v>32</v>
      </c>
      <c r="X539" s="12">
        <v>3</v>
      </c>
      <c r="Y539" s="12">
        <v>3</v>
      </c>
      <c r="Z539" s="12" t="s">
        <v>83</v>
      </c>
      <c r="AA539" s="12">
        <v>0</v>
      </c>
      <c r="AB539" s="12">
        <v>0</v>
      </c>
      <c r="AC539" s="12">
        <v>0</v>
      </c>
      <c r="AD539" s="12">
        <v>0</v>
      </c>
      <c r="AE539" s="12">
        <v>1</v>
      </c>
      <c r="AF539" s="12">
        <v>1</v>
      </c>
      <c r="AG539" s="12">
        <v>0</v>
      </c>
      <c r="AH539" s="12">
        <v>0</v>
      </c>
      <c r="AI539" s="12">
        <v>1</v>
      </c>
      <c r="AJ539" s="12" t="s">
        <v>78</v>
      </c>
      <c r="AK539" s="12">
        <v>0</v>
      </c>
      <c r="AL539" s="12">
        <v>0</v>
      </c>
      <c r="AM539" s="12">
        <v>8793</v>
      </c>
      <c r="AN539" s="12">
        <f t="shared" si="122"/>
        <v>8793</v>
      </c>
      <c r="AO539" s="12">
        <v>1</v>
      </c>
      <c r="AP539" s="12" t="s">
        <v>59</v>
      </c>
      <c r="AQ539" s="12">
        <v>0</v>
      </c>
      <c r="AR539" s="12">
        <v>21</v>
      </c>
      <c r="AS539" s="12">
        <v>4</v>
      </c>
      <c r="AT539" s="12">
        <v>3</v>
      </c>
      <c r="AU539" s="12">
        <v>2</v>
      </c>
      <c r="AV539" s="12">
        <v>9</v>
      </c>
      <c r="AW539" s="12">
        <f t="shared" si="123"/>
        <v>9</v>
      </c>
      <c r="AX539" s="12">
        <v>4</v>
      </c>
      <c r="AY539" s="12">
        <v>2</v>
      </c>
      <c r="AZ539" s="12">
        <v>9</v>
      </c>
      <c r="BA539" s="12">
        <f t="shared" si="124"/>
        <v>9</v>
      </c>
      <c r="BB539" s="12">
        <v>7</v>
      </c>
      <c r="BC539" s="12">
        <v>1</v>
      </c>
      <c r="BD539" s="12">
        <f t="shared" si="133"/>
        <v>1</v>
      </c>
      <c r="BE539" s="12">
        <v>7</v>
      </c>
      <c r="BF539" s="12">
        <f t="shared" si="125"/>
        <v>7</v>
      </c>
      <c r="BG539" s="12">
        <f t="shared" si="134"/>
        <v>21</v>
      </c>
      <c r="BH539" s="67">
        <v>0</v>
      </c>
      <c r="BI539" s="67">
        <v>0</v>
      </c>
      <c r="BJ539" s="67">
        <v>1</v>
      </c>
      <c r="BK539" s="67">
        <v>0</v>
      </c>
      <c r="BL539" s="67">
        <v>1</v>
      </c>
      <c r="BM539" s="67">
        <v>0</v>
      </c>
      <c r="BN539" s="67">
        <v>0</v>
      </c>
      <c r="BO539" s="67">
        <v>0</v>
      </c>
      <c r="BP539" s="67">
        <v>0</v>
      </c>
      <c r="BQ539" s="67">
        <v>7</v>
      </c>
      <c r="BR539" s="67">
        <v>0</v>
      </c>
      <c r="BS539" s="67">
        <v>0</v>
      </c>
      <c r="BT539" s="67">
        <v>9</v>
      </c>
      <c r="BU539" s="70">
        <v>0</v>
      </c>
      <c r="BV539" s="29">
        <f t="shared" si="126"/>
        <v>0.48642517614107128</v>
      </c>
      <c r="BW539">
        <f t="shared" si="127"/>
        <v>0.80626709607243985</v>
      </c>
      <c r="BX539">
        <f t="shared" si="128"/>
        <v>0.29297722668510823</v>
      </c>
      <c r="BY539">
        <f t="shared" si="129"/>
        <v>0.32511687867835437</v>
      </c>
      <c r="BZ539">
        <f t="shared" si="130"/>
        <v>9.9604847176766084E-2</v>
      </c>
      <c r="CA539">
        <f t="shared" si="131"/>
        <v>1.0863058347434136</v>
      </c>
      <c r="CB539">
        <f t="shared" si="132"/>
        <v>0.36858985273641137</v>
      </c>
    </row>
    <row r="540" spans="1:80" x14ac:dyDescent="0.45">
      <c r="A540" s="11">
        <v>41</v>
      </c>
      <c r="B540" s="12">
        <f t="shared" si="120"/>
        <v>41</v>
      </c>
      <c r="C540" s="12" t="s">
        <v>59</v>
      </c>
      <c r="D540" s="12">
        <v>0</v>
      </c>
      <c r="E540" s="12" t="s">
        <v>53</v>
      </c>
      <c r="F540" s="12">
        <v>0</v>
      </c>
      <c r="G540" s="12">
        <v>1</v>
      </c>
      <c r="H540" s="12" t="s">
        <v>97</v>
      </c>
      <c r="I540" s="12">
        <v>0</v>
      </c>
      <c r="J540" s="12">
        <v>0</v>
      </c>
      <c r="K540" s="12">
        <v>1</v>
      </c>
      <c r="L540" s="12">
        <f t="shared" si="121"/>
        <v>1</v>
      </c>
      <c r="M540" s="12">
        <v>3</v>
      </c>
      <c r="N540" s="12" t="s">
        <v>97</v>
      </c>
      <c r="O540" s="12">
        <v>0</v>
      </c>
      <c r="P540" s="12">
        <v>0</v>
      </c>
      <c r="Q540" s="12">
        <v>0</v>
      </c>
      <c r="R540" s="12">
        <v>0</v>
      </c>
      <c r="S540" s="12">
        <v>0</v>
      </c>
      <c r="T540" s="12">
        <v>4</v>
      </c>
      <c r="U540" s="12" t="s">
        <v>62</v>
      </c>
      <c r="V540" s="12">
        <v>0</v>
      </c>
      <c r="W540" s="12">
        <v>59</v>
      </c>
      <c r="X540" s="12">
        <v>2</v>
      </c>
      <c r="Y540" s="12">
        <v>5</v>
      </c>
      <c r="Z540" s="12" t="s">
        <v>87</v>
      </c>
      <c r="AA540" s="12">
        <v>0</v>
      </c>
      <c r="AB540" s="12">
        <v>0</v>
      </c>
      <c r="AC540" s="12">
        <v>0</v>
      </c>
      <c r="AD540" s="12">
        <v>1</v>
      </c>
      <c r="AE540" s="12">
        <v>0</v>
      </c>
      <c r="AF540" s="12">
        <v>0</v>
      </c>
      <c r="AG540" s="12">
        <v>0</v>
      </c>
      <c r="AH540" s="12">
        <v>0</v>
      </c>
      <c r="AI540" s="12">
        <v>3</v>
      </c>
      <c r="AJ540" s="12" t="s">
        <v>64</v>
      </c>
      <c r="AK540" s="12">
        <v>0</v>
      </c>
      <c r="AL540" s="12">
        <v>1</v>
      </c>
      <c r="AM540" s="12">
        <v>19189</v>
      </c>
      <c r="AN540" s="12">
        <f t="shared" si="122"/>
        <v>19189</v>
      </c>
      <c r="AO540" s="12">
        <v>1</v>
      </c>
      <c r="AP540" s="12" t="s">
        <v>59</v>
      </c>
      <c r="AQ540" s="12">
        <v>0</v>
      </c>
      <c r="AR540" s="12">
        <v>12</v>
      </c>
      <c r="AS540" s="12">
        <v>3</v>
      </c>
      <c r="AT540" s="12">
        <v>2</v>
      </c>
      <c r="AU540" s="12">
        <v>1</v>
      </c>
      <c r="AV540" s="12">
        <v>22</v>
      </c>
      <c r="AW540" s="12">
        <f t="shared" si="123"/>
        <v>22</v>
      </c>
      <c r="AX540" s="12">
        <v>3</v>
      </c>
      <c r="AY540" s="12">
        <v>3</v>
      </c>
      <c r="AZ540" s="12">
        <v>22</v>
      </c>
      <c r="BA540" s="12">
        <f t="shared" si="124"/>
        <v>22</v>
      </c>
      <c r="BB540" s="12">
        <v>7</v>
      </c>
      <c r="BC540" s="12">
        <v>2</v>
      </c>
      <c r="BD540" s="12">
        <f t="shared" si="133"/>
        <v>2</v>
      </c>
      <c r="BE540" s="12">
        <v>10</v>
      </c>
      <c r="BF540" s="12">
        <f t="shared" si="125"/>
        <v>10</v>
      </c>
      <c r="BG540" s="12">
        <f t="shared" si="134"/>
        <v>50</v>
      </c>
      <c r="BH540" s="67">
        <v>0</v>
      </c>
      <c r="BI540" s="67">
        <v>1</v>
      </c>
      <c r="BJ540" s="67">
        <v>0</v>
      </c>
      <c r="BK540" s="67">
        <v>0</v>
      </c>
      <c r="BL540" s="67">
        <v>0</v>
      </c>
      <c r="BM540" s="67">
        <v>0</v>
      </c>
      <c r="BN540" s="67">
        <v>1</v>
      </c>
      <c r="BO540" s="67">
        <v>0</v>
      </c>
      <c r="BP540" s="67">
        <v>10</v>
      </c>
      <c r="BQ540" s="67">
        <v>0</v>
      </c>
      <c r="BR540" s="67">
        <v>0</v>
      </c>
      <c r="BS540" s="67">
        <v>22</v>
      </c>
      <c r="BT540" s="67">
        <v>0</v>
      </c>
      <c r="BU540" s="70">
        <v>0</v>
      </c>
      <c r="BV540" s="29">
        <f t="shared" si="126"/>
        <v>2.6946017756635254</v>
      </c>
      <c r="BW540">
        <f t="shared" si="127"/>
        <v>1.6470421950744405</v>
      </c>
      <c r="BX540">
        <f t="shared" si="128"/>
        <v>1.3778060624681052</v>
      </c>
      <c r="BY540">
        <f t="shared" si="129"/>
        <v>2.4470374905442531</v>
      </c>
      <c r="BZ540">
        <f t="shared" si="130"/>
        <v>1.01056543769991</v>
      </c>
      <c r="CA540">
        <f t="shared" si="131"/>
        <v>0.4461985578408646</v>
      </c>
      <c r="CB540">
        <f t="shared" si="132"/>
        <v>5.8265062631872602E-2</v>
      </c>
    </row>
    <row r="541" spans="1:80" x14ac:dyDescent="0.45">
      <c r="A541" s="11">
        <v>50</v>
      </c>
      <c r="B541" s="12">
        <f t="shared" si="120"/>
        <v>50</v>
      </c>
      <c r="C541" s="12" t="s">
        <v>59</v>
      </c>
      <c r="D541" s="12">
        <v>0</v>
      </c>
      <c r="E541" s="12" t="s">
        <v>53</v>
      </c>
      <c r="F541" s="12">
        <v>0</v>
      </c>
      <c r="G541" s="12">
        <v>1</v>
      </c>
      <c r="H541" s="12" t="s">
        <v>54</v>
      </c>
      <c r="I541" s="12">
        <v>0</v>
      </c>
      <c r="J541" s="12">
        <v>1</v>
      </c>
      <c r="K541" s="12">
        <v>8</v>
      </c>
      <c r="L541" s="12">
        <f t="shared" si="121"/>
        <v>8</v>
      </c>
      <c r="M541" s="12">
        <v>4</v>
      </c>
      <c r="N541" s="12" t="s">
        <v>90</v>
      </c>
      <c r="O541" s="12">
        <v>0</v>
      </c>
      <c r="P541" s="12">
        <v>0</v>
      </c>
      <c r="Q541" s="12">
        <v>0</v>
      </c>
      <c r="R541" s="12">
        <v>1</v>
      </c>
      <c r="S541" s="12">
        <v>0</v>
      </c>
      <c r="T541" s="12">
        <v>4</v>
      </c>
      <c r="U541" s="12" t="s">
        <v>62</v>
      </c>
      <c r="V541" s="12">
        <v>0</v>
      </c>
      <c r="W541" s="12">
        <v>54</v>
      </c>
      <c r="X541" s="12">
        <v>3</v>
      </c>
      <c r="Y541" s="12">
        <v>1</v>
      </c>
      <c r="Z541" s="12" t="s">
        <v>88</v>
      </c>
      <c r="AA541" s="12">
        <v>0</v>
      </c>
      <c r="AB541" s="12">
        <v>0</v>
      </c>
      <c r="AC541" s="12">
        <v>0</v>
      </c>
      <c r="AD541" s="12">
        <v>0</v>
      </c>
      <c r="AE541" s="12">
        <v>0</v>
      </c>
      <c r="AF541" s="12">
        <v>0</v>
      </c>
      <c r="AG541" s="12">
        <v>1</v>
      </c>
      <c r="AH541" s="12">
        <v>0</v>
      </c>
      <c r="AI541" s="12">
        <v>2</v>
      </c>
      <c r="AJ541" s="12" t="s">
        <v>64</v>
      </c>
      <c r="AK541" s="12">
        <v>0</v>
      </c>
      <c r="AL541" s="12">
        <v>1</v>
      </c>
      <c r="AM541" s="12">
        <v>3875</v>
      </c>
      <c r="AN541" s="12">
        <f t="shared" si="122"/>
        <v>3875</v>
      </c>
      <c r="AO541" s="12">
        <v>7</v>
      </c>
      <c r="AP541" s="12" t="s">
        <v>59</v>
      </c>
      <c r="AQ541" s="12">
        <v>0</v>
      </c>
      <c r="AR541" s="12">
        <v>15</v>
      </c>
      <c r="AS541" s="12">
        <v>3</v>
      </c>
      <c r="AT541" s="12">
        <v>4</v>
      </c>
      <c r="AU541" s="12">
        <v>1</v>
      </c>
      <c r="AV541" s="12">
        <v>4</v>
      </c>
      <c r="AW541" s="12">
        <f t="shared" si="123"/>
        <v>4</v>
      </c>
      <c r="AX541" s="12">
        <v>2</v>
      </c>
      <c r="AY541" s="12">
        <v>3</v>
      </c>
      <c r="AZ541" s="12">
        <v>2</v>
      </c>
      <c r="BA541" s="12">
        <f t="shared" si="124"/>
        <v>2</v>
      </c>
      <c r="BB541" s="12">
        <v>2</v>
      </c>
      <c r="BC541" s="12">
        <v>2</v>
      </c>
      <c r="BD541" s="12">
        <f t="shared" si="133"/>
        <v>2</v>
      </c>
      <c r="BE541" s="12">
        <v>2</v>
      </c>
      <c r="BF541" s="12">
        <f t="shared" si="125"/>
        <v>2</v>
      </c>
      <c r="BG541" s="12">
        <f t="shared" si="134"/>
        <v>2</v>
      </c>
      <c r="BH541" s="67">
        <v>0</v>
      </c>
      <c r="BI541" s="67">
        <v>1</v>
      </c>
      <c r="BJ541" s="67">
        <v>0</v>
      </c>
      <c r="BK541" s="67">
        <v>0</v>
      </c>
      <c r="BL541" s="67">
        <v>0</v>
      </c>
      <c r="BM541" s="67">
        <v>0</v>
      </c>
      <c r="BN541" s="67">
        <v>1</v>
      </c>
      <c r="BO541" s="67">
        <v>0</v>
      </c>
      <c r="BP541" s="67">
        <v>0</v>
      </c>
      <c r="BQ541" s="67">
        <v>0</v>
      </c>
      <c r="BR541" s="67">
        <v>2</v>
      </c>
      <c r="BS541" s="67">
        <v>0</v>
      </c>
      <c r="BT541" s="67">
        <v>0</v>
      </c>
      <c r="BU541" s="70">
        <v>4</v>
      </c>
      <c r="BV541" s="29">
        <f t="shared" si="126"/>
        <v>0.55818934063955872</v>
      </c>
      <c r="BW541">
        <f t="shared" si="127"/>
        <v>0.59502473559756086</v>
      </c>
      <c r="BX541">
        <f t="shared" si="128"/>
        <v>0.93558618405172878</v>
      </c>
      <c r="BY541">
        <f t="shared" si="129"/>
        <v>0.81745575848020657</v>
      </c>
      <c r="BZ541">
        <f t="shared" si="130"/>
        <v>0.14709966057360641</v>
      </c>
      <c r="CA541">
        <f t="shared" si="131"/>
        <v>1.4313799530736149</v>
      </c>
      <c r="CB541">
        <f t="shared" si="132"/>
        <v>5.8265062631872602E-2</v>
      </c>
    </row>
    <row r="542" spans="1:80" x14ac:dyDescent="0.45">
      <c r="A542" s="11">
        <v>28</v>
      </c>
      <c r="B542" s="12">
        <f t="shared" si="120"/>
        <v>28</v>
      </c>
      <c r="C542" s="12" t="s">
        <v>52</v>
      </c>
      <c r="D542" s="12">
        <v>1</v>
      </c>
      <c r="E542" s="12" t="s">
        <v>53</v>
      </c>
      <c r="F542" s="12">
        <v>0</v>
      </c>
      <c r="G542" s="12">
        <v>1</v>
      </c>
      <c r="H542" s="12" t="s">
        <v>61</v>
      </c>
      <c r="I542" s="12">
        <v>1</v>
      </c>
      <c r="J542" s="12">
        <v>0</v>
      </c>
      <c r="K542" s="12">
        <v>1</v>
      </c>
      <c r="L542" s="12">
        <f t="shared" si="121"/>
        <v>1</v>
      </c>
      <c r="M542" s="12">
        <v>2</v>
      </c>
      <c r="N542" s="12" t="s">
        <v>55</v>
      </c>
      <c r="O542" s="12">
        <v>1</v>
      </c>
      <c r="P542" s="12">
        <v>0</v>
      </c>
      <c r="Q542" s="12">
        <v>0</v>
      </c>
      <c r="R542" s="12">
        <v>0</v>
      </c>
      <c r="S542" s="12">
        <v>0</v>
      </c>
      <c r="T542" s="12">
        <v>1</v>
      </c>
      <c r="U542" s="12" t="s">
        <v>19</v>
      </c>
      <c r="V542" s="12">
        <v>1</v>
      </c>
      <c r="W542" s="12">
        <v>67</v>
      </c>
      <c r="X542" s="12">
        <v>1</v>
      </c>
      <c r="Y542" s="12">
        <v>1</v>
      </c>
      <c r="Z542" s="12" t="s">
        <v>63</v>
      </c>
      <c r="AA542" s="12">
        <v>0</v>
      </c>
      <c r="AB542" s="12">
        <v>0</v>
      </c>
      <c r="AC542" s="12">
        <v>0</v>
      </c>
      <c r="AD542" s="12">
        <v>0</v>
      </c>
      <c r="AE542" s="12">
        <v>0</v>
      </c>
      <c r="AF542" s="12">
        <v>0</v>
      </c>
      <c r="AG542" s="12">
        <v>0</v>
      </c>
      <c r="AH542" s="12">
        <v>1</v>
      </c>
      <c r="AI542" s="12">
        <v>2</v>
      </c>
      <c r="AJ542" s="12" t="s">
        <v>57</v>
      </c>
      <c r="AK542" s="12">
        <v>1</v>
      </c>
      <c r="AL542" s="12">
        <v>0</v>
      </c>
      <c r="AM542" s="12">
        <v>2216</v>
      </c>
      <c r="AN542" s="12">
        <f t="shared" si="122"/>
        <v>2216</v>
      </c>
      <c r="AO542" s="12">
        <v>7</v>
      </c>
      <c r="AP542" s="12" t="s">
        <v>52</v>
      </c>
      <c r="AQ542" s="12">
        <v>1</v>
      </c>
      <c r="AR542" s="12">
        <v>13</v>
      </c>
      <c r="AS542" s="12">
        <v>3</v>
      </c>
      <c r="AT542" s="12">
        <v>4</v>
      </c>
      <c r="AU542" s="12">
        <v>0</v>
      </c>
      <c r="AV542" s="12">
        <v>10</v>
      </c>
      <c r="AW542" s="12">
        <f t="shared" si="123"/>
        <v>10</v>
      </c>
      <c r="AX542" s="12">
        <v>4</v>
      </c>
      <c r="AY542" s="12">
        <v>3</v>
      </c>
      <c r="AZ542" s="12">
        <v>7</v>
      </c>
      <c r="BA542" s="12">
        <f t="shared" si="124"/>
        <v>7</v>
      </c>
      <c r="BB542" s="12">
        <v>7</v>
      </c>
      <c r="BC542" s="12">
        <v>3</v>
      </c>
      <c r="BD542" s="12">
        <f t="shared" si="133"/>
        <v>3</v>
      </c>
      <c r="BE542" s="12">
        <v>7</v>
      </c>
      <c r="BF542" s="12">
        <f t="shared" si="125"/>
        <v>7</v>
      </c>
      <c r="BG542" s="12">
        <f t="shared" si="134"/>
        <v>7</v>
      </c>
      <c r="BH542" s="67">
        <v>1</v>
      </c>
      <c r="BI542" s="67">
        <v>0</v>
      </c>
      <c r="BJ542" s="67">
        <v>0</v>
      </c>
      <c r="BK542" s="67">
        <v>0</v>
      </c>
      <c r="BL542" s="67">
        <v>0</v>
      </c>
      <c r="BM542" s="67">
        <v>1</v>
      </c>
      <c r="BN542" s="67">
        <v>0</v>
      </c>
      <c r="BO542" s="67">
        <v>0</v>
      </c>
      <c r="BP542" s="67">
        <v>0</v>
      </c>
      <c r="BQ542" s="67">
        <v>7</v>
      </c>
      <c r="BR542" s="67">
        <v>0</v>
      </c>
      <c r="BS542" s="67">
        <v>0</v>
      </c>
      <c r="BT542" s="67">
        <v>10</v>
      </c>
      <c r="BU542" s="70">
        <v>0</v>
      </c>
      <c r="BV542" s="29">
        <f t="shared" si="126"/>
        <v>0.91057150479959625</v>
      </c>
      <c r="BW542">
        <f t="shared" si="127"/>
        <v>0.80626709607243985</v>
      </c>
      <c r="BX542">
        <f t="shared" si="128"/>
        <v>0.1644554352117841</v>
      </c>
      <c r="BY542">
        <f t="shared" si="129"/>
        <v>1.3324462240916321E-3</v>
      </c>
      <c r="BZ542">
        <f t="shared" si="130"/>
        <v>1.01056543769991</v>
      </c>
      <c r="CA542">
        <f t="shared" si="131"/>
        <v>0.97684123527310796</v>
      </c>
      <c r="CB542">
        <f t="shared" si="132"/>
        <v>0.2520597274726662</v>
      </c>
    </row>
    <row r="543" spans="1:80" x14ac:dyDescent="0.45">
      <c r="A543" s="11">
        <v>36</v>
      </c>
      <c r="B543" s="12">
        <f t="shared" si="120"/>
        <v>36</v>
      </c>
      <c r="C543" s="12" t="s">
        <v>59</v>
      </c>
      <c r="D543" s="12">
        <v>0</v>
      </c>
      <c r="E543" s="12" t="s">
        <v>86</v>
      </c>
      <c r="F543" s="12">
        <v>0</v>
      </c>
      <c r="G543" s="12">
        <v>0</v>
      </c>
      <c r="H543" s="12" t="s">
        <v>61</v>
      </c>
      <c r="I543" s="12">
        <v>1</v>
      </c>
      <c r="J543" s="12">
        <v>0</v>
      </c>
      <c r="K543" s="12">
        <v>8</v>
      </c>
      <c r="L543" s="12">
        <f t="shared" si="121"/>
        <v>8</v>
      </c>
      <c r="M543" s="12">
        <v>3</v>
      </c>
      <c r="N543" s="12" t="s">
        <v>55</v>
      </c>
      <c r="O543" s="12">
        <v>1</v>
      </c>
      <c r="P543" s="12">
        <v>0</v>
      </c>
      <c r="Q543" s="12">
        <v>0</v>
      </c>
      <c r="R543" s="12">
        <v>0</v>
      </c>
      <c r="S543" s="12">
        <v>0</v>
      </c>
      <c r="T543" s="12">
        <v>1</v>
      </c>
      <c r="U543" s="12" t="s">
        <v>19</v>
      </c>
      <c r="V543" s="12">
        <v>1</v>
      </c>
      <c r="W543" s="12">
        <v>63</v>
      </c>
      <c r="X543" s="12">
        <v>4</v>
      </c>
      <c r="Y543" s="12">
        <v>3</v>
      </c>
      <c r="Z543" s="12" t="s">
        <v>89</v>
      </c>
      <c r="AA543" s="12">
        <v>0</v>
      </c>
      <c r="AB543" s="12">
        <v>0</v>
      </c>
      <c r="AC543" s="12">
        <v>0</v>
      </c>
      <c r="AD543" s="12">
        <v>0</v>
      </c>
      <c r="AE543" s="12">
        <v>0</v>
      </c>
      <c r="AF543" s="12">
        <v>0</v>
      </c>
      <c r="AG543" s="12">
        <v>0</v>
      </c>
      <c r="AH543" s="12">
        <v>0</v>
      </c>
      <c r="AI543" s="12">
        <v>1</v>
      </c>
      <c r="AJ543" s="12" t="s">
        <v>64</v>
      </c>
      <c r="AK543" s="12">
        <v>0</v>
      </c>
      <c r="AL543" s="12">
        <v>1</v>
      </c>
      <c r="AM543" s="12">
        <v>11713</v>
      </c>
      <c r="AN543" s="12">
        <f t="shared" si="122"/>
        <v>11713</v>
      </c>
      <c r="AO543" s="12">
        <v>9</v>
      </c>
      <c r="AP543" s="12" t="s">
        <v>59</v>
      </c>
      <c r="AQ543" s="12">
        <v>0</v>
      </c>
      <c r="AR543" s="12">
        <v>14</v>
      </c>
      <c r="AS543" s="12">
        <v>3</v>
      </c>
      <c r="AT543" s="12">
        <v>1</v>
      </c>
      <c r="AU543" s="12">
        <v>1</v>
      </c>
      <c r="AV543" s="12">
        <v>10</v>
      </c>
      <c r="AW543" s="12">
        <f t="shared" si="123"/>
        <v>10</v>
      </c>
      <c r="AX543" s="12">
        <v>2</v>
      </c>
      <c r="AY543" s="12">
        <v>3</v>
      </c>
      <c r="AZ543" s="12">
        <v>8</v>
      </c>
      <c r="BA543" s="12">
        <f t="shared" si="124"/>
        <v>8</v>
      </c>
      <c r="BB543" s="12">
        <v>7</v>
      </c>
      <c r="BC543" s="12">
        <v>0</v>
      </c>
      <c r="BD543" s="12">
        <f t="shared" si="133"/>
        <v>0</v>
      </c>
      <c r="BE543" s="12">
        <v>5</v>
      </c>
      <c r="BF543" s="12">
        <f t="shared" si="125"/>
        <v>5</v>
      </c>
      <c r="BG543" s="12">
        <f t="shared" si="134"/>
        <v>15</v>
      </c>
      <c r="BH543" s="67">
        <v>0</v>
      </c>
      <c r="BI543" s="67">
        <v>1</v>
      </c>
      <c r="BJ543" s="67">
        <v>0</v>
      </c>
      <c r="BK543" s="67">
        <v>0</v>
      </c>
      <c r="BL543" s="67">
        <v>0</v>
      </c>
      <c r="BM543" s="67">
        <v>0</v>
      </c>
      <c r="BN543" s="67">
        <v>1</v>
      </c>
      <c r="BO543" s="67">
        <v>0</v>
      </c>
      <c r="BP543" s="67">
        <v>0</v>
      </c>
      <c r="BQ543" s="67">
        <v>5</v>
      </c>
      <c r="BR543" s="67">
        <v>0</v>
      </c>
      <c r="BS543" s="67">
        <v>0</v>
      </c>
      <c r="BT543" s="67">
        <v>10</v>
      </c>
      <c r="BU543" s="70">
        <v>0</v>
      </c>
      <c r="BV543" s="29">
        <f t="shared" si="126"/>
        <v>1.1066517700815834</v>
      </c>
      <c r="BW543">
        <f t="shared" si="127"/>
        <v>0.24575036340443959</v>
      </c>
      <c r="BX543">
        <f t="shared" si="128"/>
        <v>0.1644554352117841</v>
      </c>
      <c r="BY543">
        <f t="shared" si="129"/>
        <v>0.16189221622713135</v>
      </c>
      <c r="BZ543">
        <f t="shared" si="130"/>
        <v>0.14709966057360641</v>
      </c>
      <c r="CA543">
        <f t="shared" si="131"/>
        <v>0.10112443951066327</v>
      </c>
      <c r="CB543">
        <f t="shared" si="132"/>
        <v>0.67891464284095016</v>
      </c>
    </row>
    <row r="544" spans="1:80" x14ac:dyDescent="0.45">
      <c r="A544" s="11">
        <v>38</v>
      </c>
      <c r="B544" s="12">
        <f t="shared" si="120"/>
        <v>38</v>
      </c>
      <c r="C544" s="12" t="s">
        <v>59</v>
      </c>
      <c r="D544" s="12">
        <v>0</v>
      </c>
      <c r="E544" s="12" t="s">
        <v>53</v>
      </c>
      <c r="F544" s="12">
        <v>0</v>
      </c>
      <c r="G544" s="12">
        <v>1</v>
      </c>
      <c r="H544" s="12" t="s">
        <v>61</v>
      </c>
      <c r="I544" s="12">
        <v>1</v>
      </c>
      <c r="J544" s="12">
        <v>0</v>
      </c>
      <c r="K544" s="12">
        <v>1</v>
      </c>
      <c r="L544" s="12">
        <f t="shared" si="121"/>
        <v>1</v>
      </c>
      <c r="M544" s="12">
        <v>3</v>
      </c>
      <c r="N544" s="12" t="s">
        <v>55</v>
      </c>
      <c r="O544" s="12">
        <v>1</v>
      </c>
      <c r="P544" s="12">
        <v>0</v>
      </c>
      <c r="Q544" s="12">
        <v>0</v>
      </c>
      <c r="R544" s="12">
        <v>0</v>
      </c>
      <c r="S544" s="12">
        <v>0</v>
      </c>
      <c r="T544" s="12">
        <v>3</v>
      </c>
      <c r="U544" s="12" t="s">
        <v>19</v>
      </c>
      <c r="V544" s="12">
        <v>1</v>
      </c>
      <c r="W544" s="12">
        <v>81</v>
      </c>
      <c r="X544" s="12">
        <v>3</v>
      </c>
      <c r="Y544" s="12">
        <v>3</v>
      </c>
      <c r="Z544" s="12" t="s">
        <v>83</v>
      </c>
      <c r="AA544" s="12">
        <v>0</v>
      </c>
      <c r="AB544" s="12">
        <v>0</v>
      </c>
      <c r="AC544" s="12">
        <v>0</v>
      </c>
      <c r="AD544" s="12">
        <v>0</v>
      </c>
      <c r="AE544" s="12">
        <v>1</v>
      </c>
      <c r="AF544" s="12">
        <v>1</v>
      </c>
      <c r="AG544" s="12">
        <v>0</v>
      </c>
      <c r="AH544" s="12">
        <v>0</v>
      </c>
      <c r="AI544" s="12">
        <v>3</v>
      </c>
      <c r="AJ544" s="12" t="s">
        <v>57</v>
      </c>
      <c r="AK544" s="12">
        <v>1</v>
      </c>
      <c r="AL544" s="12">
        <v>0</v>
      </c>
      <c r="AM544" s="12">
        <v>7861</v>
      </c>
      <c r="AN544" s="12">
        <f t="shared" si="122"/>
        <v>7861</v>
      </c>
      <c r="AO544" s="12">
        <v>4</v>
      </c>
      <c r="AP544" s="12" t="s">
        <v>52</v>
      </c>
      <c r="AQ544" s="12">
        <v>1</v>
      </c>
      <c r="AR544" s="12">
        <v>14</v>
      </c>
      <c r="AS544" s="12">
        <v>3</v>
      </c>
      <c r="AT544" s="12">
        <v>4</v>
      </c>
      <c r="AU544" s="12">
        <v>0</v>
      </c>
      <c r="AV544" s="12">
        <v>10</v>
      </c>
      <c r="AW544" s="12">
        <f t="shared" si="123"/>
        <v>10</v>
      </c>
      <c r="AX544" s="12">
        <v>4</v>
      </c>
      <c r="AY544" s="12">
        <v>4</v>
      </c>
      <c r="AZ544" s="12">
        <v>1</v>
      </c>
      <c r="BA544" s="12">
        <f t="shared" si="124"/>
        <v>1</v>
      </c>
      <c r="BB544" s="12">
        <v>0</v>
      </c>
      <c r="BC544" s="12">
        <v>0</v>
      </c>
      <c r="BD544" s="12">
        <f t="shared" si="133"/>
        <v>0</v>
      </c>
      <c r="BE544" s="12">
        <v>0</v>
      </c>
      <c r="BF544" s="12">
        <f t="shared" si="125"/>
        <v>0</v>
      </c>
      <c r="BG544" s="12">
        <f t="shared" si="134"/>
        <v>0</v>
      </c>
      <c r="BH544" s="67">
        <v>1</v>
      </c>
      <c r="BI544" s="67">
        <v>0</v>
      </c>
      <c r="BJ544" s="67">
        <v>0</v>
      </c>
      <c r="BK544" s="67">
        <v>0</v>
      </c>
      <c r="BL544" s="67">
        <v>0</v>
      </c>
      <c r="BM544" s="67">
        <v>1</v>
      </c>
      <c r="BN544" s="67">
        <v>0</v>
      </c>
      <c r="BO544" s="67">
        <v>0</v>
      </c>
      <c r="BP544" s="67">
        <v>0</v>
      </c>
      <c r="BQ544" s="67">
        <v>0</v>
      </c>
      <c r="BR544" s="67">
        <v>0</v>
      </c>
      <c r="BS544" s="67">
        <v>0</v>
      </c>
      <c r="BT544" s="67">
        <v>10</v>
      </c>
      <c r="BU544" s="70">
        <v>0</v>
      </c>
      <c r="BV544" s="29">
        <f t="shared" si="126"/>
        <v>0.28846244136279814</v>
      </c>
      <c r="BW544">
        <f t="shared" si="127"/>
        <v>1.1555414682655611</v>
      </c>
      <c r="BX544">
        <f t="shared" si="128"/>
        <v>0.1644554352117841</v>
      </c>
      <c r="BY544">
        <f t="shared" si="129"/>
        <v>0.9806804209314296</v>
      </c>
      <c r="BZ544">
        <f t="shared" si="130"/>
        <v>1.01056543769991</v>
      </c>
      <c r="CA544">
        <f t="shared" si="131"/>
        <v>0.11780475942994788</v>
      </c>
      <c r="CB544">
        <f t="shared" si="132"/>
        <v>0.67891464284095016</v>
      </c>
    </row>
    <row r="545" spans="1:80" x14ac:dyDescent="0.45">
      <c r="A545" s="11">
        <v>44</v>
      </c>
      <c r="B545" s="12">
        <f t="shared" si="120"/>
        <v>44</v>
      </c>
      <c r="C545" s="12" t="s">
        <v>59</v>
      </c>
      <c r="D545" s="12">
        <v>0</v>
      </c>
      <c r="E545" s="12" t="s">
        <v>86</v>
      </c>
      <c r="F545" s="12">
        <v>0</v>
      </c>
      <c r="G545" s="12">
        <v>0</v>
      </c>
      <c r="H545" s="12" t="s">
        <v>61</v>
      </c>
      <c r="I545" s="12">
        <v>1</v>
      </c>
      <c r="J545" s="12">
        <v>0</v>
      </c>
      <c r="K545" s="12">
        <v>24</v>
      </c>
      <c r="L545" s="12">
        <f t="shared" si="121"/>
        <v>24</v>
      </c>
      <c r="M545" s="12">
        <v>3</v>
      </c>
      <c r="N545" s="12" t="s">
        <v>70</v>
      </c>
      <c r="O545" s="12">
        <v>0</v>
      </c>
      <c r="P545" s="12">
        <v>0</v>
      </c>
      <c r="Q545" s="12">
        <v>1</v>
      </c>
      <c r="R545" s="12">
        <v>0</v>
      </c>
      <c r="S545" s="12">
        <v>0</v>
      </c>
      <c r="T545" s="12">
        <v>1</v>
      </c>
      <c r="U545" s="12" t="s">
        <v>62</v>
      </c>
      <c r="V545" s="12">
        <v>0</v>
      </c>
      <c r="W545" s="12">
        <v>49</v>
      </c>
      <c r="X545" s="12">
        <v>1</v>
      </c>
      <c r="Y545" s="12">
        <v>1</v>
      </c>
      <c r="Z545" s="12" t="s">
        <v>67</v>
      </c>
      <c r="AA545" s="12">
        <v>0</v>
      </c>
      <c r="AB545" s="12">
        <v>0</v>
      </c>
      <c r="AC545" s="12">
        <v>1</v>
      </c>
      <c r="AD545" s="12">
        <v>0</v>
      </c>
      <c r="AE545" s="12">
        <v>0</v>
      </c>
      <c r="AF545" s="12">
        <v>0</v>
      </c>
      <c r="AG545" s="12">
        <v>0</v>
      </c>
      <c r="AH545" s="12">
        <v>0</v>
      </c>
      <c r="AI545" s="12">
        <v>3</v>
      </c>
      <c r="AJ545" s="12" t="s">
        <v>57</v>
      </c>
      <c r="AK545" s="12">
        <v>1</v>
      </c>
      <c r="AL545" s="12">
        <v>0</v>
      </c>
      <c r="AM545" s="12">
        <v>3708</v>
      </c>
      <c r="AN545" s="12">
        <f t="shared" si="122"/>
        <v>3708</v>
      </c>
      <c r="AO545" s="12">
        <v>2</v>
      </c>
      <c r="AP545" s="12" t="s">
        <v>59</v>
      </c>
      <c r="AQ545" s="12">
        <v>0</v>
      </c>
      <c r="AR545" s="12">
        <v>14</v>
      </c>
      <c r="AS545" s="12">
        <v>3</v>
      </c>
      <c r="AT545" s="12">
        <v>3</v>
      </c>
      <c r="AU545" s="12">
        <v>0</v>
      </c>
      <c r="AV545" s="12">
        <v>9</v>
      </c>
      <c r="AW545" s="12">
        <f t="shared" si="123"/>
        <v>9</v>
      </c>
      <c r="AX545" s="12">
        <v>5</v>
      </c>
      <c r="AY545" s="12">
        <v>3</v>
      </c>
      <c r="AZ545" s="12">
        <v>5</v>
      </c>
      <c r="BA545" s="12">
        <f t="shared" si="124"/>
        <v>5</v>
      </c>
      <c r="BB545" s="12">
        <v>2</v>
      </c>
      <c r="BC545" s="12">
        <v>1</v>
      </c>
      <c r="BD545" s="12">
        <f t="shared" si="133"/>
        <v>1</v>
      </c>
      <c r="BE545" s="12">
        <v>4</v>
      </c>
      <c r="BF545" s="12">
        <f t="shared" si="125"/>
        <v>4</v>
      </c>
      <c r="BG545" s="12">
        <f t="shared" si="134"/>
        <v>4</v>
      </c>
      <c r="BH545" s="67">
        <v>1</v>
      </c>
      <c r="BI545" s="67">
        <v>0</v>
      </c>
      <c r="BJ545" s="67">
        <v>0</v>
      </c>
      <c r="BK545" s="67">
        <v>0</v>
      </c>
      <c r="BL545" s="67">
        <v>1</v>
      </c>
      <c r="BM545" s="67">
        <v>0</v>
      </c>
      <c r="BN545" s="67">
        <v>0</v>
      </c>
      <c r="BO545" s="67">
        <v>0</v>
      </c>
      <c r="BP545" s="67">
        <v>0</v>
      </c>
      <c r="BQ545" s="67">
        <v>4</v>
      </c>
      <c r="BR545" s="67">
        <v>0</v>
      </c>
      <c r="BS545" s="67">
        <v>0</v>
      </c>
      <c r="BT545" s="67">
        <v>9</v>
      </c>
      <c r="BU545" s="70">
        <v>0</v>
      </c>
      <c r="BV545" s="29">
        <f t="shared" si="126"/>
        <v>0.59366120406012901</v>
      </c>
      <c r="BW545">
        <f t="shared" si="127"/>
        <v>3.4508002929560584E-2</v>
      </c>
      <c r="BX545">
        <f t="shared" si="128"/>
        <v>0.29297722668510823</v>
      </c>
      <c r="BY545">
        <f t="shared" si="129"/>
        <v>0.32778177112653761</v>
      </c>
      <c r="BZ545">
        <f t="shared" si="130"/>
        <v>1.8265364014293735</v>
      </c>
      <c r="CA545">
        <f t="shared" si="131"/>
        <v>0.77459235625178136</v>
      </c>
      <c r="CB545">
        <f t="shared" si="132"/>
        <v>0.36858985273641137</v>
      </c>
    </row>
    <row r="546" spans="1:80" x14ac:dyDescent="0.45">
      <c r="A546" s="11">
        <v>47</v>
      </c>
      <c r="B546" s="12">
        <f t="shared" si="120"/>
        <v>47</v>
      </c>
      <c r="C546" s="12" t="s">
        <v>59</v>
      </c>
      <c r="D546" s="12">
        <v>0</v>
      </c>
      <c r="E546" s="12" t="s">
        <v>60</v>
      </c>
      <c r="F546" s="12">
        <v>1</v>
      </c>
      <c r="G546" s="12">
        <v>0</v>
      </c>
      <c r="H546" s="12" t="s">
        <v>54</v>
      </c>
      <c r="I546" s="12">
        <v>0</v>
      </c>
      <c r="J546" s="12">
        <v>1</v>
      </c>
      <c r="K546" s="12">
        <v>3</v>
      </c>
      <c r="L546" s="12">
        <f t="shared" si="121"/>
        <v>3</v>
      </c>
      <c r="M546" s="12">
        <v>3</v>
      </c>
      <c r="N546" s="12" t="s">
        <v>70</v>
      </c>
      <c r="O546" s="12">
        <v>0</v>
      </c>
      <c r="P546" s="12">
        <v>0</v>
      </c>
      <c r="Q546" s="12">
        <v>1</v>
      </c>
      <c r="R546" s="12">
        <v>0</v>
      </c>
      <c r="S546" s="12">
        <v>0</v>
      </c>
      <c r="T546" s="12">
        <v>4</v>
      </c>
      <c r="U546" s="12" t="s">
        <v>19</v>
      </c>
      <c r="V546" s="12">
        <v>1</v>
      </c>
      <c r="W546" s="12">
        <v>49</v>
      </c>
      <c r="X546" s="12">
        <v>3</v>
      </c>
      <c r="Y546" s="12">
        <v>4</v>
      </c>
      <c r="Z546" s="12" t="s">
        <v>56</v>
      </c>
      <c r="AA546" s="12">
        <v>0</v>
      </c>
      <c r="AB546" s="12">
        <v>1</v>
      </c>
      <c r="AC546" s="12">
        <v>0</v>
      </c>
      <c r="AD546" s="12">
        <v>0</v>
      </c>
      <c r="AE546" s="12">
        <v>0</v>
      </c>
      <c r="AF546" s="12">
        <v>0</v>
      </c>
      <c r="AG546" s="12">
        <v>0</v>
      </c>
      <c r="AH546" s="12">
        <v>0</v>
      </c>
      <c r="AI546" s="12">
        <v>3</v>
      </c>
      <c r="AJ546" s="12" t="s">
        <v>78</v>
      </c>
      <c r="AK546" s="12">
        <v>0</v>
      </c>
      <c r="AL546" s="12">
        <v>0</v>
      </c>
      <c r="AM546" s="12">
        <v>13770</v>
      </c>
      <c r="AN546" s="12">
        <f t="shared" si="122"/>
        <v>13770</v>
      </c>
      <c r="AO546" s="12">
        <v>9</v>
      </c>
      <c r="AP546" s="12" t="s">
        <v>52</v>
      </c>
      <c r="AQ546" s="12">
        <v>1</v>
      </c>
      <c r="AR546" s="12">
        <v>12</v>
      </c>
      <c r="AS546" s="12">
        <v>3</v>
      </c>
      <c r="AT546" s="12">
        <v>4</v>
      </c>
      <c r="AU546" s="12">
        <v>2</v>
      </c>
      <c r="AV546" s="12">
        <v>28</v>
      </c>
      <c r="AW546" s="12">
        <f t="shared" si="123"/>
        <v>28</v>
      </c>
      <c r="AX546" s="12">
        <v>2</v>
      </c>
      <c r="AY546" s="12">
        <v>2</v>
      </c>
      <c r="AZ546" s="12">
        <v>22</v>
      </c>
      <c r="BA546" s="12">
        <f t="shared" si="124"/>
        <v>22</v>
      </c>
      <c r="BB546" s="12">
        <v>2</v>
      </c>
      <c r="BC546" s="12">
        <v>11</v>
      </c>
      <c r="BD546" s="12">
        <f t="shared" si="133"/>
        <v>11</v>
      </c>
      <c r="BE546" s="12">
        <v>13</v>
      </c>
      <c r="BF546" s="12">
        <f t="shared" si="125"/>
        <v>13</v>
      </c>
      <c r="BG546" s="12">
        <f t="shared" si="134"/>
        <v>52</v>
      </c>
      <c r="BH546" s="67">
        <v>0</v>
      </c>
      <c r="BI546" s="67">
        <v>0</v>
      </c>
      <c r="BJ546" s="67">
        <v>1</v>
      </c>
      <c r="BK546" s="67">
        <v>0</v>
      </c>
      <c r="BL546" s="67">
        <v>0</v>
      </c>
      <c r="BM546" s="67">
        <v>1</v>
      </c>
      <c r="BN546" s="67">
        <v>0</v>
      </c>
      <c r="BO546" s="67">
        <v>0</v>
      </c>
      <c r="BP546" s="67">
        <v>0</v>
      </c>
      <c r="BQ546" s="67">
        <v>0</v>
      </c>
      <c r="BR546" s="67">
        <v>13</v>
      </c>
      <c r="BS546" s="67">
        <v>0</v>
      </c>
      <c r="BT546" s="67">
        <v>0</v>
      </c>
      <c r="BU546" s="70">
        <v>28</v>
      </c>
      <c r="BV546" s="29">
        <f t="shared" si="126"/>
        <v>1.5435716686211842</v>
      </c>
      <c r="BW546">
        <f t="shared" si="127"/>
        <v>2.4878172940764407</v>
      </c>
      <c r="BX546">
        <f t="shared" si="128"/>
        <v>2.1489368113080496</v>
      </c>
      <c r="BY546">
        <f t="shared" si="129"/>
        <v>2.4470374905442531</v>
      </c>
      <c r="BZ546">
        <f t="shared" si="130"/>
        <v>0.76386092994953758</v>
      </c>
      <c r="CA546">
        <f t="shared" si="131"/>
        <v>1.102986154662698</v>
      </c>
      <c r="CB546">
        <f t="shared" si="132"/>
        <v>2.7346580483089769</v>
      </c>
    </row>
    <row r="547" spans="1:80" x14ac:dyDescent="0.45">
      <c r="A547" s="11">
        <v>30</v>
      </c>
      <c r="B547" s="12">
        <f t="shared" si="120"/>
        <v>30</v>
      </c>
      <c r="C547" s="12" t="s">
        <v>59</v>
      </c>
      <c r="D547" s="12">
        <v>0</v>
      </c>
      <c r="E547" s="12" t="s">
        <v>53</v>
      </c>
      <c r="F547" s="12">
        <v>0</v>
      </c>
      <c r="G547" s="12">
        <v>1</v>
      </c>
      <c r="H547" s="12" t="s">
        <v>54</v>
      </c>
      <c r="I547" s="12">
        <v>0</v>
      </c>
      <c r="J547" s="12">
        <v>1</v>
      </c>
      <c r="K547" s="12">
        <v>27</v>
      </c>
      <c r="L547" s="12">
        <f t="shared" si="121"/>
        <v>27</v>
      </c>
      <c r="M547" s="12">
        <v>5</v>
      </c>
      <c r="N547" s="12" t="s">
        <v>90</v>
      </c>
      <c r="O547" s="12">
        <v>0</v>
      </c>
      <c r="P547" s="12">
        <v>0</v>
      </c>
      <c r="Q547" s="12">
        <v>0</v>
      </c>
      <c r="R547" s="12">
        <v>1</v>
      </c>
      <c r="S547" s="12">
        <v>0</v>
      </c>
      <c r="T547" s="12">
        <v>3</v>
      </c>
      <c r="U547" s="12" t="s">
        <v>62</v>
      </c>
      <c r="V547" s="12">
        <v>0</v>
      </c>
      <c r="W547" s="12">
        <v>99</v>
      </c>
      <c r="X547" s="12">
        <v>3</v>
      </c>
      <c r="Y547" s="12">
        <v>2</v>
      </c>
      <c r="Z547" s="12" t="s">
        <v>56</v>
      </c>
      <c r="AA547" s="12">
        <v>0</v>
      </c>
      <c r="AB547" s="12">
        <v>1</v>
      </c>
      <c r="AC547" s="12">
        <v>0</v>
      </c>
      <c r="AD547" s="12">
        <v>0</v>
      </c>
      <c r="AE547" s="12">
        <v>0</v>
      </c>
      <c r="AF547" s="12">
        <v>0</v>
      </c>
      <c r="AG547" s="12">
        <v>0</v>
      </c>
      <c r="AH547" s="12">
        <v>0</v>
      </c>
      <c r="AI547" s="12">
        <v>4</v>
      </c>
      <c r="AJ547" s="12" t="s">
        <v>78</v>
      </c>
      <c r="AK547" s="12">
        <v>0</v>
      </c>
      <c r="AL547" s="12">
        <v>0</v>
      </c>
      <c r="AM547" s="12">
        <v>5304</v>
      </c>
      <c r="AN547" s="12">
        <f t="shared" si="122"/>
        <v>5304</v>
      </c>
      <c r="AO547" s="12">
        <v>7</v>
      </c>
      <c r="AP547" s="12" t="s">
        <v>59</v>
      </c>
      <c r="AQ547" s="12">
        <v>0</v>
      </c>
      <c r="AR547" s="12">
        <v>23</v>
      </c>
      <c r="AS547" s="12">
        <v>4</v>
      </c>
      <c r="AT547" s="12">
        <v>4</v>
      </c>
      <c r="AU547" s="12">
        <v>1</v>
      </c>
      <c r="AV547" s="12">
        <v>10</v>
      </c>
      <c r="AW547" s="12">
        <f t="shared" si="123"/>
        <v>10</v>
      </c>
      <c r="AX547" s="12">
        <v>2</v>
      </c>
      <c r="AY547" s="12">
        <v>2</v>
      </c>
      <c r="AZ547" s="12">
        <v>8</v>
      </c>
      <c r="BA547" s="12">
        <f t="shared" si="124"/>
        <v>8</v>
      </c>
      <c r="BB547" s="12">
        <v>7</v>
      </c>
      <c r="BC547" s="12">
        <v>7</v>
      </c>
      <c r="BD547" s="12">
        <f t="shared" si="133"/>
        <v>7</v>
      </c>
      <c r="BE547" s="12">
        <v>7</v>
      </c>
      <c r="BF547" s="12">
        <f t="shared" si="125"/>
        <v>7</v>
      </c>
      <c r="BG547" s="12">
        <f t="shared" si="134"/>
        <v>14</v>
      </c>
      <c r="BH547" s="67">
        <v>1</v>
      </c>
      <c r="BI547" s="67">
        <v>0</v>
      </c>
      <c r="BJ547" s="67">
        <v>0</v>
      </c>
      <c r="BK547" s="67">
        <v>0</v>
      </c>
      <c r="BL547" s="67">
        <v>1</v>
      </c>
      <c r="BM547" s="67">
        <v>0</v>
      </c>
      <c r="BN547" s="67">
        <v>0</v>
      </c>
      <c r="BO547" s="67">
        <v>0</v>
      </c>
      <c r="BP547" s="67">
        <v>0</v>
      </c>
      <c r="BQ547" s="67">
        <v>0</v>
      </c>
      <c r="BR547" s="67">
        <v>7</v>
      </c>
      <c r="BS547" s="67">
        <v>0</v>
      </c>
      <c r="BT547" s="67">
        <v>0</v>
      </c>
      <c r="BU547" s="70">
        <v>10</v>
      </c>
      <c r="BV547" s="29">
        <f t="shared" si="126"/>
        <v>0.25466064107072578</v>
      </c>
      <c r="BW547">
        <f t="shared" si="127"/>
        <v>0.80626709607243985</v>
      </c>
      <c r="BX547">
        <f t="shared" si="128"/>
        <v>0.1644554352117841</v>
      </c>
      <c r="BY547">
        <f t="shared" si="129"/>
        <v>0.16189221622713135</v>
      </c>
      <c r="BZ547">
        <f t="shared" si="130"/>
        <v>2.1965931630549322</v>
      </c>
      <c r="CA547">
        <f t="shared" si="131"/>
        <v>0.75791203633249671</v>
      </c>
      <c r="CB547">
        <f t="shared" si="132"/>
        <v>1.4933588878908215</v>
      </c>
    </row>
    <row r="548" spans="1:80" x14ac:dyDescent="0.45">
      <c r="A548" s="11">
        <v>29</v>
      </c>
      <c r="B548" s="12">
        <f t="shared" si="120"/>
        <v>29</v>
      </c>
      <c r="C548" s="12" t="s">
        <v>59</v>
      </c>
      <c r="D548" s="12">
        <v>0</v>
      </c>
      <c r="E548" s="12" t="s">
        <v>53</v>
      </c>
      <c r="F548" s="12">
        <v>0</v>
      </c>
      <c r="G548" s="12">
        <v>1</v>
      </c>
      <c r="H548" s="12" t="s">
        <v>54</v>
      </c>
      <c r="I548" s="12">
        <v>0</v>
      </c>
      <c r="J548" s="12">
        <v>1</v>
      </c>
      <c r="K548" s="12">
        <v>10</v>
      </c>
      <c r="L548" s="12">
        <f t="shared" si="121"/>
        <v>10</v>
      </c>
      <c r="M548" s="12">
        <v>3</v>
      </c>
      <c r="N548" s="12" t="s">
        <v>55</v>
      </c>
      <c r="O548" s="12">
        <v>1</v>
      </c>
      <c r="P548" s="12">
        <v>0</v>
      </c>
      <c r="Q548" s="12">
        <v>0</v>
      </c>
      <c r="R548" s="12">
        <v>0</v>
      </c>
      <c r="S548" s="12">
        <v>0</v>
      </c>
      <c r="T548" s="12">
        <v>3</v>
      </c>
      <c r="U548" s="12" t="s">
        <v>62</v>
      </c>
      <c r="V548" s="12">
        <v>0</v>
      </c>
      <c r="W548" s="12">
        <v>99</v>
      </c>
      <c r="X548" s="12">
        <v>3</v>
      </c>
      <c r="Y548" s="12">
        <v>1</v>
      </c>
      <c r="Z548" s="12" t="s">
        <v>88</v>
      </c>
      <c r="AA548" s="12">
        <v>0</v>
      </c>
      <c r="AB548" s="12">
        <v>0</v>
      </c>
      <c r="AC548" s="12">
        <v>0</v>
      </c>
      <c r="AD548" s="12">
        <v>0</v>
      </c>
      <c r="AE548" s="12">
        <v>0</v>
      </c>
      <c r="AF548" s="12">
        <v>0</v>
      </c>
      <c r="AG548" s="12">
        <v>1</v>
      </c>
      <c r="AH548" s="12">
        <v>0</v>
      </c>
      <c r="AI548" s="12">
        <v>3</v>
      </c>
      <c r="AJ548" s="12" t="s">
        <v>57</v>
      </c>
      <c r="AK548" s="12">
        <v>1</v>
      </c>
      <c r="AL548" s="12">
        <v>0</v>
      </c>
      <c r="AM548" s="12">
        <v>2642</v>
      </c>
      <c r="AN548" s="12">
        <f t="shared" si="122"/>
        <v>2642</v>
      </c>
      <c r="AO548" s="12">
        <v>1</v>
      </c>
      <c r="AP548" s="12" t="s">
        <v>59</v>
      </c>
      <c r="AQ548" s="12">
        <v>0</v>
      </c>
      <c r="AR548" s="12">
        <v>11</v>
      </c>
      <c r="AS548" s="12">
        <v>3</v>
      </c>
      <c r="AT548" s="12">
        <v>3</v>
      </c>
      <c r="AU548" s="12">
        <v>0</v>
      </c>
      <c r="AV548" s="12">
        <v>1</v>
      </c>
      <c r="AW548" s="12">
        <f t="shared" si="123"/>
        <v>1</v>
      </c>
      <c r="AX548" s="12">
        <v>6</v>
      </c>
      <c r="AY548" s="12">
        <v>3</v>
      </c>
      <c r="AZ548" s="12">
        <v>1</v>
      </c>
      <c r="BA548" s="12">
        <f t="shared" si="124"/>
        <v>1</v>
      </c>
      <c r="BB548" s="12">
        <v>0</v>
      </c>
      <c r="BC548" s="12">
        <v>0</v>
      </c>
      <c r="BD548" s="12">
        <f t="shared" si="133"/>
        <v>0</v>
      </c>
      <c r="BE548" s="12">
        <v>0</v>
      </c>
      <c r="BF548" s="12">
        <f t="shared" si="125"/>
        <v>0</v>
      </c>
      <c r="BG548" s="12">
        <f t="shared" si="134"/>
        <v>0</v>
      </c>
      <c r="BH548" s="67">
        <v>1</v>
      </c>
      <c r="BI548" s="67">
        <v>0</v>
      </c>
      <c r="BJ548" s="67">
        <v>0</v>
      </c>
      <c r="BK548" s="67">
        <v>0</v>
      </c>
      <c r="BL548" s="67">
        <v>1</v>
      </c>
      <c r="BM548" s="67">
        <v>0</v>
      </c>
      <c r="BN548" s="67">
        <v>0</v>
      </c>
      <c r="BO548" s="67">
        <v>0</v>
      </c>
      <c r="BP548" s="67">
        <v>0</v>
      </c>
      <c r="BQ548" s="67">
        <v>0</v>
      </c>
      <c r="BR548" s="67">
        <v>0</v>
      </c>
      <c r="BS548" s="67">
        <v>0</v>
      </c>
      <c r="BT548" s="67">
        <v>0</v>
      </c>
      <c r="BU548" s="70">
        <v>1</v>
      </c>
      <c r="BV548" s="29">
        <f t="shared" si="126"/>
        <v>0.82008639212197365</v>
      </c>
      <c r="BW548">
        <f t="shared" si="127"/>
        <v>1.1555414682655611</v>
      </c>
      <c r="BX548">
        <f t="shared" si="128"/>
        <v>1.3211515584717011</v>
      </c>
      <c r="BY548">
        <f t="shared" si="129"/>
        <v>0.9806804209314296</v>
      </c>
      <c r="BZ548">
        <f t="shared" si="130"/>
        <v>9.9604847176766084E-2</v>
      </c>
      <c r="CA548">
        <f t="shared" si="131"/>
        <v>0.86737663580280233</v>
      </c>
      <c r="CB548">
        <f t="shared" si="132"/>
        <v>0.67891464284095016</v>
      </c>
    </row>
    <row r="549" spans="1:80" x14ac:dyDescent="0.45">
      <c r="A549" s="11">
        <v>42</v>
      </c>
      <c r="B549" s="12">
        <f t="shared" si="120"/>
        <v>42</v>
      </c>
      <c r="C549" s="12" t="s">
        <v>52</v>
      </c>
      <c r="D549" s="12">
        <v>1</v>
      </c>
      <c r="E549" s="12" t="s">
        <v>60</v>
      </c>
      <c r="F549" s="12">
        <v>1</v>
      </c>
      <c r="G549" s="12">
        <v>0</v>
      </c>
      <c r="H549" s="12" t="s">
        <v>61</v>
      </c>
      <c r="I549" s="12">
        <v>1</v>
      </c>
      <c r="J549" s="12">
        <v>0</v>
      </c>
      <c r="K549" s="12">
        <v>19</v>
      </c>
      <c r="L549" s="12">
        <f t="shared" si="121"/>
        <v>19</v>
      </c>
      <c r="M549" s="12">
        <v>3</v>
      </c>
      <c r="N549" s="12" t="s">
        <v>70</v>
      </c>
      <c r="O549" s="12">
        <v>0</v>
      </c>
      <c r="P549" s="12">
        <v>0</v>
      </c>
      <c r="Q549" s="12">
        <v>1</v>
      </c>
      <c r="R549" s="12">
        <v>0</v>
      </c>
      <c r="S549" s="12">
        <v>0</v>
      </c>
      <c r="T549" s="12">
        <v>3</v>
      </c>
      <c r="U549" s="12" t="s">
        <v>62</v>
      </c>
      <c r="V549" s="12">
        <v>0</v>
      </c>
      <c r="W549" s="12">
        <v>57</v>
      </c>
      <c r="X549" s="12">
        <v>4</v>
      </c>
      <c r="Y549" s="12">
        <v>1</v>
      </c>
      <c r="Z549" s="12" t="s">
        <v>63</v>
      </c>
      <c r="AA549" s="12">
        <v>0</v>
      </c>
      <c r="AB549" s="12">
        <v>0</v>
      </c>
      <c r="AC549" s="12">
        <v>0</v>
      </c>
      <c r="AD549" s="12">
        <v>0</v>
      </c>
      <c r="AE549" s="12">
        <v>0</v>
      </c>
      <c r="AF549" s="12">
        <v>0</v>
      </c>
      <c r="AG549" s="12">
        <v>0</v>
      </c>
      <c r="AH549" s="12">
        <v>1</v>
      </c>
      <c r="AI549" s="12">
        <v>3</v>
      </c>
      <c r="AJ549" s="12" t="s">
        <v>78</v>
      </c>
      <c r="AK549" s="12">
        <v>0</v>
      </c>
      <c r="AL549" s="12">
        <v>0</v>
      </c>
      <c r="AM549" s="12">
        <v>2759</v>
      </c>
      <c r="AN549" s="12">
        <f t="shared" si="122"/>
        <v>2759</v>
      </c>
      <c r="AO549" s="12">
        <v>6</v>
      </c>
      <c r="AP549" s="12" t="s">
        <v>52</v>
      </c>
      <c r="AQ549" s="12">
        <v>1</v>
      </c>
      <c r="AR549" s="12">
        <v>12</v>
      </c>
      <c r="AS549" s="12">
        <v>3</v>
      </c>
      <c r="AT549" s="12">
        <v>4</v>
      </c>
      <c r="AU549" s="12">
        <v>0</v>
      </c>
      <c r="AV549" s="12">
        <v>7</v>
      </c>
      <c r="AW549" s="12">
        <f t="shared" si="123"/>
        <v>7</v>
      </c>
      <c r="AX549" s="12">
        <v>2</v>
      </c>
      <c r="AY549" s="12">
        <v>3</v>
      </c>
      <c r="AZ549" s="12">
        <v>2</v>
      </c>
      <c r="BA549" s="12">
        <f t="shared" si="124"/>
        <v>2</v>
      </c>
      <c r="BB549" s="12">
        <v>2</v>
      </c>
      <c r="BC549" s="12">
        <v>2</v>
      </c>
      <c r="BD549" s="12">
        <f t="shared" si="133"/>
        <v>2</v>
      </c>
      <c r="BE549" s="12">
        <v>2</v>
      </c>
      <c r="BF549" s="12">
        <f t="shared" si="125"/>
        <v>2</v>
      </c>
      <c r="BG549" s="12">
        <f t="shared" si="134"/>
        <v>2</v>
      </c>
      <c r="BH549" s="67">
        <v>0</v>
      </c>
      <c r="BI549" s="67">
        <v>0</v>
      </c>
      <c r="BJ549" s="67">
        <v>1</v>
      </c>
      <c r="BK549" s="67">
        <v>0</v>
      </c>
      <c r="BL549" s="67">
        <v>0</v>
      </c>
      <c r="BM549" s="67">
        <v>1</v>
      </c>
      <c r="BN549" s="67">
        <v>0</v>
      </c>
      <c r="BO549" s="67">
        <v>0</v>
      </c>
      <c r="BP549" s="67">
        <v>0</v>
      </c>
      <c r="BQ549" s="67">
        <v>2</v>
      </c>
      <c r="BR549" s="67">
        <v>0</v>
      </c>
      <c r="BS549" s="67">
        <v>0</v>
      </c>
      <c r="BT549" s="67">
        <v>7</v>
      </c>
      <c r="BU549" s="70">
        <v>0</v>
      </c>
      <c r="BV549" s="29">
        <f t="shared" si="126"/>
        <v>0.7952348470907955</v>
      </c>
      <c r="BW549">
        <f t="shared" si="127"/>
        <v>0.59502473559756086</v>
      </c>
      <c r="BX549">
        <f t="shared" si="128"/>
        <v>0.55002080963175637</v>
      </c>
      <c r="BY549">
        <f t="shared" si="129"/>
        <v>0.81745575848020657</v>
      </c>
      <c r="BZ549">
        <f t="shared" si="130"/>
        <v>1.2097751320534422</v>
      </c>
      <c r="CA549">
        <f t="shared" si="131"/>
        <v>0.55566315731117022</v>
      </c>
      <c r="CB549">
        <f t="shared" si="132"/>
        <v>5.8265062631872602E-2</v>
      </c>
    </row>
    <row r="550" spans="1:80" x14ac:dyDescent="0.45">
      <c r="A550" s="11">
        <v>43</v>
      </c>
      <c r="B550" s="12">
        <f t="shared" si="120"/>
        <v>43</v>
      </c>
      <c r="C550" s="12" t="s">
        <v>59</v>
      </c>
      <c r="D550" s="12">
        <v>0</v>
      </c>
      <c r="E550" s="12" t="s">
        <v>60</v>
      </c>
      <c r="F550" s="12">
        <v>1</v>
      </c>
      <c r="G550" s="12">
        <v>0</v>
      </c>
      <c r="H550" s="12" t="s">
        <v>54</v>
      </c>
      <c r="I550" s="12">
        <v>0</v>
      </c>
      <c r="J550" s="12">
        <v>1</v>
      </c>
      <c r="K550" s="12">
        <v>15</v>
      </c>
      <c r="L550" s="12">
        <f t="shared" si="121"/>
        <v>15</v>
      </c>
      <c r="M550" s="12">
        <v>3</v>
      </c>
      <c r="N550" s="12" t="s">
        <v>55</v>
      </c>
      <c r="O550" s="12">
        <v>1</v>
      </c>
      <c r="P550" s="12">
        <v>0</v>
      </c>
      <c r="Q550" s="12">
        <v>0</v>
      </c>
      <c r="R550" s="12">
        <v>0</v>
      </c>
      <c r="S550" s="12">
        <v>0</v>
      </c>
      <c r="T550" s="12">
        <v>4</v>
      </c>
      <c r="U550" s="12" t="s">
        <v>62</v>
      </c>
      <c r="V550" s="12">
        <v>0</v>
      </c>
      <c r="W550" s="12">
        <v>47</v>
      </c>
      <c r="X550" s="12">
        <v>2</v>
      </c>
      <c r="Y550" s="12">
        <v>2</v>
      </c>
      <c r="Z550" s="12" t="s">
        <v>56</v>
      </c>
      <c r="AA550" s="12">
        <v>0</v>
      </c>
      <c r="AB550" s="12">
        <v>1</v>
      </c>
      <c r="AC550" s="12">
        <v>0</v>
      </c>
      <c r="AD550" s="12">
        <v>0</v>
      </c>
      <c r="AE550" s="12">
        <v>0</v>
      </c>
      <c r="AF550" s="12">
        <v>0</v>
      </c>
      <c r="AG550" s="12">
        <v>0</v>
      </c>
      <c r="AH550" s="12">
        <v>0</v>
      </c>
      <c r="AI550" s="12">
        <v>4</v>
      </c>
      <c r="AJ550" s="12" t="s">
        <v>64</v>
      </c>
      <c r="AK550" s="12">
        <v>0</v>
      </c>
      <c r="AL550" s="12">
        <v>1</v>
      </c>
      <c r="AM550" s="12">
        <v>6804</v>
      </c>
      <c r="AN550" s="12">
        <f t="shared" si="122"/>
        <v>6804</v>
      </c>
      <c r="AO550" s="12">
        <v>3</v>
      </c>
      <c r="AP550" s="12" t="s">
        <v>59</v>
      </c>
      <c r="AQ550" s="12">
        <v>0</v>
      </c>
      <c r="AR550" s="12">
        <v>18</v>
      </c>
      <c r="AS550" s="12">
        <v>3</v>
      </c>
      <c r="AT550" s="12">
        <v>3</v>
      </c>
      <c r="AU550" s="12">
        <v>1</v>
      </c>
      <c r="AV550" s="12">
        <v>7</v>
      </c>
      <c r="AW550" s="12">
        <f t="shared" si="123"/>
        <v>7</v>
      </c>
      <c r="AX550" s="12">
        <v>5</v>
      </c>
      <c r="AY550" s="12">
        <v>3</v>
      </c>
      <c r="AZ550" s="12">
        <v>2</v>
      </c>
      <c r="BA550" s="12">
        <f t="shared" si="124"/>
        <v>2</v>
      </c>
      <c r="BB550" s="12">
        <v>2</v>
      </c>
      <c r="BC550" s="12">
        <v>2</v>
      </c>
      <c r="BD550" s="12">
        <f t="shared" si="133"/>
        <v>2</v>
      </c>
      <c r="BE550" s="12">
        <v>2</v>
      </c>
      <c r="BF550" s="12">
        <f t="shared" si="125"/>
        <v>2</v>
      </c>
      <c r="BG550" s="12">
        <f t="shared" si="134"/>
        <v>4</v>
      </c>
      <c r="BH550" s="67">
        <v>0</v>
      </c>
      <c r="BI550" s="67">
        <v>0</v>
      </c>
      <c r="BJ550" s="67">
        <v>0</v>
      </c>
      <c r="BK550" s="67">
        <v>1</v>
      </c>
      <c r="BL550" s="67">
        <v>0</v>
      </c>
      <c r="BM550" s="67">
        <v>0</v>
      </c>
      <c r="BN550" s="67">
        <v>1</v>
      </c>
      <c r="BO550" s="67">
        <v>0</v>
      </c>
      <c r="BP550" s="67">
        <v>0</v>
      </c>
      <c r="BQ550" s="67">
        <v>0</v>
      </c>
      <c r="BR550" s="67">
        <v>2</v>
      </c>
      <c r="BS550" s="67">
        <v>0</v>
      </c>
      <c r="BT550" s="67">
        <v>0</v>
      </c>
      <c r="BU550" s="70">
        <v>7</v>
      </c>
      <c r="BV550" s="29">
        <f t="shared" si="126"/>
        <v>6.3948910611044227E-2</v>
      </c>
      <c r="BW550">
        <f t="shared" si="127"/>
        <v>0.59502473559756086</v>
      </c>
      <c r="BX550">
        <f t="shared" si="128"/>
        <v>0.55002080963175637</v>
      </c>
      <c r="BY550">
        <f t="shared" si="129"/>
        <v>0.81745575848020657</v>
      </c>
      <c r="BZ550">
        <f t="shared" si="130"/>
        <v>0.71636611655269733</v>
      </c>
      <c r="CA550">
        <f t="shared" si="131"/>
        <v>0.66512775678147573</v>
      </c>
      <c r="CB550">
        <f t="shared" si="132"/>
        <v>5.8265062631872602E-2</v>
      </c>
    </row>
    <row r="551" spans="1:80" x14ac:dyDescent="0.45">
      <c r="A551" s="11">
        <v>34</v>
      </c>
      <c r="B551" s="12">
        <f t="shared" si="120"/>
        <v>34</v>
      </c>
      <c r="C551" s="12" t="s">
        <v>59</v>
      </c>
      <c r="D551" s="12">
        <v>0</v>
      </c>
      <c r="E551" s="12" t="s">
        <v>53</v>
      </c>
      <c r="F551" s="12">
        <v>0</v>
      </c>
      <c r="G551" s="12">
        <v>1</v>
      </c>
      <c r="H551" s="12" t="s">
        <v>61</v>
      </c>
      <c r="I551" s="12">
        <v>1</v>
      </c>
      <c r="J551" s="12">
        <v>0</v>
      </c>
      <c r="K551" s="12">
        <v>8</v>
      </c>
      <c r="L551" s="12">
        <f t="shared" si="121"/>
        <v>8</v>
      </c>
      <c r="M551" s="12">
        <v>2</v>
      </c>
      <c r="N551" s="12" t="s">
        <v>70</v>
      </c>
      <c r="O551" s="12">
        <v>0</v>
      </c>
      <c r="P551" s="12">
        <v>0</v>
      </c>
      <c r="Q551" s="12">
        <v>1</v>
      </c>
      <c r="R551" s="12">
        <v>0</v>
      </c>
      <c r="S551" s="12">
        <v>0</v>
      </c>
      <c r="T551" s="12">
        <v>2</v>
      </c>
      <c r="U551" s="12" t="s">
        <v>19</v>
      </c>
      <c r="V551" s="12">
        <v>1</v>
      </c>
      <c r="W551" s="12">
        <v>96</v>
      </c>
      <c r="X551" s="12">
        <v>3</v>
      </c>
      <c r="Y551" s="12">
        <v>2</v>
      </c>
      <c r="Z551" s="12" t="s">
        <v>85</v>
      </c>
      <c r="AA551" s="12">
        <v>1</v>
      </c>
      <c r="AB551" s="12">
        <v>0</v>
      </c>
      <c r="AC551" s="12">
        <v>0</v>
      </c>
      <c r="AD551" s="12">
        <v>0</v>
      </c>
      <c r="AE551" s="12">
        <v>0</v>
      </c>
      <c r="AF551" s="12">
        <v>0</v>
      </c>
      <c r="AG551" s="12">
        <v>0</v>
      </c>
      <c r="AH551" s="12">
        <v>0</v>
      </c>
      <c r="AI551" s="12">
        <v>3</v>
      </c>
      <c r="AJ551" s="12" t="s">
        <v>57</v>
      </c>
      <c r="AK551" s="12">
        <v>1</v>
      </c>
      <c r="AL551" s="12">
        <v>0</v>
      </c>
      <c r="AM551" s="12">
        <v>6142</v>
      </c>
      <c r="AN551" s="12">
        <f t="shared" si="122"/>
        <v>6142</v>
      </c>
      <c r="AO551" s="12">
        <v>3</v>
      </c>
      <c r="AP551" s="12" t="s">
        <v>59</v>
      </c>
      <c r="AQ551" s="12">
        <v>0</v>
      </c>
      <c r="AR551" s="12">
        <v>11</v>
      </c>
      <c r="AS551" s="12">
        <v>3</v>
      </c>
      <c r="AT551" s="12">
        <v>4</v>
      </c>
      <c r="AU551" s="12">
        <v>0</v>
      </c>
      <c r="AV551" s="12">
        <v>10</v>
      </c>
      <c r="AW551" s="12">
        <f t="shared" si="123"/>
        <v>10</v>
      </c>
      <c r="AX551" s="12">
        <v>2</v>
      </c>
      <c r="AY551" s="12">
        <v>3</v>
      </c>
      <c r="AZ551" s="12">
        <v>5</v>
      </c>
      <c r="BA551" s="12">
        <f t="shared" si="124"/>
        <v>5</v>
      </c>
      <c r="BB551" s="12">
        <v>1</v>
      </c>
      <c r="BC551" s="12">
        <v>4</v>
      </c>
      <c r="BD551" s="12">
        <f t="shared" si="133"/>
        <v>4</v>
      </c>
      <c r="BE551" s="12">
        <v>3</v>
      </c>
      <c r="BF551" s="12">
        <f t="shared" si="125"/>
        <v>3</v>
      </c>
      <c r="BG551" s="12">
        <f t="shared" si="134"/>
        <v>6</v>
      </c>
      <c r="BH551" s="67">
        <v>1</v>
      </c>
      <c r="BI551" s="67">
        <v>0</v>
      </c>
      <c r="BJ551" s="67">
        <v>0</v>
      </c>
      <c r="BK551" s="67">
        <v>0</v>
      </c>
      <c r="BL551" s="67">
        <v>1</v>
      </c>
      <c r="BM551" s="67">
        <v>0</v>
      </c>
      <c r="BN551" s="67">
        <v>0</v>
      </c>
      <c r="BO551" s="67">
        <v>0</v>
      </c>
      <c r="BP551" s="67">
        <v>0</v>
      </c>
      <c r="BQ551" s="67">
        <v>3</v>
      </c>
      <c r="BR551" s="67">
        <v>0</v>
      </c>
      <c r="BS551" s="67">
        <v>0</v>
      </c>
      <c r="BT551" s="67">
        <v>10</v>
      </c>
      <c r="BU551" s="70">
        <v>0</v>
      </c>
      <c r="BV551" s="29">
        <f t="shared" si="126"/>
        <v>7.6664104864510266E-2</v>
      </c>
      <c r="BW551">
        <f t="shared" si="127"/>
        <v>0.31476636926356072</v>
      </c>
      <c r="BX551">
        <f t="shared" si="128"/>
        <v>0.1644554352117841</v>
      </c>
      <c r="BY551">
        <f t="shared" si="129"/>
        <v>0.32778177112653761</v>
      </c>
      <c r="BZ551">
        <f t="shared" si="130"/>
        <v>0.14709966057360641</v>
      </c>
      <c r="CA551">
        <f t="shared" si="131"/>
        <v>0.32005363845127444</v>
      </c>
      <c r="CB551">
        <f t="shared" si="132"/>
        <v>0.56238451757720498</v>
      </c>
    </row>
    <row r="552" spans="1:80" x14ac:dyDescent="0.45">
      <c r="A552" s="11">
        <v>23</v>
      </c>
      <c r="B552" s="12">
        <f t="shared" si="120"/>
        <v>23</v>
      </c>
      <c r="C552" s="12" t="s">
        <v>59</v>
      </c>
      <c r="D552" s="12">
        <v>0</v>
      </c>
      <c r="E552" s="12" t="s">
        <v>53</v>
      </c>
      <c r="F552" s="12">
        <v>0</v>
      </c>
      <c r="G552" s="12">
        <v>1</v>
      </c>
      <c r="H552" s="12" t="s">
        <v>61</v>
      </c>
      <c r="I552" s="12">
        <v>1</v>
      </c>
      <c r="J552" s="12">
        <v>0</v>
      </c>
      <c r="K552" s="12">
        <v>9</v>
      </c>
      <c r="L552" s="12">
        <f t="shared" si="121"/>
        <v>9</v>
      </c>
      <c r="M552" s="12">
        <v>1</v>
      </c>
      <c r="N552" s="12" t="s">
        <v>70</v>
      </c>
      <c r="O552" s="12">
        <v>0</v>
      </c>
      <c r="P552" s="12">
        <v>0</v>
      </c>
      <c r="Q552" s="12">
        <v>1</v>
      </c>
      <c r="R552" s="12">
        <v>0</v>
      </c>
      <c r="S552" s="12">
        <v>0</v>
      </c>
      <c r="T552" s="12">
        <v>2</v>
      </c>
      <c r="U552" s="12" t="s">
        <v>62</v>
      </c>
      <c r="V552" s="12">
        <v>0</v>
      </c>
      <c r="W552" s="12">
        <v>37</v>
      </c>
      <c r="X552" s="12">
        <v>3</v>
      </c>
      <c r="Y552" s="12">
        <v>1</v>
      </c>
      <c r="Z552" s="12" t="s">
        <v>67</v>
      </c>
      <c r="AA552" s="12">
        <v>0</v>
      </c>
      <c r="AB552" s="12">
        <v>0</v>
      </c>
      <c r="AC552" s="12">
        <v>1</v>
      </c>
      <c r="AD552" s="12">
        <v>0</v>
      </c>
      <c r="AE552" s="12">
        <v>0</v>
      </c>
      <c r="AF552" s="12">
        <v>0</v>
      </c>
      <c r="AG552" s="12">
        <v>0</v>
      </c>
      <c r="AH552" s="12">
        <v>0</v>
      </c>
      <c r="AI552" s="12">
        <v>1</v>
      </c>
      <c r="AJ552" s="12" t="s">
        <v>64</v>
      </c>
      <c r="AK552" s="12">
        <v>0</v>
      </c>
      <c r="AL552" s="12">
        <v>1</v>
      </c>
      <c r="AM552" s="12">
        <v>2500</v>
      </c>
      <c r="AN552" s="12">
        <f t="shared" si="122"/>
        <v>2500</v>
      </c>
      <c r="AO552" s="12">
        <v>1</v>
      </c>
      <c r="AP552" s="12" t="s">
        <v>59</v>
      </c>
      <c r="AQ552" s="12">
        <v>0</v>
      </c>
      <c r="AR552" s="12">
        <v>14</v>
      </c>
      <c r="AS552" s="12">
        <v>3</v>
      </c>
      <c r="AT552" s="12">
        <v>4</v>
      </c>
      <c r="AU552" s="12">
        <v>1</v>
      </c>
      <c r="AV552" s="12">
        <v>5</v>
      </c>
      <c r="AW552" s="12">
        <f t="shared" si="123"/>
        <v>5</v>
      </c>
      <c r="AX552" s="12">
        <v>2</v>
      </c>
      <c r="AY552" s="12">
        <v>4</v>
      </c>
      <c r="AZ552" s="12">
        <v>4</v>
      </c>
      <c r="BA552" s="12">
        <f t="shared" si="124"/>
        <v>4</v>
      </c>
      <c r="BB552" s="12">
        <v>3</v>
      </c>
      <c r="BC552" s="12">
        <v>0</v>
      </c>
      <c r="BD552" s="12">
        <f t="shared" si="133"/>
        <v>0</v>
      </c>
      <c r="BE552" s="12">
        <v>2</v>
      </c>
      <c r="BF552" s="12">
        <f t="shared" si="125"/>
        <v>2</v>
      </c>
      <c r="BG552" s="12">
        <f t="shared" si="134"/>
        <v>2</v>
      </c>
      <c r="BH552" s="67">
        <v>0</v>
      </c>
      <c r="BI552" s="67">
        <v>1</v>
      </c>
      <c r="BJ552" s="67">
        <v>0</v>
      </c>
      <c r="BK552" s="67">
        <v>0</v>
      </c>
      <c r="BL552" s="67">
        <v>0</v>
      </c>
      <c r="BM552" s="67">
        <v>0</v>
      </c>
      <c r="BN552" s="67">
        <v>1</v>
      </c>
      <c r="BO552" s="67">
        <v>0</v>
      </c>
      <c r="BP552" s="67">
        <v>0</v>
      </c>
      <c r="BQ552" s="67">
        <v>2</v>
      </c>
      <c r="BR552" s="67">
        <v>0</v>
      </c>
      <c r="BS552" s="67">
        <v>0</v>
      </c>
      <c r="BT552" s="67">
        <v>5</v>
      </c>
      <c r="BU552" s="70">
        <v>0</v>
      </c>
      <c r="BV552" s="29">
        <f t="shared" si="126"/>
        <v>0.85024809634784781</v>
      </c>
      <c r="BW552">
        <f t="shared" si="127"/>
        <v>0.59502473559756086</v>
      </c>
      <c r="BX552">
        <f t="shared" si="128"/>
        <v>0.80706439257840468</v>
      </c>
      <c r="BY552">
        <f t="shared" si="129"/>
        <v>0.49100643357776058</v>
      </c>
      <c r="BZ552">
        <f t="shared" si="130"/>
        <v>2.3747406698420157E-2</v>
      </c>
      <c r="CA552">
        <f t="shared" si="131"/>
        <v>1.5241642326246359</v>
      </c>
      <c r="CB552">
        <f t="shared" si="132"/>
        <v>0.67891464284095016</v>
      </c>
    </row>
    <row r="553" spans="1:80" x14ac:dyDescent="0.45">
      <c r="A553" s="11">
        <v>39</v>
      </c>
      <c r="B553" s="12">
        <f t="shared" si="120"/>
        <v>39</v>
      </c>
      <c r="C553" s="12" t="s">
        <v>59</v>
      </c>
      <c r="D553" s="12">
        <v>0</v>
      </c>
      <c r="E553" s="12" t="s">
        <v>53</v>
      </c>
      <c r="F553" s="12">
        <v>0</v>
      </c>
      <c r="G553" s="12">
        <v>1</v>
      </c>
      <c r="H553" s="12" t="s">
        <v>97</v>
      </c>
      <c r="I553" s="12">
        <v>0</v>
      </c>
      <c r="J553" s="12">
        <v>0</v>
      </c>
      <c r="K553" s="12">
        <v>3</v>
      </c>
      <c r="L553" s="12">
        <f t="shared" si="121"/>
        <v>3</v>
      </c>
      <c r="M553" s="12">
        <v>3</v>
      </c>
      <c r="N553" s="12" t="s">
        <v>97</v>
      </c>
      <c r="O553" s="12">
        <v>0</v>
      </c>
      <c r="P553" s="12">
        <v>0</v>
      </c>
      <c r="Q553" s="12">
        <v>0</v>
      </c>
      <c r="R553" s="12">
        <v>0</v>
      </c>
      <c r="S553" s="12">
        <v>0</v>
      </c>
      <c r="T553" s="12">
        <v>3</v>
      </c>
      <c r="U553" s="12" t="s">
        <v>19</v>
      </c>
      <c r="V553" s="12">
        <v>1</v>
      </c>
      <c r="W553" s="12">
        <v>44</v>
      </c>
      <c r="X553" s="12">
        <v>4</v>
      </c>
      <c r="Y553" s="12">
        <v>2</v>
      </c>
      <c r="Z553" s="12" t="s">
        <v>97</v>
      </c>
      <c r="AA553" s="12">
        <v>0</v>
      </c>
      <c r="AB553" s="12">
        <v>0</v>
      </c>
      <c r="AC553" s="12">
        <v>0</v>
      </c>
      <c r="AD553" s="12">
        <v>0</v>
      </c>
      <c r="AE553" s="12">
        <v>0</v>
      </c>
      <c r="AF553" s="12">
        <v>0</v>
      </c>
      <c r="AG553" s="12">
        <v>0</v>
      </c>
      <c r="AH553" s="12">
        <v>0</v>
      </c>
      <c r="AI553" s="12">
        <v>2</v>
      </c>
      <c r="AJ553" s="12" t="s">
        <v>64</v>
      </c>
      <c r="AK553" s="12">
        <v>0</v>
      </c>
      <c r="AL553" s="12">
        <v>1</v>
      </c>
      <c r="AM553" s="12">
        <v>6389</v>
      </c>
      <c r="AN553" s="12">
        <f t="shared" si="122"/>
        <v>6389</v>
      </c>
      <c r="AO553" s="12">
        <v>9</v>
      </c>
      <c r="AP553" s="12" t="s">
        <v>59</v>
      </c>
      <c r="AQ553" s="12">
        <v>0</v>
      </c>
      <c r="AR553" s="12">
        <v>15</v>
      </c>
      <c r="AS553" s="12">
        <v>3</v>
      </c>
      <c r="AT553" s="12">
        <v>3</v>
      </c>
      <c r="AU553" s="12">
        <v>1</v>
      </c>
      <c r="AV553" s="12">
        <v>12</v>
      </c>
      <c r="AW553" s="12">
        <f t="shared" si="123"/>
        <v>12</v>
      </c>
      <c r="AX553" s="12">
        <v>3</v>
      </c>
      <c r="AY553" s="12">
        <v>1</v>
      </c>
      <c r="AZ553" s="12">
        <v>8</v>
      </c>
      <c r="BA553" s="12">
        <f t="shared" si="124"/>
        <v>8</v>
      </c>
      <c r="BB553" s="12">
        <v>3</v>
      </c>
      <c r="BC553" s="12">
        <v>3</v>
      </c>
      <c r="BD553" s="12">
        <f t="shared" si="133"/>
        <v>3</v>
      </c>
      <c r="BE553" s="12">
        <v>6</v>
      </c>
      <c r="BF553" s="12">
        <f t="shared" si="125"/>
        <v>6</v>
      </c>
      <c r="BG553" s="12">
        <f t="shared" si="134"/>
        <v>12</v>
      </c>
      <c r="BH553" s="67">
        <v>0</v>
      </c>
      <c r="BI553" s="67">
        <v>1</v>
      </c>
      <c r="BJ553" s="67">
        <v>0</v>
      </c>
      <c r="BK553" s="67">
        <v>0</v>
      </c>
      <c r="BL553" s="67">
        <v>0</v>
      </c>
      <c r="BM553" s="67">
        <v>0</v>
      </c>
      <c r="BN553" s="67">
        <v>1</v>
      </c>
      <c r="BO553" s="67">
        <v>0</v>
      </c>
      <c r="BP553" s="67">
        <v>6</v>
      </c>
      <c r="BQ553" s="67">
        <v>0</v>
      </c>
      <c r="BR553" s="67">
        <v>0</v>
      </c>
      <c r="BS553" s="67">
        <v>12</v>
      </c>
      <c r="BT553" s="67">
        <v>0</v>
      </c>
      <c r="BU553" s="70">
        <v>0</v>
      </c>
      <c r="BV553" s="29">
        <f t="shared" si="126"/>
        <v>2.4199732020912138E-2</v>
      </c>
      <c r="BW553">
        <f t="shared" si="127"/>
        <v>0.52600872973843971</v>
      </c>
      <c r="BX553">
        <f t="shared" si="128"/>
        <v>9.2588147734864096E-2</v>
      </c>
      <c r="BY553">
        <f t="shared" si="129"/>
        <v>0.16189221622713135</v>
      </c>
      <c r="BZ553">
        <f t="shared" si="130"/>
        <v>0.76386092994953758</v>
      </c>
      <c r="CA553">
        <f t="shared" si="131"/>
        <v>0.22726935890025346</v>
      </c>
      <c r="CB553">
        <f t="shared" si="132"/>
        <v>0.2520597274726662</v>
      </c>
    </row>
    <row r="554" spans="1:80" x14ac:dyDescent="0.45">
      <c r="A554" s="11">
        <v>56</v>
      </c>
      <c r="B554" s="12">
        <f t="shared" si="120"/>
        <v>56</v>
      </c>
      <c r="C554" s="12" t="s">
        <v>59</v>
      </c>
      <c r="D554" s="12">
        <v>0</v>
      </c>
      <c r="E554" s="12" t="s">
        <v>53</v>
      </c>
      <c r="F554" s="12">
        <v>0</v>
      </c>
      <c r="G554" s="12">
        <v>1</v>
      </c>
      <c r="H554" s="12" t="s">
        <v>61</v>
      </c>
      <c r="I554" s="12">
        <v>1</v>
      </c>
      <c r="J554" s="12">
        <v>0</v>
      </c>
      <c r="K554" s="12">
        <v>9</v>
      </c>
      <c r="L554" s="12">
        <f t="shared" si="121"/>
        <v>9</v>
      </c>
      <c r="M554" s="12">
        <v>3</v>
      </c>
      <c r="N554" s="12" t="s">
        <v>70</v>
      </c>
      <c r="O554" s="12">
        <v>0</v>
      </c>
      <c r="P554" s="12">
        <v>0</v>
      </c>
      <c r="Q554" s="12">
        <v>1</v>
      </c>
      <c r="R554" s="12">
        <v>0</v>
      </c>
      <c r="S554" s="12">
        <v>0</v>
      </c>
      <c r="T554" s="12">
        <v>3</v>
      </c>
      <c r="U554" s="12" t="s">
        <v>62</v>
      </c>
      <c r="V554" s="12">
        <v>0</v>
      </c>
      <c r="W554" s="12">
        <v>81</v>
      </c>
      <c r="X554" s="12">
        <v>3</v>
      </c>
      <c r="Y554" s="12">
        <v>4</v>
      </c>
      <c r="Z554" s="12" t="s">
        <v>85</v>
      </c>
      <c r="AA554" s="12">
        <v>1</v>
      </c>
      <c r="AB554" s="12">
        <v>0</v>
      </c>
      <c r="AC554" s="12">
        <v>0</v>
      </c>
      <c r="AD554" s="12">
        <v>0</v>
      </c>
      <c r="AE554" s="12">
        <v>0</v>
      </c>
      <c r="AF554" s="12">
        <v>0</v>
      </c>
      <c r="AG554" s="12">
        <v>0</v>
      </c>
      <c r="AH554" s="12">
        <v>0</v>
      </c>
      <c r="AI554" s="12">
        <v>4</v>
      </c>
      <c r="AJ554" s="12" t="s">
        <v>64</v>
      </c>
      <c r="AK554" s="12">
        <v>0</v>
      </c>
      <c r="AL554" s="12">
        <v>1</v>
      </c>
      <c r="AM554" s="12">
        <v>11103</v>
      </c>
      <c r="AN554" s="12">
        <f t="shared" si="122"/>
        <v>11103</v>
      </c>
      <c r="AO554" s="12">
        <v>7</v>
      </c>
      <c r="AP554" s="12" t="s">
        <v>59</v>
      </c>
      <c r="AQ554" s="12">
        <v>0</v>
      </c>
      <c r="AR554" s="12">
        <v>11</v>
      </c>
      <c r="AS554" s="12">
        <v>3</v>
      </c>
      <c r="AT554" s="12">
        <v>3</v>
      </c>
      <c r="AU554" s="12">
        <v>0</v>
      </c>
      <c r="AV554" s="12">
        <v>30</v>
      </c>
      <c r="AW554" s="12">
        <f t="shared" si="123"/>
        <v>30</v>
      </c>
      <c r="AX554" s="12">
        <v>1</v>
      </c>
      <c r="AY554" s="12">
        <v>2</v>
      </c>
      <c r="AZ554" s="12">
        <v>10</v>
      </c>
      <c r="BA554" s="12">
        <f t="shared" si="124"/>
        <v>10</v>
      </c>
      <c r="BB554" s="12">
        <v>7</v>
      </c>
      <c r="BC554" s="12">
        <v>1</v>
      </c>
      <c r="BD554" s="12">
        <f t="shared" si="133"/>
        <v>1</v>
      </c>
      <c r="BE554" s="12">
        <v>1</v>
      </c>
      <c r="BF554" s="12">
        <f t="shared" si="125"/>
        <v>1</v>
      </c>
      <c r="BG554" s="12">
        <f t="shared" si="134"/>
        <v>4</v>
      </c>
      <c r="BH554" s="67">
        <v>0</v>
      </c>
      <c r="BI554" s="67">
        <v>1</v>
      </c>
      <c r="BJ554" s="67">
        <v>0</v>
      </c>
      <c r="BK554" s="67">
        <v>0</v>
      </c>
      <c r="BL554" s="67">
        <v>0</v>
      </c>
      <c r="BM554" s="67">
        <v>0</v>
      </c>
      <c r="BN554" s="67">
        <v>1</v>
      </c>
      <c r="BO554" s="67">
        <v>0</v>
      </c>
      <c r="BP554" s="67">
        <v>0</v>
      </c>
      <c r="BQ554" s="67">
        <v>1</v>
      </c>
      <c r="BR554" s="67">
        <v>0</v>
      </c>
      <c r="BS554" s="67">
        <v>0</v>
      </c>
      <c r="BT554" s="67">
        <v>30</v>
      </c>
      <c r="BU554" s="70">
        <v>0</v>
      </c>
      <c r="BV554" s="29">
        <f t="shared" si="126"/>
        <v>0.97708388573099703</v>
      </c>
      <c r="BW554">
        <f t="shared" si="127"/>
        <v>0.87528310193156111</v>
      </c>
      <c r="BX554">
        <f t="shared" si="128"/>
        <v>2.4059803942546978</v>
      </c>
      <c r="BY554">
        <f t="shared" si="129"/>
        <v>0.48834154112957734</v>
      </c>
      <c r="BZ554">
        <f t="shared" si="130"/>
        <v>2.3747406698420157E-2</v>
      </c>
      <c r="CA554">
        <f t="shared" si="131"/>
        <v>2.0881675498954482</v>
      </c>
      <c r="CB554">
        <f t="shared" si="132"/>
        <v>0.36858985273641137</v>
      </c>
    </row>
    <row r="555" spans="1:80" x14ac:dyDescent="0.45">
      <c r="A555" s="11">
        <v>40</v>
      </c>
      <c r="B555" s="12">
        <f t="shared" si="120"/>
        <v>40</v>
      </c>
      <c r="C555" s="12" t="s">
        <v>59</v>
      </c>
      <c r="D555" s="12">
        <v>0</v>
      </c>
      <c r="E555" s="12" t="s">
        <v>53</v>
      </c>
      <c r="F555" s="12">
        <v>0</v>
      </c>
      <c r="G555" s="12">
        <v>1</v>
      </c>
      <c r="H555" s="12" t="s">
        <v>61</v>
      </c>
      <c r="I555" s="12">
        <v>1</v>
      </c>
      <c r="J555" s="12">
        <v>0</v>
      </c>
      <c r="K555" s="12">
        <v>2</v>
      </c>
      <c r="L555" s="12">
        <f t="shared" si="121"/>
        <v>2</v>
      </c>
      <c r="M555" s="12">
        <v>1</v>
      </c>
      <c r="N555" s="12" t="s">
        <v>70</v>
      </c>
      <c r="O555" s="12">
        <v>0</v>
      </c>
      <c r="P555" s="12">
        <v>0</v>
      </c>
      <c r="Q555" s="12">
        <v>1</v>
      </c>
      <c r="R555" s="12">
        <v>0</v>
      </c>
      <c r="S555" s="12">
        <v>0</v>
      </c>
      <c r="T555" s="12">
        <v>4</v>
      </c>
      <c r="U555" s="12" t="s">
        <v>19</v>
      </c>
      <c r="V555" s="12">
        <v>1</v>
      </c>
      <c r="W555" s="12">
        <v>86</v>
      </c>
      <c r="X555" s="12">
        <v>2</v>
      </c>
      <c r="Y555" s="12">
        <v>1</v>
      </c>
      <c r="Z555" s="12" t="s">
        <v>63</v>
      </c>
      <c r="AA555" s="12">
        <v>0</v>
      </c>
      <c r="AB555" s="12">
        <v>0</v>
      </c>
      <c r="AC555" s="12">
        <v>0</v>
      </c>
      <c r="AD555" s="12">
        <v>0</v>
      </c>
      <c r="AE555" s="12">
        <v>0</v>
      </c>
      <c r="AF555" s="12">
        <v>0</v>
      </c>
      <c r="AG555" s="12">
        <v>0</v>
      </c>
      <c r="AH555" s="12">
        <v>1</v>
      </c>
      <c r="AI555" s="12">
        <v>4</v>
      </c>
      <c r="AJ555" s="12" t="s">
        <v>57</v>
      </c>
      <c r="AK555" s="12">
        <v>1</v>
      </c>
      <c r="AL555" s="12">
        <v>0</v>
      </c>
      <c r="AM555" s="12">
        <v>2342</v>
      </c>
      <c r="AN555" s="12">
        <f t="shared" si="122"/>
        <v>2342</v>
      </c>
      <c r="AO555" s="12">
        <v>0</v>
      </c>
      <c r="AP555" s="12" t="s">
        <v>52</v>
      </c>
      <c r="AQ555" s="12">
        <v>1</v>
      </c>
      <c r="AR555" s="12">
        <v>20</v>
      </c>
      <c r="AS555" s="12">
        <v>4</v>
      </c>
      <c r="AT555" s="12">
        <v>4</v>
      </c>
      <c r="AU555" s="12">
        <v>0</v>
      </c>
      <c r="AV555" s="12">
        <v>5</v>
      </c>
      <c r="AW555" s="12">
        <f t="shared" si="123"/>
        <v>5</v>
      </c>
      <c r="AX555" s="12">
        <v>2</v>
      </c>
      <c r="AY555" s="12">
        <v>2</v>
      </c>
      <c r="AZ555" s="12">
        <v>4</v>
      </c>
      <c r="BA555" s="12">
        <f t="shared" si="124"/>
        <v>4</v>
      </c>
      <c r="BB555" s="12">
        <v>2</v>
      </c>
      <c r="BC555" s="12">
        <v>2</v>
      </c>
      <c r="BD555" s="12">
        <f t="shared" si="133"/>
        <v>2</v>
      </c>
      <c r="BE555" s="12">
        <v>3</v>
      </c>
      <c r="BF555" s="12">
        <f t="shared" si="125"/>
        <v>3</v>
      </c>
      <c r="BG555" s="12">
        <f t="shared" si="134"/>
        <v>3</v>
      </c>
      <c r="BH555" s="67">
        <v>1</v>
      </c>
      <c r="BI555" s="67">
        <v>0</v>
      </c>
      <c r="BJ555" s="67">
        <v>0</v>
      </c>
      <c r="BK555" s="67">
        <v>0</v>
      </c>
      <c r="BL555" s="67">
        <v>0</v>
      </c>
      <c r="BM555" s="67">
        <v>1</v>
      </c>
      <c r="BN555" s="67">
        <v>0</v>
      </c>
      <c r="BO555" s="67">
        <v>0</v>
      </c>
      <c r="BP555" s="67">
        <v>0</v>
      </c>
      <c r="BQ555" s="67">
        <v>3</v>
      </c>
      <c r="BR555" s="67">
        <v>0</v>
      </c>
      <c r="BS555" s="67">
        <v>0</v>
      </c>
      <c r="BT555" s="67">
        <v>5</v>
      </c>
      <c r="BU555" s="70">
        <v>0</v>
      </c>
      <c r="BV555" s="29">
        <f t="shared" si="126"/>
        <v>0.88380830245832764</v>
      </c>
      <c r="BW555">
        <f t="shared" si="127"/>
        <v>0.31476636926356072</v>
      </c>
      <c r="BX555">
        <f t="shared" si="128"/>
        <v>0.80706439257840468</v>
      </c>
      <c r="BY555">
        <f t="shared" si="129"/>
        <v>0.49100643357776058</v>
      </c>
      <c r="BZ555">
        <f t="shared" si="130"/>
        <v>0.88721318382472392</v>
      </c>
      <c r="CA555">
        <f t="shared" si="131"/>
        <v>0.33673395837055903</v>
      </c>
      <c r="CB555">
        <f t="shared" si="132"/>
        <v>5.8265062631872602E-2</v>
      </c>
    </row>
    <row r="556" spans="1:80" x14ac:dyDescent="0.45">
      <c r="A556" s="11">
        <v>27</v>
      </c>
      <c r="B556" s="12">
        <f t="shared" si="120"/>
        <v>27</v>
      </c>
      <c r="C556" s="12" t="s">
        <v>59</v>
      </c>
      <c r="D556" s="12">
        <v>0</v>
      </c>
      <c r="E556" s="12" t="s">
        <v>53</v>
      </c>
      <c r="F556" s="12">
        <v>0</v>
      </c>
      <c r="G556" s="12">
        <v>1</v>
      </c>
      <c r="H556" s="12" t="s">
        <v>61</v>
      </c>
      <c r="I556" s="12">
        <v>1</v>
      </c>
      <c r="J556" s="12">
        <v>0</v>
      </c>
      <c r="K556" s="12">
        <v>7</v>
      </c>
      <c r="L556" s="12">
        <f t="shared" si="121"/>
        <v>7</v>
      </c>
      <c r="M556" s="12">
        <v>3</v>
      </c>
      <c r="N556" s="12" t="s">
        <v>70</v>
      </c>
      <c r="O556" s="12">
        <v>0</v>
      </c>
      <c r="P556" s="12">
        <v>0</v>
      </c>
      <c r="Q556" s="12">
        <v>1</v>
      </c>
      <c r="R556" s="12">
        <v>0</v>
      </c>
      <c r="S556" s="12">
        <v>0</v>
      </c>
      <c r="T556" s="12">
        <v>4</v>
      </c>
      <c r="U556" s="12" t="s">
        <v>19</v>
      </c>
      <c r="V556" s="12">
        <v>1</v>
      </c>
      <c r="W556" s="12">
        <v>55</v>
      </c>
      <c r="X556" s="12">
        <v>2</v>
      </c>
      <c r="Y556" s="12">
        <v>2</v>
      </c>
      <c r="Z556" s="12" t="s">
        <v>85</v>
      </c>
      <c r="AA556" s="12">
        <v>1</v>
      </c>
      <c r="AB556" s="12">
        <v>0</v>
      </c>
      <c r="AC556" s="12">
        <v>0</v>
      </c>
      <c r="AD556" s="12">
        <v>0</v>
      </c>
      <c r="AE556" s="12">
        <v>0</v>
      </c>
      <c r="AF556" s="12">
        <v>0</v>
      </c>
      <c r="AG556" s="12">
        <v>0</v>
      </c>
      <c r="AH556" s="12">
        <v>0</v>
      </c>
      <c r="AI556" s="12">
        <v>1</v>
      </c>
      <c r="AJ556" s="12" t="s">
        <v>57</v>
      </c>
      <c r="AK556" s="12">
        <v>1</v>
      </c>
      <c r="AL556" s="12">
        <v>0</v>
      </c>
      <c r="AM556" s="12">
        <v>6811</v>
      </c>
      <c r="AN556" s="12">
        <f t="shared" si="122"/>
        <v>6811</v>
      </c>
      <c r="AO556" s="12">
        <v>8</v>
      </c>
      <c r="AP556" s="12" t="s">
        <v>59</v>
      </c>
      <c r="AQ556" s="12">
        <v>0</v>
      </c>
      <c r="AR556" s="12">
        <v>19</v>
      </c>
      <c r="AS556" s="12">
        <v>3</v>
      </c>
      <c r="AT556" s="12">
        <v>1</v>
      </c>
      <c r="AU556" s="12">
        <v>0</v>
      </c>
      <c r="AV556" s="12">
        <v>9</v>
      </c>
      <c r="AW556" s="12">
        <f t="shared" si="123"/>
        <v>9</v>
      </c>
      <c r="AX556" s="12">
        <v>2</v>
      </c>
      <c r="AY556" s="12">
        <v>1</v>
      </c>
      <c r="AZ556" s="12">
        <v>7</v>
      </c>
      <c r="BA556" s="12">
        <f t="shared" si="124"/>
        <v>7</v>
      </c>
      <c r="BB556" s="12">
        <v>6</v>
      </c>
      <c r="BC556" s="12">
        <v>0</v>
      </c>
      <c r="BD556" s="12">
        <f t="shared" si="133"/>
        <v>0</v>
      </c>
      <c r="BE556" s="12">
        <v>7</v>
      </c>
      <c r="BF556" s="12">
        <f t="shared" si="125"/>
        <v>7</v>
      </c>
      <c r="BG556" s="12">
        <f t="shared" si="134"/>
        <v>14</v>
      </c>
      <c r="BH556" s="67">
        <v>1</v>
      </c>
      <c r="BI556" s="67">
        <v>0</v>
      </c>
      <c r="BJ556" s="67">
        <v>0</v>
      </c>
      <c r="BK556" s="67">
        <v>0</v>
      </c>
      <c r="BL556" s="67">
        <v>1</v>
      </c>
      <c r="BM556" s="67">
        <v>0</v>
      </c>
      <c r="BN556" s="67">
        <v>0</v>
      </c>
      <c r="BO556" s="67">
        <v>0</v>
      </c>
      <c r="BP556" s="67">
        <v>0</v>
      </c>
      <c r="BQ556" s="67">
        <v>7</v>
      </c>
      <c r="BR556" s="67">
        <v>0</v>
      </c>
      <c r="BS556" s="67">
        <v>0</v>
      </c>
      <c r="BT556" s="67">
        <v>9</v>
      </c>
      <c r="BU556" s="70">
        <v>0</v>
      </c>
      <c r="BV556" s="29">
        <f t="shared" si="126"/>
        <v>6.5435755185559163E-2</v>
      </c>
      <c r="BW556">
        <f t="shared" si="127"/>
        <v>0.80626709607243985</v>
      </c>
      <c r="BX556">
        <f t="shared" si="128"/>
        <v>0.29297722668510823</v>
      </c>
      <c r="BY556">
        <f t="shared" si="129"/>
        <v>1.3324462240916321E-3</v>
      </c>
      <c r="BZ556">
        <f t="shared" si="130"/>
        <v>0.27045191444879263</v>
      </c>
      <c r="CA556">
        <f t="shared" si="131"/>
        <v>1.0863058347434136</v>
      </c>
      <c r="CB556">
        <f t="shared" si="132"/>
        <v>0.67891464284095016</v>
      </c>
    </row>
    <row r="557" spans="1:80" x14ac:dyDescent="0.45">
      <c r="A557" s="11">
        <v>29</v>
      </c>
      <c r="B557" s="12">
        <f t="shared" si="120"/>
        <v>29</v>
      </c>
      <c r="C557" s="12" t="s">
        <v>59</v>
      </c>
      <c r="D557" s="12">
        <v>0</v>
      </c>
      <c r="E557" s="12" t="s">
        <v>53</v>
      </c>
      <c r="F557" s="12">
        <v>0</v>
      </c>
      <c r="G557" s="12">
        <v>1</v>
      </c>
      <c r="H557" s="12" t="s">
        <v>54</v>
      </c>
      <c r="I557" s="12">
        <v>0</v>
      </c>
      <c r="J557" s="12">
        <v>1</v>
      </c>
      <c r="K557" s="12">
        <v>10</v>
      </c>
      <c r="L557" s="12">
        <f t="shared" si="121"/>
        <v>10</v>
      </c>
      <c r="M557" s="12">
        <v>3</v>
      </c>
      <c r="N557" s="12" t="s">
        <v>90</v>
      </c>
      <c r="O557" s="12">
        <v>0</v>
      </c>
      <c r="P557" s="12">
        <v>0</v>
      </c>
      <c r="Q557" s="12">
        <v>0</v>
      </c>
      <c r="R557" s="12">
        <v>1</v>
      </c>
      <c r="S557" s="12">
        <v>0</v>
      </c>
      <c r="T557" s="12">
        <v>4</v>
      </c>
      <c r="U557" s="12" t="s">
        <v>62</v>
      </c>
      <c r="V557" s="12">
        <v>0</v>
      </c>
      <c r="W557" s="12">
        <v>83</v>
      </c>
      <c r="X557" s="12">
        <v>3</v>
      </c>
      <c r="Y557" s="12">
        <v>1</v>
      </c>
      <c r="Z557" s="12" t="s">
        <v>88</v>
      </c>
      <c r="AA557" s="12">
        <v>0</v>
      </c>
      <c r="AB557" s="12">
        <v>0</v>
      </c>
      <c r="AC557" s="12">
        <v>0</v>
      </c>
      <c r="AD557" s="12">
        <v>0</v>
      </c>
      <c r="AE557" s="12">
        <v>0</v>
      </c>
      <c r="AF557" s="12">
        <v>0</v>
      </c>
      <c r="AG557" s="12">
        <v>1</v>
      </c>
      <c r="AH557" s="12">
        <v>0</v>
      </c>
      <c r="AI557" s="12">
        <v>2</v>
      </c>
      <c r="AJ557" s="12" t="s">
        <v>78</v>
      </c>
      <c r="AK557" s="12">
        <v>0</v>
      </c>
      <c r="AL557" s="12">
        <v>0</v>
      </c>
      <c r="AM557" s="12">
        <v>2297</v>
      </c>
      <c r="AN557" s="12">
        <f t="shared" si="122"/>
        <v>2297</v>
      </c>
      <c r="AO557" s="12">
        <v>1</v>
      </c>
      <c r="AP557" s="12" t="s">
        <v>59</v>
      </c>
      <c r="AQ557" s="12">
        <v>0</v>
      </c>
      <c r="AR557" s="12">
        <v>14</v>
      </c>
      <c r="AS557" s="12">
        <v>3</v>
      </c>
      <c r="AT557" s="12">
        <v>4</v>
      </c>
      <c r="AU557" s="12">
        <v>2</v>
      </c>
      <c r="AV557" s="12">
        <v>2</v>
      </c>
      <c r="AW557" s="12">
        <f t="shared" si="123"/>
        <v>2</v>
      </c>
      <c r="AX557" s="12">
        <v>2</v>
      </c>
      <c r="AY557" s="12">
        <v>3</v>
      </c>
      <c r="AZ557" s="12">
        <v>2</v>
      </c>
      <c r="BA557" s="12">
        <f t="shared" si="124"/>
        <v>2</v>
      </c>
      <c r="BB557" s="12">
        <v>2</v>
      </c>
      <c r="BC557" s="12">
        <v>2</v>
      </c>
      <c r="BD557" s="12">
        <f t="shared" si="133"/>
        <v>2</v>
      </c>
      <c r="BE557" s="12">
        <v>2</v>
      </c>
      <c r="BF557" s="12">
        <f t="shared" si="125"/>
        <v>2</v>
      </c>
      <c r="BG557" s="12">
        <f t="shared" si="134"/>
        <v>2</v>
      </c>
      <c r="BH557" s="67">
        <v>1</v>
      </c>
      <c r="BI557" s="67">
        <v>0</v>
      </c>
      <c r="BJ557" s="67">
        <v>0</v>
      </c>
      <c r="BK557" s="67">
        <v>0</v>
      </c>
      <c r="BL557" s="67">
        <v>1</v>
      </c>
      <c r="BM557" s="67">
        <v>0</v>
      </c>
      <c r="BN557" s="67">
        <v>0</v>
      </c>
      <c r="BO557" s="67">
        <v>0</v>
      </c>
      <c r="BP557" s="67">
        <v>0</v>
      </c>
      <c r="BQ557" s="67">
        <v>0</v>
      </c>
      <c r="BR557" s="67">
        <v>2</v>
      </c>
      <c r="BS557" s="67">
        <v>0</v>
      </c>
      <c r="BT557" s="67">
        <v>0</v>
      </c>
      <c r="BU557" s="70">
        <v>2</v>
      </c>
      <c r="BV557" s="29">
        <f t="shared" si="126"/>
        <v>0.89336658900878074</v>
      </c>
      <c r="BW557">
        <f t="shared" si="127"/>
        <v>0.59502473559756086</v>
      </c>
      <c r="BX557">
        <f t="shared" si="128"/>
        <v>1.192629766998377</v>
      </c>
      <c r="BY557">
        <f t="shared" si="129"/>
        <v>0.81745575848020657</v>
      </c>
      <c r="BZ557">
        <f t="shared" si="130"/>
        <v>9.9604847176766084E-2</v>
      </c>
      <c r="CA557">
        <f t="shared" si="131"/>
        <v>0.86737663580280233</v>
      </c>
      <c r="CB557">
        <f t="shared" si="132"/>
        <v>5.8265062631872602E-2</v>
      </c>
    </row>
    <row r="558" spans="1:80" x14ac:dyDescent="0.45">
      <c r="A558" s="11">
        <v>53</v>
      </c>
      <c r="B558" s="12">
        <f t="shared" si="120"/>
        <v>53</v>
      </c>
      <c r="C558" s="12" t="s">
        <v>59</v>
      </c>
      <c r="D558" s="12">
        <v>0</v>
      </c>
      <c r="E558" s="12" t="s">
        <v>53</v>
      </c>
      <c r="F558" s="12">
        <v>0</v>
      </c>
      <c r="G558" s="12">
        <v>1</v>
      </c>
      <c r="H558" s="12" t="s">
        <v>61</v>
      </c>
      <c r="I558" s="12">
        <v>1</v>
      </c>
      <c r="J558" s="12">
        <v>0</v>
      </c>
      <c r="K558" s="12">
        <v>6</v>
      </c>
      <c r="L558" s="12">
        <f t="shared" si="121"/>
        <v>6</v>
      </c>
      <c r="M558" s="12">
        <v>3</v>
      </c>
      <c r="N558" s="12" t="s">
        <v>55</v>
      </c>
      <c r="O558" s="12">
        <v>1</v>
      </c>
      <c r="P558" s="12">
        <v>0</v>
      </c>
      <c r="Q558" s="12">
        <v>0</v>
      </c>
      <c r="R558" s="12">
        <v>0</v>
      </c>
      <c r="S558" s="12">
        <v>0</v>
      </c>
      <c r="T558" s="12">
        <v>4</v>
      </c>
      <c r="U558" s="12" t="s">
        <v>62</v>
      </c>
      <c r="V558" s="12">
        <v>0</v>
      </c>
      <c r="W558" s="12">
        <v>86</v>
      </c>
      <c r="X558" s="12">
        <v>3</v>
      </c>
      <c r="Y558" s="12">
        <v>2</v>
      </c>
      <c r="Z558" s="12" t="s">
        <v>67</v>
      </c>
      <c r="AA558" s="12">
        <v>0</v>
      </c>
      <c r="AB558" s="12">
        <v>0</v>
      </c>
      <c r="AC558" s="12">
        <v>1</v>
      </c>
      <c r="AD558" s="12">
        <v>0</v>
      </c>
      <c r="AE558" s="12">
        <v>0</v>
      </c>
      <c r="AF558" s="12">
        <v>0</v>
      </c>
      <c r="AG558" s="12">
        <v>0</v>
      </c>
      <c r="AH558" s="12">
        <v>0</v>
      </c>
      <c r="AI558" s="12">
        <v>4</v>
      </c>
      <c r="AJ558" s="12" t="s">
        <v>57</v>
      </c>
      <c r="AK558" s="12">
        <v>1</v>
      </c>
      <c r="AL558" s="12">
        <v>0</v>
      </c>
      <c r="AM558" s="12">
        <v>2450</v>
      </c>
      <c r="AN558" s="12">
        <f t="shared" si="122"/>
        <v>2450</v>
      </c>
      <c r="AO558" s="12">
        <v>2</v>
      </c>
      <c r="AP558" s="12" t="s">
        <v>59</v>
      </c>
      <c r="AQ558" s="12">
        <v>0</v>
      </c>
      <c r="AR558" s="12">
        <v>17</v>
      </c>
      <c r="AS558" s="12">
        <v>3</v>
      </c>
      <c r="AT558" s="12">
        <v>4</v>
      </c>
      <c r="AU558" s="12">
        <v>0</v>
      </c>
      <c r="AV558" s="12">
        <v>19</v>
      </c>
      <c r="AW558" s="12">
        <f t="shared" si="123"/>
        <v>19</v>
      </c>
      <c r="AX558" s="12">
        <v>4</v>
      </c>
      <c r="AY558" s="12">
        <v>3</v>
      </c>
      <c r="AZ558" s="12">
        <v>2</v>
      </c>
      <c r="BA558" s="12">
        <f t="shared" si="124"/>
        <v>2</v>
      </c>
      <c r="BB558" s="12">
        <v>2</v>
      </c>
      <c r="BC558" s="12">
        <v>2</v>
      </c>
      <c r="BD558" s="12">
        <f t="shared" si="133"/>
        <v>2</v>
      </c>
      <c r="BE558" s="12">
        <v>2</v>
      </c>
      <c r="BF558" s="12">
        <f t="shared" si="125"/>
        <v>2</v>
      </c>
      <c r="BG558" s="12">
        <f t="shared" si="134"/>
        <v>4</v>
      </c>
      <c r="BH558" s="67">
        <v>1</v>
      </c>
      <c r="BI558" s="67">
        <v>0</v>
      </c>
      <c r="BJ558" s="67">
        <v>0</v>
      </c>
      <c r="BK558" s="67">
        <v>0</v>
      </c>
      <c r="BL558" s="67">
        <v>1</v>
      </c>
      <c r="BM558" s="67">
        <v>0</v>
      </c>
      <c r="BN558" s="67">
        <v>0</v>
      </c>
      <c r="BO558" s="67">
        <v>0</v>
      </c>
      <c r="BP558" s="67">
        <v>0</v>
      </c>
      <c r="BQ558" s="67">
        <v>2</v>
      </c>
      <c r="BR558" s="67">
        <v>0</v>
      </c>
      <c r="BS558" s="67">
        <v>0</v>
      </c>
      <c r="BT558" s="67">
        <v>19</v>
      </c>
      <c r="BU558" s="70">
        <v>0</v>
      </c>
      <c r="BV558" s="29">
        <f t="shared" si="126"/>
        <v>0.86086841473724018</v>
      </c>
      <c r="BW558">
        <f t="shared" si="127"/>
        <v>0.59502473559756086</v>
      </c>
      <c r="BX558">
        <f t="shared" si="128"/>
        <v>0.99224068804813281</v>
      </c>
      <c r="BY558">
        <f t="shared" si="129"/>
        <v>0.81745575848020657</v>
      </c>
      <c r="BZ558">
        <f t="shared" si="130"/>
        <v>0.39380416832397891</v>
      </c>
      <c r="CA558">
        <f t="shared" si="131"/>
        <v>1.7597737514845315</v>
      </c>
      <c r="CB558">
        <f t="shared" si="132"/>
        <v>5.8265062631872602E-2</v>
      </c>
    </row>
    <row r="559" spans="1:80" x14ac:dyDescent="0.45">
      <c r="A559" s="11">
        <v>35</v>
      </c>
      <c r="B559" s="12">
        <f t="shared" si="120"/>
        <v>35</v>
      </c>
      <c r="C559" s="12" t="s">
        <v>59</v>
      </c>
      <c r="D559" s="12">
        <v>0</v>
      </c>
      <c r="E559" s="12" t="s">
        <v>86</v>
      </c>
      <c r="F559" s="12">
        <v>0</v>
      </c>
      <c r="G559" s="12">
        <v>0</v>
      </c>
      <c r="H559" s="12" t="s">
        <v>61</v>
      </c>
      <c r="I559" s="12">
        <v>1</v>
      </c>
      <c r="J559" s="12">
        <v>0</v>
      </c>
      <c r="K559" s="12">
        <v>2</v>
      </c>
      <c r="L559" s="12">
        <f t="shared" si="121"/>
        <v>2</v>
      </c>
      <c r="M559" s="12">
        <v>4</v>
      </c>
      <c r="N559" s="12" t="s">
        <v>55</v>
      </c>
      <c r="O559" s="12">
        <v>1</v>
      </c>
      <c r="P559" s="12">
        <v>0</v>
      </c>
      <c r="Q559" s="12">
        <v>0</v>
      </c>
      <c r="R559" s="12">
        <v>0</v>
      </c>
      <c r="S559" s="12">
        <v>0</v>
      </c>
      <c r="T559" s="12">
        <v>4</v>
      </c>
      <c r="U559" s="12" t="s">
        <v>19</v>
      </c>
      <c r="V559" s="12">
        <v>1</v>
      </c>
      <c r="W559" s="12">
        <v>61</v>
      </c>
      <c r="X559" s="12">
        <v>3</v>
      </c>
      <c r="Y559" s="12">
        <v>2</v>
      </c>
      <c r="Z559" s="12" t="s">
        <v>85</v>
      </c>
      <c r="AA559" s="12">
        <v>1</v>
      </c>
      <c r="AB559" s="12">
        <v>0</v>
      </c>
      <c r="AC559" s="12">
        <v>0</v>
      </c>
      <c r="AD559" s="12">
        <v>0</v>
      </c>
      <c r="AE559" s="12">
        <v>0</v>
      </c>
      <c r="AF559" s="12">
        <v>0</v>
      </c>
      <c r="AG559" s="12">
        <v>0</v>
      </c>
      <c r="AH559" s="12">
        <v>0</v>
      </c>
      <c r="AI559" s="12">
        <v>1</v>
      </c>
      <c r="AJ559" s="12" t="s">
        <v>78</v>
      </c>
      <c r="AK559" s="12">
        <v>0</v>
      </c>
      <c r="AL559" s="12">
        <v>0</v>
      </c>
      <c r="AM559" s="12">
        <v>5093</v>
      </c>
      <c r="AN559" s="12">
        <f t="shared" si="122"/>
        <v>5093</v>
      </c>
      <c r="AO559" s="12">
        <v>2</v>
      </c>
      <c r="AP559" s="12" t="s">
        <v>59</v>
      </c>
      <c r="AQ559" s="12">
        <v>0</v>
      </c>
      <c r="AR559" s="12">
        <v>11</v>
      </c>
      <c r="AS559" s="12">
        <v>3</v>
      </c>
      <c r="AT559" s="12">
        <v>1</v>
      </c>
      <c r="AU559" s="12">
        <v>1</v>
      </c>
      <c r="AV559" s="12">
        <v>16</v>
      </c>
      <c r="AW559" s="12">
        <f t="shared" si="123"/>
        <v>16</v>
      </c>
      <c r="AX559" s="12">
        <v>2</v>
      </c>
      <c r="AY559" s="12">
        <v>4</v>
      </c>
      <c r="AZ559" s="12">
        <v>1</v>
      </c>
      <c r="BA559" s="12">
        <f t="shared" si="124"/>
        <v>1</v>
      </c>
      <c r="BB559" s="12">
        <v>0</v>
      </c>
      <c r="BC559" s="12">
        <v>0</v>
      </c>
      <c r="BD559" s="12">
        <f t="shared" si="133"/>
        <v>0</v>
      </c>
      <c r="BE559" s="12">
        <v>0</v>
      </c>
      <c r="BF559" s="12">
        <f t="shared" si="125"/>
        <v>0</v>
      </c>
      <c r="BG559" s="12">
        <f t="shared" si="134"/>
        <v>0</v>
      </c>
      <c r="BH559" s="67">
        <v>1</v>
      </c>
      <c r="BI559" s="67">
        <v>0</v>
      </c>
      <c r="BJ559" s="67">
        <v>0</v>
      </c>
      <c r="BK559" s="67">
        <v>0</v>
      </c>
      <c r="BL559" s="67">
        <v>1</v>
      </c>
      <c r="BM559" s="67">
        <v>0</v>
      </c>
      <c r="BN559" s="67">
        <v>0</v>
      </c>
      <c r="BO559" s="67">
        <v>0</v>
      </c>
      <c r="BP559" s="67">
        <v>0</v>
      </c>
      <c r="BQ559" s="67">
        <v>0</v>
      </c>
      <c r="BR559" s="67">
        <v>0</v>
      </c>
      <c r="BS559" s="67">
        <v>0</v>
      </c>
      <c r="BT559" s="67">
        <v>16</v>
      </c>
      <c r="BU559" s="70">
        <v>0</v>
      </c>
      <c r="BV559" s="29">
        <f t="shared" si="126"/>
        <v>0.29947838467396143</v>
      </c>
      <c r="BW559">
        <f t="shared" si="127"/>
        <v>1.1555414682655611</v>
      </c>
      <c r="BX559">
        <f t="shared" si="128"/>
        <v>0.60667531362816052</v>
      </c>
      <c r="BY559">
        <f t="shared" si="129"/>
        <v>0.9806804209314296</v>
      </c>
      <c r="BZ559">
        <f t="shared" si="130"/>
        <v>0.88721318382472392</v>
      </c>
      <c r="CA559">
        <f t="shared" si="131"/>
        <v>0.21058903898096887</v>
      </c>
      <c r="CB559">
        <f t="shared" si="132"/>
        <v>0.67891464284095016</v>
      </c>
    </row>
    <row r="560" spans="1:80" x14ac:dyDescent="0.45">
      <c r="A560" s="11">
        <v>32</v>
      </c>
      <c r="B560" s="12">
        <f t="shared" si="120"/>
        <v>32</v>
      </c>
      <c r="C560" s="12" t="s">
        <v>59</v>
      </c>
      <c r="D560" s="12">
        <v>0</v>
      </c>
      <c r="E560" s="12" t="s">
        <v>60</v>
      </c>
      <c r="F560" s="12">
        <v>1</v>
      </c>
      <c r="G560" s="12">
        <v>0</v>
      </c>
      <c r="H560" s="12" t="s">
        <v>61</v>
      </c>
      <c r="I560" s="12">
        <v>1</v>
      </c>
      <c r="J560" s="12">
        <v>0</v>
      </c>
      <c r="K560" s="12">
        <v>24</v>
      </c>
      <c r="L560" s="12">
        <f t="shared" si="121"/>
        <v>24</v>
      </c>
      <c r="M560" s="12">
        <v>4</v>
      </c>
      <c r="N560" s="12" t="s">
        <v>55</v>
      </c>
      <c r="O560" s="12">
        <v>1</v>
      </c>
      <c r="P560" s="12">
        <v>0</v>
      </c>
      <c r="Q560" s="12">
        <v>0</v>
      </c>
      <c r="R560" s="12">
        <v>0</v>
      </c>
      <c r="S560" s="12">
        <v>0</v>
      </c>
      <c r="T560" s="12">
        <v>1</v>
      </c>
      <c r="U560" s="12" t="s">
        <v>62</v>
      </c>
      <c r="V560" s="12">
        <v>0</v>
      </c>
      <c r="W560" s="12">
        <v>80</v>
      </c>
      <c r="X560" s="12">
        <v>3</v>
      </c>
      <c r="Y560" s="12">
        <v>2</v>
      </c>
      <c r="Z560" s="12" t="s">
        <v>67</v>
      </c>
      <c r="AA560" s="12">
        <v>0</v>
      </c>
      <c r="AB560" s="12">
        <v>0</v>
      </c>
      <c r="AC560" s="12">
        <v>1</v>
      </c>
      <c r="AD560" s="12">
        <v>0</v>
      </c>
      <c r="AE560" s="12">
        <v>0</v>
      </c>
      <c r="AF560" s="12">
        <v>0</v>
      </c>
      <c r="AG560" s="12">
        <v>0</v>
      </c>
      <c r="AH560" s="12">
        <v>0</v>
      </c>
      <c r="AI560" s="12">
        <v>4</v>
      </c>
      <c r="AJ560" s="12" t="s">
        <v>64</v>
      </c>
      <c r="AK560" s="12">
        <v>0</v>
      </c>
      <c r="AL560" s="12">
        <v>1</v>
      </c>
      <c r="AM560" s="12">
        <v>5309</v>
      </c>
      <c r="AN560" s="12">
        <f t="shared" si="122"/>
        <v>5309</v>
      </c>
      <c r="AO560" s="12">
        <v>1</v>
      </c>
      <c r="AP560" s="12" t="s">
        <v>59</v>
      </c>
      <c r="AQ560" s="12">
        <v>0</v>
      </c>
      <c r="AR560" s="12">
        <v>15</v>
      </c>
      <c r="AS560" s="12">
        <v>3</v>
      </c>
      <c r="AT560" s="12">
        <v>4</v>
      </c>
      <c r="AU560" s="12">
        <v>2</v>
      </c>
      <c r="AV560" s="12">
        <v>10</v>
      </c>
      <c r="AW560" s="12">
        <f t="shared" si="123"/>
        <v>10</v>
      </c>
      <c r="AX560" s="12">
        <v>2</v>
      </c>
      <c r="AY560" s="12">
        <v>3</v>
      </c>
      <c r="AZ560" s="12">
        <v>10</v>
      </c>
      <c r="BA560" s="12">
        <f t="shared" si="124"/>
        <v>10</v>
      </c>
      <c r="BB560" s="12">
        <v>8</v>
      </c>
      <c r="BC560" s="12">
        <v>4</v>
      </c>
      <c r="BD560" s="12">
        <f t="shared" si="133"/>
        <v>4</v>
      </c>
      <c r="BE560" s="12">
        <v>7</v>
      </c>
      <c r="BF560" s="12">
        <f t="shared" si="125"/>
        <v>7</v>
      </c>
      <c r="BG560" s="12">
        <f t="shared" si="134"/>
        <v>14</v>
      </c>
      <c r="BH560" s="67">
        <v>0</v>
      </c>
      <c r="BI560" s="67">
        <v>0</v>
      </c>
      <c r="BJ560" s="67">
        <v>0</v>
      </c>
      <c r="BK560" s="67">
        <v>1</v>
      </c>
      <c r="BL560" s="67">
        <v>0</v>
      </c>
      <c r="BM560" s="67">
        <v>0</v>
      </c>
      <c r="BN560" s="67">
        <v>1</v>
      </c>
      <c r="BO560" s="67">
        <v>0</v>
      </c>
      <c r="BP560" s="67">
        <v>0</v>
      </c>
      <c r="BQ560" s="67">
        <v>7</v>
      </c>
      <c r="BR560" s="67">
        <v>0</v>
      </c>
      <c r="BS560" s="67">
        <v>0</v>
      </c>
      <c r="BT560" s="67">
        <v>10</v>
      </c>
      <c r="BU560" s="70">
        <v>0</v>
      </c>
      <c r="BV560" s="29">
        <f t="shared" si="126"/>
        <v>0.25359860923178656</v>
      </c>
      <c r="BW560">
        <f t="shared" si="127"/>
        <v>0.80626709607243985</v>
      </c>
      <c r="BX560">
        <f t="shared" si="128"/>
        <v>0.1644554352117841</v>
      </c>
      <c r="BY560">
        <f t="shared" si="129"/>
        <v>0.48834154112957734</v>
      </c>
      <c r="BZ560">
        <f t="shared" si="130"/>
        <v>1.8265364014293735</v>
      </c>
      <c r="CA560">
        <f t="shared" si="131"/>
        <v>0.53898283739188557</v>
      </c>
      <c r="CB560">
        <f t="shared" si="132"/>
        <v>0.56238451757720498</v>
      </c>
    </row>
    <row r="561" spans="1:80" x14ac:dyDescent="0.45">
      <c r="A561" s="11">
        <v>38</v>
      </c>
      <c r="B561" s="12">
        <f t="shared" si="120"/>
        <v>38</v>
      </c>
      <c r="C561" s="12" t="s">
        <v>59</v>
      </c>
      <c r="D561" s="12">
        <v>0</v>
      </c>
      <c r="E561" s="12" t="s">
        <v>53</v>
      </c>
      <c r="F561" s="12">
        <v>0</v>
      </c>
      <c r="G561" s="12">
        <v>1</v>
      </c>
      <c r="H561" s="12" t="s">
        <v>61</v>
      </c>
      <c r="I561" s="12">
        <v>1</v>
      </c>
      <c r="J561" s="12">
        <v>0</v>
      </c>
      <c r="K561" s="12">
        <v>2</v>
      </c>
      <c r="L561" s="12">
        <f t="shared" si="121"/>
        <v>2</v>
      </c>
      <c r="M561" s="12">
        <v>5</v>
      </c>
      <c r="N561" s="12" t="s">
        <v>70</v>
      </c>
      <c r="O561" s="12">
        <v>0</v>
      </c>
      <c r="P561" s="12">
        <v>0</v>
      </c>
      <c r="Q561" s="12">
        <v>1</v>
      </c>
      <c r="R561" s="12">
        <v>0</v>
      </c>
      <c r="S561" s="12">
        <v>0</v>
      </c>
      <c r="T561" s="12">
        <v>4</v>
      </c>
      <c r="U561" s="12" t="s">
        <v>62</v>
      </c>
      <c r="V561" s="12">
        <v>0</v>
      </c>
      <c r="W561" s="12">
        <v>92</v>
      </c>
      <c r="X561" s="12">
        <v>3</v>
      </c>
      <c r="Y561" s="12">
        <v>1</v>
      </c>
      <c r="Z561" s="12" t="s">
        <v>63</v>
      </c>
      <c r="AA561" s="12">
        <v>0</v>
      </c>
      <c r="AB561" s="12">
        <v>0</v>
      </c>
      <c r="AC561" s="12">
        <v>0</v>
      </c>
      <c r="AD561" s="12">
        <v>0</v>
      </c>
      <c r="AE561" s="12">
        <v>0</v>
      </c>
      <c r="AF561" s="12">
        <v>0</v>
      </c>
      <c r="AG561" s="12">
        <v>0</v>
      </c>
      <c r="AH561" s="12">
        <v>1</v>
      </c>
      <c r="AI561" s="12">
        <v>3</v>
      </c>
      <c r="AJ561" s="12" t="s">
        <v>64</v>
      </c>
      <c r="AK561" s="12">
        <v>0</v>
      </c>
      <c r="AL561" s="12">
        <v>1</v>
      </c>
      <c r="AM561" s="12">
        <v>3057</v>
      </c>
      <c r="AN561" s="12">
        <f t="shared" si="122"/>
        <v>3057</v>
      </c>
      <c r="AO561" s="12">
        <v>6</v>
      </c>
      <c r="AP561" s="12" t="s">
        <v>52</v>
      </c>
      <c r="AQ561" s="12">
        <v>1</v>
      </c>
      <c r="AR561" s="12">
        <v>13</v>
      </c>
      <c r="AS561" s="12">
        <v>3</v>
      </c>
      <c r="AT561" s="12">
        <v>2</v>
      </c>
      <c r="AU561" s="12">
        <v>1</v>
      </c>
      <c r="AV561" s="12">
        <v>6</v>
      </c>
      <c r="AW561" s="12">
        <f t="shared" si="123"/>
        <v>6</v>
      </c>
      <c r="AX561" s="12">
        <v>0</v>
      </c>
      <c r="AY561" s="12">
        <v>1</v>
      </c>
      <c r="AZ561" s="12">
        <v>1</v>
      </c>
      <c r="BA561" s="12">
        <f t="shared" si="124"/>
        <v>1</v>
      </c>
      <c r="BB561" s="12">
        <v>0</v>
      </c>
      <c r="BC561" s="12">
        <v>0</v>
      </c>
      <c r="BD561" s="12">
        <f t="shared" si="133"/>
        <v>0</v>
      </c>
      <c r="BE561" s="12">
        <v>1</v>
      </c>
      <c r="BF561" s="12">
        <f t="shared" si="125"/>
        <v>1</v>
      </c>
      <c r="BG561" s="12">
        <f t="shared" si="134"/>
        <v>1</v>
      </c>
      <c r="BH561" s="67">
        <v>0</v>
      </c>
      <c r="BI561" s="67">
        <v>1</v>
      </c>
      <c r="BJ561" s="67">
        <v>0</v>
      </c>
      <c r="BK561" s="67">
        <v>0</v>
      </c>
      <c r="BL561" s="67">
        <v>0</v>
      </c>
      <c r="BM561" s="67">
        <v>0</v>
      </c>
      <c r="BN561" s="67">
        <v>0</v>
      </c>
      <c r="BO561" s="67">
        <v>1</v>
      </c>
      <c r="BP561" s="67">
        <v>0</v>
      </c>
      <c r="BQ561" s="67">
        <v>1</v>
      </c>
      <c r="BR561" s="67">
        <v>0</v>
      </c>
      <c r="BS561" s="67">
        <v>0</v>
      </c>
      <c r="BT561" s="67">
        <v>6</v>
      </c>
      <c r="BU561" s="70">
        <v>0</v>
      </c>
      <c r="BV561" s="29">
        <f t="shared" si="126"/>
        <v>0.73193774949001722</v>
      </c>
      <c r="BW561">
        <f t="shared" si="127"/>
        <v>0.87528310193156111</v>
      </c>
      <c r="BX561">
        <f t="shared" si="128"/>
        <v>0.67854260110508058</v>
      </c>
      <c r="BY561">
        <f t="shared" si="129"/>
        <v>0.9806804209314296</v>
      </c>
      <c r="BZ561">
        <f t="shared" si="130"/>
        <v>0.88721318382472392</v>
      </c>
      <c r="CA561">
        <f t="shared" si="131"/>
        <v>0.11780475942994788</v>
      </c>
      <c r="CB561">
        <f t="shared" si="132"/>
        <v>0.67891464284095016</v>
      </c>
    </row>
    <row r="562" spans="1:80" x14ac:dyDescent="0.45">
      <c r="A562" s="11">
        <v>34</v>
      </c>
      <c r="B562" s="12">
        <f t="shared" si="120"/>
        <v>34</v>
      </c>
      <c r="C562" s="12" t="s">
        <v>59</v>
      </c>
      <c r="D562" s="12">
        <v>0</v>
      </c>
      <c r="E562" s="12" t="s">
        <v>53</v>
      </c>
      <c r="F562" s="12">
        <v>0</v>
      </c>
      <c r="G562" s="12">
        <v>1</v>
      </c>
      <c r="H562" s="12" t="s">
        <v>61</v>
      </c>
      <c r="I562" s="12">
        <v>1</v>
      </c>
      <c r="J562" s="12">
        <v>0</v>
      </c>
      <c r="K562" s="12">
        <v>8</v>
      </c>
      <c r="L562" s="12">
        <f t="shared" si="121"/>
        <v>8</v>
      </c>
      <c r="M562" s="12">
        <v>5</v>
      </c>
      <c r="N562" s="12" t="s">
        <v>55</v>
      </c>
      <c r="O562" s="12">
        <v>1</v>
      </c>
      <c r="P562" s="12">
        <v>0</v>
      </c>
      <c r="Q562" s="12">
        <v>0</v>
      </c>
      <c r="R562" s="12">
        <v>0</v>
      </c>
      <c r="S562" s="12">
        <v>0</v>
      </c>
      <c r="T562" s="12">
        <v>2</v>
      </c>
      <c r="U562" s="12" t="s">
        <v>19</v>
      </c>
      <c r="V562" s="12">
        <v>1</v>
      </c>
      <c r="W562" s="12">
        <v>32</v>
      </c>
      <c r="X562" s="12">
        <v>3</v>
      </c>
      <c r="Y562" s="12">
        <v>2</v>
      </c>
      <c r="Z562" s="12" t="s">
        <v>83</v>
      </c>
      <c r="AA562" s="12">
        <v>0</v>
      </c>
      <c r="AB562" s="12">
        <v>0</v>
      </c>
      <c r="AC562" s="12">
        <v>0</v>
      </c>
      <c r="AD562" s="12">
        <v>0</v>
      </c>
      <c r="AE562" s="12">
        <v>1</v>
      </c>
      <c r="AF562" s="12">
        <v>1</v>
      </c>
      <c r="AG562" s="12">
        <v>0</v>
      </c>
      <c r="AH562" s="12">
        <v>0</v>
      </c>
      <c r="AI562" s="12">
        <v>1</v>
      </c>
      <c r="AJ562" s="12" t="s">
        <v>78</v>
      </c>
      <c r="AK562" s="12">
        <v>0</v>
      </c>
      <c r="AL562" s="12">
        <v>0</v>
      </c>
      <c r="AM562" s="12">
        <v>5121</v>
      </c>
      <c r="AN562" s="12">
        <f t="shared" si="122"/>
        <v>5121</v>
      </c>
      <c r="AO562" s="12">
        <v>3</v>
      </c>
      <c r="AP562" s="12" t="s">
        <v>59</v>
      </c>
      <c r="AQ562" s="12">
        <v>0</v>
      </c>
      <c r="AR562" s="12">
        <v>14</v>
      </c>
      <c r="AS562" s="12">
        <v>3</v>
      </c>
      <c r="AT562" s="12">
        <v>3</v>
      </c>
      <c r="AU562" s="12">
        <v>1</v>
      </c>
      <c r="AV562" s="12">
        <v>7</v>
      </c>
      <c r="AW562" s="12">
        <f t="shared" si="123"/>
        <v>7</v>
      </c>
      <c r="AX562" s="12">
        <v>3</v>
      </c>
      <c r="AY562" s="12">
        <v>3</v>
      </c>
      <c r="AZ562" s="12">
        <v>0</v>
      </c>
      <c r="BA562" s="12">
        <f t="shared" si="124"/>
        <v>0</v>
      </c>
      <c r="BB562" s="12">
        <v>0</v>
      </c>
      <c r="BC562" s="12">
        <v>0</v>
      </c>
      <c r="BD562" s="12">
        <f t="shared" si="133"/>
        <v>0</v>
      </c>
      <c r="BE562" s="12">
        <v>0</v>
      </c>
      <c r="BF562" s="12">
        <f t="shared" si="125"/>
        <v>0</v>
      </c>
      <c r="BG562" s="12">
        <f t="shared" si="134"/>
        <v>0</v>
      </c>
      <c r="BH562" s="67">
        <v>1</v>
      </c>
      <c r="BI562" s="67">
        <v>0</v>
      </c>
      <c r="BJ562" s="67">
        <v>0</v>
      </c>
      <c r="BK562" s="67">
        <v>0</v>
      </c>
      <c r="BL562" s="67">
        <v>1</v>
      </c>
      <c r="BM562" s="67">
        <v>0</v>
      </c>
      <c r="BN562" s="67">
        <v>0</v>
      </c>
      <c r="BO562" s="67">
        <v>0</v>
      </c>
      <c r="BP562" s="67">
        <v>0</v>
      </c>
      <c r="BQ562" s="67">
        <v>0</v>
      </c>
      <c r="BR562" s="67">
        <v>0</v>
      </c>
      <c r="BS562" s="67">
        <v>0</v>
      </c>
      <c r="BT562" s="67">
        <v>7</v>
      </c>
      <c r="BU562" s="70">
        <v>0</v>
      </c>
      <c r="BV562" s="29">
        <f t="shared" si="126"/>
        <v>0.29353100637590174</v>
      </c>
      <c r="BW562">
        <f t="shared" si="127"/>
        <v>1.1555414682655611</v>
      </c>
      <c r="BX562">
        <f t="shared" si="128"/>
        <v>0.55002080963175637</v>
      </c>
      <c r="BY562">
        <f t="shared" si="129"/>
        <v>1.1439050833826525</v>
      </c>
      <c r="BZ562">
        <f t="shared" si="130"/>
        <v>0.14709966057360641</v>
      </c>
      <c r="CA562">
        <f t="shared" si="131"/>
        <v>0.32005363845127444</v>
      </c>
      <c r="CB562">
        <f t="shared" si="132"/>
        <v>0.67891464284095016</v>
      </c>
    </row>
    <row r="563" spans="1:80" x14ac:dyDescent="0.45">
      <c r="A563" s="11">
        <v>52</v>
      </c>
      <c r="B563" s="12">
        <f t="shared" si="120"/>
        <v>52</v>
      </c>
      <c r="C563" s="12" t="s">
        <v>59</v>
      </c>
      <c r="D563" s="12">
        <v>0</v>
      </c>
      <c r="E563" s="12" t="s">
        <v>53</v>
      </c>
      <c r="F563" s="12">
        <v>0</v>
      </c>
      <c r="G563" s="12">
        <v>1</v>
      </c>
      <c r="H563" s="12" t="s">
        <v>54</v>
      </c>
      <c r="I563" s="12">
        <v>0</v>
      </c>
      <c r="J563" s="12">
        <v>1</v>
      </c>
      <c r="K563" s="12">
        <v>3</v>
      </c>
      <c r="L563" s="12">
        <f t="shared" si="121"/>
        <v>3</v>
      </c>
      <c r="M563" s="12">
        <v>4</v>
      </c>
      <c r="N563" s="12" t="s">
        <v>90</v>
      </c>
      <c r="O563" s="12">
        <v>0</v>
      </c>
      <c r="P563" s="12">
        <v>0</v>
      </c>
      <c r="Q563" s="12">
        <v>0</v>
      </c>
      <c r="R563" s="12">
        <v>1</v>
      </c>
      <c r="S563" s="12">
        <v>0</v>
      </c>
      <c r="T563" s="12">
        <v>3</v>
      </c>
      <c r="U563" s="12" t="s">
        <v>62</v>
      </c>
      <c r="V563" s="12">
        <v>0</v>
      </c>
      <c r="W563" s="12">
        <v>31</v>
      </c>
      <c r="X563" s="12">
        <v>2</v>
      </c>
      <c r="Y563" s="12">
        <v>4</v>
      </c>
      <c r="Z563" s="12" t="s">
        <v>87</v>
      </c>
      <c r="AA563" s="12">
        <v>0</v>
      </c>
      <c r="AB563" s="12">
        <v>0</v>
      </c>
      <c r="AC563" s="12">
        <v>0</v>
      </c>
      <c r="AD563" s="12">
        <v>1</v>
      </c>
      <c r="AE563" s="12">
        <v>0</v>
      </c>
      <c r="AF563" s="12">
        <v>0</v>
      </c>
      <c r="AG563" s="12">
        <v>0</v>
      </c>
      <c r="AH563" s="12">
        <v>0</v>
      </c>
      <c r="AI563" s="12">
        <v>1</v>
      </c>
      <c r="AJ563" s="12" t="s">
        <v>64</v>
      </c>
      <c r="AK563" s="12">
        <v>0</v>
      </c>
      <c r="AL563" s="12">
        <v>1</v>
      </c>
      <c r="AM563" s="12">
        <v>16856</v>
      </c>
      <c r="AN563" s="12">
        <f t="shared" si="122"/>
        <v>16856</v>
      </c>
      <c r="AO563" s="12">
        <v>1</v>
      </c>
      <c r="AP563" s="12" t="s">
        <v>59</v>
      </c>
      <c r="AQ563" s="12">
        <v>0</v>
      </c>
      <c r="AR563" s="12">
        <v>11</v>
      </c>
      <c r="AS563" s="12">
        <v>3</v>
      </c>
      <c r="AT563" s="12">
        <v>1</v>
      </c>
      <c r="AU563" s="12">
        <v>0</v>
      </c>
      <c r="AV563" s="12">
        <v>34</v>
      </c>
      <c r="AW563" s="12">
        <f t="shared" si="123"/>
        <v>34</v>
      </c>
      <c r="AX563" s="12">
        <v>3</v>
      </c>
      <c r="AY563" s="12">
        <v>4</v>
      </c>
      <c r="AZ563" s="12">
        <v>34</v>
      </c>
      <c r="BA563" s="12">
        <f t="shared" si="124"/>
        <v>31</v>
      </c>
      <c r="BB563" s="12">
        <v>6</v>
      </c>
      <c r="BC563" s="12">
        <v>1</v>
      </c>
      <c r="BD563" s="12">
        <f t="shared" si="133"/>
        <v>1</v>
      </c>
      <c r="BE563" s="12">
        <v>16</v>
      </c>
      <c r="BF563" s="12">
        <f t="shared" si="125"/>
        <v>14</v>
      </c>
      <c r="BG563" s="12">
        <f t="shared" si="134"/>
        <v>56</v>
      </c>
      <c r="BH563" s="67">
        <v>0</v>
      </c>
      <c r="BI563" s="67">
        <v>1</v>
      </c>
      <c r="BJ563" s="67">
        <v>0</v>
      </c>
      <c r="BK563" s="67">
        <v>0</v>
      </c>
      <c r="BL563" s="67">
        <v>0</v>
      </c>
      <c r="BM563" s="67">
        <v>0</v>
      </c>
      <c r="BN563" s="67">
        <v>1</v>
      </c>
      <c r="BO563" s="67">
        <v>0</v>
      </c>
      <c r="BP563" s="67">
        <v>0</v>
      </c>
      <c r="BQ563" s="67">
        <v>0</v>
      </c>
      <c r="BR563" s="67">
        <v>14</v>
      </c>
      <c r="BS563" s="67">
        <v>0</v>
      </c>
      <c r="BT563" s="67">
        <v>0</v>
      </c>
      <c r="BU563" s="70">
        <v>34</v>
      </c>
      <c r="BV563" s="29">
        <f t="shared" si="126"/>
        <v>2.1990577196144789</v>
      </c>
      <c r="BW563">
        <f t="shared" si="127"/>
        <v>3.3285923930784413</v>
      </c>
      <c r="BX563">
        <f t="shared" si="128"/>
        <v>2.9200675601479942</v>
      </c>
      <c r="BY563">
        <f t="shared" si="129"/>
        <v>4.4057334399589285</v>
      </c>
      <c r="BZ563">
        <f t="shared" si="130"/>
        <v>0.76386092994953758</v>
      </c>
      <c r="CA563">
        <f t="shared" si="131"/>
        <v>1.6503091520142259</v>
      </c>
      <c r="CB563">
        <f t="shared" si="132"/>
        <v>0.36858985273641137</v>
      </c>
    </row>
    <row r="564" spans="1:80" x14ac:dyDescent="0.45">
      <c r="A564" s="11">
        <v>33</v>
      </c>
      <c r="B564" s="12">
        <f t="shared" si="120"/>
        <v>33</v>
      </c>
      <c r="C564" s="12" t="s">
        <v>52</v>
      </c>
      <c r="D564" s="12">
        <v>1</v>
      </c>
      <c r="E564" s="12" t="s">
        <v>53</v>
      </c>
      <c r="F564" s="12">
        <v>0</v>
      </c>
      <c r="G564" s="12">
        <v>1</v>
      </c>
      <c r="H564" s="12" t="s">
        <v>61</v>
      </c>
      <c r="I564" s="12">
        <v>1</v>
      </c>
      <c r="J564" s="12">
        <v>0</v>
      </c>
      <c r="K564" s="12">
        <v>1</v>
      </c>
      <c r="L564" s="12">
        <f t="shared" si="121"/>
        <v>1</v>
      </c>
      <c r="M564" s="12">
        <v>4</v>
      </c>
      <c r="N564" s="12" t="s">
        <v>66</v>
      </c>
      <c r="O564" s="12">
        <v>0</v>
      </c>
      <c r="P564" s="12">
        <v>1</v>
      </c>
      <c r="Q564" s="12">
        <v>0</v>
      </c>
      <c r="R564" s="12">
        <v>0</v>
      </c>
      <c r="S564" s="12">
        <v>0</v>
      </c>
      <c r="T564" s="12">
        <v>4</v>
      </c>
      <c r="U564" s="12" t="s">
        <v>62</v>
      </c>
      <c r="V564" s="12">
        <v>0</v>
      </c>
      <c r="W564" s="12">
        <v>63</v>
      </c>
      <c r="X564" s="12">
        <v>3</v>
      </c>
      <c r="Y564" s="12">
        <v>1</v>
      </c>
      <c r="Z564" s="12" t="s">
        <v>63</v>
      </c>
      <c r="AA564" s="12">
        <v>0</v>
      </c>
      <c r="AB564" s="12">
        <v>0</v>
      </c>
      <c r="AC564" s="12">
        <v>0</v>
      </c>
      <c r="AD564" s="12">
        <v>0</v>
      </c>
      <c r="AE564" s="12">
        <v>0</v>
      </c>
      <c r="AF564" s="12">
        <v>0</v>
      </c>
      <c r="AG564" s="12">
        <v>0</v>
      </c>
      <c r="AH564" s="12">
        <v>1</v>
      </c>
      <c r="AI564" s="12">
        <v>4</v>
      </c>
      <c r="AJ564" s="12" t="s">
        <v>57</v>
      </c>
      <c r="AK564" s="12">
        <v>1</v>
      </c>
      <c r="AL564" s="12">
        <v>0</v>
      </c>
      <c r="AM564" s="12">
        <v>2686</v>
      </c>
      <c r="AN564" s="12">
        <f t="shared" si="122"/>
        <v>2686</v>
      </c>
      <c r="AO564" s="12">
        <v>1</v>
      </c>
      <c r="AP564" s="12" t="s">
        <v>52</v>
      </c>
      <c r="AQ564" s="12">
        <v>1</v>
      </c>
      <c r="AR564" s="12">
        <v>13</v>
      </c>
      <c r="AS564" s="12">
        <v>3</v>
      </c>
      <c r="AT564" s="12">
        <v>3</v>
      </c>
      <c r="AU564" s="12">
        <v>0</v>
      </c>
      <c r="AV564" s="12">
        <v>10</v>
      </c>
      <c r="AW564" s="12">
        <f t="shared" si="123"/>
        <v>10</v>
      </c>
      <c r="AX564" s="12">
        <v>2</v>
      </c>
      <c r="AY564" s="12">
        <v>2</v>
      </c>
      <c r="AZ564" s="12">
        <v>10</v>
      </c>
      <c r="BA564" s="12">
        <f t="shared" si="124"/>
        <v>10</v>
      </c>
      <c r="BB564" s="12">
        <v>9</v>
      </c>
      <c r="BC564" s="12">
        <v>7</v>
      </c>
      <c r="BD564" s="12">
        <f t="shared" si="133"/>
        <v>7</v>
      </c>
      <c r="BE564" s="12">
        <v>8</v>
      </c>
      <c r="BF564" s="12">
        <f t="shared" si="125"/>
        <v>8</v>
      </c>
      <c r="BG564" s="12">
        <f t="shared" si="134"/>
        <v>8</v>
      </c>
      <c r="BH564" s="67">
        <v>1</v>
      </c>
      <c r="BI564" s="67">
        <v>0</v>
      </c>
      <c r="BJ564" s="67">
        <v>0</v>
      </c>
      <c r="BK564" s="67">
        <v>0</v>
      </c>
      <c r="BL564" s="67">
        <v>0</v>
      </c>
      <c r="BM564" s="67">
        <v>1</v>
      </c>
      <c r="BN564" s="67">
        <v>0</v>
      </c>
      <c r="BO564" s="67">
        <v>0</v>
      </c>
      <c r="BP564" s="67">
        <v>0</v>
      </c>
      <c r="BQ564" s="67">
        <v>8</v>
      </c>
      <c r="BR564" s="67">
        <v>0</v>
      </c>
      <c r="BS564" s="67">
        <v>0</v>
      </c>
      <c r="BT564" s="67">
        <v>10</v>
      </c>
      <c r="BU564" s="70">
        <v>0</v>
      </c>
      <c r="BV564" s="29">
        <f t="shared" si="126"/>
        <v>0.81074051193930841</v>
      </c>
      <c r="BW564">
        <f t="shared" si="127"/>
        <v>1.08652546240644</v>
      </c>
      <c r="BX564">
        <f t="shared" si="128"/>
        <v>0.1644554352117841</v>
      </c>
      <c r="BY564">
        <f t="shared" si="129"/>
        <v>0.48834154112957734</v>
      </c>
      <c r="BZ564">
        <f t="shared" si="130"/>
        <v>1.01056543769991</v>
      </c>
      <c r="CA564">
        <f t="shared" si="131"/>
        <v>0.42951823792158</v>
      </c>
      <c r="CB564">
        <f t="shared" si="132"/>
        <v>1.4933588878908215</v>
      </c>
    </row>
    <row r="565" spans="1:80" x14ac:dyDescent="0.45">
      <c r="A565" s="11">
        <v>25</v>
      </c>
      <c r="B565" s="12">
        <f t="shared" si="120"/>
        <v>25</v>
      </c>
      <c r="C565" s="12" t="s">
        <v>59</v>
      </c>
      <c r="D565" s="12">
        <v>0</v>
      </c>
      <c r="E565" s="12" t="s">
        <v>53</v>
      </c>
      <c r="F565" s="12">
        <v>0</v>
      </c>
      <c r="G565" s="12">
        <v>1</v>
      </c>
      <c r="H565" s="12" t="s">
        <v>54</v>
      </c>
      <c r="I565" s="12">
        <v>0</v>
      </c>
      <c r="J565" s="12">
        <v>1</v>
      </c>
      <c r="K565" s="12">
        <v>26</v>
      </c>
      <c r="L565" s="12">
        <f t="shared" si="121"/>
        <v>26</v>
      </c>
      <c r="M565" s="12">
        <v>1</v>
      </c>
      <c r="N565" s="12" t="s">
        <v>70</v>
      </c>
      <c r="O565" s="12">
        <v>0</v>
      </c>
      <c r="P565" s="12">
        <v>0</v>
      </c>
      <c r="Q565" s="12">
        <v>1</v>
      </c>
      <c r="R565" s="12">
        <v>0</v>
      </c>
      <c r="S565" s="12">
        <v>0</v>
      </c>
      <c r="T565" s="12">
        <v>3</v>
      </c>
      <c r="U565" s="12" t="s">
        <v>19</v>
      </c>
      <c r="V565" s="12">
        <v>1</v>
      </c>
      <c r="W565" s="12">
        <v>32</v>
      </c>
      <c r="X565" s="12">
        <v>3</v>
      </c>
      <c r="Y565" s="12">
        <v>2</v>
      </c>
      <c r="Z565" s="12" t="s">
        <v>56</v>
      </c>
      <c r="AA565" s="12">
        <v>0</v>
      </c>
      <c r="AB565" s="12">
        <v>1</v>
      </c>
      <c r="AC565" s="12">
        <v>0</v>
      </c>
      <c r="AD565" s="12">
        <v>0</v>
      </c>
      <c r="AE565" s="12">
        <v>0</v>
      </c>
      <c r="AF565" s="12">
        <v>0</v>
      </c>
      <c r="AG565" s="12">
        <v>0</v>
      </c>
      <c r="AH565" s="12">
        <v>0</v>
      </c>
      <c r="AI565" s="12">
        <v>4</v>
      </c>
      <c r="AJ565" s="12" t="s">
        <v>57</v>
      </c>
      <c r="AK565" s="12">
        <v>1</v>
      </c>
      <c r="AL565" s="12">
        <v>0</v>
      </c>
      <c r="AM565" s="12">
        <v>6180</v>
      </c>
      <c r="AN565" s="12">
        <f t="shared" si="122"/>
        <v>6180</v>
      </c>
      <c r="AO565" s="12">
        <v>1</v>
      </c>
      <c r="AP565" s="12" t="s">
        <v>59</v>
      </c>
      <c r="AQ565" s="12">
        <v>0</v>
      </c>
      <c r="AR565" s="12">
        <v>23</v>
      </c>
      <c r="AS565" s="12">
        <v>4</v>
      </c>
      <c r="AT565" s="12">
        <v>2</v>
      </c>
      <c r="AU565" s="12">
        <v>0</v>
      </c>
      <c r="AV565" s="12">
        <v>6</v>
      </c>
      <c r="AW565" s="12">
        <f t="shared" si="123"/>
        <v>6</v>
      </c>
      <c r="AX565" s="12">
        <v>5</v>
      </c>
      <c r="AY565" s="12">
        <v>2</v>
      </c>
      <c r="AZ565" s="12">
        <v>6</v>
      </c>
      <c r="BA565" s="12">
        <f t="shared" si="124"/>
        <v>6</v>
      </c>
      <c r="BB565" s="12">
        <v>5</v>
      </c>
      <c r="BC565" s="12">
        <v>1</v>
      </c>
      <c r="BD565" s="12">
        <f t="shared" si="133"/>
        <v>1</v>
      </c>
      <c r="BE565" s="12">
        <v>4</v>
      </c>
      <c r="BF565" s="12">
        <f t="shared" si="125"/>
        <v>4</v>
      </c>
      <c r="BG565" s="12">
        <f t="shared" si="134"/>
        <v>8</v>
      </c>
      <c r="BH565" s="67">
        <v>1</v>
      </c>
      <c r="BI565" s="67">
        <v>0</v>
      </c>
      <c r="BJ565" s="67">
        <v>0</v>
      </c>
      <c r="BK565" s="67">
        <v>0</v>
      </c>
      <c r="BL565" s="67">
        <v>1</v>
      </c>
      <c r="BM565" s="67">
        <v>0</v>
      </c>
      <c r="BN565" s="67">
        <v>0</v>
      </c>
      <c r="BO565" s="67">
        <v>0</v>
      </c>
      <c r="BP565" s="67">
        <v>0</v>
      </c>
      <c r="BQ565" s="67">
        <v>0</v>
      </c>
      <c r="BR565" s="67">
        <v>4</v>
      </c>
      <c r="BS565" s="67">
        <v>0</v>
      </c>
      <c r="BT565" s="67">
        <v>0</v>
      </c>
      <c r="BU565" s="70">
        <v>6</v>
      </c>
      <c r="BV565" s="29">
        <f t="shared" si="126"/>
        <v>6.859266288857209E-2</v>
      </c>
      <c r="BW565">
        <f t="shared" si="127"/>
        <v>3.4508002929560584E-2</v>
      </c>
      <c r="BX565">
        <f t="shared" si="128"/>
        <v>0.67854260110508058</v>
      </c>
      <c r="BY565">
        <f t="shared" si="129"/>
        <v>0.16455710867531462</v>
      </c>
      <c r="BZ565">
        <f t="shared" si="130"/>
        <v>2.0732409091797459</v>
      </c>
      <c r="CA565">
        <f t="shared" si="131"/>
        <v>1.3052350336840246</v>
      </c>
      <c r="CB565">
        <f t="shared" si="132"/>
        <v>0.36858985273641137</v>
      </c>
    </row>
    <row r="566" spans="1:80" x14ac:dyDescent="0.45">
      <c r="A566" s="11">
        <v>45</v>
      </c>
      <c r="B566" s="12">
        <f t="shared" si="120"/>
        <v>45</v>
      </c>
      <c r="C566" s="12" t="s">
        <v>59</v>
      </c>
      <c r="D566" s="12">
        <v>0</v>
      </c>
      <c r="E566" s="12" t="s">
        <v>53</v>
      </c>
      <c r="F566" s="12">
        <v>0</v>
      </c>
      <c r="G566" s="12">
        <v>1</v>
      </c>
      <c r="H566" s="12" t="s">
        <v>54</v>
      </c>
      <c r="I566" s="12">
        <v>0</v>
      </c>
      <c r="J566" s="12">
        <v>1</v>
      </c>
      <c r="K566" s="12">
        <v>2</v>
      </c>
      <c r="L566" s="12">
        <f t="shared" si="121"/>
        <v>2</v>
      </c>
      <c r="M566" s="12">
        <v>2</v>
      </c>
      <c r="N566" s="12" t="s">
        <v>91</v>
      </c>
      <c r="O566" s="12">
        <v>0</v>
      </c>
      <c r="P566" s="12">
        <v>0</v>
      </c>
      <c r="Q566" s="12">
        <v>0</v>
      </c>
      <c r="R566" s="12">
        <v>0</v>
      </c>
      <c r="S566" s="12">
        <v>1</v>
      </c>
      <c r="T566" s="12">
        <v>2</v>
      </c>
      <c r="U566" s="12" t="s">
        <v>62</v>
      </c>
      <c r="V566" s="12">
        <v>0</v>
      </c>
      <c r="W566" s="12">
        <v>46</v>
      </c>
      <c r="X566" s="12">
        <v>1</v>
      </c>
      <c r="Y566" s="12">
        <v>2</v>
      </c>
      <c r="Z566" s="12" t="s">
        <v>88</v>
      </c>
      <c r="AA566" s="12">
        <v>0</v>
      </c>
      <c r="AB566" s="12">
        <v>0</v>
      </c>
      <c r="AC566" s="12">
        <v>0</v>
      </c>
      <c r="AD566" s="12">
        <v>0</v>
      </c>
      <c r="AE566" s="12">
        <v>0</v>
      </c>
      <c r="AF566" s="12">
        <v>0</v>
      </c>
      <c r="AG566" s="12">
        <v>1</v>
      </c>
      <c r="AH566" s="12">
        <v>0</v>
      </c>
      <c r="AI566" s="12">
        <v>3</v>
      </c>
      <c r="AJ566" s="12" t="s">
        <v>57</v>
      </c>
      <c r="AK566" s="12">
        <v>1</v>
      </c>
      <c r="AL566" s="12">
        <v>0</v>
      </c>
      <c r="AM566" s="12">
        <v>6632</v>
      </c>
      <c r="AN566" s="12">
        <f t="shared" si="122"/>
        <v>6632</v>
      </c>
      <c r="AO566" s="12">
        <v>0</v>
      </c>
      <c r="AP566" s="12" t="s">
        <v>59</v>
      </c>
      <c r="AQ566" s="12">
        <v>0</v>
      </c>
      <c r="AR566" s="12">
        <v>13</v>
      </c>
      <c r="AS566" s="12">
        <v>3</v>
      </c>
      <c r="AT566" s="12">
        <v>1</v>
      </c>
      <c r="AU566" s="12">
        <v>0</v>
      </c>
      <c r="AV566" s="12">
        <v>9</v>
      </c>
      <c r="AW566" s="12">
        <f t="shared" si="123"/>
        <v>9</v>
      </c>
      <c r="AX566" s="12">
        <v>3</v>
      </c>
      <c r="AY566" s="12">
        <v>3</v>
      </c>
      <c r="AZ566" s="12">
        <v>8</v>
      </c>
      <c r="BA566" s="12">
        <f t="shared" si="124"/>
        <v>8</v>
      </c>
      <c r="BB566" s="12">
        <v>7</v>
      </c>
      <c r="BC566" s="12">
        <v>3</v>
      </c>
      <c r="BD566" s="12">
        <f t="shared" si="133"/>
        <v>3</v>
      </c>
      <c r="BE566" s="12">
        <v>1</v>
      </c>
      <c r="BF566" s="12">
        <f t="shared" si="125"/>
        <v>1</v>
      </c>
      <c r="BG566" s="12">
        <f t="shared" si="134"/>
        <v>2</v>
      </c>
      <c r="BH566" s="67">
        <v>1</v>
      </c>
      <c r="BI566" s="67">
        <v>0</v>
      </c>
      <c r="BJ566" s="67">
        <v>0</v>
      </c>
      <c r="BK566" s="67">
        <v>0</v>
      </c>
      <c r="BL566" s="67">
        <v>1</v>
      </c>
      <c r="BM566" s="67">
        <v>0</v>
      </c>
      <c r="BN566" s="67">
        <v>0</v>
      </c>
      <c r="BO566" s="67">
        <v>0</v>
      </c>
      <c r="BP566" s="67">
        <v>0</v>
      </c>
      <c r="BQ566" s="67">
        <v>0</v>
      </c>
      <c r="BR566" s="67">
        <v>1</v>
      </c>
      <c r="BS566" s="67">
        <v>0</v>
      </c>
      <c r="BT566" s="67">
        <v>0</v>
      </c>
      <c r="BU566" s="70">
        <v>9</v>
      </c>
      <c r="BV566" s="29">
        <f t="shared" si="126"/>
        <v>2.7415015351534604E-2</v>
      </c>
      <c r="BW566">
        <f t="shared" si="127"/>
        <v>0.87528310193156111</v>
      </c>
      <c r="BX566">
        <f t="shared" si="128"/>
        <v>0.29297722668510823</v>
      </c>
      <c r="BY566">
        <f t="shared" si="129"/>
        <v>0.16189221622713135</v>
      </c>
      <c r="BZ566">
        <f t="shared" si="130"/>
        <v>0.88721318382472392</v>
      </c>
      <c r="CA566">
        <f t="shared" si="131"/>
        <v>0.88405695572208698</v>
      </c>
      <c r="CB566">
        <f t="shared" si="132"/>
        <v>0.2520597274726662</v>
      </c>
    </row>
    <row r="567" spans="1:80" x14ac:dyDescent="0.45">
      <c r="A567" s="11">
        <v>23</v>
      </c>
      <c r="B567" s="12">
        <f t="shared" si="120"/>
        <v>23</v>
      </c>
      <c r="C567" s="12" t="s">
        <v>59</v>
      </c>
      <c r="D567" s="12">
        <v>0</v>
      </c>
      <c r="E567" s="12" t="s">
        <v>53</v>
      </c>
      <c r="F567" s="12">
        <v>0</v>
      </c>
      <c r="G567" s="12">
        <v>1</v>
      </c>
      <c r="H567" s="12" t="s">
        <v>61</v>
      </c>
      <c r="I567" s="12">
        <v>1</v>
      </c>
      <c r="J567" s="12">
        <v>0</v>
      </c>
      <c r="K567" s="12">
        <v>10</v>
      </c>
      <c r="L567" s="12">
        <f t="shared" si="121"/>
        <v>10</v>
      </c>
      <c r="M567" s="12">
        <v>1</v>
      </c>
      <c r="N567" s="12" t="s">
        <v>70</v>
      </c>
      <c r="O567" s="12">
        <v>0</v>
      </c>
      <c r="P567" s="12">
        <v>0</v>
      </c>
      <c r="Q567" s="12">
        <v>1</v>
      </c>
      <c r="R567" s="12">
        <v>0</v>
      </c>
      <c r="S567" s="12">
        <v>0</v>
      </c>
      <c r="T567" s="12">
        <v>1</v>
      </c>
      <c r="U567" s="12" t="s">
        <v>62</v>
      </c>
      <c r="V567" s="12">
        <v>0</v>
      </c>
      <c r="W567" s="12">
        <v>79</v>
      </c>
      <c r="X567" s="12">
        <v>4</v>
      </c>
      <c r="Y567" s="12">
        <v>1</v>
      </c>
      <c r="Z567" s="12" t="s">
        <v>63</v>
      </c>
      <c r="AA567" s="12">
        <v>0</v>
      </c>
      <c r="AB567" s="12">
        <v>0</v>
      </c>
      <c r="AC567" s="12">
        <v>0</v>
      </c>
      <c r="AD567" s="12">
        <v>0</v>
      </c>
      <c r="AE567" s="12">
        <v>0</v>
      </c>
      <c r="AF567" s="12">
        <v>0</v>
      </c>
      <c r="AG567" s="12">
        <v>0</v>
      </c>
      <c r="AH567" s="12">
        <v>1</v>
      </c>
      <c r="AI567" s="12">
        <v>3</v>
      </c>
      <c r="AJ567" s="12" t="s">
        <v>57</v>
      </c>
      <c r="AK567" s="12">
        <v>1</v>
      </c>
      <c r="AL567" s="12">
        <v>0</v>
      </c>
      <c r="AM567" s="12">
        <v>3505</v>
      </c>
      <c r="AN567" s="12">
        <f t="shared" si="122"/>
        <v>3505</v>
      </c>
      <c r="AO567" s="12">
        <v>1</v>
      </c>
      <c r="AP567" s="12" t="s">
        <v>59</v>
      </c>
      <c r="AQ567" s="12">
        <v>0</v>
      </c>
      <c r="AR567" s="12">
        <v>18</v>
      </c>
      <c r="AS567" s="12">
        <v>3</v>
      </c>
      <c r="AT567" s="12">
        <v>4</v>
      </c>
      <c r="AU567" s="12">
        <v>0</v>
      </c>
      <c r="AV567" s="12">
        <v>2</v>
      </c>
      <c r="AW567" s="12">
        <f t="shared" si="123"/>
        <v>2</v>
      </c>
      <c r="AX567" s="12">
        <v>3</v>
      </c>
      <c r="AY567" s="12">
        <v>3</v>
      </c>
      <c r="AZ567" s="12">
        <v>2</v>
      </c>
      <c r="BA567" s="12">
        <f t="shared" si="124"/>
        <v>2</v>
      </c>
      <c r="BB567" s="12">
        <v>2</v>
      </c>
      <c r="BC567" s="12">
        <v>0</v>
      </c>
      <c r="BD567" s="12">
        <f t="shared" si="133"/>
        <v>0</v>
      </c>
      <c r="BE567" s="12">
        <v>2</v>
      </c>
      <c r="BF567" s="12">
        <f t="shared" si="125"/>
        <v>2</v>
      </c>
      <c r="BG567" s="12">
        <f t="shared" si="134"/>
        <v>2</v>
      </c>
      <c r="BH567" s="67">
        <v>1</v>
      </c>
      <c r="BI567" s="67">
        <v>0</v>
      </c>
      <c r="BJ567" s="67">
        <v>0</v>
      </c>
      <c r="BK567" s="67">
        <v>0</v>
      </c>
      <c r="BL567" s="67">
        <v>1</v>
      </c>
      <c r="BM567" s="67">
        <v>0</v>
      </c>
      <c r="BN567" s="67">
        <v>0</v>
      </c>
      <c r="BO567" s="67">
        <v>0</v>
      </c>
      <c r="BP567" s="67">
        <v>0</v>
      </c>
      <c r="BQ567" s="67">
        <v>2</v>
      </c>
      <c r="BR567" s="67">
        <v>0</v>
      </c>
      <c r="BS567" s="67">
        <v>0</v>
      </c>
      <c r="BT567" s="67">
        <v>2</v>
      </c>
      <c r="BU567" s="70">
        <v>0</v>
      </c>
      <c r="BV567" s="29">
        <f t="shared" si="126"/>
        <v>0.63677969672106194</v>
      </c>
      <c r="BW567">
        <f t="shared" si="127"/>
        <v>0.59502473559756086</v>
      </c>
      <c r="BX567">
        <f t="shared" si="128"/>
        <v>1.192629766998377</v>
      </c>
      <c r="BY567">
        <f t="shared" si="129"/>
        <v>0.81745575848020657</v>
      </c>
      <c r="BZ567">
        <f t="shared" si="130"/>
        <v>9.9604847176766084E-2</v>
      </c>
      <c r="CA567">
        <f t="shared" si="131"/>
        <v>1.5241642326246359</v>
      </c>
      <c r="CB567">
        <f t="shared" si="132"/>
        <v>0.67891464284095016</v>
      </c>
    </row>
    <row r="568" spans="1:80" x14ac:dyDescent="0.45">
      <c r="A568" s="11">
        <v>47</v>
      </c>
      <c r="B568" s="12">
        <f t="shared" si="120"/>
        <v>47</v>
      </c>
      <c r="C568" s="12" t="s">
        <v>52</v>
      </c>
      <c r="D568" s="12">
        <v>1</v>
      </c>
      <c r="E568" s="12" t="s">
        <v>60</v>
      </c>
      <c r="F568" s="12">
        <v>1</v>
      </c>
      <c r="G568" s="12">
        <v>0</v>
      </c>
      <c r="H568" s="12" t="s">
        <v>54</v>
      </c>
      <c r="I568" s="12">
        <v>0</v>
      </c>
      <c r="J568" s="12">
        <v>1</v>
      </c>
      <c r="K568" s="12">
        <v>27</v>
      </c>
      <c r="L568" s="12">
        <f t="shared" si="121"/>
        <v>27</v>
      </c>
      <c r="M568" s="12">
        <v>2</v>
      </c>
      <c r="N568" s="12" t="s">
        <v>55</v>
      </c>
      <c r="O568" s="12">
        <v>1</v>
      </c>
      <c r="P568" s="12">
        <v>0</v>
      </c>
      <c r="Q568" s="12">
        <v>0</v>
      </c>
      <c r="R568" s="12">
        <v>0</v>
      </c>
      <c r="S568" s="12">
        <v>0</v>
      </c>
      <c r="T568" s="12">
        <v>2</v>
      </c>
      <c r="U568" s="12" t="s">
        <v>19</v>
      </c>
      <c r="V568" s="12">
        <v>1</v>
      </c>
      <c r="W568" s="12">
        <v>77</v>
      </c>
      <c r="X568" s="12">
        <v>4</v>
      </c>
      <c r="Y568" s="12">
        <v>2</v>
      </c>
      <c r="Z568" s="12" t="s">
        <v>56</v>
      </c>
      <c r="AA568" s="12">
        <v>0</v>
      </c>
      <c r="AB568" s="12">
        <v>1</v>
      </c>
      <c r="AC568" s="12">
        <v>0</v>
      </c>
      <c r="AD568" s="12">
        <v>0</v>
      </c>
      <c r="AE568" s="12">
        <v>0</v>
      </c>
      <c r="AF568" s="12">
        <v>0</v>
      </c>
      <c r="AG568" s="12">
        <v>0</v>
      </c>
      <c r="AH568" s="12">
        <v>0</v>
      </c>
      <c r="AI568" s="12">
        <v>3</v>
      </c>
      <c r="AJ568" s="12" t="s">
        <v>57</v>
      </c>
      <c r="AK568" s="12">
        <v>1</v>
      </c>
      <c r="AL568" s="12">
        <v>0</v>
      </c>
      <c r="AM568" s="12">
        <v>6397</v>
      </c>
      <c r="AN568" s="12">
        <f t="shared" si="122"/>
        <v>6397</v>
      </c>
      <c r="AO568" s="12">
        <v>4</v>
      </c>
      <c r="AP568" s="12" t="s">
        <v>52</v>
      </c>
      <c r="AQ568" s="12">
        <v>1</v>
      </c>
      <c r="AR568" s="12">
        <v>12</v>
      </c>
      <c r="AS568" s="12">
        <v>3</v>
      </c>
      <c r="AT568" s="12">
        <v>4</v>
      </c>
      <c r="AU568" s="12">
        <v>0</v>
      </c>
      <c r="AV568" s="12">
        <v>8</v>
      </c>
      <c r="AW568" s="12">
        <f t="shared" si="123"/>
        <v>8</v>
      </c>
      <c r="AX568" s="12">
        <v>2</v>
      </c>
      <c r="AY568" s="12">
        <v>3</v>
      </c>
      <c r="AZ568" s="12">
        <v>5</v>
      </c>
      <c r="BA568" s="12">
        <f t="shared" si="124"/>
        <v>5</v>
      </c>
      <c r="BB568" s="12">
        <v>4</v>
      </c>
      <c r="BC568" s="12">
        <v>1</v>
      </c>
      <c r="BD568" s="12">
        <f t="shared" si="133"/>
        <v>1</v>
      </c>
      <c r="BE568" s="12">
        <v>3</v>
      </c>
      <c r="BF568" s="12">
        <f t="shared" si="125"/>
        <v>3</v>
      </c>
      <c r="BG568" s="12">
        <f t="shared" si="134"/>
        <v>6</v>
      </c>
      <c r="BH568" s="67">
        <v>0</v>
      </c>
      <c r="BI568" s="67">
        <v>0</v>
      </c>
      <c r="BJ568" s="67">
        <v>1</v>
      </c>
      <c r="BK568" s="67">
        <v>0</v>
      </c>
      <c r="BL568" s="67">
        <v>0</v>
      </c>
      <c r="BM568" s="67">
        <v>1</v>
      </c>
      <c r="BN568" s="67">
        <v>0</v>
      </c>
      <c r="BO568" s="67">
        <v>0</v>
      </c>
      <c r="BP568" s="67">
        <v>0</v>
      </c>
      <c r="BQ568" s="67">
        <v>0</v>
      </c>
      <c r="BR568" s="67">
        <v>3</v>
      </c>
      <c r="BS568" s="67">
        <v>0</v>
      </c>
      <c r="BT568" s="67">
        <v>0</v>
      </c>
      <c r="BU568" s="70">
        <v>8</v>
      </c>
      <c r="BV568" s="29">
        <f t="shared" si="126"/>
        <v>2.2500481078609365E-2</v>
      </c>
      <c r="BW568">
        <f t="shared" si="127"/>
        <v>0.31476636926356072</v>
      </c>
      <c r="BX568">
        <f t="shared" si="128"/>
        <v>0.42149901815843233</v>
      </c>
      <c r="BY568">
        <f t="shared" si="129"/>
        <v>0.32778177112653761</v>
      </c>
      <c r="BZ568">
        <f t="shared" si="130"/>
        <v>2.1965931630549322</v>
      </c>
      <c r="CA568">
        <f t="shared" si="131"/>
        <v>1.102986154662698</v>
      </c>
      <c r="CB568">
        <f t="shared" si="132"/>
        <v>0.36858985273641137</v>
      </c>
    </row>
    <row r="569" spans="1:80" x14ac:dyDescent="0.45">
      <c r="A569" s="11">
        <v>34</v>
      </c>
      <c r="B569" s="12">
        <f t="shared" si="120"/>
        <v>34</v>
      </c>
      <c r="C569" s="12" t="s">
        <v>59</v>
      </c>
      <c r="D569" s="12">
        <v>0</v>
      </c>
      <c r="E569" s="12" t="s">
        <v>53</v>
      </c>
      <c r="F569" s="12">
        <v>0</v>
      </c>
      <c r="G569" s="12">
        <v>1</v>
      </c>
      <c r="H569" s="12" t="s">
        <v>54</v>
      </c>
      <c r="I569" s="12">
        <v>0</v>
      </c>
      <c r="J569" s="12">
        <v>1</v>
      </c>
      <c r="K569" s="12">
        <v>2</v>
      </c>
      <c r="L569" s="12">
        <f t="shared" si="121"/>
        <v>2</v>
      </c>
      <c r="M569" s="12">
        <v>3</v>
      </c>
      <c r="N569" s="12" t="s">
        <v>66</v>
      </c>
      <c r="O569" s="12">
        <v>0</v>
      </c>
      <c r="P569" s="12">
        <v>1</v>
      </c>
      <c r="Q569" s="12">
        <v>0</v>
      </c>
      <c r="R569" s="12">
        <v>0</v>
      </c>
      <c r="S569" s="12">
        <v>0</v>
      </c>
      <c r="T569" s="12">
        <v>4</v>
      </c>
      <c r="U569" s="12" t="s">
        <v>62</v>
      </c>
      <c r="V569" s="12">
        <v>0</v>
      </c>
      <c r="W569" s="12">
        <v>60</v>
      </c>
      <c r="X569" s="12">
        <v>3</v>
      </c>
      <c r="Y569" s="12">
        <v>2</v>
      </c>
      <c r="Z569" s="12" t="s">
        <v>56</v>
      </c>
      <c r="AA569" s="12">
        <v>0</v>
      </c>
      <c r="AB569" s="12">
        <v>1</v>
      </c>
      <c r="AC569" s="12">
        <v>0</v>
      </c>
      <c r="AD569" s="12">
        <v>0</v>
      </c>
      <c r="AE569" s="12">
        <v>0</v>
      </c>
      <c r="AF569" s="12">
        <v>0</v>
      </c>
      <c r="AG569" s="12">
        <v>0</v>
      </c>
      <c r="AH569" s="12">
        <v>0</v>
      </c>
      <c r="AI569" s="12">
        <v>4</v>
      </c>
      <c r="AJ569" s="12" t="s">
        <v>57</v>
      </c>
      <c r="AK569" s="12">
        <v>1</v>
      </c>
      <c r="AL569" s="12">
        <v>0</v>
      </c>
      <c r="AM569" s="12">
        <v>6274</v>
      </c>
      <c r="AN569" s="12">
        <f t="shared" si="122"/>
        <v>6274</v>
      </c>
      <c r="AO569" s="12">
        <v>1</v>
      </c>
      <c r="AP569" s="12" t="s">
        <v>59</v>
      </c>
      <c r="AQ569" s="12">
        <v>0</v>
      </c>
      <c r="AR569" s="12">
        <v>22</v>
      </c>
      <c r="AS569" s="12">
        <v>4</v>
      </c>
      <c r="AT569" s="12">
        <v>3</v>
      </c>
      <c r="AU569" s="12">
        <v>0</v>
      </c>
      <c r="AV569" s="12">
        <v>6</v>
      </c>
      <c r="AW569" s="12">
        <f t="shared" si="123"/>
        <v>6</v>
      </c>
      <c r="AX569" s="12">
        <v>5</v>
      </c>
      <c r="AY569" s="12">
        <v>3</v>
      </c>
      <c r="AZ569" s="12">
        <v>6</v>
      </c>
      <c r="BA569" s="12">
        <f t="shared" si="124"/>
        <v>6</v>
      </c>
      <c r="BB569" s="12">
        <v>5</v>
      </c>
      <c r="BC569" s="12">
        <v>1</v>
      </c>
      <c r="BD569" s="12">
        <f t="shared" si="133"/>
        <v>1</v>
      </c>
      <c r="BE569" s="12">
        <v>4</v>
      </c>
      <c r="BF569" s="12">
        <f t="shared" si="125"/>
        <v>4</v>
      </c>
      <c r="BG569" s="12">
        <f t="shared" si="134"/>
        <v>8</v>
      </c>
      <c r="BH569" s="67">
        <v>1</v>
      </c>
      <c r="BI569" s="67">
        <v>0</v>
      </c>
      <c r="BJ569" s="67">
        <v>0</v>
      </c>
      <c r="BK569" s="67">
        <v>0</v>
      </c>
      <c r="BL569" s="67">
        <v>1</v>
      </c>
      <c r="BM569" s="67">
        <v>0</v>
      </c>
      <c r="BN569" s="67">
        <v>0</v>
      </c>
      <c r="BO569" s="67">
        <v>0</v>
      </c>
      <c r="BP569" s="67">
        <v>0</v>
      </c>
      <c r="BQ569" s="67">
        <v>0</v>
      </c>
      <c r="BR569" s="67">
        <v>4</v>
      </c>
      <c r="BS569" s="67">
        <v>0</v>
      </c>
      <c r="BT569" s="67">
        <v>0</v>
      </c>
      <c r="BU569" s="70">
        <v>6</v>
      </c>
      <c r="BV569" s="29">
        <f t="shared" si="126"/>
        <v>4.8626464316514503E-2</v>
      </c>
      <c r="BW569">
        <f t="shared" si="127"/>
        <v>3.4508002929560584E-2</v>
      </c>
      <c r="BX569">
        <f t="shared" si="128"/>
        <v>0.67854260110508058</v>
      </c>
      <c r="BY569">
        <f t="shared" si="129"/>
        <v>0.16455710867531462</v>
      </c>
      <c r="BZ569">
        <f t="shared" si="130"/>
        <v>0.88721318382472392</v>
      </c>
      <c r="CA569">
        <f t="shared" si="131"/>
        <v>0.32005363845127444</v>
      </c>
      <c r="CB569">
        <f t="shared" si="132"/>
        <v>0.36858985273641137</v>
      </c>
    </row>
    <row r="570" spans="1:80" x14ac:dyDescent="0.45">
      <c r="A570" s="11">
        <v>55</v>
      </c>
      <c r="B570" s="12">
        <f t="shared" si="120"/>
        <v>55</v>
      </c>
      <c r="C570" s="12" t="s">
        <v>52</v>
      </c>
      <c r="D570" s="12">
        <v>1</v>
      </c>
      <c r="E570" s="12" t="s">
        <v>53</v>
      </c>
      <c r="F570" s="12">
        <v>0</v>
      </c>
      <c r="G570" s="12">
        <v>1</v>
      </c>
      <c r="H570" s="12" t="s">
        <v>61</v>
      </c>
      <c r="I570" s="12">
        <v>1</v>
      </c>
      <c r="J570" s="12">
        <v>0</v>
      </c>
      <c r="K570" s="12">
        <v>2</v>
      </c>
      <c r="L570" s="12">
        <f t="shared" si="121"/>
        <v>2</v>
      </c>
      <c r="M570" s="12">
        <v>3</v>
      </c>
      <c r="N570" s="12" t="s">
        <v>70</v>
      </c>
      <c r="O570" s="12">
        <v>0</v>
      </c>
      <c r="P570" s="12">
        <v>0</v>
      </c>
      <c r="Q570" s="12">
        <v>1</v>
      </c>
      <c r="R570" s="12">
        <v>0</v>
      </c>
      <c r="S570" s="12">
        <v>0</v>
      </c>
      <c r="T570" s="12">
        <v>4</v>
      </c>
      <c r="U570" s="12" t="s">
        <v>62</v>
      </c>
      <c r="V570" s="12">
        <v>0</v>
      </c>
      <c r="W570" s="12">
        <v>78</v>
      </c>
      <c r="X570" s="12">
        <v>3</v>
      </c>
      <c r="Y570" s="12">
        <v>5</v>
      </c>
      <c r="Z570" s="12" t="s">
        <v>87</v>
      </c>
      <c r="AA570" s="12">
        <v>0</v>
      </c>
      <c r="AB570" s="12">
        <v>0</v>
      </c>
      <c r="AC570" s="12">
        <v>0</v>
      </c>
      <c r="AD570" s="12">
        <v>1</v>
      </c>
      <c r="AE570" s="12">
        <v>0</v>
      </c>
      <c r="AF570" s="12">
        <v>0</v>
      </c>
      <c r="AG570" s="12">
        <v>0</v>
      </c>
      <c r="AH570" s="12">
        <v>0</v>
      </c>
      <c r="AI570" s="12">
        <v>1</v>
      </c>
      <c r="AJ570" s="12" t="s">
        <v>64</v>
      </c>
      <c r="AK570" s="12">
        <v>0</v>
      </c>
      <c r="AL570" s="12">
        <v>1</v>
      </c>
      <c r="AM570" s="12">
        <v>19859</v>
      </c>
      <c r="AN570" s="12">
        <f t="shared" si="122"/>
        <v>19626.310000000001</v>
      </c>
      <c r="AO570" s="12">
        <v>5</v>
      </c>
      <c r="AP570" s="12" t="s">
        <v>52</v>
      </c>
      <c r="AQ570" s="12">
        <v>1</v>
      </c>
      <c r="AR570" s="12">
        <v>13</v>
      </c>
      <c r="AS570" s="12">
        <v>3</v>
      </c>
      <c r="AT570" s="12">
        <v>4</v>
      </c>
      <c r="AU570" s="12">
        <v>1</v>
      </c>
      <c r="AV570" s="12">
        <v>24</v>
      </c>
      <c r="AW570" s="12">
        <f t="shared" si="123"/>
        <v>24</v>
      </c>
      <c r="AX570" s="12">
        <v>2</v>
      </c>
      <c r="AY570" s="12">
        <v>3</v>
      </c>
      <c r="AZ570" s="12">
        <v>5</v>
      </c>
      <c r="BA570" s="12">
        <f t="shared" si="124"/>
        <v>5</v>
      </c>
      <c r="BB570" s="12">
        <v>2</v>
      </c>
      <c r="BC570" s="12">
        <v>1</v>
      </c>
      <c r="BD570" s="12">
        <f t="shared" si="133"/>
        <v>1</v>
      </c>
      <c r="BE570" s="12">
        <v>4</v>
      </c>
      <c r="BF570" s="12">
        <f t="shared" si="125"/>
        <v>4</v>
      </c>
      <c r="BG570" s="12">
        <f t="shared" si="134"/>
        <v>20</v>
      </c>
      <c r="BH570" s="67">
        <v>0</v>
      </c>
      <c r="BI570" s="67">
        <v>1</v>
      </c>
      <c r="BJ570" s="67">
        <v>0</v>
      </c>
      <c r="BK570" s="67">
        <v>0</v>
      </c>
      <c r="BL570" s="67">
        <v>0</v>
      </c>
      <c r="BM570" s="67">
        <v>0</v>
      </c>
      <c r="BN570" s="67">
        <v>0</v>
      </c>
      <c r="BO570" s="67">
        <v>1</v>
      </c>
      <c r="BP570" s="67">
        <v>0</v>
      </c>
      <c r="BQ570" s="67">
        <v>4</v>
      </c>
      <c r="BR570" s="67">
        <v>0</v>
      </c>
      <c r="BS570" s="67">
        <v>0</v>
      </c>
      <c r="BT570" s="67">
        <v>24</v>
      </c>
      <c r="BU570" s="70">
        <v>0</v>
      </c>
      <c r="BV570" s="29">
        <f t="shared" si="126"/>
        <v>2.8369140420813825</v>
      </c>
      <c r="BW570">
        <f t="shared" si="127"/>
        <v>3.4508002929560584E-2</v>
      </c>
      <c r="BX570">
        <f t="shared" si="128"/>
        <v>1.6348496454147534</v>
      </c>
      <c r="BY570">
        <f t="shared" si="129"/>
        <v>0.32778177112653761</v>
      </c>
      <c r="BZ570">
        <f t="shared" si="130"/>
        <v>0.88721318382472392</v>
      </c>
      <c r="CA570">
        <f t="shared" si="131"/>
        <v>1.9787029504251428</v>
      </c>
      <c r="CB570">
        <f t="shared" si="132"/>
        <v>0.36858985273641137</v>
      </c>
    </row>
    <row r="571" spans="1:80" x14ac:dyDescent="0.45">
      <c r="A571" s="11">
        <v>36</v>
      </c>
      <c r="B571" s="12">
        <f t="shared" si="120"/>
        <v>36</v>
      </c>
      <c r="C571" s="12" t="s">
        <v>59</v>
      </c>
      <c r="D571" s="12">
        <v>0</v>
      </c>
      <c r="E571" s="12" t="s">
        <v>86</v>
      </c>
      <c r="F571" s="12">
        <v>0</v>
      </c>
      <c r="G571" s="12">
        <v>0</v>
      </c>
      <c r="H571" s="12" t="s">
        <v>54</v>
      </c>
      <c r="I571" s="12">
        <v>0</v>
      </c>
      <c r="J571" s="12">
        <v>1</v>
      </c>
      <c r="K571" s="12">
        <v>8</v>
      </c>
      <c r="L571" s="12">
        <f t="shared" si="121"/>
        <v>8</v>
      </c>
      <c r="M571" s="12">
        <v>4</v>
      </c>
      <c r="N571" s="12" t="s">
        <v>55</v>
      </c>
      <c r="O571" s="12">
        <v>1</v>
      </c>
      <c r="P571" s="12">
        <v>0</v>
      </c>
      <c r="Q571" s="12">
        <v>0</v>
      </c>
      <c r="R571" s="12">
        <v>0</v>
      </c>
      <c r="S571" s="12">
        <v>0</v>
      </c>
      <c r="T571" s="12">
        <v>1</v>
      </c>
      <c r="U571" s="12" t="s">
        <v>62</v>
      </c>
      <c r="V571" s="12">
        <v>0</v>
      </c>
      <c r="W571" s="12">
        <v>76</v>
      </c>
      <c r="X571" s="12">
        <v>2</v>
      </c>
      <c r="Y571" s="12">
        <v>3</v>
      </c>
      <c r="Z571" s="12" t="s">
        <v>56</v>
      </c>
      <c r="AA571" s="12">
        <v>0</v>
      </c>
      <c r="AB571" s="12">
        <v>1</v>
      </c>
      <c r="AC571" s="12">
        <v>0</v>
      </c>
      <c r="AD571" s="12">
        <v>0</v>
      </c>
      <c r="AE571" s="12">
        <v>0</v>
      </c>
      <c r="AF571" s="12">
        <v>0</v>
      </c>
      <c r="AG571" s="12">
        <v>0</v>
      </c>
      <c r="AH571" s="12">
        <v>0</v>
      </c>
      <c r="AI571" s="12">
        <v>1</v>
      </c>
      <c r="AJ571" s="12" t="s">
        <v>57</v>
      </c>
      <c r="AK571" s="12">
        <v>1</v>
      </c>
      <c r="AL571" s="12">
        <v>0</v>
      </c>
      <c r="AM571" s="12">
        <v>7587</v>
      </c>
      <c r="AN571" s="12">
        <f t="shared" si="122"/>
        <v>7587</v>
      </c>
      <c r="AO571" s="12">
        <v>1</v>
      </c>
      <c r="AP571" s="12" t="s">
        <v>59</v>
      </c>
      <c r="AQ571" s="12">
        <v>0</v>
      </c>
      <c r="AR571" s="12">
        <v>15</v>
      </c>
      <c r="AS571" s="12">
        <v>3</v>
      </c>
      <c r="AT571" s="12">
        <v>2</v>
      </c>
      <c r="AU571" s="12">
        <v>0</v>
      </c>
      <c r="AV571" s="12">
        <v>10</v>
      </c>
      <c r="AW571" s="12">
        <f t="shared" si="123"/>
        <v>10</v>
      </c>
      <c r="AX571" s="12">
        <v>1</v>
      </c>
      <c r="AY571" s="12">
        <v>3</v>
      </c>
      <c r="AZ571" s="12">
        <v>10</v>
      </c>
      <c r="BA571" s="12">
        <f t="shared" si="124"/>
        <v>10</v>
      </c>
      <c r="BB571" s="12">
        <v>7</v>
      </c>
      <c r="BC571" s="12">
        <v>0</v>
      </c>
      <c r="BD571" s="12">
        <f t="shared" si="133"/>
        <v>0</v>
      </c>
      <c r="BE571" s="12">
        <v>9</v>
      </c>
      <c r="BF571" s="12">
        <f t="shared" si="125"/>
        <v>9</v>
      </c>
      <c r="BG571" s="12">
        <f t="shared" si="134"/>
        <v>27</v>
      </c>
      <c r="BH571" s="67">
        <v>1</v>
      </c>
      <c r="BI571" s="67">
        <v>0</v>
      </c>
      <c r="BJ571" s="67">
        <v>0</v>
      </c>
      <c r="BK571" s="67">
        <v>0</v>
      </c>
      <c r="BL571" s="67">
        <v>1</v>
      </c>
      <c r="BM571" s="67">
        <v>0</v>
      </c>
      <c r="BN571" s="67">
        <v>0</v>
      </c>
      <c r="BO571" s="67">
        <v>0</v>
      </c>
      <c r="BP571" s="67">
        <v>0</v>
      </c>
      <c r="BQ571" s="67">
        <v>0</v>
      </c>
      <c r="BR571" s="67">
        <v>9</v>
      </c>
      <c r="BS571" s="67">
        <v>0</v>
      </c>
      <c r="BT571" s="67">
        <v>0</v>
      </c>
      <c r="BU571" s="70">
        <v>10</v>
      </c>
      <c r="BV571" s="29">
        <f t="shared" si="126"/>
        <v>0.23026309658892818</v>
      </c>
      <c r="BW571">
        <f t="shared" si="127"/>
        <v>1.3667838287404401</v>
      </c>
      <c r="BX571">
        <f t="shared" si="128"/>
        <v>0.1644554352117841</v>
      </c>
      <c r="BY571">
        <f t="shared" si="129"/>
        <v>0.48834154112957734</v>
      </c>
      <c r="BZ571">
        <f t="shared" si="130"/>
        <v>0.14709966057360641</v>
      </c>
      <c r="CA571">
        <f t="shared" si="131"/>
        <v>0.10112443951066327</v>
      </c>
      <c r="CB571">
        <f t="shared" si="132"/>
        <v>0.67891464284095016</v>
      </c>
    </row>
    <row r="572" spans="1:80" x14ac:dyDescent="0.45">
      <c r="A572" s="11">
        <v>52</v>
      </c>
      <c r="B572" s="12">
        <f t="shared" si="120"/>
        <v>52</v>
      </c>
      <c r="C572" s="12" t="s">
        <v>59</v>
      </c>
      <c r="D572" s="12">
        <v>0</v>
      </c>
      <c r="E572" s="12" t="s">
        <v>86</v>
      </c>
      <c r="F572" s="12">
        <v>0</v>
      </c>
      <c r="G572" s="12">
        <v>0</v>
      </c>
      <c r="H572" s="12" t="s">
        <v>61</v>
      </c>
      <c r="I572" s="12">
        <v>1</v>
      </c>
      <c r="J572" s="12">
        <v>0</v>
      </c>
      <c r="K572" s="12">
        <v>19</v>
      </c>
      <c r="L572" s="12">
        <f t="shared" si="121"/>
        <v>19</v>
      </c>
      <c r="M572" s="12">
        <v>4</v>
      </c>
      <c r="N572" s="12" t="s">
        <v>70</v>
      </c>
      <c r="O572" s="12">
        <v>0</v>
      </c>
      <c r="P572" s="12">
        <v>0</v>
      </c>
      <c r="Q572" s="12">
        <v>1</v>
      </c>
      <c r="R572" s="12">
        <v>0</v>
      </c>
      <c r="S572" s="12">
        <v>0</v>
      </c>
      <c r="T572" s="12">
        <v>4</v>
      </c>
      <c r="U572" s="12" t="s">
        <v>62</v>
      </c>
      <c r="V572" s="12">
        <v>0</v>
      </c>
      <c r="W572" s="12">
        <v>41</v>
      </c>
      <c r="X572" s="12">
        <v>3</v>
      </c>
      <c r="Y572" s="12">
        <v>1</v>
      </c>
      <c r="Z572" s="12" t="s">
        <v>63</v>
      </c>
      <c r="AA572" s="12">
        <v>0</v>
      </c>
      <c r="AB572" s="12">
        <v>0</v>
      </c>
      <c r="AC572" s="12">
        <v>0</v>
      </c>
      <c r="AD572" s="12">
        <v>0</v>
      </c>
      <c r="AE572" s="12">
        <v>0</v>
      </c>
      <c r="AF572" s="12">
        <v>0</v>
      </c>
      <c r="AG572" s="12">
        <v>0</v>
      </c>
      <c r="AH572" s="12">
        <v>1</v>
      </c>
      <c r="AI572" s="12">
        <v>4</v>
      </c>
      <c r="AJ572" s="12" t="s">
        <v>64</v>
      </c>
      <c r="AK572" s="12">
        <v>0</v>
      </c>
      <c r="AL572" s="12">
        <v>1</v>
      </c>
      <c r="AM572" s="12">
        <v>4258</v>
      </c>
      <c r="AN572" s="12">
        <f t="shared" si="122"/>
        <v>4258</v>
      </c>
      <c r="AO572" s="12">
        <v>0</v>
      </c>
      <c r="AP572" s="12" t="s">
        <v>59</v>
      </c>
      <c r="AQ572" s="12">
        <v>0</v>
      </c>
      <c r="AR572" s="12">
        <v>18</v>
      </c>
      <c r="AS572" s="12">
        <v>3</v>
      </c>
      <c r="AT572" s="12">
        <v>1</v>
      </c>
      <c r="AU572" s="12">
        <v>1</v>
      </c>
      <c r="AV572" s="12">
        <v>5</v>
      </c>
      <c r="AW572" s="12">
        <f t="shared" si="123"/>
        <v>5</v>
      </c>
      <c r="AX572" s="12">
        <v>3</v>
      </c>
      <c r="AY572" s="12">
        <v>3</v>
      </c>
      <c r="AZ572" s="12">
        <v>4</v>
      </c>
      <c r="BA572" s="12">
        <f t="shared" si="124"/>
        <v>4</v>
      </c>
      <c r="BB572" s="12">
        <v>3</v>
      </c>
      <c r="BC572" s="12">
        <v>1</v>
      </c>
      <c r="BD572" s="12">
        <f t="shared" si="133"/>
        <v>1</v>
      </c>
      <c r="BE572" s="12">
        <v>2</v>
      </c>
      <c r="BF572" s="12">
        <f t="shared" si="125"/>
        <v>2</v>
      </c>
      <c r="BG572" s="12">
        <f t="shared" si="134"/>
        <v>2</v>
      </c>
      <c r="BH572" s="67">
        <v>0</v>
      </c>
      <c r="BI572" s="67">
        <v>1</v>
      </c>
      <c r="BJ572" s="67">
        <v>0</v>
      </c>
      <c r="BK572" s="67">
        <v>0</v>
      </c>
      <c r="BL572" s="67">
        <v>0</v>
      </c>
      <c r="BM572" s="67">
        <v>0</v>
      </c>
      <c r="BN572" s="67">
        <v>1</v>
      </c>
      <c r="BO572" s="67">
        <v>0</v>
      </c>
      <c r="BP572" s="67">
        <v>0</v>
      </c>
      <c r="BQ572" s="67">
        <v>2</v>
      </c>
      <c r="BR572" s="67">
        <v>0</v>
      </c>
      <c r="BS572" s="67">
        <v>0</v>
      </c>
      <c r="BT572" s="67">
        <v>5</v>
      </c>
      <c r="BU572" s="70">
        <v>0</v>
      </c>
      <c r="BV572" s="29">
        <f t="shared" si="126"/>
        <v>0.47683770177681339</v>
      </c>
      <c r="BW572">
        <f t="shared" si="127"/>
        <v>0.59502473559756086</v>
      </c>
      <c r="BX572">
        <f t="shared" si="128"/>
        <v>0.80706439257840468</v>
      </c>
      <c r="BY572">
        <f t="shared" si="129"/>
        <v>0.49100643357776058</v>
      </c>
      <c r="BZ572">
        <f t="shared" si="130"/>
        <v>1.2097751320534422</v>
      </c>
      <c r="CA572">
        <f t="shared" si="131"/>
        <v>1.6503091520142259</v>
      </c>
      <c r="CB572">
        <f t="shared" si="132"/>
        <v>0.36858985273641137</v>
      </c>
    </row>
    <row r="573" spans="1:80" x14ac:dyDescent="0.45">
      <c r="A573" s="11">
        <v>26</v>
      </c>
      <c r="B573" s="12">
        <f t="shared" si="120"/>
        <v>26</v>
      </c>
      <c r="C573" s="12" t="s">
        <v>59</v>
      </c>
      <c r="D573" s="12">
        <v>0</v>
      </c>
      <c r="E573" s="12" t="s">
        <v>60</v>
      </c>
      <c r="F573" s="12">
        <v>1</v>
      </c>
      <c r="G573" s="12">
        <v>0</v>
      </c>
      <c r="H573" s="12" t="s">
        <v>61</v>
      </c>
      <c r="I573" s="12">
        <v>1</v>
      </c>
      <c r="J573" s="12">
        <v>0</v>
      </c>
      <c r="K573" s="12">
        <v>1</v>
      </c>
      <c r="L573" s="12">
        <f t="shared" si="121"/>
        <v>1</v>
      </c>
      <c r="M573" s="12">
        <v>2</v>
      </c>
      <c r="N573" s="12" t="s">
        <v>55</v>
      </c>
      <c r="O573" s="12">
        <v>1</v>
      </c>
      <c r="P573" s="12">
        <v>0</v>
      </c>
      <c r="Q573" s="12">
        <v>0</v>
      </c>
      <c r="R573" s="12">
        <v>0</v>
      </c>
      <c r="S573" s="12">
        <v>0</v>
      </c>
      <c r="T573" s="12">
        <v>1</v>
      </c>
      <c r="U573" s="12" t="s">
        <v>19</v>
      </c>
      <c r="V573" s="12">
        <v>1</v>
      </c>
      <c r="W573" s="12">
        <v>71</v>
      </c>
      <c r="X573" s="12">
        <v>1</v>
      </c>
      <c r="Y573" s="12">
        <v>1</v>
      </c>
      <c r="Z573" s="12" t="s">
        <v>67</v>
      </c>
      <c r="AA573" s="12">
        <v>0</v>
      </c>
      <c r="AB573" s="12">
        <v>0</v>
      </c>
      <c r="AC573" s="12">
        <v>1</v>
      </c>
      <c r="AD573" s="12">
        <v>0</v>
      </c>
      <c r="AE573" s="12">
        <v>0</v>
      </c>
      <c r="AF573" s="12">
        <v>0</v>
      </c>
      <c r="AG573" s="12">
        <v>0</v>
      </c>
      <c r="AH573" s="12">
        <v>0</v>
      </c>
      <c r="AI573" s="12">
        <v>4</v>
      </c>
      <c r="AJ573" s="12" t="s">
        <v>78</v>
      </c>
      <c r="AK573" s="12">
        <v>0</v>
      </c>
      <c r="AL573" s="12">
        <v>0</v>
      </c>
      <c r="AM573" s="12">
        <v>4364</v>
      </c>
      <c r="AN573" s="12">
        <f t="shared" si="122"/>
        <v>4364</v>
      </c>
      <c r="AO573" s="12">
        <v>3</v>
      </c>
      <c r="AP573" s="12" t="s">
        <v>59</v>
      </c>
      <c r="AQ573" s="12">
        <v>0</v>
      </c>
      <c r="AR573" s="12">
        <v>14</v>
      </c>
      <c r="AS573" s="12">
        <v>3</v>
      </c>
      <c r="AT573" s="12">
        <v>1</v>
      </c>
      <c r="AU573" s="12">
        <v>1</v>
      </c>
      <c r="AV573" s="12">
        <v>5</v>
      </c>
      <c r="AW573" s="12">
        <f t="shared" si="123"/>
        <v>5</v>
      </c>
      <c r="AX573" s="12">
        <v>2</v>
      </c>
      <c r="AY573" s="12">
        <v>3</v>
      </c>
      <c r="AZ573" s="12">
        <v>2</v>
      </c>
      <c r="BA573" s="12">
        <f t="shared" si="124"/>
        <v>2</v>
      </c>
      <c r="BB573" s="12">
        <v>2</v>
      </c>
      <c r="BC573" s="12">
        <v>2</v>
      </c>
      <c r="BD573" s="12">
        <f t="shared" si="133"/>
        <v>2</v>
      </c>
      <c r="BE573" s="12">
        <v>0</v>
      </c>
      <c r="BF573" s="12">
        <f t="shared" si="125"/>
        <v>0</v>
      </c>
      <c r="BG573" s="12">
        <f t="shared" si="134"/>
        <v>0</v>
      </c>
      <c r="BH573" s="67">
        <v>0</v>
      </c>
      <c r="BI573" s="67">
        <v>0</v>
      </c>
      <c r="BJ573" s="67">
        <v>1</v>
      </c>
      <c r="BK573" s="67">
        <v>0</v>
      </c>
      <c r="BL573" s="67">
        <v>1</v>
      </c>
      <c r="BM573" s="67">
        <v>0</v>
      </c>
      <c r="BN573" s="67">
        <v>0</v>
      </c>
      <c r="BO573" s="67">
        <v>0</v>
      </c>
      <c r="BP573" s="67">
        <v>0</v>
      </c>
      <c r="BQ573" s="67">
        <v>0</v>
      </c>
      <c r="BR573" s="67">
        <v>0</v>
      </c>
      <c r="BS573" s="67">
        <v>0</v>
      </c>
      <c r="BT573" s="67">
        <v>5</v>
      </c>
      <c r="BU573" s="70">
        <v>0</v>
      </c>
      <c r="BV573" s="29">
        <f t="shared" si="126"/>
        <v>0.45432262679130164</v>
      </c>
      <c r="BW573">
        <f t="shared" si="127"/>
        <v>1.1555414682655611</v>
      </c>
      <c r="BX573">
        <f t="shared" si="128"/>
        <v>0.80706439257840468</v>
      </c>
      <c r="BY573">
        <f t="shared" si="129"/>
        <v>0.81745575848020657</v>
      </c>
      <c r="BZ573">
        <f t="shared" si="130"/>
        <v>1.01056543769991</v>
      </c>
      <c r="CA573">
        <f t="shared" si="131"/>
        <v>1.195770434213719</v>
      </c>
      <c r="CB573">
        <f t="shared" si="132"/>
        <v>5.8265062631872602E-2</v>
      </c>
    </row>
    <row r="574" spans="1:80" x14ac:dyDescent="0.45">
      <c r="A574" s="11">
        <v>29</v>
      </c>
      <c r="B574" s="12">
        <f t="shared" si="120"/>
        <v>29</v>
      </c>
      <c r="C574" s="12" t="s">
        <v>59</v>
      </c>
      <c r="D574" s="12">
        <v>0</v>
      </c>
      <c r="E574" s="12" t="s">
        <v>53</v>
      </c>
      <c r="F574" s="12">
        <v>0</v>
      </c>
      <c r="G574" s="12">
        <v>1</v>
      </c>
      <c r="H574" s="12" t="s">
        <v>61</v>
      </c>
      <c r="I574" s="12">
        <v>1</v>
      </c>
      <c r="J574" s="12">
        <v>0</v>
      </c>
      <c r="K574" s="12">
        <v>27</v>
      </c>
      <c r="L574" s="12">
        <f t="shared" si="121"/>
        <v>27</v>
      </c>
      <c r="M574" s="12">
        <v>3</v>
      </c>
      <c r="N574" s="12" t="s">
        <v>70</v>
      </c>
      <c r="O574" s="12">
        <v>0</v>
      </c>
      <c r="P574" s="12">
        <v>0</v>
      </c>
      <c r="Q574" s="12">
        <v>1</v>
      </c>
      <c r="R574" s="12">
        <v>0</v>
      </c>
      <c r="S574" s="12">
        <v>0</v>
      </c>
      <c r="T574" s="12">
        <v>2</v>
      </c>
      <c r="U574" s="12" t="s">
        <v>19</v>
      </c>
      <c r="V574" s="12">
        <v>1</v>
      </c>
      <c r="W574" s="12">
        <v>66</v>
      </c>
      <c r="X574" s="12">
        <v>3</v>
      </c>
      <c r="Y574" s="12">
        <v>2</v>
      </c>
      <c r="Z574" s="12" t="s">
        <v>85</v>
      </c>
      <c r="AA574" s="12">
        <v>1</v>
      </c>
      <c r="AB574" s="12">
        <v>0</v>
      </c>
      <c r="AC574" s="12">
        <v>0</v>
      </c>
      <c r="AD574" s="12">
        <v>0</v>
      </c>
      <c r="AE574" s="12">
        <v>0</v>
      </c>
      <c r="AF574" s="12">
        <v>0</v>
      </c>
      <c r="AG574" s="12">
        <v>0</v>
      </c>
      <c r="AH574" s="12">
        <v>0</v>
      </c>
      <c r="AI574" s="12">
        <v>3</v>
      </c>
      <c r="AJ574" s="12" t="s">
        <v>64</v>
      </c>
      <c r="AK574" s="12">
        <v>0</v>
      </c>
      <c r="AL574" s="12">
        <v>1</v>
      </c>
      <c r="AM574" s="12">
        <v>4335</v>
      </c>
      <c r="AN574" s="12">
        <f t="shared" si="122"/>
        <v>4335</v>
      </c>
      <c r="AO574" s="12">
        <v>4</v>
      </c>
      <c r="AP574" s="12" t="s">
        <v>59</v>
      </c>
      <c r="AQ574" s="12">
        <v>0</v>
      </c>
      <c r="AR574" s="12">
        <v>12</v>
      </c>
      <c r="AS574" s="12">
        <v>3</v>
      </c>
      <c r="AT574" s="12">
        <v>1</v>
      </c>
      <c r="AU574" s="12">
        <v>1</v>
      </c>
      <c r="AV574" s="12">
        <v>11</v>
      </c>
      <c r="AW574" s="12">
        <f t="shared" si="123"/>
        <v>11</v>
      </c>
      <c r="AX574" s="12">
        <v>3</v>
      </c>
      <c r="AY574" s="12">
        <v>2</v>
      </c>
      <c r="AZ574" s="12">
        <v>8</v>
      </c>
      <c r="BA574" s="12">
        <f t="shared" si="124"/>
        <v>8</v>
      </c>
      <c r="BB574" s="12">
        <v>7</v>
      </c>
      <c r="BC574" s="12">
        <v>1</v>
      </c>
      <c r="BD574" s="12">
        <f t="shared" si="133"/>
        <v>1</v>
      </c>
      <c r="BE574" s="12">
        <v>1</v>
      </c>
      <c r="BF574" s="12">
        <f t="shared" si="125"/>
        <v>1</v>
      </c>
      <c r="BG574" s="12">
        <f t="shared" si="134"/>
        <v>2</v>
      </c>
      <c r="BH574" s="67">
        <v>0</v>
      </c>
      <c r="BI574" s="67">
        <v>1</v>
      </c>
      <c r="BJ574" s="67">
        <v>0</v>
      </c>
      <c r="BK574" s="67">
        <v>0</v>
      </c>
      <c r="BL574" s="67">
        <v>0</v>
      </c>
      <c r="BM574" s="67">
        <v>0</v>
      </c>
      <c r="BN574" s="67">
        <v>1</v>
      </c>
      <c r="BO574" s="67">
        <v>0</v>
      </c>
      <c r="BP574" s="67">
        <v>0</v>
      </c>
      <c r="BQ574" s="67">
        <v>1</v>
      </c>
      <c r="BR574" s="67">
        <v>0</v>
      </c>
      <c r="BS574" s="67">
        <v>0</v>
      </c>
      <c r="BT574" s="67">
        <v>11</v>
      </c>
      <c r="BU574" s="70">
        <v>0</v>
      </c>
      <c r="BV574" s="29">
        <f t="shared" si="126"/>
        <v>0.46048241145714919</v>
      </c>
      <c r="BW574">
        <f t="shared" si="127"/>
        <v>0.87528310193156111</v>
      </c>
      <c r="BX574">
        <f t="shared" si="128"/>
        <v>3.593364373846001E-2</v>
      </c>
      <c r="BY574">
        <f t="shared" si="129"/>
        <v>0.16189221622713135</v>
      </c>
      <c r="BZ574">
        <f t="shared" si="130"/>
        <v>2.1965931630549322</v>
      </c>
      <c r="CA574">
        <f t="shared" si="131"/>
        <v>0.86737663580280233</v>
      </c>
      <c r="CB574">
        <f t="shared" si="132"/>
        <v>0.36858985273641137</v>
      </c>
    </row>
    <row r="575" spans="1:80" x14ac:dyDescent="0.45">
      <c r="A575" s="11">
        <v>26</v>
      </c>
      <c r="B575" s="12">
        <f t="shared" si="120"/>
        <v>26</v>
      </c>
      <c r="C575" s="12" t="s">
        <v>52</v>
      </c>
      <c r="D575" s="12">
        <v>1</v>
      </c>
      <c r="E575" s="12" t="s">
        <v>53</v>
      </c>
      <c r="F575" s="12">
        <v>0</v>
      </c>
      <c r="G575" s="12">
        <v>1</v>
      </c>
      <c r="H575" s="12" t="s">
        <v>54</v>
      </c>
      <c r="I575" s="12">
        <v>0</v>
      </c>
      <c r="J575" s="12">
        <v>1</v>
      </c>
      <c r="K575" s="12">
        <v>8</v>
      </c>
      <c r="L575" s="12">
        <f t="shared" si="121"/>
        <v>8</v>
      </c>
      <c r="M575" s="12">
        <v>3</v>
      </c>
      <c r="N575" s="12" t="s">
        <v>91</v>
      </c>
      <c r="O575" s="12">
        <v>0</v>
      </c>
      <c r="P575" s="12">
        <v>0</v>
      </c>
      <c r="Q575" s="12">
        <v>0</v>
      </c>
      <c r="R575" s="12">
        <v>0</v>
      </c>
      <c r="S575" s="12">
        <v>1</v>
      </c>
      <c r="T575" s="12">
        <v>4</v>
      </c>
      <c r="U575" s="12" t="s">
        <v>62</v>
      </c>
      <c r="V575" s="12">
        <v>0</v>
      </c>
      <c r="W575" s="12">
        <v>38</v>
      </c>
      <c r="X575" s="12">
        <v>2</v>
      </c>
      <c r="Y575" s="12">
        <v>2</v>
      </c>
      <c r="Z575" s="12" t="s">
        <v>56</v>
      </c>
      <c r="AA575" s="12">
        <v>0</v>
      </c>
      <c r="AB575" s="12">
        <v>1</v>
      </c>
      <c r="AC575" s="12">
        <v>0</v>
      </c>
      <c r="AD575" s="12">
        <v>0</v>
      </c>
      <c r="AE575" s="12">
        <v>0</v>
      </c>
      <c r="AF575" s="12">
        <v>0</v>
      </c>
      <c r="AG575" s="12">
        <v>0</v>
      </c>
      <c r="AH575" s="12">
        <v>0</v>
      </c>
      <c r="AI575" s="12">
        <v>1</v>
      </c>
      <c r="AJ575" s="12" t="s">
        <v>57</v>
      </c>
      <c r="AK575" s="12">
        <v>1</v>
      </c>
      <c r="AL575" s="12">
        <v>0</v>
      </c>
      <c r="AM575" s="12">
        <v>5326</v>
      </c>
      <c r="AN575" s="12">
        <f t="shared" si="122"/>
        <v>5326</v>
      </c>
      <c r="AO575" s="12">
        <v>6</v>
      </c>
      <c r="AP575" s="12" t="s">
        <v>59</v>
      </c>
      <c r="AQ575" s="12">
        <v>0</v>
      </c>
      <c r="AR575" s="12">
        <v>17</v>
      </c>
      <c r="AS575" s="12">
        <v>3</v>
      </c>
      <c r="AT575" s="12">
        <v>3</v>
      </c>
      <c r="AU575" s="12">
        <v>0</v>
      </c>
      <c r="AV575" s="12">
        <v>6</v>
      </c>
      <c r="AW575" s="12">
        <f t="shared" si="123"/>
        <v>6</v>
      </c>
      <c r="AX575" s="12">
        <v>2</v>
      </c>
      <c r="AY575" s="12">
        <v>2</v>
      </c>
      <c r="AZ575" s="12">
        <v>4</v>
      </c>
      <c r="BA575" s="12">
        <f t="shared" si="124"/>
        <v>4</v>
      </c>
      <c r="BB575" s="12">
        <v>3</v>
      </c>
      <c r="BC575" s="12">
        <v>1</v>
      </c>
      <c r="BD575" s="12">
        <f t="shared" si="133"/>
        <v>1</v>
      </c>
      <c r="BE575" s="12">
        <v>2</v>
      </c>
      <c r="BF575" s="12">
        <f t="shared" si="125"/>
        <v>2</v>
      </c>
      <c r="BG575" s="12">
        <f t="shared" si="134"/>
        <v>4</v>
      </c>
      <c r="BH575" s="67">
        <v>1</v>
      </c>
      <c r="BI575" s="67">
        <v>0</v>
      </c>
      <c r="BJ575" s="67">
        <v>0</v>
      </c>
      <c r="BK575" s="67">
        <v>0</v>
      </c>
      <c r="BL575" s="67">
        <v>1</v>
      </c>
      <c r="BM575" s="67">
        <v>0</v>
      </c>
      <c r="BN575" s="67">
        <v>0</v>
      </c>
      <c r="BO575" s="67">
        <v>0</v>
      </c>
      <c r="BP575" s="67">
        <v>0</v>
      </c>
      <c r="BQ575" s="67">
        <v>0</v>
      </c>
      <c r="BR575" s="67">
        <v>2</v>
      </c>
      <c r="BS575" s="67">
        <v>0</v>
      </c>
      <c r="BT575" s="67">
        <v>0</v>
      </c>
      <c r="BU575" s="70">
        <v>6</v>
      </c>
      <c r="BV575" s="29">
        <f t="shared" si="126"/>
        <v>0.24998770097939316</v>
      </c>
      <c r="BW575">
        <f t="shared" si="127"/>
        <v>0.59502473559756086</v>
      </c>
      <c r="BX575">
        <f t="shared" si="128"/>
        <v>0.67854260110508058</v>
      </c>
      <c r="BY575">
        <f t="shared" si="129"/>
        <v>0.49100643357776058</v>
      </c>
      <c r="BZ575">
        <f t="shared" si="130"/>
        <v>0.14709966057360641</v>
      </c>
      <c r="CA575">
        <f t="shared" si="131"/>
        <v>1.195770434213719</v>
      </c>
      <c r="CB575">
        <f t="shared" si="132"/>
        <v>0.36858985273641137</v>
      </c>
    </row>
    <row r="576" spans="1:80" x14ac:dyDescent="0.45">
      <c r="A576" s="11">
        <v>34</v>
      </c>
      <c r="B576" s="12">
        <f t="shared" si="120"/>
        <v>34</v>
      </c>
      <c r="C576" s="12" t="s">
        <v>59</v>
      </c>
      <c r="D576" s="12">
        <v>0</v>
      </c>
      <c r="E576" s="12" t="s">
        <v>53</v>
      </c>
      <c r="F576" s="12">
        <v>0</v>
      </c>
      <c r="G576" s="12">
        <v>1</v>
      </c>
      <c r="H576" s="12" t="s">
        <v>61</v>
      </c>
      <c r="I576" s="12">
        <v>1</v>
      </c>
      <c r="J576" s="12">
        <v>0</v>
      </c>
      <c r="K576" s="12">
        <v>1</v>
      </c>
      <c r="L576" s="12">
        <f t="shared" si="121"/>
        <v>1</v>
      </c>
      <c r="M576" s="12">
        <v>4</v>
      </c>
      <c r="N576" s="12" t="s">
        <v>55</v>
      </c>
      <c r="O576" s="12">
        <v>1</v>
      </c>
      <c r="P576" s="12">
        <v>0</v>
      </c>
      <c r="Q576" s="12">
        <v>0</v>
      </c>
      <c r="R576" s="12">
        <v>0</v>
      </c>
      <c r="S576" s="12">
        <v>0</v>
      </c>
      <c r="T576" s="12">
        <v>2</v>
      </c>
      <c r="U576" s="12" t="s">
        <v>19</v>
      </c>
      <c r="V576" s="12">
        <v>1</v>
      </c>
      <c r="W576" s="12">
        <v>72</v>
      </c>
      <c r="X576" s="12">
        <v>4</v>
      </c>
      <c r="Y576" s="12">
        <v>1</v>
      </c>
      <c r="Z576" s="12" t="s">
        <v>63</v>
      </c>
      <c r="AA576" s="12">
        <v>0</v>
      </c>
      <c r="AB576" s="12">
        <v>0</v>
      </c>
      <c r="AC576" s="12">
        <v>0</v>
      </c>
      <c r="AD576" s="12">
        <v>0</v>
      </c>
      <c r="AE576" s="12">
        <v>0</v>
      </c>
      <c r="AF576" s="12">
        <v>0</v>
      </c>
      <c r="AG576" s="12">
        <v>0</v>
      </c>
      <c r="AH576" s="12">
        <v>1</v>
      </c>
      <c r="AI576" s="12">
        <v>4</v>
      </c>
      <c r="AJ576" s="12" t="s">
        <v>57</v>
      </c>
      <c r="AK576" s="12">
        <v>1</v>
      </c>
      <c r="AL576" s="12">
        <v>0</v>
      </c>
      <c r="AM576" s="12">
        <v>3280</v>
      </c>
      <c r="AN576" s="12">
        <f t="shared" si="122"/>
        <v>3280</v>
      </c>
      <c r="AO576" s="12">
        <v>2</v>
      </c>
      <c r="AP576" s="12" t="s">
        <v>59</v>
      </c>
      <c r="AQ576" s="12">
        <v>0</v>
      </c>
      <c r="AR576" s="12">
        <v>16</v>
      </c>
      <c r="AS576" s="12">
        <v>3</v>
      </c>
      <c r="AT576" s="12">
        <v>3</v>
      </c>
      <c r="AU576" s="12">
        <v>0</v>
      </c>
      <c r="AV576" s="12">
        <v>10</v>
      </c>
      <c r="AW576" s="12">
        <f t="shared" si="123"/>
        <v>10</v>
      </c>
      <c r="AX576" s="12">
        <v>2</v>
      </c>
      <c r="AY576" s="12">
        <v>3</v>
      </c>
      <c r="AZ576" s="12">
        <v>4</v>
      </c>
      <c r="BA576" s="12">
        <f t="shared" si="124"/>
        <v>4</v>
      </c>
      <c r="BB576" s="12">
        <v>2</v>
      </c>
      <c r="BC576" s="12">
        <v>1</v>
      </c>
      <c r="BD576" s="12">
        <f t="shared" si="133"/>
        <v>1</v>
      </c>
      <c r="BE576" s="12">
        <v>3</v>
      </c>
      <c r="BF576" s="12">
        <f t="shared" si="125"/>
        <v>3</v>
      </c>
      <c r="BG576" s="12">
        <f t="shared" si="134"/>
        <v>3</v>
      </c>
      <c r="BH576" s="67">
        <v>1</v>
      </c>
      <c r="BI576" s="67">
        <v>0</v>
      </c>
      <c r="BJ576" s="67">
        <v>0</v>
      </c>
      <c r="BK576" s="67">
        <v>0</v>
      </c>
      <c r="BL576" s="67">
        <v>1</v>
      </c>
      <c r="BM576" s="67">
        <v>0</v>
      </c>
      <c r="BN576" s="67">
        <v>0</v>
      </c>
      <c r="BO576" s="67">
        <v>0</v>
      </c>
      <c r="BP576" s="67">
        <v>0</v>
      </c>
      <c r="BQ576" s="67">
        <v>3</v>
      </c>
      <c r="BR576" s="67">
        <v>0</v>
      </c>
      <c r="BS576" s="67">
        <v>0</v>
      </c>
      <c r="BT576" s="67">
        <v>10</v>
      </c>
      <c r="BU576" s="70">
        <v>0</v>
      </c>
      <c r="BV576" s="29">
        <f t="shared" si="126"/>
        <v>0.68457112947332743</v>
      </c>
      <c r="BW576">
        <f t="shared" si="127"/>
        <v>0.31476636926356072</v>
      </c>
      <c r="BX576">
        <f t="shared" si="128"/>
        <v>0.1644554352117841</v>
      </c>
      <c r="BY576">
        <f t="shared" si="129"/>
        <v>0.49100643357776058</v>
      </c>
      <c r="BZ576">
        <f t="shared" si="130"/>
        <v>1.01056543769991</v>
      </c>
      <c r="CA576">
        <f t="shared" si="131"/>
        <v>0.32005363845127444</v>
      </c>
      <c r="CB576">
        <f t="shared" si="132"/>
        <v>0.36858985273641137</v>
      </c>
    </row>
    <row r="577" spans="1:80" x14ac:dyDescent="0.45">
      <c r="A577" s="11">
        <v>54</v>
      </c>
      <c r="B577" s="12">
        <f t="shared" si="120"/>
        <v>54</v>
      </c>
      <c r="C577" s="12" t="s">
        <v>59</v>
      </c>
      <c r="D577" s="12">
        <v>0</v>
      </c>
      <c r="E577" s="12" t="s">
        <v>53</v>
      </c>
      <c r="F577" s="12">
        <v>0</v>
      </c>
      <c r="G577" s="12">
        <v>1</v>
      </c>
      <c r="H577" s="12" t="s">
        <v>61</v>
      </c>
      <c r="I577" s="12">
        <v>1</v>
      </c>
      <c r="J577" s="12">
        <v>0</v>
      </c>
      <c r="K577" s="12">
        <v>19</v>
      </c>
      <c r="L577" s="12">
        <f t="shared" si="121"/>
        <v>19</v>
      </c>
      <c r="M577" s="12">
        <v>4</v>
      </c>
      <c r="N577" s="12" t="s">
        <v>70</v>
      </c>
      <c r="O577" s="12">
        <v>0</v>
      </c>
      <c r="P577" s="12">
        <v>0</v>
      </c>
      <c r="Q577" s="12">
        <v>1</v>
      </c>
      <c r="R577" s="12">
        <v>0</v>
      </c>
      <c r="S577" s="12">
        <v>0</v>
      </c>
      <c r="T577" s="12">
        <v>4</v>
      </c>
      <c r="U577" s="12" t="s">
        <v>19</v>
      </c>
      <c r="V577" s="12">
        <v>1</v>
      </c>
      <c r="W577" s="12">
        <v>95</v>
      </c>
      <c r="X577" s="12">
        <v>3</v>
      </c>
      <c r="Y577" s="12">
        <v>2</v>
      </c>
      <c r="Z577" s="12" t="s">
        <v>83</v>
      </c>
      <c r="AA577" s="12">
        <v>0</v>
      </c>
      <c r="AB577" s="12">
        <v>0</v>
      </c>
      <c r="AC577" s="12">
        <v>0</v>
      </c>
      <c r="AD577" s="12">
        <v>0</v>
      </c>
      <c r="AE577" s="12">
        <v>1</v>
      </c>
      <c r="AF577" s="12">
        <v>1</v>
      </c>
      <c r="AG577" s="12">
        <v>0</v>
      </c>
      <c r="AH577" s="12">
        <v>0</v>
      </c>
      <c r="AI577" s="12">
        <v>1</v>
      </c>
      <c r="AJ577" s="12" t="s">
        <v>78</v>
      </c>
      <c r="AK577" s="12">
        <v>0</v>
      </c>
      <c r="AL577" s="12">
        <v>0</v>
      </c>
      <c r="AM577" s="12">
        <v>5485</v>
      </c>
      <c r="AN577" s="12">
        <f t="shared" si="122"/>
        <v>5485</v>
      </c>
      <c r="AO577" s="12">
        <v>9</v>
      </c>
      <c r="AP577" s="12" t="s">
        <v>52</v>
      </c>
      <c r="AQ577" s="12">
        <v>1</v>
      </c>
      <c r="AR577" s="12">
        <v>11</v>
      </c>
      <c r="AS577" s="12">
        <v>3</v>
      </c>
      <c r="AT577" s="12">
        <v>2</v>
      </c>
      <c r="AU577" s="12">
        <v>2</v>
      </c>
      <c r="AV577" s="12">
        <v>9</v>
      </c>
      <c r="AW577" s="12">
        <f t="shared" si="123"/>
        <v>9</v>
      </c>
      <c r="AX577" s="12">
        <v>4</v>
      </c>
      <c r="AY577" s="12">
        <v>3</v>
      </c>
      <c r="AZ577" s="12">
        <v>5</v>
      </c>
      <c r="BA577" s="12">
        <f t="shared" si="124"/>
        <v>5</v>
      </c>
      <c r="BB577" s="12">
        <v>3</v>
      </c>
      <c r="BC577" s="12">
        <v>1</v>
      </c>
      <c r="BD577" s="12">
        <f t="shared" si="133"/>
        <v>1</v>
      </c>
      <c r="BE577" s="12">
        <v>4</v>
      </c>
      <c r="BF577" s="12">
        <f t="shared" si="125"/>
        <v>4</v>
      </c>
      <c r="BG577" s="12">
        <f t="shared" si="134"/>
        <v>8</v>
      </c>
      <c r="BH577" s="67">
        <v>1</v>
      </c>
      <c r="BI577" s="67">
        <v>0</v>
      </c>
      <c r="BJ577" s="67">
        <v>0</v>
      </c>
      <c r="BK577" s="67">
        <v>0</v>
      </c>
      <c r="BL577" s="67">
        <v>0</v>
      </c>
      <c r="BM577" s="67">
        <v>1</v>
      </c>
      <c r="BN577" s="67">
        <v>0</v>
      </c>
      <c r="BO577" s="67">
        <v>0</v>
      </c>
      <c r="BP577" s="67">
        <v>0</v>
      </c>
      <c r="BQ577" s="67">
        <v>4</v>
      </c>
      <c r="BR577" s="67">
        <v>0</v>
      </c>
      <c r="BS577" s="67">
        <v>0</v>
      </c>
      <c r="BT577" s="67">
        <v>9</v>
      </c>
      <c r="BU577" s="70">
        <v>0</v>
      </c>
      <c r="BV577" s="29">
        <f t="shared" si="126"/>
        <v>0.21621508850112553</v>
      </c>
      <c r="BW577">
        <f t="shared" si="127"/>
        <v>3.4508002929560584E-2</v>
      </c>
      <c r="BX577">
        <f t="shared" si="128"/>
        <v>0.29297722668510823</v>
      </c>
      <c r="BY577">
        <f t="shared" si="129"/>
        <v>0.32778177112653761</v>
      </c>
      <c r="BZ577">
        <f t="shared" si="130"/>
        <v>1.2097751320534422</v>
      </c>
      <c r="CA577">
        <f t="shared" si="131"/>
        <v>1.8692383509548371</v>
      </c>
      <c r="CB577">
        <f t="shared" si="132"/>
        <v>0.36858985273641137</v>
      </c>
    </row>
    <row r="578" spans="1:80" x14ac:dyDescent="0.45">
      <c r="A578" s="11">
        <v>27</v>
      </c>
      <c r="B578" s="12">
        <f t="shared" ref="B578:B641" si="135">IF(A578&gt;$CD$29,$CD$29,IF(A578&lt;$CD$30,$CD$30,A578))</f>
        <v>27</v>
      </c>
      <c r="C578" s="12" t="s">
        <v>59</v>
      </c>
      <c r="D578" s="12">
        <v>0</v>
      </c>
      <c r="E578" s="12" t="s">
        <v>60</v>
      </c>
      <c r="F578" s="12">
        <v>1</v>
      </c>
      <c r="G578" s="12">
        <v>0</v>
      </c>
      <c r="H578" s="12" t="s">
        <v>54</v>
      </c>
      <c r="I578" s="12">
        <v>0</v>
      </c>
      <c r="J578" s="12">
        <v>1</v>
      </c>
      <c r="K578" s="12">
        <v>8</v>
      </c>
      <c r="L578" s="12">
        <f t="shared" ref="L578:L641" si="136">IF(K578&gt;$CD$25,$CD$25,IF(K578&lt;$CD$26,$CD$26,K578))</f>
        <v>8</v>
      </c>
      <c r="M578" s="12">
        <v>1</v>
      </c>
      <c r="N578" s="12" t="s">
        <v>90</v>
      </c>
      <c r="O578" s="12">
        <v>0</v>
      </c>
      <c r="P578" s="12">
        <v>0</v>
      </c>
      <c r="Q578" s="12">
        <v>0</v>
      </c>
      <c r="R578" s="12">
        <v>1</v>
      </c>
      <c r="S578" s="12">
        <v>0</v>
      </c>
      <c r="T578" s="12">
        <v>3</v>
      </c>
      <c r="U578" s="12" t="s">
        <v>62</v>
      </c>
      <c r="V578" s="12">
        <v>0</v>
      </c>
      <c r="W578" s="12">
        <v>84</v>
      </c>
      <c r="X578" s="12">
        <v>3</v>
      </c>
      <c r="Y578" s="12">
        <v>2</v>
      </c>
      <c r="Z578" s="12" t="s">
        <v>56</v>
      </c>
      <c r="AA578" s="12">
        <v>0</v>
      </c>
      <c r="AB578" s="12">
        <v>1</v>
      </c>
      <c r="AC578" s="12">
        <v>0</v>
      </c>
      <c r="AD578" s="12">
        <v>0</v>
      </c>
      <c r="AE578" s="12">
        <v>0</v>
      </c>
      <c r="AF578" s="12">
        <v>0</v>
      </c>
      <c r="AG578" s="12">
        <v>0</v>
      </c>
      <c r="AH578" s="12">
        <v>0</v>
      </c>
      <c r="AI578" s="12">
        <v>4</v>
      </c>
      <c r="AJ578" s="12" t="s">
        <v>64</v>
      </c>
      <c r="AK578" s="12">
        <v>0</v>
      </c>
      <c r="AL578" s="12">
        <v>1</v>
      </c>
      <c r="AM578" s="12">
        <v>4342</v>
      </c>
      <c r="AN578" s="12">
        <f t="shared" ref="AN578:AN641" si="137">IF(AM578&gt;$CD$8,$CD$8,IF(AM578&lt;$CD$9,$CD$9,AM578))</f>
        <v>4342</v>
      </c>
      <c r="AO578" s="12">
        <v>0</v>
      </c>
      <c r="AP578" s="12" t="s">
        <v>59</v>
      </c>
      <c r="AQ578" s="12">
        <v>0</v>
      </c>
      <c r="AR578" s="12">
        <v>19</v>
      </c>
      <c r="AS578" s="12">
        <v>3</v>
      </c>
      <c r="AT578" s="12">
        <v>2</v>
      </c>
      <c r="AU578" s="12">
        <v>1</v>
      </c>
      <c r="AV578" s="12">
        <v>5</v>
      </c>
      <c r="AW578" s="12">
        <f t="shared" ref="AW578:AW641" si="138">IF(AV578&gt;$CD$17,$CD$17,IF(AV578&lt;$CD$18,$CD$18,AV578))</f>
        <v>5</v>
      </c>
      <c r="AX578" s="12">
        <v>3</v>
      </c>
      <c r="AY578" s="12">
        <v>3</v>
      </c>
      <c r="AZ578" s="12">
        <v>4</v>
      </c>
      <c r="BA578" s="12">
        <f t="shared" ref="BA578:BA641" si="139">IF(AZ578&gt; $CD$21,$CD$21,IF(AZ578&lt;$CD$22,$CD$22,AZ578))</f>
        <v>4</v>
      </c>
      <c r="BB578" s="12">
        <v>2</v>
      </c>
      <c r="BC578" s="12">
        <v>1</v>
      </c>
      <c r="BD578" s="12">
        <f t="shared" si="133"/>
        <v>1</v>
      </c>
      <c r="BE578" s="12">
        <v>1</v>
      </c>
      <c r="BF578" s="12">
        <f t="shared" ref="BF578:BF641" si="140">IF(BE578&gt;$CD$12,$CD$12,IF(BE578&lt;$CD$13,$CD$13,BE578))</f>
        <v>1</v>
      </c>
      <c r="BG578" s="12">
        <f t="shared" si="134"/>
        <v>2</v>
      </c>
      <c r="BH578" s="67">
        <v>0</v>
      </c>
      <c r="BI578" s="67">
        <v>0</v>
      </c>
      <c r="BJ578" s="67">
        <v>0</v>
      </c>
      <c r="BK578" s="67">
        <v>1</v>
      </c>
      <c r="BL578" s="67">
        <v>0</v>
      </c>
      <c r="BM578" s="67">
        <v>0</v>
      </c>
      <c r="BN578" s="67">
        <v>1</v>
      </c>
      <c r="BO578" s="67">
        <v>0</v>
      </c>
      <c r="BP578" s="67">
        <v>0</v>
      </c>
      <c r="BQ578" s="67">
        <v>0</v>
      </c>
      <c r="BR578" s="67">
        <v>1</v>
      </c>
      <c r="BS578" s="67">
        <v>0</v>
      </c>
      <c r="BT578" s="67">
        <v>0</v>
      </c>
      <c r="BU578" s="70">
        <v>5</v>
      </c>
      <c r="BV578" s="29">
        <f t="shared" ref="BV578:BV641" si="141">ABS((AM578-AVERAGE(AM:AM))/_xlfn.STDEV.S(AM:AM))</f>
        <v>0.45899556688263426</v>
      </c>
      <c r="BW578">
        <f t="shared" ref="BW578:BW641" si="142">ABS((BE578-AVERAGE(BE:BE))/_xlfn.STDEV.S(BE:BE))</f>
        <v>0.87528310193156111</v>
      </c>
      <c r="BX578">
        <f t="shared" ref="BX578:BX641" si="143">ABS((AV578-AVERAGE(AV:AV))/_xlfn.STDEV.S(AV:AV))</f>
        <v>0.80706439257840468</v>
      </c>
      <c r="BY578">
        <f t="shared" ref="BY578:BY641" si="144">ABS((AZ578-AVERAGE(AZ:AZ))/_xlfn.STDEV.S(AZ:AZ))</f>
        <v>0.49100643357776058</v>
      </c>
      <c r="BZ578">
        <f t="shared" ref="BZ578:BZ641" si="145">ABS((K578-AVERAGE(K:K))/_xlfn.STDEV.S(K:K))</f>
        <v>0.14709966057360641</v>
      </c>
      <c r="CA578">
        <f t="shared" ref="CA578:CA641" si="146">ABS((A578-AVERAGE(A:A))/_xlfn.STDEV.S(A:A))</f>
        <v>1.0863058347434136</v>
      </c>
      <c r="CB578">
        <f t="shared" ref="CB578:CB641" si="147">ABS((BC578-AVERAGE(BC:BC))/_xlfn.STDEV.S(BC:BC))</f>
        <v>0.36858985273641137</v>
      </c>
    </row>
    <row r="579" spans="1:80" x14ac:dyDescent="0.45">
      <c r="A579" s="11">
        <v>37</v>
      </c>
      <c r="B579" s="12">
        <f t="shared" si="135"/>
        <v>37</v>
      </c>
      <c r="C579" s="12" t="s">
        <v>59</v>
      </c>
      <c r="D579" s="12">
        <v>0</v>
      </c>
      <c r="E579" s="12" t="s">
        <v>53</v>
      </c>
      <c r="F579" s="12">
        <v>0</v>
      </c>
      <c r="G579" s="12">
        <v>1</v>
      </c>
      <c r="H579" s="12" t="s">
        <v>61</v>
      </c>
      <c r="I579" s="12">
        <v>1</v>
      </c>
      <c r="J579" s="12">
        <v>0</v>
      </c>
      <c r="K579" s="12">
        <v>10</v>
      </c>
      <c r="L579" s="12">
        <f t="shared" si="136"/>
        <v>10</v>
      </c>
      <c r="M579" s="12">
        <v>1</v>
      </c>
      <c r="N579" s="12" t="s">
        <v>55</v>
      </c>
      <c r="O579" s="12">
        <v>1</v>
      </c>
      <c r="P579" s="12">
        <v>0</v>
      </c>
      <c r="Q579" s="12">
        <v>0</v>
      </c>
      <c r="R579" s="12">
        <v>0</v>
      </c>
      <c r="S579" s="12">
        <v>0</v>
      </c>
      <c r="T579" s="12">
        <v>4</v>
      </c>
      <c r="U579" s="12" t="s">
        <v>19</v>
      </c>
      <c r="V579" s="12">
        <v>1</v>
      </c>
      <c r="W579" s="12">
        <v>82</v>
      </c>
      <c r="X579" s="12">
        <v>3</v>
      </c>
      <c r="Y579" s="12">
        <v>1</v>
      </c>
      <c r="Z579" s="12" t="s">
        <v>63</v>
      </c>
      <c r="AA579" s="12">
        <v>0</v>
      </c>
      <c r="AB579" s="12">
        <v>0</v>
      </c>
      <c r="AC579" s="12">
        <v>0</v>
      </c>
      <c r="AD579" s="12">
        <v>0</v>
      </c>
      <c r="AE579" s="12">
        <v>0</v>
      </c>
      <c r="AF579" s="12">
        <v>0</v>
      </c>
      <c r="AG579" s="12">
        <v>0</v>
      </c>
      <c r="AH579" s="12">
        <v>1</v>
      </c>
      <c r="AI579" s="12">
        <v>1</v>
      </c>
      <c r="AJ579" s="12" t="s">
        <v>78</v>
      </c>
      <c r="AK579" s="12">
        <v>0</v>
      </c>
      <c r="AL579" s="12">
        <v>0</v>
      </c>
      <c r="AM579" s="12">
        <v>2782</v>
      </c>
      <c r="AN579" s="12">
        <f t="shared" si="137"/>
        <v>2782</v>
      </c>
      <c r="AO579" s="12">
        <v>0</v>
      </c>
      <c r="AP579" s="12" t="s">
        <v>52</v>
      </c>
      <c r="AQ579" s="12">
        <v>1</v>
      </c>
      <c r="AR579" s="12">
        <v>13</v>
      </c>
      <c r="AS579" s="12">
        <v>3</v>
      </c>
      <c r="AT579" s="12">
        <v>2</v>
      </c>
      <c r="AU579" s="12">
        <v>2</v>
      </c>
      <c r="AV579" s="12">
        <v>6</v>
      </c>
      <c r="AW579" s="12">
        <f t="shared" si="138"/>
        <v>6</v>
      </c>
      <c r="AX579" s="12">
        <v>3</v>
      </c>
      <c r="AY579" s="12">
        <v>2</v>
      </c>
      <c r="AZ579" s="12">
        <v>5</v>
      </c>
      <c r="BA579" s="12">
        <f t="shared" si="139"/>
        <v>5</v>
      </c>
      <c r="BB579" s="12">
        <v>3</v>
      </c>
      <c r="BC579" s="12">
        <v>4</v>
      </c>
      <c r="BD579" s="12">
        <f t="shared" ref="BD579:BD642" si="148">IF(BC579&gt;$CD$33,$CD$33,BC579)</f>
        <v>4</v>
      </c>
      <c r="BE579" s="12">
        <v>3</v>
      </c>
      <c r="BF579" s="12">
        <f t="shared" si="140"/>
        <v>3</v>
      </c>
      <c r="BG579" s="12">
        <f t="shared" ref="BG579:BG642" si="149">BF579*Y579</f>
        <v>3</v>
      </c>
      <c r="BH579" s="67">
        <v>1</v>
      </c>
      <c r="BI579" s="67">
        <v>0</v>
      </c>
      <c r="BJ579" s="67">
        <v>0</v>
      </c>
      <c r="BK579" s="67">
        <v>0</v>
      </c>
      <c r="BL579" s="67">
        <v>0</v>
      </c>
      <c r="BM579" s="67">
        <v>1</v>
      </c>
      <c r="BN579" s="67">
        <v>0</v>
      </c>
      <c r="BO579" s="67">
        <v>0</v>
      </c>
      <c r="BP579" s="67">
        <v>0</v>
      </c>
      <c r="BQ579" s="67">
        <v>3</v>
      </c>
      <c r="BR579" s="67">
        <v>0</v>
      </c>
      <c r="BS579" s="67">
        <v>0</v>
      </c>
      <c r="BT579" s="67">
        <v>6</v>
      </c>
      <c r="BU579" s="70">
        <v>0</v>
      </c>
      <c r="BV579" s="29">
        <f t="shared" si="141"/>
        <v>0.79034950063167508</v>
      </c>
      <c r="BW579">
        <f t="shared" si="142"/>
        <v>0.31476636926356072</v>
      </c>
      <c r="BX579">
        <f t="shared" si="143"/>
        <v>0.67854260110508058</v>
      </c>
      <c r="BY579">
        <f t="shared" si="144"/>
        <v>0.32778177112653761</v>
      </c>
      <c r="BZ579">
        <f t="shared" si="145"/>
        <v>9.9604847176766084E-2</v>
      </c>
      <c r="CA579">
        <f t="shared" si="146"/>
        <v>8.3401599596422994E-3</v>
      </c>
      <c r="CB579">
        <f t="shared" si="147"/>
        <v>0.56238451757720498</v>
      </c>
    </row>
    <row r="580" spans="1:80" x14ac:dyDescent="0.45">
      <c r="A580" s="11">
        <v>38</v>
      </c>
      <c r="B580" s="12">
        <f t="shared" si="135"/>
        <v>38</v>
      </c>
      <c r="C580" s="12" t="s">
        <v>59</v>
      </c>
      <c r="D580" s="12">
        <v>0</v>
      </c>
      <c r="E580" s="12" t="s">
        <v>60</v>
      </c>
      <c r="F580" s="12">
        <v>1</v>
      </c>
      <c r="G580" s="12">
        <v>0</v>
      </c>
      <c r="H580" s="12" t="s">
        <v>61</v>
      </c>
      <c r="I580" s="12">
        <v>1</v>
      </c>
      <c r="J580" s="12">
        <v>0</v>
      </c>
      <c r="K580" s="12">
        <v>2</v>
      </c>
      <c r="L580" s="12">
        <f t="shared" si="136"/>
        <v>2</v>
      </c>
      <c r="M580" s="12">
        <v>4</v>
      </c>
      <c r="N580" s="12" t="s">
        <v>55</v>
      </c>
      <c r="O580" s="12">
        <v>1</v>
      </c>
      <c r="P580" s="12">
        <v>0</v>
      </c>
      <c r="Q580" s="12">
        <v>0</v>
      </c>
      <c r="R580" s="12">
        <v>0</v>
      </c>
      <c r="S580" s="12">
        <v>0</v>
      </c>
      <c r="T580" s="12">
        <v>1</v>
      </c>
      <c r="U580" s="12" t="s">
        <v>19</v>
      </c>
      <c r="V580" s="12">
        <v>1</v>
      </c>
      <c r="W580" s="12">
        <v>75</v>
      </c>
      <c r="X580" s="12">
        <v>4</v>
      </c>
      <c r="Y580" s="12">
        <v>2</v>
      </c>
      <c r="Z580" s="12" t="s">
        <v>83</v>
      </c>
      <c r="AA580" s="12">
        <v>0</v>
      </c>
      <c r="AB580" s="12">
        <v>0</v>
      </c>
      <c r="AC580" s="12">
        <v>0</v>
      </c>
      <c r="AD580" s="12">
        <v>0</v>
      </c>
      <c r="AE580" s="12">
        <v>1</v>
      </c>
      <c r="AF580" s="12">
        <v>1</v>
      </c>
      <c r="AG580" s="12">
        <v>0</v>
      </c>
      <c r="AH580" s="12">
        <v>0</v>
      </c>
      <c r="AI580" s="12">
        <v>1</v>
      </c>
      <c r="AJ580" s="12" t="s">
        <v>57</v>
      </c>
      <c r="AK580" s="12">
        <v>1</v>
      </c>
      <c r="AL580" s="12">
        <v>0</v>
      </c>
      <c r="AM580" s="12">
        <v>5980</v>
      </c>
      <c r="AN580" s="12">
        <f t="shared" si="137"/>
        <v>5980</v>
      </c>
      <c r="AO580" s="12">
        <v>6</v>
      </c>
      <c r="AP580" s="12" t="s">
        <v>52</v>
      </c>
      <c r="AQ580" s="12">
        <v>1</v>
      </c>
      <c r="AR580" s="12">
        <v>12</v>
      </c>
      <c r="AS580" s="12">
        <v>3</v>
      </c>
      <c r="AT580" s="12">
        <v>4</v>
      </c>
      <c r="AU580" s="12">
        <v>0</v>
      </c>
      <c r="AV580" s="12">
        <v>17</v>
      </c>
      <c r="AW580" s="12">
        <f t="shared" si="138"/>
        <v>17</v>
      </c>
      <c r="AX580" s="12">
        <v>2</v>
      </c>
      <c r="AY580" s="12">
        <v>3</v>
      </c>
      <c r="AZ580" s="12">
        <v>15</v>
      </c>
      <c r="BA580" s="12">
        <f t="shared" si="139"/>
        <v>15</v>
      </c>
      <c r="BB580" s="12">
        <v>7</v>
      </c>
      <c r="BC580" s="12">
        <v>4</v>
      </c>
      <c r="BD580" s="12">
        <f t="shared" si="148"/>
        <v>4</v>
      </c>
      <c r="BE580" s="12">
        <v>12</v>
      </c>
      <c r="BF580" s="12">
        <f t="shared" si="140"/>
        <v>12</v>
      </c>
      <c r="BG580" s="12">
        <f t="shared" si="149"/>
        <v>24</v>
      </c>
      <c r="BH580" s="67">
        <v>0</v>
      </c>
      <c r="BI580" s="67">
        <v>0</v>
      </c>
      <c r="BJ580" s="67">
        <v>1</v>
      </c>
      <c r="BK580" s="67">
        <v>0</v>
      </c>
      <c r="BL580" s="67">
        <v>0</v>
      </c>
      <c r="BM580" s="67">
        <v>1</v>
      </c>
      <c r="BN580" s="67">
        <v>0</v>
      </c>
      <c r="BO580" s="67">
        <v>0</v>
      </c>
      <c r="BP580" s="67">
        <v>0</v>
      </c>
      <c r="BQ580" s="67">
        <v>12</v>
      </c>
      <c r="BR580" s="67">
        <v>0</v>
      </c>
      <c r="BS580" s="67">
        <v>0</v>
      </c>
      <c r="BT580" s="67">
        <v>17</v>
      </c>
      <c r="BU580" s="70">
        <v>0</v>
      </c>
      <c r="BV580" s="29">
        <f t="shared" si="141"/>
        <v>0.11107393644614143</v>
      </c>
      <c r="BW580">
        <f t="shared" si="142"/>
        <v>2.2075589277424408</v>
      </c>
      <c r="BX580">
        <f t="shared" si="143"/>
        <v>0.73519710510148462</v>
      </c>
      <c r="BY580">
        <f t="shared" si="144"/>
        <v>1.3044648533856922</v>
      </c>
      <c r="BZ580">
        <f t="shared" si="145"/>
        <v>0.88721318382472392</v>
      </c>
      <c r="CA580">
        <f t="shared" si="146"/>
        <v>0.11780475942994788</v>
      </c>
      <c r="CB580">
        <f t="shared" si="147"/>
        <v>0.56238451757720498</v>
      </c>
    </row>
    <row r="581" spans="1:80" x14ac:dyDescent="0.45">
      <c r="A581" s="11">
        <v>34</v>
      </c>
      <c r="B581" s="12">
        <f t="shared" si="135"/>
        <v>34</v>
      </c>
      <c r="C581" s="12" t="s">
        <v>59</v>
      </c>
      <c r="D581" s="12">
        <v>0</v>
      </c>
      <c r="E581" s="12" t="s">
        <v>53</v>
      </c>
      <c r="F581" s="12">
        <v>0</v>
      </c>
      <c r="G581" s="12">
        <v>1</v>
      </c>
      <c r="H581" s="12" t="s">
        <v>61</v>
      </c>
      <c r="I581" s="12">
        <v>1</v>
      </c>
      <c r="J581" s="12">
        <v>0</v>
      </c>
      <c r="K581" s="12">
        <v>2</v>
      </c>
      <c r="L581" s="12">
        <f t="shared" si="136"/>
        <v>2</v>
      </c>
      <c r="M581" s="12">
        <v>4</v>
      </c>
      <c r="N581" s="12" t="s">
        <v>70</v>
      </c>
      <c r="O581" s="12">
        <v>0</v>
      </c>
      <c r="P581" s="12">
        <v>0</v>
      </c>
      <c r="Q581" s="12">
        <v>1</v>
      </c>
      <c r="R581" s="12">
        <v>0</v>
      </c>
      <c r="S581" s="12">
        <v>0</v>
      </c>
      <c r="T581" s="12">
        <v>3</v>
      </c>
      <c r="U581" s="12" t="s">
        <v>19</v>
      </c>
      <c r="V581" s="12">
        <v>1</v>
      </c>
      <c r="W581" s="12">
        <v>86</v>
      </c>
      <c r="X581" s="12">
        <v>2</v>
      </c>
      <c r="Y581" s="12">
        <v>1</v>
      </c>
      <c r="Z581" s="12" t="s">
        <v>63</v>
      </c>
      <c r="AA581" s="12">
        <v>0</v>
      </c>
      <c r="AB581" s="12">
        <v>0</v>
      </c>
      <c r="AC581" s="12">
        <v>0</v>
      </c>
      <c r="AD581" s="12">
        <v>0</v>
      </c>
      <c r="AE581" s="12">
        <v>0</v>
      </c>
      <c r="AF581" s="12">
        <v>0</v>
      </c>
      <c r="AG581" s="12">
        <v>0</v>
      </c>
      <c r="AH581" s="12">
        <v>1</v>
      </c>
      <c r="AI581" s="12">
        <v>1</v>
      </c>
      <c r="AJ581" s="12" t="s">
        <v>57</v>
      </c>
      <c r="AK581" s="12">
        <v>1</v>
      </c>
      <c r="AL581" s="12">
        <v>0</v>
      </c>
      <c r="AM581" s="12">
        <v>4381</v>
      </c>
      <c r="AN581" s="12">
        <f t="shared" si="137"/>
        <v>4381</v>
      </c>
      <c r="AO581" s="12">
        <v>1</v>
      </c>
      <c r="AP581" s="12" t="s">
        <v>59</v>
      </c>
      <c r="AQ581" s="12">
        <v>0</v>
      </c>
      <c r="AR581" s="12">
        <v>11</v>
      </c>
      <c r="AS581" s="12">
        <v>3</v>
      </c>
      <c r="AT581" s="12">
        <v>3</v>
      </c>
      <c r="AU581" s="12">
        <v>0</v>
      </c>
      <c r="AV581" s="12">
        <v>6</v>
      </c>
      <c r="AW581" s="12">
        <f t="shared" si="138"/>
        <v>6</v>
      </c>
      <c r="AX581" s="12">
        <v>3</v>
      </c>
      <c r="AY581" s="12">
        <v>3</v>
      </c>
      <c r="AZ581" s="12">
        <v>6</v>
      </c>
      <c r="BA581" s="12">
        <f t="shared" si="139"/>
        <v>6</v>
      </c>
      <c r="BB581" s="12">
        <v>5</v>
      </c>
      <c r="BC581" s="12">
        <v>1</v>
      </c>
      <c r="BD581" s="12">
        <f t="shared" si="148"/>
        <v>1</v>
      </c>
      <c r="BE581" s="12">
        <v>3</v>
      </c>
      <c r="BF581" s="12">
        <f t="shared" si="140"/>
        <v>3</v>
      </c>
      <c r="BG581" s="12">
        <f t="shared" si="149"/>
        <v>3</v>
      </c>
      <c r="BH581" s="67">
        <v>1</v>
      </c>
      <c r="BI581" s="67">
        <v>0</v>
      </c>
      <c r="BJ581" s="67">
        <v>0</v>
      </c>
      <c r="BK581" s="67">
        <v>0</v>
      </c>
      <c r="BL581" s="67">
        <v>1</v>
      </c>
      <c r="BM581" s="67">
        <v>0</v>
      </c>
      <c r="BN581" s="67">
        <v>0</v>
      </c>
      <c r="BO581" s="67">
        <v>0</v>
      </c>
      <c r="BP581" s="67">
        <v>0</v>
      </c>
      <c r="BQ581" s="67">
        <v>3</v>
      </c>
      <c r="BR581" s="67">
        <v>0</v>
      </c>
      <c r="BS581" s="67">
        <v>0</v>
      </c>
      <c r="BT581" s="67">
        <v>6</v>
      </c>
      <c r="BU581" s="70">
        <v>0</v>
      </c>
      <c r="BV581" s="29">
        <f t="shared" si="141"/>
        <v>0.45071171853890823</v>
      </c>
      <c r="BW581">
        <f t="shared" si="142"/>
        <v>0.31476636926356072</v>
      </c>
      <c r="BX581">
        <f t="shared" si="143"/>
        <v>0.67854260110508058</v>
      </c>
      <c r="BY581">
        <f t="shared" si="144"/>
        <v>0.16455710867531462</v>
      </c>
      <c r="BZ581">
        <f t="shared" si="145"/>
        <v>0.88721318382472392</v>
      </c>
      <c r="CA581">
        <f t="shared" si="146"/>
        <v>0.32005363845127444</v>
      </c>
      <c r="CB581">
        <f t="shared" si="147"/>
        <v>0.36858985273641137</v>
      </c>
    </row>
    <row r="582" spans="1:80" x14ac:dyDescent="0.45">
      <c r="A582" s="11">
        <v>35</v>
      </c>
      <c r="B582" s="12">
        <f t="shared" si="135"/>
        <v>35</v>
      </c>
      <c r="C582" s="12" t="s">
        <v>59</v>
      </c>
      <c r="D582" s="12">
        <v>0</v>
      </c>
      <c r="E582" s="12" t="s">
        <v>53</v>
      </c>
      <c r="F582" s="12">
        <v>0</v>
      </c>
      <c r="G582" s="12">
        <v>1</v>
      </c>
      <c r="H582" s="12" t="s">
        <v>54</v>
      </c>
      <c r="I582" s="12">
        <v>0</v>
      </c>
      <c r="J582" s="12">
        <v>1</v>
      </c>
      <c r="K582" s="12">
        <v>8</v>
      </c>
      <c r="L582" s="12">
        <f t="shared" si="136"/>
        <v>8</v>
      </c>
      <c r="M582" s="12">
        <v>4</v>
      </c>
      <c r="N582" s="12" t="s">
        <v>55</v>
      </c>
      <c r="O582" s="12">
        <v>1</v>
      </c>
      <c r="P582" s="12">
        <v>0</v>
      </c>
      <c r="Q582" s="12">
        <v>0</v>
      </c>
      <c r="R582" s="12">
        <v>0</v>
      </c>
      <c r="S582" s="12">
        <v>0</v>
      </c>
      <c r="T582" s="12">
        <v>1</v>
      </c>
      <c r="U582" s="12" t="s">
        <v>19</v>
      </c>
      <c r="V582" s="12">
        <v>1</v>
      </c>
      <c r="W582" s="12">
        <v>72</v>
      </c>
      <c r="X582" s="12">
        <v>3</v>
      </c>
      <c r="Y582" s="12">
        <v>1</v>
      </c>
      <c r="Z582" s="12" t="s">
        <v>88</v>
      </c>
      <c r="AA582" s="12">
        <v>0</v>
      </c>
      <c r="AB582" s="12">
        <v>0</v>
      </c>
      <c r="AC582" s="12">
        <v>0</v>
      </c>
      <c r="AD582" s="12">
        <v>0</v>
      </c>
      <c r="AE582" s="12">
        <v>0</v>
      </c>
      <c r="AF582" s="12">
        <v>0</v>
      </c>
      <c r="AG582" s="12">
        <v>1</v>
      </c>
      <c r="AH582" s="12">
        <v>0</v>
      </c>
      <c r="AI582" s="12">
        <v>4</v>
      </c>
      <c r="AJ582" s="12" t="s">
        <v>64</v>
      </c>
      <c r="AK582" s="12">
        <v>0</v>
      </c>
      <c r="AL582" s="12">
        <v>1</v>
      </c>
      <c r="AM582" s="12">
        <v>2572</v>
      </c>
      <c r="AN582" s="12">
        <f t="shared" si="137"/>
        <v>2572</v>
      </c>
      <c r="AO582" s="12">
        <v>1</v>
      </c>
      <c r="AP582" s="12" t="s">
        <v>59</v>
      </c>
      <c r="AQ582" s="12">
        <v>0</v>
      </c>
      <c r="AR582" s="12">
        <v>16</v>
      </c>
      <c r="AS582" s="12">
        <v>3</v>
      </c>
      <c r="AT582" s="12">
        <v>2</v>
      </c>
      <c r="AU582" s="12">
        <v>1</v>
      </c>
      <c r="AV582" s="12">
        <v>3</v>
      </c>
      <c r="AW582" s="12">
        <f t="shared" si="138"/>
        <v>3</v>
      </c>
      <c r="AX582" s="12">
        <v>1</v>
      </c>
      <c r="AY582" s="12">
        <v>2</v>
      </c>
      <c r="AZ582" s="12">
        <v>3</v>
      </c>
      <c r="BA582" s="12">
        <f t="shared" si="139"/>
        <v>3</v>
      </c>
      <c r="BB582" s="12">
        <v>2</v>
      </c>
      <c r="BC582" s="12">
        <v>0</v>
      </c>
      <c r="BD582" s="12">
        <f t="shared" si="148"/>
        <v>0</v>
      </c>
      <c r="BE582" s="12">
        <v>2</v>
      </c>
      <c r="BF582" s="12">
        <f t="shared" si="140"/>
        <v>2</v>
      </c>
      <c r="BG582" s="12">
        <f t="shared" si="149"/>
        <v>2</v>
      </c>
      <c r="BH582" s="67">
        <v>0</v>
      </c>
      <c r="BI582" s="67">
        <v>1</v>
      </c>
      <c r="BJ582" s="67">
        <v>0</v>
      </c>
      <c r="BK582" s="67">
        <v>0</v>
      </c>
      <c r="BL582" s="67">
        <v>0</v>
      </c>
      <c r="BM582" s="67">
        <v>0</v>
      </c>
      <c r="BN582" s="67">
        <v>1</v>
      </c>
      <c r="BO582" s="67">
        <v>0</v>
      </c>
      <c r="BP582" s="67">
        <v>0</v>
      </c>
      <c r="BQ582" s="67">
        <v>0</v>
      </c>
      <c r="BR582" s="67">
        <v>2</v>
      </c>
      <c r="BS582" s="67">
        <v>0</v>
      </c>
      <c r="BT582" s="67">
        <v>0</v>
      </c>
      <c r="BU582" s="70">
        <v>3</v>
      </c>
      <c r="BV582" s="29">
        <f t="shared" si="141"/>
        <v>0.83495483786712288</v>
      </c>
      <c r="BW582">
        <f t="shared" si="142"/>
        <v>0.59502473559756086</v>
      </c>
      <c r="BX582">
        <f t="shared" si="143"/>
        <v>1.0641079755250529</v>
      </c>
      <c r="BY582">
        <f t="shared" si="144"/>
        <v>0.65423109602898355</v>
      </c>
      <c r="BZ582">
        <f t="shared" si="145"/>
        <v>0.14709966057360641</v>
      </c>
      <c r="CA582">
        <f t="shared" si="146"/>
        <v>0.21058903898096887</v>
      </c>
      <c r="CB582">
        <f t="shared" si="147"/>
        <v>0.67891464284095016</v>
      </c>
    </row>
    <row r="583" spans="1:80" x14ac:dyDescent="0.45">
      <c r="A583" s="11">
        <v>30</v>
      </c>
      <c r="B583" s="12">
        <f t="shared" si="135"/>
        <v>30</v>
      </c>
      <c r="C583" s="12" t="s">
        <v>59</v>
      </c>
      <c r="D583" s="12">
        <v>0</v>
      </c>
      <c r="E583" s="12" t="s">
        <v>53</v>
      </c>
      <c r="F583" s="12">
        <v>0</v>
      </c>
      <c r="G583" s="12">
        <v>1</v>
      </c>
      <c r="H583" s="12" t="s">
        <v>61</v>
      </c>
      <c r="I583" s="12">
        <v>1</v>
      </c>
      <c r="J583" s="12">
        <v>0</v>
      </c>
      <c r="K583" s="12">
        <v>1</v>
      </c>
      <c r="L583" s="12">
        <f t="shared" si="136"/>
        <v>1</v>
      </c>
      <c r="M583" s="12">
        <v>3</v>
      </c>
      <c r="N583" s="12" t="s">
        <v>55</v>
      </c>
      <c r="O583" s="12">
        <v>1</v>
      </c>
      <c r="P583" s="12">
        <v>0</v>
      </c>
      <c r="Q583" s="12">
        <v>0</v>
      </c>
      <c r="R583" s="12">
        <v>0</v>
      </c>
      <c r="S583" s="12">
        <v>0</v>
      </c>
      <c r="T583" s="12">
        <v>4</v>
      </c>
      <c r="U583" s="12" t="s">
        <v>62</v>
      </c>
      <c r="V583" s="12">
        <v>0</v>
      </c>
      <c r="W583" s="12">
        <v>38</v>
      </c>
      <c r="X583" s="12">
        <v>1</v>
      </c>
      <c r="Y583" s="12">
        <v>1</v>
      </c>
      <c r="Z583" s="12" t="s">
        <v>67</v>
      </c>
      <c r="AA583" s="12">
        <v>0</v>
      </c>
      <c r="AB583" s="12">
        <v>0</v>
      </c>
      <c r="AC583" s="12">
        <v>1</v>
      </c>
      <c r="AD583" s="12">
        <v>0</v>
      </c>
      <c r="AE583" s="12">
        <v>0</v>
      </c>
      <c r="AF583" s="12">
        <v>0</v>
      </c>
      <c r="AG583" s="12">
        <v>0</v>
      </c>
      <c r="AH583" s="12">
        <v>0</v>
      </c>
      <c r="AI583" s="12">
        <v>3</v>
      </c>
      <c r="AJ583" s="12" t="s">
        <v>64</v>
      </c>
      <c r="AK583" s="12">
        <v>0</v>
      </c>
      <c r="AL583" s="12">
        <v>1</v>
      </c>
      <c r="AM583" s="12">
        <v>3833</v>
      </c>
      <c r="AN583" s="12">
        <f t="shared" si="137"/>
        <v>3833</v>
      </c>
      <c r="AO583" s="12">
        <v>3</v>
      </c>
      <c r="AP583" s="12" t="s">
        <v>59</v>
      </c>
      <c r="AQ583" s="12">
        <v>0</v>
      </c>
      <c r="AR583" s="12">
        <v>21</v>
      </c>
      <c r="AS583" s="12">
        <v>4</v>
      </c>
      <c r="AT583" s="12">
        <v>3</v>
      </c>
      <c r="AU583" s="12">
        <v>2</v>
      </c>
      <c r="AV583" s="12">
        <v>7</v>
      </c>
      <c r="AW583" s="12">
        <f t="shared" si="138"/>
        <v>7</v>
      </c>
      <c r="AX583" s="12">
        <v>2</v>
      </c>
      <c r="AY583" s="12">
        <v>3</v>
      </c>
      <c r="AZ583" s="12">
        <v>2</v>
      </c>
      <c r="BA583" s="12">
        <f t="shared" si="139"/>
        <v>2</v>
      </c>
      <c r="BB583" s="12">
        <v>2</v>
      </c>
      <c r="BC583" s="12">
        <v>0</v>
      </c>
      <c r="BD583" s="12">
        <f t="shared" si="148"/>
        <v>0</v>
      </c>
      <c r="BE583" s="12">
        <v>2</v>
      </c>
      <c r="BF583" s="12">
        <f t="shared" si="140"/>
        <v>2</v>
      </c>
      <c r="BG583" s="12">
        <f t="shared" si="149"/>
        <v>2</v>
      </c>
      <c r="BH583" s="67">
        <v>0</v>
      </c>
      <c r="BI583" s="67">
        <v>1</v>
      </c>
      <c r="BJ583" s="67">
        <v>0</v>
      </c>
      <c r="BK583" s="67">
        <v>0</v>
      </c>
      <c r="BL583" s="67">
        <v>0</v>
      </c>
      <c r="BM583" s="67">
        <v>0</v>
      </c>
      <c r="BN583" s="67">
        <v>1</v>
      </c>
      <c r="BO583" s="67">
        <v>0</v>
      </c>
      <c r="BP583" s="67">
        <v>0</v>
      </c>
      <c r="BQ583" s="67">
        <v>2</v>
      </c>
      <c r="BR583" s="67">
        <v>0</v>
      </c>
      <c r="BS583" s="67">
        <v>0</v>
      </c>
      <c r="BT583" s="67">
        <v>7</v>
      </c>
      <c r="BU583" s="70">
        <v>0</v>
      </c>
      <c r="BV583" s="29">
        <f t="shared" si="141"/>
        <v>0.56711040808664825</v>
      </c>
      <c r="BW583">
        <f t="shared" si="142"/>
        <v>0.59502473559756086</v>
      </c>
      <c r="BX583">
        <f t="shared" si="143"/>
        <v>0.55002080963175637</v>
      </c>
      <c r="BY583">
        <f t="shared" si="144"/>
        <v>0.81745575848020657</v>
      </c>
      <c r="BZ583">
        <f t="shared" si="145"/>
        <v>1.01056543769991</v>
      </c>
      <c r="CA583">
        <f t="shared" si="146"/>
        <v>0.75791203633249671</v>
      </c>
      <c r="CB583">
        <f t="shared" si="147"/>
        <v>0.67891464284095016</v>
      </c>
    </row>
    <row r="584" spans="1:80" x14ac:dyDescent="0.45">
      <c r="A584" s="11">
        <v>40</v>
      </c>
      <c r="B584" s="12">
        <f t="shared" si="135"/>
        <v>40</v>
      </c>
      <c r="C584" s="12" t="s">
        <v>59</v>
      </c>
      <c r="D584" s="12">
        <v>0</v>
      </c>
      <c r="E584" s="12" t="s">
        <v>60</v>
      </c>
      <c r="F584" s="12">
        <v>1</v>
      </c>
      <c r="G584" s="12">
        <v>0</v>
      </c>
      <c r="H584" s="12" t="s">
        <v>61</v>
      </c>
      <c r="I584" s="12">
        <v>1</v>
      </c>
      <c r="J584" s="12">
        <v>0</v>
      </c>
      <c r="K584" s="12">
        <v>2</v>
      </c>
      <c r="L584" s="12">
        <f t="shared" si="136"/>
        <v>2</v>
      </c>
      <c r="M584" s="12">
        <v>2</v>
      </c>
      <c r="N584" s="12" t="s">
        <v>70</v>
      </c>
      <c r="O584" s="12">
        <v>0</v>
      </c>
      <c r="P584" s="12">
        <v>0</v>
      </c>
      <c r="Q584" s="12">
        <v>1</v>
      </c>
      <c r="R584" s="12">
        <v>0</v>
      </c>
      <c r="S584" s="12">
        <v>0</v>
      </c>
      <c r="T584" s="12">
        <v>3</v>
      </c>
      <c r="U584" s="12" t="s">
        <v>19</v>
      </c>
      <c r="V584" s="12">
        <v>1</v>
      </c>
      <c r="W584" s="12">
        <v>38</v>
      </c>
      <c r="X584" s="12">
        <v>4</v>
      </c>
      <c r="Y584" s="12">
        <v>2</v>
      </c>
      <c r="Z584" s="12" t="s">
        <v>85</v>
      </c>
      <c r="AA584" s="12">
        <v>1</v>
      </c>
      <c r="AB584" s="12">
        <v>0</v>
      </c>
      <c r="AC584" s="12">
        <v>0</v>
      </c>
      <c r="AD584" s="12">
        <v>0</v>
      </c>
      <c r="AE584" s="12">
        <v>0</v>
      </c>
      <c r="AF584" s="12">
        <v>0</v>
      </c>
      <c r="AG584" s="12">
        <v>0</v>
      </c>
      <c r="AH584" s="12">
        <v>0</v>
      </c>
      <c r="AI584" s="12">
        <v>2</v>
      </c>
      <c r="AJ584" s="12" t="s">
        <v>64</v>
      </c>
      <c r="AK584" s="12">
        <v>0</v>
      </c>
      <c r="AL584" s="12">
        <v>1</v>
      </c>
      <c r="AM584" s="12">
        <v>4244</v>
      </c>
      <c r="AN584" s="12">
        <f t="shared" si="137"/>
        <v>4244</v>
      </c>
      <c r="AO584" s="12">
        <v>1</v>
      </c>
      <c r="AP584" s="12" t="s">
        <v>59</v>
      </c>
      <c r="AQ584" s="12">
        <v>0</v>
      </c>
      <c r="AR584" s="12">
        <v>24</v>
      </c>
      <c r="AS584" s="12">
        <v>4</v>
      </c>
      <c r="AT584" s="12">
        <v>4</v>
      </c>
      <c r="AU584" s="12">
        <v>1</v>
      </c>
      <c r="AV584" s="12">
        <v>8</v>
      </c>
      <c r="AW584" s="12">
        <f t="shared" si="138"/>
        <v>8</v>
      </c>
      <c r="AX584" s="12">
        <v>2</v>
      </c>
      <c r="AY584" s="12">
        <v>3</v>
      </c>
      <c r="AZ584" s="12">
        <v>8</v>
      </c>
      <c r="BA584" s="12">
        <f t="shared" si="139"/>
        <v>8</v>
      </c>
      <c r="BB584" s="12">
        <v>7</v>
      </c>
      <c r="BC584" s="12">
        <v>3</v>
      </c>
      <c r="BD584" s="12">
        <f t="shared" si="148"/>
        <v>3</v>
      </c>
      <c r="BE584" s="12">
        <v>7</v>
      </c>
      <c r="BF584" s="12">
        <f t="shared" si="140"/>
        <v>7</v>
      </c>
      <c r="BG584" s="12">
        <f t="shared" si="149"/>
        <v>14</v>
      </c>
      <c r="BH584" s="67">
        <v>0</v>
      </c>
      <c r="BI584" s="67">
        <v>0</v>
      </c>
      <c r="BJ584" s="67">
        <v>0</v>
      </c>
      <c r="BK584" s="67">
        <v>1</v>
      </c>
      <c r="BL584" s="67">
        <v>0</v>
      </c>
      <c r="BM584" s="67">
        <v>0</v>
      </c>
      <c r="BN584" s="67">
        <v>1</v>
      </c>
      <c r="BO584" s="67">
        <v>0</v>
      </c>
      <c r="BP584" s="67">
        <v>0</v>
      </c>
      <c r="BQ584" s="67">
        <v>7</v>
      </c>
      <c r="BR584" s="67">
        <v>0</v>
      </c>
      <c r="BS584" s="67">
        <v>0</v>
      </c>
      <c r="BT584" s="67">
        <v>8</v>
      </c>
      <c r="BU584" s="70">
        <v>0</v>
      </c>
      <c r="BV584" s="29">
        <f t="shared" si="141"/>
        <v>0.47981139092584324</v>
      </c>
      <c r="BW584">
        <f t="shared" si="142"/>
        <v>0.80626709607243985</v>
      </c>
      <c r="BX584">
        <f t="shared" si="143"/>
        <v>0.42149901815843233</v>
      </c>
      <c r="BY584">
        <f t="shared" si="144"/>
        <v>0.16189221622713135</v>
      </c>
      <c r="BZ584">
        <f t="shared" si="145"/>
        <v>0.88721318382472392</v>
      </c>
      <c r="CA584">
        <f t="shared" si="146"/>
        <v>0.33673395837055903</v>
      </c>
      <c r="CB584">
        <f t="shared" si="147"/>
        <v>0.2520597274726662</v>
      </c>
    </row>
    <row r="585" spans="1:80" x14ac:dyDescent="0.45">
      <c r="A585" s="11">
        <v>34</v>
      </c>
      <c r="B585" s="12">
        <f t="shared" si="135"/>
        <v>34</v>
      </c>
      <c r="C585" s="12" t="s">
        <v>59</v>
      </c>
      <c r="D585" s="12">
        <v>0</v>
      </c>
      <c r="E585" s="12" t="s">
        <v>53</v>
      </c>
      <c r="F585" s="12">
        <v>0</v>
      </c>
      <c r="G585" s="12">
        <v>1</v>
      </c>
      <c r="H585" s="12" t="s">
        <v>54</v>
      </c>
      <c r="I585" s="12">
        <v>0</v>
      </c>
      <c r="J585" s="12">
        <v>1</v>
      </c>
      <c r="K585" s="12">
        <v>8</v>
      </c>
      <c r="L585" s="12">
        <f t="shared" si="136"/>
        <v>8</v>
      </c>
      <c r="M585" s="12">
        <v>2</v>
      </c>
      <c r="N585" s="12" t="s">
        <v>55</v>
      </c>
      <c r="O585" s="12">
        <v>1</v>
      </c>
      <c r="P585" s="12">
        <v>0</v>
      </c>
      <c r="Q585" s="12">
        <v>0</v>
      </c>
      <c r="R585" s="12">
        <v>0</v>
      </c>
      <c r="S585" s="12">
        <v>0</v>
      </c>
      <c r="T585" s="12">
        <v>3</v>
      </c>
      <c r="U585" s="12" t="s">
        <v>19</v>
      </c>
      <c r="V585" s="12">
        <v>1</v>
      </c>
      <c r="W585" s="12">
        <v>93</v>
      </c>
      <c r="X585" s="12">
        <v>3</v>
      </c>
      <c r="Y585" s="12">
        <v>2</v>
      </c>
      <c r="Z585" s="12" t="s">
        <v>56</v>
      </c>
      <c r="AA585" s="12">
        <v>0</v>
      </c>
      <c r="AB585" s="12">
        <v>1</v>
      </c>
      <c r="AC585" s="12">
        <v>0</v>
      </c>
      <c r="AD585" s="12">
        <v>0</v>
      </c>
      <c r="AE585" s="12">
        <v>0</v>
      </c>
      <c r="AF585" s="12">
        <v>0</v>
      </c>
      <c r="AG585" s="12">
        <v>0</v>
      </c>
      <c r="AH585" s="12">
        <v>0</v>
      </c>
      <c r="AI585" s="12">
        <v>1</v>
      </c>
      <c r="AJ585" s="12" t="s">
        <v>64</v>
      </c>
      <c r="AK585" s="12">
        <v>0</v>
      </c>
      <c r="AL585" s="12">
        <v>1</v>
      </c>
      <c r="AM585" s="12">
        <v>6500</v>
      </c>
      <c r="AN585" s="12">
        <f t="shared" si="137"/>
        <v>6500</v>
      </c>
      <c r="AO585" s="12">
        <v>5</v>
      </c>
      <c r="AP585" s="12" t="s">
        <v>59</v>
      </c>
      <c r="AQ585" s="12">
        <v>0</v>
      </c>
      <c r="AR585" s="12">
        <v>17</v>
      </c>
      <c r="AS585" s="12">
        <v>3</v>
      </c>
      <c r="AT585" s="12">
        <v>2</v>
      </c>
      <c r="AU585" s="12">
        <v>1</v>
      </c>
      <c r="AV585" s="12">
        <v>6</v>
      </c>
      <c r="AW585" s="12">
        <f t="shared" si="138"/>
        <v>6</v>
      </c>
      <c r="AX585" s="12">
        <v>1</v>
      </c>
      <c r="AY585" s="12">
        <v>3</v>
      </c>
      <c r="AZ585" s="12">
        <v>3</v>
      </c>
      <c r="BA585" s="12">
        <f t="shared" si="139"/>
        <v>3</v>
      </c>
      <c r="BB585" s="12">
        <v>2</v>
      </c>
      <c r="BC585" s="12">
        <v>1</v>
      </c>
      <c r="BD585" s="12">
        <f t="shared" si="148"/>
        <v>1</v>
      </c>
      <c r="BE585" s="12">
        <v>2</v>
      </c>
      <c r="BF585" s="12">
        <f t="shared" si="140"/>
        <v>2</v>
      </c>
      <c r="BG585" s="12">
        <f t="shared" si="149"/>
        <v>4</v>
      </c>
      <c r="BH585" s="67">
        <v>0</v>
      </c>
      <c r="BI585" s="67">
        <v>1</v>
      </c>
      <c r="BJ585" s="67">
        <v>0</v>
      </c>
      <c r="BK585" s="67">
        <v>0</v>
      </c>
      <c r="BL585" s="67">
        <v>0</v>
      </c>
      <c r="BM585" s="67">
        <v>0</v>
      </c>
      <c r="BN585" s="67">
        <v>1</v>
      </c>
      <c r="BO585" s="67">
        <v>0</v>
      </c>
      <c r="BP585" s="67">
        <v>0</v>
      </c>
      <c r="BQ585" s="67">
        <v>0</v>
      </c>
      <c r="BR585" s="67">
        <v>2</v>
      </c>
      <c r="BS585" s="67">
        <v>0</v>
      </c>
      <c r="BT585" s="67">
        <v>0</v>
      </c>
      <c r="BU585" s="70">
        <v>6</v>
      </c>
      <c r="BV585" s="29">
        <f t="shared" si="141"/>
        <v>6.226251964611565E-4</v>
      </c>
      <c r="BW585">
        <f t="shared" si="142"/>
        <v>0.59502473559756086</v>
      </c>
      <c r="BX585">
        <f t="shared" si="143"/>
        <v>0.67854260110508058</v>
      </c>
      <c r="BY585">
        <f t="shared" si="144"/>
        <v>0.65423109602898355</v>
      </c>
      <c r="BZ585">
        <f t="shared" si="145"/>
        <v>0.14709966057360641</v>
      </c>
      <c r="CA585">
        <f t="shared" si="146"/>
        <v>0.32005363845127444</v>
      </c>
      <c r="CB585">
        <f t="shared" si="147"/>
        <v>0.36858985273641137</v>
      </c>
    </row>
    <row r="586" spans="1:80" x14ac:dyDescent="0.45">
      <c r="A586" s="11">
        <v>42</v>
      </c>
      <c r="B586" s="12">
        <f t="shared" si="135"/>
        <v>42</v>
      </c>
      <c r="C586" s="12" t="s">
        <v>59</v>
      </c>
      <c r="D586" s="12">
        <v>0</v>
      </c>
      <c r="E586" s="12" t="s">
        <v>60</v>
      </c>
      <c r="F586" s="12">
        <v>1</v>
      </c>
      <c r="G586" s="12">
        <v>0</v>
      </c>
      <c r="H586" s="12" t="s">
        <v>61</v>
      </c>
      <c r="I586" s="12">
        <v>1</v>
      </c>
      <c r="J586" s="12">
        <v>0</v>
      </c>
      <c r="K586" s="12">
        <v>8</v>
      </c>
      <c r="L586" s="12">
        <f t="shared" si="136"/>
        <v>8</v>
      </c>
      <c r="M586" s="12">
        <v>3</v>
      </c>
      <c r="N586" s="12" t="s">
        <v>55</v>
      </c>
      <c r="O586" s="12">
        <v>1</v>
      </c>
      <c r="P586" s="12">
        <v>0</v>
      </c>
      <c r="Q586" s="12">
        <v>0</v>
      </c>
      <c r="R586" s="12">
        <v>0</v>
      </c>
      <c r="S586" s="12">
        <v>0</v>
      </c>
      <c r="T586" s="12">
        <v>2</v>
      </c>
      <c r="U586" s="12" t="s">
        <v>62</v>
      </c>
      <c r="V586" s="12">
        <v>0</v>
      </c>
      <c r="W586" s="12">
        <v>66</v>
      </c>
      <c r="X586" s="12">
        <v>3</v>
      </c>
      <c r="Y586" s="12">
        <v>5</v>
      </c>
      <c r="Z586" s="12" t="s">
        <v>87</v>
      </c>
      <c r="AA586" s="12">
        <v>0</v>
      </c>
      <c r="AB586" s="12">
        <v>0</v>
      </c>
      <c r="AC586" s="12">
        <v>0</v>
      </c>
      <c r="AD586" s="12">
        <v>1</v>
      </c>
      <c r="AE586" s="12">
        <v>0</v>
      </c>
      <c r="AF586" s="12">
        <v>0</v>
      </c>
      <c r="AG586" s="12">
        <v>0</v>
      </c>
      <c r="AH586" s="12">
        <v>0</v>
      </c>
      <c r="AI586" s="12">
        <v>4</v>
      </c>
      <c r="AJ586" s="12" t="s">
        <v>78</v>
      </c>
      <c r="AK586" s="12">
        <v>0</v>
      </c>
      <c r="AL586" s="12">
        <v>0</v>
      </c>
      <c r="AM586" s="12">
        <v>18430</v>
      </c>
      <c r="AN586" s="12">
        <f t="shared" si="137"/>
        <v>18430</v>
      </c>
      <c r="AO586" s="12">
        <v>1</v>
      </c>
      <c r="AP586" s="12" t="s">
        <v>59</v>
      </c>
      <c r="AQ586" s="12">
        <v>0</v>
      </c>
      <c r="AR586" s="12">
        <v>13</v>
      </c>
      <c r="AS586" s="12">
        <v>3</v>
      </c>
      <c r="AT586" s="12">
        <v>2</v>
      </c>
      <c r="AU586" s="12">
        <v>1</v>
      </c>
      <c r="AV586" s="12">
        <v>24</v>
      </c>
      <c r="AW586" s="12">
        <f t="shared" si="138"/>
        <v>24</v>
      </c>
      <c r="AX586" s="12">
        <v>4</v>
      </c>
      <c r="AY586" s="12">
        <v>2</v>
      </c>
      <c r="AZ586" s="12">
        <v>24</v>
      </c>
      <c r="BA586" s="12">
        <f t="shared" si="139"/>
        <v>24</v>
      </c>
      <c r="BB586" s="12">
        <v>7</v>
      </c>
      <c r="BC586" s="12">
        <v>14</v>
      </c>
      <c r="BD586" s="12">
        <f t="shared" si="148"/>
        <v>14</v>
      </c>
      <c r="BE586" s="12">
        <v>9</v>
      </c>
      <c r="BF586" s="12">
        <f t="shared" si="140"/>
        <v>9</v>
      </c>
      <c r="BG586" s="12">
        <f t="shared" si="149"/>
        <v>45</v>
      </c>
      <c r="BH586" s="67">
        <v>0</v>
      </c>
      <c r="BI586" s="67">
        <v>0</v>
      </c>
      <c r="BJ586" s="67">
        <v>1</v>
      </c>
      <c r="BK586" s="67">
        <v>0</v>
      </c>
      <c r="BL586" s="67">
        <v>1</v>
      </c>
      <c r="BM586" s="67">
        <v>0</v>
      </c>
      <c r="BN586" s="67">
        <v>0</v>
      </c>
      <c r="BO586" s="67">
        <v>0</v>
      </c>
      <c r="BP586" s="67">
        <v>0</v>
      </c>
      <c r="BQ586" s="67">
        <v>9</v>
      </c>
      <c r="BR586" s="67">
        <v>0</v>
      </c>
      <c r="BS586" s="67">
        <v>0</v>
      </c>
      <c r="BT586" s="67">
        <v>24</v>
      </c>
      <c r="BU586" s="70">
        <v>0</v>
      </c>
      <c r="BV586" s="29">
        <f t="shared" si="141"/>
        <v>2.5333853425125494</v>
      </c>
      <c r="BW586">
        <f t="shared" si="142"/>
        <v>1.3667838287404401</v>
      </c>
      <c r="BX586">
        <f t="shared" si="143"/>
        <v>1.6348496454147534</v>
      </c>
      <c r="BY586">
        <f t="shared" si="144"/>
        <v>2.7734868154466992</v>
      </c>
      <c r="BZ586">
        <f t="shared" si="145"/>
        <v>0.14709966057360641</v>
      </c>
      <c r="CA586">
        <f t="shared" si="146"/>
        <v>0.55566315731117022</v>
      </c>
      <c r="CB586">
        <f t="shared" si="147"/>
        <v>3.665632418622593</v>
      </c>
    </row>
    <row r="587" spans="1:80" x14ac:dyDescent="0.45">
      <c r="A587" s="11">
        <v>23</v>
      </c>
      <c r="B587" s="12">
        <f t="shared" si="135"/>
        <v>23</v>
      </c>
      <c r="C587" s="12" t="s">
        <v>52</v>
      </c>
      <c r="D587" s="12">
        <v>1</v>
      </c>
      <c r="E587" s="12" t="s">
        <v>53</v>
      </c>
      <c r="F587" s="12">
        <v>0</v>
      </c>
      <c r="G587" s="12">
        <v>1</v>
      </c>
      <c r="H587" s="12" t="s">
        <v>61</v>
      </c>
      <c r="I587" s="12">
        <v>1</v>
      </c>
      <c r="J587" s="12">
        <v>0</v>
      </c>
      <c r="K587" s="12">
        <v>6</v>
      </c>
      <c r="L587" s="12">
        <f t="shared" si="136"/>
        <v>6</v>
      </c>
      <c r="M587" s="12">
        <v>3</v>
      </c>
      <c r="N587" s="12" t="s">
        <v>55</v>
      </c>
      <c r="O587" s="12">
        <v>1</v>
      </c>
      <c r="P587" s="12">
        <v>0</v>
      </c>
      <c r="Q587" s="12">
        <v>0</v>
      </c>
      <c r="R587" s="12">
        <v>0</v>
      </c>
      <c r="S587" s="12">
        <v>0</v>
      </c>
      <c r="T587" s="12">
        <v>3</v>
      </c>
      <c r="U587" s="12" t="s">
        <v>62</v>
      </c>
      <c r="V587" s="12">
        <v>0</v>
      </c>
      <c r="W587" s="12">
        <v>63</v>
      </c>
      <c r="X587" s="12">
        <v>4</v>
      </c>
      <c r="Y587" s="12">
        <v>1</v>
      </c>
      <c r="Z587" s="12" t="s">
        <v>67</v>
      </c>
      <c r="AA587" s="12">
        <v>0</v>
      </c>
      <c r="AB587" s="12">
        <v>0</v>
      </c>
      <c r="AC587" s="12">
        <v>1</v>
      </c>
      <c r="AD587" s="12">
        <v>0</v>
      </c>
      <c r="AE587" s="12">
        <v>0</v>
      </c>
      <c r="AF587" s="12">
        <v>0</v>
      </c>
      <c r="AG587" s="12">
        <v>0</v>
      </c>
      <c r="AH587" s="12">
        <v>0</v>
      </c>
      <c r="AI587" s="12">
        <v>1</v>
      </c>
      <c r="AJ587" s="12" t="s">
        <v>64</v>
      </c>
      <c r="AK587" s="12">
        <v>0</v>
      </c>
      <c r="AL587" s="12">
        <v>1</v>
      </c>
      <c r="AM587" s="12">
        <v>1601</v>
      </c>
      <c r="AN587" s="12">
        <f t="shared" si="137"/>
        <v>1601</v>
      </c>
      <c r="AO587" s="12">
        <v>1</v>
      </c>
      <c r="AP587" s="12" t="s">
        <v>52</v>
      </c>
      <c r="AQ587" s="12">
        <v>1</v>
      </c>
      <c r="AR587" s="12">
        <v>21</v>
      </c>
      <c r="AS587" s="12">
        <v>4</v>
      </c>
      <c r="AT587" s="12">
        <v>3</v>
      </c>
      <c r="AU587" s="12">
        <v>2</v>
      </c>
      <c r="AV587" s="12">
        <v>1</v>
      </c>
      <c r="AW587" s="12">
        <f t="shared" si="138"/>
        <v>1</v>
      </c>
      <c r="AX587" s="12">
        <v>2</v>
      </c>
      <c r="AY587" s="12">
        <v>3</v>
      </c>
      <c r="AZ587" s="12">
        <v>0</v>
      </c>
      <c r="BA587" s="12">
        <f t="shared" si="139"/>
        <v>0</v>
      </c>
      <c r="BB587" s="12">
        <v>0</v>
      </c>
      <c r="BC587" s="12">
        <v>0</v>
      </c>
      <c r="BD587" s="12">
        <f t="shared" si="148"/>
        <v>0</v>
      </c>
      <c r="BE587" s="12">
        <v>0</v>
      </c>
      <c r="BF587" s="12">
        <f t="shared" si="140"/>
        <v>0</v>
      </c>
      <c r="BG587" s="12">
        <f t="shared" si="149"/>
        <v>0</v>
      </c>
      <c r="BH587" s="67">
        <v>0</v>
      </c>
      <c r="BI587" s="67">
        <v>1</v>
      </c>
      <c r="BJ587" s="67">
        <v>0</v>
      </c>
      <c r="BK587" s="67">
        <v>0</v>
      </c>
      <c r="BL587" s="67">
        <v>0</v>
      </c>
      <c r="BM587" s="67">
        <v>0</v>
      </c>
      <c r="BN587" s="67">
        <v>0</v>
      </c>
      <c r="BO587" s="67">
        <v>1</v>
      </c>
      <c r="BP587" s="67">
        <v>0</v>
      </c>
      <c r="BQ587" s="67">
        <v>0</v>
      </c>
      <c r="BR587" s="67">
        <v>0</v>
      </c>
      <c r="BS587" s="67">
        <v>0</v>
      </c>
      <c r="BT587" s="67">
        <v>1</v>
      </c>
      <c r="BU587" s="70">
        <v>0</v>
      </c>
      <c r="BV587" s="29">
        <f t="shared" si="141"/>
        <v>1.0412014209891221</v>
      </c>
      <c r="BW587">
        <f t="shared" si="142"/>
        <v>1.1555414682655611</v>
      </c>
      <c r="BX587">
        <f t="shared" si="143"/>
        <v>1.3211515584717011</v>
      </c>
      <c r="BY587">
        <f t="shared" si="144"/>
        <v>1.1439050833826525</v>
      </c>
      <c r="BZ587">
        <f t="shared" si="145"/>
        <v>0.39380416832397891</v>
      </c>
      <c r="CA587">
        <f t="shared" si="146"/>
        <v>1.5241642326246359</v>
      </c>
      <c r="CB587">
        <f t="shared" si="147"/>
        <v>0.67891464284095016</v>
      </c>
    </row>
    <row r="588" spans="1:80" x14ac:dyDescent="0.45">
      <c r="A588" s="11">
        <v>24</v>
      </c>
      <c r="B588" s="12">
        <f t="shared" si="135"/>
        <v>24</v>
      </c>
      <c r="C588" s="12" t="s">
        <v>59</v>
      </c>
      <c r="D588" s="12">
        <v>0</v>
      </c>
      <c r="E588" s="12" t="s">
        <v>86</v>
      </c>
      <c r="F588" s="12">
        <v>0</v>
      </c>
      <c r="G588" s="12">
        <v>0</v>
      </c>
      <c r="H588" s="12" t="s">
        <v>61</v>
      </c>
      <c r="I588" s="12">
        <v>1</v>
      </c>
      <c r="J588" s="12">
        <v>0</v>
      </c>
      <c r="K588" s="12">
        <v>9</v>
      </c>
      <c r="L588" s="12">
        <f t="shared" si="136"/>
        <v>9</v>
      </c>
      <c r="M588" s="12">
        <v>3</v>
      </c>
      <c r="N588" s="12" t="s">
        <v>55</v>
      </c>
      <c r="O588" s="12">
        <v>1</v>
      </c>
      <c r="P588" s="12">
        <v>0</v>
      </c>
      <c r="Q588" s="12">
        <v>0</v>
      </c>
      <c r="R588" s="12">
        <v>0</v>
      </c>
      <c r="S588" s="12">
        <v>0</v>
      </c>
      <c r="T588" s="12">
        <v>3</v>
      </c>
      <c r="U588" s="12" t="s">
        <v>62</v>
      </c>
      <c r="V588" s="12">
        <v>0</v>
      </c>
      <c r="W588" s="12">
        <v>60</v>
      </c>
      <c r="X588" s="12">
        <v>2</v>
      </c>
      <c r="Y588" s="12">
        <v>1</v>
      </c>
      <c r="Z588" s="12" t="s">
        <v>67</v>
      </c>
      <c r="AA588" s="12">
        <v>0</v>
      </c>
      <c r="AB588" s="12">
        <v>0</v>
      </c>
      <c r="AC588" s="12">
        <v>1</v>
      </c>
      <c r="AD588" s="12">
        <v>0</v>
      </c>
      <c r="AE588" s="12">
        <v>0</v>
      </c>
      <c r="AF588" s="12">
        <v>0</v>
      </c>
      <c r="AG588" s="12">
        <v>0</v>
      </c>
      <c r="AH588" s="12">
        <v>0</v>
      </c>
      <c r="AI588" s="12">
        <v>2</v>
      </c>
      <c r="AJ588" s="12" t="s">
        <v>78</v>
      </c>
      <c r="AK588" s="12">
        <v>0</v>
      </c>
      <c r="AL588" s="12">
        <v>0</v>
      </c>
      <c r="AM588" s="12">
        <v>2694</v>
      </c>
      <c r="AN588" s="12">
        <f t="shared" si="137"/>
        <v>2694</v>
      </c>
      <c r="AO588" s="12">
        <v>1</v>
      </c>
      <c r="AP588" s="12" t="s">
        <v>59</v>
      </c>
      <c r="AQ588" s="12">
        <v>0</v>
      </c>
      <c r="AR588" s="12">
        <v>11</v>
      </c>
      <c r="AS588" s="12">
        <v>3</v>
      </c>
      <c r="AT588" s="12">
        <v>3</v>
      </c>
      <c r="AU588" s="12">
        <v>3</v>
      </c>
      <c r="AV588" s="12">
        <v>1</v>
      </c>
      <c r="AW588" s="12">
        <f t="shared" si="138"/>
        <v>1</v>
      </c>
      <c r="AX588" s="12">
        <v>4</v>
      </c>
      <c r="AY588" s="12">
        <v>3</v>
      </c>
      <c r="AZ588" s="12">
        <v>1</v>
      </c>
      <c r="BA588" s="12">
        <f t="shared" si="139"/>
        <v>1</v>
      </c>
      <c r="BB588" s="12">
        <v>0</v>
      </c>
      <c r="BC588" s="12">
        <v>0</v>
      </c>
      <c r="BD588" s="12">
        <f t="shared" si="148"/>
        <v>0</v>
      </c>
      <c r="BE588" s="12">
        <v>0</v>
      </c>
      <c r="BF588" s="12">
        <f t="shared" si="140"/>
        <v>0</v>
      </c>
      <c r="BG588" s="12">
        <f t="shared" si="149"/>
        <v>0</v>
      </c>
      <c r="BH588" s="67">
        <v>1</v>
      </c>
      <c r="BI588" s="67">
        <v>0</v>
      </c>
      <c r="BJ588" s="67">
        <v>0</v>
      </c>
      <c r="BK588" s="67">
        <v>0</v>
      </c>
      <c r="BL588" s="67">
        <v>1</v>
      </c>
      <c r="BM588" s="67">
        <v>0</v>
      </c>
      <c r="BN588" s="67">
        <v>0</v>
      </c>
      <c r="BO588" s="67">
        <v>0</v>
      </c>
      <c r="BP588" s="67">
        <v>0</v>
      </c>
      <c r="BQ588" s="67">
        <v>0</v>
      </c>
      <c r="BR588" s="67">
        <v>0</v>
      </c>
      <c r="BS588" s="67">
        <v>0</v>
      </c>
      <c r="BT588" s="67">
        <v>1</v>
      </c>
      <c r="BU588" s="70">
        <v>0</v>
      </c>
      <c r="BV588" s="29">
        <f t="shared" si="141"/>
        <v>0.80904126099700557</v>
      </c>
      <c r="BW588">
        <f t="shared" si="142"/>
        <v>1.1555414682655611</v>
      </c>
      <c r="BX588">
        <f t="shared" si="143"/>
        <v>1.3211515584717011</v>
      </c>
      <c r="BY588">
        <f t="shared" si="144"/>
        <v>0.9806804209314296</v>
      </c>
      <c r="BZ588">
        <f t="shared" si="145"/>
        <v>2.3747406698420157E-2</v>
      </c>
      <c r="CA588">
        <f t="shared" si="146"/>
        <v>1.4146996331543302</v>
      </c>
      <c r="CB588">
        <f t="shared" si="147"/>
        <v>0.67891464284095016</v>
      </c>
    </row>
    <row r="589" spans="1:80" x14ac:dyDescent="0.45">
      <c r="A589" s="11">
        <v>52</v>
      </c>
      <c r="B589" s="12">
        <f t="shared" si="135"/>
        <v>52</v>
      </c>
      <c r="C589" s="12" t="s">
        <v>59</v>
      </c>
      <c r="D589" s="12">
        <v>0</v>
      </c>
      <c r="E589" s="12" t="s">
        <v>53</v>
      </c>
      <c r="F589" s="12">
        <v>0</v>
      </c>
      <c r="G589" s="12">
        <v>1</v>
      </c>
      <c r="H589" s="12" t="s">
        <v>61</v>
      </c>
      <c r="I589" s="12">
        <v>1</v>
      </c>
      <c r="J589" s="12">
        <v>0</v>
      </c>
      <c r="K589" s="12">
        <v>11</v>
      </c>
      <c r="L589" s="12">
        <f t="shared" si="136"/>
        <v>11</v>
      </c>
      <c r="M589" s="12">
        <v>4</v>
      </c>
      <c r="N589" s="12" t="s">
        <v>55</v>
      </c>
      <c r="O589" s="12">
        <v>1</v>
      </c>
      <c r="P589" s="12">
        <v>0</v>
      </c>
      <c r="Q589" s="12">
        <v>0</v>
      </c>
      <c r="R589" s="12">
        <v>0</v>
      </c>
      <c r="S589" s="12">
        <v>0</v>
      </c>
      <c r="T589" s="12">
        <v>4</v>
      </c>
      <c r="U589" s="12" t="s">
        <v>19</v>
      </c>
      <c r="V589" s="12">
        <v>1</v>
      </c>
      <c r="W589" s="12">
        <v>82</v>
      </c>
      <c r="X589" s="12">
        <v>3</v>
      </c>
      <c r="Y589" s="12">
        <v>2</v>
      </c>
      <c r="Z589" s="12" t="s">
        <v>67</v>
      </c>
      <c r="AA589" s="12">
        <v>0</v>
      </c>
      <c r="AB589" s="12">
        <v>0</v>
      </c>
      <c r="AC589" s="12">
        <v>1</v>
      </c>
      <c r="AD589" s="12">
        <v>0</v>
      </c>
      <c r="AE589" s="12">
        <v>0</v>
      </c>
      <c r="AF589" s="12">
        <v>0</v>
      </c>
      <c r="AG589" s="12">
        <v>0</v>
      </c>
      <c r="AH589" s="12">
        <v>0</v>
      </c>
      <c r="AI589" s="12">
        <v>3</v>
      </c>
      <c r="AJ589" s="12" t="s">
        <v>64</v>
      </c>
      <c r="AK589" s="12">
        <v>0</v>
      </c>
      <c r="AL589" s="12">
        <v>1</v>
      </c>
      <c r="AM589" s="12">
        <v>3149</v>
      </c>
      <c r="AN589" s="12">
        <f t="shared" si="137"/>
        <v>3149</v>
      </c>
      <c r="AO589" s="12">
        <v>8</v>
      </c>
      <c r="AP589" s="12" t="s">
        <v>59</v>
      </c>
      <c r="AQ589" s="12">
        <v>0</v>
      </c>
      <c r="AR589" s="12">
        <v>20</v>
      </c>
      <c r="AS589" s="12">
        <v>4</v>
      </c>
      <c r="AT589" s="12">
        <v>2</v>
      </c>
      <c r="AU589" s="12">
        <v>1</v>
      </c>
      <c r="AV589" s="12">
        <v>9</v>
      </c>
      <c r="AW589" s="12">
        <f t="shared" si="138"/>
        <v>9</v>
      </c>
      <c r="AX589" s="12">
        <v>3</v>
      </c>
      <c r="AY589" s="12">
        <v>3</v>
      </c>
      <c r="AZ589" s="12">
        <v>5</v>
      </c>
      <c r="BA589" s="12">
        <f t="shared" si="139"/>
        <v>5</v>
      </c>
      <c r="BB589" s="12">
        <v>2</v>
      </c>
      <c r="BC589" s="12">
        <v>1</v>
      </c>
      <c r="BD589" s="12">
        <f t="shared" si="148"/>
        <v>1</v>
      </c>
      <c r="BE589" s="12">
        <v>4</v>
      </c>
      <c r="BF589" s="12">
        <f t="shared" si="140"/>
        <v>4</v>
      </c>
      <c r="BG589" s="12">
        <f t="shared" si="149"/>
        <v>8</v>
      </c>
      <c r="BH589" s="67">
        <v>0</v>
      </c>
      <c r="BI589" s="67">
        <v>1</v>
      </c>
      <c r="BJ589" s="67">
        <v>0</v>
      </c>
      <c r="BK589" s="67">
        <v>0</v>
      </c>
      <c r="BL589" s="67">
        <v>0</v>
      </c>
      <c r="BM589" s="67">
        <v>0</v>
      </c>
      <c r="BN589" s="67">
        <v>1</v>
      </c>
      <c r="BO589" s="67">
        <v>0</v>
      </c>
      <c r="BP589" s="67">
        <v>0</v>
      </c>
      <c r="BQ589" s="67">
        <v>4</v>
      </c>
      <c r="BR589" s="67">
        <v>0</v>
      </c>
      <c r="BS589" s="67">
        <v>0</v>
      </c>
      <c r="BT589" s="67">
        <v>9</v>
      </c>
      <c r="BU589" s="70">
        <v>0</v>
      </c>
      <c r="BV589" s="29">
        <f t="shared" si="141"/>
        <v>0.71239636365353531</v>
      </c>
      <c r="BW589">
        <f t="shared" si="142"/>
        <v>3.4508002929560584E-2</v>
      </c>
      <c r="BX589">
        <f t="shared" si="143"/>
        <v>0.29297722668510823</v>
      </c>
      <c r="BY589">
        <f t="shared" si="144"/>
        <v>0.32778177112653761</v>
      </c>
      <c r="BZ589">
        <f t="shared" si="145"/>
        <v>0.22295710105195232</v>
      </c>
      <c r="CA589">
        <f t="shared" si="146"/>
        <v>1.6503091520142259</v>
      </c>
      <c r="CB589">
        <f t="shared" si="147"/>
        <v>0.36858985273641137</v>
      </c>
    </row>
    <row r="590" spans="1:80" x14ac:dyDescent="0.45">
      <c r="A590" s="11">
        <v>50</v>
      </c>
      <c r="B590" s="12">
        <f t="shared" si="135"/>
        <v>50</v>
      </c>
      <c r="C590" s="12" t="s">
        <v>59</v>
      </c>
      <c r="D590" s="12">
        <v>0</v>
      </c>
      <c r="E590" s="12" t="s">
        <v>53</v>
      </c>
      <c r="F590" s="12">
        <v>0</v>
      </c>
      <c r="G590" s="12">
        <v>1</v>
      </c>
      <c r="H590" s="12" t="s">
        <v>61</v>
      </c>
      <c r="I590" s="12">
        <v>1</v>
      </c>
      <c r="J590" s="12">
        <v>0</v>
      </c>
      <c r="K590" s="12">
        <v>2</v>
      </c>
      <c r="L590" s="12">
        <f t="shared" si="136"/>
        <v>2</v>
      </c>
      <c r="M590" s="12">
        <v>3</v>
      </c>
      <c r="N590" s="12" t="s">
        <v>70</v>
      </c>
      <c r="O590" s="12">
        <v>0</v>
      </c>
      <c r="P590" s="12">
        <v>0</v>
      </c>
      <c r="Q590" s="12">
        <v>1</v>
      </c>
      <c r="R590" s="12">
        <v>0</v>
      </c>
      <c r="S590" s="12">
        <v>0</v>
      </c>
      <c r="T590" s="12">
        <v>3</v>
      </c>
      <c r="U590" s="12" t="s">
        <v>62</v>
      </c>
      <c r="V590" s="12">
        <v>0</v>
      </c>
      <c r="W590" s="12">
        <v>64</v>
      </c>
      <c r="X590" s="12">
        <v>3</v>
      </c>
      <c r="Y590" s="12">
        <v>4</v>
      </c>
      <c r="Z590" s="12" t="s">
        <v>89</v>
      </c>
      <c r="AA590" s="12">
        <v>0</v>
      </c>
      <c r="AB590" s="12">
        <v>0</v>
      </c>
      <c r="AC590" s="12">
        <v>0</v>
      </c>
      <c r="AD590" s="12">
        <v>0</v>
      </c>
      <c r="AE590" s="12">
        <v>0</v>
      </c>
      <c r="AF590" s="12">
        <v>0</v>
      </c>
      <c r="AG590" s="12">
        <v>0</v>
      </c>
      <c r="AH590" s="12">
        <v>0</v>
      </c>
      <c r="AI590" s="12">
        <v>3</v>
      </c>
      <c r="AJ590" s="12" t="s">
        <v>64</v>
      </c>
      <c r="AK590" s="12">
        <v>0</v>
      </c>
      <c r="AL590" s="12">
        <v>1</v>
      </c>
      <c r="AM590" s="12">
        <v>17639</v>
      </c>
      <c r="AN590" s="12">
        <f t="shared" si="137"/>
        <v>17639</v>
      </c>
      <c r="AO590" s="12">
        <v>5</v>
      </c>
      <c r="AP590" s="12" t="s">
        <v>59</v>
      </c>
      <c r="AQ590" s="12">
        <v>0</v>
      </c>
      <c r="AR590" s="12">
        <v>16</v>
      </c>
      <c r="AS590" s="12">
        <v>3</v>
      </c>
      <c r="AT590" s="12">
        <v>4</v>
      </c>
      <c r="AU590" s="12">
        <v>0</v>
      </c>
      <c r="AV590" s="12">
        <v>30</v>
      </c>
      <c r="AW590" s="12">
        <f t="shared" si="138"/>
        <v>30</v>
      </c>
      <c r="AX590" s="12">
        <v>3</v>
      </c>
      <c r="AY590" s="12">
        <v>3</v>
      </c>
      <c r="AZ590" s="12">
        <v>4</v>
      </c>
      <c r="BA590" s="12">
        <f t="shared" si="139"/>
        <v>4</v>
      </c>
      <c r="BB590" s="12">
        <v>3</v>
      </c>
      <c r="BC590" s="12">
        <v>0</v>
      </c>
      <c r="BD590" s="12">
        <f t="shared" si="148"/>
        <v>0</v>
      </c>
      <c r="BE590" s="12">
        <v>3</v>
      </c>
      <c r="BF590" s="12">
        <f t="shared" si="140"/>
        <v>3</v>
      </c>
      <c r="BG590" s="12">
        <f t="shared" si="149"/>
        <v>12</v>
      </c>
      <c r="BH590" s="67">
        <v>0</v>
      </c>
      <c r="BI590" s="67">
        <v>1</v>
      </c>
      <c r="BJ590" s="67">
        <v>0</v>
      </c>
      <c r="BK590" s="67">
        <v>0</v>
      </c>
      <c r="BL590" s="67">
        <v>0</v>
      </c>
      <c r="BM590" s="67">
        <v>0</v>
      </c>
      <c r="BN590" s="67">
        <v>1</v>
      </c>
      <c r="BO590" s="67">
        <v>0</v>
      </c>
      <c r="BP590" s="67">
        <v>0</v>
      </c>
      <c r="BQ590" s="67">
        <v>3</v>
      </c>
      <c r="BR590" s="67">
        <v>0</v>
      </c>
      <c r="BS590" s="67">
        <v>0</v>
      </c>
      <c r="BT590" s="67">
        <v>30</v>
      </c>
      <c r="BU590" s="70">
        <v>0</v>
      </c>
      <c r="BV590" s="29">
        <f t="shared" si="141"/>
        <v>2.365371905592363</v>
      </c>
      <c r="BW590">
        <f t="shared" si="142"/>
        <v>0.31476636926356072</v>
      </c>
      <c r="BX590">
        <f t="shared" si="143"/>
        <v>2.4059803942546978</v>
      </c>
      <c r="BY590">
        <f t="shared" si="144"/>
        <v>0.49100643357776058</v>
      </c>
      <c r="BZ590">
        <f t="shared" si="145"/>
        <v>0.88721318382472392</v>
      </c>
      <c r="CA590">
        <f t="shared" si="146"/>
        <v>1.4313799530736149</v>
      </c>
      <c r="CB590">
        <f t="shared" si="147"/>
        <v>0.67891464284095016</v>
      </c>
    </row>
    <row r="591" spans="1:80" x14ac:dyDescent="0.45">
      <c r="A591" s="11">
        <v>29</v>
      </c>
      <c r="B591" s="12">
        <f t="shared" si="135"/>
        <v>29</v>
      </c>
      <c r="C591" s="12" t="s">
        <v>52</v>
      </c>
      <c r="D591" s="12">
        <v>1</v>
      </c>
      <c r="E591" s="12" t="s">
        <v>53</v>
      </c>
      <c r="F591" s="12">
        <v>0</v>
      </c>
      <c r="G591" s="12">
        <v>1</v>
      </c>
      <c r="H591" s="12" t="s">
        <v>61</v>
      </c>
      <c r="I591" s="12">
        <v>1</v>
      </c>
      <c r="J591" s="12">
        <v>0</v>
      </c>
      <c r="K591" s="12">
        <v>1</v>
      </c>
      <c r="L591" s="12">
        <f t="shared" si="136"/>
        <v>1</v>
      </c>
      <c r="M591" s="12">
        <v>2</v>
      </c>
      <c r="N591" s="12" t="s">
        <v>55</v>
      </c>
      <c r="O591" s="12">
        <v>1</v>
      </c>
      <c r="P591" s="12">
        <v>0</v>
      </c>
      <c r="Q591" s="12">
        <v>0</v>
      </c>
      <c r="R591" s="12">
        <v>0</v>
      </c>
      <c r="S591" s="12">
        <v>0</v>
      </c>
      <c r="T591" s="12">
        <v>2</v>
      </c>
      <c r="U591" s="12" t="s">
        <v>19</v>
      </c>
      <c r="V591" s="12">
        <v>1</v>
      </c>
      <c r="W591" s="12">
        <v>36</v>
      </c>
      <c r="X591" s="12">
        <v>2</v>
      </c>
      <c r="Y591" s="12">
        <v>1</v>
      </c>
      <c r="Z591" s="12" t="s">
        <v>67</v>
      </c>
      <c r="AA591" s="12">
        <v>0</v>
      </c>
      <c r="AB591" s="12">
        <v>0</v>
      </c>
      <c r="AC591" s="12">
        <v>1</v>
      </c>
      <c r="AD591" s="12">
        <v>0</v>
      </c>
      <c r="AE591" s="12">
        <v>0</v>
      </c>
      <c r="AF591" s="12">
        <v>0</v>
      </c>
      <c r="AG591" s="12">
        <v>0</v>
      </c>
      <c r="AH591" s="12">
        <v>0</v>
      </c>
      <c r="AI591" s="12">
        <v>1</v>
      </c>
      <c r="AJ591" s="12" t="s">
        <v>64</v>
      </c>
      <c r="AK591" s="12">
        <v>0</v>
      </c>
      <c r="AL591" s="12">
        <v>1</v>
      </c>
      <c r="AM591" s="12">
        <v>2319</v>
      </c>
      <c r="AN591" s="12">
        <f t="shared" si="137"/>
        <v>2319</v>
      </c>
      <c r="AO591" s="12">
        <v>1</v>
      </c>
      <c r="AP591" s="12" t="s">
        <v>52</v>
      </c>
      <c r="AQ591" s="12">
        <v>1</v>
      </c>
      <c r="AR591" s="12">
        <v>11</v>
      </c>
      <c r="AS591" s="12">
        <v>3</v>
      </c>
      <c r="AT591" s="12">
        <v>4</v>
      </c>
      <c r="AU591" s="12">
        <v>1</v>
      </c>
      <c r="AV591" s="12">
        <v>1</v>
      </c>
      <c r="AW591" s="12">
        <f t="shared" si="138"/>
        <v>1</v>
      </c>
      <c r="AX591" s="12">
        <v>1</v>
      </c>
      <c r="AY591" s="12">
        <v>3</v>
      </c>
      <c r="AZ591" s="12">
        <v>1</v>
      </c>
      <c r="BA591" s="12">
        <f t="shared" si="139"/>
        <v>1</v>
      </c>
      <c r="BB591" s="12">
        <v>0</v>
      </c>
      <c r="BC591" s="12">
        <v>0</v>
      </c>
      <c r="BD591" s="12">
        <f t="shared" si="148"/>
        <v>0</v>
      </c>
      <c r="BE591" s="12">
        <v>0</v>
      </c>
      <c r="BF591" s="12">
        <f t="shared" si="140"/>
        <v>0</v>
      </c>
      <c r="BG591" s="12">
        <f t="shared" si="149"/>
        <v>0</v>
      </c>
      <c r="BH591" s="67">
        <v>0</v>
      </c>
      <c r="BI591" s="67">
        <v>1</v>
      </c>
      <c r="BJ591" s="67">
        <v>0</v>
      </c>
      <c r="BK591" s="67">
        <v>0</v>
      </c>
      <c r="BL591" s="67">
        <v>0</v>
      </c>
      <c r="BM591" s="67">
        <v>0</v>
      </c>
      <c r="BN591" s="67">
        <v>0</v>
      </c>
      <c r="BO591" s="67">
        <v>1</v>
      </c>
      <c r="BP591" s="67">
        <v>0</v>
      </c>
      <c r="BQ591" s="67">
        <v>0</v>
      </c>
      <c r="BR591" s="67">
        <v>0</v>
      </c>
      <c r="BS591" s="67">
        <v>0</v>
      </c>
      <c r="BT591" s="67">
        <v>1</v>
      </c>
      <c r="BU591" s="70">
        <v>0</v>
      </c>
      <c r="BV591" s="29">
        <f t="shared" si="141"/>
        <v>0.88869364891744806</v>
      </c>
      <c r="BW591">
        <f t="shared" si="142"/>
        <v>1.1555414682655611</v>
      </c>
      <c r="BX591">
        <f t="shared" si="143"/>
        <v>1.3211515584717011</v>
      </c>
      <c r="BY591">
        <f t="shared" si="144"/>
        <v>0.9806804209314296</v>
      </c>
      <c r="BZ591">
        <f t="shared" si="145"/>
        <v>1.01056543769991</v>
      </c>
      <c r="CA591">
        <f t="shared" si="146"/>
        <v>0.86737663580280233</v>
      </c>
      <c r="CB591">
        <f t="shared" si="147"/>
        <v>0.67891464284095016</v>
      </c>
    </row>
    <row r="592" spans="1:80" x14ac:dyDescent="0.45">
      <c r="A592" s="11">
        <v>33</v>
      </c>
      <c r="B592" s="12">
        <f t="shared" si="135"/>
        <v>33</v>
      </c>
      <c r="C592" s="12" t="s">
        <v>59</v>
      </c>
      <c r="D592" s="12">
        <v>0</v>
      </c>
      <c r="E592" s="12" t="s">
        <v>53</v>
      </c>
      <c r="F592" s="12">
        <v>0</v>
      </c>
      <c r="G592" s="12">
        <v>1</v>
      </c>
      <c r="H592" s="12" t="s">
        <v>61</v>
      </c>
      <c r="I592" s="12">
        <v>1</v>
      </c>
      <c r="J592" s="12">
        <v>0</v>
      </c>
      <c r="K592" s="12">
        <v>7</v>
      </c>
      <c r="L592" s="12">
        <f t="shared" si="136"/>
        <v>7</v>
      </c>
      <c r="M592" s="12">
        <v>3</v>
      </c>
      <c r="N592" s="12" t="s">
        <v>70</v>
      </c>
      <c r="O592" s="12">
        <v>0</v>
      </c>
      <c r="P592" s="12">
        <v>0</v>
      </c>
      <c r="Q592" s="12">
        <v>1</v>
      </c>
      <c r="R592" s="12">
        <v>0</v>
      </c>
      <c r="S592" s="12">
        <v>0</v>
      </c>
      <c r="T592" s="12">
        <v>3</v>
      </c>
      <c r="U592" s="12" t="s">
        <v>62</v>
      </c>
      <c r="V592" s="12">
        <v>0</v>
      </c>
      <c r="W592" s="12">
        <v>49</v>
      </c>
      <c r="X592" s="12">
        <v>3</v>
      </c>
      <c r="Y592" s="12">
        <v>3</v>
      </c>
      <c r="Z592" s="12" t="s">
        <v>89</v>
      </c>
      <c r="AA592" s="12">
        <v>0</v>
      </c>
      <c r="AB592" s="12">
        <v>0</v>
      </c>
      <c r="AC592" s="12">
        <v>0</v>
      </c>
      <c r="AD592" s="12">
        <v>0</v>
      </c>
      <c r="AE592" s="12">
        <v>0</v>
      </c>
      <c r="AF592" s="12">
        <v>0</v>
      </c>
      <c r="AG592" s="12">
        <v>0</v>
      </c>
      <c r="AH592" s="12">
        <v>0</v>
      </c>
      <c r="AI592" s="12">
        <v>3</v>
      </c>
      <c r="AJ592" s="12" t="s">
        <v>64</v>
      </c>
      <c r="AK592" s="12">
        <v>0</v>
      </c>
      <c r="AL592" s="12">
        <v>1</v>
      </c>
      <c r="AM592" s="12">
        <v>11691</v>
      </c>
      <c r="AN592" s="12">
        <f t="shared" si="137"/>
        <v>11691</v>
      </c>
      <c r="AO592" s="12">
        <v>0</v>
      </c>
      <c r="AP592" s="12" t="s">
        <v>59</v>
      </c>
      <c r="AQ592" s="12">
        <v>0</v>
      </c>
      <c r="AR592" s="12">
        <v>11</v>
      </c>
      <c r="AS592" s="12">
        <v>3</v>
      </c>
      <c r="AT592" s="12">
        <v>4</v>
      </c>
      <c r="AU592" s="12">
        <v>0</v>
      </c>
      <c r="AV592" s="12">
        <v>14</v>
      </c>
      <c r="AW592" s="12">
        <f t="shared" si="138"/>
        <v>14</v>
      </c>
      <c r="AX592" s="12">
        <v>3</v>
      </c>
      <c r="AY592" s="12">
        <v>4</v>
      </c>
      <c r="AZ592" s="12">
        <v>13</v>
      </c>
      <c r="BA592" s="12">
        <f t="shared" si="139"/>
        <v>13</v>
      </c>
      <c r="BB592" s="12">
        <v>9</v>
      </c>
      <c r="BC592" s="12">
        <v>3</v>
      </c>
      <c r="BD592" s="12">
        <f t="shared" si="148"/>
        <v>3</v>
      </c>
      <c r="BE592" s="12">
        <v>7</v>
      </c>
      <c r="BF592" s="12">
        <f t="shared" si="140"/>
        <v>7</v>
      </c>
      <c r="BG592" s="12">
        <f t="shared" si="149"/>
        <v>21</v>
      </c>
      <c r="BH592" s="67">
        <v>0</v>
      </c>
      <c r="BI592" s="67">
        <v>1</v>
      </c>
      <c r="BJ592" s="67">
        <v>0</v>
      </c>
      <c r="BK592" s="67">
        <v>0</v>
      </c>
      <c r="BL592" s="67">
        <v>0</v>
      </c>
      <c r="BM592" s="67">
        <v>0</v>
      </c>
      <c r="BN592" s="67">
        <v>1</v>
      </c>
      <c r="BO592" s="67">
        <v>0</v>
      </c>
      <c r="BP592" s="67">
        <v>0</v>
      </c>
      <c r="BQ592" s="67">
        <v>7</v>
      </c>
      <c r="BR592" s="67">
        <v>0</v>
      </c>
      <c r="BS592" s="67">
        <v>0</v>
      </c>
      <c r="BT592" s="67">
        <v>14</v>
      </c>
      <c r="BU592" s="70">
        <v>0</v>
      </c>
      <c r="BV592" s="29">
        <f t="shared" si="141"/>
        <v>1.1019788299902509</v>
      </c>
      <c r="BW592">
        <f t="shared" si="142"/>
        <v>0.80626709607243985</v>
      </c>
      <c r="BX592">
        <f t="shared" si="143"/>
        <v>0.34963173068151232</v>
      </c>
      <c r="BY592">
        <f t="shared" si="144"/>
        <v>0.97801552848324624</v>
      </c>
      <c r="BZ592">
        <f t="shared" si="145"/>
        <v>0.27045191444879263</v>
      </c>
      <c r="CA592">
        <f t="shared" si="146"/>
        <v>0.42951823792158</v>
      </c>
      <c r="CB592">
        <f t="shared" si="147"/>
        <v>0.2520597274726662</v>
      </c>
    </row>
    <row r="593" spans="1:80" x14ac:dyDescent="0.45">
      <c r="A593" s="11">
        <v>33</v>
      </c>
      <c r="B593" s="12">
        <f t="shared" si="135"/>
        <v>33</v>
      </c>
      <c r="C593" s="12" t="s">
        <v>52</v>
      </c>
      <c r="D593" s="12">
        <v>1</v>
      </c>
      <c r="E593" s="12" t="s">
        <v>53</v>
      </c>
      <c r="F593" s="12">
        <v>0</v>
      </c>
      <c r="G593" s="12">
        <v>1</v>
      </c>
      <c r="H593" s="12" t="s">
        <v>54</v>
      </c>
      <c r="I593" s="12">
        <v>0</v>
      </c>
      <c r="J593" s="12">
        <v>1</v>
      </c>
      <c r="K593" s="12">
        <v>16</v>
      </c>
      <c r="L593" s="12">
        <f t="shared" si="136"/>
        <v>16</v>
      </c>
      <c r="M593" s="12">
        <v>3</v>
      </c>
      <c r="N593" s="12" t="s">
        <v>90</v>
      </c>
      <c r="O593" s="12">
        <v>0</v>
      </c>
      <c r="P593" s="12">
        <v>0</v>
      </c>
      <c r="Q593" s="12">
        <v>0</v>
      </c>
      <c r="R593" s="12">
        <v>1</v>
      </c>
      <c r="S593" s="12">
        <v>0</v>
      </c>
      <c r="T593" s="12">
        <v>1</v>
      </c>
      <c r="U593" s="12" t="s">
        <v>19</v>
      </c>
      <c r="V593" s="12">
        <v>1</v>
      </c>
      <c r="W593" s="12">
        <v>69</v>
      </c>
      <c r="X593" s="12">
        <v>3</v>
      </c>
      <c r="Y593" s="12">
        <v>2</v>
      </c>
      <c r="Z593" s="12" t="s">
        <v>56</v>
      </c>
      <c r="AA593" s="12">
        <v>0</v>
      </c>
      <c r="AB593" s="12">
        <v>1</v>
      </c>
      <c r="AC593" s="12">
        <v>0</v>
      </c>
      <c r="AD593" s="12">
        <v>0</v>
      </c>
      <c r="AE593" s="12">
        <v>0</v>
      </c>
      <c r="AF593" s="12">
        <v>0</v>
      </c>
      <c r="AG593" s="12">
        <v>0</v>
      </c>
      <c r="AH593" s="12">
        <v>0</v>
      </c>
      <c r="AI593" s="12">
        <v>1</v>
      </c>
      <c r="AJ593" s="12" t="s">
        <v>57</v>
      </c>
      <c r="AK593" s="12">
        <v>1</v>
      </c>
      <c r="AL593" s="12">
        <v>0</v>
      </c>
      <c r="AM593" s="12">
        <v>5324</v>
      </c>
      <c r="AN593" s="12">
        <f t="shared" si="137"/>
        <v>5324</v>
      </c>
      <c r="AO593" s="12">
        <v>5</v>
      </c>
      <c r="AP593" s="12" t="s">
        <v>59</v>
      </c>
      <c r="AQ593" s="12">
        <v>0</v>
      </c>
      <c r="AR593" s="12">
        <v>15</v>
      </c>
      <c r="AS593" s="12">
        <v>3</v>
      </c>
      <c r="AT593" s="12">
        <v>3</v>
      </c>
      <c r="AU593" s="12">
        <v>0</v>
      </c>
      <c r="AV593" s="12">
        <v>6</v>
      </c>
      <c r="AW593" s="12">
        <f t="shared" si="138"/>
        <v>6</v>
      </c>
      <c r="AX593" s="12">
        <v>3</v>
      </c>
      <c r="AY593" s="12">
        <v>3</v>
      </c>
      <c r="AZ593" s="12">
        <v>3</v>
      </c>
      <c r="BA593" s="12">
        <f t="shared" si="139"/>
        <v>3</v>
      </c>
      <c r="BB593" s="12">
        <v>2</v>
      </c>
      <c r="BC593" s="12">
        <v>0</v>
      </c>
      <c r="BD593" s="12">
        <f t="shared" si="148"/>
        <v>0</v>
      </c>
      <c r="BE593" s="12">
        <v>2</v>
      </c>
      <c r="BF593" s="12">
        <f t="shared" si="140"/>
        <v>2</v>
      </c>
      <c r="BG593" s="12">
        <f t="shared" si="149"/>
        <v>4</v>
      </c>
      <c r="BH593" s="67">
        <v>1</v>
      </c>
      <c r="BI593" s="67">
        <v>0</v>
      </c>
      <c r="BJ593" s="67">
        <v>0</v>
      </c>
      <c r="BK593" s="67">
        <v>0</v>
      </c>
      <c r="BL593" s="67">
        <v>1</v>
      </c>
      <c r="BM593" s="67">
        <v>0</v>
      </c>
      <c r="BN593" s="67">
        <v>0</v>
      </c>
      <c r="BO593" s="67">
        <v>0</v>
      </c>
      <c r="BP593" s="67">
        <v>0</v>
      </c>
      <c r="BQ593" s="67">
        <v>0</v>
      </c>
      <c r="BR593" s="67">
        <v>2</v>
      </c>
      <c r="BS593" s="67">
        <v>0</v>
      </c>
      <c r="BT593" s="67">
        <v>0</v>
      </c>
      <c r="BU593" s="70">
        <v>6</v>
      </c>
      <c r="BV593" s="29">
        <f t="shared" si="141"/>
        <v>0.25041251371496887</v>
      </c>
      <c r="BW593">
        <f t="shared" si="142"/>
        <v>0.59502473559756086</v>
      </c>
      <c r="BX593">
        <f t="shared" si="143"/>
        <v>0.67854260110508058</v>
      </c>
      <c r="BY593">
        <f t="shared" si="144"/>
        <v>0.65423109602898355</v>
      </c>
      <c r="BZ593">
        <f t="shared" si="145"/>
        <v>0.83971837042788355</v>
      </c>
      <c r="CA593">
        <f t="shared" si="146"/>
        <v>0.42951823792158</v>
      </c>
      <c r="CB593">
        <f t="shared" si="147"/>
        <v>0.67891464284095016</v>
      </c>
    </row>
    <row r="594" spans="1:80" x14ac:dyDescent="0.45">
      <c r="A594" s="11">
        <v>47</v>
      </c>
      <c r="B594" s="12">
        <f t="shared" si="135"/>
        <v>47</v>
      </c>
      <c r="C594" s="12" t="s">
        <v>59</v>
      </c>
      <c r="D594" s="12">
        <v>0</v>
      </c>
      <c r="E594" s="12" t="s">
        <v>53</v>
      </c>
      <c r="F594" s="12">
        <v>0</v>
      </c>
      <c r="G594" s="12">
        <v>1</v>
      </c>
      <c r="H594" s="12" t="s">
        <v>61</v>
      </c>
      <c r="I594" s="12">
        <v>1</v>
      </c>
      <c r="J594" s="12">
        <v>0</v>
      </c>
      <c r="K594" s="12">
        <v>2</v>
      </c>
      <c r="L594" s="12">
        <f t="shared" si="136"/>
        <v>2</v>
      </c>
      <c r="M594" s="12">
        <v>2</v>
      </c>
      <c r="N594" s="12" t="s">
        <v>66</v>
      </c>
      <c r="O594" s="12">
        <v>0</v>
      </c>
      <c r="P594" s="12">
        <v>1</v>
      </c>
      <c r="Q594" s="12">
        <v>0</v>
      </c>
      <c r="R594" s="12">
        <v>0</v>
      </c>
      <c r="S594" s="12">
        <v>0</v>
      </c>
      <c r="T594" s="12">
        <v>3</v>
      </c>
      <c r="U594" s="12" t="s">
        <v>19</v>
      </c>
      <c r="V594" s="12">
        <v>1</v>
      </c>
      <c r="W594" s="12">
        <v>33</v>
      </c>
      <c r="X594" s="12">
        <v>3</v>
      </c>
      <c r="Y594" s="12">
        <v>4</v>
      </c>
      <c r="Z594" s="12" t="s">
        <v>87</v>
      </c>
      <c r="AA594" s="12">
        <v>0</v>
      </c>
      <c r="AB594" s="12">
        <v>0</v>
      </c>
      <c r="AC594" s="12">
        <v>0</v>
      </c>
      <c r="AD594" s="12">
        <v>1</v>
      </c>
      <c r="AE594" s="12">
        <v>0</v>
      </c>
      <c r="AF594" s="12">
        <v>0</v>
      </c>
      <c r="AG594" s="12">
        <v>0</v>
      </c>
      <c r="AH594" s="12">
        <v>0</v>
      </c>
      <c r="AI594" s="12">
        <v>4</v>
      </c>
      <c r="AJ594" s="12" t="s">
        <v>64</v>
      </c>
      <c r="AK594" s="12">
        <v>0</v>
      </c>
      <c r="AL594" s="12">
        <v>1</v>
      </c>
      <c r="AM594" s="12">
        <v>16752</v>
      </c>
      <c r="AN594" s="12">
        <f t="shared" si="137"/>
        <v>16752</v>
      </c>
      <c r="AO594" s="12">
        <v>1</v>
      </c>
      <c r="AP594" s="12" t="s">
        <v>52</v>
      </c>
      <c r="AQ594" s="12">
        <v>1</v>
      </c>
      <c r="AR594" s="12">
        <v>11</v>
      </c>
      <c r="AS594" s="12">
        <v>3</v>
      </c>
      <c r="AT594" s="12">
        <v>3</v>
      </c>
      <c r="AU594" s="12">
        <v>1</v>
      </c>
      <c r="AV594" s="12">
        <v>26</v>
      </c>
      <c r="AW594" s="12">
        <f t="shared" si="138"/>
        <v>26</v>
      </c>
      <c r="AX594" s="12">
        <v>3</v>
      </c>
      <c r="AY594" s="12">
        <v>2</v>
      </c>
      <c r="AZ594" s="12">
        <v>26</v>
      </c>
      <c r="BA594" s="12">
        <f t="shared" si="139"/>
        <v>26</v>
      </c>
      <c r="BB594" s="12">
        <v>14</v>
      </c>
      <c r="BC594" s="12">
        <v>3</v>
      </c>
      <c r="BD594" s="12">
        <f t="shared" si="148"/>
        <v>3</v>
      </c>
      <c r="BE594" s="12">
        <v>0</v>
      </c>
      <c r="BF594" s="12">
        <f t="shared" si="140"/>
        <v>0</v>
      </c>
      <c r="BG594" s="12">
        <f t="shared" si="149"/>
        <v>0</v>
      </c>
      <c r="BH594" s="67">
        <v>0</v>
      </c>
      <c r="BI594" s="67">
        <v>1</v>
      </c>
      <c r="BJ594" s="67">
        <v>0</v>
      </c>
      <c r="BK594" s="67">
        <v>0</v>
      </c>
      <c r="BL594" s="67">
        <v>0</v>
      </c>
      <c r="BM594" s="67">
        <v>0</v>
      </c>
      <c r="BN594" s="67">
        <v>0</v>
      </c>
      <c r="BO594" s="67">
        <v>1</v>
      </c>
      <c r="BP594" s="67">
        <v>0</v>
      </c>
      <c r="BQ594" s="67">
        <v>0</v>
      </c>
      <c r="BR594" s="67">
        <v>0</v>
      </c>
      <c r="BS594" s="67">
        <v>0</v>
      </c>
      <c r="BT594" s="67">
        <v>26</v>
      </c>
      <c r="BU594" s="70">
        <v>0</v>
      </c>
      <c r="BV594" s="29">
        <f t="shared" si="141"/>
        <v>2.176967457364543</v>
      </c>
      <c r="BW594">
        <f t="shared" si="142"/>
        <v>1.1555414682655611</v>
      </c>
      <c r="BX594">
        <f t="shared" si="143"/>
        <v>1.8918932283614016</v>
      </c>
      <c r="BY594">
        <f t="shared" si="144"/>
        <v>3.0999361403491448</v>
      </c>
      <c r="BZ594">
        <f t="shared" si="145"/>
        <v>0.88721318382472392</v>
      </c>
      <c r="CA594">
        <f t="shared" si="146"/>
        <v>1.102986154662698</v>
      </c>
      <c r="CB594">
        <f t="shared" si="147"/>
        <v>0.2520597274726662</v>
      </c>
    </row>
    <row r="595" spans="1:80" x14ac:dyDescent="0.45">
      <c r="A595" s="11">
        <v>36</v>
      </c>
      <c r="B595" s="12">
        <f t="shared" si="135"/>
        <v>36</v>
      </c>
      <c r="C595" s="12" t="s">
        <v>59</v>
      </c>
      <c r="D595" s="12">
        <v>0</v>
      </c>
      <c r="E595" s="12" t="s">
        <v>53</v>
      </c>
      <c r="F595" s="12">
        <v>0</v>
      </c>
      <c r="G595" s="12">
        <v>1</v>
      </c>
      <c r="H595" s="12" t="s">
        <v>61</v>
      </c>
      <c r="I595" s="12">
        <v>1</v>
      </c>
      <c r="J595" s="12">
        <v>0</v>
      </c>
      <c r="K595" s="12">
        <v>1</v>
      </c>
      <c r="L595" s="12">
        <f t="shared" si="136"/>
        <v>1</v>
      </c>
      <c r="M595" s="12">
        <v>3</v>
      </c>
      <c r="N595" s="12" t="s">
        <v>66</v>
      </c>
      <c r="O595" s="12">
        <v>0</v>
      </c>
      <c r="P595" s="12">
        <v>1</v>
      </c>
      <c r="Q595" s="12">
        <v>0</v>
      </c>
      <c r="R595" s="12">
        <v>0</v>
      </c>
      <c r="S595" s="12">
        <v>0</v>
      </c>
      <c r="T595" s="12">
        <v>3</v>
      </c>
      <c r="U595" s="12" t="s">
        <v>19</v>
      </c>
      <c r="V595" s="12">
        <v>1</v>
      </c>
      <c r="W595" s="12">
        <v>35</v>
      </c>
      <c r="X595" s="12">
        <v>3</v>
      </c>
      <c r="Y595" s="12">
        <v>2</v>
      </c>
      <c r="Z595" s="12" t="s">
        <v>83</v>
      </c>
      <c r="AA595" s="12">
        <v>0</v>
      </c>
      <c r="AB595" s="12">
        <v>0</v>
      </c>
      <c r="AC595" s="12">
        <v>0</v>
      </c>
      <c r="AD595" s="12">
        <v>0</v>
      </c>
      <c r="AE595" s="12">
        <v>1</v>
      </c>
      <c r="AF595" s="12">
        <v>1</v>
      </c>
      <c r="AG595" s="12">
        <v>0</v>
      </c>
      <c r="AH595" s="12">
        <v>0</v>
      </c>
      <c r="AI595" s="12">
        <v>2</v>
      </c>
      <c r="AJ595" s="12" t="s">
        <v>64</v>
      </c>
      <c r="AK595" s="12">
        <v>0</v>
      </c>
      <c r="AL595" s="12">
        <v>1</v>
      </c>
      <c r="AM595" s="12">
        <v>5228</v>
      </c>
      <c r="AN595" s="12">
        <f t="shared" si="137"/>
        <v>5228</v>
      </c>
      <c r="AO595" s="12">
        <v>0</v>
      </c>
      <c r="AP595" s="12" t="s">
        <v>59</v>
      </c>
      <c r="AQ595" s="12">
        <v>0</v>
      </c>
      <c r="AR595" s="12">
        <v>15</v>
      </c>
      <c r="AS595" s="12">
        <v>3</v>
      </c>
      <c r="AT595" s="12">
        <v>1</v>
      </c>
      <c r="AU595" s="12">
        <v>1</v>
      </c>
      <c r="AV595" s="12">
        <v>10</v>
      </c>
      <c r="AW595" s="12">
        <f t="shared" si="138"/>
        <v>10</v>
      </c>
      <c r="AX595" s="12">
        <v>2</v>
      </c>
      <c r="AY595" s="12">
        <v>3</v>
      </c>
      <c r="AZ595" s="12">
        <v>9</v>
      </c>
      <c r="BA595" s="12">
        <f t="shared" si="139"/>
        <v>9</v>
      </c>
      <c r="BB595" s="12">
        <v>7</v>
      </c>
      <c r="BC595" s="12">
        <v>0</v>
      </c>
      <c r="BD595" s="12">
        <f t="shared" si="148"/>
        <v>0</v>
      </c>
      <c r="BE595" s="12">
        <v>5</v>
      </c>
      <c r="BF595" s="12">
        <f t="shared" si="140"/>
        <v>5</v>
      </c>
      <c r="BG595" s="12">
        <f t="shared" si="149"/>
        <v>10</v>
      </c>
      <c r="BH595" s="67">
        <v>0</v>
      </c>
      <c r="BI595" s="67">
        <v>1</v>
      </c>
      <c r="BJ595" s="67">
        <v>0</v>
      </c>
      <c r="BK595" s="67">
        <v>0</v>
      </c>
      <c r="BL595" s="67">
        <v>0</v>
      </c>
      <c r="BM595" s="67">
        <v>0</v>
      </c>
      <c r="BN595" s="67">
        <v>1</v>
      </c>
      <c r="BO595" s="67">
        <v>0</v>
      </c>
      <c r="BP595" s="67">
        <v>0</v>
      </c>
      <c r="BQ595" s="67">
        <v>5</v>
      </c>
      <c r="BR595" s="67">
        <v>0</v>
      </c>
      <c r="BS595" s="67">
        <v>0</v>
      </c>
      <c r="BT595" s="67">
        <v>10</v>
      </c>
      <c r="BU595" s="70">
        <v>0</v>
      </c>
      <c r="BV595" s="29">
        <f t="shared" si="141"/>
        <v>0.27080352502260213</v>
      </c>
      <c r="BW595">
        <f t="shared" si="142"/>
        <v>0.24575036340443959</v>
      </c>
      <c r="BX595">
        <f t="shared" si="143"/>
        <v>0.1644554352117841</v>
      </c>
      <c r="BY595">
        <f t="shared" si="144"/>
        <v>0.32511687867835437</v>
      </c>
      <c r="BZ595">
        <f t="shared" si="145"/>
        <v>1.01056543769991</v>
      </c>
      <c r="CA595">
        <f t="shared" si="146"/>
        <v>0.10112443951066327</v>
      </c>
      <c r="CB595">
        <f t="shared" si="147"/>
        <v>0.67891464284095016</v>
      </c>
    </row>
    <row r="596" spans="1:80" x14ac:dyDescent="0.45">
      <c r="A596" s="11">
        <v>29</v>
      </c>
      <c r="B596" s="12">
        <f t="shared" si="135"/>
        <v>29</v>
      </c>
      <c r="C596" s="12" t="s">
        <v>59</v>
      </c>
      <c r="D596" s="12">
        <v>0</v>
      </c>
      <c r="E596" s="12" t="s">
        <v>53</v>
      </c>
      <c r="F596" s="12">
        <v>0</v>
      </c>
      <c r="G596" s="12">
        <v>1</v>
      </c>
      <c r="H596" s="12" t="s">
        <v>61</v>
      </c>
      <c r="I596" s="12">
        <v>1</v>
      </c>
      <c r="J596" s="12">
        <v>0</v>
      </c>
      <c r="K596" s="12">
        <v>23</v>
      </c>
      <c r="L596" s="12">
        <f t="shared" si="136"/>
        <v>23</v>
      </c>
      <c r="M596" s="12">
        <v>2</v>
      </c>
      <c r="N596" s="12" t="s">
        <v>55</v>
      </c>
      <c r="O596" s="12">
        <v>1</v>
      </c>
      <c r="P596" s="12">
        <v>0</v>
      </c>
      <c r="Q596" s="12">
        <v>0</v>
      </c>
      <c r="R596" s="12">
        <v>0</v>
      </c>
      <c r="S596" s="12">
        <v>0</v>
      </c>
      <c r="T596" s="12">
        <v>3</v>
      </c>
      <c r="U596" s="12" t="s">
        <v>62</v>
      </c>
      <c r="V596" s="12">
        <v>0</v>
      </c>
      <c r="W596" s="12">
        <v>81</v>
      </c>
      <c r="X596" s="12">
        <v>4</v>
      </c>
      <c r="Y596" s="12">
        <v>1</v>
      </c>
      <c r="Z596" s="12" t="s">
        <v>63</v>
      </c>
      <c r="AA596" s="12">
        <v>0</v>
      </c>
      <c r="AB596" s="12">
        <v>0</v>
      </c>
      <c r="AC596" s="12">
        <v>0</v>
      </c>
      <c r="AD596" s="12">
        <v>0</v>
      </c>
      <c r="AE596" s="12">
        <v>0</v>
      </c>
      <c r="AF596" s="12">
        <v>0</v>
      </c>
      <c r="AG596" s="12">
        <v>0</v>
      </c>
      <c r="AH596" s="12">
        <v>1</v>
      </c>
      <c r="AI596" s="12">
        <v>3</v>
      </c>
      <c r="AJ596" s="12" t="s">
        <v>64</v>
      </c>
      <c r="AK596" s="12">
        <v>0</v>
      </c>
      <c r="AL596" s="12">
        <v>1</v>
      </c>
      <c r="AM596" s="12">
        <v>2700</v>
      </c>
      <c r="AN596" s="12">
        <f t="shared" si="137"/>
        <v>2700</v>
      </c>
      <c r="AO596" s="12">
        <v>1</v>
      </c>
      <c r="AP596" s="12" t="s">
        <v>59</v>
      </c>
      <c r="AQ596" s="12">
        <v>0</v>
      </c>
      <c r="AR596" s="12">
        <v>24</v>
      </c>
      <c r="AS596" s="12">
        <v>4</v>
      </c>
      <c r="AT596" s="12">
        <v>3</v>
      </c>
      <c r="AU596" s="12">
        <v>1</v>
      </c>
      <c r="AV596" s="12">
        <v>10</v>
      </c>
      <c r="AW596" s="12">
        <f t="shared" si="138"/>
        <v>10</v>
      </c>
      <c r="AX596" s="12">
        <v>3</v>
      </c>
      <c r="AY596" s="12">
        <v>3</v>
      </c>
      <c r="AZ596" s="12">
        <v>10</v>
      </c>
      <c r="BA596" s="12">
        <f t="shared" si="139"/>
        <v>10</v>
      </c>
      <c r="BB596" s="12">
        <v>7</v>
      </c>
      <c r="BC596" s="12">
        <v>0</v>
      </c>
      <c r="BD596" s="12">
        <f t="shared" si="148"/>
        <v>0</v>
      </c>
      <c r="BE596" s="12">
        <v>7</v>
      </c>
      <c r="BF596" s="12">
        <f t="shared" si="140"/>
        <v>7</v>
      </c>
      <c r="BG596" s="12">
        <f t="shared" si="149"/>
        <v>7</v>
      </c>
      <c r="BH596" s="67">
        <v>0</v>
      </c>
      <c r="BI596" s="67">
        <v>1</v>
      </c>
      <c r="BJ596" s="67">
        <v>0</v>
      </c>
      <c r="BK596" s="67">
        <v>0</v>
      </c>
      <c r="BL596" s="67">
        <v>0</v>
      </c>
      <c r="BM596" s="67">
        <v>0</v>
      </c>
      <c r="BN596" s="67">
        <v>1</v>
      </c>
      <c r="BO596" s="67">
        <v>0</v>
      </c>
      <c r="BP596" s="67">
        <v>0</v>
      </c>
      <c r="BQ596" s="67">
        <v>7</v>
      </c>
      <c r="BR596" s="67">
        <v>0</v>
      </c>
      <c r="BS596" s="67">
        <v>0</v>
      </c>
      <c r="BT596" s="67">
        <v>10</v>
      </c>
      <c r="BU596" s="70">
        <v>0</v>
      </c>
      <c r="BV596" s="29">
        <f t="shared" si="141"/>
        <v>0.80776682279027856</v>
      </c>
      <c r="BW596">
        <f t="shared" si="142"/>
        <v>0.80626709607243985</v>
      </c>
      <c r="BX596">
        <f t="shared" si="143"/>
        <v>0.1644554352117841</v>
      </c>
      <c r="BY596">
        <f t="shared" si="144"/>
        <v>0.48834154112957734</v>
      </c>
      <c r="BZ596">
        <f t="shared" si="145"/>
        <v>1.7031841475541873</v>
      </c>
      <c r="CA596">
        <f t="shared" si="146"/>
        <v>0.86737663580280233</v>
      </c>
      <c r="CB596">
        <f t="shared" si="147"/>
        <v>0.67891464284095016</v>
      </c>
    </row>
    <row r="597" spans="1:80" x14ac:dyDescent="0.45">
      <c r="A597" s="11">
        <v>58</v>
      </c>
      <c r="B597" s="12">
        <f t="shared" si="135"/>
        <v>58</v>
      </c>
      <c r="C597" s="12" t="s">
        <v>52</v>
      </c>
      <c r="D597" s="12">
        <v>1</v>
      </c>
      <c r="E597" s="12" t="s">
        <v>53</v>
      </c>
      <c r="F597" s="12">
        <v>0</v>
      </c>
      <c r="G597" s="12">
        <v>1</v>
      </c>
      <c r="H597" s="12" t="s">
        <v>61</v>
      </c>
      <c r="I597" s="12">
        <v>1</v>
      </c>
      <c r="J597" s="12">
        <v>0</v>
      </c>
      <c r="K597" s="12">
        <v>2</v>
      </c>
      <c r="L597" s="12">
        <f t="shared" si="136"/>
        <v>2</v>
      </c>
      <c r="M597" s="12">
        <v>4</v>
      </c>
      <c r="N597" s="12" t="s">
        <v>55</v>
      </c>
      <c r="O597" s="12">
        <v>1</v>
      </c>
      <c r="P597" s="12">
        <v>0</v>
      </c>
      <c r="Q597" s="12">
        <v>0</v>
      </c>
      <c r="R597" s="12">
        <v>0</v>
      </c>
      <c r="S597" s="12">
        <v>0</v>
      </c>
      <c r="T597" s="12">
        <v>4</v>
      </c>
      <c r="U597" s="12" t="s">
        <v>62</v>
      </c>
      <c r="V597" s="12">
        <v>0</v>
      </c>
      <c r="W597" s="12">
        <v>31</v>
      </c>
      <c r="X597" s="12">
        <v>3</v>
      </c>
      <c r="Y597" s="12">
        <v>5</v>
      </c>
      <c r="Z597" s="12" t="s">
        <v>89</v>
      </c>
      <c r="AA597" s="12">
        <v>0</v>
      </c>
      <c r="AB597" s="12">
        <v>0</v>
      </c>
      <c r="AC597" s="12">
        <v>0</v>
      </c>
      <c r="AD597" s="12">
        <v>0</v>
      </c>
      <c r="AE597" s="12">
        <v>0</v>
      </c>
      <c r="AF597" s="12">
        <v>0</v>
      </c>
      <c r="AG597" s="12">
        <v>0</v>
      </c>
      <c r="AH597" s="12">
        <v>0</v>
      </c>
      <c r="AI597" s="12">
        <v>2</v>
      </c>
      <c r="AJ597" s="12" t="s">
        <v>57</v>
      </c>
      <c r="AK597" s="12">
        <v>1</v>
      </c>
      <c r="AL597" s="12">
        <v>0</v>
      </c>
      <c r="AM597" s="12">
        <v>19246</v>
      </c>
      <c r="AN597" s="12">
        <f t="shared" si="137"/>
        <v>19246</v>
      </c>
      <c r="AO597" s="12">
        <v>7</v>
      </c>
      <c r="AP597" s="12" t="s">
        <v>52</v>
      </c>
      <c r="AQ597" s="12">
        <v>1</v>
      </c>
      <c r="AR597" s="12">
        <v>12</v>
      </c>
      <c r="AS597" s="12">
        <v>3</v>
      </c>
      <c r="AT597" s="12">
        <v>4</v>
      </c>
      <c r="AU597" s="12">
        <v>0</v>
      </c>
      <c r="AV597" s="12">
        <v>40</v>
      </c>
      <c r="AW597" s="12">
        <f t="shared" si="138"/>
        <v>35</v>
      </c>
      <c r="AX597" s="12">
        <v>2</v>
      </c>
      <c r="AY597" s="12">
        <v>3</v>
      </c>
      <c r="AZ597" s="12">
        <v>31</v>
      </c>
      <c r="BA597" s="12">
        <f t="shared" si="139"/>
        <v>31</v>
      </c>
      <c r="BB597" s="12">
        <v>15</v>
      </c>
      <c r="BC597" s="12">
        <v>13</v>
      </c>
      <c r="BD597" s="12">
        <f t="shared" si="148"/>
        <v>13</v>
      </c>
      <c r="BE597" s="12">
        <v>8</v>
      </c>
      <c r="BF597" s="12">
        <f t="shared" si="140"/>
        <v>8</v>
      </c>
      <c r="BG597" s="12">
        <f t="shared" si="149"/>
        <v>40</v>
      </c>
      <c r="BH597" s="67">
        <v>1</v>
      </c>
      <c r="BI597" s="67">
        <v>0</v>
      </c>
      <c r="BJ597" s="67">
        <v>0</v>
      </c>
      <c r="BK597" s="67">
        <v>0</v>
      </c>
      <c r="BL597" s="67">
        <v>0</v>
      </c>
      <c r="BM597" s="67">
        <v>1</v>
      </c>
      <c r="BN597" s="67">
        <v>0</v>
      </c>
      <c r="BO597" s="67">
        <v>0</v>
      </c>
      <c r="BP597" s="67">
        <v>0</v>
      </c>
      <c r="BQ597" s="67">
        <v>8</v>
      </c>
      <c r="BR597" s="67">
        <v>0</v>
      </c>
      <c r="BS597" s="67">
        <v>0</v>
      </c>
      <c r="BT597" s="67">
        <v>35</v>
      </c>
      <c r="BU597" s="70">
        <v>0</v>
      </c>
      <c r="BV597" s="29">
        <f t="shared" si="141"/>
        <v>2.7067089386274326</v>
      </c>
      <c r="BW597">
        <f t="shared" si="142"/>
        <v>1.08652546240644</v>
      </c>
      <c r="BX597">
        <f t="shared" si="143"/>
        <v>3.6911983089879388</v>
      </c>
      <c r="BY597">
        <f t="shared" si="144"/>
        <v>3.9160594526052601</v>
      </c>
      <c r="BZ597">
        <f t="shared" si="145"/>
        <v>0.88721318382472392</v>
      </c>
      <c r="CA597">
        <f t="shared" si="146"/>
        <v>2.3070967488360594</v>
      </c>
      <c r="CB597">
        <f t="shared" si="147"/>
        <v>3.3553076285180543</v>
      </c>
    </row>
    <row r="598" spans="1:80" x14ac:dyDescent="0.45">
      <c r="A598" s="11">
        <v>35</v>
      </c>
      <c r="B598" s="12">
        <f t="shared" si="135"/>
        <v>35</v>
      </c>
      <c r="C598" s="12" t="s">
        <v>59</v>
      </c>
      <c r="D598" s="12">
        <v>0</v>
      </c>
      <c r="E598" s="12" t="s">
        <v>53</v>
      </c>
      <c r="F598" s="12">
        <v>0</v>
      </c>
      <c r="G598" s="12">
        <v>1</v>
      </c>
      <c r="H598" s="12" t="s">
        <v>61</v>
      </c>
      <c r="I598" s="12">
        <v>1</v>
      </c>
      <c r="J598" s="12">
        <v>0</v>
      </c>
      <c r="K598" s="12">
        <v>1</v>
      </c>
      <c r="L598" s="12">
        <f t="shared" si="136"/>
        <v>1</v>
      </c>
      <c r="M598" s="12">
        <v>4</v>
      </c>
      <c r="N598" s="12" t="s">
        <v>55</v>
      </c>
      <c r="O598" s="12">
        <v>1</v>
      </c>
      <c r="P598" s="12">
        <v>0</v>
      </c>
      <c r="Q598" s="12">
        <v>0</v>
      </c>
      <c r="R598" s="12">
        <v>0</v>
      </c>
      <c r="S598" s="12">
        <v>0</v>
      </c>
      <c r="T598" s="12">
        <v>4</v>
      </c>
      <c r="U598" s="12" t="s">
        <v>19</v>
      </c>
      <c r="V598" s="12">
        <v>1</v>
      </c>
      <c r="W598" s="12">
        <v>40</v>
      </c>
      <c r="X598" s="12">
        <v>4</v>
      </c>
      <c r="Y598" s="12">
        <v>1</v>
      </c>
      <c r="Z598" s="12" t="s">
        <v>63</v>
      </c>
      <c r="AA598" s="12">
        <v>0</v>
      </c>
      <c r="AB598" s="12">
        <v>0</v>
      </c>
      <c r="AC598" s="12">
        <v>0</v>
      </c>
      <c r="AD598" s="12">
        <v>0</v>
      </c>
      <c r="AE598" s="12">
        <v>0</v>
      </c>
      <c r="AF598" s="12">
        <v>0</v>
      </c>
      <c r="AG598" s="12">
        <v>0</v>
      </c>
      <c r="AH598" s="12">
        <v>1</v>
      </c>
      <c r="AI598" s="12">
        <v>3</v>
      </c>
      <c r="AJ598" s="12" t="s">
        <v>57</v>
      </c>
      <c r="AK598" s="12">
        <v>1</v>
      </c>
      <c r="AL598" s="12">
        <v>0</v>
      </c>
      <c r="AM598" s="12">
        <v>2506</v>
      </c>
      <c r="AN598" s="12">
        <f t="shared" si="137"/>
        <v>2506</v>
      </c>
      <c r="AO598" s="12">
        <v>3</v>
      </c>
      <c r="AP598" s="12" t="s">
        <v>59</v>
      </c>
      <c r="AQ598" s="12">
        <v>0</v>
      </c>
      <c r="AR598" s="12">
        <v>13</v>
      </c>
      <c r="AS598" s="12">
        <v>3</v>
      </c>
      <c r="AT598" s="12">
        <v>3</v>
      </c>
      <c r="AU598" s="12">
        <v>0</v>
      </c>
      <c r="AV598" s="12">
        <v>7</v>
      </c>
      <c r="AW598" s="12">
        <f t="shared" si="138"/>
        <v>7</v>
      </c>
      <c r="AX598" s="12">
        <v>0</v>
      </c>
      <c r="AY598" s="12">
        <v>3</v>
      </c>
      <c r="AZ598" s="12">
        <v>2</v>
      </c>
      <c r="BA598" s="12">
        <f t="shared" si="139"/>
        <v>2</v>
      </c>
      <c r="BB598" s="12">
        <v>2</v>
      </c>
      <c r="BC598" s="12">
        <v>2</v>
      </c>
      <c r="BD598" s="12">
        <f t="shared" si="148"/>
        <v>2</v>
      </c>
      <c r="BE598" s="12">
        <v>2</v>
      </c>
      <c r="BF598" s="12">
        <f t="shared" si="140"/>
        <v>2</v>
      </c>
      <c r="BG598" s="12">
        <f t="shared" si="149"/>
        <v>2</v>
      </c>
      <c r="BH598" s="67">
        <v>1</v>
      </c>
      <c r="BI598" s="67">
        <v>0</v>
      </c>
      <c r="BJ598" s="67">
        <v>0</v>
      </c>
      <c r="BK598" s="67">
        <v>0</v>
      </c>
      <c r="BL598" s="67">
        <v>1</v>
      </c>
      <c r="BM598" s="67">
        <v>0</v>
      </c>
      <c r="BN598" s="67">
        <v>0</v>
      </c>
      <c r="BO598" s="67">
        <v>0</v>
      </c>
      <c r="BP598" s="67">
        <v>0</v>
      </c>
      <c r="BQ598" s="67">
        <v>2</v>
      </c>
      <c r="BR598" s="67">
        <v>0</v>
      </c>
      <c r="BS598" s="67">
        <v>0</v>
      </c>
      <c r="BT598" s="67">
        <v>7</v>
      </c>
      <c r="BU598" s="70">
        <v>0</v>
      </c>
      <c r="BV598" s="29">
        <f t="shared" si="141"/>
        <v>0.8489736581411208</v>
      </c>
      <c r="BW598">
        <f t="shared" si="142"/>
        <v>0.59502473559756086</v>
      </c>
      <c r="BX598">
        <f t="shared" si="143"/>
        <v>0.55002080963175637</v>
      </c>
      <c r="BY598">
        <f t="shared" si="144"/>
        <v>0.81745575848020657</v>
      </c>
      <c r="BZ598">
        <f t="shared" si="145"/>
        <v>1.01056543769991</v>
      </c>
      <c r="CA598">
        <f t="shared" si="146"/>
        <v>0.21058903898096887</v>
      </c>
      <c r="CB598">
        <f t="shared" si="147"/>
        <v>5.8265062631872602E-2</v>
      </c>
    </row>
    <row r="599" spans="1:80" x14ac:dyDescent="0.45">
      <c r="A599" s="11">
        <v>42</v>
      </c>
      <c r="B599" s="12">
        <f t="shared" si="135"/>
        <v>42</v>
      </c>
      <c r="C599" s="12" t="s">
        <v>59</v>
      </c>
      <c r="D599" s="12">
        <v>0</v>
      </c>
      <c r="E599" s="12" t="s">
        <v>53</v>
      </c>
      <c r="F599" s="12">
        <v>0</v>
      </c>
      <c r="G599" s="12">
        <v>1</v>
      </c>
      <c r="H599" s="12" t="s">
        <v>61</v>
      </c>
      <c r="I599" s="12">
        <v>1</v>
      </c>
      <c r="J599" s="12">
        <v>0</v>
      </c>
      <c r="K599" s="12">
        <v>1</v>
      </c>
      <c r="L599" s="12">
        <f t="shared" si="136"/>
        <v>1</v>
      </c>
      <c r="M599" s="12">
        <v>2</v>
      </c>
      <c r="N599" s="12" t="s">
        <v>55</v>
      </c>
      <c r="O599" s="12">
        <v>1</v>
      </c>
      <c r="P599" s="12">
        <v>0</v>
      </c>
      <c r="Q599" s="12">
        <v>0</v>
      </c>
      <c r="R599" s="12">
        <v>0</v>
      </c>
      <c r="S599" s="12">
        <v>0</v>
      </c>
      <c r="T599" s="12">
        <v>4</v>
      </c>
      <c r="U599" s="12" t="s">
        <v>19</v>
      </c>
      <c r="V599" s="12">
        <v>1</v>
      </c>
      <c r="W599" s="12">
        <v>43</v>
      </c>
      <c r="X599" s="12">
        <v>2</v>
      </c>
      <c r="Y599" s="12">
        <v>2</v>
      </c>
      <c r="Z599" s="12" t="s">
        <v>83</v>
      </c>
      <c r="AA599" s="12">
        <v>0</v>
      </c>
      <c r="AB599" s="12">
        <v>0</v>
      </c>
      <c r="AC599" s="12">
        <v>0</v>
      </c>
      <c r="AD599" s="12">
        <v>0</v>
      </c>
      <c r="AE599" s="12">
        <v>1</v>
      </c>
      <c r="AF599" s="12">
        <v>1</v>
      </c>
      <c r="AG599" s="12">
        <v>0</v>
      </c>
      <c r="AH599" s="12">
        <v>0</v>
      </c>
      <c r="AI599" s="12">
        <v>4</v>
      </c>
      <c r="AJ599" s="12" t="s">
        <v>64</v>
      </c>
      <c r="AK599" s="12">
        <v>0</v>
      </c>
      <c r="AL599" s="12">
        <v>1</v>
      </c>
      <c r="AM599" s="12">
        <v>6062</v>
      </c>
      <c r="AN599" s="12">
        <f t="shared" si="137"/>
        <v>6062</v>
      </c>
      <c r="AO599" s="12">
        <v>9</v>
      </c>
      <c r="AP599" s="12" t="s">
        <v>52</v>
      </c>
      <c r="AQ599" s="12">
        <v>1</v>
      </c>
      <c r="AR599" s="12">
        <v>13</v>
      </c>
      <c r="AS599" s="12">
        <v>3</v>
      </c>
      <c r="AT599" s="12">
        <v>4</v>
      </c>
      <c r="AU599" s="12">
        <v>1</v>
      </c>
      <c r="AV599" s="12">
        <v>8</v>
      </c>
      <c r="AW599" s="12">
        <f t="shared" si="138"/>
        <v>8</v>
      </c>
      <c r="AX599" s="12">
        <v>4</v>
      </c>
      <c r="AY599" s="12">
        <v>3</v>
      </c>
      <c r="AZ599" s="12">
        <v>4</v>
      </c>
      <c r="BA599" s="12">
        <f t="shared" si="139"/>
        <v>4</v>
      </c>
      <c r="BB599" s="12">
        <v>3</v>
      </c>
      <c r="BC599" s="12">
        <v>0</v>
      </c>
      <c r="BD599" s="12">
        <f t="shared" si="148"/>
        <v>0</v>
      </c>
      <c r="BE599" s="12">
        <v>2</v>
      </c>
      <c r="BF599" s="12">
        <f t="shared" si="140"/>
        <v>2</v>
      </c>
      <c r="BG599" s="12">
        <f t="shared" si="149"/>
        <v>4</v>
      </c>
      <c r="BH599" s="67">
        <v>0</v>
      </c>
      <c r="BI599" s="67">
        <v>1</v>
      </c>
      <c r="BJ599" s="67">
        <v>0</v>
      </c>
      <c r="BK599" s="67">
        <v>0</v>
      </c>
      <c r="BL599" s="67">
        <v>0</v>
      </c>
      <c r="BM599" s="67">
        <v>0</v>
      </c>
      <c r="BN599" s="67">
        <v>0</v>
      </c>
      <c r="BO599" s="67">
        <v>1</v>
      </c>
      <c r="BP599" s="67">
        <v>0</v>
      </c>
      <c r="BQ599" s="67">
        <v>2</v>
      </c>
      <c r="BR599" s="67">
        <v>0</v>
      </c>
      <c r="BS599" s="67">
        <v>0</v>
      </c>
      <c r="BT599" s="67">
        <v>8</v>
      </c>
      <c r="BU599" s="70">
        <v>0</v>
      </c>
      <c r="BV599" s="29">
        <f t="shared" si="141"/>
        <v>9.3656614287537993E-2</v>
      </c>
      <c r="BW599">
        <f t="shared" si="142"/>
        <v>0.59502473559756086</v>
      </c>
      <c r="BX599">
        <f t="shared" si="143"/>
        <v>0.42149901815843233</v>
      </c>
      <c r="BY599">
        <f t="shared" si="144"/>
        <v>0.49100643357776058</v>
      </c>
      <c r="BZ599">
        <f t="shared" si="145"/>
        <v>1.01056543769991</v>
      </c>
      <c r="CA599">
        <f t="shared" si="146"/>
        <v>0.55566315731117022</v>
      </c>
      <c r="CB599">
        <f t="shared" si="147"/>
        <v>0.67891464284095016</v>
      </c>
    </row>
    <row r="600" spans="1:80" x14ac:dyDescent="0.45">
      <c r="A600" s="11">
        <v>28</v>
      </c>
      <c r="B600" s="12">
        <f t="shared" si="135"/>
        <v>28</v>
      </c>
      <c r="C600" s="12" t="s">
        <v>52</v>
      </c>
      <c r="D600" s="12">
        <v>1</v>
      </c>
      <c r="E600" s="12" t="s">
        <v>53</v>
      </c>
      <c r="F600" s="12">
        <v>0</v>
      </c>
      <c r="G600" s="12">
        <v>1</v>
      </c>
      <c r="H600" s="12" t="s">
        <v>61</v>
      </c>
      <c r="I600" s="12">
        <v>1</v>
      </c>
      <c r="J600" s="12">
        <v>0</v>
      </c>
      <c r="K600" s="12">
        <v>2</v>
      </c>
      <c r="L600" s="12">
        <f t="shared" si="136"/>
        <v>2</v>
      </c>
      <c r="M600" s="12">
        <v>4</v>
      </c>
      <c r="N600" s="12" t="s">
        <v>70</v>
      </c>
      <c r="O600" s="12">
        <v>0</v>
      </c>
      <c r="P600" s="12">
        <v>0</v>
      </c>
      <c r="Q600" s="12">
        <v>1</v>
      </c>
      <c r="R600" s="12">
        <v>0</v>
      </c>
      <c r="S600" s="12">
        <v>0</v>
      </c>
      <c r="T600" s="12">
        <v>3</v>
      </c>
      <c r="U600" s="12" t="s">
        <v>62</v>
      </c>
      <c r="V600" s="12">
        <v>0</v>
      </c>
      <c r="W600" s="12">
        <v>46</v>
      </c>
      <c r="X600" s="12">
        <v>3</v>
      </c>
      <c r="Y600" s="12">
        <v>1</v>
      </c>
      <c r="Z600" s="12" t="s">
        <v>63</v>
      </c>
      <c r="AA600" s="12">
        <v>0</v>
      </c>
      <c r="AB600" s="12">
        <v>0</v>
      </c>
      <c r="AC600" s="12">
        <v>0</v>
      </c>
      <c r="AD600" s="12">
        <v>0</v>
      </c>
      <c r="AE600" s="12">
        <v>0</v>
      </c>
      <c r="AF600" s="12">
        <v>0</v>
      </c>
      <c r="AG600" s="12">
        <v>0</v>
      </c>
      <c r="AH600" s="12">
        <v>1</v>
      </c>
      <c r="AI600" s="12">
        <v>3</v>
      </c>
      <c r="AJ600" s="12" t="s">
        <v>57</v>
      </c>
      <c r="AK600" s="12">
        <v>1</v>
      </c>
      <c r="AL600" s="12">
        <v>0</v>
      </c>
      <c r="AM600" s="12">
        <v>4382</v>
      </c>
      <c r="AN600" s="12">
        <f t="shared" si="137"/>
        <v>4382</v>
      </c>
      <c r="AO600" s="12">
        <v>6</v>
      </c>
      <c r="AP600" s="12" t="s">
        <v>59</v>
      </c>
      <c r="AQ600" s="12">
        <v>0</v>
      </c>
      <c r="AR600" s="12">
        <v>17</v>
      </c>
      <c r="AS600" s="12">
        <v>3</v>
      </c>
      <c r="AT600" s="12">
        <v>4</v>
      </c>
      <c r="AU600" s="12">
        <v>0</v>
      </c>
      <c r="AV600" s="12">
        <v>5</v>
      </c>
      <c r="AW600" s="12">
        <f t="shared" si="138"/>
        <v>5</v>
      </c>
      <c r="AX600" s="12">
        <v>3</v>
      </c>
      <c r="AY600" s="12">
        <v>2</v>
      </c>
      <c r="AZ600" s="12">
        <v>2</v>
      </c>
      <c r="BA600" s="12">
        <f t="shared" si="139"/>
        <v>2</v>
      </c>
      <c r="BB600" s="12">
        <v>2</v>
      </c>
      <c r="BC600" s="12">
        <v>2</v>
      </c>
      <c r="BD600" s="12">
        <f t="shared" si="148"/>
        <v>2</v>
      </c>
      <c r="BE600" s="12">
        <v>1</v>
      </c>
      <c r="BF600" s="12">
        <f t="shared" si="140"/>
        <v>1</v>
      </c>
      <c r="BG600" s="12">
        <f t="shared" si="149"/>
        <v>1</v>
      </c>
      <c r="BH600" s="67">
        <v>1</v>
      </c>
      <c r="BI600" s="67">
        <v>0</v>
      </c>
      <c r="BJ600" s="67">
        <v>0</v>
      </c>
      <c r="BK600" s="67">
        <v>0</v>
      </c>
      <c r="BL600" s="67">
        <v>1</v>
      </c>
      <c r="BM600" s="67">
        <v>0</v>
      </c>
      <c r="BN600" s="67">
        <v>0</v>
      </c>
      <c r="BO600" s="67">
        <v>0</v>
      </c>
      <c r="BP600" s="67">
        <v>0</v>
      </c>
      <c r="BQ600" s="67">
        <v>1</v>
      </c>
      <c r="BR600" s="67">
        <v>0</v>
      </c>
      <c r="BS600" s="67">
        <v>0</v>
      </c>
      <c r="BT600" s="67">
        <v>5</v>
      </c>
      <c r="BU600" s="70">
        <v>0</v>
      </c>
      <c r="BV600" s="29">
        <f t="shared" si="141"/>
        <v>0.45049931217112038</v>
      </c>
      <c r="BW600">
        <f t="shared" si="142"/>
        <v>0.87528310193156111</v>
      </c>
      <c r="BX600">
        <f t="shared" si="143"/>
        <v>0.80706439257840468</v>
      </c>
      <c r="BY600">
        <f t="shared" si="144"/>
        <v>0.81745575848020657</v>
      </c>
      <c r="BZ600">
        <f t="shared" si="145"/>
        <v>0.88721318382472392</v>
      </c>
      <c r="CA600">
        <f t="shared" si="146"/>
        <v>0.97684123527310796</v>
      </c>
      <c r="CB600">
        <f t="shared" si="147"/>
        <v>5.8265062631872602E-2</v>
      </c>
    </row>
    <row r="601" spans="1:80" x14ac:dyDescent="0.45">
      <c r="A601" s="11">
        <v>36</v>
      </c>
      <c r="B601" s="12">
        <f t="shared" si="135"/>
        <v>36</v>
      </c>
      <c r="C601" s="12" t="s">
        <v>59</v>
      </c>
      <c r="D601" s="12">
        <v>0</v>
      </c>
      <c r="E601" s="12" t="s">
        <v>53</v>
      </c>
      <c r="F601" s="12">
        <v>0</v>
      </c>
      <c r="G601" s="12">
        <v>1</v>
      </c>
      <c r="H601" s="12" t="s">
        <v>97</v>
      </c>
      <c r="I601" s="12">
        <v>0</v>
      </c>
      <c r="J601" s="12">
        <v>0</v>
      </c>
      <c r="K601" s="12">
        <v>13</v>
      </c>
      <c r="L601" s="12">
        <f t="shared" si="136"/>
        <v>13</v>
      </c>
      <c r="M601" s="12">
        <v>3</v>
      </c>
      <c r="N601" s="12" t="s">
        <v>97</v>
      </c>
      <c r="O601" s="12">
        <v>0</v>
      </c>
      <c r="P601" s="12">
        <v>0</v>
      </c>
      <c r="Q601" s="12">
        <v>0</v>
      </c>
      <c r="R601" s="12">
        <v>0</v>
      </c>
      <c r="S601" s="12">
        <v>0</v>
      </c>
      <c r="T601" s="12">
        <v>3</v>
      </c>
      <c r="U601" s="12" t="s">
        <v>62</v>
      </c>
      <c r="V601" s="12">
        <v>0</v>
      </c>
      <c r="W601" s="12">
        <v>36</v>
      </c>
      <c r="X601" s="12">
        <v>3</v>
      </c>
      <c r="Y601" s="12">
        <v>1</v>
      </c>
      <c r="Z601" s="12" t="s">
        <v>97</v>
      </c>
      <c r="AA601" s="12">
        <v>0</v>
      </c>
      <c r="AB601" s="12">
        <v>0</v>
      </c>
      <c r="AC601" s="12">
        <v>0</v>
      </c>
      <c r="AD601" s="12">
        <v>0</v>
      </c>
      <c r="AE601" s="12">
        <v>0</v>
      </c>
      <c r="AF601" s="12">
        <v>0</v>
      </c>
      <c r="AG601" s="12">
        <v>0</v>
      </c>
      <c r="AH601" s="12">
        <v>0</v>
      </c>
      <c r="AI601" s="12">
        <v>2</v>
      </c>
      <c r="AJ601" s="12" t="s">
        <v>64</v>
      </c>
      <c r="AK601" s="12">
        <v>0</v>
      </c>
      <c r="AL601" s="12">
        <v>1</v>
      </c>
      <c r="AM601" s="12">
        <v>2143</v>
      </c>
      <c r="AN601" s="12">
        <f t="shared" si="137"/>
        <v>2143</v>
      </c>
      <c r="AO601" s="12">
        <v>4</v>
      </c>
      <c r="AP601" s="12" t="s">
        <v>59</v>
      </c>
      <c r="AQ601" s="12">
        <v>0</v>
      </c>
      <c r="AR601" s="12">
        <v>13</v>
      </c>
      <c r="AS601" s="12">
        <v>3</v>
      </c>
      <c r="AT601" s="12">
        <v>2</v>
      </c>
      <c r="AU601" s="12">
        <v>1</v>
      </c>
      <c r="AV601" s="12">
        <v>8</v>
      </c>
      <c r="AW601" s="12">
        <f t="shared" si="138"/>
        <v>8</v>
      </c>
      <c r="AX601" s="12">
        <v>2</v>
      </c>
      <c r="AY601" s="12">
        <v>3</v>
      </c>
      <c r="AZ601" s="12">
        <v>5</v>
      </c>
      <c r="BA601" s="12">
        <f t="shared" si="139"/>
        <v>5</v>
      </c>
      <c r="BB601" s="12">
        <v>2</v>
      </c>
      <c r="BC601" s="12">
        <v>0</v>
      </c>
      <c r="BD601" s="12">
        <f t="shared" si="148"/>
        <v>0</v>
      </c>
      <c r="BE601" s="12">
        <v>4</v>
      </c>
      <c r="BF601" s="12">
        <f t="shared" si="140"/>
        <v>4</v>
      </c>
      <c r="BG601" s="12">
        <f t="shared" si="149"/>
        <v>4</v>
      </c>
      <c r="BH601" s="67">
        <v>0</v>
      </c>
      <c r="BI601" s="67">
        <v>1</v>
      </c>
      <c r="BJ601" s="67">
        <v>0</v>
      </c>
      <c r="BK601" s="67">
        <v>0</v>
      </c>
      <c r="BL601" s="67">
        <v>0</v>
      </c>
      <c r="BM601" s="67">
        <v>0</v>
      </c>
      <c r="BN601" s="67">
        <v>1</v>
      </c>
      <c r="BO601" s="67">
        <v>0</v>
      </c>
      <c r="BP601" s="67">
        <v>4</v>
      </c>
      <c r="BQ601" s="67">
        <v>0</v>
      </c>
      <c r="BR601" s="67">
        <v>0</v>
      </c>
      <c r="BS601" s="67">
        <v>8</v>
      </c>
      <c r="BT601" s="67">
        <v>0</v>
      </c>
      <c r="BU601" s="70">
        <v>0</v>
      </c>
      <c r="BV601" s="29">
        <f t="shared" si="141"/>
        <v>0.92607716964810916</v>
      </c>
      <c r="BW601">
        <f t="shared" si="142"/>
        <v>3.4508002929560584E-2</v>
      </c>
      <c r="BX601">
        <f t="shared" si="143"/>
        <v>0.42149901815843233</v>
      </c>
      <c r="BY601">
        <f t="shared" si="144"/>
        <v>0.32778177112653761</v>
      </c>
      <c r="BZ601">
        <f t="shared" si="145"/>
        <v>0.46966160880232483</v>
      </c>
      <c r="CA601">
        <f t="shared" si="146"/>
        <v>0.10112443951066327</v>
      </c>
      <c r="CB601">
        <f t="shared" si="147"/>
        <v>0.67891464284095016</v>
      </c>
    </row>
    <row r="602" spans="1:80" x14ac:dyDescent="0.45">
      <c r="A602" s="11">
        <v>32</v>
      </c>
      <c r="B602" s="12">
        <f t="shared" si="135"/>
        <v>32</v>
      </c>
      <c r="C602" s="12" t="s">
        <v>59</v>
      </c>
      <c r="D602" s="12">
        <v>0</v>
      </c>
      <c r="E602" s="12" t="s">
        <v>53</v>
      </c>
      <c r="F602" s="12">
        <v>0</v>
      </c>
      <c r="G602" s="12">
        <v>1</v>
      </c>
      <c r="H602" s="12" t="s">
        <v>61</v>
      </c>
      <c r="I602" s="12">
        <v>1</v>
      </c>
      <c r="J602" s="12">
        <v>0</v>
      </c>
      <c r="K602" s="12">
        <v>4</v>
      </c>
      <c r="L602" s="12">
        <f t="shared" si="136"/>
        <v>4</v>
      </c>
      <c r="M602" s="12">
        <v>3</v>
      </c>
      <c r="N602" s="12" t="s">
        <v>55</v>
      </c>
      <c r="O602" s="12">
        <v>1</v>
      </c>
      <c r="P602" s="12">
        <v>0</v>
      </c>
      <c r="Q602" s="12">
        <v>0</v>
      </c>
      <c r="R602" s="12">
        <v>0</v>
      </c>
      <c r="S602" s="12">
        <v>0</v>
      </c>
      <c r="T602" s="12">
        <v>3</v>
      </c>
      <c r="U602" s="12" t="s">
        <v>19</v>
      </c>
      <c r="V602" s="12">
        <v>1</v>
      </c>
      <c r="W602" s="12">
        <v>98</v>
      </c>
      <c r="X602" s="12">
        <v>2</v>
      </c>
      <c r="Y602" s="12">
        <v>2</v>
      </c>
      <c r="Z602" s="12" t="s">
        <v>83</v>
      </c>
      <c r="AA602" s="12">
        <v>0</v>
      </c>
      <c r="AB602" s="12">
        <v>0</v>
      </c>
      <c r="AC602" s="12">
        <v>0</v>
      </c>
      <c r="AD602" s="12">
        <v>0</v>
      </c>
      <c r="AE602" s="12">
        <v>1</v>
      </c>
      <c r="AF602" s="12">
        <v>1</v>
      </c>
      <c r="AG602" s="12">
        <v>0</v>
      </c>
      <c r="AH602" s="12">
        <v>0</v>
      </c>
      <c r="AI602" s="12">
        <v>3</v>
      </c>
      <c r="AJ602" s="12" t="s">
        <v>64</v>
      </c>
      <c r="AK602" s="12">
        <v>0</v>
      </c>
      <c r="AL602" s="12">
        <v>1</v>
      </c>
      <c r="AM602" s="12">
        <v>6162</v>
      </c>
      <c r="AN602" s="12">
        <f t="shared" si="137"/>
        <v>6162</v>
      </c>
      <c r="AO602" s="12">
        <v>1</v>
      </c>
      <c r="AP602" s="12" t="s">
        <v>59</v>
      </c>
      <c r="AQ602" s="12">
        <v>0</v>
      </c>
      <c r="AR602" s="12">
        <v>12</v>
      </c>
      <c r="AS602" s="12">
        <v>3</v>
      </c>
      <c r="AT602" s="12">
        <v>3</v>
      </c>
      <c r="AU602" s="12">
        <v>1</v>
      </c>
      <c r="AV602" s="12">
        <v>14</v>
      </c>
      <c r="AW602" s="12">
        <f t="shared" si="138"/>
        <v>14</v>
      </c>
      <c r="AX602" s="12">
        <v>3</v>
      </c>
      <c r="AY602" s="12">
        <v>3</v>
      </c>
      <c r="AZ602" s="12">
        <v>14</v>
      </c>
      <c r="BA602" s="12">
        <f t="shared" si="139"/>
        <v>14</v>
      </c>
      <c r="BB602" s="12">
        <v>13</v>
      </c>
      <c r="BC602" s="12">
        <v>6</v>
      </c>
      <c r="BD602" s="12">
        <f t="shared" si="148"/>
        <v>6</v>
      </c>
      <c r="BE602" s="12">
        <v>8</v>
      </c>
      <c r="BF602" s="12">
        <f t="shared" si="140"/>
        <v>8</v>
      </c>
      <c r="BG602" s="12">
        <f t="shared" si="149"/>
        <v>16</v>
      </c>
      <c r="BH602" s="67">
        <v>0</v>
      </c>
      <c r="BI602" s="67">
        <v>1</v>
      </c>
      <c r="BJ602" s="67">
        <v>0</v>
      </c>
      <c r="BK602" s="67">
        <v>0</v>
      </c>
      <c r="BL602" s="67">
        <v>0</v>
      </c>
      <c r="BM602" s="67">
        <v>0</v>
      </c>
      <c r="BN602" s="67">
        <v>1</v>
      </c>
      <c r="BO602" s="67">
        <v>0</v>
      </c>
      <c r="BP602" s="67">
        <v>0</v>
      </c>
      <c r="BQ602" s="67">
        <v>8</v>
      </c>
      <c r="BR602" s="67">
        <v>0</v>
      </c>
      <c r="BS602" s="67">
        <v>0</v>
      </c>
      <c r="BT602" s="67">
        <v>14</v>
      </c>
      <c r="BU602" s="70">
        <v>0</v>
      </c>
      <c r="BV602" s="29">
        <f t="shared" si="141"/>
        <v>7.2415977508753337E-2</v>
      </c>
      <c r="BW602">
        <f t="shared" si="142"/>
        <v>1.08652546240644</v>
      </c>
      <c r="BX602">
        <f t="shared" si="143"/>
        <v>0.34963173068151232</v>
      </c>
      <c r="BY602">
        <f t="shared" si="144"/>
        <v>1.1412401909344694</v>
      </c>
      <c r="BZ602">
        <f t="shared" si="145"/>
        <v>0.64050867607435136</v>
      </c>
      <c r="CA602">
        <f t="shared" si="146"/>
        <v>0.53898283739188557</v>
      </c>
      <c r="CB602">
        <f t="shared" si="147"/>
        <v>1.1830340977862825</v>
      </c>
    </row>
    <row r="603" spans="1:80" x14ac:dyDescent="0.45">
      <c r="A603" s="11">
        <v>40</v>
      </c>
      <c r="B603" s="12">
        <f t="shared" si="135"/>
        <v>40</v>
      </c>
      <c r="C603" s="12" t="s">
        <v>59</v>
      </c>
      <c r="D603" s="12">
        <v>0</v>
      </c>
      <c r="E603" s="12" t="s">
        <v>60</v>
      </c>
      <c r="F603" s="12">
        <v>1</v>
      </c>
      <c r="G603" s="12">
        <v>0</v>
      </c>
      <c r="H603" s="12" t="s">
        <v>61</v>
      </c>
      <c r="I603" s="12">
        <v>1</v>
      </c>
      <c r="J603" s="12">
        <v>0</v>
      </c>
      <c r="K603" s="12">
        <v>16</v>
      </c>
      <c r="L603" s="12">
        <f t="shared" si="136"/>
        <v>16</v>
      </c>
      <c r="M603" s="12">
        <v>4</v>
      </c>
      <c r="N603" s="12" t="s">
        <v>70</v>
      </c>
      <c r="O603" s="12">
        <v>0</v>
      </c>
      <c r="P603" s="12">
        <v>0</v>
      </c>
      <c r="Q603" s="12">
        <v>1</v>
      </c>
      <c r="R603" s="12">
        <v>0</v>
      </c>
      <c r="S603" s="12">
        <v>0</v>
      </c>
      <c r="T603" s="12">
        <v>1</v>
      </c>
      <c r="U603" s="12" t="s">
        <v>62</v>
      </c>
      <c r="V603" s="12">
        <v>0</v>
      </c>
      <c r="W603" s="12">
        <v>51</v>
      </c>
      <c r="X603" s="12">
        <v>2</v>
      </c>
      <c r="Y603" s="12">
        <v>2</v>
      </c>
      <c r="Z603" s="12" t="s">
        <v>67</v>
      </c>
      <c r="AA603" s="12">
        <v>0</v>
      </c>
      <c r="AB603" s="12">
        <v>0</v>
      </c>
      <c r="AC603" s="12">
        <v>1</v>
      </c>
      <c r="AD603" s="12">
        <v>0</v>
      </c>
      <c r="AE603" s="12">
        <v>0</v>
      </c>
      <c r="AF603" s="12">
        <v>0</v>
      </c>
      <c r="AG603" s="12">
        <v>0</v>
      </c>
      <c r="AH603" s="12">
        <v>0</v>
      </c>
      <c r="AI603" s="12">
        <v>3</v>
      </c>
      <c r="AJ603" s="12" t="s">
        <v>57</v>
      </c>
      <c r="AK603" s="12">
        <v>1</v>
      </c>
      <c r="AL603" s="12">
        <v>0</v>
      </c>
      <c r="AM603" s="12">
        <v>5094</v>
      </c>
      <c r="AN603" s="12">
        <f t="shared" si="137"/>
        <v>5094</v>
      </c>
      <c r="AO603" s="12">
        <v>6</v>
      </c>
      <c r="AP603" s="12" t="s">
        <v>59</v>
      </c>
      <c r="AQ603" s="12">
        <v>0</v>
      </c>
      <c r="AR603" s="12">
        <v>14</v>
      </c>
      <c r="AS603" s="12">
        <v>3</v>
      </c>
      <c r="AT603" s="12">
        <v>4</v>
      </c>
      <c r="AU603" s="12">
        <v>0</v>
      </c>
      <c r="AV603" s="12">
        <v>10</v>
      </c>
      <c r="AW603" s="12">
        <f t="shared" si="138"/>
        <v>10</v>
      </c>
      <c r="AX603" s="12">
        <v>6</v>
      </c>
      <c r="AY603" s="12">
        <v>3</v>
      </c>
      <c r="AZ603" s="12">
        <v>1</v>
      </c>
      <c r="BA603" s="12">
        <f t="shared" si="139"/>
        <v>1</v>
      </c>
      <c r="BB603" s="12">
        <v>0</v>
      </c>
      <c r="BC603" s="12">
        <v>0</v>
      </c>
      <c r="BD603" s="12">
        <f t="shared" si="148"/>
        <v>0</v>
      </c>
      <c r="BE603" s="12">
        <v>0</v>
      </c>
      <c r="BF603" s="12">
        <f t="shared" si="140"/>
        <v>0</v>
      </c>
      <c r="BG603" s="12">
        <f t="shared" si="149"/>
        <v>0</v>
      </c>
      <c r="BH603" s="67">
        <v>0</v>
      </c>
      <c r="BI603" s="67">
        <v>0</v>
      </c>
      <c r="BJ603" s="67">
        <v>1</v>
      </c>
      <c r="BK603" s="67">
        <v>0</v>
      </c>
      <c r="BL603" s="67">
        <v>1</v>
      </c>
      <c r="BM603" s="67">
        <v>0</v>
      </c>
      <c r="BN603" s="67">
        <v>0</v>
      </c>
      <c r="BO603" s="67">
        <v>0</v>
      </c>
      <c r="BP603" s="67">
        <v>0</v>
      </c>
      <c r="BQ603" s="67">
        <v>0</v>
      </c>
      <c r="BR603" s="67">
        <v>0</v>
      </c>
      <c r="BS603" s="67">
        <v>0</v>
      </c>
      <c r="BT603" s="67">
        <v>10</v>
      </c>
      <c r="BU603" s="70">
        <v>0</v>
      </c>
      <c r="BV603" s="29">
        <f t="shared" si="141"/>
        <v>0.29926597830617357</v>
      </c>
      <c r="BW603">
        <f t="shared" si="142"/>
        <v>1.1555414682655611</v>
      </c>
      <c r="BX603">
        <f t="shared" si="143"/>
        <v>0.1644554352117841</v>
      </c>
      <c r="BY603">
        <f t="shared" si="144"/>
        <v>0.9806804209314296</v>
      </c>
      <c r="BZ603">
        <f t="shared" si="145"/>
        <v>0.83971837042788355</v>
      </c>
      <c r="CA603">
        <f t="shared" si="146"/>
        <v>0.33673395837055903</v>
      </c>
      <c r="CB603">
        <f t="shared" si="147"/>
        <v>0.67891464284095016</v>
      </c>
    </row>
    <row r="604" spans="1:80" x14ac:dyDescent="0.45">
      <c r="A604" s="11">
        <v>30</v>
      </c>
      <c r="B604" s="12">
        <f t="shared" si="135"/>
        <v>30</v>
      </c>
      <c r="C604" s="12" t="s">
        <v>59</v>
      </c>
      <c r="D604" s="12">
        <v>0</v>
      </c>
      <c r="E604" s="12" t="s">
        <v>53</v>
      </c>
      <c r="F604" s="12">
        <v>0</v>
      </c>
      <c r="G604" s="12">
        <v>1</v>
      </c>
      <c r="H604" s="12" t="s">
        <v>61</v>
      </c>
      <c r="I604" s="12">
        <v>1</v>
      </c>
      <c r="J604" s="12">
        <v>0</v>
      </c>
      <c r="K604" s="12">
        <v>2</v>
      </c>
      <c r="L604" s="12">
        <f t="shared" si="136"/>
        <v>2</v>
      </c>
      <c r="M604" s="12">
        <v>3</v>
      </c>
      <c r="N604" s="12" t="s">
        <v>70</v>
      </c>
      <c r="O604" s="12">
        <v>0</v>
      </c>
      <c r="P604" s="12">
        <v>0</v>
      </c>
      <c r="Q604" s="12">
        <v>1</v>
      </c>
      <c r="R604" s="12">
        <v>0</v>
      </c>
      <c r="S604" s="12">
        <v>0</v>
      </c>
      <c r="T604" s="12">
        <v>3</v>
      </c>
      <c r="U604" s="12" t="s">
        <v>19</v>
      </c>
      <c r="V604" s="12">
        <v>1</v>
      </c>
      <c r="W604" s="12">
        <v>52</v>
      </c>
      <c r="X604" s="12">
        <v>2</v>
      </c>
      <c r="Y604" s="12">
        <v>2</v>
      </c>
      <c r="Z604" s="12" t="s">
        <v>83</v>
      </c>
      <c r="AA604" s="12">
        <v>0</v>
      </c>
      <c r="AB604" s="12">
        <v>0</v>
      </c>
      <c r="AC604" s="12">
        <v>0</v>
      </c>
      <c r="AD604" s="12">
        <v>0</v>
      </c>
      <c r="AE604" s="12">
        <v>1</v>
      </c>
      <c r="AF604" s="12">
        <v>1</v>
      </c>
      <c r="AG604" s="12">
        <v>0</v>
      </c>
      <c r="AH604" s="12">
        <v>0</v>
      </c>
      <c r="AI604" s="12">
        <v>4</v>
      </c>
      <c r="AJ604" s="12" t="s">
        <v>57</v>
      </c>
      <c r="AK604" s="12">
        <v>1</v>
      </c>
      <c r="AL604" s="12">
        <v>0</v>
      </c>
      <c r="AM604" s="12">
        <v>6877</v>
      </c>
      <c r="AN604" s="12">
        <f t="shared" si="137"/>
        <v>6877</v>
      </c>
      <c r="AO604" s="12">
        <v>5</v>
      </c>
      <c r="AP604" s="12" t="s">
        <v>52</v>
      </c>
      <c r="AQ604" s="12">
        <v>1</v>
      </c>
      <c r="AR604" s="12">
        <v>24</v>
      </c>
      <c r="AS604" s="12">
        <v>4</v>
      </c>
      <c r="AT604" s="12">
        <v>2</v>
      </c>
      <c r="AU604" s="12">
        <v>0</v>
      </c>
      <c r="AV604" s="12">
        <v>12</v>
      </c>
      <c r="AW604" s="12">
        <f t="shared" si="138"/>
        <v>12</v>
      </c>
      <c r="AX604" s="12">
        <v>4</v>
      </c>
      <c r="AY604" s="12">
        <v>2</v>
      </c>
      <c r="AZ604" s="12">
        <v>0</v>
      </c>
      <c r="BA604" s="12">
        <f t="shared" si="139"/>
        <v>0</v>
      </c>
      <c r="BB604" s="12">
        <v>0</v>
      </c>
      <c r="BC604" s="12">
        <v>0</v>
      </c>
      <c r="BD604" s="12">
        <f t="shared" si="148"/>
        <v>0</v>
      </c>
      <c r="BE604" s="12">
        <v>0</v>
      </c>
      <c r="BF604" s="12">
        <f t="shared" si="140"/>
        <v>0</v>
      </c>
      <c r="BG604" s="12">
        <f t="shared" si="149"/>
        <v>0</v>
      </c>
      <c r="BH604" s="67">
        <v>1</v>
      </c>
      <c r="BI604" s="67">
        <v>0</v>
      </c>
      <c r="BJ604" s="67">
        <v>0</v>
      </c>
      <c r="BK604" s="67">
        <v>0</v>
      </c>
      <c r="BL604" s="67">
        <v>0</v>
      </c>
      <c r="BM604" s="67">
        <v>1</v>
      </c>
      <c r="BN604" s="67">
        <v>0</v>
      </c>
      <c r="BO604" s="67">
        <v>0</v>
      </c>
      <c r="BP604" s="67">
        <v>0</v>
      </c>
      <c r="BQ604" s="67">
        <v>0</v>
      </c>
      <c r="BR604" s="67">
        <v>0</v>
      </c>
      <c r="BS604" s="67">
        <v>0</v>
      </c>
      <c r="BT604" s="67">
        <v>12</v>
      </c>
      <c r="BU604" s="70">
        <v>0</v>
      </c>
      <c r="BV604" s="29">
        <f t="shared" si="141"/>
        <v>7.9454575459557045E-2</v>
      </c>
      <c r="BW604">
        <f t="shared" si="142"/>
        <v>1.1555414682655611</v>
      </c>
      <c r="BX604">
        <f t="shared" si="143"/>
        <v>9.2588147734864096E-2</v>
      </c>
      <c r="BY604">
        <f t="shared" si="144"/>
        <v>1.1439050833826525</v>
      </c>
      <c r="BZ604">
        <f t="shared" si="145"/>
        <v>0.88721318382472392</v>
      </c>
      <c r="CA604">
        <f t="shared" si="146"/>
        <v>0.75791203633249671</v>
      </c>
      <c r="CB604">
        <f t="shared" si="147"/>
        <v>0.67891464284095016</v>
      </c>
    </row>
    <row r="605" spans="1:80" x14ac:dyDescent="0.45">
      <c r="A605" s="11">
        <v>45</v>
      </c>
      <c r="B605" s="12">
        <f t="shared" si="135"/>
        <v>45</v>
      </c>
      <c r="C605" s="12" t="s">
        <v>59</v>
      </c>
      <c r="D605" s="12">
        <v>0</v>
      </c>
      <c r="E605" s="12" t="s">
        <v>53</v>
      </c>
      <c r="F605" s="12">
        <v>0</v>
      </c>
      <c r="G605" s="12">
        <v>1</v>
      </c>
      <c r="H605" s="12" t="s">
        <v>61</v>
      </c>
      <c r="I605" s="12">
        <v>1</v>
      </c>
      <c r="J605" s="12">
        <v>0</v>
      </c>
      <c r="K605" s="12">
        <v>2</v>
      </c>
      <c r="L605" s="12">
        <f t="shared" si="136"/>
        <v>2</v>
      </c>
      <c r="M605" s="12">
        <v>3</v>
      </c>
      <c r="N605" s="12" t="s">
        <v>55</v>
      </c>
      <c r="O605" s="12">
        <v>1</v>
      </c>
      <c r="P605" s="12">
        <v>0</v>
      </c>
      <c r="Q605" s="12">
        <v>0</v>
      </c>
      <c r="R605" s="12">
        <v>0</v>
      </c>
      <c r="S605" s="12">
        <v>0</v>
      </c>
      <c r="T605" s="12">
        <v>2</v>
      </c>
      <c r="U605" s="12" t="s">
        <v>19</v>
      </c>
      <c r="V605" s="12">
        <v>1</v>
      </c>
      <c r="W605" s="12">
        <v>95</v>
      </c>
      <c r="X605" s="12">
        <v>2</v>
      </c>
      <c r="Y605" s="12">
        <v>1</v>
      </c>
      <c r="Z605" s="12" t="s">
        <v>63</v>
      </c>
      <c r="AA605" s="12">
        <v>0</v>
      </c>
      <c r="AB605" s="12">
        <v>0</v>
      </c>
      <c r="AC605" s="12">
        <v>0</v>
      </c>
      <c r="AD605" s="12">
        <v>0</v>
      </c>
      <c r="AE605" s="12">
        <v>0</v>
      </c>
      <c r="AF605" s="12">
        <v>0</v>
      </c>
      <c r="AG605" s="12">
        <v>0</v>
      </c>
      <c r="AH605" s="12">
        <v>1</v>
      </c>
      <c r="AI605" s="12">
        <v>3</v>
      </c>
      <c r="AJ605" s="12" t="s">
        <v>57</v>
      </c>
      <c r="AK605" s="12">
        <v>1</v>
      </c>
      <c r="AL605" s="12">
        <v>0</v>
      </c>
      <c r="AM605" s="12">
        <v>2274</v>
      </c>
      <c r="AN605" s="12">
        <f t="shared" si="137"/>
        <v>2274</v>
      </c>
      <c r="AO605" s="12">
        <v>1</v>
      </c>
      <c r="AP605" s="12" t="s">
        <v>59</v>
      </c>
      <c r="AQ605" s="12">
        <v>0</v>
      </c>
      <c r="AR605" s="12">
        <v>14</v>
      </c>
      <c r="AS605" s="12">
        <v>3</v>
      </c>
      <c r="AT605" s="12">
        <v>4</v>
      </c>
      <c r="AU605" s="12">
        <v>0</v>
      </c>
      <c r="AV605" s="12">
        <v>1</v>
      </c>
      <c r="AW605" s="12">
        <f t="shared" si="138"/>
        <v>1</v>
      </c>
      <c r="AX605" s="12">
        <v>3</v>
      </c>
      <c r="AY605" s="12">
        <v>3</v>
      </c>
      <c r="AZ605" s="12">
        <v>1</v>
      </c>
      <c r="BA605" s="12">
        <f t="shared" si="139"/>
        <v>1</v>
      </c>
      <c r="BB605" s="12">
        <v>0</v>
      </c>
      <c r="BC605" s="12">
        <v>0</v>
      </c>
      <c r="BD605" s="12">
        <f t="shared" si="148"/>
        <v>0</v>
      </c>
      <c r="BE605" s="12">
        <v>0</v>
      </c>
      <c r="BF605" s="12">
        <f t="shared" si="140"/>
        <v>0</v>
      </c>
      <c r="BG605" s="12">
        <f t="shared" si="149"/>
        <v>0</v>
      </c>
      <c r="BH605" s="67">
        <v>1</v>
      </c>
      <c r="BI605" s="67">
        <v>0</v>
      </c>
      <c r="BJ605" s="67">
        <v>0</v>
      </c>
      <c r="BK605" s="67">
        <v>0</v>
      </c>
      <c r="BL605" s="67">
        <v>1</v>
      </c>
      <c r="BM605" s="67">
        <v>0</v>
      </c>
      <c r="BN605" s="67">
        <v>0</v>
      </c>
      <c r="BO605" s="67">
        <v>0</v>
      </c>
      <c r="BP605" s="67">
        <v>0</v>
      </c>
      <c r="BQ605" s="67">
        <v>0</v>
      </c>
      <c r="BR605" s="67">
        <v>0</v>
      </c>
      <c r="BS605" s="67">
        <v>0</v>
      </c>
      <c r="BT605" s="67">
        <v>1</v>
      </c>
      <c r="BU605" s="70">
        <v>0</v>
      </c>
      <c r="BV605" s="29">
        <f t="shared" si="141"/>
        <v>0.89825193546790116</v>
      </c>
      <c r="BW605">
        <f t="shared" si="142"/>
        <v>1.1555414682655611</v>
      </c>
      <c r="BX605">
        <f t="shared" si="143"/>
        <v>1.3211515584717011</v>
      </c>
      <c r="BY605">
        <f t="shared" si="144"/>
        <v>0.9806804209314296</v>
      </c>
      <c r="BZ605">
        <f t="shared" si="145"/>
        <v>0.88721318382472392</v>
      </c>
      <c r="CA605">
        <f t="shared" si="146"/>
        <v>0.88405695572208698</v>
      </c>
      <c r="CB605">
        <f t="shared" si="147"/>
        <v>0.67891464284095016</v>
      </c>
    </row>
    <row r="606" spans="1:80" x14ac:dyDescent="0.45">
      <c r="A606" s="11">
        <v>42</v>
      </c>
      <c r="B606" s="12">
        <f t="shared" si="135"/>
        <v>42</v>
      </c>
      <c r="C606" s="12" t="s">
        <v>59</v>
      </c>
      <c r="D606" s="12">
        <v>0</v>
      </c>
      <c r="E606" s="12" t="s">
        <v>53</v>
      </c>
      <c r="F606" s="12">
        <v>0</v>
      </c>
      <c r="G606" s="12">
        <v>1</v>
      </c>
      <c r="H606" s="12" t="s">
        <v>61</v>
      </c>
      <c r="I606" s="12">
        <v>1</v>
      </c>
      <c r="J606" s="12">
        <v>0</v>
      </c>
      <c r="K606" s="12">
        <v>29</v>
      </c>
      <c r="L606" s="12">
        <f t="shared" si="136"/>
        <v>29</v>
      </c>
      <c r="M606" s="12">
        <v>3</v>
      </c>
      <c r="N606" s="12" t="s">
        <v>55</v>
      </c>
      <c r="O606" s="12">
        <v>1</v>
      </c>
      <c r="P606" s="12">
        <v>0</v>
      </c>
      <c r="Q606" s="12">
        <v>0</v>
      </c>
      <c r="R606" s="12">
        <v>0</v>
      </c>
      <c r="S606" s="12">
        <v>0</v>
      </c>
      <c r="T606" s="12">
        <v>2</v>
      </c>
      <c r="U606" s="12" t="s">
        <v>62</v>
      </c>
      <c r="V606" s="12">
        <v>0</v>
      </c>
      <c r="W606" s="12">
        <v>98</v>
      </c>
      <c r="X606" s="12">
        <v>3</v>
      </c>
      <c r="Y606" s="12">
        <v>2</v>
      </c>
      <c r="Z606" s="12" t="s">
        <v>83</v>
      </c>
      <c r="AA606" s="12">
        <v>0</v>
      </c>
      <c r="AB606" s="12">
        <v>0</v>
      </c>
      <c r="AC606" s="12">
        <v>0</v>
      </c>
      <c r="AD606" s="12">
        <v>0</v>
      </c>
      <c r="AE606" s="12">
        <v>1</v>
      </c>
      <c r="AF606" s="12">
        <v>1</v>
      </c>
      <c r="AG606" s="12">
        <v>0</v>
      </c>
      <c r="AH606" s="12">
        <v>0</v>
      </c>
      <c r="AI606" s="12">
        <v>2</v>
      </c>
      <c r="AJ606" s="12" t="s">
        <v>64</v>
      </c>
      <c r="AK606" s="12">
        <v>0</v>
      </c>
      <c r="AL606" s="12">
        <v>1</v>
      </c>
      <c r="AM606" s="12">
        <v>4434</v>
      </c>
      <c r="AN606" s="12">
        <f t="shared" si="137"/>
        <v>4434</v>
      </c>
      <c r="AO606" s="12">
        <v>1</v>
      </c>
      <c r="AP606" s="12" t="s">
        <v>59</v>
      </c>
      <c r="AQ606" s="12">
        <v>0</v>
      </c>
      <c r="AR606" s="12">
        <v>13</v>
      </c>
      <c r="AS606" s="12">
        <v>3</v>
      </c>
      <c r="AT606" s="12">
        <v>4</v>
      </c>
      <c r="AU606" s="12">
        <v>1</v>
      </c>
      <c r="AV606" s="12">
        <v>10</v>
      </c>
      <c r="AW606" s="12">
        <f t="shared" si="138"/>
        <v>10</v>
      </c>
      <c r="AX606" s="12">
        <v>3</v>
      </c>
      <c r="AY606" s="12">
        <v>2</v>
      </c>
      <c r="AZ606" s="12">
        <v>9</v>
      </c>
      <c r="BA606" s="12">
        <f t="shared" si="139"/>
        <v>9</v>
      </c>
      <c r="BB606" s="12">
        <v>8</v>
      </c>
      <c r="BC606" s="12">
        <v>7</v>
      </c>
      <c r="BD606" s="12">
        <f t="shared" si="148"/>
        <v>7</v>
      </c>
      <c r="BE606" s="12">
        <v>8</v>
      </c>
      <c r="BF606" s="12">
        <f t="shared" si="140"/>
        <v>8</v>
      </c>
      <c r="BG606" s="12">
        <f t="shared" si="149"/>
        <v>16</v>
      </c>
      <c r="BH606" s="67">
        <v>0</v>
      </c>
      <c r="BI606" s="67">
        <v>1</v>
      </c>
      <c r="BJ606" s="67">
        <v>0</v>
      </c>
      <c r="BK606" s="67">
        <v>0</v>
      </c>
      <c r="BL606" s="67">
        <v>0</v>
      </c>
      <c r="BM606" s="67">
        <v>0</v>
      </c>
      <c r="BN606" s="67">
        <v>1</v>
      </c>
      <c r="BO606" s="67">
        <v>0</v>
      </c>
      <c r="BP606" s="67">
        <v>0</v>
      </c>
      <c r="BQ606" s="67">
        <v>8</v>
      </c>
      <c r="BR606" s="67">
        <v>0</v>
      </c>
      <c r="BS606" s="67">
        <v>0</v>
      </c>
      <c r="BT606" s="67">
        <v>10</v>
      </c>
      <c r="BU606" s="70">
        <v>0</v>
      </c>
      <c r="BV606" s="29">
        <f t="shared" si="141"/>
        <v>0.43945418104615236</v>
      </c>
      <c r="BW606">
        <f t="shared" si="142"/>
        <v>1.08652546240644</v>
      </c>
      <c r="BX606">
        <f t="shared" si="143"/>
        <v>0.1644554352117841</v>
      </c>
      <c r="BY606">
        <f t="shared" si="144"/>
        <v>0.32511687867835437</v>
      </c>
      <c r="BZ606">
        <f t="shared" si="145"/>
        <v>2.4432976708053049</v>
      </c>
      <c r="CA606">
        <f t="shared" si="146"/>
        <v>0.55566315731117022</v>
      </c>
      <c r="CB606">
        <f t="shared" si="147"/>
        <v>1.4933588878908215</v>
      </c>
    </row>
    <row r="607" spans="1:80" x14ac:dyDescent="0.45">
      <c r="A607" s="11">
        <v>38</v>
      </c>
      <c r="B607" s="12">
        <f t="shared" si="135"/>
        <v>38</v>
      </c>
      <c r="C607" s="12" t="s">
        <v>59</v>
      </c>
      <c r="D607" s="12">
        <v>0</v>
      </c>
      <c r="E607" s="12" t="s">
        <v>60</v>
      </c>
      <c r="F607" s="12">
        <v>1</v>
      </c>
      <c r="G607" s="12">
        <v>0</v>
      </c>
      <c r="H607" s="12" t="s">
        <v>61</v>
      </c>
      <c r="I607" s="12">
        <v>1</v>
      </c>
      <c r="J607" s="12">
        <v>0</v>
      </c>
      <c r="K607" s="12">
        <v>12</v>
      </c>
      <c r="L607" s="12">
        <f t="shared" si="136"/>
        <v>12</v>
      </c>
      <c r="M607" s="12">
        <v>3</v>
      </c>
      <c r="N607" s="12" t="s">
        <v>55</v>
      </c>
      <c r="O607" s="12">
        <v>1</v>
      </c>
      <c r="P607" s="12">
        <v>0</v>
      </c>
      <c r="Q607" s="12">
        <v>0</v>
      </c>
      <c r="R607" s="12">
        <v>0</v>
      </c>
      <c r="S607" s="12">
        <v>0</v>
      </c>
      <c r="T607" s="12">
        <v>1</v>
      </c>
      <c r="U607" s="12" t="s">
        <v>62</v>
      </c>
      <c r="V607" s="12">
        <v>0</v>
      </c>
      <c r="W607" s="12">
        <v>45</v>
      </c>
      <c r="X607" s="12">
        <v>2</v>
      </c>
      <c r="Y607" s="12">
        <v>2</v>
      </c>
      <c r="Z607" s="12" t="s">
        <v>85</v>
      </c>
      <c r="AA607" s="12">
        <v>1</v>
      </c>
      <c r="AB607" s="12">
        <v>0</v>
      </c>
      <c r="AC607" s="12">
        <v>0</v>
      </c>
      <c r="AD607" s="12">
        <v>0</v>
      </c>
      <c r="AE607" s="12">
        <v>0</v>
      </c>
      <c r="AF607" s="12">
        <v>0</v>
      </c>
      <c r="AG607" s="12">
        <v>0</v>
      </c>
      <c r="AH607" s="12">
        <v>0</v>
      </c>
      <c r="AI607" s="12">
        <v>1</v>
      </c>
      <c r="AJ607" s="12" t="s">
        <v>78</v>
      </c>
      <c r="AK607" s="12">
        <v>0</v>
      </c>
      <c r="AL607" s="12">
        <v>0</v>
      </c>
      <c r="AM607" s="12">
        <v>6288</v>
      </c>
      <c r="AN607" s="12">
        <f t="shared" si="137"/>
        <v>6288</v>
      </c>
      <c r="AO607" s="12">
        <v>2</v>
      </c>
      <c r="AP607" s="12" t="s">
        <v>59</v>
      </c>
      <c r="AQ607" s="12">
        <v>0</v>
      </c>
      <c r="AR607" s="12">
        <v>15</v>
      </c>
      <c r="AS607" s="12">
        <v>3</v>
      </c>
      <c r="AT607" s="12">
        <v>3</v>
      </c>
      <c r="AU607" s="12">
        <v>1</v>
      </c>
      <c r="AV607" s="12">
        <v>13</v>
      </c>
      <c r="AW607" s="12">
        <f t="shared" si="138"/>
        <v>13</v>
      </c>
      <c r="AX607" s="12">
        <v>3</v>
      </c>
      <c r="AY607" s="12">
        <v>2</v>
      </c>
      <c r="AZ607" s="12">
        <v>4</v>
      </c>
      <c r="BA607" s="12">
        <f t="shared" si="139"/>
        <v>4</v>
      </c>
      <c r="BB607" s="12">
        <v>3</v>
      </c>
      <c r="BC607" s="12">
        <v>1</v>
      </c>
      <c r="BD607" s="12">
        <f t="shared" si="148"/>
        <v>1</v>
      </c>
      <c r="BE607" s="12">
        <v>2</v>
      </c>
      <c r="BF607" s="12">
        <f t="shared" si="140"/>
        <v>2</v>
      </c>
      <c r="BG607" s="12">
        <f t="shared" si="149"/>
        <v>4</v>
      </c>
      <c r="BH607" s="67">
        <v>0</v>
      </c>
      <c r="BI607" s="67">
        <v>0</v>
      </c>
      <c r="BJ607" s="67">
        <v>1</v>
      </c>
      <c r="BK607" s="67">
        <v>0</v>
      </c>
      <c r="BL607" s="67">
        <v>1</v>
      </c>
      <c r="BM607" s="67">
        <v>0</v>
      </c>
      <c r="BN607" s="67">
        <v>0</v>
      </c>
      <c r="BO607" s="67">
        <v>0</v>
      </c>
      <c r="BP607" s="67">
        <v>0</v>
      </c>
      <c r="BQ607" s="67">
        <v>2</v>
      </c>
      <c r="BR607" s="67">
        <v>0</v>
      </c>
      <c r="BS607" s="67">
        <v>0</v>
      </c>
      <c r="BT607" s="67">
        <v>13</v>
      </c>
      <c r="BU607" s="70">
        <v>0</v>
      </c>
      <c r="BV607" s="29">
        <f t="shared" si="141"/>
        <v>4.5652775167484651E-2</v>
      </c>
      <c r="BW607">
        <f t="shared" si="142"/>
        <v>0.59502473559756086</v>
      </c>
      <c r="BX607">
        <f t="shared" si="143"/>
        <v>0.22110993920818819</v>
      </c>
      <c r="BY607">
        <f t="shared" si="144"/>
        <v>0.49100643357776058</v>
      </c>
      <c r="BZ607">
        <f t="shared" si="145"/>
        <v>0.3463093549271386</v>
      </c>
      <c r="CA607">
        <f t="shared" si="146"/>
        <v>0.11780475942994788</v>
      </c>
      <c r="CB607">
        <f t="shared" si="147"/>
        <v>0.36858985273641137</v>
      </c>
    </row>
    <row r="608" spans="1:80" x14ac:dyDescent="0.45">
      <c r="A608" s="11">
        <v>34</v>
      </c>
      <c r="B608" s="12">
        <f t="shared" si="135"/>
        <v>34</v>
      </c>
      <c r="C608" s="12" t="s">
        <v>59</v>
      </c>
      <c r="D608" s="12">
        <v>0</v>
      </c>
      <c r="E608" s="12" t="s">
        <v>60</v>
      </c>
      <c r="F608" s="12">
        <v>1</v>
      </c>
      <c r="G608" s="12">
        <v>0</v>
      </c>
      <c r="H608" s="12" t="s">
        <v>61</v>
      </c>
      <c r="I608" s="12">
        <v>1</v>
      </c>
      <c r="J608" s="12">
        <v>0</v>
      </c>
      <c r="K608" s="12">
        <v>16</v>
      </c>
      <c r="L608" s="12">
        <f t="shared" si="136"/>
        <v>16</v>
      </c>
      <c r="M608" s="12">
        <v>4</v>
      </c>
      <c r="N608" s="12" t="s">
        <v>55</v>
      </c>
      <c r="O608" s="12">
        <v>1</v>
      </c>
      <c r="P608" s="12">
        <v>0</v>
      </c>
      <c r="Q608" s="12">
        <v>0</v>
      </c>
      <c r="R608" s="12">
        <v>0</v>
      </c>
      <c r="S608" s="12">
        <v>0</v>
      </c>
      <c r="T608" s="12">
        <v>3</v>
      </c>
      <c r="U608" s="12" t="s">
        <v>19</v>
      </c>
      <c r="V608" s="12">
        <v>1</v>
      </c>
      <c r="W608" s="12">
        <v>100</v>
      </c>
      <c r="X608" s="12">
        <v>2</v>
      </c>
      <c r="Y608" s="12">
        <v>1</v>
      </c>
      <c r="Z608" s="12" t="s">
        <v>63</v>
      </c>
      <c r="AA608" s="12">
        <v>0</v>
      </c>
      <c r="AB608" s="12">
        <v>0</v>
      </c>
      <c r="AC608" s="12">
        <v>0</v>
      </c>
      <c r="AD608" s="12">
        <v>0</v>
      </c>
      <c r="AE608" s="12">
        <v>0</v>
      </c>
      <c r="AF608" s="12">
        <v>0</v>
      </c>
      <c r="AG608" s="12">
        <v>0</v>
      </c>
      <c r="AH608" s="12">
        <v>1</v>
      </c>
      <c r="AI608" s="12">
        <v>4</v>
      </c>
      <c r="AJ608" s="12" t="s">
        <v>57</v>
      </c>
      <c r="AK608" s="12">
        <v>1</v>
      </c>
      <c r="AL608" s="12">
        <v>0</v>
      </c>
      <c r="AM608" s="12">
        <v>2553</v>
      </c>
      <c r="AN608" s="12">
        <f t="shared" si="137"/>
        <v>2553</v>
      </c>
      <c r="AO608" s="12">
        <v>1</v>
      </c>
      <c r="AP608" s="12" t="s">
        <v>59</v>
      </c>
      <c r="AQ608" s="12">
        <v>0</v>
      </c>
      <c r="AR608" s="12">
        <v>16</v>
      </c>
      <c r="AS608" s="12">
        <v>3</v>
      </c>
      <c r="AT608" s="12">
        <v>3</v>
      </c>
      <c r="AU608" s="12">
        <v>0</v>
      </c>
      <c r="AV608" s="12">
        <v>6</v>
      </c>
      <c r="AW608" s="12">
        <f t="shared" si="138"/>
        <v>6</v>
      </c>
      <c r="AX608" s="12">
        <v>3</v>
      </c>
      <c r="AY608" s="12">
        <v>3</v>
      </c>
      <c r="AZ608" s="12">
        <v>5</v>
      </c>
      <c r="BA608" s="12">
        <f t="shared" si="139"/>
        <v>5</v>
      </c>
      <c r="BB608" s="12">
        <v>2</v>
      </c>
      <c r="BC608" s="12">
        <v>1</v>
      </c>
      <c r="BD608" s="12">
        <f t="shared" si="148"/>
        <v>1</v>
      </c>
      <c r="BE608" s="12">
        <v>3</v>
      </c>
      <c r="BF608" s="12">
        <f t="shared" si="140"/>
        <v>3</v>
      </c>
      <c r="BG608" s="12">
        <f t="shared" si="149"/>
        <v>3</v>
      </c>
      <c r="BH608" s="67">
        <v>0</v>
      </c>
      <c r="BI608" s="67">
        <v>0</v>
      </c>
      <c r="BJ608" s="67">
        <v>1</v>
      </c>
      <c r="BK608" s="67">
        <v>0</v>
      </c>
      <c r="BL608" s="67">
        <v>1</v>
      </c>
      <c r="BM608" s="67">
        <v>0</v>
      </c>
      <c r="BN608" s="67">
        <v>0</v>
      </c>
      <c r="BO608" s="67">
        <v>0</v>
      </c>
      <c r="BP608" s="67">
        <v>0</v>
      </c>
      <c r="BQ608" s="67">
        <v>3</v>
      </c>
      <c r="BR608" s="67">
        <v>0</v>
      </c>
      <c r="BS608" s="67">
        <v>0</v>
      </c>
      <c r="BT608" s="67">
        <v>6</v>
      </c>
      <c r="BU608" s="70">
        <v>0</v>
      </c>
      <c r="BV608" s="29">
        <f t="shared" si="141"/>
        <v>0.83899055885509199</v>
      </c>
      <c r="BW608">
        <f t="shared" si="142"/>
        <v>0.31476636926356072</v>
      </c>
      <c r="BX608">
        <f t="shared" si="143"/>
        <v>0.67854260110508058</v>
      </c>
      <c r="BY608">
        <f t="shared" si="144"/>
        <v>0.32778177112653761</v>
      </c>
      <c r="BZ608">
        <f t="shared" si="145"/>
        <v>0.83971837042788355</v>
      </c>
      <c r="CA608">
        <f t="shared" si="146"/>
        <v>0.32005363845127444</v>
      </c>
      <c r="CB608">
        <f t="shared" si="147"/>
        <v>0.36858985273641137</v>
      </c>
    </row>
    <row r="609" spans="1:80" x14ac:dyDescent="0.45">
      <c r="A609" s="11">
        <v>49</v>
      </c>
      <c r="B609" s="12">
        <f t="shared" si="135"/>
        <v>49</v>
      </c>
      <c r="C609" s="12" t="s">
        <v>52</v>
      </c>
      <c r="D609" s="12">
        <v>1</v>
      </c>
      <c r="E609" s="12" t="s">
        <v>53</v>
      </c>
      <c r="F609" s="12">
        <v>0</v>
      </c>
      <c r="G609" s="12">
        <v>1</v>
      </c>
      <c r="H609" s="12" t="s">
        <v>54</v>
      </c>
      <c r="I609" s="12">
        <v>0</v>
      </c>
      <c r="J609" s="12">
        <v>1</v>
      </c>
      <c r="K609" s="12">
        <v>11</v>
      </c>
      <c r="L609" s="12">
        <f t="shared" si="136"/>
        <v>11</v>
      </c>
      <c r="M609" s="12">
        <v>3</v>
      </c>
      <c r="N609" s="12" t="s">
        <v>90</v>
      </c>
      <c r="O609" s="12">
        <v>0</v>
      </c>
      <c r="P609" s="12">
        <v>0</v>
      </c>
      <c r="Q609" s="12">
        <v>0</v>
      </c>
      <c r="R609" s="12">
        <v>1</v>
      </c>
      <c r="S609" s="12">
        <v>0</v>
      </c>
      <c r="T609" s="12">
        <v>3</v>
      </c>
      <c r="U609" s="12" t="s">
        <v>19</v>
      </c>
      <c r="V609" s="12">
        <v>1</v>
      </c>
      <c r="W609" s="12">
        <v>43</v>
      </c>
      <c r="X609" s="12">
        <v>3</v>
      </c>
      <c r="Y609" s="12">
        <v>3</v>
      </c>
      <c r="Z609" s="12" t="s">
        <v>56</v>
      </c>
      <c r="AA609" s="12">
        <v>0</v>
      </c>
      <c r="AB609" s="12">
        <v>1</v>
      </c>
      <c r="AC609" s="12">
        <v>0</v>
      </c>
      <c r="AD609" s="12">
        <v>0</v>
      </c>
      <c r="AE609" s="12">
        <v>0</v>
      </c>
      <c r="AF609" s="12">
        <v>0</v>
      </c>
      <c r="AG609" s="12">
        <v>0</v>
      </c>
      <c r="AH609" s="12">
        <v>0</v>
      </c>
      <c r="AI609" s="12">
        <v>4</v>
      </c>
      <c r="AJ609" s="12" t="s">
        <v>64</v>
      </c>
      <c r="AK609" s="12">
        <v>0</v>
      </c>
      <c r="AL609" s="12">
        <v>1</v>
      </c>
      <c r="AM609" s="12">
        <v>7654</v>
      </c>
      <c r="AN609" s="12">
        <f t="shared" si="137"/>
        <v>7654</v>
      </c>
      <c r="AO609" s="12">
        <v>1</v>
      </c>
      <c r="AP609" s="12" t="s">
        <v>59</v>
      </c>
      <c r="AQ609" s="12">
        <v>0</v>
      </c>
      <c r="AR609" s="12">
        <v>18</v>
      </c>
      <c r="AS609" s="12">
        <v>3</v>
      </c>
      <c r="AT609" s="12">
        <v>1</v>
      </c>
      <c r="AU609" s="12">
        <v>2</v>
      </c>
      <c r="AV609" s="12">
        <v>9</v>
      </c>
      <c r="AW609" s="12">
        <f t="shared" si="138"/>
        <v>9</v>
      </c>
      <c r="AX609" s="12">
        <v>3</v>
      </c>
      <c r="AY609" s="12">
        <v>4</v>
      </c>
      <c r="AZ609" s="12">
        <v>9</v>
      </c>
      <c r="BA609" s="12">
        <f t="shared" si="139"/>
        <v>9</v>
      </c>
      <c r="BB609" s="12">
        <v>8</v>
      </c>
      <c r="BC609" s="12">
        <v>7</v>
      </c>
      <c r="BD609" s="12">
        <f t="shared" si="148"/>
        <v>7</v>
      </c>
      <c r="BE609" s="12">
        <v>7</v>
      </c>
      <c r="BF609" s="12">
        <f t="shared" si="140"/>
        <v>7</v>
      </c>
      <c r="BG609" s="12">
        <f t="shared" si="149"/>
        <v>21</v>
      </c>
      <c r="BH609" s="67">
        <v>0</v>
      </c>
      <c r="BI609" s="67">
        <v>1</v>
      </c>
      <c r="BJ609" s="67">
        <v>0</v>
      </c>
      <c r="BK609" s="67">
        <v>0</v>
      </c>
      <c r="BL609" s="67">
        <v>0</v>
      </c>
      <c r="BM609" s="67">
        <v>0</v>
      </c>
      <c r="BN609" s="67">
        <v>1</v>
      </c>
      <c r="BO609" s="67">
        <v>0</v>
      </c>
      <c r="BP609" s="67">
        <v>0</v>
      </c>
      <c r="BQ609" s="67">
        <v>0</v>
      </c>
      <c r="BR609" s="67">
        <v>7</v>
      </c>
      <c r="BS609" s="67">
        <v>0</v>
      </c>
      <c r="BT609" s="67">
        <v>0</v>
      </c>
      <c r="BU609" s="70">
        <v>9</v>
      </c>
      <c r="BV609" s="29">
        <f t="shared" si="141"/>
        <v>0.24449432323071391</v>
      </c>
      <c r="BW609">
        <f t="shared" si="142"/>
        <v>0.80626709607243985</v>
      </c>
      <c r="BX609">
        <f t="shared" si="143"/>
        <v>0.29297722668510823</v>
      </c>
      <c r="BY609">
        <f t="shared" si="144"/>
        <v>0.32511687867835437</v>
      </c>
      <c r="BZ609">
        <f t="shared" si="145"/>
        <v>0.22295710105195232</v>
      </c>
      <c r="CA609">
        <f t="shared" si="146"/>
        <v>1.3219153536033093</v>
      </c>
      <c r="CB609">
        <f t="shared" si="147"/>
        <v>1.4933588878908215</v>
      </c>
    </row>
    <row r="610" spans="1:80" x14ac:dyDescent="0.45">
      <c r="A610" s="11">
        <v>55</v>
      </c>
      <c r="B610" s="12">
        <f t="shared" si="135"/>
        <v>55</v>
      </c>
      <c r="C610" s="12" t="s">
        <v>52</v>
      </c>
      <c r="D610" s="12">
        <v>1</v>
      </c>
      <c r="E610" s="12" t="s">
        <v>53</v>
      </c>
      <c r="F610" s="12">
        <v>0</v>
      </c>
      <c r="G610" s="12">
        <v>1</v>
      </c>
      <c r="H610" s="12" t="s">
        <v>54</v>
      </c>
      <c r="I610" s="12">
        <v>0</v>
      </c>
      <c r="J610" s="12">
        <v>1</v>
      </c>
      <c r="K610" s="12">
        <v>2</v>
      </c>
      <c r="L610" s="12">
        <f t="shared" si="136"/>
        <v>2</v>
      </c>
      <c r="M610" s="12">
        <v>1</v>
      </c>
      <c r="N610" s="12" t="s">
        <v>70</v>
      </c>
      <c r="O610" s="12">
        <v>0</v>
      </c>
      <c r="P610" s="12">
        <v>0</v>
      </c>
      <c r="Q610" s="12">
        <v>1</v>
      </c>
      <c r="R610" s="12">
        <v>0</v>
      </c>
      <c r="S610" s="12">
        <v>0</v>
      </c>
      <c r="T610" s="12">
        <v>3</v>
      </c>
      <c r="U610" s="12" t="s">
        <v>62</v>
      </c>
      <c r="V610" s="12">
        <v>0</v>
      </c>
      <c r="W610" s="12">
        <v>37</v>
      </c>
      <c r="X610" s="12">
        <v>3</v>
      </c>
      <c r="Y610" s="12">
        <v>2</v>
      </c>
      <c r="Z610" s="12" t="s">
        <v>56</v>
      </c>
      <c r="AA610" s="12">
        <v>0</v>
      </c>
      <c r="AB610" s="12">
        <v>1</v>
      </c>
      <c r="AC610" s="12">
        <v>0</v>
      </c>
      <c r="AD610" s="12">
        <v>0</v>
      </c>
      <c r="AE610" s="12">
        <v>0</v>
      </c>
      <c r="AF610" s="12">
        <v>0</v>
      </c>
      <c r="AG610" s="12">
        <v>0</v>
      </c>
      <c r="AH610" s="12">
        <v>0</v>
      </c>
      <c r="AI610" s="12">
        <v>4</v>
      </c>
      <c r="AJ610" s="12" t="s">
        <v>57</v>
      </c>
      <c r="AK610" s="12">
        <v>1</v>
      </c>
      <c r="AL610" s="12">
        <v>0</v>
      </c>
      <c r="AM610" s="12">
        <v>5160</v>
      </c>
      <c r="AN610" s="12">
        <f t="shared" si="137"/>
        <v>5160</v>
      </c>
      <c r="AO610" s="12">
        <v>4</v>
      </c>
      <c r="AP610" s="12" t="s">
        <v>59</v>
      </c>
      <c r="AQ610" s="12">
        <v>0</v>
      </c>
      <c r="AR610" s="12">
        <v>16</v>
      </c>
      <c r="AS610" s="12">
        <v>3</v>
      </c>
      <c r="AT610" s="12">
        <v>3</v>
      </c>
      <c r="AU610" s="12">
        <v>0</v>
      </c>
      <c r="AV610" s="12">
        <v>12</v>
      </c>
      <c r="AW610" s="12">
        <f t="shared" si="138"/>
        <v>12</v>
      </c>
      <c r="AX610" s="12">
        <v>3</v>
      </c>
      <c r="AY610" s="12">
        <v>2</v>
      </c>
      <c r="AZ610" s="12">
        <v>9</v>
      </c>
      <c r="BA610" s="12">
        <f t="shared" si="139"/>
        <v>9</v>
      </c>
      <c r="BB610" s="12">
        <v>7</v>
      </c>
      <c r="BC610" s="12">
        <v>7</v>
      </c>
      <c r="BD610" s="12">
        <f t="shared" si="148"/>
        <v>7</v>
      </c>
      <c r="BE610" s="12">
        <v>3</v>
      </c>
      <c r="BF610" s="12">
        <f t="shared" si="140"/>
        <v>3</v>
      </c>
      <c r="BG610" s="12">
        <f t="shared" si="149"/>
        <v>6</v>
      </c>
      <c r="BH610" s="67">
        <v>1</v>
      </c>
      <c r="BI610" s="67">
        <v>0</v>
      </c>
      <c r="BJ610" s="67">
        <v>0</v>
      </c>
      <c r="BK610" s="67">
        <v>0</v>
      </c>
      <c r="BL610" s="67">
        <v>1</v>
      </c>
      <c r="BM610" s="67">
        <v>0</v>
      </c>
      <c r="BN610" s="67">
        <v>0</v>
      </c>
      <c r="BO610" s="67">
        <v>0</v>
      </c>
      <c r="BP610" s="67">
        <v>0</v>
      </c>
      <c r="BQ610" s="67">
        <v>0</v>
      </c>
      <c r="BR610" s="67">
        <v>3</v>
      </c>
      <c r="BS610" s="67">
        <v>0</v>
      </c>
      <c r="BT610" s="67">
        <v>0</v>
      </c>
      <c r="BU610" s="70">
        <v>12</v>
      </c>
      <c r="BV610" s="29">
        <f t="shared" si="141"/>
        <v>0.28524715803217571</v>
      </c>
      <c r="BW610">
        <f t="shared" si="142"/>
        <v>0.31476636926356072</v>
      </c>
      <c r="BX610">
        <f t="shared" si="143"/>
        <v>9.2588147734864096E-2</v>
      </c>
      <c r="BY610">
        <f t="shared" si="144"/>
        <v>0.32511687867835437</v>
      </c>
      <c r="BZ610">
        <f t="shared" si="145"/>
        <v>0.88721318382472392</v>
      </c>
      <c r="CA610">
        <f t="shared" si="146"/>
        <v>1.9787029504251428</v>
      </c>
      <c r="CB610">
        <f t="shared" si="147"/>
        <v>1.4933588878908215</v>
      </c>
    </row>
    <row r="611" spans="1:80" x14ac:dyDescent="0.45">
      <c r="A611" s="11">
        <v>43</v>
      </c>
      <c r="B611" s="12">
        <f t="shared" si="135"/>
        <v>43</v>
      </c>
      <c r="C611" s="12" t="s">
        <v>59</v>
      </c>
      <c r="D611" s="12">
        <v>0</v>
      </c>
      <c r="E611" s="12" t="s">
        <v>53</v>
      </c>
      <c r="F611" s="12">
        <v>0</v>
      </c>
      <c r="G611" s="12">
        <v>1</v>
      </c>
      <c r="H611" s="12" t="s">
        <v>61</v>
      </c>
      <c r="I611" s="12">
        <v>1</v>
      </c>
      <c r="J611" s="12">
        <v>0</v>
      </c>
      <c r="K611" s="12">
        <v>14</v>
      </c>
      <c r="L611" s="12">
        <f t="shared" si="136"/>
        <v>14</v>
      </c>
      <c r="M611" s="12">
        <v>2</v>
      </c>
      <c r="N611" s="12" t="s">
        <v>55</v>
      </c>
      <c r="O611" s="12">
        <v>1</v>
      </c>
      <c r="P611" s="12">
        <v>0</v>
      </c>
      <c r="Q611" s="12">
        <v>0</v>
      </c>
      <c r="R611" s="12">
        <v>0</v>
      </c>
      <c r="S611" s="12">
        <v>0</v>
      </c>
      <c r="T611" s="12">
        <v>2</v>
      </c>
      <c r="U611" s="12" t="s">
        <v>62</v>
      </c>
      <c r="V611" s="12">
        <v>0</v>
      </c>
      <c r="W611" s="12">
        <v>94</v>
      </c>
      <c r="X611" s="12">
        <v>3</v>
      </c>
      <c r="Y611" s="12">
        <v>4</v>
      </c>
      <c r="Z611" s="12" t="s">
        <v>89</v>
      </c>
      <c r="AA611" s="12">
        <v>0</v>
      </c>
      <c r="AB611" s="12">
        <v>0</v>
      </c>
      <c r="AC611" s="12">
        <v>0</v>
      </c>
      <c r="AD611" s="12">
        <v>0</v>
      </c>
      <c r="AE611" s="12">
        <v>0</v>
      </c>
      <c r="AF611" s="12">
        <v>0</v>
      </c>
      <c r="AG611" s="12">
        <v>0</v>
      </c>
      <c r="AH611" s="12">
        <v>0</v>
      </c>
      <c r="AI611" s="12">
        <v>1</v>
      </c>
      <c r="AJ611" s="12" t="s">
        <v>64</v>
      </c>
      <c r="AK611" s="12">
        <v>0</v>
      </c>
      <c r="AL611" s="12">
        <v>1</v>
      </c>
      <c r="AM611" s="12">
        <v>17159</v>
      </c>
      <c r="AN611" s="12">
        <f t="shared" si="137"/>
        <v>17159</v>
      </c>
      <c r="AO611" s="12">
        <v>6</v>
      </c>
      <c r="AP611" s="12" t="s">
        <v>59</v>
      </c>
      <c r="AQ611" s="12">
        <v>0</v>
      </c>
      <c r="AR611" s="12">
        <v>24</v>
      </c>
      <c r="AS611" s="12">
        <v>4</v>
      </c>
      <c r="AT611" s="12">
        <v>3</v>
      </c>
      <c r="AU611" s="12">
        <v>1</v>
      </c>
      <c r="AV611" s="12">
        <v>22</v>
      </c>
      <c r="AW611" s="12">
        <f t="shared" si="138"/>
        <v>22</v>
      </c>
      <c r="AX611" s="12">
        <v>3</v>
      </c>
      <c r="AY611" s="12">
        <v>3</v>
      </c>
      <c r="AZ611" s="12">
        <v>4</v>
      </c>
      <c r="BA611" s="12">
        <f t="shared" si="139"/>
        <v>4</v>
      </c>
      <c r="BB611" s="12">
        <v>1</v>
      </c>
      <c r="BC611" s="12">
        <v>1</v>
      </c>
      <c r="BD611" s="12">
        <f t="shared" si="148"/>
        <v>1</v>
      </c>
      <c r="BE611" s="12">
        <v>0</v>
      </c>
      <c r="BF611" s="12">
        <f t="shared" si="140"/>
        <v>0</v>
      </c>
      <c r="BG611" s="12">
        <f t="shared" si="149"/>
        <v>0</v>
      </c>
      <c r="BH611" s="67">
        <v>0</v>
      </c>
      <c r="BI611" s="67">
        <v>1</v>
      </c>
      <c r="BJ611" s="67">
        <v>0</v>
      </c>
      <c r="BK611" s="67">
        <v>0</v>
      </c>
      <c r="BL611" s="67">
        <v>0</v>
      </c>
      <c r="BM611" s="67">
        <v>0</v>
      </c>
      <c r="BN611" s="67">
        <v>1</v>
      </c>
      <c r="BO611" s="67">
        <v>0</v>
      </c>
      <c r="BP611" s="67">
        <v>0</v>
      </c>
      <c r="BQ611" s="67">
        <v>0</v>
      </c>
      <c r="BR611" s="67">
        <v>0</v>
      </c>
      <c r="BS611" s="67">
        <v>0</v>
      </c>
      <c r="BT611" s="67">
        <v>22</v>
      </c>
      <c r="BU611" s="70">
        <v>0</v>
      </c>
      <c r="BV611" s="29">
        <f t="shared" si="141"/>
        <v>2.2634168490541966</v>
      </c>
      <c r="BW611">
        <f t="shared" si="142"/>
        <v>1.1555414682655611</v>
      </c>
      <c r="BX611">
        <f t="shared" si="143"/>
        <v>1.3778060624681052</v>
      </c>
      <c r="BY611">
        <f t="shared" si="144"/>
        <v>0.49100643357776058</v>
      </c>
      <c r="BZ611">
        <f t="shared" si="145"/>
        <v>0.59301386267751111</v>
      </c>
      <c r="CA611">
        <f t="shared" si="146"/>
        <v>0.66512775678147573</v>
      </c>
      <c r="CB611">
        <f t="shared" si="147"/>
        <v>0.36858985273641137</v>
      </c>
    </row>
    <row r="612" spans="1:80" x14ac:dyDescent="0.45">
      <c r="A612" s="11">
        <v>27</v>
      </c>
      <c r="B612" s="12">
        <f t="shared" si="135"/>
        <v>27</v>
      </c>
      <c r="C612" s="12" t="s">
        <v>59</v>
      </c>
      <c r="D612" s="12">
        <v>0</v>
      </c>
      <c r="E612" s="12" t="s">
        <v>53</v>
      </c>
      <c r="F612" s="12">
        <v>0</v>
      </c>
      <c r="G612" s="12">
        <v>1</v>
      </c>
      <c r="H612" s="12" t="s">
        <v>61</v>
      </c>
      <c r="I612" s="12">
        <v>1</v>
      </c>
      <c r="J612" s="12">
        <v>0</v>
      </c>
      <c r="K612" s="12">
        <v>5</v>
      </c>
      <c r="L612" s="12">
        <f t="shared" si="136"/>
        <v>5</v>
      </c>
      <c r="M612" s="12">
        <v>1</v>
      </c>
      <c r="N612" s="12" t="s">
        <v>91</v>
      </c>
      <c r="O612" s="12">
        <v>0</v>
      </c>
      <c r="P612" s="12">
        <v>0</v>
      </c>
      <c r="Q612" s="12">
        <v>0</v>
      </c>
      <c r="R612" s="12">
        <v>0</v>
      </c>
      <c r="S612" s="12">
        <v>1</v>
      </c>
      <c r="T612" s="12">
        <v>3</v>
      </c>
      <c r="U612" s="12" t="s">
        <v>62</v>
      </c>
      <c r="V612" s="12">
        <v>0</v>
      </c>
      <c r="W612" s="12">
        <v>42</v>
      </c>
      <c r="X612" s="12">
        <v>2</v>
      </c>
      <c r="Y612" s="12">
        <v>3</v>
      </c>
      <c r="Z612" s="12" t="s">
        <v>89</v>
      </c>
      <c r="AA612" s="12">
        <v>0</v>
      </c>
      <c r="AB612" s="12">
        <v>0</v>
      </c>
      <c r="AC612" s="12">
        <v>0</v>
      </c>
      <c r="AD612" s="12">
        <v>0</v>
      </c>
      <c r="AE612" s="12">
        <v>0</v>
      </c>
      <c r="AF612" s="12">
        <v>0</v>
      </c>
      <c r="AG612" s="12">
        <v>0</v>
      </c>
      <c r="AH612" s="12">
        <v>0</v>
      </c>
      <c r="AI612" s="12">
        <v>4</v>
      </c>
      <c r="AJ612" s="12" t="s">
        <v>78</v>
      </c>
      <c r="AK612" s="12">
        <v>0</v>
      </c>
      <c r="AL612" s="12">
        <v>0</v>
      </c>
      <c r="AM612" s="12">
        <v>12808</v>
      </c>
      <c r="AN612" s="12">
        <f t="shared" si="137"/>
        <v>12808</v>
      </c>
      <c r="AO612" s="12">
        <v>1</v>
      </c>
      <c r="AP612" s="12" t="s">
        <v>52</v>
      </c>
      <c r="AQ612" s="12">
        <v>1</v>
      </c>
      <c r="AR612" s="12">
        <v>16</v>
      </c>
      <c r="AS612" s="12">
        <v>3</v>
      </c>
      <c r="AT612" s="12">
        <v>2</v>
      </c>
      <c r="AU612" s="12">
        <v>1</v>
      </c>
      <c r="AV612" s="12">
        <v>9</v>
      </c>
      <c r="AW612" s="12">
        <f t="shared" si="138"/>
        <v>9</v>
      </c>
      <c r="AX612" s="12">
        <v>3</v>
      </c>
      <c r="AY612" s="12">
        <v>3</v>
      </c>
      <c r="AZ612" s="12">
        <v>9</v>
      </c>
      <c r="BA612" s="12">
        <f t="shared" si="139"/>
        <v>9</v>
      </c>
      <c r="BB612" s="12">
        <v>8</v>
      </c>
      <c r="BC612" s="12">
        <v>0</v>
      </c>
      <c r="BD612" s="12">
        <f t="shared" si="148"/>
        <v>0</v>
      </c>
      <c r="BE612" s="12">
        <v>8</v>
      </c>
      <c r="BF612" s="12">
        <f t="shared" si="140"/>
        <v>8</v>
      </c>
      <c r="BG612" s="12">
        <f t="shared" si="149"/>
        <v>24</v>
      </c>
      <c r="BH612" s="67">
        <v>1</v>
      </c>
      <c r="BI612" s="67">
        <v>0</v>
      </c>
      <c r="BJ612" s="67">
        <v>0</v>
      </c>
      <c r="BK612" s="67">
        <v>0</v>
      </c>
      <c r="BL612" s="67">
        <v>0</v>
      </c>
      <c r="BM612" s="67">
        <v>1</v>
      </c>
      <c r="BN612" s="67">
        <v>0</v>
      </c>
      <c r="BO612" s="67">
        <v>0</v>
      </c>
      <c r="BP612" s="67">
        <v>0</v>
      </c>
      <c r="BQ612" s="67">
        <v>8</v>
      </c>
      <c r="BR612" s="67">
        <v>0</v>
      </c>
      <c r="BS612" s="67">
        <v>0</v>
      </c>
      <c r="BT612" s="67">
        <v>9</v>
      </c>
      <c r="BU612" s="70">
        <v>0</v>
      </c>
      <c r="BV612" s="29">
        <f t="shared" si="141"/>
        <v>1.3392367428092757</v>
      </c>
      <c r="BW612">
        <f t="shared" si="142"/>
        <v>1.08652546240644</v>
      </c>
      <c r="BX612">
        <f t="shared" si="143"/>
        <v>0.29297722668510823</v>
      </c>
      <c r="BY612">
        <f t="shared" si="144"/>
        <v>0.32511687867835437</v>
      </c>
      <c r="BZ612">
        <f t="shared" si="145"/>
        <v>0.51715642219916513</v>
      </c>
      <c r="CA612">
        <f t="shared" si="146"/>
        <v>1.0863058347434136</v>
      </c>
      <c r="CB612">
        <f t="shared" si="147"/>
        <v>0.67891464284095016</v>
      </c>
    </row>
    <row r="613" spans="1:80" x14ac:dyDescent="0.45">
      <c r="A613" s="11">
        <v>35</v>
      </c>
      <c r="B613" s="12">
        <f t="shared" si="135"/>
        <v>35</v>
      </c>
      <c r="C613" s="12" t="s">
        <v>59</v>
      </c>
      <c r="D613" s="12">
        <v>0</v>
      </c>
      <c r="E613" s="12" t="s">
        <v>53</v>
      </c>
      <c r="F613" s="12">
        <v>0</v>
      </c>
      <c r="G613" s="12">
        <v>1</v>
      </c>
      <c r="H613" s="12" t="s">
        <v>61</v>
      </c>
      <c r="I613" s="12">
        <v>1</v>
      </c>
      <c r="J613" s="12">
        <v>0</v>
      </c>
      <c r="K613" s="12">
        <v>7</v>
      </c>
      <c r="L613" s="12">
        <f t="shared" si="136"/>
        <v>7</v>
      </c>
      <c r="M613" s="12">
        <v>3</v>
      </c>
      <c r="N613" s="12" t="s">
        <v>66</v>
      </c>
      <c r="O613" s="12">
        <v>0</v>
      </c>
      <c r="P613" s="12">
        <v>1</v>
      </c>
      <c r="Q613" s="12">
        <v>0</v>
      </c>
      <c r="R613" s="12">
        <v>0</v>
      </c>
      <c r="S613" s="12">
        <v>0</v>
      </c>
      <c r="T613" s="12">
        <v>3</v>
      </c>
      <c r="U613" s="12" t="s">
        <v>62</v>
      </c>
      <c r="V613" s="12">
        <v>0</v>
      </c>
      <c r="W613" s="12">
        <v>59</v>
      </c>
      <c r="X613" s="12">
        <v>3</v>
      </c>
      <c r="Y613" s="12">
        <v>3</v>
      </c>
      <c r="Z613" s="12" t="s">
        <v>83</v>
      </c>
      <c r="AA613" s="12">
        <v>0</v>
      </c>
      <c r="AB613" s="12">
        <v>0</v>
      </c>
      <c r="AC613" s="12">
        <v>0</v>
      </c>
      <c r="AD613" s="12">
        <v>0</v>
      </c>
      <c r="AE613" s="12">
        <v>1</v>
      </c>
      <c r="AF613" s="12">
        <v>1</v>
      </c>
      <c r="AG613" s="12">
        <v>0</v>
      </c>
      <c r="AH613" s="12">
        <v>0</v>
      </c>
      <c r="AI613" s="12">
        <v>3</v>
      </c>
      <c r="AJ613" s="12" t="s">
        <v>57</v>
      </c>
      <c r="AK613" s="12">
        <v>1</v>
      </c>
      <c r="AL613" s="12">
        <v>0</v>
      </c>
      <c r="AM613" s="12">
        <v>10221</v>
      </c>
      <c r="AN613" s="12">
        <f t="shared" si="137"/>
        <v>10221</v>
      </c>
      <c r="AO613" s="12">
        <v>3</v>
      </c>
      <c r="AP613" s="12" t="s">
        <v>59</v>
      </c>
      <c r="AQ613" s="12">
        <v>0</v>
      </c>
      <c r="AR613" s="12">
        <v>21</v>
      </c>
      <c r="AS613" s="12">
        <v>4</v>
      </c>
      <c r="AT613" s="12">
        <v>2</v>
      </c>
      <c r="AU613" s="12">
        <v>0</v>
      </c>
      <c r="AV613" s="12">
        <v>17</v>
      </c>
      <c r="AW613" s="12">
        <f t="shared" si="138"/>
        <v>17</v>
      </c>
      <c r="AX613" s="12">
        <v>3</v>
      </c>
      <c r="AY613" s="12">
        <v>4</v>
      </c>
      <c r="AZ613" s="12">
        <v>8</v>
      </c>
      <c r="BA613" s="12">
        <f t="shared" si="139"/>
        <v>8</v>
      </c>
      <c r="BB613" s="12">
        <v>5</v>
      </c>
      <c r="BC613" s="12">
        <v>1</v>
      </c>
      <c r="BD613" s="12">
        <f t="shared" si="148"/>
        <v>1</v>
      </c>
      <c r="BE613" s="12">
        <v>6</v>
      </c>
      <c r="BF613" s="12">
        <f t="shared" si="140"/>
        <v>6</v>
      </c>
      <c r="BG613" s="12">
        <f t="shared" si="149"/>
        <v>18</v>
      </c>
      <c r="BH613" s="67">
        <v>1</v>
      </c>
      <c r="BI613" s="67">
        <v>0</v>
      </c>
      <c r="BJ613" s="67">
        <v>0</v>
      </c>
      <c r="BK613" s="67">
        <v>0</v>
      </c>
      <c r="BL613" s="67">
        <v>1</v>
      </c>
      <c r="BM613" s="67">
        <v>0</v>
      </c>
      <c r="BN613" s="67">
        <v>0</v>
      </c>
      <c r="BO613" s="67">
        <v>0</v>
      </c>
      <c r="BP613" s="67">
        <v>0</v>
      </c>
      <c r="BQ613" s="67">
        <v>6</v>
      </c>
      <c r="BR613" s="67">
        <v>0</v>
      </c>
      <c r="BS613" s="67">
        <v>0</v>
      </c>
      <c r="BT613" s="67">
        <v>17</v>
      </c>
      <c r="BU613" s="70">
        <v>0</v>
      </c>
      <c r="BV613" s="29">
        <f t="shared" si="141"/>
        <v>0.78974146934211631</v>
      </c>
      <c r="BW613">
        <f t="shared" si="142"/>
        <v>0.52600872973843971</v>
      </c>
      <c r="BX613">
        <f t="shared" si="143"/>
        <v>0.73519710510148462</v>
      </c>
      <c r="BY613">
        <f t="shared" si="144"/>
        <v>0.16189221622713135</v>
      </c>
      <c r="BZ613">
        <f t="shared" si="145"/>
        <v>0.27045191444879263</v>
      </c>
      <c r="CA613">
        <f t="shared" si="146"/>
        <v>0.21058903898096887</v>
      </c>
      <c r="CB613">
        <f t="shared" si="147"/>
        <v>0.36858985273641137</v>
      </c>
    </row>
    <row r="614" spans="1:80" x14ac:dyDescent="0.45">
      <c r="A614" s="11">
        <v>28</v>
      </c>
      <c r="B614" s="12">
        <f t="shared" si="135"/>
        <v>28</v>
      </c>
      <c r="C614" s="12" t="s">
        <v>59</v>
      </c>
      <c r="D614" s="12">
        <v>0</v>
      </c>
      <c r="E614" s="12" t="s">
        <v>53</v>
      </c>
      <c r="F614" s="12">
        <v>0</v>
      </c>
      <c r="G614" s="12">
        <v>1</v>
      </c>
      <c r="H614" s="12" t="s">
        <v>54</v>
      </c>
      <c r="I614" s="12">
        <v>0</v>
      </c>
      <c r="J614" s="12">
        <v>1</v>
      </c>
      <c r="K614" s="12">
        <v>2</v>
      </c>
      <c r="L614" s="12">
        <f t="shared" si="136"/>
        <v>2</v>
      </c>
      <c r="M614" s="12">
        <v>4</v>
      </c>
      <c r="N614" s="12" t="s">
        <v>90</v>
      </c>
      <c r="O614" s="12">
        <v>0</v>
      </c>
      <c r="P614" s="12">
        <v>0</v>
      </c>
      <c r="Q614" s="12">
        <v>0</v>
      </c>
      <c r="R614" s="12">
        <v>1</v>
      </c>
      <c r="S614" s="12">
        <v>0</v>
      </c>
      <c r="T614" s="12">
        <v>2</v>
      </c>
      <c r="U614" s="12" t="s">
        <v>19</v>
      </c>
      <c r="V614" s="12">
        <v>1</v>
      </c>
      <c r="W614" s="12">
        <v>81</v>
      </c>
      <c r="X614" s="12">
        <v>3</v>
      </c>
      <c r="Y614" s="12">
        <v>2</v>
      </c>
      <c r="Z614" s="12" t="s">
        <v>56</v>
      </c>
      <c r="AA614" s="12">
        <v>0</v>
      </c>
      <c r="AB614" s="12">
        <v>1</v>
      </c>
      <c r="AC614" s="12">
        <v>0</v>
      </c>
      <c r="AD614" s="12">
        <v>0</v>
      </c>
      <c r="AE614" s="12">
        <v>0</v>
      </c>
      <c r="AF614" s="12">
        <v>0</v>
      </c>
      <c r="AG614" s="12">
        <v>0</v>
      </c>
      <c r="AH614" s="12">
        <v>0</v>
      </c>
      <c r="AI614" s="12">
        <v>2</v>
      </c>
      <c r="AJ614" s="12" t="s">
        <v>64</v>
      </c>
      <c r="AK614" s="12">
        <v>0</v>
      </c>
      <c r="AL614" s="12">
        <v>1</v>
      </c>
      <c r="AM614" s="12">
        <v>4779</v>
      </c>
      <c r="AN614" s="12">
        <f t="shared" si="137"/>
        <v>4779</v>
      </c>
      <c r="AO614" s="12">
        <v>1</v>
      </c>
      <c r="AP614" s="12" t="s">
        <v>52</v>
      </c>
      <c r="AQ614" s="12">
        <v>1</v>
      </c>
      <c r="AR614" s="12">
        <v>20</v>
      </c>
      <c r="AS614" s="12">
        <v>4</v>
      </c>
      <c r="AT614" s="12">
        <v>1</v>
      </c>
      <c r="AU614" s="12">
        <v>0</v>
      </c>
      <c r="AV614" s="12">
        <v>8</v>
      </c>
      <c r="AW614" s="12">
        <f t="shared" si="138"/>
        <v>8</v>
      </c>
      <c r="AX614" s="12">
        <v>2</v>
      </c>
      <c r="AY614" s="12">
        <v>3</v>
      </c>
      <c r="AZ614" s="12">
        <v>8</v>
      </c>
      <c r="BA614" s="12">
        <f t="shared" si="139"/>
        <v>8</v>
      </c>
      <c r="BB614" s="12">
        <v>7</v>
      </c>
      <c r="BC614" s="12">
        <v>7</v>
      </c>
      <c r="BD614" s="12">
        <f t="shared" si="148"/>
        <v>7</v>
      </c>
      <c r="BE614" s="12">
        <v>5</v>
      </c>
      <c r="BF614" s="12">
        <f t="shared" si="140"/>
        <v>5</v>
      </c>
      <c r="BG614" s="12">
        <f t="shared" si="149"/>
        <v>10</v>
      </c>
      <c r="BH614" s="67">
        <v>0</v>
      </c>
      <c r="BI614" s="67">
        <v>1</v>
      </c>
      <c r="BJ614" s="67">
        <v>0</v>
      </c>
      <c r="BK614" s="67">
        <v>0</v>
      </c>
      <c r="BL614" s="67">
        <v>0</v>
      </c>
      <c r="BM614" s="67">
        <v>0</v>
      </c>
      <c r="BN614" s="67">
        <v>0</v>
      </c>
      <c r="BO614" s="67">
        <v>1</v>
      </c>
      <c r="BP614" s="67">
        <v>0</v>
      </c>
      <c r="BQ614" s="67">
        <v>0</v>
      </c>
      <c r="BR614" s="67">
        <v>5</v>
      </c>
      <c r="BS614" s="67">
        <v>0</v>
      </c>
      <c r="BT614" s="67">
        <v>0</v>
      </c>
      <c r="BU614" s="70">
        <v>8</v>
      </c>
      <c r="BV614" s="29">
        <f t="shared" si="141"/>
        <v>0.36617398415934527</v>
      </c>
      <c r="BW614">
        <f t="shared" si="142"/>
        <v>0.24575036340443959</v>
      </c>
      <c r="BX614">
        <f t="shared" si="143"/>
        <v>0.42149901815843233</v>
      </c>
      <c r="BY614">
        <f t="shared" si="144"/>
        <v>0.16189221622713135</v>
      </c>
      <c r="BZ614">
        <f t="shared" si="145"/>
        <v>0.88721318382472392</v>
      </c>
      <c r="CA614">
        <f t="shared" si="146"/>
        <v>0.97684123527310796</v>
      </c>
      <c r="CB614">
        <f t="shared" si="147"/>
        <v>1.4933588878908215</v>
      </c>
    </row>
    <row r="615" spans="1:80" x14ac:dyDescent="0.45">
      <c r="A615" s="11">
        <v>34</v>
      </c>
      <c r="B615" s="12">
        <f t="shared" si="135"/>
        <v>34</v>
      </c>
      <c r="C615" s="12" t="s">
        <v>59</v>
      </c>
      <c r="D615" s="12">
        <v>0</v>
      </c>
      <c r="E615" s="12" t="s">
        <v>53</v>
      </c>
      <c r="F615" s="12">
        <v>0</v>
      </c>
      <c r="G615" s="12">
        <v>1</v>
      </c>
      <c r="H615" s="12" t="s">
        <v>97</v>
      </c>
      <c r="I615" s="12">
        <v>0</v>
      </c>
      <c r="J615" s="12">
        <v>0</v>
      </c>
      <c r="K615" s="12">
        <v>3</v>
      </c>
      <c r="L615" s="12">
        <f t="shared" si="136"/>
        <v>3</v>
      </c>
      <c r="M615" s="12">
        <v>2</v>
      </c>
      <c r="N615" s="12" t="s">
        <v>97</v>
      </c>
      <c r="O615" s="12">
        <v>0</v>
      </c>
      <c r="P615" s="12">
        <v>0</v>
      </c>
      <c r="Q615" s="12">
        <v>0</v>
      </c>
      <c r="R615" s="12">
        <v>0</v>
      </c>
      <c r="S615" s="12">
        <v>0</v>
      </c>
      <c r="T615" s="12">
        <v>3</v>
      </c>
      <c r="U615" s="12" t="s">
        <v>62</v>
      </c>
      <c r="V615" s="12">
        <v>0</v>
      </c>
      <c r="W615" s="12">
        <v>88</v>
      </c>
      <c r="X615" s="12">
        <v>3</v>
      </c>
      <c r="Y615" s="12">
        <v>1</v>
      </c>
      <c r="Z615" s="12" t="s">
        <v>97</v>
      </c>
      <c r="AA615" s="12">
        <v>0</v>
      </c>
      <c r="AB615" s="12">
        <v>0</v>
      </c>
      <c r="AC615" s="12">
        <v>0</v>
      </c>
      <c r="AD615" s="12">
        <v>0</v>
      </c>
      <c r="AE615" s="12">
        <v>0</v>
      </c>
      <c r="AF615" s="12">
        <v>0</v>
      </c>
      <c r="AG615" s="12">
        <v>0</v>
      </c>
      <c r="AH615" s="12">
        <v>0</v>
      </c>
      <c r="AI615" s="12">
        <v>4</v>
      </c>
      <c r="AJ615" s="12" t="s">
        <v>64</v>
      </c>
      <c r="AK615" s="12">
        <v>0</v>
      </c>
      <c r="AL615" s="12">
        <v>1</v>
      </c>
      <c r="AM615" s="12">
        <v>3737</v>
      </c>
      <c r="AN615" s="12">
        <f t="shared" si="137"/>
        <v>3737</v>
      </c>
      <c r="AO615" s="12">
        <v>0</v>
      </c>
      <c r="AP615" s="12" t="s">
        <v>59</v>
      </c>
      <c r="AQ615" s="12">
        <v>0</v>
      </c>
      <c r="AR615" s="12">
        <v>19</v>
      </c>
      <c r="AS615" s="12">
        <v>3</v>
      </c>
      <c r="AT615" s="12">
        <v>3</v>
      </c>
      <c r="AU615" s="12">
        <v>1</v>
      </c>
      <c r="AV615" s="12">
        <v>4</v>
      </c>
      <c r="AW615" s="12">
        <f t="shared" si="138"/>
        <v>4</v>
      </c>
      <c r="AX615" s="12">
        <v>1</v>
      </c>
      <c r="AY615" s="12">
        <v>1</v>
      </c>
      <c r="AZ615" s="12">
        <v>3</v>
      </c>
      <c r="BA615" s="12">
        <f t="shared" si="139"/>
        <v>3</v>
      </c>
      <c r="BB615" s="12">
        <v>2</v>
      </c>
      <c r="BC615" s="12">
        <v>0</v>
      </c>
      <c r="BD615" s="12">
        <f t="shared" si="148"/>
        <v>0</v>
      </c>
      <c r="BE615" s="12">
        <v>2</v>
      </c>
      <c r="BF615" s="12">
        <f t="shared" si="140"/>
        <v>2</v>
      </c>
      <c r="BG615" s="12">
        <f t="shared" si="149"/>
        <v>2</v>
      </c>
      <c r="BH615" s="67">
        <v>0</v>
      </c>
      <c r="BI615" s="67">
        <v>1</v>
      </c>
      <c r="BJ615" s="67">
        <v>0</v>
      </c>
      <c r="BK615" s="67">
        <v>0</v>
      </c>
      <c r="BL615" s="67">
        <v>0</v>
      </c>
      <c r="BM615" s="67">
        <v>0</v>
      </c>
      <c r="BN615" s="67">
        <v>1</v>
      </c>
      <c r="BO615" s="67">
        <v>0</v>
      </c>
      <c r="BP615" s="67">
        <v>2</v>
      </c>
      <c r="BQ615" s="67">
        <v>0</v>
      </c>
      <c r="BR615" s="67">
        <v>0</v>
      </c>
      <c r="BS615" s="67">
        <v>4</v>
      </c>
      <c r="BT615" s="67">
        <v>0</v>
      </c>
      <c r="BU615" s="70">
        <v>0</v>
      </c>
      <c r="BV615" s="29">
        <f t="shared" si="141"/>
        <v>0.58750141939428147</v>
      </c>
      <c r="BW615">
        <f t="shared" si="142"/>
        <v>0.59502473559756086</v>
      </c>
      <c r="BX615">
        <f t="shared" si="143"/>
        <v>0.93558618405172878</v>
      </c>
      <c r="BY615">
        <f t="shared" si="144"/>
        <v>0.65423109602898355</v>
      </c>
      <c r="BZ615">
        <f t="shared" si="145"/>
        <v>0.76386092994953758</v>
      </c>
      <c r="CA615">
        <f t="shared" si="146"/>
        <v>0.32005363845127444</v>
      </c>
      <c r="CB615">
        <f t="shared" si="147"/>
        <v>0.67891464284095016</v>
      </c>
    </row>
    <row r="616" spans="1:80" x14ac:dyDescent="0.45">
      <c r="A616" s="11">
        <v>26</v>
      </c>
      <c r="B616" s="12">
        <f t="shared" si="135"/>
        <v>26</v>
      </c>
      <c r="C616" s="12" t="s">
        <v>52</v>
      </c>
      <c r="D616" s="12">
        <v>1</v>
      </c>
      <c r="E616" s="12" t="s">
        <v>60</v>
      </c>
      <c r="F616" s="12">
        <v>1</v>
      </c>
      <c r="G616" s="12">
        <v>0</v>
      </c>
      <c r="H616" s="12" t="s">
        <v>61</v>
      </c>
      <c r="I616" s="12">
        <v>1</v>
      </c>
      <c r="J616" s="12">
        <v>0</v>
      </c>
      <c r="K616" s="12">
        <v>5</v>
      </c>
      <c r="L616" s="12">
        <f t="shared" si="136"/>
        <v>5</v>
      </c>
      <c r="M616" s="12">
        <v>2</v>
      </c>
      <c r="N616" s="12" t="s">
        <v>70</v>
      </c>
      <c r="O616" s="12">
        <v>0</v>
      </c>
      <c r="P616" s="12">
        <v>0</v>
      </c>
      <c r="Q616" s="12">
        <v>1</v>
      </c>
      <c r="R616" s="12">
        <v>0</v>
      </c>
      <c r="S616" s="12">
        <v>0</v>
      </c>
      <c r="T616" s="12">
        <v>3</v>
      </c>
      <c r="U616" s="12" t="s">
        <v>19</v>
      </c>
      <c r="V616" s="12">
        <v>1</v>
      </c>
      <c r="W616" s="12">
        <v>88</v>
      </c>
      <c r="X616" s="12">
        <v>2</v>
      </c>
      <c r="Y616" s="12">
        <v>1</v>
      </c>
      <c r="Z616" s="12" t="s">
        <v>63</v>
      </c>
      <c r="AA616" s="12">
        <v>0</v>
      </c>
      <c r="AB616" s="12">
        <v>0</v>
      </c>
      <c r="AC616" s="12">
        <v>0</v>
      </c>
      <c r="AD616" s="12">
        <v>0</v>
      </c>
      <c r="AE616" s="12">
        <v>0</v>
      </c>
      <c r="AF616" s="12">
        <v>0</v>
      </c>
      <c r="AG616" s="12">
        <v>0</v>
      </c>
      <c r="AH616" s="12">
        <v>1</v>
      </c>
      <c r="AI616" s="12">
        <v>3</v>
      </c>
      <c r="AJ616" s="12" t="s">
        <v>64</v>
      </c>
      <c r="AK616" s="12">
        <v>0</v>
      </c>
      <c r="AL616" s="12">
        <v>1</v>
      </c>
      <c r="AM616" s="12">
        <v>2366</v>
      </c>
      <c r="AN616" s="12">
        <f t="shared" si="137"/>
        <v>2366</v>
      </c>
      <c r="AO616" s="12">
        <v>1</v>
      </c>
      <c r="AP616" s="12" t="s">
        <v>52</v>
      </c>
      <c r="AQ616" s="12">
        <v>1</v>
      </c>
      <c r="AR616" s="12">
        <v>14</v>
      </c>
      <c r="AS616" s="12">
        <v>3</v>
      </c>
      <c r="AT616" s="12">
        <v>1</v>
      </c>
      <c r="AU616" s="12">
        <v>1</v>
      </c>
      <c r="AV616" s="12">
        <v>8</v>
      </c>
      <c r="AW616" s="12">
        <f t="shared" si="138"/>
        <v>8</v>
      </c>
      <c r="AX616" s="12">
        <v>2</v>
      </c>
      <c r="AY616" s="12">
        <v>3</v>
      </c>
      <c r="AZ616" s="12">
        <v>8</v>
      </c>
      <c r="BA616" s="12">
        <f t="shared" si="139"/>
        <v>8</v>
      </c>
      <c r="BB616" s="12">
        <v>7</v>
      </c>
      <c r="BC616" s="12">
        <v>1</v>
      </c>
      <c r="BD616" s="12">
        <f t="shared" si="148"/>
        <v>1</v>
      </c>
      <c r="BE616" s="12">
        <v>7</v>
      </c>
      <c r="BF616" s="12">
        <f t="shared" si="140"/>
        <v>7</v>
      </c>
      <c r="BG616" s="12">
        <f t="shared" si="149"/>
        <v>7</v>
      </c>
      <c r="BH616" s="67">
        <v>0</v>
      </c>
      <c r="BI616" s="67">
        <v>0</v>
      </c>
      <c r="BJ616" s="67">
        <v>0</v>
      </c>
      <c r="BK616" s="67">
        <v>1</v>
      </c>
      <c r="BL616" s="67">
        <v>0</v>
      </c>
      <c r="BM616" s="67">
        <v>0</v>
      </c>
      <c r="BN616" s="67">
        <v>0</v>
      </c>
      <c r="BO616" s="67">
        <v>1</v>
      </c>
      <c r="BP616" s="67">
        <v>0</v>
      </c>
      <c r="BQ616" s="67">
        <v>7</v>
      </c>
      <c r="BR616" s="67">
        <v>0</v>
      </c>
      <c r="BS616" s="67">
        <v>0</v>
      </c>
      <c r="BT616" s="67">
        <v>8</v>
      </c>
      <c r="BU616" s="70">
        <v>0</v>
      </c>
      <c r="BV616" s="29">
        <f t="shared" si="141"/>
        <v>0.87871054963141926</v>
      </c>
      <c r="BW616">
        <f t="shared" si="142"/>
        <v>0.80626709607243985</v>
      </c>
      <c r="BX616">
        <f t="shared" si="143"/>
        <v>0.42149901815843233</v>
      </c>
      <c r="BY616">
        <f t="shared" si="144"/>
        <v>0.16189221622713135</v>
      </c>
      <c r="BZ616">
        <f t="shared" si="145"/>
        <v>0.51715642219916513</v>
      </c>
      <c r="CA616">
        <f t="shared" si="146"/>
        <v>1.195770434213719</v>
      </c>
      <c r="CB616">
        <f t="shared" si="147"/>
        <v>0.36858985273641137</v>
      </c>
    </row>
    <row r="617" spans="1:80" x14ac:dyDescent="0.45">
      <c r="A617" s="11">
        <v>27</v>
      </c>
      <c r="B617" s="12">
        <f t="shared" si="135"/>
        <v>27</v>
      </c>
      <c r="C617" s="12" t="s">
        <v>59</v>
      </c>
      <c r="D617" s="12">
        <v>0</v>
      </c>
      <c r="E617" s="12" t="s">
        <v>86</v>
      </c>
      <c r="F617" s="12">
        <v>0</v>
      </c>
      <c r="G617" s="12">
        <v>0</v>
      </c>
      <c r="H617" s="12" t="s">
        <v>61</v>
      </c>
      <c r="I617" s="12">
        <v>1</v>
      </c>
      <c r="J617" s="12">
        <v>0</v>
      </c>
      <c r="K617" s="12">
        <v>3</v>
      </c>
      <c r="L617" s="12">
        <f t="shared" si="136"/>
        <v>3</v>
      </c>
      <c r="M617" s="12">
        <v>3</v>
      </c>
      <c r="N617" s="12" t="s">
        <v>70</v>
      </c>
      <c r="O617" s="12">
        <v>0</v>
      </c>
      <c r="P617" s="12">
        <v>0</v>
      </c>
      <c r="Q617" s="12">
        <v>1</v>
      </c>
      <c r="R617" s="12">
        <v>0</v>
      </c>
      <c r="S617" s="12">
        <v>0</v>
      </c>
      <c r="T617" s="12">
        <v>4</v>
      </c>
      <c r="U617" s="12" t="s">
        <v>62</v>
      </c>
      <c r="V617" s="12">
        <v>0</v>
      </c>
      <c r="W617" s="12">
        <v>50</v>
      </c>
      <c r="X617" s="12">
        <v>3</v>
      </c>
      <c r="Y617" s="12">
        <v>1</v>
      </c>
      <c r="Z617" s="12" t="s">
        <v>63</v>
      </c>
      <c r="AA617" s="12">
        <v>0</v>
      </c>
      <c r="AB617" s="12">
        <v>0</v>
      </c>
      <c r="AC617" s="12">
        <v>0</v>
      </c>
      <c r="AD617" s="12">
        <v>0</v>
      </c>
      <c r="AE617" s="12">
        <v>0</v>
      </c>
      <c r="AF617" s="12">
        <v>0</v>
      </c>
      <c r="AG617" s="12">
        <v>0</v>
      </c>
      <c r="AH617" s="12">
        <v>1</v>
      </c>
      <c r="AI617" s="12">
        <v>4</v>
      </c>
      <c r="AJ617" s="12" t="s">
        <v>64</v>
      </c>
      <c r="AK617" s="12">
        <v>0</v>
      </c>
      <c r="AL617" s="12">
        <v>1</v>
      </c>
      <c r="AM617" s="12">
        <v>1706</v>
      </c>
      <c r="AN617" s="12">
        <f t="shared" si="137"/>
        <v>1706</v>
      </c>
      <c r="AO617" s="12">
        <v>1</v>
      </c>
      <c r="AP617" s="12" t="s">
        <v>59</v>
      </c>
      <c r="AQ617" s="12">
        <v>0</v>
      </c>
      <c r="AR617" s="12">
        <v>11</v>
      </c>
      <c r="AS617" s="12">
        <v>3</v>
      </c>
      <c r="AT617" s="12">
        <v>3</v>
      </c>
      <c r="AU617" s="12">
        <v>3</v>
      </c>
      <c r="AV617" s="12">
        <v>0</v>
      </c>
      <c r="AW617" s="12">
        <f t="shared" si="138"/>
        <v>1</v>
      </c>
      <c r="AX617" s="12">
        <v>6</v>
      </c>
      <c r="AY617" s="12">
        <v>2</v>
      </c>
      <c r="AZ617" s="12">
        <v>0</v>
      </c>
      <c r="BA617" s="12">
        <f t="shared" si="139"/>
        <v>0</v>
      </c>
      <c r="BB617" s="12">
        <v>0</v>
      </c>
      <c r="BC617" s="12">
        <v>0</v>
      </c>
      <c r="BD617" s="12">
        <f t="shared" si="148"/>
        <v>0</v>
      </c>
      <c r="BE617" s="12">
        <v>0</v>
      </c>
      <c r="BF617" s="12">
        <f t="shared" si="140"/>
        <v>0</v>
      </c>
      <c r="BG617" s="12">
        <f t="shared" si="149"/>
        <v>0</v>
      </c>
      <c r="BH617" s="67">
        <v>0</v>
      </c>
      <c r="BI617" s="67">
        <v>1</v>
      </c>
      <c r="BJ617" s="67">
        <v>0</v>
      </c>
      <c r="BK617" s="67">
        <v>0</v>
      </c>
      <c r="BL617" s="67">
        <v>0</v>
      </c>
      <c r="BM617" s="67">
        <v>0</v>
      </c>
      <c r="BN617" s="67">
        <v>1</v>
      </c>
      <c r="BO617" s="67">
        <v>0</v>
      </c>
      <c r="BP617" s="67">
        <v>0</v>
      </c>
      <c r="BQ617" s="67">
        <v>0</v>
      </c>
      <c r="BR617" s="67">
        <v>0</v>
      </c>
      <c r="BS617" s="67">
        <v>0</v>
      </c>
      <c r="BT617" s="67">
        <v>1</v>
      </c>
      <c r="BU617" s="70">
        <v>0</v>
      </c>
      <c r="BV617" s="29">
        <f t="shared" si="141"/>
        <v>1.0188987523713982</v>
      </c>
      <c r="BW617">
        <f t="shared" si="142"/>
        <v>1.1555414682655611</v>
      </c>
      <c r="BX617">
        <f t="shared" si="143"/>
        <v>1.4496733499450252</v>
      </c>
      <c r="BY617">
        <f t="shared" si="144"/>
        <v>1.1439050833826525</v>
      </c>
      <c r="BZ617">
        <f t="shared" si="145"/>
        <v>0.76386092994953758</v>
      </c>
      <c r="CA617">
        <f t="shared" si="146"/>
        <v>1.0863058347434136</v>
      </c>
      <c r="CB617">
        <f t="shared" si="147"/>
        <v>0.67891464284095016</v>
      </c>
    </row>
    <row r="618" spans="1:80" x14ac:dyDescent="0.45">
      <c r="A618" s="11">
        <v>51</v>
      </c>
      <c r="B618" s="12">
        <f t="shared" si="135"/>
        <v>51</v>
      </c>
      <c r="C618" s="12" t="s">
        <v>59</v>
      </c>
      <c r="D618" s="12">
        <v>0</v>
      </c>
      <c r="E618" s="12" t="s">
        <v>53</v>
      </c>
      <c r="F618" s="12">
        <v>0</v>
      </c>
      <c r="G618" s="12">
        <v>1</v>
      </c>
      <c r="H618" s="12" t="s">
        <v>54</v>
      </c>
      <c r="I618" s="12">
        <v>0</v>
      </c>
      <c r="J618" s="12">
        <v>1</v>
      </c>
      <c r="K618" s="12">
        <v>26</v>
      </c>
      <c r="L618" s="12">
        <f t="shared" si="136"/>
        <v>26</v>
      </c>
      <c r="M618" s="12">
        <v>4</v>
      </c>
      <c r="N618" s="12" t="s">
        <v>90</v>
      </c>
      <c r="O618" s="12">
        <v>0</v>
      </c>
      <c r="P618" s="12">
        <v>0</v>
      </c>
      <c r="Q618" s="12">
        <v>0</v>
      </c>
      <c r="R618" s="12">
        <v>1</v>
      </c>
      <c r="S618" s="12">
        <v>0</v>
      </c>
      <c r="T618" s="12">
        <v>1</v>
      </c>
      <c r="U618" s="12" t="s">
        <v>19</v>
      </c>
      <c r="V618" s="12">
        <v>1</v>
      </c>
      <c r="W618" s="12">
        <v>66</v>
      </c>
      <c r="X618" s="12">
        <v>3</v>
      </c>
      <c r="Y618" s="12">
        <v>4</v>
      </c>
      <c r="Z618" s="12" t="s">
        <v>87</v>
      </c>
      <c r="AA618" s="12">
        <v>0</v>
      </c>
      <c r="AB618" s="12">
        <v>0</v>
      </c>
      <c r="AC618" s="12">
        <v>0</v>
      </c>
      <c r="AD618" s="12">
        <v>1</v>
      </c>
      <c r="AE618" s="12">
        <v>0</v>
      </c>
      <c r="AF618" s="12">
        <v>0</v>
      </c>
      <c r="AG618" s="12">
        <v>0</v>
      </c>
      <c r="AH618" s="12">
        <v>0</v>
      </c>
      <c r="AI618" s="12">
        <v>3</v>
      </c>
      <c r="AJ618" s="12" t="s">
        <v>64</v>
      </c>
      <c r="AK618" s="12">
        <v>0</v>
      </c>
      <c r="AL618" s="12">
        <v>1</v>
      </c>
      <c r="AM618" s="12">
        <v>16307</v>
      </c>
      <c r="AN618" s="12">
        <f t="shared" si="137"/>
        <v>16307</v>
      </c>
      <c r="AO618" s="12">
        <v>2</v>
      </c>
      <c r="AP618" s="12" t="s">
        <v>59</v>
      </c>
      <c r="AQ618" s="12">
        <v>0</v>
      </c>
      <c r="AR618" s="12">
        <v>14</v>
      </c>
      <c r="AS618" s="12">
        <v>3</v>
      </c>
      <c r="AT618" s="12">
        <v>3</v>
      </c>
      <c r="AU618" s="12">
        <v>1</v>
      </c>
      <c r="AV618" s="12">
        <v>29</v>
      </c>
      <c r="AW618" s="12">
        <f t="shared" si="138"/>
        <v>29</v>
      </c>
      <c r="AX618" s="12">
        <v>2</v>
      </c>
      <c r="AY618" s="12">
        <v>2</v>
      </c>
      <c r="AZ618" s="12">
        <v>20</v>
      </c>
      <c r="BA618" s="12">
        <f t="shared" si="139"/>
        <v>20</v>
      </c>
      <c r="BB618" s="12">
        <v>6</v>
      </c>
      <c r="BC618" s="12">
        <v>4</v>
      </c>
      <c r="BD618" s="12">
        <f t="shared" si="148"/>
        <v>4</v>
      </c>
      <c r="BE618" s="12">
        <v>17</v>
      </c>
      <c r="BF618" s="12">
        <f t="shared" si="140"/>
        <v>14</v>
      </c>
      <c r="BG618" s="12">
        <f t="shared" si="149"/>
        <v>56</v>
      </c>
      <c r="BH618" s="67">
        <v>0</v>
      </c>
      <c r="BI618" s="67">
        <v>1</v>
      </c>
      <c r="BJ618" s="67">
        <v>0</v>
      </c>
      <c r="BK618" s="67">
        <v>0</v>
      </c>
      <c r="BL618" s="67">
        <v>0</v>
      </c>
      <c r="BM618" s="67">
        <v>0</v>
      </c>
      <c r="BN618" s="67">
        <v>1</v>
      </c>
      <c r="BO618" s="67">
        <v>0</v>
      </c>
      <c r="BP618" s="67">
        <v>0</v>
      </c>
      <c r="BQ618" s="67">
        <v>0</v>
      </c>
      <c r="BR618" s="67">
        <v>14</v>
      </c>
      <c r="BS618" s="67">
        <v>0</v>
      </c>
      <c r="BT618" s="67">
        <v>0</v>
      </c>
      <c r="BU618" s="70">
        <v>29</v>
      </c>
      <c r="BV618" s="29">
        <f t="shared" si="141"/>
        <v>2.0824466236989512</v>
      </c>
      <c r="BW618">
        <f t="shared" si="142"/>
        <v>3.6088507594124417</v>
      </c>
      <c r="BX618">
        <f t="shared" si="143"/>
        <v>2.2774586027813735</v>
      </c>
      <c r="BY618">
        <f t="shared" si="144"/>
        <v>2.1205881656418071</v>
      </c>
      <c r="BZ618">
        <f t="shared" si="145"/>
        <v>2.0732409091797459</v>
      </c>
      <c r="CA618">
        <f t="shared" si="146"/>
        <v>1.5408445525439205</v>
      </c>
      <c r="CB618">
        <f t="shared" si="147"/>
        <v>0.56238451757720498</v>
      </c>
    </row>
    <row r="619" spans="1:80" x14ac:dyDescent="0.45">
      <c r="A619" s="11">
        <v>44</v>
      </c>
      <c r="B619" s="12">
        <f t="shared" si="135"/>
        <v>44</v>
      </c>
      <c r="C619" s="12" t="s">
        <v>59</v>
      </c>
      <c r="D619" s="12">
        <v>0</v>
      </c>
      <c r="E619" s="12" t="s">
        <v>53</v>
      </c>
      <c r="F619" s="12">
        <v>0</v>
      </c>
      <c r="G619" s="12">
        <v>1</v>
      </c>
      <c r="H619" s="12" t="s">
        <v>61</v>
      </c>
      <c r="I619" s="12">
        <v>1</v>
      </c>
      <c r="J619" s="12">
        <v>0</v>
      </c>
      <c r="K619" s="12">
        <v>4</v>
      </c>
      <c r="L619" s="12">
        <f t="shared" si="136"/>
        <v>4</v>
      </c>
      <c r="M619" s="12">
        <v>3</v>
      </c>
      <c r="N619" s="12" t="s">
        <v>70</v>
      </c>
      <c r="O619" s="12">
        <v>0</v>
      </c>
      <c r="P619" s="12">
        <v>0</v>
      </c>
      <c r="Q619" s="12">
        <v>1</v>
      </c>
      <c r="R619" s="12">
        <v>0</v>
      </c>
      <c r="S619" s="12">
        <v>0</v>
      </c>
      <c r="T619" s="12">
        <v>4</v>
      </c>
      <c r="U619" s="12" t="s">
        <v>62</v>
      </c>
      <c r="V619" s="12">
        <v>0</v>
      </c>
      <c r="W619" s="12">
        <v>50</v>
      </c>
      <c r="X619" s="12">
        <v>3</v>
      </c>
      <c r="Y619" s="12">
        <v>2</v>
      </c>
      <c r="Z619" s="12" t="s">
        <v>85</v>
      </c>
      <c r="AA619" s="12">
        <v>1</v>
      </c>
      <c r="AB619" s="12">
        <v>0</v>
      </c>
      <c r="AC619" s="12">
        <v>0</v>
      </c>
      <c r="AD619" s="12">
        <v>0</v>
      </c>
      <c r="AE619" s="12">
        <v>0</v>
      </c>
      <c r="AF619" s="12">
        <v>0</v>
      </c>
      <c r="AG619" s="12">
        <v>0</v>
      </c>
      <c r="AH619" s="12">
        <v>0</v>
      </c>
      <c r="AI619" s="12">
        <v>2</v>
      </c>
      <c r="AJ619" s="12" t="s">
        <v>57</v>
      </c>
      <c r="AK619" s="12">
        <v>1</v>
      </c>
      <c r="AL619" s="12">
        <v>0</v>
      </c>
      <c r="AM619" s="12">
        <v>5933</v>
      </c>
      <c r="AN619" s="12">
        <f t="shared" si="137"/>
        <v>5933</v>
      </c>
      <c r="AO619" s="12">
        <v>9</v>
      </c>
      <c r="AP619" s="12" t="s">
        <v>59</v>
      </c>
      <c r="AQ619" s="12">
        <v>0</v>
      </c>
      <c r="AR619" s="12">
        <v>12</v>
      </c>
      <c r="AS619" s="12">
        <v>3</v>
      </c>
      <c r="AT619" s="12">
        <v>4</v>
      </c>
      <c r="AU619" s="12">
        <v>0</v>
      </c>
      <c r="AV619" s="12">
        <v>10</v>
      </c>
      <c r="AW619" s="12">
        <f t="shared" si="138"/>
        <v>10</v>
      </c>
      <c r="AX619" s="12">
        <v>2</v>
      </c>
      <c r="AY619" s="12">
        <v>2</v>
      </c>
      <c r="AZ619" s="12">
        <v>5</v>
      </c>
      <c r="BA619" s="12">
        <f t="shared" si="139"/>
        <v>5</v>
      </c>
      <c r="BB619" s="12">
        <v>2</v>
      </c>
      <c r="BC619" s="12">
        <v>2</v>
      </c>
      <c r="BD619" s="12">
        <f t="shared" si="148"/>
        <v>2</v>
      </c>
      <c r="BE619" s="12">
        <v>3</v>
      </c>
      <c r="BF619" s="12">
        <f t="shared" si="140"/>
        <v>3</v>
      </c>
      <c r="BG619" s="12">
        <f t="shared" si="149"/>
        <v>6</v>
      </c>
      <c r="BH619" s="67">
        <v>1</v>
      </c>
      <c r="BI619" s="67">
        <v>0</v>
      </c>
      <c r="BJ619" s="67">
        <v>0</v>
      </c>
      <c r="BK619" s="67">
        <v>0</v>
      </c>
      <c r="BL619" s="67">
        <v>1</v>
      </c>
      <c r="BM619" s="67">
        <v>0</v>
      </c>
      <c r="BN619" s="67">
        <v>0</v>
      </c>
      <c r="BO619" s="67">
        <v>0</v>
      </c>
      <c r="BP619" s="67">
        <v>0</v>
      </c>
      <c r="BQ619" s="67">
        <v>3</v>
      </c>
      <c r="BR619" s="67">
        <v>0</v>
      </c>
      <c r="BS619" s="67">
        <v>0</v>
      </c>
      <c r="BT619" s="67">
        <v>10</v>
      </c>
      <c r="BU619" s="70">
        <v>0</v>
      </c>
      <c r="BV619" s="29">
        <f t="shared" si="141"/>
        <v>0.12105703573217022</v>
      </c>
      <c r="BW619">
        <f t="shared" si="142"/>
        <v>0.31476636926356072</v>
      </c>
      <c r="BX619">
        <f t="shared" si="143"/>
        <v>0.1644554352117841</v>
      </c>
      <c r="BY619">
        <f t="shared" si="144"/>
        <v>0.32778177112653761</v>
      </c>
      <c r="BZ619">
        <f t="shared" si="145"/>
        <v>0.64050867607435136</v>
      </c>
      <c r="CA619">
        <f t="shared" si="146"/>
        <v>0.77459235625178136</v>
      </c>
      <c r="CB619">
        <f t="shared" si="147"/>
        <v>5.8265062631872602E-2</v>
      </c>
    </row>
    <row r="620" spans="1:80" x14ac:dyDescent="0.45">
      <c r="A620" s="11">
        <v>25</v>
      </c>
      <c r="B620" s="12">
        <f t="shared" si="135"/>
        <v>25</v>
      </c>
      <c r="C620" s="12" t="s">
        <v>59</v>
      </c>
      <c r="D620" s="12">
        <v>0</v>
      </c>
      <c r="E620" s="12" t="s">
        <v>53</v>
      </c>
      <c r="F620" s="12">
        <v>0</v>
      </c>
      <c r="G620" s="12">
        <v>1</v>
      </c>
      <c r="H620" s="12" t="s">
        <v>61</v>
      </c>
      <c r="I620" s="12">
        <v>1</v>
      </c>
      <c r="J620" s="12">
        <v>0</v>
      </c>
      <c r="K620" s="12">
        <v>2</v>
      </c>
      <c r="L620" s="12">
        <f t="shared" si="136"/>
        <v>2</v>
      </c>
      <c r="M620" s="12">
        <v>1</v>
      </c>
      <c r="N620" s="12" t="s">
        <v>70</v>
      </c>
      <c r="O620" s="12">
        <v>0</v>
      </c>
      <c r="P620" s="12">
        <v>0</v>
      </c>
      <c r="Q620" s="12">
        <v>1</v>
      </c>
      <c r="R620" s="12">
        <v>0</v>
      </c>
      <c r="S620" s="12">
        <v>0</v>
      </c>
      <c r="T620" s="12">
        <v>1</v>
      </c>
      <c r="U620" s="12" t="s">
        <v>62</v>
      </c>
      <c r="V620" s="12">
        <v>0</v>
      </c>
      <c r="W620" s="12">
        <v>65</v>
      </c>
      <c r="X620" s="12">
        <v>4</v>
      </c>
      <c r="Y620" s="12">
        <v>1</v>
      </c>
      <c r="Z620" s="12" t="s">
        <v>63</v>
      </c>
      <c r="AA620" s="12">
        <v>0</v>
      </c>
      <c r="AB620" s="12">
        <v>0</v>
      </c>
      <c r="AC620" s="12">
        <v>0</v>
      </c>
      <c r="AD620" s="12">
        <v>0</v>
      </c>
      <c r="AE620" s="12">
        <v>0</v>
      </c>
      <c r="AF620" s="12">
        <v>0</v>
      </c>
      <c r="AG620" s="12">
        <v>0</v>
      </c>
      <c r="AH620" s="12">
        <v>1</v>
      </c>
      <c r="AI620" s="12">
        <v>1</v>
      </c>
      <c r="AJ620" s="12" t="s">
        <v>57</v>
      </c>
      <c r="AK620" s="12">
        <v>1</v>
      </c>
      <c r="AL620" s="12">
        <v>0</v>
      </c>
      <c r="AM620" s="12">
        <v>3424</v>
      </c>
      <c r="AN620" s="12">
        <f t="shared" si="137"/>
        <v>3424</v>
      </c>
      <c r="AO620" s="12">
        <v>7</v>
      </c>
      <c r="AP620" s="12" t="s">
        <v>59</v>
      </c>
      <c r="AQ620" s="12">
        <v>0</v>
      </c>
      <c r="AR620" s="12">
        <v>13</v>
      </c>
      <c r="AS620" s="12">
        <v>3</v>
      </c>
      <c r="AT620" s="12">
        <v>3</v>
      </c>
      <c r="AU620" s="12">
        <v>0</v>
      </c>
      <c r="AV620" s="12">
        <v>6</v>
      </c>
      <c r="AW620" s="12">
        <f t="shared" si="138"/>
        <v>6</v>
      </c>
      <c r="AX620" s="12">
        <v>3</v>
      </c>
      <c r="AY620" s="12">
        <v>2</v>
      </c>
      <c r="AZ620" s="12">
        <v>4</v>
      </c>
      <c r="BA620" s="12">
        <f t="shared" si="139"/>
        <v>4</v>
      </c>
      <c r="BB620" s="12">
        <v>3</v>
      </c>
      <c r="BC620" s="12">
        <v>0</v>
      </c>
      <c r="BD620" s="12">
        <f t="shared" si="148"/>
        <v>0</v>
      </c>
      <c r="BE620" s="12">
        <v>1</v>
      </c>
      <c r="BF620" s="12">
        <f t="shared" si="140"/>
        <v>1</v>
      </c>
      <c r="BG620" s="12">
        <f t="shared" si="149"/>
        <v>1</v>
      </c>
      <c r="BH620" s="67">
        <v>1</v>
      </c>
      <c r="BI620" s="67">
        <v>0</v>
      </c>
      <c r="BJ620" s="67">
        <v>0</v>
      </c>
      <c r="BK620" s="67">
        <v>0</v>
      </c>
      <c r="BL620" s="67">
        <v>1</v>
      </c>
      <c r="BM620" s="67">
        <v>0</v>
      </c>
      <c r="BN620" s="67">
        <v>0</v>
      </c>
      <c r="BO620" s="67">
        <v>0</v>
      </c>
      <c r="BP620" s="67">
        <v>0</v>
      </c>
      <c r="BQ620" s="67">
        <v>1</v>
      </c>
      <c r="BR620" s="67">
        <v>0</v>
      </c>
      <c r="BS620" s="67">
        <v>0</v>
      </c>
      <c r="BT620" s="67">
        <v>6</v>
      </c>
      <c r="BU620" s="70">
        <v>0</v>
      </c>
      <c r="BV620" s="29">
        <f t="shared" si="141"/>
        <v>0.65398461251187756</v>
      </c>
      <c r="BW620">
        <f t="shared" si="142"/>
        <v>0.87528310193156111</v>
      </c>
      <c r="BX620">
        <f t="shared" si="143"/>
        <v>0.67854260110508058</v>
      </c>
      <c r="BY620">
        <f t="shared" si="144"/>
        <v>0.49100643357776058</v>
      </c>
      <c r="BZ620">
        <f t="shared" si="145"/>
        <v>0.88721318382472392</v>
      </c>
      <c r="CA620">
        <f t="shared" si="146"/>
        <v>1.3052350336840246</v>
      </c>
      <c r="CB620">
        <f t="shared" si="147"/>
        <v>0.67891464284095016</v>
      </c>
    </row>
    <row r="621" spans="1:80" x14ac:dyDescent="0.45">
      <c r="A621" s="11">
        <v>33</v>
      </c>
      <c r="B621" s="12">
        <f t="shared" si="135"/>
        <v>33</v>
      </c>
      <c r="C621" s="12" t="s">
        <v>59</v>
      </c>
      <c r="D621" s="12">
        <v>0</v>
      </c>
      <c r="E621" s="12" t="s">
        <v>53</v>
      </c>
      <c r="F621" s="12">
        <v>0</v>
      </c>
      <c r="G621" s="12">
        <v>1</v>
      </c>
      <c r="H621" s="12" t="s">
        <v>54</v>
      </c>
      <c r="I621" s="12">
        <v>0</v>
      </c>
      <c r="J621" s="12">
        <v>1</v>
      </c>
      <c r="K621" s="12">
        <v>1</v>
      </c>
      <c r="L621" s="12">
        <f t="shared" si="136"/>
        <v>1</v>
      </c>
      <c r="M621" s="12">
        <v>3</v>
      </c>
      <c r="N621" s="12" t="s">
        <v>70</v>
      </c>
      <c r="O621" s="12">
        <v>0</v>
      </c>
      <c r="P621" s="12">
        <v>0</v>
      </c>
      <c r="Q621" s="12">
        <v>1</v>
      </c>
      <c r="R621" s="12">
        <v>0</v>
      </c>
      <c r="S621" s="12">
        <v>0</v>
      </c>
      <c r="T621" s="12">
        <v>1</v>
      </c>
      <c r="U621" s="12" t="s">
        <v>62</v>
      </c>
      <c r="V621" s="12">
        <v>0</v>
      </c>
      <c r="W621" s="12">
        <v>48</v>
      </c>
      <c r="X621" s="12">
        <v>4</v>
      </c>
      <c r="Y621" s="12">
        <v>2</v>
      </c>
      <c r="Z621" s="12" t="s">
        <v>56</v>
      </c>
      <c r="AA621" s="12">
        <v>0</v>
      </c>
      <c r="AB621" s="12">
        <v>1</v>
      </c>
      <c r="AC621" s="12">
        <v>0</v>
      </c>
      <c r="AD621" s="12">
        <v>0</v>
      </c>
      <c r="AE621" s="12">
        <v>0</v>
      </c>
      <c r="AF621" s="12">
        <v>0</v>
      </c>
      <c r="AG621" s="12">
        <v>0</v>
      </c>
      <c r="AH621" s="12">
        <v>0</v>
      </c>
      <c r="AI621" s="12">
        <v>1</v>
      </c>
      <c r="AJ621" s="12" t="s">
        <v>78</v>
      </c>
      <c r="AK621" s="12">
        <v>0</v>
      </c>
      <c r="AL621" s="12">
        <v>0</v>
      </c>
      <c r="AM621" s="12">
        <v>4037</v>
      </c>
      <c r="AN621" s="12">
        <f t="shared" si="137"/>
        <v>4037</v>
      </c>
      <c r="AO621" s="12">
        <v>1</v>
      </c>
      <c r="AP621" s="12" t="s">
        <v>59</v>
      </c>
      <c r="AQ621" s="12">
        <v>0</v>
      </c>
      <c r="AR621" s="12">
        <v>22</v>
      </c>
      <c r="AS621" s="12">
        <v>4</v>
      </c>
      <c r="AT621" s="12">
        <v>1</v>
      </c>
      <c r="AU621" s="12">
        <v>1</v>
      </c>
      <c r="AV621" s="12">
        <v>9</v>
      </c>
      <c r="AW621" s="12">
        <f t="shared" si="138"/>
        <v>9</v>
      </c>
      <c r="AX621" s="12">
        <v>5</v>
      </c>
      <c r="AY621" s="12">
        <v>3</v>
      </c>
      <c r="AZ621" s="12">
        <v>9</v>
      </c>
      <c r="BA621" s="12">
        <f t="shared" si="139"/>
        <v>9</v>
      </c>
      <c r="BB621" s="12">
        <v>8</v>
      </c>
      <c r="BC621" s="12">
        <v>0</v>
      </c>
      <c r="BD621" s="12">
        <f t="shared" si="148"/>
        <v>0</v>
      </c>
      <c r="BE621" s="12">
        <v>8</v>
      </c>
      <c r="BF621" s="12">
        <f t="shared" si="140"/>
        <v>8</v>
      </c>
      <c r="BG621" s="12">
        <f t="shared" si="149"/>
        <v>16</v>
      </c>
      <c r="BH621" s="67">
        <v>1</v>
      </c>
      <c r="BI621" s="67">
        <v>0</v>
      </c>
      <c r="BJ621" s="67">
        <v>0</v>
      </c>
      <c r="BK621" s="67">
        <v>0</v>
      </c>
      <c r="BL621" s="67">
        <v>1</v>
      </c>
      <c r="BM621" s="67">
        <v>0</v>
      </c>
      <c r="BN621" s="67">
        <v>0</v>
      </c>
      <c r="BO621" s="67">
        <v>0</v>
      </c>
      <c r="BP621" s="67">
        <v>0</v>
      </c>
      <c r="BQ621" s="67">
        <v>0</v>
      </c>
      <c r="BR621" s="67">
        <v>8</v>
      </c>
      <c r="BS621" s="67">
        <v>0</v>
      </c>
      <c r="BT621" s="67">
        <v>0</v>
      </c>
      <c r="BU621" s="70">
        <v>9</v>
      </c>
      <c r="BV621" s="29">
        <f t="shared" si="141"/>
        <v>0.52377950905792747</v>
      </c>
      <c r="BW621">
        <f t="shared" si="142"/>
        <v>1.08652546240644</v>
      </c>
      <c r="BX621">
        <f t="shared" si="143"/>
        <v>0.29297722668510823</v>
      </c>
      <c r="BY621">
        <f t="shared" si="144"/>
        <v>0.32511687867835437</v>
      </c>
      <c r="BZ621">
        <f t="shared" si="145"/>
        <v>1.01056543769991</v>
      </c>
      <c r="CA621">
        <f t="shared" si="146"/>
        <v>0.42951823792158</v>
      </c>
      <c r="CB621">
        <f t="shared" si="147"/>
        <v>0.67891464284095016</v>
      </c>
    </row>
    <row r="622" spans="1:80" x14ac:dyDescent="0.45">
      <c r="A622" s="11">
        <v>35</v>
      </c>
      <c r="B622" s="12">
        <f t="shared" si="135"/>
        <v>35</v>
      </c>
      <c r="C622" s="12" t="s">
        <v>59</v>
      </c>
      <c r="D622" s="12">
        <v>0</v>
      </c>
      <c r="E622" s="12" t="s">
        <v>53</v>
      </c>
      <c r="F622" s="12">
        <v>0</v>
      </c>
      <c r="G622" s="12">
        <v>1</v>
      </c>
      <c r="H622" s="12" t="s">
        <v>61</v>
      </c>
      <c r="I622" s="12">
        <v>1</v>
      </c>
      <c r="J622" s="12">
        <v>0</v>
      </c>
      <c r="K622" s="12">
        <v>27</v>
      </c>
      <c r="L622" s="12">
        <f t="shared" si="136"/>
        <v>27</v>
      </c>
      <c r="M622" s="12">
        <v>1</v>
      </c>
      <c r="N622" s="12" t="s">
        <v>70</v>
      </c>
      <c r="O622" s="12">
        <v>0</v>
      </c>
      <c r="P622" s="12">
        <v>0</v>
      </c>
      <c r="Q622" s="12">
        <v>1</v>
      </c>
      <c r="R622" s="12">
        <v>0</v>
      </c>
      <c r="S622" s="12">
        <v>0</v>
      </c>
      <c r="T622" s="12">
        <v>3</v>
      </c>
      <c r="U622" s="12" t="s">
        <v>19</v>
      </c>
      <c r="V622" s="12">
        <v>1</v>
      </c>
      <c r="W622" s="12">
        <v>53</v>
      </c>
      <c r="X622" s="12">
        <v>2</v>
      </c>
      <c r="Y622" s="12">
        <v>1</v>
      </c>
      <c r="Z622" s="12" t="s">
        <v>63</v>
      </c>
      <c r="AA622" s="12">
        <v>0</v>
      </c>
      <c r="AB622" s="12">
        <v>0</v>
      </c>
      <c r="AC622" s="12">
        <v>0</v>
      </c>
      <c r="AD622" s="12">
        <v>0</v>
      </c>
      <c r="AE622" s="12">
        <v>0</v>
      </c>
      <c r="AF622" s="12">
        <v>0</v>
      </c>
      <c r="AG622" s="12">
        <v>0</v>
      </c>
      <c r="AH622" s="12">
        <v>1</v>
      </c>
      <c r="AI622" s="12">
        <v>1</v>
      </c>
      <c r="AJ622" s="12" t="s">
        <v>57</v>
      </c>
      <c r="AK622" s="12">
        <v>1</v>
      </c>
      <c r="AL622" s="12">
        <v>0</v>
      </c>
      <c r="AM622" s="12">
        <v>2559</v>
      </c>
      <c r="AN622" s="12">
        <f t="shared" si="137"/>
        <v>2559</v>
      </c>
      <c r="AO622" s="12">
        <v>1</v>
      </c>
      <c r="AP622" s="12" t="s">
        <v>59</v>
      </c>
      <c r="AQ622" s="12">
        <v>0</v>
      </c>
      <c r="AR622" s="12">
        <v>11</v>
      </c>
      <c r="AS622" s="12">
        <v>3</v>
      </c>
      <c r="AT622" s="12">
        <v>4</v>
      </c>
      <c r="AU622" s="12">
        <v>0</v>
      </c>
      <c r="AV622" s="12">
        <v>6</v>
      </c>
      <c r="AW622" s="12">
        <f t="shared" si="138"/>
        <v>6</v>
      </c>
      <c r="AX622" s="12">
        <v>3</v>
      </c>
      <c r="AY622" s="12">
        <v>2</v>
      </c>
      <c r="AZ622" s="12">
        <v>6</v>
      </c>
      <c r="BA622" s="12">
        <f t="shared" si="139"/>
        <v>6</v>
      </c>
      <c r="BB622" s="12">
        <v>5</v>
      </c>
      <c r="BC622" s="12">
        <v>1</v>
      </c>
      <c r="BD622" s="12">
        <f t="shared" si="148"/>
        <v>1</v>
      </c>
      <c r="BE622" s="12">
        <v>1</v>
      </c>
      <c r="BF622" s="12">
        <f t="shared" si="140"/>
        <v>1</v>
      </c>
      <c r="BG622" s="12">
        <f t="shared" si="149"/>
        <v>1</v>
      </c>
      <c r="BH622" s="67">
        <v>1</v>
      </c>
      <c r="BI622" s="67">
        <v>0</v>
      </c>
      <c r="BJ622" s="67">
        <v>0</v>
      </c>
      <c r="BK622" s="67">
        <v>0</v>
      </c>
      <c r="BL622" s="67">
        <v>1</v>
      </c>
      <c r="BM622" s="67">
        <v>0</v>
      </c>
      <c r="BN622" s="67">
        <v>0</v>
      </c>
      <c r="BO622" s="67">
        <v>0</v>
      </c>
      <c r="BP622" s="67">
        <v>0</v>
      </c>
      <c r="BQ622" s="67">
        <v>1</v>
      </c>
      <c r="BR622" s="67">
        <v>0</v>
      </c>
      <c r="BS622" s="67">
        <v>0</v>
      </c>
      <c r="BT622" s="67">
        <v>6</v>
      </c>
      <c r="BU622" s="70">
        <v>0</v>
      </c>
      <c r="BV622" s="29">
        <f t="shared" si="141"/>
        <v>0.83771612064836487</v>
      </c>
      <c r="BW622">
        <f t="shared" si="142"/>
        <v>0.87528310193156111</v>
      </c>
      <c r="BX622">
        <f t="shared" si="143"/>
        <v>0.67854260110508058</v>
      </c>
      <c r="BY622">
        <f t="shared" si="144"/>
        <v>0.16455710867531462</v>
      </c>
      <c r="BZ622">
        <f t="shared" si="145"/>
        <v>2.1965931630549322</v>
      </c>
      <c r="CA622">
        <f t="shared" si="146"/>
        <v>0.21058903898096887</v>
      </c>
      <c r="CB622">
        <f t="shared" si="147"/>
        <v>0.36858985273641137</v>
      </c>
    </row>
    <row r="623" spans="1:80" x14ac:dyDescent="0.45">
      <c r="A623" s="11">
        <v>36</v>
      </c>
      <c r="B623" s="12">
        <f t="shared" si="135"/>
        <v>36</v>
      </c>
      <c r="C623" s="12" t="s">
        <v>59</v>
      </c>
      <c r="D623" s="12">
        <v>0</v>
      </c>
      <c r="E623" s="12" t="s">
        <v>53</v>
      </c>
      <c r="F623" s="12">
        <v>0</v>
      </c>
      <c r="G623" s="12">
        <v>1</v>
      </c>
      <c r="H623" s="12" t="s">
        <v>54</v>
      </c>
      <c r="I623" s="12">
        <v>0</v>
      </c>
      <c r="J623" s="12">
        <v>1</v>
      </c>
      <c r="K623" s="12">
        <v>1</v>
      </c>
      <c r="L623" s="12">
        <f t="shared" si="136"/>
        <v>1</v>
      </c>
      <c r="M623" s="12">
        <v>2</v>
      </c>
      <c r="N623" s="12" t="s">
        <v>55</v>
      </c>
      <c r="O623" s="12">
        <v>1</v>
      </c>
      <c r="P623" s="12">
        <v>0</v>
      </c>
      <c r="Q623" s="12">
        <v>0</v>
      </c>
      <c r="R623" s="12">
        <v>0</v>
      </c>
      <c r="S623" s="12">
        <v>0</v>
      </c>
      <c r="T623" s="12">
        <v>2</v>
      </c>
      <c r="U623" s="12" t="s">
        <v>62</v>
      </c>
      <c r="V623" s="12">
        <v>0</v>
      </c>
      <c r="W623" s="12">
        <v>56</v>
      </c>
      <c r="X623" s="12">
        <v>3</v>
      </c>
      <c r="Y623" s="12">
        <v>2</v>
      </c>
      <c r="Z623" s="12" t="s">
        <v>56</v>
      </c>
      <c r="AA623" s="12">
        <v>0</v>
      </c>
      <c r="AB623" s="12">
        <v>1</v>
      </c>
      <c r="AC623" s="12">
        <v>0</v>
      </c>
      <c r="AD623" s="12">
        <v>0</v>
      </c>
      <c r="AE623" s="12">
        <v>0</v>
      </c>
      <c r="AF623" s="12">
        <v>0</v>
      </c>
      <c r="AG623" s="12">
        <v>0</v>
      </c>
      <c r="AH623" s="12">
        <v>0</v>
      </c>
      <c r="AI623" s="12">
        <v>4</v>
      </c>
      <c r="AJ623" s="12" t="s">
        <v>64</v>
      </c>
      <c r="AK623" s="12">
        <v>0</v>
      </c>
      <c r="AL623" s="12">
        <v>1</v>
      </c>
      <c r="AM623" s="12">
        <v>6201</v>
      </c>
      <c r="AN623" s="12">
        <f t="shared" si="137"/>
        <v>6201</v>
      </c>
      <c r="AO623" s="12">
        <v>1</v>
      </c>
      <c r="AP623" s="12" t="s">
        <v>52</v>
      </c>
      <c r="AQ623" s="12">
        <v>1</v>
      </c>
      <c r="AR623" s="12">
        <v>14</v>
      </c>
      <c r="AS623" s="12">
        <v>3</v>
      </c>
      <c r="AT623" s="12">
        <v>4</v>
      </c>
      <c r="AU623" s="12">
        <v>1</v>
      </c>
      <c r="AV623" s="12">
        <v>18</v>
      </c>
      <c r="AW623" s="12">
        <f t="shared" si="138"/>
        <v>18</v>
      </c>
      <c r="AX623" s="12">
        <v>1</v>
      </c>
      <c r="AY623" s="12">
        <v>2</v>
      </c>
      <c r="AZ623" s="12">
        <v>18</v>
      </c>
      <c r="BA623" s="12">
        <f t="shared" si="139"/>
        <v>18</v>
      </c>
      <c r="BB623" s="12">
        <v>14</v>
      </c>
      <c r="BC623" s="12">
        <v>4</v>
      </c>
      <c r="BD623" s="12">
        <f t="shared" si="148"/>
        <v>4</v>
      </c>
      <c r="BE623" s="12">
        <v>11</v>
      </c>
      <c r="BF623" s="12">
        <f t="shared" si="140"/>
        <v>11</v>
      </c>
      <c r="BG623" s="12">
        <f t="shared" si="149"/>
        <v>22</v>
      </c>
      <c r="BH623" s="67">
        <v>0</v>
      </c>
      <c r="BI623" s="67">
        <v>1</v>
      </c>
      <c r="BJ623" s="67">
        <v>0</v>
      </c>
      <c r="BK623" s="67">
        <v>0</v>
      </c>
      <c r="BL623" s="67">
        <v>0</v>
      </c>
      <c r="BM623" s="67">
        <v>0</v>
      </c>
      <c r="BN623" s="67">
        <v>0</v>
      </c>
      <c r="BO623" s="67">
        <v>1</v>
      </c>
      <c r="BP623" s="67">
        <v>0</v>
      </c>
      <c r="BQ623" s="67">
        <v>0</v>
      </c>
      <c r="BR623" s="67">
        <v>11</v>
      </c>
      <c r="BS623" s="67">
        <v>0</v>
      </c>
      <c r="BT623" s="67">
        <v>0</v>
      </c>
      <c r="BU623" s="70">
        <v>18</v>
      </c>
      <c r="BV623" s="29">
        <f t="shared" si="141"/>
        <v>6.4132129165027307E-2</v>
      </c>
      <c r="BW623">
        <f t="shared" si="142"/>
        <v>1.9273005614084406</v>
      </c>
      <c r="BX623">
        <f t="shared" si="143"/>
        <v>0.86371889657480871</v>
      </c>
      <c r="BY623">
        <f t="shared" si="144"/>
        <v>1.794138840739361</v>
      </c>
      <c r="BZ623">
        <f t="shared" si="145"/>
        <v>1.01056543769991</v>
      </c>
      <c r="CA623">
        <f t="shared" si="146"/>
        <v>0.10112443951066327</v>
      </c>
      <c r="CB623">
        <f t="shared" si="147"/>
        <v>0.56238451757720498</v>
      </c>
    </row>
    <row r="624" spans="1:80" x14ac:dyDescent="0.45">
      <c r="A624" s="11">
        <v>32</v>
      </c>
      <c r="B624" s="12">
        <f t="shared" si="135"/>
        <v>32</v>
      </c>
      <c r="C624" s="12" t="s">
        <v>59</v>
      </c>
      <c r="D624" s="12">
        <v>0</v>
      </c>
      <c r="E624" s="12" t="s">
        <v>53</v>
      </c>
      <c r="F624" s="12">
        <v>0</v>
      </c>
      <c r="G624" s="12">
        <v>1</v>
      </c>
      <c r="H624" s="12" t="s">
        <v>54</v>
      </c>
      <c r="I624" s="12">
        <v>0</v>
      </c>
      <c r="J624" s="12">
        <v>1</v>
      </c>
      <c r="K624" s="12">
        <v>13</v>
      </c>
      <c r="L624" s="12">
        <f t="shared" si="136"/>
        <v>13</v>
      </c>
      <c r="M624" s="12">
        <v>4</v>
      </c>
      <c r="N624" s="12" t="s">
        <v>55</v>
      </c>
      <c r="O624" s="12">
        <v>1</v>
      </c>
      <c r="P624" s="12">
        <v>0</v>
      </c>
      <c r="Q624" s="12">
        <v>0</v>
      </c>
      <c r="R624" s="12">
        <v>0</v>
      </c>
      <c r="S624" s="12">
        <v>0</v>
      </c>
      <c r="T624" s="12">
        <v>2</v>
      </c>
      <c r="U624" s="12" t="s">
        <v>62</v>
      </c>
      <c r="V624" s="12">
        <v>0</v>
      </c>
      <c r="W624" s="12">
        <v>73</v>
      </c>
      <c r="X624" s="12">
        <v>3</v>
      </c>
      <c r="Y624" s="12">
        <v>2</v>
      </c>
      <c r="Z624" s="12" t="s">
        <v>56</v>
      </c>
      <c r="AA624" s="12">
        <v>0</v>
      </c>
      <c r="AB624" s="12">
        <v>1</v>
      </c>
      <c r="AC624" s="12">
        <v>0</v>
      </c>
      <c r="AD624" s="12">
        <v>0</v>
      </c>
      <c r="AE624" s="12">
        <v>0</v>
      </c>
      <c r="AF624" s="12">
        <v>0</v>
      </c>
      <c r="AG624" s="12">
        <v>0</v>
      </c>
      <c r="AH624" s="12">
        <v>0</v>
      </c>
      <c r="AI624" s="12">
        <v>4</v>
      </c>
      <c r="AJ624" s="12" t="s">
        <v>78</v>
      </c>
      <c r="AK624" s="12">
        <v>0</v>
      </c>
      <c r="AL624" s="12">
        <v>0</v>
      </c>
      <c r="AM624" s="12">
        <v>4403</v>
      </c>
      <c r="AN624" s="12">
        <f t="shared" si="137"/>
        <v>4403</v>
      </c>
      <c r="AO624" s="12">
        <v>2</v>
      </c>
      <c r="AP624" s="12" t="s">
        <v>59</v>
      </c>
      <c r="AQ624" s="12">
        <v>0</v>
      </c>
      <c r="AR624" s="12">
        <v>11</v>
      </c>
      <c r="AS624" s="12">
        <v>3</v>
      </c>
      <c r="AT624" s="12">
        <v>3</v>
      </c>
      <c r="AU624" s="12">
        <v>1</v>
      </c>
      <c r="AV624" s="12">
        <v>8</v>
      </c>
      <c r="AW624" s="12">
        <f t="shared" si="138"/>
        <v>8</v>
      </c>
      <c r="AX624" s="12">
        <v>3</v>
      </c>
      <c r="AY624" s="12">
        <v>2</v>
      </c>
      <c r="AZ624" s="12">
        <v>5</v>
      </c>
      <c r="BA624" s="12">
        <f t="shared" si="139"/>
        <v>5</v>
      </c>
      <c r="BB624" s="12">
        <v>2</v>
      </c>
      <c r="BC624" s="12">
        <v>0</v>
      </c>
      <c r="BD624" s="12">
        <f t="shared" si="148"/>
        <v>0</v>
      </c>
      <c r="BE624" s="12">
        <v>3</v>
      </c>
      <c r="BF624" s="12">
        <f t="shared" si="140"/>
        <v>3</v>
      </c>
      <c r="BG624" s="12">
        <f t="shared" si="149"/>
        <v>6</v>
      </c>
      <c r="BH624" s="67">
        <v>1</v>
      </c>
      <c r="BI624" s="67">
        <v>0</v>
      </c>
      <c r="BJ624" s="67">
        <v>0</v>
      </c>
      <c r="BK624" s="67">
        <v>0</v>
      </c>
      <c r="BL624" s="67">
        <v>1</v>
      </c>
      <c r="BM624" s="67">
        <v>0</v>
      </c>
      <c r="BN624" s="67">
        <v>0</v>
      </c>
      <c r="BO624" s="67">
        <v>0</v>
      </c>
      <c r="BP624" s="67">
        <v>0</v>
      </c>
      <c r="BQ624" s="67">
        <v>0</v>
      </c>
      <c r="BR624" s="67">
        <v>3</v>
      </c>
      <c r="BS624" s="67">
        <v>0</v>
      </c>
      <c r="BT624" s="67">
        <v>0</v>
      </c>
      <c r="BU624" s="70">
        <v>8</v>
      </c>
      <c r="BV624" s="29">
        <f t="shared" si="141"/>
        <v>0.44603877844757561</v>
      </c>
      <c r="BW624">
        <f t="shared" si="142"/>
        <v>0.31476636926356072</v>
      </c>
      <c r="BX624">
        <f t="shared" si="143"/>
        <v>0.42149901815843233</v>
      </c>
      <c r="BY624">
        <f t="shared" si="144"/>
        <v>0.32778177112653761</v>
      </c>
      <c r="BZ624">
        <f t="shared" si="145"/>
        <v>0.46966160880232483</v>
      </c>
      <c r="CA624">
        <f t="shared" si="146"/>
        <v>0.53898283739188557</v>
      </c>
      <c r="CB624">
        <f t="shared" si="147"/>
        <v>0.67891464284095016</v>
      </c>
    </row>
    <row r="625" spans="1:80" x14ac:dyDescent="0.45">
      <c r="A625" s="11">
        <v>30</v>
      </c>
      <c r="B625" s="12">
        <f t="shared" si="135"/>
        <v>30</v>
      </c>
      <c r="C625" s="12" t="s">
        <v>59</v>
      </c>
      <c r="D625" s="12">
        <v>0</v>
      </c>
      <c r="E625" s="12" t="s">
        <v>60</v>
      </c>
      <c r="F625" s="12">
        <v>1</v>
      </c>
      <c r="G625" s="12">
        <v>0</v>
      </c>
      <c r="H625" s="12" t="s">
        <v>61</v>
      </c>
      <c r="I625" s="12">
        <v>1</v>
      </c>
      <c r="J625" s="12">
        <v>0</v>
      </c>
      <c r="K625" s="12">
        <v>5</v>
      </c>
      <c r="L625" s="12">
        <f t="shared" si="136"/>
        <v>5</v>
      </c>
      <c r="M625" s="12">
        <v>4</v>
      </c>
      <c r="N625" s="12" t="s">
        <v>55</v>
      </c>
      <c r="O625" s="12">
        <v>1</v>
      </c>
      <c r="P625" s="12">
        <v>0</v>
      </c>
      <c r="Q625" s="12">
        <v>0</v>
      </c>
      <c r="R625" s="12">
        <v>0</v>
      </c>
      <c r="S625" s="12">
        <v>0</v>
      </c>
      <c r="T625" s="12">
        <v>2</v>
      </c>
      <c r="U625" s="12" t="s">
        <v>62</v>
      </c>
      <c r="V625" s="12">
        <v>0</v>
      </c>
      <c r="W625" s="12">
        <v>75</v>
      </c>
      <c r="X625" s="12">
        <v>2</v>
      </c>
      <c r="Y625" s="12">
        <v>1</v>
      </c>
      <c r="Z625" s="12" t="s">
        <v>63</v>
      </c>
      <c r="AA625" s="12">
        <v>0</v>
      </c>
      <c r="AB625" s="12">
        <v>0</v>
      </c>
      <c r="AC625" s="12">
        <v>0</v>
      </c>
      <c r="AD625" s="12">
        <v>0</v>
      </c>
      <c r="AE625" s="12">
        <v>0</v>
      </c>
      <c r="AF625" s="12">
        <v>0</v>
      </c>
      <c r="AG625" s="12">
        <v>0</v>
      </c>
      <c r="AH625" s="12">
        <v>1</v>
      </c>
      <c r="AI625" s="12">
        <v>4</v>
      </c>
      <c r="AJ625" s="12" t="s">
        <v>78</v>
      </c>
      <c r="AK625" s="12">
        <v>0</v>
      </c>
      <c r="AL625" s="12">
        <v>0</v>
      </c>
      <c r="AM625" s="12">
        <v>3761</v>
      </c>
      <c r="AN625" s="12">
        <f t="shared" si="137"/>
        <v>3761</v>
      </c>
      <c r="AO625" s="12">
        <v>9</v>
      </c>
      <c r="AP625" s="12" t="s">
        <v>59</v>
      </c>
      <c r="AQ625" s="12">
        <v>0</v>
      </c>
      <c r="AR625" s="12">
        <v>12</v>
      </c>
      <c r="AS625" s="12">
        <v>3</v>
      </c>
      <c r="AT625" s="12">
        <v>2</v>
      </c>
      <c r="AU625" s="12">
        <v>1</v>
      </c>
      <c r="AV625" s="12">
        <v>10</v>
      </c>
      <c r="AW625" s="12">
        <f t="shared" si="138"/>
        <v>10</v>
      </c>
      <c r="AX625" s="12">
        <v>3</v>
      </c>
      <c r="AY625" s="12">
        <v>2</v>
      </c>
      <c r="AZ625" s="12">
        <v>5</v>
      </c>
      <c r="BA625" s="12">
        <f t="shared" si="139"/>
        <v>5</v>
      </c>
      <c r="BB625" s="12">
        <v>4</v>
      </c>
      <c r="BC625" s="12">
        <v>0</v>
      </c>
      <c r="BD625" s="12">
        <f t="shared" si="148"/>
        <v>0</v>
      </c>
      <c r="BE625" s="12">
        <v>3</v>
      </c>
      <c r="BF625" s="12">
        <f t="shared" si="140"/>
        <v>3</v>
      </c>
      <c r="BG625" s="12">
        <f t="shared" si="149"/>
        <v>3</v>
      </c>
      <c r="BH625" s="67">
        <v>0</v>
      </c>
      <c r="BI625" s="67">
        <v>0</v>
      </c>
      <c r="BJ625" s="67">
        <v>1</v>
      </c>
      <c r="BK625" s="67">
        <v>0</v>
      </c>
      <c r="BL625" s="67">
        <v>1</v>
      </c>
      <c r="BM625" s="67">
        <v>0</v>
      </c>
      <c r="BN625" s="67">
        <v>0</v>
      </c>
      <c r="BO625" s="67">
        <v>0</v>
      </c>
      <c r="BP625" s="67">
        <v>0</v>
      </c>
      <c r="BQ625" s="67">
        <v>3</v>
      </c>
      <c r="BR625" s="67">
        <v>0</v>
      </c>
      <c r="BS625" s="67">
        <v>0</v>
      </c>
      <c r="BT625" s="67">
        <v>10</v>
      </c>
      <c r="BU625" s="70">
        <v>0</v>
      </c>
      <c r="BV625" s="29">
        <f t="shared" si="141"/>
        <v>0.58240366656737319</v>
      </c>
      <c r="BW625">
        <f t="shared" si="142"/>
        <v>0.31476636926356072</v>
      </c>
      <c r="BX625">
        <f t="shared" si="143"/>
        <v>0.1644554352117841</v>
      </c>
      <c r="BY625">
        <f t="shared" si="144"/>
        <v>0.32778177112653761</v>
      </c>
      <c r="BZ625">
        <f t="shared" si="145"/>
        <v>0.51715642219916513</v>
      </c>
      <c r="CA625">
        <f t="shared" si="146"/>
        <v>0.75791203633249671</v>
      </c>
      <c r="CB625">
        <f t="shared" si="147"/>
        <v>0.67891464284095016</v>
      </c>
    </row>
    <row r="626" spans="1:80" x14ac:dyDescent="0.45">
      <c r="A626" s="11">
        <v>53</v>
      </c>
      <c r="B626" s="12">
        <f t="shared" si="135"/>
        <v>53</v>
      </c>
      <c r="C626" s="12" t="s">
        <v>59</v>
      </c>
      <c r="D626" s="12">
        <v>0</v>
      </c>
      <c r="E626" s="12" t="s">
        <v>53</v>
      </c>
      <c r="F626" s="12">
        <v>0</v>
      </c>
      <c r="G626" s="12">
        <v>1</v>
      </c>
      <c r="H626" s="12" t="s">
        <v>54</v>
      </c>
      <c r="I626" s="12">
        <v>0</v>
      </c>
      <c r="J626" s="12">
        <v>1</v>
      </c>
      <c r="K626" s="12">
        <v>7</v>
      </c>
      <c r="L626" s="12">
        <f t="shared" si="136"/>
        <v>7</v>
      </c>
      <c r="M626" s="12">
        <v>2</v>
      </c>
      <c r="N626" s="12" t="s">
        <v>90</v>
      </c>
      <c r="O626" s="12">
        <v>0</v>
      </c>
      <c r="P626" s="12">
        <v>0</v>
      </c>
      <c r="Q626" s="12">
        <v>0</v>
      </c>
      <c r="R626" s="12">
        <v>1</v>
      </c>
      <c r="S626" s="12">
        <v>0</v>
      </c>
      <c r="T626" s="12">
        <v>1</v>
      </c>
      <c r="U626" s="12" t="s">
        <v>19</v>
      </c>
      <c r="V626" s="12">
        <v>1</v>
      </c>
      <c r="W626" s="12">
        <v>78</v>
      </c>
      <c r="X626" s="12">
        <v>2</v>
      </c>
      <c r="Y626" s="12">
        <v>3</v>
      </c>
      <c r="Z626" s="12" t="s">
        <v>56</v>
      </c>
      <c r="AA626" s="12">
        <v>0</v>
      </c>
      <c r="AB626" s="12">
        <v>1</v>
      </c>
      <c r="AC626" s="12">
        <v>0</v>
      </c>
      <c r="AD626" s="12">
        <v>0</v>
      </c>
      <c r="AE626" s="12">
        <v>0</v>
      </c>
      <c r="AF626" s="12">
        <v>0</v>
      </c>
      <c r="AG626" s="12">
        <v>0</v>
      </c>
      <c r="AH626" s="12">
        <v>0</v>
      </c>
      <c r="AI626" s="12">
        <v>4</v>
      </c>
      <c r="AJ626" s="12" t="s">
        <v>64</v>
      </c>
      <c r="AK626" s="12">
        <v>0</v>
      </c>
      <c r="AL626" s="12">
        <v>1</v>
      </c>
      <c r="AM626" s="12">
        <v>10934</v>
      </c>
      <c r="AN626" s="12">
        <f t="shared" si="137"/>
        <v>10934</v>
      </c>
      <c r="AO626" s="12">
        <v>7</v>
      </c>
      <c r="AP626" s="12" t="s">
        <v>52</v>
      </c>
      <c r="AQ626" s="12">
        <v>1</v>
      </c>
      <c r="AR626" s="12">
        <v>18</v>
      </c>
      <c r="AS626" s="12">
        <v>3</v>
      </c>
      <c r="AT626" s="12">
        <v>4</v>
      </c>
      <c r="AU626" s="12">
        <v>1</v>
      </c>
      <c r="AV626" s="12">
        <v>35</v>
      </c>
      <c r="AW626" s="12">
        <f t="shared" si="138"/>
        <v>35</v>
      </c>
      <c r="AX626" s="12">
        <v>3</v>
      </c>
      <c r="AY626" s="12">
        <v>3</v>
      </c>
      <c r="AZ626" s="12">
        <v>5</v>
      </c>
      <c r="BA626" s="12">
        <f t="shared" si="139"/>
        <v>5</v>
      </c>
      <c r="BB626" s="12">
        <v>2</v>
      </c>
      <c r="BC626" s="12">
        <v>0</v>
      </c>
      <c r="BD626" s="12">
        <f t="shared" si="148"/>
        <v>0</v>
      </c>
      <c r="BE626" s="12">
        <v>4</v>
      </c>
      <c r="BF626" s="12">
        <f t="shared" si="140"/>
        <v>4</v>
      </c>
      <c r="BG626" s="12">
        <f t="shared" si="149"/>
        <v>12</v>
      </c>
      <c r="BH626" s="67">
        <v>0</v>
      </c>
      <c r="BI626" s="67">
        <v>1</v>
      </c>
      <c r="BJ626" s="67">
        <v>0</v>
      </c>
      <c r="BK626" s="67">
        <v>0</v>
      </c>
      <c r="BL626" s="67">
        <v>0</v>
      </c>
      <c r="BM626" s="67">
        <v>0</v>
      </c>
      <c r="BN626" s="67">
        <v>0</v>
      </c>
      <c r="BO626" s="67">
        <v>1</v>
      </c>
      <c r="BP626" s="67">
        <v>0</v>
      </c>
      <c r="BQ626" s="67">
        <v>0</v>
      </c>
      <c r="BR626" s="67">
        <v>4</v>
      </c>
      <c r="BS626" s="67">
        <v>0</v>
      </c>
      <c r="BT626" s="67">
        <v>0</v>
      </c>
      <c r="BU626" s="70">
        <v>35</v>
      </c>
      <c r="BV626" s="29">
        <f t="shared" si="141"/>
        <v>0.94118720957485102</v>
      </c>
      <c r="BW626">
        <f t="shared" si="142"/>
        <v>3.4508002929560584E-2</v>
      </c>
      <c r="BX626">
        <f t="shared" si="143"/>
        <v>3.0485893516213181</v>
      </c>
      <c r="BY626">
        <f t="shared" si="144"/>
        <v>0.32778177112653761</v>
      </c>
      <c r="BZ626">
        <f t="shared" si="145"/>
        <v>0.27045191444879263</v>
      </c>
      <c r="CA626">
        <f t="shared" si="146"/>
        <v>1.7597737514845315</v>
      </c>
      <c r="CB626">
        <f t="shared" si="147"/>
        <v>0.67891464284095016</v>
      </c>
    </row>
    <row r="627" spans="1:80" x14ac:dyDescent="0.45">
      <c r="A627" s="11">
        <v>45</v>
      </c>
      <c r="B627" s="12">
        <f t="shared" si="135"/>
        <v>45</v>
      </c>
      <c r="C627" s="12" t="s">
        <v>59</v>
      </c>
      <c r="D627" s="12">
        <v>0</v>
      </c>
      <c r="E627" s="12" t="s">
        <v>53</v>
      </c>
      <c r="F627" s="12">
        <v>0</v>
      </c>
      <c r="G627" s="12">
        <v>1</v>
      </c>
      <c r="H627" s="12" t="s">
        <v>54</v>
      </c>
      <c r="I627" s="12">
        <v>0</v>
      </c>
      <c r="J627" s="12">
        <v>1</v>
      </c>
      <c r="K627" s="12">
        <v>9</v>
      </c>
      <c r="L627" s="12">
        <f t="shared" si="136"/>
        <v>9</v>
      </c>
      <c r="M627" s="12">
        <v>3</v>
      </c>
      <c r="N627" s="12" t="s">
        <v>90</v>
      </c>
      <c r="O627" s="12">
        <v>0</v>
      </c>
      <c r="P627" s="12">
        <v>0</v>
      </c>
      <c r="Q627" s="12">
        <v>0</v>
      </c>
      <c r="R627" s="12">
        <v>1</v>
      </c>
      <c r="S627" s="12">
        <v>0</v>
      </c>
      <c r="T627" s="12">
        <v>4</v>
      </c>
      <c r="U627" s="12" t="s">
        <v>62</v>
      </c>
      <c r="V627" s="12">
        <v>0</v>
      </c>
      <c r="W627" s="12">
        <v>74</v>
      </c>
      <c r="X627" s="12">
        <v>3</v>
      </c>
      <c r="Y627" s="12">
        <v>3</v>
      </c>
      <c r="Z627" s="12" t="s">
        <v>56</v>
      </c>
      <c r="AA627" s="12">
        <v>0</v>
      </c>
      <c r="AB627" s="12">
        <v>1</v>
      </c>
      <c r="AC627" s="12">
        <v>0</v>
      </c>
      <c r="AD627" s="12">
        <v>0</v>
      </c>
      <c r="AE627" s="12">
        <v>0</v>
      </c>
      <c r="AF627" s="12">
        <v>0</v>
      </c>
      <c r="AG627" s="12">
        <v>0</v>
      </c>
      <c r="AH627" s="12">
        <v>0</v>
      </c>
      <c r="AI627" s="12">
        <v>1</v>
      </c>
      <c r="AJ627" s="12" t="s">
        <v>78</v>
      </c>
      <c r="AK627" s="12">
        <v>0</v>
      </c>
      <c r="AL627" s="12">
        <v>0</v>
      </c>
      <c r="AM627" s="12">
        <v>10761</v>
      </c>
      <c r="AN627" s="12">
        <f t="shared" si="137"/>
        <v>10761</v>
      </c>
      <c r="AO627" s="12">
        <v>4</v>
      </c>
      <c r="AP627" s="12" t="s">
        <v>52</v>
      </c>
      <c r="AQ627" s="12">
        <v>1</v>
      </c>
      <c r="AR627" s="12">
        <v>12</v>
      </c>
      <c r="AS627" s="12">
        <v>3</v>
      </c>
      <c r="AT627" s="12">
        <v>3</v>
      </c>
      <c r="AU627" s="12">
        <v>1</v>
      </c>
      <c r="AV627" s="12">
        <v>18</v>
      </c>
      <c r="AW627" s="12">
        <f t="shared" si="138"/>
        <v>18</v>
      </c>
      <c r="AX627" s="12">
        <v>2</v>
      </c>
      <c r="AY627" s="12">
        <v>3</v>
      </c>
      <c r="AZ627" s="12">
        <v>5</v>
      </c>
      <c r="BA627" s="12">
        <f t="shared" si="139"/>
        <v>5</v>
      </c>
      <c r="BB627" s="12">
        <v>4</v>
      </c>
      <c r="BC627" s="12">
        <v>0</v>
      </c>
      <c r="BD627" s="12">
        <f t="shared" si="148"/>
        <v>0</v>
      </c>
      <c r="BE627" s="12">
        <v>2</v>
      </c>
      <c r="BF627" s="12">
        <f t="shared" si="140"/>
        <v>2</v>
      </c>
      <c r="BG627" s="12">
        <f t="shared" si="149"/>
        <v>6</v>
      </c>
      <c r="BH627" s="67">
        <v>1</v>
      </c>
      <c r="BI627" s="67">
        <v>0</v>
      </c>
      <c r="BJ627" s="67">
        <v>0</v>
      </c>
      <c r="BK627" s="67">
        <v>0</v>
      </c>
      <c r="BL627" s="67">
        <v>0</v>
      </c>
      <c r="BM627" s="67">
        <v>1</v>
      </c>
      <c r="BN627" s="67">
        <v>0</v>
      </c>
      <c r="BO627" s="67">
        <v>0</v>
      </c>
      <c r="BP627" s="67">
        <v>0</v>
      </c>
      <c r="BQ627" s="67">
        <v>0</v>
      </c>
      <c r="BR627" s="67">
        <v>2</v>
      </c>
      <c r="BS627" s="67">
        <v>0</v>
      </c>
      <c r="BT627" s="67">
        <v>0</v>
      </c>
      <c r="BU627" s="70">
        <v>18</v>
      </c>
      <c r="BV627" s="29">
        <f t="shared" si="141"/>
        <v>0.9044409079475535</v>
      </c>
      <c r="BW627">
        <f t="shared" si="142"/>
        <v>0.59502473559756086</v>
      </c>
      <c r="BX627">
        <f t="shared" si="143"/>
        <v>0.86371889657480871</v>
      </c>
      <c r="BY627">
        <f t="shared" si="144"/>
        <v>0.32778177112653761</v>
      </c>
      <c r="BZ627">
        <f t="shared" si="145"/>
        <v>2.3747406698420157E-2</v>
      </c>
      <c r="CA627">
        <f t="shared" si="146"/>
        <v>0.88405695572208698</v>
      </c>
      <c r="CB627">
        <f t="shared" si="147"/>
        <v>0.67891464284095016</v>
      </c>
    </row>
    <row r="628" spans="1:80" x14ac:dyDescent="0.45">
      <c r="A628" s="11">
        <v>32</v>
      </c>
      <c r="B628" s="12">
        <f t="shared" si="135"/>
        <v>32</v>
      </c>
      <c r="C628" s="12" t="s">
        <v>59</v>
      </c>
      <c r="D628" s="12">
        <v>0</v>
      </c>
      <c r="E628" s="12" t="s">
        <v>53</v>
      </c>
      <c r="F628" s="12">
        <v>0</v>
      </c>
      <c r="G628" s="12">
        <v>1</v>
      </c>
      <c r="H628" s="12" t="s">
        <v>61</v>
      </c>
      <c r="I628" s="12">
        <v>1</v>
      </c>
      <c r="J628" s="12">
        <v>0</v>
      </c>
      <c r="K628" s="12">
        <v>8</v>
      </c>
      <c r="L628" s="12">
        <f t="shared" si="136"/>
        <v>8</v>
      </c>
      <c r="M628" s="12">
        <v>2</v>
      </c>
      <c r="N628" s="12" t="s">
        <v>70</v>
      </c>
      <c r="O628" s="12">
        <v>0</v>
      </c>
      <c r="P628" s="12">
        <v>0</v>
      </c>
      <c r="Q628" s="12">
        <v>1</v>
      </c>
      <c r="R628" s="12">
        <v>0</v>
      </c>
      <c r="S628" s="12">
        <v>0</v>
      </c>
      <c r="T628" s="12">
        <v>3</v>
      </c>
      <c r="U628" s="12" t="s">
        <v>19</v>
      </c>
      <c r="V628" s="12">
        <v>1</v>
      </c>
      <c r="W628" s="12">
        <v>91</v>
      </c>
      <c r="X628" s="12">
        <v>4</v>
      </c>
      <c r="Y628" s="12">
        <v>2</v>
      </c>
      <c r="Z628" s="12" t="s">
        <v>63</v>
      </c>
      <c r="AA628" s="12">
        <v>0</v>
      </c>
      <c r="AB628" s="12">
        <v>0</v>
      </c>
      <c r="AC628" s="12">
        <v>0</v>
      </c>
      <c r="AD628" s="12">
        <v>0</v>
      </c>
      <c r="AE628" s="12">
        <v>0</v>
      </c>
      <c r="AF628" s="12">
        <v>0</v>
      </c>
      <c r="AG628" s="12">
        <v>0</v>
      </c>
      <c r="AH628" s="12">
        <v>1</v>
      </c>
      <c r="AI628" s="12">
        <v>3</v>
      </c>
      <c r="AJ628" s="12" t="s">
        <v>64</v>
      </c>
      <c r="AK628" s="12">
        <v>0</v>
      </c>
      <c r="AL628" s="12">
        <v>1</v>
      </c>
      <c r="AM628" s="12">
        <v>5175</v>
      </c>
      <c r="AN628" s="12">
        <f t="shared" si="137"/>
        <v>5175</v>
      </c>
      <c r="AO628" s="12">
        <v>5</v>
      </c>
      <c r="AP628" s="12" t="s">
        <v>59</v>
      </c>
      <c r="AQ628" s="12">
        <v>0</v>
      </c>
      <c r="AR628" s="12">
        <v>12</v>
      </c>
      <c r="AS628" s="12">
        <v>3</v>
      </c>
      <c r="AT628" s="12">
        <v>3</v>
      </c>
      <c r="AU628" s="12">
        <v>1</v>
      </c>
      <c r="AV628" s="12">
        <v>9</v>
      </c>
      <c r="AW628" s="12">
        <f t="shared" si="138"/>
        <v>9</v>
      </c>
      <c r="AX628" s="12">
        <v>3</v>
      </c>
      <c r="AY628" s="12">
        <v>2</v>
      </c>
      <c r="AZ628" s="12">
        <v>5</v>
      </c>
      <c r="BA628" s="12">
        <f t="shared" si="139"/>
        <v>5</v>
      </c>
      <c r="BB628" s="12">
        <v>3</v>
      </c>
      <c r="BC628" s="12">
        <v>1</v>
      </c>
      <c r="BD628" s="12">
        <f t="shared" si="148"/>
        <v>1</v>
      </c>
      <c r="BE628" s="12">
        <v>3</v>
      </c>
      <c r="BF628" s="12">
        <f t="shared" si="140"/>
        <v>3</v>
      </c>
      <c r="BG628" s="12">
        <f t="shared" si="149"/>
        <v>6</v>
      </c>
      <c r="BH628" s="67">
        <v>0</v>
      </c>
      <c r="BI628" s="67">
        <v>1</v>
      </c>
      <c r="BJ628" s="67">
        <v>0</v>
      </c>
      <c r="BK628" s="67">
        <v>0</v>
      </c>
      <c r="BL628" s="67">
        <v>0</v>
      </c>
      <c r="BM628" s="67">
        <v>0</v>
      </c>
      <c r="BN628" s="67">
        <v>1</v>
      </c>
      <c r="BO628" s="67">
        <v>0</v>
      </c>
      <c r="BP628" s="67">
        <v>0</v>
      </c>
      <c r="BQ628" s="67">
        <v>3</v>
      </c>
      <c r="BR628" s="67">
        <v>0</v>
      </c>
      <c r="BS628" s="67">
        <v>0</v>
      </c>
      <c r="BT628" s="67">
        <v>9</v>
      </c>
      <c r="BU628" s="70">
        <v>0</v>
      </c>
      <c r="BV628" s="29">
        <f t="shared" si="141"/>
        <v>0.28206106251535801</v>
      </c>
      <c r="BW628">
        <f t="shared" si="142"/>
        <v>0.31476636926356072</v>
      </c>
      <c r="BX628">
        <f t="shared" si="143"/>
        <v>0.29297722668510823</v>
      </c>
      <c r="BY628">
        <f t="shared" si="144"/>
        <v>0.32778177112653761</v>
      </c>
      <c r="BZ628">
        <f t="shared" si="145"/>
        <v>0.14709966057360641</v>
      </c>
      <c r="CA628">
        <f t="shared" si="146"/>
        <v>0.53898283739188557</v>
      </c>
      <c r="CB628">
        <f t="shared" si="147"/>
        <v>0.36858985273641137</v>
      </c>
    </row>
    <row r="629" spans="1:80" x14ac:dyDescent="0.45">
      <c r="A629" s="11">
        <v>52</v>
      </c>
      <c r="B629" s="12">
        <f t="shared" si="135"/>
        <v>52</v>
      </c>
      <c r="C629" s="12" t="s">
        <v>59</v>
      </c>
      <c r="D629" s="12">
        <v>0</v>
      </c>
      <c r="E629" s="12" t="s">
        <v>60</v>
      </c>
      <c r="F629" s="12">
        <v>1</v>
      </c>
      <c r="G629" s="12">
        <v>0</v>
      </c>
      <c r="H629" s="12" t="s">
        <v>61</v>
      </c>
      <c r="I629" s="12">
        <v>1</v>
      </c>
      <c r="J629" s="12">
        <v>0</v>
      </c>
      <c r="K629" s="12">
        <v>25</v>
      </c>
      <c r="L629" s="12">
        <f t="shared" si="136"/>
        <v>25</v>
      </c>
      <c r="M629" s="12">
        <v>4</v>
      </c>
      <c r="N629" s="12" t="s">
        <v>70</v>
      </c>
      <c r="O629" s="12">
        <v>0</v>
      </c>
      <c r="P629" s="12">
        <v>0</v>
      </c>
      <c r="Q629" s="12">
        <v>1</v>
      </c>
      <c r="R629" s="12">
        <v>0</v>
      </c>
      <c r="S629" s="12">
        <v>0</v>
      </c>
      <c r="T629" s="12">
        <v>3</v>
      </c>
      <c r="U629" s="12" t="s">
        <v>19</v>
      </c>
      <c r="V629" s="12">
        <v>1</v>
      </c>
      <c r="W629" s="12">
        <v>81</v>
      </c>
      <c r="X629" s="12">
        <v>2</v>
      </c>
      <c r="Y629" s="12">
        <v>4</v>
      </c>
      <c r="Z629" s="12" t="s">
        <v>83</v>
      </c>
      <c r="AA629" s="12">
        <v>0</v>
      </c>
      <c r="AB629" s="12">
        <v>0</v>
      </c>
      <c r="AC629" s="12">
        <v>0</v>
      </c>
      <c r="AD629" s="12">
        <v>0</v>
      </c>
      <c r="AE629" s="12">
        <v>1</v>
      </c>
      <c r="AF629" s="12">
        <v>1</v>
      </c>
      <c r="AG629" s="12">
        <v>0</v>
      </c>
      <c r="AH629" s="12">
        <v>0</v>
      </c>
      <c r="AI629" s="12">
        <v>4</v>
      </c>
      <c r="AJ629" s="12" t="s">
        <v>64</v>
      </c>
      <c r="AK629" s="12">
        <v>0</v>
      </c>
      <c r="AL629" s="12">
        <v>1</v>
      </c>
      <c r="AM629" s="12">
        <v>13826</v>
      </c>
      <c r="AN629" s="12">
        <f t="shared" si="137"/>
        <v>13826</v>
      </c>
      <c r="AO629" s="12">
        <v>3</v>
      </c>
      <c r="AP629" s="12" t="s">
        <v>59</v>
      </c>
      <c r="AQ629" s="12">
        <v>0</v>
      </c>
      <c r="AR629" s="12">
        <v>22</v>
      </c>
      <c r="AS629" s="12">
        <v>4</v>
      </c>
      <c r="AT629" s="12">
        <v>3</v>
      </c>
      <c r="AU629" s="12">
        <v>0</v>
      </c>
      <c r="AV629" s="12">
        <v>31</v>
      </c>
      <c r="AW629" s="12">
        <f t="shared" si="138"/>
        <v>31</v>
      </c>
      <c r="AX629" s="12">
        <v>3</v>
      </c>
      <c r="AY629" s="12">
        <v>3</v>
      </c>
      <c r="AZ629" s="12">
        <v>9</v>
      </c>
      <c r="BA629" s="12">
        <f t="shared" si="139"/>
        <v>9</v>
      </c>
      <c r="BB629" s="12">
        <v>8</v>
      </c>
      <c r="BC629" s="12">
        <v>0</v>
      </c>
      <c r="BD629" s="12">
        <f t="shared" si="148"/>
        <v>0</v>
      </c>
      <c r="BE629" s="12">
        <v>0</v>
      </c>
      <c r="BF629" s="12">
        <f t="shared" si="140"/>
        <v>0</v>
      </c>
      <c r="BG629" s="12">
        <f t="shared" si="149"/>
        <v>0</v>
      </c>
      <c r="BH629" s="67">
        <v>0</v>
      </c>
      <c r="BI629" s="67">
        <v>0</v>
      </c>
      <c r="BJ629" s="67">
        <v>0</v>
      </c>
      <c r="BK629" s="67">
        <v>1</v>
      </c>
      <c r="BL629" s="67">
        <v>0</v>
      </c>
      <c r="BM629" s="67">
        <v>0</v>
      </c>
      <c r="BN629" s="67">
        <v>1</v>
      </c>
      <c r="BO629" s="67">
        <v>0</v>
      </c>
      <c r="BP629" s="67">
        <v>0</v>
      </c>
      <c r="BQ629" s="67">
        <v>0</v>
      </c>
      <c r="BR629" s="67">
        <v>0</v>
      </c>
      <c r="BS629" s="67">
        <v>0</v>
      </c>
      <c r="BT629" s="67">
        <v>31</v>
      </c>
      <c r="BU629" s="70">
        <v>0</v>
      </c>
      <c r="BV629" s="29">
        <f t="shared" si="141"/>
        <v>1.5554664252173036</v>
      </c>
      <c r="BW629">
        <f t="shared" si="142"/>
        <v>1.1555414682655611</v>
      </c>
      <c r="BX629">
        <f t="shared" si="143"/>
        <v>2.5345021857280217</v>
      </c>
      <c r="BY629">
        <f t="shared" si="144"/>
        <v>0.32511687867835437</v>
      </c>
      <c r="BZ629">
        <f t="shared" si="145"/>
        <v>1.9498886553045598</v>
      </c>
      <c r="CA629">
        <f t="shared" si="146"/>
        <v>1.6503091520142259</v>
      </c>
      <c r="CB629">
        <f t="shared" si="147"/>
        <v>0.67891464284095016</v>
      </c>
    </row>
    <row r="630" spans="1:80" x14ac:dyDescent="0.45">
      <c r="A630" s="11">
        <v>37</v>
      </c>
      <c r="B630" s="12">
        <f t="shared" si="135"/>
        <v>37</v>
      </c>
      <c r="C630" s="12" t="s">
        <v>59</v>
      </c>
      <c r="D630" s="12">
        <v>0</v>
      </c>
      <c r="E630" s="12" t="s">
        <v>53</v>
      </c>
      <c r="F630" s="12">
        <v>0</v>
      </c>
      <c r="G630" s="12">
        <v>1</v>
      </c>
      <c r="H630" s="12" t="s">
        <v>54</v>
      </c>
      <c r="I630" s="12">
        <v>0</v>
      </c>
      <c r="J630" s="12">
        <v>1</v>
      </c>
      <c r="K630" s="12">
        <v>16</v>
      </c>
      <c r="L630" s="12">
        <f t="shared" si="136"/>
        <v>16</v>
      </c>
      <c r="M630" s="12">
        <v>4</v>
      </c>
      <c r="N630" s="12" t="s">
        <v>90</v>
      </c>
      <c r="O630" s="12">
        <v>0</v>
      </c>
      <c r="P630" s="12">
        <v>0</v>
      </c>
      <c r="Q630" s="12">
        <v>0</v>
      </c>
      <c r="R630" s="12">
        <v>1</v>
      </c>
      <c r="S630" s="12">
        <v>0</v>
      </c>
      <c r="T630" s="12">
        <v>4</v>
      </c>
      <c r="U630" s="12" t="s">
        <v>62</v>
      </c>
      <c r="V630" s="12">
        <v>0</v>
      </c>
      <c r="W630" s="12">
        <v>66</v>
      </c>
      <c r="X630" s="12">
        <v>2</v>
      </c>
      <c r="Y630" s="12">
        <v>2</v>
      </c>
      <c r="Z630" s="12" t="s">
        <v>56</v>
      </c>
      <c r="AA630" s="12">
        <v>0</v>
      </c>
      <c r="AB630" s="12">
        <v>1</v>
      </c>
      <c r="AC630" s="12">
        <v>0</v>
      </c>
      <c r="AD630" s="12">
        <v>0</v>
      </c>
      <c r="AE630" s="12">
        <v>0</v>
      </c>
      <c r="AF630" s="12">
        <v>0</v>
      </c>
      <c r="AG630" s="12">
        <v>0</v>
      </c>
      <c r="AH630" s="12">
        <v>0</v>
      </c>
      <c r="AI630" s="12">
        <v>3</v>
      </c>
      <c r="AJ630" s="12" t="s">
        <v>78</v>
      </c>
      <c r="AK630" s="12">
        <v>0</v>
      </c>
      <c r="AL630" s="12">
        <v>0</v>
      </c>
      <c r="AM630" s="12">
        <v>6334</v>
      </c>
      <c r="AN630" s="12">
        <f t="shared" si="137"/>
        <v>6334</v>
      </c>
      <c r="AO630" s="12">
        <v>4</v>
      </c>
      <c r="AP630" s="12" t="s">
        <v>59</v>
      </c>
      <c r="AQ630" s="12">
        <v>0</v>
      </c>
      <c r="AR630" s="12">
        <v>19</v>
      </c>
      <c r="AS630" s="12">
        <v>3</v>
      </c>
      <c r="AT630" s="12">
        <v>4</v>
      </c>
      <c r="AU630" s="12">
        <v>2</v>
      </c>
      <c r="AV630" s="12">
        <v>9</v>
      </c>
      <c r="AW630" s="12">
        <f t="shared" si="138"/>
        <v>9</v>
      </c>
      <c r="AX630" s="12">
        <v>2</v>
      </c>
      <c r="AY630" s="12">
        <v>3</v>
      </c>
      <c r="AZ630" s="12">
        <v>1</v>
      </c>
      <c r="BA630" s="12">
        <f t="shared" si="139"/>
        <v>1</v>
      </c>
      <c r="BB630" s="12">
        <v>0</v>
      </c>
      <c r="BC630" s="12">
        <v>0</v>
      </c>
      <c r="BD630" s="12">
        <f t="shared" si="148"/>
        <v>0</v>
      </c>
      <c r="BE630" s="12">
        <v>0</v>
      </c>
      <c r="BF630" s="12">
        <f t="shared" si="140"/>
        <v>0</v>
      </c>
      <c r="BG630" s="12">
        <f t="shared" si="149"/>
        <v>0</v>
      </c>
      <c r="BH630" s="67">
        <v>1</v>
      </c>
      <c r="BI630" s="67">
        <v>0</v>
      </c>
      <c r="BJ630" s="67">
        <v>0</v>
      </c>
      <c r="BK630" s="67">
        <v>0</v>
      </c>
      <c r="BL630" s="67">
        <v>1</v>
      </c>
      <c r="BM630" s="67">
        <v>0</v>
      </c>
      <c r="BN630" s="67">
        <v>0</v>
      </c>
      <c r="BO630" s="67">
        <v>0</v>
      </c>
      <c r="BP630" s="67">
        <v>0</v>
      </c>
      <c r="BQ630" s="67">
        <v>0</v>
      </c>
      <c r="BR630" s="67">
        <v>0</v>
      </c>
      <c r="BS630" s="67">
        <v>0</v>
      </c>
      <c r="BT630" s="67">
        <v>0</v>
      </c>
      <c r="BU630" s="70">
        <v>9</v>
      </c>
      <c r="BV630" s="29">
        <f t="shared" si="141"/>
        <v>3.5882082249243705E-2</v>
      </c>
      <c r="BW630">
        <f t="shared" si="142"/>
        <v>1.1555414682655611</v>
      </c>
      <c r="BX630">
        <f t="shared" si="143"/>
        <v>0.29297722668510823</v>
      </c>
      <c r="BY630">
        <f t="shared" si="144"/>
        <v>0.9806804209314296</v>
      </c>
      <c r="BZ630">
        <f t="shared" si="145"/>
        <v>0.83971837042788355</v>
      </c>
      <c r="CA630">
        <f t="shared" si="146"/>
        <v>8.3401599596422994E-3</v>
      </c>
      <c r="CB630">
        <f t="shared" si="147"/>
        <v>0.67891464284095016</v>
      </c>
    </row>
    <row r="631" spans="1:80" x14ac:dyDescent="0.45">
      <c r="A631" s="11">
        <v>28</v>
      </c>
      <c r="B631" s="12">
        <f t="shared" si="135"/>
        <v>28</v>
      </c>
      <c r="C631" s="12" t="s">
        <v>59</v>
      </c>
      <c r="D631" s="12">
        <v>0</v>
      </c>
      <c r="E631" s="12" t="s">
        <v>53</v>
      </c>
      <c r="F631" s="12">
        <v>0</v>
      </c>
      <c r="G631" s="12">
        <v>1</v>
      </c>
      <c r="H631" s="12" t="s">
        <v>97</v>
      </c>
      <c r="I631" s="12">
        <v>0</v>
      </c>
      <c r="J631" s="12">
        <v>0</v>
      </c>
      <c r="K631" s="12">
        <v>8</v>
      </c>
      <c r="L631" s="12">
        <f t="shared" si="136"/>
        <v>8</v>
      </c>
      <c r="M631" s="12">
        <v>2</v>
      </c>
      <c r="N631" s="12" t="s">
        <v>70</v>
      </c>
      <c r="O631" s="12">
        <v>0</v>
      </c>
      <c r="P631" s="12">
        <v>0</v>
      </c>
      <c r="Q631" s="12">
        <v>1</v>
      </c>
      <c r="R631" s="12">
        <v>0</v>
      </c>
      <c r="S631" s="12">
        <v>0</v>
      </c>
      <c r="T631" s="12">
        <v>2</v>
      </c>
      <c r="U631" s="12" t="s">
        <v>62</v>
      </c>
      <c r="V631" s="12">
        <v>0</v>
      </c>
      <c r="W631" s="12">
        <v>63</v>
      </c>
      <c r="X631" s="12">
        <v>2</v>
      </c>
      <c r="Y631" s="12">
        <v>1</v>
      </c>
      <c r="Z631" s="12" t="s">
        <v>97</v>
      </c>
      <c r="AA631" s="12">
        <v>0</v>
      </c>
      <c r="AB631" s="12">
        <v>0</v>
      </c>
      <c r="AC631" s="12">
        <v>0</v>
      </c>
      <c r="AD631" s="12">
        <v>0</v>
      </c>
      <c r="AE631" s="12">
        <v>0</v>
      </c>
      <c r="AF631" s="12">
        <v>0</v>
      </c>
      <c r="AG631" s="12">
        <v>0</v>
      </c>
      <c r="AH631" s="12">
        <v>0</v>
      </c>
      <c r="AI631" s="12">
        <v>4</v>
      </c>
      <c r="AJ631" s="12" t="s">
        <v>78</v>
      </c>
      <c r="AK631" s="12">
        <v>0</v>
      </c>
      <c r="AL631" s="12">
        <v>0</v>
      </c>
      <c r="AM631" s="12">
        <v>4936</v>
      </c>
      <c r="AN631" s="12">
        <f t="shared" si="137"/>
        <v>4936</v>
      </c>
      <c r="AO631" s="12">
        <v>1</v>
      </c>
      <c r="AP631" s="12" t="s">
        <v>59</v>
      </c>
      <c r="AQ631" s="12">
        <v>0</v>
      </c>
      <c r="AR631" s="12">
        <v>13</v>
      </c>
      <c r="AS631" s="12">
        <v>3</v>
      </c>
      <c r="AT631" s="12">
        <v>4</v>
      </c>
      <c r="AU631" s="12">
        <v>1</v>
      </c>
      <c r="AV631" s="12">
        <v>6</v>
      </c>
      <c r="AW631" s="12">
        <f t="shared" si="138"/>
        <v>6</v>
      </c>
      <c r="AX631" s="12">
        <v>6</v>
      </c>
      <c r="AY631" s="12">
        <v>3</v>
      </c>
      <c r="AZ631" s="12">
        <v>5</v>
      </c>
      <c r="BA631" s="12">
        <f t="shared" si="139"/>
        <v>5</v>
      </c>
      <c r="BB631" s="12">
        <v>1</v>
      </c>
      <c r="BC631" s="12">
        <v>0</v>
      </c>
      <c r="BD631" s="12">
        <f t="shared" si="148"/>
        <v>0</v>
      </c>
      <c r="BE631" s="12">
        <v>4</v>
      </c>
      <c r="BF631" s="12">
        <f t="shared" si="140"/>
        <v>4</v>
      </c>
      <c r="BG631" s="12">
        <f t="shared" si="149"/>
        <v>4</v>
      </c>
      <c r="BH631" s="67">
        <v>1</v>
      </c>
      <c r="BI631" s="67">
        <v>0</v>
      </c>
      <c r="BJ631" s="67">
        <v>0</v>
      </c>
      <c r="BK631" s="67">
        <v>0</v>
      </c>
      <c r="BL631" s="67">
        <v>1</v>
      </c>
      <c r="BM631" s="67">
        <v>0</v>
      </c>
      <c r="BN631" s="67">
        <v>0</v>
      </c>
      <c r="BO631" s="67">
        <v>0</v>
      </c>
      <c r="BP631" s="67">
        <v>4</v>
      </c>
      <c r="BQ631" s="67">
        <v>0</v>
      </c>
      <c r="BR631" s="67">
        <v>0</v>
      </c>
      <c r="BS631" s="67">
        <v>6</v>
      </c>
      <c r="BT631" s="67">
        <v>0</v>
      </c>
      <c r="BU631" s="70">
        <v>0</v>
      </c>
      <c r="BV631" s="29">
        <f t="shared" si="141"/>
        <v>0.33282618441665335</v>
      </c>
      <c r="BW631">
        <f t="shared" si="142"/>
        <v>3.4508002929560584E-2</v>
      </c>
      <c r="BX631">
        <f t="shared" si="143"/>
        <v>0.67854260110508058</v>
      </c>
      <c r="BY631">
        <f t="shared" si="144"/>
        <v>0.32778177112653761</v>
      </c>
      <c r="BZ631">
        <f t="shared" si="145"/>
        <v>0.14709966057360641</v>
      </c>
      <c r="CA631">
        <f t="shared" si="146"/>
        <v>0.97684123527310796</v>
      </c>
      <c r="CB631">
        <f t="shared" si="147"/>
        <v>0.67891464284095016</v>
      </c>
    </row>
    <row r="632" spans="1:80" x14ac:dyDescent="0.45">
      <c r="A632" s="11">
        <v>22</v>
      </c>
      <c r="B632" s="12">
        <f t="shared" si="135"/>
        <v>22</v>
      </c>
      <c r="C632" s="12" t="s">
        <v>59</v>
      </c>
      <c r="D632" s="12">
        <v>0</v>
      </c>
      <c r="E632" s="12" t="s">
        <v>53</v>
      </c>
      <c r="F632" s="12">
        <v>0</v>
      </c>
      <c r="G632" s="12">
        <v>1</v>
      </c>
      <c r="H632" s="12" t="s">
        <v>61</v>
      </c>
      <c r="I632" s="12">
        <v>1</v>
      </c>
      <c r="J632" s="12">
        <v>0</v>
      </c>
      <c r="K632" s="12">
        <v>1</v>
      </c>
      <c r="L632" s="12">
        <f t="shared" si="136"/>
        <v>1</v>
      </c>
      <c r="M632" s="12">
        <v>2</v>
      </c>
      <c r="N632" s="12" t="s">
        <v>55</v>
      </c>
      <c r="O632" s="12">
        <v>1</v>
      </c>
      <c r="P632" s="12">
        <v>0</v>
      </c>
      <c r="Q632" s="12">
        <v>0</v>
      </c>
      <c r="R632" s="12">
        <v>0</v>
      </c>
      <c r="S632" s="12">
        <v>0</v>
      </c>
      <c r="T632" s="12">
        <v>4</v>
      </c>
      <c r="U632" s="12" t="s">
        <v>62</v>
      </c>
      <c r="V632" s="12">
        <v>0</v>
      </c>
      <c r="W632" s="12">
        <v>33</v>
      </c>
      <c r="X632" s="12">
        <v>2</v>
      </c>
      <c r="Y632" s="12">
        <v>2</v>
      </c>
      <c r="Z632" s="12" t="s">
        <v>83</v>
      </c>
      <c r="AA632" s="12">
        <v>0</v>
      </c>
      <c r="AB632" s="12">
        <v>0</v>
      </c>
      <c r="AC632" s="12">
        <v>0</v>
      </c>
      <c r="AD632" s="12">
        <v>0</v>
      </c>
      <c r="AE632" s="12">
        <v>1</v>
      </c>
      <c r="AF632" s="12">
        <v>1</v>
      </c>
      <c r="AG632" s="12">
        <v>0</v>
      </c>
      <c r="AH632" s="12">
        <v>0</v>
      </c>
      <c r="AI632" s="12">
        <v>4</v>
      </c>
      <c r="AJ632" s="12" t="s">
        <v>64</v>
      </c>
      <c r="AK632" s="12">
        <v>0</v>
      </c>
      <c r="AL632" s="12">
        <v>1</v>
      </c>
      <c r="AM632" s="12">
        <v>4775</v>
      </c>
      <c r="AN632" s="12">
        <f t="shared" si="137"/>
        <v>4775</v>
      </c>
      <c r="AO632" s="12">
        <v>6</v>
      </c>
      <c r="AP632" s="12" t="s">
        <v>59</v>
      </c>
      <c r="AQ632" s="12">
        <v>0</v>
      </c>
      <c r="AR632" s="12">
        <v>22</v>
      </c>
      <c r="AS632" s="12">
        <v>4</v>
      </c>
      <c r="AT632" s="12">
        <v>1</v>
      </c>
      <c r="AU632" s="12">
        <v>2</v>
      </c>
      <c r="AV632" s="12">
        <v>4</v>
      </c>
      <c r="AW632" s="12">
        <f t="shared" si="138"/>
        <v>4</v>
      </c>
      <c r="AX632" s="12">
        <v>2</v>
      </c>
      <c r="AY632" s="12">
        <v>1</v>
      </c>
      <c r="AZ632" s="12">
        <v>2</v>
      </c>
      <c r="BA632" s="12">
        <f t="shared" si="139"/>
        <v>2</v>
      </c>
      <c r="BB632" s="12">
        <v>2</v>
      </c>
      <c r="BC632" s="12">
        <v>2</v>
      </c>
      <c r="BD632" s="12">
        <f t="shared" si="148"/>
        <v>2</v>
      </c>
      <c r="BE632" s="12">
        <v>2</v>
      </c>
      <c r="BF632" s="12">
        <f t="shared" si="140"/>
        <v>2</v>
      </c>
      <c r="BG632" s="12">
        <f t="shared" si="149"/>
        <v>4</v>
      </c>
      <c r="BH632" s="67">
        <v>0</v>
      </c>
      <c r="BI632" s="67">
        <v>1</v>
      </c>
      <c r="BJ632" s="67">
        <v>0</v>
      </c>
      <c r="BK632" s="67">
        <v>0</v>
      </c>
      <c r="BL632" s="67">
        <v>0</v>
      </c>
      <c r="BM632" s="67">
        <v>0</v>
      </c>
      <c r="BN632" s="67">
        <v>1</v>
      </c>
      <c r="BO632" s="67">
        <v>0</v>
      </c>
      <c r="BP632" s="67">
        <v>0</v>
      </c>
      <c r="BQ632" s="67">
        <v>2</v>
      </c>
      <c r="BR632" s="67">
        <v>0</v>
      </c>
      <c r="BS632" s="67">
        <v>0</v>
      </c>
      <c r="BT632" s="67">
        <v>4</v>
      </c>
      <c r="BU632" s="70">
        <v>0</v>
      </c>
      <c r="BV632" s="29">
        <f t="shared" si="141"/>
        <v>0.36702360963049668</v>
      </c>
      <c r="BW632">
        <f t="shared" si="142"/>
        <v>0.59502473559756086</v>
      </c>
      <c r="BX632">
        <f t="shared" si="143"/>
        <v>0.93558618405172878</v>
      </c>
      <c r="BY632">
        <f t="shared" si="144"/>
        <v>0.81745575848020657</v>
      </c>
      <c r="BZ632">
        <f t="shared" si="145"/>
        <v>1.01056543769991</v>
      </c>
      <c r="CA632">
        <f t="shared" si="146"/>
        <v>1.6336288320949415</v>
      </c>
      <c r="CB632">
        <f t="shared" si="147"/>
        <v>5.8265062631872602E-2</v>
      </c>
    </row>
    <row r="633" spans="1:80" x14ac:dyDescent="0.45">
      <c r="A633" s="11">
        <v>44</v>
      </c>
      <c r="B633" s="12">
        <f t="shared" si="135"/>
        <v>44</v>
      </c>
      <c r="C633" s="12" t="s">
        <v>59</v>
      </c>
      <c r="D633" s="12">
        <v>0</v>
      </c>
      <c r="E633" s="12" t="s">
        <v>53</v>
      </c>
      <c r="F633" s="12">
        <v>0</v>
      </c>
      <c r="G633" s="12">
        <v>1</v>
      </c>
      <c r="H633" s="12" t="s">
        <v>61</v>
      </c>
      <c r="I633" s="12">
        <v>1</v>
      </c>
      <c r="J633" s="12">
        <v>0</v>
      </c>
      <c r="K633" s="12">
        <v>8</v>
      </c>
      <c r="L633" s="12">
        <f t="shared" si="136"/>
        <v>8</v>
      </c>
      <c r="M633" s="12">
        <v>4</v>
      </c>
      <c r="N633" s="12" t="s">
        <v>55</v>
      </c>
      <c r="O633" s="12">
        <v>1</v>
      </c>
      <c r="P633" s="12">
        <v>0</v>
      </c>
      <c r="Q633" s="12">
        <v>0</v>
      </c>
      <c r="R633" s="12">
        <v>0</v>
      </c>
      <c r="S633" s="12">
        <v>0</v>
      </c>
      <c r="T633" s="12">
        <v>1</v>
      </c>
      <c r="U633" s="12" t="s">
        <v>62</v>
      </c>
      <c r="V633" s="12">
        <v>0</v>
      </c>
      <c r="W633" s="12">
        <v>62</v>
      </c>
      <c r="X633" s="12">
        <v>4</v>
      </c>
      <c r="Y633" s="12">
        <v>1</v>
      </c>
      <c r="Z633" s="12" t="s">
        <v>67</v>
      </c>
      <c r="AA633" s="12">
        <v>0</v>
      </c>
      <c r="AB633" s="12">
        <v>0</v>
      </c>
      <c r="AC633" s="12">
        <v>1</v>
      </c>
      <c r="AD633" s="12">
        <v>0</v>
      </c>
      <c r="AE633" s="12">
        <v>0</v>
      </c>
      <c r="AF633" s="12">
        <v>0</v>
      </c>
      <c r="AG633" s="12">
        <v>0</v>
      </c>
      <c r="AH633" s="12">
        <v>0</v>
      </c>
      <c r="AI633" s="12">
        <v>4</v>
      </c>
      <c r="AJ633" s="12" t="s">
        <v>64</v>
      </c>
      <c r="AK633" s="12">
        <v>0</v>
      </c>
      <c r="AL633" s="12">
        <v>1</v>
      </c>
      <c r="AM633" s="12">
        <v>2818</v>
      </c>
      <c r="AN633" s="12">
        <f t="shared" si="137"/>
        <v>2818</v>
      </c>
      <c r="AO633" s="12">
        <v>2</v>
      </c>
      <c r="AP633" s="12" t="s">
        <v>52</v>
      </c>
      <c r="AQ633" s="12">
        <v>1</v>
      </c>
      <c r="AR633" s="12">
        <v>24</v>
      </c>
      <c r="AS633" s="12">
        <v>4</v>
      </c>
      <c r="AT633" s="12">
        <v>3</v>
      </c>
      <c r="AU633" s="12">
        <v>1</v>
      </c>
      <c r="AV633" s="12">
        <v>10</v>
      </c>
      <c r="AW633" s="12">
        <f t="shared" si="138"/>
        <v>10</v>
      </c>
      <c r="AX633" s="12">
        <v>2</v>
      </c>
      <c r="AY633" s="12">
        <v>2</v>
      </c>
      <c r="AZ633" s="12">
        <v>3</v>
      </c>
      <c r="BA633" s="12">
        <f t="shared" si="139"/>
        <v>3</v>
      </c>
      <c r="BB633" s="12">
        <v>2</v>
      </c>
      <c r="BC633" s="12">
        <v>0</v>
      </c>
      <c r="BD633" s="12">
        <f t="shared" si="148"/>
        <v>0</v>
      </c>
      <c r="BE633" s="12">
        <v>2</v>
      </c>
      <c r="BF633" s="12">
        <f t="shared" si="140"/>
        <v>2</v>
      </c>
      <c r="BG633" s="12">
        <f t="shared" si="149"/>
        <v>2</v>
      </c>
      <c r="BH633" s="67">
        <v>0</v>
      </c>
      <c r="BI633" s="67">
        <v>1</v>
      </c>
      <c r="BJ633" s="67">
        <v>0</v>
      </c>
      <c r="BK633" s="67">
        <v>0</v>
      </c>
      <c r="BL633" s="67">
        <v>0</v>
      </c>
      <c r="BM633" s="67">
        <v>0</v>
      </c>
      <c r="BN633" s="67">
        <v>0</v>
      </c>
      <c r="BO633" s="67">
        <v>1</v>
      </c>
      <c r="BP633" s="67">
        <v>0</v>
      </c>
      <c r="BQ633" s="67">
        <v>2</v>
      </c>
      <c r="BR633" s="67">
        <v>0</v>
      </c>
      <c r="BS633" s="67">
        <v>0</v>
      </c>
      <c r="BT633" s="67">
        <v>10</v>
      </c>
      <c r="BU633" s="70">
        <v>0</v>
      </c>
      <c r="BV633" s="29">
        <f t="shared" si="141"/>
        <v>0.78270287139131256</v>
      </c>
      <c r="BW633">
        <f t="shared" si="142"/>
        <v>0.59502473559756086</v>
      </c>
      <c r="BX633">
        <f t="shared" si="143"/>
        <v>0.1644554352117841</v>
      </c>
      <c r="BY633">
        <f t="shared" si="144"/>
        <v>0.65423109602898355</v>
      </c>
      <c r="BZ633">
        <f t="shared" si="145"/>
        <v>0.14709966057360641</v>
      </c>
      <c r="CA633">
        <f t="shared" si="146"/>
        <v>0.77459235625178136</v>
      </c>
      <c r="CB633">
        <f t="shared" si="147"/>
        <v>0.67891464284095016</v>
      </c>
    </row>
    <row r="634" spans="1:80" x14ac:dyDescent="0.45">
      <c r="A634" s="11">
        <v>42</v>
      </c>
      <c r="B634" s="12">
        <f t="shared" si="135"/>
        <v>42</v>
      </c>
      <c r="C634" s="12" t="s">
        <v>59</v>
      </c>
      <c r="D634" s="12">
        <v>0</v>
      </c>
      <c r="E634" s="12" t="s">
        <v>60</v>
      </c>
      <c r="F634" s="12">
        <v>1</v>
      </c>
      <c r="G634" s="12">
        <v>0</v>
      </c>
      <c r="H634" s="12" t="s">
        <v>61</v>
      </c>
      <c r="I634" s="12">
        <v>1</v>
      </c>
      <c r="J634" s="12">
        <v>0</v>
      </c>
      <c r="K634" s="12">
        <v>2</v>
      </c>
      <c r="L634" s="12">
        <f t="shared" si="136"/>
        <v>2</v>
      </c>
      <c r="M634" s="12">
        <v>1</v>
      </c>
      <c r="N634" s="12" t="s">
        <v>70</v>
      </c>
      <c r="O634" s="12">
        <v>0</v>
      </c>
      <c r="P634" s="12">
        <v>0</v>
      </c>
      <c r="Q634" s="12">
        <v>1</v>
      </c>
      <c r="R634" s="12">
        <v>0</v>
      </c>
      <c r="S634" s="12">
        <v>0</v>
      </c>
      <c r="T634" s="12">
        <v>2</v>
      </c>
      <c r="U634" s="12" t="s">
        <v>62</v>
      </c>
      <c r="V634" s="12">
        <v>0</v>
      </c>
      <c r="W634" s="12">
        <v>35</v>
      </c>
      <c r="X634" s="12">
        <v>3</v>
      </c>
      <c r="Y634" s="12">
        <v>1</v>
      </c>
      <c r="Z634" s="12" t="s">
        <v>63</v>
      </c>
      <c r="AA634" s="12">
        <v>0</v>
      </c>
      <c r="AB634" s="12">
        <v>0</v>
      </c>
      <c r="AC634" s="12">
        <v>0</v>
      </c>
      <c r="AD634" s="12">
        <v>0</v>
      </c>
      <c r="AE634" s="12">
        <v>0</v>
      </c>
      <c r="AF634" s="12">
        <v>0</v>
      </c>
      <c r="AG634" s="12">
        <v>0</v>
      </c>
      <c r="AH634" s="12">
        <v>1</v>
      </c>
      <c r="AI634" s="12">
        <v>4</v>
      </c>
      <c r="AJ634" s="12" t="s">
        <v>57</v>
      </c>
      <c r="AK634" s="12">
        <v>1</v>
      </c>
      <c r="AL634" s="12">
        <v>0</v>
      </c>
      <c r="AM634" s="12">
        <v>2515</v>
      </c>
      <c r="AN634" s="12">
        <f t="shared" si="137"/>
        <v>2515</v>
      </c>
      <c r="AO634" s="12">
        <v>5</v>
      </c>
      <c r="AP634" s="12" t="s">
        <v>52</v>
      </c>
      <c r="AQ634" s="12">
        <v>1</v>
      </c>
      <c r="AR634" s="12">
        <v>14</v>
      </c>
      <c r="AS634" s="12">
        <v>3</v>
      </c>
      <c r="AT634" s="12">
        <v>4</v>
      </c>
      <c r="AU634" s="12">
        <v>0</v>
      </c>
      <c r="AV634" s="12">
        <v>8</v>
      </c>
      <c r="AW634" s="12">
        <f t="shared" si="138"/>
        <v>8</v>
      </c>
      <c r="AX634" s="12">
        <v>2</v>
      </c>
      <c r="AY634" s="12">
        <v>3</v>
      </c>
      <c r="AZ634" s="12">
        <v>2</v>
      </c>
      <c r="BA634" s="12">
        <f t="shared" si="139"/>
        <v>2</v>
      </c>
      <c r="BB634" s="12">
        <v>1</v>
      </c>
      <c r="BC634" s="12">
        <v>2</v>
      </c>
      <c r="BD634" s="12">
        <f t="shared" si="148"/>
        <v>2</v>
      </c>
      <c r="BE634" s="12">
        <v>2</v>
      </c>
      <c r="BF634" s="12">
        <f t="shared" si="140"/>
        <v>2</v>
      </c>
      <c r="BG634" s="12">
        <f t="shared" si="149"/>
        <v>2</v>
      </c>
      <c r="BH634" s="67">
        <v>0</v>
      </c>
      <c r="BI634" s="67">
        <v>0</v>
      </c>
      <c r="BJ634" s="67">
        <v>1</v>
      </c>
      <c r="BK634" s="67">
        <v>0</v>
      </c>
      <c r="BL634" s="67">
        <v>0</v>
      </c>
      <c r="BM634" s="67">
        <v>1</v>
      </c>
      <c r="BN634" s="67">
        <v>0</v>
      </c>
      <c r="BO634" s="67">
        <v>0</v>
      </c>
      <c r="BP634" s="67">
        <v>0</v>
      </c>
      <c r="BQ634" s="67">
        <v>2</v>
      </c>
      <c r="BR634" s="67">
        <v>0</v>
      </c>
      <c r="BS634" s="67">
        <v>0</v>
      </c>
      <c r="BT634" s="67">
        <v>8</v>
      </c>
      <c r="BU634" s="70">
        <v>0</v>
      </c>
      <c r="BV634" s="29">
        <f t="shared" si="141"/>
        <v>0.84706200083103012</v>
      </c>
      <c r="BW634">
        <f t="shared" si="142"/>
        <v>0.59502473559756086</v>
      </c>
      <c r="BX634">
        <f t="shared" si="143"/>
        <v>0.42149901815843233</v>
      </c>
      <c r="BY634">
        <f t="shared" si="144"/>
        <v>0.81745575848020657</v>
      </c>
      <c r="BZ634">
        <f t="shared" si="145"/>
        <v>0.88721318382472392</v>
      </c>
      <c r="CA634">
        <f t="shared" si="146"/>
        <v>0.55566315731117022</v>
      </c>
      <c r="CB634">
        <f t="shared" si="147"/>
        <v>5.8265062631872602E-2</v>
      </c>
    </row>
    <row r="635" spans="1:80" x14ac:dyDescent="0.45">
      <c r="A635" s="11">
        <v>36</v>
      </c>
      <c r="B635" s="12">
        <f t="shared" si="135"/>
        <v>36</v>
      </c>
      <c r="C635" s="12" t="s">
        <v>59</v>
      </c>
      <c r="D635" s="12">
        <v>0</v>
      </c>
      <c r="E635" s="12" t="s">
        <v>53</v>
      </c>
      <c r="F635" s="12">
        <v>0</v>
      </c>
      <c r="G635" s="12">
        <v>1</v>
      </c>
      <c r="H635" s="12" t="s">
        <v>97</v>
      </c>
      <c r="I635" s="12">
        <v>0</v>
      </c>
      <c r="J635" s="12">
        <v>0</v>
      </c>
      <c r="K635" s="12">
        <v>8</v>
      </c>
      <c r="L635" s="12">
        <f t="shared" si="136"/>
        <v>8</v>
      </c>
      <c r="M635" s="12">
        <v>3</v>
      </c>
      <c r="N635" s="12" t="s">
        <v>55</v>
      </c>
      <c r="O635" s="12">
        <v>1</v>
      </c>
      <c r="P635" s="12">
        <v>0</v>
      </c>
      <c r="Q635" s="12">
        <v>0</v>
      </c>
      <c r="R635" s="12">
        <v>0</v>
      </c>
      <c r="S635" s="12">
        <v>0</v>
      </c>
      <c r="T635" s="12">
        <v>1</v>
      </c>
      <c r="U635" s="12" t="s">
        <v>62</v>
      </c>
      <c r="V635" s="12">
        <v>0</v>
      </c>
      <c r="W635" s="12">
        <v>77</v>
      </c>
      <c r="X635" s="12">
        <v>2</v>
      </c>
      <c r="Y635" s="12">
        <v>1</v>
      </c>
      <c r="Z635" s="12" t="s">
        <v>97</v>
      </c>
      <c r="AA635" s="12">
        <v>0</v>
      </c>
      <c r="AB635" s="12">
        <v>0</v>
      </c>
      <c r="AC635" s="12">
        <v>0</v>
      </c>
      <c r="AD635" s="12">
        <v>0</v>
      </c>
      <c r="AE635" s="12">
        <v>0</v>
      </c>
      <c r="AF635" s="12">
        <v>0</v>
      </c>
      <c r="AG635" s="12">
        <v>0</v>
      </c>
      <c r="AH635" s="12">
        <v>0</v>
      </c>
      <c r="AI635" s="12">
        <v>1</v>
      </c>
      <c r="AJ635" s="12" t="s">
        <v>64</v>
      </c>
      <c r="AK635" s="12">
        <v>0</v>
      </c>
      <c r="AL635" s="12">
        <v>1</v>
      </c>
      <c r="AM635" s="12">
        <v>2342</v>
      </c>
      <c r="AN635" s="12">
        <f t="shared" si="137"/>
        <v>2342</v>
      </c>
      <c r="AO635" s="12">
        <v>0</v>
      </c>
      <c r="AP635" s="12" t="s">
        <v>59</v>
      </c>
      <c r="AQ635" s="12">
        <v>0</v>
      </c>
      <c r="AR635" s="12">
        <v>21</v>
      </c>
      <c r="AS635" s="12">
        <v>4</v>
      </c>
      <c r="AT635" s="12">
        <v>3</v>
      </c>
      <c r="AU635" s="12">
        <v>0</v>
      </c>
      <c r="AV635" s="12">
        <v>6</v>
      </c>
      <c r="AW635" s="12">
        <f t="shared" si="138"/>
        <v>6</v>
      </c>
      <c r="AX635" s="12">
        <v>3</v>
      </c>
      <c r="AY635" s="12">
        <v>3</v>
      </c>
      <c r="AZ635" s="12">
        <v>5</v>
      </c>
      <c r="BA635" s="12">
        <f t="shared" si="139"/>
        <v>5</v>
      </c>
      <c r="BB635" s="12">
        <v>4</v>
      </c>
      <c r="BC635" s="12">
        <v>0</v>
      </c>
      <c r="BD635" s="12">
        <f t="shared" si="148"/>
        <v>0</v>
      </c>
      <c r="BE635" s="12">
        <v>3</v>
      </c>
      <c r="BF635" s="12">
        <f t="shared" si="140"/>
        <v>3</v>
      </c>
      <c r="BG635" s="12">
        <f t="shared" si="149"/>
        <v>3</v>
      </c>
      <c r="BH635" s="67">
        <v>0</v>
      </c>
      <c r="BI635" s="67">
        <v>1</v>
      </c>
      <c r="BJ635" s="67">
        <v>0</v>
      </c>
      <c r="BK635" s="67">
        <v>0</v>
      </c>
      <c r="BL635" s="67">
        <v>0</v>
      </c>
      <c r="BM635" s="67">
        <v>0</v>
      </c>
      <c r="BN635" s="67">
        <v>1</v>
      </c>
      <c r="BO635" s="67">
        <v>0</v>
      </c>
      <c r="BP635" s="67">
        <v>3</v>
      </c>
      <c r="BQ635" s="67">
        <v>0</v>
      </c>
      <c r="BR635" s="67">
        <v>0</v>
      </c>
      <c r="BS635" s="67">
        <v>6</v>
      </c>
      <c r="BT635" s="67">
        <v>0</v>
      </c>
      <c r="BU635" s="70">
        <v>0</v>
      </c>
      <c r="BV635" s="29">
        <f t="shared" si="141"/>
        <v>0.88380830245832764</v>
      </c>
      <c r="BW635">
        <f t="shared" si="142"/>
        <v>0.31476636926356072</v>
      </c>
      <c r="BX635">
        <f t="shared" si="143"/>
        <v>0.67854260110508058</v>
      </c>
      <c r="BY635">
        <f t="shared" si="144"/>
        <v>0.32778177112653761</v>
      </c>
      <c r="BZ635">
        <f t="shared" si="145"/>
        <v>0.14709966057360641</v>
      </c>
      <c r="CA635">
        <f t="shared" si="146"/>
        <v>0.10112443951066327</v>
      </c>
      <c r="CB635">
        <f t="shared" si="147"/>
        <v>0.67891464284095016</v>
      </c>
    </row>
    <row r="636" spans="1:80" x14ac:dyDescent="0.45">
      <c r="A636" s="11">
        <v>25</v>
      </c>
      <c r="B636" s="12">
        <f t="shared" si="135"/>
        <v>25</v>
      </c>
      <c r="C636" s="12" t="s">
        <v>59</v>
      </c>
      <c r="D636" s="12">
        <v>0</v>
      </c>
      <c r="E636" s="12" t="s">
        <v>53</v>
      </c>
      <c r="F636" s="12">
        <v>0</v>
      </c>
      <c r="G636" s="12">
        <v>1</v>
      </c>
      <c r="H636" s="12" t="s">
        <v>54</v>
      </c>
      <c r="I636" s="12">
        <v>0</v>
      </c>
      <c r="J636" s="12">
        <v>1</v>
      </c>
      <c r="K636" s="12">
        <v>3</v>
      </c>
      <c r="L636" s="12">
        <f t="shared" si="136"/>
        <v>3</v>
      </c>
      <c r="M636" s="12">
        <v>1</v>
      </c>
      <c r="N636" s="12" t="s">
        <v>66</v>
      </c>
      <c r="O636" s="12">
        <v>0</v>
      </c>
      <c r="P636" s="12">
        <v>1</v>
      </c>
      <c r="Q636" s="12">
        <v>0</v>
      </c>
      <c r="R636" s="12">
        <v>0</v>
      </c>
      <c r="S636" s="12">
        <v>0</v>
      </c>
      <c r="T636" s="12">
        <v>3</v>
      </c>
      <c r="U636" s="12" t="s">
        <v>62</v>
      </c>
      <c r="V636" s="12">
        <v>0</v>
      </c>
      <c r="W636" s="12">
        <v>98</v>
      </c>
      <c r="X636" s="12">
        <v>3</v>
      </c>
      <c r="Y636" s="12">
        <v>2</v>
      </c>
      <c r="Z636" s="12" t="s">
        <v>56</v>
      </c>
      <c r="AA636" s="12">
        <v>0</v>
      </c>
      <c r="AB636" s="12">
        <v>1</v>
      </c>
      <c r="AC636" s="12">
        <v>0</v>
      </c>
      <c r="AD636" s="12">
        <v>0</v>
      </c>
      <c r="AE636" s="12">
        <v>0</v>
      </c>
      <c r="AF636" s="12">
        <v>0</v>
      </c>
      <c r="AG636" s="12">
        <v>0</v>
      </c>
      <c r="AH636" s="12">
        <v>0</v>
      </c>
      <c r="AI636" s="12">
        <v>1</v>
      </c>
      <c r="AJ636" s="12" t="s">
        <v>64</v>
      </c>
      <c r="AK636" s="12">
        <v>0</v>
      </c>
      <c r="AL636" s="12">
        <v>1</v>
      </c>
      <c r="AM636" s="12">
        <v>4194</v>
      </c>
      <c r="AN636" s="12">
        <f t="shared" si="137"/>
        <v>4194</v>
      </c>
      <c r="AO636" s="12">
        <v>1</v>
      </c>
      <c r="AP636" s="12" t="s">
        <v>52</v>
      </c>
      <c r="AQ636" s="12">
        <v>1</v>
      </c>
      <c r="AR636" s="12">
        <v>18</v>
      </c>
      <c r="AS636" s="12">
        <v>3</v>
      </c>
      <c r="AT636" s="12">
        <v>4</v>
      </c>
      <c r="AU636" s="12">
        <v>0</v>
      </c>
      <c r="AV636" s="12">
        <v>5</v>
      </c>
      <c r="AW636" s="12">
        <f t="shared" si="138"/>
        <v>5</v>
      </c>
      <c r="AX636" s="12">
        <v>3</v>
      </c>
      <c r="AY636" s="12">
        <v>3</v>
      </c>
      <c r="AZ636" s="12">
        <v>5</v>
      </c>
      <c r="BA636" s="12">
        <f t="shared" si="139"/>
        <v>5</v>
      </c>
      <c r="BB636" s="12">
        <v>3</v>
      </c>
      <c r="BC636" s="12">
        <v>0</v>
      </c>
      <c r="BD636" s="12">
        <f t="shared" si="148"/>
        <v>0</v>
      </c>
      <c r="BE636" s="12">
        <v>3</v>
      </c>
      <c r="BF636" s="12">
        <f t="shared" si="140"/>
        <v>3</v>
      </c>
      <c r="BG636" s="12">
        <f t="shared" si="149"/>
        <v>6</v>
      </c>
      <c r="BH636" s="67">
        <v>0</v>
      </c>
      <c r="BI636" s="67">
        <v>1</v>
      </c>
      <c r="BJ636" s="67">
        <v>0</v>
      </c>
      <c r="BK636" s="67">
        <v>0</v>
      </c>
      <c r="BL636" s="67">
        <v>0</v>
      </c>
      <c r="BM636" s="67">
        <v>0</v>
      </c>
      <c r="BN636" s="67">
        <v>0</v>
      </c>
      <c r="BO636" s="67">
        <v>1</v>
      </c>
      <c r="BP636" s="67">
        <v>0</v>
      </c>
      <c r="BQ636" s="67">
        <v>0</v>
      </c>
      <c r="BR636" s="67">
        <v>3</v>
      </c>
      <c r="BS636" s="67">
        <v>0</v>
      </c>
      <c r="BT636" s="67">
        <v>0</v>
      </c>
      <c r="BU636" s="70">
        <v>5</v>
      </c>
      <c r="BV636" s="29">
        <f t="shared" si="141"/>
        <v>0.49043170931523555</v>
      </c>
      <c r="BW636">
        <f t="shared" si="142"/>
        <v>0.31476636926356072</v>
      </c>
      <c r="BX636">
        <f t="shared" si="143"/>
        <v>0.80706439257840468</v>
      </c>
      <c r="BY636">
        <f t="shared" si="144"/>
        <v>0.32778177112653761</v>
      </c>
      <c r="BZ636">
        <f t="shared" si="145"/>
        <v>0.76386092994953758</v>
      </c>
      <c r="CA636">
        <f t="shared" si="146"/>
        <v>1.3052350336840246</v>
      </c>
      <c r="CB636">
        <f t="shared" si="147"/>
        <v>0.67891464284095016</v>
      </c>
    </row>
    <row r="637" spans="1:80" x14ac:dyDescent="0.45">
      <c r="A637" s="11">
        <v>35</v>
      </c>
      <c r="B637" s="12">
        <f t="shared" si="135"/>
        <v>35</v>
      </c>
      <c r="C637" s="12" t="s">
        <v>59</v>
      </c>
      <c r="D637" s="12">
        <v>0</v>
      </c>
      <c r="E637" s="12" t="s">
        <v>53</v>
      </c>
      <c r="F637" s="12">
        <v>0</v>
      </c>
      <c r="G637" s="12">
        <v>1</v>
      </c>
      <c r="H637" s="12" t="s">
        <v>61</v>
      </c>
      <c r="I637" s="12">
        <v>1</v>
      </c>
      <c r="J637" s="12">
        <v>0</v>
      </c>
      <c r="K637" s="12">
        <v>9</v>
      </c>
      <c r="L637" s="12">
        <f t="shared" si="136"/>
        <v>9</v>
      </c>
      <c r="M637" s="12">
        <v>3</v>
      </c>
      <c r="N637" s="12" t="s">
        <v>55</v>
      </c>
      <c r="O637" s="12">
        <v>1</v>
      </c>
      <c r="P637" s="12">
        <v>0</v>
      </c>
      <c r="Q637" s="12">
        <v>0</v>
      </c>
      <c r="R637" s="12">
        <v>0</v>
      </c>
      <c r="S637" s="12">
        <v>0</v>
      </c>
      <c r="T637" s="12">
        <v>4</v>
      </c>
      <c r="U637" s="12" t="s">
        <v>19</v>
      </c>
      <c r="V637" s="12">
        <v>1</v>
      </c>
      <c r="W637" s="12">
        <v>66</v>
      </c>
      <c r="X637" s="12">
        <v>2</v>
      </c>
      <c r="Y637" s="12">
        <v>3</v>
      </c>
      <c r="Z637" s="12" t="s">
        <v>83</v>
      </c>
      <c r="AA637" s="12">
        <v>0</v>
      </c>
      <c r="AB637" s="12">
        <v>0</v>
      </c>
      <c r="AC637" s="12">
        <v>0</v>
      </c>
      <c r="AD637" s="12">
        <v>0</v>
      </c>
      <c r="AE637" s="12">
        <v>1</v>
      </c>
      <c r="AF637" s="12">
        <v>1</v>
      </c>
      <c r="AG637" s="12">
        <v>0</v>
      </c>
      <c r="AH637" s="12">
        <v>0</v>
      </c>
      <c r="AI637" s="12">
        <v>3</v>
      </c>
      <c r="AJ637" s="12" t="s">
        <v>64</v>
      </c>
      <c r="AK637" s="12">
        <v>0</v>
      </c>
      <c r="AL637" s="12">
        <v>1</v>
      </c>
      <c r="AM637" s="12">
        <v>10685</v>
      </c>
      <c r="AN637" s="12">
        <f t="shared" si="137"/>
        <v>10685</v>
      </c>
      <c r="AO637" s="12">
        <v>1</v>
      </c>
      <c r="AP637" s="12" t="s">
        <v>52</v>
      </c>
      <c r="AQ637" s="12">
        <v>1</v>
      </c>
      <c r="AR637" s="12">
        <v>20</v>
      </c>
      <c r="AS637" s="12">
        <v>4</v>
      </c>
      <c r="AT637" s="12">
        <v>2</v>
      </c>
      <c r="AU637" s="12">
        <v>1</v>
      </c>
      <c r="AV637" s="12">
        <v>17</v>
      </c>
      <c r="AW637" s="12">
        <f t="shared" si="138"/>
        <v>17</v>
      </c>
      <c r="AX637" s="12">
        <v>2</v>
      </c>
      <c r="AY637" s="12">
        <v>3</v>
      </c>
      <c r="AZ637" s="12">
        <v>17</v>
      </c>
      <c r="BA637" s="12">
        <f t="shared" si="139"/>
        <v>17</v>
      </c>
      <c r="BB637" s="12">
        <v>14</v>
      </c>
      <c r="BC637" s="12">
        <v>5</v>
      </c>
      <c r="BD637" s="12">
        <f t="shared" si="148"/>
        <v>5</v>
      </c>
      <c r="BE637" s="12">
        <v>15</v>
      </c>
      <c r="BF637" s="12">
        <f t="shared" si="140"/>
        <v>14</v>
      </c>
      <c r="BG637" s="12">
        <f t="shared" si="149"/>
        <v>42</v>
      </c>
      <c r="BH637" s="67">
        <v>0</v>
      </c>
      <c r="BI637" s="67">
        <v>1</v>
      </c>
      <c r="BJ637" s="67">
        <v>0</v>
      </c>
      <c r="BK637" s="67">
        <v>0</v>
      </c>
      <c r="BL637" s="67">
        <v>0</v>
      </c>
      <c r="BM637" s="67">
        <v>0</v>
      </c>
      <c r="BN637" s="67">
        <v>0</v>
      </c>
      <c r="BO637" s="67">
        <v>1</v>
      </c>
      <c r="BP637" s="67">
        <v>0</v>
      </c>
      <c r="BQ637" s="67">
        <v>14</v>
      </c>
      <c r="BR637" s="67">
        <v>0</v>
      </c>
      <c r="BS637" s="67">
        <v>0</v>
      </c>
      <c r="BT637" s="67">
        <v>17</v>
      </c>
      <c r="BU637" s="70">
        <v>0</v>
      </c>
      <c r="BV637" s="29">
        <f t="shared" si="141"/>
        <v>0.88829802399567714</v>
      </c>
      <c r="BW637">
        <f t="shared" si="142"/>
        <v>3.048334026744441</v>
      </c>
      <c r="BX637">
        <f t="shared" si="143"/>
        <v>0.73519710510148462</v>
      </c>
      <c r="BY637">
        <f t="shared" si="144"/>
        <v>1.630914178288138</v>
      </c>
      <c r="BZ637">
        <f t="shared" si="145"/>
        <v>2.3747406698420157E-2</v>
      </c>
      <c r="CA637">
        <f t="shared" si="146"/>
        <v>0.21058903898096887</v>
      </c>
      <c r="CB637">
        <f t="shared" si="147"/>
        <v>0.87270930768174382</v>
      </c>
    </row>
    <row r="638" spans="1:80" x14ac:dyDescent="0.45">
      <c r="A638" s="11">
        <v>35</v>
      </c>
      <c r="B638" s="12">
        <f t="shared" si="135"/>
        <v>35</v>
      </c>
      <c r="C638" s="12" t="s">
        <v>52</v>
      </c>
      <c r="D638" s="12">
        <v>1</v>
      </c>
      <c r="E638" s="12" t="s">
        <v>60</v>
      </c>
      <c r="F638" s="12">
        <v>1</v>
      </c>
      <c r="G638" s="12">
        <v>0</v>
      </c>
      <c r="H638" s="12" t="s">
        <v>61</v>
      </c>
      <c r="I638" s="12">
        <v>1</v>
      </c>
      <c r="J638" s="12">
        <v>0</v>
      </c>
      <c r="K638" s="12">
        <v>25</v>
      </c>
      <c r="L638" s="12">
        <f t="shared" si="136"/>
        <v>25</v>
      </c>
      <c r="M638" s="12">
        <v>4</v>
      </c>
      <c r="N638" s="12" t="s">
        <v>55</v>
      </c>
      <c r="O638" s="12">
        <v>1</v>
      </c>
      <c r="P638" s="12">
        <v>0</v>
      </c>
      <c r="Q638" s="12">
        <v>0</v>
      </c>
      <c r="R638" s="12">
        <v>0</v>
      </c>
      <c r="S638" s="12">
        <v>0</v>
      </c>
      <c r="T638" s="12">
        <v>4</v>
      </c>
      <c r="U638" s="12" t="s">
        <v>19</v>
      </c>
      <c r="V638" s="12">
        <v>1</v>
      </c>
      <c r="W638" s="12">
        <v>96</v>
      </c>
      <c r="X638" s="12">
        <v>3</v>
      </c>
      <c r="Y638" s="12">
        <v>1</v>
      </c>
      <c r="Z638" s="12" t="s">
        <v>63</v>
      </c>
      <c r="AA638" s="12">
        <v>0</v>
      </c>
      <c r="AB638" s="12">
        <v>0</v>
      </c>
      <c r="AC638" s="12">
        <v>0</v>
      </c>
      <c r="AD638" s="12">
        <v>0</v>
      </c>
      <c r="AE638" s="12">
        <v>0</v>
      </c>
      <c r="AF638" s="12">
        <v>0</v>
      </c>
      <c r="AG638" s="12">
        <v>0</v>
      </c>
      <c r="AH638" s="12">
        <v>1</v>
      </c>
      <c r="AI638" s="12">
        <v>2</v>
      </c>
      <c r="AJ638" s="12" t="s">
        <v>78</v>
      </c>
      <c r="AK638" s="12">
        <v>0</v>
      </c>
      <c r="AL638" s="12">
        <v>0</v>
      </c>
      <c r="AM638" s="12">
        <v>2022</v>
      </c>
      <c r="AN638" s="12">
        <f t="shared" si="137"/>
        <v>2022</v>
      </c>
      <c r="AO638" s="12">
        <v>1</v>
      </c>
      <c r="AP638" s="12" t="s">
        <v>52</v>
      </c>
      <c r="AQ638" s="12">
        <v>1</v>
      </c>
      <c r="AR638" s="12">
        <v>19</v>
      </c>
      <c r="AS638" s="12">
        <v>3</v>
      </c>
      <c r="AT638" s="12">
        <v>1</v>
      </c>
      <c r="AU638" s="12">
        <v>1</v>
      </c>
      <c r="AV638" s="12">
        <v>10</v>
      </c>
      <c r="AW638" s="12">
        <f t="shared" si="138"/>
        <v>10</v>
      </c>
      <c r="AX638" s="12">
        <v>3</v>
      </c>
      <c r="AY638" s="12">
        <v>2</v>
      </c>
      <c r="AZ638" s="12">
        <v>10</v>
      </c>
      <c r="BA638" s="12">
        <f t="shared" si="139"/>
        <v>10</v>
      </c>
      <c r="BB638" s="12">
        <v>2</v>
      </c>
      <c r="BC638" s="12">
        <v>7</v>
      </c>
      <c r="BD638" s="12">
        <f t="shared" si="148"/>
        <v>7</v>
      </c>
      <c r="BE638" s="12">
        <v>8</v>
      </c>
      <c r="BF638" s="12">
        <f t="shared" si="140"/>
        <v>8</v>
      </c>
      <c r="BG638" s="12">
        <f t="shared" si="149"/>
        <v>8</v>
      </c>
      <c r="BH638" s="67">
        <v>0</v>
      </c>
      <c r="BI638" s="67">
        <v>0</v>
      </c>
      <c r="BJ638" s="67">
        <v>1</v>
      </c>
      <c r="BK638" s="67">
        <v>0</v>
      </c>
      <c r="BL638" s="67">
        <v>0</v>
      </c>
      <c r="BM638" s="67">
        <v>1</v>
      </c>
      <c r="BN638" s="67">
        <v>0</v>
      </c>
      <c r="BO638" s="67">
        <v>0</v>
      </c>
      <c r="BP638" s="67">
        <v>0</v>
      </c>
      <c r="BQ638" s="67">
        <v>8</v>
      </c>
      <c r="BR638" s="67">
        <v>0</v>
      </c>
      <c r="BS638" s="67">
        <v>0</v>
      </c>
      <c r="BT638" s="67">
        <v>10</v>
      </c>
      <c r="BU638" s="70">
        <v>0</v>
      </c>
      <c r="BV638" s="29">
        <f t="shared" si="141"/>
        <v>0.9517783401504385</v>
      </c>
      <c r="BW638">
        <f t="shared" si="142"/>
        <v>1.08652546240644</v>
      </c>
      <c r="BX638">
        <f t="shared" si="143"/>
        <v>0.1644554352117841</v>
      </c>
      <c r="BY638">
        <f t="shared" si="144"/>
        <v>0.48834154112957734</v>
      </c>
      <c r="BZ638">
        <f t="shared" si="145"/>
        <v>1.9498886553045598</v>
      </c>
      <c r="CA638">
        <f t="shared" si="146"/>
        <v>0.21058903898096887</v>
      </c>
      <c r="CB638">
        <f t="shared" si="147"/>
        <v>1.4933588878908215</v>
      </c>
    </row>
    <row r="639" spans="1:80" x14ac:dyDescent="0.45">
      <c r="A639" s="11">
        <v>32</v>
      </c>
      <c r="B639" s="12">
        <f t="shared" si="135"/>
        <v>32</v>
      </c>
      <c r="C639" s="12" t="s">
        <v>59</v>
      </c>
      <c r="D639" s="12">
        <v>0</v>
      </c>
      <c r="E639" s="12" t="s">
        <v>86</v>
      </c>
      <c r="F639" s="12">
        <v>0</v>
      </c>
      <c r="G639" s="12">
        <v>0</v>
      </c>
      <c r="H639" s="12" t="s">
        <v>61</v>
      </c>
      <c r="I639" s="12">
        <v>1</v>
      </c>
      <c r="J639" s="12">
        <v>0</v>
      </c>
      <c r="K639" s="12">
        <v>1</v>
      </c>
      <c r="L639" s="12">
        <f t="shared" si="136"/>
        <v>1</v>
      </c>
      <c r="M639" s="12">
        <v>3</v>
      </c>
      <c r="N639" s="12" t="s">
        <v>55</v>
      </c>
      <c r="O639" s="12">
        <v>1</v>
      </c>
      <c r="P639" s="12">
        <v>0</v>
      </c>
      <c r="Q639" s="12">
        <v>0</v>
      </c>
      <c r="R639" s="12">
        <v>0</v>
      </c>
      <c r="S639" s="12">
        <v>0</v>
      </c>
      <c r="T639" s="12">
        <v>4</v>
      </c>
      <c r="U639" s="12" t="s">
        <v>62</v>
      </c>
      <c r="V639" s="12">
        <v>0</v>
      </c>
      <c r="W639" s="12">
        <v>61</v>
      </c>
      <c r="X639" s="12">
        <v>3</v>
      </c>
      <c r="Y639" s="12">
        <v>1</v>
      </c>
      <c r="Z639" s="12" t="s">
        <v>67</v>
      </c>
      <c r="AA639" s="12">
        <v>0</v>
      </c>
      <c r="AB639" s="12">
        <v>0</v>
      </c>
      <c r="AC639" s="12">
        <v>1</v>
      </c>
      <c r="AD639" s="12">
        <v>0</v>
      </c>
      <c r="AE639" s="12">
        <v>0</v>
      </c>
      <c r="AF639" s="12">
        <v>0</v>
      </c>
      <c r="AG639" s="12">
        <v>0</v>
      </c>
      <c r="AH639" s="12">
        <v>0</v>
      </c>
      <c r="AI639" s="12">
        <v>4</v>
      </c>
      <c r="AJ639" s="12" t="s">
        <v>78</v>
      </c>
      <c r="AK639" s="12">
        <v>0</v>
      </c>
      <c r="AL639" s="12">
        <v>0</v>
      </c>
      <c r="AM639" s="12">
        <v>2314</v>
      </c>
      <c r="AN639" s="12">
        <f t="shared" si="137"/>
        <v>2314</v>
      </c>
      <c r="AO639" s="12">
        <v>0</v>
      </c>
      <c r="AP639" s="12" t="s">
        <v>59</v>
      </c>
      <c r="AQ639" s="12">
        <v>0</v>
      </c>
      <c r="AR639" s="12">
        <v>12</v>
      </c>
      <c r="AS639" s="12">
        <v>3</v>
      </c>
      <c r="AT639" s="12">
        <v>2</v>
      </c>
      <c r="AU639" s="12">
        <v>1</v>
      </c>
      <c r="AV639" s="12">
        <v>4</v>
      </c>
      <c r="AW639" s="12">
        <f t="shared" si="138"/>
        <v>4</v>
      </c>
      <c r="AX639" s="12">
        <v>2</v>
      </c>
      <c r="AY639" s="12">
        <v>3</v>
      </c>
      <c r="AZ639" s="12">
        <v>3</v>
      </c>
      <c r="BA639" s="12">
        <f t="shared" si="139"/>
        <v>3</v>
      </c>
      <c r="BB639" s="12">
        <v>0</v>
      </c>
      <c r="BC639" s="12">
        <v>0</v>
      </c>
      <c r="BD639" s="12">
        <f t="shared" si="148"/>
        <v>0</v>
      </c>
      <c r="BE639" s="12">
        <v>2</v>
      </c>
      <c r="BF639" s="12">
        <f t="shared" si="140"/>
        <v>2</v>
      </c>
      <c r="BG639" s="12">
        <f t="shared" si="149"/>
        <v>2</v>
      </c>
      <c r="BH639" s="67">
        <v>1</v>
      </c>
      <c r="BI639" s="67">
        <v>0</v>
      </c>
      <c r="BJ639" s="67">
        <v>0</v>
      </c>
      <c r="BK639" s="67">
        <v>0</v>
      </c>
      <c r="BL639" s="67">
        <v>1</v>
      </c>
      <c r="BM639" s="67">
        <v>0</v>
      </c>
      <c r="BN639" s="67">
        <v>0</v>
      </c>
      <c r="BO639" s="67">
        <v>0</v>
      </c>
      <c r="BP639" s="67">
        <v>0</v>
      </c>
      <c r="BQ639" s="67">
        <v>2</v>
      </c>
      <c r="BR639" s="67">
        <v>0</v>
      </c>
      <c r="BS639" s="67">
        <v>0</v>
      </c>
      <c r="BT639" s="67">
        <v>4</v>
      </c>
      <c r="BU639" s="70">
        <v>0</v>
      </c>
      <c r="BV639" s="29">
        <f t="shared" si="141"/>
        <v>0.88975568075638733</v>
      </c>
      <c r="BW639">
        <f t="shared" si="142"/>
        <v>0.59502473559756086</v>
      </c>
      <c r="BX639">
        <f t="shared" si="143"/>
        <v>0.93558618405172878</v>
      </c>
      <c r="BY639">
        <f t="shared" si="144"/>
        <v>0.65423109602898355</v>
      </c>
      <c r="BZ639">
        <f t="shared" si="145"/>
        <v>1.01056543769991</v>
      </c>
      <c r="CA639">
        <f t="shared" si="146"/>
        <v>0.53898283739188557</v>
      </c>
      <c r="CB639">
        <f t="shared" si="147"/>
        <v>0.67891464284095016</v>
      </c>
    </row>
    <row r="640" spans="1:80" x14ac:dyDescent="0.45">
      <c r="A640" s="11">
        <v>25</v>
      </c>
      <c r="B640" s="12">
        <f t="shared" si="135"/>
        <v>25</v>
      </c>
      <c r="C640" s="12" t="s">
        <v>59</v>
      </c>
      <c r="D640" s="12">
        <v>0</v>
      </c>
      <c r="E640" s="12" t="s">
        <v>53</v>
      </c>
      <c r="F640" s="12">
        <v>0</v>
      </c>
      <c r="G640" s="12">
        <v>1</v>
      </c>
      <c r="H640" s="12" t="s">
        <v>54</v>
      </c>
      <c r="I640" s="12">
        <v>0</v>
      </c>
      <c r="J640" s="12">
        <v>1</v>
      </c>
      <c r="K640" s="12">
        <v>4</v>
      </c>
      <c r="L640" s="12">
        <f t="shared" si="136"/>
        <v>4</v>
      </c>
      <c r="M640" s="12">
        <v>1</v>
      </c>
      <c r="N640" s="12" t="s">
        <v>90</v>
      </c>
      <c r="O640" s="12">
        <v>0</v>
      </c>
      <c r="P640" s="12">
        <v>0</v>
      </c>
      <c r="Q640" s="12">
        <v>0</v>
      </c>
      <c r="R640" s="12">
        <v>1</v>
      </c>
      <c r="S640" s="12">
        <v>0</v>
      </c>
      <c r="T640" s="12">
        <v>3</v>
      </c>
      <c r="U640" s="12" t="s">
        <v>62</v>
      </c>
      <c r="V640" s="12">
        <v>0</v>
      </c>
      <c r="W640" s="12">
        <v>87</v>
      </c>
      <c r="X640" s="12">
        <v>2</v>
      </c>
      <c r="Y640" s="12">
        <v>2</v>
      </c>
      <c r="Z640" s="12" t="s">
        <v>56</v>
      </c>
      <c r="AA640" s="12">
        <v>0</v>
      </c>
      <c r="AB640" s="12">
        <v>1</v>
      </c>
      <c r="AC640" s="12">
        <v>0</v>
      </c>
      <c r="AD640" s="12">
        <v>0</v>
      </c>
      <c r="AE640" s="12">
        <v>0</v>
      </c>
      <c r="AF640" s="12">
        <v>0</v>
      </c>
      <c r="AG640" s="12">
        <v>0</v>
      </c>
      <c r="AH640" s="12">
        <v>0</v>
      </c>
      <c r="AI640" s="12">
        <v>1</v>
      </c>
      <c r="AJ640" s="12" t="s">
        <v>64</v>
      </c>
      <c r="AK640" s="12">
        <v>0</v>
      </c>
      <c r="AL640" s="12">
        <v>1</v>
      </c>
      <c r="AM640" s="12">
        <v>4256</v>
      </c>
      <c r="AN640" s="12">
        <f t="shared" si="137"/>
        <v>4256</v>
      </c>
      <c r="AO640" s="12">
        <v>1</v>
      </c>
      <c r="AP640" s="12" t="s">
        <v>59</v>
      </c>
      <c r="AQ640" s="12">
        <v>0</v>
      </c>
      <c r="AR640" s="12">
        <v>12</v>
      </c>
      <c r="AS640" s="12">
        <v>3</v>
      </c>
      <c r="AT640" s="12">
        <v>1</v>
      </c>
      <c r="AU640" s="12">
        <v>0</v>
      </c>
      <c r="AV640" s="12">
        <v>5</v>
      </c>
      <c r="AW640" s="12">
        <f t="shared" si="138"/>
        <v>5</v>
      </c>
      <c r="AX640" s="12">
        <v>1</v>
      </c>
      <c r="AY640" s="12">
        <v>4</v>
      </c>
      <c r="AZ640" s="12">
        <v>5</v>
      </c>
      <c r="BA640" s="12">
        <f t="shared" si="139"/>
        <v>5</v>
      </c>
      <c r="BB640" s="12">
        <v>2</v>
      </c>
      <c r="BC640" s="12">
        <v>0</v>
      </c>
      <c r="BD640" s="12">
        <f t="shared" si="148"/>
        <v>0</v>
      </c>
      <c r="BE640" s="12">
        <v>3</v>
      </c>
      <c r="BF640" s="12">
        <f t="shared" si="140"/>
        <v>3</v>
      </c>
      <c r="BG640" s="12">
        <f t="shared" si="149"/>
        <v>6</v>
      </c>
      <c r="BH640" s="67">
        <v>0</v>
      </c>
      <c r="BI640" s="67">
        <v>1</v>
      </c>
      <c r="BJ640" s="67">
        <v>0</v>
      </c>
      <c r="BK640" s="67">
        <v>0</v>
      </c>
      <c r="BL640" s="67">
        <v>0</v>
      </c>
      <c r="BM640" s="67">
        <v>0</v>
      </c>
      <c r="BN640" s="67">
        <v>1</v>
      </c>
      <c r="BO640" s="67">
        <v>0</v>
      </c>
      <c r="BP640" s="67">
        <v>0</v>
      </c>
      <c r="BQ640" s="67">
        <v>0</v>
      </c>
      <c r="BR640" s="67">
        <v>3</v>
      </c>
      <c r="BS640" s="67">
        <v>0</v>
      </c>
      <c r="BT640" s="67">
        <v>0</v>
      </c>
      <c r="BU640" s="70">
        <v>5</v>
      </c>
      <c r="BV640" s="29">
        <f t="shared" si="141"/>
        <v>0.4772625145123891</v>
      </c>
      <c r="BW640">
        <f t="shared" si="142"/>
        <v>0.31476636926356072</v>
      </c>
      <c r="BX640">
        <f t="shared" si="143"/>
        <v>0.80706439257840468</v>
      </c>
      <c r="BY640">
        <f t="shared" si="144"/>
        <v>0.32778177112653761</v>
      </c>
      <c r="BZ640">
        <f t="shared" si="145"/>
        <v>0.64050867607435136</v>
      </c>
      <c r="CA640">
        <f t="shared" si="146"/>
        <v>1.3052350336840246</v>
      </c>
      <c r="CB640">
        <f t="shared" si="147"/>
        <v>0.67891464284095016</v>
      </c>
    </row>
    <row r="641" spans="1:80" x14ac:dyDescent="0.45">
      <c r="A641" s="11">
        <v>49</v>
      </c>
      <c r="B641" s="12">
        <f t="shared" si="135"/>
        <v>49</v>
      </c>
      <c r="C641" s="12" t="s">
        <v>59</v>
      </c>
      <c r="D641" s="12">
        <v>0</v>
      </c>
      <c r="E641" s="12" t="s">
        <v>53</v>
      </c>
      <c r="F641" s="12">
        <v>0</v>
      </c>
      <c r="G641" s="12">
        <v>1</v>
      </c>
      <c r="H641" s="12" t="s">
        <v>61</v>
      </c>
      <c r="I641" s="12">
        <v>1</v>
      </c>
      <c r="J641" s="12">
        <v>0</v>
      </c>
      <c r="K641" s="12">
        <v>1</v>
      </c>
      <c r="L641" s="12">
        <f t="shared" si="136"/>
        <v>1</v>
      </c>
      <c r="M641" s="12">
        <v>3</v>
      </c>
      <c r="N641" s="12" t="s">
        <v>91</v>
      </c>
      <c r="O641" s="12">
        <v>0</v>
      </c>
      <c r="P641" s="12">
        <v>0</v>
      </c>
      <c r="Q641" s="12">
        <v>0</v>
      </c>
      <c r="R641" s="12">
        <v>0</v>
      </c>
      <c r="S641" s="12">
        <v>1</v>
      </c>
      <c r="T641" s="12">
        <v>3</v>
      </c>
      <c r="U641" s="12" t="s">
        <v>19</v>
      </c>
      <c r="V641" s="12">
        <v>1</v>
      </c>
      <c r="W641" s="12">
        <v>36</v>
      </c>
      <c r="X641" s="12">
        <v>3</v>
      </c>
      <c r="Y641" s="12">
        <v>1</v>
      </c>
      <c r="Z641" s="12" t="s">
        <v>63</v>
      </c>
      <c r="AA641" s="12">
        <v>0</v>
      </c>
      <c r="AB641" s="12">
        <v>0</v>
      </c>
      <c r="AC641" s="12">
        <v>0</v>
      </c>
      <c r="AD641" s="12">
        <v>0</v>
      </c>
      <c r="AE641" s="12">
        <v>0</v>
      </c>
      <c r="AF641" s="12">
        <v>0</v>
      </c>
      <c r="AG641" s="12">
        <v>0</v>
      </c>
      <c r="AH641" s="12">
        <v>1</v>
      </c>
      <c r="AI641" s="12">
        <v>1</v>
      </c>
      <c r="AJ641" s="12" t="s">
        <v>64</v>
      </c>
      <c r="AK641" s="12">
        <v>0</v>
      </c>
      <c r="AL641" s="12">
        <v>1</v>
      </c>
      <c r="AM641" s="12">
        <v>3580</v>
      </c>
      <c r="AN641" s="12">
        <f t="shared" si="137"/>
        <v>3580</v>
      </c>
      <c r="AO641" s="12">
        <v>2</v>
      </c>
      <c r="AP641" s="12" t="s">
        <v>59</v>
      </c>
      <c r="AQ641" s="12">
        <v>0</v>
      </c>
      <c r="AR641" s="12">
        <v>16</v>
      </c>
      <c r="AS641" s="12">
        <v>3</v>
      </c>
      <c r="AT641" s="12">
        <v>2</v>
      </c>
      <c r="AU641" s="12">
        <v>1</v>
      </c>
      <c r="AV641" s="12">
        <v>7</v>
      </c>
      <c r="AW641" s="12">
        <f t="shared" si="138"/>
        <v>7</v>
      </c>
      <c r="AX641" s="12">
        <v>2</v>
      </c>
      <c r="AY641" s="12">
        <v>3</v>
      </c>
      <c r="AZ641" s="12">
        <v>4</v>
      </c>
      <c r="BA641" s="12">
        <f t="shared" si="139"/>
        <v>4</v>
      </c>
      <c r="BB641" s="12">
        <v>2</v>
      </c>
      <c r="BC641" s="12">
        <v>0</v>
      </c>
      <c r="BD641" s="12">
        <f t="shared" si="148"/>
        <v>0</v>
      </c>
      <c r="BE641" s="12">
        <v>2</v>
      </c>
      <c r="BF641" s="12">
        <f t="shared" si="140"/>
        <v>2</v>
      </c>
      <c r="BG641" s="12">
        <f t="shared" si="149"/>
        <v>2</v>
      </c>
      <c r="BH641" s="67">
        <v>0</v>
      </c>
      <c r="BI641" s="67">
        <v>1</v>
      </c>
      <c r="BJ641" s="67">
        <v>0</v>
      </c>
      <c r="BK641" s="67">
        <v>0</v>
      </c>
      <c r="BL641" s="67">
        <v>0</v>
      </c>
      <c r="BM641" s="67">
        <v>0</v>
      </c>
      <c r="BN641" s="67">
        <v>1</v>
      </c>
      <c r="BO641" s="67">
        <v>0</v>
      </c>
      <c r="BP641" s="67">
        <v>0</v>
      </c>
      <c r="BQ641" s="67">
        <v>2</v>
      </c>
      <c r="BR641" s="67">
        <v>0</v>
      </c>
      <c r="BS641" s="67">
        <v>0</v>
      </c>
      <c r="BT641" s="67">
        <v>7</v>
      </c>
      <c r="BU641" s="70">
        <v>0</v>
      </c>
      <c r="BV641" s="29">
        <f t="shared" si="141"/>
        <v>0.62084921913697344</v>
      </c>
      <c r="BW641">
        <f t="shared" si="142"/>
        <v>0.59502473559756086</v>
      </c>
      <c r="BX641">
        <f t="shared" si="143"/>
        <v>0.55002080963175637</v>
      </c>
      <c r="BY641">
        <f t="shared" si="144"/>
        <v>0.49100643357776058</v>
      </c>
      <c r="BZ641">
        <f t="shared" si="145"/>
        <v>1.01056543769991</v>
      </c>
      <c r="CA641">
        <f t="shared" si="146"/>
        <v>1.3219153536033093</v>
      </c>
      <c r="CB641">
        <f t="shared" si="147"/>
        <v>0.67891464284095016</v>
      </c>
    </row>
    <row r="642" spans="1:80" x14ac:dyDescent="0.45">
      <c r="A642" s="11">
        <v>24</v>
      </c>
      <c r="B642" s="12">
        <f t="shared" ref="B642:B705" si="150">IF(A642&gt;$CD$29,$CD$29,IF(A642&lt;$CD$30,$CD$30,A642))</f>
        <v>24</v>
      </c>
      <c r="C642" s="12" t="s">
        <v>59</v>
      </c>
      <c r="D642" s="12">
        <v>0</v>
      </c>
      <c r="E642" s="12" t="s">
        <v>86</v>
      </c>
      <c r="F642" s="12">
        <v>0</v>
      </c>
      <c r="G642" s="12">
        <v>0</v>
      </c>
      <c r="H642" s="12" t="s">
        <v>61</v>
      </c>
      <c r="I642" s="12">
        <v>1</v>
      </c>
      <c r="J642" s="12">
        <v>0</v>
      </c>
      <c r="K642" s="12">
        <v>4</v>
      </c>
      <c r="L642" s="12">
        <f t="shared" ref="L642:L705" si="151">IF(K642&gt;$CD$25,$CD$25,IF(K642&lt;$CD$26,$CD$26,K642))</f>
        <v>4</v>
      </c>
      <c r="M642" s="12">
        <v>1</v>
      </c>
      <c r="N642" s="12" t="s">
        <v>55</v>
      </c>
      <c r="O642" s="12">
        <v>1</v>
      </c>
      <c r="P642" s="12">
        <v>0</v>
      </c>
      <c r="Q642" s="12">
        <v>0</v>
      </c>
      <c r="R642" s="12">
        <v>0</v>
      </c>
      <c r="S642" s="12">
        <v>0</v>
      </c>
      <c r="T642" s="12">
        <v>1</v>
      </c>
      <c r="U642" s="12" t="s">
        <v>62</v>
      </c>
      <c r="V642" s="12">
        <v>0</v>
      </c>
      <c r="W642" s="12">
        <v>46</v>
      </c>
      <c r="X642" s="12">
        <v>2</v>
      </c>
      <c r="Y642" s="12">
        <v>1</v>
      </c>
      <c r="Z642" s="12" t="s">
        <v>67</v>
      </c>
      <c r="AA642" s="12">
        <v>0</v>
      </c>
      <c r="AB642" s="12">
        <v>0</v>
      </c>
      <c r="AC642" s="12">
        <v>1</v>
      </c>
      <c r="AD642" s="12">
        <v>0</v>
      </c>
      <c r="AE642" s="12">
        <v>0</v>
      </c>
      <c r="AF642" s="12">
        <v>0</v>
      </c>
      <c r="AG642" s="12">
        <v>0</v>
      </c>
      <c r="AH642" s="12">
        <v>0</v>
      </c>
      <c r="AI642" s="12">
        <v>4</v>
      </c>
      <c r="AJ642" s="12" t="s">
        <v>64</v>
      </c>
      <c r="AK642" s="12">
        <v>0</v>
      </c>
      <c r="AL642" s="12">
        <v>1</v>
      </c>
      <c r="AM642" s="12">
        <v>3162</v>
      </c>
      <c r="AN642" s="12">
        <f t="shared" ref="AN642:AN705" si="152">IF(AM642&gt;$CD$8,$CD$8,IF(AM642&lt;$CD$9,$CD$9,AM642))</f>
        <v>3162</v>
      </c>
      <c r="AO642" s="12">
        <v>0</v>
      </c>
      <c r="AP642" s="12" t="s">
        <v>59</v>
      </c>
      <c r="AQ642" s="12">
        <v>0</v>
      </c>
      <c r="AR642" s="12">
        <v>17</v>
      </c>
      <c r="AS642" s="12">
        <v>3</v>
      </c>
      <c r="AT642" s="12">
        <v>4</v>
      </c>
      <c r="AU642" s="12">
        <v>0</v>
      </c>
      <c r="AV642" s="12">
        <v>6</v>
      </c>
      <c r="AW642" s="12">
        <f t="shared" ref="AW642:AW705" si="153">IF(AV642&gt;$CD$17,$CD$17,IF(AV642&lt;$CD$18,$CD$18,AV642))</f>
        <v>6</v>
      </c>
      <c r="AX642" s="12">
        <v>2</v>
      </c>
      <c r="AY642" s="12">
        <v>2</v>
      </c>
      <c r="AZ642" s="12">
        <v>5</v>
      </c>
      <c r="BA642" s="12">
        <f t="shared" ref="BA642:BA705" si="154">IF(AZ642&gt; $CD$21,$CD$21,IF(AZ642&lt;$CD$22,$CD$22,AZ642))</f>
        <v>5</v>
      </c>
      <c r="BB642" s="12">
        <v>2</v>
      </c>
      <c r="BC642" s="12">
        <v>3</v>
      </c>
      <c r="BD642" s="12">
        <f t="shared" si="148"/>
        <v>3</v>
      </c>
      <c r="BE642" s="12">
        <v>4</v>
      </c>
      <c r="BF642" s="12">
        <f t="shared" ref="BF642:BF705" si="155">IF(BE642&gt;$CD$12,$CD$12,IF(BE642&lt;$CD$13,$CD$13,BE642))</f>
        <v>4</v>
      </c>
      <c r="BG642" s="12">
        <f t="shared" si="149"/>
        <v>4</v>
      </c>
      <c r="BH642" s="67">
        <v>0</v>
      </c>
      <c r="BI642" s="67">
        <v>1</v>
      </c>
      <c r="BJ642" s="67">
        <v>0</v>
      </c>
      <c r="BK642" s="67">
        <v>0</v>
      </c>
      <c r="BL642" s="67">
        <v>0</v>
      </c>
      <c r="BM642" s="67">
        <v>0</v>
      </c>
      <c r="BN642" s="67">
        <v>1</v>
      </c>
      <c r="BO642" s="67">
        <v>0</v>
      </c>
      <c r="BP642" s="67">
        <v>0</v>
      </c>
      <c r="BQ642" s="67">
        <v>4</v>
      </c>
      <c r="BR642" s="67">
        <v>0</v>
      </c>
      <c r="BS642" s="67">
        <v>0</v>
      </c>
      <c r="BT642" s="67">
        <v>6</v>
      </c>
      <c r="BU642" s="70">
        <v>0</v>
      </c>
      <c r="BV642" s="29">
        <f t="shared" ref="BV642:BV705" si="156">ABS((AM642-AVERAGE(AM:AM))/_xlfn.STDEV.S(AM:AM))</f>
        <v>0.70963508087229332</v>
      </c>
      <c r="BW642">
        <f t="shared" ref="BW642:BW705" si="157">ABS((BE642-AVERAGE(BE:BE))/_xlfn.STDEV.S(BE:BE))</f>
        <v>3.4508002929560584E-2</v>
      </c>
      <c r="BX642">
        <f t="shared" ref="BX642:BX705" si="158">ABS((AV642-AVERAGE(AV:AV))/_xlfn.STDEV.S(AV:AV))</f>
        <v>0.67854260110508058</v>
      </c>
      <c r="BY642">
        <f t="shared" ref="BY642:BY705" si="159">ABS((AZ642-AVERAGE(AZ:AZ))/_xlfn.STDEV.S(AZ:AZ))</f>
        <v>0.32778177112653761</v>
      </c>
      <c r="BZ642">
        <f t="shared" ref="BZ642:BZ705" si="160">ABS((K642-AVERAGE(K:K))/_xlfn.STDEV.S(K:K))</f>
        <v>0.64050867607435136</v>
      </c>
      <c r="CA642">
        <f t="shared" ref="CA642:CA705" si="161">ABS((A642-AVERAGE(A:A))/_xlfn.STDEV.S(A:A))</f>
        <v>1.4146996331543302</v>
      </c>
      <c r="CB642">
        <f t="shared" ref="CB642:CB705" si="162">ABS((BC642-AVERAGE(BC:BC))/_xlfn.STDEV.S(BC:BC))</f>
        <v>0.2520597274726662</v>
      </c>
    </row>
    <row r="643" spans="1:80" x14ac:dyDescent="0.45">
      <c r="A643" s="11">
        <v>32</v>
      </c>
      <c r="B643" s="12">
        <f t="shared" si="150"/>
        <v>32</v>
      </c>
      <c r="C643" s="12" t="s">
        <v>59</v>
      </c>
      <c r="D643" s="12">
        <v>0</v>
      </c>
      <c r="E643" s="12" t="s">
        <v>60</v>
      </c>
      <c r="F643" s="12">
        <v>1</v>
      </c>
      <c r="G643" s="12">
        <v>0</v>
      </c>
      <c r="H643" s="12" t="s">
        <v>54</v>
      </c>
      <c r="I643" s="12">
        <v>0</v>
      </c>
      <c r="J643" s="12">
        <v>1</v>
      </c>
      <c r="K643" s="12">
        <v>5</v>
      </c>
      <c r="L643" s="12">
        <f t="shared" si="151"/>
        <v>5</v>
      </c>
      <c r="M643" s="12">
        <v>2</v>
      </c>
      <c r="N643" s="12" t="s">
        <v>55</v>
      </c>
      <c r="O643" s="12">
        <v>1</v>
      </c>
      <c r="P643" s="12">
        <v>0</v>
      </c>
      <c r="Q643" s="12">
        <v>0</v>
      </c>
      <c r="R643" s="12">
        <v>0</v>
      </c>
      <c r="S643" s="12">
        <v>0</v>
      </c>
      <c r="T643" s="12">
        <v>2</v>
      </c>
      <c r="U643" s="12" t="s">
        <v>62</v>
      </c>
      <c r="V643" s="12">
        <v>0</v>
      </c>
      <c r="W643" s="12">
        <v>48</v>
      </c>
      <c r="X643" s="12">
        <v>3</v>
      </c>
      <c r="Y643" s="12">
        <v>2</v>
      </c>
      <c r="Z643" s="12" t="s">
        <v>56</v>
      </c>
      <c r="AA643" s="12">
        <v>0</v>
      </c>
      <c r="AB643" s="12">
        <v>1</v>
      </c>
      <c r="AC643" s="12">
        <v>0</v>
      </c>
      <c r="AD643" s="12">
        <v>0</v>
      </c>
      <c r="AE643" s="12">
        <v>0</v>
      </c>
      <c r="AF643" s="12">
        <v>0</v>
      </c>
      <c r="AG643" s="12">
        <v>0</v>
      </c>
      <c r="AH643" s="12">
        <v>0</v>
      </c>
      <c r="AI643" s="12">
        <v>2</v>
      </c>
      <c r="AJ643" s="12" t="s">
        <v>64</v>
      </c>
      <c r="AK643" s="12">
        <v>0</v>
      </c>
      <c r="AL643" s="12">
        <v>1</v>
      </c>
      <c r="AM643" s="12">
        <v>6524</v>
      </c>
      <c r="AN643" s="12">
        <f t="shared" si="152"/>
        <v>6524</v>
      </c>
      <c r="AO643" s="12">
        <v>1</v>
      </c>
      <c r="AP643" s="12" t="s">
        <v>59</v>
      </c>
      <c r="AQ643" s="12">
        <v>0</v>
      </c>
      <c r="AR643" s="12">
        <v>14</v>
      </c>
      <c r="AS643" s="12">
        <v>3</v>
      </c>
      <c r="AT643" s="12">
        <v>4</v>
      </c>
      <c r="AU643" s="12">
        <v>1</v>
      </c>
      <c r="AV643" s="12">
        <v>10</v>
      </c>
      <c r="AW643" s="12">
        <f t="shared" si="153"/>
        <v>10</v>
      </c>
      <c r="AX643" s="12">
        <v>3</v>
      </c>
      <c r="AY643" s="12">
        <v>3</v>
      </c>
      <c r="AZ643" s="12">
        <v>10</v>
      </c>
      <c r="BA643" s="12">
        <f t="shared" si="154"/>
        <v>10</v>
      </c>
      <c r="BB643" s="12">
        <v>8</v>
      </c>
      <c r="BC643" s="12">
        <v>5</v>
      </c>
      <c r="BD643" s="12">
        <f t="shared" ref="BD643:BD706" si="163">IF(BC643&gt;$CD$33,$CD$33,BC643)</f>
        <v>5</v>
      </c>
      <c r="BE643" s="12">
        <v>3</v>
      </c>
      <c r="BF643" s="12">
        <f t="shared" si="155"/>
        <v>3</v>
      </c>
      <c r="BG643" s="12">
        <f t="shared" ref="BG643:BG706" si="164">BF643*Y643</f>
        <v>6</v>
      </c>
      <c r="BH643" s="67">
        <v>0</v>
      </c>
      <c r="BI643" s="67">
        <v>0</v>
      </c>
      <c r="BJ643" s="67">
        <v>0</v>
      </c>
      <c r="BK643" s="67">
        <v>1</v>
      </c>
      <c r="BL643" s="67">
        <v>0</v>
      </c>
      <c r="BM643" s="67">
        <v>0</v>
      </c>
      <c r="BN643" s="67">
        <v>1</v>
      </c>
      <c r="BO643" s="67">
        <v>0</v>
      </c>
      <c r="BP643" s="67">
        <v>0</v>
      </c>
      <c r="BQ643" s="67">
        <v>0</v>
      </c>
      <c r="BR643" s="67">
        <v>3</v>
      </c>
      <c r="BS643" s="67">
        <v>0</v>
      </c>
      <c r="BT643" s="67">
        <v>0</v>
      </c>
      <c r="BU643" s="70">
        <v>10</v>
      </c>
      <c r="BV643" s="29">
        <f t="shared" si="156"/>
        <v>4.4751276304471638E-3</v>
      </c>
      <c r="BW643">
        <f t="shared" si="157"/>
        <v>0.31476636926356072</v>
      </c>
      <c r="BX643">
        <f t="shared" si="158"/>
        <v>0.1644554352117841</v>
      </c>
      <c r="BY643">
        <f t="shared" si="159"/>
        <v>0.48834154112957734</v>
      </c>
      <c r="BZ643">
        <f t="shared" si="160"/>
        <v>0.51715642219916513</v>
      </c>
      <c r="CA643">
        <f t="shared" si="161"/>
        <v>0.53898283739188557</v>
      </c>
      <c r="CB643">
        <f t="shared" si="162"/>
        <v>0.87270930768174382</v>
      </c>
    </row>
    <row r="644" spans="1:80" x14ac:dyDescent="0.45">
      <c r="A644" s="11">
        <v>38</v>
      </c>
      <c r="B644" s="12">
        <f t="shared" si="150"/>
        <v>38</v>
      </c>
      <c r="C644" s="12" t="s">
        <v>59</v>
      </c>
      <c r="D644" s="12">
        <v>0</v>
      </c>
      <c r="E644" s="12" t="s">
        <v>53</v>
      </c>
      <c r="F644" s="12">
        <v>0</v>
      </c>
      <c r="G644" s="12">
        <v>1</v>
      </c>
      <c r="H644" s="12" t="s">
        <v>54</v>
      </c>
      <c r="I644" s="12">
        <v>0</v>
      </c>
      <c r="J644" s="12">
        <v>1</v>
      </c>
      <c r="K644" s="12">
        <v>9</v>
      </c>
      <c r="L644" s="12">
        <f t="shared" si="151"/>
        <v>9</v>
      </c>
      <c r="M644" s="12">
        <v>3</v>
      </c>
      <c r="N644" s="12" t="s">
        <v>90</v>
      </c>
      <c r="O644" s="12">
        <v>0</v>
      </c>
      <c r="P644" s="12">
        <v>0</v>
      </c>
      <c r="Q644" s="12">
        <v>0</v>
      </c>
      <c r="R644" s="12">
        <v>1</v>
      </c>
      <c r="S644" s="12">
        <v>0</v>
      </c>
      <c r="T644" s="12">
        <v>2</v>
      </c>
      <c r="U644" s="12" t="s">
        <v>62</v>
      </c>
      <c r="V644" s="12">
        <v>0</v>
      </c>
      <c r="W644" s="12">
        <v>98</v>
      </c>
      <c r="X644" s="12">
        <v>2</v>
      </c>
      <c r="Y644" s="12">
        <v>1</v>
      </c>
      <c r="Z644" s="12" t="s">
        <v>88</v>
      </c>
      <c r="AA644" s="12">
        <v>0</v>
      </c>
      <c r="AB644" s="12">
        <v>0</v>
      </c>
      <c r="AC644" s="12">
        <v>0</v>
      </c>
      <c r="AD644" s="12">
        <v>0</v>
      </c>
      <c r="AE644" s="12">
        <v>0</v>
      </c>
      <c r="AF644" s="12">
        <v>0</v>
      </c>
      <c r="AG644" s="12">
        <v>1</v>
      </c>
      <c r="AH644" s="12">
        <v>0</v>
      </c>
      <c r="AI644" s="12">
        <v>2</v>
      </c>
      <c r="AJ644" s="12" t="s">
        <v>64</v>
      </c>
      <c r="AK644" s="12">
        <v>0</v>
      </c>
      <c r="AL644" s="12">
        <v>1</v>
      </c>
      <c r="AM644" s="12">
        <v>2899</v>
      </c>
      <c r="AN644" s="12">
        <f t="shared" si="152"/>
        <v>2899</v>
      </c>
      <c r="AO644" s="12">
        <v>0</v>
      </c>
      <c r="AP644" s="12" t="s">
        <v>59</v>
      </c>
      <c r="AQ644" s="12">
        <v>0</v>
      </c>
      <c r="AR644" s="12">
        <v>19</v>
      </c>
      <c r="AS644" s="12">
        <v>3</v>
      </c>
      <c r="AT644" s="12">
        <v>4</v>
      </c>
      <c r="AU644" s="12">
        <v>1</v>
      </c>
      <c r="AV644" s="12">
        <v>3</v>
      </c>
      <c r="AW644" s="12">
        <f t="shared" si="153"/>
        <v>3</v>
      </c>
      <c r="AX644" s="12">
        <v>3</v>
      </c>
      <c r="AY644" s="12">
        <v>3</v>
      </c>
      <c r="AZ644" s="12">
        <v>2</v>
      </c>
      <c r="BA644" s="12">
        <f t="shared" si="154"/>
        <v>2</v>
      </c>
      <c r="BB644" s="12">
        <v>2</v>
      </c>
      <c r="BC644" s="12">
        <v>1</v>
      </c>
      <c r="BD644" s="12">
        <f t="shared" si="163"/>
        <v>1</v>
      </c>
      <c r="BE644" s="12">
        <v>2</v>
      </c>
      <c r="BF644" s="12">
        <f t="shared" si="155"/>
        <v>2</v>
      </c>
      <c r="BG644" s="12">
        <f t="shared" si="164"/>
        <v>2</v>
      </c>
      <c r="BH644" s="67">
        <v>0</v>
      </c>
      <c r="BI644" s="67">
        <v>1</v>
      </c>
      <c r="BJ644" s="67">
        <v>0</v>
      </c>
      <c r="BK644" s="67">
        <v>0</v>
      </c>
      <c r="BL644" s="67">
        <v>0</v>
      </c>
      <c r="BM644" s="67">
        <v>0</v>
      </c>
      <c r="BN644" s="67">
        <v>1</v>
      </c>
      <c r="BO644" s="67">
        <v>0</v>
      </c>
      <c r="BP644" s="67">
        <v>0</v>
      </c>
      <c r="BQ644" s="67">
        <v>0</v>
      </c>
      <c r="BR644" s="67">
        <v>2</v>
      </c>
      <c r="BS644" s="67">
        <v>0</v>
      </c>
      <c r="BT644" s="67">
        <v>0</v>
      </c>
      <c r="BU644" s="70">
        <v>3</v>
      </c>
      <c r="BV644" s="29">
        <f t="shared" si="156"/>
        <v>0.76549795560049705</v>
      </c>
      <c r="BW644">
        <f t="shared" si="157"/>
        <v>0.59502473559756086</v>
      </c>
      <c r="BX644">
        <f t="shared" si="158"/>
        <v>1.0641079755250529</v>
      </c>
      <c r="BY644">
        <f t="shared" si="159"/>
        <v>0.81745575848020657</v>
      </c>
      <c r="BZ644">
        <f t="shared" si="160"/>
        <v>2.3747406698420157E-2</v>
      </c>
      <c r="CA644">
        <f t="shared" si="161"/>
        <v>0.11780475942994788</v>
      </c>
      <c r="CB644">
        <f t="shared" si="162"/>
        <v>0.36858985273641137</v>
      </c>
    </row>
    <row r="645" spans="1:80" x14ac:dyDescent="0.45">
      <c r="A645" s="11">
        <v>42</v>
      </c>
      <c r="B645" s="12">
        <f t="shared" si="150"/>
        <v>42</v>
      </c>
      <c r="C645" s="12" t="s">
        <v>59</v>
      </c>
      <c r="D645" s="12">
        <v>0</v>
      </c>
      <c r="E645" s="12" t="s">
        <v>53</v>
      </c>
      <c r="F645" s="12">
        <v>0</v>
      </c>
      <c r="G645" s="12">
        <v>1</v>
      </c>
      <c r="H645" s="12" t="s">
        <v>61</v>
      </c>
      <c r="I645" s="12">
        <v>1</v>
      </c>
      <c r="J645" s="12">
        <v>0</v>
      </c>
      <c r="K645" s="12">
        <v>3</v>
      </c>
      <c r="L645" s="12">
        <f t="shared" si="151"/>
        <v>3</v>
      </c>
      <c r="M645" s="12">
        <v>3</v>
      </c>
      <c r="N645" s="12" t="s">
        <v>55</v>
      </c>
      <c r="O645" s="12">
        <v>1</v>
      </c>
      <c r="P645" s="12">
        <v>0</v>
      </c>
      <c r="Q645" s="12">
        <v>0</v>
      </c>
      <c r="R645" s="12">
        <v>0</v>
      </c>
      <c r="S645" s="12">
        <v>0</v>
      </c>
      <c r="T645" s="12">
        <v>3</v>
      </c>
      <c r="U645" s="12" t="s">
        <v>19</v>
      </c>
      <c r="V645" s="12">
        <v>1</v>
      </c>
      <c r="W645" s="12">
        <v>95</v>
      </c>
      <c r="X645" s="12">
        <v>4</v>
      </c>
      <c r="Y645" s="12">
        <v>2</v>
      </c>
      <c r="Z645" s="12" t="s">
        <v>67</v>
      </c>
      <c r="AA645" s="12">
        <v>0</v>
      </c>
      <c r="AB645" s="12">
        <v>0</v>
      </c>
      <c r="AC645" s="12">
        <v>1</v>
      </c>
      <c r="AD645" s="12">
        <v>0</v>
      </c>
      <c r="AE645" s="12">
        <v>0</v>
      </c>
      <c r="AF645" s="12">
        <v>0</v>
      </c>
      <c r="AG645" s="12">
        <v>0</v>
      </c>
      <c r="AH645" s="12">
        <v>0</v>
      </c>
      <c r="AI645" s="12">
        <v>4</v>
      </c>
      <c r="AJ645" s="12" t="s">
        <v>64</v>
      </c>
      <c r="AK645" s="12">
        <v>0</v>
      </c>
      <c r="AL645" s="12">
        <v>1</v>
      </c>
      <c r="AM645" s="12">
        <v>5231</v>
      </c>
      <c r="AN645" s="12">
        <f t="shared" si="152"/>
        <v>5231</v>
      </c>
      <c r="AO645" s="12">
        <v>2</v>
      </c>
      <c r="AP645" s="12" t="s">
        <v>52</v>
      </c>
      <c r="AQ645" s="12">
        <v>1</v>
      </c>
      <c r="AR645" s="12">
        <v>13</v>
      </c>
      <c r="AS645" s="12">
        <v>3</v>
      </c>
      <c r="AT645" s="12">
        <v>2</v>
      </c>
      <c r="AU645" s="12">
        <v>1</v>
      </c>
      <c r="AV645" s="12">
        <v>17</v>
      </c>
      <c r="AW645" s="12">
        <f t="shared" si="153"/>
        <v>17</v>
      </c>
      <c r="AX645" s="12">
        <v>1</v>
      </c>
      <c r="AY645" s="12">
        <v>2</v>
      </c>
      <c r="AZ645" s="12">
        <v>5</v>
      </c>
      <c r="BA645" s="12">
        <f t="shared" si="154"/>
        <v>5</v>
      </c>
      <c r="BB645" s="12">
        <v>3</v>
      </c>
      <c r="BC645" s="12">
        <v>1</v>
      </c>
      <c r="BD645" s="12">
        <f t="shared" si="163"/>
        <v>1</v>
      </c>
      <c r="BE645" s="12">
        <v>3</v>
      </c>
      <c r="BF645" s="12">
        <f t="shared" si="155"/>
        <v>3</v>
      </c>
      <c r="BG645" s="12">
        <f t="shared" si="164"/>
        <v>6</v>
      </c>
      <c r="BH645" s="67">
        <v>0</v>
      </c>
      <c r="BI645" s="67">
        <v>1</v>
      </c>
      <c r="BJ645" s="67">
        <v>0</v>
      </c>
      <c r="BK645" s="67">
        <v>0</v>
      </c>
      <c r="BL645" s="67">
        <v>0</v>
      </c>
      <c r="BM645" s="67">
        <v>0</v>
      </c>
      <c r="BN645" s="67">
        <v>0</v>
      </c>
      <c r="BO645" s="67">
        <v>1</v>
      </c>
      <c r="BP645" s="67">
        <v>0</v>
      </c>
      <c r="BQ645" s="67">
        <v>3</v>
      </c>
      <c r="BR645" s="67">
        <v>0</v>
      </c>
      <c r="BS645" s="67">
        <v>0</v>
      </c>
      <c r="BT645" s="67">
        <v>17</v>
      </c>
      <c r="BU645" s="70">
        <v>0</v>
      </c>
      <c r="BV645" s="29">
        <f t="shared" si="156"/>
        <v>0.27016630591923857</v>
      </c>
      <c r="BW645">
        <f t="shared" si="157"/>
        <v>0.31476636926356072</v>
      </c>
      <c r="BX645">
        <f t="shared" si="158"/>
        <v>0.73519710510148462</v>
      </c>
      <c r="BY645">
        <f t="shared" si="159"/>
        <v>0.32778177112653761</v>
      </c>
      <c r="BZ645">
        <f t="shared" si="160"/>
        <v>0.76386092994953758</v>
      </c>
      <c r="CA645">
        <f t="shared" si="161"/>
        <v>0.55566315731117022</v>
      </c>
      <c r="CB645">
        <f t="shared" si="162"/>
        <v>0.36858985273641137</v>
      </c>
    </row>
    <row r="646" spans="1:80" x14ac:dyDescent="0.45">
      <c r="A646" s="11">
        <v>31</v>
      </c>
      <c r="B646" s="12">
        <f t="shared" si="150"/>
        <v>31</v>
      </c>
      <c r="C646" s="12" t="s">
        <v>59</v>
      </c>
      <c r="D646" s="12">
        <v>0</v>
      </c>
      <c r="E646" s="12" t="s">
        <v>53</v>
      </c>
      <c r="F646" s="12">
        <v>0</v>
      </c>
      <c r="G646" s="12">
        <v>1</v>
      </c>
      <c r="H646" s="12" t="s">
        <v>61</v>
      </c>
      <c r="I646" s="12">
        <v>1</v>
      </c>
      <c r="J646" s="12">
        <v>0</v>
      </c>
      <c r="K646" s="12">
        <v>11</v>
      </c>
      <c r="L646" s="12">
        <f t="shared" si="151"/>
        <v>11</v>
      </c>
      <c r="M646" s="12">
        <v>4</v>
      </c>
      <c r="N646" s="12" t="s">
        <v>55</v>
      </c>
      <c r="O646" s="12">
        <v>1</v>
      </c>
      <c r="P646" s="12">
        <v>0</v>
      </c>
      <c r="Q646" s="12">
        <v>0</v>
      </c>
      <c r="R646" s="12">
        <v>0</v>
      </c>
      <c r="S646" s="12">
        <v>0</v>
      </c>
      <c r="T646" s="12">
        <v>4</v>
      </c>
      <c r="U646" s="12" t="s">
        <v>62</v>
      </c>
      <c r="V646" s="12">
        <v>0</v>
      </c>
      <c r="W646" s="12">
        <v>48</v>
      </c>
      <c r="X646" s="12">
        <v>3</v>
      </c>
      <c r="Y646" s="12">
        <v>1</v>
      </c>
      <c r="Z646" s="12" t="s">
        <v>63</v>
      </c>
      <c r="AA646" s="12">
        <v>0</v>
      </c>
      <c r="AB646" s="12">
        <v>0</v>
      </c>
      <c r="AC646" s="12">
        <v>0</v>
      </c>
      <c r="AD646" s="12">
        <v>0</v>
      </c>
      <c r="AE646" s="12">
        <v>0</v>
      </c>
      <c r="AF646" s="12">
        <v>0</v>
      </c>
      <c r="AG646" s="12">
        <v>0</v>
      </c>
      <c r="AH646" s="12">
        <v>1</v>
      </c>
      <c r="AI646" s="12">
        <v>4</v>
      </c>
      <c r="AJ646" s="12" t="s">
        <v>64</v>
      </c>
      <c r="AK646" s="12">
        <v>0</v>
      </c>
      <c r="AL646" s="12">
        <v>1</v>
      </c>
      <c r="AM646" s="12">
        <v>2356</v>
      </c>
      <c r="AN646" s="12">
        <f t="shared" si="152"/>
        <v>2356</v>
      </c>
      <c r="AO646" s="12">
        <v>3</v>
      </c>
      <c r="AP646" s="12" t="s">
        <v>52</v>
      </c>
      <c r="AQ646" s="12">
        <v>1</v>
      </c>
      <c r="AR646" s="12">
        <v>19</v>
      </c>
      <c r="AS646" s="12">
        <v>3</v>
      </c>
      <c r="AT646" s="12">
        <v>2</v>
      </c>
      <c r="AU646" s="12">
        <v>1</v>
      </c>
      <c r="AV646" s="12">
        <v>8</v>
      </c>
      <c r="AW646" s="12">
        <f t="shared" si="153"/>
        <v>8</v>
      </c>
      <c r="AX646" s="12">
        <v>2</v>
      </c>
      <c r="AY646" s="12">
        <v>3</v>
      </c>
      <c r="AZ646" s="12">
        <v>6</v>
      </c>
      <c r="BA646" s="12">
        <f t="shared" si="154"/>
        <v>6</v>
      </c>
      <c r="BB646" s="12">
        <v>4</v>
      </c>
      <c r="BC646" s="12">
        <v>0</v>
      </c>
      <c r="BD646" s="12">
        <f t="shared" si="163"/>
        <v>0</v>
      </c>
      <c r="BE646" s="12">
        <v>2</v>
      </c>
      <c r="BF646" s="12">
        <f t="shared" si="155"/>
        <v>2</v>
      </c>
      <c r="BG646" s="12">
        <f t="shared" si="164"/>
        <v>2</v>
      </c>
      <c r="BH646" s="67">
        <v>0</v>
      </c>
      <c r="BI646" s="67">
        <v>1</v>
      </c>
      <c r="BJ646" s="67">
        <v>0</v>
      </c>
      <c r="BK646" s="67">
        <v>0</v>
      </c>
      <c r="BL646" s="67">
        <v>0</v>
      </c>
      <c r="BM646" s="67">
        <v>0</v>
      </c>
      <c r="BN646" s="67">
        <v>0</v>
      </c>
      <c r="BO646" s="67">
        <v>1</v>
      </c>
      <c r="BP646" s="67">
        <v>0</v>
      </c>
      <c r="BQ646" s="67">
        <v>2</v>
      </c>
      <c r="BR646" s="67">
        <v>0</v>
      </c>
      <c r="BS646" s="67">
        <v>0</v>
      </c>
      <c r="BT646" s="67">
        <v>8</v>
      </c>
      <c r="BU646" s="70">
        <v>0</v>
      </c>
      <c r="BV646" s="29">
        <f t="shared" si="156"/>
        <v>0.8808346133092978</v>
      </c>
      <c r="BW646">
        <f t="shared" si="157"/>
        <v>0.59502473559756086</v>
      </c>
      <c r="BX646">
        <f t="shared" si="158"/>
        <v>0.42149901815843233</v>
      </c>
      <c r="BY646">
        <f t="shared" si="159"/>
        <v>0.16455710867531462</v>
      </c>
      <c r="BZ646">
        <f t="shared" si="160"/>
        <v>0.22295710105195232</v>
      </c>
      <c r="CA646">
        <f t="shared" si="161"/>
        <v>0.6484474368621912</v>
      </c>
      <c r="CB646">
        <f t="shared" si="162"/>
        <v>0.67891464284095016</v>
      </c>
    </row>
    <row r="647" spans="1:80" x14ac:dyDescent="0.45">
      <c r="A647" s="11">
        <v>29</v>
      </c>
      <c r="B647" s="12">
        <f t="shared" si="150"/>
        <v>29</v>
      </c>
      <c r="C647" s="12" t="s">
        <v>52</v>
      </c>
      <c r="D647" s="12">
        <v>1</v>
      </c>
      <c r="E647" s="12" t="s">
        <v>53</v>
      </c>
      <c r="F647" s="12">
        <v>0</v>
      </c>
      <c r="G647" s="12">
        <v>1</v>
      </c>
      <c r="H647" s="12" t="s">
        <v>54</v>
      </c>
      <c r="I647" s="12">
        <v>0</v>
      </c>
      <c r="J647" s="12">
        <v>1</v>
      </c>
      <c r="K647" s="12">
        <v>1</v>
      </c>
      <c r="L647" s="12">
        <f t="shared" si="151"/>
        <v>1</v>
      </c>
      <c r="M647" s="12">
        <v>3</v>
      </c>
      <c r="N647" s="12" t="s">
        <v>70</v>
      </c>
      <c r="O647" s="12">
        <v>0</v>
      </c>
      <c r="P647" s="12">
        <v>0</v>
      </c>
      <c r="Q647" s="12">
        <v>1</v>
      </c>
      <c r="R647" s="12">
        <v>0</v>
      </c>
      <c r="S647" s="12">
        <v>0</v>
      </c>
      <c r="T647" s="12">
        <v>2</v>
      </c>
      <c r="U647" s="12" t="s">
        <v>19</v>
      </c>
      <c r="V647" s="12">
        <v>1</v>
      </c>
      <c r="W647" s="12">
        <v>48</v>
      </c>
      <c r="X647" s="12">
        <v>2</v>
      </c>
      <c r="Y647" s="12">
        <v>1</v>
      </c>
      <c r="Z647" s="12" t="s">
        <v>88</v>
      </c>
      <c r="AA647" s="12">
        <v>0</v>
      </c>
      <c r="AB647" s="12">
        <v>0</v>
      </c>
      <c r="AC647" s="12">
        <v>0</v>
      </c>
      <c r="AD647" s="12">
        <v>0</v>
      </c>
      <c r="AE647" s="12">
        <v>0</v>
      </c>
      <c r="AF647" s="12">
        <v>0</v>
      </c>
      <c r="AG647" s="12">
        <v>1</v>
      </c>
      <c r="AH647" s="12">
        <v>0</v>
      </c>
      <c r="AI647" s="12">
        <v>3</v>
      </c>
      <c r="AJ647" s="12" t="s">
        <v>78</v>
      </c>
      <c r="AK647" s="12">
        <v>0</v>
      </c>
      <c r="AL647" s="12">
        <v>0</v>
      </c>
      <c r="AM647" s="12">
        <v>2800</v>
      </c>
      <c r="AN647" s="12">
        <f t="shared" si="152"/>
        <v>2800</v>
      </c>
      <c r="AO647" s="12">
        <v>6</v>
      </c>
      <c r="AP647" s="12" t="s">
        <v>52</v>
      </c>
      <c r="AQ647" s="12">
        <v>1</v>
      </c>
      <c r="AR647" s="12">
        <v>19</v>
      </c>
      <c r="AS647" s="12">
        <v>3</v>
      </c>
      <c r="AT647" s="12">
        <v>3</v>
      </c>
      <c r="AU647" s="12">
        <v>3</v>
      </c>
      <c r="AV647" s="12">
        <v>5</v>
      </c>
      <c r="AW647" s="12">
        <f t="shared" si="153"/>
        <v>5</v>
      </c>
      <c r="AX647" s="12">
        <v>3</v>
      </c>
      <c r="AY647" s="12">
        <v>3</v>
      </c>
      <c r="AZ647" s="12">
        <v>3</v>
      </c>
      <c r="BA647" s="12">
        <f t="shared" si="154"/>
        <v>3</v>
      </c>
      <c r="BB647" s="12">
        <v>2</v>
      </c>
      <c r="BC647" s="12">
        <v>0</v>
      </c>
      <c r="BD647" s="12">
        <f t="shared" si="163"/>
        <v>0</v>
      </c>
      <c r="BE647" s="12">
        <v>2</v>
      </c>
      <c r="BF647" s="12">
        <f t="shared" si="155"/>
        <v>2</v>
      </c>
      <c r="BG647" s="12">
        <f t="shared" si="164"/>
        <v>2</v>
      </c>
      <c r="BH647" s="67">
        <v>1</v>
      </c>
      <c r="BI647" s="67">
        <v>0</v>
      </c>
      <c r="BJ647" s="67">
        <v>0</v>
      </c>
      <c r="BK647" s="67">
        <v>0</v>
      </c>
      <c r="BL647" s="67">
        <v>0</v>
      </c>
      <c r="BM647" s="67">
        <v>1</v>
      </c>
      <c r="BN647" s="67">
        <v>0</v>
      </c>
      <c r="BO647" s="67">
        <v>0</v>
      </c>
      <c r="BP647" s="67">
        <v>0</v>
      </c>
      <c r="BQ647" s="67">
        <v>0</v>
      </c>
      <c r="BR647" s="67">
        <v>2</v>
      </c>
      <c r="BS647" s="67">
        <v>0</v>
      </c>
      <c r="BT647" s="67">
        <v>0</v>
      </c>
      <c r="BU647" s="70">
        <v>5</v>
      </c>
      <c r="BV647" s="29">
        <f t="shared" si="156"/>
        <v>0.78652618601149382</v>
      </c>
      <c r="BW647">
        <f t="shared" si="157"/>
        <v>0.59502473559756086</v>
      </c>
      <c r="BX647">
        <f t="shared" si="158"/>
        <v>0.80706439257840468</v>
      </c>
      <c r="BY647">
        <f t="shared" si="159"/>
        <v>0.65423109602898355</v>
      </c>
      <c r="BZ647">
        <f t="shared" si="160"/>
        <v>1.01056543769991</v>
      </c>
      <c r="CA647">
        <f t="shared" si="161"/>
        <v>0.86737663580280233</v>
      </c>
      <c r="CB647">
        <f t="shared" si="162"/>
        <v>0.67891464284095016</v>
      </c>
    </row>
    <row r="648" spans="1:80" x14ac:dyDescent="0.45">
      <c r="A648" s="11">
        <v>53</v>
      </c>
      <c r="B648" s="12">
        <f t="shared" si="150"/>
        <v>53</v>
      </c>
      <c r="C648" s="12" t="s">
        <v>59</v>
      </c>
      <c r="D648" s="12">
        <v>0</v>
      </c>
      <c r="E648" s="12" t="s">
        <v>53</v>
      </c>
      <c r="F648" s="12">
        <v>0</v>
      </c>
      <c r="G648" s="12">
        <v>1</v>
      </c>
      <c r="H648" s="12" t="s">
        <v>54</v>
      </c>
      <c r="I648" s="12">
        <v>0</v>
      </c>
      <c r="J648" s="12">
        <v>1</v>
      </c>
      <c r="K648" s="12">
        <v>8</v>
      </c>
      <c r="L648" s="12">
        <f t="shared" si="151"/>
        <v>8</v>
      </c>
      <c r="M648" s="12">
        <v>3</v>
      </c>
      <c r="N648" s="12" t="s">
        <v>90</v>
      </c>
      <c r="O648" s="12">
        <v>0</v>
      </c>
      <c r="P648" s="12">
        <v>0</v>
      </c>
      <c r="Q648" s="12">
        <v>0</v>
      </c>
      <c r="R648" s="12">
        <v>1</v>
      </c>
      <c r="S648" s="12">
        <v>0</v>
      </c>
      <c r="T648" s="12">
        <v>1</v>
      </c>
      <c r="U648" s="12" t="s">
        <v>62</v>
      </c>
      <c r="V648" s="12">
        <v>0</v>
      </c>
      <c r="W648" s="12">
        <v>73</v>
      </c>
      <c r="X648" s="12">
        <v>3</v>
      </c>
      <c r="Y648" s="12">
        <v>4</v>
      </c>
      <c r="Z648" s="12" t="s">
        <v>56</v>
      </c>
      <c r="AA648" s="12">
        <v>0</v>
      </c>
      <c r="AB648" s="12">
        <v>1</v>
      </c>
      <c r="AC648" s="12">
        <v>0</v>
      </c>
      <c r="AD648" s="12">
        <v>0</v>
      </c>
      <c r="AE648" s="12">
        <v>0</v>
      </c>
      <c r="AF648" s="12">
        <v>0</v>
      </c>
      <c r="AG648" s="12">
        <v>0</v>
      </c>
      <c r="AH648" s="12">
        <v>0</v>
      </c>
      <c r="AI648" s="12">
        <v>4</v>
      </c>
      <c r="AJ648" s="12" t="s">
        <v>64</v>
      </c>
      <c r="AK648" s="12">
        <v>0</v>
      </c>
      <c r="AL648" s="12">
        <v>1</v>
      </c>
      <c r="AM648" s="12">
        <v>11836</v>
      </c>
      <c r="AN648" s="12">
        <f t="shared" si="152"/>
        <v>11836</v>
      </c>
      <c r="AO648" s="12">
        <v>5</v>
      </c>
      <c r="AP648" s="12" t="s">
        <v>59</v>
      </c>
      <c r="AQ648" s="12">
        <v>0</v>
      </c>
      <c r="AR648" s="12">
        <v>14</v>
      </c>
      <c r="AS648" s="12">
        <v>3</v>
      </c>
      <c r="AT648" s="12">
        <v>3</v>
      </c>
      <c r="AU648" s="12">
        <v>1</v>
      </c>
      <c r="AV648" s="12">
        <v>28</v>
      </c>
      <c r="AW648" s="12">
        <f t="shared" si="153"/>
        <v>28</v>
      </c>
      <c r="AX648" s="12">
        <v>3</v>
      </c>
      <c r="AY648" s="12">
        <v>3</v>
      </c>
      <c r="AZ648" s="12">
        <v>2</v>
      </c>
      <c r="BA648" s="12">
        <f t="shared" si="154"/>
        <v>2</v>
      </c>
      <c r="BB648" s="12">
        <v>0</v>
      </c>
      <c r="BC648" s="12">
        <v>2</v>
      </c>
      <c r="BD648" s="12">
        <f t="shared" si="163"/>
        <v>2</v>
      </c>
      <c r="BE648" s="12">
        <v>2</v>
      </c>
      <c r="BF648" s="12">
        <f t="shared" si="155"/>
        <v>2</v>
      </c>
      <c r="BG648" s="12">
        <f t="shared" si="164"/>
        <v>8</v>
      </c>
      <c r="BH648" s="67">
        <v>0</v>
      </c>
      <c r="BI648" s="67">
        <v>1</v>
      </c>
      <c r="BJ648" s="67">
        <v>0</v>
      </c>
      <c r="BK648" s="67">
        <v>0</v>
      </c>
      <c r="BL648" s="67">
        <v>0</v>
      </c>
      <c r="BM648" s="67">
        <v>0</v>
      </c>
      <c r="BN648" s="67">
        <v>1</v>
      </c>
      <c r="BO648" s="67">
        <v>0</v>
      </c>
      <c r="BP648" s="67">
        <v>0</v>
      </c>
      <c r="BQ648" s="67">
        <v>0</v>
      </c>
      <c r="BR648" s="67">
        <v>2</v>
      </c>
      <c r="BS648" s="67">
        <v>0</v>
      </c>
      <c r="BT648" s="67">
        <v>0</v>
      </c>
      <c r="BU648" s="70">
        <v>28</v>
      </c>
      <c r="BV648" s="29">
        <f t="shared" si="156"/>
        <v>1.1327777533194887</v>
      </c>
      <c r="BW648">
        <f t="shared" si="157"/>
        <v>0.59502473559756086</v>
      </c>
      <c r="BX648">
        <f t="shared" si="158"/>
        <v>2.1489368113080496</v>
      </c>
      <c r="BY648">
        <f t="shared" si="159"/>
        <v>0.81745575848020657</v>
      </c>
      <c r="BZ648">
        <f t="shared" si="160"/>
        <v>0.14709966057360641</v>
      </c>
      <c r="CA648">
        <f t="shared" si="161"/>
        <v>1.7597737514845315</v>
      </c>
      <c r="CB648">
        <f t="shared" si="162"/>
        <v>5.8265062631872602E-2</v>
      </c>
    </row>
    <row r="649" spans="1:80" x14ac:dyDescent="0.45">
      <c r="A649" s="11">
        <v>35</v>
      </c>
      <c r="B649" s="12">
        <f t="shared" si="150"/>
        <v>35</v>
      </c>
      <c r="C649" s="12" t="s">
        <v>59</v>
      </c>
      <c r="D649" s="12">
        <v>0</v>
      </c>
      <c r="E649" s="12" t="s">
        <v>53</v>
      </c>
      <c r="F649" s="12">
        <v>0</v>
      </c>
      <c r="G649" s="12">
        <v>1</v>
      </c>
      <c r="H649" s="12" t="s">
        <v>61</v>
      </c>
      <c r="I649" s="12">
        <v>1</v>
      </c>
      <c r="J649" s="12">
        <v>0</v>
      </c>
      <c r="K649" s="12">
        <v>25</v>
      </c>
      <c r="L649" s="12">
        <f t="shared" si="151"/>
        <v>25</v>
      </c>
      <c r="M649" s="12">
        <v>3</v>
      </c>
      <c r="N649" s="12" t="s">
        <v>91</v>
      </c>
      <c r="O649" s="12">
        <v>0</v>
      </c>
      <c r="P649" s="12">
        <v>0</v>
      </c>
      <c r="Q649" s="12">
        <v>0</v>
      </c>
      <c r="R649" s="12">
        <v>0</v>
      </c>
      <c r="S649" s="12">
        <v>1</v>
      </c>
      <c r="T649" s="12">
        <v>4</v>
      </c>
      <c r="U649" s="12" t="s">
        <v>62</v>
      </c>
      <c r="V649" s="12">
        <v>0</v>
      </c>
      <c r="W649" s="12">
        <v>78</v>
      </c>
      <c r="X649" s="12">
        <v>2</v>
      </c>
      <c r="Y649" s="12">
        <v>3</v>
      </c>
      <c r="Z649" s="12" t="s">
        <v>83</v>
      </c>
      <c r="AA649" s="12">
        <v>0</v>
      </c>
      <c r="AB649" s="12">
        <v>0</v>
      </c>
      <c r="AC649" s="12">
        <v>0</v>
      </c>
      <c r="AD649" s="12">
        <v>0</v>
      </c>
      <c r="AE649" s="12">
        <v>1</v>
      </c>
      <c r="AF649" s="12">
        <v>1</v>
      </c>
      <c r="AG649" s="12">
        <v>0</v>
      </c>
      <c r="AH649" s="12">
        <v>0</v>
      </c>
      <c r="AI649" s="12">
        <v>2</v>
      </c>
      <c r="AJ649" s="12" t="s">
        <v>64</v>
      </c>
      <c r="AK649" s="12">
        <v>0</v>
      </c>
      <c r="AL649" s="12">
        <v>1</v>
      </c>
      <c r="AM649" s="12">
        <v>10903</v>
      </c>
      <c r="AN649" s="12">
        <f t="shared" si="152"/>
        <v>10903</v>
      </c>
      <c r="AO649" s="12">
        <v>3</v>
      </c>
      <c r="AP649" s="12" t="s">
        <v>59</v>
      </c>
      <c r="AQ649" s="12">
        <v>0</v>
      </c>
      <c r="AR649" s="12">
        <v>16</v>
      </c>
      <c r="AS649" s="12">
        <v>3</v>
      </c>
      <c r="AT649" s="12">
        <v>1</v>
      </c>
      <c r="AU649" s="12">
        <v>0</v>
      </c>
      <c r="AV649" s="12">
        <v>16</v>
      </c>
      <c r="AW649" s="12">
        <f t="shared" si="153"/>
        <v>16</v>
      </c>
      <c r="AX649" s="12">
        <v>2</v>
      </c>
      <c r="AY649" s="12">
        <v>3</v>
      </c>
      <c r="AZ649" s="12">
        <v>13</v>
      </c>
      <c r="BA649" s="12">
        <f t="shared" si="154"/>
        <v>13</v>
      </c>
      <c r="BB649" s="12">
        <v>10</v>
      </c>
      <c r="BC649" s="12">
        <v>4</v>
      </c>
      <c r="BD649" s="12">
        <f t="shared" si="163"/>
        <v>4</v>
      </c>
      <c r="BE649" s="12">
        <v>8</v>
      </c>
      <c r="BF649" s="12">
        <f t="shared" si="155"/>
        <v>8</v>
      </c>
      <c r="BG649" s="12">
        <f t="shared" si="164"/>
        <v>24</v>
      </c>
      <c r="BH649" s="67">
        <v>0</v>
      </c>
      <c r="BI649" s="67">
        <v>1</v>
      </c>
      <c r="BJ649" s="67">
        <v>0</v>
      </c>
      <c r="BK649" s="67">
        <v>0</v>
      </c>
      <c r="BL649" s="67">
        <v>0</v>
      </c>
      <c r="BM649" s="67">
        <v>0</v>
      </c>
      <c r="BN649" s="67">
        <v>1</v>
      </c>
      <c r="BO649" s="67">
        <v>0</v>
      </c>
      <c r="BP649" s="67">
        <v>0</v>
      </c>
      <c r="BQ649" s="67">
        <v>8</v>
      </c>
      <c r="BR649" s="67">
        <v>0</v>
      </c>
      <c r="BS649" s="67">
        <v>0</v>
      </c>
      <c r="BT649" s="67">
        <v>16</v>
      </c>
      <c r="BU649" s="70">
        <v>0</v>
      </c>
      <c r="BV649" s="29">
        <f t="shared" si="156"/>
        <v>0.93460261217342777</v>
      </c>
      <c r="BW649">
        <f t="shared" si="157"/>
        <v>1.08652546240644</v>
      </c>
      <c r="BX649">
        <f t="shared" si="158"/>
        <v>0.60667531362816052</v>
      </c>
      <c r="BY649">
        <f t="shared" si="159"/>
        <v>0.97801552848324624</v>
      </c>
      <c r="BZ649">
        <f t="shared" si="160"/>
        <v>1.9498886553045598</v>
      </c>
      <c r="CA649">
        <f t="shared" si="161"/>
        <v>0.21058903898096887</v>
      </c>
      <c r="CB649">
        <f t="shared" si="162"/>
        <v>0.56238451757720498</v>
      </c>
    </row>
    <row r="650" spans="1:80" x14ac:dyDescent="0.45">
      <c r="A650" s="11">
        <v>37</v>
      </c>
      <c r="B650" s="12">
        <f t="shared" si="150"/>
        <v>37</v>
      </c>
      <c r="C650" s="12" t="s">
        <v>59</v>
      </c>
      <c r="D650" s="12">
        <v>0</v>
      </c>
      <c r="E650" s="12" t="s">
        <v>60</v>
      </c>
      <c r="F650" s="12">
        <v>1</v>
      </c>
      <c r="G650" s="12">
        <v>0</v>
      </c>
      <c r="H650" s="12" t="s">
        <v>54</v>
      </c>
      <c r="I650" s="12">
        <v>0</v>
      </c>
      <c r="J650" s="12">
        <v>1</v>
      </c>
      <c r="K650" s="12">
        <v>21</v>
      </c>
      <c r="L650" s="12">
        <f t="shared" si="151"/>
        <v>21</v>
      </c>
      <c r="M650" s="12">
        <v>2</v>
      </c>
      <c r="N650" s="12" t="s">
        <v>70</v>
      </c>
      <c r="O650" s="12">
        <v>0</v>
      </c>
      <c r="P650" s="12">
        <v>0</v>
      </c>
      <c r="Q650" s="12">
        <v>1</v>
      </c>
      <c r="R650" s="12">
        <v>0</v>
      </c>
      <c r="S650" s="12">
        <v>0</v>
      </c>
      <c r="T650" s="12">
        <v>3</v>
      </c>
      <c r="U650" s="12" t="s">
        <v>19</v>
      </c>
      <c r="V650" s="12">
        <v>1</v>
      </c>
      <c r="W650" s="12">
        <v>54</v>
      </c>
      <c r="X650" s="12">
        <v>3</v>
      </c>
      <c r="Y650" s="12">
        <v>1</v>
      </c>
      <c r="Z650" s="12" t="s">
        <v>88</v>
      </c>
      <c r="AA650" s="12">
        <v>0</v>
      </c>
      <c r="AB650" s="12">
        <v>0</v>
      </c>
      <c r="AC650" s="12">
        <v>0</v>
      </c>
      <c r="AD650" s="12">
        <v>0</v>
      </c>
      <c r="AE650" s="12">
        <v>0</v>
      </c>
      <c r="AF650" s="12">
        <v>0</v>
      </c>
      <c r="AG650" s="12">
        <v>1</v>
      </c>
      <c r="AH650" s="12">
        <v>0</v>
      </c>
      <c r="AI650" s="12">
        <v>4</v>
      </c>
      <c r="AJ650" s="12" t="s">
        <v>64</v>
      </c>
      <c r="AK650" s="12">
        <v>0</v>
      </c>
      <c r="AL650" s="12">
        <v>1</v>
      </c>
      <c r="AM650" s="12">
        <v>2973</v>
      </c>
      <c r="AN650" s="12">
        <f t="shared" si="152"/>
        <v>2973</v>
      </c>
      <c r="AO650" s="12">
        <v>5</v>
      </c>
      <c r="AP650" s="12" t="s">
        <v>59</v>
      </c>
      <c r="AQ650" s="12">
        <v>0</v>
      </c>
      <c r="AR650" s="12">
        <v>15</v>
      </c>
      <c r="AS650" s="12">
        <v>3</v>
      </c>
      <c r="AT650" s="12">
        <v>2</v>
      </c>
      <c r="AU650" s="12">
        <v>1</v>
      </c>
      <c r="AV650" s="12">
        <v>10</v>
      </c>
      <c r="AW650" s="12">
        <f t="shared" si="153"/>
        <v>10</v>
      </c>
      <c r="AX650" s="12">
        <v>3</v>
      </c>
      <c r="AY650" s="12">
        <v>3</v>
      </c>
      <c r="AZ650" s="12">
        <v>5</v>
      </c>
      <c r="BA650" s="12">
        <f t="shared" si="154"/>
        <v>5</v>
      </c>
      <c r="BB650" s="12">
        <v>4</v>
      </c>
      <c r="BC650" s="12">
        <v>0</v>
      </c>
      <c r="BD650" s="12">
        <f t="shared" si="163"/>
        <v>0</v>
      </c>
      <c r="BE650" s="12">
        <v>0</v>
      </c>
      <c r="BF650" s="12">
        <f t="shared" si="155"/>
        <v>0</v>
      </c>
      <c r="BG650" s="12">
        <f t="shared" si="164"/>
        <v>0</v>
      </c>
      <c r="BH650" s="67">
        <v>0</v>
      </c>
      <c r="BI650" s="67">
        <v>0</v>
      </c>
      <c r="BJ650" s="67">
        <v>0</v>
      </c>
      <c r="BK650" s="67">
        <v>1</v>
      </c>
      <c r="BL650" s="67">
        <v>0</v>
      </c>
      <c r="BM650" s="67">
        <v>0</v>
      </c>
      <c r="BN650" s="67">
        <v>1</v>
      </c>
      <c r="BO650" s="67">
        <v>0</v>
      </c>
      <c r="BP650" s="67">
        <v>0</v>
      </c>
      <c r="BQ650" s="67">
        <v>0</v>
      </c>
      <c r="BR650" s="67">
        <v>0</v>
      </c>
      <c r="BS650" s="67">
        <v>0</v>
      </c>
      <c r="BT650" s="67">
        <v>0</v>
      </c>
      <c r="BU650" s="70">
        <v>10</v>
      </c>
      <c r="BV650" s="29">
        <f t="shared" si="156"/>
        <v>0.7497798843841964</v>
      </c>
      <c r="BW650">
        <f t="shared" si="157"/>
        <v>1.1555414682655611</v>
      </c>
      <c r="BX650">
        <f t="shared" si="158"/>
        <v>0.1644554352117841</v>
      </c>
      <c r="BY650">
        <f t="shared" si="159"/>
        <v>0.32778177112653761</v>
      </c>
      <c r="BZ650">
        <f t="shared" si="160"/>
        <v>1.4564796398038149</v>
      </c>
      <c r="CA650">
        <f t="shared" si="161"/>
        <v>8.3401599596422994E-3</v>
      </c>
      <c r="CB650">
        <f t="shared" si="162"/>
        <v>0.67891464284095016</v>
      </c>
    </row>
    <row r="651" spans="1:80" x14ac:dyDescent="0.45">
      <c r="A651" s="11">
        <v>53</v>
      </c>
      <c r="B651" s="12">
        <f t="shared" si="150"/>
        <v>53</v>
      </c>
      <c r="C651" s="12" t="s">
        <v>59</v>
      </c>
      <c r="D651" s="12">
        <v>0</v>
      </c>
      <c r="E651" s="12" t="s">
        <v>53</v>
      </c>
      <c r="F651" s="12">
        <v>0</v>
      </c>
      <c r="G651" s="12">
        <v>1</v>
      </c>
      <c r="H651" s="12" t="s">
        <v>61</v>
      </c>
      <c r="I651" s="12">
        <v>1</v>
      </c>
      <c r="J651" s="12">
        <v>0</v>
      </c>
      <c r="K651" s="12">
        <v>23</v>
      </c>
      <c r="L651" s="12">
        <f t="shared" si="151"/>
        <v>23</v>
      </c>
      <c r="M651" s="12">
        <v>4</v>
      </c>
      <c r="N651" s="12" t="s">
        <v>55</v>
      </c>
      <c r="O651" s="12">
        <v>1</v>
      </c>
      <c r="P651" s="12">
        <v>0</v>
      </c>
      <c r="Q651" s="12">
        <v>0</v>
      </c>
      <c r="R651" s="12">
        <v>0</v>
      </c>
      <c r="S651" s="12">
        <v>0</v>
      </c>
      <c r="T651" s="12">
        <v>4</v>
      </c>
      <c r="U651" s="12" t="s">
        <v>19</v>
      </c>
      <c r="V651" s="12">
        <v>1</v>
      </c>
      <c r="W651" s="12">
        <v>72</v>
      </c>
      <c r="X651" s="12">
        <v>3</v>
      </c>
      <c r="Y651" s="12">
        <v>4</v>
      </c>
      <c r="Z651" s="12" t="s">
        <v>89</v>
      </c>
      <c r="AA651" s="12">
        <v>0</v>
      </c>
      <c r="AB651" s="12">
        <v>0</v>
      </c>
      <c r="AC651" s="12">
        <v>0</v>
      </c>
      <c r="AD651" s="12">
        <v>0</v>
      </c>
      <c r="AE651" s="12">
        <v>0</v>
      </c>
      <c r="AF651" s="12">
        <v>0</v>
      </c>
      <c r="AG651" s="12">
        <v>0</v>
      </c>
      <c r="AH651" s="12">
        <v>0</v>
      </c>
      <c r="AI651" s="12">
        <v>4</v>
      </c>
      <c r="AJ651" s="12" t="s">
        <v>57</v>
      </c>
      <c r="AK651" s="12">
        <v>1</v>
      </c>
      <c r="AL651" s="12">
        <v>0</v>
      </c>
      <c r="AM651" s="12">
        <v>14275</v>
      </c>
      <c r="AN651" s="12">
        <f t="shared" si="152"/>
        <v>14275</v>
      </c>
      <c r="AO651" s="12">
        <v>6</v>
      </c>
      <c r="AP651" s="12" t="s">
        <v>59</v>
      </c>
      <c r="AQ651" s="12">
        <v>0</v>
      </c>
      <c r="AR651" s="12">
        <v>18</v>
      </c>
      <c r="AS651" s="12">
        <v>3</v>
      </c>
      <c r="AT651" s="12">
        <v>3</v>
      </c>
      <c r="AU651" s="12">
        <v>0</v>
      </c>
      <c r="AV651" s="12">
        <v>33</v>
      </c>
      <c r="AW651" s="12">
        <f t="shared" si="153"/>
        <v>33</v>
      </c>
      <c r="AX651" s="12">
        <v>0</v>
      </c>
      <c r="AY651" s="12">
        <v>3</v>
      </c>
      <c r="AZ651" s="12">
        <v>12</v>
      </c>
      <c r="BA651" s="12">
        <f t="shared" si="154"/>
        <v>12</v>
      </c>
      <c r="BB651" s="12">
        <v>9</v>
      </c>
      <c r="BC651" s="12">
        <v>3</v>
      </c>
      <c r="BD651" s="12">
        <f t="shared" si="163"/>
        <v>3</v>
      </c>
      <c r="BE651" s="12">
        <v>8</v>
      </c>
      <c r="BF651" s="12">
        <f t="shared" si="155"/>
        <v>8</v>
      </c>
      <c r="BG651" s="12">
        <f t="shared" si="164"/>
        <v>32</v>
      </c>
      <c r="BH651" s="67">
        <v>1</v>
      </c>
      <c r="BI651" s="67">
        <v>0</v>
      </c>
      <c r="BJ651" s="67">
        <v>0</v>
      </c>
      <c r="BK651" s="67">
        <v>0</v>
      </c>
      <c r="BL651" s="67">
        <v>1</v>
      </c>
      <c r="BM651" s="67">
        <v>0</v>
      </c>
      <c r="BN651" s="67">
        <v>0</v>
      </c>
      <c r="BO651" s="67">
        <v>0</v>
      </c>
      <c r="BP651" s="67">
        <v>0</v>
      </c>
      <c r="BQ651" s="67">
        <v>8</v>
      </c>
      <c r="BR651" s="67">
        <v>0</v>
      </c>
      <c r="BS651" s="67">
        <v>0</v>
      </c>
      <c r="BT651" s="67">
        <v>33</v>
      </c>
      <c r="BU651" s="70">
        <v>0</v>
      </c>
      <c r="BV651" s="29">
        <f t="shared" si="156"/>
        <v>1.6508368843540466</v>
      </c>
      <c r="BW651">
        <f t="shared" si="157"/>
        <v>1.08652546240644</v>
      </c>
      <c r="BX651">
        <f t="shared" si="158"/>
        <v>2.7915457686746699</v>
      </c>
      <c r="BY651">
        <f t="shared" si="159"/>
        <v>0.81479086603202333</v>
      </c>
      <c r="BZ651">
        <f t="shared" si="160"/>
        <v>1.7031841475541873</v>
      </c>
      <c r="CA651">
        <f t="shared" si="161"/>
        <v>1.7597737514845315</v>
      </c>
      <c r="CB651">
        <f t="shared" si="162"/>
        <v>0.2520597274726662</v>
      </c>
    </row>
    <row r="652" spans="1:80" x14ac:dyDescent="0.45">
      <c r="A652" s="11">
        <v>43</v>
      </c>
      <c r="B652" s="12">
        <f t="shared" si="150"/>
        <v>43</v>
      </c>
      <c r="C652" s="12" t="s">
        <v>59</v>
      </c>
      <c r="D652" s="12">
        <v>0</v>
      </c>
      <c r="E652" s="12" t="s">
        <v>60</v>
      </c>
      <c r="F652" s="12">
        <v>1</v>
      </c>
      <c r="G652" s="12">
        <v>0</v>
      </c>
      <c r="H652" s="12" t="s">
        <v>61</v>
      </c>
      <c r="I652" s="12">
        <v>1</v>
      </c>
      <c r="J652" s="12">
        <v>0</v>
      </c>
      <c r="K652" s="12">
        <v>1</v>
      </c>
      <c r="L652" s="12">
        <f t="shared" si="151"/>
        <v>1</v>
      </c>
      <c r="M652" s="12">
        <v>3</v>
      </c>
      <c r="N652" s="12" t="s">
        <v>55</v>
      </c>
      <c r="O652" s="12">
        <v>1</v>
      </c>
      <c r="P652" s="12">
        <v>0</v>
      </c>
      <c r="Q652" s="12">
        <v>0</v>
      </c>
      <c r="R652" s="12">
        <v>0</v>
      </c>
      <c r="S652" s="12">
        <v>0</v>
      </c>
      <c r="T652" s="12">
        <v>4</v>
      </c>
      <c r="U652" s="12" t="s">
        <v>19</v>
      </c>
      <c r="V652" s="12">
        <v>1</v>
      </c>
      <c r="W652" s="12">
        <v>33</v>
      </c>
      <c r="X652" s="12">
        <v>3</v>
      </c>
      <c r="Y652" s="12">
        <v>2</v>
      </c>
      <c r="Z652" s="12" t="s">
        <v>85</v>
      </c>
      <c r="AA652" s="12">
        <v>1</v>
      </c>
      <c r="AB652" s="12">
        <v>0</v>
      </c>
      <c r="AC652" s="12">
        <v>0</v>
      </c>
      <c r="AD652" s="12">
        <v>0</v>
      </c>
      <c r="AE652" s="12">
        <v>0</v>
      </c>
      <c r="AF652" s="12">
        <v>0</v>
      </c>
      <c r="AG652" s="12">
        <v>0</v>
      </c>
      <c r="AH652" s="12">
        <v>0</v>
      </c>
      <c r="AI652" s="12">
        <v>4</v>
      </c>
      <c r="AJ652" s="12" t="s">
        <v>64</v>
      </c>
      <c r="AK652" s="12">
        <v>0</v>
      </c>
      <c r="AL652" s="12">
        <v>1</v>
      </c>
      <c r="AM652" s="12">
        <v>5562</v>
      </c>
      <c r="AN652" s="12">
        <f t="shared" si="152"/>
        <v>5562</v>
      </c>
      <c r="AO652" s="12">
        <v>4</v>
      </c>
      <c r="AP652" s="12" t="s">
        <v>59</v>
      </c>
      <c r="AQ652" s="12">
        <v>0</v>
      </c>
      <c r="AR652" s="12">
        <v>13</v>
      </c>
      <c r="AS652" s="12">
        <v>3</v>
      </c>
      <c r="AT652" s="12">
        <v>2</v>
      </c>
      <c r="AU652" s="12">
        <v>1</v>
      </c>
      <c r="AV652" s="12">
        <v>12</v>
      </c>
      <c r="AW652" s="12">
        <f t="shared" si="153"/>
        <v>12</v>
      </c>
      <c r="AX652" s="12">
        <v>2</v>
      </c>
      <c r="AY652" s="12">
        <v>2</v>
      </c>
      <c r="AZ652" s="12">
        <v>5</v>
      </c>
      <c r="BA652" s="12">
        <f t="shared" si="154"/>
        <v>5</v>
      </c>
      <c r="BB652" s="12">
        <v>2</v>
      </c>
      <c r="BC652" s="12">
        <v>2</v>
      </c>
      <c r="BD652" s="12">
        <f t="shared" si="163"/>
        <v>2</v>
      </c>
      <c r="BE652" s="12">
        <v>2</v>
      </c>
      <c r="BF652" s="12">
        <f t="shared" si="155"/>
        <v>2</v>
      </c>
      <c r="BG652" s="12">
        <f t="shared" si="164"/>
        <v>4</v>
      </c>
      <c r="BH652" s="67">
        <v>0</v>
      </c>
      <c r="BI652" s="67">
        <v>0</v>
      </c>
      <c r="BJ652" s="67">
        <v>0</v>
      </c>
      <c r="BK652" s="67">
        <v>1</v>
      </c>
      <c r="BL652" s="67">
        <v>0</v>
      </c>
      <c r="BM652" s="67">
        <v>0</v>
      </c>
      <c r="BN652" s="67">
        <v>1</v>
      </c>
      <c r="BO652" s="67">
        <v>0</v>
      </c>
      <c r="BP652" s="67">
        <v>0</v>
      </c>
      <c r="BQ652" s="67">
        <v>2</v>
      </c>
      <c r="BR652" s="67">
        <v>0</v>
      </c>
      <c r="BS652" s="67">
        <v>0</v>
      </c>
      <c r="BT652" s="67">
        <v>12</v>
      </c>
      <c r="BU652" s="70">
        <v>0</v>
      </c>
      <c r="BV652" s="29">
        <f t="shared" si="156"/>
        <v>0.19985979818146132</v>
      </c>
      <c r="BW652">
        <f t="shared" si="157"/>
        <v>0.59502473559756086</v>
      </c>
      <c r="BX652">
        <f t="shared" si="158"/>
        <v>9.2588147734864096E-2</v>
      </c>
      <c r="BY652">
        <f t="shared" si="159"/>
        <v>0.32778177112653761</v>
      </c>
      <c r="BZ652">
        <f t="shared" si="160"/>
        <v>1.01056543769991</v>
      </c>
      <c r="CA652">
        <f t="shared" si="161"/>
        <v>0.66512775678147573</v>
      </c>
      <c r="CB652">
        <f t="shared" si="162"/>
        <v>5.8265062631872602E-2</v>
      </c>
    </row>
    <row r="653" spans="1:80" x14ac:dyDescent="0.45">
      <c r="A653" s="11">
        <v>47</v>
      </c>
      <c r="B653" s="12">
        <f t="shared" si="150"/>
        <v>47</v>
      </c>
      <c r="C653" s="12" t="s">
        <v>59</v>
      </c>
      <c r="D653" s="12">
        <v>0</v>
      </c>
      <c r="E653" s="12" t="s">
        <v>53</v>
      </c>
      <c r="F653" s="12">
        <v>0</v>
      </c>
      <c r="G653" s="12">
        <v>1</v>
      </c>
      <c r="H653" s="12" t="s">
        <v>54</v>
      </c>
      <c r="I653" s="12">
        <v>0</v>
      </c>
      <c r="J653" s="12">
        <v>1</v>
      </c>
      <c r="K653" s="12">
        <v>2</v>
      </c>
      <c r="L653" s="12">
        <f t="shared" si="151"/>
        <v>2</v>
      </c>
      <c r="M653" s="12">
        <v>2</v>
      </c>
      <c r="N653" s="12" t="s">
        <v>90</v>
      </c>
      <c r="O653" s="12">
        <v>0</v>
      </c>
      <c r="P653" s="12">
        <v>0</v>
      </c>
      <c r="Q653" s="12">
        <v>0</v>
      </c>
      <c r="R653" s="12">
        <v>1</v>
      </c>
      <c r="S653" s="12">
        <v>0</v>
      </c>
      <c r="T653" s="12">
        <v>3</v>
      </c>
      <c r="U653" s="12" t="s">
        <v>19</v>
      </c>
      <c r="V653" s="12">
        <v>1</v>
      </c>
      <c r="W653" s="12">
        <v>35</v>
      </c>
      <c r="X653" s="12">
        <v>3</v>
      </c>
      <c r="Y653" s="12">
        <v>2</v>
      </c>
      <c r="Z653" s="12" t="s">
        <v>56</v>
      </c>
      <c r="AA653" s="12">
        <v>0</v>
      </c>
      <c r="AB653" s="12">
        <v>1</v>
      </c>
      <c r="AC653" s="12">
        <v>0</v>
      </c>
      <c r="AD653" s="12">
        <v>0</v>
      </c>
      <c r="AE653" s="12">
        <v>0</v>
      </c>
      <c r="AF653" s="12">
        <v>0</v>
      </c>
      <c r="AG653" s="12">
        <v>0</v>
      </c>
      <c r="AH653" s="12">
        <v>0</v>
      </c>
      <c r="AI653" s="12">
        <v>4</v>
      </c>
      <c r="AJ653" s="12" t="s">
        <v>64</v>
      </c>
      <c r="AK653" s="12">
        <v>0</v>
      </c>
      <c r="AL653" s="12">
        <v>1</v>
      </c>
      <c r="AM653" s="12">
        <v>4537</v>
      </c>
      <c r="AN653" s="12">
        <f t="shared" si="152"/>
        <v>4537</v>
      </c>
      <c r="AO653" s="12">
        <v>0</v>
      </c>
      <c r="AP653" s="12" t="s">
        <v>52</v>
      </c>
      <c r="AQ653" s="12">
        <v>1</v>
      </c>
      <c r="AR653" s="12">
        <v>22</v>
      </c>
      <c r="AS653" s="12">
        <v>4</v>
      </c>
      <c r="AT653" s="12">
        <v>1</v>
      </c>
      <c r="AU653" s="12">
        <v>1</v>
      </c>
      <c r="AV653" s="12">
        <v>8</v>
      </c>
      <c r="AW653" s="12">
        <f t="shared" si="153"/>
        <v>8</v>
      </c>
      <c r="AX653" s="12">
        <v>2</v>
      </c>
      <c r="AY653" s="12">
        <v>3</v>
      </c>
      <c r="AZ653" s="12">
        <v>7</v>
      </c>
      <c r="BA653" s="12">
        <f t="shared" si="154"/>
        <v>7</v>
      </c>
      <c r="BB653" s="12">
        <v>6</v>
      </c>
      <c r="BC653" s="12">
        <v>7</v>
      </c>
      <c r="BD653" s="12">
        <f t="shared" si="163"/>
        <v>7</v>
      </c>
      <c r="BE653" s="12">
        <v>7</v>
      </c>
      <c r="BF653" s="12">
        <f t="shared" si="155"/>
        <v>7</v>
      </c>
      <c r="BG653" s="12">
        <f t="shared" si="164"/>
        <v>14</v>
      </c>
      <c r="BH653" s="67">
        <v>0</v>
      </c>
      <c r="BI653" s="67">
        <v>1</v>
      </c>
      <c r="BJ653" s="67">
        <v>0</v>
      </c>
      <c r="BK653" s="67">
        <v>0</v>
      </c>
      <c r="BL653" s="67">
        <v>0</v>
      </c>
      <c r="BM653" s="67">
        <v>0</v>
      </c>
      <c r="BN653" s="67">
        <v>0</v>
      </c>
      <c r="BO653" s="67">
        <v>1</v>
      </c>
      <c r="BP653" s="67">
        <v>0</v>
      </c>
      <c r="BQ653" s="67">
        <v>0</v>
      </c>
      <c r="BR653" s="67">
        <v>7</v>
      </c>
      <c r="BS653" s="67">
        <v>0</v>
      </c>
      <c r="BT653" s="67">
        <v>0</v>
      </c>
      <c r="BU653" s="70">
        <v>8</v>
      </c>
      <c r="BV653" s="29">
        <f t="shared" si="156"/>
        <v>0.41757632516400417</v>
      </c>
      <c r="BW653">
        <f t="shared" si="157"/>
        <v>0.80626709607243985</v>
      </c>
      <c r="BX653">
        <f t="shared" si="158"/>
        <v>0.42149901815843233</v>
      </c>
      <c r="BY653">
        <f t="shared" si="159"/>
        <v>1.3324462240916321E-3</v>
      </c>
      <c r="BZ653">
        <f t="shared" si="160"/>
        <v>0.88721318382472392</v>
      </c>
      <c r="CA653">
        <f t="shared" si="161"/>
        <v>1.102986154662698</v>
      </c>
      <c r="CB653">
        <f t="shared" si="162"/>
        <v>1.4933588878908215</v>
      </c>
    </row>
    <row r="654" spans="1:80" x14ac:dyDescent="0.45">
      <c r="A654" s="11">
        <v>37</v>
      </c>
      <c r="B654" s="12">
        <f t="shared" si="150"/>
        <v>37</v>
      </c>
      <c r="C654" s="12" t="s">
        <v>59</v>
      </c>
      <c r="D654" s="12">
        <v>0</v>
      </c>
      <c r="E654" s="12" t="s">
        <v>86</v>
      </c>
      <c r="F654" s="12">
        <v>0</v>
      </c>
      <c r="G654" s="12">
        <v>0</v>
      </c>
      <c r="H654" s="12" t="s">
        <v>54</v>
      </c>
      <c r="I654" s="12">
        <v>0</v>
      </c>
      <c r="J654" s="12">
        <v>1</v>
      </c>
      <c r="K654" s="12">
        <v>19</v>
      </c>
      <c r="L654" s="12">
        <f t="shared" si="151"/>
        <v>19</v>
      </c>
      <c r="M654" s="12">
        <v>2</v>
      </c>
      <c r="N654" s="12" t="s">
        <v>70</v>
      </c>
      <c r="O654" s="12">
        <v>0</v>
      </c>
      <c r="P654" s="12">
        <v>0</v>
      </c>
      <c r="Q654" s="12">
        <v>1</v>
      </c>
      <c r="R654" s="12">
        <v>0</v>
      </c>
      <c r="S654" s="12">
        <v>0</v>
      </c>
      <c r="T654" s="12">
        <v>1</v>
      </c>
      <c r="U654" s="12" t="s">
        <v>62</v>
      </c>
      <c r="V654" s="12">
        <v>0</v>
      </c>
      <c r="W654" s="12">
        <v>32</v>
      </c>
      <c r="X654" s="12">
        <v>3</v>
      </c>
      <c r="Y654" s="12">
        <v>3</v>
      </c>
      <c r="Z654" s="12" t="s">
        <v>56</v>
      </c>
      <c r="AA654" s="12">
        <v>0</v>
      </c>
      <c r="AB654" s="12">
        <v>1</v>
      </c>
      <c r="AC654" s="12">
        <v>0</v>
      </c>
      <c r="AD654" s="12">
        <v>0</v>
      </c>
      <c r="AE654" s="12">
        <v>0</v>
      </c>
      <c r="AF654" s="12">
        <v>0</v>
      </c>
      <c r="AG654" s="12">
        <v>0</v>
      </c>
      <c r="AH654" s="12">
        <v>0</v>
      </c>
      <c r="AI654" s="12">
        <v>2</v>
      </c>
      <c r="AJ654" s="12" t="s">
        <v>57</v>
      </c>
      <c r="AK654" s="12">
        <v>1</v>
      </c>
      <c r="AL654" s="12">
        <v>0</v>
      </c>
      <c r="AM654" s="12">
        <v>7642</v>
      </c>
      <c r="AN654" s="12">
        <f t="shared" si="152"/>
        <v>7642</v>
      </c>
      <c r="AO654" s="12">
        <v>1</v>
      </c>
      <c r="AP654" s="12" t="s">
        <v>52</v>
      </c>
      <c r="AQ654" s="12">
        <v>1</v>
      </c>
      <c r="AR654" s="12">
        <v>13</v>
      </c>
      <c r="AS654" s="12">
        <v>3</v>
      </c>
      <c r="AT654" s="12">
        <v>4</v>
      </c>
      <c r="AU654" s="12">
        <v>0</v>
      </c>
      <c r="AV654" s="12">
        <v>10</v>
      </c>
      <c r="AW654" s="12">
        <f t="shared" si="153"/>
        <v>10</v>
      </c>
      <c r="AX654" s="12">
        <v>2</v>
      </c>
      <c r="AY654" s="12">
        <v>3</v>
      </c>
      <c r="AZ654" s="12">
        <v>10</v>
      </c>
      <c r="BA654" s="12">
        <f t="shared" si="154"/>
        <v>10</v>
      </c>
      <c r="BB654" s="12">
        <v>0</v>
      </c>
      <c r="BC654" s="12">
        <v>0</v>
      </c>
      <c r="BD654" s="12">
        <f t="shared" si="163"/>
        <v>0</v>
      </c>
      <c r="BE654" s="12">
        <v>9</v>
      </c>
      <c r="BF654" s="12">
        <f t="shared" si="155"/>
        <v>9</v>
      </c>
      <c r="BG654" s="12">
        <f t="shared" si="164"/>
        <v>27</v>
      </c>
      <c r="BH654" s="67">
        <v>1</v>
      </c>
      <c r="BI654" s="67">
        <v>0</v>
      </c>
      <c r="BJ654" s="67">
        <v>0</v>
      </c>
      <c r="BK654" s="67">
        <v>0</v>
      </c>
      <c r="BL654" s="67">
        <v>0</v>
      </c>
      <c r="BM654" s="67">
        <v>1</v>
      </c>
      <c r="BN654" s="67">
        <v>0</v>
      </c>
      <c r="BO654" s="67">
        <v>0</v>
      </c>
      <c r="BP654" s="67">
        <v>0</v>
      </c>
      <c r="BQ654" s="67">
        <v>0</v>
      </c>
      <c r="BR654" s="67">
        <v>9</v>
      </c>
      <c r="BS654" s="67">
        <v>0</v>
      </c>
      <c r="BT654" s="67">
        <v>0</v>
      </c>
      <c r="BU654" s="70">
        <v>10</v>
      </c>
      <c r="BV654" s="29">
        <f t="shared" si="156"/>
        <v>0.24194544681725974</v>
      </c>
      <c r="BW654">
        <f t="shared" si="157"/>
        <v>1.3667838287404401</v>
      </c>
      <c r="BX654">
        <f t="shared" si="158"/>
        <v>0.1644554352117841</v>
      </c>
      <c r="BY654">
        <f t="shared" si="159"/>
        <v>0.48834154112957734</v>
      </c>
      <c r="BZ654">
        <f t="shared" si="160"/>
        <v>1.2097751320534422</v>
      </c>
      <c r="CA654">
        <f t="shared" si="161"/>
        <v>8.3401599596422994E-3</v>
      </c>
      <c r="CB654">
        <f t="shared" si="162"/>
        <v>0.67891464284095016</v>
      </c>
    </row>
    <row r="655" spans="1:80" x14ac:dyDescent="0.45">
      <c r="A655" s="11">
        <v>50</v>
      </c>
      <c r="B655" s="12">
        <f t="shared" si="150"/>
        <v>50</v>
      </c>
      <c r="C655" s="12" t="s">
        <v>59</v>
      </c>
      <c r="D655" s="12">
        <v>0</v>
      </c>
      <c r="E655" s="12" t="s">
        <v>86</v>
      </c>
      <c r="F655" s="12">
        <v>0</v>
      </c>
      <c r="G655" s="12">
        <v>0</v>
      </c>
      <c r="H655" s="12" t="s">
        <v>61</v>
      </c>
      <c r="I655" s="12">
        <v>1</v>
      </c>
      <c r="J655" s="12">
        <v>0</v>
      </c>
      <c r="K655" s="12">
        <v>2</v>
      </c>
      <c r="L655" s="12">
        <f t="shared" si="151"/>
        <v>2</v>
      </c>
      <c r="M655" s="12">
        <v>4</v>
      </c>
      <c r="N655" s="12" t="s">
        <v>55</v>
      </c>
      <c r="O655" s="12">
        <v>1</v>
      </c>
      <c r="P655" s="12">
        <v>0</v>
      </c>
      <c r="Q655" s="12">
        <v>0</v>
      </c>
      <c r="R655" s="12">
        <v>0</v>
      </c>
      <c r="S655" s="12">
        <v>0</v>
      </c>
      <c r="T655" s="12">
        <v>1</v>
      </c>
      <c r="U655" s="12" t="s">
        <v>62</v>
      </c>
      <c r="V655" s="12">
        <v>0</v>
      </c>
      <c r="W655" s="12">
        <v>98</v>
      </c>
      <c r="X655" s="12">
        <v>3</v>
      </c>
      <c r="Y655" s="12">
        <v>4</v>
      </c>
      <c r="Z655" s="12" t="s">
        <v>87</v>
      </c>
      <c r="AA655" s="12">
        <v>0</v>
      </c>
      <c r="AB655" s="12">
        <v>0</v>
      </c>
      <c r="AC655" s="12">
        <v>0</v>
      </c>
      <c r="AD655" s="12">
        <v>1</v>
      </c>
      <c r="AE655" s="12">
        <v>0</v>
      </c>
      <c r="AF655" s="12">
        <v>0</v>
      </c>
      <c r="AG655" s="12">
        <v>0</v>
      </c>
      <c r="AH655" s="12">
        <v>0</v>
      </c>
      <c r="AI655" s="12">
        <v>1</v>
      </c>
      <c r="AJ655" s="12" t="s">
        <v>78</v>
      </c>
      <c r="AK655" s="12">
        <v>0</v>
      </c>
      <c r="AL655" s="12">
        <v>0</v>
      </c>
      <c r="AM655" s="12">
        <v>17924</v>
      </c>
      <c r="AN655" s="12">
        <f t="shared" si="152"/>
        <v>17924</v>
      </c>
      <c r="AO655" s="12">
        <v>1</v>
      </c>
      <c r="AP655" s="12" t="s">
        <v>59</v>
      </c>
      <c r="AQ655" s="12">
        <v>0</v>
      </c>
      <c r="AR655" s="12">
        <v>11</v>
      </c>
      <c r="AS655" s="12">
        <v>3</v>
      </c>
      <c r="AT655" s="12">
        <v>4</v>
      </c>
      <c r="AU655" s="12">
        <v>1</v>
      </c>
      <c r="AV655" s="12">
        <v>31</v>
      </c>
      <c r="AW655" s="12">
        <f t="shared" si="153"/>
        <v>31</v>
      </c>
      <c r="AX655" s="12">
        <v>3</v>
      </c>
      <c r="AY655" s="12">
        <v>3</v>
      </c>
      <c r="AZ655" s="12">
        <v>31</v>
      </c>
      <c r="BA655" s="12">
        <f t="shared" si="154"/>
        <v>31</v>
      </c>
      <c r="BB655" s="12">
        <v>6</v>
      </c>
      <c r="BC655" s="12">
        <v>14</v>
      </c>
      <c r="BD655" s="12">
        <f t="shared" si="163"/>
        <v>14</v>
      </c>
      <c r="BE655" s="12">
        <v>7</v>
      </c>
      <c r="BF655" s="12">
        <f t="shared" si="155"/>
        <v>7</v>
      </c>
      <c r="BG655" s="12">
        <f t="shared" si="164"/>
        <v>28</v>
      </c>
      <c r="BH655" s="67">
        <v>1</v>
      </c>
      <c r="BI655" s="67">
        <v>0</v>
      </c>
      <c r="BJ655" s="67">
        <v>0</v>
      </c>
      <c r="BK655" s="67">
        <v>0</v>
      </c>
      <c r="BL655" s="67">
        <v>1</v>
      </c>
      <c r="BM655" s="67">
        <v>0</v>
      </c>
      <c r="BN655" s="67">
        <v>0</v>
      </c>
      <c r="BO655" s="67">
        <v>0</v>
      </c>
      <c r="BP655" s="67">
        <v>0</v>
      </c>
      <c r="BQ655" s="67">
        <v>7</v>
      </c>
      <c r="BR655" s="67">
        <v>0</v>
      </c>
      <c r="BS655" s="67">
        <v>0</v>
      </c>
      <c r="BT655" s="67">
        <v>31</v>
      </c>
      <c r="BU655" s="70">
        <v>0</v>
      </c>
      <c r="BV655" s="29">
        <f t="shared" si="156"/>
        <v>2.4259077204118991</v>
      </c>
      <c r="BW655">
        <f t="shared" si="157"/>
        <v>0.80626709607243985</v>
      </c>
      <c r="BX655">
        <f t="shared" si="158"/>
        <v>2.5345021857280217</v>
      </c>
      <c r="BY655">
        <f t="shared" si="159"/>
        <v>3.9160594526052601</v>
      </c>
      <c r="BZ655">
        <f t="shared" si="160"/>
        <v>0.88721318382472392</v>
      </c>
      <c r="CA655">
        <f t="shared" si="161"/>
        <v>1.4313799530736149</v>
      </c>
      <c r="CB655">
        <f t="shared" si="162"/>
        <v>3.665632418622593</v>
      </c>
    </row>
    <row r="656" spans="1:80" x14ac:dyDescent="0.45">
      <c r="A656" s="11">
        <v>39</v>
      </c>
      <c r="B656" s="12">
        <f t="shared" si="150"/>
        <v>39</v>
      </c>
      <c r="C656" s="12" t="s">
        <v>59</v>
      </c>
      <c r="D656" s="12">
        <v>0</v>
      </c>
      <c r="E656" s="12" t="s">
        <v>53</v>
      </c>
      <c r="F656" s="12">
        <v>0</v>
      </c>
      <c r="G656" s="12">
        <v>1</v>
      </c>
      <c r="H656" s="12" t="s">
        <v>97</v>
      </c>
      <c r="I656" s="12">
        <v>0</v>
      </c>
      <c r="J656" s="12">
        <v>0</v>
      </c>
      <c r="K656" s="12">
        <v>2</v>
      </c>
      <c r="L656" s="12">
        <f t="shared" si="151"/>
        <v>2</v>
      </c>
      <c r="M656" s="12">
        <v>3</v>
      </c>
      <c r="N656" s="12" t="s">
        <v>55</v>
      </c>
      <c r="O656" s="12">
        <v>1</v>
      </c>
      <c r="P656" s="12">
        <v>0</v>
      </c>
      <c r="Q656" s="12">
        <v>0</v>
      </c>
      <c r="R656" s="12">
        <v>0</v>
      </c>
      <c r="S656" s="12">
        <v>0</v>
      </c>
      <c r="T656" s="12">
        <v>4</v>
      </c>
      <c r="U656" s="12" t="s">
        <v>19</v>
      </c>
      <c r="V656" s="12">
        <v>1</v>
      </c>
      <c r="W656" s="12">
        <v>42</v>
      </c>
      <c r="X656" s="12">
        <v>2</v>
      </c>
      <c r="Y656" s="12">
        <v>2</v>
      </c>
      <c r="Z656" s="12" t="s">
        <v>97</v>
      </c>
      <c r="AA656" s="12">
        <v>0</v>
      </c>
      <c r="AB656" s="12">
        <v>0</v>
      </c>
      <c r="AC656" s="12">
        <v>0</v>
      </c>
      <c r="AD656" s="12">
        <v>0</v>
      </c>
      <c r="AE656" s="12">
        <v>0</v>
      </c>
      <c r="AF656" s="12">
        <v>0</v>
      </c>
      <c r="AG656" s="12">
        <v>0</v>
      </c>
      <c r="AH656" s="12">
        <v>0</v>
      </c>
      <c r="AI656" s="12">
        <v>4</v>
      </c>
      <c r="AJ656" s="12" t="s">
        <v>64</v>
      </c>
      <c r="AK656" s="12">
        <v>0</v>
      </c>
      <c r="AL656" s="12">
        <v>1</v>
      </c>
      <c r="AM656" s="12">
        <v>5204</v>
      </c>
      <c r="AN656" s="12">
        <f t="shared" si="152"/>
        <v>5204</v>
      </c>
      <c r="AO656" s="12">
        <v>8</v>
      </c>
      <c r="AP656" s="12" t="s">
        <v>59</v>
      </c>
      <c r="AQ656" s="12">
        <v>0</v>
      </c>
      <c r="AR656" s="12">
        <v>11</v>
      </c>
      <c r="AS656" s="12">
        <v>3</v>
      </c>
      <c r="AT656" s="12">
        <v>3</v>
      </c>
      <c r="AU656" s="12">
        <v>2</v>
      </c>
      <c r="AV656" s="12">
        <v>13</v>
      </c>
      <c r="AW656" s="12">
        <f t="shared" si="153"/>
        <v>13</v>
      </c>
      <c r="AX656" s="12">
        <v>2</v>
      </c>
      <c r="AY656" s="12">
        <v>3</v>
      </c>
      <c r="AZ656" s="12">
        <v>5</v>
      </c>
      <c r="BA656" s="12">
        <f t="shared" si="154"/>
        <v>5</v>
      </c>
      <c r="BB656" s="12">
        <v>4</v>
      </c>
      <c r="BC656" s="12">
        <v>0</v>
      </c>
      <c r="BD656" s="12">
        <f t="shared" si="163"/>
        <v>0</v>
      </c>
      <c r="BE656" s="12">
        <v>4</v>
      </c>
      <c r="BF656" s="12">
        <f t="shared" si="155"/>
        <v>4</v>
      </c>
      <c r="BG656" s="12">
        <f t="shared" si="164"/>
        <v>8</v>
      </c>
      <c r="BH656" s="67">
        <v>0</v>
      </c>
      <c r="BI656" s="67">
        <v>1</v>
      </c>
      <c r="BJ656" s="67">
        <v>0</v>
      </c>
      <c r="BK656" s="67">
        <v>0</v>
      </c>
      <c r="BL656" s="67">
        <v>0</v>
      </c>
      <c r="BM656" s="67">
        <v>0</v>
      </c>
      <c r="BN656" s="67">
        <v>1</v>
      </c>
      <c r="BO656" s="67">
        <v>0</v>
      </c>
      <c r="BP656" s="67">
        <v>4</v>
      </c>
      <c r="BQ656" s="67">
        <v>0</v>
      </c>
      <c r="BR656" s="67">
        <v>0</v>
      </c>
      <c r="BS656" s="67">
        <v>13</v>
      </c>
      <c r="BT656" s="67">
        <v>0</v>
      </c>
      <c r="BU656" s="70">
        <v>0</v>
      </c>
      <c r="BV656" s="29">
        <f t="shared" si="156"/>
        <v>0.27590127784951046</v>
      </c>
      <c r="BW656">
        <f t="shared" si="157"/>
        <v>3.4508002929560584E-2</v>
      </c>
      <c r="BX656">
        <f t="shared" si="158"/>
        <v>0.22110993920818819</v>
      </c>
      <c r="BY656">
        <f t="shared" si="159"/>
        <v>0.32778177112653761</v>
      </c>
      <c r="BZ656">
        <f t="shared" si="160"/>
        <v>0.88721318382472392</v>
      </c>
      <c r="CA656">
        <f t="shared" si="161"/>
        <v>0.22726935890025346</v>
      </c>
      <c r="CB656">
        <f t="shared" si="162"/>
        <v>0.67891464284095016</v>
      </c>
    </row>
    <row r="657" spans="1:80" x14ac:dyDescent="0.45">
      <c r="A657" s="11">
        <v>33</v>
      </c>
      <c r="B657" s="12">
        <f t="shared" si="150"/>
        <v>33</v>
      </c>
      <c r="C657" s="12" t="s">
        <v>59</v>
      </c>
      <c r="D657" s="12">
        <v>0</v>
      </c>
      <c r="E657" s="12" t="s">
        <v>53</v>
      </c>
      <c r="F657" s="12">
        <v>0</v>
      </c>
      <c r="G657" s="12">
        <v>1</v>
      </c>
      <c r="H657" s="12" t="s">
        <v>97</v>
      </c>
      <c r="I657" s="12">
        <v>0</v>
      </c>
      <c r="J657" s="12">
        <v>0</v>
      </c>
      <c r="K657" s="12">
        <v>3</v>
      </c>
      <c r="L657" s="12">
        <f t="shared" si="151"/>
        <v>3</v>
      </c>
      <c r="M657" s="12">
        <v>2</v>
      </c>
      <c r="N657" s="12" t="s">
        <v>97</v>
      </c>
      <c r="O657" s="12">
        <v>0</v>
      </c>
      <c r="P657" s="12">
        <v>0</v>
      </c>
      <c r="Q657" s="12">
        <v>0</v>
      </c>
      <c r="R657" s="12">
        <v>0</v>
      </c>
      <c r="S657" s="12">
        <v>0</v>
      </c>
      <c r="T657" s="12">
        <v>4</v>
      </c>
      <c r="U657" s="12" t="s">
        <v>62</v>
      </c>
      <c r="V657" s="12">
        <v>0</v>
      </c>
      <c r="W657" s="12">
        <v>57</v>
      </c>
      <c r="X657" s="12">
        <v>3</v>
      </c>
      <c r="Y657" s="12">
        <v>1</v>
      </c>
      <c r="Z657" s="12" t="s">
        <v>97</v>
      </c>
      <c r="AA657" s="12">
        <v>0</v>
      </c>
      <c r="AB657" s="12">
        <v>0</v>
      </c>
      <c r="AC657" s="12">
        <v>0</v>
      </c>
      <c r="AD657" s="12">
        <v>0</v>
      </c>
      <c r="AE657" s="12">
        <v>0</v>
      </c>
      <c r="AF657" s="12">
        <v>0</v>
      </c>
      <c r="AG657" s="12">
        <v>0</v>
      </c>
      <c r="AH657" s="12">
        <v>0</v>
      </c>
      <c r="AI657" s="12">
        <v>2</v>
      </c>
      <c r="AJ657" s="12" t="s">
        <v>78</v>
      </c>
      <c r="AK657" s="12">
        <v>0</v>
      </c>
      <c r="AL657" s="12">
        <v>0</v>
      </c>
      <c r="AM657" s="12">
        <v>2277</v>
      </c>
      <c r="AN657" s="12">
        <f t="shared" si="152"/>
        <v>2277</v>
      </c>
      <c r="AO657" s="12">
        <v>3</v>
      </c>
      <c r="AP657" s="12" t="s">
        <v>52</v>
      </c>
      <c r="AQ657" s="12">
        <v>1</v>
      </c>
      <c r="AR657" s="12">
        <v>11</v>
      </c>
      <c r="AS657" s="12">
        <v>3</v>
      </c>
      <c r="AT657" s="12">
        <v>3</v>
      </c>
      <c r="AU657" s="12">
        <v>1</v>
      </c>
      <c r="AV657" s="12">
        <v>7</v>
      </c>
      <c r="AW657" s="12">
        <f t="shared" si="153"/>
        <v>7</v>
      </c>
      <c r="AX657" s="12">
        <v>4</v>
      </c>
      <c r="AY657" s="12">
        <v>4</v>
      </c>
      <c r="AZ657" s="12">
        <v>4</v>
      </c>
      <c r="BA657" s="12">
        <f t="shared" si="154"/>
        <v>4</v>
      </c>
      <c r="BB657" s="12">
        <v>3</v>
      </c>
      <c r="BC657" s="12">
        <v>0</v>
      </c>
      <c r="BD657" s="12">
        <f t="shared" si="163"/>
        <v>0</v>
      </c>
      <c r="BE657" s="12">
        <v>3</v>
      </c>
      <c r="BF657" s="12">
        <f t="shared" si="155"/>
        <v>3</v>
      </c>
      <c r="BG657" s="12">
        <f t="shared" si="164"/>
        <v>3</v>
      </c>
      <c r="BH657" s="67">
        <v>1</v>
      </c>
      <c r="BI657" s="67">
        <v>0</v>
      </c>
      <c r="BJ657" s="67">
        <v>0</v>
      </c>
      <c r="BK657" s="67">
        <v>0</v>
      </c>
      <c r="BL657" s="67">
        <v>0</v>
      </c>
      <c r="BM657" s="67">
        <v>1</v>
      </c>
      <c r="BN657" s="67">
        <v>0</v>
      </c>
      <c r="BO657" s="67">
        <v>0</v>
      </c>
      <c r="BP657" s="67">
        <v>3</v>
      </c>
      <c r="BQ657" s="67">
        <v>0</v>
      </c>
      <c r="BR657" s="67">
        <v>0</v>
      </c>
      <c r="BS657" s="67">
        <v>7</v>
      </c>
      <c r="BT657" s="67">
        <v>0</v>
      </c>
      <c r="BU657" s="70">
        <v>0</v>
      </c>
      <c r="BV657" s="29">
        <f t="shared" si="156"/>
        <v>0.8976147163645376</v>
      </c>
      <c r="BW657">
        <f t="shared" si="157"/>
        <v>0.31476636926356072</v>
      </c>
      <c r="BX657">
        <f t="shared" si="158"/>
        <v>0.55002080963175637</v>
      </c>
      <c r="BY657">
        <f t="shared" si="159"/>
        <v>0.49100643357776058</v>
      </c>
      <c r="BZ657">
        <f t="shared" si="160"/>
        <v>0.76386092994953758</v>
      </c>
      <c r="CA657">
        <f t="shared" si="161"/>
        <v>0.42951823792158</v>
      </c>
      <c r="CB657">
        <f t="shared" si="162"/>
        <v>0.67891464284095016</v>
      </c>
    </row>
    <row r="658" spans="1:80" x14ac:dyDescent="0.45">
      <c r="A658" s="11">
        <v>32</v>
      </c>
      <c r="B658" s="12">
        <f t="shared" si="150"/>
        <v>32</v>
      </c>
      <c r="C658" s="12" t="s">
        <v>52</v>
      </c>
      <c r="D658" s="12">
        <v>1</v>
      </c>
      <c r="E658" s="12" t="s">
        <v>53</v>
      </c>
      <c r="F658" s="12">
        <v>0</v>
      </c>
      <c r="G658" s="12">
        <v>1</v>
      </c>
      <c r="H658" s="12" t="s">
        <v>61</v>
      </c>
      <c r="I658" s="12">
        <v>1</v>
      </c>
      <c r="J658" s="12">
        <v>0</v>
      </c>
      <c r="K658" s="12">
        <v>25</v>
      </c>
      <c r="L658" s="12">
        <f t="shared" si="151"/>
        <v>25</v>
      </c>
      <c r="M658" s="12">
        <v>4</v>
      </c>
      <c r="N658" s="12" t="s">
        <v>55</v>
      </c>
      <c r="O658" s="12">
        <v>1</v>
      </c>
      <c r="P658" s="12">
        <v>0</v>
      </c>
      <c r="Q658" s="12">
        <v>0</v>
      </c>
      <c r="R658" s="12">
        <v>0</v>
      </c>
      <c r="S658" s="12">
        <v>0</v>
      </c>
      <c r="T658" s="12">
        <v>1</v>
      </c>
      <c r="U658" s="12" t="s">
        <v>62</v>
      </c>
      <c r="V658" s="12">
        <v>0</v>
      </c>
      <c r="W658" s="12">
        <v>87</v>
      </c>
      <c r="X658" s="12">
        <v>3</v>
      </c>
      <c r="Y658" s="12">
        <v>1</v>
      </c>
      <c r="Z658" s="12" t="s">
        <v>67</v>
      </c>
      <c r="AA658" s="12">
        <v>0</v>
      </c>
      <c r="AB658" s="12">
        <v>0</v>
      </c>
      <c r="AC658" s="12">
        <v>1</v>
      </c>
      <c r="AD658" s="12">
        <v>0</v>
      </c>
      <c r="AE658" s="12">
        <v>0</v>
      </c>
      <c r="AF658" s="12">
        <v>0</v>
      </c>
      <c r="AG658" s="12">
        <v>0</v>
      </c>
      <c r="AH658" s="12">
        <v>0</v>
      </c>
      <c r="AI658" s="12">
        <v>4</v>
      </c>
      <c r="AJ658" s="12" t="s">
        <v>57</v>
      </c>
      <c r="AK658" s="12">
        <v>1</v>
      </c>
      <c r="AL658" s="12">
        <v>0</v>
      </c>
      <c r="AM658" s="12">
        <v>2795</v>
      </c>
      <c r="AN658" s="12">
        <f t="shared" si="152"/>
        <v>2795</v>
      </c>
      <c r="AO658" s="12">
        <v>1</v>
      </c>
      <c r="AP658" s="12" t="s">
        <v>52</v>
      </c>
      <c r="AQ658" s="12">
        <v>1</v>
      </c>
      <c r="AR658" s="12">
        <v>24</v>
      </c>
      <c r="AS658" s="12">
        <v>4</v>
      </c>
      <c r="AT658" s="12">
        <v>3</v>
      </c>
      <c r="AU658" s="12">
        <v>0</v>
      </c>
      <c r="AV658" s="12">
        <v>1</v>
      </c>
      <c r="AW658" s="12">
        <f t="shared" si="153"/>
        <v>1</v>
      </c>
      <c r="AX658" s="12">
        <v>2</v>
      </c>
      <c r="AY658" s="12">
        <v>1</v>
      </c>
      <c r="AZ658" s="12">
        <v>1</v>
      </c>
      <c r="BA658" s="12">
        <f t="shared" si="154"/>
        <v>1</v>
      </c>
      <c r="BB658" s="12">
        <v>0</v>
      </c>
      <c r="BC658" s="12">
        <v>0</v>
      </c>
      <c r="BD658" s="12">
        <f t="shared" si="163"/>
        <v>0</v>
      </c>
      <c r="BE658" s="12">
        <v>1</v>
      </c>
      <c r="BF658" s="12">
        <f t="shared" si="155"/>
        <v>1</v>
      </c>
      <c r="BG658" s="12">
        <f t="shared" si="164"/>
        <v>1</v>
      </c>
      <c r="BH658" s="67">
        <v>1</v>
      </c>
      <c r="BI658" s="67">
        <v>0</v>
      </c>
      <c r="BJ658" s="67">
        <v>0</v>
      </c>
      <c r="BK658" s="67">
        <v>0</v>
      </c>
      <c r="BL658" s="67">
        <v>0</v>
      </c>
      <c r="BM658" s="67">
        <v>1</v>
      </c>
      <c r="BN658" s="67">
        <v>0</v>
      </c>
      <c r="BO658" s="67">
        <v>0</v>
      </c>
      <c r="BP658" s="67">
        <v>0</v>
      </c>
      <c r="BQ658" s="67">
        <v>1</v>
      </c>
      <c r="BR658" s="67">
        <v>0</v>
      </c>
      <c r="BS658" s="67">
        <v>0</v>
      </c>
      <c r="BT658" s="67">
        <v>1</v>
      </c>
      <c r="BU658" s="70">
        <v>0</v>
      </c>
      <c r="BV658" s="29">
        <f t="shared" si="156"/>
        <v>0.78758821785043309</v>
      </c>
      <c r="BW658">
        <f t="shared" si="157"/>
        <v>0.87528310193156111</v>
      </c>
      <c r="BX658">
        <f t="shared" si="158"/>
        <v>1.3211515584717011</v>
      </c>
      <c r="BY658">
        <f t="shared" si="159"/>
        <v>0.9806804209314296</v>
      </c>
      <c r="BZ658">
        <f t="shared" si="160"/>
        <v>1.9498886553045598</v>
      </c>
      <c r="CA658">
        <f t="shared" si="161"/>
        <v>0.53898283739188557</v>
      </c>
      <c r="CB658">
        <f t="shared" si="162"/>
        <v>0.67891464284095016</v>
      </c>
    </row>
    <row r="659" spans="1:80" x14ac:dyDescent="0.45">
      <c r="A659" s="11">
        <v>29</v>
      </c>
      <c r="B659" s="12">
        <f t="shared" si="150"/>
        <v>29</v>
      </c>
      <c r="C659" s="12" t="s">
        <v>59</v>
      </c>
      <c r="D659" s="12">
        <v>0</v>
      </c>
      <c r="E659" s="12" t="s">
        <v>53</v>
      </c>
      <c r="F659" s="12">
        <v>0</v>
      </c>
      <c r="G659" s="12">
        <v>1</v>
      </c>
      <c r="H659" s="12" t="s">
        <v>61</v>
      </c>
      <c r="I659" s="12">
        <v>1</v>
      </c>
      <c r="J659" s="12">
        <v>0</v>
      </c>
      <c r="K659" s="12">
        <v>7</v>
      </c>
      <c r="L659" s="12">
        <f t="shared" si="151"/>
        <v>7</v>
      </c>
      <c r="M659" s="12">
        <v>1</v>
      </c>
      <c r="N659" s="12" t="s">
        <v>70</v>
      </c>
      <c r="O659" s="12">
        <v>0</v>
      </c>
      <c r="P659" s="12">
        <v>0</v>
      </c>
      <c r="Q659" s="12">
        <v>1</v>
      </c>
      <c r="R659" s="12">
        <v>0</v>
      </c>
      <c r="S659" s="12">
        <v>0</v>
      </c>
      <c r="T659" s="12">
        <v>1</v>
      </c>
      <c r="U659" s="12" t="s">
        <v>19</v>
      </c>
      <c r="V659" s="12">
        <v>1</v>
      </c>
      <c r="W659" s="12">
        <v>62</v>
      </c>
      <c r="X659" s="12">
        <v>2</v>
      </c>
      <c r="Y659" s="12">
        <v>1</v>
      </c>
      <c r="Z659" s="12" t="s">
        <v>67</v>
      </c>
      <c r="AA659" s="12">
        <v>0</v>
      </c>
      <c r="AB659" s="12">
        <v>0</v>
      </c>
      <c r="AC659" s="12">
        <v>1</v>
      </c>
      <c r="AD659" s="12">
        <v>0</v>
      </c>
      <c r="AE659" s="12">
        <v>0</v>
      </c>
      <c r="AF659" s="12">
        <v>0</v>
      </c>
      <c r="AG659" s="12">
        <v>0</v>
      </c>
      <c r="AH659" s="12">
        <v>0</v>
      </c>
      <c r="AI659" s="12">
        <v>4</v>
      </c>
      <c r="AJ659" s="12" t="s">
        <v>78</v>
      </c>
      <c r="AK659" s="12">
        <v>0</v>
      </c>
      <c r="AL659" s="12">
        <v>0</v>
      </c>
      <c r="AM659" s="12">
        <v>2532</v>
      </c>
      <c r="AN659" s="12">
        <f t="shared" si="152"/>
        <v>2532</v>
      </c>
      <c r="AO659" s="12">
        <v>6</v>
      </c>
      <c r="AP659" s="12" t="s">
        <v>59</v>
      </c>
      <c r="AQ659" s="12">
        <v>0</v>
      </c>
      <c r="AR659" s="12">
        <v>14</v>
      </c>
      <c r="AS659" s="12">
        <v>3</v>
      </c>
      <c r="AT659" s="12">
        <v>3</v>
      </c>
      <c r="AU659" s="12">
        <v>3</v>
      </c>
      <c r="AV659" s="12">
        <v>8</v>
      </c>
      <c r="AW659" s="12">
        <f t="shared" si="153"/>
        <v>8</v>
      </c>
      <c r="AX659" s="12">
        <v>5</v>
      </c>
      <c r="AY659" s="12">
        <v>3</v>
      </c>
      <c r="AZ659" s="12">
        <v>4</v>
      </c>
      <c r="BA659" s="12">
        <f t="shared" si="154"/>
        <v>4</v>
      </c>
      <c r="BB659" s="12">
        <v>3</v>
      </c>
      <c r="BC659" s="12">
        <v>0</v>
      </c>
      <c r="BD659" s="12">
        <f t="shared" si="163"/>
        <v>0</v>
      </c>
      <c r="BE659" s="12">
        <v>3</v>
      </c>
      <c r="BF659" s="12">
        <f t="shared" si="155"/>
        <v>3</v>
      </c>
      <c r="BG659" s="12">
        <f t="shared" si="164"/>
        <v>3</v>
      </c>
      <c r="BH659" s="67">
        <v>1</v>
      </c>
      <c r="BI659" s="67">
        <v>0</v>
      </c>
      <c r="BJ659" s="67">
        <v>0</v>
      </c>
      <c r="BK659" s="67">
        <v>0</v>
      </c>
      <c r="BL659" s="67">
        <v>1</v>
      </c>
      <c r="BM659" s="67">
        <v>0</v>
      </c>
      <c r="BN659" s="67">
        <v>0</v>
      </c>
      <c r="BO659" s="67">
        <v>0</v>
      </c>
      <c r="BP659" s="67">
        <v>0</v>
      </c>
      <c r="BQ659" s="67">
        <v>3</v>
      </c>
      <c r="BR659" s="67">
        <v>0</v>
      </c>
      <c r="BS659" s="67">
        <v>0</v>
      </c>
      <c r="BT659" s="67">
        <v>8</v>
      </c>
      <c r="BU659" s="70">
        <v>0</v>
      </c>
      <c r="BV659" s="29">
        <f t="shared" si="156"/>
        <v>0.84345109257863671</v>
      </c>
      <c r="BW659">
        <f t="shared" si="157"/>
        <v>0.31476636926356072</v>
      </c>
      <c r="BX659">
        <f t="shared" si="158"/>
        <v>0.42149901815843233</v>
      </c>
      <c r="BY659">
        <f t="shared" si="159"/>
        <v>0.49100643357776058</v>
      </c>
      <c r="BZ659">
        <f t="shared" si="160"/>
        <v>0.27045191444879263</v>
      </c>
      <c r="CA659">
        <f t="shared" si="161"/>
        <v>0.86737663580280233</v>
      </c>
      <c r="CB659">
        <f t="shared" si="162"/>
        <v>0.67891464284095016</v>
      </c>
    </row>
    <row r="660" spans="1:80" x14ac:dyDescent="0.45">
      <c r="A660" s="11">
        <v>44</v>
      </c>
      <c r="B660" s="12">
        <f t="shared" si="150"/>
        <v>44</v>
      </c>
      <c r="C660" s="12" t="s">
        <v>59</v>
      </c>
      <c r="D660" s="12">
        <v>0</v>
      </c>
      <c r="E660" s="12" t="s">
        <v>53</v>
      </c>
      <c r="F660" s="12">
        <v>0</v>
      </c>
      <c r="G660" s="12">
        <v>1</v>
      </c>
      <c r="H660" s="12" t="s">
        <v>61</v>
      </c>
      <c r="I660" s="12">
        <v>1</v>
      </c>
      <c r="J660" s="12">
        <v>0</v>
      </c>
      <c r="K660" s="12">
        <v>9</v>
      </c>
      <c r="L660" s="12">
        <f t="shared" si="151"/>
        <v>9</v>
      </c>
      <c r="M660" s="12">
        <v>2</v>
      </c>
      <c r="N660" s="12" t="s">
        <v>55</v>
      </c>
      <c r="O660" s="12">
        <v>1</v>
      </c>
      <c r="P660" s="12">
        <v>0</v>
      </c>
      <c r="Q660" s="12">
        <v>0</v>
      </c>
      <c r="R660" s="12">
        <v>0</v>
      </c>
      <c r="S660" s="12">
        <v>0</v>
      </c>
      <c r="T660" s="12">
        <v>2</v>
      </c>
      <c r="U660" s="12" t="s">
        <v>62</v>
      </c>
      <c r="V660" s="12">
        <v>0</v>
      </c>
      <c r="W660" s="12">
        <v>61</v>
      </c>
      <c r="X660" s="12">
        <v>3</v>
      </c>
      <c r="Y660" s="12">
        <v>1</v>
      </c>
      <c r="Z660" s="12" t="s">
        <v>63</v>
      </c>
      <c r="AA660" s="12">
        <v>0</v>
      </c>
      <c r="AB660" s="12">
        <v>0</v>
      </c>
      <c r="AC660" s="12">
        <v>0</v>
      </c>
      <c r="AD660" s="12">
        <v>0</v>
      </c>
      <c r="AE660" s="12">
        <v>0</v>
      </c>
      <c r="AF660" s="12">
        <v>0</v>
      </c>
      <c r="AG660" s="12">
        <v>0</v>
      </c>
      <c r="AH660" s="12">
        <v>1</v>
      </c>
      <c r="AI660" s="12">
        <v>1</v>
      </c>
      <c r="AJ660" s="12" t="s">
        <v>64</v>
      </c>
      <c r="AK660" s="12">
        <v>0</v>
      </c>
      <c r="AL660" s="12">
        <v>1</v>
      </c>
      <c r="AM660" s="12">
        <v>2559</v>
      </c>
      <c r="AN660" s="12">
        <f t="shared" si="152"/>
        <v>2559</v>
      </c>
      <c r="AO660" s="12">
        <v>1</v>
      </c>
      <c r="AP660" s="12" t="s">
        <v>52</v>
      </c>
      <c r="AQ660" s="12">
        <v>1</v>
      </c>
      <c r="AR660" s="12">
        <v>13</v>
      </c>
      <c r="AS660" s="12">
        <v>3</v>
      </c>
      <c r="AT660" s="12">
        <v>4</v>
      </c>
      <c r="AU660" s="12">
        <v>0</v>
      </c>
      <c r="AV660" s="12">
        <v>8</v>
      </c>
      <c r="AW660" s="12">
        <f t="shared" si="153"/>
        <v>8</v>
      </c>
      <c r="AX660" s="12">
        <v>0</v>
      </c>
      <c r="AY660" s="12">
        <v>3</v>
      </c>
      <c r="AZ660" s="12">
        <v>8</v>
      </c>
      <c r="BA660" s="12">
        <f t="shared" si="154"/>
        <v>8</v>
      </c>
      <c r="BB660" s="12">
        <v>7</v>
      </c>
      <c r="BC660" s="12">
        <v>7</v>
      </c>
      <c r="BD660" s="12">
        <f t="shared" si="163"/>
        <v>7</v>
      </c>
      <c r="BE660" s="12">
        <v>1</v>
      </c>
      <c r="BF660" s="12">
        <f t="shared" si="155"/>
        <v>1</v>
      </c>
      <c r="BG660" s="12">
        <f t="shared" si="164"/>
        <v>1</v>
      </c>
      <c r="BH660" s="67">
        <v>0</v>
      </c>
      <c r="BI660" s="67">
        <v>1</v>
      </c>
      <c r="BJ660" s="67">
        <v>0</v>
      </c>
      <c r="BK660" s="67">
        <v>0</v>
      </c>
      <c r="BL660" s="67">
        <v>0</v>
      </c>
      <c r="BM660" s="67">
        <v>0</v>
      </c>
      <c r="BN660" s="67">
        <v>0</v>
      </c>
      <c r="BO660" s="67">
        <v>1</v>
      </c>
      <c r="BP660" s="67">
        <v>0</v>
      </c>
      <c r="BQ660" s="67">
        <v>1</v>
      </c>
      <c r="BR660" s="67">
        <v>0</v>
      </c>
      <c r="BS660" s="67">
        <v>0</v>
      </c>
      <c r="BT660" s="67">
        <v>8</v>
      </c>
      <c r="BU660" s="70">
        <v>0</v>
      </c>
      <c r="BV660" s="29">
        <f t="shared" si="156"/>
        <v>0.83771612064836487</v>
      </c>
      <c r="BW660">
        <f t="shared" si="157"/>
        <v>0.87528310193156111</v>
      </c>
      <c r="BX660">
        <f t="shared" si="158"/>
        <v>0.42149901815843233</v>
      </c>
      <c r="BY660">
        <f t="shared" si="159"/>
        <v>0.16189221622713135</v>
      </c>
      <c r="BZ660">
        <f t="shared" si="160"/>
        <v>2.3747406698420157E-2</v>
      </c>
      <c r="CA660">
        <f t="shared" si="161"/>
        <v>0.77459235625178136</v>
      </c>
      <c r="CB660">
        <f t="shared" si="162"/>
        <v>1.4933588878908215</v>
      </c>
    </row>
    <row r="661" spans="1:80" x14ac:dyDescent="0.45">
      <c r="A661" s="11">
        <v>28</v>
      </c>
      <c r="B661" s="12">
        <f t="shared" si="150"/>
        <v>28</v>
      </c>
      <c r="C661" s="12" t="s">
        <v>59</v>
      </c>
      <c r="D661" s="12">
        <v>0</v>
      </c>
      <c r="E661" s="12" t="s">
        <v>53</v>
      </c>
      <c r="F661" s="12">
        <v>0</v>
      </c>
      <c r="G661" s="12">
        <v>1</v>
      </c>
      <c r="H661" s="12" t="s">
        <v>54</v>
      </c>
      <c r="I661" s="12">
        <v>0</v>
      </c>
      <c r="J661" s="12">
        <v>1</v>
      </c>
      <c r="K661" s="12">
        <v>5</v>
      </c>
      <c r="L661" s="12">
        <f t="shared" si="151"/>
        <v>5</v>
      </c>
      <c r="M661" s="12">
        <v>4</v>
      </c>
      <c r="N661" s="12" t="s">
        <v>70</v>
      </c>
      <c r="O661" s="12">
        <v>0</v>
      </c>
      <c r="P661" s="12">
        <v>0</v>
      </c>
      <c r="Q661" s="12">
        <v>1</v>
      </c>
      <c r="R661" s="12">
        <v>0</v>
      </c>
      <c r="S661" s="12">
        <v>0</v>
      </c>
      <c r="T661" s="12">
        <v>1</v>
      </c>
      <c r="U661" s="12" t="s">
        <v>62</v>
      </c>
      <c r="V661" s="12">
        <v>0</v>
      </c>
      <c r="W661" s="12">
        <v>98</v>
      </c>
      <c r="X661" s="12">
        <v>3</v>
      </c>
      <c r="Y661" s="12">
        <v>2</v>
      </c>
      <c r="Z661" s="12" t="s">
        <v>56</v>
      </c>
      <c r="AA661" s="12">
        <v>0</v>
      </c>
      <c r="AB661" s="12">
        <v>1</v>
      </c>
      <c r="AC661" s="12">
        <v>0</v>
      </c>
      <c r="AD661" s="12">
        <v>0</v>
      </c>
      <c r="AE661" s="12">
        <v>0</v>
      </c>
      <c r="AF661" s="12">
        <v>0</v>
      </c>
      <c r="AG661" s="12">
        <v>0</v>
      </c>
      <c r="AH661" s="12">
        <v>0</v>
      </c>
      <c r="AI661" s="12">
        <v>4</v>
      </c>
      <c r="AJ661" s="12" t="s">
        <v>57</v>
      </c>
      <c r="AK661" s="12">
        <v>1</v>
      </c>
      <c r="AL661" s="12">
        <v>0</v>
      </c>
      <c r="AM661" s="12">
        <v>4908</v>
      </c>
      <c r="AN661" s="12">
        <f t="shared" si="152"/>
        <v>4908</v>
      </c>
      <c r="AO661" s="12">
        <v>1</v>
      </c>
      <c r="AP661" s="12" t="s">
        <v>59</v>
      </c>
      <c r="AQ661" s="12">
        <v>0</v>
      </c>
      <c r="AR661" s="12">
        <v>14</v>
      </c>
      <c r="AS661" s="12">
        <v>3</v>
      </c>
      <c r="AT661" s="12">
        <v>2</v>
      </c>
      <c r="AU661" s="12">
        <v>0</v>
      </c>
      <c r="AV661" s="12">
        <v>4</v>
      </c>
      <c r="AW661" s="12">
        <f t="shared" si="153"/>
        <v>4</v>
      </c>
      <c r="AX661" s="12">
        <v>3</v>
      </c>
      <c r="AY661" s="12">
        <v>3</v>
      </c>
      <c r="AZ661" s="12">
        <v>4</v>
      </c>
      <c r="BA661" s="12">
        <f t="shared" si="154"/>
        <v>4</v>
      </c>
      <c r="BB661" s="12">
        <v>2</v>
      </c>
      <c r="BC661" s="12">
        <v>0</v>
      </c>
      <c r="BD661" s="12">
        <f t="shared" si="163"/>
        <v>0</v>
      </c>
      <c r="BE661" s="12">
        <v>2</v>
      </c>
      <c r="BF661" s="12">
        <f t="shared" si="155"/>
        <v>2</v>
      </c>
      <c r="BG661" s="12">
        <f t="shared" si="164"/>
        <v>4</v>
      </c>
      <c r="BH661" s="67">
        <v>1</v>
      </c>
      <c r="BI661" s="67">
        <v>0</v>
      </c>
      <c r="BJ661" s="67">
        <v>0</v>
      </c>
      <c r="BK661" s="67">
        <v>0</v>
      </c>
      <c r="BL661" s="67">
        <v>1</v>
      </c>
      <c r="BM661" s="67">
        <v>0</v>
      </c>
      <c r="BN661" s="67">
        <v>0</v>
      </c>
      <c r="BO661" s="67">
        <v>0</v>
      </c>
      <c r="BP661" s="67">
        <v>0</v>
      </c>
      <c r="BQ661" s="67">
        <v>0</v>
      </c>
      <c r="BR661" s="67">
        <v>2</v>
      </c>
      <c r="BS661" s="67">
        <v>0</v>
      </c>
      <c r="BT661" s="67">
        <v>0</v>
      </c>
      <c r="BU661" s="70">
        <v>4</v>
      </c>
      <c r="BV661" s="29">
        <f t="shared" si="156"/>
        <v>0.33877356271471304</v>
      </c>
      <c r="BW661">
        <f t="shared" si="157"/>
        <v>0.59502473559756086</v>
      </c>
      <c r="BX661">
        <f t="shared" si="158"/>
        <v>0.93558618405172878</v>
      </c>
      <c r="BY661">
        <f t="shared" si="159"/>
        <v>0.49100643357776058</v>
      </c>
      <c r="BZ661">
        <f t="shared" si="160"/>
        <v>0.51715642219916513</v>
      </c>
      <c r="CA661">
        <f t="shared" si="161"/>
        <v>0.97684123527310796</v>
      </c>
      <c r="CB661">
        <f t="shared" si="162"/>
        <v>0.67891464284095016</v>
      </c>
    </row>
    <row r="662" spans="1:80" x14ac:dyDescent="0.45">
      <c r="A662" s="11">
        <v>58</v>
      </c>
      <c r="B662" s="12">
        <f t="shared" si="150"/>
        <v>58</v>
      </c>
      <c r="C662" s="12" t="s">
        <v>52</v>
      </c>
      <c r="D662" s="12">
        <v>1</v>
      </c>
      <c r="E662" s="12" t="s">
        <v>60</v>
      </c>
      <c r="F662" s="12">
        <v>1</v>
      </c>
      <c r="G662" s="12">
        <v>0</v>
      </c>
      <c r="H662" s="12" t="s">
        <v>61</v>
      </c>
      <c r="I662" s="12">
        <v>1</v>
      </c>
      <c r="J662" s="12">
        <v>0</v>
      </c>
      <c r="K662" s="12">
        <v>2</v>
      </c>
      <c r="L662" s="12">
        <f t="shared" si="151"/>
        <v>2</v>
      </c>
      <c r="M662" s="12">
        <v>1</v>
      </c>
      <c r="N662" s="12" t="s">
        <v>55</v>
      </c>
      <c r="O662" s="12">
        <v>1</v>
      </c>
      <c r="P662" s="12">
        <v>0</v>
      </c>
      <c r="Q662" s="12">
        <v>0</v>
      </c>
      <c r="R662" s="12">
        <v>0</v>
      </c>
      <c r="S662" s="12">
        <v>0</v>
      </c>
      <c r="T662" s="12">
        <v>4</v>
      </c>
      <c r="U662" s="12" t="s">
        <v>62</v>
      </c>
      <c r="V662" s="12">
        <v>0</v>
      </c>
      <c r="W662" s="12">
        <v>57</v>
      </c>
      <c r="X662" s="12">
        <v>2</v>
      </c>
      <c r="Y662" s="12">
        <v>1</v>
      </c>
      <c r="Z662" s="12" t="s">
        <v>67</v>
      </c>
      <c r="AA662" s="12">
        <v>0</v>
      </c>
      <c r="AB662" s="12">
        <v>0</v>
      </c>
      <c r="AC662" s="12">
        <v>1</v>
      </c>
      <c r="AD662" s="12">
        <v>0</v>
      </c>
      <c r="AE662" s="12">
        <v>0</v>
      </c>
      <c r="AF662" s="12">
        <v>0</v>
      </c>
      <c r="AG662" s="12">
        <v>0</v>
      </c>
      <c r="AH662" s="12">
        <v>0</v>
      </c>
      <c r="AI662" s="12">
        <v>4</v>
      </c>
      <c r="AJ662" s="12" t="s">
        <v>78</v>
      </c>
      <c r="AK662" s="12">
        <v>0</v>
      </c>
      <c r="AL662" s="12">
        <v>0</v>
      </c>
      <c r="AM662" s="12">
        <v>2380</v>
      </c>
      <c r="AN662" s="12">
        <f t="shared" si="152"/>
        <v>2380</v>
      </c>
      <c r="AO662" s="12">
        <v>9</v>
      </c>
      <c r="AP662" s="12" t="s">
        <v>52</v>
      </c>
      <c r="AQ662" s="12">
        <v>1</v>
      </c>
      <c r="AR662" s="12">
        <v>14</v>
      </c>
      <c r="AS662" s="12">
        <v>3</v>
      </c>
      <c r="AT662" s="12">
        <v>4</v>
      </c>
      <c r="AU662" s="12">
        <v>1</v>
      </c>
      <c r="AV662" s="12">
        <v>3</v>
      </c>
      <c r="AW662" s="12">
        <f t="shared" si="153"/>
        <v>3</v>
      </c>
      <c r="AX662" s="12">
        <v>3</v>
      </c>
      <c r="AY662" s="12">
        <v>2</v>
      </c>
      <c r="AZ662" s="12">
        <v>1</v>
      </c>
      <c r="BA662" s="12">
        <f t="shared" si="154"/>
        <v>1</v>
      </c>
      <c r="BB662" s="12">
        <v>0</v>
      </c>
      <c r="BC662" s="12">
        <v>0</v>
      </c>
      <c r="BD662" s="12">
        <f t="shared" si="163"/>
        <v>0</v>
      </c>
      <c r="BE662" s="12">
        <v>0</v>
      </c>
      <c r="BF662" s="12">
        <f t="shared" si="155"/>
        <v>0</v>
      </c>
      <c r="BG662" s="12">
        <f t="shared" si="164"/>
        <v>0</v>
      </c>
      <c r="BH662" s="67">
        <v>0</v>
      </c>
      <c r="BI662" s="67">
        <v>0</v>
      </c>
      <c r="BJ662" s="67">
        <v>1</v>
      </c>
      <c r="BK662" s="67">
        <v>0</v>
      </c>
      <c r="BL662" s="67">
        <v>0</v>
      </c>
      <c r="BM662" s="67">
        <v>1</v>
      </c>
      <c r="BN662" s="67">
        <v>0</v>
      </c>
      <c r="BO662" s="67">
        <v>0</v>
      </c>
      <c r="BP662" s="67">
        <v>0</v>
      </c>
      <c r="BQ662" s="67">
        <v>0</v>
      </c>
      <c r="BR662" s="67">
        <v>0</v>
      </c>
      <c r="BS662" s="67">
        <v>0</v>
      </c>
      <c r="BT662" s="67">
        <v>3</v>
      </c>
      <c r="BU662" s="70">
        <v>0</v>
      </c>
      <c r="BV662" s="29">
        <f t="shared" si="156"/>
        <v>0.87573686048238941</v>
      </c>
      <c r="BW662">
        <f t="shared" si="157"/>
        <v>1.1555414682655611</v>
      </c>
      <c r="BX662">
        <f t="shared" si="158"/>
        <v>1.0641079755250529</v>
      </c>
      <c r="BY662">
        <f t="shared" si="159"/>
        <v>0.9806804209314296</v>
      </c>
      <c r="BZ662">
        <f t="shared" si="160"/>
        <v>0.88721318382472392</v>
      </c>
      <c r="CA662">
        <f t="shared" si="161"/>
        <v>2.3070967488360594</v>
      </c>
      <c r="CB662">
        <f t="shared" si="162"/>
        <v>0.67891464284095016</v>
      </c>
    </row>
    <row r="663" spans="1:80" x14ac:dyDescent="0.45">
      <c r="A663" s="11">
        <v>43</v>
      </c>
      <c r="B663" s="12">
        <f t="shared" si="150"/>
        <v>43</v>
      </c>
      <c r="C663" s="12" t="s">
        <v>59</v>
      </c>
      <c r="D663" s="12">
        <v>0</v>
      </c>
      <c r="E663" s="12" t="s">
        <v>53</v>
      </c>
      <c r="F663" s="12">
        <v>0</v>
      </c>
      <c r="G663" s="12">
        <v>1</v>
      </c>
      <c r="H663" s="12" t="s">
        <v>61</v>
      </c>
      <c r="I663" s="12">
        <v>1</v>
      </c>
      <c r="J663" s="12">
        <v>0</v>
      </c>
      <c r="K663" s="12">
        <v>8</v>
      </c>
      <c r="L663" s="12">
        <f t="shared" si="151"/>
        <v>8</v>
      </c>
      <c r="M663" s="12">
        <v>3</v>
      </c>
      <c r="N663" s="12" t="s">
        <v>55</v>
      </c>
      <c r="O663" s="12">
        <v>1</v>
      </c>
      <c r="P663" s="12">
        <v>0</v>
      </c>
      <c r="Q663" s="12">
        <v>0</v>
      </c>
      <c r="R663" s="12">
        <v>0</v>
      </c>
      <c r="S663" s="12">
        <v>0</v>
      </c>
      <c r="T663" s="12">
        <v>1</v>
      </c>
      <c r="U663" s="12" t="s">
        <v>19</v>
      </c>
      <c r="V663" s="12">
        <v>1</v>
      </c>
      <c r="W663" s="12">
        <v>55</v>
      </c>
      <c r="X663" s="12">
        <v>3</v>
      </c>
      <c r="Y663" s="12">
        <v>2</v>
      </c>
      <c r="Z663" s="12" t="s">
        <v>83</v>
      </c>
      <c r="AA663" s="12">
        <v>0</v>
      </c>
      <c r="AB663" s="12">
        <v>0</v>
      </c>
      <c r="AC663" s="12">
        <v>0</v>
      </c>
      <c r="AD663" s="12">
        <v>0</v>
      </c>
      <c r="AE663" s="12">
        <v>1</v>
      </c>
      <c r="AF663" s="12">
        <v>1</v>
      </c>
      <c r="AG663" s="12">
        <v>0</v>
      </c>
      <c r="AH663" s="12">
        <v>0</v>
      </c>
      <c r="AI663" s="12">
        <v>2</v>
      </c>
      <c r="AJ663" s="12" t="s">
        <v>78</v>
      </c>
      <c r="AK663" s="12">
        <v>0</v>
      </c>
      <c r="AL663" s="12">
        <v>0</v>
      </c>
      <c r="AM663" s="12">
        <v>4765</v>
      </c>
      <c r="AN663" s="12">
        <f t="shared" si="152"/>
        <v>4765</v>
      </c>
      <c r="AO663" s="12">
        <v>4</v>
      </c>
      <c r="AP663" s="12" t="s">
        <v>59</v>
      </c>
      <c r="AQ663" s="12">
        <v>0</v>
      </c>
      <c r="AR663" s="12">
        <v>21</v>
      </c>
      <c r="AS663" s="12">
        <v>4</v>
      </c>
      <c r="AT663" s="12">
        <v>3</v>
      </c>
      <c r="AU663" s="12">
        <v>1</v>
      </c>
      <c r="AV663" s="12">
        <v>4</v>
      </c>
      <c r="AW663" s="12">
        <f t="shared" si="153"/>
        <v>4</v>
      </c>
      <c r="AX663" s="12">
        <v>2</v>
      </c>
      <c r="AY663" s="12">
        <v>4</v>
      </c>
      <c r="AZ663" s="12">
        <v>1</v>
      </c>
      <c r="BA663" s="12">
        <f t="shared" si="154"/>
        <v>1</v>
      </c>
      <c r="BB663" s="12">
        <v>0</v>
      </c>
      <c r="BC663" s="12">
        <v>0</v>
      </c>
      <c r="BD663" s="12">
        <f t="shared" si="163"/>
        <v>0</v>
      </c>
      <c r="BE663" s="12">
        <v>0</v>
      </c>
      <c r="BF663" s="12">
        <f t="shared" si="155"/>
        <v>0</v>
      </c>
      <c r="BG663" s="12">
        <f t="shared" si="164"/>
        <v>0</v>
      </c>
      <c r="BH663" s="67">
        <v>1</v>
      </c>
      <c r="BI663" s="67">
        <v>0</v>
      </c>
      <c r="BJ663" s="67">
        <v>0</v>
      </c>
      <c r="BK663" s="67">
        <v>0</v>
      </c>
      <c r="BL663" s="67">
        <v>1</v>
      </c>
      <c r="BM663" s="67">
        <v>0</v>
      </c>
      <c r="BN663" s="67">
        <v>0</v>
      </c>
      <c r="BO663" s="67">
        <v>0</v>
      </c>
      <c r="BP663" s="67">
        <v>0</v>
      </c>
      <c r="BQ663" s="67">
        <v>0</v>
      </c>
      <c r="BR663" s="67">
        <v>0</v>
      </c>
      <c r="BS663" s="67">
        <v>0</v>
      </c>
      <c r="BT663" s="67">
        <v>4</v>
      </c>
      <c r="BU663" s="70">
        <v>0</v>
      </c>
      <c r="BV663" s="29">
        <f t="shared" si="156"/>
        <v>0.36914767330837511</v>
      </c>
      <c r="BW663">
        <f t="shared" si="157"/>
        <v>1.1555414682655611</v>
      </c>
      <c r="BX663">
        <f t="shared" si="158"/>
        <v>0.93558618405172878</v>
      </c>
      <c r="BY663">
        <f t="shared" si="159"/>
        <v>0.9806804209314296</v>
      </c>
      <c r="BZ663">
        <f t="shared" si="160"/>
        <v>0.14709966057360641</v>
      </c>
      <c r="CA663">
        <f t="shared" si="161"/>
        <v>0.66512775678147573</v>
      </c>
      <c r="CB663">
        <f t="shared" si="162"/>
        <v>0.67891464284095016</v>
      </c>
    </row>
    <row r="664" spans="1:80" x14ac:dyDescent="0.45">
      <c r="A664" s="11">
        <v>20</v>
      </c>
      <c r="B664" s="12">
        <f t="shared" si="150"/>
        <v>20</v>
      </c>
      <c r="C664" s="12" t="s">
        <v>52</v>
      </c>
      <c r="D664" s="12">
        <v>1</v>
      </c>
      <c r="E664" s="12" t="s">
        <v>53</v>
      </c>
      <c r="F664" s="12">
        <v>0</v>
      </c>
      <c r="G664" s="12">
        <v>1</v>
      </c>
      <c r="H664" s="12" t="s">
        <v>54</v>
      </c>
      <c r="I664" s="12">
        <v>0</v>
      </c>
      <c r="J664" s="12">
        <v>1</v>
      </c>
      <c r="K664" s="12">
        <v>2</v>
      </c>
      <c r="L664" s="12">
        <f t="shared" si="151"/>
        <v>2</v>
      </c>
      <c r="M664" s="12">
        <v>3</v>
      </c>
      <c r="N664" s="12" t="s">
        <v>70</v>
      </c>
      <c r="O664" s="12">
        <v>0</v>
      </c>
      <c r="P664" s="12">
        <v>0</v>
      </c>
      <c r="Q664" s="12">
        <v>1</v>
      </c>
      <c r="R664" s="12">
        <v>0</v>
      </c>
      <c r="S664" s="12">
        <v>0</v>
      </c>
      <c r="T664" s="12">
        <v>3</v>
      </c>
      <c r="U664" s="12" t="s">
        <v>19</v>
      </c>
      <c r="V664" s="12">
        <v>1</v>
      </c>
      <c r="W664" s="12">
        <v>49</v>
      </c>
      <c r="X664" s="12">
        <v>2</v>
      </c>
      <c r="Y664" s="12">
        <v>1</v>
      </c>
      <c r="Z664" s="12" t="s">
        <v>88</v>
      </c>
      <c r="AA664" s="12">
        <v>0</v>
      </c>
      <c r="AB664" s="12">
        <v>0</v>
      </c>
      <c r="AC664" s="12">
        <v>0</v>
      </c>
      <c r="AD664" s="12">
        <v>0</v>
      </c>
      <c r="AE664" s="12">
        <v>0</v>
      </c>
      <c r="AF664" s="12">
        <v>0</v>
      </c>
      <c r="AG664" s="12">
        <v>1</v>
      </c>
      <c r="AH664" s="12">
        <v>0</v>
      </c>
      <c r="AI664" s="12">
        <v>3</v>
      </c>
      <c r="AJ664" s="12" t="s">
        <v>57</v>
      </c>
      <c r="AK664" s="12">
        <v>1</v>
      </c>
      <c r="AL664" s="12">
        <v>0</v>
      </c>
      <c r="AM664" s="12">
        <v>2044</v>
      </c>
      <c r="AN664" s="12">
        <f t="shared" si="152"/>
        <v>2044</v>
      </c>
      <c r="AO664" s="12">
        <v>1</v>
      </c>
      <c r="AP664" s="12" t="s">
        <v>59</v>
      </c>
      <c r="AQ664" s="12">
        <v>0</v>
      </c>
      <c r="AR664" s="12">
        <v>13</v>
      </c>
      <c r="AS664" s="12">
        <v>3</v>
      </c>
      <c r="AT664" s="12">
        <v>4</v>
      </c>
      <c r="AU664" s="12">
        <v>0</v>
      </c>
      <c r="AV664" s="12">
        <v>2</v>
      </c>
      <c r="AW664" s="12">
        <f t="shared" si="153"/>
        <v>2</v>
      </c>
      <c r="AX664" s="12">
        <v>3</v>
      </c>
      <c r="AY664" s="12">
        <v>2</v>
      </c>
      <c r="AZ664" s="12">
        <v>2</v>
      </c>
      <c r="BA664" s="12">
        <f t="shared" si="154"/>
        <v>2</v>
      </c>
      <c r="BB664" s="12">
        <v>2</v>
      </c>
      <c r="BC664" s="12">
        <v>0</v>
      </c>
      <c r="BD664" s="12">
        <f t="shared" si="163"/>
        <v>0</v>
      </c>
      <c r="BE664" s="12">
        <v>2</v>
      </c>
      <c r="BF664" s="12">
        <f t="shared" si="155"/>
        <v>2</v>
      </c>
      <c r="BG664" s="12">
        <f t="shared" si="164"/>
        <v>2</v>
      </c>
      <c r="BH664" s="67">
        <v>1</v>
      </c>
      <c r="BI664" s="67">
        <v>0</v>
      </c>
      <c r="BJ664" s="67">
        <v>0</v>
      </c>
      <c r="BK664" s="67">
        <v>0</v>
      </c>
      <c r="BL664" s="67">
        <v>1</v>
      </c>
      <c r="BM664" s="67">
        <v>0</v>
      </c>
      <c r="BN664" s="67">
        <v>0</v>
      </c>
      <c r="BO664" s="67">
        <v>0</v>
      </c>
      <c r="BP664" s="67">
        <v>0</v>
      </c>
      <c r="BQ664" s="67">
        <v>0</v>
      </c>
      <c r="BR664" s="67">
        <v>2</v>
      </c>
      <c r="BS664" s="67">
        <v>0</v>
      </c>
      <c r="BT664" s="67">
        <v>0</v>
      </c>
      <c r="BU664" s="70">
        <v>2</v>
      </c>
      <c r="BV664" s="29">
        <f t="shared" si="156"/>
        <v>0.94710540005910593</v>
      </c>
      <c r="BW664">
        <f t="shared" si="157"/>
        <v>0.59502473559756086</v>
      </c>
      <c r="BX664">
        <f t="shared" si="158"/>
        <v>1.192629766998377</v>
      </c>
      <c r="BY664">
        <f t="shared" si="159"/>
        <v>0.81745575848020657</v>
      </c>
      <c r="BZ664">
        <f t="shared" si="160"/>
        <v>0.88721318382472392</v>
      </c>
      <c r="CA664">
        <f t="shared" si="161"/>
        <v>1.8525580310355525</v>
      </c>
      <c r="CB664">
        <f t="shared" si="162"/>
        <v>0.67891464284095016</v>
      </c>
    </row>
    <row r="665" spans="1:80" x14ac:dyDescent="0.45">
      <c r="A665" s="11">
        <v>21</v>
      </c>
      <c r="B665" s="12">
        <f t="shared" si="150"/>
        <v>21</v>
      </c>
      <c r="C665" s="12" t="s">
        <v>52</v>
      </c>
      <c r="D665" s="12">
        <v>1</v>
      </c>
      <c r="E665" s="12" t="s">
        <v>53</v>
      </c>
      <c r="F665" s="12">
        <v>0</v>
      </c>
      <c r="G665" s="12">
        <v>1</v>
      </c>
      <c r="H665" s="12" t="s">
        <v>61</v>
      </c>
      <c r="I665" s="12">
        <v>1</v>
      </c>
      <c r="J665" s="12">
        <v>0</v>
      </c>
      <c r="K665" s="12">
        <v>18</v>
      </c>
      <c r="L665" s="12">
        <f t="shared" si="151"/>
        <v>18</v>
      </c>
      <c r="M665" s="12">
        <v>1</v>
      </c>
      <c r="N665" s="12" t="s">
        <v>66</v>
      </c>
      <c r="O665" s="12">
        <v>0</v>
      </c>
      <c r="P665" s="12">
        <v>1</v>
      </c>
      <c r="Q665" s="12">
        <v>0</v>
      </c>
      <c r="R665" s="12">
        <v>0</v>
      </c>
      <c r="S665" s="12">
        <v>0</v>
      </c>
      <c r="T665" s="12">
        <v>4</v>
      </c>
      <c r="U665" s="12" t="s">
        <v>19</v>
      </c>
      <c r="V665" s="12">
        <v>1</v>
      </c>
      <c r="W665" s="12">
        <v>65</v>
      </c>
      <c r="X665" s="12">
        <v>3</v>
      </c>
      <c r="Y665" s="12">
        <v>1</v>
      </c>
      <c r="Z665" s="12" t="s">
        <v>63</v>
      </c>
      <c r="AA665" s="12">
        <v>0</v>
      </c>
      <c r="AB665" s="12">
        <v>0</v>
      </c>
      <c r="AC665" s="12">
        <v>0</v>
      </c>
      <c r="AD665" s="12">
        <v>0</v>
      </c>
      <c r="AE665" s="12">
        <v>0</v>
      </c>
      <c r="AF665" s="12">
        <v>0</v>
      </c>
      <c r="AG665" s="12">
        <v>0</v>
      </c>
      <c r="AH665" s="12">
        <v>1</v>
      </c>
      <c r="AI665" s="12">
        <v>4</v>
      </c>
      <c r="AJ665" s="12" t="s">
        <v>57</v>
      </c>
      <c r="AK665" s="12">
        <v>1</v>
      </c>
      <c r="AL665" s="12">
        <v>0</v>
      </c>
      <c r="AM665" s="12">
        <v>2693</v>
      </c>
      <c r="AN665" s="12">
        <f t="shared" si="152"/>
        <v>2693</v>
      </c>
      <c r="AO665" s="12">
        <v>1</v>
      </c>
      <c r="AP665" s="12" t="s">
        <v>59</v>
      </c>
      <c r="AQ665" s="12">
        <v>0</v>
      </c>
      <c r="AR665" s="12">
        <v>19</v>
      </c>
      <c r="AS665" s="12">
        <v>3</v>
      </c>
      <c r="AT665" s="12">
        <v>1</v>
      </c>
      <c r="AU665" s="12">
        <v>0</v>
      </c>
      <c r="AV665" s="12">
        <v>1</v>
      </c>
      <c r="AW665" s="12">
        <f t="shared" si="153"/>
        <v>1</v>
      </c>
      <c r="AX665" s="12">
        <v>3</v>
      </c>
      <c r="AY665" s="12">
        <v>2</v>
      </c>
      <c r="AZ665" s="12">
        <v>1</v>
      </c>
      <c r="BA665" s="12">
        <f t="shared" si="154"/>
        <v>1</v>
      </c>
      <c r="BB665" s="12">
        <v>0</v>
      </c>
      <c r="BC665" s="12">
        <v>0</v>
      </c>
      <c r="BD665" s="12">
        <f t="shared" si="163"/>
        <v>0</v>
      </c>
      <c r="BE665" s="12">
        <v>0</v>
      </c>
      <c r="BF665" s="12">
        <f t="shared" si="155"/>
        <v>0</v>
      </c>
      <c r="BG665" s="12">
        <f t="shared" si="164"/>
        <v>0</v>
      </c>
      <c r="BH665" s="67">
        <v>1</v>
      </c>
      <c r="BI665" s="67">
        <v>0</v>
      </c>
      <c r="BJ665" s="67">
        <v>0</v>
      </c>
      <c r="BK665" s="67">
        <v>0</v>
      </c>
      <c r="BL665" s="67">
        <v>1</v>
      </c>
      <c r="BM665" s="67">
        <v>0</v>
      </c>
      <c r="BN665" s="67">
        <v>0</v>
      </c>
      <c r="BO665" s="67">
        <v>0</v>
      </c>
      <c r="BP665" s="67">
        <v>0</v>
      </c>
      <c r="BQ665" s="67">
        <v>0</v>
      </c>
      <c r="BR665" s="67">
        <v>0</v>
      </c>
      <c r="BS665" s="67">
        <v>0</v>
      </c>
      <c r="BT665" s="67">
        <v>1</v>
      </c>
      <c r="BU665" s="70">
        <v>0</v>
      </c>
      <c r="BV665" s="29">
        <f t="shared" si="156"/>
        <v>0.80925366736479343</v>
      </c>
      <c r="BW665">
        <f t="shared" si="157"/>
        <v>1.1555414682655611</v>
      </c>
      <c r="BX665">
        <f t="shared" si="158"/>
        <v>1.3211515584717011</v>
      </c>
      <c r="BY665">
        <f t="shared" si="159"/>
        <v>0.9806804209314296</v>
      </c>
      <c r="BZ665">
        <f t="shared" si="160"/>
        <v>1.0864228781782561</v>
      </c>
      <c r="CA665">
        <f t="shared" si="161"/>
        <v>1.7430934315652469</v>
      </c>
      <c r="CB665">
        <f t="shared" si="162"/>
        <v>0.67891464284095016</v>
      </c>
    </row>
    <row r="666" spans="1:80" x14ac:dyDescent="0.45">
      <c r="A666" s="11">
        <v>36</v>
      </c>
      <c r="B666" s="12">
        <f t="shared" si="150"/>
        <v>36</v>
      </c>
      <c r="C666" s="12" t="s">
        <v>59</v>
      </c>
      <c r="D666" s="12">
        <v>0</v>
      </c>
      <c r="E666" s="12" t="s">
        <v>53</v>
      </c>
      <c r="F666" s="12">
        <v>0</v>
      </c>
      <c r="G666" s="12">
        <v>1</v>
      </c>
      <c r="H666" s="12" t="s">
        <v>61</v>
      </c>
      <c r="I666" s="12">
        <v>1</v>
      </c>
      <c r="J666" s="12">
        <v>0</v>
      </c>
      <c r="K666" s="12">
        <v>14</v>
      </c>
      <c r="L666" s="12">
        <f t="shared" si="151"/>
        <v>14</v>
      </c>
      <c r="M666" s="12">
        <v>1</v>
      </c>
      <c r="N666" s="12" t="s">
        <v>55</v>
      </c>
      <c r="O666" s="12">
        <v>1</v>
      </c>
      <c r="P666" s="12">
        <v>0</v>
      </c>
      <c r="Q666" s="12">
        <v>0</v>
      </c>
      <c r="R666" s="12">
        <v>0</v>
      </c>
      <c r="S666" s="12">
        <v>0</v>
      </c>
      <c r="T666" s="12">
        <v>3</v>
      </c>
      <c r="U666" s="12" t="s">
        <v>62</v>
      </c>
      <c r="V666" s="12">
        <v>0</v>
      </c>
      <c r="W666" s="12">
        <v>68</v>
      </c>
      <c r="X666" s="12">
        <v>3</v>
      </c>
      <c r="Y666" s="12">
        <v>2</v>
      </c>
      <c r="Z666" s="12" t="s">
        <v>85</v>
      </c>
      <c r="AA666" s="12">
        <v>1</v>
      </c>
      <c r="AB666" s="12">
        <v>0</v>
      </c>
      <c r="AC666" s="12">
        <v>0</v>
      </c>
      <c r="AD666" s="12">
        <v>0</v>
      </c>
      <c r="AE666" s="12">
        <v>0</v>
      </c>
      <c r="AF666" s="12">
        <v>0</v>
      </c>
      <c r="AG666" s="12">
        <v>0</v>
      </c>
      <c r="AH666" s="12">
        <v>0</v>
      </c>
      <c r="AI666" s="12">
        <v>4</v>
      </c>
      <c r="AJ666" s="12" t="s">
        <v>64</v>
      </c>
      <c r="AK666" s="12">
        <v>0</v>
      </c>
      <c r="AL666" s="12">
        <v>1</v>
      </c>
      <c r="AM666" s="12">
        <v>6586</v>
      </c>
      <c r="AN666" s="12">
        <f t="shared" si="152"/>
        <v>6586</v>
      </c>
      <c r="AO666" s="12">
        <v>0</v>
      </c>
      <c r="AP666" s="12" t="s">
        <v>52</v>
      </c>
      <c r="AQ666" s="12">
        <v>1</v>
      </c>
      <c r="AR666" s="12">
        <v>17</v>
      </c>
      <c r="AS666" s="12">
        <v>3</v>
      </c>
      <c r="AT666" s="12">
        <v>1</v>
      </c>
      <c r="AU666" s="12">
        <v>1</v>
      </c>
      <c r="AV666" s="12">
        <v>17</v>
      </c>
      <c r="AW666" s="12">
        <f t="shared" si="153"/>
        <v>17</v>
      </c>
      <c r="AX666" s="12">
        <v>2</v>
      </c>
      <c r="AY666" s="12">
        <v>2</v>
      </c>
      <c r="AZ666" s="12">
        <v>16</v>
      </c>
      <c r="BA666" s="12">
        <f t="shared" si="154"/>
        <v>16</v>
      </c>
      <c r="BB666" s="12">
        <v>8</v>
      </c>
      <c r="BC666" s="12">
        <v>4</v>
      </c>
      <c r="BD666" s="12">
        <f t="shared" si="163"/>
        <v>4</v>
      </c>
      <c r="BE666" s="12">
        <v>11</v>
      </c>
      <c r="BF666" s="12">
        <f t="shared" si="155"/>
        <v>11</v>
      </c>
      <c r="BG666" s="12">
        <f t="shared" si="164"/>
        <v>22</v>
      </c>
      <c r="BH666" s="67">
        <v>0</v>
      </c>
      <c r="BI666" s="67">
        <v>1</v>
      </c>
      <c r="BJ666" s="67">
        <v>0</v>
      </c>
      <c r="BK666" s="67">
        <v>0</v>
      </c>
      <c r="BL666" s="67">
        <v>0</v>
      </c>
      <c r="BM666" s="67">
        <v>0</v>
      </c>
      <c r="BN666" s="67">
        <v>0</v>
      </c>
      <c r="BO666" s="67">
        <v>1</v>
      </c>
      <c r="BP666" s="67">
        <v>0</v>
      </c>
      <c r="BQ666" s="67">
        <v>11</v>
      </c>
      <c r="BR666" s="67">
        <v>0</v>
      </c>
      <c r="BS666" s="67">
        <v>0</v>
      </c>
      <c r="BT666" s="67">
        <v>17</v>
      </c>
      <c r="BU666" s="70">
        <v>0</v>
      </c>
      <c r="BV666" s="29">
        <f t="shared" si="156"/>
        <v>1.7644322433293658E-2</v>
      </c>
      <c r="BW666">
        <f t="shared" si="157"/>
        <v>1.9273005614084406</v>
      </c>
      <c r="BX666">
        <f t="shared" si="158"/>
        <v>0.73519710510148462</v>
      </c>
      <c r="BY666">
        <f t="shared" si="159"/>
        <v>1.4676895158369152</v>
      </c>
      <c r="BZ666">
        <f t="shared" si="160"/>
        <v>0.59301386267751111</v>
      </c>
      <c r="CA666">
        <f t="shared" si="161"/>
        <v>0.10112443951066327</v>
      </c>
      <c r="CB666">
        <f t="shared" si="162"/>
        <v>0.56238451757720498</v>
      </c>
    </row>
    <row r="667" spans="1:80" x14ac:dyDescent="0.45">
      <c r="A667" s="11">
        <v>47</v>
      </c>
      <c r="B667" s="12">
        <f t="shared" si="150"/>
        <v>47</v>
      </c>
      <c r="C667" s="12" t="s">
        <v>59</v>
      </c>
      <c r="D667" s="12">
        <v>0</v>
      </c>
      <c r="E667" s="12" t="s">
        <v>53</v>
      </c>
      <c r="F667" s="12">
        <v>0</v>
      </c>
      <c r="G667" s="12">
        <v>1</v>
      </c>
      <c r="H667" s="12" t="s">
        <v>54</v>
      </c>
      <c r="I667" s="12">
        <v>0</v>
      </c>
      <c r="J667" s="12">
        <v>1</v>
      </c>
      <c r="K667" s="12">
        <v>2</v>
      </c>
      <c r="L667" s="12">
        <f t="shared" si="151"/>
        <v>2</v>
      </c>
      <c r="M667" s="12">
        <v>4</v>
      </c>
      <c r="N667" s="12" t="s">
        <v>55</v>
      </c>
      <c r="O667" s="12">
        <v>1</v>
      </c>
      <c r="P667" s="12">
        <v>0</v>
      </c>
      <c r="Q667" s="12">
        <v>0</v>
      </c>
      <c r="R667" s="12">
        <v>0</v>
      </c>
      <c r="S667" s="12">
        <v>0</v>
      </c>
      <c r="T667" s="12">
        <v>4</v>
      </c>
      <c r="U667" s="12" t="s">
        <v>19</v>
      </c>
      <c r="V667" s="12">
        <v>1</v>
      </c>
      <c r="W667" s="12">
        <v>65</v>
      </c>
      <c r="X667" s="12">
        <v>2</v>
      </c>
      <c r="Y667" s="12">
        <v>1</v>
      </c>
      <c r="Z667" s="12" t="s">
        <v>88</v>
      </c>
      <c r="AA667" s="12">
        <v>0</v>
      </c>
      <c r="AB667" s="12">
        <v>0</v>
      </c>
      <c r="AC667" s="12">
        <v>0</v>
      </c>
      <c r="AD667" s="12">
        <v>0</v>
      </c>
      <c r="AE667" s="12">
        <v>0</v>
      </c>
      <c r="AF667" s="12">
        <v>0</v>
      </c>
      <c r="AG667" s="12">
        <v>1</v>
      </c>
      <c r="AH667" s="12">
        <v>0</v>
      </c>
      <c r="AI667" s="12">
        <v>4</v>
      </c>
      <c r="AJ667" s="12" t="s">
        <v>57</v>
      </c>
      <c r="AK667" s="12">
        <v>1</v>
      </c>
      <c r="AL667" s="12">
        <v>0</v>
      </c>
      <c r="AM667" s="12">
        <v>3294</v>
      </c>
      <c r="AN667" s="12">
        <f t="shared" si="152"/>
        <v>3294</v>
      </c>
      <c r="AO667" s="12">
        <v>1</v>
      </c>
      <c r="AP667" s="12" t="s">
        <v>52</v>
      </c>
      <c r="AQ667" s="12">
        <v>1</v>
      </c>
      <c r="AR667" s="12">
        <v>18</v>
      </c>
      <c r="AS667" s="12">
        <v>3</v>
      </c>
      <c r="AT667" s="12">
        <v>1</v>
      </c>
      <c r="AU667" s="12">
        <v>0</v>
      </c>
      <c r="AV667" s="12">
        <v>3</v>
      </c>
      <c r="AW667" s="12">
        <f t="shared" si="153"/>
        <v>3</v>
      </c>
      <c r="AX667" s="12">
        <v>3</v>
      </c>
      <c r="AY667" s="12">
        <v>2</v>
      </c>
      <c r="AZ667" s="12">
        <v>3</v>
      </c>
      <c r="BA667" s="12">
        <f t="shared" si="154"/>
        <v>3</v>
      </c>
      <c r="BB667" s="12">
        <v>2</v>
      </c>
      <c r="BC667" s="12">
        <v>1</v>
      </c>
      <c r="BD667" s="12">
        <f t="shared" si="163"/>
        <v>1</v>
      </c>
      <c r="BE667" s="12">
        <v>2</v>
      </c>
      <c r="BF667" s="12">
        <f t="shared" si="155"/>
        <v>2</v>
      </c>
      <c r="BG667" s="12">
        <f t="shared" si="164"/>
        <v>2</v>
      </c>
      <c r="BH667" s="67">
        <v>1</v>
      </c>
      <c r="BI667" s="67">
        <v>0</v>
      </c>
      <c r="BJ667" s="67">
        <v>0</v>
      </c>
      <c r="BK667" s="67">
        <v>0</v>
      </c>
      <c r="BL667" s="67">
        <v>0</v>
      </c>
      <c r="BM667" s="67">
        <v>1</v>
      </c>
      <c r="BN667" s="67">
        <v>0</v>
      </c>
      <c r="BO667" s="67">
        <v>0</v>
      </c>
      <c r="BP667" s="67">
        <v>0</v>
      </c>
      <c r="BQ667" s="67">
        <v>0</v>
      </c>
      <c r="BR667" s="67">
        <v>2</v>
      </c>
      <c r="BS667" s="67">
        <v>0</v>
      </c>
      <c r="BT667" s="67">
        <v>0</v>
      </c>
      <c r="BU667" s="70">
        <v>3</v>
      </c>
      <c r="BV667" s="29">
        <f t="shared" si="156"/>
        <v>0.68159744032429759</v>
      </c>
      <c r="BW667">
        <f t="shared" si="157"/>
        <v>0.59502473559756086</v>
      </c>
      <c r="BX667">
        <f t="shared" si="158"/>
        <v>1.0641079755250529</v>
      </c>
      <c r="BY667">
        <f t="shared" si="159"/>
        <v>0.65423109602898355</v>
      </c>
      <c r="BZ667">
        <f t="shared" si="160"/>
        <v>0.88721318382472392</v>
      </c>
      <c r="CA667">
        <f t="shared" si="161"/>
        <v>1.102986154662698</v>
      </c>
      <c r="CB667">
        <f t="shared" si="162"/>
        <v>0.36858985273641137</v>
      </c>
    </row>
    <row r="668" spans="1:80" x14ac:dyDescent="0.45">
      <c r="A668" s="11">
        <v>22</v>
      </c>
      <c r="B668" s="12">
        <f t="shared" si="150"/>
        <v>22</v>
      </c>
      <c r="C668" s="12" t="s">
        <v>52</v>
      </c>
      <c r="D668" s="12">
        <v>1</v>
      </c>
      <c r="E668" s="12" t="s">
        <v>53</v>
      </c>
      <c r="F668" s="12">
        <v>0</v>
      </c>
      <c r="G668" s="12">
        <v>1</v>
      </c>
      <c r="H668" s="12" t="s">
        <v>61</v>
      </c>
      <c r="I668" s="12">
        <v>1</v>
      </c>
      <c r="J668" s="12">
        <v>0</v>
      </c>
      <c r="K668" s="12">
        <v>3</v>
      </c>
      <c r="L668" s="12">
        <f t="shared" si="151"/>
        <v>3</v>
      </c>
      <c r="M668" s="12">
        <v>1</v>
      </c>
      <c r="N668" s="12" t="s">
        <v>55</v>
      </c>
      <c r="O668" s="12">
        <v>1</v>
      </c>
      <c r="P668" s="12">
        <v>0</v>
      </c>
      <c r="Q668" s="12">
        <v>0</v>
      </c>
      <c r="R668" s="12">
        <v>0</v>
      </c>
      <c r="S668" s="12">
        <v>0</v>
      </c>
      <c r="T668" s="12">
        <v>2</v>
      </c>
      <c r="U668" s="12" t="s">
        <v>19</v>
      </c>
      <c r="V668" s="12">
        <v>1</v>
      </c>
      <c r="W668" s="12">
        <v>34</v>
      </c>
      <c r="X668" s="12">
        <v>3</v>
      </c>
      <c r="Y668" s="12">
        <v>2</v>
      </c>
      <c r="Z668" s="12" t="s">
        <v>83</v>
      </c>
      <c r="AA668" s="12">
        <v>0</v>
      </c>
      <c r="AB668" s="12">
        <v>0</v>
      </c>
      <c r="AC668" s="12">
        <v>0</v>
      </c>
      <c r="AD668" s="12">
        <v>0</v>
      </c>
      <c r="AE668" s="12">
        <v>1</v>
      </c>
      <c r="AF668" s="12">
        <v>1</v>
      </c>
      <c r="AG668" s="12">
        <v>0</v>
      </c>
      <c r="AH668" s="12">
        <v>0</v>
      </c>
      <c r="AI668" s="12">
        <v>3</v>
      </c>
      <c r="AJ668" s="12" t="s">
        <v>64</v>
      </c>
      <c r="AK668" s="12">
        <v>0</v>
      </c>
      <c r="AL668" s="12">
        <v>1</v>
      </c>
      <c r="AM668" s="12">
        <v>4171</v>
      </c>
      <c r="AN668" s="12">
        <f t="shared" si="152"/>
        <v>4171</v>
      </c>
      <c r="AO668" s="12">
        <v>0</v>
      </c>
      <c r="AP668" s="12" t="s">
        <v>52</v>
      </c>
      <c r="AQ668" s="12">
        <v>1</v>
      </c>
      <c r="AR668" s="12">
        <v>19</v>
      </c>
      <c r="AS668" s="12">
        <v>3</v>
      </c>
      <c r="AT668" s="12">
        <v>1</v>
      </c>
      <c r="AU668" s="12">
        <v>1</v>
      </c>
      <c r="AV668" s="12">
        <v>4</v>
      </c>
      <c r="AW668" s="12">
        <f t="shared" si="153"/>
        <v>4</v>
      </c>
      <c r="AX668" s="12">
        <v>3</v>
      </c>
      <c r="AY668" s="12">
        <v>4</v>
      </c>
      <c r="AZ668" s="12">
        <v>3</v>
      </c>
      <c r="BA668" s="12">
        <f t="shared" si="154"/>
        <v>3</v>
      </c>
      <c r="BB668" s="12">
        <v>2</v>
      </c>
      <c r="BC668" s="12">
        <v>0</v>
      </c>
      <c r="BD668" s="12">
        <f t="shared" si="163"/>
        <v>0</v>
      </c>
      <c r="BE668" s="12">
        <v>2</v>
      </c>
      <c r="BF668" s="12">
        <f t="shared" si="155"/>
        <v>2</v>
      </c>
      <c r="BG668" s="12">
        <f t="shared" si="164"/>
        <v>4</v>
      </c>
      <c r="BH668" s="67">
        <v>0</v>
      </c>
      <c r="BI668" s="67">
        <v>1</v>
      </c>
      <c r="BJ668" s="67">
        <v>0</v>
      </c>
      <c r="BK668" s="67">
        <v>0</v>
      </c>
      <c r="BL668" s="67">
        <v>0</v>
      </c>
      <c r="BM668" s="67">
        <v>0</v>
      </c>
      <c r="BN668" s="67">
        <v>0</v>
      </c>
      <c r="BO668" s="67">
        <v>1</v>
      </c>
      <c r="BP668" s="67">
        <v>0</v>
      </c>
      <c r="BQ668" s="67">
        <v>2</v>
      </c>
      <c r="BR668" s="67">
        <v>0</v>
      </c>
      <c r="BS668" s="67">
        <v>0</v>
      </c>
      <c r="BT668" s="67">
        <v>4</v>
      </c>
      <c r="BU668" s="70">
        <v>0</v>
      </c>
      <c r="BV668" s="29">
        <f t="shared" si="156"/>
        <v>0.49531705577435603</v>
      </c>
      <c r="BW668">
        <f t="shared" si="157"/>
        <v>0.59502473559756086</v>
      </c>
      <c r="BX668">
        <f t="shared" si="158"/>
        <v>0.93558618405172878</v>
      </c>
      <c r="BY668">
        <f t="shared" si="159"/>
        <v>0.65423109602898355</v>
      </c>
      <c r="BZ668">
        <f t="shared" si="160"/>
        <v>0.76386092994953758</v>
      </c>
      <c r="CA668">
        <f t="shared" si="161"/>
        <v>1.6336288320949415</v>
      </c>
      <c r="CB668">
        <f t="shared" si="162"/>
        <v>0.67891464284095016</v>
      </c>
    </row>
    <row r="669" spans="1:80" x14ac:dyDescent="0.45">
      <c r="A669" s="11">
        <v>41</v>
      </c>
      <c r="B669" s="12">
        <f t="shared" si="150"/>
        <v>41</v>
      </c>
      <c r="C669" s="12" t="s">
        <v>52</v>
      </c>
      <c r="D669" s="12">
        <v>1</v>
      </c>
      <c r="E669" s="12" t="s">
        <v>53</v>
      </c>
      <c r="F669" s="12">
        <v>0</v>
      </c>
      <c r="G669" s="12">
        <v>1</v>
      </c>
      <c r="H669" s="12" t="s">
        <v>61</v>
      </c>
      <c r="I669" s="12">
        <v>1</v>
      </c>
      <c r="J669" s="12">
        <v>0</v>
      </c>
      <c r="K669" s="12">
        <v>2</v>
      </c>
      <c r="L669" s="12">
        <f t="shared" si="151"/>
        <v>2</v>
      </c>
      <c r="M669" s="12">
        <v>4</v>
      </c>
      <c r="N669" s="12" t="s">
        <v>55</v>
      </c>
      <c r="O669" s="12">
        <v>1</v>
      </c>
      <c r="P669" s="12">
        <v>0</v>
      </c>
      <c r="Q669" s="12">
        <v>0</v>
      </c>
      <c r="R669" s="12">
        <v>0</v>
      </c>
      <c r="S669" s="12">
        <v>0</v>
      </c>
      <c r="T669" s="12">
        <v>2</v>
      </c>
      <c r="U669" s="12" t="s">
        <v>19</v>
      </c>
      <c r="V669" s="12">
        <v>1</v>
      </c>
      <c r="W669" s="12">
        <v>57</v>
      </c>
      <c r="X669" s="12">
        <v>1</v>
      </c>
      <c r="Y669" s="12">
        <v>1</v>
      </c>
      <c r="Z669" s="12" t="s">
        <v>67</v>
      </c>
      <c r="AA669" s="12">
        <v>0</v>
      </c>
      <c r="AB669" s="12">
        <v>0</v>
      </c>
      <c r="AC669" s="12">
        <v>1</v>
      </c>
      <c r="AD669" s="12">
        <v>0</v>
      </c>
      <c r="AE669" s="12">
        <v>0</v>
      </c>
      <c r="AF669" s="12">
        <v>0</v>
      </c>
      <c r="AG669" s="12">
        <v>0</v>
      </c>
      <c r="AH669" s="12">
        <v>0</v>
      </c>
      <c r="AI669" s="12">
        <v>4</v>
      </c>
      <c r="AJ669" s="12" t="s">
        <v>78</v>
      </c>
      <c r="AK669" s="12">
        <v>0</v>
      </c>
      <c r="AL669" s="12">
        <v>0</v>
      </c>
      <c r="AM669" s="12">
        <v>2778</v>
      </c>
      <c r="AN669" s="12">
        <f t="shared" si="152"/>
        <v>2778</v>
      </c>
      <c r="AO669" s="12">
        <v>4</v>
      </c>
      <c r="AP669" s="12" t="s">
        <v>52</v>
      </c>
      <c r="AQ669" s="12">
        <v>1</v>
      </c>
      <c r="AR669" s="12">
        <v>13</v>
      </c>
      <c r="AS669" s="12">
        <v>3</v>
      </c>
      <c r="AT669" s="12">
        <v>3</v>
      </c>
      <c r="AU669" s="12">
        <v>1</v>
      </c>
      <c r="AV669" s="12">
        <v>10</v>
      </c>
      <c r="AW669" s="12">
        <f t="shared" si="153"/>
        <v>10</v>
      </c>
      <c r="AX669" s="12">
        <v>1</v>
      </c>
      <c r="AY669" s="12">
        <v>2</v>
      </c>
      <c r="AZ669" s="12">
        <v>7</v>
      </c>
      <c r="BA669" s="12">
        <f t="shared" si="154"/>
        <v>7</v>
      </c>
      <c r="BB669" s="12">
        <v>7</v>
      </c>
      <c r="BC669" s="12">
        <v>1</v>
      </c>
      <c r="BD669" s="12">
        <f t="shared" si="163"/>
        <v>1</v>
      </c>
      <c r="BE669" s="12">
        <v>0</v>
      </c>
      <c r="BF669" s="12">
        <f t="shared" si="155"/>
        <v>0</v>
      </c>
      <c r="BG669" s="12">
        <f t="shared" si="164"/>
        <v>0</v>
      </c>
      <c r="BH669" s="67">
        <v>1</v>
      </c>
      <c r="BI669" s="67">
        <v>0</v>
      </c>
      <c r="BJ669" s="67">
        <v>0</v>
      </c>
      <c r="BK669" s="67">
        <v>0</v>
      </c>
      <c r="BL669" s="67">
        <v>0</v>
      </c>
      <c r="BM669" s="67">
        <v>1</v>
      </c>
      <c r="BN669" s="67">
        <v>0</v>
      </c>
      <c r="BO669" s="67">
        <v>0</v>
      </c>
      <c r="BP669" s="67">
        <v>0</v>
      </c>
      <c r="BQ669" s="67">
        <v>0</v>
      </c>
      <c r="BR669" s="67">
        <v>0</v>
      </c>
      <c r="BS669" s="67">
        <v>0</v>
      </c>
      <c r="BT669" s="67">
        <v>10</v>
      </c>
      <c r="BU669" s="70">
        <v>0</v>
      </c>
      <c r="BV669" s="29">
        <f t="shared" si="156"/>
        <v>0.7911991261028265</v>
      </c>
      <c r="BW669">
        <f t="shared" si="157"/>
        <v>1.1555414682655611</v>
      </c>
      <c r="BX669">
        <f t="shared" si="158"/>
        <v>0.1644554352117841</v>
      </c>
      <c r="BY669">
        <f t="shared" si="159"/>
        <v>1.3324462240916321E-3</v>
      </c>
      <c r="BZ669">
        <f t="shared" si="160"/>
        <v>0.88721318382472392</v>
      </c>
      <c r="CA669">
        <f t="shared" si="161"/>
        <v>0.4461985578408646</v>
      </c>
      <c r="CB669">
        <f t="shared" si="162"/>
        <v>0.36858985273641137</v>
      </c>
    </row>
    <row r="670" spans="1:80" x14ac:dyDescent="0.45">
      <c r="A670" s="11">
        <v>28</v>
      </c>
      <c r="B670" s="12">
        <f t="shared" si="150"/>
        <v>28</v>
      </c>
      <c r="C670" s="12" t="s">
        <v>59</v>
      </c>
      <c r="D670" s="12">
        <v>0</v>
      </c>
      <c r="E670" s="12" t="s">
        <v>53</v>
      </c>
      <c r="F670" s="12">
        <v>0</v>
      </c>
      <c r="G670" s="12">
        <v>1</v>
      </c>
      <c r="H670" s="12" t="s">
        <v>61</v>
      </c>
      <c r="I670" s="12">
        <v>1</v>
      </c>
      <c r="J670" s="12">
        <v>0</v>
      </c>
      <c r="K670" s="12">
        <v>9</v>
      </c>
      <c r="L670" s="12">
        <f t="shared" si="151"/>
        <v>9</v>
      </c>
      <c r="M670" s="12">
        <v>3</v>
      </c>
      <c r="N670" s="12" t="s">
        <v>70</v>
      </c>
      <c r="O670" s="12">
        <v>0</v>
      </c>
      <c r="P670" s="12">
        <v>0</v>
      </c>
      <c r="Q670" s="12">
        <v>1</v>
      </c>
      <c r="R670" s="12">
        <v>0</v>
      </c>
      <c r="S670" s="12">
        <v>0</v>
      </c>
      <c r="T670" s="12">
        <v>3</v>
      </c>
      <c r="U670" s="12" t="s">
        <v>19</v>
      </c>
      <c r="V670" s="12">
        <v>1</v>
      </c>
      <c r="W670" s="12">
        <v>77</v>
      </c>
      <c r="X670" s="12">
        <v>3</v>
      </c>
      <c r="Y670" s="12">
        <v>1</v>
      </c>
      <c r="Z670" s="12" t="s">
        <v>63</v>
      </c>
      <c r="AA670" s="12">
        <v>0</v>
      </c>
      <c r="AB670" s="12">
        <v>0</v>
      </c>
      <c r="AC670" s="12">
        <v>0</v>
      </c>
      <c r="AD670" s="12">
        <v>0</v>
      </c>
      <c r="AE670" s="12">
        <v>0</v>
      </c>
      <c r="AF670" s="12">
        <v>0</v>
      </c>
      <c r="AG670" s="12">
        <v>0</v>
      </c>
      <c r="AH670" s="12">
        <v>1</v>
      </c>
      <c r="AI670" s="12">
        <v>3</v>
      </c>
      <c r="AJ670" s="12" t="s">
        <v>78</v>
      </c>
      <c r="AK670" s="12">
        <v>0</v>
      </c>
      <c r="AL670" s="12">
        <v>0</v>
      </c>
      <c r="AM670" s="12">
        <v>2377</v>
      </c>
      <c r="AN670" s="12">
        <f t="shared" si="152"/>
        <v>2377</v>
      </c>
      <c r="AO670" s="12">
        <v>5</v>
      </c>
      <c r="AP670" s="12" t="s">
        <v>59</v>
      </c>
      <c r="AQ670" s="12">
        <v>0</v>
      </c>
      <c r="AR670" s="12">
        <v>18</v>
      </c>
      <c r="AS670" s="12">
        <v>3</v>
      </c>
      <c r="AT670" s="12">
        <v>2</v>
      </c>
      <c r="AU670" s="12">
        <v>1</v>
      </c>
      <c r="AV670" s="12">
        <v>6</v>
      </c>
      <c r="AW670" s="12">
        <f t="shared" si="153"/>
        <v>6</v>
      </c>
      <c r="AX670" s="12">
        <v>2</v>
      </c>
      <c r="AY670" s="12">
        <v>3</v>
      </c>
      <c r="AZ670" s="12">
        <v>2</v>
      </c>
      <c r="BA670" s="12">
        <f t="shared" si="154"/>
        <v>2</v>
      </c>
      <c r="BB670" s="12">
        <v>2</v>
      </c>
      <c r="BC670" s="12">
        <v>2</v>
      </c>
      <c r="BD670" s="12">
        <f t="shared" si="163"/>
        <v>2</v>
      </c>
      <c r="BE670" s="12">
        <v>2</v>
      </c>
      <c r="BF670" s="12">
        <f t="shared" si="155"/>
        <v>2</v>
      </c>
      <c r="BG670" s="12">
        <f t="shared" si="164"/>
        <v>2</v>
      </c>
      <c r="BH670" s="67">
        <v>1</v>
      </c>
      <c r="BI670" s="67">
        <v>0</v>
      </c>
      <c r="BJ670" s="67">
        <v>0</v>
      </c>
      <c r="BK670" s="67">
        <v>0</v>
      </c>
      <c r="BL670" s="67">
        <v>1</v>
      </c>
      <c r="BM670" s="67">
        <v>0</v>
      </c>
      <c r="BN670" s="67">
        <v>0</v>
      </c>
      <c r="BO670" s="67">
        <v>0</v>
      </c>
      <c r="BP670" s="67">
        <v>0</v>
      </c>
      <c r="BQ670" s="67">
        <v>2</v>
      </c>
      <c r="BR670" s="67">
        <v>0</v>
      </c>
      <c r="BS670" s="67">
        <v>0</v>
      </c>
      <c r="BT670" s="67">
        <v>6</v>
      </c>
      <c r="BU670" s="70">
        <v>0</v>
      </c>
      <c r="BV670" s="29">
        <f t="shared" si="156"/>
        <v>0.87637407958575297</v>
      </c>
      <c r="BW670">
        <f t="shared" si="157"/>
        <v>0.59502473559756086</v>
      </c>
      <c r="BX670">
        <f t="shared" si="158"/>
        <v>0.67854260110508058</v>
      </c>
      <c r="BY670">
        <f t="shared" si="159"/>
        <v>0.81745575848020657</v>
      </c>
      <c r="BZ670">
        <f t="shared" si="160"/>
        <v>2.3747406698420157E-2</v>
      </c>
      <c r="CA670">
        <f t="shared" si="161"/>
        <v>0.97684123527310796</v>
      </c>
      <c r="CB670">
        <f t="shared" si="162"/>
        <v>5.8265062631872602E-2</v>
      </c>
    </row>
    <row r="671" spans="1:80" x14ac:dyDescent="0.45">
      <c r="A671" s="11">
        <v>39</v>
      </c>
      <c r="B671" s="12">
        <f t="shared" si="150"/>
        <v>39</v>
      </c>
      <c r="C671" s="12" t="s">
        <v>52</v>
      </c>
      <c r="D671" s="12">
        <v>1</v>
      </c>
      <c r="E671" s="12" t="s">
        <v>53</v>
      </c>
      <c r="F671" s="12">
        <v>0</v>
      </c>
      <c r="G671" s="12">
        <v>1</v>
      </c>
      <c r="H671" s="12" t="s">
        <v>61</v>
      </c>
      <c r="I671" s="12">
        <v>1</v>
      </c>
      <c r="J671" s="12">
        <v>0</v>
      </c>
      <c r="K671" s="12">
        <v>6</v>
      </c>
      <c r="L671" s="12">
        <f t="shared" si="151"/>
        <v>6</v>
      </c>
      <c r="M671" s="12">
        <v>3</v>
      </c>
      <c r="N671" s="12" t="s">
        <v>70</v>
      </c>
      <c r="O671" s="12">
        <v>0</v>
      </c>
      <c r="P671" s="12">
        <v>0</v>
      </c>
      <c r="Q671" s="12">
        <v>1</v>
      </c>
      <c r="R671" s="12">
        <v>0</v>
      </c>
      <c r="S671" s="12">
        <v>0</v>
      </c>
      <c r="T671" s="12">
        <v>4</v>
      </c>
      <c r="U671" s="12" t="s">
        <v>62</v>
      </c>
      <c r="V671" s="12">
        <v>0</v>
      </c>
      <c r="W671" s="12">
        <v>70</v>
      </c>
      <c r="X671" s="12">
        <v>3</v>
      </c>
      <c r="Y671" s="12">
        <v>1</v>
      </c>
      <c r="Z671" s="12" t="s">
        <v>67</v>
      </c>
      <c r="AA671" s="12">
        <v>0</v>
      </c>
      <c r="AB671" s="12">
        <v>0</v>
      </c>
      <c r="AC671" s="12">
        <v>1</v>
      </c>
      <c r="AD671" s="12">
        <v>0</v>
      </c>
      <c r="AE671" s="12">
        <v>0</v>
      </c>
      <c r="AF671" s="12">
        <v>0</v>
      </c>
      <c r="AG671" s="12">
        <v>0</v>
      </c>
      <c r="AH671" s="12">
        <v>0</v>
      </c>
      <c r="AI671" s="12">
        <v>1</v>
      </c>
      <c r="AJ671" s="12" t="s">
        <v>64</v>
      </c>
      <c r="AK671" s="12">
        <v>0</v>
      </c>
      <c r="AL671" s="12">
        <v>1</v>
      </c>
      <c r="AM671" s="12">
        <v>2404</v>
      </c>
      <c r="AN671" s="12">
        <f t="shared" si="152"/>
        <v>2404</v>
      </c>
      <c r="AO671" s="12">
        <v>7</v>
      </c>
      <c r="AP671" s="12" t="s">
        <v>52</v>
      </c>
      <c r="AQ671" s="12">
        <v>1</v>
      </c>
      <c r="AR671" s="12">
        <v>21</v>
      </c>
      <c r="AS671" s="12">
        <v>4</v>
      </c>
      <c r="AT671" s="12">
        <v>4</v>
      </c>
      <c r="AU671" s="12">
        <v>0</v>
      </c>
      <c r="AV671" s="12">
        <v>8</v>
      </c>
      <c r="AW671" s="12">
        <f t="shared" si="153"/>
        <v>8</v>
      </c>
      <c r="AX671" s="12">
        <v>2</v>
      </c>
      <c r="AY671" s="12">
        <v>1</v>
      </c>
      <c r="AZ671" s="12">
        <v>2</v>
      </c>
      <c r="BA671" s="12">
        <f t="shared" si="154"/>
        <v>2</v>
      </c>
      <c r="BB671" s="12">
        <v>2</v>
      </c>
      <c r="BC671" s="12">
        <v>2</v>
      </c>
      <c r="BD671" s="12">
        <f t="shared" si="163"/>
        <v>2</v>
      </c>
      <c r="BE671" s="12">
        <v>2</v>
      </c>
      <c r="BF671" s="12">
        <f t="shared" si="155"/>
        <v>2</v>
      </c>
      <c r="BG671" s="12">
        <f t="shared" si="164"/>
        <v>2</v>
      </c>
      <c r="BH671" s="67">
        <v>0</v>
      </c>
      <c r="BI671" s="67">
        <v>1</v>
      </c>
      <c r="BJ671" s="67">
        <v>0</v>
      </c>
      <c r="BK671" s="67">
        <v>0</v>
      </c>
      <c r="BL671" s="67">
        <v>0</v>
      </c>
      <c r="BM671" s="67">
        <v>0</v>
      </c>
      <c r="BN671" s="67">
        <v>0</v>
      </c>
      <c r="BO671" s="67">
        <v>1</v>
      </c>
      <c r="BP671" s="67">
        <v>0</v>
      </c>
      <c r="BQ671" s="67">
        <v>2</v>
      </c>
      <c r="BR671" s="67">
        <v>0</v>
      </c>
      <c r="BS671" s="67">
        <v>0</v>
      </c>
      <c r="BT671" s="67">
        <v>8</v>
      </c>
      <c r="BU671" s="70">
        <v>0</v>
      </c>
      <c r="BV671" s="29">
        <f t="shared" si="156"/>
        <v>0.87063910765548114</v>
      </c>
      <c r="BW671">
        <f t="shared" si="157"/>
        <v>0.59502473559756086</v>
      </c>
      <c r="BX671">
        <f t="shared" si="158"/>
        <v>0.42149901815843233</v>
      </c>
      <c r="BY671">
        <f t="shared" si="159"/>
        <v>0.81745575848020657</v>
      </c>
      <c r="BZ671">
        <f t="shared" si="160"/>
        <v>0.39380416832397891</v>
      </c>
      <c r="CA671">
        <f t="shared" si="161"/>
        <v>0.22726935890025346</v>
      </c>
      <c r="CB671">
        <f t="shared" si="162"/>
        <v>5.8265062631872602E-2</v>
      </c>
    </row>
    <row r="672" spans="1:80" x14ac:dyDescent="0.45">
      <c r="A672" s="11">
        <v>27</v>
      </c>
      <c r="B672" s="12">
        <f t="shared" si="150"/>
        <v>27</v>
      </c>
      <c r="C672" s="12" t="s">
        <v>59</v>
      </c>
      <c r="D672" s="12">
        <v>0</v>
      </c>
      <c r="E672" s="12" t="s">
        <v>53</v>
      </c>
      <c r="F672" s="12">
        <v>0</v>
      </c>
      <c r="G672" s="12">
        <v>1</v>
      </c>
      <c r="H672" s="12" t="s">
        <v>61</v>
      </c>
      <c r="I672" s="12">
        <v>1</v>
      </c>
      <c r="J672" s="12">
        <v>0</v>
      </c>
      <c r="K672" s="12">
        <v>4</v>
      </c>
      <c r="L672" s="12">
        <f t="shared" si="151"/>
        <v>4</v>
      </c>
      <c r="M672" s="12">
        <v>3</v>
      </c>
      <c r="N672" s="12" t="s">
        <v>55</v>
      </c>
      <c r="O672" s="12">
        <v>1</v>
      </c>
      <c r="P672" s="12">
        <v>0</v>
      </c>
      <c r="Q672" s="12">
        <v>0</v>
      </c>
      <c r="R672" s="12">
        <v>0</v>
      </c>
      <c r="S672" s="12">
        <v>0</v>
      </c>
      <c r="T672" s="12">
        <v>2</v>
      </c>
      <c r="U672" s="12" t="s">
        <v>19</v>
      </c>
      <c r="V672" s="12">
        <v>1</v>
      </c>
      <c r="W672" s="12">
        <v>76</v>
      </c>
      <c r="X672" s="12">
        <v>3</v>
      </c>
      <c r="Y672" s="12">
        <v>1</v>
      </c>
      <c r="Z672" s="12" t="s">
        <v>63</v>
      </c>
      <c r="AA672" s="12">
        <v>0</v>
      </c>
      <c r="AB672" s="12">
        <v>0</v>
      </c>
      <c r="AC672" s="12">
        <v>0</v>
      </c>
      <c r="AD672" s="12">
        <v>0</v>
      </c>
      <c r="AE672" s="12">
        <v>0</v>
      </c>
      <c r="AF672" s="12">
        <v>0</v>
      </c>
      <c r="AG672" s="12">
        <v>0</v>
      </c>
      <c r="AH672" s="12">
        <v>1</v>
      </c>
      <c r="AI672" s="12">
        <v>3</v>
      </c>
      <c r="AJ672" s="12" t="s">
        <v>57</v>
      </c>
      <c r="AK672" s="12">
        <v>1</v>
      </c>
      <c r="AL672" s="12">
        <v>0</v>
      </c>
      <c r="AM672" s="12">
        <v>2318</v>
      </c>
      <c r="AN672" s="12">
        <f t="shared" si="152"/>
        <v>2318</v>
      </c>
      <c r="AO672" s="12">
        <v>1</v>
      </c>
      <c r="AP672" s="12" t="s">
        <v>59</v>
      </c>
      <c r="AQ672" s="12">
        <v>0</v>
      </c>
      <c r="AR672" s="12">
        <v>19</v>
      </c>
      <c r="AS672" s="12">
        <v>3</v>
      </c>
      <c r="AT672" s="12">
        <v>3</v>
      </c>
      <c r="AU672" s="12">
        <v>0</v>
      </c>
      <c r="AV672" s="12">
        <v>1</v>
      </c>
      <c r="AW672" s="12">
        <f t="shared" si="153"/>
        <v>1</v>
      </c>
      <c r="AX672" s="12">
        <v>2</v>
      </c>
      <c r="AY672" s="12">
        <v>3</v>
      </c>
      <c r="AZ672" s="12">
        <v>1</v>
      </c>
      <c r="BA672" s="12">
        <f t="shared" si="154"/>
        <v>1</v>
      </c>
      <c r="BB672" s="12">
        <v>1</v>
      </c>
      <c r="BC672" s="12">
        <v>0</v>
      </c>
      <c r="BD672" s="12">
        <f t="shared" si="163"/>
        <v>0</v>
      </c>
      <c r="BE672" s="12">
        <v>0</v>
      </c>
      <c r="BF672" s="12">
        <f t="shared" si="155"/>
        <v>0</v>
      </c>
      <c r="BG672" s="12">
        <f t="shared" si="164"/>
        <v>0</v>
      </c>
      <c r="BH672" s="67">
        <v>1</v>
      </c>
      <c r="BI672" s="67">
        <v>0</v>
      </c>
      <c r="BJ672" s="67">
        <v>0</v>
      </c>
      <c r="BK672" s="67">
        <v>0</v>
      </c>
      <c r="BL672" s="67">
        <v>1</v>
      </c>
      <c r="BM672" s="67">
        <v>0</v>
      </c>
      <c r="BN672" s="67">
        <v>0</v>
      </c>
      <c r="BO672" s="67">
        <v>0</v>
      </c>
      <c r="BP672" s="67">
        <v>0</v>
      </c>
      <c r="BQ672" s="67">
        <v>0</v>
      </c>
      <c r="BR672" s="67">
        <v>0</v>
      </c>
      <c r="BS672" s="67">
        <v>0</v>
      </c>
      <c r="BT672" s="67">
        <v>1</v>
      </c>
      <c r="BU672" s="70">
        <v>0</v>
      </c>
      <c r="BV672" s="29">
        <f t="shared" si="156"/>
        <v>0.88890605528523592</v>
      </c>
      <c r="BW672">
        <f t="shared" si="157"/>
        <v>1.1555414682655611</v>
      </c>
      <c r="BX672">
        <f t="shared" si="158"/>
        <v>1.3211515584717011</v>
      </c>
      <c r="BY672">
        <f t="shared" si="159"/>
        <v>0.9806804209314296</v>
      </c>
      <c r="BZ672">
        <f t="shared" si="160"/>
        <v>0.64050867607435136</v>
      </c>
      <c r="CA672">
        <f t="shared" si="161"/>
        <v>1.0863058347434136</v>
      </c>
      <c r="CB672">
        <f t="shared" si="162"/>
        <v>0.67891464284095016</v>
      </c>
    </row>
    <row r="673" spans="1:80" x14ac:dyDescent="0.45">
      <c r="A673" s="11">
        <v>34</v>
      </c>
      <c r="B673" s="12">
        <f t="shared" si="150"/>
        <v>34</v>
      </c>
      <c r="C673" s="12" t="s">
        <v>59</v>
      </c>
      <c r="D673" s="12">
        <v>0</v>
      </c>
      <c r="E673" s="12" t="s">
        <v>53</v>
      </c>
      <c r="F673" s="12">
        <v>0</v>
      </c>
      <c r="G673" s="12">
        <v>1</v>
      </c>
      <c r="H673" s="12" t="s">
        <v>61</v>
      </c>
      <c r="I673" s="12">
        <v>1</v>
      </c>
      <c r="J673" s="12">
        <v>0</v>
      </c>
      <c r="K673" s="12">
        <v>10</v>
      </c>
      <c r="L673" s="12">
        <f t="shared" si="151"/>
        <v>10</v>
      </c>
      <c r="M673" s="12">
        <v>3</v>
      </c>
      <c r="N673" s="12" t="s">
        <v>55</v>
      </c>
      <c r="O673" s="12">
        <v>1</v>
      </c>
      <c r="P673" s="12">
        <v>0</v>
      </c>
      <c r="Q673" s="12">
        <v>0</v>
      </c>
      <c r="R673" s="12">
        <v>0</v>
      </c>
      <c r="S673" s="12">
        <v>0</v>
      </c>
      <c r="T673" s="12">
        <v>2</v>
      </c>
      <c r="U673" s="12" t="s">
        <v>62</v>
      </c>
      <c r="V673" s="12">
        <v>0</v>
      </c>
      <c r="W673" s="12">
        <v>83</v>
      </c>
      <c r="X673" s="12">
        <v>3</v>
      </c>
      <c r="Y673" s="12">
        <v>1</v>
      </c>
      <c r="Z673" s="12" t="s">
        <v>67</v>
      </c>
      <c r="AA673" s="12">
        <v>0</v>
      </c>
      <c r="AB673" s="12">
        <v>0</v>
      </c>
      <c r="AC673" s="12">
        <v>1</v>
      </c>
      <c r="AD673" s="12">
        <v>0</v>
      </c>
      <c r="AE673" s="12">
        <v>0</v>
      </c>
      <c r="AF673" s="12">
        <v>0</v>
      </c>
      <c r="AG673" s="12">
        <v>0</v>
      </c>
      <c r="AH673" s="12">
        <v>0</v>
      </c>
      <c r="AI673" s="12">
        <v>2</v>
      </c>
      <c r="AJ673" s="12" t="s">
        <v>78</v>
      </c>
      <c r="AK673" s="12">
        <v>0</v>
      </c>
      <c r="AL673" s="12">
        <v>0</v>
      </c>
      <c r="AM673" s="12">
        <v>2008</v>
      </c>
      <c r="AN673" s="12">
        <f t="shared" si="152"/>
        <v>2008</v>
      </c>
      <c r="AO673" s="12">
        <v>1</v>
      </c>
      <c r="AP673" s="12" t="s">
        <v>59</v>
      </c>
      <c r="AQ673" s="12">
        <v>0</v>
      </c>
      <c r="AR673" s="12">
        <v>14</v>
      </c>
      <c r="AS673" s="12">
        <v>3</v>
      </c>
      <c r="AT673" s="12">
        <v>2</v>
      </c>
      <c r="AU673" s="12">
        <v>2</v>
      </c>
      <c r="AV673" s="12">
        <v>1</v>
      </c>
      <c r="AW673" s="12">
        <f t="shared" si="153"/>
        <v>1</v>
      </c>
      <c r="AX673" s="12">
        <v>3</v>
      </c>
      <c r="AY673" s="12">
        <v>3</v>
      </c>
      <c r="AZ673" s="12">
        <v>1</v>
      </c>
      <c r="BA673" s="12">
        <f t="shared" si="154"/>
        <v>1</v>
      </c>
      <c r="BB673" s="12">
        <v>0</v>
      </c>
      <c r="BC673" s="12">
        <v>1</v>
      </c>
      <c r="BD673" s="12">
        <f t="shared" si="163"/>
        <v>1</v>
      </c>
      <c r="BE673" s="12">
        <v>0</v>
      </c>
      <c r="BF673" s="12">
        <f t="shared" si="155"/>
        <v>0</v>
      </c>
      <c r="BG673" s="12">
        <f t="shared" si="164"/>
        <v>0</v>
      </c>
      <c r="BH673" s="67">
        <v>1</v>
      </c>
      <c r="BI673" s="67">
        <v>0</v>
      </c>
      <c r="BJ673" s="67">
        <v>0</v>
      </c>
      <c r="BK673" s="67">
        <v>0</v>
      </c>
      <c r="BL673" s="67">
        <v>1</v>
      </c>
      <c r="BM673" s="67">
        <v>0</v>
      </c>
      <c r="BN673" s="67">
        <v>0</v>
      </c>
      <c r="BO673" s="67">
        <v>0</v>
      </c>
      <c r="BP673" s="67">
        <v>0</v>
      </c>
      <c r="BQ673" s="67">
        <v>0</v>
      </c>
      <c r="BR673" s="67">
        <v>0</v>
      </c>
      <c r="BS673" s="67">
        <v>0</v>
      </c>
      <c r="BT673" s="67">
        <v>1</v>
      </c>
      <c r="BU673" s="70">
        <v>0</v>
      </c>
      <c r="BV673" s="29">
        <f t="shared" si="156"/>
        <v>0.95475202929946845</v>
      </c>
      <c r="BW673">
        <f t="shared" si="157"/>
        <v>1.1555414682655611</v>
      </c>
      <c r="BX673">
        <f t="shared" si="158"/>
        <v>1.3211515584717011</v>
      </c>
      <c r="BY673">
        <f t="shared" si="159"/>
        <v>0.9806804209314296</v>
      </c>
      <c r="BZ673">
        <f t="shared" si="160"/>
        <v>9.9604847176766084E-2</v>
      </c>
      <c r="CA673">
        <f t="shared" si="161"/>
        <v>0.32005363845127444</v>
      </c>
      <c r="CB673">
        <f t="shared" si="162"/>
        <v>0.36858985273641137</v>
      </c>
    </row>
    <row r="674" spans="1:80" x14ac:dyDescent="0.45">
      <c r="A674" s="11">
        <v>42</v>
      </c>
      <c r="B674" s="12">
        <f t="shared" si="150"/>
        <v>42</v>
      </c>
      <c r="C674" s="12" t="s">
        <v>59</v>
      </c>
      <c r="D674" s="12">
        <v>0</v>
      </c>
      <c r="E674" s="12" t="s">
        <v>53</v>
      </c>
      <c r="F674" s="12">
        <v>0</v>
      </c>
      <c r="G674" s="12">
        <v>1</v>
      </c>
      <c r="H674" s="12" t="s">
        <v>54</v>
      </c>
      <c r="I674" s="12">
        <v>0</v>
      </c>
      <c r="J674" s="12">
        <v>1</v>
      </c>
      <c r="K674" s="12">
        <v>14</v>
      </c>
      <c r="L674" s="12">
        <f t="shared" si="151"/>
        <v>14</v>
      </c>
      <c r="M674" s="12">
        <v>2</v>
      </c>
      <c r="N674" s="12" t="s">
        <v>70</v>
      </c>
      <c r="O674" s="12">
        <v>0</v>
      </c>
      <c r="P674" s="12">
        <v>0</v>
      </c>
      <c r="Q674" s="12">
        <v>1</v>
      </c>
      <c r="R674" s="12">
        <v>0</v>
      </c>
      <c r="S674" s="12">
        <v>0</v>
      </c>
      <c r="T674" s="12">
        <v>3</v>
      </c>
      <c r="U674" s="12" t="s">
        <v>19</v>
      </c>
      <c r="V674" s="12">
        <v>1</v>
      </c>
      <c r="W674" s="12">
        <v>68</v>
      </c>
      <c r="X674" s="12">
        <v>2</v>
      </c>
      <c r="Y674" s="12">
        <v>2</v>
      </c>
      <c r="Z674" s="12" t="s">
        <v>56</v>
      </c>
      <c r="AA674" s="12">
        <v>0</v>
      </c>
      <c r="AB674" s="12">
        <v>1</v>
      </c>
      <c r="AC674" s="12">
        <v>0</v>
      </c>
      <c r="AD674" s="12">
        <v>0</v>
      </c>
      <c r="AE674" s="12">
        <v>0</v>
      </c>
      <c r="AF674" s="12">
        <v>0</v>
      </c>
      <c r="AG674" s="12">
        <v>0</v>
      </c>
      <c r="AH674" s="12">
        <v>0</v>
      </c>
      <c r="AI674" s="12">
        <v>3</v>
      </c>
      <c r="AJ674" s="12" t="s">
        <v>57</v>
      </c>
      <c r="AK674" s="12">
        <v>1</v>
      </c>
      <c r="AL674" s="12">
        <v>0</v>
      </c>
      <c r="AM674" s="12">
        <v>6244</v>
      </c>
      <c r="AN674" s="12">
        <f t="shared" si="152"/>
        <v>6244</v>
      </c>
      <c r="AO674" s="12">
        <v>7</v>
      </c>
      <c r="AP674" s="12" t="s">
        <v>59</v>
      </c>
      <c r="AQ674" s="12">
        <v>0</v>
      </c>
      <c r="AR674" s="12">
        <v>17</v>
      </c>
      <c r="AS674" s="12">
        <v>3</v>
      </c>
      <c r="AT674" s="12">
        <v>1</v>
      </c>
      <c r="AU674" s="12">
        <v>0</v>
      </c>
      <c r="AV674" s="12">
        <v>10</v>
      </c>
      <c r="AW674" s="12">
        <f t="shared" si="153"/>
        <v>10</v>
      </c>
      <c r="AX674" s="12">
        <v>6</v>
      </c>
      <c r="AY674" s="12">
        <v>3</v>
      </c>
      <c r="AZ674" s="12">
        <v>5</v>
      </c>
      <c r="BA674" s="12">
        <f t="shared" si="154"/>
        <v>5</v>
      </c>
      <c r="BB674" s="12">
        <v>4</v>
      </c>
      <c r="BC674" s="12">
        <v>0</v>
      </c>
      <c r="BD674" s="12">
        <f t="shared" si="163"/>
        <v>0</v>
      </c>
      <c r="BE674" s="12">
        <v>3</v>
      </c>
      <c r="BF674" s="12">
        <f t="shared" si="155"/>
        <v>3</v>
      </c>
      <c r="BG674" s="12">
        <f t="shared" si="164"/>
        <v>6</v>
      </c>
      <c r="BH674" s="67">
        <v>1</v>
      </c>
      <c r="BI674" s="67">
        <v>0</v>
      </c>
      <c r="BJ674" s="67">
        <v>0</v>
      </c>
      <c r="BK674" s="67">
        <v>0</v>
      </c>
      <c r="BL674" s="67">
        <v>1</v>
      </c>
      <c r="BM674" s="67">
        <v>0</v>
      </c>
      <c r="BN674" s="67">
        <v>0</v>
      </c>
      <c r="BO674" s="67">
        <v>0</v>
      </c>
      <c r="BP674" s="67">
        <v>0</v>
      </c>
      <c r="BQ674" s="67">
        <v>0</v>
      </c>
      <c r="BR674" s="67">
        <v>3</v>
      </c>
      <c r="BS674" s="67">
        <v>0</v>
      </c>
      <c r="BT674" s="67">
        <v>0</v>
      </c>
      <c r="BU674" s="70">
        <v>10</v>
      </c>
      <c r="BV674" s="29">
        <f t="shared" si="156"/>
        <v>5.4998655350149903E-2</v>
      </c>
      <c r="BW674">
        <f t="shared" si="157"/>
        <v>0.31476636926356072</v>
      </c>
      <c r="BX674">
        <f t="shared" si="158"/>
        <v>0.1644554352117841</v>
      </c>
      <c r="BY674">
        <f t="shared" si="159"/>
        <v>0.32778177112653761</v>
      </c>
      <c r="BZ674">
        <f t="shared" si="160"/>
        <v>0.59301386267751111</v>
      </c>
      <c r="CA674">
        <f t="shared" si="161"/>
        <v>0.55566315731117022</v>
      </c>
      <c r="CB674">
        <f t="shared" si="162"/>
        <v>0.67891464284095016</v>
      </c>
    </row>
    <row r="675" spans="1:80" x14ac:dyDescent="0.45">
      <c r="A675" s="11">
        <v>33</v>
      </c>
      <c r="B675" s="12">
        <f t="shared" si="150"/>
        <v>33</v>
      </c>
      <c r="C675" s="12" t="s">
        <v>59</v>
      </c>
      <c r="D675" s="12">
        <v>0</v>
      </c>
      <c r="E675" s="12" t="s">
        <v>53</v>
      </c>
      <c r="F675" s="12">
        <v>0</v>
      </c>
      <c r="G675" s="12">
        <v>1</v>
      </c>
      <c r="H675" s="12" t="s">
        <v>61</v>
      </c>
      <c r="I675" s="12">
        <v>1</v>
      </c>
      <c r="J675" s="12">
        <v>0</v>
      </c>
      <c r="K675" s="12">
        <v>1</v>
      </c>
      <c r="L675" s="12">
        <f t="shared" si="151"/>
        <v>1</v>
      </c>
      <c r="M675" s="12">
        <v>4</v>
      </c>
      <c r="N675" s="12" t="s">
        <v>66</v>
      </c>
      <c r="O675" s="12">
        <v>0</v>
      </c>
      <c r="P675" s="12">
        <v>1</v>
      </c>
      <c r="Q675" s="12">
        <v>0</v>
      </c>
      <c r="R675" s="12">
        <v>0</v>
      </c>
      <c r="S675" s="12">
        <v>0</v>
      </c>
      <c r="T675" s="12">
        <v>3</v>
      </c>
      <c r="U675" s="12" t="s">
        <v>62</v>
      </c>
      <c r="V675" s="12">
        <v>0</v>
      </c>
      <c r="W675" s="12">
        <v>100</v>
      </c>
      <c r="X675" s="12">
        <v>2</v>
      </c>
      <c r="Y675" s="12">
        <v>1</v>
      </c>
      <c r="Z675" s="12" t="s">
        <v>63</v>
      </c>
      <c r="AA675" s="12">
        <v>0</v>
      </c>
      <c r="AB675" s="12">
        <v>0</v>
      </c>
      <c r="AC675" s="12">
        <v>0</v>
      </c>
      <c r="AD675" s="12">
        <v>0</v>
      </c>
      <c r="AE675" s="12">
        <v>0</v>
      </c>
      <c r="AF675" s="12">
        <v>0</v>
      </c>
      <c r="AG675" s="12">
        <v>0</v>
      </c>
      <c r="AH675" s="12">
        <v>1</v>
      </c>
      <c r="AI675" s="12">
        <v>1</v>
      </c>
      <c r="AJ675" s="12" t="s">
        <v>57</v>
      </c>
      <c r="AK675" s="12">
        <v>1</v>
      </c>
      <c r="AL675" s="12">
        <v>0</v>
      </c>
      <c r="AM675" s="12">
        <v>2799</v>
      </c>
      <c r="AN675" s="12">
        <f t="shared" si="152"/>
        <v>2799</v>
      </c>
      <c r="AO675" s="12">
        <v>3</v>
      </c>
      <c r="AP675" s="12" t="s">
        <v>52</v>
      </c>
      <c r="AQ675" s="12">
        <v>1</v>
      </c>
      <c r="AR675" s="12">
        <v>11</v>
      </c>
      <c r="AS675" s="12">
        <v>3</v>
      </c>
      <c r="AT675" s="12">
        <v>2</v>
      </c>
      <c r="AU675" s="12">
        <v>0</v>
      </c>
      <c r="AV675" s="12">
        <v>6</v>
      </c>
      <c r="AW675" s="12">
        <f t="shared" si="153"/>
        <v>6</v>
      </c>
      <c r="AX675" s="12">
        <v>1</v>
      </c>
      <c r="AY675" s="12">
        <v>3</v>
      </c>
      <c r="AZ675" s="12">
        <v>3</v>
      </c>
      <c r="BA675" s="12">
        <f t="shared" si="154"/>
        <v>3</v>
      </c>
      <c r="BB675" s="12">
        <v>2</v>
      </c>
      <c r="BC675" s="12">
        <v>0</v>
      </c>
      <c r="BD675" s="12">
        <f t="shared" si="163"/>
        <v>0</v>
      </c>
      <c r="BE675" s="12">
        <v>2</v>
      </c>
      <c r="BF675" s="12">
        <f t="shared" si="155"/>
        <v>2</v>
      </c>
      <c r="BG675" s="12">
        <f t="shared" si="164"/>
        <v>2</v>
      </c>
      <c r="BH675" s="67">
        <v>1</v>
      </c>
      <c r="BI675" s="67">
        <v>0</v>
      </c>
      <c r="BJ675" s="67">
        <v>0</v>
      </c>
      <c r="BK675" s="67">
        <v>0</v>
      </c>
      <c r="BL675" s="67">
        <v>0</v>
      </c>
      <c r="BM675" s="67">
        <v>1</v>
      </c>
      <c r="BN675" s="67">
        <v>0</v>
      </c>
      <c r="BO675" s="67">
        <v>0</v>
      </c>
      <c r="BP675" s="67">
        <v>0</v>
      </c>
      <c r="BQ675" s="67">
        <v>2</v>
      </c>
      <c r="BR675" s="67">
        <v>0</v>
      </c>
      <c r="BS675" s="67">
        <v>0</v>
      </c>
      <c r="BT675" s="67">
        <v>6</v>
      </c>
      <c r="BU675" s="70">
        <v>0</v>
      </c>
      <c r="BV675" s="29">
        <f t="shared" si="156"/>
        <v>0.78673859237928168</v>
      </c>
      <c r="BW675">
        <f t="shared" si="157"/>
        <v>0.59502473559756086</v>
      </c>
      <c r="BX675">
        <f t="shared" si="158"/>
        <v>0.67854260110508058</v>
      </c>
      <c r="BY675">
        <f t="shared" si="159"/>
        <v>0.65423109602898355</v>
      </c>
      <c r="BZ675">
        <f t="shared" si="160"/>
        <v>1.01056543769991</v>
      </c>
      <c r="CA675">
        <f t="shared" si="161"/>
        <v>0.42951823792158</v>
      </c>
      <c r="CB675">
        <f t="shared" si="162"/>
        <v>0.67891464284095016</v>
      </c>
    </row>
    <row r="676" spans="1:80" x14ac:dyDescent="0.45">
      <c r="A676" s="11">
        <v>58</v>
      </c>
      <c r="B676" s="12">
        <f t="shared" si="150"/>
        <v>58</v>
      </c>
      <c r="C676" s="12" t="s">
        <v>59</v>
      </c>
      <c r="D676" s="12">
        <v>0</v>
      </c>
      <c r="E676" s="12" t="s">
        <v>53</v>
      </c>
      <c r="F676" s="12">
        <v>0</v>
      </c>
      <c r="G676" s="12">
        <v>1</v>
      </c>
      <c r="H676" s="12" t="s">
        <v>61</v>
      </c>
      <c r="I676" s="12">
        <v>1</v>
      </c>
      <c r="J676" s="12">
        <v>0</v>
      </c>
      <c r="K676" s="12">
        <v>5</v>
      </c>
      <c r="L676" s="12">
        <f t="shared" si="151"/>
        <v>5</v>
      </c>
      <c r="M676" s="12">
        <v>3</v>
      </c>
      <c r="N676" s="12" t="s">
        <v>91</v>
      </c>
      <c r="O676" s="12">
        <v>0</v>
      </c>
      <c r="P676" s="12">
        <v>0</v>
      </c>
      <c r="Q676" s="12">
        <v>0</v>
      </c>
      <c r="R676" s="12">
        <v>0</v>
      </c>
      <c r="S676" s="12">
        <v>1</v>
      </c>
      <c r="T676" s="12">
        <v>3</v>
      </c>
      <c r="U676" s="12" t="s">
        <v>19</v>
      </c>
      <c r="V676" s="12">
        <v>1</v>
      </c>
      <c r="W676" s="12">
        <v>37</v>
      </c>
      <c r="X676" s="12">
        <v>2</v>
      </c>
      <c r="Y676" s="12">
        <v>3</v>
      </c>
      <c r="Z676" s="12" t="s">
        <v>85</v>
      </c>
      <c r="AA676" s="12">
        <v>1</v>
      </c>
      <c r="AB676" s="12">
        <v>0</v>
      </c>
      <c r="AC676" s="12">
        <v>0</v>
      </c>
      <c r="AD676" s="12">
        <v>0</v>
      </c>
      <c r="AE676" s="12">
        <v>0</v>
      </c>
      <c r="AF676" s="12">
        <v>0</v>
      </c>
      <c r="AG676" s="12">
        <v>0</v>
      </c>
      <c r="AH676" s="12">
        <v>0</v>
      </c>
      <c r="AI676" s="12">
        <v>2</v>
      </c>
      <c r="AJ676" s="12" t="s">
        <v>78</v>
      </c>
      <c r="AK676" s="12">
        <v>0</v>
      </c>
      <c r="AL676" s="12">
        <v>0</v>
      </c>
      <c r="AM676" s="12">
        <v>10552</v>
      </c>
      <c r="AN676" s="12">
        <f t="shared" si="152"/>
        <v>10552</v>
      </c>
      <c r="AO676" s="12">
        <v>2</v>
      </c>
      <c r="AP676" s="12" t="s">
        <v>52</v>
      </c>
      <c r="AQ676" s="12">
        <v>1</v>
      </c>
      <c r="AR676" s="12">
        <v>13</v>
      </c>
      <c r="AS676" s="12">
        <v>3</v>
      </c>
      <c r="AT676" s="12">
        <v>4</v>
      </c>
      <c r="AU676" s="12">
        <v>1</v>
      </c>
      <c r="AV676" s="12">
        <v>24</v>
      </c>
      <c r="AW676" s="12">
        <f t="shared" si="153"/>
        <v>24</v>
      </c>
      <c r="AX676" s="12">
        <v>3</v>
      </c>
      <c r="AY676" s="12">
        <v>3</v>
      </c>
      <c r="AZ676" s="12">
        <v>6</v>
      </c>
      <c r="BA676" s="12">
        <f t="shared" si="154"/>
        <v>6</v>
      </c>
      <c r="BB676" s="12">
        <v>0</v>
      </c>
      <c r="BC676" s="12">
        <v>0</v>
      </c>
      <c r="BD676" s="12">
        <f t="shared" si="163"/>
        <v>0</v>
      </c>
      <c r="BE676" s="12">
        <v>4</v>
      </c>
      <c r="BF676" s="12">
        <f t="shared" si="155"/>
        <v>4</v>
      </c>
      <c r="BG676" s="12">
        <f t="shared" si="164"/>
        <v>12</v>
      </c>
      <c r="BH676" s="67">
        <v>1</v>
      </c>
      <c r="BI676" s="67">
        <v>0</v>
      </c>
      <c r="BJ676" s="67">
        <v>0</v>
      </c>
      <c r="BK676" s="67">
        <v>0</v>
      </c>
      <c r="BL676" s="67">
        <v>0</v>
      </c>
      <c r="BM676" s="67">
        <v>1</v>
      </c>
      <c r="BN676" s="67">
        <v>0</v>
      </c>
      <c r="BO676" s="67">
        <v>0</v>
      </c>
      <c r="BP676" s="67">
        <v>0</v>
      </c>
      <c r="BQ676" s="67">
        <v>4</v>
      </c>
      <c r="BR676" s="67">
        <v>0</v>
      </c>
      <c r="BS676" s="67">
        <v>0</v>
      </c>
      <c r="BT676" s="67">
        <v>24</v>
      </c>
      <c r="BU676" s="70">
        <v>0</v>
      </c>
      <c r="BV676" s="29">
        <f t="shared" si="156"/>
        <v>0.86004797707989356</v>
      </c>
      <c r="BW676">
        <f t="shared" si="157"/>
        <v>3.4508002929560584E-2</v>
      </c>
      <c r="BX676">
        <f t="shared" si="158"/>
        <v>1.6348496454147534</v>
      </c>
      <c r="BY676">
        <f t="shared" si="159"/>
        <v>0.16455710867531462</v>
      </c>
      <c r="BZ676">
        <f t="shared" si="160"/>
        <v>0.51715642219916513</v>
      </c>
      <c r="CA676">
        <f t="shared" si="161"/>
        <v>2.3070967488360594</v>
      </c>
      <c r="CB676">
        <f t="shared" si="162"/>
        <v>0.67891464284095016</v>
      </c>
    </row>
    <row r="677" spans="1:80" x14ac:dyDescent="0.45">
      <c r="A677" s="11">
        <v>31</v>
      </c>
      <c r="B677" s="12">
        <f t="shared" si="150"/>
        <v>31</v>
      </c>
      <c r="C677" s="12" t="s">
        <v>59</v>
      </c>
      <c r="D677" s="12">
        <v>0</v>
      </c>
      <c r="E677" s="12" t="s">
        <v>53</v>
      </c>
      <c r="F677" s="12">
        <v>0</v>
      </c>
      <c r="G677" s="12">
        <v>1</v>
      </c>
      <c r="H677" s="12" t="s">
        <v>54</v>
      </c>
      <c r="I677" s="12">
        <v>0</v>
      </c>
      <c r="J677" s="12">
        <v>1</v>
      </c>
      <c r="K677" s="12">
        <v>7</v>
      </c>
      <c r="L677" s="12">
        <f t="shared" si="151"/>
        <v>7</v>
      </c>
      <c r="M677" s="12">
        <v>4</v>
      </c>
      <c r="N677" s="12" t="s">
        <v>55</v>
      </c>
      <c r="O677" s="12">
        <v>1</v>
      </c>
      <c r="P677" s="12">
        <v>0</v>
      </c>
      <c r="Q677" s="12">
        <v>0</v>
      </c>
      <c r="R677" s="12">
        <v>0</v>
      </c>
      <c r="S677" s="12">
        <v>0</v>
      </c>
      <c r="T677" s="12">
        <v>2</v>
      </c>
      <c r="U677" s="12" t="s">
        <v>62</v>
      </c>
      <c r="V677" s="12">
        <v>0</v>
      </c>
      <c r="W677" s="12">
        <v>41</v>
      </c>
      <c r="X677" s="12">
        <v>2</v>
      </c>
      <c r="Y677" s="12">
        <v>1</v>
      </c>
      <c r="Z677" s="12" t="s">
        <v>88</v>
      </c>
      <c r="AA677" s="12">
        <v>0</v>
      </c>
      <c r="AB677" s="12">
        <v>0</v>
      </c>
      <c r="AC677" s="12">
        <v>0</v>
      </c>
      <c r="AD677" s="12">
        <v>0</v>
      </c>
      <c r="AE677" s="12">
        <v>0</v>
      </c>
      <c r="AF677" s="12">
        <v>0</v>
      </c>
      <c r="AG677" s="12">
        <v>1</v>
      </c>
      <c r="AH677" s="12">
        <v>0</v>
      </c>
      <c r="AI677" s="12">
        <v>3</v>
      </c>
      <c r="AJ677" s="12" t="s">
        <v>64</v>
      </c>
      <c r="AK677" s="12">
        <v>0</v>
      </c>
      <c r="AL677" s="12">
        <v>1</v>
      </c>
      <c r="AM677" s="12">
        <v>2329</v>
      </c>
      <c r="AN677" s="12">
        <f t="shared" si="152"/>
        <v>2329</v>
      </c>
      <c r="AO677" s="12">
        <v>3</v>
      </c>
      <c r="AP677" s="12" t="s">
        <v>59</v>
      </c>
      <c r="AQ677" s="12">
        <v>0</v>
      </c>
      <c r="AR677" s="12">
        <v>15</v>
      </c>
      <c r="AS677" s="12">
        <v>3</v>
      </c>
      <c r="AT677" s="12">
        <v>2</v>
      </c>
      <c r="AU677" s="12">
        <v>0</v>
      </c>
      <c r="AV677" s="12">
        <v>13</v>
      </c>
      <c r="AW677" s="12">
        <f t="shared" si="153"/>
        <v>13</v>
      </c>
      <c r="AX677" s="12">
        <v>2</v>
      </c>
      <c r="AY677" s="12">
        <v>4</v>
      </c>
      <c r="AZ677" s="12">
        <v>7</v>
      </c>
      <c r="BA677" s="12">
        <f t="shared" si="154"/>
        <v>7</v>
      </c>
      <c r="BB677" s="12">
        <v>7</v>
      </c>
      <c r="BC677" s="12">
        <v>5</v>
      </c>
      <c r="BD677" s="12">
        <f t="shared" si="163"/>
        <v>5</v>
      </c>
      <c r="BE677" s="12">
        <v>2</v>
      </c>
      <c r="BF677" s="12">
        <f t="shared" si="155"/>
        <v>2</v>
      </c>
      <c r="BG677" s="12">
        <f t="shared" si="164"/>
        <v>2</v>
      </c>
      <c r="BH677" s="67">
        <v>0</v>
      </c>
      <c r="BI677" s="67">
        <v>1</v>
      </c>
      <c r="BJ677" s="67">
        <v>0</v>
      </c>
      <c r="BK677" s="67">
        <v>0</v>
      </c>
      <c r="BL677" s="67">
        <v>0</v>
      </c>
      <c r="BM677" s="67">
        <v>0</v>
      </c>
      <c r="BN677" s="67">
        <v>1</v>
      </c>
      <c r="BO677" s="67">
        <v>0</v>
      </c>
      <c r="BP677" s="67">
        <v>0</v>
      </c>
      <c r="BQ677" s="67">
        <v>0</v>
      </c>
      <c r="BR677" s="67">
        <v>2</v>
      </c>
      <c r="BS677" s="67">
        <v>0</v>
      </c>
      <c r="BT677" s="67">
        <v>0</v>
      </c>
      <c r="BU677" s="70">
        <v>13</v>
      </c>
      <c r="BV677" s="29">
        <f t="shared" si="156"/>
        <v>0.88656958523956964</v>
      </c>
      <c r="BW677">
        <f t="shared" si="157"/>
        <v>0.59502473559756086</v>
      </c>
      <c r="BX677">
        <f t="shared" si="158"/>
        <v>0.22110993920818819</v>
      </c>
      <c r="BY677">
        <f t="shared" si="159"/>
        <v>1.3324462240916321E-3</v>
      </c>
      <c r="BZ677">
        <f t="shared" si="160"/>
        <v>0.27045191444879263</v>
      </c>
      <c r="CA677">
        <f t="shared" si="161"/>
        <v>0.6484474368621912</v>
      </c>
      <c r="CB677">
        <f t="shared" si="162"/>
        <v>0.87270930768174382</v>
      </c>
    </row>
    <row r="678" spans="1:80" x14ac:dyDescent="0.45">
      <c r="A678" s="11">
        <v>35</v>
      </c>
      <c r="B678" s="12">
        <f t="shared" si="150"/>
        <v>35</v>
      </c>
      <c r="C678" s="12" t="s">
        <v>59</v>
      </c>
      <c r="D678" s="12">
        <v>0</v>
      </c>
      <c r="E678" s="12" t="s">
        <v>53</v>
      </c>
      <c r="F678" s="12">
        <v>0</v>
      </c>
      <c r="G678" s="12">
        <v>1</v>
      </c>
      <c r="H678" s="12" t="s">
        <v>61</v>
      </c>
      <c r="I678" s="12">
        <v>1</v>
      </c>
      <c r="J678" s="12">
        <v>0</v>
      </c>
      <c r="K678" s="12">
        <v>21</v>
      </c>
      <c r="L678" s="12">
        <f t="shared" si="151"/>
        <v>21</v>
      </c>
      <c r="M678" s="12">
        <v>1</v>
      </c>
      <c r="N678" s="12" t="s">
        <v>55</v>
      </c>
      <c r="O678" s="12">
        <v>1</v>
      </c>
      <c r="P678" s="12">
        <v>0</v>
      </c>
      <c r="Q678" s="12">
        <v>0</v>
      </c>
      <c r="R678" s="12">
        <v>0</v>
      </c>
      <c r="S678" s="12">
        <v>0</v>
      </c>
      <c r="T678" s="12">
        <v>4</v>
      </c>
      <c r="U678" s="12" t="s">
        <v>19</v>
      </c>
      <c r="V678" s="12">
        <v>1</v>
      </c>
      <c r="W678" s="12">
        <v>51</v>
      </c>
      <c r="X678" s="12">
        <v>3</v>
      </c>
      <c r="Y678" s="12">
        <v>2</v>
      </c>
      <c r="Z678" s="12" t="s">
        <v>85</v>
      </c>
      <c r="AA678" s="12">
        <v>1</v>
      </c>
      <c r="AB678" s="12">
        <v>0</v>
      </c>
      <c r="AC678" s="12">
        <v>0</v>
      </c>
      <c r="AD678" s="12">
        <v>0</v>
      </c>
      <c r="AE678" s="12">
        <v>0</v>
      </c>
      <c r="AF678" s="12">
        <v>0</v>
      </c>
      <c r="AG678" s="12">
        <v>0</v>
      </c>
      <c r="AH678" s="12">
        <v>0</v>
      </c>
      <c r="AI678" s="12">
        <v>4</v>
      </c>
      <c r="AJ678" s="12" t="s">
        <v>64</v>
      </c>
      <c r="AK678" s="12">
        <v>0</v>
      </c>
      <c r="AL678" s="12">
        <v>1</v>
      </c>
      <c r="AM678" s="12">
        <v>4014</v>
      </c>
      <c r="AN678" s="12">
        <f t="shared" si="152"/>
        <v>4014</v>
      </c>
      <c r="AO678" s="12">
        <v>1</v>
      </c>
      <c r="AP678" s="12" t="s">
        <v>52</v>
      </c>
      <c r="AQ678" s="12">
        <v>1</v>
      </c>
      <c r="AR678" s="12">
        <v>25</v>
      </c>
      <c r="AS678" s="12">
        <v>4</v>
      </c>
      <c r="AT678" s="12">
        <v>4</v>
      </c>
      <c r="AU678" s="12">
        <v>1</v>
      </c>
      <c r="AV678" s="12">
        <v>10</v>
      </c>
      <c r="AW678" s="12">
        <f t="shared" si="153"/>
        <v>10</v>
      </c>
      <c r="AX678" s="12">
        <v>2</v>
      </c>
      <c r="AY678" s="12">
        <v>1</v>
      </c>
      <c r="AZ678" s="12">
        <v>10</v>
      </c>
      <c r="BA678" s="12">
        <f t="shared" si="154"/>
        <v>10</v>
      </c>
      <c r="BB678" s="12">
        <v>6</v>
      </c>
      <c r="BC678" s="12">
        <v>0</v>
      </c>
      <c r="BD678" s="12">
        <f t="shared" si="163"/>
        <v>0</v>
      </c>
      <c r="BE678" s="12">
        <v>7</v>
      </c>
      <c r="BF678" s="12">
        <f t="shared" si="155"/>
        <v>7</v>
      </c>
      <c r="BG678" s="12">
        <f t="shared" si="164"/>
        <v>14</v>
      </c>
      <c r="BH678" s="67">
        <v>0</v>
      </c>
      <c r="BI678" s="67">
        <v>1</v>
      </c>
      <c r="BJ678" s="67">
        <v>0</v>
      </c>
      <c r="BK678" s="67">
        <v>0</v>
      </c>
      <c r="BL678" s="67">
        <v>0</v>
      </c>
      <c r="BM678" s="67">
        <v>0</v>
      </c>
      <c r="BN678" s="67">
        <v>0</v>
      </c>
      <c r="BO678" s="67">
        <v>1</v>
      </c>
      <c r="BP678" s="67">
        <v>0</v>
      </c>
      <c r="BQ678" s="67">
        <v>7</v>
      </c>
      <c r="BR678" s="67">
        <v>0</v>
      </c>
      <c r="BS678" s="67">
        <v>0</v>
      </c>
      <c r="BT678" s="67">
        <v>10</v>
      </c>
      <c r="BU678" s="70">
        <v>0</v>
      </c>
      <c r="BV678" s="29">
        <f t="shared" si="156"/>
        <v>0.528664855517048</v>
      </c>
      <c r="BW678">
        <f t="shared" si="157"/>
        <v>0.80626709607243985</v>
      </c>
      <c r="BX678">
        <f t="shared" si="158"/>
        <v>0.1644554352117841</v>
      </c>
      <c r="BY678">
        <f t="shared" si="159"/>
        <v>0.48834154112957734</v>
      </c>
      <c r="BZ678">
        <f t="shared" si="160"/>
        <v>1.4564796398038149</v>
      </c>
      <c r="CA678">
        <f t="shared" si="161"/>
        <v>0.21058903898096887</v>
      </c>
      <c r="CB678">
        <f t="shared" si="162"/>
        <v>0.67891464284095016</v>
      </c>
    </row>
    <row r="679" spans="1:80" x14ac:dyDescent="0.45">
      <c r="A679" s="11">
        <v>49</v>
      </c>
      <c r="B679" s="12">
        <f t="shared" si="150"/>
        <v>49</v>
      </c>
      <c r="C679" s="12" t="s">
        <v>59</v>
      </c>
      <c r="D679" s="12">
        <v>0</v>
      </c>
      <c r="E679" s="12" t="s">
        <v>53</v>
      </c>
      <c r="F679" s="12">
        <v>0</v>
      </c>
      <c r="G679" s="12">
        <v>1</v>
      </c>
      <c r="H679" s="12" t="s">
        <v>61</v>
      </c>
      <c r="I679" s="12">
        <v>1</v>
      </c>
      <c r="J679" s="12">
        <v>0</v>
      </c>
      <c r="K679" s="12">
        <v>8</v>
      </c>
      <c r="L679" s="12">
        <f t="shared" si="151"/>
        <v>8</v>
      </c>
      <c r="M679" s="12">
        <v>2</v>
      </c>
      <c r="N679" s="12" t="s">
        <v>66</v>
      </c>
      <c r="O679" s="12">
        <v>0</v>
      </c>
      <c r="P679" s="12">
        <v>1</v>
      </c>
      <c r="Q679" s="12">
        <v>0</v>
      </c>
      <c r="R679" s="12">
        <v>0</v>
      </c>
      <c r="S679" s="12">
        <v>0</v>
      </c>
      <c r="T679" s="12">
        <v>1</v>
      </c>
      <c r="U679" s="12" t="s">
        <v>19</v>
      </c>
      <c r="V679" s="12">
        <v>1</v>
      </c>
      <c r="W679" s="12">
        <v>51</v>
      </c>
      <c r="X679" s="12">
        <v>3</v>
      </c>
      <c r="Y679" s="12">
        <v>3</v>
      </c>
      <c r="Z679" s="12" t="s">
        <v>67</v>
      </c>
      <c r="AA679" s="12">
        <v>0</v>
      </c>
      <c r="AB679" s="12">
        <v>0</v>
      </c>
      <c r="AC679" s="12">
        <v>1</v>
      </c>
      <c r="AD679" s="12">
        <v>0</v>
      </c>
      <c r="AE679" s="12">
        <v>0</v>
      </c>
      <c r="AF679" s="12">
        <v>0</v>
      </c>
      <c r="AG679" s="12">
        <v>0</v>
      </c>
      <c r="AH679" s="12">
        <v>0</v>
      </c>
      <c r="AI679" s="12">
        <v>2</v>
      </c>
      <c r="AJ679" s="12" t="s">
        <v>64</v>
      </c>
      <c r="AK679" s="12">
        <v>0</v>
      </c>
      <c r="AL679" s="12">
        <v>1</v>
      </c>
      <c r="AM679" s="12">
        <v>7403</v>
      </c>
      <c r="AN679" s="12">
        <f t="shared" si="152"/>
        <v>7403</v>
      </c>
      <c r="AO679" s="12">
        <v>4</v>
      </c>
      <c r="AP679" s="12" t="s">
        <v>59</v>
      </c>
      <c r="AQ679" s="12">
        <v>0</v>
      </c>
      <c r="AR679" s="12">
        <v>11</v>
      </c>
      <c r="AS679" s="12">
        <v>3</v>
      </c>
      <c r="AT679" s="12">
        <v>3</v>
      </c>
      <c r="AU679" s="12">
        <v>1</v>
      </c>
      <c r="AV679" s="12">
        <v>29</v>
      </c>
      <c r="AW679" s="12">
        <f t="shared" si="153"/>
        <v>29</v>
      </c>
      <c r="AX679" s="12">
        <v>3</v>
      </c>
      <c r="AY679" s="12">
        <v>2</v>
      </c>
      <c r="AZ679" s="12">
        <v>26</v>
      </c>
      <c r="BA679" s="12">
        <f t="shared" si="154"/>
        <v>26</v>
      </c>
      <c r="BB679" s="12">
        <v>9</v>
      </c>
      <c r="BC679" s="12">
        <v>1</v>
      </c>
      <c r="BD679" s="12">
        <f t="shared" si="163"/>
        <v>1</v>
      </c>
      <c r="BE679" s="12">
        <v>7</v>
      </c>
      <c r="BF679" s="12">
        <f t="shared" si="155"/>
        <v>7</v>
      </c>
      <c r="BG679" s="12">
        <f t="shared" si="164"/>
        <v>21</v>
      </c>
      <c r="BH679" s="67">
        <v>0</v>
      </c>
      <c r="BI679" s="67">
        <v>1</v>
      </c>
      <c r="BJ679" s="67">
        <v>0</v>
      </c>
      <c r="BK679" s="67">
        <v>0</v>
      </c>
      <c r="BL679" s="67">
        <v>0</v>
      </c>
      <c r="BM679" s="67">
        <v>0</v>
      </c>
      <c r="BN679" s="67">
        <v>1</v>
      </c>
      <c r="BO679" s="67">
        <v>0</v>
      </c>
      <c r="BP679" s="67">
        <v>0</v>
      </c>
      <c r="BQ679" s="67">
        <v>7</v>
      </c>
      <c r="BR679" s="67">
        <v>0</v>
      </c>
      <c r="BS679" s="67">
        <v>0</v>
      </c>
      <c r="BT679" s="67">
        <v>29</v>
      </c>
      <c r="BU679" s="70">
        <v>0</v>
      </c>
      <c r="BV679" s="29">
        <f t="shared" si="156"/>
        <v>0.1911803249159644</v>
      </c>
      <c r="BW679">
        <f t="shared" si="157"/>
        <v>0.80626709607243985</v>
      </c>
      <c r="BX679">
        <f t="shared" si="158"/>
        <v>2.2774586027813735</v>
      </c>
      <c r="BY679">
        <f t="shared" si="159"/>
        <v>3.0999361403491448</v>
      </c>
      <c r="BZ679">
        <f t="shared" si="160"/>
        <v>0.14709966057360641</v>
      </c>
      <c r="CA679">
        <f t="shared" si="161"/>
        <v>1.3219153536033093</v>
      </c>
      <c r="CB679">
        <f t="shared" si="162"/>
        <v>0.36858985273641137</v>
      </c>
    </row>
    <row r="680" spans="1:80" x14ac:dyDescent="0.45">
      <c r="A680" s="11">
        <v>48</v>
      </c>
      <c r="B680" s="12">
        <f t="shared" si="150"/>
        <v>48</v>
      </c>
      <c r="C680" s="12" t="s">
        <v>59</v>
      </c>
      <c r="D680" s="12">
        <v>0</v>
      </c>
      <c r="E680" s="12" t="s">
        <v>53</v>
      </c>
      <c r="F680" s="12">
        <v>0</v>
      </c>
      <c r="G680" s="12">
        <v>1</v>
      </c>
      <c r="H680" s="12" t="s">
        <v>61</v>
      </c>
      <c r="I680" s="12">
        <v>1</v>
      </c>
      <c r="J680" s="12">
        <v>0</v>
      </c>
      <c r="K680" s="12">
        <v>20</v>
      </c>
      <c r="L680" s="12">
        <f t="shared" si="151"/>
        <v>20</v>
      </c>
      <c r="M680" s="12">
        <v>4</v>
      </c>
      <c r="N680" s="12" t="s">
        <v>70</v>
      </c>
      <c r="O680" s="12">
        <v>0</v>
      </c>
      <c r="P680" s="12">
        <v>0</v>
      </c>
      <c r="Q680" s="12">
        <v>1</v>
      </c>
      <c r="R680" s="12">
        <v>0</v>
      </c>
      <c r="S680" s="12">
        <v>0</v>
      </c>
      <c r="T680" s="12">
        <v>4</v>
      </c>
      <c r="U680" s="12" t="s">
        <v>62</v>
      </c>
      <c r="V680" s="12">
        <v>0</v>
      </c>
      <c r="W680" s="12">
        <v>51</v>
      </c>
      <c r="X680" s="12">
        <v>3</v>
      </c>
      <c r="Y680" s="12">
        <v>1</v>
      </c>
      <c r="Z680" s="12" t="s">
        <v>63</v>
      </c>
      <c r="AA680" s="12">
        <v>0</v>
      </c>
      <c r="AB680" s="12">
        <v>0</v>
      </c>
      <c r="AC680" s="12">
        <v>0</v>
      </c>
      <c r="AD680" s="12">
        <v>0</v>
      </c>
      <c r="AE680" s="12">
        <v>0</v>
      </c>
      <c r="AF680" s="12">
        <v>0</v>
      </c>
      <c r="AG680" s="12">
        <v>0</v>
      </c>
      <c r="AH680" s="12">
        <v>1</v>
      </c>
      <c r="AI680" s="12">
        <v>3</v>
      </c>
      <c r="AJ680" s="12" t="s">
        <v>64</v>
      </c>
      <c r="AK680" s="12">
        <v>0</v>
      </c>
      <c r="AL680" s="12">
        <v>1</v>
      </c>
      <c r="AM680" s="12">
        <v>2259</v>
      </c>
      <c r="AN680" s="12">
        <f t="shared" si="152"/>
        <v>2259</v>
      </c>
      <c r="AO680" s="12">
        <v>4</v>
      </c>
      <c r="AP680" s="12" t="s">
        <v>59</v>
      </c>
      <c r="AQ680" s="12">
        <v>0</v>
      </c>
      <c r="AR680" s="12">
        <v>17</v>
      </c>
      <c r="AS680" s="12">
        <v>3</v>
      </c>
      <c r="AT680" s="12">
        <v>1</v>
      </c>
      <c r="AU680" s="12">
        <v>2</v>
      </c>
      <c r="AV680" s="12">
        <v>13</v>
      </c>
      <c r="AW680" s="12">
        <f t="shared" si="153"/>
        <v>13</v>
      </c>
      <c r="AX680" s="12">
        <v>2</v>
      </c>
      <c r="AY680" s="12">
        <v>2</v>
      </c>
      <c r="AZ680" s="12">
        <v>0</v>
      </c>
      <c r="BA680" s="12">
        <f t="shared" si="154"/>
        <v>0</v>
      </c>
      <c r="BB680" s="12">
        <v>0</v>
      </c>
      <c r="BC680" s="12">
        <v>0</v>
      </c>
      <c r="BD680" s="12">
        <f t="shared" si="163"/>
        <v>0</v>
      </c>
      <c r="BE680" s="12">
        <v>0</v>
      </c>
      <c r="BF680" s="12">
        <f t="shared" si="155"/>
        <v>0</v>
      </c>
      <c r="BG680" s="12">
        <f t="shared" si="164"/>
        <v>0</v>
      </c>
      <c r="BH680" s="67">
        <v>0</v>
      </c>
      <c r="BI680" s="67">
        <v>1</v>
      </c>
      <c r="BJ680" s="67">
        <v>0</v>
      </c>
      <c r="BK680" s="67">
        <v>0</v>
      </c>
      <c r="BL680" s="67">
        <v>0</v>
      </c>
      <c r="BM680" s="67">
        <v>0</v>
      </c>
      <c r="BN680" s="67">
        <v>1</v>
      </c>
      <c r="BO680" s="67">
        <v>0</v>
      </c>
      <c r="BP680" s="67">
        <v>0</v>
      </c>
      <c r="BQ680" s="67">
        <v>0</v>
      </c>
      <c r="BR680" s="67">
        <v>0</v>
      </c>
      <c r="BS680" s="67">
        <v>0</v>
      </c>
      <c r="BT680" s="67">
        <v>13</v>
      </c>
      <c r="BU680" s="70">
        <v>0</v>
      </c>
      <c r="BV680" s="29">
        <f t="shared" si="156"/>
        <v>0.90143803098471886</v>
      </c>
      <c r="BW680">
        <f t="shared" si="157"/>
        <v>1.1555414682655611</v>
      </c>
      <c r="BX680">
        <f t="shared" si="158"/>
        <v>0.22110993920818819</v>
      </c>
      <c r="BY680">
        <f t="shared" si="159"/>
        <v>1.1439050833826525</v>
      </c>
      <c r="BZ680">
        <f t="shared" si="160"/>
        <v>1.3331273859286286</v>
      </c>
      <c r="CA680">
        <f t="shared" si="161"/>
        <v>1.2124507541330036</v>
      </c>
      <c r="CB680">
        <f t="shared" si="162"/>
        <v>0.67891464284095016</v>
      </c>
    </row>
    <row r="681" spans="1:80" x14ac:dyDescent="0.45">
      <c r="A681" s="11">
        <v>31</v>
      </c>
      <c r="B681" s="12">
        <f t="shared" si="150"/>
        <v>31</v>
      </c>
      <c r="C681" s="12" t="s">
        <v>59</v>
      </c>
      <c r="D681" s="12">
        <v>0</v>
      </c>
      <c r="E681" s="12" t="s">
        <v>86</v>
      </c>
      <c r="F681" s="12">
        <v>0</v>
      </c>
      <c r="G681" s="12">
        <v>0</v>
      </c>
      <c r="H681" s="12" t="s">
        <v>54</v>
      </c>
      <c r="I681" s="12">
        <v>0</v>
      </c>
      <c r="J681" s="12">
        <v>1</v>
      </c>
      <c r="K681" s="12">
        <v>20</v>
      </c>
      <c r="L681" s="12">
        <f t="shared" si="151"/>
        <v>20</v>
      </c>
      <c r="M681" s="12">
        <v>2</v>
      </c>
      <c r="N681" s="12" t="s">
        <v>90</v>
      </c>
      <c r="O681" s="12">
        <v>0</v>
      </c>
      <c r="P681" s="12">
        <v>0</v>
      </c>
      <c r="Q681" s="12">
        <v>0</v>
      </c>
      <c r="R681" s="12">
        <v>1</v>
      </c>
      <c r="S681" s="12">
        <v>0</v>
      </c>
      <c r="T681" s="12">
        <v>4</v>
      </c>
      <c r="U681" s="12" t="s">
        <v>19</v>
      </c>
      <c r="V681" s="12">
        <v>1</v>
      </c>
      <c r="W681" s="12">
        <v>45</v>
      </c>
      <c r="X681" s="12">
        <v>3</v>
      </c>
      <c r="Y681" s="12">
        <v>2</v>
      </c>
      <c r="Z681" s="12" t="s">
        <v>56</v>
      </c>
      <c r="AA681" s="12">
        <v>0</v>
      </c>
      <c r="AB681" s="12">
        <v>1</v>
      </c>
      <c r="AC681" s="12">
        <v>0</v>
      </c>
      <c r="AD681" s="12">
        <v>0</v>
      </c>
      <c r="AE681" s="12">
        <v>0</v>
      </c>
      <c r="AF681" s="12">
        <v>0</v>
      </c>
      <c r="AG681" s="12">
        <v>0</v>
      </c>
      <c r="AH681" s="12">
        <v>0</v>
      </c>
      <c r="AI681" s="12">
        <v>3</v>
      </c>
      <c r="AJ681" s="12" t="s">
        <v>64</v>
      </c>
      <c r="AK681" s="12">
        <v>0</v>
      </c>
      <c r="AL681" s="12">
        <v>1</v>
      </c>
      <c r="AM681" s="12">
        <v>6932</v>
      </c>
      <c r="AN681" s="12">
        <f t="shared" si="152"/>
        <v>6932</v>
      </c>
      <c r="AO681" s="12">
        <v>1</v>
      </c>
      <c r="AP681" s="12" t="s">
        <v>59</v>
      </c>
      <c r="AQ681" s="12">
        <v>0</v>
      </c>
      <c r="AR681" s="12">
        <v>13</v>
      </c>
      <c r="AS681" s="12">
        <v>3</v>
      </c>
      <c r="AT681" s="12">
        <v>4</v>
      </c>
      <c r="AU681" s="12">
        <v>1</v>
      </c>
      <c r="AV681" s="12">
        <v>9</v>
      </c>
      <c r="AW681" s="12">
        <f t="shared" si="153"/>
        <v>9</v>
      </c>
      <c r="AX681" s="12">
        <v>2</v>
      </c>
      <c r="AY681" s="12">
        <v>2</v>
      </c>
      <c r="AZ681" s="12">
        <v>9</v>
      </c>
      <c r="BA681" s="12">
        <f t="shared" si="154"/>
        <v>9</v>
      </c>
      <c r="BB681" s="12">
        <v>8</v>
      </c>
      <c r="BC681" s="12">
        <v>0</v>
      </c>
      <c r="BD681" s="12">
        <f t="shared" si="163"/>
        <v>0</v>
      </c>
      <c r="BE681" s="12">
        <v>0</v>
      </c>
      <c r="BF681" s="12">
        <f t="shared" si="155"/>
        <v>0</v>
      </c>
      <c r="BG681" s="12">
        <f t="shared" si="164"/>
        <v>0</v>
      </c>
      <c r="BH681" s="67">
        <v>0</v>
      </c>
      <c r="BI681" s="67">
        <v>1</v>
      </c>
      <c r="BJ681" s="67">
        <v>0</v>
      </c>
      <c r="BK681" s="67">
        <v>0</v>
      </c>
      <c r="BL681" s="67">
        <v>0</v>
      </c>
      <c r="BM681" s="67">
        <v>0</v>
      </c>
      <c r="BN681" s="67">
        <v>1</v>
      </c>
      <c r="BO681" s="67">
        <v>0</v>
      </c>
      <c r="BP681" s="67">
        <v>0</v>
      </c>
      <c r="BQ681" s="67">
        <v>0</v>
      </c>
      <c r="BR681" s="67">
        <v>0</v>
      </c>
      <c r="BS681" s="67">
        <v>0</v>
      </c>
      <c r="BT681" s="67">
        <v>0</v>
      </c>
      <c r="BU681" s="70">
        <v>9</v>
      </c>
      <c r="BV681" s="29">
        <f t="shared" si="156"/>
        <v>9.1136925687888601E-2</v>
      </c>
      <c r="BW681">
        <f t="shared" si="157"/>
        <v>1.1555414682655611</v>
      </c>
      <c r="BX681">
        <f t="shared" si="158"/>
        <v>0.29297722668510823</v>
      </c>
      <c r="BY681">
        <f t="shared" si="159"/>
        <v>0.32511687867835437</v>
      </c>
      <c r="BZ681">
        <f t="shared" si="160"/>
        <v>1.3331273859286286</v>
      </c>
      <c r="CA681">
        <f t="shared" si="161"/>
        <v>0.6484474368621912</v>
      </c>
      <c r="CB681">
        <f t="shared" si="162"/>
        <v>0.67891464284095016</v>
      </c>
    </row>
    <row r="682" spans="1:80" x14ac:dyDescent="0.45">
      <c r="A682" s="11">
        <v>36</v>
      </c>
      <c r="B682" s="12">
        <f t="shared" si="150"/>
        <v>36</v>
      </c>
      <c r="C682" s="12" t="s">
        <v>59</v>
      </c>
      <c r="D682" s="12">
        <v>0</v>
      </c>
      <c r="E682" s="12" t="s">
        <v>53</v>
      </c>
      <c r="F682" s="12">
        <v>0</v>
      </c>
      <c r="G682" s="12">
        <v>1</v>
      </c>
      <c r="H682" s="12" t="s">
        <v>61</v>
      </c>
      <c r="I682" s="12">
        <v>1</v>
      </c>
      <c r="J682" s="12">
        <v>0</v>
      </c>
      <c r="K682" s="12">
        <v>7</v>
      </c>
      <c r="L682" s="12">
        <f t="shared" si="151"/>
        <v>7</v>
      </c>
      <c r="M682" s="12">
        <v>4</v>
      </c>
      <c r="N682" s="12" t="s">
        <v>66</v>
      </c>
      <c r="O682" s="12">
        <v>0</v>
      </c>
      <c r="P682" s="12">
        <v>1</v>
      </c>
      <c r="Q682" s="12">
        <v>0</v>
      </c>
      <c r="R682" s="12">
        <v>0</v>
      </c>
      <c r="S682" s="12">
        <v>0</v>
      </c>
      <c r="T682" s="12">
        <v>2</v>
      </c>
      <c r="U682" s="12" t="s">
        <v>62</v>
      </c>
      <c r="V682" s="12">
        <v>0</v>
      </c>
      <c r="W682" s="12">
        <v>65</v>
      </c>
      <c r="X682" s="12">
        <v>3</v>
      </c>
      <c r="Y682" s="12">
        <v>1</v>
      </c>
      <c r="Z682" s="12" t="s">
        <v>63</v>
      </c>
      <c r="AA682" s="12">
        <v>0</v>
      </c>
      <c r="AB682" s="12">
        <v>0</v>
      </c>
      <c r="AC682" s="12">
        <v>0</v>
      </c>
      <c r="AD682" s="12">
        <v>0</v>
      </c>
      <c r="AE682" s="12">
        <v>0</v>
      </c>
      <c r="AF682" s="12">
        <v>0</v>
      </c>
      <c r="AG682" s="12">
        <v>0</v>
      </c>
      <c r="AH682" s="12">
        <v>1</v>
      </c>
      <c r="AI682" s="12">
        <v>4</v>
      </c>
      <c r="AJ682" s="12" t="s">
        <v>57</v>
      </c>
      <c r="AK682" s="12">
        <v>1</v>
      </c>
      <c r="AL682" s="12">
        <v>0</v>
      </c>
      <c r="AM682" s="12">
        <v>4678</v>
      </c>
      <c r="AN682" s="12">
        <f t="shared" si="152"/>
        <v>4678</v>
      </c>
      <c r="AO682" s="12">
        <v>2</v>
      </c>
      <c r="AP682" s="12" t="s">
        <v>59</v>
      </c>
      <c r="AQ682" s="12">
        <v>0</v>
      </c>
      <c r="AR682" s="12">
        <v>18</v>
      </c>
      <c r="AS682" s="12">
        <v>3</v>
      </c>
      <c r="AT682" s="12">
        <v>3</v>
      </c>
      <c r="AU682" s="12">
        <v>0</v>
      </c>
      <c r="AV682" s="12">
        <v>8</v>
      </c>
      <c r="AW682" s="12">
        <f t="shared" si="153"/>
        <v>8</v>
      </c>
      <c r="AX682" s="12">
        <v>6</v>
      </c>
      <c r="AY682" s="12">
        <v>3</v>
      </c>
      <c r="AZ682" s="12">
        <v>6</v>
      </c>
      <c r="BA682" s="12">
        <f t="shared" si="154"/>
        <v>6</v>
      </c>
      <c r="BB682" s="12">
        <v>2</v>
      </c>
      <c r="BC682" s="12">
        <v>0</v>
      </c>
      <c r="BD682" s="12">
        <f t="shared" si="163"/>
        <v>0</v>
      </c>
      <c r="BE682" s="12">
        <v>1</v>
      </c>
      <c r="BF682" s="12">
        <f t="shared" si="155"/>
        <v>1</v>
      </c>
      <c r="BG682" s="12">
        <f t="shared" si="164"/>
        <v>1</v>
      </c>
      <c r="BH682" s="67">
        <v>1</v>
      </c>
      <c r="BI682" s="67">
        <v>0</v>
      </c>
      <c r="BJ682" s="67">
        <v>0</v>
      </c>
      <c r="BK682" s="67">
        <v>0</v>
      </c>
      <c r="BL682" s="67">
        <v>1</v>
      </c>
      <c r="BM682" s="67">
        <v>0</v>
      </c>
      <c r="BN682" s="67">
        <v>0</v>
      </c>
      <c r="BO682" s="67">
        <v>0</v>
      </c>
      <c r="BP682" s="67">
        <v>0</v>
      </c>
      <c r="BQ682" s="67">
        <v>1</v>
      </c>
      <c r="BR682" s="67">
        <v>0</v>
      </c>
      <c r="BS682" s="67">
        <v>0</v>
      </c>
      <c r="BT682" s="67">
        <v>8</v>
      </c>
      <c r="BU682" s="70">
        <v>0</v>
      </c>
      <c r="BV682" s="29">
        <f t="shared" si="156"/>
        <v>0.3876270273059178</v>
      </c>
      <c r="BW682">
        <f t="shared" si="157"/>
        <v>0.87528310193156111</v>
      </c>
      <c r="BX682">
        <f t="shared" si="158"/>
        <v>0.42149901815843233</v>
      </c>
      <c r="BY682">
        <f t="shared" si="159"/>
        <v>0.16455710867531462</v>
      </c>
      <c r="BZ682">
        <f t="shared" si="160"/>
        <v>0.27045191444879263</v>
      </c>
      <c r="CA682">
        <f t="shared" si="161"/>
        <v>0.10112443951066327</v>
      </c>
      <c r="CB682">
        <f t="shared" si="162"/>
        <v>0.67891464284095016</v>
      </c>
    </row>
    <row r="683" spans="1:80" x14ac:dyDescent="0.45">
      <c r="A683" s="11">
        <v>38</v>
      </c>
      <c r="B683" s="12">
        <f t="shared" si="150"/>
        <v>38</v>
      </c>
      <c r="C683" s="12" t="s">
        <v>59</v>
      </c>
      <c r="D683" s="12">
        <v>0</v>
      </c>
      <c r="E683" s="12" t="s">
        <v>53</v>
      </c>
      <c r="F683" s="12">
        <v>0</v>
      </c>
      <c r="G683" s="12">
        <v>1</v>
      </c>
      <c r="H683" s="12" t="s">
        <v>61</v>
      </c>
      <c r="I683" s="12">
        <v>1</v>
      </c>
      <c r="J683" s="12">
        <v>0</v>
      </c>
      <c r="K683" s="12">
        <v>1</v>
      </c>
      <c r="L683" s="12">
        <f t="shared" si="151"/>
        <v>1</v>
      </c>
      <c r="M683" s="12">
        <v>3</v>
      </c>
      <c r="N683" s="12" t="s">
        <v>91</v>
      </c>
      <c r="O683" s="12">
        <v>0</v>
      </c>
      <c r="P683" s="12">
        <v>0</v>
      </c>
      <c r="Q683" s="12">
        <v>0</v>
      </c>
      <c r="R683" s="12">
        <v>0</v>
      </c>
      <c r="S683" s="12">
        <v>1</v>
      </c>
      <c r="T683" s="12">
        <v>4</v>
      </c>
      <c r="U683" s="12" t="s">
        <v>19</v>
      </c>
      <c r="V683" s="12">
        <v>1</v>
      </c>
      <c r="W683" s="12">
        <v>80</v>
      </c>
      <c r="X683" s="12">
        <v>3</v>
      </c>
      <c r="Y683" s="12">
        <v>3</v>
      </c>
      <c r="Z683" s="12" t="s">
        <v>89</v>
      </c>
      <c r="AA683" s="12">
        <v>0</v>
      </c>
      <c r="AB683" s="12">
        <v>0</v>
      </c>
      <c r="AC683" s="12">
        <v>0</v>
      </c>
      <c r="AD683" s="12">
        <v>0</v>
      </c>
      <c r="AE683" s="12">
        <v>0</v>
      </c>
      <c r="AF683" s="12">
        <v>0</v>
      </c>
      <c r="AG683" s="12">
        <v>0</v>
      </c>
      <c r="AH683" s="12">
        <v>0</v>
      </c>
      <c r="AI683" s="12">
        <v>1</v>
      </c>
      <c r="AJ683" s="12" t="s">
        <v>64</v>
      </c>
      <c r="AK683" s="12">
        <v>0</v>
      </c>
      <c r="AL683" s="12">
        <v>1</v>
      </c>
      <c r="AM683" s="12">
        <v>13582</v>
      </c>
      <c r="AN683" s="12">
        <f t="shared" si="152"/>
        <v>13582</v>
      </c>
      <c r="AO683" s="12">
        <v>1</v>
      </c>
      <c r="AP683" s="12" t="s">
        <v>59</v>
      </c>
      <c r="AQ683" s="12">
        <v>0</v>
      </c>
      <c r="AR683" s="12">
        <v>13</v>
      </c>
      <c r="AS683" s="12">
        <v>3</v>
      </c>
      <c r="AT683" s="12">
        <v>2</v>
      </c>
      <c r="AU683" s="12">
        <v>1</v>
      </c>
      <c r="AV683" s="12">
        <v>15</v>
      </c>
      <c r="AW683" s="12">
        <f t="shared" si="153"/>
        <v>15</v>
      </c>
      <c r="AX683" s="12">
        <v>3</v>
      </c>
      <c r="AY683" s="12">
        <v>3</v>
      </c>
      <c r="AZ683" s="12">
        <v>15</v>
      </c>
      <c r="BA683" s="12">
        <f t="shared" si="154"/>
        <v>15</v>
      </c>
      <c r="BB683" s="12">
        <v>12</v>
      </c>
      <c r="BC683" s="12">
        <v>5</v>
      </c>
      <c r="BD683" s="12">
        <f t="shared" si="163"/>
        <v>5</v>
      </c>
      <c r="BE683" s="12">
        <v>11</v>
      </c>
      <c r="BF683" s="12">
        <f t="shared" si="155"/>
        <v>11</v>
      </c>
      <c r="BG683" s="12">
        <f t="shared" si="164"/>
        <v>33</v>
      </c>
      <c r="BH683" s="67">
        <v>0</v>
      </c>
      <c r="BI683" s="67">
        <v>1</v>
      </c>
      <c r="BJ683" s="67">
        <v>0</v>
      </c>
      <c r="BK683" s="67">
        <v>0</v>
      </c>
      <c r="BL683" s="67">
        <v>0</v>
      </c>
      <c r="BM683" s="67">
        <v>0</v>
      </c>
      <c r="BN683" s="67">
        <v>1</v>
      </c>
      <c r="BO683" s="67">
        <v>0</v>
      </c>
      <c r="BP683" s="67">
        <v>0</v>
      </c>
      <c r="BQ683" s="67">
        <v>11</v>
      </c>
      <c r="BR683" s="67">
        <v>0</v>
      </c>
      <c r="BS683" s="67">
        <v>0</v>
      </c>
      <c r="BT683" s="67">
        <v>15</v>
      </c>
      <c r="BU683" s="70">
        <v>0</v>
      </c>
      <c r="BV683" s="29">
        <f t="shared" si="156"/>
        <v>1.503639271477069</v>
      </c>
      <c r="BW683">
        <f t="shared" si="157"/>
        <v>1.9273005614084406</v>
      </c>
      <c r="BX683">
        <f t="shared" si="158"/>
        <v>0.47815352215483642</v>
      </c>
      <c r="BY683">
        <f t="shared" si="159"/>
        <v>1.3044648533856922</v>
      </c>
      <c r="BZ683">
        <f t="shared" si="160"/>
        <v>1.01056543769991</v>
      </c>
      <c r="CA683">
        <f t="shared" si="161"/>
        <v>0.11780475942994788</v>
      </c>
      <c r="CB683">
        <f t="shared" si="162"/>
        <v>0.87270930768174382</v>
      </c>
    </row>
    <row r="684" spans="1:80" x14ac:dyDescent="0.45">
      <c r="A684" s="11">
        <v>32</v>
      </c>
      <c r="B684" s="12">
        <f t="shared" si="150"/>
        <v>32</v>
      </c>
      <c r="C684" s="12" t="s">
        <v>59</v>
      </c>
      <c r="D684" s="12">
        <v>0</v>
      </c>
      <c r="E684" s="12" t="s">
        <v>86</v>
      </c>
      <c r="F684" s="12">
        <v>0</v>
      </c>
      <c r="G684" s="12">
        <v>0</v>
      </c>
      <c r="H684" s="12" t="s">
        <v>61</v>
      </c>
      <c r="I684" s="12">
        <v>1</v>
      </c>
      <c r="J684" s="12">
        <v>0</v>
      </c>
      <c r="K684" s="12">
        <v>1</v>
      </c>
      <c r="L684" s="12">
        <f t="shared" si="151"/>
        <v>1</v>
      </c>
      <c r="M684" s="12">
        <v>3</v>
      </c>
      <c r="N684" s="12" t="s">
        <v>55</v>
      </c>
      <c r="O684" s="12">
        <v>1</v>
      </c>
      <c r="P684" s="12">
        <v>0</v>
      </c>
      <c r="Q684" s="12">
        <v>0</v>
      </c>
      <c r="R684" s="12">
        <v>0</v>
      </c>
      <c r="S684" s="12">
        <v>0</v>
      </c>
      <c r="T684" s="12">
        <v>3</v>
      </c>
      <c r="U684" s="12" t="s">
        <v>19</v>
      </c>
      <c r="V684" s="12">
        <v>1</v>
      </c>
      <c r="W684" s="12">
        <v>70</v>
      </c>
      <c r="X684" s="12">
        <v>2</v>
      </c>
      <c r="Y684" s="12">
        <v>1</v>
      </c>
      <c r="Z684" s="12" t="s">
        <v>67</v>
      </c>
      <c r="AA684" s="12">
        <v>0</v>
      </c>
      <c r="AB684" s="12">
        <v>0</v>
      </c>
      <c r="AC684" s="12">
        <v>1</v>
      </c>
      <c r="AD684" s="12">
        <v>0</v>
      </c>
      <c r="AE684" s="12">
        <v>0</v>
      </c>
      <c r="AF684" s="12">
        <v>0</v>
      </c>
      <c r="AG684" s="12">
        <v>0</v>
      </c>
      <c r="AH684" s="12">
        <v>0</v>
      </c>
      <c r="AI684" s="12">
        <v>2</v>
      </c>
      <c r="AJ684" s="12" t="s">
        <v>64</v>
      </c>
      <c r="AK684" s="12">
        <v>0</v>
      </c>
      <c r="AL684" s="12">
        <v>1</v>
      </c>
      <c r="AM684" s="12">
        <v>2332</v>
      </c>
      <c r="AN684" s="12">
        <f t="shared" si="152"/>
        <v>2332</v>
      </c>
      <c r="AO684" s="12">
        <v>6</v>
      </c>
      <c r="AP684" s="12" t="s">
        <v>59</v>
      </c>
      <c r="AQ684" s="12">
        <v>0</v>
      </c>
      <c r="AR684" s="12">
        <v>20</v>
      </c>
      <c r="AS684" s="12">
        <v>4</v>
      </c>
      <c r="AT684" s="12">
        <v>3</v>
      </c>
      <c r="AU684" s="12">
        <v>0</v>
      </c>
      <c r="AV684" s="12">
        <v>5</v>
      </c>
      <c r="AW684" s="12">
        <f t="shared" si="153"/>
        <v>5</v>
      </c>
      <c r="AX684" s="12">
        <v>3</v>
      </c>
      <c r="AY684" s="12">
        <v>3</v>
      </c>
      <c r="AZ684" s="12">
        <v>3</v>
      </c>
      <c r="BA684" s="12">
        <f t="shared" si="154"/>
        <v>3</v>
      </c>
      <c r="BB684" s="12">
        <v>0</v>
      </c>
      <c r="BC684" s="12">
        <v>0</v>
      </c>
      <c r="BD684" s="12">
        <f t="shared" si="163"/>
        <v>0</v>
      </c>
      <c r="BE684" s="12">
        <v>2</v>
      </c>
      <c r="BF684" s="12">
        <f t="shared" si="155"/>
        <v>2</v>
      </c>
      <c r="BG684" s="12">
        <f t="shared" si="164"/>
        <v>2</v>
      </c>
      <c r="BH684" s="67">
        <v>0</v>
      </c>
      <c r="BI684" s="67">
        <v>1</v>
      </c>
      <c r="BJ684" s="67">
        <v>0</v>
      </c>
      <c r="BK684" s="67">
        <v>0</v>
      </c>
      <c r="BL684" s="67">
        <v>0</v>
      </c>
      <c r="BM684" s="67">
        <v>0</v>
      </c>
      <c r="BN684" s="67">
        <v>1</v>
      </c>
      <c r="BO684" s="67">
        <v>0</v>
      </c>
      <c r="BP684" s="67">
        <v>0</v>
      </c>
      <c r="BQ684" s="67">
        <v>2</v>
      </c>
      <c r="BR684" s="67">
        <v>0</v>
      </c>
      <c r="BS684" s="67">
        <v>0</v>
      </c>
      <c r="BT684" s="67">
        <v>5</v>
      </c>
      <c r="BU684" s="70">
        <v>0</v>
      </c>
      <c r="BV684" s="29">
        <f t="shared" si="156"/>
        <v>0.88593236613620607</v>
      </c>
      <c r="BW684">
        <f t="shared" si="157"/>
        <v>0.59502473559756086</v>
      </c>
      <c r="BX684">
        <f t="shared" si="158"/>
        <v>0.80706439257840468</v>
      </c>
      <c r="BY684">
        <f t="shared" si="159"/>
        <v>0.65423109602898355</v>
      </c>
      <c r="BZ684">
        <f t="shared" si="160"/>
        <v>1.01056543769991</v>
      </c>
      <c r="CA684">
        <f t="shared" si="161"/>
        <v>0.53898283739188557</v>
      </c>
      <c r="CB684">
        <f t="shared" si="162"/>
        <v>0.67891464284095016</v>
      </c>
    </row>
    <row r="685" spans="1:80" x14ac:dyDescent="0.45">
      <c r="A685" s="11">
        <v>25</v>
      </c>
      <c r="B685" s="12">
        <f t="shared" si="150"/>
        <v>25</v>
      </c>
      <c r="C685" s="12" t="s">
        <v>52</v>
      </c>
      <c r="D685" s="12">
        <v>1</v>
      </c>
      <c r="E685" s="12" t="s">
        <v>53</v>
      </c>
      <c r="F685" s="12">
        <v>0</v>
      </c>
      <c r="G685" s="12">
        <v>1</v>
      </c>
      <c r="H685" s="12" t="s">
        <v>54</v>
      </c>
      <c r="I685" s="12">
        <v>0</v>
      </c>
      <c r="J685" s="12">
        <v>1</v>
      </c>
      <c r="K685" s="12">
        <v>19</v>
      </c>
      <c r="L685" s="12">
        <f t="shared" si="151"/>
        <v>19</v>
      </c>
      <c r="M685" s="12">
        <v>2</v>
      </c>
      <c r="N685" s="12" t="s">
        <v>90</v>
      </c>
      <c r="O685" s="12">
        <v>0</v>
      </c>
      <c r="P685" s="12">
        <v>0</v>
      </c>
      <c r="Q685" s="12">
        <v>0</v>
      </c>
      <c r="R685" s="12">
        <v>1</v>
      </c>
      <c r="S685" s="12">
        <v>0</v>
      </c>
      <c r="T685" s="12">
        <v>3</v>
      </c>
      <c r="U685" s="12" t="s">
        <v>62</v>
      </c>
      <c r="V685" s="12">
        <v>0</v>
      </c>
      <c r="W685" s="12">
        <v>36</v>
      </c>
      <c r="X685" s="12">
        <v>2</v>
      </c>
      <c r="Y685" s="12">
        <v>1</v>
      </c>
      <c r="Z685" s="12" t="s">
        <v>88</v>
      </c>
      <c r="AA685" s="12">
        <v>0</v>
      </c>
      <c r="AB685" s="12">
        <v>0</v>
      </c>
      <c r="AC685" s="12">
        <v>0</v>
      </c>
      <c r="AD685" s="12">
        <v>0</v>
      </c>
      <c r="AE685" s="12">
        <v>0</v>
      </c>
      <c r="AF685" s="12">
        <v>0</v>
      </c>
      <c r="AG685" s="12">
        <v>1</v>
      </c>
      <c r="AH685" s="12">
        <v>0</v>
      </c>
      <c r="AI685" s="12">
        <v>2</v>
      </c>
      <c r="AJ685" s="12" t="s">
        <v>64</v>
      </c>
      <c r="AK685" s="12">
        <v>0</v>
      </c>
      <c r="AL685" s="12">
        <v>1</v>
      </c>
      <c r="AM685" s="12">
        <v>2413</v>
      </c>
      <c r="AN685" s="12">
        <f t="shared" si="152"/>
        <v>2413</v>
      </c>
      <c r="AO685" s="12">
        <v>1</v>
      </c>
      <c r="AP685" s="12" t="s">
        <v>52</v>
      </c>
      <c r="AQ685" s="12">
        <v>1</v>
      </c>
      <c r="AR685" s="12">
        <v>18</v>
      </c>
      <c r="AS685" s="12">
        <v>3</v>
      </c>
      <c r="AT685" s="12">
        <v>3</v>
      </c>
      <c r="AU685" s="12">
        <v>3</v>
      </c>
      <c r="AV685" s="12">
        <v>1</v>
      </c>
      <c r="AW685" s="12">
        <f t="shared" si="153"/>
        <v>1</v>
      </c>
      <c r="AX685" s="12">
        <v>2</v>
      </c>
      <c r="AY685" s="12">
        <v>3</v>
      </c>
      <c r="AZ685" s="12">
        <v>1</v>
      </c>
      <c r="BA685" s="12">
        <f t="shared" si="154"/>
        <v>1</v>
      </c>
      <c r="BB685" s="12">
        <v>0</v>
      </c>
      <c r="BC685" s="12">
        <v>0</v>
      </c>
      <c r="BD685" s="12">
        <f t="shared" si="163"/>
        <v>0</v>
      </c>
      <c r="BE685" s="12">
        <v>0</v>
      </c>
      <c r="BF685" s="12">
        <f t="shared" si="155"/>
        <v>0</v>
      </c>
      <c r="BG685" s="12">
        <f t="shared" si="164"/>
        <v>0</v>
      </c>
      <c r="BH685" s="67">
        <v>0</v>
      </c>
      <c r="BI685" s="67">
        <v>1</v>
      </c>
      <c r="BJ685" s="67">
        <v>0</v>
      </c>
      <c r="BK685" s="67">
        <v>0</v>
      </c>
      <c r="BL685" s="67">
        <v>0</v>
      </c>
      <c r="BM685" s="67">
        <v>0</v>
      </c>
      <c r="BN685" s="67">
        <v>0</v>
      </c>
      <c r="BO685" s="67">
        <v>1</v>
      </c>
      <c r="BP685" s="67">
        <v>0</v>
      </c>
      <c r="BQ685" s="67">
        <v>0</v>
      </c>
      <c r="BR685" s="67">
        <v>0</v>
      </c>
      <c r="BS685" s="67">
        <v>0</v>
      </c>
      <c r="BT685" s="67">
        <v>0</v>
      </c>
      <c r="BU685" s="70">
        <v>1</v>
      </c>
      <c r="BV685" s="29">
        <f t="shared" si="156"/>
        <v>0.86872745034539045</v>
      </c>
      <c r="BW685">
        <f t="shared" si="157"/>
        <v>1.1555414682655611</v>
      </c>
      <c r="BX685">
        <f t="shared" si="158"/>
        <v>1.3211515584717011</v>
      </c>
      <c r="BY685">
        <f t="shared" si="159"/>
        <v>0.9806804209314296</v>
      </c>
      <c r="BZ685">
        <f t="shared" si="160"/>
        <v>1.2097751320534422</v>
      </c>
      <c r="CA685">
        <f t="shared" si="161"/>
        <v>1.3052350336840246</v>
      </c>
      <c r="CB685">
        <f t="shared" si="162"/>
        <v>0.67891464284095016</v>
      </c>
    </row>
    <row r="686" spans="1:80" x14ac:dyDescent="0.45">
      <c r="A686" s="11">
        <v>40</v>
      </c>
      <c r="B686" s="12">
        <f t="shared" si="150"/>
        <v>40</v>
      </c>
      <c r="C686" s="12" t="s">
        <v>59</v>
      </c>
      <c r="D686" s="12">
        <v>0</v>
      </c>
      <c r="E686" s="12" t="s">
        <v>53</v>
      </c>
      <c r="F686" s="12">
        <v>0</v>
      </c>
      <c r="G686" s="12">
        <v>1</v>
      </c>
      <c r="H686" s="12" t="s">
        <v>54</v>
      </c>
      <c r="I686" s="12">
        <v>0</v>
      </c>
      <c r="J686" s="12">
        <v>1</v>
      </c>
      <c r="K686" s="12">
        <v>10</v>
      </c>
      <c r="L686" s="12">
        <f t="shared" si="151"/>
        <v>10</v>
      </c>
      <c r="M686" s="12">
        <v>4</v>
      </c>
      <c r="N686" s="12" t="s">
        <v>90</v>
      </c>
      <c r="O686" s="12">
        <v>0</v>
      </c>
      <c r="P686" s="12">
        <v>0</v>
      </c>
      <c r="Q686" s="12">
        <v>0</v>
      </c>
      <c r="R686" s="12">
        <v>1</v>
      </c>
      <c r="S686" s="12">
        <v>0</v>
      </c>
      <c r="T686" s="12">
        <v>1</v>
      </c>
      <c r="U686" s="12" t="s">
        <v>62</v>
      </c>
      <c r="V686" s="12">
        <v>0</v>
      </c>
      <c r="W686" s="12">
        <v>67</v>
      </c>
      <c r="X686" s="12">
        <v>2</v>
      </c>
      <c r="Y686" s="12">
        <v>3</v>
      </c>
      <c r="Z686" s="12" t="s">
        <v>56</v>
      </c>
      <c r="AA686" s="12">
        <v>0</v>
      </c>
      <c r="AB686" s="12">
        <v>1</v>
      </c>
      <c r="AC686" s="12">
        <v>0</v>
      </c>
      <c r="AD686" s="12">
        <v>0</v>
      </c>
      <c r="AE686" s="12">
        <v>0</v>
      </c>
      <c r="AF686" s="12">
        <v>0</v>
      </c>
      <c r="AG686" s="12">
        <v>0</v>
      </c>
      <c r="AH686" s="12">
        <v>0</v>
      </c>
      <c r="AI686" s="12">
        <v>2</v>
      </c>
      <c r="AJ686" s="12" t="s">
        <v>78</v>
      </c>
      <c r="AK686" s="12">
        <v>0</v>
      </c>
      <c r="AL686" s="12">
        <v>0</v>
      </c>
      <c r="AM686" s="12">
        <v>9705</v>
      </c>
      <c r="AN686" s="12">
        <f t="shared" si="152"/>
        <v>9705</v>
      </c>
      <c r="AO686" s="12">
        <v>2</v>
      </c>
      <c r="AP686" s="12" t="s">
        <v>59</v>
      </c>
      <c r="AQ686" s="12">
        <v>0</v>
      </c>
      <c r="AR686" s="12">
        <v>12</v>
      </c>
      <c r="AS686" s="12">
        <v>3</v>
      </c>
      <c r="AT686" s="12">
        <v>2</v>
      </c>
      <c r="AU686" s="12">
        <v>1</v>
      </c>
      <c r="AV686" s="12">
        <v>11</v>
      </c>
      <c r="AW686" s="12">
        <f t="shared" si="153"/>
        <v>11</v>
      </c>
      <c r="AX686" s="12">
        <v>2</v>
      </c>
      <c r="AY686" s="12">
        <v>2</v>
      </c>
      <c r="AZ686" s="12">
        <v>1</v>
      </c>
      <c r="BA686" s="12">
        <f t="shared" si="154"/>
        <v>1</v>
      </c>
      <c r="BB686" s="12">
        <v>0</v>
      </c>
      <c r="BC686" s="12">
        <v>0</v>
      </c>
      <c r="BD686" s="12">
        <f t="shared" si="163"/>
        <v>0</v>
      </c>
      <c r="BE686" s="12">
        <v>0</v>
      </c>
      <c r="BF686" s="12">
        <f t="shared" si="155"/>
        <v>0</v>
      </c>
      <c r="BG686" s="12">
        <f t="shared" si="164"/>
        <v>0</v>
      </c>
      <c r="BH686" s="67">
        <v>1</v>
      </c>
      <c r="BI686" s="67">
        <v>0</v>
      </c>
      <c r="BJ686" s="67">
        <v>0</v>
      </c>
      <c r="BK686" s="67">
        <v>0</v>
      </c>
      <c r="BL686" s="67">
        <v>1</v>
      </c>
      <c r="BM686" s="67">
        <v>0</v>
      </c>
      <c r="BN686" s="67">
        <v>0</v>
      </c>
      <c r="BO686" s="67">
        <v>0</v>
      </c>
      <c r="BP686" s="67">
        <v>0</v>
      </c>
      <c r="BQ686" s="67">
        <v>0</v>
      </c>
      <c r="BR686" s="67">
        <v>0</v>
      </c>
      <c r="BS686" s="67">
        <v>0</v>
      </c>
      <c r="BT686" s="67">
        <v>0</v>
      </c>
      <c r="BU686" s="70">
        <v>11</v>
      </c>
      <c r="BV686" s="29">
        <f t="shared" si="156"/>
        <v>0.6801397835635874</v>
      </c>
      <c r="BW686">
        <f t="shared" si="157"/>
        <v>1.1555414682655611</v>
      </c>
      <c r="BX686">
        <f t="shared" si="158"/>
        <v>3.593364373846001E-2</v>
      </c>
      <c r="BY686">
        <f t="shared" si="159"/>
        <v>0.9806804209314296</v>
      </c>
      <c r="BZ686">
        <f t="shared" si="160"/>
        <v>9.9604847176766084E-2</v>
      </c>
      <c r="CA686">
        <f t="shared" si="161"/>
        <v>0.33673395837055903</v>
      </c>
      <c r="CB686">
        <f t="shared" si="162"/>
        <v>0.67891464284095016</v>
      </c>
    </row>
    <row r="687" spans="1:80" x14ac:dyDescent="0.45">
      <c r="A687" s="11">
        <v>26</v>
      </c>
      <c r="B687" s="12">
        <f t="shared" si="150"/>
        <v>26</v>
      </c>
      <c r="C687" s="12" t="s">
        <v>59</v>
      </c>
      <c r="D687" s="12">
        <v>0</v>
      </c>
      <c r="E687" s="12" t="s">
        <v>60</v>
      </c>
      <c r="F687" s="12">
        <v>1</v>
      </c>
      <c r="G687" s="12">
        <v>0</v>
      </c>
      <c r="H687" s="12" t="s">
        <v>54</v>
      </c>
      <c r="I687" s="12">
        <v>0</v>
      </c>
      <c r="J687" s="12">
        <v>1</v>
      </c>
      <c r="K687" s="12">
        <v>1</v>
      </c>
      <c r="L687" s="12">
        <f t="shared" si="151"/>
        <v>1</v>
      </c>
      <c r="M687" s="12">
        <v>3</v>
      </c>
      <c r="N687" s="12" t="s">
        <v>70</v>
      </c>
      <c r="O687" s="12">
        <v>0</v>
      </c>
      <c r="P687" s="12">
        <v>0</v>
      </c>
      <c r="Q687" s="12">
        <v>1</v>
      </c>
      <c r="R687" s="12">
        <v>0</v>
      </c>
      <c r="S687" s="12">
        <v>0</v>
      </c>
      <c r="T687" s="12">
        <v>3</v>
      </c>
      <c r="U687" s="12" t="s">
        <v>62</v>
      </c>
      <c r="V687" s="12">
        <v>0</v>
      </c>
      <c r="W687" s="12">
        <v>52</v>
      </c>
      <c r="X687" s="12">
        <v>2</v>
      </c>
      <c r="Y687" s="12">
        <v>2</v>
      </c>
      <c r="Z687" s="12" t="s">
        <v>56</v>
      </c>
      <c r="AA687" s="12">
        <v>0</v>
      </c>
      <c r="AB687" s="12">
        <v>1</v>
      </c>
      <c r="AC687" s="12">
        <v>0</v>
      </c>
      <c r="AD687" s="12">
        <v>0</v>
      </c>
      <c r="AE687" s="12">
        <v>0</v>
      </c>
      <c r="AF687" s="12">
        <v>0</v>
      </c>
      <c r="AG687" s="12">
        <v>0</v>
      </c>
      <c r="AH687" s="12">
        <v>0</v>
      </c>
      <c r="AI687" s="12">
        <v>1</v>
      </c>
      <c r="AJ687" s="12" t="s">
        <v>57</v>
      </c>
      <c r="AK687" s="12">
        <v>1</v>
      </c>
      <c r="AL687" s="12">
        <v>0</v>
      </c>
      <c r="AM687" s="12">
        <v>4294</v>
      </c>
      <c r="AN687" s="12">
        <f t="shared" si="152"/>
        <v>4294</v>
      </c>
      <c r="AO687" s="12">
        <v>1</v>
      </c>
      <c r="AP687" s="12" t="s">
        <v>59</v>
      </c>
      <c r="AQ687" s="12">
        <v>0</v>
      </c>
      <c r="AR687" s="12">
        <v>12</v>
      </c>
      <c r="AS687" s="12">
        <v>3</v>
      </c>
      <c r="AT687" s="12">
        <v>2</v>
      </c>
      <c r="AU687" s="12">
        <v>0</v>
      </c>
      <c r="AV687" s="12">
        <v>7</v>
      </c>
      <c r="AW687" s="12">
        <f t="shared" si="153"/>
        <v>7</v>
      </c>
      <c r="AX687" s="12">
        <v>2</v>
      </c>
      <c r="AY687" s="12">
        <v>3</v>
      </c>
      <c r="AZ687" s="12">
        <v>7</v>
      </c>
      <c r="BA687" s="12">
        <f t="shared" si="154"/>
        <v>7</v>
      </c>
      <c r="BB687" s="12">
        <v>7</v>
      </c>
      <c r="BC687" s="12">
        <v>0</v>
      </c>
      <c r="BD687" s="12">
        <f t="shared" si="163"/>
        <v>0</v>
      </c>
      <c r="BE687" s="12">
        <v>7</v>
      </c>
      <c r="BF687" s="12">
        <f t="shared" si="155"/>
        <v>7</v>
      </c>
      <c r="BG687" s="12">
        <f t="shared" si="164"/>
        <v>14</v>
      </c>
      <c r="BH687" s="67">
        <v>0</v>
      </c>
      <c r="BI687" s="67">
        <v>0</v>
      </c>
      <c r="BJ687" s="67">
        <v>1</v>
      </c>
      <c r="BK687" s="67">
        <v>0</v>
      </c>
      <c r="BL687" s="67">
        <v>1</v>
      </c>
      <c r="BM687" s="67">
        <v>0</v>
      </c>
      <c r="BN687" s="67">
        <v>0</v>
      </c>
      <c r="BO687" s="67">
        <v>0</v>
      </c>
      <c r="BP687" s="67">
        <v>0</v>
      </c>
      <c r="BQ687" s="67">
        <v>0</v>
      </c>
      <c r="BR687" s="67">
        <v>7</v>
      </c>
      <c r="BS687" s="67">
        <v>0</v>
      </c>
      <c r="BT687" s="67">
        <v>0</v>
      </c>
      <c r="BU687" s="70">
        <v>7</v>
      </c>
      <c r="BV687" s="29">
        <f t="shared" si="156"/>
        <v>0.46919107253645093</v>
      </c>
      <c r="BW687">
        <f t="shared" si="157"/>
        <v>0.80626709607243985</v>
      </c>
      <c r="BX687">
        <f t="shared" si="158"/>
        <v>0.55002080963175637</v>
      </c>
      <c r="BY687">
        <f t="shared" si="159"/>
        <v>1.3324462240916321E-3</v>
      </c>
      <c r="BZ687">
        <f t="shared" si="160"/>
        <v>1.01056543769991</v>
      </c>
      <c r="CA687">
        <f t="shared" si="161"/>
        <v>1.195770434213719</v>
      </c>
      <c r="CB687">
        <f t="shared" si="162"/>
        <v>0.67891464284095016</v>
      </c>
    </row>
    <row r="688" spans="1:80" x14ac:dyDescent="0.45">
      <c r="A688" s="11">
        <v>41</v>
      </c>
      <c r="B688" s="12">
        <f t="shared" si="150"/>
        <v>41</v>
      </c>
      <c r="C688" s="12" t="s">
        <v>59</v>
      </c>
      <c r="D688" s="12">
        <v>0</v>
      </c>
      <c r="E688" s="12" t="s">
        <v>53</v>
      </c>
      <c r="F688" s="12">
        <v>0</v>
      </c>
      <c r="G688" s="12">
        <v>1</v>
      </c>
      <c r="H688" s="12" t="s">
        <v>61</v>
      </c>
      <c r="I688" s="12">
        <v>1</v>
      </c>
      <c r="J688" s="12">
        <v>0</v>
      </c>
      <c r="K688" s="12">
        <v>6</v>
      </c>
      <c r="L688" s="12">
        <f t="shared" si="151"/>
        <v>6</v>
      </c>
      <c r="M688" s="12">
        <v>3</v>
      </c>
      <c r="N688" s="12" t="s">
        <v>70</v>
      </c>
      <c r="O688" s="12">
        <v>0</v>
      </c>
      <c r="P688" s="12">
        <v>0</v>
      </c>
      <c r="Q688" s="12">
        <v>1</v>
      </c>
      <c r="R688" s="12">
        <v>0</v>
      </c>
      <c r="S688" s="12">
        <v>0</v>
      </c>
      <c r="T688" s="12">
        <v>4</v>
      </c>
      <c r="U688" s="12" t="s">
        <v>62</v>
      </c>
      <c r="V688" s="12">
        <v>0</v>
      </c>
      <c r="W688" s="12">
        <v>59</v>
      </c>
      <c r="X688" s="12">
        <v>3</v>
      </c>
      <c r="Y688" s="12">
        <v>1</v>
      </c>
      <c r="Z688" s="12" t="s">
        <v>67</v>
      </c>
      <c r="AA688" s="12">
        <v>0</v>
      </c>
      <c r="AB688" s="12">
        <v>0</v>
      </c>
      <c r="AC688" s="12">
        <v>1</v>
      </c>
      <c r="AD688" s="12">
        <v>0</v>
      </c>
      <c r="AE688" s="12">
        <v>0</v>
      </c>
      <c r="AF688" s="12">
        <v>0</v>
      </c>
      <c r="AG688" s="12">
        <v>0</v>
      </c>
      <c r="AH688" s="12">
        <v>0</v>
      </c>
      <c r="AI688" s="12">
        <v>1</v>
      </c>
      <c r="AJ688" s="12" t="s">
        <v>57</v>
      </c>
      <c r="AK688" s="12">
        <v>1</v>
      </c>
      <c r="AL688" s="12">
        <v>0</v>
      </c>
      <c r="AM688" s="12">
        <v>4721</v>
      </c>
      <c r="AN688" s="12">
        <f t="shared" si="152"/>
        <v>4721</v>
      </c>
      <c r="AO688" s="12">
        <v>2</v>
      </c>
      <c r="AP688" s="12" t="s">
        <v>52</v>
      </c>
      <c r="AQ688" s="12">
        <v>1</v>
      </c>
      <c r="AR688" s="12">
        <v>13</v>
      </c>
      <c r="AS688" s="12">
        <v>3</v>
      </c>
      <c r="AT688" s="12">
        <v>3</v>
      </c>
      <c r="AU688" s="12">
        <v>0</v>
      </c>
      <c r="AV688" s="12">
        <v>20</v>
      </c>
      <c r="AW688" s="12">
        <f t="shared" si="153"/>
        <v>20</v>
      </c>
      <c r="AX688" s="12">
        <v>3</v>
      </c>
      <c r="AY688" s="12">
        <v>3</v>
      </c>
      <c r="AZ688" s="12">
        <v>18</v>
      </c>
      <c r="BA688" s="12">
        <f t="shared" si="154"/>
        <v>18</v>
      </c>
      <c r="BB688" s="12">
        <v>13</v>
      </c>
      <c r="BC688" s="12">
        <v>2</v>
      </c>
      <c r="BD688" s="12">
        <f t="shared" si="163"/>
        <v>2</v>
      </c>
      <c r="BE688" s="12">
        <v>17</v>
      </c>
      <c r="BF688" s="12">
        <f t="shared" si="155"/>
        <v>14</v>
      </c>
      <c r="BG688" s="12">
        <f t="shared" si="164"/>
        <v>14</v>
      </c>
      <c r="BH688" s="67">
        <v>1</v>
      </c>
      <c r="BI688" s="67">
        <v>0</v>
      </c>
      <c r="BJ688" s="67">
        <v>0</v>
      </c>
      <c r="BK688" s="67">
        <v>0</v>
      </c>
      <c r="BL688" s="67">
        <v>0</v>
      </c>
      <c r="BM688" s="67">
        <v>1</v>
      </c>
      <c r="BN688" s="67">
        <v>0</v>
      </c>
      <c r="BO688" s="67">
        <v>0</v>
      </c>
      <c r="BP688" s="67">
        <v>0</v>
      </c>
      <c r="BQ688" s="67">
        <v>14</v>
      </c>
      <c r="BR688" s="67">
        <v>0</v>
      </c>
      <c r="BS688" s="67">
        <v>0</v>
      </c>
      <c r="BT688" s="67">
        <v>20</v>
      </c>
      <c r="BU688" s="70">
        <v>0</v>
      </c>
      <c r="BV688" s="29">
        <f t="shared" si="156"/>
        <v>0.37849355349104036</v>
      </c>
      <c r="BW688">
        <f t="shared" si="157"/>
        <v>3.6088507594124417</v>
      </c>
      <c r="BX688">
        <f t="shared" si="158"/>
        <v>1.120762479521457</v>
      </c>
      <c r="BY688">
        <f t="shared" si="159"/>
        <v>1.794138840739361</v>
      </c>
      <c r="BZ688">
        <f t="shared" si="160"/>
        <v>0.39380416832397891</v>
      </c>
      <c r="CA688">
        <f t="shared" si="161"/>
        <v>0.4461985578408646</v>
      </c>
      <c r="CB688">
        <f t="shared" si="162"/>
        <v>5.8265062631872602E-2</v>
      </c>
    </row>
    <row r="689" spans="1:80" x14ac:dyDescent="0.45">
      <c r="A689" s="11">
        <v>36</v>
      </c>
      <c r="B689" s="12">
        <f t="shared" si="150"/>
        <v>36</v>
      </c>
      <c r="C689" s="12" t="s">
        <v>59</v>
      </c>
      <c r="D689" s="12">
        <v>0</v>
      </c>
      <c r="E689" s="12" t="s">
        <v>53</v>
      </c>
      <c r="F689" s="12">
        <v>0</v>
      </c>
      <c r="G689" s="12">
        <v>1</v>
      </c>
      <c r="H689" s="12" t="s">
        <v>61</v>
      </c>
      <c r="I689" s="12">
        <v>1</v>
      </c>
      <c r="J689" s="12">
        <v>0</v>
      </c>
      <c r="K689" s="12">
        <v>2</v>
      </c>
      <c r="L689" s="12">
        <f t="shared" si="151"/>
        <v>2</v>
      </c>
      <c r="M689" s="12">
        <v>4</v>
      </c>
      <c r="N689" s="12" t="s">
        <v>70</v>
      </c>
      <c r="O689" s="12">
        <v>0</v>
      </c>
      <c r="P689" s="12">
        <v>0</v>
      </c>
      <c r="Q689" s="12">
        <v>1</v>
      </c>
      <c r="R689" s="12">
        <v>0</v>
      </c>
      <c r="S689" s="12">
        <v>0</v>
      </c>
      <c r="T689" s="12">
        <v>3</v>
      </c>
      <c r="U689" s="12" t="s">
        <v>62</v>
      </c>
      <c r="V689" s="12">
        <v>0</v>
      </c>
      <c r="W689" s="12">
        <v>79</v>
      </c>
      <c r="X689" s="12">
        <v>3</v>
      </c>
      <c r="Y689" s="12">
        <v>1</v>
      </c>
      <c r="Z689" s="12" t="s">
        <v>67</v>
      </c>
      <c r="AA689" s="12">
        <v>0</v>
      </c>
      <c r="AB689" s="12">
        <v>0</v>
      </c>
      <c r="AC689" s="12">
        <v>1</v>
      </c>
      <c r="AD689" s="12">
        <v>0</v>
      </c>
      <c r="AE689" s="12">
        <v>0</v>
      </c>
      <c r="AF689" s="12">
        <v>0</v>
      </c>
      <c r="AG689" s="12">
        <v>0</v>
      </c>
      <c r="AH689" s="12">
        <v>0</v>
      </c>
      <c r="AI689" s="12">
        <v>3</v>
      </c>
      <c r="AJ689" s="12" t="s">
        <v>57</v>
      </c>
      <c r="AK689" s="12">
        <v>1</v>
      </c>
      <c r="AL689" s="12">
        <v>0</v>
      </c>
      <c r="AM689" s="12">
        <v>2519</v>
      </c>
      <c r="AN689" s="12">
        <f t="shared" si="152"/>
        <v>2519</v>
      </c>
      <c r="AO689" s="12">
        <v>4</v>
      </c>
      <c r="AP689" s="12" t="s">
        <v>59</v>
      </c>
      <c r="AQ689" s="12">
        <v>0</v>
      </c>
      <c r="AR689" s="12">
        <v>21</v>
      </c>
      <c r="AS689" s="12">
        <v>4</v>
      </c>
      <c r="AT689" s="12">
        <v>3</v>
      </c>
      <c r="AU689" s="12">
        <v>0</v>
      </c>
      <c r="AV689" s="12">
        <v>16</v>
      </c>
      <c r="AW689" s="12">
        <f t="shared" si="153"/>
        <v>16</v>
      </c>
      <c r="AX689" s="12">
        <v>6</v>
      </c>
      <c r="AY689" s="12">
        <v>3</v>
      </c>
      <c r="AZ689" s="12">
        <v>11</v>
      </c>
      <c r="BA689" s="12">
        <f t="shared" si="154"/>
        <v>11</v>
      </c>
      <c r="BB689" s="12">
        <v>8</v>
      </c>
      <c r="BC689" s="12">
        <v>3</v>
      </c>
      <c r="BD689" s="12">
        <f t="shared" si="163"/>
        <v>3</v>
      </c>
      <c r="BE689" s="12">
        <v>9</v>
      </c>
      <c r="BF689" s="12">
        <f t="shared" si="155"/>
        <v>9</v>
      </c>
      <c r="BG689" s="12">
        <f t="shared" si="164"/>
        <v>9</v>
      </c>
      <c r="BH689" s="67">
        <v>1</v>
      </c>
      <c r="BI689" s="67">
        <v>0</v>
      </c>
      <c r="BJ689" s="67">
        <v>0</v>
      </c>
      <c r="BK689" s="67">
        <v>0</v>
      </c>
      <c r="BL689" s="67">
        <v>1</v>
      </c>
      <c r="BM689" s="67">
        <v>0</v>
      </c>
      <c r="BN689" s="67">
        <v>0</v>
      </c>
      <c r="BO689" s="67">
        <v>0</v>
      </c>
      <c r="BP689" s="67">
        <v>0</v>
      </c>
      <c r="BQ689" s="67">
        <v>9</v>
      </c>
      <c r="BR689" s="67">
        <v>0</v>
      </c>
      <c r="BS689" s="67">
        <v>0</v>
      </c>
      <c r="BT689" s="67">
        <v>16</v>
      </c>
      <c r="BU689" s="70">
        <v>0</v>
      </c>
      <c r="BV689" s="29">
        <f t="shared" si="156"/>
        <v>0.8462123753598787</v>
      </c>
      <c r="BW689">
        <f t="shared" si="157"/>
        <v>1.3667838287404401</v>
      </c>
      <c r="BX689">
        <f t="shared" si="158"/>
        <v>0.60667531362816052</v>
      </c>
      <c r="BY689">
        <f t="shared" si="159"/>
        <v>0.65156620358080031</v>
      </c>
      <c r="BZ689">
        <f t="shared" si="160"/>
        <v>0.88721318382472392</v>
      </c>
      <c r="CA689">
        <f t="shared" si="161"/>
        <v>0.10112443951066327</v>
      </c>
      <c r="CB689">
        <f t="shared" si="162"/>
        <v>0.2520597274726662</v>
      </c>
    </row>
    <row r="690" spans="1:80" x14ac:dyDescent="0.45">
      <c r="A690" s="11">
        <v>19</v>
      </c>
      <c r="B690" s="12">
        <f t="shared" si="150"/>
        <v>19</v>
      </c>
      <c r="C690" s="12" t="s">
        <v>52</v>
      </c>
      <c r="D690" s="12">
        <v>1</v>
      </c>
      <c r="E690" s="12" t="s">
        <v>53</v>
      </c>
      <c r="F690" s="12">
        <v>0</v>
      </c>
      <c r="G690" s="12">
        <v>1</v>
      </c>
      <c r="H690" s="12" t="s">
        <v>54</v>
      </c>
      <c r="I690" s="12">
        <v>0</v>
      </c>
      <c r="J690" s="12">
        <v>1</v>
      </c>
      <c r="K690" s="12">
        <v>21</v>
      </c>
      <c r="L690" s="12">
        <f t="shared" si="151"/>
        <v>21</v>
      </c>
      <c r="M690" s="12">
        <v>3</v>
      </c>
      <c r="N690" s="12" t="s">
        <v>66</v>
      </c>
      <c r="O690" s="12">
        <v>0</v>
      </c>
      <c r="P690" s="12">
        <v>1</v>
      </c>
      <c r="Q690" s="12">
        <v>0</v>
      </c>
      <c r="R690" s="12">
        <v>0</v>
      </c>
      <c r="S690" s="12">
        <v>0</v>
      </c>
      <c r="T690" s="12">
        <v>4</v>
      </c>
      <c r="U690" s="12" t="s">
        <v>62</v>
      </c>
      <c r="V690" s="12">
        <v>0</v>
      </c>
      <c r="W690" s="12">
        <v>37</v>
      </c>
      <c r="X690" s="12">
        <v>2</v>
      </c>
      <c r="Y690" s="12">
        <v>1</v>
      </c>
      <c r="Z690" s="12" t="s">
        <v>88</v>
      </c>
      <c r="AA690" s="12">
        <v>0</v>
      </c>
      <c r="AB690" s="12">
        <v>0</v>
      </c>
      <c r="AC690" s="12">
        <v>0</v>
      </c>
      <c r="AD690" s="12">
        <v>0</v>
      </c>
      <c r="AE690" s="12">
        <v>0</v>
      </c>
      <c r="AF690" s="12">
        <v>0</v>
      </c>
      <c r="AG690" s="12">
        <v>1</v>
      </c>
      <c r="AH690" s="12">
        <v>0</v>
      </c>
      <c r="AI690" s="12">
        <v>2</v>
      </c>
      <c r="AJ690" s="12" t="s">
        <v>57</v>
      </c>
      <c r="AK690" s="12">
        <v>1</v>
      </c>
      <c r="AL690" s="12">
        <v>0</v>
      </c>
      <c r="AM690" s="12">
        <v>2121</v>
      </c>
      <c r="AN690" s="12">
        <f t="shared" si="152"/>
        <v>2121</v>
      </c>
      <c r="AO690" s="12">
        <v>1</v>
      </c>
      <c r="AP690" s="12" t="s">
        <v>52</v>
      </c>
      <c r="AQ690" s="12">
        <v>1</v>
      </c>
      <c r="AR690" s="12">
        <v>13</v>
      </c>
      <c r="AS690" s="12">
        <v>3</v>
      </c>
      <c r="AT690" s="12">
        <v>2</v>
      </c>
      <c r="AU690" s="12">
        <v>0</v>
      </c>
      <c r="AV690" s="12">
        <v>1</v>
      </c>
      <c r="AW690" s="12">
        <f t="shared" si="153"/>
        <v>1</v>
      </c>
      <c r="AX690" s="12">
        <v>3</v>
      </c>
      <c r="AY690" s="12">
        <v>4</v>
      </c>
      <c r="AZ690" s="12">
        <v>1</v>
      </c>
      <c r="BA690" s="12">
        <f t="shared" si="154"/>
        <v>1</v>
      </c>
      <c r="BB690" s="12">
        <v>0</v>
      </c>
      <c r="BC690" s="12">
        <v>0</v>
      </c>
      <c r="BD690" s="12">
        <f t="shared" si="163"/>
        <v>0</v>
      </c>
      <c r="BE690" s="12">
        <v>0</v>
      </c>
      <c r="BF690" s="12">
        <f t="shared" si="155"/>
        <v>0</v>
      </c>
      <c r="BG690" s="12">
        <f t="shared" si="164"/>
        <v>0</v>
      </c>
      <c r="BH690" s="67">
        <v>1</v>
      </c>
      <c r="BI690" s="67">
        <v>0</v>
      </c>
      <c r="BJ690" s="67">
        <v>0</v>
      </c>
      <c r="BK690" s="67">
        <v>0</v>
      </c>
      <c r="BL690" s="67">
        <v>0</v>
      </c>
      <c r="BM690" s="67">
        <v>1</v>
      </c>
      <c r="BN690" s="67">
        <v>0</v>
      </c>
      <c r="BO690" s="67">
        <v>0</v>
      </c>
      <c r="BP690" s="67">
        <v>0</v>
      </c>
      <c r="BQ690" s="67">
        <v>0</v>
      </c>
      <c r="BR690" s="67">
        <v>0</v>
      </c>
      <c r="BS690" s="67">
        <v>0</v>
      </c>
      <c r="BT690" s="67">
        <v>0</v>
      </c>
      <c r="BU690" s="70">
        <v>1</v>
      </c>
      <c r="BV690" s="29">
        <f t="shared" si="156"/>
        <v>0.93075010973944172</v>
      </c>
      <c r="BW690">
        <f t="shared" si="157"/>
        <v>1.1555414682655611</v>
      </c>
      <c r="BX690">
        <f t="shared" si="158"/>
        <v>1.3211515584717011</v>
      </c>
      <c r="BY690">
        <f t="shared" si="159"/>
        <v>0.9806804209314296</v>
      </c>
      <c r="BZ690">
        <f t="shared" si="160"/>
        <v>1.4564796398038149</v>
      </c>
      <c r="CA690">
        <f t="shared" si="161"/>
        <v>1.9620226305058581</v>
      </c>
      <c r="CB690">
        <f t="shared" si="162"/>
        <v>0.67891464284095016</v>
      </c>
    </row>
    <row r="691" spans="1:80" x14ac:dyDescent="0.45">
      <c r="A691" s="11">
        <v>20</v>
      </c>
      <c r="B691" s="12">
        <f t="shared" si="150"/>
        <v>20</v>
      </c>
      <c r="C691" s="12" t="s">
        <v>52</v>
      </c>
      <c r="D691" s="12">
        <v>1</v>
      </c>
      <c r="E691" s="12" t="s">
        <v>53</v>
      </c>
      <c r="F691" s="12">
        <v>0</v>
      </c>
      <c r="G691" s="12">
        <v>1</v>
      </c>
      <c r="H691" s="12" t="s">
        <v>61</v>
      </c>
      <c r="I691" s="12">
        <v>1</v>
      </c>
      <c r="J691" s="12">
        <v>0</v>
      </c>
      <c r="K691" s="12">
        <v>4</v>
      </c>
      <c r="L691" s="12">
        <f t="shared" si="151"/>
        <v>4</v>
      </c>
      <c r="M691" s="12">
        <v>3</v>
      </c>
      <c r="N691" s="12" t="s">
        <v>91</v>
      </c>
      <c r="O691" s="12">
        <v>0</v>
      </c>
      <c r="P691" s="12">
        <v>0</v>
      </c>
      <c r="Q691" s="12">
        <v>0</v>
      </c>
      <c r="R691" s="12">
        <v>0</v>
      </c>
      <c r="S691" s="12">
        <v>1</v>
      </c>
      <c r="T691" s="12">
        <v>1</v>
      </c>
      <c r="U691" s="12" t="s">
        <v>62</v>
      </c>
      <c r="V691" s="12">
        <v>0</v>
      </c>
      <c r="W691" s="12">
        <v>84</v>
      </c>
      <c r="X691" s="12">
        <v>3</v>
      </c>
      <c r="Y691" s="12">
        <v>1</v>
      </c>
      <c r="Z691" s="12" t="s">
        <v>67</v>
      </c>
      <c r="AA691" s="12">
        <v>0</v>
      </c>
      <c r="AB691" s="12">
        <v>0</v>
      </c>
      <c r="AC691" s="12">
        <v>1</v>
      </c>
      <c r="AD691" s="12">
        <v>0</v>
      </c>
      <c r="AE691" s="12">
        <v>0</v>
      </c>
      <c r="AF691" s="12">
        <v>0</v>
      </c>
      <c r="AG691" s="12">
        <v>0</v>
      </c>
      <c r="AH691" s="12">
        <v>0</v>
      </c>
      <c r="AI691" s="12">
        <v>1</v>
      </c>
      <c r="AJ691" s="12" t="s">
        <v>57</v>
      </c>
      <c r="AK691" s="12">
        <v>1</v>
      </c>
      <c r="AL691" s="12">
        <v>0</v>
      </c>
      <c r="AM691" s="12">
        <v>2973</v>
      </c>
      <c r="AN691" s="12">
        <f t="shared" si="152"/>
        <v>2973</v>
      </c>
      <c r="AO691" s="12">
        <v>1</v>
      </c>
      <c r="AP691" s="12" t="s">
        <v>59</v>
      </c>
      <c r="AQ691" s="12">
        <v>0</v>
      </c>
      <c r="AR691" s="12">
        <v>19</v>
      </c>
      <c r="AS691" s="12">
        <v>3</v>
      </c>
      <c r="AT691" s="12">
        <v>2</v>
      </c>
      <c r="AU691" s="12">
        <v>0</v>
      </c>
      <c r="AV691" s="12">
        <v>1</v>
      </c>
      <c r="AW691" s="12">
        <f t="shared" si="153"/>
        <v>1</v>
      </c>
      <c r="AX691" s="12">
        <v>2</v>
      </c>
      <c r="AY691" s="12">
        <v>3</v>
      </c>
      <c r="AZ691" s="12">
        <v>1</v>
      </c>
      <c r="BA691" s="12">
        <f t="shared" si="154"/>
        <v>1</v>
      </c>
      <c r="BB691" s="12">
        <v>0</v>
      </c>
      <c r="BC691" s="12">
        <v>0</v>
      </c>
      <c r="BD691" s="12">
        <f t="shared" si="163"/>
        <v>0</v>
      </c>
      <c r="BE691" s="12">
        <v>0</v>
      </c>
      <c r="BF691" s="12">
        <f t="shared" si="155"/>
        <v>0</v>
      </c>
      <c r="BG691" s="12">
        <f t="shared" si="164"/>
        <v>0</v>
      </c>
      <c r="BH691" s="67">
        <v>1</v>
      </c>
      <c r="BI691" s="67">
        <v>0</v>
      </c>
      <c r="BJ691" s="67">
        <v>0</v>
      </c>
      <c r="BK691" s="67">
        <v>0</v>
      </c>
      <c r="BL691" s="67">
        <v>1</v>
      </c>
      <c r="BM691" s="67">
        <v>0</v>
      </c>
      <c r="BN691" s="67">
        <v>0</v>
      </c>
      <c r="BO691" s="67">
        <v>0</v>
      </c>
      <c r="BP691" s="67">
        <v>0</v>
      </c>
      <c r="BQ691" s="67">
        <v>0</v>
      </c>
      <c r="BR691" s="67">
        <v>0</v>
      </c>
      <c r="BS691" s="67">
        <v>0</v>
      </c>
      <c r="BT691" s="67">
        <v>1</v>
      </c>
      <c r="BU691" s="70">
        <v>0</v>
      </c>
      <c r="BV691" s="29">
        <f t="shared" si="156"/>
        <v>0.7497798843841964</v>
      </c>
      <c r="BW691">
        <f t="shared" si="157"/>
        <v>1.1555414682655611</v>
      </c>
      <c r="BX691">
        <f t="shared" si="158"/>
        <v>1.3211515584717011</v>
      </c>
      <c r="BY691">
        <f t="shared" si="159"/>
        <v>0.9806804209314296</v>
      </c>
      <c r="BZ691">
        <f t="shared" si="160"/>
        <v>0.64050867607435136</v>
      </c>
      <c r="CA691">
        <f t="shared" si="161"/>
        <v>1.8525580310355525</v>
      </c>
      <c r="CB691">
        <f t="shared" si="162"/>
        <v>0.67891464284095016</v>
      </c>
    </row>
    <row r="692" spans="1:80" x14ac:dyDescent="0.45">
      <c r="A692" s="11">
        <v>31</v>
      </c>
      <c r="B692" s="12">
        <f t="shared" si="150"/>
        <v>31</v>
      </c>
      <c r="C692" s="12" t="s">
        <v>59</v>
      </c>
      <c r="D692" s="12">
        <v>0</v>
      </c>
      <c r="E692" s="12" t="s">
        <v>53</v>
      </c>
      <c r="F692" s="12">
        <v>0</v>
      </c>
      <c r="G692" s="12">
        <v>1</v>
      </c>
      <c r="H692" s="12" t="s">
        <v>61</v>
      </c>
      <c r="I692" s="12">
        <v>1</v>
      </c>
      <c r="J692" s="12">
        <v>0</v>
      </c>
      <c r="K692" s="12">
        <v>12</v>
      </c>
      <c r="L692" s="12">
        <f t="shared" si="151"/>
        <v>12</v>
      </c>
      <c r="M692" s="12">
        <v>3</v>
      </c>
      <c r="N692" s="12" t="s">
        <v>70</v>
      </c>
      <c r="O692" s="12">
        <v>0</v>
      </c>
      <c r="P692" s="12">
        <v>0</v>
      </c>
      <c r="Q692" s="12">
        <v>1</v>
      </c>
      <c r="R692" s="12">
        <v>0</v>
      </c>
      <c r="S692" s="12">
        <v>0</v>
      </c>
      <c r="T692" s="12">
        <v>4</v>
      </c>
      <c r="U692" s="12" t="s">
        <v>19</v>
      </c>
      <c r="V692" s="12">
        <v>1</v>
      </c>
      <c r="W692" s="12">
        <v>41</v>
      </c>
      <c r="X692" s="12">
        <v>3</v>
      </c>
      <c r="Y692" s="12">
        <v>2</v>
      </c>
      <c r="Z692" s="12" t="s">
        <v>85</v>
      </c>
      <c r="AA692" s="12">
        <v>1</v>
      </c>
      <c r="AB692" s="12">
        <v>0</v>
      </c>
      <c r="AC692" s="12">
        <v>0</v>
      </c>
      <c r="AD692" s="12">
        <v>0</v>
      </c>
      <c r="AE692" s="12">
        <v>0</v>
      </c>
      <c r="AF692" s="12">
        <v>0</v>
      </c>
      <c r="AG692" s="12">
        <v>0</v>
      </c>
      <c r="AH692" s="12">
        <v>0</v>
      </c>
      <c r="AI692" s="12">
        <v>4</v>
      </c>
      <c r="AJ692" s="12" t="s">
        <v>64</v>
      </c>
      <c r="AK692" s="12">
        <v>0</v>
      </c>
      <c r="AL692" s="12">
        <v>1</v>
      </c>
      <c r="AM692" s="12">
        <v>5855</v>
      </c>
      <c r="AN692" s="12">
        <f t="shared" si="152"/>
        <v>5855</v>
      </c>
      <c r="AO692" s="12">
        <v>0</v>
      </c>
      <c r="AP692" s="12" t="s">
        <v>52</v>
      </c>
      <c r="AQ692" s="12">
        <v>1</v>
      </c>
      <c r="AR692" s="12">
        <v>11</v>
      </c>
      <c r="AS692" s="12">
        <v>3</v>
      </c>
      <c r="AT692" s="12">
        <v>3</v>
      </c>
      <c r="AU692" s="12">
        <v>2</v>
      </c>
      <c r="AV692" s="12">
        <v>10</v>
      </c>
      <c r="AW692" s="12">
        <f t="shared" si="153"/>
        <v>10</v>
      </c>
      <c r="AX692" s="12">
        <v>2</v>
      </c>
      <c r="AY692" s="12">
        <v>1</v>
      </c>
      <c r="AZ692" s="12">
        <v>9</v>
      </c>
      <c r="BA692" s="12">
        <f t="shared" si="154"/>
        <v>9</v>
      </c>
      <c r="BB692" s="12">
        <v>7</v>
      </c>
      <c r="BC692" s="12">
        <v>8</v>
      </c>
      <c r="BD692" s="12">
        <f t="shared" si="163"/>
        <v>8</v>
      </c>
      <c r="BE692" s="12">
        <v>5</v>
      </c>
      <c r="BF692" s="12">
        <f t="shared" si="155"/>
        <v>5</v>
      </c>
      <c r="BG692" s="12">
        <f t="shared" si="164"/>
        <v>10</v>
      </c>
      <c r="BH692" s="67">
        <v>0</v>
      </c>
      <c r="BI692" s="67">
        <v>1</v>
      </c>
      <c r="BJ692" s="67">
        <v>0</v>
      </c>
      <c r="BK692" s="67">
        <v>0</v>
      </c>
      <c r="BL692" s="67">
        <v>0</v>
      </c>
      <c r="BM692" s="67">
        <v>0</v>
      </c>
      <c r="BN692" s="67">
        <v>0</v>
      </c>
      <c r="BO692" s="67">
        <v>1</v>
      </c>
      <c r="BP692" s="67">
        <v>0</v>
      </c>
      <c r="BQ692" s="67">
        <v>5</v>
      </c>
      <c r="BR692" s="67">
        <v>0</v>
      </c>
      <c r="BS692" s="67">
        <v>0</v>
      </c>
      <c r="BT692" s="67">
        <v>10</v>
      </c>
      <c r="BU692" s="70">
        <v>0</v>
      </c>
      <c r="BV692" s="29">
        <f t="shared" si="156"/>
        <v>0.13762473241962225</v>
      </c>
      <c r="BW692">
        <f t="shared" si="157"/>
        <v>0.24575036340443959</v>
      </c>
      <c r="BX692">
        <f t="shared" si="158"/>
        <v>0.1644554352117841</v>
      </c>
      <c r="BY692">
        <f t="shared" si="159"/>
        <v>0.32511687867835437</v>
      </c>
      <c r="BZ692">
        <f t="shared" si="160"/>
        <v>0.3463093549271386</v>
      </c>
      <c r="CA692">
        <f t="shared" si="161"/>
        <v>0.6484474368621912</v>
      </c>
      <c r="CB692">
        <f t="shared" si="162"/>
        <v>1.8036836779953602</v>
      </c>
    </row>
    <row r="693" spans="1:80" x14ac:dyDescent="0.45">
      <c r="A693" s="11">
        <v>40</v>
      </c>
      <c r="B693" s="12">
        <f t="shared" si="150"/>
        <v>40</v>
      </c>
      <c r="C693" s="12" t="s">
        <v>59</v>
      </c>
      <c r="D693" s="12">
        <v>0</v>
      </c>
      <c r="E693" s="12" t="s">
        <v>60</v>
      </c>
      <c r="F693" s="12">
        <v>1</v>
      </c>
      <c r="G693" s="12">
        <v>0</v>
      </c>
      <c r="H693" s="12" t="s">
        <v>61</v>
      </c>
      <c r="I693" s="12">
        <v>1</v>
      </c>
      <c r="J693" s="12">
        <v>0</v>
      </c>
      <c r="K693" s="12">
        <v>9</v>
      </c>
      <c r="L693" s="12">
        <f t="shared" si="151"/>
        <v>9</v>
      </c>
      <c r="M693" s="12">
        <v>4</v>
      </c>
      <c r="N693" s="12" t="s">
        <v>70</v>
      </c>
      <c r="O693" s="12">
        <v>0</v>
      </c>
      <c r="P693" s="12">
        <v>0</v>
      </c>
      <c r="Q693" s="12">
        <v>1</v>
      </c>
      <c r="R693" s="12">
        <v>0</v>
      </c>
      <c r="S693" s="12">
        <v>0</v>
      </c>
      <c r="T693" s="12">
        <v>4</v>
      </c>
      <c r="U693" s="12" t="s">
        <v>62</v>
      </c>
      <c r="V693" s="12">
        <v>0</v>
      </c>
      <c r="W693" s="12">
        <v>35</v>
      </c>
      <c r="X693" s="12">
        <v>3</v>
      </c>
      <c r="Y693" s="12">
        <v>1</v>
      </c>
      <c r="Z693" s="12" t="s">
        <v>63</v>
      </c>
      <c r="AA693" s="12">
        <v>0</v>
      </c>
      <c r="AB693" s="12">
        <v>0</v>
      </c>
      <c r="AC693" s="12">
        <v>0</v>
      </c>
      <c r="AD693" s="12">
        <v>0</v>
      </c>
      <c r="AE693" s="12">
        <v>0</v>
      </c>
      <c r="AF693" s="12">
        <v>0</v>
      </c>
      <c r="AG693" s="12">
        <v>0</v>
      </c>
      <c r="AH693" s="12">
        <v>1</v>
      </c>
      <c r="AI693" s="12">
        <v>2</v>
      </c>
      <c r="AJ693" s="12" t="s">
        <v>78</v>
      </c>
      <c r="AK693" s="12">
        <v>0</v>
      </c>
      <c r="AL693" s="12">
        <v>0</v>
      </c>
      <c r="AM693" s="12">
        <v>3617</v>
      </c>
      <c r="AN693" s="12">
        <f t="shared" si="152"/>
        <v>3617</v>
      </c>
      <c r="AO693" s="12">
        <v>8</v>
      </c>
      <c r="AP693" s="12" t="s">
        <v>52</v>
      </c>
      <c r="AQ693" s="12">
        <v>1</v>
      </c>
      <c r="AR693" s="12">
        <v>14</v>
      </c>
      <c r="AS693" s="12">
        <v>3</v>
      </c>
      <c r="AT693" s="12">
        <v>4</v>
      </c>
      <c r="AU693" s="12">
        <v>1</v>
      </c>
      <c r="AV693" s="12">
        <v>3</v>
      </c>
      <c r="AW693" s="12">
        <f t="shared" si="153"/>
        <v>3</v>
      </c>
      <c r="AX693" s="12">
        <v>2</v>
      </c>
      <c r="AY693" s="12">
        <v>3</v>
      </c>
      <c r="AZ693" s="12">
        <v>1</v>
      </c>
      <c r="BA693" s="12">
        <f t="shared" si="154"/>
        <v>1</v>
      </c>
      <c r="BB693" s="12">
        <v>1</v>
      </c>
      <c r="BC693" s="12">
        <v>0</v>
      </c>
      <c r="BD693" s="12">
        <f t="shared" si="163"/>
        <v>0</v>
      </c>
      <c r="BE693" s="12">
        <v>0</v>
      </c>
      <c r="BF693" s="12">
        <f t="shared" si="155"/>
        <v>0</v>
      </c>
      <c r="BG693" s="12">
        <f t="shared" si="164"/>
        <v>0</v>
      </c>
      <c r="BH693" s="67">
        <v>0</v>
      </c>
      <c r="BI693" s="67">
        <v>0</v>
      </c>
      <c r="BJ693" s="67">
        <v>1</v>
      </c>
      <c r="BK693" s="67">
        <v>0</v>
      </c>
      <c r="BL693" s="67">
        <v>0</v>
      </c>
      <c r="BM693" s="67">
        <v>1</v>
      </c>
      <c r="BN693" s="67">
        <v>0</v>
      </c>
      <c r="BO693" s="67">
        <v>0</v>
      </c>
      <c r="BP693" s="67">
        <v>0</v>
      </c>
      <c r="BQ693" s="67">
        <v>0</v>
      </c>
      <c r="BR693" s="67">
        <v>0</v>
      </c>
      <c r="BS693" s="67">
        <v>0</v>
      </c>
      <c r="BT693" s="67">
        <v>3</v>
      </c>
      <c r="BU693" s="70">
        <v>0</v>
      </c>
      <c r="BV693" s="29">
        <f t="shared" si="156"/>
        <v>0.61299018352882306</v>
      </c>
      <c r="BW693">
        <f t="shared" si="157"/>
        <v>1.1555414682655611</v>
      </c>
      <c r="BX693">
        <f t="shared" si="158"/>
        <v>1.0641079755250529</v>
      </c>
      <c r="BY693">
        <f t="shared" si="159"/>
        <v>0.9806804209314296</v>
      </c>
      <c r="BZ693">
        <f t="shared" si="160"/>
        <v>2.3747406698420157E-2</v>
      </c>
      <c r="CA693">
        <f t="shared" si="161"/>
        <v>0.33673395837055903</v>
      </c>
      <c r="CB693">
        <f t="shared" si="162"/>
        <v>0.67891464284095016</v>
      </c>
    </row>
    <row r="694" spans="1:80" x14ac:dyDescent="0.45">
      <c r="A694" s="11">
        <v>32</v>
      </c>
      <c r="B694" s="12">
        <f t="shared" si="150"/>
        <v>32</v>
      </c>
      <c r="C694" s="12" t="s">
        <v>59</v>
      </c>
      <c r="D694" s="12">
        <v>0</v>
      </c>
      <c r="E694" s="12" t="s">
        <v>53</v>
      </c>
      <c r="F694" s="12">
        <v>0</v>
      </c>
      <c r="G694" s="12">
        <v>1</v>
      </c>
      <c r="H694" s="12" t="s">
        <v>61</v>
      </c>
      <c r="I694" s="12">
        <v>1</v>
      </c>
      <c r="J694" s="12">
        <v>0</v>
      </c>
      <c r="K694" s="12">
        <v>3</v>
      </c>
      <c r="L694" s="12">
        <f t="shared" si="151"/>
        <v>3</v>
      </c>
      <c r="M694" s="12">
        <v>4</v>
      </c>
      <c r="N694" s="12" t="s">
        <v>70</v>
      </c>
      <c r="O694" s="12">
        <v>0</v>
      </c>
      <c r="P694" s="12">
        <v>0</v>
      </c>
      <c r="Q694" s="12">
        <v>1</v>
      </c>
      <c r="R694" s="12">
        <v>0</v>
      </c>
      <c r="S694" s="12">
        <v>0</v>
      </c>
      <c r="T694" s="12">
        <v>3</v>
      </c>
      <c r="U694" s="12" t="s">
        <v>19</v>
      </c>
      <c r="V694" s="12">
        <v>1</v>
      </c>
      <c r="W694" s="12">
        <v>93</v>
      </c>
      <c r="X694" s="12">
        <v>3</v>
      </c>
      <c r="Y694" s="12">
        <v>2</v>
      </c>
      <c r="Z694" s="12" t="s">
        <v>83</v>
      </c>
      <c r="AA694" s="12">
        <v>0</v>
      </c>
      <c r="AB694" s="12">
        <v>0</v>
      </c>
      <c r="AC694" s="12">
        <v>0</v>
      </c>
      <c r="AD694" s="12">
        <v>0</v>
      </c>
      <c r="AE694" s="12">
        <v>1</v>
      </c>
      <c r="AF694" s="12">
        <v>1</v>
      </c>
      <c r="AG694" s="12">
        <v>0</v>
      </c>
      <c r="AH694" s="12">
        <v>0</v>
      </c>
      <c r="AI694" s="12">
        <v>1</v>
      </c>
      <c r="AJ694" s="12" t="s">
        <v>64</v>
      </c>
      <c r="AK694" s="12">
        <v>0</v>
      </c>
      <c r="AL694" s="12">
        <v>1</v>
      </c>
      <c r="AM694" s="12">
        <v>6725</v>
      </c>
      <c r="AN694" s="12">
        <f t="shared" si="152"/>
        <v>6725</v>
      </c>
      <c r="AO694" s="12">
        <v>1</v>
      </c>
      <c r="AP694" s="12" t="s">
        <v>59</v>
      </c>
      <c r="AQ694" s="12">
        <v>0</v>
      </c>
      <c r="AR694" s="12">
        <v>12</v>
      </c>
      <c r="AS694" s="12">
        <v>3</v>
      </c>
      <c r="AT694" s="12">
        <v>3</v>
      </c>
      <c r="AU694" s="12">
        <v>1</v>
      </c>
      <c r="AV694" s="12">
        <v>8</v>
      </c>
      <c r="AW694" s="12">
        <f t="shared" si="153"/>
        <v>8</v>
      </c>
      <c r="AX694" s="12">
        <v>2</v>
      </c>
      <c r="AY694" s="12">
        <v>4</v>
      </c>
      <c r="AZ694" s="12">
        <v>8</v>
      </c>
      <c r="BA694" s="12">
        <f t="shared" si="154"/>
        <v>8</v>
      </c>
      <c r="BB694" s="12">
        <v>7</v>
      </c>
      <c r="BC694" s="12">
        <v>6</v>
      </c>
      <c r="BD694" s="12">
        <f t="shared" si="163"/>
        <v>6</v>
      </c>
      <c r="BE694" s="12">
        <v>3</v>
      </c>
      <c r="BF694" s="12">
        <f t="shared" si="155"/>
        <v>3</v>
      </c>
      <c r="BG694" s="12">
        <f t="shared" si="164"/>
        <v>6</v>
      </c>
      <c r="BH694" s="67">
        <v>0</v>
      </c>
      <c r="BI694" s="67">
        <v>1</v>
      </c>
      <c r="BJ694" s="67">
        <v>0</v>
      </c>
      <c r="BK694" s="67">
        <v>0</v>
      </c>
      <c r="BL694" s="67">
        <v>0</v>
      </c>
      <c r="BM694" s="67">
        <v>0</v>
      </c>
      <c r="BN694" s="67">
        <v>1</v>
      </c>
      <c r="BO694" s="67">
        <v>0</v>
      </c>
      <c r="BP694" s="67">
        <v>0</v>
      </c>
      <c r="BQ694" s="67">
        <v>3</v>
      </c>
      <c r="BR694" s="67">
        <v>0</v>
      </c>
      <c r="BS694" s="67">
        <v>0</v>
      </c>
      <c r="BT694" s="67">
        <v>8</v>
      </c>
      <c r="BU694" s="70">
        <v>0</v>
      </c>
      <c r="BV694" s="29">
        <f t="shared" si="156"/>
        <v>4.7168807555804347E-2</v>
      </c>
      <c r="BW694">
        <f t="shared" si="157"/>
        <v>0.31476636926356072</v>
      </c>
      <c r="BX694">
        <f t="shared" si="158"/>
        <v>0.42149901815843233</v>
      </c>
      <c r="BY694">
        <f t="shared" si="159"/>
        <v>0.16189221622713135</v>
      </c>
      <c r="BZ694">
        <f t="shared" si="160"/>
        <v>0.76386092994953758</v>
      </c>
      <c r="CA694">
        <f t="shared" si="161"/>
        <v>0.53898283739188557</v>
      </c>
      <c r="CB694">
        <f t="shared" si="162"/>
        <v>1.1830340977862825</v>
      </c>
    </row>
    <row r="695" spans="1:80" x14ac:dyDescent="0.45">
      <c r="A695" s="11">
        <v>36</v>
      </c>
      <c r="B695" s="12">
        <f t="shared" si="150"/>
        <v>36</v>
      </c>
      <c r="C695" s="12" t="s">
        <v>52</v>
      </c>
      <c r="D695" s="12">
        <v>1</v>
      </c>
      <c r="E695" s="12" t="s">
        <v>53</v>
      </c>
      <c r="F695" s="12">
        <v>0</v>
      </c>
      <c r="G695" s="12">
        <v>1</v>
      </c>
      <c r="H695" s="12" t="s">
        <v>54</v>
      </c>
      <c r="I695" s="12">
        <v>0</v>
      </c>
      <c r="J695" s="12">
        <v>1</v>
      </c>
      <c r="K695" s="12">
        <v>3</v>
      </c>
      <c r="L695" s="12">
        <f t="shared" si="151"/>
        <v>3</v>
      </c>
      <c r="M695" s="12">
        <v>1</v>
      </c>
      <c r="N695" s="12" t="s">
        <v>55</v>
      </c>
      <c r="O695" s="12">
        <v>1</v>
      </c>
      <c r="P695" s="12">
        <v>0</v>
      </c>
      <c r="Q695" s="12">
        <v>0</v>
      </c>
      <c r="R695" s="12">
        <v>0</v>
      </c>
      <c r="S695" s="12">
        <v>0</v>
      </c>
      <c r="T695" s="12">
        <v>3</v>
      </c>
      <c r="U695" s="12" t="s">
        <v>62</v>
      </c>
      <c r="V695" s="12">
        <v>0</v>
      </c>
      <c r="W695" s="12">
        <v>51</v>
      </c>
      <c r="X695" s="12">
        <v>2</v>
      </c>
      <c r="Y695" s="12">
        <v>3</v>
      </c>
      <c r="Z695" s="12" t="s">
        <v>56</v>
      </c>
      <c r="AA695" s="12">
        <v>0</v>
      </c>
      <c r="AB695" s="12">
        <v>1</v>
      </c>
      <c r="AC695" s="12">
        <v>0</v>
      </c>
      <c r="AD695" s="12">
        <v>0</v>
      </c>
      <c r="AE695" s="12">
        <v>0</v>
      </c>
      <c r="AF695" s="12">
        <v>0</v>
      </c>
      <c r="AG695" s="12">
        <v>0</v>
      </c>
      <c r="AH695" s="12">
        <v>0</v>
      </c>
      <c r="AI695" s="12">
        <v>4</v>
      </c>
      <c r="AJ695" s="12" t="s">
        <v>64</v>
      </c>
      <c r="AK695" s="12">
        <v>0</v>
      </c>
      <c r="AL695" s="12">
        <v>1</v>
      </c>
      <c r="AM695" s="12">
        <v>10325</v>
      </c>
      <c r="AN695" s="12">
        <f t="shared" si="152"/>
        <v>10325</v>
      </c>
      <c r="AO695" s="12">
        <v>1</v>
      </c>
      <c r="AP695" s="12" t="s">
        <v>52</v>
      </c>
      <c r="AQ695" s="12">
        <v>1</v>
      </c>
      <c r="AR695" s="12">
        <v>11</v>
      </c>
      <c r="AS695" s="12">
        <v>3</v>
      </c>
      <c r="AT695" s="12">
        <v>1</v>
      </c>
      <c r="AU695" s="12">
        <v>1</v>
      </c>
      <c r="AV695" s="12">
        <v>16</v>
      </c>
      <c r="AW695" s="12">
        <f t="shared" si="153"/>
        <v>16</v>
      </c>
      <c r="AX695" s="12">
        <v>6</v>
      </c>
      <c r="AY695" s="12">
        <v>3</v>
      </c>
      <c r="AZ695" s="12">
        <v>16</v>
      </c>
      <c r="BA695" s="12">
        <f t="shared" si="154"/>
        <v>16</v>
      </c>
      <c r="BB695" s="12">
        <v>7</v>
      </c>
      <c r="BC695" s="12">
        <v>3</v>
      </c>
      <c r="BD695" s="12">
        <f t="shared" si="163"/>
        <v>3</v>
      </c>
      <c r="BE695" s="12">
        <v>7</v>
      </c>
      <c r="BF695" s="12">
        <f t="shared" si="155"/>
        <v>7</v>
      </c>
      <c r="BG695" s="12">
        <f t="shared" si="164"/>
        <v>21</v>
      </c>
      <c r="BH695" s="67">
        <v>0</v>
      </c>
      <c r="BI695" s="67">
        <v>1</v>
      </c>
      <c r="BJ695" s="67">
        <v>0</v>
      </c>
      <c r="BK695" s="67">
        <v>0</v>
      </c>
      <c r="BL695" s="67">
        <v>0</v>
      </c>
      <c r="BM695" s="67">
        <v>0</v>
      </c>
      <c r="BN695" s="67">
        <v>0</v>
      </c>
      <c r="BO695" s="67">
        <v>1</v>
      </c>
      <c r="BP695" s="67">
        <v>0</v>
      </c>
      <c r="BQ695" s="67">
        <v>0</v>
      </c>
      <c r="BR695" s="67">
        <v>7</v>
      </c>
      <c r="BS695" s="67">
        <v>0</v>
      </c>
      <c r="BT695" s="67">
        <v>0</v>
      </c>
      <c r="BU695" s="70">
        <v>16</v>
      </c>
      <c r="BV695" s="29">
        <f t="shared" si="156"/>
        <v>0.81183173159205235</v>
      </c>
      <c r="BW695">
        <f t="shared" si="157"/>
        <v>0.80626709607243985</v>
      </c>
      <c r="BX695">
        <f t="shared" si="158"/>
        <v>0.60667531362816052</v>
      </c>
      <c r="BY695">
        <f t="shared" si="159"/>
        <v>1.4676895158369152</v>
      </c>
      <c r="BZ695">
        <f t="shared" si="160"/>
        <v>0.76386092994953758</v>
      </c>
      <c r="CA695">
        <f t="shared" si="161"/>
        <v>0.10112443951066327</v>
      </c>
      <c r="CB695">
        <f t="shared" si="162"/>
        <v>0.2520597274726662</v>
      </c>
    </row>
    <row r="696" spans="1:80" x14ac:dyDescent="0.45">
      <c r="A696" s="11">
        <v>33</v>
      </c>
      <c r="B696" s="12">
        <f t="shared" si="150"/>
        <v>33</v>
      </c>
      <c r="C696" s="12" t="s">
        <v>59</v>
      </c>
      <c r="D696" s="12">
        <v>0</v>
      </c>
      <c r="E696" s="12" t="s">
        <v>53</v>
      </c>
      <c r="F696" s="12">
        <v>0</v>
      </c>
      <c r="G696" s="12">
        <v>1</v>
      </c>
      <c r="H696" s="12" t="s">
        <v>61</v>
      </c>
      <c r="I696" s="12">
        <v>1</v>
      </c>
      <c r="J696" s="12">
        <v>0</v>
      </c>
      <c r="K696" s="12">
        <v>1</v>
      </c>
      <c r="L696" s="12">
        <f t="shared" si="151"/>
        <v>1</v>
      </c>
      <c r="M696" s="12">
        <v>3</v>
      </c>
      <c r="N696" s="12" t="s">
        <v>55</v>
      </c>
      <c r="O696" s="12">
        <v>1</v>
      </c>
      <c r="P696" s="12">
        <v>0</v>
      </c>
      <c r="Q696" s="12">
        <v>0</v>
      </c>
      <c r="R696" s="12">
        <v>0</v>
      </c>
      <c r="S696" s="12">
        <v>0</v>
      </c>
      <c r="T696" s="12">
        <v>2</v>
      </c>
      <c r="U696" s="12" t="s">
        <v>19</v>
      </c>
      <c r="V696" s="12">
        <v>1</v>
      </c>
      <c r="W696" s="12">
        <v>42</v>
      </c>
      <c r="X696" s="12">
        <v>2</v>
      </c>
      <c r="Y696" s="12">
        <v>2</v>
      </c>
      <c r="Z696" s="12" t="s">
        <v>85</v>
      </c>
      <c r="AA696" s="12">
        <v>1</v>
      </c>
      <c r="AB696" s="12">
        <v>0</v>
      </c>
      <c r="AC696" s="12">
        <v>0</v>
      </c>
      <c r="AD696" s="12">
        <v>0</v>
      </c>
      <c r="AE696" s="12">
        <v>0</v>
      </c>
      <c r="AF696" s="12">
        <v>0</v>
      </c>
      <c r="AG696" s="12">
        <v>0</v>
      </c>
      <c r="AH696" s="12">
        <v>0</v>
      </c>
      <c r="AI696" s="12">
        <v>4</v>
      </c>
      <c r="AJ696" s="12" t="s">
        <v>57</v>
      </c>
      <c r="AK696" s="12">
        <v>1</v>
      </c>
      <c r="AL696" s="12">
        <v>0</v>
      </c>
      <c r="AM696" s="12">
        <v>6949</v>
      </c>
      <c r="AN696" s="12">
        <f t="shared" si="152"/>
        <v>6949</v>
      </c>
      <c r="AO696" s="12">
        <v>0</v>
      </c>
      <c r="AP696" s="12" t="s">
        <v>59</v>
      </c>
      <c r="AQ696" s="12">
        <v>0</v>
      </c>
      <c r="AR696" s="12">
        <v>14</v>
      </c>
      <c r="AS696" s="12">
        <v>3</v>
      </c>
      <c r="AT696" s="12">
        <v>1</v>
      </c>
      <c r="AU696" s="12">
        <v>0</v>
      </c>
      <c r="AV696" s="12">
        <v>6</v>
      </c>
      <c r="AW696" s="12">
        <f t="shared" si="153"/>
        <v>6</v>
      </c>
      <c r="AX696" s="12">
        <v>3</v>
      </c>
      <c r="AY696" s="12">
        <v>3</v>
      </c>
      <c r="AZ696" s="12">
        <v>5</v>
      </c>
      <c r="BA696" s="12">
        <f t="shared" si="154"/>
        <v>5</v>
      </c>
      <c r="BB696" s="12">
        <v>0</v>
      </c>
      <c r="BC696" s="12">
        <v>1</v>
      </c>
      <c r="BD696" s="12">
        <f t="shared" si="163"/>
        <v>1</v>
      </c>
      <c r="BE696" s="12">
        <v>4</v>
      </c>
      <c r="BF696" s="12">
        <f t="shared" si="155"/>
        <v>4</v>
      </c>
      <c r="BG696" s="12">
        <f t="shared" si="164"/>
        <v>8</v>
      </c>
      <c r="BH696" s="67">
        <v>1</v>
      </c>
      <c r="BI696" s="67">
        <v>0</v>
      </c>
      <c r="BJ696" s="67">
        <v>0</v>
      </c>
      <c r="BK696" s="67">
        <v>0</v>
      </c>
      <c r="BL696" s="67">
        <v>1</v>
      </c>
      <c r="BM696" s="67">
        <v>0</v>
      </c>
      <c r="BN696" s="67">
        <v>0</v>
      </c>
      <c r="BO696" s="67">
        <v>0</v>
      </c>
      <c r="BP696" s="67">
        <v>0</v>
      </c>
      <c r="BQ696" s="67">
        <v>4</v>
      </c>
      <c r="BR696" s="67">
        <v>0</v>
      </c>
      <c r="BS696" s="67">
        <v>0</v>
      </c>
      <c r="BT696" s="67">
        <v>6</v>
      </c>
      <c r="BU696" s="70">
        <v>0</v>
      </c>
      <c r="BV696" s="29">
        <f t="shared" si="156"/>
        <v>9.4747833940281995E-2</v>
      </c>
      <c r="BW696">
        <f t="shared" si="157"/>
        <v>3.4508002929560584E-2</v>
      </c>
      <c r="BX696">
        <f t="shared" si="158"/>
        <v>0.67854260110508058</v>
      </c>
      <c r="BY696">
        <f t="shared" si="159"/>
        <v>0.32778177112653761</v>
      </c>
      <c r="BZ696">
        <f t="shared" si="160"/>
        <v>1.01056543769991</v>
      </c>
      <c r="CA696">
        <f t="shared" si="161"/>
        <v>0.42951823792158</v>
      </c>
      <c r="CB696">
        <f t="shared" si="162"/>
        <v>0.36858985273641137</v>
      </c>
    </row>
    <row r="697" spans="1:80" x14ac:dyDescent="0.45">
      <c r="A697" s="11">
        <v>37</v>
      </c>
      <c r="B697" s="12">
        <f t="shared" si="150"/>
        <v>37</v>
      </c>
      <c r="C697" s="12" t="s">
        <v>52</v>
      </c>
      <c r="D697" s="12">
        <v>1</v>
      </c>
      <c r="E697" s="12" t="s">
        <v>53</v>
      </c>
      <c r="F697" s="12">
        <v>0</v>
      </c>
      <c r="G697" s="12">
        <v>1</v>
      </c>
      <c r="H697" s="12" t="s">
        <v>54</v>
      </c>
      <c r="I697" s="12">
        <v>0</v>
      </c>
      <c r="J697" s="12">
        <v>1</v>
      </c>
      <c r="K697" s="12">
        <v>1</v>
      </c>
      <c r="L697" s="12">
        <f t="shared" si="151"/>
        <v>1</v>
      </c>
      <c r="M697" s="12">
        <v>4</v>
      </c>
      <c r="N697" s="12" t="s">
        <v>55</v>
      </c>
      <c r="O697" s="12">
        <v>1</v>
      </c>
      <c r="P697" s="12">
        <v>0</v>
      </c>
      <c r="Q697" s="12">
        <v>0</v>
      </c>
      <c r="R697" s="12">
        <v>0</v>
      </c>
      <c r="S697" s="12">
        <v>0</v>
      </c>
      <c r="T697" s="12">
        <v>1</v>
      </c>
      <c r="U697" s="12" t="s">
        <v>62</v>
      </c>
      <c r="V697" s="12">
        <v>0</v>
      </c>
      <c r="W697" s="12">
        <v>46</v>
      </c>
      <c r="X697" s="12">
        <v>2</v>
      </c>
      <c r="Y697" s="12">
        <v>3</v>
      </c>
      <c r="Z697" s="12" t="s">
        <v>56</v>
      </c>
      <c r="AA697" s="12">
        <v>0</v>
      </c>
      <c r="AB697" s="12">
        <v>1</v>
      </c>
      <c r="AC697" s="12">
        <v>0</v>
      </c>
      <c r="AD697" s="12">
        <v>0</v>
      </c>
      <c r="AE697" s="12">
        <v>0</v>
      </c>
      <c r="AF697" s="12">
        <v>0</v>
      </c>
      <c r="AG697" s="12">
        <v>0</v>
      </c>
      <c r="AH697" s="12">
        <v>0</v>
      </c>
      <c r="AI697" s="12">
        <v>3</v>
      </c>
      <c r="AJ697" s="12" t="s">
        <v>64</v>
      </c>
      <c r="AK697" s="12">
        <v>0</v>
      </c>
      <c r="AL697" s="12">
        <v>1</v>
      </c>
      <c r="AM697" s="12">
        <v>10609</v>
      </c>
      <c r="AN697" s="12">
        <f t="shared" si="152"/>
        <v>10609</v>
      </c>
      <c r="AO697" s="12">
        <v>5</v>
      </c>
      <c r="AP697" s="12" t="s">
        <v>59</v>
      </c>
      <c r="AQ697" s="12">
        <v>0</v>
      </c>
      <c r="AR697" s="12">
        <v>11</v>
      </c>
      <c r="AS697" s="12">
        <v>3</v>
      </c>
      <c r="AT697" s="12">
        <v>3</v>
      </c>
      <c r="AU697" s="12">
        <v>0</v>
      </c>
      <c r="AV697" s="12">
        <v>17</v>
      </c>
      <c r="AW697" s="12">
        <f t="shared" si="153"/>
        <v>17</v>
      </c>
      <c r="AX697" s="12">
        <v>2</v>
      </c>
      <c r="AY697" s="12">
        <v>1</v>
      </c>
      <c r="AZ697" s="12">
        <v>14</v>
      </c>
      <c r="BA697" s="12">
        <f t="shared" si="154"/>
        <v>14</v>
      </c>
      <c r="BB697" s="12">
        <v>1</v>
      </c>
      <c r="BC697" s="12">
        <v>11</v>
      </c>
      <c r="BD697" s="12">
        <f t="shared" si="163"/>
        <v>11</v>
      </c>
      <c r="BE697" s="12">
        <v>7</v>
      </c>
      <c r="BF697" s="12">
        <f t="shared" si="155"/>
        <v>7</v>
      </c>
      <c r="BG697" s="12">
        <f t="shared" si="164"/>
        <v>21</v>
      </c>
      <c r="BH697" s="67">
        <v>0</v>
      </c>
      <c r="BI697" s="67">
        <v>1</v>
      </c>
      <c r="BJ697" s="67">
        <v>0</v>
      </c>
      <c r="BK697" s="67">
        <v>0</v>
      </c>
      <c r="BL697" s="67">
        <v>0</v>
      </c>
      <c r="BM697" s="67">
        <v>0</v>
      </c>
      <c r="BN697" s="67">
        <v>1</v>
      </c>
      <c r="BO697" s="67">
        <v>0</v>
      </c>
      <c r="BP697" s="67">
        <v>0</v>
      </c>
      <c r="BQ697" s="67">
        <v>0</v>
      </c>
      <c r="BR697" s="67">
        <v>7</v>
      </c>
      <c r="BS697" s="67">
        <v>0</v>
      </c>
      <c r="BT697" s="67">
        <v>0</v>
      </c>
      <c r="BU697" s="70">
        <v>17</v>
      </c>
      <c r="BV697" s="29">
        <f t="shared" si="156"/>
        <v>0.87215514004380079</v>
      </c>
      <c r="BW697">
        <f t="shared" si="157"/>
        <v>0.80626709607243985</v>
      </c>
      <c r="BX697">
        <f t="shared" si="158"/>
        <v>0.73519710510148462</v>
      </c>
      <c r="BY697">
        <f t="shared" si="159"/>
        <v>1.1412401909344694</v>
      </c>
      <c r="BZ697">
        <f t="shared" si="160"/>
        <v>1.01056543769991</v>
      </c>
      <c r="CA697">
        <f t="shared" si="161"/>
        <v>8.3401599596422994E-3</v>
      </c>
      <c r="CB697">
        <f t="shared" si="162"/>
        <v>2.7346580483089769</v>
      </c>
    </row>
    <row r="698" spans="1:80" x14ac:dyDescent="0.45">
      <c r="A698" s="11">
        <v>45</v>
      </c>
      <c r="B698" s="12">
        <f t="shared" si="150"/>
        <v>45</v>
      </c>
      <c r="C698" s="12" t="s">
        <v>59</v>
      </c>
      <c r="D698" s="12">
        <v>0</v>
      </c>
      <c r="E698" s="12" t="s">
        <v>86</v>
      </c>
      <c r="F698" s="12">
        <v>0</v>
      </c>
      <c r="G698" s="12">
        <v>0</v>
      </c>
      <c r="H698" s="12" t="s">
        <v>61</v>
      </c>
      <c r="I698" s="12">
        <v>1</v>
      </c>
      <c r="J698" s="12">
        <v>0</v>
      </c>
      <c r="K698" s="12">
        <v>4</v>
      </c>
      <c r="L698" s="12">
        <f t="shared" si="151"/>
        <v>4</v>
      </c>
      <c r="M698" s="12">
        <v>2</v>
      </c>
      <c r="N698" s="12" t="s">
        <v>55</v>
      </c>
      <c r="O698" s="12">
        <v>1</v>
      </c>
      <c r="P698" s="12">
        <v>0</v>
      </c>
      <c r="Q698" s="12">
        <v>0</v>
      </c>
      <c r="R698" s="12">
        <v>0</v>
      </c>
      <c r="S698" s="12">
        <v>0</v>
      </c>
      <c r="T698" s="12">
        <v>3</v>
      </c>
      <c r="U698" s="12" t="s">
        <v>62</v>
      </c>
      <c r="V698" s="12">
        <v>0</v>
      </c>
      <c r="W698" s="12">
        <v>57</v>
      </c>
      <c r="X698" s="12">
        <v>3</v>
      </c>
      <c r="Y698" s="12">
        <v>2</v>
      </c>
      <c r="Z698" s="12" t="s">
        <v>67</v>
      </c>
      <c r="AA698" s="12">
        <v>0</v>
      </c>
      <c r="AB698" s="12">
        <v>0</v>
      </c>
      <c r="AC698" s="12">
        <v>1</v>
      </c>
      <c r="AD698" s="12">
        <v>0</v>
      </c>
      <c r="AE698" s="12">
        <v>0</v>
      </c>
      <c r="AF698" s="12">
        <v>0</v>
      </c>
      <c r="AG698" s="12">
        <v>0</v>
      </c>
      <c r="AH698" s="12">
        <v>0</v>
      </c>
      <c r="AI698" s="12">
        <v>2</v>
      </c>
      <c r="AJ698" s="12" t="s">
        <v>64</v>
      </c>
      <c r="AK698" s="12">
        <v>0</v>
      </c>
      <c r="AL698" s="12">
        <v>1</v>
      </c>
      <c r="AM698" s="12">
        <v>4447</v>
      </c>
      <c r="AN698" s="12">
        <f t="shared" si="152"/>
        <v>4447</v>
      </c>
      <c r="AO698" s="12">
        <v>1</v>
      </c>
      <c r="AP698" s="12" t="s">
        <v>59</v>
      </c>
      <c r="AQ698" s="12">
        <v>0</v>
      </c>
      <c r="AR698" s="12">
        <v>12</v>
      </c>
      <c r="AS698" s="12">
        <v>3</v>
      </c>
      <c r="AT698" s="12">
        <v>2</v>
      </c>
      <c r="AU698" s="12">
        <v>0</v>
      </c>
      <c r="AV698" s="12">
        <v>9</v>
      </c>
      <c r="AW698" s="12">
        <f t="shared" si="153"/>
        <v>9</v>
      </c>
      <c r="AX698" s="12">
        <v>5</v>
      </c>
      <c r="AY698" s="12">
        <v>2</v>
      </c>
      <c r="AZ698" s="12">
        <v>9</v>
      </c>
      <c r="BA698" s="12">
        <f t="shared" si="154"/>
        <v>9</v>
      </c>
      <c r="BB698" s="12">
        <v>7</v>
      </c>
      <c r="BC698" s="12">
        <v>0</v>
      </c>
      <c r="BD698" s="12">
        <f t="shared" si="163"/>
        <v>0</v>
      </c>
      <c r="BE698" s="12">
        <v>8</v>
      </c>
      <c r="BF698" s="12">
        <f t="shared" si="155"/>
        <v>8</v>
      </c>
      <c r="BG698" s="12">
        <f t="shared" si="164"/>
        <v>16</v>
      </c>
      <c r="BH698" s="67">
        <v>0</v>
      </c>
      <c r="BI698" s="67">
        <v>1</v>
      </c>
      <c r="BJ698" s="67">
        <v>0</v>
      </c>
      <c r="BK698" s="67">
        <v>0</v>
      </c>
      <c r="BL698" s="67">
        <v>0</v>
      </c>
      <c r="BM698" s="67">
        <v>0</v>
      </c>
      <c r="BN698" s="67">
        <v>1</v>
      </c>
      <c r="BO698" s="67">
        <v>0</v>
      </c>
      <c r="BP698" s="67">
        <v>0</v>
      </c>
      <c r="BQ698" s="67">
        <v>8</v>
      </c>
      <c r="BR698" s="67">
        <v>0</v>
      </c>
      <c r="BS698" s="67">
        <v>0</v>
      </c>
      <c r="BT698" s="67">
        <v>9</v>
      </c>
      <c r="BU698" s="70">
        <v>0</v>
      </c>
      <c r="BV698" s="29">
        <f t="shared" si="156"/>
        <v>0.43669289826491037</v>
      </c>
      <c r="BW698">
        <f t="shared" si="157"/>
        <v>1.08652546240644</v>
      </c>
      <c r="BX698">
        <f t="shared" si="158"/>
        <v>0.29297722668510823</v>
      </c>
      <c r="BY698">
        <f t="shared" si="159"/>
        <v>0.32511687867835437</v>
      </c>
      <c r="BZ698">
        <f t="shared" si="160"/>
        <v>0.64050867607435136</v>
      </c>
      <c r="CA698">
        <f t="shared" si="161"/>
        <v>0.88405695572208698</v>
      </c>
      <c r="CB698">
        <f t="shared" si="162"/>
        <v>0.67891464284095016</v>
      </c>
    </row>
    <row r="699" spans="1:80" x14ac:dyDescent="0.45">
      <c r="A699" s="11">
        <v>29</v>
      </c>
      <c r="B699" s="12">
        <f t="shared" si="150"/>
        <v>29</v>
      </c>
      <c r="C699" s="12" t="s">
        <v>59</v>
      </c>
      <c r="D699" s="12">
        <v>0</v>
      </c>
      <c r="E699" s="12" t="s">
        <v>60</v>
      </c>
      <c r="F699" s="12">
        <v>1</v>
      </c>
      <c r="G699" s="12">
        <v>0</v>
      </c>
      <c r="H699" s="12" t="s">
        <v>54</v>
      </c>
      <c r="I699" s="12">
        <v>0</v>
      </c>
      <c r="J699" s="12">
        <v>1</v>
      </c>
      <c r="K699" s="12">
        <v>20</v>
      </c>
      <c r="L699" s="12">
        <f t="shared" si="151"/>
        <v>20</v>
      </c>
      <c r="M699" s="12">
        <v>3</v>
      </c>
      <c r="N699" s="12" t="s">
        <v>91</v>
      </c>
      <c r="O699" s="12">
        <v>0</v>
      </c>
      <c r="P699" s="12">
        <v>0</v>
      </c>
      <c r="Q699" s="12">
        <v>0</v>
      </c>
      <c r="R699" s="12">
        <v>0</v>
      </c>
      <c r="S699" s="12">
        <v>1</v>
      </c>
      <c r="T699" s="12">
        <v>3</v>
      </c>
      <c r="U699" s="12" t="s">
        <v>19</v>
      </c>
      <c r="V699" s="12">
        <v>1</v>
      </c>
      <c r="W699" s="12">
        <v>84</v>
      </c>
      <c r="X699" s="12">
        <v>3</v>
      </c>
      <c r="Y699" s="12">
        <v>1</v>
      </c>
      <c r="Z699" s="12" t="s">
        <v>88</v>
      </c>
      <c r="AA699" s="12">
        <v>0</v>
      </c>
      <c r="AB699" s="12">
        <v>0</v>
      </c>
      <c r="AC699" s="12">
        <v>0</v>
      </c>
      <c r="AD699" s="12">
        <v>0</v>
      </c>
      <c r="AE699" s="12">
        <v>0</v>
      </c>
      <c r="AF699" s="12">
        <v>0</v>
      </c>
      <c r="AG699" s="12">
        <v>1</v>
      </c>
      <c r="AH699" s="12">
        <v>0</v>
      </c>
      <c r="AI699" s="12">
        <v>4</v>
      </c>
      <c r="AJ699" s="12" t="s">
        <v>64</v>
      </c>
      <c r="AK699" s="12">
        <v>0</v>
      </c>
      <c r="AL699" s="12">
        <v>1</v>
      </c>
      <c r="AM699" s="12">
        <v>2157</v>
      </c>
      <c r="AN699" s="12">
        <f t="shared" si="152"/>
        <v>2157</v>
      </c>
      <c r="AO699" s="12">
        <v>1</v>
      </c>
      <c r="AP699" s="12" t="s">
        <v>59</v>
      </c>
      <c r="AQ699" s="12">
        <v>0</v>
      </c>
      <c r="AR699" s="12">
        <v>15</v>
      </c>
      <c r="AS699" s="12">
        <v>3</v>
      </c>
      <c r="AT699" s="12">
        <v>2</v>
      </c>
      <c r="AU699" s="12">
        <v>1</v>
      </c>
      <c r="AV699" s="12">
        <v>3</v>
      </c>
      <c r="AW699" s="12">
        <f t="shared" si="153"/>
        <v>3</v>
      </c>
      <c r="AX699" s="12">
        <v>5</v>
      </c>
      <c r="AY699" s="12">
        <v>3</v>
      </c>
      <c r="AZ699" s="12">
        <v>3</v>
      </c>
      <c r="BA699" s="12">
        <f t="shared" si="154"/>
        <v>3</v>
      </c>
      <c r="BB699" s="12">
        <v>1</v>
      </c>
      <c r="BC699" s="12">
        <v>0</v>
      </c>
      <c r="BD699" s="12">
        <f t="shared" si="163"/>
        <v>0</v>
      </c>
      <c r="BE699" s="12">
        <v>2</v>
      </c>
      <c r="BF699" s="12">
        <f t="shared" si="155"/>
        <v>2</v>
      </c>
      <c r="BG699" s="12">
        <f t="shared" si="164"/>
        <v>2</v>
      </c>
      <c r="BH699" s="67">
        <v>0</v>
      </c>
      <c r="BI699" s="67">
        <v>0</v>
      </c>
      <c r="BJ699" s="67">
        <v>0</v>
      </c>
      <c r="BK699" s="67">
        <v>1</v>
      </c>
      <c r="BL699" s="67">
        <v>0</v>
      </c>
      <c r="BM699" s="67">
        <v>0</v>
      </c>
      <c r="BN699" s="67">
        <v>1</v>
      </c>
      <c r="BO699" s="67">
        <v>0</v>
      </c>
      <c r="BP699" s="67">
        <v>0</v>
      </c>
      <c r="BQ699" s="67">
        <v>0</v>
      </c>
      <c r="BR699" s="67">
        <v>2</v>
      </c>
      <c r="BS699" s="67">
        <v>0</v>
      </c>
      <c r="BT699" s="67">
        <v>0</v>
      </c>
      <c r="BU699" s="70">
        <v>3</v>
      </c>
      <c r="BV699" s="29">
        <f t="shared" si="156"/>
        <v>0.9231034804990792</v>
      </c>
      <c r="BW699">
        <f t="shared" si="157"/>
        <v>0.59502473559756086</v>
      </c>
      <c r="BX699">
        <f t="shared" si="158"/>
        <v>1.0641079755250529</v>
      </c>
      <c r="BY699">
        <f t="shared" si="159"/>
        <v>0.65423109602898355</v>
      </c>
      <c r="BZ699">
        <f t="shared" si="160"/>
        <v>1.3331273859286286</v>
      </c>
      <c r="CA699">
        <f t="shared" si="161"/>
        <v>0.86737663580280233</v>
      </c>
      <c r="CB699">
        <f t="shared" si="162"/>
        <v>0.67891464284095016</v>
      </c>
    </row>
    <row r="700" spans="1:80" x14ac:dyDescent="0.45">
      <c r="A700" s="11">
        <v>35</v>
      </c>
      <c r="B700" s="12">
        <f t="shared" si="150"/>
        <v>35</v>
      </c>
      <c r="C700" s="12" t="s">
        <v>59</v>
      </c>
      <c r="D700" s="12">
        <v>0</v>
      </c>
      <c r="E700" s="12" t="s">
        <v>53</v>
      </c>
      <c r="F700" s="12">
        <v>0</v>
      </c>
      <c r="G700" s="12">
        <v>1</v>
      </c>
      <c r="H700" s="12" t="s">
        <v>54</v>
      </c>
      <c r="I700" s="12">
        <v>0</v>
      </c>
      <c r="J700" s="12">
        <v>1</v>
      </c>
      <c r="K700" s="12">
        <v>18</v>
      </c>
      <c r="L700" s="12">
        <f t="shared" si="151"/>
        <v>18</v>
      </c>
      <c r="M700" s="12">
        <v>3</v>
      </c>
      <c r="N700" s="12" t="s">
        <v>70</v>
      </c>
      <c r="O700" s="12">
        <v>0</v>
      </c>
      <c r="P700" s="12">
        <v>0</v>
      </c>
      <c r="Q700" s="12">
        <v>1</v>
      </c>
      <c r="R700" s="12">
        <v>0</v>
      </c>
      <c r="S700" s="12">
        <v>0</v>
      </c>
      <c r="T700" s="12">
        <v>3</v>
      </c>
      <c r="U700" s="12" t="s">
        <v>19</v>
      </c>
      <c r="V700" s="12">
        <v>1</v>
      </c>
      <c r="W700" s="12">
        <v>86</v>
      </c>
      <c r="X700" s="12">
        <v>3</v>
      </c>
      <c r="Y700" s="12">
        <v>2</v>
      </c>
      <c r="Z700" s="12" t="s">
        <v>56</v>
      </c>
      <c r="AA700" s="12">
        <v>0</v>
      </c>
      <c r="AB700" s="12">
        <v>1</v>
      </c>
      <c r="AC700" s="12">
        <v>0</v>
      </c>
      <c r="AD700" s="12">
        <v>0</v>
      </c>
      <c r="AE700" s="12">
        <v>0</v>
      </c>
      <c r="AF700" s="12">
        <v>0</v>
      </c>
      <c r="AG700" s="12">
        <v>0</v>
      </c>
      <c r="AH700" s="12">
        <v>0</v>
      </c>
      <c r="AI700" s="12">
        <v>3</v>
      </c>
      <c r="AJ700" s="12" t="s">
        <v>64</v>
      </c>
      <c r="AK700" s="12">
        <v>0</v>
      </c>
      <c r="AL700" s="12">
        <v>1</v>
      </c>
      <c r="AM700" s="12">
        <v>4601</v>
      </c>
      <c r="AN700" s="12">
        <f t="shared" si="152"/>
        <v>4601</v>
      </c>
      <c r="AO700" s="12">
        <v>1</v>
      </c>
      <c r="AP700" s="12" t="s">
        <v>59</v>
      </c>
      <c r="AQ700" s="12">
        <v>0</v>
      </c>
      <c r="AR700" s="12">
        <v>16</v>
      </c>
      <c r="AS700" s="12">
        <v>3</v>
      </c>
      <c r="AT700" s="12">
        <v>2</v>
      </c>
      <c r="AU700" s="12">
        <v>0</v>
      </c>
      <c r="AV700" s="12">
        <v>5</v>
      </c>
      <c r="AW700" s="12">
        <f t="shared" si="153"/>
        <v>5</v>
      </c>
      <c r="AX700" s="12">
        <v>3</v>
      </c>
      <c r="AY700" s="12">
        <v>3</v>
      </c>
      <c r="AZ700" s="12">
        <v>5</v>
      </c>
      <c r="BA700" s="12">
        <f t="shared" si="154"/>
        <v>5</v>
      </c>
      <c r="BB700" s="12">
        <v>2</v>
      </c>
      <c r="BC700" s="12">
        <v>1</v>
      </c>
      <c r="BD700" s="12">
        <f t="shared" si="163"/>
        <v>1</v>
      </c>
      <c r="BE700" s="12">
        <v>0</v>
      </c>
      <c r="BF700" s="12">
        <f t="shared" si="155"/>
        <v>0</v>
      </c>
      <c r="BG700" s="12">
        <f t="shared" si="164"/>
        <v>0</v>
      </c>
      <c r="BH700" s="67">
        <v>0</v>
      </c>
      <c r="BI700" s="67">
        <v>1</v>
      </c>
      <c r="BJ700" s="67">
        <v>0</v>
      </c>
      <c r="BK700" s="67">
        <v>0</v>
      </c>
      <c r="BL700" s="67">
        <v>0</v>
      </c>
      <c r="BM700" s="67">
        <v>0</v>
      </c>
      <c r="BN700" s="67">
        <v>1</v>
      </c>
      <c r="BO700" s="67">
        <v>0</v>
      </c>
      <c r="BP700" s="67">
        <v>0</v>
      </c>
      <c r="BQ700" s="67">
        <v>0</v>
      </c>
      <c r="BR700" s="67">
        <v>0</v>
      </c>
      <c r="BS700" s="67">
        <v>0</v>
      </c>
      <c r="BT700" s="67">
        <v>0</v>
      </c>
      <c r="BU700" s="70">
        <v>5</v>
      </c>
      <c r="BV700" s="29">
        <f t="shared" si="156"/>
        <v>0.40398231762558201</v>
      </c>
      <c r="BW700">
        <f t="shared" si="157"/>
        <v>1.1555414682655611</v>
      </c>
      <c r="BX700">
        <f t="shared" si="158"/>
        <v>0.80706439257840468</v>
      </c>
      <c r="BY700">
        <f t="shared" si="159"/>
        <v>0.32778177112653761</v>
      </c>
      <c r="BZ700">
        <f t="shared" si="160"/>
        <v>1.0864228781782561</v>
      </c>
      <c r="CA700">
        <f t="shared" si="161"/>
        <v>0.21058903898096887</v>
      </c>
      <c r="CB700">
        <f t="shared" si="162"/>
        <v>0.36858985273641137</v>
      </c>
    </row>
    <row r="701" spans="1:80" x14ac:dyDescent="0.45">
      <c r="A701" s="11">
        <v>52</v>
      </c>
      <c r="B701" s="12">
        <f t="shared" si="150"/>
        <v>52</v>
      </c>
      <c r="C701" s="12" t="s">
        <v>59</v>
      </c>
      <c r="D701" s="12">
        <v>0</v>
      </c>
      <c r="E701" s="12" t="s">
        <v>53</v>
      </c>
      <c r="F701" s="12">
        <v>0</v>
      </c>
      <c r="G701" s="12">
        <v>1</v>
      </c>
      <c r="H701" s="12" t="s">
        <v>61</v>
      </c>
      <c r="I701" s="12">
        <v>1</v>
      </c>
      <c r="J701" s="12">
        <v>0</v>
      </c>
      <c r="K701" s="12">
        <v>1</v>
      </c>
      <c r="L701" s="12">
        <f t="shared" si="151"/>
        <v>1</v>
      </c>
      <c r="M701" s="12">
        <v>2</v>
      </c>
      <c r="N701" s="12" t="s">
        <v>55</v>
      </c>
      <c r="O701" s="12">
        <v>1</v>
      </c>
      <c r="P701" s="12">
        <v>0</v>
      </c>
      <c r="Q701" s="12">
        <v>0</v>
      </c>
      <c r="R701" s="12">
        <v>0</v>
      </c>
      <c r="S701" s="12">
        <v>0</v>
      </c>
      <c r="T701" s="12">
        <v>4</v>
      </c>
      <c r="U701" s="12" t="s">
        <v>62</v>
      </c>
      <c r="V701" s="12">
        <v>0</v>
      </c>
      <c r="W701" s="12">
        <v>70</v>
      </c>
      <c r="X701" s="12">
        <v>3</v>
      </c>
      <c r="Y701" s="12">
        <v>4</v>
      </c>
      <c r="Z701" s="12" t="s">
        <v>87</v>
      </c>
      <c r="AA701" s="12">
        <v>0</v>
      </c>
      <c r="AB701" s="12">
        <v>0</v>
      </c>
      <c r="AC701" s="12">
        <v>0</v>
      </c>
      <c r="AD701" s="12">
        <v>1</v>
      </c>
      <c r="AE701" s="12">
        <v>0</v>
      </c>
      <c r="AF701" s="12">
        <v>0</v>
      </c>
      <c r="AG701" s="12">
        <v>0</v>
      </c>
      <c r="AH701" s="12">
        <v>0</v>
      </c>
      <c r="AI701" s="12">
        <v>4</v>
      </c>
      <c r="AJ701" s="12" t="s">
        <v>64</v>
      </c>
      <c r="AK701" s="12">
        <v>0</v>
      </c>
      <c r="AL701" s="12">
        <v>1</v>
      </c>
      <c r="AM701" s="12">
        <v>17099</v>
      </c>
      <c r="AN701" s="12">
        <f t="shared" si="152"/>
        <v>17099</v>
      </c>
      <c r="AO701" s="12">
        <v>2</v>
      </c>
      <c r="AP701" s="12" t="s">
        <v>59</v>
      </c>
      <c r="AQ701" s="12">
        <v>0</v>
      </c>
      <c r="AR701" s="12">
        <v>15</v>
      </c>
      <c r="AS701" s="12">
        <v>3</v>
      </c>
      <c r="AT701" s="12">
        <v>2</v>
      </c>
      <c r="AU701" s="12">
        <v>1</v>
      </c>
      <c r="AV701" s="12">
        <v>26</v>
      </c>
      <c r="AW701" s="12">
        <f t="shared" si="153"/>
        <v>26</v>
      </c>
      <c r="AX701" s="12">
        <v>2</v>
      </c>
      <c r="AY701" s="12">
        <v>2</v>
      </c>
      <c r="AZ701" s="12">
        <v>9</v>
      </c>
      <c r="BA701" s="12">
        <f t="shared" si="154"/>
        <v>9</v>
      </c>
      <c r="BB701" s="12">
        <v>8</v>
      </c>
      <c r="BC701" s="12">
        <v>7</v>
      </c>
      <c r="BD701" s="12">
        <f t="shared" si="163"/>
        <v>7</v>
      </c>
      <c r="BE701" s="12">
        <v>8</v>
      </c>
      <c r="BF701" s="12">
        <f t="shared" si="155"/>
        <v>8</v>
      </c>
      <c r="BG701" s="12">
        <f t="shared" si="164"/>
        <v>32</v>
      </c>
      <c r="BH701" s="67">
        <v>0</v>
      </c>
      <c r="BI701" s="67">
        <v>1</v>
      </c>
      <c r="BJ701" s="67">
        <v>0</v>
      </c>
      <c r="BK701" s="67">
        <v>0</v>
      </c>
      <c r="BL701" s="67">
        <v>0</v>
      </c>
      <c r="BM701" s="67">
        <v>0</v>
      </c>
      <c r="BN701" s="67">
        <v>1</v>
      </c>
      <c r="BO701" s="67">
        <v>0</v>
      </c>
      <c r="BP701" s="67">
        <v>0</v>
      </c>
      <c r="BQ701" s="67">
        <v>8</v>
      </c>
      <c r="BR701" s="67">
        <v>0</v>
      </c>
      <c r="BS701" s="67">
        <v>0</v>
      </c>
      <c r="BT701" s="67">
        <v>26</v>
      </c>
      <c r="BU701" s="70">
        <v>0</v>
      </c>
      <c r="BV701" s="29">
        <f t="shared" si="156"/>
        <v>2.2506724669869258</v>
      </c>
      <c r="BW701">
        <f t="shared" si="157"/>
        <v>1.08652546240644</v>
      </c>
      <c r="BX701">
        <f t="shared" si="158"/>
        <v>1.8918932283614016</v>
      </c>
      <c r="BY701">
        <f t="shared" si="159"/>
        <v>0.32511687867835437</v>
      </c>
      <c r="BZ701">
        <f t="shared" si="160"/>
        <v>1.01056543769991</v>
      </c>
      <c r="CA701">
        <f t="shared" si="161"/>
        <v>1.6503091520142259</v>
      </c>
      <c r="CB701">
        <f t="shared" si="162"/>
        <v>1.4933588878908215</v>
      </c>
    </row>
    <row r="702" spans="1:80" x14ac:dyDescent="0.45">
      <c r="A702" s="11">
        <v>58</v>
      </c>
      <c r="B702" s="12">
        <f t="shared" si="150"/>
        <v>58</v>
      </c>
      <c r="C702" s="12" t="s">
        <v>52</v>
      </c>
      <c r="D702" s="12">
        <v>1</v>
      </c>
      <c r="E702" s="12" t="s">
        <v>53</v>
      </c>
      <c r="F702" s="12">
        <v>0</v>
      </c>
      <c r="G702" s="12">
        <v>1</v>
      </c>
      <c r="H702" s="12" t="s">
        <v>61</v>
      </c>
      <c r="I702" s="12">
        <v>1</v>
      </c>
      <c r="J702" s="12">
        <v>0</v>
      </c>
      <c r="K702" s="12">
        <v>2</v>
      </c>
      <c r="L702" s="12">
        <f t="shared" si="151"/>
        <v>2</v>
      </c>
      <c r="M702" s="12">
        <v>3</v>
      </c>
      <c r="N702" s="12" t="s">
        <v>91</v>
      </c>
      <c r="O702" s="12">
        <v>0</v>
      </c>
      <c r="P702" s="12">
        <v>0</v>
      </c>
      <c r="Q702" s="12">
        <v>0</v>
      </c>
      <c r="R702" s="12">
        <v>0</v>
      </c>
      <c r="S702" s="12">
        <v>1</v>
      </c>
      <c r="T702" s="12">
        <v>4</v>
      </c>
      <c r="U702" s="12" t="s">
        <v>62</v>
      </c>
      <c r="V702" s="12">
        <v>0</v>
      </c>
      <c r="W702" s="12">
        <v>51</v>
      </c>
      <c r="X702" s="12">
        <v>3</v>
      </c>
      <c r="Y702" s="12">
        <v>1</v>
      </c>
      <c r="Z702" s="12" t="s">
        <v>63</v>
      </c>
      <c r="AA702" s="12">
        <v>0</v>
      </c>
      <c r="AB702" s="12">
        <v>0</v>
      </c>
      <c r="AC702" s="12">
        <v>0</v>
      </c>
      <c r="AD702" s="12">
        <v>0</v>
      </c>
      <c r="AE702" s="12">
        <v>0</v>
      </c>
      <c r="AF702" s="12">
        <v>0</v>
      </c>
      <c r="AG702" s="12">
        <v>0</v>
      </c>
      <c r="AH702" s="12">
        <v>1</v>
      </c>
      <c r="AI702" s="12">
        <v>3</v>
      </c>
      <c r="AJ702" s="12" t="s">
        <v>57</v>
      </c>
      <c r="AK702" s="12">
        <v>1</v>
      </c>
      <c r="AL702" s="12">
        <v>0</v>
      </c>
      <c r="AM702" s="12">
        <v>2479</v>
      </c>
      <c r="AN702" s="12">
        <f t="shared" si="152"/>
        <v>2479</v>
      </c>
      <c r="AO702" s="12">
        <v>4</v>
      </c>
      <c r="AP702" s="12" t="s">
        <v>59</v>
      </c>
      <c r="AQ702" s="12">
        <v>0</v>
      </c>
      <c r="AR702" s="12">
        <v>24</v>
      </c>
      <c r="AS702" s="12">
        <v>4</v>
      </c>
      <c r="AT702" s="12">
        <v>1</v>
      </c>
      <c r="AU702" s="12">
        <v>0</v>
      </c>
      <c r="AV702" s="12">
        <v>7</v>
      </c>
      <c r="AW702" s="12">
        <f t="shared" si="153"/>
        <v>7</v>
      </c>
      <c r="AX702" s="12">
        <v>4</v>
      </c>
      <c r="AY702" s="12">
        <v>3</v>
      </c>
      <c r="AZ702" s="12">
        <v>1</v>
      </c>
      <c r="BA702" s="12">
        <f t="shared" si="154"/>
        <v>1</v>
      </c>
      <c r="BB702" s="12">
        <v>0</v>
      </c>
      <c r="BC702" s="12">
        <v>0</v>
      </c>
      <c r="BD702" s="12">
        <f t="shared" si="163"/>
        <v>0</v>
      </c>
      <c r="BE702" s="12">
        <v>0</v>
      </c>
      <c r="BF702" s="12">
        <f t="shared" si="155"/>
        <v>0</v>
      </c>
      <c r="BG702" s="12">
        <f t="shared" si="164"/>
        <v>0</v>
      </c>
      <c r="BH702" s="67">
        <v>1</v>
      </c>
      <c r="BI702" s="67">
        <v>0</v>
      </c>
      <c r="BJ702" s="67">
        <v>0</v>
      </c>
      <c r="BK702" s="67">
        <v>0</v>
      </c>
      <c r="BL702" s="67">
        <v>1</v>
      </c>
      <c r="BM702" s="67">
        <v>0</v>
      </c>
      <c r="BN702" s="67">
        <v>0</v>
      </c>
      <c r="BO702" s="67">
        <v>0</v>
      </c>
      <c r="BP702" s="67">
        <v>0</v>
      </c>
      <c r="BQ702" s="67">
        <v>0</v>
      </c>
      <c r="BR702" s="67">
        <v>0</v>
      </c>
      <c r="BS702" s="67">
        <v>0</v>
      </c>
      <c r="BT702" s="67">
        <v>7</v>
      </c>
      <c r="BU702" s="70">
        <v>0</v>
      </c>
      <c r="BV702" s="29">
        <f t="shared" si="156"/>
        <v>0.85470863007139264</v>
      </c>
      <c r="BW702">
        <f t="shared" si="157"/>
        <v>1.1555414682655611</v>
      </c>
      <c r="BX702">
        <f t="shared" si="158"/>
        <v>0.55002080963175637</v>
      </c>
      <c r="BY702">
        <f t="shared" si="159"/>
        <v>0.9806804209314296</v>
      </c>
      <c r="BZ702">
        <f t="shared" si="160"/>
        <v>0.88721318382472392</v>
      </c>
      <c r="CA702">
        <f t="shared" si="161"/>
        <v>2.3070967488360594</v>
      </c>
      <c r="CB702">
        <f t="shared" si="162"/>
        <v>0.67891464284095016</v>
      </c>
    </row>
    <row r="703" spans="1:80" x14ac:dyDescent="0.45">
      <c r="A703" s="11">
        <v>53</v>
      </c>
      <c r="B703" s="12">
        <f t="shared" si="150"/>
        <v>53</v>
      </c>
      <c r="C703" s="12" t="s">
        <v>59</v>
      </c>
      <c r="D703" s="12">
        <v>0</v>
      </c>
      <c r="E703" s="12" t="s">
        <v>53</v>
      </c>
      <c r="F703" s="12">
        <v>0</v>
      </c>
      <c r="G703" s="12">
        <v>1</v>
      </c>
      <c r="H703" s="12" t="s">
        <v>54</v>
      </c>
      <c r="I703" s="12">
        <v>0</v>
      </c>
      <c r="J703" s="12">
        <v>1</v>
      </c>
      <c r="K703" s="12">
        <v>2</v>
      </c>
      <c r="L703" s="12">
        <f t="shared" si="151"/>
        <v>2</v>
      </c>
      <c r="M703" s="12">
        <v>2</v>
      </c>
      <c r="N703" s="12" t="s">
        <v>70</v>
      </c>
      <c r="O703" s="12">
        <v>0</v>
      </c>
      <c r="P703" s="12">
        <v>0</v>
      </c>
      <c r="Q703" s="12">
        <v>1</v>
      </c>
      <c r="R703" s="12">
        <v>0</v>
      </c>
      <c r="S703" s="12">
        <v>0</v>
      </c>
      <c r="T703" s="12">
        <v>3</v>
      </c>
      <c r="U703" s="12" t="s">
        <v>62</v>
      </c>
      <c r="V703" s="12">
        <v>0</v>
      </c>
      <c r="W703" s="12">
        <v>45</v>
      </c>
      <c r="X703" s="12">
        <v>3</v>
      </c>
      <c r="Y703" s="12">
        <v>4</v>
      </c>
      <c r="Z703" s="12" t="s">
        <v>87</v>
      </c>
      <c r="AA703" s="12">
        <v>0</v>
      </c>
      <c r="AB703" s="12">
        <v>0</v>
      </c>
      <c r="AC703" s="12">
        <v>0</v>
      </c>
      <c r="AD703" s="12">
        <v>1</v>
      </c>
      <c r="AE703" s="12">
        <v>0</v>
      </c>
      <c r="AF703" s="12">
        <v>0</v>
      </c>
      <c r="AG703" s="12">
        <v>0</v>
      </c>
      <c r="AH703" s="12">
        <v>0</v>
      </c>
      <c r="AI703" s="12">
        <v>3</v>
      </c>
      <c r="AJ703" s="12" t="s">
        <v>78</v>
      </c>
      <c r="AK703" s="12">
        <v>0</v>
      </c>
      <c r="AL703" s="12">
        <v>0</v>
      </c>
      <c r="AM703" s="12">
        <v>14852</v>
      </c>
      <c r="AN703" s="12">
        <f t="shared" si="152"/>
        <v>14852</v>
      </c>
      <c r="AO703" s="12">
        <v>6</v>
      </c>
      <c r="AP703" s="12" t="s">
        <v>59</v>
      </c>
      <c r="AQ703" s="12">
        <v>0</v>
      </c>
      <c r="AR703" s="12">
        <v>13</v>
      </c>
      <c r="AS703" s="12">
        <v>3</v>
      </c>
      <c r="AT703" s="12">
        <v>3</v>
      </c>
      <c r="AU703" s="12">
        <v>1</v>
      </c>
      <c r="AV703" s="12">
        <v>22</v>
      </c>
      <c r="AW703" s="12">
        <f t="shared" si="153"/>
        <v>22</v>
      </c>
      <c r="AX703" s="12">
        <v>3</v>
      </c>
      <c r="AY703" s="12">
        <v>4</v>
      </c>
      <c r="AZ703" s="12">
        <v>17</v>
      </c>
      <c r="BA703" s="12">
        <f t="shared" si="154"/>
        <v>17</v>
      </c>
      <c r="BB703" s="12">
        <v>13</v>
      </c>
      <c r="BC703" s="12">
        <v>15</v>
      </c>
      <c r="BD703" s="12">
        <f t="shared" si="163"/>
        <v>14</v>
      </c>
      <c r="BE703" s="12">
        <v>2</v>
      </c>
      <c r="BF703" s="12">
        <f t="shared" si="155"/>
        <v>2</v>
      </c>
      <c r="BG703" s="12">
        <f t="shared" si="164"/>
        <v>8</v>
      </c>
      <c r="BH703" s="67">
        <v>1</v>
      </c>
      <c r="BI703" s="67">
        <v>0</v>
      </c>
      <c r="BJ703" s="67">
        <v>0</v>
      </c>
      <c r="BK703" s="67">
        <v>0</v>
      </c>
      <c r="BL703" s="67">
        <v>1</v>
      </c>
      <c r="BM703" s="67">
        <v>0</v>
      </c>
      <c r="BN703" s="67">
        <v>0</v>
      </c>
      <c r="BO703" s="67">
        <v>0</v>
      </c>
      <c r="BP703" s="67">
        <v>0</v>
      </c>
      <c r="BQ703" s="67">
        <v>0</v>
      </c>
      <c r="BR703" s="67">
        <v>2</v>
      </c>
      <c r="BS703" s="67">
        <v>0</v>
      </c>
      <c r="BT703" s="67">
        <v>0</v>
      </c>
      <c r="BU703" s="70">
        <v>22</v>
      </c>
      <c r="BV703" s="29">
        <f t="shared" si="156"/>
        <v>1.7733953585676343</v>
      </c>
      <c r="BW703">
        <f t="shared" si="157"/>
        <v>0.59502473559756086</v>
      </c>
      <c r="BX703">
        <f t="shared" si="158"/>
        <v>1.3778060624681052</v>
      </c>
      <c r="BY703">
        <f t="shared" si="159"/>
        <v>1.630914178288138</v>
      </c>
      <c r="BZ703">
        <f t="shared" si="160"/>
        <v>0.88721318382472392</v>
      </c>
      <c r="CA703">
        <f t="shared" si="161"/>
        <v>1.7597737514845315</v>
      </c>
      <c r="CB703">
        <f t="shared" si="162"/>
        <v>3.9759572087271318</v>
      </c>
    </row>
    <row r="704" spans="1:80" x14ac:dyDescent="0.45">
      <c r="A704" s="11">
        <v>30</v>
      </c>
      <c r="B704" s="12">
        <f t="shared" si="150"/>
        <v>30</v>
      </c>
      <c r="C704" s="12" t="s">
        <v>59</v>
      </c>
      <c r="D704" s="12">
        <v>0</v>
      </c>
      <c r="E704" s="12" t="s">
        <v>53</v>
      </c>
      <c r="F704" s="12">
        <v>0</v>
      </c>
      <c r="G704" s="12">
        <v>1</v>
      </c>
      <c r="H704" s="12" t="s">
        <v>54</v>
      </c>
      <c r="I704" s="12">
        <v>0</v>
      </c>
      <c r="J704" s="12">
        <v>1</v>
      </c>
      <c r="K704" s="12">
        <v>8</v>
      </c>
      <c r="L704" s="12">
        <f t="shared" si="151"/>
        <v>8</v>
      </c>
      <c r="M704" s="12">
        <v>2</v>
      </c>
      <c r="N704" s="12" t="s">
        <v>66</v>
      </c>
      <c r="O704" s="12">
        <v>0</v>
      </c>
      <c r="P704" s="12">
        <v>1</v>
      </c>
      <c r="Q704" s="12">
        <v>0</v>
      </c>
      <c r="R704" s="12">
        <v>0</v>
      </c>
      <c r="S704" s="12">
        <v>0</v>
      </c>
      <c r="T704" s="12">
        <v>3</v>
      </c>
      <c r="U704" s="12" t="s">
        <v>62</v>
      </c>
      <c r="V704" s="12">
        <v>0</v>
      </c>
      <c r="W704" s="12">
        <v>62</v>
      </c>
      <c r="X704" s="12">
        <v>3</v>
      </c>
      <c r="Y704" s="12">
        <v>3</v>
      </c>
      <c r="Z704" s="12" t="s">
        <v>56</v>
      </c>
      <c r="AA704" s="12">
        <v>0</v>
      </c>
      <c r="AB704" s="12">
        <v>1</v>
      </c>
      <c r="AC704" s="12">
        <v>0</v>
      </c>
      <c r="AD704" s="12">
        <v>0</v>
      </c>
      <c r="AE704" s="12">
        <v>0</v>
      </c>
      <c r="AF704" s="12">
        <v>0</v>
      </c>
      <c r="AG704" s="12">
        <v>0</v>
      </c>
      <c r="AH704" s="12">
        <v>0</v>
      </c>
      <c r="AI704" s="12">
        <v>3</v>
      </c>
      <c r="AJ704" s="12" t="s">
        <v>78</v>
      </c>
      <c r="AK704" s="12">
        <v>0</v>
      </c>
      <c r="AL704" s="12">
        <v>0</v>
      </c>
      <c r="AM704" s="12">
        <v>7264</v>
      </c>
      <c r="AN704" s="12">
        <f t="shared" si="152"/>
        <v>7264</v>
      </c>
      <c r="AO704" s="12">
        <v>5</v>
      </c>
      <c r="AP704" s="12" t="s">
        <v>59</v>
      </c>
      <c r="AQ704" s="12">
        <v>0</v>
      </c>
      <c r="AR704" s="12">
        <v>11</v>
      </c>
      <c r="AS704" s="12">
        <v>3</v>
      </c>
      <c r="AT704" s="12">
        <v>1</v>
      </c>
      <c r="AU704" s="12">
        <v>1</v>
      </c>
      <c r="AV704" s="12">
        <v>10</v>
      </c>
      <c r="AW704" s="12">
        <f t="shared" si="153"/>
        <v>10</v>
      </c>
      <c r="AX704" s="12">
        <v>2</v>
      </c>
      <c r="AY704" s="12">
        <v>4</v>
      </c>
      <c r="AZ704" s="12">
        <v>8</v>
      </c>
      <c r="BA704" s="12">
        <f t="shared" si="154"/>
        <v>8</v>
      </c>
      <c r="BB704" s="12">
        <v>4</v>
      </c>
      <c r="BC704" s="12">
        <v>7</v>
      </c>
      <c r="BD704" s="12">
        <f t="shared" si="163"/>
        <v>7</v>
      </c>
      <c r="BE704" s="12">
        <v>7</v>
      </c>
      <c r="BF704" s="12">
        <f t="shared" si="155"/>
        <v>7</v>
      </c>
      <c r="BG704" s="12">
        <f t="shared" si="164"/>
        <v>21</v>
      </c>
      <c r="BH704" s="67">
        <v>1</v>
      </c>
      <c r="BI704" s="67">
        <v>0</v>
      </c>
      <c r="BJ704" s="67">
        <v>0</v>
      </c>
      <c r="BK704" s="67">
        <v>0</v>
      </c>
      <c r="BL704" s="67">
        <v>1</v>
      </c>
      <c r="BM704" s="67">
        <v>0</v>
      </c>
      <c r="BN704" s="67">
        <v>0</v>
      </c>
      <c r="BO704" s="67">
        <v>0</v>
      </c>
      <c r="BP704" s="67">
        <v>0</v>
      </c>
      <c r="BQ704" s="67">
        <v>0</v>
      </c>
      <c r="BR704" s="67">
        <v>7</v>
      </c>
      <c r="BS704" s="67">
        <v>0</v>
      </c>
      <c r="BT704" s="67">
        <v>0</v>
      </c>
      <c r="BU704" s="70">
        <v>10</v>
      </c>
      <c r="BV704" s="29">
        <f t="shared" si="156"/>
        <v>0.16165583979345369</v>
      </c>
      <c r="BW704">
        <f t="shared" si="157"/>
        <v>0.80626709607243985</v>
      </c>
      <c r="BX704">
        <f t="shared" si="158"/>
        <v>0.1644554352117841</v>
      </c>
      <c r="BY704">
        <f t="shared" si="159"/>
        <v>0.16189221622713135</v>
      </c>
      <c r="BZ704">
        <f t="shared" si="160"/>
        <v>0.14709966057360641</v>
      </c>
      <c r="CA704">
        <f t="shared" si="161"/>
        <v>0.75791203633249671</v>
      </c>
      <c r="CB704">
        <f t="shared" si="162"/>
        <v>1.4933588878908215</v>
      </c>
    </row>
    <row r="705" spans="1:80" x14ac:dyDescent="0.45">
      <c r="A705" s="11">
        <v>38</v>
      </c>
      <c r="B705" s="12">
        <f t="shared" si="150"/>
        <v>38</v>
      </c>
      <c r="C705" s="12" t="s">
        <v>59</v>
      </c>
      <c r="D705" s="12">
        <v>0</v>
      </c>
      <c r="E705" s="12" t="s">
        <v>86</v>
      </c>
      <c r="F705" s="12">
        <v>0</v>
      </c>
      <c r="G705" s="12">
        <v>0</v>
      </c>
      <c r="H705" s="12" t="s">
        <v>54</v>
      </c>
      <c r="I705" s="12">
        <v>0</v>
      </c>
      <c r="J705" s="12">
        <v>1</v>
      </c>
      <c r="K705" s="12">
        <v>10</v>
      </c>
      <c r="L705" s="12">
        <f t="shared" si="151"/>
        <v>10</v>
      </c>
      <c r="M705" s="12">
        <v>3</v>
      </c>
      <c r="N705" s="12" t="s">
        <v>91</v>
      </c>
      <c r="O705" s="12">
        <v>0</v>
      </c>
      <c r="P705" s="12">
        <v>0</v>
      </c>
      <c r="Q705" s="12">
        <v>0</v>
      </c>
      <c r="R705" s="12">
        <v>0</v>
      </c>
      <c r="S705" s="12">
        <v>1</v>
      </c>
      <c r="T705" s="12">
        <v>3</v>
      </c>
      <c r="U705" s="12" t="s">
        <v>19</v>
      </c>
      <c r="V705" s="12">
        <v>1</v>
      </c>
      <c r="W705" s="12">
        <v>85</v>
      </c>
      <c r="X705" s="12">
        <v>3</v>
      </c>
      <c r="Y705" s="12">
        <v>2</v>
      </c>
      <c r="Z705" s="12" t="s">
        <v>56</v>
      </c>
      <c r="AA705" s="12">
        <v>0</v>
      </c>
      <c r="AB705" s="12">
        <v>1</v>
      </c>
      <c r="AC705" s="12">
        <v>0</v>
      </c>
      <c r="AD705" s="12">
        <v>0</v>
      </c>
      <c r="AE705" s="12">
        <v>0</v>
      </c>
      <c r="AF705" s="12">
        <v>0</v>
      </c>
      <c r="AG705" s="12">
        <v>0</v>
      </c>
      <c r="AH705" s="12">
        <v>0</v>
      </c>
      <c r="AI705" s="12">
        <v>4</v>
      </c>
      <c r="AJ705" s="12" t="s">
        <v>57</v>
      </c>
      <c r="AK705" s="12">
        <v>1</v>
      </c>
      <c r="AL705" s="12">
        <v>0</v>
      </c>
      <c r="AM705" s="12">
        <v>5666</v>
      </c>
      <c r="AN705" s="12">
        <f t="shared" si="152"/>
        <v>5666</v>
      </c>
      <c r="AO705" s="12">
        <v>1</v>
      </c>
      <c r="AP705" s="12" t="s">
        <v>52</v>
      </c>
      <c r="AQ705" s="12">
        <v>1</v>
      </c>
      <c r="AR705" s="12">
        <v>13</v>
      </c>
      <c r="AS705" s="12">
        <v>3</v>
      </c>
      <c r="AT705" s="12">
        <v>2</v>
      </c>
      <c r="AU705" s="12">
        <v>0</v>
      </c>
      <c r="AV705" s="12">
        <v>6</v>
      </c>
      <c r="AW705" s="12">
        <f t="shared" si="153"/>
        <v>6</v>
      </c>
      <c r="AX705" s="12">
        <v>1</v>
      </c>
      <c r="AY705" s="12">
        <v>3</v>
      </c>
      <c r="AZ705" s="12">
        <v>5</v>
      </c>
      <c r="BA705" s="12">
        <f t="shared" si="154"/>
        <v>5</v>
      </c>
      <c r="BB705" s="12">
        <v>3</v>
      </c>
      <c r="BC705" s="12">
        <v>1</v>
      </c>
      <c r="BD705" s="12">
        <f t="shared" si="163"/>
        <v>1</v>
      </c>
      <c r="BE705" s="12">
        <v>3</v>
      </c>
      <c r="BF705" s="12">
        <f t="shared" si="155"/>
        <v>3</v>
      </c>
      <c r="BG705" s="12">
        <f t="shared" si="164"/>
        <v>6</v>
      </c>
      <c r="BH705" s="67">
        <v>1</v>
      </c>
      <c r="BI705" s="67">
        <v>0</v>
      </c>
      <c r="BJ705" s="67">
        <v>0</v>
      </c>
      <c r="BK705" s="67">
        <v>0</v>
      </c>
      <c r="BL705" s="67">
        <v>0</v>
      </c>
      <c r="BM705" s="67">
        <v>1</v>
      </c>
      <c r="BN705" s="67">
        <v>0</v>
      </c>
      <c r="BO705" s="67">
        <v>0</v>
      </c>
      <c r="BP705" s="67">
        <v>0</v>
      </c>
      <c r="BQ705" s="67">
        <v>0</v>
      </c>
      <c r="BR705" s="67">
        <v>3</v>
      </c>
      <c r="BS705" s="67">
        <v>0</v>
      </c>
      <c r="BT705" s="67">
        <v>0</v>
      </c>
      <c r="BU705" s="70">
        <v>6</v>
      </c>
      <c r="BV705" s="29">
        <f t="shared" si="156"/>
        <v>0.17776953593152528</v>
      </c>
      <c r="BW705">
        <f t="shared" si="157"/>
        <v>0.31476636926356072</v>
      </c>
      <c r="BX705">
        <f t="shared" si="158"/>
        <v>0.67854260110508058</v>
      </c>
      <c r="BY705">
        <f t="shared" si="159"/>
        <v>0.32778177112653761</v>
      </c>
      <c r="BZ705">
        <f t="shared" si="160"/>
        <v>9.9604847176766084E-2</v>
      </c>
      <c r="CA705">
        <f t="shared" si="161"/>
        <v>0.11780475942994788</v>
      </c>
      <c r="CB705">
        <f t="shared" si="162"/>
        <v>0.36858985273641137</v>
      </c>
    </row>
    <row r="706" spans="1:80" x14ac:dyDescent="0.45">
      <c r="A706" s="11">
        <v>35</v>
      </c>
      <c r="B706" s="12">
        <f t="shared" ref="B706:B769" si="165">IF(A706&gt;$CD$29,$CD$29,IF(A706&lt;$CD$30,$CD$30,A706))</f>
        <v>35</v>
      </c>
      <c r="C706" s="12" t="s">
        <v>59</v>
      </c>
      <c r="D706" s="12">
        <v>0</v>
      </c>
      <c r="E706" s="12" t="s">
        <v>53</v>
      </c>
      <c r="F706" s="12">
        <v>0</v>
      </c>
      <c r="G706" s="12">
        <v>1</v>
      </c>
      <c r="H706" s="12" t="s">
        <v>54</v>
      </c>
      <c r="I706" s="12">
        <v>0</v>
      </c>
      <c r="J706" s="12">
        <v>1</v>
      </c>
      <c r="K706" s="12">
        <v>3</v>
      </c>
      <c r="L706" s="12">
        <f t="shared" ref="L706:L769" si="166">IF(K706&gt;$CD$25,$CD$25,IF(K706&lt;$CD$26,$CD$26,K706))</f>
        <v>3</v>
      </c>
      <c r="M706" s="12">
        <v>4</v>
      </c>
      <c r="N706" s="12" t="s">
        <v>55</v>
      </c>
      <c r="O706" s="12">
        <v>1</v>
      </c>
      <c r="P706" s="12">
        <v>0</v>
      </c>
      <c r="Q706" s="12">
        <v>0</v>
      </c>
      <c r="R706" s="12">
        <v>0</v>
      </c>
      <c r="S706" s="12">
        <v>0</v>
      </c>
      <c r="T706" s="12">
        <v>4</v>
      </c>
      <c r="U706" s="12" t="s">
        <v>62</v>
      </c>
      <c r="V706" s="12">
        <v>0</v>
      </c>
      <c r="W706" s="12">
        <v>92</v>
      </c>
      <c r="X706" s="12">
        <v>3</v>
      </c>
      <c r="Y706" s="12">
        <v>3</v>
      </c>
      <c r="Z706" s="12" t="s">
        <v>56</v>
      </c>
      <c r="AA706" s="12">
        <v>0</v>
      </c>
      <c r="AB706" s="12">
        <v>1</v>
      </c>
      <c r="AC706" s="12">
        <v>0</v>
      </c>
      <c r="AD706" s="12">
        <v>0</v>
      </c>
      <c r="AE706" s="12">
        <v>0</v>
      </c>
      <c r="AF706" s="12">
        <v>0</v>
      </c>
      <c r="AG706" s="12">
        <v>0</v>
      </c>
      <c r="AH706" s="12">
        <v>0</v>
      </c>
      <c r="AI706" s="12">
        <v>4</v>
      </c>
      <c r="AJ706" s="12" t="s">
        <v>78</v>
      </c>
      <c r="AK706" s="12">
        <v>0</v>
      </c>
      <c r="AL706" s="12">
        <v>0</v>
      </c>
      <c r="AM706" s="12">
        <v>7823</v>
      </c>
      <c r="AN706" s="12">
        <f t="shared" ref="AN706:AN769" si="167">IF(AM706&gt;$CD$8,$CD$8,IF(AM706&lt;$CD$9,$CD$9,AM706))</f>
        <v>7823</v>
      </c>
      <c r="AO706" s="12">
        <v>6</v>
      </c>
      <c r="AP706" s="12" t="s">
        <v>59</v>
      </c>
      <c r="AQ706" s="12">
        <v>0</v>
      </c>
      <c r="AR706" s="12">
        <v>13</v>
      </c>
      <c r="AS706" s="12">
        <v>3</v>
      </c>
      <c r="AT706" s="12">
        <v>2</v>
      </c>
      <c r="AU706" s="12">
        <v>1</v>
      </c>
      <c r="AV706" s="12">
        <v>12</v>
      </c>
      <c r="AW706" s="12">
        <f t="shared" ref="AW706:AW769" si="168">IF(AV706&gt;$CD$17,$CD$17,IF(AV706&lt;$CD$18,$CD$18,AV706))</f>
        <v>12</v>
      </c>
      <c r="AX706" s="12">
        <v>2</v>
      </c>
      <c r="AY706" s="12">
        <v>3</v>
      </c>
      <c r="AZ706" s="12">
        <v>10</v>
      </c>
      <c r="BA706" s="12">
        <f t="shared" ref="BA706:BA769" si="169">IF(AZ706&gt; $CD$21,$CD$21,IF(AZ706&lt;$CD$22,$CD$22,AZ706))</f>
        <v>10</v>
      </c>
      <c r="BB706" s="12">
        <v>9</v>
      </c>
      <c r="BC706" s="12">
        <v>0</v>
      </c>
      <c r="BD706" s="12">
        <f t="shared" si="163"/>
        <v>0</v>
      </c>
      <c r="BE706" s="12">
        <v>8</v>
      </c>
      <c r="BF706" s="12">
        <f t="shared" ref="BF706:BF769" si="170">IF(BE706&gt;$CD$12,$CD$12,IF(BE706&lt;$CD$13,$CD$13,BE706))</f>
        <v>8</v>
      </c>
      <c r="BG706" s="12">
        <f t="shared" si="164"/>
        <v>24</v>
      </c>
      <c r="BH706" s="67">
        <v>1</v>
      </c>
      <c r="BI706" s="67">
        <v>0</v>
      </c>
      <c r="BJ706" s="67">
        <v>0</v>
      </c>
      <c r="BK706" s="67">
        <v>0</v>
      </c>
      <c r="BL706" s="67">
        <v>1</v>
      </c>
      <c r="BM706" s="67">
        <v>0</v>
      </c>
      <c r="BN706" s="67">
        <v>0</v>
      </c>
      <c r="BO706" s="67">
        <v>0</v>
      </c>
      <c r="BP706" s="67">
        <v>0</v>
      </c>
      <c r="BQ706" s="67">
        <v>0</v>
      </c>
      <c r="BR706" s="67">
        <v>8</v>
      </c>
      <c r="BS706" s="67">
        <v>0</v>
      </c>
      <c r="BT706" s="67">
        <v>0</v>
      </c>
      <c r="BU706" s="70">
        <v>12</v>
      </c>
      <c r="BV706" s="29">
        <f t="shared" ref="BV706:BV769" si="171">ABS((AM706-AVERAGE(AM:AM))/_xlfn.STDEV.S(AM:AM))</f>
        <v>0.28039099938685996</v>
      </c>
      <c r="BW706">
        <f t="shared" ref="BW706:BW769" si="172">ABS((BE706-AVERAGE(BE:BE))/_xlfn.STDEV.S(BE:BE))</f>
        <v>1.08652546240644</v>
      </c>
      <c r="BX706">
        <f t="shared" ref="BX706:BX769" si="173">ABS((AV706-AVERAGE(AV:AV))/_xlfn.STDEV.S(AV:AV))</f>
        <v>9.2588147734864096E-2</v>
      </c>
      <c r="BY706">
        <f t="shared" ref="BY706:BY769" si="174">ABS((AZ706-AVERAGE(AZ:AZ))/_xlfn.STDEV.S(AZ:AZ))</f>
        <v>0.48834154112957734</v>
      </c>
      <c r="BZ706">
        <f t="shared" ref="BZ706:BZ769" si="175">ABS((K706-AVERAGE(K:K))/_xlfn.STDEV.S(K:K))</f>
        <v>0.76386092994953758</v>
      </c>
      <c r="CA706">
        <f t="shared" ref="CA706:CA769" si="176">ABS((A706-AVERAGE(A:A))/_xlfn.STDEV.S(A:A))</f>
        <v>0.21058903898096887</v>
      </c>
      <c r="CB706">
        <f t="shared" ref="CB706:CB769" si="177">ABS((BC706-AVERAGE(BC:BC))/_xlfn.STDEV.S(BC:BC))</f>
        <v>0.67891464284095016</v>
      </c>
    </row>
    <row r="707" spans="1:80" x14ac:dyDescent="0.45">
      <c r="A707" s="11">
        <v>39</v>
      </c>
      <c r="B707" s="12">
        <f t="shared" si="165"/>
        <v>39</v>
      </c>
      <c r="C707" s="12" t="s">
        <v>59</v>
      </c>
      <c r="D707" s="12">
        <v>0</v>
      </c>
      <c r="E707" s="12" t="s">
        <v>53</v>
      </c>
      <c r="F707" s="12">
        <v>0</v>
      </c>
      <c r="G707" s="12">
        <v>1</v>
      </c>
      <c r="H707" s="12" t="s">
        <v>54</v>
      </c>
      <c r="I707" s="12">
        <v>0</v>
      </c>
      <c r="J707" s="12">
        <v>1</v>
      </c>
      <c r="K707" s="12">
        <v>2</v>
      </c>
      <c r="L707" s="12">
        <f t="shared" si="166"/>
        <v>2</v>
      </c>
      <c r="M707" s="12">
        <v>5</v>
      </c>
      <c r="N707" s="12" t="s">
        <v>55</v>
      </c>
      <c r="O707" s="12">
        <v>1</v>
      </c>
      <c r="P707" s="12">
        <v>0</v>
      </c>
      <c r="Q707" s="12">
        <v>0</v>
      </c>
      <c r="R707" s="12">
        <v>0</v>
      </c>
      <c r="S707" s="12">
        <v>0</v>
      </c>
      <c r="T707" s="12">
        <v>1</v>
      </c>
      <c r="U707" s="12" t="s">
        <v>62</v>
      </c>
      <c r="V707" s="12">
        <v>0</v>
      </c>
      <c r="W707" s="12">
        <v>41</v>
      </c>
      <c r="X707" s="12">
        <v>4</v>
      </c>
      <c r="Y707" s="12">
        <v>3</v>
      </c>
      <c r="Z707" s="12" t="s">
        <v>56</v>
      </c>
      <c r="AA707" s="12">
        <v>0</v>
      </c>
      <c r="AB707" s="12">
        <v>1</v>
      </c>
      <c r="AC707" s="12">
        <v>0</v>
      </c>
      <c r="AD707" s="12">
        <v>0</v>
      </c>
      <c r="AE707" s="12">
        <v>0</v>
      </c>
      <c r="AF707" s="12">
        <v>0</v>
      </c>
      <c r="AG707" s="12">
        <v>0</v>
      </c>
      <c r="AH707" s="12">
        <v>0</v>
      </c>
      <c r="AI707" s="12">
        <v>3</v>
      </c>
      <c r="AJ707" s="12" t="s">
        <v>57</v>
      </c>
      <c r="AK707" s="12">
        <v>1</v>
      </c>
      <c r="AL707" s="12">
        <v>0</v>
      </c>
      <c r="AM707" s="12">
        <v>7880</v>
      </c>
      <c r="AN707" s="12">
        <f t="shared" si="167"/>
        <v>7880</v>
      </c>
      <c r="AO707" s="12">
        <v>0</v>
      </c>
      <c r="AP707" s="12" t="s">
        <v>59</v>
      </c>
      <c r="AQ707" s="12">
        <v>0</v>
      </c>
      <c r="AR707" s="12">
        <v>18</v>
      </c>
      <c r="AS707" s="12">
        <v>3</v>
      </c>
      <c r="AT707" s="12">
        <v>4</v>
      </c>
      <c r="AU707" s="12">
        <v>0</v>
      </c>
      <c r="AV707" s="12">
        <v>9</v>
      </c>
      <c r="AW707" s="12">
        <f t="shared" si="168"/>
        <v>9</v>
      </c>
      <c r="AX707" s="12">
        <v>3</v>
      </c>
      <c r="AY707" s="12">
        <v>3</v>
      </c>
      <c r="AZ707" s="12">
        <v>8</v>
      </c>
      <c r="BA707" s="12">
        <f t="shared" si="169"/>
        <v>8</v>
      </c>
      <c r="BB707" s="12">
        <v>7</v>
      </c>
      <c r="BC707" s="12">
        <v>0</v>
      </c>
      <c r="BD707" s="12">
        <f t="shared" ref="BD707:BD770" si="178">IF(BC707&gt;$CD$33,$CD$33,BC707)</f>
        <v>0</v>
      </c>
      <c r="BE707" s="12">
        <v>7</v>
      </c>
      <c r="BF707" s="12">
        <f t="shared" si="170"/>
        <v>7</v>
      </c>
      <c r="BG707" s="12">
        <f t="shared" ref="BG707:BG770" si="179">BF707*Y707</f>
        <v>21</v>
      </c>
      <c r="BH707" s="67">
        <v>1</v>
      </c>
      <c r="BI707" s="67">
        <v>0</v>
      </c>
      <c r="BJ707" s="67">
        <v>0</v>
      </c>
      <c r="BK707" s="67">
        <v>0</v>
      </c>
      <c r="BL707" s="67">
        <v>1</v>
      </c>
      <c r="BM707" s="67">
        <v>0</v>
      </c>
      <c r="BN707" s="67">
        <v>0</v>
      </c>
      <c r="BO707" s="67">
        <v>0</v>
      </c>
      <c r="BP707" s="67">
        <v>0</v>
      </c>
      <c r="BQ707" s="67">
        <v>0</v>
      </c>
      <c r="BR707" s="67">
        <v>7</v>
      </c>
      <c r="BS707" s="67">
        <v>0</v>
      </c>
      <c r="BT707" s="67">
        <v>0</v>
      </c>
      <c r="BU707" s="70">
        <v>9</v>
      </c>
      <c r="BV707" s="29">
        <f t="shared" si="171"/>
        <v>0.29249816235076725</v>
      </c>
      <c r="BW707">
        <f t="shared" si="172"/>
        <v>0.80626709607243985</v>
      </c>
      <c r="BX707">
        <f t="shared" si="173"/>
        <v>0.29297722668510823</v>
      </c>
      <c r="BY707">
        <f t="shared" si="174"/>
        <v>0.16189221622713135</v>
      </c>
      <c r="BZ707">
        <f t="shared" si="175"/>
        <v>0.88721318382472392</v>
      </c>
      <c r="CA707">
        <f t="shared" si="176"/>
        <v>0.22726935890025346</v>
      </c>
      <c r="CB707">
        <f t="shared" si="177"/>
        <v>0.67891464284095016</v>
      </c>
    </row>
    <row r="708" spans="1:80" x14ac:dyDescent="0.45">
      <c r="A708" s="11">
        <v>40</v>
      </c>
      <c r="B708" s="12">
        <f t="shared" si="165"/>
        <v>40</v>
      </c>
      <c r="C708" s="12" t="s">
        <v>52</v>
      </c>
      <c r="D708" s="12">
        <v>1</v>
      </c>
      <c r="E708" s="12" t="s">
        <v>86</v>
      </c>
      <c r="F708" s="12">
        <v>0</v>
      </c>
      <c r="G708" s="12">
        <v>0</v>
      </c>
      <c r="H708" s="12" t="s">
        <v>54</v>
      </c>
      <c r="I708" s="12">
        <v>0</v>
      </c>
      <c r="J708" s="12">
        <v>1</v>
      </c>
      <c r="K708" s="12">
        <v>24</v>
      </c>
      <c r="L708" s="12">
        <f t="shared" si="166"/>
        <v>24</v>
      </c>
      <c r="M708" s="12">
        <v>3</v>
      </c>
      <c r="N708" s="12" t="s">
        <v>55</v>
      </c>
      <c r="O708" s="12">
        <v>1</v>
      </c>
      <c r="P708" s="12">
        <v>0</v>
      </c>
      <c r="Q708" s="12">
        <v>0</v>
      </c>
      <c r="R708" s="12">
        <v>0</v>
      </c>
      <c r="S708" s="12">
        <v>0</v>
      </c>
      <c r="T708" s="12">
        <v>2</v>
      </c>
      <c r="U708" s="12" t="s">
        <v>19</v>
      </c>
      <c r="V708" s="12">
        <v>1</v>
      </c>
      <c r="W708" s="12">
        <v>100</v>
      </c>
      <c r="X708" s="12">
        <v>4</v>
      </c>
      <c r="Y708" s="12">
        <v>4</v>
      </c>
      <c r="Z708" s="12" t="s">
        <v>56</v>
      </c>
      <c r="AA708" s="12">
        <v>0</v>
      </c>
      <c r="AB708" s="12">
        <v>1</v>
      </c>
      <c r="AC708" s="12">
        <v>0</v>
      </c>
      <c r="AD708" s="12">
        <v>0</v>
      </c>
      <c r="AE708" s="12">
        <v>0</v>
      </c>
      <c r="AF708" s="12">
        <v>0</v>
      </c>
      <c r="AG708" s="12">
        <v>0</v>
      </c>
      <c r="AH708" s="12">
        <v>0</v>
      </c>
      <c r="AI708" s="12">
        <v>2</v>
      </c>
      <c r="AJ708" s="12" t="s">
        <v>57</v>
      </c>
      <c r="AK708" s="12">
        <v>1</v>
      </c>
      <c r="AL708" s="12">
        <v>0</v>
      </c>
      <c r="AM708" s="12">
        <v>13194</v>
      </c>
      <c r="AN708" s="12">
        <f t="shared" si="167"/>
        <v>13194</v>
      </c>
      <c r="AO708" s="12">
        <v>4</v>
      </c>
      <c r="AP708" s="12" t="s">
        <v>52</v>
      </c>
      <c r="AQ708" s="12">
        <v>1</v>
      </c>
      <c r="AR708" s="12">
        <v>16</v>
      </c>
      <c r="AS708" s="12">
        <v>3</v>
      </c>
      <c r="AT708" s="12">
        <v>4</v>
      </c>
      <c r="AU708" s="12">
        <v>0</v>
      </c>
      <c r="AV708" s="12">
        <v>22</v>
      </c>
      <c r="AW708" s="12">
        <f t="shared" si="168"/>
        <v>22</v>
      </c>
      <c r="AX708" s="12">
        <v>2</v>
      </c>
      <c r="AY708" s="12">
        <v>2</v>
      </c>
      <c r="AZ708" s="12">
        <v>1</v>
      </c>
      <c r="BA708" s="12">
        <f t="shared" si="169"/>
        <v>1</v>
      </c>
      <c r="BB708" s="12">
        <v>0</v>
      </c>
      <c r="BC708" s="12">
        <v>0</v>
      </c>
      <c r="BD708" s="12">
        <f t="shared" si="178"/>
        <v>0</v>
      </c>
      <c r="BE708" s="12">
        <v>0</v>
      </c>
      <c r="BF708" s="12">
        <f t="shared" si="170"/>
        <v>0</v>
      </c>
      <c r="BG708" s="12">
        <f t="shared" si="179"/>
        <v>0</v>
      </c>
      <c r="BH708" s="67">
        <v>1</v>
      </c>
      <c r="BI708" s="67">
        <v>0</v>
      </c>
      <c r="BJ708" s="67">
        <v>0</v>
      </c>
      <c r="BK708" s="67">
        <v>0</v>
      </c>
      <c r="BL708" s="67">
        <v>0</v>
      </c>
      <c r="BM708" s="67">
        <v>1</v>
      </c>
      <c r="BN708" s="67">
        <v>0</v>
      </c>
      <c r="BO708" s="67">
        <v>0</v>
      </c>
      <c r="BP708" s="67">
        <v>0</v>
      </c>
      <c r="BQ708" s="67">
        <v>0</v>
      </c>
      <c r="BR708" s="67">
        <v>0</v>
      </c>
      <c r="BS708" s="67">
        <v>0</v>
      </c>
      <c r="BT708" s="67">
        <v>0</v>
      </c>
      <c r="BU708" s="70">
        <v>22</v>
      </c>
      <c r="BV708" s="29">
        <f t="shared" si="171"/>
        <v>1.4212256007753845</v>
      </c>
      <c r="BW708">
        <f t="shared" si="172"/>
        <v>1.1555414682655611</v>
      </c>
      <c r="BX708">
        <f t="shared" si="173"/>
        <v>1.3778060624681052</v>
      </c>
      <c r="BY708">
        <f t="shared" si="174"/>
        <v>0.9806804209314296</v>
      </c>
      <c r="BZ708">
        <f t="shared" si="175"/>
        <v>1.8265364014293735</v>
      </c>
      <c r="CA708">
        <f t="shared" si="176"/>
        <v>0.33673395837055903</v>
      </c>
      <c r="CB708">
        <f t="shared" si="177"/>
        <v>0.67891464284095016</v>
      </c>
    </row>
    <row r="709" spans="1:80" x14ac:dyDescent="0.45">
      <c r="A709" s="11">
        <v>47</v>
      </c>
      <c r="B709" s="12">
        <f t="shared" si="165"/>
        <v>47</v>
      </c>
      <c r="C709" s="12" t="s">
        <v>59</v>
      </c>
      <c r="D709" s="12">
        <v>0</v>
      </c>
      <c r="E709" s="12" t="s">
        <v>60</v>
      </c>
      <c r="F709" s="12">
        <v>1</v>
      </c>
      <c r="G709" s="12">
        <v>0</v>
      </c>
      <c r="H709" s="12" t="s">
        <v>61</v>
      </c>
      <c r="I709" s="12">
        <v>1</v>
      </c>
      <c r="J709" s="12">
        <v>0</v>
      </c>
      <c r="K709" s="12">
        <v>16</v>
      </c>
      <c r="L709" s="12">
        <f t="shared" si="166"/>
        <v>16</v>
      </c>
      <c r="M709" s="12">
        <v>4</v>
      </c>
      <c r="N709" s="12" t="s">
        <v>70</v>
      </c>
      <c r="O709" s="12">
        <v>0</v>
      </c>
      <c r="P709" s="12">
        <v>0</v>
      </c>
      <c r="Q709" s="12">
        <v>1</v>
      </c>
      <c r="R709" s="12">
        <v>0</v>
      </c>
      <c r="S709" s="12">
        <v>0</v>
      </c>
      <c r="T709" s="12">
        <v>3</v>
      </c>
      <c r="U709" s="12" t="s">
        <v>62</v>
      </c>
      <c r="V709" s="12">
        <v>0</v>
      </c>
      <c r="W709" s="12">
        <v>64</v>
      </c>
      <c r="X709" s="12">
        <v>4</v>
      </c>
      <c r="Y709" s="12">
        <v>2</v>
      </c>
      <c r="Z709" s="12" t="s">
        <v>83</v>
      </c>
      <c r="AA709" s="12">
        <v>0</v>
      </c>
      <c r="AB709" s="12">
        <v>0</v>
      </c>
      <c r="AC709" s="12">
        <v>0</v>
      </c>
      <c r="AD709" s="12">
        <v>0</v>
      </c>
      <c r="AE709" s="12">
        <v>1</v>
      </c>
      <c r="AF709" s="12">
        <v>1</v>
      </c>
      <c r="AG709" s="12">
        <v>0</v>
      </c>
      <c r="AH709" s="12">
        <v>0</v>
      </c>
      <c r="AI709" s="12">
        <v>3</v>
      </c>
      <c r="AJ709" s="12" t="s">
        <v>78</v>
      </c>
      <c r="AK709" s="12">
        <v>0</v>
      </c>
      <c r="AL709" s="12">
        <v>0</v>
      </c>
      <c r="AM709" s="12">
        <v>5067</v>
      </c>
      <c r="AN709" s="12">
        <f t="shared" si="167"/>
        <v>5067</v>
      </c>
      <c r="AO709" s="12">
        <v>1</v>
      </c>
      <c r="AP709" s="12" t="s">
        <v>52</v>
      </c>
      <c r="AQ709" s="12">
        <v>1</v>
      </c>
      <c r="AR709" s="12">
        <v>19</v>
      </c>
      <c r="AS709" s="12">
        <v>3</v>
      </c>
      <c r="AT709" s="12">
        <v>3</v>
      </c>
      <c r="AU709" s="12">
        <v>0</v>
      </c>
      <c r="AV709" s="12">
        <v>20</v>
      </c>
      <c r="AW709" s="12">
        <f t="shared" si="168"/>
        <v>20</v>
      </c>
      <c r="AX709" s="12">
        <v>3</v>
      </c>
      <c r="AY709" s="12">
        <v>4</v>
      </c>
      <c r="AZ709" s="12">
        <v>19</v>
      </c>
      <c r="BA709" s="12">
        <f t="shared" si="169"/>
        <v>19</v>
      </c>
      <c r="BB709" s="12">
        <v>10</v>
      </c>
      <c r="BC709" s="12">
        <v>2</v>
      </c>
      <c r="BD709" s="12">
        <f t="shared" si="178"/>
        <v>2</v>
      </c>
      <c r="BE709" s="12">
        <v>7</v>
      </c>
      <c r="BF709" s="12">
        <f t="shared" si="170"/>
        <v>7</v>
      </c>
      <c r="BG709" s="12">
        <f t="shared" si="179"/>
        <v>14</v>
      </c>
      <c r="BH709" s="67">
        <v>0</v>
      </c>
      <c r="BI709" s="67">
        <v>0</v>
      </c>
      <c r="BJ709" s="67">
        <v>1</v>
      </c>
      <c r="BK709" s="67">
        <v>0</v>
      </c>
      <c r="BL709" s="67">
        <v>0</v>
      </c>
      <c r="BM709" s="67">
        <v>1</v>
      </c>
      <c r="BN709" s="67">
        <v>0</v>
      </c>
      <c r="BO709" s="67">
        <v>0</v>
      </c>
      <c r="BP709" s="67">
        <v>0</v>
      </c>
      <c r="BQ709" s="67">
        <v>7</v>
      </c>
      <c r="BR709" s="67">
        <v>0</v>
      </c>
      <c r="BS709" s="67">
        <v>0</v>
      </c>
      <c r="BT709" s="67">
        <v>20</v>
      </c>
      <c r="BU709" s="70">
        <v>0</v>
      </c>
      <c r="BV709" s="29">
        <f t="shared" si="171"/>
        <v>0.30500095023644541</v>
      </c>
      <c r="BW709">
        <f t="shared" si="172"/>
        <v>0.80626709607243985</v>
      </c>
      <c r="BX709">
        <f t="shared" si="173"/>
        <v>1.120762479521457</v>
      </c>
      <c r="BY709">
        <f t="shared" si="174"/>
        <v>1.9573635031905841</v>
      </c>
      <c r="BZ709">
        <f t="shared" si="175"/>
        <v>0.83971837042788355</v>
      </c>
      <c r="CA709">
        <f t="shared" si="176"/>
        <v>1.102986154662698</v>
      </c>
      <c r="CB709">
        <f t="shared" si="177"/>
        <v>5.8265062631872602E-2</v>
      </c>
    </row>
    <row r="710" spans="1:80" x14ac:dyDescent="0.45">
      <c r="A710" s="11">
        <v>36</v>
      </c>
      <c r="B710" s="12">
        <f t="shared" si="165"/>
        <v>36</v>
      </c>
      <c r="C710" s="12" t="s">
        <v>59</v>
      </c>
      <c r="D710" s="12">
        <v>0</v>
      </c>
      <c r="E710" s="12" t="s">
        <v>86</v>
      </c>
      <c r="F710" s="12">
        <v>0</v>
      </c>
      <c r="G710" s="12">
        <v>0</v>
      </c>
      <c r="H710" s="12" t="s">
        <v>54</v>
      </c>
      <c r="I710" s="12">
        <v>0</v>
      </c>
      <c r="J710" s="12">
        <v>1</v>
      </c>
      <c r="K710" s="12">
        <v>8</v>
      </c>
      <c r="L710" s="12">
        <f t="shared" si="166"/>
        <v>8</v>
      </c>
      <c r="M710" s="12">
        <v>4</v>
      </c>
      <c r="N710" s="12" t="s">
        <v>91</v>
      </c>
      <c r="O710" s="12">
        <v>0</v>
      </c>
      <c r="P710" s="12">
        <v>0</v>
      </c>
      <c r="Q710" s="12">
        <v>0</v>
      </c>
      <c r="R710" s="12">
        <v>0</v>
      </c>
      <c r="S710" s="12">
        <v>1</v>
      </c>
      <c r="T710" s="12">
        <v>1</v>
      </c>
      <c r="U710" s="12" t="s">
        <v>62</v>
      </c>
      <c r="V710" s="12">
        <v>0</v>
      </c>
      <c r="W710" s="12">
        <v>84</v>
      </c>
      <c r="X710" s="12">
        <v>3</v>
      </c>
      <c r="Y710" s="12">
        <v>2</v>
      </c>
      <c r="Z710" s="12" t="s">
        <v>56</v>
      </c>
      <c r="AA710" s="12">
        <v>0</v>
      </c>
      <c r="AB710" s="12">
        <v>1</v>
      </c>
      <c r="AC710" s="12">
        <v>0</v>
      </c>
      <c r="AD710" s="12">
        <v>0</v>
      </c>
      <c r="AE710" s="12">
        <v>0</v>
      </c>
      <c r="AF710" s="12">
        <v>0</v>
      </c>
      <c r="AG710" s="12">
        <v>0</v>
      </c>
      <c r="AH710" s="12">
        <v>0</v>
      </c>
      <c r="AI710" s="12">
        <v>4</v>
      </c>
      <c r="AJ710" s="12" t="s">
        <v>78</v>
      </c>
      <c r="AK710" s="12">
        <v>0</v>
      </c>
      <c r="AL710" s="12">
        <v>0</v>
      </c>
      <c r="AM710" s="12">
        <v>5079</v>
      </c>
      <c r="AN710" s="12">
        <f t="shared" si="167"/>
        <v>5079</v>
      </c>
      <c r="AO710" s="12">
        <v>4</v>
      </c>
      <c r="AP710" s="12" t="s">
        <v>59</v>
      </c>
      <c r="AQ710" s="12">
        <v>0</v>
      </c>
      <c r="AR710" s="12">
        <v>13</v>
      </c>
      <c r="AS710" s="12">
        <v>3</v>
      </c>
      <c r="AT710" s="12">
        <v>4</v>
      </c>
      <c r="AU710" s="12">
        <v>2</v>
      </c>
      <c r="AV710" s="12">
        <v>12</v>
      </c>
      <c r="AW710" s="12">
        <f t="shared" si="168"/>
        <v>12</v>
      </c>
      <c r="AX710" s="12">
        <v>3</v>
      </c>
      <c r="AY710" s="12">
        <v>3</v>
      </c>
      <c r="AZ710" s="12">
        <v>7</v>
      </c>
      <c r="BA710" s="12">
        <f t="shared" si="169"/>
        <v>7</v>
      </c>
      <c r="BB710" s="12">
        <v>7</v>
      </c>
      <c r="BC710" s="12">
        <v>0</v>
      </c>
      <c r="BD710" s="12">
        <f t="shared" si="178"/>
        <v>0</v>
      </c>
      <c r="BE710" s="12">
        <v>7</v>
      </c>
      <c r="BF710" s="12">
        <f t="shared" si="170"/>
        <v>7</v>
      </c>
      <c r="BG710" s="12">
        <f t="shared" si="179"/>
        <v>14</v>
      </c>
      <c r="BH710" s="67">
        <v>1</v>
      </c>
      <c r="BI710" s="67">
        <v>0</v>
      </c>
      <c r="BJ710" s="67">
        <v>0</v>
      </c>
      <c r="BK710" s="67">
        <v>0</v>
      </c>
      <c r="BL710" s="67">
        <v>1</v>
      </c>
      <c r="BM710" s="67">
        <v>0</v>
      </c>
      <c r="BN710" s="67">
        <v>0</v>
      </c>
      <c r="BO710" s="67">
        <v>0</v>
      </c>
      <c r="BP710" s="67">
        <v>0</v>
      </c>
      <c r="BQ710" s="67">
        <v>0</v>
      </c>
      <c r="BR710" s="67">
        <v>7</v>
      </c>
      <c r="BS710" s="67">
        <v>0</v>
      </c>
      <c r="BT710" s="67">
        <v>0</v>
      </c>
      <c r="BU710" s="70">
        <v>12</v>
      </c>
      <c r="BV710" s="29">
        <f t="shared" si="171"/>
        <v>0.30245207382299127</v>
      </c>
      <c r="BW710">
        <f t="shared" si="172"/>
        <v>0.80626709607243985</v>
      </c>
      <c r="BX710">
        <f t="shared" si="173"/>
        <v>9.2588147734864096E-2</v>
      </c>
      <c r="BY710">
        <f t="shared" si="174"/>
        <v>1.3324462240916321E-3</v>
      </c>
      <c r="BZ710">
        <f t="shared" si="175"/>
        <v>0.14709966057360641</v>
      </c>
      <c r="CA710">
        <f t="shared" si="176"/>
        <v>0.10112443951066327</v>
      </c>
      <c r="CB710">
        <f t="shared" si="177"/>
        <v>0.67891464284095016</v>
      </c>
    </row>
    <row r="711" spans="1:80" x14ac:dyDescent="0.45">
      <c r="A711" s="11">
        <v>31</v>
      </c>
      <c r="B711" s="12">
        <f t="shared" si="165"/>
        <v>31</v>
      </c>
      <c r="C711" s="12" t="s">
        <v>52</v>
      </c>
      <c r="D711" s="12">
        <v>1</v>
      </c>
      <c r="E711" s="12" t="s">
        <v>86</v>
      </c>
      <c r="F711" s="12">
        <v>0</v>
      </c>
      <c r="G711" s="12">
        <v>0</v>
      </c>
      <c r="H711" s="12" t="s">
        <v>61</v>
      </c>
      <c r="I711" s="12">
        <v>1</v>
      </c>
      <c r="J711" s="12">
        <v>0</v>
      </c>
      <c r="K711" s="12">
        <v>9</v>
      </c>
      <c r="L711" s="12">
        <f t="shared" si="166"/>
        <v>9</v>
      </c>
      <c r="M711" s="12">
        <v>2</v>
      </c>
      <c r="N711" s="12" t="s">
        <v>70</v>
      </c>
      <c r="O711" s="12">
        <v>0</v>
      </c>
      <c r="P711" s="12">
        <v>0</v>
      </c>
      <c r="Q711" s="12">
        <v>1</v>
      </c>
      <c r="R711" s="12">
        <v>0</v>
      </c>
      <c r="S711" s="12">
        <v>0</v>
      </c>
      <c r="T711" s="12">
        <v>3</v>
      </c>
      <c r="U711" s="12" t="s">
        <v>62</v>
      </c>
      <c r="V711" s="12">
        <v>0</v>
      </c>
      <c r="W711" s="12">
        <v>46</v>
      </c>
      <c r="X711" s="12">
        <v>2</v>
      </c>
      <c r="Y711" s="12">
        <v>1</v>
      </c>
      <c r="Z711" s="12" t="s">
        <v>63</v>
      </c>
      <c r="AA711" s="12">
        <v>0</v>
      </c>
      <c r="AB711" s="12">
        <v>0</v>
      </c>
      <c r="AC711" s="12">
        <v>0</v>
      </c>
      <c r="AD711" s="12">
        <v>0</v>
      </c>
      <c r="AE711" s="12">
        <v>0</v>
      </c>
      <c r="AF711" s="12">
        <v>0</v>
      </c>
      <c r="AG711" s="12">
        <v>0</v>
      </c>
      <c r="AH711" s="12">
        <v>1</v>
      </c>
      <c r="AI711" s="12">
        <v>1</v>
      </c>
      <c r="AJ711" s="12" t="s">
        <v>57</v>
      </c>
      <c r="AK711" s="12">
        <v>1</v>
      </c>
      <c r="AL711" s="12">
        <v>0</v>
      </c>
      <c r="AM711" s="12">
        <v>2321</v>
      </c>
      <c r="AN711" s="12">
        <f t="shared" si="167"/>
        <v>2321</v>
      </c>
      <c r="AO711" s="12">
        <v>0</v>
      </c>
      <c r="AP711" s="12" t="s">
        <v>52</v>
      </c>
      <c r="AQ711" s="12">
        <v>1</v>
      </c>
      <c r="AR711" s="12">
        <v>22</v>
      </c>
      <c r="AS711" s="12">
        <v>4</v>
      </c>
      <c r="AT711" s="12">
        <v>1</v>
      </c>
      <c r="AU711" s="12">
        <v>0</v>
      </c>
      <c r="AV711" s="12">
        <v>4</v>
      </c>
      <c r="AW711" s="12">
        <f t="shared" si="168"/>
        <v>4</v>
      </c>
      <c r="AX711" s="12">
        <v>0</v>
      </c>
      <c r="AY711" s="12">
        <v>3</v>
      </c>
      <c r="AZ711" s="12">
        <v>3</v>
      </c>
      <c r="BA711" s="12">
        <f t="shared" si="169"/>
        <v>3</v>
      </c>
      <c r="BB711" s="12">
        <v>2</v>
      </c>
      <c r="BC711" s="12">
        <v>1</v>
      </c>
      <c r="BD711" s="12">
        <f t="shared" si="178"/>
        <v>1</v>
      </c>
      <c r="BE711" s="12">
        <v>2</v>
      </c>
      <c r="BF711" s="12">
        <f t="shared" si="170"/>
        <v>2</v>
      </c>
      <c r="BG711" s="12">
        <f t="shared" si="179"/>
        <v>2</v>
      </c>
      <c r="BH711" s="67">
        <v>1</v>
      </c>
      <c r="BI711" s="67">
        <v>0</v>
      </c>
      <c r="BJ711" s="67">
        <v>0</v>
      </c>
      <c r="BK711" s="67">
        <v>0</v>
      </c>
      <c r="BL711" s="67">
        <v>0</v>
      </c>
      <c r="BM711" s="67">
        <v>1</v>
      </c>
      <c r="BN711" s="67">
        <v>0</v>
      </c>
      <c r="BO711" s="67">
        <v>0</v>
      </c>
      <c r="BP711" s="67">
        <v>0</v>
      </c>
      <c r="BQ711" s="67">
        <v>2</v>
      </c>
      <c r="BR711" s="67">
        <v>0</v>
      </c>
      <c r="BS711" s="67">
        <v>0</v>
      </c>
      <c r="BT711" s="67">
        <v>4</v>
      </c>
      <c r="BU711" s="70">
        <v>0</v>
      </c>
      <c r="BV711" s="29">
        <f t="shared" si="171"/>
        <v>0.88826883618187236</v>
      </c>
      <c r="BW711">
        <f t="shared" si="172"/>
        <v>0.59502473559756086</v>
      </c>
      <c r="BX711">
        <f t="shared" si="173"/>
        <v>0.93558618405172878</v>
      </c>
      <c r="BY711">
        <f t="shared" si="174"/>
        <v>0.65423109602898355</v>
      </c>
      <c r="BZ711">
        <f t="shared" si="175"/>
        <v>2.3747406698420157E-2</v>
      </c>
      <c r="CA711">
        <f t="shared" si="176"/>
        <v>0.6484474368621912</v>
      </c>
      <c r="CB711">
        <f t="shared" si="177"/>
        <v>0.36858985273641137</v>
      </c>
    </row>
    <row r="712" spans="1:80" x14ac:dyDescent="0.45">
      <c r="A712" s="11">
        <v>33</v>
      </c>
      <c r="B712" s="12">
        <f t="shared" si="165"/>
        <v>33</v>
      </c>
      <c r="C712" s="12" t="s">
        <v>59</v>
      </c>
      <c r="D712" s="12">
        <v>0</v>
      </c>
      <c r="E712" s="12" t="s">
        <v>86</v>
      </c>
      <c r="F712" s="12">
        <v>0</v>
      </c>
      <c r="G712" s="12">
        <v>0</v>
      </c>
      <c r="H712" s="12" t="s">
        <v>54</v>
      </c>
      <c r="I712" s="12">
        <v>0</v>
      </c>
      <c r="J712" s="12">
        <v>1</v>
      </c>
      <c r="K712" s="12">
        <v>17</v>
      </c>
      <c r="L712" s="12">
        <f t="shared" si="166"/>
        <v>17</v>
      </c>
      <c r="M712" s="12">
        <v>3</v>
      </c>
      <c r="N712" s="12" t="s">
        <v>55</v>
      </c>
      <c r="O712" s="12">
        <v>1</v>
      </c>
      <c r="P712" s="12">
        <v>0</v>
      </c>
      <c r="Q712" s="12">
        <v>0</v>
      </c>
      <c r="R712" s="12">
        <v>0</v>
      </c>
      <c r="S712" s="12">
        <v>0</v>
      </c>
      <c r="T712" s="12">
        <v>4</v>
      </c>
      <c r="U712" s="12" t="s">
        <v>62</v>
      </c>
      <c r="V712" s="12">
        <v>0</v>
      </c>
      <c r="W712" s="12">
        <v>38</v>
      </c>
      <c r="X712" s="12">
        <v>3</v>
      </c>
      <c r="Y712" s="12">
        <v>4</v>
      </c>
      <c r="Z712" s="12" t="s">
        <v>87</v>
      </c>
      <c r="AA712" s="12">
        <v>0</v>
      </c>
      <c r="AB712" s="12">
        <v>0</v>
      </c>
      <c r="AC712" s="12">
        <v>0</v>
      </c>
      <c r="AD712" s="12">
        <v>1</v>
      </c>
      <c r="AE712" s="12">
        <v>0</v>
      </c>
      <c r="AF712" s="12">
        <v>0</v>
      </c>
      <c r="AG712" s="12">
        <v>0</v>
      </c>
      <c r="AH712" s="12">
        <v>0</v>
      </c>
      <c r="AI712" s="12">
        <v>3</v>
      </c>
      <c r="AJ712" s="12" t="s">
        <v>57</v>
      </c>
      <c r="AK712" s="12">
        <v>1</v>
      </c>
      <c r="AL712" s="12">
        <v>0</v>
      </c>
      <c r="AM712" s="12">
        <v>17444</v>
      </c>
      <c r="AN712" s="12">
        <f t="shared" si="167"/>
        <v>17444</v>
      </c>
      <c r="AO712" s="12">
        <v>1</v>
      </c>
      <c r="AP712" s="12" t="s">
        <v>59</v>
      </c>
      <c r="AQ712" s="12">
        <v>0</v>
      </c>
      <c r="AR712" s="12">
        <v>11</v>
      </c>
      <c r="AS712" s="12">
        <v>3</v>
      </c>
      <c r="AT712" s="12">
        <v>4</v>
      </c>
      <c r="AU712" s="12">
        <v>0</v>
      </c>
      <c r="AV712" s="12">
        <v>10</v>
      </c>
      <c r="AW712" s="12">
        <f t="shared" si="168"/>
        <v>10</v>
      </c>
      <c r="AX712" s="12">
        <v>2</v>
      </c>
      <c r="AY712" s="12">
        <v>3</v>
      </c>
      <c r="AZ712" s="12">
        <v>10</v>
      </c>
      <c r="BA712" s="12">
        <f t="shared" si="169"/>
        <v>10</v>
      </c>
      <c r="BB712" s="12">
        <v>8</v>
      </c>
      <c r="BC712" s="12">
        <v>6</v>
      </c>
      <c r="BD712" s="12">
        <f t="shared" si="178"/>
        <v>6</v>
      </c>
      <c r="BE712" s="12">
        <v>0</v>
      </c>
      <c r="BF712" s="12">
        <f t="shared" si="170"/>
        <v>0</v>
      </c>
      <c r="BG712" s="12">
        <f t="shared" si="179"/>
        <v>0</v>
      </c>
      <c r="BH712" s="67">
        <v>1</v>
      </c>
      <c r="BI712" s="67">
        <v>0</v>
      </c>
      <c r="BJ712" s="67">
        <v>0</v>
      </c>
      <c r="BK712" s="67">
        <v>0</v>
      </c>
      <c r="BL712" s="67">
        <v>1</v>
      </c>
      <c r="BM712" s="67">
        <v>0</v>
      </c>
      <c r="BN712" s="67">
        <v>0</v>
      </c>
      <c r="BO712" s="67">
        <v>0</v>
      </c>
      <c r="BP712" s="67">
        <v>0</v>
      </c>
      <c r="BQ712" s="67">
        <v>0</v>
      </c>
      <c r="BR712" s="67">
        <v>0</v>
      </c>
      <c r="BS712" s="67">
        <v>0</v>
      </c>
      <c r="BT712" s="67">
        <v>0</v>
      </c>
      <c r="BU712" s="70">
        <v>10</v>
      </c>
      <c r="BV712" s="29">
        <f t="shared" si="171"/>
        <v>2.3239526638737327</v>
      </c>
      <c r="BW712">
        <f t="shared" si="172"/>
        <v>1.1555414682655611</v>
      </c>
      <c r="BX712">
        <f t="shared" si="173"/>
        <v>0.1644554352117841</v>
      </c>
      <c r="BY712">
        <f t="shared" si="174"/>
        <v>0.48834154112957734</v>
      </c>
      <c r="BZ712">
        <f t="shared" si="175"/>
        <v>0.96307062430306978</v>
      </c>
      <c r="CA712">
        <f t="shared" si="176"/>
        <v>0.42951823792158</v>
      </c>
      <c r="CB712">
        <f t="shared" si="177"/>
        <v>1.1830340977862825</v>
      </c>
    </row>
    <row r="713" spans="1:80" x14ac:dyDescent="0.45">
      <c r="A713" s="11">
        <v>29</v>
      </c>
      <c r="B713" s="12">
        <f t="shared" si="165"/>
        <v>29</v>
      </c>
      <c r="C713" s="12" t="s">
        <v>52</v>
      </c>
      <c r="D713" s="12">
        <v>1</v>
      </c>
      <c r="E713" s="12" t="s">
        <v>53</v>
      </c>
      <c r="F713" s="12">
        <v>0</v>
      </c>
      <c r="G713" s="12">
        <v>1</v>
      </c>
      <c r="H713" s="12" t="s">
        <v>61</v>
      </c>
      <c r="I713" s="12">
        <v>1</v>
      </c>
      <c r="J713" s="12">
        <v>0</v>
      </c>
      <c r="K713" s="12">
        <v>10</v>
      </c>
      <c r="L713" s="12">
        <f t="shared" si="166"/>
        <v>10</v>
      </c>
      <c r="M713" s="12">
        <v>3</v>
      </c>
      <c r="N713" s="12" t="s">
        <v>55</v>
      </c>
      <c r="O713" s="12">
        <v>1</v>
      </c>
      <c r="P713" s="12">
        <v>0</v>
      </c>
      <c r="Q713" s="12">
        <v>0</v>
      </c>
      <c r="R713" s="12">
        <v>0</v>
      </c>
      <c r="S713" s="12">
        <v>0</v>
      </c>
      <c r="T713" s="12">
        <v>4</v>
      </c>
      <c r="U713" s="12" t="s">
        <v>19</v>
      </c>
      <c r="V713" s="12">
        <v>1</v>
      </c>
      <c r="W713" s="12">
        <v>92</v>
      </c>
      <c r="X713" s="12">
        <v>2</v>
      </c>
      <c r="Y713" s="12">
        <v>1</v>
      </c>
      <c r="Z713" s="12" t="s">
        <v>63</v>
      </c>
      <c r="AA713" s="12">
        <v>0</v>
      </c>
      <c r="AB713" s="12">
        <v>0</v>
      </c>
      <c r="AC713" s="12">
        <v>0</v>
      </c>
      <c r="AD713" s="12">
        <v>0</v>
      </c>
      <c r="AE713" s="12">
        <v>0</v>
      </c>
      <c r="AF713" s="12">
        <v>0</v>
      </c>
      <c r="AG713" s="12">
        <v>0</v>
      </c>
      <c r="AH713" s="12">
        <v>1</v>
      </c>
      <c r="AI713" s="12">
        <v>1</v>
      </c>
      <c r="AJ713" s="12" t="s">
        <v>57</v>
      </c>
      <c r="AK713" s="12">
        <v>1</v>
      </c>
      <c r="AL713" s="12">
        <v>0</v>
      </c>
      <c r="AM713" s="12">
        <v>2404</v>
      </c>
      <c r="AN713" s="12">
        <f t="shared" si="167"/>
        <v>2404</v>
      </c>
      <c r="AO713" s="12">
        <v>6</v>
      </c>
      <c r="AP713" s="12" t="s">
        <v>52</v>
      </c>
      <c r="AQ713" s="12">
        <v>1</v>
      </c>
      <c r="AR713" s="12">
        <v>20</v>
      </c>
      <c r="AS713" s="12">
        <v>4</v>
      </c>
      <c r="AT713" s="12">
        <v>3</v>
      </c>
      <c r="AU713" s="12">
        <v>0</v>
      </c>
      <c r="AV713" s="12">
        <v>3</v>
      </c>
      <c r="AW713" s="12">
        <f t="shared" si="168"/>
        <v>3</v>
      </c>
      <c r="AX713" s="12">
        <v>5</v>
      </c>
      <c r="AY713" s="12">
        <v>3</v>
      </c>
      <c r="AZ713" s="12">
        <v>0</v>
      </c>
      <c r="BA713" s="12">
        <f t="shared" si="169"/>
        <v>0</v>
      </c>
      <c r="BB713" s="12">
        <v>0</v>
      </c>
      <c r="BC713" s="12">
        <v>0</v>
      </c>
      <c r="BD713" s="12">
        <f t="shared" si="178"/>
        <v>0</v>
      </c>
      <c r="BE713" s="12">
        <v>0</v>
      </c>
      <c r="BF713" s="12">
        <f t="shared" si="170"/>
        <v>0</v>
      </c>
      <c r="BG713" s="12">
        <f t="shared" si="179"/>
        <v>0</v>
      </c>
      <c r="BH713" s="67">
        <v>1</v>
      </c>
      <c r="BI713" s="67">
        <v>0</v>
      </c>
      <c r="BJ713" s="67">
        <v>0</v>
      </c>
      <c r="BK713" s="67">
        <v>0</v>
      </c>
      <c r="BL713" s="67">
        <v>0</v>
      </c>
      <c r="BM713" s="67">
        <v>1</v>
      </c>
      <c r="BN713" s="67">
        <v>0</v>
      </c>
      <c r="BO713" s="67">
        <v>0</v>
      </c>
      <c r="BP713" s="67">
        <v>0</v>
      </c>
      <c r="BQ713" s="67">
        <v>0</v>
      </c>
      <c r="BR713" s="67">
        <v>0</v>
      </c>
      <c r="BS713" s="67">
        <v>0</v>
      </c>
      <c r="BT713" s="67">
        <v>3</v>
      </c>
      <c r="BU713" s="70">
        <v>0</v>
      </c>
      <c r="BV713" s="29">
        <f t="shared" si="171"/>
        <v>0.87063910765548114</v>
      </c>
      <c r="BW713">
        <f t="shared" si="172"/>
        <v>1.1555414682655611</v>
      </c>
      <c r="BX713">
        <f t="shared" si="173"/>
        <v>1.0641079755250529</v>
      </c>
      <c r="BY713">
        <f t="shared" si="174"/>
        <v>1.1439050833826525</v>
      </c>
      <c r="BZ713">
        <f t="shared" si="175"/>
        <v>9.9604847176766084E-2</v>
      </c>
      <c r="CA713">
        <f t="shared" si="176"/>
        <v>0.86737663580280233</v>
      </c>
      <c r="CB713">
        <f t="shared" si="177"/>
        <v>0.67891464284095016</v>
      </c>
    </row>
    <row r="714" spans="1:80" x14ac:dyDescent="0.45">
      <c r="A714" s="11">
        <v>33</v>
      </c>
      <c r="B714" s="12">
        <f t="shared" si="165"/>
        <v>33</v>
      </c>
      <c r="C714" s="12" t="s">
        <v>59</v>
      </c>
      <c r="D714" s="12">
        <v>0</v>
      </c>
      <c r="E714" s="12" t="s">
        <v>53</v>
      </c>
      <c r="F714" s="12">
        <v>0</v>
      </c>
      <c r="G714" s="12">
        <v>1</v>
      </c>
      <c r="H714" s="12" t="s">
        <v>61</v>
      </c>
      <c r="I714" s="12">
        <v>1</v>
      </c>
      <c r="J714" s="12">
        <v>0</v>
      </c>
      <c r="K714" s="12">
        <v>13</v>
      </c>
      <c r="L714" s="12">
        <f t="shared" si="166"/>
        <v>13</v>
      </c>
      <c r="M714" s="12">
        <v>1</v>
      </c>
      <c r="N714" s="12" t="s">
        <v>55</v>
      </c>
      <c r="O714" s="12">
        <v>1</v>
      </c>
      <c r="P714" s="12">
        <v>0</v>
      </c>
      <c r="Q714" s="12">
        <v>0</v>
      </c>
      <c r="R714" s="12">
        <v>0</v>
      </c>
      <c r="S714" s="12">
        <v>0</v>
      </c>
      <c r="T714" s="12">
        <v>2</v>
      </c>
      <c r="U714" s="12" t="s">
        <v>19</v>
      </c>
      <c r="V714" s="12">
        <v>1</v>
      </c>
      <c r="W714" s="12">
        <v>53</v>
      </c>
      <c r="X714" s="12">
        <v>3</v>
      </c>
      <c r="Y714" s="12">
        <v>1</v>
      </c>
      <c r="Z714" s="12" t="s">
        <v>63</v>
      </c>
      <c r="AA714" s="12">
        <v>0</v>
      </c>
      <c r="AB714" s="12">
        <v>0</v>
      </c>
      <c r="AC714" s="12">
        <v>0</v>
      </c>
      <c r="AD714" s="12">
        <v>0</v>
      </c>
      <c r="AE714" s="12">
        <v>0</v>
      </c>
      <c r="AF714" s="12">
        <v>0</v>
      </c>
      <c r="AG714" s="12">
        <v>0</v>
      </c>
      <c r="AH714" s="12">
        <v>1</v>
      </c>
      <c r="AI714" s="12">
        <v>4</v>
      </c>
      <c r="AJ714" s="12" t="s">
        <v>57</v>
      </c>
      <c r="AK714" s="12">
        <v>1</v>
      </c>
      <c r="AL714" s="12">
        <v>0</v>
      </c>
      <c r="AM714" s="12">
        <v>3452</v>
      </c>
      <c r="AN714" s="12">
        <f t="shared" si="167"/>
        <v>3452</v>
      </c>
      <c r="AO714" s="12">
        <v>3</v>
      </c>
      <c r="AP714" s="12" t="s">
        <v>59</v>
      </c>
      <c r="AQ714" s="12">
        <v>0</v>
      </c>
      <c r="AR714" s="12">
        <v>18</v>
      </c>
      <c r="AS714" s="12">
        <v>3</v>
      </c>
      <c r="AT714" s="12">
        <v>1</v>
      </c>
      <c r="AU714" s="12">
        <v>0</v>
      </c>
      <c r="AV714" s="12">
        <v>5</v>
      </c>
      <c r="AW714" s="12">
        <f t="shared" si="168"/>
        <v>5</v>
      </c>
      <c r="AX714" s="12">
        <v>4</v>
      </c>
      <c r="AY714" s="12">
        <v>3</v>
      </c>
      <c r="AZ714" s="12">
        <v>3</v>
      </c>
      <c r="BA714" s="12">
        <f t="shared" si="169"/>
        <v>3</v>
      </c>
      <c r="BB714" s="12">
        <v>2</v>
      </c>
      <c r="BC714" s="12">
        <v>0</v>
      </c>
      <c r="BD714" s="12">
        <f t="shared" si="178"/>
        <v>0</v>
      </c>
      <c r="BE714" s="12">
        <v>2</v>
      </c>
      <c r="BF714" s="12">
        <f t="shared" si="170"/>
        <v>2</v>
      </c>
      <c r="BG714" s="12">
        <f t="shared" si="179"/>
        <v>2</v>
      </c>
      <c r="BH714" s="67">
        <v>1</v>
      </c>
      <c r="BI714" s="67">
        <v>0</v>
      </c>
      <c r="BJ714" s="67">
        <v>0</v>
      </c>
      <c r="BK714" s="67">
        <v>0</v>
      </c>
      <c r="BL714" s="67">
        <v>1</v>
      </c>
      <c r="BM714" s="67">
        <v>0</v>
      </c>
      <c r="BN714" s="67">
        <v>0</v>
      </c>
      <c r="BO714" s="67">
        <v>0</v>
      </c>
      <c r="BP714" s="67">
        <v>0</v>
      </c>
      <c r="BQ714" s="67">
        <v>2</v>
      </c>
      <c r="BR714" s="67">
        <v>0</v>
      </c>
      <c r="BS714" s="67">
        <v>0</v>
      </c>
      <c r="BT714" s="67">
        <v>5</v>
      </c>
      <c r="BU714" s="70">
        <v>0</v>
      </c>
      <c r="BV714" s="29">
        <f t="shared" si="171"/>
        <v>0.64803723421381776</v>
      </c>
      <c r="BW714">
        <f t="shared" si="172"/>
        <v>0.59502473559756086</v>
      </c>
      <c r="BX714">
        <f t="shared" si="173"/>
        <v>0.80706439257840468</v>
      </c>
      <c r="BY714">
        <f t="shared" si="174"/>
        <v>0.65423109602898355</v>
      </c>
      <c r="BZ714">
        <f t="shared" si="175"/>
        <v>0.46966160880232483</v>
      </c>
      <c r="CA714">
        <f t="shared" si="176"/>
        <v>0.42951823792158</v>
      </c>
      <c r="CB714">
        <f t="shared" si="177"/>
        <v>0.67891464284095016</v>
      </c>
    </row>
    <row r="715" spans="1:80" x14ac:dyDescent="0.45">
      <c r="A715" s="11">
        <v>45</v>
      </c>
      <c r="B715" s="12">
        <f t="shared" si="165"/>
        <v>45</v>
      </c>
      <c r="C715" s="12" t="s">
        <v>59</v>
      </c>
      <c r="D715" s="12">
        <v>0</v>
      </c>
      <c r="E715" s="12" t="s">
        <v>53</v>
      </c>
      <c r="F715" s="12">
        <v>0</v>
      </c>
      <c r="G715" s="12">
        <v>1</v>
      </c>
      <c r="H715" s="12" t="s">
        <v>61</v>
      </c>
      <c r="I715" s="12">
        <v>1</v>
      </c>
      <c r="J715" s="12">
        <v>0</v>
      </c>
      <c r="K715" s="12">
        <v>1</v>
      </c>
      <c r="L715" s="12">
        <f t="shared" si="166"/>
        <v>1</v>
      </c>
      <c r="M715" s="12">
        <v>4</v>
      </c>
      <c r="N715" s="12" t="s">
        <v>70</v>
      </c>
      <c r="O715" s="12">
        <v>0</v>
      </c>
      <c r="P715" s="12">
        <v>0</v>
      </c>
      <c r="Q715" s="12">
        <v>1</v>
      </c>
      <c r="R715" s="12">
        <v>0</v>
      </c>
      <c r="S715" s="12">
        <v>0</v>
      </c>
      <c r="T715" s="12">
        <v>4</v>
      </c>
      <c r="U715" s="12" t="s">
        <v>19</v>
      </c>
      <c r="V715" s="12">
        <v>1</v>
      </c>
      <c r="W715" s="12">
        <v>91</v>
      </c>
      <c r="X715" s="12">
        <v>3</v>
      </c>
      <c r="Y715" s="12">
        <v>1</v>
      </c>
      <c r="Z715" s="12" t="s">
        <v>67</v>
      </c>
      <c r="AA715" s="12">
        <v>0</v>
      </c>
      <c r="AB715" s="12">
        <v>0</v>
      </c>
      <c r="AC715" s="12">
        <v>1</v>
      </c>
      <c r="AD715" s="12">
        <v>0</v>
      </c>
      <c r="AE715" s="12">
        <v>0</v>
      </c>
      <c r="AF715" s="12">
        <v>0</v>
      </c>
      <c r="AG715" s="12">
        <v>0</v>
      </c>
      <c r="AH715" s="12">
        <v>0</v>
      </c>
      <c r="AI715" s="12">
        <v>4</v>
      </c>
      <c r="AJ715" s="12" t="s">
        <v>78</v>
      </c>
      <c r="AK715" s="12">
        <v>0</v>
      </c>
      <c r="AL715" s="12">
        <v>0</v>
      </c>
      <c r="AM715" s="12">
        <v>2270</v>
      </c>
      <c r="AN715" s="12">
        <f t="shared" si="167"/>
        <v>2270</v>
      </c>
      <c r="AO715" s="12">
        <v>3</v>
      </c>
      <c r="AP715" s="12" t="s">
        <v>59</v>
      </c>
      <c r="AQ715" s="12">
        <v>0</v>
      </c>
      <c r="AR715" s="12">
        <v>14</v>
      </c>
      <c r="AS715" s="12">
        <v>3</v>
      </c>
      <c r="AT715" s="12">
        <v>4</v>
      </c>
      <c r="AU715" s="12">
        <v>2</v>
      </c>
      <c r="AV715" s="12">
        <v>8</v>
      </c>
      <c r="AW715" s="12">
        <f t="shared" si="168"/>
        <v>8</v>
      </c>
      <c r="AX715" s="12">
        <v>2</v>
      </c>
      <c r="AY715" s="12">
        <v>3</v>
      </c>
      <c r="AZ715" s="12">
        <v>5</v>
      </c>
      <c r="BA715" s="12">
        <f t="shared" si="169"/>
        <v>5</v>
      </c>
      <c r="BB715" s="12">
        <v>3</v>
      </c>
      <c r="BC715" s="12">
        <v>0</v>
      </c>
      <c r="BD715" s="12">
        <f t="shared" si="178"/>
        <v>0</v>
      </c>
      <c r="BE715" s="12">
        <v>2</v>
      </c>
      <c r="BF715" s="12">
        <f t="shared" si="170"/>
        <v>2</v>
      </c>
      <c r="BG715" s="12">
        <f t="shared" si="179"/>
        <v>2</v>
      </c>
      <c r="BH715" s="67">
        <v>1</v>
      </c>
      <c r="BI715" s="67">
        <v>0</v>
      </c>
      <c r="BJ715" s="67">
        <v>0</v>
      </c>
      <c r="BK715" s="67">
        <v>0</v>
      </c>
      <c r="BL715" s="67">
        <v>1</v>
      </c>
      <c r="BM715" s="67">
        <v>0</v>
      </c>
      <c r="BN715" s="67">
        <v>0</v>
      </c>
      <c r="BO715" s="67">
        <v>0</v>
      </c>
      <c r="BP715" s="67">
        <v>0</v>
      </c>
      <c r="BQ715" s="67">
        <v>2</v>
      </c>
      <c r="BR715" s="67">
        <v>0</v>
      </c>
      <c r="BS715" s="67">
        <v>0</v>
      </c>
      <c r="BT715" s="67">
        <v>8</v>
      </c>
      <c r="BU715" s="70">
        <v>0</v>
      </c>
      <c r="BV715" s="29">
        <f t="shared" si="171"/>
        <v>0.89910156093905258</v>
      </c>
      <c r="BW715">
        <f t="shared" si="172"/>
        <v>0.59502473559756086</v>
      </c>
      <c r="BX715">
        <f t="shared" si="173"/>
        <v>0.42149901815843233</v>
      </c>
      <c r="BY715">
        <f t="shared" si="174"/>
        <v>0.32778177112653761</v>
      </c>
      <c r="BZ715">
        <f t="shared" si="175"/>
        <v>1.01056543769991</v>
      </c>
      <c r="CA715">
        <f t="shared" si="176"/>
        <v>0.88405695572208698</v>
      </c>
      <c r="CB715">
        <f t="shared" si="177"/>
        <v>0.67891464284095016</v>
      </c>
    </row>
    <row r="716" spans="1:80" x14ac:dyDescent="0.45">
      <c r="A716" s="11">
        <v>50</v>
      </c>
      <c r="B716" s="12">
        <f t="shared" si="165"/>
        <v>50</v>
      </c>
      <c r="C716" s="12" t="s">
        <v>59</v>
      </c>
      <c r="D716" s="12">
        <v>0</v>
      </c>
      <c r="E716" s="12" t="s">
        <v>53</v>
      </c>
      <c r="F716" s="12">
        <v>0</v>
      </c>
      <c r="G716" s="12">
        <v>1</v>
      </c>
      <c r="H716" s="12" t="s">
        <v>61</v>
      </c>
      <c r="I716" s="12">
        <v>1</v>
      </c>
      <c r="J716" s="12">
        <v>0</v>
      </c>
      <c r="K716" s="12">
        <v>1</v>
      </c>
      <c r="L716" s="12">
        <f t="shared" si="166"/>
        <v>1</v>
      </c>
      <c r="M716" s="12">
        <v>2</v>
      </c>
      <c r="N716" s="12" t="s">
        <v>70</v>
      </c>
      <c r="O716" s="12">
        <v>0</v>
      </c>
      <c r="P716" s="12">
        <v>0</v>
      </c>
      <c r="Q716" s="12">
        <v>1</v>
      </c>
      <c r="R716" s="12">
        <v>0</v>
      </c>
      <c r="S716" s="12">
        <v>0</v>
      </c>
      <c r="T716" s="12">
        <v>4</v>
      </c>
      <c r="U716" s="12" t="s">
        <v>62</v>
      </c>
      <c r="V716" s="12">
        <v>0</v>
      </c>
      <c r="W716" s="12">
        <v>66</v>
      </c>
      <c r="X716" s="12">
        <v>3</v>
      </c>
      <c r="Y716" s="12">
        <v>4</v>
      </c>
      <c r="Z716" s="12" t="s">
        <v>89</v>
      </c>
      <c r="AA716" s="12">
        <v>0</v>
      </c>
      <c r="AB716" s="12">
        <v>0</v>
      </c>
      <c r="AC716" s="12">
        <v>0</v>
      </c>
      <c r="AD716" s="12">
        <v>0</v>
      </c>
      <c r="AE716" s="12">
        <v>0</v>
      </c>
      <c r="AF716" s="12">
        <v>0</v>
      </c>
      <c r="AG716" s="12">
        <v>0</v>
      </c>
      <c r="AH716" s="12">
        <v>0</v>
      </c>
      <c r="AI716" s="12">
        <v>4</v>
      </c>
      <c r="AJ716" s="12" t="s">
        <v>78</v>
      </c>
      <c r="AK716" s="12">
        <v>0</v>
      </c>
      <c r="AL716" s="12">
        <v>0</v>
      </c>
      <c r="AM716" s="12">
        <v>17399</v>
      </c>
      <c r="AN716" s="12">
        <f t="shared" si="167"/>
        <v>17399</v>
      </c>
      <c r="AO716" s="12">
        <v>9</v>
      </c>
      <c r="AP716" s="12" t="s">
        <v>59</v>
      </c>
      <c r="AQ716" s="12">
        <v>0</v>
      </c>
      <c r="AR716" s="12">
        <v>22</v>
      </c>
      <c r="AS716" s="12">
        <v>4</v>
      </c>
      <c r="AT716" s="12">
        <v>3</v>
      </c>
      <c r="AU716" s="12">
        <v>1</v>
      </c>
      <c r="AV716" s="12">
        <v>32</v>
      </c>
      <c r="AW716" s="12">
        <f t="shared" si="168"/>
        <v>32</v>
      </c>
      <c r="AX716" s="12">
        <v>1</v>
      </c>
      <c r="AY716" s="12">
        <v>2</v>
      </c>
      <c r="AZ716" s="12">
        <v>5</v>
      </c>
      <c r="BA716" s="12">
        <f t="shared" si="169"/>
        <v>5</v>
      </c>
      <c r="BB716" s="12">
        <v>4</v>
      </c>
      <c r="BC716" s="12">
        <v>1</v>
      </c>
      <c r="BD716" s="12">
        <f t="shared" si="178"/>
        <v>1</v>
      </c>
      <c r="BE716" s="12">
        <v>3</v>
      </c>
      <c r="BF716" s="12">
        <f t="shared" si="170"/>
        <v>3</v>
      </c>
      <c r="BG716" s="12">
        <f t="shared" si="179"/>
        <v>12</v>
      </c>
      <c r="BH716" s="67">
        <v>1</v>
      </c>
      <c r="BI716" s="67">
        <v>0</v>
      </c>
      <c r="BJ716" s="67">
        <v>0</v>
      </c>
      <c r="BK716" s="67">
        <v>0</v>
      </c>
      <c r="BL716" s="67">
        <v>1</v>
      </c>
      <c r="BM716" s="67">
        <v>0</v>
      </c>
      <c r="BN716" s="67">
        <v>0</v>
      </c>
      <c r="BO716" s="67">
        <v>0</v>
      </c>
      <c r="BP716" s="67">
        <v>0</v>
      </c>
      <c r="BQ716" s="67">
        <v>3</v>
      </c>
      <c r="BR716" s="67">
        <v>0</v>
      </c>
      <c r="BS716" s="67">
        <v>0</v>
      </c>
      <c r="BT716" s="67">
        <v>32</v>
      </c>
      <c r="BU716" s="70">
        <v>0</v>
      </c>
      <c r="BV716" s="29">
        <f t="shared" si="171"/>
        <v>2.3143943773232798</v>
      </c>
      <c r="BW716">
        <f t="shared" si="172"/>
        <v>0.31476636926356072</v>
      </c>
      <c r="BX716">
        <f t="shared" si="173"/>
        <v>2.663023977201346</v>
      </c>
      <c r="BY716">
        <f t="shared" si="174"/>
        <v>0.32778177112653761</v>
      </c>
      <c r="BZ716">
        <f t="shared" si="175"/>
        <v>1.01056543769991</v>
      </c>
      <c r="CA716">
        <f t="shared" si="176"/>
        <v>1.4313799530736149</v>
      </c>
      <c r="CB716">
        <f t="shared" si="177"/>
        <v>0.36858985273641137</v>
      </c>
    </row>
    <row r="717" spans="1:80" x14ac:dyDescent="0.45">
      <c r="A717" s="11">
        <v>33</v>
      </c>
      <c r="B717" s="12">
        <f t="shared" si="165"/>
        <v>33</v>
      </c>
      <c r="C717" s="12" t="s">
        <v>59</v>
      </c>
      <c r="D717" s="12">
        <v>0</v>
      </c>
      <c r="E717" s="12" t="s">
        <v>60</v>
      </c>
      <c r="F717" s="12">
        <v>1</v>
      </c>
      <c r="G717" s="12">
        <v>0</v>
      </c>
      <c r="H717" s="12" t="s">
        <v>61</v>
      </c>
      <c r="I717" s="12">
        <v>1</v>
      </c>
      <c r="J717" s="12">
        <v>0</v>
      </c>
      <c r="K717" s="12">
        <v>1</v>
      </c>
      <c r="L717" s="12">
        <f t="shared" si="166"/>
        <v>1</v>
      </c>
      <c r="M717" s="12">
        <v>4</v>
      </c>
      <c r="N717" s="12" t="s">
        <v>66</v>
      </c>
      <c r="O717" s="12">
        <v>0</v>
      </c>
      <c r="P717" s="12">
        <v>1</v>
      </c>
      <c r="Q717" s="12">
        <v>0</v>
      </c>
      <c r="R717" s="12">
        <v>0</v>
      </c>
      <c r="S717" s="12">
        <v>0</v>
      </c>
      <c r="T717" s="12">
        <v>3</v>
      </c>
      <c r="U717" s="12" t="s">
        <v>19</v>
      </c>
      <c r="V717" s="12">
        <v>1</v>
      </c>
      <c r="W717" s="12">
        <v>84</v>
      </c>
      <c r="X717" s="12">
        <v>4</v>
      </c>
      <c r="Y717" s="12">
        <v>2</v>
      </c>
      <c r="Z717" s="12" t="s">
        <v>85</v>
      </c>
      <c r="AA717" s="12">
        <v>1</v>
      </c>
      <c r="AB717" s="12">
        <v>0</v>
      </c>
      <c r="AC717" s="12">
        <v>0</v>
      </c>
      <c r="AD717" s="12">
        <v>0</v>
      </c>
      <c r="AE717" s="12">
        <v>0</v>
      </c>
      <c r="AF717" s="12">
        <v>0</v>
      </c>
      <c r="AG717" s="12">
        <v>0</v>
      </c>
      <c r="AH717" s="12">
        <v>0</v>
      </c>
      <c r="AI717" s="12">
        <v>2</v>
      </c>
      <c r="AJ717" s="12" t="s">
        <v>64</v>
      </c>
      <c r="AK717" s="12">
        <v>0</v>
      </c>
      <c r="AL717" s="12">
        <v>1</v>
      </c>
      <c r="AM717" s="12">
        <v>5488</v>
      </c>
      <c r="AN717" s="12">
        <f t="shared" si="167"/>
        <v>5488</v>
      </c>
      <c r="AO717" s="12">
        <v>1</v>
      </c>
      <c r="AP717" s="12" t="s">
        <v>52</v>
      </c>
      <c r="AQ717" s="12">
        <v>1</v>
      </c>
      <c r="AR717" s="12">
        <v>13</v>
      </c>
      <c r="AS717" s="12">
        <v>3</v>
      </c>
      <c r="AT717" s="12">
        <v>1</v>
      </c>
      <c r="AU717" s="12">
        <v>1</v>
      </c>
      <c r="AV717" s="12">
        <v>6</v>
      </c>
      <c r="AW717" s="12">
        <f t="shared" si="168"/>
        <v>6</v>
      </c>
      <c r="AX717" s="12">
        <v>2</v>
      </c>
      <c r="AY717" s="12">
        <v>3</v>
      </c>
      <c r="AZ717" s="12">
        <v>6</v>
      </c>
      <c r="BA717" s="12">
        <f t="shared" si="169"/>
        <v>6</v>
      </c>
      <c r="BB717" s="12">
        <v>5</v>
      </c>
      <c r="BC717" s="12">
        <v>1</v>
      </c>
      <c r="BD717" s="12">
        <f t="shared" si="178"/>
        <v>1</v>
      </c>
      <c r="BE717" s="12">
        <v>2</v>
      </c>
      <c r="BF717" s="12">
        <f t="shared" si="170"/>
        <v>2</v>
      </c>
      <c r="BG717" s="12">
        <f t="shared" si="179"/>
        <v>4</v>
      </c>
      <c r="BH717" s="67">
        <v>0</v>
      </c>
      <c r="BI717" s="67">
        <v>0</v>
      </c>
      <c r="BJ717" s="67">
        <v>0</v>
      </c>
      <c r="BK717" s="67">
        <v>1</v>
      </c>
      <c r="BL717" s="67">
        <v>0</v>
      </c>
      <c r="BM717" s="67">
        <v>0</v>
      </c>
      <c r="BN717" s="67">
        <v>0</v>
      </c>
      <c r="BO717" s="67">
        <v>1</v>
      </c>
      <c r="BP717" s="67">
        <v>0</v>
      </c>
      <c r="BQ717" s="67">
        <v>2</v>
      </c>
      <c r="BR717" s="67">
        <v>0</v>
      </c>
      <c r="BS717" s="67">
        <v>0</v>
      </c>
      <c r="BT717" s="67">
        <v>6</v>
      </c>
      <c r="BU717" s="70">
        <v>0</v>
      </c>
      <c r="BV717" s="29">
        <f t="shared" si="171"/>
        <v>0.215577869397762</v>
      </c>
      <c r="BW717">
        <f t="shared" si="172"/>
        <v>0.59502473559756086</v>
      </c>
      <c r="BX717">
        <f t="shared" si="173"/>
        <v>0.67854260110508058</v>
      </c>
      <c r="BY717">
        <f t="shared" si="174"/>
        <v>0.16455710867531462</v>
      </c>
      <c r="BZ717">
        <f t="shared" si="175"/>
        <v>1.01056543769991</v>
      </c>
      <c r="CA717">
        <f t="shared" si="176"/>
        <v>0.42951823792158</v>
      </c>
      <c r="CB717">
        <f t="shared" si="177"/>
        <v>0.36858985273641137</v>
      </c>
    </row>
    <row r="718" spans="1:80" x14ac:dyDescent="0.45">
      <c r="A718" s="11">
        <v>41</v>
      </c>
      <c r="B718" s="12">
        <f t="shared" si="165"/>
        <v>41</v>
      </c>
      <c r="C718" s="12" t="s">
        <v>59</v>
      </c>
      <c r="D718" s="12">
        <v>0</v>
      </c>
      <c r="E718" s="12" t="s">
        <v>60</v>
      </c>
      <c r="F718" s="12">
        <v>1</v>
      </c>
      <c r="G718" s="12">
        <v>0</v>
      </c>
      <c r="H718" s="12" t="s">
        <v>61</v>
      </c>
      <c r="I718" s="12">
        <v>1</v>
      </c>
      <c r="J718" s="12">
        <v>0</v>
      </c>
      <c r="K718" s="12">
        <v>9</v>
      </c>
      <c r="L718" s="12">
        <f t="shared" si="166"/>
        <v>9</v>
      </c>
      <c r="M718" s="12">
        <v>3</v>
      </c>
      <c r="N718" s="12" t="s">
        <v>70</v>
      </c>
      <c r="O718" s="12">
        <v>0</v>
      </c>
      <c r="P718" s="12">
        <v>0</v>
      </c>
      <c r="Q718" s="12">
        <v>1</v>
      </c>
      <c r="R718" s="12">
        <v>0</v>
      </c>
      <c r="S718" s="12">
        <v>0</v>
      </c>
      <c r="T718" s="12">
        <v>1</v>
      </c>
      <c r="U718" s="12" t="s">
        <v>62</v>
      </c>
      <c r="V718" s="12">
        <v>0</v>
      </c>
      <c r="W718" s="12">
        <v>64</v>
      </c>
      <c r="X718" s="12">
        <v>3</v>
      </c>
      <c r="Y718" s="12">
        <v>5</v>
      </c>
      <c r="Z718" s="12" t="s">
        <v>89</v>
      </c>
      <c r="AA718" s="12">
        <v>0</v>
      </c>
      <c r="AB718" s="12">
        <v>0</v>
      </c>
      <c r="AC718" s="12">
        <v>0</v>
      </c>
      <c r="AD718" s="12">
        <v>0</v>
      </c>
      <c r="AE718" s="12">
        <v>0</v>
      </c>
      <c r="AF718" s="12">
        <v>0</v>
      </c>
      <c r="AG718" s="12">
        <v>0</v>
      </c>
      <c r="AH718" s="12">
        <v>0</v>
      </c>
      <c r="AI718" s="12">
        <v>3</v>
      </c>
      <c r="AJ718" s="12" t="s">
        <v>78</v>
      </c>
      <c r="AK718" s="12">
        <v>0</v>
      </c>
      <c r="AL718" s="12">
        <v>0</v>
      </c>
      <c r="AM718" s="12">
        <v>19419</v>
      </c>
      <c r="AN718" s="12">
        <f t="shared" si="167"/>
        <v>19419</v>
      </c>
      <c r="AO718" s="12">
        <v>2</v>
      </c>
      <c r="AP718" s="12" t="s">
        <v>59</v>
      </c>
      <c r="AQ718" s="12">
        <v>0</v>
      </c>
      <c r="AR718" s="12">
        <v>17</v>
      </c>
      <c r="AS718" s="12">
        <v>3</v>
      </c>
      <c r="AT718" s="12">
        <v>2</v>
      </c>
      <c r="AU718" s="12">
        <v>1</v>
      </c>
      <c r="AV718" s="12">
        <v>21</v>
      </c>
      <c r="AW718" s="12">
        <f t="shared" si="168"/>
        <v>21</v>
      </c>
      <c r="AX718" s="12">
        <v>2</v>
      </c>
      <c r="AY718" s="12">
        <v>4</v>
      </c>
      <c r="AZ718" s="12">
        <v>18</v>
      </c>
      <c r="BA718" s="12">
        <f t="shared" si="169"/>
        <v>18</v>
      </c>
      <c r="BB718" s="12">
        <v>16</v>
      </c>
      <c r="BC718" s="12">
        <v>0</v>
      </c>
      <c r="BD718" s="12">
        <f t="shared" si="178"/>
        <v>0</v>
      </c>
      <c r="BE718" s="12">
        <v>11</v>
      </c>
      <c r="BF718" s="12">
        <f t="shared" si="170"/>
        <v>11</v>
      </c>
      <c r="BG718" s="12">
        <f t="shared" si="179"/>
        <v>55</v>
      </c>
      <c r="BH718" s="67">
        <v>0</v>
      </c>
      <c r="BI718" s="67">
        <v>0</v>
      </c>
      <c r="BJ718" s="67">
        <v>1</v>
      </c>
      <c r="BK718" s="67">
        <v>0</v>
      </c>
      <c r="BL718" s="67">
        <v>1</v>
      </c>
      <c r="BM718" s="67">
        <v>0</v>
      </c>
      <c r="BN718" s="67">
        <v>0</v>
      </c>
      <c r="BO718" s="67">
        <v>0</v>
      </c>
      <c r="BP718" s="67">
        <v>0</v>
      </c>
      <c r="BQ718" s="67">
        <v>11</v>
      </c>
      <c r="BR718" s="67">
        <v>0</v>
      </c>
      <c r="BS718" s="67">
        <v>0</v>
      </c>
      <c r="BT718" s="67">
        <v>21</v>
      </c>
      <c r="BU718" s="70">
        <v>0</v>
      </c>
      <c r="BV718" s="29">
        <f t="shared" si="171"/>
        <v>2.7434552402547299</v>
      </c>
      <c r="BW718">
        <f t="shared" si="172"/>
        <v>1.9273005614084406</v>
      </c>
      <c r="BX718">
        <f t="shared" si="173"/>
        <v>1.2492842709947811</v>
      </c>
      <c r="BY718">
        <f t="shared" si="174"/>
        <v>1.794138840739361</v>
      </c>
      <c r="BZ718">
        <f t="shared" si="175"/>
        <v>2.3747406698420157E-2</v>
      </c>
      <c r="CA718">
        <f t="shared" si="176"/>
        <v>0.4461985578408646</v>
      </c>
      <c r="CB718">
        <f t="shared" si="177"/>
        <v>0.67891464284095016</v>
      </c>
    </row>
    <row r="719" spans="1:80" x14ac:dyDescent="0.45">
      <c r="A719" s="11">
        <v>27</v>
      </c>
      <c r="B719" s="12">
        <f t="shared" si="165"/>
        <v>27</v>
      </c>
      <c r="C719" s="12" t="s">
        <v>59</v>
      </c>
      <c r="D719" s="12">
        <v>0</v>
      </c>
      <c r="E719" s="12" t="s">
        <v>53</v>
      </c>
      <c r="F719" s="12">
        <v>0</v>
      </c>
      <c r="G719" s="12">
        <v>1</v>
      </c>
      <c r="H719" s="12" t="s">
        <v>61</v>
      </c>
      <c r="I719" s="12">
        <v>1</v>
      </c>
      <c r="J719" s="12">
        <v>0</v>
      </c>
      <c r="K719" s="12">
        <v>16</v>
      </c>
      <c r="L719" s="12">
        <f t="shared" si="166"/>
        <v>16</v>
      </c>
      <c r="M719" s="12">
        <v>4</v>
      </c>
      <c r="N719" s="12" t="s">
        <v>91</v>
      </c>
      <c r="O719" s="12">
        <v>0</v>
      </c>
      <c r="P719" s="12">
        <v>0</v>
      </c>
      <c r="Q719" s="12">
        <v>0</v>
      </c>
      <c r="R719" s="12">
        <v>0</v>
      </c>
      <c r="S719" s="12">
        <v>1</v>
      </c>
      <c r="T719" s="12">
        <v>3</v>
      </c>
      <c r="U719" s="12" t="s">
        <v>19</v>
      </c>
      <c r="V719" s="12">
        <v>1</v>
      </c>
      <c r="W719" s="12">
        <v>37</v>
      </c>
      <c r="X719" s="12">
        <v>3</v>
      </c>
      <c r="Y719" s="12">
        <v>1</v>
      </c>
      <c r="Z719" s="12" t="s">
        <v>67</v>
      </c>
      <c r="AA719" s="12">
        <v>0</v>
      </c>
      <c r="AB719" s="12">
        <v>0</v>
      </c>
      <c r="AC719" s="12">
        <v>1</v>
      </c>
      <c r="AD719" s="12">
        <v>0</v>
      </c>
      <c r="AE719" s="12">
        <v>0</v>
      </c>
      <c r="AF719" s="12">
        <v>0</v>
      </c>
      <c r="AG719" s="12">
        <v>0</v>
      </c>
      <c r="AH719" s="12">
        <v>0</v>
      </c>
      <c r="AI719" s="12">
        <v>2</v>
      </c>
      <c r="AJ719" s="12" t="s">
        <v>64</v>
      </c>
      <c r="AK719" s="12">
        <v>0</v>
      </c>
      <c r="AL719" s="12">
        <v>1</v>
      </c>
      <c r="AM719" s="12">
        <v>2811</v>
      </c>
      <c r="AN719" s="12">
        <f t="shared" si="167"/>
        <v>2811</v>
      </c>
      <c r="AO719" s="12">
        <v>9</v>
      </c>
      <c r="AP719" s="12" t="s">
        <v>59</v>
      </c>
      <c r="AQ719" s="12">
        <v>0</v>
      </c>
      <c r="AR719" s="12">
        <v>14</v>
      </c>
      <c r="AS719" s="12">
        <v>3</v>
      </c>
      <c r="AT719" s="12">
        <v>2</v>
      </c>
      <c r="AU719" s="12">
        <v>1</v>
      </c>
      <c r="AV719" s="12">
        <v>4</v>
      </c>
      <c r="AW719" s="12">
        <f t="shared" si="168"/>
        <v>4</v>
      </c>
      <c r="AX719" s="12">
        <v>2</v>
      </c>
      <c r="AY719" s="12">
        <v>3</v>
      </c>
      <c r="AZ719" s="12">
        <v>2</v>
      </c>
      <c r="BA719" s="12">
        <f t="shared" si="169"/>
        <v>2</v>
      </c>
      <c r="BB719" s="12">
        <v>2</v>
      </c>
      <c r="BC719" s="12">
        <v>2</v>
      </c>
      <c r="BD719" s="12">
        <f t="shared" si="178"/>
        <v>2</v>
      </c>
      <c r="BE719" s="12">
        <v>2</v>
      </c>
      <c r="BF719" s="12">
        <f t="shared" si="170"/>
        <v>2</v>
      </c>
      <c r="BG719" s="12">
        <f t="shared" si="179"/>
        <v>2</v>
      </c>
      <c r="BH719" s="67">
        <v>0</v>
      </c>
      <c r="BI719" s="67">
        <v>1</v>
      </c>
      <c r="BJ719" s="67">
        <v>0</v>
      </c>
      <c r="BK719" s="67">
        <v>0</v>
      </c>
      <c r="BL719" s="67">
        <v>0</v>
      </c>
      <c r="BM719" s="67">
        <v>0</v>
      </c>
      <c r="BN719" s="67">
        <v>1</v>
      </c>
      <c r="BO719" s="67">
        <v>0</v>
      </c>
      <c r="BP719" s="67">
        <v>0</v>
      </c>
      <c r="BQ719" s="67">
        <v>2</v>
      </c>
      <c r="BR719" s="67">
        <v>0</v>
      </c>
      <c r="BS719" s="67">
        <v>0</v>
      </c>
      <c r="BT719" s="67">
        <v>4</v>
      </c>
      <c r="BU719" s="70">
        <v>0</v>
      </c>
      <c r="BV719" s="29">
        <f t="shared" si="171"/>
        <v>0.78418971596582754</v>
      </c>
      <c r="BW719">
        <f t="shared" si="172"/>
        <v>0.59502473559756086</v>
      </c>
      <c r="BX719">
        <f t="shared" si="173"/>
        <v>0.93558618405172878</v>
      </c>
      <c r="BY719">
        <f t="shared" si="174"/>
        <v>0.81745575848020657</v>
      </c>
      <c r="BZ719">
        <f t="shared" si="175"/>
        <v>0.83971837042788355</v>
      </c>
      <c r="CA719">
        <f t="shared" si="176"/>
        <v>1.0863058347434136</v>
      </c>
      <c r="CB719">
        <f t="shared" si="177"/>
        <v>5.8265062631872602E-2</v>
      </c>
    </row>
    <row r="720" spans="1:80" x14ac:dyDescent="0.45">
      <c r="A720" s="11">
        <v>45</v>
      </c>
      <c r="B720" s="12">
        <f t="shared" si="165"/>
        <v>45</v>
      </c>
      <c r="C720" s="12" t="s">
        <v>59</v>
      </c>
      <c r="D720" s="12">
        <v>0</v>
      </c>
      <c r="E720" s="12" t="s">
        <v>86</v>
      </c>
      <c r="F720" s="12">
        <v>0</v>
      </c>
      <c r="G720" s="12">
        <v>0</v>
      </c>
      <c r="H720" s="12" t="s">
        <v>61</v>
      </c>
      <c r="I720" s="12">
        <v>1</v>
      </c>
      <c r="J720" s="12">
        <v>0</v>
      </c>
      <c r="K720" s="12">
        <v>23</v>
      </c>
      <c r="L720" s="12">
        <f t="shared" si="166"/>
        <v>23</v>
      </c>
      <c r="M720" s="12">
        <v>2</v>
      </c>
      <c r="N720" s="12" t="s">
        <v>55</v>
      </c>
      <c r="O720" s="12">
        <v>1</v>
      </c>
      <c r="P720" s="12">
        <v>0</v>
      </c>
      <c r="Q720" s="12">
        <v>0</v>
      </c>
      <c r="R720" s="12">
        <v>0</v>
      </c>
      <c r="S720" s="12">
        <v>0</v>
      </c>
      <c r="T720" s="12">
        <v>4</v>
      </c>
      <c r="U720" s="12" t="s">
        <v>62</v>
      </c>
      <c r="V720" s="12">
        <v>0</v>
      </c>
      <c r="W720" s="12">
        <v>42</v>
      </c>
      <c r="X720" s="12">
        <v>3</v>
      </c>
      <c r="Y720" s="12">
        <v>2</v>
      </c>
      <c r="Z720" s="12" t="s">
        <v>67</v>
      </c>
      <c r="AA720" s="12">
        <v>0</v>
      </c>
      <c r="AB720" s="12">
        <v>0</v>
      </c>
      <c r="AC720" s="12">
        <v>1</v>
      </c>
      <c r="AD720" s="12">
        <v>0</v>
      </c>
      <c r="AE720" s="12">
        <v>0</v>
      </c>
      <c r="AF720" s="12">
        <v>0</v>
      </c>
      <c r="AG720" s="12">
        <v>0</v>
      </c>
      <c r="AH720" s="12">
        <v>0</v>
      </c>
      <c r="AI720" s="12">
        <v>1</v>
      </c>
      <c r="AJ720" s="12" t="s">
        <v>64</v>
      </c>
      <c r="AK720" s="12">
        <v>0</v>
      </c>
      <c r="AL720" s="12">
        <v>1</v>
      </c>
      <c r="AM720" s="12">
        <v>3633</v>
      </c>
      <c r="AN720" s="12">
        <f t="shared" si="167"/>
        <v>3633</v>
      </c>
      <c r="AO720" s="12">
        <v>1</v>
      </c>
      <c r="AP720" s="12" t="s">
        <v>52</v>
      </c>
      <c r="AQ720" s="12">
        <v>1</v>
      </c>
      <c r="AR720" s="12">
        <v>15</v>
      </c>
      <c r="AS720" s="12">
        <v>3</v>
      </c>
      <c r="AT720" s="12">
        <v>3</v>
      </c>
      <c r="AU720" s="12">
        <v>1</v>
      </c>
      <c r="AV720" s="12">
        <v>9</v>
      </c>
      <c r="AW720" s="12">
        <f t="shared" si="168"/>
        <v>9</v>
      </c>
      <c r="AX720" s="12">
        <v>2</v>
      </c>
      <c r="AY720" s="12">
        <v>3</v>
      </c>
      <c r="AZ720" s="12">
        <v>9</v>
      </c>
      <c r="BA720" s="12">
        <f t="shared" si="169"/>
        <v>9</v>
      </c>
      <c r="BB720" s="12">
        <v>8</v>
      </c>
      <c r="BC720" s="12">
        <v>0</v>
      </c>
      <c r="BD720" s="12">
        <f t="shared" si="178"/>
        <v>0</v>
      </c>
      <c r="BE720" s="12">
        <v>8</v>
      </c>
      <c r="BF720" s="12">
        <f t="shared" si="170"/>
        <v>8</v>
      </c>
      <c r="BG720" s="12">
        <f t="shared" si="179"/>
        <v>16</v>
      </c>
      <c r="BH720" s="67">
        <v>0</v>
      </c>
      <c r="BI720" s="67">
        <v>1</v>
      </c>
      <c r="BJ720" s="67">
        <v>0</v>
      </c>
      <c r="BK720" s="67">
        <v>0</v>
      </c>
      <c r="BL720" s="67">
        <v>0</v>
      </c>
      <c r="BM720" s="67">
        <v>0</v>
      </c>
      <c r="BN720" s="67">
        <v>0</v>
      </c>
      <c r="BO720" s="67">
        <v>1</v>
      </c>
      <c r="BP720" s="67">
        <v>0</v>
      </c>
      <c r="BQ720" s="67">
        <v>8</v>
      </c>
      <c r="BR720" s="67">
        <v>0</v>
      </c>
      <c r="BS720" s="67">
        <v>0</v>
      </c>
      <c r="BT720" s="67">
        <v>9</v>
      </c>
      <c r="BU720" s="70">
        <v>0</v>
      </c>
      <c r="BV720" s="29">
        <f t="shared" si="171"/>
        <v>0.60959168164421751</v>
      </c>
      <c r="BW720">
        <f t="shared" si="172"/>
        <v>1.08652546240644</v>
      </c>
      <c r="BX720">
        <f t="shared" si="173"/>
        <v>0.29297722668510823</v>
      </c>
      <c r="BY720">
        <f t="shared" si="174"/>
        <v>0.32511687867835437</v>
      </c>
      <c r="BZ720">
        <f t="shared" si="175"/>
        <v>1.7031841475541873</v>
      </c>
      <c r="CA720">
        <f t="shared" si="176"/>
        <v>0.88405695572208698</v>
      </c>
      <c r="CB720">
        <f t="shared" si="177"/>
        <v>0.67891464284095016</v>
      </c>
    </row>
    <row r="721" spans="1:80" x14ac:dyDescent="0.45">
      <c r="A721" s="11">
        <v>47</v>
      </c>
      <c r="B721" s="12">
        <f t="shared" si="165"/>
        <v>47</v>
      </c>
      <c r="C721" s="12" t="s">
        <v>59</v>
      </c>
      <c r="D721" s="12">
        <v>0</v>
      </c>
      <c r="E721" s="12" t="s">
        <v>53</v>
      </c>
      <c r="F721" s="12">
        <v>0</v>
      </c>
      <c r="G721" s="12">
        <v>1</v>
      </c>
      <c r="H721" s="12" t="s">
        <v>54</v>
      </c>
      <c r="I721" s="12">
        <v>0</v>
      </c>
      <c r="J721" s="12">
        <v>1</v>
      </c>
      <c r="K721" s="12">
        <v>4</v>
      </c>
      <c r="L721" s="12">
        <f t="shared" si="166"/>
        <v>4</v>
      </c>
      <c r="M721" s="12">
        <v>2</v>
      </c>
      <c r="N721" s="12" t="s">
        <v>55</v>
      </c>
      <c r="O721" s="12">
        <v>1</v>
      </c>
      <c r="P721" s="12">
        <v>0</v>
      </c>
      <c r="Q721" s="12">
        <v>0</v>
      </c>
      <c r="R721" s="12">
        <v>0</v>
      </c>
      <c r="S721" s="12">
        <v>0</v>
      </c>
      <c r="T721" s="12">
        <v>4</v>
      </c>
      <c r="U721" s="12" t="s">
        <v>19</v>
      </c>
      <c r="V721" s="12">
        <v>1</v>
      </c>
      <c r="W721" s="12">
        <v>83</v>
      </c>
      <c r="X721" s="12">
        <v>3</v>
      </c>
      <c r="Y721" s="12">
        <v>2</v>
      </c>
      <c r="Z721" s="12" t="s">
        <v>56</v>
      </c>
      <c r="AA721" s="12">
        <v>0</v>
      </c>
      <c r="AB721" s="12">
        <v>1</v>
      </c>
      <c r="AC721" s="12">
        <v>0</v>
      </c>
      <c r="AD721" s="12">
        <v>0</v>
      </c>
      <c r="AE721" s="12">
        <v>0</v>
      </c>
      <c r="AF721" s="12">
        <v>0</v>
      </c>
      <c r="AG721" s="12">
        <v>0</v>
      </c>
      <c r="AH721" s="12">
        <v>0</v>
      </c>
      <c r="AI721" s="12">
        <v>4</v>
      </c>
      <c r="AJ721" s="12" t="s">
        <v>57</v>
      </c>
      <c r="AK721" s="12">
        <v>1</v>
      </c>
      <c r="AL721" s="12">
        <v>0</v>
      </c>
      <c r="AM721" s="12">
        <v>4163</v>
      </c>
      <c r="AN721" s="12">
        <f t="shared" si="167"/>
        <v>4163</v>
      </c>
      <c r="AO721" s="12">
        <v>1</v>
      </c>
      <c r="AP721" s="12" t="s">
        <v>52</v>
      </c>
      <c r="AQ721" s="12">
        <v>1</v>
      </c>
      <c r="AR721" s="12">
        <v>17</v>
      </c>
      <c r="AS721" s="12">
        <v>3</v>
      </c>
      <c r="AT721" s="12">
        <v>3</v>
      </c>
      <c r="AU721" s="12">
        <v>0</v>
      </c>
      <c r="AV721" s="12">
        <v>9</v>
      </c>
      <c r="AW721" s="12">
        <f t="shared" si="168"/>
        <v>9</v>
      </c>
      <c r="AX721" s="12">
        <v>0</v>
      </c>
      <c r="AY721" s="12">
        <v>3</v>
      </c>
      <c r="AZ721" s="12">
        <v>9</v>
      </c>
      <c r="BA721" s="12">
        <f t="shared" si="169"/>
        <v>9</v>
      </c>
      <c r="BB721" s="12">
        <v>0</v>
      </c>
      <c r="BC721" s="12">
        <v>0</v>
      </c>
      <c r="BD721" s="12">
        <f t="shared" si="178"/>
        <v>0</v>
      </c>
      <c r="BE721" s="12">
        <v>7</v>
      </c>
      <c r="BF721" s="12">
        <f t="shared" si="170"/>
        <v>7</v>
      </c>
      <c r="BG721" s="12">
        <f t="shared" si="179"/>
        <v>14</v>
      </c>
      <c r="BH721" s="67">
        <v>1</v>
      </c>
      <c r="BI721" s="67">
        <v>0</v>
      </c>
      <c r="BJ721" s="67">
        <v>0</v>
      </c>
      <c r="BK721" s="67">
        <v>0</v>
      </c>
      <c r="BL721" s="67">
        <v>0</v>
      </c>
      <c r="BM721" s="67">
        <v>1</v>
      </c>
      <c r="BN721" s="67">
        <v>0</v>
      </c>
      <c r="BO721" s="67">
        <v>0</v>
      </c>
      <c r="BP721" s="67">
        <v>0</v>
      </c>
      <c r="BQ721" s="67">
        <v>0</v>
      </c>
      <c r="BR721" s="67">
        <v>7</v>
      </c>
      <c r="BS721" s="67">
        <v>0</v>
      </c>
      <c r="BT721" s="67">
        <v>0</v>
      </c>
      <c r="BU721" s="70">
        <v>9</v>
      </c>
      <c r="BV721" s="29">
        <f t="shared" si="171"/>
        <v>0.49701630671665881</v>
      </c>
      <c r="BW721">
        <f t="shared" si="172"/>
        <v>0.80626709607243985</v>
      </c>
      <c r="BX721">
        <f t="shared" si="173"/>
        <v>0.29297722668510823</v>
      </c>
      <c r="BY721">
        <f t="shared" si="174"/>
        <v>0.32511687867835437</v>
      </c>
      <c r="BZ721">
        <f t="shared" si="175"/>
        <v>0.64050867607435136</v>
      </c>
      <c r="CA721">
        <f t="shared" si="176"/>
        <v>1.102986154662698</v>
      </c>
      <c r="CB721">
        <f t="shared" si="177"/>
        <v>0.67891464284095016</v>
      </c>
    </row>
    <row r="722" spans="1:80" x14ac:dyDescent="0.45">
      <c r="A722" s="11">
        <v>30</v>
      </c>
      <c r="B722" s="12">
        <f t="shared" si="165"/>
        <v>30</v>
      </c>
      <c r="C722" s="12" t="s">
        <v>52</v>
      </c>
      <c r="D722" s="12">
        <v>1</v>
      </c>
      <c r="E722" s="12" t="s">
        <v>53</v>
      </c>
      <c r="F722" s="12">
        <v>0</v>
      </c>
      <c r="G722" s="12">
        <v>1</v>
      </c>
      <c r="H722" s="12" t="s">
        <v>61</v>
      </c>
      <c r="I722" s="12">
        <v>1</v>
      </c>
      <c r="J722" s="12">
        <v>0</v>
      </c>
      <c r="K722" s="12">
        <v>22</v>
      </c>
      <c r="L722" s="12">
        <f t="shared" si="166"/>
        <v>22</v>
      </c>
      <c r="M722" s="12">
        <v>3</v>
      </c>
      <c r="N722" s="12" t="s">
        <v>55</v>
      </c>
      <c r="O722" s="12">
        <v>1</v>
      </c>
      <c r="P722" s="12">
        <v>0</v>
      </c>
      <c r="Q722" s="12">
        <v>0</v>
      </c>
      <c r="R722" s="12">
        <v>0</v>
      </c>
      <c r="S722" s="12">
        <v>0</v>
      </c>
      <c r="T722" s="12">
        <v>1</v>
      </c>
      <c r="U722" s="12" t="s">
        <v>19</v>
      </c>
      <c r="V722" s="12">
        <v>1</v>
      </c>
      <c r="W722" s="12">
        <v>48</v>
      </c>
      <c r="X722" s="12">
        <v>3</v>
      </c>
      <c r="Y722" s="12">
        <v>1</v>
      </c>
      <c r="Z722" s="12" t="s">
        <v>63</v>
      </c>
      <c r="AA722" s="12">
        <v>0</v>
      </c>
      <c r="AB722" s="12">
        <v>0</v>
      </c>
      <c r="AC722" s="12">
        <v>0</v>
      </c>
      <c r="AD722" s="12">
        <v>0</v>
      </c>
      <c r="AE722" s="12">
        <v>0</v>
      </c>
      <c r="AF722" s="12">
        <v>0</v>
      </c>
      <c r="AG722" s="12">
        <v>0</v>
      </c>
      <c r="AH722" s="12">
        <v>1</v>
      </c>
      <c r="AI722" s="12">
        <v>3</v>
      </c>
      <c r="AJ722" s="12" t="s">
        <v>64</v>
      </c>
      <c r="AK722" s="12">
        <v>0</v>
      </c>
      <c r="AL722" s="12">
        <v>1</v>
      </c>
      <c r="AM722" s="12">
        <v>2132</v>
      </c>
      <c r="AN722" s="12">
        <f t="shared" si="167"/>
        <v>2132</v>
      </c>
      <c r="AO722" s="12">
        <v>4</v>
      </c>
      <c r="AP722" s="12" t="s">
        <v>52</v>
      </c>
      <c r="AQ722" s="12">
        <v>1</v>
      </c>
      <c r="AR722" s="12">
        <v>11</v>
      </c>
      <c r="AS722" s="12">
        <v>3</v>
      </c>
      <c r="AT722" s="12">
        <v>2</v>
      </c>
      <c r="AU722" s="12">
        <v>0</v>
      </c>
      <c r="AV722" s="12">
        <v>7</v>
      </c>
      <c r="AW722" s="12">
        <f t="shared" si="168"/>
        <v>7</v>
      </c>
      <c r="AX722" s="12">
        <v>2</v>
      </c>
      <c r="AY722" s="12">
        <v>3</v>
      </c>
      <c r="AZ722" s="12">
        <v>5</v>
      </c>
      <c r="BA722" s="12">
        <f t="shared" si="169"/>
        <v>5</v>
      </c>
      <c r="BB722" s="12">
        <v>2</v>
      </c>
      <c r="BC722" s="12">
        <v>0</v>
      </c>
      <c r="BD722" s="12">
        <f t="shared" si="178"/>
        <v>0</v>
      </c>
      <c r="BE722" s="12">
        <v>1</v>
      </c>
      <c r="BF722" s="12">
        <f t="shared" si="170"/>
        <v>1</v>
      </c>
      <c r="BG722" s="12">
        <f t="shared" si="179"/>
        <v>1</v>
      </c>
      <c r="BH722" s="67">
        <v>0</v>
      </c>
      <c r="BI722" s="67">
        <v>1</v>
      </c>
      <c r="BJ722" s="67">
        <v>0</v>
      </c>
      <c r="BK722" s="67">
        <v>0</v>
      </c>
      <c r="BL722" s="67">
        <v>0</v>
      </c>
      <c r="BM722" s="67">
        <v>0</v>
      </c>
      <c r="BN722" s="67">
        <v>0</v>
      </c>
      <c r="BO722" s="67">
        <v>1</v>
      </c>
      <c r="BP722" s="67">
        <v>0</v>
      </c>
      <c r="BQ722" s="67">
        <v>1</v>
      </c>
      <c r="BR722" s="67">
        <v>0</v>
      </c>
      <c r="BS722" s="67">
        <v>0</v>
      </c>
      <c r="BT722" s="67">
        <v>7</v>
      </c>
      <c r="BU722" s="70">
        <v>0</v>
      </c>
      <c r="BV722" s="29">
        <f t="shared" si="171"/>
        <v>0.92841363969377544</v>
      </c>
      <c r="BW722">
        <f t="shared" si="172"/>
        <v>0.87528310193156111</v>
      </c>
      <c r="BX722">
        <f t="shared" si="173"/>
        <v>0.55002080963175637</v>
      </c>
      <c r="BY722">
        <f t="shared" si="174"/>
        <v>0.32778177112653761</v>
      </c>
      <c r="BZ722">
        <f t="shared" si="175"/>
        <v>1.579831893679001</v>
      </c>
      <c r="CA722">
        <f t="shared" si="176"/>
        <v>0.75791203633249671</v>
      </c>
      <c r="CB722">
        <f t="shared" si="177"/>
        <v>0.67891464284095016</v>
      </c>
    </row>
    <row r="723" spans="1:80" x14ac:dyDescent="0.45">
      <c r="A723" s="11">
        <v>50</v>
      </c>
      <c r="B723" s="12">
        <f t="shared" si="165"/>
        <v>50</v>
      </c>
      <c r="C723" s="12" t="s">
        <v>59</v>
      </c>
      <c r="D723" s="12">
        <v>0</v>
      </c>
      <c r="E723" s="12" t="s">
        <v>53</v>
      </c>
      <c r="F723" s="12">
        <v>0</v>
      </c>
      <c r="G723" s="12">
        <v>1</v>
      </c>
      <c r="H723" s="12" t="s">
        <v>61</v>
      </c>
      <c r="I723" s="12">
        <v>1</v>
      </c>
      <c r="J723" s="12">
        <v>0</v>
      </c>
      <c r="K723" s="12">
        <v>24</v>
      </c>
      <c r="L723" s="12">
        <f t="shared" si="166"/>
        <v>24</v>
      </c>
      <c r="M723" s="12">
        <v>3</v>
      </c>
      <c r="N723" s="12" t="s">
        <v>55</v>
      </c>
      <c r="O723" s="12">
        <v>1</v>
      </c>
      <c r="P723" s="12">
        <v>0</v>
      </c>
      <c r="Q723" s="12">
        <v>0</v>
      </c>
      <c r="R723" s="12">
        <v>0</v>
      </c>
      <c r="S723" s="12">
        <v>0</v>
      </c>
      <c r="T723" s="12">
        <v>4</v>
      </c>
      <c r="U723" s="12" t="s">
        <v>62</v>
      </c>
      <c r="V723" s="12">
        <v>0</v>
      </c>
      <c r="W723" s="12">
        <v>95</v>
      </c>
      <c r="X723" s="12">
        <v>3</v>
      </c>
      <c r="Y723" s="12">
        <v>4</v>
      </c>
      <c r="Z723" s="12" t="s">
        <v>83</v>
      </c>
      <c r="AA723" s="12">
        <v>0</v>
      </c>
      <c r="AB723" s="12">
        <v>0</v>
      </c>
      <c r="AC723" s="12">
        <v>0</v>
      </c>
      <c r="AD723" s="12">
        <v>0</v>
      </c>
      <c r="AE723" s="12">
        <v>1</v>
      </c>
      <c r="AF723" s="12">
        <v>1</v>
      </c>
      <c r="AG723" s="12">
        <v>0</v>
      </c>
      <c r="AH723" s="12">
        <v>0</v>
      </c>
      <c r="AI723" s="12">
        <v>3</v>
      </c>
      <c r="AJ723" s="12" t="s">
        <v>64</v>
      </c>
      <c r="AK723" s="12">
        <v>0</v>
      </c>
      <c r="AL723" s="12">
        <v>1</v>
      </c>
      <c r="AM723" s="12">
        <v>13973</v>
      </c>
      <c r="AN723" s="12">
        <f t="shared" si="167"/>
        <v>13973</v>
      </c>
      <c r="AO723" s="12">
        <v>3</v>
      </c>
      <c r="AP723" s="12" t="s">
        <v>52</v>
      </c>
      <c r="AQ723" s="12">
        <v>1</v>
      </c>
      <c r="AR723" s="12">
        <v>18</v>
      </c>
      <c r="AS723" s="12">
        <v>3</v>
      </c>
      <c r="AT723" s="12">
        <v>4</v>
      </c>
      <c r="AU723" s="12">
        <v>1</v>
      </c>
      <c r="AV723" s="12">
        <v>22</v>
      </c>
      <c r="AW723" s="12">
        <f t="shared" si="168"/>
        <v>22</v>
      </c>
      <c r="AX723" s="12">
        <v>2</v>
      </c>
      <c r="AY723" s="12">
        <v>3</v>
      </c>
      <c r="AZ723" s="12">
        <v>12</v>
      </c>
      <c r="BA723" s="12">
        <f t="shared" si="169"/>
        <v>12</v>
      </c>
      <c r="BB723" s="12">
        <v>11</v>
      </c>
      <c r="BC723" s="12">
        <v>1</v>
      </c>
      <c r="BD723" s="12">
        <f t="shared" si="178"/>
        <v>1</v>
      </c>
      <c r="BE723" s="12">
        <v>5</v>
      </c>
      <c r="BF723" s="12">
        <f t="shared" si="170"/>
        <v>5</v>
      </c>
      <c r="BG723" s="12">
        <f t="shared" si="179"/>
        <v>20</v>
      </c>
      <c r="BH723" s="67">
        <v>0</v>
      </c>
      <c r="BI723" s="67">
        <v>1</v>
      </c>
      <c r="BJ723" s="67">
        <v>0</v>
      </c>
      <c r="BK723" s="67">
        <v>0</v>
      </c>
      <c r="BL723" s="67">
        <v>0</v>
      </c>
      <c r="BM723" s="67">
        <v>0</v>
      </c>
      <c r="BN723" s="67">
        <v>0</v>
      </c>
      <c r="BO723" s="67">
        <v>1</v>
      </c>
      <c r="BP723" s="67">
        <v>0</v>
      </c>
      <c r="BQ723" s="67">
        <v>5</v>
      </c>
      <c r="BR723" s="67">
        <v>0</v>
      </c>
      <c r="BS723" s="67">
        <v>0</v>
      </c>
      <c r="BT723" s="67">
        <v>22</v>
      </c>
      <c r="BU723" s="70">
        <v>0</v>
      </c>
      <c r="BV723" s="29">
        <f t="shared" si="171"/>
        <v>1.5866901612821169</v>
      </c>
      <c r="BW723">
        <f t="shared" si="172"/>
        <v>0.24575036340443959</v>
      </c>
      <c r="BX723">
        <f t="shared" si="173"/>
        <v>1.3778060624681052</v>
      </c>
      <c r="BY723">
        <f t="shared" si="174"/>
        <v>0.81479086603202333</v>
      </c>
      <c r="BZ723">
        <f t="shared" si="175"/>
        <v>1.8265364014293735</v>
      </c>
      <c r="CA723">
        <f t="shared" si="176"/>
        <v>1.4313799530736149</v>
      </c>
      <c r="CB723">
        <f t="shared" si="177"/>
        <v>0.36858985273641137</v>
      </c>
    </row>
    <row r="724" spans="1:80" x14ac:dyDescent="0.45">
      <c r="A724" s="11">
        <v>38</v>
      </c>
      <c r="B724" s="12">
        <f t="shared" si="165"/>
        <v>38</v>
      </c>
      <c r="C724" s="12" t="s">
        <v>59</v>
      </c>
      <c r="D724" s="12">
        <v>0</v>
      </c>
      <c r="E724" s="12" t="s">
        <v>60</v>
      </c>
      <c r="F724" s="12">
        <v>1</v>
      </c>
      <c r="G724" s="12">
        <v>0</v>
      </c>
      <c r="H724" s="12" t="s">
        <v>61</v>
      </c>
      <c r="I724" s="12">
        <v>1</v>
      </c>
      <c r="J724" s="12">
        <v>0</v>
      </c>
      <c r="K724" s="12">
        <v>10</v>
      </c>
      <c r="L724" s="12">
        <f t="shared" si="166"/>
        <v>10</v>
      </c>
      <c r="M724" s="12">
        <v>1</v>
      </c>
      <c r="N724" s="12" t="s">
        <v>70</v>
      </c>
      <c r="O724" s="12">
        <v>0</v>
      </c>
      <c r="P724" s="12">
        <v>0</v>
      </c>
      <c r="Q724" s="12">
        <v>1</v>
      </c>
      <c r="R724" s="12">
        <v>0</v>
      </c>
      <c r="S724" s="12">
        <v>0</v>
      </c>
      <c r="T724" s="12">
        <v>3</v>
      </c>
      <c r="U724" s="12" t="s">
        <v>62</v>
      </c>
      <c r="V724" s="12">
        <v>0</v>
      </c>
      <c r="W724" s="12">
        <v>66</v>
      </c>
      <c r="X724" s="12">
        <v>3</v>
      </c>
      <c r="Y724" s="12">
        <v>1</v>
      </c>
      <c r="Z724" s="12" t="s">
        <v>63</v>
      </c>
      <c r="AA724" s="12">
        <v>0</v>
      </c>
      <c r="AB724" s="12">
        <v>0</v>
      </c>
      <c r="AC724" s="12">
        <v>0</v>
      </c>
      <c r="AD724" s="12">
        <v>0</v>
      </c>
      <c r="AE724" s="12">
        <v>0</v>
      </c>
      <c r="AF724" s="12">
        <v>0</v>
      </c>
      <c r="AG724" s="12">
        <v>0</v>
      </c>
      <c r="AH724" s="12">
        <v>1</v>
      </c>
      <c r="AI724" s="12">
        <v>3</v>
      </c>
      <c r="AJ724" s="12" t="s">
        <v>64</v>
      </c>
      <c r="AK724" s="12">
        <v>0</v>
      </c>
      <c r="AL724" s="12">
        <v>1</v>
      </c>
      <c r="AM724" s="12">
        <v>2684</v>
      </c>
      <c r="AN724" s="12">
        <f t="shared" si="167"/>
        <v>2684</v>
      </c>
      <c r="AO724" s="12">
        <v>0</v>
      </c>
      <c r="AP724" s="12" t="s">
        <v>59</v>
      </c>
      <c r="AQ724" s="12">
        <v>0</v>
      </c>
      <c r="AR724" s="12">
        <v>17</v>
      </c>
      <c r="AS724" s="12">
        <v>3</v>
      </c>
      <c r="AT724" s="12">
        <v>2</v>
      </c>
      <c r="AU724" s="12">
        <v>1</v>
      </c>
      <c r="AV724" s="12">
        <v>3</v>
      </c>
      <c r="AW724" s="12">
        <f t="shared" si="168"/>
        <v>3</v>
      </c>
      <c r="AX724" s="12">
        <v>0</v>
      </c>
      <c r="AY724" s="12">
        <v>2</v>
      </c>
      <c r="AZ724" s="12">
        <v>2</v>
      </c>
      <c r="BA724" s="12">
        <f t="shared" si="169"/>
        <v>2</v>
      </c>
      <c r="BB724" s="12">
        <v>1</v>
      </c>
      <c r="BC724" s="12">
        <v>0</v>
      </c>
      <c r="BD724" s="12">
        <f t="shared" si="178"/>
        <v>0</v>
      </c>
      <c r="BE724" s="12">
        <v>2</v>
      </c>
      <c r="BF724" s="12">
        <f t="shared" si="170"/>
        <v>2</v>
      </c>
      <c r="BG724" s="12">
        <f t="shared" si="179"/>
        <v>2</v>
      </c>
      <c r="BH724" s="67">
        <v>0</v>
      </c>
      <c r="BI724" s="67">
        <v>0</v>
      </c>
      <c r="BJ724" s="67">
        <v>0</v>
      </c>
      <c r="BK724" s="67">
        <v>1</v>
      </c>
      <c r="BL724" s="67">
        <v>0</v>
      </c>
      <c r="BM724" s="67">
        <v>0</v>
      </c>
      <c r="BN724" s="67">
        <v>1</v>
      </c>
      <c r="BO724" s="67">
        <v>0</v>
      </c>
      <c r="BP724" s="67">
        <v>0</v>
      </c>
      <c r="BQ724" s="67">
        <v>2</v>
      </c>
      <c r="BR724" s="67">
        <v>0</v>
      </c>
      <c r="BS724" s="67">
        <v>0</v>
      </c>
      <c r="BT724" s="67">
        <v>3</v>
      </c>
      <c r="BU724" s="70">
        <v>0</v>
      </c>
      <c r="BV724" s="29">
        <f t="shared" si="171"/>
        <v>0.811165324674884</v>
      </c>
      <c r="BW724">
        <f t="shared" si="172"/>
        <v>0.59502473559756086</v>
      </c>
      <c r="BX724">
        <f t="shared" si="173"/>
        <v>1.0641079755250529</v>
      </c>
      <c r="BY724">
        <f t="shared" si="174"/>
        <v>0.81745575848020657</v>
      </c>
      <c r="BZ724">
        <f t="shared" si="175"/>
        <v>9.9604847176766084E-2</v>
      </c>
      <c r="CA724">
        <f t="shared" si="176"/>
        <v>0.11780475942994788</v>
      </c>
      <c r="CB724">
        <f t="shared" si="177"/>
        <v>0.67891464284095016</v>
      </c>
    </row>
    <row r="725" spans="1:80" x14ac:dyDescent="0.45">
      <c r="A725" s="11">
        <v>46</v>
      </c>
      <c r="B725" s="12">
        <f t="shared" si="165"/>
        <v>46</v>
      </c>
      <c r="C725" s="12" t="s">
        <v>59</v>
      </c>
      <c r="D725" s="12">
        <v>0</v>
      </c>
      <c r="E725" s="12" t="s">
        <v>53</v>
      </c>
      <c r="F725" s="12">
        <v>0</v>
      </c>
      <c r="G725" s="12">
        <v>1</v>
      </c>
      <c r="H725" s="12" t="s">
        <v>61</v>
      </c>
      <c r="I725" s="12">
        <v>1</v>
      </c>
      <c r="J725" s="12">
        <v>0</v>
      </c>
      <c r="K725" s="12">
        <v>7</v>
      </c>
      <c r="L725" s="12">
        <f t="shared" si="166"/>
        <v>7</v>
      </c>
      <c r="M725" s="12">
        <v>2</v>
      </c>
      <c r="N725" s="12" t="s">
        <v>70</v>
      </c>
      <c r="O725" s="12">
        <v>0</v>
      </c>
      <c r="P725" s="12">
        <v>0</v>
      </c>
      <c r="Q725" s="12">
        <v>1</v>
      </c>
      <c r="R725" s="12">
        <v>0</v>
      </c>
      <c r="S725" s="12">
        <v>0</v>
      </c>
      <c r="T725" s="12">
        <v>4</v>
      </c>
      <c r="U725" s="12" t="s">
        <v>62</v>
      </c>
      <c r="V725" s="12">
        <v>0</v>
      </c>
      <c r="W725" s="12">
        <v>75</v>
      </c>
      <c r="X725" s="12">
        <v>3</v>
      </c>
      <c r="Y725" s="12">
        <v>3</v>
      </c>
      <c r="Z725" s="12" t="s">
        <v>83</v>
      </c>
      <c r="AA725" s="12">
        <v>0</v>
      </c>
      <c r="AB725" s="12">
        <v>0</v>
      </c>
      <c r="AC725" s="12">
        <v>0</v>
      </c>
      <c r="AD725" s="12">
        <v>0</v>
      </c>
      <c r="AE725" s="12">
        <v>1</v>
      </c>
      <c r="AF725" s="12">
        <v>1</v>
      </c>
      <c r="AG725" s="12">
        <v>0</v>
      </c>
      <c r="AH725" s="12">
        <v>0</v>
      </c>
      <c r="AI725" s="12">
        <v>3</v>
      </c>
      <c r="AJ725" s="12" t="s">
        <v>78</v>
      </c>
      <c r="AK725" s="12">
        <v>0</v>
      </c>
      <c r="AL725" s="12">
        <v>0</v>
      </c>
      <c r="AM725" s="12">
        <v>10845</v>
      </c>
      <c r="AN725" s="12">
        <f t="shared" si="167"/>
        <v>10845</v>
      </c>
      <c r="AO725" s="12">
        <v>6</v>
      </c>
      <c r="AP725" s="12" t="s">
        <v>59</v>
      </c>
      <c r="AQ725" s="12">
        <v>0</v>
      </c>
      <c r="AR725" s="12">
        <v>13</v>
      </c>
      <c r="AS725" s="12">
        <v>3</v>
      </c>
      <c r="AT725" s="12">
        <v>2</v>
      </c>
      <c r="AU725" s="12">
        <v>1</v>
      </c>
      <c r="AV725" s="12">
        <v>13</v>
      </c>
      <c r="AW725" s="12">
        <f t="shared" si="168"/>
        <v>13</v>
      </c>
      <c r="AX725" s="12">
        <v>3</v>
      </c>
      <c r="AY725" s="12">
        <v>3</v>
      </c>
      <c r="AZ725" s="12">
        <v>8</v>
      </c>
      <c r="BA725" s="12">
        <f t="shared" si="169"/>
        <v>8</v>
      </c>
      <c r="BB725" s="12">
        <v>7</v>
      </c>
      <c r="BC725" s="12">
        <v>0</v>
      </c>
      <c r="BD725" s="12">
        <f t="shared" si="178"/>
        <v>0</v>
      </c>
      <c r="BE725" s="12">
        <v>7</v>
      </c>
      <c r="BF725" s="12">
        <f t="shared" si="170"/>
        <v>7</v>
      </c>
      <c r="BG725" s="12">
        <f t="shared" si="179"/>
        <v>21</v>
      </c>
      <c r="BH725" s="67">
        <v>1</v>
      </c>
      <c r="BI725" s="67">
        <v>0</v>
      </c>
      <c r="BJ725" s="67">
        <v>0</v>
      </c>
      <c r="BK725" s="67">
        <v>0</v>
      </c>
      <c r="BL725" s="67">
        <v>1</v>
      </c>
      <c r="BM725" s="67">
        <v>0</v>
      </c>
      <c r="BN725" s="67">
        <v>0</v>
      </c>
      <c r="BO725" s="67">
        <v>0</v>
      </c>
      <c r="BP725" s="67">
        <v>0</v>
      </c>
      <c r="BQ725" s="67">
        <v>7</v>
      </c>
      <c r="BR725" s="67">
        <v>0</v>
      </c>
      <c r="BS725" s="67">
        <v>0</v>
      </c>
      <c r="BT725" s="67">
        <v>13</v>
      </c>
      <c r="BU725" s="70">
        <v>0</v>
      </c>
      <c r="BV725" s="29">
        <f t="shared" si="171"/>
        <v>0.92228304284173268</v>
      </c>
      <c r="BW725">
        <f t="shared" si="172"/>
        <v>0.80626709607243985</v>
      </c>
      <c r="BX725">
        <f t="shared" si="173"/>
        <v>0.22110993920818819</v>
      </c>
      <c r="BY725">
        <f t="shared" si="174"/>
        <v>0.16189221622713135</v>
      </c>
      <c r="BZ725">
        <f t="shared" si="175"/>
        <v>0.27045191444879263</v>
      </c>
      <c r="CA725">
        <f t="shared" si="176"/>
        <v>0.99352155519239249</v>
      </c>
      <c r="CB725">
        <f t="shared" si="177"/>
        <v>0.67891464284095016</v>
      </c>
    </row>
    <row r="726" spans="1:80" x14ac:dyDescent="0.45">
      <c r="A726" s="11">
        <v>24</v>
      </c>
      <c r="B726" s="12">
        <f t="shared" si="165"/>
        <v>24</v>
      </c>
      <c r="C726" s="12" t="s">
        <v>59</v>
      </c>
      <c r="D726" s="12">
        <v>0</v>
      </c>
      <c r="E726" s="12" t="s">
        <v>53</v>
      </c>
      <c r="F726" s="12">
        <v>0</v>
      </c>
      <c r="G726" s="12">
        <v>1</v>
      </c>
      <c r="H726" s="12" t="s">
        <v>61</v>
      </c>
      <c r="I726" s="12">
        <v>1</v>
      </c>
      <c r="J726" s="12">
        <v>0</v>
      </c>
      <c r="K726" s="12">
        <v>17</v>
      </c>
      <c r="L726" s="12">
        <f t="shared" si="166"/>
        <v>17</v>
      </c>
      <c r="M726" s="12">
        <v>1</v>
      </c>
      <c r="N726" s="12" t="s">
        <v>70</v>
      </c>
      <c r="O726" s="12">
        <v>0</v>
      </c>
      <c r="P726" s="12">
        <v>0</v>
      </c>
      <c r="Q726" s="12">
        <v>1</v>
      </c>
      <c r="R726" s="12">
        <v>0</v>
      </c>
      <c r="S726" s="12">
        <v>0</v>
      </c>
      <c r="T726" s="12">
        <v>4</v>
      </c>
      <c r="U726" s="12" t="s">
        <v>19</v>
      </c>
      <c r="V726" s="12">
        <v>1</v>
      </c>
      <c r="W726" s="12">
        <v>41</v>
      </c>
      <c r="X726" s="12">
        <v>2</v>
      </c>
      <c r="Y726" s="12">
        <v>2</v>
      </c>
      <c r="Z726" s="12" t="s">
        <v>83</v>
      </c>
      <c r="AA726" s="12">
        <v>0</v>
      </c>
      <c r="AB726" s="12">
        <v>0</v>
      </c>
      <c r="AC726" s="12">
        <v>0</v>
      </c>
      <c r="AD726" s="12">
        <v>0</v>
      </c>
      <c r="AE726" s="12">
        <v>1</v>
      </c>
      <c r="AF726" s="12">
        <v>1</v>
      </c>
      <c r="AG726" s="12">
        <v>0</v>
      </c>
      <c r="AH726" s="12">
        <v>0</v>
      </c>
      <c r="AI726" s="12">
        <v>3</v>
      </c>
      <c r="AJ726" s="12" t="s">
        <v>78</v>
      </c>
      <c r="AK726" s="12">
        <v>0</v>
      </c>
      <c r="AL726" s="12">
        <v>0</v>
      </c>
      <c r="AM726" s="12">
        <v>4377</v>
      </c>
      <c r="AN726" s="12">
        <f t="shared" si="167"/>
        <v>4377</v>
      </c>
      <c r="AO726" s="12">
        <v>1</v>
      </c>
      <c r="AP726" s="12" t="s">
        <v>59</v>
      </c>
      <c r="AQ726" s="12">
        <v>0</v>
      </c>
      <c r="AR726" s="12">
        <v>15</v>
      </c>
      <c r="AS726" s="12">
        <v>3</v>
      </c>
      <c r="AT726" s="12">
        <v>2</v>
      </c>
      <c r="AU726" s="12">
        <v>2</v>
      </c>
      <c r="AV726" s="12">
        <v>5</v>
      </c>
      <c r="AW726" s="12">
        <f t="shared" si="168"/>
        <v>5</v>
      </c>
      <c r="AX726" s="12">
        <v>6</v>
      </c>
      <c r="AY726" s="12">
        <v>3</v>
      </c>
      <c r="AZ726" s="12">
        <v>4</v>
      </c>
      <c r="BA726" s="12">
        <f t="shared" si="169"/>
        <v>4</v>
      </c>
      <c r="BB726" s="12">
        <v>2</v>
      </c>
      <c r="BC726" s="12">
        <v>3</v>
      </c>
      <c r="BD726" s="12">
        <f t="shared" si="178"/>
        <v>3</v>
      </c>
      <c r="BE726" s="12">
        <v>2</v>
      </c>
      <c r="BF726" s="12">
        <f t="shared" si="170"/>
        <v>2</v>
      </c>
      <c r="BG726" s="12">
        <f t="shared" si="179"/>
        <v>4</v>
      </c>
      <c r="BH726" s="67">
        <v>1</v>
      </c>
      <c r="BI726" s="67">
        <v>0</v>
      </c>
      <c r="BJ726" s="67">
        <v>0</v>
      </c>
      <c r="BK726" s="67">
        <v>0</v>
      </c>
      <c r="BL726" s="67">
        <v>1</v>
      </c>
      <c r="BM726" s="67">
        <v>0</v>
      </c>
      <c r="BN726" s="67">
        <v>0</v>
      </c>
      <c r="BO726" s="67">
        <v>0</v>
      </c>
      <c r="BP726" s="67">
        <v>0</v>
      </c>
      <c r="BQ726" s="67">
        <v>2</v>
      </c>
      <c r="BR726" s="67">
        <v>0</v>
      </c>
      <c r="BS726" s="67">
        <v>0</v>
      </c>
      <c r="BT726" s="67">
        <v>5</v>
      </c>
      <c r="BU726" s="70">
        <v>0</v>
      </c>
      <c r="BV726" s="29">
        <f t="shared" si="171"/>
        <v>0.45156134401005965</v>
      </c>
      <c r="BW726">
        <f t="shared" si="172"/>
        <v>0.59502473559756086</v>
      </c>
      <c r="BX726">
        <f t="shared" si="173"/>
        <v>0.80706439257840468</v>
      </c>
      <c r="BY726">
        <f t="shared" si="174"/>
        <v>0.49100643357776058</v>
      </c>
      <c r="BZ726">
        <f t="shared" si="175"/>
        <v>0.96307062430306978</v>
      </c>
      <c r="CA726">
        <f t="shared" si="176"/>
        <v>1.4146996331543302</v>
      </c>
      <c r="CB726">
        <f t="shared" si="177"/>
        <v>0.2520597274726662</v>
      </c>
    </row>
    <row r="727" spans="1:80" x14ac:dyDescent="0.45">
      <c r="A727" s="11">
        <v>35</v>
      </c>
      <c r="B727" s="12">
        <f t="shared" si="165"/>
        <v>35</v>
      </c>
      <c r="C727" s="12" t="s">
        <v>52</v>
      </c>
      <c r="D727" s="12">
        <v>1</v>
      </c>
      <c r="E727" s="12" t="s">
        <v>53</v>
      </c>
      <c r="F727" s="12">
        <v>0</v>
      </c>
      <c r="G727" s="12">
        <v>1</v>
      </c>
      <c r="H727" s="12" t="s">
        <v>61</v>
      </c>
      <c r="I727" s="12">
        <v>1</v>
      </c>
      <c r="J727" s="12">
        <v>0</v>
      </c>
      <c r="K727" s="12">
        <v>14</v>
      </c>
      <c r="L727" s="12">
        <f t="shared" si="166"/>
        <v>14</v>
      </c>
      <c r="M727" s="12">
        <v>4</v>
      </c>
      <c r="N727" s="12" t="s">
        <v>66</v>
      </c>
      <c r="O727" s="12">
        <v>0</v>
      </c>
      <c r="P727" s="12">
        <v>1</v>
      </c>
      <c r="Q727" s="12">
        <v>0</v>
      </c>
      <c r="R727" s="12">
        <v>0</v>
      </c>
      <c r="S727" s="12">
        <v>0</v>
      </c>
      <c r="T727" s="12">
        <v>3</v>
      </c>
      <c r="U727" s="12" t="s">
        <v>62</v>
      </c>
      <c r="V727" s="12">
        <v>0</v>
      </c>
      <c r="W727" s="12">
        <v>39</v>
      </c>
      <c r="X727" s="12">
        <v>2</v>
      </c>
      <c r="Y727" s="12">
        <v>1</v>
      </c>
      <c r="Z727" s="12" t="s">
        <v>67</v>
      </c>
      <c r="AA727" s="12">
        <v>0</v>
      </c>
      <c r="AB727" s="12">
        <v>0</v>
      </c>
      <c r="AC727" s="12">
        <v>1</v>
      </c>
      <c r="AD727" s="12">
        <v>0</v>
      </c>
      <c r="AE727" s="12">
        <v>0</v>
      </c>
      <c r="AF727" s="12">
        <v>0</v>
      </c>
      <c r="AG727" s="12">
        <v>0</v>
      </c>
      <c r="AH727" s="12">
        <v>0</v>
      </c>
      <c r="AI727" s="12">
        <v>2</v>
      </c>
      <c r="AJ727" s="12" t="s">
        <v>78</v>
      </c>
      <c r="AK727" s="12">
        <v>0</v>
      </c>
      <c r="AL727" s="12">
        <v>0</v>
      </c>
      <c r="AM727" s="12">
        <v>3743</v>
      </c>
      <c r="AN727" s="12">
        <f t="shared" si="167"/>
        <v>3743</v>
      </c>
      <c r="AO727" s="12">
        <v>1</v>
      </c>
      <c r="AP727" s="12" t="s">
        <v>52</v>
      </c>
      <c r="AQ727" s="12">
        <v>1</v>
      </c>
      <c r="AR727" s="12">
        <v>24</v>
      </c>
      <c r="AS727" s="12">
        <v>4</v>
      </c>
      <c r="AT727" s="12">
        <v>4</v>
      </c>
      <c r="AU727" s="12">
        <v>1</v>
      </c>
      <c r="AV727" s="12">
        <v>5</v>
      </c>
      <c r="AW727" s="12">
        <f t="shared" si="168"/>
        <v>5</v>
      </c>
      <c r="AX727" s="12">
        <v>2</v>
      </c>
      <c r="AY727" s="12">
        <v>1</v>
      </c>
      <c r="AZ727" s="12">
        <v>4</v>
      </c>
      <c r="BA727" s="12">
        <f t="shared" si="169"/>
        <v>4</v>
      </c>
      <c r="BB727" s="12">
        <v>2</v>
      </c>
      <c r="BC727" s="12">
        <v>0</v>
      </c>
      <c r="BD727" s="12">
        <f t="shared" si="178"/>
        <v>0</v>
      </c>
      <c r="BE727" s="12">
        <v>2</v>
      </c>
      <c r="BF727" s="12">
        <f t="shared" si="170"/>
        <v>2</v>
      </c>
      <c r="BG727" s="12">
        <f t="shared" si="179"/>
        <v>2</v>
      </c>
      <c r="BH727" s="67">
        <v>1</v>
      </c>
      <c r="BI727" s="67">
        <v>0</v>
      </c>
      <c r="BJ727" s="67">
        <v>0</v>
      </c>
      <c r="BK727" s="67">
        <v>0</v>
      </c>
      <c r="BL727" s="67">
        <v>0</v>
      </c>
      <c r="BM727" s="67">
        <v>1</v>
      </c>
      <c r="BN727" s="67">
        <v>0</v>
      </c>
      <c r="BO727" s="67">
        <v>0</v>
      </c>
      <c r="BP727" s="67">
        <v>0</v>
      </c>
      <c r="BQ727" s="67">
        <v>2</v>
      </c>
      <c r="BR727" s="67">
        <v>0</v>
      </c>
      <c r="BS727" s="67">
        <v>0</v>
      </c>
      <c r="BT727" s="67">
        <v>5</v>
      </c>
      <c r="BU727" s="70">
        <v>0</v>
      </c>
      <c r="BV727" s="29">
        <f t="shared" si="171"/>
        <v>0.58622698118755445</v>
      </c>
      <c r="BW727">
        <f t="shared" si="172"/>
        <v>0.59502473559756086</v>
      </c>
      <c r="BX727">
        <f t="shared" si="173"/>
        <v>0.80706439257840468</v>
      </c>
      <c r="BY727">
        <f t="shared" si="174"/>
        <v>0.49100643357776058</v>
      </c>
      <c r="BZ727">
        <f t="shared" si="175"/>
        <v>0.59301386267751111</v>
      </c>
      <c r="CA727">
        <f t="shared" si="176"/>
        <v>0.21058903898096887</v>
      </c>
      <c r="CB727">
        <f t="shared" si="177"/>
        <v>0.67891464284095016</v>
      </c>
    </row>
    <row r="728" spans="1:80" x14ac:dyDescent="0.45">
      <c r="A728" s="11">
        <v>31</v>
      </c>
      <c r="B728" s="12">
        <f t="shared" si="165"/>
        <v>31</v>
      </c>
      <c r="C728" s="12" t="s">
        <v>59</v>
      </c>
      <c r="D728" s="12">
        <v>0</v>
      </c>
      <c r="E728" s="12" t="s">
        <v>60</v>
      </c>
      <c r="F728" s="12">
        <v>1</v>
      </c>
      <c r="G728" s="12">
        <v>0</v>
      </c>
      <c r="H728" s="12" t="s">
        <v>61</v>
      </c>
      <c r="I728" s="12">
        <v>1</v>
      </c>
      <c r="J728" s="12">
        <v>0</v>
      </c>
      <c r="K728" s="12">
        <v>1</v>
      </c>
      <c r="L728" s="12">
        <f t="shared" si="166"/>
        <v>1</v>
      </c>
      <c r="M728" s="12">
        <v>1</v>
      </c>
      <c r="N728" s="12" t="s">
        <v>55</v>
      </c>
      <c r="O728" s="12">
        <v>1</v>
      </c>
      <c r="P728" s="12">
        <v>0</v>
      </c>
      <c r="Q728" s="12">
        <v>0</v>
      </c>
      <c r="R728" s="12">
        <v>0</v>
      </c>
      <c r="S728" s="12">
        <v>0</v>
      </c>
      <c r="T728" s="12">
        <v>3</v>
      </c>
      <c r="U728" s="12" t="s">
        <v>19</v>
      </c>
      <c r="V728" s="12">
        <v>1</v>
      </c>
      <c r="W728" s="12">
        <v>96</v>
      </c>
      <c r="X728" s="12">
        <v>3</v>
      </c>
      <c r="Y728" s="12">
        <v>2</v>
      </c>
      <c r="Z728" s="12" t="s">
        <v>83</v>
      </c>
      <c r="AA728" s="12">
        <v>0</v>
      </c>
      <c r="AB728" s="12">
        <v>0</v>
      </c>
      <c r="AC728" s="12">
        <v>0</v>
      </c>
      <c r="AD728" s="12">
        <v>0</v>
      </c>
      <c r="AE728" s="12">
        <v>1</v>
      </c>
      <c r="AF728" s="12">
        <v>1</v>
      </c>
      <c r="AG728" s="12">
        <v>0</v>
      </c>
      <c r="AH728" s="12">
        <v>0</v>
      </c>
      <c r="AI728" s="12">
        <v>1</v>
      </c>
      <c r="AJ728" s="12" t="s">
        <v>64</v>
      </c>
      <c r="AK728" s="12">
        <v>0</v>
      </c>
      <c r="AL728" s="12">
        <v>1</v>
      </c>
      <c r="AM728" s="12">
        <v>4148</v>
      </c>
      <c r="AN728" s="12">
        <f t="shared" si="167"/>
        <v>4148</v>
      </c>
      <c r="AO728" s="12">
        <v>1</v>
      </c>
      <c r="AP728" s="12" t="s">
        <v>59</v>
      </c>
      <c r="AQ728" s="12">
        <v>0</v>
      </c>
      <c r="AR728" s="12">
        <v>12</v>
      </c>
      <c r="AS728" s="12">
        <v>3</v>
      </c>
      <c r="AT728" s="12">
        <v>3</v>
      </c>
      <c r="AU728" s="12">
        <v>1</v>
      </c>
      <c r="AV728" s="12">
        <v>4</v>
      </c>
      <c r="AW728" s="12">
        <f t="shared" si="168"/>
        <v>4</v>
      </c>
      <c r="AX728" s="12">
        <v>1</v>
      </c>
      <c r="AY728" s="12">
        <v>3</v>
      </c>
      <c r="AZ728" s="12">
        <v>4</v>
      </c>
      <c r="BA728" s="12">
        <f t="shared" si="169"/>
        <v>4</v>
      </c>
      <c r="BB728" s="12">
        <v>3</v>
      </c>
      <c r="BC728" s="12">
        <v>0</v>
      </c>
      <c r="BD728" s="12">
        <f t="shared" si="178"/>
        <v>0</v>
      </c>
      <c r="BE728" s="12">
        <v>3</v>
      </c>
      <c r="BF728" s="12">
        <f t="shared" si="170"/>
        <v>3</v>
      </c>
      <c r="BG728" s="12">
        <f t="shared" si="179"/>
        <v>6</v>
      </c>
      <c r="BH728" s="67">
        <v>0</v>
      </c>
      <c r="BI728" s="67">
        <v>0</v>
      </c>
      <c r="BJ728" s="67">
        <v>0</v>
      </c>
      <c r="BK728" s="67">
        <v>1</v>
      </c>
      <c r="BL728" s="67">
        <v>0</v>
      </c>
      <c r="BM728" s="67">
        <v>0</v>
      </c>
      <c r="BN728" s="67">
        <v>1</v>
      </c>
      <c r="BO728" s="67">
        <v>0</v>
      </c>
      <c r="BP728" s="67">
        <v>0</v>
      </c>
      <c r="BQ728" s="67">
        <v>3</v>
      </c>
      <c r="BR728" s="67">
        <v>0</v>
      </c>
      <c r="BS728" s="67">
        <v>0</v>
      </c>
      <c r="BT728" s="67">
        <v>4</v>
      </c>
      <c r="BU728" s="70">
        <v>0</v>
      </c>
      <c r="BV728" s="29">
        <f t="shared" si="171"/>
        <v>0.50020240223347656</v>
      </c>
      <c r="BW728">
        <f t="shared" si="172"/>
        <v>0.31476636926356072</v>
      </c>
      <c r="BX728">
        <f t="shared" si="173"/>
        <v>0.93558618405172878</v>
      </c>
      <c r="BY728">
        <f t="shared" si="174"/>
        <v>0.49100643357776058</v>
      </c>
      <c r="BZ728">
        <f t="shared" si="175"/>
        <v>1.01056543769991</v>
      </c>
      <c r="CA728">
        <f t="shared" si="176"/>
        <v>0.6484474368621912</v>
      </c>
      <c r="CB728">
        <f t="shared" si="177"/>
        <v>0.67891464284095016</v>
      </c>
    </row>
    <row r="729" spans="1:80" x14ac:dyDescent="0.45">
      <c r="A729" s="11">
        <v>18</v>
      </c>
      <c r="B729" s="12">
        <f t="shared" si="165"/>
        <v>19</v>
      </c>
      <c r="C729" s="12" t="s">
        <v>59</v>
      </c>
      <c r="D729" s="12">
        <v>0</v>
      </c>
      <c r="E729" s="12" t="s">
        <v>86</v>
      </c>
      <c r="F729" s="12">
        <v>0</v>
      </c>
      <c r="G729" s="12">
        <v>0</v>
      </c>
      <c r="H729" s="12" t="s">
        <v>61</v>
      </c>
      <c r="I729" s="12">
        <v>1</v>
      </c>
      <c r="J729" s="12">
        <v>0</v>
      </c>
      <c r="K729" s="12">
        <v>5</v>
      </c>
      <c r="L729" s="12">
        <f t="shared" si="166"/>
        <v>5</v>
      </c>
      <c r="M729" s="12">
        <v>2</v>
      </c>
      <c r="N729" s="12" t="s">
        <v>55</v>
      </c>
      <c r="O729" s="12">
        <v>1</v>
      </c>
      <c r="P729" s="12">
        <v>0</v>
      </c>
      <c r="Q729" s="12">
        <v>0</v>
      </c>
      <c r="R729" s="12">
        <v>0</v>
      </c>
      <c r="S729" s="12">
        <v>0</v>
      </c>
      <c r="T729" s="12">
        <v>2</v>
      </c>
      <c r="U729" s="12" t="s">
        <v>62</v>
      </c>
      <c r="V729" s="12">
        <v>0</v>
      </c>
      <c r="W729" s="12">
        <v>73</v>
      </c>
      <c r="X729" s="12">
        <v>3</v>
      </c>
      <c r="Y729" s="12">
        <v>1</v>
      </c>
      <c r="Z729" s="12" t="s">
        <v>63</v>
      </c>
      <c r="AA729" s="12">
        <v>0</v>
      </c>
      <c r="AB729" s="12">
        <v>0</v>
      </c>
      <c r="AC729" s="12">
        <v>0</v>
      </c>
      <c r="AD729" s="12">
        <v>0</v>
      </c>
      <c r="AE729" s="12">
        <v>0</v>
      </c>
      <c r="AF729" s="12">
        <v>0</v>
      </c>
      <c r="AG729" s="12">
        <v>0</v>
      </c>
      <c r="AH729" s="12">
        <v>1</v>
      </c>
      <c r="AI729" s="12">
        <v>4</v>
      </c>
      <c r="AJ729" s="12" t="s">
        <v>57</v>
      </c>
      <c r="AK729" s="12">
        <v>1</v>
      </c>
      <c r="AL729" s="12">
        <v>0</v>
      </c>
      <c r="AM729" s="12">
        <v>1051</v>
      </c>
      <c r="AN729" s="12">
        <f t="shared" si="167"/>
        <v>1382.46</v>
      </c>
      <c r="AO729" s="12">
        <v>1</v>
      </c>
      <c r="AP729" s="12" t="s">
        <v>59</v>
      </c>
      <c r="AQ729" s="12">
        <v>0</v>
      </c>
      <c r="AR729" s="12">
        <v>15</v>
      </c>
      <c r="AS729" s="12">
        <v>3</v>
      </c>
      <c r="AT729" s="12">
        <v>4</v>
      </c>
      <c r="AU729" s="12">
        <v>0</v>
      </c>
      <c r="AV729" s="12">
        <v>0</v>
      </c>
      <c r="AW729" s="12">
        <f t="shared" si="168"/>
        <v>1</v>
      </c>
      <c r="AX729" s="12">
        <v>2</v>
      </c>
      <c r="AY729" s="12">
        <v>3</v>
      </c>
      <c r="AZ729" s="12">
        <v>0</v>
      </c>
      <c r="BA729" s="12">
        <f t="shared" si="169"/>
        <v>0</v>
      </c>
      <c r="BB729" s="12">
        <v>0</v>
      </c>
      <c r="BC729" s="12">
        <v>0</v>
      </c>
      <c r="BD729" s="12">
        <f t="shared" si="178"/>
        <v>0</v>
      </c>
      <c r="BE729" s="12">
        <v>0</v>
      </c>
      <c r="BF729" s="12">
        <f t="shared" si="170"/>
        <v>0</v>
      </c>
      <c r="BG729" s="12">
        <f t="shared" si="179"/>
        <v>0</v>
      </c>
      <c r="BH729" s="67">
        <v>1</v>
      </c>
      <c r="BI729" s="67">
        <v>0</v>
      </c>
      <c r="BJ729" s="67">
        <v>0</v>
      </c>
      <c r="BK729" s="67">
        <v>0</v>
      </c>
      <c r="BL729" s="67">
        <v>1</v>
      </c>
      <c r="BM729" s="67">
        <v>0</v>
      </c>
      <c r="BN729" s="67">
        <v>0</v>
      </c>
      <c r="BO729" s="67">
        <v>0</v>
      </c>
      <c r="BP729" s="67">
        <v>0</v>
      </c>
      <c r="BQ729" s="67">
        <v>0</v>
      </c>
      <c r="BR729" s="67">
        <v>0</v>
      </c>
      <c r="BS729" s="67">
        <v>0</v>
      </c>
      <c r="BT729" s="67">
        <v>1</v>
      </c>
      <c r="BU729" s="70">
        <v>0</v>
      </c>
      <c r="BV729" s="29">
        <f t="shared" si="171"/>
        <v>1.1580249232724376</v>
      </c>
      <c r="BW729">
        <f t="shared" si="172"/>
        <v>1.1555414682655611</v>
      </c>
      <c r="BX729">
        <f t="shared" si="173"/>
        <v>1.4496733499450252</v>
      </c>
      <c r="BY729">
        <f t="shared" si="174"/>
        <v>1.1439050833826525</v>
      </c>
      <c r="BZ729">
        <f t="shared" si="175"/>
        <v>0.51715642219916513</v>
      </c>
      <c r="CA729">
        <f t="shared" si="176"/>
        <v>2.0714872299761637</v>
      </c>
      <c r="CB729">
        <f t="shared" si="177"/>
        <v>0.67891464284095016</v>
      </c>
    </row>
    <row r="730" spans="1:80" x14ac:dyDescent="0.45">
      <c r="A730" s="11">
        <v>54</v>
      </c>
      <c r="B730" s="12">
        <f t="shared" si="165"/>
        <v>54</v>
      </c>
      <c r="C730" s="12" t="s">
        <v>59</v>
      </c>
      <c r="D730" s="12">
        <v>0</v>
      </c>
      <c r="E730" s="12" t="s">
        <v>53</v>
      </c>
      <c r="F730" s="12">
        <v>0</v>
      </c>
      <c r="G730" s="12">
        <v>1</v>
      </c>
      <c r="H730" s="12" t="s">
        <v>61</v>
      </c>
      <c r="I730" s="12">
        <v>1</v>
      </c>
      <c r="J730" s="12">
        <v>0</v>
      </c>
      <c r="K730" s="12">
        <v>17</v>
      </c>
      <c r="L730" s="12">
        <f t="shared" si="166"/>
        <v>17</v>
      </c>
      <c r="M730" s="12">
        <v>3</v>
      </c>
      <c r="N730" s="12" t="s">
        <v>91</v>
      </c>
      <c r="O730" s="12">
        <v>0</v>
      </c>
      <c r="P730" s="12">
        <v>0</v>
      </c>
      <c r="Q730" s="12">
        <v>0</v>
      </c>
      <c r="R730" s="12">
        <v>0</v>
      </c>
      <c r="S730" s="12">
        <v>1</v>
      </c>
      <c r="T730" s="12">
        <v>3</v>
      </c>
      <c r="U730" s="12" t="s">
        <v>19</v>
      </c>
      <c r="V730" s="12">
        <v>1</v>
      </c>
      <c r="W730" s="12">
        <v>56</v>
      </c>
      <c r="X730" s="12">
        <v>3</v>
      </c>
      <c r="Y730" s="12">
        <v>3</v>
      </c>
      <c r="Z730" s="12" t="s">
        <v>83</v>
      </c>
      <c r="AA730" s="12">
        <v>0</v>
      </c>
      <c r="AB730" s="12">
        <v>0</v>
      </c>
      <c r="AC730" s="12">
        <v>0</v>
      </c>
      <c r="AD730" s="12">
        <v>0</v>
      </c>
      <c r="AE730" s="12">
        <v>1</v>
      </c>
      <c r="AF730" s="12">
        <v>1</v>
      </c>
      <c r="AG730" s="12">
        <v>0</v>
      </c>
      <c r="AH730" s="12">
        <v>0</v>
      </c>
      <c r="AI730" s="12">
        <v>3</v>
      </c>
      <c r="AJ730" s="12" t="s">
        <v>64</v>
      </c>
      <c r="AK730" s="12">
        <v>0</v>
      </c>
      <c r="AL730" s="12">
        <v>1</v>
      </c>
      <c r="AM730" s="12">
        <v>10739</v>
      </c>
      <c r="AN730" s="12">
        <f t="shared" si="167"/>
        <v>10739</v>
      </c>
      <c r="AO730" s="12">
        <v>8</v>
      </c>
      <c r="AP730" s="12" t="s">
        <v>59</v>
      </c>
      <c r="AQ730" s="12">
        <v>0</v>
      </c>
      <c r="AR730" s="12">
        <v>11</v>
      </c>
      <c r="AS730" s="12">
        <v>3</v>
      </c>
      <c r="AT730" s="12">
        <v>3</v>
      </c>
      <c r="AU730" s="12">
        <v>1</v>
      </c>
      <c r="AV730" s="12">
        <v>22</v>
      </c>
      <c r="AW730" s="12">
        <f t="shared" si="168"/>
        <v>22</v>
      </c>
      <c r="AX730" s="12">
        <v>2</v>
      </c>
      <c r="AY730" s="12">
        <v>3</v>
      </c>
      <c r="AZ730" s="12">
        <v>10</v>
      </c>
      <c r="BA730" s="12">
        <f t="shared" si="169"/>
        <v>10</v>
      </c>
      <c r="BB730" s="12">
        <v>7</v>
      </c>
      <c r="BC730" s="12">
        <v>0</v>
      </c>
      <c r="BD730" s="12">
        <f t="shared" si="178"/>
        <v>0</v>
      </c>
      <c r="BE730" s="12">
        <v>8</v>
      </c>
      <c r="BF730" s="12">
        <f t="shared" si="170"/>
        <v>8</v>
      </c>
      <c r="BG730" s="12">
        <f t="shared" si="179"/>
        <v>24</v>
      </c>
      <c r="BH730" s="67">
        <v>0</v>
      </c>
      <c r="BI730" s="67">
        <v>1</v>
      </c>
      <c r="BJ730" s="67">
        <v>0</v>
      </c>
      <c r="BK730" s="67">
        <v>0</v>
      </c>
      <c r="BL730" s="67">
        <v>0</v>
      </c>
      <c r="BM730" s="67">
        <v>0</v>
      </c>
      <c r="BN730" s="67">
        <v>1</v>
      </c>
      <c r="BO730" s="67">
        <v>0</v>
      </c>
      <c r="BP730" s="67">
        <v>0</v>
      </c>
      <c r="BQ730" s="67">
        <v>8</v>
      </c>
      <c r="BR730" s="67">
        <v>0</v>
      </c>
      <c r="BS730" s="67">
        <v>0</v>
      </c>
      <c r="BT730" s="67">
        <v>22</v>
      </c>
      <c r="BU730" s="70">
        <v>0</v>
      </c>
      <c r="BV730" s="29">
        <f t="shared" si="171"/>
        <v>0.89976796785622093</v>
      </c>
      <c r="BW730">
        <f t="shared" si="172"/>
        <v>1.08652546240644</v>
      </c>
      <c r="BX730">
        <f t="shared" si="173"/>
        <v>1.3778060624681052</v>
      </c>
      <c r="BY730">
        <f t="shared" si="174"/>
        <v>0.48834154112957734</v>
      </c>
      <c r="BZ730">
        <f t="shared" si="175"/>
        <v>0.96307062430306978</v>
      </c>
      <c r="CA730">
        <f t="shared" si="176"/>
        <v>1.8692383509548371</v>
      </c>
      <c r="CB730">
        <f t="shared" si="177"/>
        <v>0.67891464284095016</v>
      </c>
    </row>
    <row r="731" spans="1:80" x14ac:dyDescent="0.45">
      <c r="A731" s="11">
        <v>35</v>
      </c>
      <c r="B731" s="12">
        <f t="shared" si="165"/>
        <v>35</v>
      </c>
      <c r="C731" s="12" t="s">
        <v>59</v>
      </c>
      <c r="D731" s="12">
        <v>0</v>
      </c>
      <c r="E731" s="12" t="s">
        <v>53</v>
      </c>
      <c r="F731" s="12">
        <v>0</v>
      </c>
      <c r="G731" s="12">
        <v>1</v>
      </c>
      <c r="H731" s="12" t="s">
        <v>61</v>
      </c>
      <c r="I731" s="12">
        <v>1</v>
      </c>
      <c r="J731" s="12">
        <v>0</v>
      </c>
      <c r="K731" s="12">
        <v>25</v>
      </c>
      <c r="L731" s="12">
        <f t="shared" si="166"/>
        <v>25</v>
      </c>
      <c r="M731" s="12">
        <v>4</v>
      </c>
      <c r="N731" s="12" t="s">
        <v>70</v>
      </c>
      <c r="O731" s="12">
        <v>0</v>
      </c>
      <c r="P731" s="12">
        <v>0</v>
      </c>
      <c r="Q731" s="12">
        <v>1</v>
      </c>
      <c r="R731" s="12">
        <v>0</v>
      </c>
      <c r="S731" s="12">
        <v>0</v>
      </c>
      <c r="T731" s="12">
        <v>3</v>
      </c>
      <c r="U731" s="12" t="s">
        <v>19</v>
      </c>
      <c r="V731" s="12">
        <v>1</v>
      </c>
      <c r="W731" s="12">
        <v>57</v>
      </c>
      <c r="X731" s="12">
        <v>3</v>
      </c>
      <c r="Y731" s="12">
        <v>3</v>
      </c>
      <c r="Z731" s="12" t="s">
        <v>85</v>
      </c>
      <c r="AA731" s="12">
        <v>1</v>
      </c>
      <c r="AB731" s="12">
        <v>0</v>
      </c>
      <c r="AC731" s="12">
        <v>0</v>
      </c>
      <c r="AD731" s="12">
        <v>0</v>
      </c>
      <c r="AE731" s="12">
        <v>0</v>
      </c>
      <c r="AF731" s="12">
        <v>0</v>
      </c>
      <c r="AG731" s="12">
        <v>0</v>
      </c>
      <c r="AH731" s="12">
        <v>0</v>
      </c>
      <c r="AI731" s="12">
        <v>3</v>
      </c>
      <c r="AJ731" s="12" t="s">
        <v>78</v>
      </c>
      <c r="AK731" s="12">
        <v>0</v>
      </c>
      <c r="AL731" s="12">
        <v>0</v>
      </c>
      <c r="AM731" s="12">
        <v>10388</v>
      </c>
      <c r="AN731" s="12">
        <f t="shared" si="167"/>
        <v>10388</v>
      </c>
      <c r="AO731" s="12">
        <v>1</v>
      </c>
      <c r="AP731" s="12" t="s">
        <v>52</v>
      </c>
      <c r="AQ731" s="12">
        <v>1</v>
      </c>
      <c r="AR731" s="12">
        <v>11</v>
      </c>
      <c r="AS731" s="12">
        <v>3</v>
      </c>
      <c r="AT731" s="12">
        <v>3</v>
      </c>
      <c r="AU731" s="12">
        <v>1</v>
      </c>
      <c r="AV731" s="12">
        <v>16</v>
      </c>
      <c r="AW731" s="12">
        <f t="shared" si="168"/>
        <v>16</v>
      </c>
      <c r="AX731" s="12">
        <v>3</v>
      </c>
      <c r="AY731" s="12">
        <v>2</v>
      </c>
      <c r="AZ731" s="12">
        <v>16</v>
      </c>
      <c r="BA731" s="12">
        <f t="shared" si="169"/>
        <v>16</v>
      </c>
      <c r="BB731" s="12">
        <v>10</v>
      </c>
      <c r="BC731" s="12">
        <v>10</v>
      </c>
      <c r="BD731" s="12">
        <f t="shared" si="178"/>
        <v>10</v>
      </c>
      <c r="BE731" s="12">
        <v>1</v>
      </c>
      <c r="BF731" s="12">
        <f t="shared" si="170"/>
        <v>1</v>
      </c>
      <c r="BG731" s="12">
        <f t="shared" si="179"/>
        <v>3</v>
      </c>
      <c r="BH731" s="67">
        <v>1</v>
      </c>
      <c r="BI731" s="67">
        <v>0</v>
      </c>
      <c r="BJ731" s="67">
        <v>0</v>
      </c>
      <c r="BK731" s="67">
        <v>0</v>
      </c>
      <c r="BL731" s="67">
        <v>0</v>
      </c>
      <c r="BM731" s="67">
        <v>1</v>
      </c>
      <c r="BN731" s="67">
        <v>0</v>
      </c>
      <c r="BO731" s="67">
        <v>0</v>
      </c>
      <c r="BP731" s="67">
        <v>0</v>
      </c>
      <c r="BQ731" s="67">
        <v>1</v>
      </c>
      <c r="BR731" s="67">
        <v>0</v>
      </c>
      <c r="BS731" s="67">
        <v>0</v>
      </c>
      <c r="BT731" s="67">
        <v>16</v>
      </c>
      <c r="BU731" s="70">
        <v>0</v>
      </c>
      <c r="BV731" s="29">
        <f t="shared" si="171"/>
        <v>0.82521333276268671</v>
      </c>
      <c r="BW731">
        <f t="shared" si="172"/>
        <v>0.87528310193156111</v>
      </c>
      <c r="BX731">
        <f t="shared" si="173"/>
        <v>0.60667531362816052</v>
      </c>
      <c r="BY731">
        <f t="shared" si="174"/>
        <v>1.4676895158369152</v>
      </c>
      <c r="BZ731">
        <f t="shared" si="175"/>
        <v>1.9498886553045598</v>
      </c>
      <c r="CA731">
        <f t="shared" si="176"/>
        <v>0.21058903898096887</v>
      </c>
      <c r="CB731">
        <f t="shared" si="177"/>
        <v>2.4243332582044381</v>
      </c>
    </row>
    <row r="732" spans="1:80" x14ac:dyDescent="0.45">
      <c r="A732" s="11">
        <v>30</v>
      </c>
      <c r="B732" s="12">
        <f t="shared" si="165"/>
        <v>30</v>
      </c>
      <c r="C732" s="12" t="s">
        <v>59</v>
      </c>
      <c r="D732" s="12">
        <v>0</v>
      </c>
      <c r="E732" s="12" t="s">
        <v>53</v>
      </c>
      <c r="F732" s="12">
        <v>0</v>
      </c>
      <c r="G732" s="12">
        <v>1</v>
      </c>
      <c r="H732" s="12" t="s">
        <v>61</v>
      </c>
      <c r="I732" s="12">
        <v>1</v>
      </c>
      <c r="J732" s="12">
        <v>0</v>
      </c>
      <c r="K732" s="12">
        <v>8</v>
      </c>
      <c r="L732" s="12">
        <f t="shared" si="166"/>
        <v>8</v>
      </c>
      <c r="M732" s="12">
        <v>2</v>
      </c>
      <c r="N732" s="12" t="s">
        <v>55</v>
      </c>
      <c r="O732" s="12">
        <v>1</v>
      </c>
      <c r="P732" s="12">
        <v>0</v>
      </c>
      <c r="Q732" s="12">
        <v>0</v>
      </c>
      <c r="R732" s="12">
        <v>0</v>
      </c>
      <c r="S732" s="12">
        <v>0</v>
      </c>
      <c r="T732" s="12">
        <v>2</v>
      </c>
      <c r="U732" s="12" t="s">
        <v>19</v>
      </c>
      <c r="V732" s="12">
        <v>1</v>
      </c>
      <c r="W732" s="12">
        <v>73</v>
      </c>
      <c r="X732" s="12">
        <v>4</v>
      </c>
      <c r="Y732" s="12">
        <v>3</v>
      </c>
      <c r="Z732" s="12" t="s">
        <v>89</v>
      </c>
      <c r="AA732" s="12">
        <v>0</v>
      </c>
      <c r="AB732" s="12">
        <v>0</v>
      </c>
      <c r="AC732" s="12">
        <v>0</v>
      </c>
      <c r="AD732" s="12">
        <v>0</v>
      </c>
      <c r="AE732" s="12">
        <v>0</v>
      </c>
      <c r="AF732" s="12">
        <v>0</v>
      </c>
      <c r="AG732" s="12">
        <v>0</v>
      </c>
      <c r="AH732" s="12">
        <v>0</v>
      </c>
      <c r="AI732" s="12">
        <v>1</v>
      </c>
      <c r="AJ732" s="12" t="s">
        <v>64</v>
      </c>
      <c r="AK732" s="12">
        <v>0</v>
      </c>
      <c r="AL732" s="12">
        <v>1</v>
      </c>
      <c r="AM732" s="12">
        <v>11416</v>
      </c>
      <c r="AN732" s="12">
        <f t="shared" si="167"/>
        <v>11416</v>
      </c>
      <c r="AO732" s="12">
        <v>0</v>
      </c>
      <c r="AP732" s="12" t="s">
        <v>52</v>
      </c>
      <c r="AQ732" s="12">
        <v>1</v>
      </c>
      <c r="AR732" s="12">
        <v>12</v>
      </c>
      <c r="AS732" s="12">
        <v>3</v>
      </c>
      <c r="AT732" s="12">
        <v>3</v>
      </c>
      <c r="AU732" s="12">
        <v>3</v>
      </c>
      <c r="AV732" s="12">
        <v>9</v>
      </c>
      <c r="AW732" s="12">
        <f t="shared" si="168"/>
        <v>9</v>
      </c>
      <c r="AX732" s="12">
        <v>4</v>
      </c>
      <c r="AY732" s="12">
        <v>2</v>
      </c>
      <c r="AZ732" s="12">
        <v>8</v>
      </c>
      <c r="BA732" s="12">
        <f t="shared" si="169"/>
        <v>8</v>
      </c>
      <c r="BB732" s="12">
        <v>7</v>
      </c>
      <c r="BC732" s="12">
        <v>1</v>
      </c>
      <c r="BD732" s="12">
        <f t="shared" si="178"/>
        <v>1</v>
      </c>
      <c r="BE732" s="12">
        <v>7</v>
      </c>
      <c r="BF732" s="12">
        <f t="shared" si="170"/>
        <v>7</v>
      </c>
      <c r="BG732" s="12">
        <f t="shared" si="179"/>
        <v>21</v>
      </c>
      <c r="BH732" s="67">
        <v>0</v>
      </c>
      <c r="BI732" s="67">
        <v>1</v>
      </c>
      <c r="BJ732" s="67">
        <v>0</v>
      </c>
      <c r="BK732" s="67">
        <v>0</v>
      </c>
      <c r="BL732" s="67">
        <v>0</v>
      </c>
      <c r="BM732" s="67">
        <v>0</v>
      </c>
      <c r="BN732" s="67">
        <v>0</v>
      </c>
      <c r="BO732" s="67">
        <v>1</v>
      </c>
      <c r="BP732" s="67">
        <v>0</v>
      </c>
      <c r="BQ732" s="67">
        <v>7</v>
      </c>
      <c r="BR732" s="67">
        <v>0</v>
      </c>
      <c r="BS732" s="67">
        <v>0</v>
      </c>
      <c r="BT732" s="67">
        <v>9</v>
      </c>
      <c r="BU732" s="70">
        <v>0</v>
      </c>
      <c r="BV732" s="29">
        <f t="shared" si="171"/>
        <v>1.0435670788485931</v>
      </c>
      <c r="BW732">
        <f t="shared" si="172"/>
        <v>0.80626709607243985</v>
      </c>
      <c r="BX732">
        <f t="shared" si="173"/>
        <v>0.29297722668510823</v>
      </c>
      <c r="BY732">
        <f t="shared" si="174"/>
        <v>0.16189221622713135</v>
      </c>
      <c r="BZ732">
        <f t="shared" si="175"/>
        <v>0.14709966057360641</v>
      </c>
      <c r="CA732">
        <f t="shared" si="176"/>
        <v>0.75791203633249671</v>
      </c>
      <c r="CB732">
        <f t="shared" si="177"/>
        <v>0.36858985273641137</v>
      </c>
    </row>
    <row r="733" spans="1:80" x14ac:dyDescent="0.45">
      <c r="A733" s="11">
        <v>20</v>
      </c>
      <c r="B733" s="12">
        <f t="shared" si="165"/>
        <v>20</v>
      </c>
      <c r="C733" s="12" t="s">
        <v>52</v>
      </c>
      <c r="D733" s="12">
        <v>1</v>
      </c>
      <c r="E733" s="12" t="s">
        <v>53</v>
      </c>
      <c r="F733" s="12">
        <v>0</v>
      </c>
      <c r="G733" s="12">
        <v>1</v>
      </c>
      <c r="H733" s="12" t="s">
        <v>61</v>
      </c>
      <c r="I733" s="12">
        <v>1</v>
      </c>
      <c r="J733" s="12">
        <v>0</v>
      </c>
      <c r="K733" s="12">
        <v>11</v>
      </c>
      <c r="L733" s="12">
        <f t="shared" si="166"/>
        <v>11</v>
      </c>
      <c r="M733" s="12">
        <v>3</v>
      </c>
      <c r="N733" s="12" t="s">
        <v>70</v>
      </c>
      <c r="O733" s="12">
        <v>0</v>
      </c>
      <c r="P733" s="12">
        <v>0</v>
      </c>
      <c r="Q733" s="12">
        <v>1</v>
      </c>
      <c r="R733" s="12">
        <v>0</v>
      </c>
      <c r="S733" s="12">
        <v>0</v>
      </c>
      <c r="T733" s="12">
        <v>4</v>
      </c>
      <c r="U733" s="12" t="s">
        <v>19</v>
      </c>
      <c r="V733" s="12">
        <v>1</v>
      </c>
      <c r="W733" s="12">
        <v>98</v>
      </c>
      <c r="X733" s="12">
        <v>2</v>
      </c>
      <c r="Y733" s="12">
        <v>1</v>
      </c>
      <c r="Z733" s="12" t="s">
        <v>63</v>
      </c>
      <c r="AA733" s="12">
        <v>0</v>
      </c>
      <c r="AB733" s="12">
        <v>0</v>
      </c>
      <c r="AC733" s="12">
        <v>0</v>
      </c>
      <c r="AD733" s="12">
        <v>0</v>
      </c>
      <c r="AE733" s="12">
        <v>0</v>
      </c>
      <c r="AF733" s="12">
        <v>0</v>
      </c>
      <c r="AG733" s="12">
        <v>0</v>
      </c>
      <c r="AH733" s="12">
        <v>1</v>
      </c>
      <c r="AI733" s="12">
        <v>1</v>
      </c>
      <c r="AJ733" s="12" t="s">
        <v>57</v>
      </c>
      <c r="AK733" s="12">
        <v>1</v>
      </c>
      <c r="AL733" s="12">
        <v>0</v>
      </c>
      <c r="AM733" s="12">
        <v>2600</v>
      </c>
      <c r="AN733" s="12">
        <f t="shared" si="167"/>
        <v>2600</v>
      </c>
      <c r="AO733" s="12">
        <v>1</v>
      </c>
      <c r="AP733" s="12" t="s">
        <v>52</v>
      </c>
      <c r="AQ733" s="12">
        <v>1</v>
      </c>
      <c r="AR733" s="12">
        <v>15</v>
      </c>
      <c r="AS733" s="12">
        <v>3</v>
      </c>
      <c r="AT733" s="12">
        <v>1</v>
      </c>
      <c r="AU733" s="12">
        <v>0</v>
      </c>
      <c r="AV733" s="12">
        <v>1</v>
      </c>
      <c r="AW733" s="12">
        <f t="shared" si="168"/>
        <v>1</v>
      </c>
      <c r="AX733" s="12">
        <v>2</v>
      </c>
      <c r="AY733" s="12">
        <v>3</v>
      </c>
      <c r="AZ733" s="12">
        <v>1</v>
      </c>
      <c r="BA733" s="12">
        <f t="shared" si="169"/>
        <v>1</v>
      </c>
      <c r="BB733" s="12">
        <v>0</v>
      </c>
      <c r="BC733" s="12">
        <v>0</v>
      </c>
      <c r="BD733" s="12">
        <f t="shared" si="178"/>
        <v>0</v>
      </c>
      <c r="BE733" s="12">
        <v>0</v>
      </c>
      <c r="BF733" s="12">
        <f t="shared" si="170"/>
        <v>0</v>
      </c>
      <c r="BG733" s="12">
        <f t="shared" si="179"/>
        <v>0</v>
      </c>
      <c r="BH733" s="67">
        <v>1</v>
      </c>
      <c r="BI733" s="67">
        <v>0</v>
      </c>
      <c r="BJ733" s="67">
        <v>0</v>
      </c>
      <c r="BK733" s="67">
        <v>0</v>
      </c>
      <c r="BL733" s="67">
        <v>0</v>
      </c>
      <c r="BM733" s="67">
        <v>1</v>
      </c>
      <c r="BN733" s="67">
        <v>0</v>
      </c>
      <c r="BO733" s="67">
        <v>0</v>
      </c>
      <c r="BP733" s="67">
        <v>0</v>
      </c>
      <c r="BQ733" s="67">
        <v>0</v>
      </c>
      <c r="BR733" s="67">
        <v>0</v>
      </c>
      <c r="BS733" s="67">
        <v>0</v>
      </c>
      <c r="BT733" s="67">
        <v>1</v>
      </c>
      <c r="BU733" s="70">
        <v>0</v>
      </c>
      <c r="BV733" s="29">
        <f t="shared" si="171"/>
        <v>0.82900745956906319</v>
      </c>
      <c r="BW733">
        <f t="shared" si="172"/>
        <v>1.1555414682655611</v>
      </c>
      <c r="BX733">
        <f t="shared" si="173"/>
        <v>1.3211515584717011</v>
      </c>
      <c r="BY733">
        <f t="shared" si="174"/>
        <v>0.9806804209314296</v>
      </c>
      <c r="BZ733">
        <f t="shared" si="175"/>
        <v>0.22295710105195232</v>
      </c>
      <c r="CA733">
        <f t="shared" si="176"/>
        <v>1.8525580310355525</v>
      </c>
      <c r="CB733">
        <f t="shared" si="177"/>
        <v>0.67891464284095016</v>
      </c>
    </row>
    <row r="734" spans="1:80" x14ac:dyDescent="0.45">
      <c r="A734" s="11">
        <v>30</v>
      </c>
      <c r="B734" s="12">
        <f t="shared" si="165"/>
        <v>30</v>
      </c>
      <c r="C734" s="12" t="s">
        <v>52</v>
      </c>
      <c r="D734" s="12">
        <v>1</v>
      </c>
      <c r="E734" s="12" t="s">
        <v>60</v>
      </c>
      <c r="F734" s="12">
        <v>1</v>
      </c>
      <c r="G734" s="12">
        <v>0</v>
      </c>
      <c r="H734" s="12" t="s">
        <v>61</v>
      </c>
      <c r="I734" s="12">
        <v>1</v>
      </c>
      <c r="J734" s="12">
        <v>0</v>
      </c>
      <c r="K734" s="12">
        <v>5</v>
      </c>
      <c r="L734" s="12">
        <f t="shared" si="166"/>
        <v>5</v>
      </c>
      <c r="M734" s="12">
        <v>3</v>
      </c>
      <c r="N734" s="12" t="s">
        <v>70</v>
      </c>
      <c r="O734" s="12">
        <v>0</v>
      </c>
      <c r="P734" s="12">
        <v>0</v>
      </c>
      <c r="Q734" s="12">
        <v>1</v>
      </c>
      <c r="R734" s="12">
        <v>0</v>
      </c>
      <c r="S734" s="12">
        <v>0</v>
      </c>
      <c r="T734" s="12">
        <v>2</v>
      </c>
      <c r="U734" s="12" t="s">
        <v>19</v>
      </c>
      <c r="V734" s="12">
        <v>1</v>
      </c>
      <c r="W734" s="12">
        <v>60</v>
      </c>
      <c r="X734" s="12">
        <v>3</v>
      </c>
      <c r="Y734" s="12">
        <v>1</v>
      </c>
      <c r="Z734" s="12" t="s">
        <v>67</v>
      </c>
      <c r="AA734" s="12">
        <v>0</v>
      </c>
      <c r="AB734" s="12">
        <v>0</v>
      </c>
      <c r="AC734" s="12">
        <v>1</v>
      </c>
      <c r="AD734" s="12">
        <v>0</v>
      </c>
      <c r="AE734" s="12">
        <v>0</v>
      </c>
      <c r="AF734" s="12">
        <v>0</v>
      </c>
      <c r="AG734" s="12">
        <v>0</v>
      </c>
      <c r="AH734" s="12">
        <v>0</v>
      </c>
      <c r="AI734" s="12">
        <v>2</v>
      </c>
      <c r="AJ734" s="12" t="s">
        <v>57</v>
      </c>
      <c r="AK734" s="12">
        <v>1</v>
      </c>
      <c r="AL734" s="12">
        <v>0</v>
      </c>
      <c r="AM734" s="12">
        <v>2422</v>
      </c>
      <c r="AN734" s="12">
        <f t="shared" si="167"/>
        <v>2422</v>
      </c>
      <c r="AO734" s="12">
        <v>0</v>
      </c>
      <c r="AP734" s="12" t="s">
        <v>59</v>
      </c>
      <c r="AQ734" s="12">
        <v>0</v>
      </c>
      <c r="AR734" s="12">
        <v>17</v>
      </c>
      <c r="AS734" s="12">
        <v>3</v>
      </c>
      <c r="AT734" s="12">
        <v>1</v>
      </c>
      <c r="AU734" s="12">
        <v>0</v>
      </c>
      <c r="AV734" s="12">
        <v>4</v>
      </c>
      <c r="AW734" s="12">
        <f t="shared" si="168"/>
        <v>4</v>
      </c>
      <c r="AX734" s="12">
        <v>3</v>
      </c>
      <c r="AY734" s="12">
        <v>3</v>
      </c>
      <c r="AZ734" s="12">
        <v>3</v>
      </c>
      <c r="BA734" s="12">
        <f t="shared" si="169"/>
        <v>3</v>
      </c>
      <c r="BB734" s="12">
        <v>2</v>
      </c>
      <c r="BC734" s="12">
        <v>1</v>
      </c>
      <c r="BD734" s="12">
        <f t="shared" si="178"/>
        <v>1</v>
      </c>
      <c r="BE734" s="12">
        <v>2</v>
      </c>
      <c r="BF734" s="12">
        <f t="shared" si="170"/>
        <v>2</v>
      </c>
      <c r="BG734" s="12">
        <f t="shared" si="179"/>
        <v>2</v>
      </c>
      <c r="BH734" s="67">
        <v>0</v>
      </c>
      <c r="BI734" s="67">
        <v>0</v>
      </c>
      <c r="BJ734" s="67">
        <v>1</v>
      </c>
      <c r="BK734" s="67">
        <v>0</v>
      </c>
      <c r="BL734" s="67">
        <v>1</v>
      </c>
      <c r="BM734" s="67">
        <v>0</v>
      </c>
      <c r="BN734" s="67">
        <v>0</v>
      </c>
      <c r="BO734" s="67">
        <v>0</v>
      </c>
      <c r="BP734" s="67">
        <v>0</v>
      </c>
      <c r="BQ734" s="67">
        <v>2</v>
      </c>
      <c r="BR734" s="67">
        <v>0</v>
      </c>
      <c r="BS734" s="67">
        <v>0</v>
      </c>
      <c r="BT734" s="67">
        <v>4</v>
      </c>
      <c r="BU734" s="70">
        <v>0</v>
      </c>
      <c r="BV734" s="29">
        <f t="shared" si="171"/>
        <v>0.86681579303529988</v>
      </c>
      <c r="BW734">
        <f t="shared" si="172"/>
        <v>0.59502473559756086</v>
      </c>
      <c r="BX734">
        <f t="shared" si="173"/>
        <v>0.93558618405172878</v>
      </c>
      <c r="BY734">
        <f t="shared" si="174"/>
        <v>0.65423109602898355</v>
      </c>
      <c r="BZ734">
        <f t="shared" si="175"/>
        <v>0.51715642219916513</v>
      </c>
      <c r="CA734">
        <f t="shared" si="176"/>
        <v>0.75791203633249671</v>
      </c>
      <c r="CB734">
        <f t="shared" si="177"/>
        <v>0.36858985273641137</v>
      </c>
    </row>
    <row r="735" spans="1:80" x14ac:dyDescent="0.45">
      <c r="A735" s="11">
        <v>26</v>
      </c>
      <c r="B735" s="12">
        <f t="shared" si="165"/>
        <v>26</v>
      </c>
      <c r="C735" s="12" t="s">
        <v>59</v>
      </c>
      <c r="D735" s="12">
        <v>0</v>
      </c>
      <c r="E735" s="12" t="s">
        <v>53</v>
      </c>
      <c r="F735" s="12">
        <v>0</v>
      </c>
      <c r="G735" s="12">
        <v>1</v>
      </c>
      <c r="H735" s="12" t="s">
        <v>61</v>
      </c>
      <c r="I735" s="12">
        <v>1</v>
      </c>
      <c r="J735" s="12">
        <v>0</v>
      </c>
      <c r="K735" s="12">
        <v>2</v>
      </c>
      <c r="L735" s="12">
        <f t="shared" si="166"/>
        <v>2</v>
      </c>
      <c r="M735" s="12">
        <v>2</v>
      </c>
      <c r="N735" s="12" t="s">
        <v>70</v>
      </c>
      <c r="O735" s="12">
        <v>0</v>
      </c>
      <c r="P735" s="12">
        <v>0</v>
      </c>
      <c r="Q735" s="12">
        <v>1</v>
      </c>
      <c r="R735" s="12">
        <v>0</v>
      </c>
      <c r="S735" s="12">
        <v>0</v>
      </c>
      <c r="T735" s="12">
        <v>4</v>
      </c>
      <c r="U735" s="12" t="s">
        <v>62</v>
      </c>
      <c r="V735" s="12">
        <v>0</v>
      </c>
      <c r="W735" s="12">
        <v>32</v>
      </c>
      <c r="X735" s="12">
        <v>4</v>
      </c>
      <c r="Y735" s="12">
        <v>2</v>
      </c>
      <c r="Z735" s="12" t="s">
        <v>83</v>
      </c>
      <c r="AA735" s="12">
        <v>0</v>
      </c>
      <c r="AB735" s="12">
        <v>0</v>
      </c>
      <c r="AC735" s="12">
        <v>0</v>
      </c>
      <c r="AD735" s="12">
        <v>0</v>
      </c>
      <c r="AE735" s="12">
        <v>1</v>
      </c>
      <c r="AF735" s="12">
        <v>1</v>
      </c>
      <c r="AG735" s="12">
        <v>0</v>
      </c>
      <c r="AH735" s="12">
        <v>0</v>
      </c>
      <c r="AI735" s="12">
        <v>4</v>
      </c>
      <c r="AJ735" s="12" t="s">
        <v>64</v>
      </c>
      <c r="AK735" s="12">
        <v>0</v>
      </c>
      <c r="AL735" s="12">
        <v>1</v>
      </c>
      <c r="AM735" s="12">
        <v>5472</v>
      </c>
      <c r="AN735" s="12">
        <f t="shared" si="167"/>
        <v>5472</v>
      </c>
      <c r="AO735" s="12">
        <v>1</v>
      </c>
      <c r="AP735" s="12" t="s">
        <v>59</v>
      </c>
      <c r="AQ735" s="12">
        <v>0</v>
      </c>
      <c r="AR735" s="12">
        <v>12</v>
      </c>
      <c r="AS735" s="12">
        <v>3</v>
      </c>
      <c r="AT735" s="12">
        <v>2</v>
      </c>
      <c r="AU735" s="12">
        <v>0</v>
      </c>
      <c r="AV735" s="12">
        <v>8</v>
      </c>
      <c r="AW735" s="12">
        <f t="shared" si="168"/>
        <v>8</v>
      </c>
      <c r="AX735" s="12">
        <v>2</v>
      </c>
      <c r="AY735" s="12">
        <v>3</v>
      </c>
      <c r="AZ735" s="12">
        <v>8</v>
      </c>
      <c r="BA735" s="12">
        <f t="shared" si="169"/>
        <v>8</v>
      </c>
      <c r="BB735" s="12">
        <v>7</v>
      </c>
      <c r="BC735" s="12">
        <v>1</v>
      </c>
      <c r="BD735" s="12">
        <f t="shared" si="178"/>
        <v>1</v>
      </c>
      <c r="BE735" s="12">
        <v>3</v>
      </c>
      <c r="BF735" s="12">
        <f t="shared" si="170"/>
        <v>3</v>
      </c>
      <c r="BG735" s="12">
        <f t="shared" si="179"/>
        <v>6</v>
      </c>
      <c r="BH735" s="67">
        <v>0</v>
      </c>
      <c r="BI735" s="67">
        <v>1</v>
      </c>
      <c r="BJ735" s="67">
        <v>0</v>
      </c>
      <c r="BK735" s="67">
        <v>0</v>
      </c>
      <c r="BL735" s="67">
        <v>0</v>
      </c>
      <c r="BM735" s="67">
        <v>0</v>
      </c>
      <c r="BN735" s="67">
        <v>1</v>
      </c>
      <c r="BO735" s="67">
        <v>0</v>
      </c>
      <c r="BP735" s="67">
        <v>0</v>
      </c>
      <c r="BQ735" s="67">
        <v>3</v>
      </c>
      <c r="BR735" s="67">
        <v>0</v>
      </c>
      <c r="BS735" s="67">
        <v>0</v>
      </c>
      <c r="BT735" s="67">
        <v>8</v>
      </c>
      <c r="BU735" s="70">
        <v>0</v>
      </c>
      <c r="BV735" s="29">
        <f t="shared" si="171"/>
        <v>0.21897637128236752</v>
      </c>
      <c r="BW735">
        <f t="shared" si="172"/>
        <v>0.31476636926356072</v>
      </c>
      <c r="BX735">
        <f t="shared" si="173"/>
        <v>0.42149901815843233</v>
      </c>
      <c r="BY735">
        <f t="shared" si="174"/>
        <v>0.16189221622713135</v>
      </c>
      <c r="BZ735">
        <f t="shared" si="175"/>
        <v>0.88721318382472392</v>
      </c>
      <c r="CA735">
        <f t="shared" si="176"/>
        <v>1.195770434213719</v>
      </c>
      <c r="CB735">
        <f t="shared" si="177"/>
        <v>0.36858985273641137</v>
      </c>
    </row>
    <row r="736" spans="1:80" x14ac:dyDescent="0.45">
      <c r="A736" s="11">
        <v>22</v>
      </c>
      <c r="B736" s="12">
        <f t="shared" si="165"/>
        <v>22</v>
      </c>
      <c r="C736" s="12" t="s">
        <v>59</v>
      </c>
      <c r="D736" s="12">
        <v>0</v>
      </c>
      <c r="E736" s="12" t="s">
        <v>53</v>
      </c>
      <c r="F736" s="12">
        <v>0</v>
      </c>
      <c r="G736" s="12">
        <v>1</v>
      </c>
      <c r="H736" s="12" t="s">
        <v>61</v>
      </c>
      <c r="I736" s="12">
        <v>1</v>
      </c>
      <c r="J736" s="12">
        <v>0</v>
      </c>
      <c r="K736" s="12">
        <v>8</v>
      </c>
      <c r="L736" s="12">
        <f t="shared" si="166"/>
        <v>8</v>
      </c>
      <c r="M736" s="12">
        <v>1</v>
      </c>
      <c r="N736" s="12" t="s">
        <v>55</v>
      </c>
      <c r="O736" s="12">
        <v>1</v>
      </c>
      <c r="P736" s="12">
        <v>0</v>
      </c>
      <c r="Q736" s="12">
        <v>0</v>
      </c>
      <c r="R736" s="12">
        <v>0</v>
      </c>
      <c r="S736" s="12">
        <v>0</v>
      </c>
      <c r="T736" s="12">
        <v>2</v>
      </c>
      <c r="U736" s="12" t="s">
        <v>62</v>
      </c>
      <c r="V736" s="12">
        <v>0</v>
      </c>
      <c r="W736" s="12">
        <v>94</v>
      </c>
      <c r="X736" s="12">
        <v>1</v>
      </c>
      <c r="Y736" s="12">
        <v>1</v>
      </c>
      <c r="Z736" s="12" t="s">
        <v>67</v>
      </c>
      <c r="AA736" s="12">
        <v>0</v>
      </c>
      <c r="AB736" s="12">
        <v>0</v>
      </c>
      <c r="AC736" s="12">
        <v>1</v>
      </c>
      <c r="AD736" s="12">
        <v>0</v>
      </c>
      <c r="AE736" s="12">
        <v>0</v>
      </c>
      <c r="AF736" s="12">
        <v>0</v>
      </c>
      <c r="AG736" s="12">
        <v>0</v>
      </c>
      <c r="AH736" s="12">
        <v>0</v>
      </c>
      <c r="AI736" s="12">
        <v>1</v>
      </c>
      <c r="AJ736" s="12" t="s">
        <v>64</v>
      </c>
      <c r="AK736" s="12">
        <v>0</v>
      </c>
      <c r="AL736" s="12">
        <v>1</v>
      </c>
      <c r="AM736" s="12">
        <v>2451</v>
      </c>
      <c r="AN736" s="12">
        <f t="shared" si="167"/>
        <v>2451</v>
      </c>
      <c r="AO736" s="12">
        <v>1</v>
      </c>
      <c r="AP736" s="12" t="s">
        <v>59</v>
      </c>
      <c r="AQ736" s="12">
        <v>0</v>
      </c>
      <c r="AR736" s="12">
        <v>15</v>
      </c>
      <c r="AS736" s="12">
        <v>3</v>
      </c>
      <c r="AT736" s="12">
        <v>1</v>
      </c>
      <c r="AU736" s="12">
        <v>1</v>
      </c>
      <c r="AV736" s="12">
        <v>4</v>
      </c>
      <c r="AW736" s="12">
        <f t="shared" si="168"/>
        <v>4</v>
      </c>
      <c r="AX736" s="12">
        <v>3</v>
      </c>
      <c r="AY736" s="12">
        <v>2</v>
      </c>
      <c r="AZ736" s="12">
        <v>4</v>
      </c>
      <c r="BA736" s="12">
        <f t="shared" si="169"/>
        <v>4</v>
      </c>
      <c r="BB736" s="12">
        <v>3</v>
      </c>
      <c r="BC736" s="12">
        <v>1</v>
      </c>
      <c r="BD736" s="12">
        <f t="shared" si="178"/>
        <v>1</v>
      </c>
      <c r="BE736" s="12">
        <v>1</v>
      </c>
      <c r="BF736" s="12">
        <f t="shared" si="170"/>
        <v>1</v>
      </c>
      <c r="BG736" s="12">
        <f t="shared" si="179"/>
        <v>1</v>
      </c>
      <c r="BH736" s="67">
        <v>0</v>
      </c>
      <c r="BI736" s="67">
        <v>1</v>
      </c>
      <c r="BJ736" s="67">
        <v>0</v>
      </c>
      <c r="BK736" s="67">
        <v>0</v>
      </c>
      <c r="BL736" s="67">
        <v>0</v>
      </c>
      <c r="BM736" s="67">
        <v>0</v>
      </c>
      <c r="BN736" s="67">
        <v>1</v>
      </c>
      <c r="BO736" s="67">
        <v>0</v>
      </c>
      <c r="BP736" s="67">
        <v>0</v>
      </c>
      <c r="BQ736" s="67">
        <v>1</v>
      </c>
      <c r="BR736" s="67">
        <v>0</v>
      </c>
      <c r="BS736" s="67">
        <v>0</v>
      </c>
      <c r="BT736" s="67">
        <v>4</v>
      </c>
      <c r="BU736" s="70">
        <v>0</v>
      </c>
      <c r="BV736" s="29">
        <f t="shared" si="171"/>
        <v>0.86065600836945233</v>
      </c>
      <c r="BW736">
        <f t="shared" si="172"/>
        <v>0.87528310193156111</v>
      </c>
      <c r="BX736">
        <f t="shared" si="173"/>
        <v>0.93558618405172878</v>
      </c>
      <c r="BY736">
        <f t="shared" si="174"/>
        <v>0.49100643357776058</v>
      </c>
      <c r="BZ736">
        <f t="shared" si="175"/>
        <v>0.14709966057360641</v>
      </c>
      <c r="CA736">
        <f t="shared" si="176"/>
        <v>1.6336288320949415</v>
      </c>
      <c r="CB736">
        <f t="shared" si="177"/>
        <v>0.36858985273641137</v>
      </c>
    </row>
    <row r="737" spans="1:80" x14ac:dyDescent="0.45">
      <c r="A737" s="11">
        <v>48</v>
      </c>
      <c r="B737" s="12">
        <f t="shared" si="165"/>
        <v>48</v>
      </c>
      <c r="C737" s="12" t="s">
        <v>59</v>
      </c>
      <c r="D737" s="12">
        <v>0</v>
      </c>
      <c r="E737" s="12" t="s">
        <v>53</v>
      </c>
      <c r="F737" s="12">
        <v>0</v>
      </c>
      <c r="G737" s="12">
        <v>1</v>
      </c>
      <c r="H737" s="12" t="s">
        <v>61</v>
      </c>
      <c r="I737" s="12">
        <v>1</v>
      </c>
      <c r="J737" s="12">
        <v>0</v>
      </c>
      <c r="K737" s="12">
        <v>6</v>
      </c>
      <c r="L737" s="12">
        <f t="shared" si="166"/>
        <v>6</v>
      </c>
      <c r="M737" s="12">
        <v>3</v>
      </c>
      <c r="N737" s="12" t="s">
        <v>55</v>
      </c>
      <c r="O737" s="12">
        <v>1</v>
      </c>
      <c r="P737" s="12">
        <v>0</v>
      </c>
      <c r="Q737" s="12">
        <v>0</v>
      </c>
      <c r="R737" s="12">
        <v>0</v>
      </c>
      <c r="S737" s="12">
        <v>0</v>
      </c>
      <c r="T737" s="12">
        <v>1</v>
      </c>
      <c r="U737" s="12" t="s">
        <v>62</v>
      </c>
      <c r="V737" s="12">
        <v>0</v>
      </c>
      <c r="W737" s="12">
        <v>97</v>
      </c>
      <c r="X737" s="12">
        <v>2</v>
      </c>
      <c r="Y737" s="12">
        <v>2</v>
      </c>
      <c r="Z737" s="12" t="s">
        <v>85</v>
      </c>
      <c r="AA737" s="12">
        <v>1</v>
      </c>
      <c r="AB737" s="12">
        <v>0</v>
      </c>
      <c r="AC737" s="12">
        <v>0</v>
      </c>
      <c r="AD737" s="12">
        <v>0</v>
      </c>
      <c r="AE737" s="12">
        <v>0</v>
      </c>
      <c r="AF737" s="12">
        <v>0</v>
      </c>
      <c r="AG737" s="12">
        <v>0</v>
      </c>
      <c r="AH737" s="12">
        <v>0</v>
      </c>
      <c r="AI737" s="12">
        <v>3</v>
      </c>
      <c r="AJ737" s="12" t="s">
        <v>57</v>
      </c>
      <c r="AK737" s="12">
        <v>1</v>
      </c>
      <c r="AL737" s="12">
        <v>0</v>
      </c>
      <c r="AM737" s="12">
        <v>4240</v>
      </c>
      <c r="AN737" s="12">
        <f t="shared" si="167"/>
        <v>4240</v>
      </c>
      <c r="AO737" s="12">
        <v>2</v>
      </c>
      <c r="AP737" s="12" t="s">
        <v>59</v>
      </c>
      <c r="AQ737" s="12">
        <v>0</v>
      </c>
      <c r="AR737" s="12">
        <v>13</v>
      </c>
      <c r="AS737" s="12">
        <v>3</v>
      </c>
      <c r="AT737" s="12">
        <v>4</v>
      </c>
      <c r="AU737" s="12">
        <v>0</v>
      </c>
      <c r="AV737" s="12">
        <v>19</v>
      </c>
      <c r="AW737" s="12">
        <f t="shared" si="168"/>
        <v>19</v>
      </c>
      <c r="AX737" s="12">
        <v>0</v>
      </c>
      <c r="AY737" s="12">
        <v>3</v>
      </c>
      <c r="AZ737" s="12">
        <v>2</v>
      </c>
      <c r="BA737" s="12">
        <f t="shared" si="169"/>
        <v>2</v>
      </c>
      <c r="BB737" s="12">
        <v>2</v>
      </c>
      <c r="BC737" s="12">
        <v>2</v>
      </c>
      <c r="BD737" s="12">
        <f t="shared" si="178"/>
        <v>2</v>
      </c>
      <c r="BE737" s="12">
        <v>2</v>
      </c>
      <c r="BF737" s="12">
        <f t="shared" si="170"/>
        <v>2</v>
      </c>
      <c r="BG737" s="12">
        <f t="shared" si="179"/>
        <v>4</v>
      </c>
      <c r="BH737" s="67">
        <v>1</v>
      </c>
      <c r="BI737" s="67">
        <v>0</v>
      </c>
      <c r="BJ737" s="67">
        <v>0</v>
      </c>
      <c r="BK737" s="67">
        <v>0</v>
      </c>
      <c r="BL737" s="67">
        <v>1</v>
      </c>
      <c r="BM737" s="67">
        <v>0</v>
      </c>
      <c r="BN737" s="67">
        <v>0</v>
      </c>
      <c r="BO737" s="67">
        <v>0</v>
      </c>
      <c r="BP737" s="67">
        <v>0</v>
      </c>
      <c r="BQ737" s="67">
        <v>2</v>
      </c>
      <c r="BR737" s="67">
        <v>0</v>
      </c>
      <c r="BS737" s="67">
        <v>0</v>
      </c>
      <c r="BT737" s="67">
        <v>19</v>
      </c>
      <c r="BU737" s="70">
        <v>0</v>
      </c>
      <c r="BV737" s="29">
        <f t="shared" si="171"/>
        <v>0.48066101639699466</v>
      </c>
      <c r="BW737">
        <f t="shared" si="172"/>
        <v>0.59502473559756086</v>
      </c>
      <c r="BX737">
        <f t="shared" si="173"/>
        <v>0.99224068804813281</v>
      </c>
      <c r="BY737">
        <f t="shared" si="174"/>
        <v>0.81745575848020657</v>
      </c>
      <c r="BZ737">
        <f t="shared" si="175"/>
        <v>0.39380416832397891</v>
      </c>
      <c r="CA737">
        <f t="shared" si="176"/>
        <v>1.2124507541330036</v>
      </c>
      <c r="CB737">
        <f t="shared" si="177"/>
        <v>5.8265062631872602E-2</v>
      </c>
    </row>
    <row r="738" spans="1:80" x14ac:dyDescent="0.45">
      <c r="A738" s="11">
        <v>48</v>
      </c>
      <c r="B738" s="12">
        <f t="shared" si="165"/>
        <v>48</v>
      </c>
      <c r="C738" s="12" t="s">
        <v>59</v>
      </c>
      <c r="D738" s="12">
        <v>0</v>
      </c>
      <c r="E738" s="12" t="s">
        <v>53</v>
      </c>
      <c r="F738" s="12">
        <v>0</v>
      </c>
      <c r="G738" s="12">
        <v>1</v>
      </c>
      <c r="H738" s="12" t="s">
        <v>61</v>
      </c>
      <c r="I738" s="12">
        <v>1</v>
      </c>
      <c r="J738" s="12">
        <v>0</v>
      </c>
      <c r="K738" s="12">
        <v>4</v>
      </c>
      <c r="L738" s="12">
        <f t="shared" si="166"/>
        <v>4</v>
      </c>
      <c r="M738" s="12">
        <v>4</v>
      </c>
      <c r="N738" s="12" t="s">
        <v>55</v>
      </c>
      <c r="O738" s="12">
        <v>1</v>
      </c>
      <c r="P738" s="12">
        <v>0</v>
      </c>
      <c r="Q738" s="12">
        <v>0</v>
      </c>
      <c r="R738" s="12">
        <v>0</v>
      </c>
      <c r="S738" s="12">
        <v>0</v>
      </c>
      <c r="T738" s="12">
        <v>3</v>
      </c>
      <c r="U738" s="12" t="s">
        <v>62</v>
      </c>
      <c r="V738" s="12">
        <v>0</v>
      </c>
      <c r="W738" s="12">
        <v>78</v>
      </c>
      <c r="X738" s="12">
        <v>2</v>
      </c>
      <c r="Y738" s="12">
        <v>3</v>
      </c>
      <c r="Z738" s="12" t="s">
        <v>85</v>
      </c>
      <c r="AA738" s="12">
        <v>1</v>
      </c>
      <c r="AB738" s="12">
        <v>0</v>
      </c>
      <c r="AC738" s="12">
        <v>0</v>
      </c>
      <c r="AD738" s="12">
        <v>0</v>
      </c>
      <c r="AE738" s="12">
        <v>0</v>
      </c>
      <c r="AF738" s="12">
        <v>0</v>
      </c>
      <c r="AG738" s="12">
        <v>0</v>
      </c>
      <c r="AH738" s="12">
        <v>0</v>
      </c>
      <c r="AI738" s="12">
        <v>3</v>
      </c>
      <c r="AJ738" s="12" t="s">
        <v>57</v>
      </c>
      <c r="AK738" s="12">
        <v>1</v>
      </c>
      <c r="AL738" s="12">
        <v>0</v>
      </c>
      <c r="AM738" s="12">
        <v>10999</v>
      </c>
      <c r="AN738" s="12">
        <f t="shared" si="167"/>
        <v>10999</v>
      </c>
      <c r="AO738" s="12">
        <v>7</v>
      </c>
      <c r="AP738" s="12" t="s">
        <v>59</v>
      </c>
      <c r="AQ738" s="12">
        <v>0</v>
      </c>
      <c r="AR738" s="12">
        <v>14</v>
      </c>
      <c r="AS738" s="12">
        <v>3</v>
      </c>
      <c r="AT738" s="12">
        <v>2</v>
      </c>
      <c r="AU738" s="12">
        <v>0</v>
      </c>
      <c r="AV738" s="12">
        <v>27</v>
      </c>
      <c r="AW738" s="12">
        <f t="shared" si="168"/>
        <v>27</v>
      </c>
      <c r="AX738" s="12">
        <v>3</v>
      </c>
      <c r="AY738" s="12">
        <v>3</v>
      </c>
      <c r="AZ738" s="12">
        <v>15</v>
      </c>
      <c r="BA738" s="12">
        <f t="shared" si="169"/>
        <v>15</v>
      </c>
      <c r="BB738" s="12">
        <v>11</v>
      </c>
      <c r="BC738" s="12">
        <v>4</v>
      </c>
      <c r="BD738" s="12">
        <f t="shared" si="178"/>
        <v>4</v>
      </c>
      <c r="BE738" s="12">
        <v>8</v>
      </c>
      <c r="BF738" s="12">
        <f t="shared" si="170"/>
        <v>8</v>
      </c>
      <c r="BG738" s="12">
        <f t="shared" si="179"/>
        <v>24</v>
      </c>
      <c r="BH738" s="67">
        <v>1</v>
      </c>
      <c r="BI738" s="67">
        <v>0</v>
      </c>
      <c r="BJ738" s="67">
        <v>0</v>
      </c>
      <c r="BK738" s="67">
        <v>0</v>
      </c>
      <c r="BL738" s="67">
        <v>1</v>
      </c>
      <c r="BM738" s="67">
        <v>0</v>
      </c>
      <c r="BN738" s="67">
        <v>0</v>
      </c>
      <c r="BO738" s="67">
        <v>0</v>
      </c>
      <c r="BP738" s="67">
        <v>0</v>
      </c>
      <c r="BQ738" s="67">
        <v>8</v>
      </c>
      <c r="BR738" s="67">
        <v>0</v>
      </c>
      <c r="BS738" s="67">
        <v>0</v>
      </c>
      <c r="BT738" s="67">
        <v>27</v>
      </c>
      <c r="BU738" s="70">
        <v>0</v>
      </c>
      <c r="BV738" s="29">
        <f t="shared" si="171"/>
        <v>0.95499362348106098</v>
      </c>
      <c r="BW738">
        <f t="shared" si="172"/>
        <v>1.08652546240644</v>
      </c>
      <c r="BX738">
        <f t="shared" si="173"/>
        <v>2.0204150198347257</v>
      </c>
      <c r="BY738">
        <f t="shared" si="174"/>
        <v>1.3044648533856922</v>
      </c>
      <c r="BZ738">
        <f t="shared" si="175"/>
        <v>0.64050867607435136</v>
      </c>
      <c r="CA738">
        <f t="shared" si="176"/>
        <v>1.2124507541330036</v>
      </c>
      <c r="CB738">
        <f t="shared" si="177"/>
        <v>0.56238451757720498</v>
      </c>
    </row>
    <row r="739" spans="1:80" x14ac:dyDescent="0.45">
      <c r="A739" s="11">
        <v>41</v>
      </c>
      <c r="B739" s="12">
        <f t="shared" si="165"/>
        <v>41</v>
      </c>
      <c r="C739" s="12" t="s">
        <v>59</v>
      </c>
      <c r="D739" s="12">
        <v>0</v>
      </c>
      <c r="E739" s="12" t="s">
        <v>53</v>
      </c>
      <c r="F739" s="12">
        <v>0</v>
      </c>
      <c r="G739" s="12">
        <v>1</v>
      </c>
      <c r="H739" s="12" t="s">
        <v>61</v>
      </c>
      <c r="I739" s="12">
        <v>1</v>
      </c>
      <c r="J739" s="12">
        <v>0</v>
      </c>
      <c r="K739" s="12">
        <v>7</v>
      </c>
      <c r="L739" s="12">
        <f t="shared" si="166"/>
        <v>7</v>
      </c>
      <c r="M739" s="12">
        <v>2</v>
      </c>
      <c r="N739" s="12" t="s">
        <v>70</v>
      </c>
      <c r="O739" s="12">
        <v>0</v>
      </c>
      <c r="P739" s="12">
        <v>0</v>
      </c>
      <c r="Q739" s="12">
        <v>1</v>
      </c>
      <c r="R739" s="12">
        <v>0</v>
      </c>
      <c r="S739" s="12">
        <v>0</v>
      </c>
      <c r="T739" s="12">
        <v>4</v>
      </c>
      <c r="U739" s="12" t="s">
        <v>19</v>
      </c>
      <c r="V739" s="12">
        <v>1</v>
      </c>
      <c r="W739" s="12">
        <v>42</v>
      </c>
      <c r="X739" s="12">
        <v>3</v>
      </c>
      <c r="Y739" s="12">
        <v>2</v>
      </c>
      <c r="Z739" s="12" t="s">
        <v>83</v>
      </c>
      <c r="AA739" s="12">
        <v>0</v>
      </c>
      <c r="AB739" s="12">
        <v>0</v>
      </c>
      <c r="AC739" s="12">
        <v>0</v>
      </c>
      <c r="AD739" s="12">
        <v>0</v>
      </c>
      <c r="AE739" s="12">
        <v>1</v>
      </c>
      <c r="AF739" s="12">
        <v>1</v>
      </c>
      <c r="AG739" s="12">
        <v>0</v>
      </c>
      <c r="AH739" s="12">
        <v>0</v>
      </c>
      <c r="AI739" s="12">
        <v>3</v>
      </c>
      <c r="AJ739" s="12" t="s">
        <v>57</v>
      </c>
      <c r="AK739" s="12">
        <v>1</v>
      </c>
      <c r="AL739" s="12">
        <v>0</v>
      </c>
      <c r="AM739" s="12">
        <v>5003</v>
      </c>
      <c r="AN739" s="12">
        <f t="shared" si="167"/>
        <v>5003</v>
      </c>
      <c r="AO739" s="12">
        <v>6</v>
      </c>
      <c r="AP739" s="12" t="s">
        <v>59</v>
      </c>
      <c r="AQ739" s="12">
        <v>0</v>
      </c>
      <c r="AR739" s="12">
        <v>14</v>
      </c>
      <c r="AS739" s="12">
        <v>3</v>
      </c>
      <c r="AT739" s="12">
        <v>2</v>
      </c>
      <c r="AU739" s="12">
        <v>0</v>
      </c>
      <c r="AV739" s="12">
        <v>8</v>
      </c>
      <c r="AW739" s="12">
        <f t="shared" si="168"/>
        <v>8</v>
      </c>
      <c r="AX739" s="12">
        <v>6</v>
      </c>
      <c r="AY739" s="12">
        <v>3</v>
      </c>
      <c r="AZ739" s="12">
        <v>2</v>
      </c>
      <c r="BA739" s="12">
        <f t="shared" si="169"/>
        <v>2</v>
      </c>
      <c r="BB739" s="12">
        <v>2</v>
      </c>
      <c r="BC739" s="12">
        <v>2</v>
      </c>
      <c r="BD739" s="12">
        <f t="shared" si="178"/>
        <v>2</v>
      </c>
      <c r="BE739" s="12">
        <v>1</v>
      </c>
      <c r="BF739" s="12">
        <f t="shared" si="170"/>
        <v>1</v>
      </c>
      <c r="BG739" s="12">
        <f t="shared" si="179"/>
        <v>2</v>
      </c>
      <c r="BH739" s="67">
        <v>1</v>
      </c>
      <c r="BI739" s="67">
        <v>0</v>
      </c>
      <c r="BJ739" s="67">
        <v>0</v>
      </c>
      <c r="BK739" s="67">
        <v>0</v>
      </c>
      <c r="BL739" s="67">
        <v>1</v>
      </c>
      <c r="BM739" s="67">
        <v>0</v>
      </c>
      <c r="BN739" s="67">
        <v>0</v>
      </c>
      <c r="BO739" s="67">
        <v>0</v>
      </c>
      <c r="BP739" s="67">
        <v>0</v>
      </c>
      <c r="BQ739" s="67">
        <v>1</v>
      </c>
      <c r="BR739" s="67">
        <v>0</v>
      </c>
      <c r="BS739" s="67">
        <v>0</v>
      </c>
      <c r="BT739" s="67">
        <v>8</v>
      </c>
      <c r="BU739" s="70">
        <v>0</v>
      </c>
      <c r="BV739" s="29">
        <f t="shared" si="171"/>
        <v>0.31859495777486763</v>
      </c>
      <c r="BW739">
        <f t="shared" si="172"/>
        <v>0.87528310193156111</v>
      </c>
      <c r="BX739">
        <f t="shared" si="173"/>
        <v>0.42149901815843233</v>
      </c>
      <c r="BY739">
        <f t="shared" si="174"/>
        <v>0.81745575848020657</v>
      </c>
      <c r="BZ739">
        <f t="shared" si="175"/>
        <v>0.27045191444879263</v>
      </c>
      <c r="CA739">
        <f t="shared" si="176"/>
        <v>0.4461985578408646</v>
      </c>
      <c r="CB739">
        <f t="shared" si="177"/>
        <v>5.8265062631872602E-2</v>
      </c>
    </row>
    <row r="740" spans="1:80" x14ac:dyDescent="0.45">
      <c r="A740" s="11">
        <v>39</v>
      </c>
      <c r="B740" s="12">
        <f t="shared" si="165"/>
        <v>39</v>
      </c>
      <c r="C740" s="12" t="s">
        <v>59</v>
      </c>
      <c r="D740" s="12">
        <v>0</v>
      </c>
      <c r="E740" s="12" t="s">
        <v>53</v>
      </c>
      <c r="F740" s="12">
        <v>0</v>
      </c>
      <c r="G740" s="12">
        <v>1</v>
      </c>
      <c r="H740" s="12" t="s">
        <v>61</v>
      </c>
      <c r="I740" s="12">
        <v>1</v>
      </c>
      <c r="J740" s="12">
        <v>0</v>
      </c>
      <c r="K740" s="12">
        <v>1</v>
      </c>
      <c r="L740" s="12">
        <f t="shared" si="166"/>
        <v>1</v>
      </c>
      <c r="M740" s="12">
        <v>1</v>
      </c>
      <c r="N740" s="12" t="s">
        <v>55</v>
      </c>
      <c r="O740" s="12">
        <v>1</v>
      </c>
      <c r="P740" s="12">
        <v>0</v>
      </c>
      <c r="Q740" s="12">
        <v>0</v>
      </c>
      <c r="R740" s="12">
        <v>0</v>
      </c>
      <c r="S740" s="12">
        <v>0</v>
      </c>
      <c r="T740" s="12">
        <v>4</v>
      </c>
      <c r="U740" s="12" t="s">
        <v>19</v>
      </c>
      <c r="V740" s="12">
        <v>1</v>
      </c>
      <c r="W740" s="12">
        <v>65</v>
      </c>
      <c r="X740" s="12">
        <v>2</v>
      </c>
      <c r="Y740" s="12">
        <v>4</v>
      </c>
      <c r="Z740" s="12" t="s">
        <v>83</v>
      </c>
      <c r="AA740" s="12">
        <v>0</v>
      </c>
      <c r="AB740" s="12">
        <v>0</v>
      </c>
      <c r="AC740" s="12">
        <v>0</v>
      </c>
      <c r="AD740" s="12">
        <v>0</v>
      </c>
      <c r="AE740" s="12">
        <v>1</v>
      </c>
      <c r="AF740" s="12">
        <v>1</v>
      </c>
      <c r="AG740" s="12">
        <v>0</v>
      </c>
      <c r="AH740" s="12">
        <v>0</v>
      </c>
      <c r="AI740" s="12">
        <v>4</v>
      </c>
      <c r="AJ740" s="12" t="s">
        <v>64</v>
      </c>
      <c r="AK740" s="12">
        <v>0</v>
      </c>
      <c r="AL740" s="12">
        <v>1</v>
      </c>
      <c r="AM740" s="12">
        <v>12742</v>
      </c>
      <c r="AN740" s="12">
        <f t="shared" si="167"/>
        <v>12742</v>
      </c>
      <c r="AO740" s="12">
        <v>1</v>
      </c>
      <c r="AP740" s="12" t="s">
        <v>59</v>
      </c>
      <c r="AQ740" s="12">
        <v>0</v>
      </c>
      <c r="AR740" s="12">
        <v>16</v>
      </c>
      <c r="AS740" s="12">
        <v>3</v>
      </c>
      <c r="AT740" s="12">
        <v>3</v>
      </c>
      <c r="AU740" s="12">
        <v>1</v>
      </c>
      <c r="AV740" s="12">
        <v>21</v>
      </c>
      <c r="AW740" s="12">
        <f t="shared" si="168"/>
        <v>21</v>
      </c>
      <c r="AX740" s="12">
        <v>3</v>
      </c>
      <c r="AY740" s="12">
        <v>3</v>
      </c>
      <c r="AZ740" s="12">
        <v>21</v>
      </c>
      <c r="BA740" s="12">
        <f t="shared" si="169"/>
        <v>21</v>
      </c>
      <c r="BB740" s="12">
        <v>6</v>
      </c>
      <c r="BC740" s="12">
        <v>11</v>
      </c>
      <c r="BD740" s="12">
        <f t="shared" si="178"/>
        <v>11</v>
      </c>
      <c r="BE740" s="12">
        <v>8</v>
      </c>
      <c r="BF740" s="12">
        <f t="shared" si="170"/>
        <v>8</v>
      </c>
      <c r="BG740" s="12">
        <f t="shared" si="179"/>
        <v>32</v>
      </c>
      <c r="BH740" s="67">
        <v>0</v>
      </c>
      <c r="BI740" s="67">
        <v>1</v>
      </c>
      <c r="BJ740" s="67">
        <v>0</v>
      </c>
      <c r="BK740" s="67">
        <v>0</v>
      </c>
      <c r="BL740" s="67">
        <v>0</v>
      </c>
      <c r="BM740" s="67">
        <v>0</v>
      </c>
      <c r="BN740" s="67">
        <v>1</v>
      </c>
      <c r="BO740" s="67">
        <v>0</v>
      </c>
      <c r="BP740" s="67">
        <v>0</v>
      </c>
      <c r="BQ740" s="67">
        <v>8</v>
      </c>
      <c r="BR740" s="67">
        <v>0</v>
      </c>
      <c r="BS740" s="67">
        <v>0</v>
      </c>
      <c r="BT740" s="67">
        <v>21</v>
      </c>
      <c r="BU740" s="70">
        <v>0</v>
      </c>
      <c r="BV740" s="29">
        <f t="shared" si="171"/>
        <v>1.3252179225352778</v>
      </c>
      <c r="BW740">
        <f t="shared" si="172"/>
        <v>1.08652546240644</v>
      </c>
      <c r="BX740">
        <f t="shared" si="173"/>
        <v>1.2492842709947811</v>
      </c>
      <c r="BY740">
        <f t="shared" si="174"/>
        <v>2.2838128280930299</v>
      </c>
      <c r="BZ740">
        <f t="shared" si="175"/>
        <v>1.01056543769991</v>
      </c>
      <c r="CA740">
        <f t="shared" si="176"/>
        <v>0.22726935890025346</v>
      </c>
      <c r="CB740">
        <f t="shared" si="177"/>
        <v>2.7346580483089769</v>
      </c>
    </row>
    <row r="741" spans="1:80" x14ac:dyDescent="0.45">
      <c r="A741" s="11">
        <v>27</v>
      </c>
      <c r="B741" s="12">
        <f t="shared" si="165"/>
        <v>27</v>
      </c>
      <c r="C741" s="12" t="s">
        <v>59</v>
      </c>
      <c r="D741" s="12">
        <v>0</v>
      </c>
      <c r="E741" s="12" t="s">
        <v>53</v>
      </c>
      <c r="F741" s="12">
        <v>0</v>
      </c>
      <c r="G741" s="12">
        <v>1</v>
      </c>
      <c r="H741" s="12" t="s">
        <v>61</v>
      </c>
      <c r="I741" s="12">
        <v>1</v>
      </c>
      <c r="J741" s="12">
        <v>0</v>
      </c>
      <c r="K741" s="12">
        <v>2</v>
      </c>
      <c r="L741" s="12">
        <f t="shared" si="166"/>
        <v>2</v>
      </c>
      <c r="M741" s="12">
        <v>4</v>
      </c>
      <c r="N741" s="12" t="s">
        <v>55</v>
      </c>
      <c r="O741" s="12">
        <v>1</v>
      </c>
      <c r="P741" s="12">
        <v>0</v>
      </c>
      <c r="Q741" s="12">
        <v>0</v>
      </c>
      <c r="R741" s="12">
        <v>0</v>
      </c>
      <c r="S741" s="12">
        <v>0</v>
      </c>
      <c r="T741" s="12">
        <v>1</v>
      </c>
      <c r="U741" s="12" t="s">
        <v>19</v>
      </c>
      <c r="V741" s="12">
        <v>1</v>
      </c>
      <c r="W741" s="12">
        <v>47</v>
      </c>
      <c r="X741" s="12">
        <v>3</v>
      </c>
      <c r="Y741" s="12">
        <v>2</v>
      </c>
      <c r="Z741" s="12" t="s">
        <v>83</v>
      </c>
      <c r="AA741" s="12">
        <v>0</v>
      </c>
      <c r="AB741" s="12">
        <v>0</v>
      </c>
      <c r="AC741" s="12">
        <v>0</v>
      </c>
      <c r="AD741" s="12">
        <v>0</v>
      </c>
      <c r="AE741" s="12">
        <v>1</v>
      </c>
      <c r="AF741" s="12">
        <v>1</v>
      </c>
      <c r="AG741" s="12">
        <v>0</v>
      </c>
      <c r="AH741" s="12">
        <v>0</v>
      </c>
      <c r="AI741" s="12">
        <v>4</v>
      </c>
      <c r="AJ741" s="12" t="s">
        <v>64</v>
      </c>
      <c r="AK741" s="12">
        <v>0</v>
      </c>
      <c r="AL741" s="12">
        <v>1</v>
      </c>
      <c r="AM741" s="12">
        <v>4227</v>
      </c>
      <c r="AN741" s="12">
        <f t="shared" si="167"/>
        <v>4227</v>
      </c>
      <c r="AO741" s="12">
        <v>0</v>
      </c>
      <c r="AP741" s="12" t="s">
        <v>59</v>
      </c>
      <c r="AQ741" s="12">
        <v>0</v>
      </c>
      <c r="AR741" s="12">
        <v>18</v>
      </c>
      <c r="AS741" s="12">
        <v>3</v>
      </c>
      <c r="AT741" s="12">
        <v>2</v>
      </c>
      <c r="AU741" s="12">
        <v>1</v>
      </c>
      <c r="AV741" s="12">
        <v>4</v>
      </c>
      <c r="AW741" s="12">
        <f t="shared" si="168"/>
        <v>4</v>
      </c>
      <c r="AX741" s="12">
        <v>2</v>
      </c>
      <c r="AY741" s="12">
        <v>3</v>
      </c>
      <c r="AZ741" s="12">
        <v>3</v>
      </c>
      <c r="BA741" s="12">
        <f t="shared" si="169"/>
        <v>3</v>
      </c>
      <c r="BB741" s="12">
        <v>2</v>
      </c>
      <c r="BC741" s="12">
        <v>2</v>
      </c>
      <c r="BD741" s="12">
        <f t="shared" si="178"/>
        <v>2</v>
      </c>
      <c r="BE741" s="12">
        <v>2</v>
      </c>
      <c r="BF741" s="12">
        <f t="shared" si="170"/>
        <v>2</v>
      </c>
      <c r="BG741" s="12">
        <f t="shared" si="179"/>
        <v>4</v>
      </c>
      <c r="BH741" s="67">
        <v>0</v>
      </c>
      <c r="BI741" s="67">
        <v>1</v>
      </c>
      <c r="BJ741" s="67">
        <v>0</v>
      </c>
      <c r="BK741" s="67">
        <v>0</v>
      </c>
      <c r="BL741" s="67">
        <v>0</v>
      </c>
      <c r="BM741" s="67">
        <v>0</v>
      </c>
      <c r="BN741" s="67">
        <v>1</v>
      </c>
      <c r="BO741" s="67">
        <v>0</v>
      </c>
      <c r="BP741" s="67">
        <v>0</v>
      </c>
      <c r="BQ741" s="67">
        <v>2</v>
      </c>
      <c r="BR741" s="67">
        <v>0</v>
      </c>
      <c r="BS741" s="67">
        <v>0</v>
      </c>
      <c r="BT741" s="67">
        <v>4</v>
      </c>
      <c r="BU741" s="70">
        <v>0</v>
      </c>
      <c r="BV741" s="29">
        <f t="shared" si="171"/>
        <v>0.48342229917823665</v>
      </c>
      <c r="BW741">
        <f t="shared" si="172"/>
        <v>0.59502473559756086</v>
      </c>
      <c r="BX741">
        <f t="shared" si="173"/>
        <v>0.93558618405172878</v>
      </c>
      <c r="BY741">
        <f t="shared" si="174"/>
        <v>0.65423109602898355</v>
      </c>
      <c r="BZ741">
        <f t="shared" si="175"/>
        <v>0.88721318382472392</v>
      </c>
      <c r="CA741">
        <f t="shared" si="176"/>
        <v>1.0863058347434136</v>
      </c>
      <c r="CB741">
        <f t="shared" si="177"/>
        <v>5.8265062631872602E-2</v>
      </c>
    </row>
    <row r="742" spans="1:80" x14ac:dyDescent="0.45">
      <c r="A742" s="11">
        <v>35</v>
      </c>
      <c r="B742" s="12">
        <f t="shared" si="165"/>
        <v>35</v>
      </c>
      <c r="C742" s="12" t="s">
        <v>59</v>
      </c>
      <c r="D742" s="12">
        <v>0</v>
      </c>
      <c r="E742" s="12" t="s">
        <v>53</v>
      </c>
      <c r="F742" s="12">
        <v>0</v>
      </c>
      <c r="G742" s="12">
        <v>1</v>
      </c>
      <c r="H742" s="12" t="s">
        <v>61</v>
      </c>
      <c r="I742" s="12">
        <v>1</v>
      </c>
      <c r="J742" s="12">
        <v>0</v>
      </c>
      <c r="K742" s="12">
        <v>10</v>
      </c>
      <c r="L742" s="12">
        <f t="shared" si="166"/>
        <v>10</v>
      </c>
      <c r="M742" s="12">
        <v>3</v>
      </c>
      <c r="N742" s="12" t="s">
        <v>66</v>
      </c>
      <c r="O742" s="12">
        <v>0</v>
      </c>
      <c r="P742" s="12">
        <v>1</v>
      </c>
      <c r="Q742" s="12">
        <v>0</v>
      </c>
      <c r="R742" s="12">
        <v>0</v>
      </c>
      <c r="S742" s="12">
        <v>0</v>
      </c>
      <c r="T742" s="12">
        <v>2</v>
      </c>
      <c r="U742" s="12" t="s">
        <v>62</v>
      </c>
      <c r="V742" s="12">
        <v>0</v>
      </c>
      <c r="W742" s="12">
        <v>45</v>
      </c>
      <c r="X742" s="12">
        <v>3</v>
      </c>
      <c r="Y742" s="12">
        <v>1</v>
      </c>
      <c r="Z742" s="12" t="s">
        <v>67</v>
      </c>
      <c r="AA742" s="12">
        <v>0</v>
      </c>
      <c r="AB742" s="12">
        <v>0</v>
      </c>
      <c r="AC742" s="12">
        <v>1</v>
      </c>
      <c r="AD742" s="12">
        <v>0</v>
      </c>
      <c r="AE742" s="12">
        <v>0</v>
      </c>
      <c r="AF742" s="12">
        <v>0</v>
      </c>
      <c r="AG742" s="12">
        <v>0</v>
      </c>
      <c r="AH742" s="12">
        <v>0</v>
      </c>
      <c r="AI742" s="12">
        <v>4</v>
      </c>
      <c r="AJ742" s="12" t="s">
        <v>78</v>
      </c>
      <c r="AK742" s="12">
        <v>0</v>
      </c>
      <c r="AL742" s="12">
        <v>0</v>
      </c>
      <c r="AM742" s="12">
        <v>3917</v>
      </c>
      <c r="AN742" s="12">
        <f t="shared" si="167"/>
        <v>3917</v>
      </c>
      <c r="AO742" s="12">
        <v>1</v>
      </c>
      <c r="AP742" s="12" t="s">
        <v>59</v>
      </c>
      <c r="AQ742" s="12">
        <v>0</v>
      </c>
      <c r="AR742" s="12">
        <v>20</v>
      </c>
      <c r="AS742" s="12">
        <v>4</v>
      </c>
      <c r="AT742" s="12">
        <v>1</v>
      </c>
      <c r="AU742" s="12">
        <v>1</v>
      </c>
      <c r="AV742" s="12">
        <v>3</v>
      </c>
      <c r="AW742" s="12">
        <f t="shared" si="168"/>
        <v>3</v>
      </c>
      <c r="AX742" s="12">
        <v>4</v>
      </c>
      <c r="AY742" s="12">
        <v>2</v>
      </c>
      <c r="AZ742" s="12">
        <v>3</v>
      </c>
      <c r="BA742" s="12">
        <f t="shared" si="169"/>
        <v>3</v>
      </c>
      <c r="BB742" s="12">
        <v>2</v>
      </c>
      <c r="BC742" s="12">
        <v>1</v>
      </c>
      <c r="BD742" s="12">
        <f t="shared" si="178"/>
        <v>1</v>
      </c>
      <c r="BE742" s="12">
        <v>2</v>
      </c>
      <c r="BF742" s="12">
        <f t="shared" si="170"/>
        <v>2</v>
      </c>
      <c r="BG742" s="12">
        <f t="shared" si="179"/>
        <v>2</v>
      </c>
      <c r="BH742" s="67">
        <v>1</v>
      </c>
      <c r="BI742" s="67">
        <v>0</v>
      </c>
      <c r="BJ742" s="67">
        <v>0</v>
      </c>
      <c r="BK742" s="67">
        <v>0</v>
      </c>
      <c r="BL742" s="67">
        <v>1</v>
      </c>
      <c r="BM742" s="67">
        <v>0</v>
      </c>
      <c r="BN742" s="67">
        <v>0</v>
      </c>
      <c r="BO742" s="67">
        <v>0</v>
      </c>
      <c r="BP742" s="67">
        <v>0</v>
      </c>
      <c r="BQ742" s="67">
        <v>2</v>
      </c>
      <c r="BR742" s="67">
        <v>0</v>
      </c>
      <c r="BS742" s="67">
        <v>0</v>
      </c>
      <c r="BT742" s="67">
        <v>3</v>
      </c>
      <c r="BU742" s="70">
        <v>0</v>
      </c>
      <c r="BV742" s="29">
        <f t="shared" si="171"/>
        <v>0.54926827319246907</v>
      </c>
      <c r="BW742">
        <f t="shared" si="172"/>
        <v>0.59502473559756086</v>
      </c>
      <c r="BX742">
        <f t="shared" si="173"/>
        <v>1.0641079755250529</v>
      </c>
      <c r="BY742">
        <f t="shared" si="174"/>
        <v>0.65423109602898355</v>
      </c>
      <c r="BZ742">
        <f t="shared" si="175"/>
        <v>9.9604847176766084E-2</v>
      </c>
      <c r="CA742">
        <f t="shared" si="176"/>
        <v>0.21058903898096887</v>
      </c>
      <c r="CB742">
        <f t="shared" si="177"/>
        <v>0.36858985273641137</v>
      </c>
    </row>
    <row r="743" spans="1:80" x14ac:dyDescent="0.45">
      <c r="A743" s="11">
        <v>42</v>
      </c>
      <c r="B743" s="12">
        <f t="shared" si="165"/>
        <v>42</v>
      </c>
      <c r="C743" s="12" t="s">
        <v>59</v>
      </c>
      <c r="D743" s="12">
        <v>0</v>
      </c>
      <c r="E743" s="12" t="s">
        <v>53</v>
      </c>
      <c r="F743" s="12">
        <v>0</v>
      </c>
      <c r="G743" s="12">
        <v>1</v>
      </c>
      <c r="H743" s="12" t="s">
        <v>54</v>
      </c>
      <c r="I743" s="12">
        <v>0</v>
      </c>
      <c r="J743" s="12">
        <v>1</v>
      </c>
      <c r="K743" s="12">
        <v>5</v>
      </c>
      <c r="L743" s="12">
        <f t="shared" si="166"/>
        <v>5</v>
      </c>
      <c r="M743" s="12">
        <v>2</v>
      </c>
      <c r="N743" s="12" t="s">
        <v>90</v>
      </c>
      <c r="O743" s="12">
        <v>0</v>
      </c>
      <c r="P743" s="12">
        <v>0</v>
      </c>
      <c r="Q743" s="12">
        <v>0</v>
      </c>
      <c r="R743" s="12">
        <v>1</v>
      </c>
      <c r="S743" s="12">
        <v>0</v>
      </c>
      <c r="T743" s="12">
        <v>4</v>
      </c>
      <c r="U743" s="12" t="s">
        <v>62</v>
      </c>
      <c r="V743" s="12">
        <v>0</v>
      </c>
      <c r="W743" s="12">
        <v>90</v>
      </c>
      <c r="X743" s="12">
        <v>3</v>
      </c>
      <c r="Y743" s="12">
        <v>5</v>
      </c>
      <c r="Z743" s="12" t="s">
        <v>87</v>
      </c>
      <c r="AA743" s="12">
        <v>0</v>
      </c>
      <c r="AB743" s="12">
        <v>0</v>
      </c>
      <c r="AC743" s="12">
        <v>0</v>
      </c>
      <c r="AD743" s="12">
        <v>1</v>
      </c>
      <c r="AE743" s="12">
        <v>0</v>
      </c>
      <c r="AF743" s="12">
        <v>0</v>
      </c>
      <c r="AG743" s="12">
        <v>0</v>
      </c>
      <c r="AH743" s="12">
        <v>0</v>
      </c>
      <c r="AI743" s="12">
        <v>3</v>
      </c>
      <c r="AJ743" s="12" t="s">
        <v>64</v>
      </c>
      <c r="AK743" s="12">
        <v>0</v>
      </c>
      <c r="AL743" s="12">
        <v>1</v>
      </c>
      <c r="AM743" s="12">
        <v>18303</v>
      </c>
      <c r="AN743" s="12">
        <f t="shared" si="167"/>
        <v>18303</v>
      </c>
      <c r="AO743" s="12">
        <v>6</v>
      </c>
      <c r="AP743" s="12" t="s">
        <v>59</v>
      </c>
      <c r="AQ743" s="12">
        <v>0</v>
      </c>
      <c r="AR743" s="12">
        <v>13</v>
      </c>
      <c r="AS743" s="12">
        <v>3</v>
      </c>
      <c r="AT743" s="12">
        <v>2</v>
      </c>
      <c r="AU743" s="12">
        <v>0</v>
      </c>
      <c r="AV743" s="12">
        <v>21</v>
      </c>
      <c r="AW743" s="12">
        <f t="shared" si="168"/>
        <v>21</v>
      </c>
      <c r="AX743" s="12">
        <v>3</v>
      </c>
      <c r="AY743" s="12">
        <v>4</v>
      </c>
      <c r="AZ743" s="12">
        <v>1</v>
      </c>
      <c r="BA743" s="12">
        <f t="shared" si="169"/>
        <v>1</v>
      </c>
      <c r="BB743" s="12">
        <v>0</v>
      </c>
      <c r="BC743" s="12">
        <v>0</v>
      </c>
      <c r="BD743" s="12">
        <f t="shared" si="178"/>
        <v>0</v>
      </c>
      <c r="BE743" s="12">
        <v>0</v>
      </c>
      <c r="BF743" s="12">
        <f t="shared" si="170"/>
        <v>0</v>
      </c>
      <c r="BG743" s="12">
        <f t="shared" si="179"/>
        <v>0</v>
      </c>
      <c r="BH743" s="67">
        <v>0</v>
      </c>
      <c r="BI743" s="67">
        <v>1</v>
      </c>
      <c r="BJ743" s="67">
        <v>0</v>
      </c>
      <c r="BK743" s="67">
        <v>0</v>
      </c>
      <c r="BL743" s="67">
        <v>0</v>
      </c>
      <c r="BM743" s="67">
        <v>0</v>
      </c>
      <c r="BN743" s="67">
        <v>1</v>
      </c>
      <c r="BO743" s="67">
        <v>0</v>
      </c>
      <c r="BP743" s="67">
        <v>0</v>
      </c>
      <c r="BQ743" s="67">
        <v>0</v>
      </c>
      <c r="BR743" s="67">
        <v>0</v>
      </c>
      <c r="BS743" s="67">
        <v>0</v>
      </c>
      <c r="BT743" s="67">
        <v>0</v>
      </c>
      <c r="BU743" s="70">
        <v>21</v>
      </c>
      <c r="BV743" s="29">
        <f t="shared" si="171"/>
        <v>2.5064097338034932</v>
      </c>
      <c r="BW743">
        <f t="shared" si="172"/>
        <v>1.1555414682655611</v>
      </c>
      <c r="BX743">
        <f t="shared" si="173"/>
        <v>1.2492842709947811</v>
      </c>
      <c r="BY743">
        <f t="shared" si="174"/>
        <v>0.9806804209314296</v>
      </c>
      <c r="BZ743">
        <f t="shared" si="175"/>
        <v>0.51715642219916513</v>
      </c>
      <c r="CA743">
        <f t="shared" si="176"/>
        <v>0.55566315731117022</v>
      </c>
      <c r="CB743">
        <f t="shared" si="177"/>
        <v>0.67891464284095016</v>
      </c>
    </row>
    <row r="744" spans="1:80" x14ac:dyDescent="0.45">
      <c r="A744" s="11">
        <v>50</v>
      </c>
      <c r="B744" s="12">
        <f t="shared" si="165"/>
        <v>50</v>
      </c>
      <c r="C744" s="12" t="s">
        <v>59</v>
      </c>
      <c r="D744" s="12">
        <v>0</v>
      </c>
      <c r="E744" s="12" t="s">
        <v>53</v>
      </c>
      <c r="F744" s="12">
        <v>0</v>
      </c>
      <c r="G744" s="12">
        <v>1</v>
      </c>
      <c r="H744" s="12" t="s">
        <v>61</v>
      </c>
      <c r="I744" s="12">
        <v>1</v>
      </c>
      <c r="J744" s="12">
        <v>0</v>
      </c>
      <c r="K744" s="12">
        <v>9</v>
      </c>
      <c r="L744" s="12">
        <f t="shared" si="166"/>
        <v>9</v>
      </c>
      <c r="M744" s="12">
        <v>3</v>
      </c>
      <c r="N744" s="12" t="s">
        <v>55</v>
      </c>
      <c r="O744" s="12">
        <v>1</v>
      </c>
      <c r="P744" s="12">
        <v>0</v>
      </c>
      <c r="Q744" s="12">
        <v>0</v>
      </c>
      <c r="R744" s="12">
        <v>0</v>
      </c>
      <c r="S744" s="12">
        <v>0</v>
      </c>
      <c r="T744" s="12">
        <v>1</v>
      </c>
      <c r="U744" s="12" t="s">
        <v>62</v>
      </c>
      <c r="V744" s="12">
        <v>0</v>
      </c>
      <c r="W744" s="12">
        <v>64</v>
      </c>
      <c r="X744" s="12">
        <v>3</v>
      </c>
      <c r="Y744" s="12">
        <v>1</v>
      </c>
      <c r="Z744" s="12" t="s">
        <v>67</v>
      </c>
      <c r="AA744" s="12">
        <v>0</v>
      </c>
      <c r="AB744" s="12">
        <v>0</v>
      </c>
      <c r="AC744" s="12">
        <v>1</v>
      </c>
      <c r="AD744" s="12">
        <v>0</v>
      </c>
      <c r="AE744" s="12">
        <v>0</v>
      </c>
      <c r="AF744" s="12">
        <v>0</v>
      </c>
      <c r="AG744" s="12">
        <v>0</v>
      </c>
      <c r="AH744" s="12">
        <v>0</v>
      </c>
      <c r="AI744" s="12">
        <v>4</v>
      </c>
      <c r="AJ744" s="12" t="s">
        <v>64</v>
      </c>
      <c r="AK744" s="12">
        <v>0</v>
      </c>
      <c r="AL744" s="12">
        <v>1</v>
      </c>
      <c r="AM744" s="12">
        <v>2380</v>
      </c>
      <c r="AN744" s="12">
        <f t="shared" si="167"/>
        <v>2380</v>
      </c>
      <c r="AO744" s="12">
        <v>4</v>
      </c>
      <c r="AP744" s="12" t="s">
        <v>59</v>
      </c>
      <c r="AQ744" s="12">
        <v>0</v>
      </c>
      <c r="AR744" s="12">
        <v>18</v>
      </c>
      <c r="AS744" s="12">
        <v>3</v>
      </c>
      <c r="AT744" s="12">
        <v>2</v>
      </c>
      <c r="AU744" s="12">
        <v>0</v>
      </c>
      <c r="AV744" s="12">
        <v>8</v>
      </c>
      <c r="AW744" s="12">
        <f t="shared" si="168"/>
        <v>8</v>
      </c>
      <c r="AX744" s="12">
        <v>5</v>
      </c>
      <c r="AY744" s="12">
        <v>3</v>
      </c>
      <c r="AZ744" s="12">
        <v>1</v>
      </c>
      <c r="BA744" s="12">
        <f t="shared" si="169"/>
        <v>1</v>
      </c>
      <c r="BB744" s="12">
        <v>0</v>
      </c>
      <c r="BC744" s="12">
        <v>0</v>
      </c>
      <c r="BD744" s="12">
        <f t="shared" si="178"/>
        <v>0</v>
      </c>
      <c r="BE744" s="12">
        <v>0</v>
      </c>
      <c r="BF744" s="12">
        <f t="shared" si="170"/>
        <v>0</v>
      </c>
      <c r="BG744" s="12">
        <f t="shared" si="179"/>
        <v>0</v>
      </c>
      <c r="BH744" s="67">
        <v>0</v>
      </c>
      <c r="BI744" s="67">
        <v>1</v>
      </c>
      <c r="BJ744" s="67">
        <v>0</v>
      </c>
      <c r="BK744" s="67">
        <v>0</v>
      </c>
      <c r="BL744" s="67">
        <v>0</v>
      </c>
      <c r="BM744" s="67">
        <v>0</v>
      </c>
      <c r="BN744" s="67">
        <v>1</v>
      </c>
      <c r="BO744" s="67">
        <v>0</v>
      </c>
      <c r="BP744" s="67">
        <v>0</v>
      </c>
      <c r="BQ744" s="67">
        <v>0</v>
      </c>
      <c r="BR744" s="67">
        <v>0</v>
      </c>
      <c r="BS744" s="67">
        <v>0</v>
      </c>
      <c r="BT744" s="67">
        <v>8</v>
      </c>
      <c r="BU744" s="70">
        <v>0</v>
      </c>
      <c r="BV744" s="29">
        <f t="shared" si="171"/>
        <v>0.87573686048238941</v>
      </c>
      <c r="BW744">
        <f t="shared" si="172"/>
        <v>1.1555414682655611</v>
      </c>
      <c r="BX744">
        <f t="shared" si="173"/>
        <v>0.42149901815843233</v>
      </c>
      <c r="BY744">
        <f t="shared" si="174"/>
        <v>0.9806804209314296</v>
      </c>
      <c r="BZ744">
        <f t="shared" si="175"/>
        <v>2.3747406698420157E-2</v>
      </c>
      <c r="CA744">
        <f t="shared" si="176"/>
        <v>1.4313799530736149</v>
      </c>
      <c r="CB744">
        <f t="shared" si="177"/>
        <v>0.67891464284095016</v>
      </c>
    </row>
    <row r="745" spans="1:80" x14ac:dyDescent="0.45">
      <c r="A745" s="11">
        <v>59</v>
      </c>
      <c r="B745" s="12">
        <f t="shared" si="165"/>
        <v>58.309999999999945</v>
      </c>
      <c r="C745" s="12" t="s">
        <v>59</v>
      </c>
      <c r="D745" s="12">
        <v>0</v>
      </c>
      <c r="E745" s="12" t="s">
        <v>53</v>
      </c>
      <c r="F745" s="12">
        <v>0</v>
      </c>
      <c r="G745" s="12">
        <v>1</v>
      </c>
      <c r="H745" s="12" t="s">
        <v>61</v>
      </c>
      <c r="I745" s="12">
        <v>1</v>
      </c>
      <c r="J745" s="12">
        <v>0</v>
      </c>
      <c r="K745" s="12">
        <v>2</v>
      </c>
      <c r="L745" s="12">
        <f t="shared" si="166"/>
        <v>2</v>
      </c>
      <c r="M745" s="12">
        <v>3</v>
      </c>
      <c r="N745" s="12" t="s">
        <v>55</v>
      </c>
      <c r="O745" s="12">
        <v>1</v>
      </c>
      <c r="P745" s="12">
        <v>0</v>
      </c>
      <c r="Q745" s="12">
        <v>0</v>
      </c>
      <c r="R745" s="12">
        <v>0</v>
      </c>
      <c r="S745" s="12">
        <v>0</v>
      </c>
      <c r="T745" s="12">
        <v>3</v>
      </c>
      <c r="U745" s="12" t="s">
        <v>19</v>
      </c>
      <c r="V745" s="12">
        <v>1</v>
      </c>
      <c r="W745" s="12">
        <v>69</v>
      </c>
      <c r="X745" s="12">
        <v>2</v>
      </c>
      <c r="Y745" s="12">
        <v>4</v>
      </c>
      <c r="Z745" s="12" t="s">
        <v>83</v>
      </c>
      <c r="AA745" s="12">
        <v>0</v>
      </c>
      <c r="AB745" s="12">
        <v>0</v>
      </c>
      <c r="AC745" s="12">
        <v>0</v>
      </c>
      <c r="AD745" s="12">
        <v>0</v>
      </c>
      <c r="AE745" s="12">
        <v>1</v>
      </c>
      <c r="AF745" s="12">
        <v>1</v>
      </c>
      <c r="AG745" s="12">
        <v>0</v>
      </c>
      <c r="AH745" s="12">
        <v>0</v>
      </c>
      <c r="AI745" s="12">
        <v>4</v>
      </c>
      <c r="AJ745" s="12" t="s">
        <v>57</v>
      </c>
      <c r="AK745" s="12">
        <v>1</v>
      </c>
      <c r="AL745" s="12">
        <v>0</v>
      </c>
      <c r="AM745" s="12">
        <v>13726</v>
      </c>
      <c r="AN745" s="12">
        <f t="shared" si="167"/>
        <v>13726</v>
      </c>
      <c r="AO745" s="12">
        <v>3</v>
      </c>
      <c r="AP745" s="12" t="s">
        <v>52</v>
      </c>
      <c r="AQ745" s="12">
        <v>1</v>
      </c>
      <c r="AR745" s="12">
        <v>13</v>
      </c>
      <c r="AS745" s="12">
        <v>3</v>
      </c>
      <c r="AT745" s="12">
        <v>1</v>
      </c>
      <c r="AU745" s="12">
        <v>0</v>
      </c>
      <c r="AV745" s="12">
        <v>30</v>
      </c>
      <c r="AW745" s="12">
        <f t="shared" si="168"/>
        <v>30</v>
      </c>
      <c r="AX745" s="12">
        <v>4</v>
      </c>
      <c r="AY745" s="12">
        <v>3</v>
      </c>
      <c r="AZ745" s="12">
        <v>5</v>
      </c>
      <c r="BA745" s="12">
        <f t="shared" si="169"/>
        <v>5</v>
      </c>
      <c r="BB745" s="12">
        <v>3</v>
      </c>
      <c r="BC745" s="12">
        <v>4</v>
      </c>
      <c r="BD745" s="12">
        <f t="shared" si="178"/>
        <v>4</v>
      </c>
      <c r="BE745" s="12">
        <v>3</v>
      </c>
      <c r="BF745" s="12">
        <f t="shared" si="170"/>
        <v>3</v>
      </c>
      <c r="BG745" s="12">
        <f t="shared" si="179"/>
        <v>12</v>
      </c>
      <c r="BH745" s="67">
        <v>1</v>
      </c>
      <c r="BI745" s="67">
        <v>0</v>
      </c>
      <c r="BJ745" s="67">
        <v>0</v>
      </c>
      <c r="BK745" s="67">
        <v>0</v>
      </c>
      <c r="BL745" s="67">
        <v>0</v>
      </c>
      <c r="BM745" s="67">
        <v>1</v>
      </c>
      <c r="BN745" s="67">
        <v>0</v>
      </c>
      <c r="BO745" s="67">
        <v>0</v>
      </c>
      <c r="BP745" s="67">
        <v>0</v>
      </c>
      <c r="BQ745" s="67">
        <v>3</v>
      </c>
      <c r="BR745" s="67">
        <v>0</v>
      </c>
      <c r="BS745" s="67">
        <v>0</v>
      </c>
      <c r="BT745" s="67">
        <v>30</v>
      </c>
      <c r="BU745" s="70">
        <v>0</v>
      </c>
      <c r="BV745" s="29">
        <f t="shared" si="171"/>
        <v>1.5342257884385189</v>
      </c>
      <c r="BW745">
        <f t="shared" si="172"/>
        <v>0.31476636926356072</v>
      </c>
      <c r="BX745">
        <f t="shared" si="173"/>
        <v>2.4059803942546978</v>
      </c>
      <c r="BY745">
        <f t="shared" si="174"/>
        <v>0.32778177112653761</v>
      </c>
      <c r="BZ745">
        <f t="shared" si="175"/>
        <v>0.88721318382472392</v>
      </c>
      <c r="CA745">
        <f t="shared" si="176"/>
        <v>2.4165613483063648</v>
      </c>
      <c r="CB745">
        <f t="shared" si="177"/>
        <v>0.56238451757720498</v>
      </c>
    </row>
    <row r="746" spans="1:80" x14ac:dyDescent="0.45">
      <c r="A746" s="11">
        <v>37</v>
      </c>
      <c r="B746" s="12">
        <f t="shared" si="165"/>
        <v>37</v>
      </c>
      <c r="C746" s="12" t="s">
        <v>52</v>
      </c>
      <c r="D746" s="12">
        <v>1</v>
      </c>
      <c r="E746" s="12" t="s">
        <v>53</v>
      </c>
      <c r="F746" s="12">
        <v>0</v>
      </c>
      <c r="G746" s="12">
        <v>1</v>
      </c>
      <c r="H746" s="12" t="s">
        <v>61</v>
      </c>
      <c r="I746" s="12">
        <v>1</v>
      </c>
      <c r="J746" s="12">
        <v>0</v>
      </c>
      <c r="K746" s="12">
        <v>11</v>
      </c>
      <c r="L746" s="12">
        <f t="shared" si="166"/>
        <v>11</v>
      </c>
      <c r="M746" s="12">
        <v>2</v>
      </c>
      <c r="N746" s="12" t="s">
        <v>70</v>
      </c>
      <c r="O746" s="12">
        <v>0</v>
      </c>
      <c r="P746" s="12">
        <v>0</v>
      </c>
      <c r="Q746" s="12">
        <v>1</v>
      </c>
      <c r="R746" s="12">
        <v>0</v>
      </c>
      <c r="S746" s="12">
        <v>0</v>
      </c>
      <c r="T746" s="12">
        <v>1</v>
      </c>
      <c r="U746" s="12" t="s">
        <v>19</v>
      </c>
      <c r="V746" s="12">
        <v>1</v>
      </c>
      <c r="W746" s="12">
        <v>61</v>
      </c>
      <c r="X746" s="12">
        <v>1</v>
      </c>
      <c r="Y746" s="12">
        <v>2</v>
      </c>
      <c r="Z746" s="12" t="s">
        <v>85</v>
      </c>
      <c r="AA746" s="12">
        <v>1</v>
      </c>
      <c r="AB746" s="12">
        <v>0</v>
      </c>
      <c r="AC746" s="12">
        <v>0</v>
      </c>
      <c r="AD746" s="12">
        <v>0</v>
      </c>
      <c r="AE746" s="12">
        <v>0</v>
      </c>
      <c r="AF746" s="12">
        <v>0</v>
      </c>
      <c r="AG746" s="12">
        <v>0</v>
      </c>
      <c r="AH746" s="12">
        <v>0</v>
      </c>
      <c r="AI746" s="12">
        <v>2</v>
      </c>
      <c r="AJ746" s="12" t="s">
        <v>64</v>
      </c>
      <c r="AK746" s="12">
        <v>0</v>
      </c>
      <c r="AL746" s="12">
        <v>1</v>
      </c>
      <c r="AM746" s="12">
        <v>4777</v>
      </c>
      <c r="AN746" s="12">
        <f t="shared" si="167"/>
        <v>4777</v>
      </c>
      <c r="AO746" s="12">
        <v>5</v>
      </c>
      <c r="AP746" s="12" t="s">
        <v>59</v>
      </c>
      <c r="AQ746" s="12">
        <v>0</v>
      </c>
      <c r="AR746" s="12">
        <v>15</v>
      </c>
      <c r="AS746" s="12">
        <v>3</v>
      </c>
      <c r="AT746" s="12">
        <v>1</v>
      </c>
      <c r="AU746" s="12">
        <v>0</v>
      </c>
      <c r="AV746" s="12">
        <v>15</v>
      </c>
      <c r="AW746" s="12">
        <f t="shared" si="168"/>
        <v>15</v>
      </c>
      <c r="AX746" s="12">
        <v>2</v>
      </c>
      <c r="AY746" s="12">
        <v>1</v>
      </c>
      <c r="AZ746" s="12">
        <v>1</v>
      </c>
      <c r="BA746" s="12">
        <f t="shared" si="169"/>
        <v>1</v>
      </c>
      <c r="BB746" s="12">
        <v>0</v>
      </c>
      <c r="BC746" s="12">
        <v>0</v>
      </c>
      <c r="BD746" s="12">
        <f t="shared" si="178"/>
        <v>0</v>
      </c>
      <c r="BE746" s="12">
        <v>0</v>
      </c>
      <c r="BF746" s="12">
        <f t="shared" si="170"/>
        <v>0</v>
      </c>
      <c r="BG746" s="12">
        <f t="shared" si="179"/>
        <v>0</v>
      </c>
      <c r="BH746" s="67">
        <v>0</v>
      </c>
      <c r="BI746" s="67">
        <v>1</v>
      </c>
      <c r="BJ746" s="67">
        <v>0</v>
      </c>
      <c r="BK746" s="67">
        <v>0</v>
      </c>
      <c r="BL746" s="67">
        <v>0</v>
      </c>
      <c r="BM746" s="67">
        <v>0</v>
      </c>
      <c r="BN746" s="67">
        <v>1</v>
      </c>
      <c r="BO746" s="67">
        <v>0</v>
      </c>
      <c r="BP746" s="67">
        <v>0</v>
      </c>
      <c r="BQ746" s="67">
        <v>0</v>
      </c>
      <c r="BR746" s="67">
        <v>0</v>
      </c>
      <c r="BS746" s="67">
        <v>0</v>
      </c>
      <c r="BT746" s="67">
        <v>15</v>
      </c>
      <c r="BU746" s="70">
        <v>0</v>
      </c>
      <c r="BV746" s="29">
        <f t="shared" si="171"/>
        <v>0.36659879689492098</v>
      </c>
      <c r="BW746">
        <f t="shared" si="172"/>
        <v>1.1555414682655611</v>
      </c>
      <c r="BX746">
        <f t="shared" si="173"/>
        <v>0.47815352215483642</v>
      </c>
      <c r="BY746">
        <f t="shared" si="174"/>
        <v>0.9806804209314296</v>
      </c>
      <c r="BZ746">
        <f t="shared" si="175"/>
        <v>0.22295710105195232</v>
      </c>
      <c r="CA746">
        <f t="shared" si="176"/>
        <v>8.3401599596422994E-3</v>
      </c>
      <c r="CB746">
        <f t="shared" si="177"/>
        <v>0.67891464284095016</v>
      </c>
    </row>
    <row r="747" spans="1:80" x14ac:dyDescent="0.45">
      <c r="A747" s="11">
        <v>55</v>
      </c>
      <c r="B747" s="12">
        <f t="shared" si="165"/>
        <v>55</v>
      </c>
      <c r="C747" s="12" t="s">
        <v>59</v>
      </c>
      <c r="D747" s="12">
        <v>0</v>
      </c>
      <c r="E747" s="12" t="s">
        <v>60</v>
      </c>
      <c r="F747" s="12">
        <v>1</v>
      </c>
      <c r="G747" s="12">
        <v>0</v>
      </c>
      <c r="H747" s="12" t="s">
        <v>61</v>
      </c>
      <c r="I747" s="12">
        <v>1</v>
      </c>
      <c r="J747" s="12">
        <v>0</v>
      </c>
      <c r="K747" s="12">
        <v>18</v>
      </c>
      <c r="L747" s="12">
        <f t="shared" si="166"/>
        <v>18</v>
      </c>
      <c r="M747" s="12">
        <v>4</v>
      </c>
      <c r="N747" s="12" t="s">
        <v>70</v>
      </c>
      <c r="O747" s="12">
        <v>0</v>
      </c>
      <c r="P747" s="12">
        <v>0</v>
      </c>
      <c r="Q747" s="12">
        <v>1</v>
      </c>
      <c r="R747" s="12">
        <v>0</v>
      </c>
      <c r="S747" s="12">
        <v>0</v>
      </c>
      <c r="T747" s="12">
        <v>3</v>
      </c>
      <c r="U747" s="12" t="s">
        <v>62</v>
      </c>
      <c r="V747" s="12">
        <v>0</v>
      </c>
      <c r="W747" s="12">
        <v>62</v>
      </c>
      <c r="X747" s="12">
        <v>3</v>
      </c>
      <c r="Y747" s="12">
        <v>2</v>
      </c>
      <c r="Z747" s="12" t="s">
        <v>85</v>
      </c>
      <c r="AA747" s="12">
        <v>1</v>
      </c>
      <c r="AB747" s="12">
        <v>0</v>
      </c>
      <c r="AC747" s="12">
        <v>0</v>
      </c>
      <c r="AD747" s="12">
        <v>0</v>
      </c>
      <c r="AE747" s="12">
        <v>0</v>
      </c>
      <c r="AF747" s="12">
        <v>0</v>
      </c>
      <c r="AG747" s="12">
        <v>0</v>
      </c>
      <c r="AH747" s="12">
        <v>0</v>
      </c>
      <c r="AI747" s="12">
        <v>2</v>
      </c>
      <c r="AJ747" s="12" t="s">
        <v>64</v>
      </c>
      <c r="AK747" s="12">
        <v>0</v>
      </c>
      <c r="AL747" s="12">
        <v>1</v>
      </c>
      <c r="AM747" s="12">
        <v>6385</v>
      </c>
      <c r="AN747" s="12">
        <f t="shared" si="167"/>
        <v>6385</v>
      </c>
      <c r="AO747" s="12">
        <v>3</v>
      </c>
      <c r="AP747" s="12" t="s">
        <v>52</v>
      </c>
      <c r="AQ747" s="12">
        <v>1</v>
      </c>
      <c r="AR747" s="12">
        <v>14</v>
      </c>
      <c r="AS747" s="12">
        <v>3</v>
      </c>
      <c r="AT747" s="12">
        <v>4</v>
      </c>
      <c r="AU747" s="12">
        <v>2</v>
      </c>
      <c r="AV747" s="12">
        <v>17</v>
      </c>
      <c r="AW747" s="12">
        <f t="shared" si="168"/>
        <v>17</v>
      </c>
      <c r="AX747" s="12">
        <v>3</v>
      </c>
      <c r="AY747" s="12">
        <v>3</v>
      </c>
      <c r="AZ747" s="12">
        <v>8</v>
      </c>
      <c r="BA747" s="12">
        <f t="shared" si="169"/>
        <v>8</v>
      </c>
      <c r="BB747" s="12">
        <v>7</v>
      </c>
      <c r="BC747" s="12">
        <v>6</v>
      </c>
      <c r="BD747" s="12">
        <f t="shared" si="178"/>
        <v>6</v>
      </c>
      <c r="BE747" s="12">
        <v>7</v>
      </c>
      <c r="BF747" s="12">
        <f t="shared" si="170"/>
        <v>7</v>
      </c>
      <c r="BG747" s="12">
        <f t="shared" si="179"/>
        <v>14</v>
      </c>
      <c r="BH747" s="67">
        <v>0</v>
      </c>
      <c r="BI747" s="67">
        <v>0</v>
      </c>
      <c r="BJ747" s="67">
        <v>0</v>
      </c>
      <c r="BK747" s="67">
        <v>1</v>
      </c>
      <c r="BL747" s="67">
        <v>0</v>
      </c>
      <c r="BM747" s="67">
        <v>0</v>
      </c>
      <c r="BN747" s="67">
        <v>0</v>
      </c>
      <c r="BO747" s="67">
        <v>1</v>
      </c>
      <c r="BP747" s="67">
        <v>0</v>
      </c>
      <c r="BQ747" s="67">
        <v>7</v>
      </c>
      <c r="BR747" s="67">
        <v>0</v>
      </c>
      <c r="BS747" s="67">
        <v>0</v>
      </c>
      <c r="BT747" s="67">
        <v>17</v>
      </c>
      <c r="BU747" s="70">
        <v>0</v>
      </c>
      <c r="BV747" s="29">
        <f t="shared" si="171"/>
        <v>2.5049357492063523E-2</v>
      </c>
      <c r="BW747">
        <f t="shared" si="172"/>
        <v>0.80626709607243985</v>
      </c>
      <c r="BX747">
        <f t="shared" si="173"/>
        <v>0.73519710510148462</v>
      </c>
      <c r="BY747">
        <f t="shared" si="174"/>
        <v>0.16189221622713135</v>
      </c>
      <c r="BZ747">
        <f t="shared" si="175"/>
        <v>1.0864228781782561</v>
      </c>
      <c r="CA747">
        <f t="shared" si="176"/>
        <v>1.9787029504251428</v>
      </c>
      <c r="CB747">
        <f t="shared" si="177"/>
        <v>1.1830340977862825</v>
      </c>
    </row>
    <row r="748" spans="1:80" x14ac:dyDescent="0.45">
      <c r="A748" s="11">
        <v>41</v>
      </c>
      <c r="B748" s="12">
        <f t="shared" si="165"/>
        <v>41</v>
      </c>
      <c r="C748" s="12" t="s">
        <v>59</v>
      </c>
      <c r="D748" s="12">
        <v>0</v>
      </c>
      <c r="E748" s="12" t="s">
        <v>86</v>
      </c>
      <c r="F748" s="12">
        <v>0</v>
      </c>
      <c r="G748" s="12">
        <v>0</v>
      </c>
      <c r="H748" s="12" t="s">
        <v>61</v>
      </c>
      <c r="I748" s="12">
        <v>1</v>
      </c>
      <c r="J748" s="12">
        <v>0</v>
      </c>
      <c r="K748" s="12">
        <v>7</v>
      </c>
      <c r="L748" s="12">
        <f t="shared" si="166"/>
        <v>7</v>
      </c>
      <c r="M748" s="12">
        <v>1</v>
      </c>
      <c r="N748" s="12" t="s">
        <v>55</v>
      </c>
      <c r="O748" s="12">
        <v>1</v>
      </c>
      <c r="P748" s="12">
        <v>0</v>
      </c>
      <c r="Q748" s="12">
        <v>0</v>
      </c>
      <c r="R748" s="12">
        <v>0</v>
      </c>
      <c r="S748" s="12">
        <v>0</v>
      </c>
      <c r="T748" s="12">
        <v>2</v>
      </c>
      <c r="U748" s="12" t="s">
        <v>19</v>
      </c>
      <c r="V748" s="12">
        <v>1</v>
      </c>
      <c r="W748" s="12">
        <v>55</v>
      </c>
      <c r="X748" s="12">
        <v>1</v>
      </c>
      <c r="Y748" s="12">
        <v>5</v>
      </c>
      <c r="Z748" s="12" t="s">
        <v>89</v>
      </c>
      <c r="AA748" s="12">
        <v>0</v>
      </c>
      <c r="AB748" s="12">
        <v>0</v>
      </c>
      <c r="AC748" s="12">
        <v>0</v>
      </c>
      <c r="AD748" s="12">
        <v>0</v>
      </c>
      <c r="AE748" s="12">
        <v>0</v>
      </c>
      <c r="AF748" s="12">
        <v>0</v>
      </c>
      <c r="AG748" s="12">
        <v>0</v>
      </c>
      <c r="AH748" s="12">
        <v>0</v>
      </c>
      <c r="AI748" s="12">
        <v>3</v>
      </c>
      <c r="AJ748" s="12" t="s">
        <v>78</v>
      </c>
      <c r="AK748" s="12">
        <v>0</v>
      </c>
      <c r="AL748" s="12">
        <v>0</v>
      </c>
      <c r="AM748" s="12">
        <v>19973</v>
      </c>
      <c r="AN748" s="12">
        <f t="shared" si="167"/>
        <v>19626.310000000001</v>
      </c>
      <c r="AO748" s="12">
        <v>1</v>
      </c>
      <c r="AP748" s="12" t="s">
        <v>59</v>
      </c>
      <c r="AQ748" s="12">
        <v>0</v>
      </c>
      <c r="AR748" s="12">
        <v>22</v>
      </c>
      <c r="AS748" s="12">
        <v>4</v>
      </c>
      <c r="AT748" s="12">
        <v>2</v>
      </c>
      <c r="AU748" s="12">
        <v>2</v>
      </c>
      <c r="AV748" s="12">
        <v>21</v>
      </c>
      <c r="AW748" s="12">
        <f t="shared" si="168"/>
        <v>21</v>
      </c>
      <c r="AX748" s="12">
        <v>3</v>
      </c>
      <c r="AY748" s="12">
        <v>3</v>
      </c>
      <c r="AZ748" s="12">
        <v>21</v>
      </c>
      <c r="BA748" s="12">
        <f t="shared" si="169"/>
        <v>21</v>
      </c>
      <c r="BB748" s="12">
        <v>16</v>
      </c>
      <c r="BC748" s="12">
        <v>5</v>
      </c>
      <c r="BD748" s="12">
        <f t="shared" si="178"/>
        <v>5</v>
      </c>
      <c r="BE748" s="12">
        <v>10</v>
      </c>
      <c r="BF748" s="12">
        <f t="shared" si="170"/>
        <v>10</v>
      </c>
      <c r="BG748" s="12">
        <f t="shared" si="179"/>
        <v>50</v>
      </c>
      <c r="BH748" s="67">
        <v>1</v>
      </c>
      <c r="BI748" s="67">
        <v>0</v>
      </c>
      <c r="BJ748" s="67">
        <v>0</v>
      </c>
      <c r="BK748" s="67">
        <v>0</v>
      </c>
      <c r="BL748" s="67">
        <v>1</v>
      </c>
      <c r="BM748" s="67">
        <v>0</v>
      </c>
      <c r="BN748" s="67">
        <v>0</v>
      </c>
      <c r="BO748" s="67">
        <v>0</v>
      </c>
      <c r="BP748" s="67">
        <v>0</v>
      </c>
      <c r="BQ748" s="67">
        <v>10</v>
      </c>
      <c r="BR748" s="67">
        <v>0</v>
      </c>
      <c r="BS748" s="67">
        <v>0</v>
      </c>
      <c r="BT748" s="67">
        <v>21</v>
      </c>
      <c r="BU748" s="70">
        <v>0</v>
      </c>
      <c r="BV748" s="29">
        <f t="shared" si="171"/>
        <v>2.8611283680091972</v>
      </c>
      <c r="BW748">
        <f t="shared" si="172"/>
        <v>1.6470421950744405</v>
      </c>
      <c r="BX748">
        <f t="shared" si="173"/>
        <v>1.2492842709947811</v>
      </c>
      <c r="BY748">
        <f t="shared" si="174"/>
        <v>2.2838128280930299</v>
      </c>
      <c r="BZ748">
        <f t="shared" si="175"/>
        <v>0.27045191444879263</v>
      </c>
      <c r="CA748">
        <f t="shared" si="176"/>
        <v>0.4461985578408646</v>
      </c>
      <c r="CB748">
        <f t="shared" si="177"/>
        <v>0.87270930768174382</v>
      </c>
    </row>
    <row r="749" spans="1:80" x14ac:dyDescent="0.45">
      <c r="A749" s="11">
        <v>38</v>
      </c>
      <c r="B749" s="12">
        <f t="shared" si="165"/>
        <v>38</v>
      </c>
      <c r="C749" s="12" t="s">
        <v>59</v>
      </c>
      <c r="D749" s="12">
        <v>0</v>
      </c>
      <c r="E749" s="12" t="s">
        <v>53</v>
      </c>
      <c r="F749" s="12">
        <v>0</v>
      </c>
      <c r="G749" s="12">
        <v>1</v>
      </c>
      <c r="H749" s="12" t="s">
        <v>54</v>
      </c>
      <c r="I749" s="12">
        <v>0</v>
      </c>
      <c r="J749" s="12">
        <v>1</v>
      </c>
      <c r="K749" s="12">
        <v>3</v>
      </c>
      <c r="L749" s="12">
        <f t="shared" si="166"/>
        <v>3</v>
      </c>
      <c r="M749" s="12">
        <v>4</v>
      </c>
      <c r="N749" s="12" t="s">
        <v>55</v>
      </c>
      <c r="O749" s="12">
        <v>1</v>
      </c>
      <c r="P749" s="12">
        <v>0</v>
      </c>
      <c r="Q749" s="12">
        <v>0</v>
      </c>
      <c r="R749" s="12">
        <v>0</v>
      </c>
      <c r="S749" s="12">
        <v>0</v>
      </c>
      <c r="T749" s="12">
        <v>2</v>
      </c>
      <c r="U749" s="12" t="s">
        <v>62</v>
      </c>
      <c r="V749" s="12">
        <v>0</v>
      </c>
      <c r="W749" s="12">
        <v>42</v>
      </c>
      <c r="X749" s="12">
        <v>3</v>
      </c>
      <c r="Y749" s="12">
        <v>2</v>
      </c>
      <c r="Z749" s="12" t="s">
        <v>56</v>
      </c>
      <c r="AA749" s="12">
        <v>0</v>
      </c>
      <c r="AB749" s="12">
        <v>1</v>
      </c>
      <c r="AC749" s="12">
        <v>0</v>
      </c>
      <c r="AD749" s="12">
        <v>0</v>
      </c>
      <c r="AE749" s="12">
        <v>0</v>
      </c>
      <c r="AF749" s="12">
        <v>0</v>
      </c>
      <c r="AG749" s="12">
        <v>0</v>
      </c>
      <c r="AH749" s="12">
        <v>0</v>
      </c>
      <c r="AI749" s="12">
        <v>4</v>
      </c>
      <c r="AJ749" s="12" t="s">
        <v>57</v>
      </c>
      <c r="AK749" s="12">
        <v>1</v>
      </c>
      <c r="AL749" s="12">
        <v>0</v>
      </c>
      <c r="AM749" s="12">
        <v>6861</v>
      </c>
      <c r="AN749" s="12">
        <f t="shared" si="167"/>
        <v>6861</v>
      </c>
      <c r="AO749" s="12">
        <v>8</v>
      </c>
      <c r="AP749" s="12" t="s">
        <v>52</v>
      </c>
      <c r="AQ749" s="12">
        <v>1</v>
      </c>
      <c r="AR749" s="12">
        <v>12</v>
      </c>
      <c r="AS749" s="12">
        <v>3</v>
      </c>
      <c r="AT749" s="12">
        <v>3</v>
      </c>
      <c r="AU749" s="12">
        <v>0</v>
      </c>
      <c r="AV749" s="12">
        <v>19</v>
      </c>
      <c r="AW749" s="12">
        <f t="shared" si="168"/>
        <v>19</v>
      </c>
      <c r="AX749" s="12">
        <v>1</v>
      </c>
      <c r="AY749" s="12">
        <v>3</v>
      </c>
      <c r="AZ749" s="12">
        <v>1</v>
      </c>
      <c r="BA749" s="12">
        <f t="shared" si="169"/>
        <v>1</v>
      </c>
      <c r="BB749" s="12">
        <v>0</v>
      </c>
      <c r="BC749" s="12">
        <v>0</v>
      </c>
      <c r="BD749" s="12">
        <f t="shared" si="178"/>
        <v>0</v>
      </c>
      <c r="BE749" s="12">
        <v>0</v>
      </c>
      <c r="BF749" s="12">
        <f t="shared" si="170"/>
        <v>0</v>
      </c>
      <c r="BG749" s="12">
        <f t="shared" si="179"/>
        <v>0</v>
      </c>
      <c r="BH749" s="67">
        <v>1</v>
      </c>
      <c r="BI749" s="67">
        <v>0</v>
      </c>
      <c r="BJ749" s="67">
        <v>0</v>
      </c>
      <c r="BK749" s="67">
        <v>0</v>
      </c>
      <c r="BL749" s="67">
        <v>0</v>
      </c>
      <c r="BM749" s="67">
        <v>1</v>
      </c>
      <c r="BN749" s="67">
        <v>0</v>
      </c>
      <c r="BO749" s="67">
        <v>0</v>
      </c>
      <c r="BP749" s="67">
        <v>0</v>
      </c>
      <c r="BQ749" s="67">
        <v>0</v>
      </c>
      <c r="BR749" s="67">
        <v>0</v>
      </c>
      <c r="BS749" s="67">
        <v>0</v>
      </c>
      <c r="BT749" s="67">
        <v>0</v>
      </c>
      <c r="BU749" s="70">
        <v>19</v>
      </c>
      <c r="BV749" s="29">
        <f t="shared" si="171"/>
        <v>7.6056073574951491E-2</v>
      </c>
      <c r="BW749">
        <f t="shared" si="172"/>
        <v>1.1555414682655611</v>
      </c>
      <c r="BX749">
        <f t="shared" si="173"/>
        <v>0.99224068804813281</v>
      </c>
      <c r="BY749">
        <f t="shared" si="174"/>
        <v>0.9806804209314296</v>
      </c>
      <c r="BZ749">
        <f t="shared" si="175"/>
        <v>0.76386092994953758</v>
      </c>
      <c r="CA749">
        <f t="shared" si="176"/>
        <v>0.11780475942994788</v>
      </c>
      <c r="CB749">
        <f t="shared" si="177"/>
        <v>0.67891464284095016</v>
      </c>
    </row>
    <row r="750" spans="1:80" x14ac:dyDescent="0.45">
      <c r="A750" s="11">
        <v>26</v>
      </c>
      <c r="B750" s="12">
        <f t="shared" si="165"/>
        <v>26</v>
      </c>
      <c r="C750" s="12" t="s">
        <v>52</v>
      </c>
      <c r="D750" s="12">
        <v>1</v>
      </c>
      <c r="E750" s="12" t="s">
        <v>86</v>
      </c>
      <c r="F750" s="12">
        <v>0</v>
      </c>
      <c r="G750" s="12">
        <v>0</v>
      </c>
      <c r="H750" s="12" t="s">
        <v>54</v>
      </c>
      <c r="I750" s="12">
        <v>0</v>
      </c>
      <c r="J750" s="12">
        <v>1</v>
      </c>
      <c r="K750" s="12">
        <v>29</v>
      </c>
      <c r="L750" s="12">
        <f t="shared" si="166"/>
        <v>29</v>
      </c>
      <c r="M750" s="12">
        <v>2</v>
      </c>
      <c r="N750" s="12" t="s">
        <v>70</v>
      </c>
      <c r="O750" s="12">
        <v>0</v>
      </c>
      <c r="P750" s="12">
        <v>0</v>
      </c>
      <c r="Q750" s="12">
        <v>1</v>
      </c>
      <c r="R750" s="12">
        <v>0</v>
      </c>
      <c r="S750" s="12">
        <v>0</v>
      </c>
      <c r="T750" s="12">
        <v>2</v>
      </c>
      <c r="U750" s="12" t="s">
        <v>62</v>
      </c>
      <c r="V750" s="12">
        <v>0</v>
      </c>
      <c r="W750" s="12">
        <v>79</v>
      </c>
      <c r="X750" s="12">
        <v>1</v>
      </c>
      <c r="Y750" s="12">
        <v>2</v>
      </c>
      <c r="Z750" s="12" t="s">
        <v>56</v>
      </c>
      <c r="AA750" s="12">
        <v>0</v>
      </c>
      <c r="AB750" s="12">
        <v>1</v>
      </c>
      <c r="AC750" s="12">
        <v>0</v>
      </c>
      <c r="AD750" s="12">
        <v>0</v>
      </c>
      <c r="AE750" s="12">
        <v>0</v>
      </c>
      <c r="AF750" s="12">
        <v>0</v>
      </c>
      <c r="AG750" s="12">
        <v>0</v>
      </c>
      <c r="AH750" s="12">
        <v>0</v>
      </c>
      <c r="AI750" s="12">
        <v>1</v>
      </c>
      <c r="AJ750" s="12" t="s">
        <v>57</v>
      </c>
      <c r="AK750" s="12">
        <v>1</v>
      </c>
      <c r="AL750" s="12">
        <v>0</v>
      </c>
      <c r="AM750" s="12">
        <v>4969</v>
      </c>
      <c r="AN750" s="12">
        <f t="shared" si="167"/>
        <v>4969</v>
      </c>
      <c r="AO750" s="12">
        <v>8</v>
      </c>
      <c r="AP750" s="12" t="s">
        <v>59</v>
      </c>
      <c r="AQ750" s="12">
        <v>0</v>
      </c>
      <c r="AR750" s="12">
        <v>18</v>
      </c>
      <c r="AS750" s="12">
        <v>3</v>
      </c>
      <c r="AT750" s="12">
        <v>4</v>
      </c>
      <c r="AU750" s="12">
        <v>0</v>
      </c>
      <c r="AV750" s="12">
        <v>7</v>
      </c>
      <c r="AW750" s="12">
        <f t="shared" si="168"/>
        <v>7</v>
      </c>
      <c r="AX750" s="12">
        <v>6</v>
      </c>
      <c r="AY750" s="12">
        <v>3</v>
      </c>
      <c r="AZ750" s="12">
        <v>2</v>
      </c>
      <c r="BA750" s="12">
        <f t="shared" si="169"/>
        <v>2</v>
      </c>
      <c r="BB750" s="12">
        <v>2</v>
      </c>
      <c r="BC750" s="12">
        <v>2</v>
      </c>
      <c r="BD750" s="12">
        <f t="shared" si="178"/>
        <v>2</v>
      </c>
      <c r="BE750" s="12">
        <v>2</v>
      </c>
      <c r="BF750" s="12">
        <f t="shared" si="170"/>
        <v>2</v>
      </c>
      <c r="BG750" s="12">
        <f t="shared" si="179"/>
        <v>4</v>
      </c>
      <c r="BH750" s="67">
        <v>1</v>
      </c>
      <c r="BI750" s="67">
        <v>0</v>
      </c>
      <c r="BJ750" s="67">
        <v>0</v>
      </c>
      <c r="BK750" s="67">
        <v>0</v>
      </c>
      <c r="BL750" s="67">
        <v>1</v>
      </c>
      <c r="BM750" s="67">
        <v>0</v>
      </c>
      <c r="BN750" s="67">
        <v>0</v>
      </c>
      <c r="BO750" s="67">
        <v>0</v>
      </c>
      <c r="BP750" s="67">
        <v>0</v>
      </c>
      <c r="BQ750" s="67">
        <v>0</v>
      </c>
      <c r="BR750" s="67">
        <v>2</v>
      </c>
      <c r="BS750" s="67">
        <v>0</v>
      </c>
      <c r="BT750" s="67">
        <v>0</v>
      </c>
      <c r="BU750" s="70">
        <v>7</v>
      </c>
      <c r="BV750" s="29">
        <f t="shared" si="171"/>
        <v>0.32581677427965439</v>
      </c>
      <c r="BW750">
        <f t="shared" si="172"/>
        <v>0.59502473559756086</v>
      </c>
      <c r="BX750">
        <f t="shared" si="173"/>
        <v>0.55002080963175637</v>
      </c>
      <c r="BY750">
        <f t="shared" si="174"/>
        <v>0.81745575848020657</v>
      </c>
      <c r="BZ750">
        <f t="shared" si="175"/>
        <v>2.4432976708053049</v>
      </c>
      <c r="CA750">
        <f t="shared" si="176"/>
        <v>1.195770434213719</v>
      </c>
      <c r="CB750">
        <f t="shared" si="177"/>
        <v>5.8265062631872602E-2</v>
      </c>
    </row>
    <row r="751" spans="1:80" x14ac:dyDescent="0.45">
      <c r="A751" s="11">
        <v>52</v>
      </c>
      <c r="B751" s="12">
        <f t="shared" si="165"/>
        <v>52</v>
      </c>
      <c r="C751" s="12" t="s">
        <v>52</v>
      </c>
      <c r="D751" s="12">
        <v>1</v>
      </c>
      <c r="E751" s="12" t="s">
        <v>53</v>
      </c>
      <c r="F751" s="12">
        <v>0</v>
      </c>
      <c r="G751" s="12">
        <v>1</v>
      </c>
      <c r="H751" s="12" t="s">
        <v>54</v>
      </c>
      <c r="I751" s="12">
        <v>0</v>
      </c>
      <c r="J751" s="12">
        <v>1</v>
      </c>
      <c r="K751" s="12">
        <v>2</v>
      </c>
      <c r="L751" s="12">
        <f t="shared" si="166"/>
        <v>2</v>
      </c>
      <c r="M751" s="12">
        <v>1</v>
      </c>
      <c r="N751" s="12" t="s">
        <v>90</v>
      </c>
      <c r="O751" s="12">
        <v>0</v>
      </c>
      <c r="P751" s="12">
        <v>0</v>
      </c>
      <c r="Q751" s="12">
        <v>0</v>
      </c>
      <c r="R751" s="12">
        <v>1</v>
      </c>
      <c r="S751" s="12">
        <v>0</v>
      </c>
      <c r="T751" s="12">
        <v>1</v>
      </c>
      <c r="U751" s="12" t="s">
        <v>19</v>
      </c>
      <c r="V751" s="12">
        <v>1</v>
      </c>
      <c r="W751" s="12">
        <v>57</v>
      </c>
      <c r="X751" s="12">
        <v>1</v>
      </c>
      <c r="Y751" s="12">
        <v>5</v>
      </c>
      <c r="Z751" s="12" t="s">
        <v>87</v>
      </c>
      <c r="AA751" s="12">
        <v>0</v>
      </c>
      <c r="AB751" s="12">
        <v>0</v>
      </c>
      <c r="AC751" s="12">
        <v>0</v>
      </c>
      <c r="AD751" s="12">
        <v>1</v>
      </c>
      <c r="AE751" s="12">
        <v>0</v>
      </c>
      <c r="AF751" s="12">
        <v>0</v>
      </c>
      <c r="AG751" s="12">
        <v>0</v>
      </c>
      <c r="AH751" s="12">
        <v>0</v>
      </c>
      <c r="AI751" s="12">
        <v>4</v>
      </c>
      <c r="AJ751" s="12" t="s">
        <v>64</v>
      </c>
      <c r="AK751" s="12">
        <v>0</v>
      </c>
      <c r="AL751" s="12">
        <v>1</v>
      </c>
      <c r="AM751" s="12">
        <v>19845</v>
      </c>
      <c r="AN751" s="12">
        <f t="shared" si="167"/>
        <v>19626.310000000001</v>
      </c>
      <c r="AO751" s="12">
        <v>1</v>
      </c>
      <c r="AP751" s="12" t="s">
        <v>59</v>
      </c>
      <c r="AQ751" s="12">
        <v>0</v>
      </c>
      <c r="AR751" s="12">
        <v>15</v>
      </c>
      <c r="AS751" s="12">
        <v>3</v>
      </c>
      <c r="AT751" s="12">
        <v>4</v>
      </c>
      <c r="AU751" s="12">
        <v>1</v>
      </c>
      <c r="AV751" s="12">
        <v>33</v>
      </c>
      <c r="AW751" s="12">
        <f t="shared" si="168"/>
        <v>33</v>
      </c>
      <c r="AX751" s="12">
        <v>3</v>
      </c>
      <c r="AY751" s="12">
        <v>3</v>
      </c>
      <c r="AZ751" s="12">
        <v>32</v>
      </c>
      <c r="BA751" s="12">
        <f t="shared" si="169"/>
        <v>31</v>
      </c>
      <c r="BB751" s="12">
        <v>14</v>
      </c>
      <c r="BC751" s="12">
        <v>6</v>
      </c>
      <c r="BD751" s="12">
        <f t="shared" si="178"/>
        <v>6</v>
      </c>
      <c r="BE751" s="12">
        <v>9</v>
      </c>
      <c r="BF751" s="12">
        <f t="shared" si="170"/>
        <v>9</v>
      </c>
      <c r="BG751" s="12">
        <f t="shared" si="179"/>
        <v>45</v>
      </c>
      <c r="BH751" s="67">
        <v>0</v>
      </c>
      <c r="BI751" s="67">
        <v>1</v>
      </c>
      <c r="BJ751" s="67">
        <v>0</v>
      </c>
      <c r="BK751" s="67">
        <v>0</v>
      </c>
      <c r="BL751" s="67">
        <v>0</v>
      </c>
      <c r="BM751" s="67">
        <v>0</v>
      </c>
      <c r="BN751" s="67">
        <v>1</v>
      </c>
      <c r="BO751" s="67">
        <v>0</v>
      </c>
      <c r="BP751" s="67">
        <v>0</v>
      </c>
      <c r="BQ751" s="67">
        <v>0</v>
      </c>
      <c r="BR751" s="67">
        <v>9</v>
      </c>
      <c r="BS751" s="67">
        <v>0</v>
      </c>
      <c r="BT751" s="67">
        <v>0</v>
      </c>
      <c r="BU751" s="70">
        <v>33</v>
      </c>
      <c r="BV751" s="29">
        <f t="shared" si="171"/>
        <v>2.8339403529323528</v>
      </c>
      <c r="BW751">
        <f t="shared" si="172"/>
        <v>1.3667838287404401</v>
      </c>
      <c r="BX751">
        <f t="shared" si="173"/>
        <v>2.7915457686746699</v>
      </c>
      <c r="BY751">
        <f t="shared" si="174"/>
        <v>4.0792841150564829</v>
      </c>
      <c r="BZ751">
        <f t="shared" si="175"/>
        <v>0.88721318382472392</v>
      </c>
      <c r="CA751">
        <f t="shared" si="176"/>
        <v>1.6503091520142259</v>
      </c>
      <c r="CB751">
        <f t="shared" si="177"/>
        <v>1.1830340977862825</v>
      </c>
    </row>
    <row r="752" spans="1:80" x14ac:dyDescent="0.45">
      <c r="A752" s="11">
        <v>44</v>
      </c>
      <c r="B752" s="12">
        <f t="shared" si="165"/>
        <v>44</v>
      </c>
      <c r="C752" s="12" t="s">
        <v>59</v>
      </c>
      <c r="D752" s="12">
        <v>0</v>
      </c>
      <c r="E752" s="12" t="s">
        <v>53</v>
      </c>
      <c r="F752" s="12">
        <v>0</v>
      </c>
      <c r="G752" s="12">
        <v>1</v>
      </c>
      <c r="H752" s="12" t="s">
        <v>54</v>
      </c>
      <c r="I752" s="12">
        <v>0</v>
      </c>
      <c r="J752" s="12">
        <v>1</v>
      </c>
      <c r="K752" s="12">
        <v>28</v>
      </c>
      <c r="L752" s="12">
        <f t="shared" si="166"/>
        <v>28</v>
      </c>
      <c r="M752" s="12">
        <v>3</v>
      </c>
      <c r="N752" s="12" t="s">
        <v>70</v>
      </c>
      <c r="O752" s="12">
        <v>0</v>
      </c>
      <c r="P752" s="12">
        <v>0</v>
      </c>
      <c r="Q752" s="12">
        <v>1</v>
      </c>
      <c r="R752" s="12">
        <v>0</v>
      </c>
      <c r="S752" s="12">
        <v>0</v>
      </c>
      <c r="T752" s="12">
        <v>4</v>
      </c>
      <c r="U752" s="12" t="s">
        <v>19</v>
      </c>
      <c r="V752" s="12">
        <v>1</v>
      </c>
      <c r="W752" s="12">
        <v>53</v>
      </c>
      <c r="X752" s="12">
        <v>4</v>
      </c>
      <c r="Y752" s="12">
        <v>4</v>
      </c>
      <c r="Z752" s="12" t="s">
        <v>56</v>
      </c>
      <c r="AA752" s="12">
        <v>0</v>
      </c>
      <c r="AB752" s="12">
        <v>1</v>
      </c>
      <c r="AC752" s="12">
        <v>0</v>
      </c>
      <c r="AD752" s="12">
        <v>0</v>
      </c>
      <c r="AE752" s="12">
        <v>0</v>
      </c>
      <c r="AF752" s="12">
        <v>0</v>
      </c>
      <c r="AG752" s="12">
        <v>0</v>
      </c>
      <c r="AH752" s="12">
        <v>0</v>
      </c>
      <c r="AI752" s="12">
        <v>4</v>
      </c>
      <c r="AJ752" s="12" t="s">
        <v>64</v>
      </c>
      <c r="AK752" s="12">
        <v>0</v>
      </c>
      <c r="AL752" s="12">
        <v>1</v>
      </c>
      <c r="AM752" s="12">
        <v>13320</v>
      </c>
      <c r="AN752" s="12">
        <f t="shared" si="167"/>
        <v>13320</v>
      </c>
      <c r="AO752" s="12">
        <v>3</v>
      </c>
      <c r="AP752" s="12" t="s">
        <v>52</v>
      </c>
      <c r="AQ752" s="12">
        <v>1</v>
      </c>
      <c r="AR752" s="12">
        <v>18</v>
      </c>
      <c r="AS752" s="12">
        <v>3</v>
      </c>
      <c r="AT752" s="12">
        <v>3</v>
      </c>
      <c r="AU752" s="12">
        <v>1</v>
      </c>
      <c r="AV752" s="12">
        <v>23</v>
      </c>
      <c r="AW752" s="12">
        <f t="shared" si="168"/>
        <v>23</v>
      </c>
      <c r="AX752" s="12">
        <v>2</v>
      </c>
      <c r="AY752" s="12">
        <v>3</v>
      </c>
      <c r="AZ752" s="12">
        <v>12</v>
      </c>
      <c r="BA752" s="12">
        <f t="shared" si="169"/>
        <v>12</v>
      </c>
      <c r="BB752" s="12">
        <v>11</v>
      </c>
      <c r="BC752" s="12">
        <v>11</v>
      </c>
      <c r="BD752" s="12">
        <f t="shared" si="178"/>
        <v>11</v>
      </c>
      <c r="BE752" s="12">
        <v>11</v>
      </c>
      <c r="BF752" s="12">
        <f t="shared" si="170"/>
        <v>11</v>
      </c>
      <c r="BG752" s="12">
        <f t="shared" si="179"/>
        <v>44</v>
      </c>
      <c r="BH752" s="67">
        <v>0</v>
      </c>
      <c r="BI752" s="67">
        <v>1</v>
      </c>
      <c r="BJ752" s="67">
        <v>0</v>
      </c>
      <c r="BK752" s="67">
        <v>0</v>
      </c>
      <c r="BL752" s="67">
        <v>0</v>
      </c>
      <c r="BM752" s="67">
        <v>0</v>
      </c>
      <c r="BN752" s="67">
        <v>0</v>
      </c>
      <c r="BO752" s="67">
        <v>1</v>
      </c>
      <c r="BP752" s="67">
        <v>0</v>
      </c>
      <c r="BQ752" s="67">
        <v>0</v>
      </c>
      <c r="BR752" s="67">
        <v>11</v>
      </c>
      <c r="BS752" s="67">
        <v>0</v>
      </c>
      <c r="BT752" s="67">
        <v>0</v>
      </c>
      <c r="BU752" s="70">
        <v>23</v>
      </c>
      <c r="BV752" s="29">
        <f t="shared" si="171"/>
        <v>1.4479888031166532</v>
      </c>
      <c r="BW752">
        <f t="shared" si="172"/>
        <v>1.9273005614084406</v>
      </c>
      <c r="BX752">
        <f t="shared" si="173"/>
        <v>1.5063278539414293</v>
      </c>
      <c r="BY752">
        <f t="shared" si="174"/>
        <v>0.81479086603202333</v>
      </c>
      <c r="BZ752">
        <f t="shared" si="175"/>
        <v>2.3199454169301186</v>
      </c>
      <c r="CA752">
        <f t="shared" si="176"/>
        <v>0.77459235625178136</v>
      </c>
      <c r="CB752">
        <f t="shared" si="177"/>
        <v>2.7346580483089769</v>
      </c>
    </row>
    <row r="753" spans="1:80" x14ac:dyDescent="0.45">
      <c r="A753" s="11">
        <v>50</v>
      </c>
      <c r="B753" s="12">
        <f t="shared" si="165"/>
        <v>50</v>
      </c>
      <c r="C753" s="12" t="s">
        <v>59</v>
      </c>
      <c r="D753" s="12">
        <v>0</v>
      </c>
      <c r="E753" s="12" t="s">
        <v>86</v>
      </c>
      <c r="F753" s="12">
        <v>0</v>
      </c>
      <c r="G753" s="12">
        <v>0</v>
      </c>
      <c r="H753" s="12" t="s">
        <v>54</v>
      </c>
      <c r="I753" s="12">
        <v>0</v>
      </c>
      <c r="J753" s="12">
        <v>1</v>
      </c>
      <c r="K753" s="12">
        <v>1</v>
      </c>
      <c r="L753" s="12">
        <f t="shared" si="166"/>
        <v>1</v>
      </c>
      <c r="M753" s="12">
        <v>3</v>
      </c>
      <c r="N753" s="12" t="s">
        <v>55</v>
      </c>
      <c r="O753" s="12">
        <v>1</v>
      </c>
      <c r="P753" s="12">
        <v>0</v>
      </c>
      <c r="Q753" s="12">
        <v>0</v>
      </c>
      <c r="R753" s="12">
        <v>0</v>
      </c>
      <c r="S753" s="12">
        <v>0</v>
      </c>
      <c r="T753" s="12">
        <v>4</v>
      </c>
      <c r="U753" s="12" t="s">
        <v>19</v>
      </c>
      <c r="V753" s="12">
        <v>1</v>
      </c>
      <c r="W753" s="12">
        <v>95</v>
      </c>
      <c r="X753" s="12">
        <v>3</v>
      </c>
      <c r="Y753" s="12">
        <v>2</v>
      </c>
      <c r="Z753" s="12" t="s">
        <v>56</v>
      </c>
      <c r="AA753" s="12">
        <v>0</v>
      </c>
      <c r="AB753" s="12">
        <v>1</v>
      </c>
      <c r="AC753" s="12">
        <v>0</v>
      </c>
      <c r="AD753" s="12">
        <v>0</v>
      </c>
      <c r="AE753" s="12">
        <v>0</v>
      </c>
      <c r="AF753" s="12">
        <v>0</v>
      </c>
      <c r="AG753" s="12">
        <v>0</v>
      </c>
      <c r="AH753" s="12">
        <v>0</v>
      </c>
      <c r="AI753" s="12">
        <v>3</v>
      </c>
      <c r="AJ753" s="12" t="s">
        <v>64</v>
      </c>
      <c r="AK753" s="12">
        <v>0</v>
      </c>
      <c r="AL753" s="12">
        <v>1</v>
      </c>
      <c r="AM753" s="12">
        <v>6347</v>
      </c>
      <c r="AN753" s="12">
        <f t="shared" si="167"/>
        <v>6347</v>
      </c>
      <c r="AO753" s="12">
        <v>0</v>
      </c>
      <c r="AP753" s="12" t="s">
        <v>59</v>
      </c>
      <c r="AQ753" s="12">
        <v>0</v>
      </c>
      <c r="AR753" s="12">
        <v>12</v>
      </c>
      <c r="AS753" s="12">
        <v>3</v>
      </c>
      <c r="AT753" s="12">
        <v>1</v>
      </c>
      <c r="AU753" s="12">
        <v>1</v>
      </c>
      <c r="AV753" s="12">
        <v>19</v>
      </c>
      <c r="AW753" s="12">
        <f t="shared" si="168"/>
        <v>19</v>
      </c>
      <c r="AX753" s="12">
        <v>3</v>
      </c>
      <c r="AY753" s="12">
        <v>3</v>
      </c>
      <c r="AZ753" s="12">
        <v>18</v>
      </c>
      <c r="BA753" s="12">
        <f t="shared" si="169"/>
        <v>18</v>
      </c>
      <c r="BB753" s="12">
        <v>7</v>
      </c>
      <c r="BC753" s="12">
        <v>0</v>
      </c>
      <c r="BD753" s="12">
        <f t="shared" si="178"/>
        <v>0</v>
      </c>
      <c r="BE753" s="12">
        <v>13</v>
      </c>
      <c r="BF753" s="12">
        <f t="shared" si="170"/>
        <v>13</v>
      </c>
      <c r="BG753" s="12">
        <f t="shared" si="179"/>
        <v>26</v>
      </c>
      <c r="BH753" s="67">
        <v>0</v>
      </c>
      <c r="BI753" s="67">
        <v>1</v>
      </c>
      <c r="BJ753" s="67">
        <v>0</v>
      </c>
      <c r="BK753" s="67">
        <v>0</v>
      </c>
      <c r="BL753" s="67">
        <v>0</v>
      </c>
      <c r="BM753" s="67">
        <v>0</v>
      </c>
      <c r="BN753" s="67">
        <v>1</v>
      </c>
      <c r="BO753" s="67">
        <v>0</v>
      </c>
      <c r="BP753" s="67">
        <v>0</v>
      </c>
      <c r="BQ753" s="67">
        <v>0</v>
      </c>
      <c r="BR753" s="67">
        <v>13</v>
      </c>
      <c r="BS753" s="67">
        <v>0</v>
      </c>
      <c r="BT753" s="67">
        <v>0</v>
      </c>
      <c r="BU753" s="70">
        <v>19</v>
      </c>
      <c r="BV753" s="29">
        <f t="shared" si="171"/>
        <v>3.3120799468001699E-2</v>
      </c>
      <c r="BW753">
        <f t="shared" si="172"/>
        <v>2.4878172940764407</v>
      </c>
      <c r="BX753">
        <f t="shared" si="173"/>
        <v>0.99224068804813281</v>
      </c>
      <c r="BY753">
        <f t="shared" si="174"/>
        <v>1.794138840739361</v>
      </c>
      <c r="BZ753">
        <f t="shared" si="175"/>
        <v>1.01056543769991</v>
      </c>
      <c r="CA753">
        <f t="shared" si="176"/>
        <v>1.4313799530736149</v>
      </c>
      <c r="CB753">
        <f t="shared" si="177"/>
        <v>0.67891464284095016</v>
      </c>
    </row>
    <row r="754" spans="1:80" x14ac:dyDescent="0.45">
      <c r="A754" s="11">
        <v>36</v>
      </c>
      <c r="B754" s="12">
        <f t="shared" si="165"/>
        <v>36</v>
      </c>
      <c r="C754" s="12" t="s">
        <v>52</v>
      </c>
      <c r="D754" s="12">
        <v>1</v>
      </c>
      <c r="E754" s="12" t="s">
        <v>53</v>
      </c>
      <c r="F754" s="12">
        <v>0</v>
      </c>
      <c r="G754" s="12">
        <v>1</v>
      </c>
      <c r="H754" s="12" t="s">
        <v>61</v>
      </c>
      <c r="I754" s="12">
        <v>1</v>
      </c>
      <c r="J754" s="12">
        <v>0</v>
      </c>
      <c r="K754" s="12">
        <v>16</v>
      </c>
      <c r="L754" s="12">
        <f t="shared" si="166"/>
        <v>16</v>
      </c>
      <c r="M754" s="12">
        <v>4</v>
      </c>
      <c r="N754" s="12" t="s">
        <v>55</v>
      </c>
      <c r="O754" s="12">
        <v>1</v>
      </c>
      <c r="P754" s="12">
        <v>0</v>
      </c>
      <c r="Q754" s="12">
        <v>0</v>
      </c>
      <c r="R754" s="12">
        <v>0</v>
      </c>
      <c r="S754" s="12">
        <v>0</v>
      </c>
      <c r="T754" s="12">
        <v>3</v>
      </c>
      <c r="U754" s="12" t="s">
        <v>19</v>
      </c>
      <c r="V754" s="12">
        <v>1</v>
      </c>
      <c r="W754" s="12">
        <v>43</v>
      </c>
      <c r="X754" s="12">
        <v>4</v>
      </c>
      <c r="Y754" s="12">
        <v>1</v>
      </c>
      <c r="Z754" s="12" t="s">
        <v>67</v>
      </c>
      <c r="AA754" s="12">
        <v>0</v>
      </c>
      <c r="AB754" s="12">
        <v>0</v>
      </c>
      <c r="AC754" s="12">
        <v>1</v>
      </c>
      <c r="AD754" s="12">
        <v>0</v>
      </c>
      <c r="AE754" s="12">
        <v>0</v>
      </c>
      <c r="AF754" s="12">
        <v>0</v>
      </c>
      <c r="AG754" s="12">
        <v>0</v>
      </c>
      <c r="AH754" s="12">
        <v>0</v>
      </c>
      <c r="AI754" s="12">
        <v>1</v>
      </c>
      <c r="AJ754" s="12" t="s">
        <v>57</v>
      </c>
      <c r="AK754" s="12">
        <v>1</v>
      </c>
      <c r="AL754" s="12">
        <v>0</v>
      </c>
      <c r="AM754" s="12">
        <v>2743</v>
      </c>
      <c r="AN754" s="12">
        <f t="shared" si="167"/>
        <v>2743</v>
      </c>
      <c r="AO754" s="12">
        <v>1</v>
      </c>
      <c r="AP754" s="12" t="s">
        <v>59</v>
      </c>
      <c r="AQ754" s="12">
        <v>0</v>
      </c>
      <c r="AR754" s="12">
        <v>16</v>
      </c>
      <c r="AS754" s="12">
        <v>3</v>
      </c>
      <c r="AT754" s="12">
        <v>3</v>
      </c>
      <c r="AU754" s="12">
        <v>0</v>
      </c>
      <c r="AV754" s="12">
        <v>18</v>
      </c>
      <c r="AW754" s="12">
        <f t="shared" si="168"/>
        <v>18</v>
      </c>
      <c r="AX754" s="12">
        <v>1</v>
      </c>
      <c r="AY754" s="12">
        <v>3</v>
      </c>
      <c r="AZ754" s="12">
        <v>17</v>
      </c>
      <c r="BA754" s="12">
        <f t="shared" si="169"/>
        <v>17</v>
      </c>
      <c r="BB754" s="12">
        <v>13</v>
      </c>
      <c r="BC754" s="12">
        <v>15</v>
      </c>
      <c r="BD754" s="12">
        <f t="shared" si="178"/>
        <v>14</v>
      </c>
      <c r="BE754" s="12">
        <v>14</v>
      </c>
      <c r="BF754" s="12">
        <f t="shared" si="170"/>
        <v>14</v>
      </c>
      <c r="BG754" s="12">
        <f t="shared" si="179"/>
        <v>14</v>
      </c>
      <c r="BH754" s="67">
        <v>1</v>
      </c>
      <c r="BI754" s="67">
        <v>0</v>
      </c>
      <c r="BJ754" s="67">
        <v>0</v>
      </c>
      <c r="BK754" s="67">
        <v>0</v>
      </c>
      <c r="BL754" s="67">
        <v>1</v>
      </c>
      <c r="BM754" s="67">
        <v>0</v>
      </c>
      <c r="BN754" s="67">
        <v>0</v>
      </c>
      <c r="BO754" s="67">
        <v>0</v>
      </c>
      <c r="BP754" s="67">
        <v>0</v>
      </c>
      <c r="BQ754" s="67">
        <v>14</v>
      </c>
      <c r="BR754" s="67">
        <v>0</v>
      </c>
      <c r="BS754" s="67">
        <v>0</v>
      </c>
      <c r="BT754" s="67">
        <v>18</v>
      </c>
      <c r="BU754" s="70">
        <v>0</v>
      </c>
      <c r="BV754" s="29">
        <f t="shared" si="171"/>
        <v>0.79863334897540106</v>
      </c>
      <c r="BW754">
        <f t="shared" si="172"/>
        <v>2.7680756604104411</v>
      </c>
      <c r="BX754">
        <f t="shared" si="173"/>
        <v>0.86371889657480871</v>
      </c>
      <c r="BY754">
        <f t="shared" si="174"/>
        <v>1.630914178288138</v>
      </c>
      <c r="BZ754">
        <f t="shared" si="175"/>
        <v>0.83971837042788355</v>
      </c>
      <c r="CA754">
        <f t="shared" si="176"/>
        <v>0.10112443951066327</v>
      </c>
      <c r="CB754">
        <f t="shared" si="177"/>
        <v>3.9759572087271318</v>
      </c>
    </row>
    <row r="755" spans="1:80" x14ac:dyDescent="0.45">
      <c r="A755" s="11">
        <v>39</v>
      </c>
      <c r="B755" s="12">
        <f t="shared" si="165"/>
        <v>39</v>
      </c>
      <c r="C755" s="12" t="s">
        <v>59</v>
      </c>
      <c r="D755" s="12">
        <v>0</v>
      </c>
      <c r="E755" s="12" t="s">
        <v>60</v>
      </c>
      <c r="F755" s="12">
        <v>1</v>
      </c>
      <c r="G755" s="12">
        <v>0</v>
      </c>
      <c r="H755" s="12" t="s">
        <v>61</v>
      </c>
      <c r="I755" s="12">
        <v>1</v>
      </c>
      <c r="J755" s="12">
        <v>0</v>
      </c>
      <c r="K755" s="12">
        <v>22</v>
      </c>
      <c r="L755" s="12">
        <f t="shared" si="166"/>
        <v>22</v>
      </c>
      <c r="M755" s="12">
        <v>3</v>
      </c>
      <c r="N755" s="12" t="s">
        <v>70</v>
      </c>
      <c r="O755" s="12">
        <v>0</v>
      </c>
      <c r="P755" s="12">
        <v>0</v>
      </c>
      <c r="Q755" s="12">
        <v>1</v>
      </c>
      <c r="R755" s="12">
        <v>0</v>
      </c>
      <c r="S755" s="12">
        <v>0</v>
      </c>
      <c r="T755" s="12">
        <v>4</v>
      </c>
      <c r="U755" s="12" t="s">
        <v>19</v>
      </c>
      <c r="V755" s="12">
        <v>1</v>
      </c>
      <c r="W755" s="12">
        <v>82</v>
      </c>
      <c r="X755" s="12">
        <v>3</v>
      </c>
      <c r="Y755" s="12">
        <v>3</v>
      </c>
      <c r="Z755" s="12" t="s">
        <v>83</v>
      </c>
      <c r="AA755" s="12">
        <v>0</v>
      </c>
      <c r="AB755" s="12">
        <v>0</v>
      </c>
      <c r="AC755" s="12">
        <v>0</v>
      </c>
      <c r="AD755" s="12">
        <v>0</v>
      </c>
      <c r="AE755" s="12">
        <v>1</v>
      </c>
      <c r="AF755" s="12">
        <v>1</v>
      </c>
      <c r="AG755" s="12">
        <v>0</v>
      </c>
      <c r="AH755" s="12">
        <v>0</v>
      </c>
      <c r="AI755" s="12">
        <v>1</v>
      </c>
      <c r="AJ755" s="12" t="s">
        <v>57</v>
      </c>
      <c r="AK755" s="12">
        <v>1</v>
      </c>
      <c r="AL755" s="12">
        <v>0</v>
      </c>
      <c r="AM755" s="12">
        <v>10880</v>
      </c>
      <c r="AN755" s="12">
        <f t="shared" si="167"/>
        <v>10880</v>
      </c>
      <c r="AO755" s="12">
        <v>1</v>
      </c>
      <c r="AP755" s="12" t="s">
        <v>52</v>
      </c>
      <c r="AQ755" s="12">
        <v>1</v>
      </c>
      <c r="AR755" s="12">
        <v>13</v>
      </c>
      <c r="AS755" s="12">
        <v>3</v>
      </c>
      <c r="AT755" s="12">
        <v>3</v>
      </c>
      <c r="AU755" s="12">
        <v>0</v>
      </c>
      <c r="AV755" s="12">
        <v>21</v>
      </c>
      <c r="AW755" s="12">
        <f t="shared" si="168"/>
        <v>21</v>
      </c>
      <c r="AX755" s="12">
        <v>2</v>
      </c>
      <c r="AY755" s="12">
        <v>3</v>
      </c>
      <c r="AZ755" s="12">
        <v>21</v>
      </c>
      <c r="BA755" s="12">
        <f t="shared" si="169"/>
        <v>21</v>
      </c>
      <c r="BB755" s="12">
        <v>6</v>
      </c>
      <c r="BC755" s="12">
        <v>2</v>
      </c>
      <c r="BD755" s="12">
        <f t="shared" si="178"/>
        <v>2</v>
      </c>
      <c r="BE755" s="12">
        <v>8</v>
      </c>
      <c r="BF755" s="12">
        <f t="shared" si="170"/>
        <v>8</v>
      </c>
      <c r="BG755" s="12">
        <f t="shared" si="179"/>
        <v>24</v>
      </c>
      <c r="BH755" s="67">
        <v>0</v>
      </c>
      <c r="BI755" s="67">
        <v>0</v>
      </c>
      <c r="BJ755" s="67">
        <v>1</v>
      </c>
      <c r="BK755" s="67">
        <v>0</v>
      </c>
      <c r="BL755" s="67">
        <v>0</v>
      </c>
      <c r="BM755" s="67">
        <v>1</v>
      </c>
      <c r="BN755" s="67">
        <v>0</v>
      </c>
      <c r="BO755" s="67">
        <v>0</v>
      </c>
      <c r="BP755" s="67">
        <v>0</v>
      </c>
      <c r="BQ755" s="67">
        <v>8</v>
      </c>
      <c r="BR755" s="67">
        <v>0</v>
      </c>
      <c r="BS755" s="67">
        <v>0</v>
      </c>
      <c r="BT755" s="67">
        <v>21</v>
      </c>
      <c r="BU755" s="70">
        <v>0</v>
      </c>
      <c r="BV755" s="29">
        <f t="shared" si="171"/>
        <v>0.92971726571430724</v>
      </c>
      <c r="BW755">
        <f t="shared" si="172"/>
        <v>1.08652546240644</v>
      </c>
      <c r="BX755">
        <f t="shared" si="173"/>
        <v>1.2492842709947811</v>
      </c>
      <c r="BY755">
        <f t="shared" si="174"/>
        <v>2.2838128280930299</v>
      </c>
      <c r="BZ755">
        <f t="shared" si="175"/>
        <v>1.579831893679001</v>
      </c>
      <c r="CA755">
        <f t="shared" si="176"/>
        <v>0.22726935890025346</v>
      </c>
      <c r="CB755">
        <f t="shared" si="177"/>
        <v>5.8265062631872602E-2</v>
      </c>
    </row>
    <row r="756" spans="1:80" x14ac:dyDescent="0.45">
      <c r="A756" s="11">
        <v>33</v>
      </c>
      <c r="B756" s="12">
        <f t="shared" si="165"/>
        <v>33</v>
      </c>
      <c r="C756" s="12" t="s">
        <v>59</v>
      </c>
      <c r="D756" s="12">
        <v>0</v>
      </c>
      <c r="E756" s="12" t="s">
        <v>86</v>
      </c>
      <c r="F756" s="12">
        <v>0</v>
      </c>
      <c r="G756" s="12">
        <v>0</v>
      </c>
      <c r="H756" s="12" t="s">
        <v>54</v>
      </c>
      <c r="I756" s="12">
        <v>0</v>
      </c>
      <c r="J756" s="12">
        <v>1</v>
      </c>
      <c r="K756" s="12">
        <v>8</v>
      </c>
      <c r="L756" s="12">
        <f t="shared" si="166"/>
        <v>8</v>
      </c>
      <c r="M756" s="12">
        <v>1</v>
      </c>
      <c r="N756" s="12" t="s">
        <v>55</v>
      </c>
      <c r="O756" s="12">
        <v>1</v>
      </c>
      <c r="P756" s="12">
        <v>0</v>
      </c>
      <c r="Q756" s="12">
        <v>0</v>
      </c>
      <c r="R756" s="12">
        <v>0</v>
      </c>
      <c r="S756" s="12">
        <v>0</v>
      </c>
      <c r="T756" s="12">
        <v>2</v>
      </c>
      <c r="U756" s="12" t="s">
        <v>19</v>
      </c>
      <c r="V756" s="12">
        <v>1</v>
      </c>
      <c r="W756" s="12">
        <v>88</v>
      </c>
      <c r="X756" s="12">
        <v>2</v>
      </c>
      <c r="Y756" s="12">
        <v>1</v>
      </c>
      <c r="Z756" s="12" t="s">
        <v>88</v>
      </c>
      <c r="AA756" s="12">
        <v>0</v>
      </c>
      <c r="AB756" s="12">
        <v>0</v>
      </c>
      <c r="AC756" s="12">
        <v>0</v>
      </c>
      <c r="AD756" s="12">
        <v>0</v>
      </c>
      <c r="AE756" s="12">
        <v>0</v>
      </c>
      <c r="AF756" s="12">
        <v>0</v>
      </c>
      <c r="AG756" s="12">
        <v>1</v>
      </c>
      <c r="AH756" s="12">
        <v>0</v>
      </c>
      <c r="AI756" s="12">
        <v>4</v>
      </c>
      <c r="AJ756" s="12" t="s">
        <v>57</v>
      </c>
      <c r="AK756" s="12">
        <v>1</v>
      </c>
      <c r="AL756" s="12">
        <v>0</v>
      </c>
      <c r="AM756" s="12">
        <v>2342</v>
      </c>
      <c r="AN756" s="12">
        <f t="shared" si="167"/>
        <v>2342</v>
      </c>
      <c r="AO756" s="12">
        <v>0</v>
      </c>
      <c r="AP756" s="12" t="s">
        <v>59</v>
      </c>
      <c r="AQ756" s="12">
        <v>0</v>
      </c>
      <c r="AR756" s="12">
        <v>19</v>
      </c>
      <c r="AS756" s="12">
        <v>3</v>
      </c>
      <c r="AT756" s="12">
        <v>4</v>
      </c>
      <c r="AU756" s="12">
        <v>0</v>
      </c>
      <c r="AV756" s="12">
        <v>3</v>
      </c>
      <c r="AW756" s="12">
        <f t="shared" si="168"/>
        <v>3</v>
      </c>
      <c r="AX756" s="12">
        <v>2</v>
      </c>
      <c r="AY756" s="12">
        <v>2</v>
      </c>
      <c r="AZ756" s="12">
        <v>2</v>
      </c>
      <c r="BA756" s="12">
        <f t="shared" si="169"/>
        <v>2</v>
      </c>
      <c r="BB756" s="12">
        <v>2</v>
      </c>
      <c r="BC756" s="12">
        <v>2</v>
      </c>
      <c r="BD756" s="12">
        <f t="shared" si="178"/>
        <v>2</v>
      </c>
      <c r="BE756" s="12">
        <v>2</v>
      </c>
      <c r="BF756" s="12">
        <f t="shared" si="170"/>
        <v>2</v>
      </c>
      <c r="BG756" s="12">
        <f t="shared" si="179"/>
        <v>2</v>
      </c>
      <c r="BH756" s="67">
        <v>1</v>
      </c>
      <c r="BI756" s="67">
        <v>0</v>
      </c>
      <c r="BJ756" s="67">
        <v>0</v>
      </c>
      <c r="BK756" s="67">
        <v>0</v>
      </c>
      <c r="BL756" s="67">
        <v>1</v>
      </c>
      <c r="BM756" s="67">
        <v>0</v>
      </c>
      <c r="BN756" s="67">
        <v>0</v>
      </c>
      <c r="BO756" s="67">
        <v>0</v>
      </c>
      <c r="BP756" s="67">
        <v>0</v>
      </c>
      <c r="BQ756" s="67">
        <v>0</v>
      </c>
      <c r="BR756" s="67">
        <v>2</v>
      </c>
      <c r="BS756" s="67">
        <v>0</v>
      </c>
      <c r="BT756" s="67">
        <v>0</v>
      </c>
      <c r="BU756" s="70">
        <v>3</v>
      </c>
      <c r="BV756" s="29">
        <f t="shared" si="171"/>
        <v>0.88380830245832764</v>
      </c>
      <c r="BW756">
        <f t="shared" si="172"/>
        <v>0.59502473559756086</v>
      </c>
      <c r="BX756">
        <f t="shared" si="173"/>
        <v>1.0641079755250529</v>
      </c>
      <c r="BY756">
        <f t="shared" si="174"/>
        <v>0.81745575848020657</v>
      </c>
      <c r="BZ756">
        <f t="shared" si="175"/>
        <v>0.14709966057360641</v>
      </c>
      <c r="CA756">
        <f t="shared" si="176"/>
        <v>0.42951823792158</v>
      </c>
      <c r="CB756">
        <f t="shared" si="177"/>
        <v>5.8265062631872602E-2</v>
      </c>
    </row>
    <row r="757" spans="1:80" x14ac:dyDescent="0.45">
      <c r="A757" s="11">
        <v>45</v>
      </c>
      <c r="B757" s="12">
        <f t="shared" si="165"/>
        <v>45</v>
      </c>
      <c r="C757" s="12" t="s">
        <v>59</v>
      </c>
      <c r="D757" s="12">
        <v>0</v>
      </c>
      <c r="E757" s="12" t="s">
        <v>53</v>
      </c>
      <c r="F757" s="12">
        <v>0</v>
      </c>
      <c r="G757" s="12">
        <v>1</v>
      </c>
      <c r="H757" s="12" t="s">
        <v>54</v>
      </c>
      <c r="I757" s="12">
        <v>0</v>
      </c>
      <c r="J757" s="12">
        <v>1</v>
      </c>
      <c r="K757" s="12">
        <v>11</v>
      </c>
      <c r="L757" s="12">
        <f t="shared" si="166"/>
        <v>11</v>
      </c>
      <c r="M757" s="12">
        <v>2</v>
      </c>
      <c r="N757" s="12" t="s">
        <v>55</v>
      </c>
      <c r="O757" s="12">
        <v>1</v>
      </c>
      <c r="P757" s="12">
        <v>0</v>
      </c>
      <c r="Q757" s="12">
        <v>0</v>
      </c>
      <c r="R757" s="12">
        <v>0</v>
      </c>
      <c r="S757" s="12">
        <v>0</v>
      </c>
      <c r="T757" s="12">
        <v>4</v>
      </c>
      <c r="U757" s="12" t="s">
        <v>19</v>
      </c>
      <c r="V757" s="12">
        <v>1</v>
      </c>
      <c r="W757" s="12">
        <v>90</v>
      </c>
      <c r="X757" s="12">
        <v>3</v>
      </c>
      <c r="Y757" s="12">
        <v>4</v>
      </c>
      <c r="Z757" s="12" t="s">
        <v>87</v>
      </c>
      <c r="AA757" s="12">
        <v>0</v>
      </c>
      <c r="AB757" s="12">
        <v>0</v>
      </c>
      <c r="AC757" s="12">
        <v>0</v>
      </c>
      <c r="AD757" s="12">
        <v>1</v>
      </c>
      <c r="AE757" s="12">
        <v>0</v>
      </c>
      <c r="AF757" s="12">
        <v>0</v>
      </c>
      <c r="AG757" s="12">
        <v>0</v>
      </c>
      <c r="AH757" s="12">
        <v>0</v>
      </c>
      <c r="AI757" s="12">
        <v>4</v>
      </c>
      <c r="AJ757" s="12" t="s">
        <v>64</v>
      </c>
      <c r="AK757" s="12">
        <v>0</v>
      </c>
      <c r="AL757" s="12">
        <v>1</v>
      </c>
      <c r="AM757" s="12">
        <v>17650</v>
      </c>
      <c r="AN757" s="12">
        <f t="shared" si="167"/>
        <v>17650</v>
      </c>
      <c r="AO757" s="12">
        <v>3</v>
      </c>
      <c r="AP757" s="12" t="s">
        <v>59</v>
      </c>
      <c r="AQ757" s="12">
        <v>0</v>
      </c>
      <c r="AR757" s="12">
        <v>13</v>
      </c>
      <c r="AS757" s="12">
        <v>3</v>
      </c>
      <c r="AT757" s="12">
        <v>2</v>
      </c>
      <c r="AU757" s="12">
        <v>1</v>
      </c>
      <c r="AV757" s="12">
        <v>26</v>
      </c>
      <c r="AW757" s="12">
        <f t="shared" si="168"/>
        <v>26</v>
      </c>
      <c r="AX757" s="12">
        <v>4</v>
      </c>
      <c r="AY757" s="12">
        <v>4</v>
      </c>
      <c r="AZ757" s="12">
        <v>9</v>
      </c>
      <c r="BA757" s="12">
        <f t="shared" si="169"/>
        <v>9</v>
      </c>
      <c r="BB757" s="12">
        <v>3</v>
      </c>
      <c r="BC757" s="12">
        <v>1</v>
      </c>
      <c r="BD757" s="12">
        <f t="shared" si="178"/>
        <v>1</v>
      </c>
      <c r="BE757" s="12">
        <v>1</v>
      </c>
      <c r="BF757" s="12">
        <f t="shared" si="170"/>
        <v>1</v>
      </c>
      <c r="BG757" s="12">
        <f t="shared" si="179"/>
        <v>4</v>
      </c>
      <c r="BH757" s="67">
        <v>0</v>
      </c>
      <c r="BI757" s="67">
        <v>1</v>
      </c>
      <c r="BJ757" s="67">
        <v>0</v>
      </c>
      <c r="BK757" s="67">
        <v>0</v>
      </c>
      <c r="BL757" s="67">
        <v>0</v>
      </c>
      <c r="BM757" s="67">
        <v>0</v>
      </c>
      <c r="BN757" s="67">
        <v>1</v>
      </c>
      <c r="BO757" s="67">
        <v>0</v>
      </c>
      <c r="BP757" s="67">
        <v>0</v>
      </c>
      <c r="BQ757" s="67">
        <v>0</v>
      </c>
      <c r="BR757" s="67">
        <v>1</v>
      </c>
      <c r="BS757" s="67">
        <v>0</v>
      </c>
      <c r="BT757" s="67">
        <v>0</v>
      </c>
      <c r="BU757" s="70">
        <v>26</v>
      </c>
      <c r="BV757" s="29">
        <f t="shared" si="171"/>
        <v>2.3677083756380291</v>
      </c>
      <c r="BW757">
        <f t="shared" si="172"/>
        <v>0.87528310193156111</v>
      </c>
      <c r="BX757">
        <f t="shared" si="173"/>
        <v>1.8918932283614016</v>
      </c>
      <c r="BY757">
        <f t="shared" si="174"/>
        <v>0.32511687867835437</v>
      </c>
      <c r="BZ757">
        <f t="shared" si="175"/>
        <v>0.22295710105195232</v>
      </c>
      <c r="CA757">
        <f t="shared" si="176"/>
        <v>0.88405695572208698</v>
      </c>
      <c r="CB757">
        <f t="shared" si="177"/>
        <v>0.36858985273641137</v>
      </c>
    </row>
    <row r="758" spans="1:80" x14ac:dyDescent="0.45">
      <c r="A758" s="11">
        <v>32</v>
      </c>
      <c r="B758" s="12">
        <f t="shared" si="165"/>
        <v>32</v>
      </c>
      <c r="C758" s="12" t="s">
        <v>59</v>
      </c>
      <c r="D758" s="12">
        <v>0</v>
      </c>
      <c r="E758" s="12" t="s">
        <v>86</v>
      </c>
      <c r="F758" s="12">
        <v>0</v>
      </c>
      <c r="G758" s="12">
        <v>0</v>
      </c>
      <c r="H758" s="12" t="s">
        <v>61</v>
      </c>
      <c r="I758" s="12">
        <v>1</v>
      </c>
      <c r="J758" s="12">
        <v>0</v>
      </c>
      <c r="K758" s="12">
        <v>29</v>
      </c>
      <c r="L758" s="12">
        <f t="shared" si="166"/>
        <v>29</v>
      </c>
      <c r="M758" s="12">
        <v>4</v>
      </c>
      <c r="N758" s="12" t="s">
        <v>70</v>
      </c>
      <c r="O758" s="12">
        <v>0</v>
      </c>
      <c r="P758" s="12">
        <v>0</v>
      </c>
      <c r="Q758" s="12">
        <v>1</v>
      </c>
      <c r="R758" s="12">
        <v>0</v>
      </c>
      <c r="S758" s="12">
        <v>0</v>
      </c>
      <c r="T758" s="12">
        <v>4</v>
      </c>
      <c r="U758" s="12" t="s">
        <v>19</v>
      </c>
      <c r="V758" s="12">
        <v>1</v>
      </c>
      <c r="W758" s="12">
        <v>69</v>
      </c>
      <c r="X758" s="12">
        <v>3</v>
      </c>
      <c r="Y758" s="12">
        <v>1</v>
      </c>
      <c r="Z758" s="12" t="s">
        <v>67</v>
      </c>
      <c r="AA758" s="12">
        <v>0</v>
      </c>
      <c r="AB758" s="12">
        <v>0</v>
      </c>
      <c r="AC758" s="12">
        <v>1</v>
      </c>
      <c r="AD758" s="12">
        <v>0</v>
      </c>
      <c r="AE758" s="12">
        <v>0</v>
      </c>
      <c r="AF758" s="12">
        <v>0</v>
      </c>
      <c r="AG758" s="12">
        <v>0</v>
      </c>
      <c r="AH758" s="12">
        <v>0</v>
      </c>
      <c r="AI758" s="12">
        <v>3</v>
      </c>
      <c r="AJ758" s="12" t="s">
        <v>57</v>
      </c>
      <c r="AK758" s="12">
        <v>1</v>
      </c>
      <c r="AL758" s="12">
        <v>0</v>
      </c>
      <c r="AM758" s="12">
        <v>4025</v>
      </c>
      <c r="AN758" s="12">
        <f t="shared" si="167"/>
        <v>4025</v>
      </c>
      <c r="AO758" s="12">
        <v>9</v>
      </c>
      <c r="AP758" s="12" t="s">
        <v>59</v>
      </c>
      <c r="AQ758" s="12">
        <v>0</v>
      </c>
      <c r="AR758" s="12">
        <v>12</v>
      </c>
      <c r="AS758" s="12">
        <v>3</v>
      </c>
      <c r="AT758" s="12">
        <v>2</v>
      </c>
      <c r="AU758" s="12">
        <v>0</v>
      </c>
      <c r="AV758" s="12">
        <v>10</v>
      </c>
      <c r="AW758" s="12">
        <f t="shared" si="168"/>
        <v>10</v>
      </c>
      <c r="AX758" s="12">
        <v>2</v>
      </c>
      <c r="AY758" s="12">
        <v>3</v>
      </c>
      <c r="AZ758" s="12">
        <v>8</v>
      </c>
      <c r="BA758" s="12">
        <f t="shared" si="169"/>
        <v>8</v>
      </c>
      <c r="BB758" s="12">
        <v>7</v>
      </c>
      <c r="BC758" s="12">
        <v>7</v>
      </c>
      <c r="BD758" s="12">
        <f t="shared" si="178"/>
        <v>7</v>
      </c>
      <c r="BE758" s="12">
        <v>7</v>
      </c>
      <c r="BF758" s="12">
        <f t="shared" si="170"/>
        <v>7</v>
      </c>
      <c r="BG758" s="12">
        <f t="shared" si="179"/>
        <v>7</v>
      </c>
      <c r="BH758" s="67">
        <v>1</v>
      </c>
      <c r="BI758" s="67">
        <v>0</v>
      </c>
      <c r="BJ758" s="67">
        <v>0</v>
      </c>
      <c r="BK758" s="67">
        <v>0</v>
      </c>
      <c r="BL758" s="67">
        <v>1</v>
      </c>
      <c r="BM758" s="67">
        <v>0</v>
      </c>
      <c r="BN758" s="67">
        <v>0</v>
      </c>
      <c r="BO758" s="67">
        <v>0</v>
      </c>
      <c r="BP758" s="67">
        <v>0</v>
      </c>
      <c r="BQ758" s="67">
        <v>7</v>
      </c>
      <c r="BR758" s="67">
        <v>0</v>
      </c>
      <c r="BS758" s="67">
        <v>0</v>
      </c>
      <c r="BT758" s="67">
        <v>10</v>
      </c>
      <c r="BU758" s="70">
        <v>0</v>
      </c>
      <c r="BV758" s="29">
        <f t="shared" si="171"/>
        <v>0.52632838547138172</v>
      </c>
      <c r="BW758">
        <f t="shared" si="172"/>
        <v>0.80626709607243985</v>
      </c>
      <c r="BX758">
        <f t="shared" si="173"/>
        <v>0.1644554352117841</v>
      </c>
      <c r="BY758">
        <f t="shared" si="174"/>
        <v>0.16189221622713135</v>
      </c>
      <c r="BZ758">
        <f t="shared" si="175"/>
        <v>2.4432976708053049</v>
      </c>
      <c r="CA758">
        <f t="shared" si="176"/>
        <v>0.53898283739188557</v>
      </c>
      <c r="CB758">
        <f t="shared" si="177"/>
        <v>1.4933588878908215</v>
      </c>
    </row>
    <row r="759" spans="1:80" x14ac:dyDescent="0.45">
      <c r="A759" s="11">
        <v>34</v>
      </c>
      <c r="B759" s="12">
        <f t="shared" si="165"/>
        <v>34</v>
      </c>
      <c r="C759" s="12" t="s">
        <v>59</v>
      </c>
      <c r="D759" s="12">
        <v>0</v>
      </c>
      <c r="E759" s="12" t="s">
        <v>53</v>
      </c>
      <c r="F759" s="12">
        <v>0</v>
      </c>
      <c r="G759" s="12">
        <v>1</v>
      </c>
      <c r="H759" s="12" t="s">
        <v>54</v>
      </c>
      <c r="I759" s="12">
        <v>0</v>
      </c>
      <c r="J759" s="12">
        <v>1</v>
      </c>
      <c r="K759" s="12">
        <v>1</v>
      </c>
      <c r="L759" s="12">
        <f t="shared" si="166"/>
        <v>1</v>
      </c>
      <c r="M759" s="12">
        <v>4</v>
      </c>
      <c r="N759" s="12" t="s">
        <v>90</v>
      </c>
      <c r="O759" s="12">
        <v>0</v>
      </c>
      <c r="P759" s="12">
        <v>0</v>
      </c>
      <c r="Q759" s="12">
        <v>0</v>
      </c>
      <c r="R759" s="12">
        <v>1</v>
      </c>
      <c r="S759" s="12">
        <v>0</v>
      </c>
      <c r="T759" s="12">
        <v>2</v>
      </c>
      <c r="U759" s="12" t="s">
        <v>62</v>
      </c>
      <c r="V759" s="12">
        <v>0</v>
      </c>
      <c r="W759" s="12">
        <v>75</v>
      </c>
      <c r="X759" s="12">
        <v>4</v>
      </c>
      <c r="Y759" s="12">
        <v>2</v>
      </c>
      <c r="Z759" s="12" t="s">
        <v>56</v>
      </c>
      <c r="AA759" s="12">
        <v>0</v>
      </c>
      <c r="AB759" s="12">
        <v>1</v>
      </c>
      <c r="AC759" s="12">
        <v>0</v>
      </c>
      <c r="AD759" s="12">
        <v>0</v>
      </c>
      <c r="AE759" s="12">
        <v>0</v>
      </c>
      <c r="AF759" s="12">
        <v>0</v>
      </c>
      <c r="AG759" s="12">
        <v>0</v>
      </c>
      <c r="AH759" s="12">
        <v>0</v>
      </c>
      <c r="AI759" s="12">
        <v>4</v>
      </c>
      <c r="AJ759" s="12" t="s">
        <v>78</v>
      </c>
      <c r="AK759" s="12">
        <v>0</v>
      </c>
      <c r="AL759" s="12">
        <v>0</v>
      </c>
      <c r="AM759" s="12">
        <v>9725</v>
      </c>
      <c r="AN759" s="12">
        <f t="shared" si="167"/>
        <v>9725</v>
      </c>
      <c r="AO759" s="12">
        <v>0</v>
      </c>
      <c r="AP759" s="12" t="s">
        <v>59</v>
      </c>
      <c r="AQ759" s="12">
        <v>0</v>
      </c>
      <c r="AR759" s="12">
        <v>11</v>
      </c>
      <c r="AS759" s="12">
        <v>3</v>
      </c>
      <c r="AT759" s="12">
        <v>4</v>
      </c>
      <c r="AU759" s="12">
        <v>1</v>
      </c>
      <c r="AV759" s="12">
        <v>16</v>
      </c>
      <c r="AW759" s="12">
        <f t="shared" si="168"/>
        <v>16</v>
      </c>
      <c r="AX759" s="12">
        <v>2</v>
      </c>
      <c r="AY759" s="12">
        <v>2</v>
      </c>
      <c r="AZ759" s="12">
        <v>15</v>
      </c>
      <c r="BA759" s="12">
        <f t="shared" si="169"/>
        <v>15</v>
      </c>
      <c r="BB759" s="12">
        <v>1</v>
      </c>
      <c r="BC759" s="12">
        <v>0</v>
      </c>
      <c r="BD759" s="12">
        <f t="shared" si="178"/>
        <v>0</v>
      </c>
      <c r="BE759" s="12">
        <v>9</v>
      </c>
      <c r="BF759" s="12">
        <f t="shared" si="170"/>
        <v>9</v>
      </c>
      <c r="BG759" s="12">
        <f t="shared" si="179"/>
        <v>18</v>
      </c>
      <c r="BH759" s="67">
        <v>1</v>
      </c>
      <c r="BI759" s="67">
        <v>0</v>
      </c>
      <c r="BJ759" s="67">
        <v>0</v>
      </c>
      <c r="BK759" s="67">
        <v>0</v>
      </c>
      <c r="BL759" s="67">
        <v>1</v>
      </c>
      <c r="BM759" s="67">
        <v>0</v>
      </c>
      <c r="BN759" s="67">
        <v>0</v>
      </c>
      <c r="BO759" s="67">
        <v>0</v>
      </c>
      <c r="BP759" s="67">
        <v>0</v>
      </c>
      <c r="BQ759" s="67">
        <v>0</v>
      </c>
      <c r="BR759" s="67">
        <v>9</v>
      </c>
      <c r="BS759" s="67">
        <v>0</v>
      </c>
      <c r="BT759" s="67">
        <v>0</v>
      </c>
      <c r="BU759" s="70">
        <v>16</v>
      </c>
      <c r="BV759" s="29">
        <f t="shared" si="171"/>
        <v>0.68438791091934437</v>
      </c>
      <c r="BW759">
        <f t="shared" si="172"/>
        <v>1.3667838287404401</v>
      </c>
      <c r="BX759">
        <f t="shared" si="173"/>
        <v>0.60667531362816052</v>
      </c>
      <c r="BY759">
        <f t="shared" si="174"/>
        <v>1.3044648533856922</v>
      </c>
      <c r="BZ759">
        <f t="shared" si="175"/>
        <v>1.01056543769991</v>
      </c>
      <c r="CA759">
        <f t="shared" si="176"/>
        <v>0.32005363845127444</v>
      </c>
      <c r="CB759">
        <f t="shared" si="177"/>
        <v>0.67891464284095016</v>
      </c>
    </row>
    <row r="760" spans="1:80" x14ac:dyDescent="0.45">
      <c r="A760" s="11">
        <v>59</v>
      </c>
      <c r="B760" s="12">
        <f t="shared" si="165"/>
        <v>58.309999999999945</v>
      </c>
      <c r="C760" s="12" t="s">
        <v>59</v>
      </c>
      <c r="D760" s="12">
        <v>0</v>
      </c>
      <c r="E760" s="12" t="s">
        <v>53</v>
      </c>
      <c r="F760" s="12">
        <v>0</v>
      </c>
      <c r="G760" s="12">
        <v>1</v>
      </c>
      <c r="H760" s="12" t="s">
        <v>54</v>
      </c>
      <c r="I760" s="12">
        <v>0</v>
      </c>
      <c r="J760" s="12">
        <v>1</v>
      </c>
      <c r="K760" s="12">
        <v>1</v>
      </c>
      <c r="L760" s="12">
        <f t="shared" si="166"/>
        <v>1</v>
      </c>
      <c r="M760" s="12">
        <v>2</v>
      </c>
      <c r="N760" s="12" t="s">
        <v>91</v>
      </c>
      <c r="O760" s="12">
        <v>0</v>
      </c>
      <c r="P760" s="12">
        <v>0</v>
      </c>
      <c r="Q760" s="12">
        <v>0</v>
      </c>
      <c r="R760" s="12">
        <v>0</v>
      </c>
      <c r="S760" s="12">
        <v>1</v>
      </c>
      <c r="T760" s="12">
        <v>2</v>
      </c>
      <c r="U760" s="12" t="s">
        <v>62</v>
      </c>
      <c r="V760" s="12">
        <v>0</v>
      </c>
      <c r="W760" s="12">
        <v>66</v>
      </c>
      <c r="X760" s="12">
        <v>3</v>
      </c>
      <c r="Y760" s="12">
        <v>3</v>
      </c>
      <c r="Z760" s="12" t="s">
        <v>87</v>
      </c>
      <c r="AA760" s="12">
        <v>0</v>
      </c>
      <c r="AB760" s="12">
        <v>0</v>
      </c>
      <c r="AC760" s="12">
        <v>0</v>
      </c>
      <c r="AD760" s="12">
        <v>1</v>
      </c>
      <c r="AE760" s="12">
        <v>0</v>
      </c>
      <c r="AF760" s="12">
        <v>0</v>
      </c>
      <c r="AG760" s="12">
        <v>0</v>
      </c>
      <c r="AH760" s="12">
        <v>0</v>
      </c>
      <c r="AI760" s="12">
        <v>4</v>
      </c>
      <c r="AJ760" s="12" t="s">
        <v>64</v>
      </c>
      <c r="AK760" s="12">
        <v>0</v>
      </c>
      <c r="AL760" s="12">
        <v>1</v>
      </c>
      <c r="AM760" s="12">
        <v>11904</v>
      </c>
      <c r="AN760" s="12">
        <f t="shared" si="167"/>
        <v>11904</v>
      </c>
      <c r="AO760" s="12">
        <v>3</v>
      </c>
      <c r="AP760" s="12" t="s">
        <v>52</v>
      </c>
      <c r="AQ760" s="12">
        <v>1</v>
      </c>
      <c r="AR760" s="12">
        <v>14</v>
      </c>
      <c r="AS760" s="12">
        <v>3</v>
      </c>
      <c r="AT760" s="12">
        <v>3</v>
      </c>
      <c r="AU760" s="12">
        <v>1</v>
      </c>
      <c r="AV760" s="12">
        <v>14</v>
      </c>
      <c r="AW760" s="12">
        <f t="shared" si="168"/>
        <v>14</v>
      </c>
      <c r="AX760" s="12">
        <v>1</v>
      </c>
      <c r="AY760" s="12">
        <v>1</v>
      </c>
      <c r="AZ760" s="12">
        <v>6</v>
      </c>
      <c r="BA760" s="12">
        <f t="shared" si="169"/>
        <v>6</v>
      </c>
      <c r="BB760" s="12">
        <v>4</v>
      </c>
      <c r="BC760" s="12">
        <v>0</v>
      </c>
      <c r="BD760" s="12">
        <f t="shared" si="178"/>
        <v>0</v>
      </c>
      <c r="BE760" s="12">
        <v>4</v>
      </c>
      <c r="BF760" s="12">
        <f t="shared" si="170"/>
        <v>4</v>
      </c>
      <c r="BG760" s="12">
        <f t="shared" si="179"/>
        <v>12</v>
      </c>
      <c r="BH760" s="67">
        <v>0</v>
      </c>
      <c r="BI760" s="67">
        <v>1</v>
      </c>
      <c r="BJ760" s="67">
        <v>0</v>
      </c>
      <c r="BK760" s="67">
        <v>0</v>
      </c>
      <c r="BL760" s="67">
        <v>0</v>
      </c>
      <c r="BM760" s="67">
        <v>0</v>
      </c>
      <c r="BN760" s="67">
        <v>0</v>
      </c>
      <c r="BO760" s="67">
        <v>1</v>
      </c>
      <c r="BP760" s="67">
        <v>0</v>
      </c>
      <c r="BQ760" s="67">
        <v>0</v>
      </c>
      <c r="BR760" s="67">
        <v>4</v>
      </c>
      <c r="BS760" s="67">
        <v>0</v>
      </c>
      <c r="BT760" s="67">
        <v>0</v>
      </c>
      <c r="BU760" s="70">
        <v>14</v>
      </c>
      <c r="BV760" s="29">
        <f t="shared" si="171"/>
        <v>1.1472213863290623</v>
      </c>
      <c r="BW760">
        <f t="shared" si="172"/>
        <v>3.4508002929560584E-2</v>
      </c>
      <c r="BX760">
        <f t="shared" si="173"/>
        <v>0.34963173068151232</v>
      </c>
      <c r="BY760">
        <f t="shared" si="174"/>
        <v>0.16455710867531462</v>
      </c>
      <c r="BZ760">
        <f t="shared" si="175"/>
        <v>1.01056543769991</v>
      </c>
      <c r="CA760">
        <f t="shared" si="176"/>
        <v>2.4165613483063648</v>
      </c>
      <c r="CB760">
        <f t="shared" si="177"/>
        <v>0.67891464284095016</v>
      </c>
    </row>
    <row r="761" spans="1:80" x14ac:dyDescent="0.45">
      <c r="A761" s="11">
        <v>45</v>
      </c>
      <c r="B761" s="12">
        <f t="shared" si="165"/>
        <v>45</v>
      </c>
      <c r="C761" s="12" t="s">
        <v>59</v>
      </c>
      <c r="D761" s="12">
        <v>0</v>
      </c>
      <c r="E761" s="12" t="s">
        <v>53</v>
      </c>
      <c r="F761" s="12">
        <v>0</v>
      </c>
      <c r="G761" s="12">
        <v>1</v>
      </c>
      <c r="H761" s="12" t="s">
        <v>97</v>
      </c>
      <c r="I761" s="12">
        <v>0</v>
      </c>
      <c r="J761" s="12">
        <v>0</v>
      </c>
      <c r="K761" s="12">
        <v>24</v>
      </c>
      <c r="L761" s="12">
        <f t="shared" si="166"/>
        <v>24</v>
      </c>
      <c r="M761" s="12">
        <v>4</v>
      </c>
      <c r="N761" s="12" t="s">
        <v>70</v>
      </c>
      <c r="O761" s="12">
        <v>0</v>
      </c>
      <c r="P761" s="12">
        <v>0</v>
      </c>
      <c r="Q761" s="12">
        <v>1</v>
      </c>
      <c r="R761" s="12">
        <v>0</v>
      </c>
      <c r="S761" s="12">
        <v>0</v>
      </c>
      <c r="T761" s="12">
        <v>2</v>
      </c>
      <c r="U761" s="12" t="s">
        <v>62</v>
      </c>
      <c r="V761" s="12">
        <v>0</v>
      </c>
      <c r="W761" s="12">
        <v>36</v>
      </c>
      <c r="X761" s="12">
        <v>3</v>
      </c>
      <c r="Y761" s="12">
        <v>1</v>
      </c>
      <c r="Z761" s="12" t="s">
        <v>97</v>
      </c>
      <c r="AA761" s="12">
        <v>0</v>
      </c>
      <c r="AB761" s="12">
        <v>0</v>
      </c>
      <c r="AC761" s="12">
        <v>0</v>
      </c>
      <c r="AD761" s="12">
        <v>0</v>
      </c>
      <c r="AE761" s="12">
        <v>0</v>
      </c>
      <c r="AF761" s="12">
        <v>0</v>
      </c>
      <c r="AG761" s="12">
        <v>0</v>
      </c>
      <c r="AH761" s="12">
        <v>0</v>
      </c>
      <c r="AI761" s="12">
        <v>2</v>
      </c>
      <c r="AJ761" s="12" t="s">
        <v>57</v>
      </c>
      <c r="AK761" s="12">
        <v>1</v>
      </c>
      <c r="AL761" s="12">
        <v>0</v>
      </c>
      <c r="AM761" s="12">
        <v>2177</v>
      </c>
      <c r="AN761" s="12">
        <f t="shared" si="167"/>
        <v>2177</v>
      </c>
      <c r="AO761" s="12">
        <v>1</v>
      </c>
      <c r="AP761" s="12" t="s">
        <v>59</v>
      </c>
      <c r="AQ761" s="12">
        <v>0</v>
      </c>
      <c r="AR761" s="12">
        <v>16</v>
      </c>
      <c r="AS761" s="12">
        <v>3</v>
      </c>
      <c r="AT761" s="12">
        <v>1</v>
      </c>
      <c r="AU761" s="12">
        <v>0</v>
      </c>
      <c r="AV761" s="12">
        <v>6</v>
      </c>
      <c r="AW761" s="12">
        <f t="shared" si="168"/>
        <v>6</v>
      </c>
      <c r="AX761" s="12">
        <v>3</v>
      </c>
      <c r="AY761" s="12">
        <v>3</v>
      </c>
      <c r="AZ761" s="12">
        <v>6</v>
      </c>
      <c r="BA761" s="12">
        <f t="shared" si="169"/>
        <v>6</v>
      </c>
      <c r="BB761" s="12">
        <v>3</v>
      </c>
      <c r="BC761" s="12">
        <v>0</v>
      </c>
      <c r="BD761" s="12">
        <f t="shared" si="178"/>
        <v>0</v>
      </c>
      <c r="BE761" s="12">
        <v>4</v>
      </c>
      <c r="BF761" s="12">
        <f t="shared" si="170"/>
        <v>4</v>
      </c>
      <c r="BG761" s="12">
        <f t="shared" si="179"/>
        <v>4</v>
      </c>
      <c r="BH761" s="67">
        <v>1</v>
      </c>
      <c r="BI761" s="67">
        <v>0</v>
      </c>
      <c r="BJ761" s="67">
        <v>0</v>
      </c>
      <c r="BK761" s="67">
        <v>0</v>
      </c>
      <c r="BL761" s="67">
        <v>1</v>
      </c>
      <c r="BM761" s="67">
        <v>0</v>
      </c>
      <c r="BN761" s="67">
        <v>0</v>
      </c>
      <c r="BO761" s="67">
        <v>0</v>
      </c>
      <c r="BP761" s="67">
        <v>4</v>
      </c>
      <c r="BQ761" s="67">
        <v>0</v>
      </c>
      <c r="BR761" s="67">
        <v>0</v>
      </c>
      <c r="BS761" s="67">
        <v>6</v>
      </c>
      <c r="BT761" s="67">
        <v>0</v>
      </c>
      <c r="BU761" s="70">
        <v>0</v>
      </c>
      <c r="BV761" s="29">
        <f t="shared" si="171"/>
        <v>0.91885535314332234</v>
      </c>
      <c r="BW761">
        <f t="shared" si="172"/>
        <v>3.4508002929560584E-2</v>
      </c>
      <c r="BX761">
        <f t="shared" si="173"/>
        <v>0.67854260110508058</v>
      </c>
      <c r="BY761">
        <f t="shared" si="174"/>
        <v>0.16455710867531462</v>
      </c>
      <c r="BZ761">
        <f t="shared" si="175"/>
        <v>1.8265364014293735</v>
      </c>
      <c r="CA761">
        <f t="shared" si="176"/>
        <v>0.88405695572208698</v>
      </c>
      <c r="CB761">
        <f t="shared" si="177"/>
        <v>0.67891464284095016</v>
      </c>
    </row>
    <row r="762" spans="1:80" x14ac:dyDescent="0.45">
      <c r="A762" s="11">
        <v>53</v>
      </c>
      <c r="B762" s="12">
        <f t="shared" si="165"/>
        <v>53</v>
      </c>
      <c r="C762" s="12" t="s">
        <v>59</v>
      </c>
      <c r="D762" s="12">
        <v>0</v>
      </c>
      <c r="E762" s="12" t="s">
        <v>60</v>
      </c>
      <c r="F762" s="12">
        <v>1</v>
      </c>
      <c r="G762" s="12">
        <v>0</v>
      </c>
      <c r="H762" s="12" t="s">
        <v>54</v>
      </c>
      <c r="I762" s="12">
        <v>0</v>
      </c>
      <c r="J762" s="12">
        <v>1</v>
      </c>
      <c r="K762" s="12">
        <v>2</v>
      </c>
      <c r="L762" s="12">
        <f t="shared" si="166"/>
        <v>2</v>
      </c>
      <c r="M762" s="12">
        <v>3</v>
      </c>
      <c r="N762" s="12" t="s">
        <v>90</v>
      </c>
      <c r="O762" s="12">
        <v>0</v>
      </c>
      <c r="P762" s="12">
        <v>0</v>
      </c>
      <c r="Q762" s="12">
        <v>0</v>
      </c>
      <c r="R762" s="12">
        <v>1</v>
      </c>
      <c r="S762" s="12">
        <v>0</v>
      </c>
      <c r="T762" s="12">
        <v>3</v>
      </c>
      <c r="U762" s="12" t="s">
        <v>19</v>
      </c>
      <c r="V762" s="12">
        <v>1</v>
      </c>
      <c r="W762" s="12">
        <v>38</v>
      </c>
      <c r="X762" s="12">
        <v>2</v>
      </c>
      <c r="Y762" s="12">
        <v>3</v>
      </c>
      <c r="Z762" s="12" t="s">
        <v>56</v>
      </c>
      <c r="AA762" s="12">
        <v>0</v>
      </c>
      <c r="AB762" s="12">
        <v>1</v>
      </c>
      <c r="AC762" s="12">
        <v>0</v>
      </c>
      <c r="AD762" s="12">
        <v>0</v>
      </c>
      <c r="AE762" s="12">
        <v>0</v>
      </c>
      <c r="AF762" s="12">
        <v>0</v>
      </c>
      <c r="AG762" s="12">
        <v>0</v>
      </c>
      <c r="AH762" s="12">
        <v>0</v>
      </c>
      <c r="AI762" s="12">
        <v>2</v>
      </c>
      <c r="AJ762" s="12" t="s">
        <v>64</v>
      </c>
      <c r="AK762" s="12">
        <v>0</v>
      </c>
      <c r="AL762" s="12">
        <v>1</v>
      </c>
      <c r="AM762" s="12">
        <v>7525</v>
      </c>
      <c r="AN762" s="12">
        <f t="shared" si="167"/>
        <v>7525</v>
      </c>
      <c r="AO762" s="12">
        <v>2</v>
      </c>
      <c r="AP762" s="12" t="s">
        <v>59</v>
      </c>
      <c r="AQ762" s="12">
        <v>0</v>
      </c>
      <c r="AR762" s="12">
        <v>12</v>
      </c>
      <c r="AS762" s="12">
        <v>3</v>
      </c>
      <c r="AT762" s="12">
        <v>1</v>
      </c>
      <c r="AU762" s="12">
        <v>1</v>
      </c>
      <c r="AV762" s="12">
        <v>30</v>
      </c>
      <c r="AW762" s="12">
        <f t="shared" si="168"/>
        <v>30</v>
      </c>
      <c r="AX762" s="12">
        <v>2</v>
      </c>
      <c r="AY762" s="12">
        <v>3</v>
      </c>
      <c r="AZ762" s="12">
        <v>15</v>
      </c>
      <c r="BA762" s="12">
        <f t="shared" si="169"/>
        <v>15</v>
      </c>
      <c r="BB762" s="12">
        <v>7</v>
      </c>
      <c r="BC762" s="12">
        <v>6</v>
      </c>
      <c r="BD762" s="12">
        <f t="shared" si="178"/>
        <v>6</v>
      </c>
      <c r="BE762" s="12">
        <v>12</v>
      </c>
      <c r="BF762" s="12">
        <f t="shared" si="170"/>
        <v>12</v>
      </c>
      <c r="BG762" s="12">
        <f t="shared" si="179"/>
        <v>36</v>
      </c>
      <c r="BH762" s="67">
        <v>0</v>
      </c>
      <c r="BI762" s="67">
        <v>0</v>
      </c>
      <c r="BJ762" s="67">
        <v>0</v>
      </c>
      <c r="BK762" s="67">
        <v>1</v>
      </c>
      <c r="BL762" s="67">
        <v>0</v>
      </c>
      <c r="BM762" s="67">
        <v>0</v>
      </c>
      <c r="BN762" s="67">
        <v>1</v>
      </c>
      <c r="BO762" s="67">
        <v>0</v>
      </c>
      <c r="BP762" s="67">
        <v>0</v>
      </c>
      <c r="BQ762" s="67">
        <v>0</v>
      </c>
      <c r="BR762" s="67">
        <v>12</v>
      </c>
      <c r="BS762" s="67">
        <v>0</v>
      </c>
      <c r="BT762" s="67">
        <v>0</v>
      </c>
      <c r="BU762" s="70">
        <v>30</v>
      </c>
      <c r="BV762" s="29">
        <f t="shared" si="171"/>
        <v>0.21709390178608168</v>
      </c>
      <c r="BW762">
        <f t="shared" si="172"/>
        <v>2.2075589277424408</v>
      </c>
      <c r="BX762">
        <f t="shared" si="173"/>
        <v>2.4059803942546978</v>
      </c>
      <c r="BY762">
        <f t="shared" si="174"/>
        <v>1.3044648533856922</v>
      </c>
      <c r="BZ762">
        <f t="shared" si="175"/>
        <v>0.88721318382472392</v>
      </c>
      <c r="CA762">
        <f t="shared" si="176"/>
        <v>1.7597737514845315</v>
      </c>
      <c r="CB762">
        <f t="shared" si="177"/>
        <v>1.1830340977862825</v>
      </c>
    </row>
    <row r="763" spans="1:80" x14ac:dyDescent="0.45">
      <c r="A763" s="11">
        <v>36</v>
      </c>
      <c r="B763" s="12">
        <f t="shared" si="165"/>
        <v>36</v>
      </c>
      <c r="C763" s="12" t="s">
        <v>52</v>
      </c>
      <c r="D763" s="12">
        <v>1</v>
      </c>
      <c r="E763" s="12" t="s">
        <v>53</v>
      </c>
      <c r="F763" s="12">
        <v>0</v>
      </c>
      <c r="G763" s="12">
        <v>1</v>
      </c>
      <c r="H763" s="12" t="s">
        <v>61</v>
      </c>
      <c r="I763" s="12">
        <v>1</v>
      </c>
      <c r="J763" s="12">
        <v>0</v>
      </c>
      <c r="K763" s="12">
        <v>15</v>
      </c>
      <c r="L763" s="12">
        <f t="shared" si="166"/>
        <v>15</v>
      </c>
      <c r="M763" s="12">
        <v>3</v>
      </c>
      <c r="N763" s="12" t="s">
        <v>66</v>
      </c>
      <c r="O763" s="12">
        <v>0</v>
      </c>
      <c r="P763" s="12">
        <v>1</v>
      </c>
      <c r="Q763" s="12">
        <v>0</v>
      </c>
      <c r="R763" s="12">
        <v>0</v>
      </c>
      <c r="S763" s="12">
        <v>0</v>
      </c>
      <c r="T763" s="12">
        <v>1</v>
      </c>
      <c r="U763" s="12" t="s">
        <v>62</v>
      </c>
      <c r="V763" s="12">
        <v>0</v>
      </c>
      <c r="W763" s="12">
        <v>81</v>
      </c>
      <c r="X763" s="12">
        <v>3</v>
      </c>
      <c r="Y763" s="12">
        <v>2</v>
      </c>
      <c r="Z763" s="12" t="s">
        <v>67</v>
      </c>
      <c r="AA763" s="12">
        <v>0</v>
      </c>
      <c r="AB763" s="12">
        <v>0</v>
      </c>
      <c r="AC763" s="12">
        <v>1</v>
      </c>
      <c r="AD763" s="12">
        <v>0</v>
      </c>
      <c r="AE763" s="12">
        <v>0</v>
      </c>
      <c r="AF763" s="12">
        <v>0</v>
      </c>
      <c r="AG763" s="12">
        <v>0</v>
      </c>
      <c r="AH763" s="12">
        <v>0</v>
      </c>
      <c r="AI763" s="12">
        <v>3</v>
      </c>
      <c r="AJ763" s="12" t="s">
        <v>78</v>
      </c>
      <c r="AK763" s="12">
        <v>0</v>
      </c>
      <c r="AL763" s="12">
        <v>0</v>
      </c>
      <c r="AM763" s="12">
        <v>4834</v>
      </c>
      <c r="AN763" s="12">
        <f t="shared" si="167"/>
        <v>4834</v>
      </c>
      <c r="AO763" s="12">
        <v>7</v>
      </c>
      <c r="AP763" s="12" t="s">
        <v>59</v>
      </c>
      <c r="AQ763" s="12">
        <v>0</v>
      </c>
      <c r="AR763" s="12">
        <v>14</v>
      </c>
      <c r="AS763" s="12">
        <v>3</v>
      </c>
      <c r="AT763" s="12">
        <v>2</v>
      </c>
      <c r="AU763" s="12">
        <v>1</v>
      </c>
      <c r="AV763" s="12">
        <v>9</v>
      </c>
      <c r="AW763" s="12">
        <f t="shared" si="168"/>
        <v>9</v>
      </c>
      <c r="AX763" s="12">
        <v>3</v>
      </c>
      <c r="AY763" s="12">
        <v>2</v>
      </c>
      <c r="AZ763" s="12">
        <v>1</v>
      </c>
      <c r="BA763" s="12">
        <f t="shared" si="169"/>
        <v>1</v>
      </c>
      <c r="BB763" s="12">
        <v>0</v>
      </c>
      <c r="BC763" s="12">
        <v>0</v>
      </c>
      <c r="BD763" s="12">
        <f t="shared" si="178"/>
        <v>0</v>
      </c>
      <c r="BE763" s="12">
        <v>0</v>
      </c>
      <c r="BF763" s="12">
        <f t="shared" si="170"/>
        <v>0</v>
      </c>
      <c r="BG763" s="12">
        <f t="shared" si="179"/>
        <v>0</v>
      </c>
      <c r="BH763" s="67">
        <v>1</v>
      </c>
      <c r="BI763" s="67">
        <v>0</v>
      </c>
      <c r="BJ763" s="67">
        <v>0</v>
      </c>
      <c r="BK763" s="67">
        <v>0</v>
      </c>
      <c r="BL763" s="67">
        <v>1</v>
      </c>
      <c r="BM763" s="67">
        <v>0</v>
      </c>
      <c r="BN763" s="67">
        <v>0</v>
      </c>
      <c r="BO763" s="67">
        <v>0</v>
      </c>
      <c r="BP763" s="67">
        <v>0</v>
      </c>
      <c r="BQ763" s="67">
        <v>0</v>
      </c>
      <c r="BR763" s="67">
        <v>0</v>
      </c>
      <c r="BS763" s="67">
        <v>0</v>
      </c>
      <c r="BT763" s="67">
        <v>9</v>
      </c>
      <c r="BU763" s="70">
        <v>0</v>
      </c>
      <c r="BV763" s="29">
        <f t="shared" si="171"/>
        <v>0.35449163393101368</v>
      </c>
      <c r="BW763">
        <f t="shared" si="172"/>
        <v>1.1555414682655611</v>
      </c>
      <c r="BX763">
        <f t="shared" si="173"/>
        <v>0.29297722668510823</v>
      </c>
      <c r="BY763">
        <f t="shared" si="174"/>
        <v>0.9806804209314296</v>
      </c>
      <c r="BZ763">
        <f t="shared" si="175"/>
        <v>0.71636611655269733</v>
      </c>
      <c r="CA763">
        <f t="shared" si="176"/>
        <v>0.10112443951066327</v>
      </c>
      <c r="CB763">
        <f t="shared" si="177"/>
        <v>0.67891464284095016</v>
      </c>
    </row>
    <row r="764" spans="1:80" x14ac:dyDescent="0.45">
      <c r="A764" s="11">
        <v>26</v>
      </c>
      <c r="B764" s="12">
        <f t="shared" si="165"/>
        <v>26</v>
      </c>
      <c r="C764" s="12" t="s">
        <v>52</v>
      </c>
      <c r="D764" s="12">
        <v>1</v>
      </c>
      <c r="E764" s="12" t="s">
        <v>60</v>
      </c>
      <c r="F764" s="12">
        <v>1</v>
      </c>
      <c r="G764" s="12">
        <v>0</v>
      </c>
      <c r="H764" s="12" t="s">
        <v>61</v>
      </c>
      <c r="I764" s="12">
        <v>1</v>
      </c>
      <c r="J764" s="12">
        <v>0</v>
      </c>
      <c r="K764" s="12">
        <v>2</v>
      </c>
      <c r="L764" s="12">
        <f t="shared" si="166"/>
        <v>2</v>
      </c>
      <c r="M764" s="12">
        <v>3</v>
      </c>
      <c r="N764" s="12" t="s">
        <v>55</v>
      </c>
      <c r="O764" s="12">
        <v>1</v>
      </c>
      <c r="P764" s="12">
        <v>0</v>
      </c>
      <c r="Q764" s="12">
        <v>0</v>
      </c>
      <c r="R764" s="12">
        <v>0</v>
      </c>
      <c r="S764" s="12">
        <v>0</v>
      </c>
      <c r="T764" s="12">
        <v>1</v>
      </c>
      <c r="U764" s="12" t="s">
        <v>62</v>
      </c>
      <c r="V764" s="12">
        <v>0</v>
      </c>
      <c r="W764" s="12">
        <v>57</v>
      </c>
      <c r="X764" s="12">
        <v>3</v>
      </c>
      <c r="Y764" s="12">
        <v>1</v>
      </c>
      <c r="Z764" s="12" t="s">
        <v>63</v>
      </c>
      <c r="AA764" s="12">
        <v>0</v>
      </c>
      <c r="AB764" s="12">
        <v>0</v>
      </c>
      <c r="AC764" s="12">
        <v>0</v>
      </c>
      <c r="AD764" s="12">
        <v>0</v>
      </c>
      <c r="AE764" s="12">
        <v>0</v>
      </c>
      <c r="AF764" s="12">
        <v>0</v>
      </c>
      <c r="AG764" s="12">
        <v>0</v>
      </c>
      <c r="AH764" s="12">
        <v>1</v>
      </c>
      <c r="AI764" s="12">
        <v>1</v>
      </c>
      <c r="AJ764" s="12" t="s">
        <v>64</v>
      </c>
      <c r="AK764" s="12">
        <v>0</v>
      </c>
      <c r="AL764" s="12">
        <v>1</v>
      </c>
      <c r="AM764" s="12">
        <v>2042</v>
      </c>
      <c r="AN764" s="12">
        <f t="shared" si="167"/>
        <v>2042</v>
      </c>
      <c r="AO764" s="12">
        <v>6</v>
      </c>
      <c r="AP764" s="12" t="s">
        <v>52</v>
      </c>
      <c r="AQ764" s="12">
        <v>1</v>
      </c>
      <c r="AR764" s="12">
        <v>14</v>
      </c>
      <c r="AS764" s="12">
        <v>3</v>
      </c>
      <c r="AT764" s="12">
        <v>2</v>
      </c>
      <c r="AU764" s="12">
        <v>1</v>
      </c>
      <c r="AV764" s="12">
        <v>6</v>
      </c>
      <c r="AW764" s="12">
        <f t="shared" si="168"/>
        <v>6</v>
      </c>
      <c r="AX764" s="12">
        <v>2</v>
      </c>
      <c r="AY764" s="12">
        <v>3</v>
      </c>
      <c r="AZ764" s="12">
        <v>3</v>
      </c>
      <c r="BA764" s="12">
        <f t="shared" si="169"/>
        <v>3</v>
      </c>
      <c r="BB764" s="12">
        <v>2</v>
      </c>
      <c r="BC764" s="12">
        <v>1</v>
      </c>
      <c r="BD764" s="12">
        <f t="shared" si="178"/>
        <v>1</v>
      </c>
      <c r="BE764" s="12">
        <v>2</v>
      </c>
      <c r="BF764" s="12">
        <f t="shared" si="170"/>
        <v>2</v>
      </c>
      <c r="BG764" s="12">
        <f t="shared" si="179"/>
        <v>2</v>
      </c>
      <c r="BH764" s="67">
        <v>0</v>
      </c>
      <c r="BI764" s="67">
        <v>0</v>
      </c>
      <c r="BJ764" s="67">
        <v>0</v>
      </c>
      <c r="BK764" s="67">
        <v>1</v>
      </c>
      <c r="BL764" s="67">
        <v>0</v>
      </c>
      <c r="BM764" s="67">
        <v>0</v>
      </c>
      <c r="BN764" s="67">
        <v>0</v>
      </c>
      <c r="BO764" s="67">
        <v>1</v>
      </c>
      <c r="BP764" s="67">
        <v>0</v>
      </c>
      <c r="BQ764" s="67">
        <v>2</v>
      </c>
      <c r="BR764" s="67">
        <v>0</v>
      </c>
      <c r="BS764" s="67">
        <v>0</v>
      </c>
      <c r="BT764" s="67">
        <v>6</v>
      </c>
      <c r="BU764" s="70">
        <v>0</v>
      </c>
      <c r="BV764" s="29">
        <f t="shared" si="171"/>
        <v>0.94753021279468164</v>
      </c>
      <c r="BW764">
        <f t="shared" si="172"/>
        <v>0.59502473559756086</v>
      </c>
      <c r="BX764">
        <f t="shared" si="173"/>
        <v>0.67854260110508058</v>
      </c>
      <c r="BY764">
        <f t="shared" si="174"/>
        <v>0.65423109602898355</v>
      </c>
      <c r="BZ764">
        <f t="shared" si="175"/>
        <v>0.88721318382472392</v>
      </c>
      <c r="CA764">
        <f t="shared" si="176"/>
        <v>1.195770434213719</v>
      </c>
      <c r="CB764">
        <f t="shared" si="177"/>
        <v>0.36858985273641137</v>
      </c>
    </row>
    <row r="765" spans="1:80" x14ac:dyDescent="0.45">
      <c r="A765" s="11">
        <v>34</v>
      </c>
      <c r="B765" s="12">
        <f t="shared" si="165"/>
        <v>34</v>
      </c>
      <c r="C765" s="12" t="s">
        <v>59</v>
      </c>
      <c r="D765" s="12">
        <v>0</v>
      </c>
      <c r="E765" s="12" t="s">
        <v>53</v>
      </c>
      <c r="F765" s="12">
        <v>0</v>
      </c>
      <c r="G765" s="12">
        <v>1</v>
      </c>
      <c r="H765" s="12" t="s">
        <v>54</v>
      </c>
      <c r="I765" s="12">
        <v>0</v>
      </c>
      <c r="J765" s="12">
        <v>1</v>
      </c>
      <c r="K765" s="12">
        <v>10</v>
      </c>
      <c r="L765" s="12">
        <f t="shared" si="166"/>
        <v>10</v>
      </c>
      <c r="M765" s="12">
        <v>4</v>
      </c>
      <c r="N765" s="12" t="s">
        <v>55</v>
      </c>
      <c r="O765" s="12">
        <v>1</v>
      </c>
      <c r="P765" s="12">
        <v>0</v>
      </c>
      <c r="Q765" s="12">
        <v>0</v>
      </c>
      <c r="R765" s="12">
        <v>0</v>
      </c>
      <c r="S765" s="12">
        <v>0</v>
      </c>
      <c r="T765" s="12">
        <v>3</v>
      </c>
      <c r="U765" s="12" t="s">
        <v>19</v>
      </c>
      <c r="V765" s="12">
        <v>1</v>
      </c>
      <c r="W765" s="12">
        <v>87</v>
      </c>
      <c r="X765" s="12">
        <v>3</v>
      </c>
      <c r="Y765" s="12">
        <v>1</v>
      </c>
      <c r="Z765" s="12" t="s">
        <v>88</v>
      </c>
      <c r="AA765" s="12">
        <v>0</v>
      </c>
      <c r="AB765" s="12">
        <v>0</v>
      </c>
      <c r="AC765" s="12">
        <v>0</v>
      </c>
      <c r="AD765" s="12">
        <v>0</v>
      </c>
      <c r="AE765" s="12">
        <v>0</v>
      </c>
      <c r="AF765" s="12">
        <v>0</v>
      </c>
      <c r="AG765" s="12">
        <v>1</v>
      </c>
      <c r="AH765" s="12">
        <v>0</v>
      </c>
      <c r="AI765" s="12">
        <v>3</v>
      </c>
      <c r="AJ765" s="12" t="s">
        <v>64</v>
      </c>
      <c r="AK765" s="12">
        <v>0</v>
      </c>
      <c r="AL765" s="12">
        <v>1</v>
      </c>
      <c r="AM765" s="12">
        <v>2220</v>
      </c>
      <c r="AN765" s="12">
        <f t="shared" si="167"/>
        <v>2220</v>
      </c>
      <c r="AO765" s="12">
        <v>1</v>
      </c>
      <c r="AP765" s="12" t="s">
        <v>52</v>
      </c>
      <c r="AQ765" s="12">
        <v>1</v>
      </c>
      <c r="AR765" s="12">
        <v>19</v>
      </c>
      <c r="AS765" s="12">
        <v>3</v>
      </c>
      <c r="AT765" s="12">
        <v>4</v>
      </c>
      <c r="AU765" s="12">
        <v>1</v>
      </c>
      <c r="AV765" s="12">
        <v>1</v>
      </c>
      <c r="AW765" s="12">
        <f t="shared" si="168"/>
        <v>1</v>
      </c>
      <c r="AX765" s="12">
        <v>2</v>
      </c>
      <c r="AY765" s="12">
        <v>3</v>
      </c>
      <c r="AZ765" s="12">
        <v>1</v>
      </c>
      <c r="BA765" s="12">
        <f t="shared" si="169"/>
        <v>1</v>
      </c>
      <c r="BB765" s="12">
        <v>1</v>
      </c>
      <c r="BC765" s="12">
        <v>0</v>
      </c>
      <c r="BD765" s="12">
        <f t="shared" si="178"/>
        <v>0</v>
      </c>
      <c r="BE765" s="12">
        <v>0</v>
      </c>
      <c r="BF765" s="12">
        <f t="shared" si="170"/>
        <v>0</v>
      </c>
      <c r="BG765" s="12">
        <f t="shared" si="179"/>
        <v>0</v>
      </c>
      <c r="BH765" s="67">
        <v>0</v>
      </c>
      <c r="BI765" s="67">
        <v>1</v>
      </c>
      <c r="BJ765" s="67">
        <v>0</v>
      </c>
      <c r="BK765" s="67">
        <v>0</v>
      </c>
      <c r="BL765" s="67">
        <v>0</v>
      </c>
      <c r="BM765" s="67">
        <v>0</v>
      </c>
      <c r="BN765" s="67">
        <v>0</v>
      </c>
      <c r="BO765" s="67">
        <v>1</v>
      </c>
      <c r="BP765" s="67">
        <v>0</v>
      </c>
      <c r="BQ765" s="67">
        <v>0</v>
      </c>
      <c r="BR765" s="67">
        <v>0</v>
      </c>
      <c r="BS765" s="67">
        <v>0</v>
      </c>
      <c r="BT765" s="67">
        <v>0</v>
      </c>
      <c r="BU765" s="70">
        <v>1</v>
      </c>
      <c r="BV765" s="29">
        <f t="shared" si="171"/>
        <v>0.90972187932844495</v>
      </c>
      <c r="BW765">
        <f t="shared" si="172"/>
        <v>1.1555414682655611</v>
      </c>
      <c r="BX765">
        <f t="shared" si="173"/>
        <v>1.3211515584717011</v>
      </c>
      <c r="BY765">
        <f t="shared" si="174"/>
        <v>0.9806804209314296</v>
      </c>
      <c r="BZ765">
        <f t="shared" si="175"/>
        <v>9.9604847176766084E-2</v>
      </c>
      <c r="CA765">
        <f t="shared" si="176"/>
        <v>0.32005363845127444</v>
      </c>
      <c r="CB765">
        <f t="shared" si="177"/>
        <v>0.67891464284095016</v>
      </c>
    </row>
    <row r="766" spans="1:80" x14ac:dyDescent="0.45">
      <c r="A766" s="11">
        <v>28</v>
      </c>
      <c r="B766" s="12">
        <f t="shared" si="165"/>
        <v>28</v>
      </c>
      <c r="C766" s="12" t="s">
        <v>59</v>
      </c>
      <c r="D766" s="12">
        <v>0</v>
      </c>
      <c r="E766" s="12" t="s">
        <v>53</v>
      </c>
      <c r="F766" s="12">
        <v>0</v>
      </c>
      <c r="G766" s="12">
        <v>1</v>
      </c>
      <c r="H766" s="12" t="s">
        <v>54</v>
      </c>
      <c r="I766" s="12">
        <v>0</v>
      </c>
      <c r="J766" s="12">
        <v>1</v>
      </c>
      <c r="K766" s="12">
        <v>10</v>
      </c>
      <c r="L766" s="12">
        <f t="shared" si="166"/>
        <v>10</v>
      </c>
      <c r="M766" s="12">
        <v>1</v>
      </c>
      <c r="N766" s="12" t="s">
        <v>70</v>
      </c>
      <c r="O766" s="12">
        <v>0</v>
      </c>
      <c r="P766" s="12">
        <v>0</v>
      </c>
      <c r="Q766" s="12">
        <v>1</v>
      </c>
      <c r="R766" s="12">
        <v>0</v>
      </c>
      <c r="S766" s="12">
        <v>0</v>
      </c>
      <c r="T766" s="12">
        <v>4</v>
      </c>
      <c r="U766" s="12" t="s">
        <v>62</v>
      </c>
      <c r="V766" s="12">
        <v>0</v>
      </c>
      <c r="W766" s="12">
        <v>74</v>
      </c>
      <c r="X766" s="12">
        <v>3</v>
      </c>
      <c r="Y766" s="12">
        <v>1</v>
      </c>
      <c r="Z766" s="12" t="s">
        <v>88</v>
      </c>
      <c r="AA766" s="12">
        <v>0</v>
      </c>
      <c r="AB766" s="12">
        <v>0</v>
      </c>
      <c r="AC766" s="12">
        <v>0</v>
      </c>
      <c r="AD766" s="12">
        <v>0</v>
      </c>
      <c r="AE766" s="12">
        <v>0</v>
      </c>
      <c r="AF766" s="12">
        <v>0</v>
      </c>
      <c r="AG766" s="12">
        <v>1</v>
      </c>
      <c r="AH766" s="12">
        <v>0</v>
      </c>
      <c r="AI766" s="12">
        <v>2</v>
      </c>
      <c r="AJ766" s="12" t="s">
        <v>64</v>
      </c>
      <c r="AK766" s="12">
        <v>0</v>
      </c>
      <c r="AL766" s="12">
        <v>1</v>
      </c>
      <c r="AM766" s="12">
        <v>1052</v>
      </c>
      <c r="AN766" s="12">
        <f t="shared" si="167"/>
        <v>1382.46</v>
      </c>
      <c r="AO766" s="12">
        <v>1</v>
      </c>
      <c r="AP766" s="12" t="s">
        <v>59</v>
      </c>
      <c r="AQ766" s="12">
        <v>0</v>
      </c>
      <c r="AR766" s="12">
        <v>22</v>
      </c>
      <c r="AS766" s="12">
        <v>4</v>
      </c>
      <c r="AT766" s="12">
        <v>2</v>
      </c>
      <c r="AU766" s="12">
        <v>0</v>
      </c>
      <c r="AV766" s="12">
        <v>1</v>
      </c>
      <c r="AW766" s="12">
        <f t="shared" si="168"/>
        <v>1</v>
      </c>
      <c r="AX766" s="12">
        <v>5</v>
      </c>
      <c r="AY766" s="12">
        <v>3</v>
      </c>
      <c r="AZ766" s="12">
        <v>1</v>
      </c>
      <c r="BA766" s="12">
        <f t="shared" si="169"/>
        <v>1</v>
      </c>
      <c r="BB766" s="12">
        <v>0</v>
      </c>
      <c r="BC766" s="12">
        <v>0</v>
      </c>
      <c r="BD766" s="12">
        <f t="shared" si="178"/>
        <v>0</v>
      </c>
      <c r="BE766" s="12">
        <v>0</v>
      </c>
      <c r="BF766" s="12">
        <f t="shared" si="170"/>
        <v>0</v>
      </c>
      <c r="BG766" s="12">
        <f t="shared" si="179"/>
        <v>0</v>
      </c>
      <c r="BH766" s="67">
        <v>0</v>
      </c>
      <c r="BI766" s="67">
        <v>1</v>
      </c>
      <c r="BJ766" s="67">
        <v>0</v>
      </c>
      <c r="BK766" s="67">
        <v>0</v>
      </c>
      <c r="BL766" s="67">
        <v>0</v>
      </c>
      <c r="BM766" s="67">
        <v>0</v>
      </c>
      <c r="BN766" s="67">
        <v>1</v>
      </c>
      <c r="BO766" s="67">
        <v>0</v>
      </c>
      <c r="BP766" s="67">
        <v>0</v>
      </c>
      <c r="BQ766" s="67">
        <v>0</v>
      </c>
      <c r="BR766" s="67">
        <v>0</v>
      </c>
      <c r="BS766" s="67">
        <v>0</v>
      </c>
      <c r="BT766" s="67">
        <v>0</v>
      </c>
      <c r="BU766" s="70">
        <v>1</v>
      </c>
      <c r="BV766" s="29">
        <f t="shared" si="171"/>
        <v>1.1578125169046498</v>
      </c>
      <c r="BW766">
        <f t="shared" si="172"/>
        <v>1.1555414682655611</v>
      </c>
      <c r="BX766">
        <f t="shared" si="173"/>
        <v>1.3211515584717011</v>
      </c>
      <c r="BY766">
        <f t="shared" si="174"/>
        <v>0.9806804209314296</v>
      </c>
      <c r="BZ766">
        <f t="shared" si="175"/>
        <v>9.9604847176766084E-2</v>
      </c>
      <c r="CA766">
        <f t="shared" si="176"/>
        <v>0.97684123527310796</v>
      </c>
      <c r="CB766">
        <f t="shared" si="177"/>
        <v>0.67891464284095016</v>
      </c>
    </row>
    <row r="767" spans="1:80" x14ac:dyDescent="0.45">
      <c r="A767" s="11">
        <v>38</v>
      </c>
      <c r="B767" s="12">
        <f t="shared" si="165"/>
        <v>38</v>
      </c>
      <c r="C767" s="12" t="s">
        <v>59</v>
      </c>
      <c r="D767" s="12">
        <v>0</v>
      </c>
      <c r="E767" s="12" t="s">
        <v>60</v>
      </c>
      <c r="F767" s="12">
        <v>1</v>
      </c>
      <c r="G767" s="12">
        <v>0</v>
      </c>
      <c r="H767" s="12" t="s">
        <v>61</v>
      </c>
      <c r="I767" s="12">
        <v>1</v>
      </c>
      <c r="J767" s="12">
        <v>0</v>
      </c>
      <c r="K767" s="12">
        <v>3</v>
      </c>
      <c r="L767" s="12">
        <f t="shared" si="166"/>
        <v>3</v>
      </c>
      <c r="M767" s="12">
        <v>4</v>
      </c>
      <c r="N767" s="12" t="s">
        <v>66</v>
      </c>
      <c r="O767" s="12">
        <v>0</v>
      </c>
      <c r="P767" s="12">
        <v>1</v>
      </c>
      <c r="Q767" s="12">
        <v>0</v>
      </c>
      <c r="R767" s="12">
        <v>0</v>
      </c>
      <c r="S767" s="12">
        <v>0</v>
      </c>
      <c r="T767" s="12">
        <v>3</v>
      </c>
      <c r="U767" s="12" t="s">
        <v>62</v>
      </c>
      <c r="V767" s="12">
        <v>0</v>
      </c>
      <c r="W767" s="12">
        <v>44</v>
      </c>
      <c r="X767" s="12">
        <v>3</v>
      </c>
      <c r="Y767" s="12">
        <v>1</v>
      </c>
      <c r="Z767" s="12" t="s">
        <v>63</v>
      </c>
      <c r="AA767" s="12">
        <v>0</v>
      </c>
      <c r="AB767" s="12">
        <v>0</v>
      </c>
      <c r="AC767" s="12">
        <v>0</v>
      </c>
      <c r="AD767" s="12">
        <v>0</v>
      </c>
      <c r="AE767" s="12">
        <v>0</v>
      </c>
      <c r="AF767" s="12">
        <v>0</v>
      </c>
      <c r="AG767" s="12">
        <v>0</v>
      </c>
      <c r="AH767" s="12">
        <v>1</v>
      </c>
      <c r="AI767" s="12">
        <v>3</v>
      </c>
      <c r="AJ767" s="12" t="s">
        <v>64</v>
      </c>
      <c r="AK767" s="12">
        <v>0</v>
      </c>
      <c r="AL767" s="12">
        <v>1</v>
      </c>
      <c r="AM767" s="12">
        <v>2821</v>
      </c>
      <c r="AN767" s="12">
        <f t="shared" si="167"/>
        <v>2821</v>
      </c>
      <c r="AO767" s="12">
        <v>3</v>
      </c>
      <c r="AP767" s="12" t="s">
        <v>59</v>
      </c>
      <c r="AQ767" s="12">
        <v>0</v>
      </c>
      <c r="AR767" s="12">
        <v>16</v>
      </c>
      <c r="AS767" s="12">
        <v>3</v>
      </c>
      <c r="AT767" s="12">
        <v>1</v>
      </c>
      <c r="AU767" s="12">
        <v>1</v>
      </c>
      <c r="AV767" s="12">
        <v>8</v>
      </c>
      <c r="AW767" s="12">
        <f t="shared" si="168"/>
        <v>8</v>
      </c>
      <c r="AX767" s="12">
        <v>2</v>
      </c>
      <c r="AY767" s="12">
        <v>3</v>
      </c>
      <c r="AZ767" s="12">
        <v>2</v>
      </c>
      <c r="BA767" s="12">
        <f t="shared" si="169"/>
        <v>2</v>
      </c>
      <c r="BB767" s="12">
        <v>2</v>
      </c>
      <c r="BC767" s="12">
        <v>2</v>
      </c>
      <c r="BD767" s="12">
        <f t="shared" si="178"/>
        <v>2</v>
      </c>
      <c r="BE767" s="12">
        <v>2</v>
      </c>
      <c r="BF767" s="12">
        <f t="shared" si="170"/>
        <v>2</v>
      </c>
      <c r="BG767" s="12">
        <f t="shared" si="179"/>
        <v>2</v>
      </c>
      <c r="BH767" s="67">
        <v>0</v>
      </c>
      <c r="BI767" s="67">
        <v>0</v>
      </c>
      <c r="BJ767" s="67">
        <v>0</v>
      </c>
      <c r="BK767" s="67">
        <v>1</v>
      </c>
      <c r="BL767" s="67">
        <v>0</v>
      </c>
      <c r="BM767" s="67">
        <v>0</v>
      </c>
      <c r="BN767" s="67">
        <v>1</v>
      </c>
      <c r="BO767" s="67">
        <v>0</v>
      </c>
      <c r="BP767" s="67">
        <v>0</v>
      </c>
      <c r="BQ767" s="67">
        <v>2</v>
      </c>
      <c r="BR767" s="67">
        <v>0</v>
      </c>
      <c r="BS767" s="67">
        <v>0</v>
      </c>
      <c r="BT767" s="67">
        <v>8</v>
      </c>
      <c r="BU767" s="70">
        <v>0</v>
      </c>
      <c r="BV767" s="29">
        <f t="shared" si="171"/>
        <v>0.78206565228794911</v>
      </c>
      <c r="BW767">
        <f t="shared" si="172"/>
        <v>0.59502473559756086</v>
      </c>
      <c r="BX767">
        <f t="shared" si="173"/>
        <v>0.42149901815843233</v>
      </c>
      <c r="BY767">
        <f t="shared" si="174"/>
        <v>0.81745575848020657</v>
      </c>
      <c r="BZ767">
        <f t="shared" si="175"/>
        <v>0.76386092994953758</v>
      </c>
      <c r="CA767">
        <f t="shared" si="176"/>
        <v>0.11780475942994788</v>
      </c>
      <c r="CB767">
        <f t="shared" si="177"/>
        <v>5.8265062631872602E-2</v>
      </c>
    </row>
    <row r="768" spans="1:80" x14ac:dyDescent="0.45">
      <c r="A768" s="11">
        <v>50</v>
      </c>
      <c r="B768" s="12">
        <f t="shared" si="165"/>
        <v>50</v>
      </c>
      <c r="C768" s="12" t="s">
        <v>59</v>
      </c>
      <c r="D768" s="12">
        <v>0</v>
      </c>
      <c r="E768" s="12" t="s">
        <v>53</v>
      </c>
      <c r="F768" s="12">
        <v>0</v>
      </c>
      <c r="G768" s="12">
        <v>1</v>
      </c>
      <c r="H768" s="12" t="s">
        <v>61</v>
      </c>
      <c r="I768" s="12">
        <v>1</v>
      </c>
      <c r="J768" s="12">
        <v>0</v>
      </c>
      <c r="K768" s="12">
        <v>2</v>
      </c>
      <c r="L768" s="12">
        <f t="shared" si="166"/>
        <v>2</v>
      </c>
      <c r="M768" s="12">
        <v>4</v>
      </c>
      <c r="N768" s="12" t="s">
        <v>70</v>
      </c>
      <c r="O768" s="12">
        <v>0</v>
      </c>
      <c r="P768" s="12">
        <v>0</v>
      </c>
      <c r="Q768" s="12">
        <v>1</v>
      </c>
      <c r="R768" s="12">
        <v>0</v>
      </c>
      <c r="S768" s="12">
        <v>0</v>
      </c>
      <c r="T768" s="12">
        <v>2</v>
      </c>
      <c r="U768" s="12" t="s">
        <v>62</v>
      </c>
      <c r="V768" s="12">
        <v>0</v>
      </c>
      <c r="W768" s="12">
        <v>62</v>
      </c>
      <c r="X768" s="12">
        <v>3</v>
      </c>
      <c r="Y768" s="12">
        <v>5</v>
      </c>
      <c r="Z768" s="12" t="s">
        <v>89</v>
      </c>
      <c r="AA768" s="12">
        <v>0</v>
      </c>
      <c r="AB768" s="12">
        <v>0</v>
      </c>
      <c r="AC768" s="12">
        <v>0</v>
      </c>
      <c r="AD768" s="12">
        <v>0</v>
      </c>
      <c r="AE768" s="12">
        <v>0</v>
      </c>
      <c r="AF768" s="12">
        <v>0</v>
      </c>
      <c r="AG768" s="12">
        <v>0</v>
      </c>
      <c r="AH768" s="12">
        <v>0</v>
      </c>
      <c r="AI768" s="12">
        <v>3</v>
      </c>
      <c r="AJ768" s="12" t="s">
        <v>64</v>
      </c>
      <c r="AK768" s="12">
        <v>0</v>
      </c>
      <c r="AL768" s="12">
        <v>1</v>
      </c>
      <c r="AM768" s="12">
        <v>19237</v>
      </c>
      <c r="AN768" s="12">
        <f t="shared" si="167"/>
        <v>19237</v>
      </c>
      <c r="AO768" s="12">
        <v>2</v>
      </c>
      <c r="AP768" s="12" t="s">
        <v>52</v>
      </c>
      <c r="AQ768" s="12">
        <v>1</v>
      </c>
      <c r="AR768" s="12">
        <v>11</v>
      </c>
      <c r="AS768" s="12">
        <v>3</v>
      </c>
      <c r="AT768" s="12">
        <v>4</v>
      </c>
      <c r="AU768" s="12">
        <v>1</v>
      </c>
      <c r="AV768" s="12">
        <v>29</v>
      </c>
      <c r="AW768" s="12">
        <f t="shared" si="168"/>
        <v>29</v>
      </c>
      <c r="AX768" s="12">
        <v>2</v>
      </c>
      <c r="AY768" s="12">
        <v>2</v>
      </c>
      <c r="AZ768" s="12">
        <v>8</v>
      </c>
      <c r="BA768" s="12">
        <f t="shared" si="169"/>
        <v>8</v>
      </c>
      <c r="BB768" s="12">
        <v>1</v>
      </c>
      <c r="BC768" s="12">
        <v>7</v>
      </c>
      <c r="BD768" s="12">
        <f t="shared" si="178"/>
        <v>7</v>
      </c>
      <c r="BE768" s="12">
        <v>7</v>
      </c>
      <c r="BF768" s="12">
        <f t="shared" si="170"/>
        <v>7</v>
      </c>
      <c r="BG768" s="12">
        <f t="shared" si="179"/>
        <v>35</v>
      </c>
      <c r="BH768" s="67">
        <v>0</v>
      </c>
      <c r="BI768" s="67">
        <v>1</v>
      </c>
      <c r="BJ768" s="67">
        <v>0</v>
      </c>
      <c r="BK768" s="67">
        <v>0</v>
      </c>
      <c r="BL768" s="67">
        <v>0</v>
      </c>
      <c r="BM768" s="67">
        <v>0</v>
      </c>
      <c r="BN768" s="67">
        <v>0</v>
      </c>
      <c r="BO768" s="67">
        <v>1</v>
      </c>
      <c r="BP768" s="67">
        <v>0</v>
      </c>
      <c r="BQ768" s="67">
        <v>7</v>
      </c>
      <c r="BR768" s="67">
        <v>0</v>
      </c>
      <c r="BS768" s="67">
        <v>0</v>
      </c>
      <c r="BT768" s="67">
        <v>29</v>
      </c>
      <c r="BU768" s="70">
        <v>0</v>
      </c>
      <c r="BV768" s="29">
        <f t="shared" si="171"/>
        <v>2.704797281317342</v>
      </c>
      <c r="BW768">
        <f t="shared" si="172"/>
        <v>0.80626709607243985</v>
      </c>
      <c r="BX768">
        <f t="shared" si="173"/>
        <v>2.2774586027813735</v>
      </c>
      <c r="BY768">
        <f t="shared" si="174"/>
        <v>0.16189221622713135</v>
      </c>
      <c r="BZ768">
        <f t="shared" si="175"/>
        <v>0.88721318382472392</v>
      </c>
      <c r="CA768">
        <f t="shared" si="176"/>
        <v>1.4313799530736149</v>
      </c>
      <c r="CB768">
        <f t="shared" si="177"/>
        <v>1.4933588878908215</v>
      </c>
    </row>
    <row r="769" spans="1:80" x14ac:dyDescent="0.45">
      <c r="A769" s="11">
        <v>37</v>
      </c>
      <c r="B769" s="12">
        <f t="shared" si="165"/>
        <v>37</v>
      </c>
      <c r="C769" s="12" t="s">
        <v>59</v>
      </c>
      <c r="D769" s="12">
        <v>0</v>
      </c>
      <c r="E769" s="12" t="s">
        <v>53</v>
      </c>
      <c r="F769" s="12">
        <v>0</v>
      </c>
      <c r="G769" s="12">
        <v>1</v>
      </c>
      <c r="H769" s="12" t="s">
        <v>61</v>
      </c>
      <c r="I769" s="12">
        <v>1</v>
      </c>
      <c r="J769" s="12">
        <v>0</v>
      </c>
      <c r="K769" s="12">
        <v>3</v>
      </c>
      <c r="L769" s="12">
        <f t="shared" si="166"/>
        <v>3</v>
      </c>
      <c r="M769" s="12">
        <v>3</v>
      </c>
      <c r="N769" s="12" t="s">
        <v>66</v>
      </c>
      <c r="O769" s="12">
        <v>0</v>
      </c>
      <c r="P769" s="12">
        <v>1</v>
      </c>
      <c r="Q769" s="12">
        <v>0</v>
      </c>
      <c r="R769" s="12">
        <v>0</v>
      </c>
      <c r="S769" s="12">
        <v>0</v>
      </c>
      <c r="T769" s="12">
        <v>4</v>
      </c>
      <c r="U769" s="12" t="s">
        <v>19</v>
      </c>
      <c r="V769" s="12">
        <v>1</v>
      </c>
      <c r="W769" s="12">
        <v>35</v>
      </c>
      <c r="X769" s="12">
        <v>3</v>
      </c>
      <c r="Y769" s="12">
        <v>2</v>
      </c>
      <c r="Z769" s="12" t="s">
        <v>85</v>
      </c>
      <c r="AA769" s="12">
        <v>1</v>
      </c>
      <c r="AB769" s="12">
        <v>0</v>
      </c>
      <c r="AC769" s="12">
        <v>0</v>
      </c>
      <c r="AD769" s="12">
        <v>0</v>
      </c>
      <c r="AE769" s="12">
        <v>0</v>
      </c>
      <c r="AF769" s="12">
        <v>0</v>
      </c>
      <c r="AG769" s="12">
        <v>0</v>
      </c>
      <c r="AH769" s="12">
        <v>0</v>
      </c>
      <c r="AI769" s="12">
        <v>2</v>
      </c>
      <c r="AJ769" s="12" t="s">
        <v>57</v>
      </c>
      <c r="AK769" s="12">
        <v>1</v>
      </c>
      <c r="AL769" s="12">
        <v>0</v>
      </c>
      <c r="AM769" s="12">
        <v>4107</v>
      </c>
      <c r="AN769" s="12">
        <f t="shared" si="167"/>
        <v>4107</v>
      </c>
      <c r="AO769" s="12">
        <v>3</v>
      </c>
      <c r="AP769" s="12" t="s">
        <v>59</v>
      </c>
      <c r="AQ769" s="12">
        <v>0</v>
      </c>
      <c r="AR769" s="12">
        <v>15</v>
      </c>
      <c r="AS769" s="12">
        <v>3</v>
      </c>
      <c r="AT769" s="12">
        <v>1</v>
      </c>
      <c r="AU769" s="12">
        <v>0</v>
      </c>
      <c r="AV769" s="12">
        <v>8</v>
      </c>
      <c r="AW769" s="12">
        <f t="shared" si="168"/>
        <v>8</v>
      </c>
      <c r="AX769" s="12">
        <v>3</v>
      </c>
      <c r="AY769" s="12">
        <v>2</v>
      </c>
      <c r="AZ769" s="12">
        <v>4</v>
      </c>
      <c r="BA769" s="12">
        <f t="shared" si="169"/>
        <v>4</v>
      </c>
      <c r="BB769" s="12">
        <v>3</v>
      </c>
      <c r="BC769" s="12">
        <v>0</v>
      </c>
      <c r="BD769" s="12">
        <f t="shared" si="178"/>
        <v>0</v>
      </c>
      <c r="BE769" s="12">
        <v>1</v>
      </c>
      <c r="BF769" s="12">
        <f t="shared" si="170"/>
        <v>1</v>
      </c>
      <c r="BG769" s="12">
        <f t="shared" si="179"/>
        <v>2</v>
      </c>
      <c r="BH769" s="67">
        <v>1</v>
      </c>
      <c r="BI769" s="67">
        <v>0</v>
      </c>
      <c r="BJ769" s="67">
        <v>0</v>
      </c>
      <c r="BK769" s="67">
        <v>0</v>
      </c>
      <c r="BL769" s="67">
        <v>1</v>
      </c>
      <c r="BM769" s="67">
        <v>0</v>
      </c>
      <c r="BN769" s="67">
        <v>0</v>
      </c>
      <c r="BO769" s="67">
        <v>0</v>
      </c>
      <c r="BP769" s="67">
        <v>0</v>
      </c>
      <c r="BQ769" s="67">
        <v>1</v>
      </c>
      <c r="BR769" s="67">
        <v>0</v>
      </c>
      <c r="BS769" s="67">
        <v>0</v>
      </c>
      <c r="BT769" s="67">
        <v>8</v>
      </c>
      <c r="BU769" s="70">
        <v>0</v>
      </c>
      <c r="BV769" s="29">
        <f t="shared" si="171"/>
        <v>0.50891106331277824</v>
      </c>
      <c r="BW769">
        <f t="shared" si="172"/>
        <v>0.87528310193156111</v>
      </c>
      <c r="BX769">
        <f t="shared" si="173"/>
        <v>0.42149901815843233</v>
      </c>
      <c r="BY769">
        <f t="shared" si="174"/>
        <v>0.49100643357776058</v>
      </c>
      <c r="BZ769">
        <f t="shared" si="175"/>
        <v>0.76386092994953758</v>
      </c>
      <c r="CA769">
        <f t="shared" si="176"/>
        <v>8.3401599596422994E-3</v>
      </c>
      <c r="CB769">
        <f t="shared" si="177"/>
        <v>0.67891464284095016</v>
      </c>
    </row>
    <row r="770" spans="1:80" x14ac:dyDescent="0.45">
      <c r="A770" s="11">
        <v>40</v>
      </c>
      <c r="B770" s="12">
        <f t="shared" ref="B770:B833" si="180">IF(A770&gt;$CD$29,$CD$29,IF(A770&lt;$CD$30,$CD$30,A770))</f>
        <v>40</v>
      </c>
      <c r="C770" s="12" t="s">
        <v>59</v>
      </c>
      <c r="D770" s="12">
        <v>0</v>
      </c>
      <c r="E770" s="12" t="s">
        <v>53</v>
      </c>
      <c r="F770" s="12">
        <v>0</v>
      </c>
      <c r="G770" s="12">
        <v>1</v>
      </c>
      <c r="H770" s="12" t="s">
        <v>54</v>
      </c>
      <c r="I770" s="12">
        <v>0</v>
      </c>
      <c r="J770" s="12">
        <v>1</v>
      </c>
      <c r="K770" s="12">
        <v>26</v>
      </c>
      <c r="L770" s="12">
        <f t="shared" ref="L770:L833" si="181">IF(K770&gt;$CD$25,$CD$25,IF(K770&lt;$CD$26,$CD$26,K770))</f>
        <v>26</v>
      </c>
      <c r="M770" s="12">
        <v>3</v>
      </c>
      <c r="N770" s="12" t="s">
        <v>90</v>
      </c>
      <c r="O770" s="12">
        <v>0</v>
      </c>
      <c r="P770" s="12">
        <v>0</v>
      </c>
      <c r="Q770" s="12">
        <v>0</v>
      </c>
      <c r="R770" s="12">
        <v>1</v>
      </c>
      <c r="S770" s="12">
        <v>0</v>
      </c>
      <c r="T770" s="12">
        <v>3</v>
      </c>
      <c r="U770" s="12" t="s">
        <v>62</v>
      </c>
      <c r="V770" s="12">
        <v>0</v>
      </c>
      <c r="W770" s="12">
        <v>74</v>
      </c>
      <c r="X770" s="12">
        <v>3</v>
      </c>
      <c r="Y770" s="12">
        <v>2</v>
      </c>
      <c r="Z770" s="12" t="s">
        <v>56</v>
      </c>
      <c r="AA770" s="12">
        <v>0</v>
      </c>
      <c r="AB770" s="12">
        <v>1</v>
      </c>
      <c r="AC770" s="12">
        <v>0</v>
      </c>
      <c r="AD770" s="12">
        <v>0</v>
      </c>
      <c r="AE770" s="12">
        <v>0</v>
      </c>
      <c r="AF770" s="12">
        <v>0</v>
      </c>
      <c r="AG770" s="12">
        <v>0</v>
      </c>
      <c r="AH770" s="12">
        <v>0</v>
      </c>
      <c r="AI770" s="12">
        <v>1</v>
      </c>
      <c r="AJ770" s="12" t="s">
        <v>64</v>
      </c>
      <c r="AK770" s="12">
        <v>0</v>
      </c>
      <c r="AL770" s="12">
        <v>1</v>
      </c>
      <c r="AM770" s="12">
        <v>8396</v>
      </c>
      <c r="AN770" s="12">
        <f t="shared" ref="AN770:AN833" si="182">IF(AM770&gt;$CD$8,$CD$8,IF(AM770&lt;$CD$9,$CD$9,AM770))</f>
        <v>8396</v>
      </c>
      <c r="AO770" s="12">
        <v>1</v>
      </c>
      <c r="AP770" s="12" t="s">
        <v>59</v>
      </c>
      <c r="AQ770" s="12">
        <v>0</v>
      </c>
      <c r="AR770" s="12">
        <v>14</v>
      </c>
      <c r="AS770" s="12">
        <v>3</v>
      </c>
      <c r="AT770" s="12">
        <v>2</v>
      </c>
      <c r="AU770" s="12">
        <v>1</v>
      </c>
      <c r="AV770" s="12">
        <v>8</v>
      </c>
      <c r="AW770" s="12">
        <f t="shared" ref="AW770:AW833" si="183">IF(AV770&gt;$CD$17,$CD$17,IF(AV770&lt;$CD$18,$CD$18,AV770))</f>
        <v>8</v>
      </c>
      <c r="AX770" s="12">
        <v>3</v>
      </c>
      <c r="AY770" s="12">
        <v>2</v>
      </c>
      <c r="AZ770" s="12">
        <v>7</v>
      </c>
      <c r="BA770" s="12">
        <f t="shared" ref="BA770:BA833" si="184">IF(AZ770&gt; $CD$21,$CD$21,IF(AZ770&lt;$CD$22,$CD$22,AZ770))</f>
        <v>7</v>
      </c>
      <c r="BB770" s="12">
        <v>7</v>
      </c>
      <c r="BC770" s="12">
        <v>7</v>
      </c>
      <c r="BD770" s="12">
        <f t="shared" si="178"/>
        <v>7</v>
      </c>
      <c r="BE770" s="12">
        <v>5</v>
      </c>
      <c r="BF770" s="12">
        <f t="shared" ref="BF770:BF833" si="185">IF(BE770&gt;$CD$12,$CD$12,IF(BE770&lt;$CD$13,$CD$13,BE770))</f>
        <v>5</v>
      </c>
      <c r="BG770" s="12">
        <f t="shared" si="179"/>
        <v>10</v>
      </c>
      <c r="BH770" s="67">
        <v>0</v>
      </c>
      <c r="BI770" s="67">
        <v>1</v>
      </c>
      <c r="BJ770" s="67">
        <v>0</v>
      </c>
      <c r="BK770" s="67">
        <v>0</v>
      </c>
      <c r="BL770" s="67">
        <v>0</v>
      </c>
      <c r="BM770" s="67">
        <v>0</v>
      </c>
      <c r="BN770" s="67">
        <v>1</v>
      </c>
      <c r="BO770" s="67">
        <v>0</v>
      </c>
      <c r="BP770" s="67">
        <v>0</v>
      </c>
      <c r="BQ770" s="67">
        <v>0</v>
      </c>
      <c r="BR770" s="67">
        <v>5</v>
      </c>
      <c r="BS770" s="67">
        <v>0</v>
      </c>
      <c r="BT770" s="67">
        <v>0</v>
      </c>
      <c r="BU770" s="70">
        <v>8</v>
      </c>
      <c r="BV770" s="29">
        <f t="shared" ref="BV770:BV833" si="186">ABS((AM770-AVERAGE(AM:AM))/_xlfn.STDEV.S(AM:AM))</f>
        <v>0.40209984812929611</v>
      </c>
      <c r="BW770">
        <f t="shared" ref="BW770:BW833" si="187">ABS((BE770-AVERAGE(BE:BE))/_xlfn.STDEV.S(BE:BE))</f>
        <v>0.24575036340443959</v>
      </c>
      <c r="BX770">
        <f t="shared" ref="BX770:BX833" si="188">ABS((AV770-AVERAGE(AV:AV))/_xlfn.STDEV.S(AV:AV))</f>
        <v>0.42149901815843233</v>
      </c>
      <c r="BY770">
        <f t="shared" ref="BY770:BY833" si="189">ABS((AZ770-AVERAGE(AZ:AZ))/_xlfn.STDEV.S(AZ:AZ))</f>
        <v>1.3324462240916321E-3</v>
      </c>
      <c r="BZ770">
        <f t="shared" ref="BZ770:BZ833" si="190">ABS((K770-AVERAGE(K:K))/_xlfn.STDEV.S(K:K))</f>
        <v>2.0732409091797459</v>
      </c>
      <c r="CA770">
        <f t="shared" ref="CA770:CA833" si="191">ABS((A770-AVERAGE(A:A))/_xlfn.STDEV.S(A:A))</f>
        <v>0.33673395837055903</v>
      </c>
      <c r="CB770">
        <f t="shared" ref="CB770:CB833" si="192">ABS((BC770-AVERAGE(BC:BC))/_xlfn.STDEV.S(BC:BC))</f>
        <v>1.4933588878908215</v>
      </c>
    </row>
    <row r="771" spans="1:80" x14ac:dyDescent="0.45">
      <c r="A771" s="11">
        <v>26</v>
      </c>
      <c r="B771" s="12">
        <f t="shared" si="180"/>
        <v>26</v>
      </c>
      <c r="C771" s="12" t="s">
        <v>59</v>
      </c>
      <c r="D771" s="12">
        <v>0</v>
      </c>
      <c r="E771" s="12" t="s">
        <v>60</v>
      </c>
      <c r="F771" s="12">
        <v>1</v>
      </c>
      <c r="G771" s="12">
        <v>0</v>
      </c>
      <c r="H771" s="12" t="s">
        <v>61</v>
      </c>
      <c r="I771" s="12">
        <v>1</v>
      </c>
      <c r="J771" s="12">
        <v>0</v>
      </c>
      <c r="K771" s="12">
        <v>1</v>
      </c>
      <c r="L771" s="12">
        <f t="shared" si="181"/>
        <v>1</v>
      </c>
      <c r="M771" s="12">
        <v>1</v>
      </c>
      <c r="N771" s="12" t="s">
        <v>70</v>
      </c>
      <c r="O771" s="12">
        <v>0</v>
      </c>
      <c r="P771" s="12">
        <v>0</v>
      </c>
      <c r="Q771" s="12">
        <v>1</v>
      </c>
      <c r="R771" s="12">
        <v>0</v>
      </c>
      <c r="S771" s="12">
        <v>0</v>
      </c>
      <c r="T771" s="12">
        <v>1</v>
      </c>
      <c r="U771" s="12" t="s">
        <v>19</v>
      </c>
      <c r="V771" s="12">
        <v>1</v>
      </c>
      <c r="W771" s="12">
        <v>66</v>
      </c>
      <c r="X771" s="12">
        <v>2</v>
      </c>
      <c r="Y771" s="12">
        <v>1</v>
      </c>
      <c r="Z771" s="12" t="s">
        <v>63</v>
      </c>
      <c r="AA771" s="12">
        <v>0</v>
      </c>
      <c r="AB771" s="12">
        <v>0</v>
      </c>
      <c r="AC771" s="12">
        <v>0</v>
      </c>
      <c r="AD771" s="12">
        <v>0</v>
      </c>
      <c r="AE771" s="12">
        <v>0</v>
      </c>
      <c r="AF771" s="12">
        <v>0</v>
      </c>
      <c r="AG771" s="12">
        <v>0</v>
      </c>
      <c r="AH771" s="12">
        <v>1</v>
      </c>
      <c r="AI771" s="12">
        <v>3</v>
      </c>
      <c r="AJ771" s="12" t="s">
        <v>78</v>
      </c>
      <c r="AK771" s="12">
        <v>0</v>
      </c>
      <c r="AL771" s="12">
        <v>0</v>
      </c>
      <c r="AM771" s="12">
        <v>2007</v>
      </c>
      <c r="AN771" s="12">
        <f t="shared" si="182"/>
        <v>2007</v>
      </c>
      <c r="AO771" s="12">
        <v>1</v>
      </c>
      <c r="AP771" s="12" t="s">
        <v>59</v>
      </c>
      <c r="AQ771" s="12">
        <v>0</v>
      </c>
      <c r="AR771" s="12">
        <v>13</v>
      </c>
      <c r="AS771" s="12">
        <v>3</v>
      </c>
      <c r="AT771" s="12">
        <v>3</v>
      </c>
      <c r="AU771" s="12">
        <v>2</v>
      </c>
      <c r="AV771" s="12">
        <v>5</v>
      </c>
      <c r="AW771" s="12">
        <f t="shared" si="183"/>
        <v>5</v>
      </c>
      <c r="AX771" s="12">
        <v>5</v>
      </c>
      <c r="AY771" s="12">
        <v>3</v>
      </c>
      <c r="AZ771" s="12">
        <v>5</v>
      </c>
      <c r="BA771" s="12">
        <f t="shared" si="184"/>
        <v>5</v>
      </c>
      <c r="BB771" s="12">
        <v>3</v>
      </c>
      <c r="BC771" s="12">
        <v>1</v>
      </c>
      <c r="BD771" s="12">
        <f t="shared" ref="BD771:BD834" si="193">IF(BC771&gt;$CD$33,$CD$33,BC771)</f>
        <v>1</v>
      </c>
      <c r="BE771" s="12">
        <v>3</v>
      </c>
      <c r="BF771" s="12">
        <f t="shared" si="185"/>
        <v>3</v>
      </c>
      <c r="BG771" s="12">
        <f t="shared" ref="BG771:BG834" si="194">BF771*Y771</f>
        <v>3</v>
      </c>
      <c r="BH771" s="67">
        <v>0</v>
      </c>
      <c r="BI771" s="67">
        <v>0</v>
      </c>
      <c r="BJ771" s="67">
        <v>1</v>
      </c>
      <c r="BK771" s="67">
        <v>0</v>
      </c>
      <c r="BL771" s="67">
        <v>1</v>
      </c>
      <c r="BM771" s="67">
        <v>0</v>
      </c>
      <c r="BN771" s="67">
        <v>0</v>
      </c>
      <c r="BO771" s="67">
        <v>0</v>
      </c>
      <c r="BP771" s="67">
        <v>0</v>
      </c>
      <c r="BQ771" s="67">
        <v>3</v>
      </c>
      <c r="BR771" s="67">
        <v>0</v>
      </c>
      <c r="BS771" s="67">
        <v>0</v>
      </c>
      <c r="BT771" s="67">
        <v>5</v>
      </c>
      <c r="BU771" s="70">
        <v>0</v>
      </c>
      <c r="BV771" s="29">
        <f t="shared" si="186"/>
        <v>0.9549644356672562</v>
      </c>
      <c r="BW771">
        <f t="shared" si="187"/>
        <v>0.31476636926356072</v>
      </c>
      <c r="BX771">
        <f t="shared" si="188"/>
        <v>0.80706439257840468</v>
      </c>
      <c r="BY771">
        <f t="shared" si="189"/>
        <v>0.32778177112653761</v>
      </c>
      <c r="BZ771">
        <f t="shared" si="190"/>
        <v>1.01056543769991</v>
      </c>
      <c r="CA771">
        <f t="shared" si="191"/>
        <v>1.195770434213719</v>
      </c>
      <c r="CB771">
        <f t="shared" si="192"/>
        <v>0.36858985273641137</v>
      </c>
    </row>
    <row r="772" spans="1:80" x14ac:dyDescent="0.45">
      <c r="A772" s="11">
        <v>46</v>
      </c>
      <c r="B772" s="12">
        <f t="shared" si="180"/>
        <v>46</v>
      </c>
      <c r="C772" s="12" t="s">
        <v>59</v>
      </c>
      <c r="D772" s="12">
        <v>0</v>
      </c>
      <c r="E772" s="12" t="s">
        <v>53</v>
      </c>
      <c r="F772" s="12">
        <v>0</v>
      </c>
      <c r="G772" s="12">
        <v>1</v>
      </c>
      <c r="H772" s="12" t="s">
        <v>61</v>
      </c>
      <c r="I772" s="12">
        <v>1</v>
      </c>
      <c r="J772" s="12">
        <v>0</v>
      </c>
      <c r="K772" s="12">
        <v>1</v>
      </c>
      <c r="L772" s="12">
        <f t="shared" si="181"/>
        <v>1</v>
      </c>
      <c r="M772" s="12">
        <v>4</v>
      </c>
      <c r="N772" s="12" t="s">
        <v>70</v>
      </c>
      <c r="O772" s="12">
        <v>0</v>
      </c>
      <c r="P772" s="12">
        <v>0</v>
      </c>
      <c r="Q772" s="12">
        <v>1</v>
      </c>
      <c r="R772" s="12">
        <v>0</v>
      </c>
      <c r="S772" s="12">
        <v>0</v>
      </c>
      <c r="T772" s="12">
        <v>4</v>
      </c>
      <c r="U772" s="12" t="s">
        <v>62</v>
      </c>
      <c r="V772" s="12">
        <v>0</v>
      </c>
      <c r="W772" s="12">
        <v>40</v>
      </c>
      <c r="X772" s="12">
        <v>3</v>
      </c>
      <c r="Y772" s="12">
        <v>5</v>
      </c>
      <c r="Z772" s="12" t="s">
        <v>89</v>
      </c>
      <c r="AA772" s="12">
        <v>0</v>
      </c>
      <c r="AB772" s="12">
        <v>0</v>
      </c>
      <c r="AC772" s="12">
        <v>0</v>
      </c>
      <c r="AD772" s="12">
        <v>0</v>
      </c>
      <c r="AE772" s="12">
        <v>0</v>
      </c>
      <c r="AF772" s="12">
        <v>0</v>
      </c>
      <c r="AG772" s="12">
        <v>0</v>
      </c>
      <c r="AH772" s="12">
        <v>0</v>
      </c>
      <c r="AI772" s="12">
        <v>4</v>
      </c>
      <c r="AJ772" s="12" t="s">
        <v>78</v>
      </c>
      <c r="AK772" s="12">
        <v>0</v>
      </c>
      <c r="AL772" s="12">
        <v>0</v>
      </c>
      <c r="AM772" s="12">
        <v>19627</v>
      </c>
      <c r="AN772" s="12">
        <f t="shared" si="182"/>
        <v>19626.310000000001</v>
      </c>
      <c r="AO772" s="12">
        <v>9</v>
      </c>
      <c r="AP772" s="12" t="s">
        <v>59</v>
      </c>
      <c r="AQ772" s="12">
        <v>0</v>
      </c>
      <c r="AR772" s="12">
        <v>17</v>
      </c>
      <c r="AS772" s="12">
        <v>3</v>
      </c>
      <c r="AT772" s="12">
        <v>4</v>
      </c>
      <c r="AU772" s="12">
        <v>2</v>
      </c>
      <c r="AV772" s="12">
        <v>23</v>
      </c>
      <c r="AW772" s="12">
        <f t="shared" si="183"/>
        <v>23</v>
      </c>
      <c r="AX772" s="12">
        <v>0</v>
      </c>
      <c r="AY772" s="12">
        <v>3</v>
      </c>
      <c r="AZ772" s="12">
        <v>2</v>
      </c>
      <c r="BA772" s="12">
        <f t="shared" si="184"/>
        <v>2</v>
      </c>
      <c r="BB772" s="12">
        <v>2</v>
      </c>
      <c r="BC772" s="12">
        <v>2</v>
      </c>
      <c r="BD772" s="12">
        <f t="shared" si="193"/>
        <v>2</v>
      </c>
      <c r="BE772" s="12">
        <v>2</v>
      </c>
      <c r="BF772" s="12">
        <f t="shared" si="185"/>
        <v>2</v>
      </c>
      <c r="BG772" s="12">
        <f t="shared" si="194"/>
        <v>10</v>
      </c>
      <c r="BH772" s="67">
        <v>1</v>
      </c>
      <c r="BI772" s="67">
        <v>0</v>
      </c>
      <c r="BJ772" s="67">
        <v>0</v>
      </c>
      <c r="BK772" s="67">
        <v>0</v>
      </c>
      <c r="BL772" s="67">
        <v>1</v>
      </c>
      <c r="BM772" s="67">
        <v>0</v>
      </c>
      <c r="BN772" s="67">
        <v>0</v>
      </c>
      <c r="BO772" s="67">
        <v>0</v>
      </c>
      <c r="BP772" s="67">
        <v>0</v>
      </c>
      <c r="BQ772" s="67">
        <v>2</v>
      </c>
      <c r="BR772" s="67">
        <v>0</v>
      </c>
      <c r="BS772" s="67">
        <v>0</v>
      </c>
      <c r="BT772" s="67">
        <v>23</v>
      </c>
      <c r="BU772" s="70">
        <v>0</v>
      </c>
      <c r="BV772" s="29">
        <f t="shared" si="186"/>
        <v>2.7876357647546022</v>
      </c>
      <c r="BW772">
        <f t="shared" si="187"/>
        <v>0.59502473559756086</v>
      </c>
      <c r="BX772">
        <f t="shared" si="188"/>
        <v>1.5063278539414293</v>
      </c>
      <c r="BY772">
        <f t="shared" si="189"/>
        <v>0.81745575848020657</v>
      </c>
      <c r="BZ772">
        <f t="shared" si="190"/>
        <v>1.01056543769991</v>
      </c>
      <c r="CA772">
        <f t="shared" si="191"/>
        <v>0.99352155519239249</v>
      </c>
      <c r="CB772">
        <f t="shared" si="192"/>
        <v>5.8265062631872602E-2</v>
      </c>
    </row>
    <row r="773" spans="1:80" x14ac:dyDescent="0.45">
      <c r="A773" s="11">
        <v>54</v>
      </c>
      <c r="B773" s="12">
        <f t="shared" si="180"/>
        <v>54</v>
      </c>
      <c r="C773" s="12" t="s">
        <v>59</v>
      </c>
      <c r="D773" s="12">
        <v>0</v>
      </c>
      <c r="E773" s="12" t="s">
        <v>53</v>
      </c>
      <c r="F773" s="12">
        <v>0</v>
      </c>
      <c r="G773" s="12">
        <v>1</v>
      </c>
      <c r="H773" s="12" t="s">
        <v>54</v>
      </c>
      <c r="I773" s="12">
        <v>0</v>
      </c>
      <c r="J773" s="12">
        <v>1</v>
      </c>
      <c r="K773" s="12">
        <v>2</v>
      </c>
      <c r="L773" s="12">
        <f t="shared" si="181"/>
        <v>2</v>
      </c>
      <c r="M773" s="12">
        <v>4</v>
      </c>
      <c r="N773" s="12" t="s">
        <v>55</v>
      </c>
      <c r="O773" s="12">
        <v>1</v>
      </c>
      <c r="P773" s="12">
        <v>0</v>
      </c>
      <c r="Q773" s="12">
        <v>0</v>
      </c>
      <c r="R773" s="12">
        <v>0</v>
      </c>
      <c r="S773" s="12">
        <v>0</v>
      </c>
      <c r="T773" s="12">
        <v>3</v>
      </c>
      <c r="U773" s="12" t="s">
        <v>19</v>
      </c>
      <c r="V773" s="12">
        <v>1</v>
      </c>
      <c r="W773" s="12">
        <v>41</v>
      </c>
      <c r="X773" s="12">
        <v>2</v>
      </c>
      <c r="Y773" s="12">
        <v>3</v>
      </c>
      <c r="Z773" s="12" t="s">
        <v>56</v>
      </c>
      <c r="AA773" s="12">
        <v>0</v>
      </c>
      <c r="AB773" s="12">
        <v>1</v>
      </c>
      <c r="AC773" s="12">
        <v>0</v>
      </c>
      <c r="AD773" s="12">
        <v>0</v>
      </c>
      <c r="AE773" s="12">
        <v>0</v>
      </c>
      <c r="AF773" s="12">
        <v>0</v>
      </c>
      <c r="AG773" s="12">
        <v>0</v>
      </c>
      <c r="AH773" s="12">
        <v>0</v>
      </c>
      <c r="AI773" s="12">
        <v>3</v>
      </c>
      <c r="AJ773" s="12" t="s">
        <v>64</v>
      </c>
      <c r="AK773" s="12">
        <v>0</v>
      </c>
      <c r="AL773" s="12">
        <v>1</v>
      </c>
      <c r="AM773" s="12">
        <v>10686</v>
      </c>
      <c r="AN773" s="12">
        <f t="shared" si="182"/>
        <v>10686</v>
      </c>
      <c r="AO773" s="12">
        <v>6</v>
      </c>
      <c r="AP773" s="12" t="s">
        <v>59</v>
      </c>
      <c r="AQ773" s="12">
        <v>0</v>
      </c>
      <c r="AR773" s="12">
        <v>11</v>
      </c>
      <c r="AS773" s="12">
        <v>3</v>
      </c>
      <c r="AT773" s="12">
        <v>2</v>
      </c>
      <c r="AU773" s="12">
        <v>1</v>
      </c>
      <c r="AV773" s="12">
        <v>13</v>
      </c>
      <c r="AW773" s="12">
        <f t="shared" si="183"/>
        <v>13</v>
      </c>
      <c r="AX773" s="12">
        <v>4</v>
      </c>
      <c r="AY773" s="12">
        <v>3</v>
      </c>
      <c r="AZ773" s="12">
        <v>9</v>
      </c>
      <c r="BA773" s="12">
        <f t="shared" si="184"/>
        <v>9</v>
      </c>
      <c r="BB773" s="12">
        <v>4</v>
      </c>
      <c r="BC773" s="12">
        <v>7</v>
      </c>
      <c r="BD773" s="12">
        <f t="shared" si="193"/>
        <v>7</v>
      </c>
      <c r="BE773" s="12">
        <v>0</v>
      </c>
      <c r="BF773" s="12">
        <f t="shared" si="185"/>
        <v>0</v>
      </c>
      <c r="BG773" s="12">
        <f t="shared" si="194"/>
        <v>0</v>
      </c>
      <c r="BH773" s="67">
        <v>0</v>
      </c>
      <c r="BI773" s="67">
        <v>1</v>
      </c>
      <c r="BJ773" s="67">
        <v>0</v>
      </c>
      <c r="BK773" s="67">
        <v>0</v>
      </c>
      <c r="BL773" s="67">
        <v>0</v>
      </c>
      <c r="BM773" s="67">
        <v>0</v>
      </c>
      <c r="BN773" s="67">
        <v>1</v>
      </c>
      <c r="BO773" s="67">
        <v>0</v>
      </c>
      <c r="BP773" s="67">
        <v>0</v>
      </c>
      <c r="BQ773" s="67">
        <v>0</v>
      </c>
      <c r="BR773" s="67">
        <v>0</v>
      </c>
      <c r="BS773" s="67">
        <v>0</v>
      </c>
      <c r="BT773" s="67">
        <v>0</v>
      </c>
      <c r="BU773" s="70">
        <v>13</v>
      </c>
      <c r="BV773" s="29">
        <f t="shared" si="186"/>
        <v>0.888510430363465</v>
      </c>
      <c r="BW773">
        <f t="shared" si="187"/>
        <v>1.1555414682655611</v>
      </c>
      <c r="BX773">
        <f t="shared" si="188"/>
        <v>0.22110993920818819</v>
      </c>
      <c r="BY773">
        <f t="shared" si="189"/>
        <v>0.32511687867835437</v>
      </c>
      <c r="BZ773">
        <f t="shared" si="190"/>
        <v>0.88721318382472392</v>
      </c>
      <c r="CA773">
        <f t="shared" si="191"/>
        <v>1.8692383509548371</v>
      </c>
      <c r="CB773">
        <f t="shared" si="192"/>
        <v>1.4933588878908215</v>
      </c>
    </row>
    <row r="774" spans="1:80" x14ac:dyDescent="0.45">
      <c r="A774" s="11">
        <v>56</v>
      </c>
      <c r="B774" s="12">
        <f t="shared" si="180"/>
        <v>56</v>
      </c>
      <c r="C774" s="12" t="s">
        <v>59</v>
      </c>
      <c r="D774" s="12">
        <v>0</v>
      </c>
      <c r="E774" s="12" t="s">
        <v>60</v>
      </c>
      <c r="F774" s="12">
        <v>1</v>
      </c>
      <c r="G774" s="12">
        <v>0</v>
      </c>
      <c r="H774" s="12" t="s">
        <v>61</v>
      </c>
      <c r="I774" s="12">
        <v>1</v>
      </c>
      <c r="J774" s="12">
        <v>0</v>
      </c>
      <c r="K774" s="12">
        <v>9</v>
      </c>
      <c r="L774" s="12">
        <f t="shared" si="181"/>
        <v>9</v>
      </c>
      <c r="M774" s="12">
        <v>3</v>
      </c>
      <c r="N774" s="12" t="s">
        <v>70</v>
      </c>
      <c r="O774" s="12">
        <v>0</v>
      </c>
      <c r="P774" s="12">
        <v>0</v>
      </c>
      <c r="Q774" s="12">
        <v>1</v>
      </c>
      <c r="R774" s="12">
        <v>0</v>
      </c>
      <c r="S774" s="12">
        <v>0</v>
      </c>
      <c r="T774" s="12">
        <v>1</v>
      </c>
      <c r="U774" s="12" t="s">
        <v>19</v>
      </c>
      <c r="V774" s="12">
        <v>1</v>
      </c>
      <c r="W774" s="12">
        <v>63</v>
      </c>
      <c r="X774" s="12">
        <v>3</v>
      </c>
      <c r="Y774" s="12">
        <v>1</v>
      </c>
      <c r="Z774" s="12" t="s">
        <v>63</v>
      </c>
      <c r="AA774" s="12">
        <v>0</v>
      </c>
      <c r="AB774" s="12">
        <v>0</v>
      </c>
      <c r="AC774" s="12">
        <v>0</v>
      </c>
      <c r="AD774" s="12">
        <v>0</v>
      </c>
      <c r="AE774" s="12">
        <v>0</v>
      </c>
      <c r="AF774" s="12">
        <v>0</v>
      </c>
      <c r="AG774" s="12">
        <v>0</v>
      </c>
      <c r="AH774" s="12">
        <v>1</v>
      </c>
      <c r="AI774" s="12">
        <v>3</v>
      </c>
      <c r="AJ774" s="12" t="s">
        <v>64</v>
      </c>
      <c r="AK774" s="12">
        <v>0</v>
      </c>
      <c r="AL774" s="12">
        <v>1</v>
      </c>
      <c r="AM774" s="12">
        <v>2942</v>
      </c>
      <c r="AN774" s="12">
        <f t="shared" si="182"/>
        <v>2942</v>
      </c>
      <c r="AO774" s="12">
        <v>2</v>
      </c>
      <c r="AP774" s="12" t="s">
        <v>59</v>
      </c>
      <c r="AQ774" s="12">
        <v>0</v>
      </c>
      <c r="AR774" s="12">
        <v>19</v>
      </c>
      <c r="AS774" s="12">
        <v>3</v>
      </c>
      <c r="AT774" s="12">
        <v>2</v>
      </c>
      <c r="AU774" s="12">
        <v>1</v>
      </c>
      <c r="AV774" s="12">
        <v>18</v>
      </c>
      <c r="AW774" s="12">
        <f t="shared" si="183"/>
        <v>18</v>
      </c>
      <c r="AX774" s="12">
        <v>4</v>
      </c>
      <c r="AY774" s="12">
        <v>3</v>
      </c>
      <c r="AZ774" s="12">
        <v>5</v>
      </c>
      <c r="BA774" s="12">
        <f t="shared" si="184"/>
        <v>5</v>
      </c>
      <c r="BB774" s="12">
        <v>4</v>
      </c>
      <c r="BC774" s="12">
        <v>0</v>
      </c>
      <c r="BD774" s="12">
        <f t="shared" si="193"/>
        <v>0</v>
      </c>
      <c r="BE774" s="12">
        <v>3</v>
      </c>
      <c r="BF774" s="12">
        <f t="shared" si="185"/>
        <v>3</v>
      </c>
      <c r="BG774" s="12">
        <f t="shared" si="194"/>
        <v>3</v>
      </c>
      <c r="BH774" s="67">
        <v>0</v>
      </c>
      <c r="BI774" s="67">
        <v>0</v>
      </c>
      <c r="BJ774" s="67">
        <v>0</v>
      </c>
      <c r="BK774" s="67">
        <v>1</v>
      </c>
      <c r="BL774" s="67">
        <v>0</v>
      </c>
      <c r="BM774" s="67">
        <v>0</v>
      </c>
      <c r="BN774" s="67">
        <v>1</v>
      </c>
      <c r="BO774" s="67">
        <v>0</v>
      </c>
      <c r="BP774" s="67">
        <v>0</v>
      </c>
      <c r="BQ774" s="67">
        <v>3</v>
      </c>
      <c r="BR774" s="67">
        <v>0</v>
      </c>
      <c r="BS774" s="67">
        <v>0</v>
      </c>
      <c r="BT774" s="67">
        <v>18</v>
      </c>
      <c r="BU774" s="70">
        <v>0</v>
      </c>
      <c r="BV774" s="29">
        <f t="shared" si="186"/>
        <v>0.75636448178561966</v>
      </c>
      <c r="BW774">
        <f t="shared" si="187"/>
        <v>0.31476636926356072</v>
      </c>
      <c r="BX774">
        <f t="shared" si="188"/>
        <v>0.86371889657480871</v>
      </c>
      <c r="BY774">
        <f t="shared" si="189"/>
        <v>0.32778177112653761</v>
      </c>
      <c r="BZ774">
        <f t="shared" si="190"/>
        <v>2.3747406698420157E-2</v>
      </c>
      <c r="CA774">
        <f t="shared" si="191"/>
        <v>2.0881675498954482</v>
      </c>
      <c r="CB774">
        <f t="shared" si="192"/>
        <v>0.67891464284095016</v>
      </c>
    </row>
    <row r="775" spans="1:80" x14ac:dyDescent="0.45">
      <c r="A775" s="11">
        <v>36</v>
      </c>
      <c r="B775" s="12">
        <f t="shared" si="180"/>
        <v>36</v>
      </c>
      <c r="C775" s="12" t="s">
        <v>59</v>
      </c>
      <c r="D775" s="12">
        <v>0</v>
      </c>
      <c r="E775" s="12" t="s">
        <v>53</v>
      </c>
      <c r="F775" s="12">
        <v>0</v>
      </c>
      <c r="G775" s="12">
        <v>1</v>
      </c>
      <c r="H775" s="12" t="s">
        <v>61</v>
      </c>
      <c r="I775" s="12">
        <v>1</v>
      </c>
      <c r="J775" s="12">
        <v>0</v>
      </c>
      <c r="K775" s="12">
        <v>12</v>
      </c>
      <c r="L775" s="12">
        <f t="shared" si="181"/>
        <v>12</v>
      </c>
      <c r="M775" s="12">
        <v>5</v>
      </c>
      <c r="N775" s="12" t="s">
        <v>70</v>
      </c>
      <c r="O775" s="12">
        <v>0</v>
      </c>
      <c r="P775" s="12">
        <v>0</v>
      </c>
      <c r="Q775" s="12">
        <v>1</v>
      </c>
      <c r="R775" s="12">
        <v>0</v>
      </c>
      <c r="S775" s="12">
        <v>0</v>
      </c>
      <c r="T775" s="12">
        <v>4</v>
      </c>
      <c r="U775" s="12" t="s">
        <v>19</v>
      </c>
      <c r="V775" s="12">
        <v>1</v>
      </c>
      <c r="W775" s="12">
        <v>51</v>
      </c>
      <c r="X775" s="12">
        <v>2</v>
      </c>
      <c r="Y775" s="12">
        <v>3</v>
      </c>
      <c r="Z775" s="12" t="s">
        <v>83</v>
      </c>
      <c r="AA775" s="12">
        <v>0</v>
      </c>
      <c r="AB775" s="12">
        <v>0</v>
      </c>
      <c r="AC775" s="12">
        <v>0</v>
      </c>
      <c r="AD775" s="12">
        <v>0</v>
      </c>
      <c r="AE775" s="12">
        <v>1</v>
      </c>
      <c r="AF775" s="12">
        <v>1</v>
      </c>
      <c r="AG775" s="12">
        <v>0</v>
      </c>
      <c r="AH775" s="12">
        <v>0</v>
      </c>
      <c r="AI775" s="12">
        <v>4</v>
      </c>
      <c r="AJ775" s="12" t="s">
        <v>57</v>
      </c>
      <c r="AK775" s="12">
        <v>1</v>
      </c>
      <c r="AL775" s="12">
        <v>0</v>
      </c>
      <c r="AM775" s="12">
        <v>8858</v>
      </c>
      <c r="AN775" s="12">
        <f t="shared" si="182"/>
        <v>8858</v>
      </c>
      <c r="AO775" s="12">
        <v>0</v>
      </c>
      <c r="AP775" s="12" t="s">
        <v>59</v>
      </c>
      <c r="AQ775" s="12">
        <v>0</v>
      </c>
      <c r="AR775" s="12">
        <v>11</v>
      </c>
      <c r="AS775" s="12">
        <v>3</v>
      </c>
      <c r="AT775" s="12">
        <v>2</v>
      </c>
      <c r="AU775" s="12">
        <v>0</v>
      </c>
      <c r="AV775" s="12">
        <v>15</v>
      </c>
      <c r="AW775" s="12">
        <f t="shared" si="183"/>
        <v>15</v>
      </c>
      <c r="AX775" s="12">
        <v>2</v>
      </c>
      <c r="AY775" s="12">
        <v>2</v>
      </c>
      <c r="AZ775" s="12">
        <v>14</v>
      </c>
      <c r="BA775" s="12">
        <f t="shared" si="184"/>
        <v>14</v>
      </c>
      <c r="BB775" s="12">
        <v>8</v>
      </c>
      <c r="BC775" s="12">
        <v>7</v>
      </c>
      <c r="BD775" s="12">
        <f t="shared" si="193"/>
        <v>7</v>
      </c>
      <c r="BE775" s="12">
        <v>8</v>
      </c>
      <c r="BF775" s="12">
        <f t="shared" si="185"/>
        <v>8</v>
      </c>
      <c r="BG775" s="12">
        <f t="shared" si="194"/>
        <v>24</v>
      </c>
      <c r="BH775" s="67">
        <v>1</v>
      </c>
      <c r="BI775" s="67">
        <v>0</v>
      </c>
      <c r="BJ775" s="67">
        <v>0</v>
      </c>
      <c r="BK775" s="67">
        <v>0</v>
      </c>
      <c r="BL775" s="67">
        <v>1</v>
      </c>
      <c r="BM775" s="67">
        <v>0</v>
      </c>
      <c r="BN775" s="67">
        <v>0</v>
      </c>
      <c r="BO775" s="67">
        <v>0</v>
      </c>
      <c r="BP775" s="67">
        <v>0</v>
      </c>
      <c r="BQ775" s="67">
        <v>8</v>
      </c>
      <c r="BR775" s="67">
        <v>0</v>
      </c>
      <c r="BS775" s="67">
        <v>0</v>
      </c>
      <c r="BT775" s="67">
        <v>15</v>
      </c>
      <c r="BU775" s="70">
        <v>0</v>
      </c>
      <c r="BV775" s="29">
        <f t="shared" si="186"/>
        <v>0.50023159004728135</v>
      </c>
      <c r="BW775">
        <f t="shared" si="187"/>
        <v>1.08652546240644</v>
      </c>
      <c r="BX775">
        <f t="shared" si="188"/>
        <v>0.47815352215483642</v>
      </c>
      <c r="BY775">
        <f t="shared" si="189"/>
        <v>1.1412401909344694</v>
      </c>
      <c r="BZ775">
        <f t="shared" si="190"/>
        <v>0.3463093549271386</v>
      </c>
      <c r="CA775">
        <f t="shared" si="191"/>
        <v>0.10112443951066327</v>
      </c>
      <c r="CB775">
        <f t="shared" si="192"/>
        <v>1.4933588878908215</v>
      </c>
    </row>
    <row r="776" spans="1:80" x14ac:dyDescent="0.45">
      <c r="A776" s="11">
        <v>55</v>
      </c>
      <c r="B776" s="12">
        <f t="shared" si="180"/>
        <v>55</v>
      </c>
      <c r="C776" s="12" t="s">
        <v>59</v>
      </c>
      <c r="D776" s="12">
        <v>0</v>
      </c>
      <c r="E776" s="12" t="s">
        <v>86</v>
      </c>
      <c r="F776" s="12">
        <v>0</v>
      </c>
      <c r="G776" s="12">
        <v>0</v>
      </c>
      <c r="H776" s="12" t="s">
        <v>61</v>
      </c>
      <c r="I776" s="12">
        <v>1</v>
      </c>
      <c r="J776" s="12">
        <v>0</v>
      </c>
      <c r="K776" s="12">
        <v>2</v>
      </c>
      <c r="L776" s="12">
        <f t="shared" si="181"/>
        <v>2</v>
      </c>
      <c r="M776" s="12">
        <v>1</v>
      </c>
      <c r="N776" s="12" t="s">
        <v>70</v>
      </c>
      <c r="O776" s="12">
        <v>0</v>
      </c>
      <c r="P776" s="12">
        <v>0</v>
      </c>
      <c r="Q776" s="12">
        <v>1</v>
      </c>
      <c r="R776" s="12">
        <v>0</v>
      </c>
      <c r="S776" s="12">
        <v>0</v>
      </c>
      <c r="T776" s="12">
        <v>3</v>
      </c>
      <c r="U776" s="12" t="s">
        <v>62</v>
      </c>
      <c r="V776" s="12">
        <v>0</v>
      </c>
      <c r="W776" s="12">
        <v>40</v>
      </c>
      <c r="X776" s="12">
        <v>2</v>
      </c>
      <c r="Y776" s="12">
        <v>4</v>
      </c>
      <c r="Z776" s="12" t="s">
        <v>87</v>
      </c>
      <c r="AA776" s="12">
        <v>0</v>
      </c>
      <c r="AB776" s="12">
        <v>0</v>
      </c>
      <c r="AC776" s="12">
        <v>0</v>
      </c>
      <c r="AD776" s="12">
        <v>1</v>
      </c>
      <c r="AE776" s="12">
        <v>0</v>
      </c>
      <c r="AF776" s="12">
        <v>0</v>
      </c>
      <c r="AG776" s="12">
        <v>0</v>
      </c>
      <c r="AH776" s="12">
        <v>0</v>
      </c>
      <c r="AI776" s="12">
        <v>1</v>
      </c>
      <c r="AJ776" s="12" t="s">
        <v>57</v>
      </c>
      <c r="AK776" s="12">
        <v>1</v>
      </c>
      <c r="AL776" s="12">
        <v>0</v>
      </c>
      <c r="AM776" s="12">
        <v>16756</v>
      </c>
      <c r="AN776" s="12">
        <f t="shared" si="182"/>
        <v>16756</v>
      </c>
      <c r="AO776" s="12">
        <v>7</v>
      </c>
      <c r="AP776" s="12" t="s">
        <v>59</v>
      </c>
      <c r="AQ776" s="12">
        <v>0</v>
      </c>
      <c r="AR776" s="12">
        <v>15</v>
      </c>
      <c r="AS776" s="12">
        <v>3</v>
      </c>
      <c r="AT776" s="12">
        <v>2</v>
      </c>
      <c r="AU776" s="12">
        <v>0</v>
      </c>
      <c r="AV776" s="12">
        <v>31</v>
      </c>
      <c r="AW776" s="12">
        <f t="shared" si="183"/>
        <v>31</v>
      </c>
      <c r="AX776" s="12">
        <v>3</v>
      </c>
      <c r="AY776" s="12">
        <v>4</v>
      </c>
      <c r="AZ776" s="12">
        <v>9</v>
      </c>
      <c r="BA776" s="12">
        <f t="shared" si="184"/>
        <v>9</v>
      </c>
      <c r="BB776" s="12">
        <v>7</v>
      </c>
      <c r="BC776" s="12">
        <v>6</v>
      </c>
      <c r="BD776" s="12">
        <f t="shared" si="193"/>
        <v>6</v>
      </c>
      <c r="BE776" s="12">
        <v>2</v>
      </c>
      <c r="BF776" s="12">
        <f t="shared" si="185"/>
        <v>2</v>
      </c>
      <c r="BG776" s="12">
        <f t="shared" si="194"/>
        <v>8</v>
      </c>
      <c r="BH776" s="67">
        <v>1</v>
      </c>
      <c r="BI776" s="67">
        <v>0</v>
      </c>
      <c r="BJ776" s="67">
        <v>0</v>
      </c>
      <c r="BK776" s="67">
        <v>0</v>
      </c>
      <c r="BL776" s="67">
        <v>1</v>
      </c>
      <c r="BM776" s="67">
        <v>0</v>
      </c>
      <c r="BN776" s="67">
        <v>0</v>
      </c>
      <c r="BO776" s="67">
        <v>0</v>
      </c>
      <c r="BP776" s="67">
        <v>0</v>
      </c>
      <c r="BQ776" s="67">
        <v>2</v>
      </c>
      <c r="BR776" s="67">
        <v>0</v>
      </c>
      <c r="BS776" s="67">
        <v>0</v>
      </c>
      <c r="BT776" s="67">
        <v>31</v>
      </c>
      <c r="BU776" s="70">
        <v>0</v>
      </c>
      <c r="BV776" s="29">
        <f t="shared" si="186"/>
        <v>2.1778170828356944</v>
      </c>
      <c r="BW776">
        <f t="shared" si="187"/>
        <v>0.59502473559756086</v>
      </c>
      <c r="BX776">
        <f t="shared" si="188"/>
        <v>2.5345021857280217</v>
      </c>
      <c r="BY776">
        <f t="shared" si="189"/>
        <v>0.32511687867835437</v>
      </c>
      <c r="BZ776">
        <f t="shared" si="190"/>
        <v>0.88721318382472392</v>
      </c>
      <c r="CA776">
        <f t="shared" si="191"/>
        <v>1.9787029504251428</v>
      </c>
      <c r="CB776">
        <f t="shared" si="192"/>
        <v>1.1830340977862825</v>
      </c>
    </row>
    <row r="777" spans="1:80" x14ac:dyDescent="0.45">
      <c r="A777" s="11">
        <v>43</v>
      </c>
      <c r="B777" s="12">
        <f t="shared" si="180"/>
        <v>43</v>
      </c>
      <c r="C777" s="12" t="s">
        <v>59</v>
      </c>
      <c r="D777" s="12">
        <v>0</v>
      </c>
      <c r="E777" s="12" t="s">
        <v>53</v>
      </c>
      <c r="F777" s="12">
        <v>0</v>
      </c>
      <c r="G777" s="12">
        <v>1</v>
      </c>
      <c r="H777" s="12" t="s">
        <v>54</v>
      </c>
      <c r="I777" s="12">
        <v>0</v>
      </c>
      <c r="J777" s="12">
        <v>1</v>
      </c>
      <c r="K777" s="12">
        <v>25</v>
      </c>
      <c r="L777" s="12">
        <f t="shared" si="181"/>
        <v>25</v>
      </c>
      <c r="M777" s="12">
        <v>3</v>
      </c>
      <c r="N777" s="12" t="s">
        <v>70</v>
      </c>
      <c r="O777" s="12">
        <v>0</v>
      </c>
      <c r="P777" s="12">
        <v>0</v>
      </c>
      <c r="Q777" s="12">
        <v>1</v>
      </c>
      <c r="R777" s="12">
        <v>0</v>
      </c>
      <c r="S777" s="12">
        <v>0</v>
      </c>
      <c r="T777" s="12">
        <v>3</v>
      </c>
      <c r="U777" s="12" t="s">
        <v>62</v>
      </c>
      <c r="V777" s="12">
        <v>0</v>
      </c>
      <c r="W777" s="12">
        <v>79</v>
      </c>
      <c r="X777" s="12">
        <v>2</v>
      </c>
      <c r="Y777" s="12">
        <v>3</v>
      </c>
      <c r="Z777" s="12" t="s">
        <v>56</v>
      </c>
      <c r="AA777" s="12">
        <v>0</v>
      </c>
      <c r="AB777" s="12">
        <v>1</v>
      </c>
      <c r="AC777" s="12">
        <v>0</v>
      </c>
      <c r="AD777" s="12">
        <v>0</v>
      </c>
      <c r="AE777" s="12">
        <v>0</v>
      </c>
      <c r="AF777" s="12">
        <v>0</v>
      </c>
      <c r="AG777" s="12">
        <v>0</v>
      </c>
      <c r="AH777" s="12">
        <v>0</v>
      </c>
      <c r="AI777" s="12">
        <v>4</v>
      </c>
      <c r="AJ777" s="12" t="s">
        <v>78</v>
      </c>
      <c r="AK777" s="12">
        <v>0</v>
      </c>
      <c r="AL777" s="12">
        <v>0</v>
      </c>
      <c r="AM777" s="12">
        <v>10798</v>
      </c>
      <c r="AN777" s="12">
        <f t="shared" si="182"/>
        <v>10798</v>
      </c>
      <c r="AO777" s="12">
        <v>5</v>
      </c>
      <c r="AP777" s="12" t="s">
        <v>59</v>
      </c>
      <c r="AQ777" s="12">
        <v>0</v>
      </c>
      <c r="AR777" s="12">
        <v>13</v>
      </c>
      <c r="AS777" s="12">
        <v>3</v>
      </c>
      <c r="AT777" s="12">
        <v>3</v>
      </c>
      <c r="AU777" s="12">
        <v>1</v>
      </c>
      <c r="AV777" s="12">
        <v>18</v>
      </c>
      <c r="AW777" s="12">
        <f t="shared" si="183"/>
        <v>18</v>
      </c>
      <c r="AX777" s="12">
        <v>5</v>
      </c>
      <c r="AY777" s="12">
        <v>3</v>
      </c>
      <c r="AZ777" s="12">
        <v>1</v>
      </c>
      <c r="BA777" s="12">
        <f t="shared" si="184"/>
        <v>1</v>
      </c>
      <c r="BB777" s="12">
        <v>0</v>
      </c>
      <c r="BC777" s="12">
        <v>0</v>
      </c>
      <c r="BD777" s="12">
        <f t="shared" si="193"/>
        <v>0</v>
      </c>
      <c r="BE777" s="12">
        <v>0</v>
      </c>
      <c r="BF777" s="12">
        <f t="shared" si="185"/>
        <v>0</v>
      </c>
      <c r="BG777" s="12">
        <f t="shared" si="194"/>
        <v>0</v>
      </c>
      <c r="BH777" s="67">
        <v>1</v>
      </c>
      <c r="BI777" s="67">
        <v>0</v>
      </c>
      <c r="BJ777" s="67">
        <v>0</v>
      </c>
      <c r="BK777" s="67">
        <v>0</v>
      </c>
      <c r="BL777" s="67">
        <v>1</v>
      </c>
      <c r="BM777" s="67">
        <v>0</v>
      </c>
      <c r="BN777" s="67">
        <v>0</v>
      </c>
      <c r="BO777" s="67">
        <v>0</v>
      </c>
      <c r="BP777" s="67">
        <v>0</v>
      </c>
      <c r="BQ777" s="67">
        <v>0</v>
      </c>
      <c r="BR777" s="67">
        <v>0</v>
      </c>
      <c r="BS777" s="67">
        <v>0</v>
      </c>
      <c r="BT777" s="67">
        <v>0</v>
      </c>
      <c r="BU777" s="70">
        <v>18</v>
      </c>
      <c r="BV777" s="29">
        <f t="shared" si="186"/>
        <v>0.91229994355570387</v>
      </c>
      <c r="BW777">
        <f t="shared" si="187"/>
        <v>1.1555414682655611</v>
      </c>
      <c r="BX777">
        <f t="shared" si="188"/>
        <v>0.86371889657480871</v>
      </c>
      <c r="BY777">
        <f t="shared" si="189"/>
        <v>0.9806804209314296</v>
      </c>
      <c r="BZ777">
        <f t="shared" si="190"/>
        <v>1.9498886553045598</v>
      </c>
      <c r="CA777">
        <f t="shared" si="191"/>
        <v>0.66512775678147573</v>
      </c>
      <c r="CB777">
        <f t="shared" si="192"/>
        <v>0.67891464284095016</v>
      </c>
    </row>
    <row r="778" spans="1:80" x14ac:dyDescent="0.45">
      <c r="A778" s="11">
        <v>20</v>
      </c>
      <c r="B778" s="12">
        <f t="shared" si="180"/>
        <v>20</v>
      </c>
      <c r="C778" s="12" t="s">
        <v>52</v>
      </c>
      <c r="D778" s="12">
        <v>1</v>
      </c>
      <c r="E778" s="12" t="s">
        <v>60</v>
      </c>
      <c r="F778" s="12">
        <v>1</v>
      </c>
      <c r="G778" s="12">
        <v>0</v>
      </c>
      <c r="H778" s="12" t="s">
        <v>54</v>
      </c>
      <c r="I778" s="12">
        <v>0</v>
      </c>
      <c r="J778" s="12">
        <v>1</v>
      </c>
      <c r="K778" s="12">
        <v>9</v>
      </c>
      <c r="L778" s="12">
        <f t="shared" si="181"/>
        <v>9</v>
      </c>
      <c r="M778" s="12">
        <v>3</v>
      </c>
      <c r="N778" s="12" t="s">
        <v>90</v>
      </c>
      <c r="O778" s="12">
        <v>0</v>
      </c>
      <c r="P778" s="12">
        <v>0</v>
      </c>
      <c r="Q778" s="12">
        <v>0</v>
      </c>
      <c r="R778" s="12">
        <v>1</v>
      </c>
      <c r="S778" s="12">
        <v>0</v>
      </c>
      <c r="T778" s="12">
        <v>4</v>
      </c>
      <c r="U778" s="12" t="s">
        <v>19</v>
      </c>
      <c r="V778" s="12">
        <v>1</v>
      </c>
      <c r="W778" s="12">
        <v>54</v>
      </c>
      <c r="X778" s="12">
        <v>3</v>
      </c>
      <c r="Y778" s="12">
        <v>1</v>
      </c>
      <c r="Z778" s="12" t="s">
        <v>88</v>
      </c>
      <c r="AA778" s="12">
        <v>0</v>
      </c>
      <c r="AB778" s="12">
        <v>0</v>
      </c>
      <c r="AC778" s="12">
        <v>0</v>
      </c>
      <c r="AD778" s="12">
        <v>0</v>
      </c>
      <c r="AE778" s="12">
        <v>0</v>
      </c>
      <c r="AF778" s="12">
        <v>0</v>
      </c>
      <c r="AG778" s="12">
        <v>1</v>
      </c>
      <c r="AH778" s="12">
        <v>0</v>
      </c>
      <c r="AI778" s="12">
        <v>4</v>
      </c>
      <c r="AJ778" s="12" t="s">
        <v>57</v>
      </c>
      <c r="AK778" s="12">
        <v>1</v>
      </c>
      <c r="AL778" s="12">
        <v>0</v>
      </c>
      <c r="AM778" s="12">
        <v>2323</v>
      </c>
      <c r="AN778" s="12">
        <f t="shared" si="182"/>
        <v>2323</v>
      </c>
      <c r="AO778" s="12">
        <v>1</v>
      </c>
      <c r="AP778" s="12" t="s">
        <v>52</v>
      </c>
      <c r="AQ778" s="12">
        <v>1</v>
      </c>
      <c r="AR778" s="12">
        <v>14</v>
      </c>
      <c r="AS778" s="12">
        <v>3</v>
      </c>
      <c r="AT778" s="12">
        <v>2</v>
      </c>
      <c r="AU778" s="12">
        <v>0</v>
      </c>
      <c r="AV778" s="12">
        <v>2</v>
      </c>
      <c r="AW778" s="12">
        <f t="shared" si="183"/>
        <v>2</v>
      </c>
      <c r="AX778" s="12">
        <v>3</v>
      </c>
      <c r="AY778" s="12">
        <v>3</v>
      </c>
      <c r="AZ778" s="12">
        <v>2</v>
      </c>
      <c r="BA778" s="12">
        <f t="shared" si="184"/>
        <v>2</v>
      </c>
      <c r="BB778" s="12">
        <v>2</v>
      </c>
      <c r="BC778" s="12">
        <v>0</v>
      </c>
      <c r="BD778" s="12">
        <f t="shared" si="193"/>
        <v>0</v>
      </c>
      <c r="BE778" s="12">
        <v>2</v>
      </c>
      <c r="BF778" s="12">
        <f t="shared" si="185"/>
        <v>2</v>
      </c>
      <c r="BG778" s="12">
        <f t="shared" si="194"/>
        <v>2</v>
      </c>
      <c r="BH778" s="67">
        <v>0</v>
      </c>
      <c r="BI778" s="67">
        <v>0</v>
      </c>
      <c r="BJ778" s="67">
        <v>1</v>
      </c>
      <c r="BK778" s="67">
        <v>0</v>
      </c>
      <c r="BL778" s="67">
        <v>0</v>
      </c>
      <c r="BM778" s="67">
        <v>1</v>
      </c>
      <c r="BN778" s="67">
        <v>0</v>
      </c>
      <c r="BO778" s="67">
        <v>0</v>
      </c>
      <c r="BP778" s="67">
        <v>0</v>
      </c>
      <c r="BQ778" s="67">
        <v>0</v>
      </c>
      <c r="BR778" s="67">
        <v>2</v>
      </c>
      <c r="BS778" s="67">
        <v>0</v>
      </c>
      <c r="BT778" s="67">
        <v>0</v>
      </c>
      <c r="BU778" s="70">
        <v>2</v>
      </c>
      <c r="BV778" s="29">
        <f t="shared" si="186"/>
        <v>0.88784402344629665</v>
      </c>
      <c r="BW778">
        <f t="shared" si="187"/>
        <v>0.59502473559756086</v>
      </c>
      <c r="BX778">
        <f t="shared" si="188"/>
        <v>1.192629766998377</v>
      </c>
      <c r="BY778">
        <f t="shared" si="189"/>
        <v>0.81745575848020657</v>
      </c>
      <c r="BZ778">
        <f t="shared" si="190"/>
        <v>2.3747406698420157E-2</v>
      </c>
      <c r="CA778">
        <f t="shared" si="191"/>
        <v>1.8525580310355525</v>
      </c>
      <c r="CB778">
        <f t="shared" si="192"/>
        <v>0.67891464284095016</v>
      </c>
    </row>
    <row r="779" spans="1:80" x14ac:dyDescent="0.45">
      <c r="A779" s="11">
        <v>21</v>
      </c>
      <c r="B779" s="12">
        <f t="shared" si="180"/>
        <v>21</v>
      </c>
      <c r="C779" s="12" t="s">
        <v>52</v>
      </c>
      <c r="D779" s="12">
        <v>1</v>
      </c>
      <c r="E779" s="12" t="s">
        <v>53</v>
      </c>
      <c r="F779" s="12">
        <v>0</v>
      </c>
      <c r="G779" s="12">
        <v>1</v>
      </c>
      <c r="H779" s="12" t="s">
        <v>61</v>
      </c>
      <c r="I779" s="12">
        <v>1</v>
      </c>
      <c r="J779" s="12">
        <v>0</v>
      </c>
      <c r="K779" s="12">
        <v>10</v>
      </c>
      <c r="L779" s="12">
        <f t="shared" si="181"/>
        <v>10</v>
      </c>
      <c r="M779" s="12">
        <v>3</v>
      </c>
      <c r="N779" s="12" t="s">
        <v>55</v>
      </c>
      <c r="O779" s="12">
        <v>1</v>
      </c>
      <c r="P779" s="12">
        <v>0</v>
      </c>
      <c r="Q779" s="12">
        <v>0</v>
      </c>
      <c r="R779" s="12">
        <v>0</v>
      </c>
      <c r="S779" s="12">
        <v>0</v>
      </c>
      <c r="T779" s="12">
        <v>3</v>
      </c>
      <c r="U779" s="12" t="s">
        <v>19</v>
      </c>
      <c r="V779" s="12">
        <v>1</v>
      </c>
      <c r="W779" s="12">
        <v>36</v>
      </c>
      <c r="X779" s="12">
        <v>2</v>
      </c>
      <c r="Y779" s="12">
        <v>1</v>
      </c>
      <c r="Z779" s="12" t="s">
        <v>67</v>
      </c>
      <c r="AA779" s="12">
        <v>0</v>
      </c>
      <c r="AB779" s="12">
        <v>0</v>
      </c>
      <c r="AC779" s="12">
        <v>1</v>
      </c>
      <c r="AD779" s="12">
        <v>0</v>
      </c>
      <c r="AE779" s="12">
        <v>0</v>
      </c>
      <c r="AF779" s="12">
        <v>0</v>
      </c>
      <c r="AG779" s="12">
        <v>0</v>
      </c>
      <c r="AH779" s="12">
        <v>0</v>
      </c>
      <c r="AI779" s="12">
        <v>1</v>
      </c>
      <c r="AJ779" s="12" t="s">
        <v>57</v>
      </c>
      <c r="AK779" s="12">
        <v>1</v>
      </c>
      <c r="AL779" s="12">
        <v>0</v>
      </c>
      <c r="AM779" s="12">
        <v>1416</v>
      </c>
      <c r="AN779" s="12">
        <f t="shared" si="182"/>
        <v>1416</v>
      </c>
      <c r="AO779" s="12">
        <v>1</v>
      </c>
      <c r="AP779" s="12" t="s">
        <v>59</v>
      </c>
      <c r="AQ779" s="12">
        <v>0</v>
      </c>
      <c r="AR779" s="12">
        <v>13</v>
      </c>
      <c r="AS779" s="12">
        <v>3</v>
      </c>
      <c r="AT779" s="12">
        <v>1</v>
      </c>
      <c r="AU779" s="12">
        <v>0</v>
      </c>
      <c r="AV779" s="12">
        <v>1</v>
      </c>
      <c r="AW779" s="12">
        <f t="shared" si="183"/>
        <v>1</v>
      </c>
      <c r="AX779" s="12">
        <v>6</v>
      </c>
      <c r="AY779" s="12">
        <v>2</v>
      </c>
      <c r="AZ779" s="12">
        <v>1</v>
      </c>
      <c r="BA779" s="12">
        <f t="shared" si="184"/>
        <v>1</v>
      </c>
      <c r="BB779" s="12">
        <v>0</v>
      </c>
      <c r="BC779" s="12">
        <v>1</v>
      </c>
      <c r="BD779" s="12">
        <f t="shared" si="193"/>
        <v>1</v>
      </c>
      <c r="BE779" s="12">
        <v>0</v>
      </c>
      <c r="BF779" s="12">
        <f t="shared" si="185"/>
        <v>0</v>
      </c>
      <c r="BG779" s="12">
        <f t="shared" si="194"/>
        <v>0</v>
      </c>
      <c r="BH779" s="67">
        <v>1</v>
      </c>
      <c r="BI779" s="67">
        <v>0</v>
      </c>
      <c r="BJ779" s="67">
        <v>0</v>
      </c>
      <c r="BK779" s="67">
        <v>0</v>
      </c>
      <c r="BL779" s="67">
        <v>1</v>
      </c>
      <c r="BM779" s="67">
        <v>0</v>
      </c>
      <c r="BN779" s="67">
        <v>0</v>
      </c>
      <c r="BO779" s="67">
        <v>0</v>
      </c>
      <c r="BP779" s="67">
        <v>0</v>
      </c>
      <c r="BQ779" s="67">
        <v>0</v>
      </c>
      <c r="BR779" s="67">
        <v>0</v>
      </c>
      <c r="BS779" s="67">
        <v>0</v>
      </c>
      <c r="BT779" s="67">
        <v>1</v>
      </c>
      <c r="BU779" s="70">
        <v>0</v>
      </c>
      <c r="BV779" s="29">
        <f t="shared" si="186"/>
        <v>1.0804965990298736</v>
      </c>
      <c r="BW779">
        <f t="shared" si="187"/>
        <v>1.1555414682655611</v>
      </c>
      <c r="BX779">
        <f t="shared" si="188"/>
        <v>1.3211515584717011</v>
      </c>
      <c r="BY779">
        <f t="shared" si="189"/>
        <v>0.9806804209314296</v>
      </c>
      <c r="BZ779">
        <f t="shared" si="190"/>
        <v>9.9604847176766084E-2</v>
      </c>
      <c r="CA779">
        <f t="shared" si="191"/>
        <v>1.7430934315652469</v>
      </c>
      <c r="CB779">
        <f t="shared" si="192"/>
        <v>0.36858985273641137</v>
      </c>
    </row>
    <row r="780" spans="1:80" x14ac:dyDescent="0.45">
      <c r="A780" s="11">
        <v>46</v>
      </c>
      <c r="B780" s="12">
        <f t="shared" si="180"/>
        <v>46</v>
      </c>
      <c r="C780" s="12" t="s">
        <v>59</v>
      </c>
      <c r="D780" s="12">
        <v>0</v>
      </c>
      <c r="E780" s="12" t="s">
        <v>53</v>
      </c>
      <c r="F780" s="12">
        <v>0</v>
      </c>
      <c r="G780" s="12">
        <v>1</v>
      </c>
      <c r="H780" s="12" t="s">
        <v>61</v>
      </c>
      <c r="I780" s="12">
        <v>1</v>
      </c>
      <c r="J780" s="12">
        <v>0</v>
      </c>
      <c r="K780" s="12">
        <v>8</v>
      </c>
      <c r="L780" s="12">
        <f t="shared" si="181"/>
        <v>8</v>
      </c>
      <c r="M780" s="12">
        <v>4</v>
      </c>
      <c r="N780" s="12" t="s">
        <v>55</v>
      </c>
      <c r="O780" s="12">
        <v>1</v>
      </c>
      <c r="P780" s="12">
        <v>0</v>
      </c>
      <c r="Q780" s="12">
        <v>0</v>
      </c>
      <c r="R780" s="12">
        <v>0</v>
      </c>
      <c r="S780" s="12">
        <v>0</v>
      </c>
      <c r="T780" s="12">
        <v>4</v>
      </c>
      <c r="U780" s="12" t="s">
        <v>19</v>
      </c>
      <c r="V780" s="12">
        <v>1</v>
      </c>
      <c r="W780" s="12">
        <v>74</v>
      </c>
      <c r="X780" s="12">
        <v>2</v>
      </c>
      <c r="Y780" s="12">
        <v>2</v>
      </c>
      <c r="Z780" s="12" t="s">
        <v>63</v>
      </c>
      <c r="AA780" s="12">
        <v>0</v>
      </c>
      <c r="AB780" s="12">
        <v>0</v>
      </c>
      <c r="AC780" s="12">
        <v>0</v>
      </c>
      <c r="AD780" s="12">
        <v>0</v>
      </c>
      <c r="AE780" s="12">
        <v>0</v>
      </c>
      <c r="AF780" s="12">
        <v>0</v>
      </c>
      <c r="AG780" s="12">
        <v>0</v>
      </c>
      <c r="AH780" s="12">
        <v>1</v>
      </c>
      <c r="AI780" s="12">
        <v>1</v>
      </c>
      <c r="AJ780" s="12" t="s">
        <v>78</v>
      </c>
      <c r="AK780" s="12">
        <v>0</v>
      </c>
      <c r="AL780" s="12">
        <v>0</v>
      </c>
      <c r="AM780" s="12">
        <v>4615</v>
      </c>
      <c r="AN780" s="12">
        <f t="shared" si="182"/>
        <v>4615</v>
      </c>
      <c r="AO780" s="12">
        <v>8</v>
      </c>
      <c r="AP780" s="12" t="s">
        <v>52</v>
      </c>
      <c r="AQ780" s="12">
        <v>1</v>
      </c>
      <c r="AR780" s="12">
        <v>23</v>
      </c>
      <c r="AS780" s="12">
        <v>4</v>
      </c>
      <c r="AT780" s="12">
        <v>1</v>
      </c>
      <c r="AU780" s="12">
        <v>3</v>
      </c>
      <c r="AV780" s="12">
        <v>19</v>
      </c>
      <c r="AW780" s="12">
        <f t="shared" si="183"/>
        <v>19</v>
      </c>
      <c r="AX780" s="12">
        <v>2</v>
      </c>
      <c r="AY780" s="12">
        <v>3</v>
      </c>
      <c r="AZ780" s="12">
        <v>16</v>
      </c>
      <c r="BA780" s="12">
        <f t="shared" si="184"/>
        <v>16</v>
      </c>
      <c r="BB780" s="12">
        <v>13</v>
      </c>
      <c r="BC780" s="12">
        <v>1</v>
      </c>
      <c r="BD780" s="12">
        <f t="shared" si="193"/>
        <v>1</v>
      </c>
      <c r="BE780" s="12">
        <v>7</v>
      </c>
      <c r="BF780" s="12">
        <f t="shared" si="185"/>
        <v>7</v>
      </c>
      <c r="BG780" s="12">
        <f t="shared" si="194"/>
        <v>14</v>
      </c>
      <c r="BH780" s="67">
        <v>1</v>
      </c>
      <c r="BI780" s="67">
        <v>0</v>
      </c>
      <c r="BJ780" s="67">
        <v>0</v>
      </c>
      <c r="BK780" s="67">
        <v>0</v>
      </c>
      <c r="BL780" s="67">
        <v>0</v>
      </c>
      <c r="BM780" s="67">
        <v>1</v>
      </c>
      <c r="BN780" s="67">
        <v>0</v>
      </c>
      <c r="BO780" s="67">
        <v>0</v>
      </c>
      <c r="BP780" s="67">
        <v>0</v>
      </c>
      <c r="BQ780" s="67">
        <v>7</v>
      </c>
      <c r="BR780" s="67">
        <v>0</v>
      </c>
      <c r="BS780" s="67">
        <v>0</v>
      </c>
      <c r="BT780" s="67">
        <v>19</v>
      </c>
      <c r="BU780" s="70">
        <v>0</v>
      </c>
      <c r="BV780" s="29">
        <f t="shared" si="186"/>
        <v>0.40100862847655211</v>
      </c>
      <c r="BW780">
        <f t="shared" si="187"/>
        <v>0.80626709607243985</v>
      </c>
      <c r="BX780">
        <f t="shared" si="188"/>
        <v>0.99224068804813281</v>
      </c>
      <c r="BY780">
        <f t="shared" si="189"/>
        <v>1.4676895158369152</v>
      </c>
      <c r="BZ780">
        <f t="shared" si="190"/>
        <v>0.14709966057360641</v>
      </c>
      <c r="CA780">
        <f t="shared" si="191"/>
        <v>0.99352155519239249</v>
      </c>
      <c r="CB780">
        <f t="shared" si="192"/>
        <v>0.36858985273641137</v>
      </c>
    </row>
    <row r="781" spans="1:80" x14ac:dyDescent="0.45">
      <c r="A781" s="11">
        <v>51</v>
      </c>
      <c r="B781" s="12">
        <f t="shared" si="180"/>
        <v>51</v>
      </c>
      <c r="C781" s="12" t="s">
        <v>52</v>
      </c>
      <c r="D781" s="12">
        <v>1</v>
      </c>
      <c r="E781" s="12" t="s">
        <v>53</v>
      </c>
      <c r="F781" s="12">
        <v>0</v>
      </c>
      <c r="G781" s="12">
        <v>1</v>
      </c>
      <c r="H781" s="12" t="s">
        <v>61</v>
      </c>
      <c r="I781" s="12">
        <v>1</v>
      </c>
      <c r="J781" s="12">
        <v>0</v>
      </c>
      <c r="K781" s="12">
        <v>4</v>
      </c>
      <c r="L781" s="12">
        <f t="shared" si="181"/>
        <v>4</v>
      </c>
      <c r="M781" s="12">
        <v>4</v>
      </c>
      <c r="N781" s="12" t="s">
        <v>55</v>
      </c>
      <c r="O781" s="12">
        <v>1</v>
      </c>
      <c r="P781" s="12">
        <v>0</v>
      </c>
      <c r="Q781" s="12">
        <v>0</v>
      </c>
      <c r="R781" s="12">
        <v>0</v>
      </c>
      <c r="S781" s="12">
        <v>0</v>
      </c>
      <c r="T781" s="12">
        <v>1</v>
      </c>
      <c r="U781" s="12" t="s">
        <v>62</v>
      </c>
      <c r="V781" s="12">
        <v>0</v>
      </c>
      <c r="W781" s="12">
        <v>34</v>
      </c>
      <c r="X781" s="12">
        <v>3</v>
      </c>
      <c r="Y781" s="12">
        <v>1</v>
      </c>
      <c r="Z781" s="12" t="s">
        <v>63</v>
      </c>
      <c r="AA781" s="12">
        <v>0</v>
      </c>
      <c r="AB781" s="12">
        <v>0</v>
      </c>
      <c r="AC781" s="12">
        <v>0</v>
      </c>
      <c r="AD781" s="12">
        <v>0</v>
      </c>
      <c r="AE781" s="12">
        <v>0</v>
      </c>
      <c r="AF781" s="12">
        <v>0</v>
      </c>
      <c r="AG781" s="12">
        <v>0</v>
      </c>
      <c r="AH781" s="12">
        <v>1</v>
      </c>
      <c r="AI781" s="12">
        <v>3</v>
      </c>
      <c r="AJ781" s="12" t="s">
        <v>64</v>
      </c>
      <c r="AK781" s="12">
        <v>0</v>
      </c>
      <c r="AL781" s="12">
        <v>1</v>
      </c>
      <c r="AM781" s="12">
        <v>2461</v>
      </c>
      <c r="AN781" s="12">
        <f t="shared" si="182"/>
        <v>2461</v>
      </c>
      <c r="AO781" s="12">
        <v>9</v>
      </c>
      <c r="AP781" s="12" t="s">
        <v>52</v>
      </c>
      <c r="AQ781" s="12">
        <v>1</v>
      </c>
      <c r="AR781" s="12">
        <v>12</v>
      </c>
      <c r="AS781" s="12">
        <v>3</v>
      </c>
      <c r="AT781" s="12">
        <v>3</v>
      </c>
      <c r="AU781" s="12">
        <v>3</v>
      </c>
      <c r="AV781" s="12">
        <v>18</v>
      </c>
      <c r="AW781" s="12">
        <f t="shared" si="183"/>
        <v>18</v>
      </c>
      <c r="AX781" s="12">
        <v>2</v>
      </c>
      <c r="AY781" s="12">
        <v>4</v>
      </c>
      <c r="AZ781" s="12">
        <v>10</v>
      </c>
      <c r="BA781" s="12">
        <f t="shared" si="184"/>
        <v>10</v>
      </c>
      <c r="BB781" s="12">
        <v>0</v>
      </c>
      <c r="BC781" s="12">
        <v>2</v>
      </c>
      <c r="BD781" s="12">
        <f t="shared" si="193"/>
        <v>2</v>
      </c>
      <c r="BE781" s="12">
        <v>7</v>
      </c>
      <c r="BF781" s="12">
        <f t="shared" si="185"/>
        <v>7</v>
      </c>
      <c r="BG781" s="12">
        <f t="shared" si="194"/>
        <v>7</v>
      </c>
      <c r="BH781" s="67">
        <v>0</v>
      </c>
      <c r="BI781" s="67">
        <v>1</v>
      </c>
      <c r="BJ781" s="67">
        <v>0</v>
      </c>
      <c r="BK781" s="67">
        <v>0</v>
      </c>
      <c r="BL781" s="67">
        <v>0</v>
      </c>
      <c r="BM781" s="67">
        <v>0</v>
      </c>
      <c r="BN781" s="67">
        <v>0</v>
      </c>
      <c r="BO781" s="67">
        <v>1</v>
      </c>
      <c r="BP781" s="67">
        <v>0</v>
      </c>
      <c r="BQ781" s="67">
        <v>7</v>
      </c>
      <c r="BR781" s="67">
        <v>0</v>
      </c>
      <c r="BS781" s="67">
        <v>0</v>
      </c>
      <c r="BT781" s="67">
        <v>18</v>
      </c>
      <c r="BU781" s="70">
        <v>0</v>
      </c>
      <c r="BV781" s="29">
        <f t="shared" si="186"/>
        <v>0.8585319446915739</v>
      </c>
      <c r="BW781">
        <f t="shared" si="187"/>
        <v>0.80626709607243985</v>
      </c>
      <c r="BX781">
        <f t="shared" si="188"/>
        <v>0.86371889657480871</v>
      </c>
      <c r="BY781">
        <f t="shared" si="189"/>
        <v>0.48834154112957734</v>
      </c>
      <c r="BZ781">
        <f t="shared" si="190"/>
        <v>0.64050867607435136</v>
      </c>
      <c r="CA781">
        <f t="shared" si="191"/>
        <v>1.5408445525439205</v>
      </c>
      <c r="CB781">
        <f t="shared" si="192"/>
        <v>5.8265062631872602E-2</v>
      </c>
    </row>
    <row r="782" spans="1:80" x14ac:dyDescent="0.45">
      <c r="A782" s="11">
        <v>28</v>
      </c>
      <c r="B782" s="12">
        <f t="shared" si="180"/>
        <v>28</v>
      </c>
      <c r="C782" s="12" t="s">
        <v>52</v>
      </c>
      <c r="D782" s="12">
        <v>1</v>
      </c>
      <c r="E782" s="12" t="s">
        <v>86</v>
      </c>
      <c r="F782" s="12">
        <v>0</v>
      </c>
      <c r="G782" s="12">
        <v>0</v>
      </c>
      <c r="H782" s="12" t="s">
        <v>61</v>
      </c>
      <c r="I782" s="12">
        <v>1</v>
      </c>
      <c r="J782" s="12">
        <v>0</v>
      </c>
      <c r="K782" s="12">
        <v>24</v>
      </c>
      <c r="L782" s="12">
        <f t="shared" si="181"/>
        <v>24</v>
      </c>
      <c r="M782" s="12">
        <v>2</v>
      </c>
      <c r="N782" s="12" t="s">
        <v>91</v>
      </c>
      <c r="O782" s="12">
        <v>0</v>
      </c>
      <c r="P782" s="12">
        <v>0</v>
      </c>
      <c r="Q782" s="12">
        <v>0</v>
      </c>
      <c r="R782" s="12">
        <v>0</v>
      </c>
      <c r="S782" s="12">
        <v>1</v>
      </c>
      <c r="T782" s="12">
        <v>2</v>
      </c>
      <c r="U782" s="12" t="s">
        <v>62</v>
      </c>
      <c r="V782" s="12">
        <v>0</v>
      </c>
      <c r="W782" s="12">
        <v>72</v>
      </c>
      <c r="X782" s="12">
        <v>2</v>
      </c>
      <c r="Y782" s="12">
        <v>3</v>
      </c>
      <c r="Z782" s="12" t="s">
        <v>85</v>
      </c>
      <c r="AA782" s="12">
        <v>1</v>
      </c>
      <c r="AB782" s="12">
        <v>0</v>
      </c>
      <c r="AC782" s="12">
        <v>0</v>
      </c>
      <c r="AD782" s="12">
        <v>0</v>
      </c>
      <c r="AE782" s="12">
        <v>0</v>
      </c>
      <c r="AF782" s="12">
        <v>0</v>
      </c>
      <c r="AG782" s="12">
        <v>0</v>
      </c>
      <c r="AH782" s="12">
        <v>0</v>
      </c>
      <c r="AI782" s="12">
        <v>1</v>
      </c>
      <c r="AJ782" s="12" t="s">
        <v>57</v>
      </c>
      <c r="AK782" s="12">
        <v>1</v>
      </c>
      <c r="AL782" s="12">
        <v>0</v>
      </c>
      <c r="AM782" s="12">
        <v>8722</v>
      </c>
      <c r="AN782" s="12">
        <f t="shared" si="182"/>
        <v>8722</v>
      </c>
      <c r="AO782" s="12">
        <v>1</v>
      </c>
      <c r="AP782" s="12" t="s">
        <v>59</v>
      </c>
      <c r="AQ782" s="12">
        <v>0</v>
      </c>
      <c r="AR782" s="12">
        <v>12</v>
      </c>
      <c r="AS782" s="12">
        <v>3</v>
      </c>
      <c r="AT782" s="12">
        <v>1</v>
      </c>
      <c r="AU782" s="12">
        <v>0</v>
      </c>
      <c r="AV782" s="12">
        <v>10</v>
      </c>
      <c r="AW782" s="12">
        <f t="shared" si="183"/>
        <v>10</v>
      </c>
      <c r="AX782" s="12">
        <v>2</v>
      </c>
      <c r="AY782" s="12">
        <v>2</v>
      </c>
      <c r="AZ782" s="12">
        <v>10</v>
      </c>
      <c r="BA782" s="12">
        <f t="shared" si="184"/>
        <v>10</v>
      </c>
      <c r="BB782" s="12">
        <v>7</v>
      </c>
      <c r="BC782" s="12">
        <v>1</v>
      </c>
      <c r="BD782" s="12">
        <f t="shared" si="193"/>
        <v>1</v>
      </c>
      <c r="BE782" s="12">
        <v>9</v>
      </c>
      <c r="BF782" s="12">
        <f t="shared" si="185"/>
        <v>9</v>
      </c>
      <c r="BG782" s="12">
        <f t="shared" si="194"/>
        <v>27</v>
      </c>
      <c r="BH782" s="67">
        <v>1</v>
      </c>
      <c r="BI782" s="67">
        <v>0</v>
      </c>
      <c r="BJ782" s="67">
        <v>0</v>
      </c>
      <c r="BK782" s="67">
        <v>0</v>
      </c>
      <c r="BL782" s="67">
        <v>1</v>
      </c>
      <c r="BM782" s="67">
        <v>0</v>
      </c>
      <c r="BN782" s="67">
        <v>0</v>
      </c>
      <c r="BO782" s="67">
        <v>0</v>
      </c>
      <c r="BP782" s="67">
        <v>0</v>
      </c>
      <c r="BQ782" s="67">
        <v>9</v>
      </c>
      <c r="BR782" s="67">
        <v>0</v>
      </c>
      <c r="BS782" s="67">
        <v>0</v>
      </c>
      <c r="BT782" s="67">
        <v>10</v>
      </c>
      <c r="BU782" s="70">
        <v>0</v>
      </c>
      <c r="BV782" s="29">
        <f t="shared" si="186"/>
        <v>0.47134432402813414</v>
      </c>
      <c r="BW782">
        <f t="shared" si="187"/>
        <v>1.3667838287404401</v>
      </c>
      <c r="BX782">
        <f t="shared" si="188"/>
        <v>0.1644554352117841</v>
      </c>
      <c r="BY782">
        <f t="shared" si="189"/>
        <v>0.48834154112957734</v>
      </c>
      <c r="BZ782">
        <f t="shared" si="190"/>
        <v>1.8265364014293735</v>
      </c>
      <c r="CA782">
        <f t="shared" si="191"/>
        <v>0.97684123527310796</v>
      </c>
      <c r="CB782">
        <f t="shared" si="192"/>
        <v>0.36858985273641137</v>
      </c>
    </row>
    <row r="783" spans="1:80" x14ac:dyDescent="0.45">
      <c r="A783" s="11">
        <v>26</v>
      </c>
      <c r="B783" s="12">
        <f t="shared" si="180"/>
        <v>26</v>
      </c>
      <c r="C783" s="12" t="s">
        <v>59</v>
      </c>
      <c r="D783" s="12">
        <v>0</v>
      </c>
      <c r="E783" s="12" t="s">
        <v>53</v>
      </c>
      <c r="F783" s="12">
        <v>0</v>
      </c>
      <c r="G783" s="12">
        <v>1</v>
      </c>
      <c r="H783" s="12" t="s">
        <v>61</v>
      </c>
      <c r="I783" s="12">
        <v>1</v>
      </c>
      <c r="J783" s="12">
        <v>0</v>
      </c>
      <c r="K783" s="12">
        <v>1</v>
      </c>
      <c r="L783" s="12">
        <f t="shared" si="181"/>
        <v>1</v>
      </c>
      <c r="M783" s="12">
        <v>2</v>
      </c>
      <c r="N783" s="12" t="s">
        <v>70</v>
      </c>
      <c r="O783" s="12">
        <v>0</v>
      </c>
      <c r="P783" s="12">
        <v>0</v>
      </c>
      <c r="Q783" s="12">
        <v>1</v>
      </c>
      <c r="R783" s="12">
        <v>0</v>
      </c>
      <c r="S783" s="12">
        <v>0</v>
      </c>
      <c r="T783" s="12">
        <v>1</v>
      </c>
      <c r="U783" s="12" t="s">
        <v>62</v>
      </c>
      <c r="V783" s="12">
        <v>0</v>
      </c>
      <c r="W783" s="12">
        <v>59</v>
      </c>
      <c r="X783" s="12">
        <v>2</v>
      </c>
      <c r="Y783" s="12">
        <v>1</v>
      </c>
      <c r="Z783" s="12" t="s">
        <v>67</v>
      </c>
      <c r="AA783" s="12">
        <v>0</v>
      </c>
      <c r="AB783" s="12">
        <v>0</v>
      </c>
      <c r="AC783" s="12">
        <v>1</v>
      </c>
      <c r="AD783" s="12">
        <v>0</v>
      </c>
      <c r="AE783" s="12">
        <v>0</v>
      </c>
      <c r="AF783" s="12">
        <v>0</v>
      </c>
      <c r="AG783" s="12">
        <v>0</v>
      </c>
      <c r="AH783" s="12">
        <v>0</v>
      </c>
      <c r="AI783" s="12">
        <v>1</v>
      </c>
      <c r="AJ783" s="12" t="s">
        <v>64</v>
      </c>
      <c r="AK783" s="12">
        <v>0</v>
      </c>
      <c r="AL783" s="12">
        <v>1</v>
      </c>
      <c r="AM783" s="12">
        <v>3955</v>
      </c>
      <c r="AN783" s="12">
        <f t="shared" si="182"/>
        <v>3955</v>
      </c>
      <c r="AO783" s="12">
        <v>1</v>
      </c>
      <c r="AP783" s="12" t="s">
        <v>59</v>
      </c>
      <c r="AQ783" s="12">
        <v>0</v>
      </c>
      <c r="AR783" s="12">
        <v>16</v>
      </c>
      <c r="AS783" s="12">
        <v>3</v>
      </c>
      <c r="AT783" s="12">
        <v>1</v>
      </c>
      <c r="AU783" s="12">
        <v>2</v>
      </c>
      <c r="AV783" s="12">
        <v>6</v>
      </c>
      <c r="AW783" s="12">
        <f t="shared" si="183"/>
        <v>6</v>
      </c>
      <c r="AX783" s="12">
        <v>2</v>
      </c>
      <c r="AY783" s="12">
        <v>3</v>
      </c>
      <c r="AZ783" s="12">
        <v>5</v>
      </c>
      <c r="BA783" s="12">
        <f t="shared" si="184"/>
        <v>5</v>
      </c>
      <c r="BB783" s="12">
        <v>3</v>
      </c>
      <c r="BC783" s="12">
        <v>1</v>
      </c>
      <c r="BD783" s="12">
        <f t="shared" si="193"/>
        <v>1</v>
      </c>
      <c r="BE783" s="12">
        <v>3</v>
      </c>
      <c r="BF783" s="12">
        <f t="shared" si="185"/>
        <v>3</v>
      </c>
      <c r="BG783" s="12">
        <f t="shared" si="194"/>
        <v>3</v>
      </c>
      <c r="BH783" s="67">
        <v>0</v>
      </c>
      <c r="BI783" s="67">
        <v>1</v>
      </c>
      <c r="BJ783" s="67">
        <v>0</v>
      </c>
      <c r="BK783" s="67">
        <v>0</v>
      </c>
      <c r="BL783" s="67">
        <v>0</v>
      </c>
      <c r="BM783" s="67">
        <v>0</v>
      </c>
      <c r="BN783" s="67">
        <v>1</v>
      </c>
      <c r="BO783" s="67">
        <v>0</v>
      </c>
      <c r="BP783" s="67">
        <v>0</v>
      </c>
      <c r="BQ783" s="67">
        <v>3</v>
      </c>
      <c r="BR783" s="67">
        <v>0</v>
      </c>
      <c r="BS783" s="67">
        <v>0</v>
      </c>
      <c r="BT783" s="67">
        <v>6</v>
      </c>
      <c r="BU783" s="70">
        <v>0</v>
      </c>
      <c r="BV783" s="29">
        <f t="shared" si="186"/>
        <v>0.54119683121653095</v>
      </c>
      <c r="BW783">
        <f t="shared" si="187"/>
        <v>0.31476636926356072</v>
      </c>
      <c r="BX783">
        <f t="shared" si="188"/>
        <v>0.67854260110508058</v>
      </c>
      <c r="BY783">
        <f t="shared" si="189"/>
        <v>0.32778177112653761</v>
      </c>
      <c r="BZ783">
        <f t="shared" si="190"/>
        <v>1.01056543769991</v>
      </c>
      <c r="CA783">
        <f t="shared" si="191"/>
        <v>1.195770434213719</v>
      </c>
      <c r="CB783">
        <f t="shared" si="192"/>
        <v>0.36858985273641137</v>
      </c>
    </row>
    <row r="784" spans="1:80" x14ac:dyDescent="0.45">
      <c r="A784" s="11">
        <v>30</v>
      </c>
      <c r="B784" s="12">
        <f t="shared" si="180"/>
        <v>30</v>
      </c>
      <c r="C784" s="12" t="s">
        <v>59</v>
      </c>
      <c r="D784" s="12">
        <v>0</v>
      </c>
      <c r="E784" s="12" t="s">
        <v>53</v>
      </c>
      <c r="F784" s="12">
        <v>0</v>
      </c>
      <c r="G784" s="12">
        <v>1</v>
      </c>
      <c r="H784" s="12" t="s">
        <v>61</v>
      </c>
      <c r="I784" s="12">
        <v>1</v>
      </c>
      <c r="J784" s="12">
        <v>0</v>
      </c>
      <c r="K784" s="12">
        <v>20</v>
      </c>
      <c r="L784" s="12">
        <f t="shared" si="181"/>
        <v>20</v>
      </c>
      <c r="M784" s="12">
        <v>3</v>
      </c>
      <c r="N784" s="12" t="s">
        <v>66</v>
      </c>
      <c r="O784" s="12">
        <v>0</v>
      </c>
      <c r="P784" s="12">
        <v>1</v>
      </c>
      <c r="Q784" s="12">
        <v>0</v>
      </c>
      <c r="R784" s="12">
        <v>0</v>
      </c>
      <c r="S784" s="12">
        <v>0</v>
      </c>
      <c r="T784" s="12">
        <v>3</v>
      </c>
      <c r="U784" s="12" t="s">
        <v>62</v>
      </c>
      <c r="V784" s="12">
        <v>0</v>
      </c>
      <c r="W784" s="12">
        <v>85</v>
      </c>
      <c r="X784" s="12">
        <v>3</v>
      </c>
      <c r="Y784" s="12">
        <v>2</v>
      </c>
      <c r="Z784" s="12" t="s">
        <v>83</v>
      </c>
      <c r="AA784" s="12">
        <v>0</v>
      </c>
      <c r="AB784" s="12">
        <v>0</v>
      </c>
      <c r="AC784" s="12">
        <v>0</v>
      </c>
      <c r="AD784" s="12">
        <v>0</v>
      </c>
      <c r="AE784" s="12">
        <v>1</v>
      </c>
      <c r="AF784" s="12">
        <v>1</v>
      </c>
      <c r="AG784" s="12">
        <v>0</v>
      </c>
      <c r="AH784" s="12">
        <v>0</v>
      </c>
      <c r="AI784" s="12">
        <v>1</v>
      </c>
      <c r="AJ784" s="12" t="s">
        <v>64</v>
      </c>
      <c r="AK784" s="12">
        <v>0</v>
      </c>
      <c r="AL784" s="12">
        <v>1</v>
      </c>
      <c r="AM784" s="12">
        <v>9957</v>
      </c>
      <c r="AN784" s="12">
        <f t="shared" si="182"/>
        <v>9957</v>
      </c>
      <c r="AO784" s="12">
        <v>0</v>
      </c>
      <c r="AP784" s="12" t="s">
        <v>59</v>
      </c>
      <c r="AQ784" s="12">
        <v>0</v>
      </c>
      <c r="AR784" s="12">
        <v>15</v>
      </c>
      <c r="AS784" s="12">
        <v>3</v>
      </c>
      <c r="AT784" s="12">
        <v>3</v>
      </c>
      <c r="AU784" s="12">
        <v>1</v>
      </c>
      <c r="AV784" s="12">
        <v>7</v>
      </c>
      <c r="AW784" s="12">
        <f t="shared" si="183"/>
        <v>7</v>
      </c>
      <c r="AX784" s="12">
        <v>1</v>
      </c>
      <c r="AY784" s="12">
        <v>2</v>
      </c>
      <c r="AZ784" s="12">
        <v>6</v>
      </c>
      <c r="BA784" s="12">
        <f t="shared" si="184"/>
        <v>6</v>
      </c>
      <c r="BB784" s="12">
        <v>2</v>
      </c>
      <c r="BC784" s="12">
        <v>0</v>
      </c>
      <c r="BD784" s="12">
        <f t="shared" si="193"/>
        <v>0</v>
      </c>
      <c r="BE784" s="12">
        <v>2</v>
      </c>
      <c r="BF784" s="12">
        <f t="shared" si="185"/>
        <v>2</v>
      </c>
      <c r="BG784" s="12">
        <f t="shared" si="194"/>
        <v>4</v>
      </c>
      <c r="BH784" s="67">
        <v>0</v>
      </c>
      <c r="BI784" s="67">
        <v>1</v>
      </c>
      <c r="BJ784" s="67">
        <v>0</v>
      </c>
      <c r="BK784" s="67">
        <v>0</v>
      </c>
      <c r="BL784" s="67">
        <v>0</v>
      </c>
      <c r="BM784" s="67">
        <v>0</v>
      </c>
      <c r="BN784" s="67">
        <v>1</v>
      </c>
      <c r="BO784" s="67">
        <v>0</v>
      </c>
      <c r="BP784" s="67">
        <v>0</v>
      </c>
      <c r="BQ784" s="67">
        <v>2</v>
      </c>
      <c r="BR784" s="67">
        <v>0</v>
      </c>
      <c r="BS784" s="67">
        <v>0</v>
      </c>
      <c r="BT784" s="67">
        <v>7</v>
      </c>
      <c r="BU784" s="70">
        <v>0</v>
      </c>
      <c r="BV784" s="29">
        <f t="shared" si="186"/>
        <v>0.73366618824612484</v>
      </c>
      <c r="BW784">
        <f t="shared" si="187"/>
        <v>0.59502473559756086</v>
      </c>
      <c r="BX784">
        <f t="shared" si="188"/>
        <v>0.55002080963175637</v>
      </c>
      <c r="BY784">
        <f t="shared" si="189"/>
        <v>0.16455710867531462</v>
      </c>
      <c r="BZ784">
        <f t="shared" si="190"/>
        <v>1.3331273859286286</v>
      </c>
      <c r="CA784">
        <f t="shared" si="191"/>
        <v>0.75791203633249671</v>
      </c>
      <c r="CB784">
        <f t="shared" si="192"/>
        <v>0.67891464284095016</v>
      </c>
    </row>
    <row r="785" spans="1:80" x14ac:dyDescent="0.45">
      <c r="A785" s="11">
        <v>41</v>
      </c>
      <c r="B785" s="12">
        <f t="shared" si="180"/>
        <v>41</v>
      </c>
      <c r="C785" s="12" t="s">
        <v>59</v>
      </c>
      <c r="D785" s="12">
        <v>0</v>
      </c>
      <c r="E785" s="12" t="s">
        <v>53</v>
      </c>
      <c r="F785" s="12">
        <v>0</v>
      </c>
      <c r="G785" s="12">
        <v>1</v>
      </c>
      <c r="H785" s="12" t="s">
        <v>61</v>
      </c>
      <c r="I785" s="12">
        <v>1</v>
      </c>
      <c r="J785" s="12">
        <v>0</v>
      </c>
      <c r="K785" s="12">
        <v>7</v>
      </c>
      <c r="L785" s="12">
        <f t="shared" si="181"/>
        <v>7</v>
      </c>
      <c r="M785" s="12">
        <v>2</v>
      </c>
      <c r="N785" s="12" t="s">
        <v>91</v>
      </c>
      <c r="O785" s="12">
        <v>0</v>
      </c>
      <c r="P785" s="12">
        <v>0</v>
      </c>
      <c r="Q785" s="12">
        <v>0</v>
      </c>
      <c r="R785" s="12">
        <v>0</v>
      </c>
      <c r="S785" s="12">
        <v>1</v>
      </c>
      <c r="T785" s="12">
        <v>2</v>
      </c>
      <c r="U785" s="12" t="s">
        <v>19</v>
      </c>
      <c r="V785" s="12">
        <v>1</v>
      </c>
      <c r="W785" s="12">
        <v>43</v>
      </c>
      <c r="X785" s="12">
        <v>4</v>
      </c>
      <c r="Y785" s="12">
        <v>1</v>
      </c>
      <c r="Z785" s="12" t="s">
        <v>63</v>
      </c>
      <c r="AA785" s="12">
        <v>0</v>
      </c>
      <c r="AB785" s="12">
        <v>0</v>
      </c>
      <c r="AC785" s="12">
        <v>0</v>
      </c>
      <c r="AD785" s="12">
        <v>0</v>
      </c>
      <c r="AE785" s="12">
        <v>0</v>
      </c>
      <c r="AF785" s="12">
        <v>0</v>
      </c>
      <c r="AG785" s="12">
        <v>0</v>
      </c>
      <c r="AH785" s="12">
        <v>1</v>
      </c>
      <c r="AI785" s="12">
        <v>3</v>
      </c>
      <c r="AJ785" s="12" t="s">
        <v>64</v>
      </c>
      <c r="AK785" s="12">
        <v>0</v>
      </c>
      <c r="AL785" s="12">
        <v>1</v>
      </c>
      <c r="AM785" s="12">
        <v>3376</v>
      </c>
      <c r="AN785" s="12">
        <f t="shared" si="182"/>
        <v>3376</v>
      </c>
      <c r="AO785" s="12">
        <v>1</v>
      </c>
      <c r="AP785" s="12" t="s">
        <v>59</v>
      </c>
      <c r="AQ785" s="12">
        <v>0</v>
      </c>
      <c r="AR785" s="12">
        <v>13</v>
      </c>
      <c r="AS785" s="12">
        <v>3</v>
      </c>
      <c r="AT785" s="12">
        <v>3</v>
      </c>
      <c r="AU785" s="12">
        <v>0</v>
      </c>
      <c r="AV785" s="12">
        <v>10</v>
      </c>
      <c r="AW785" s="12">
        <f t="shared" si="183"/>
        <v>10</v>
      </c>
      <c r="AX785" s="12">
        <v>3</v>
      </c>
      <c r="AY785" s="12">
        <v>3</v>
      </c>
      <c r="AZ785" s="12">
        <v>10</v>
      </c>
      <c r="BA785" s="12">
        <f t="shared" si="184"/>
        <v>10</v>
      </c>
      <c r="BB785" s="12">
        <v>6</v>
      </c>
      <c r="BC785" s="12">
        <v>0</v>
      </c>
      <c r="BD785" s="12">
        <f t="shared" si="193"/>
        <v>0</v>
      </c>
      <c r="BE785" s="12">
        <v>8</v>
      </c>
      <c r="BF785" s="12">
        <f t="shared" si="185"/>
        <v>8</v>
      </c>
      <c r="BG785" s="12">
        <f t="shared" si="194"/>
        <v>8</v>
      </c>
      <c r="BH785" s="67">
        <v>0</v>
      </c>
      <c r="BI785" s="67">
        <v>1</v>
      </c>
      <c r="BJ785" s="67">
        <v>0</v>
      </c>
      <c r="BK785" s="67">
        <v>0</v>
      </c>
      <c r="BL785" s="67">
        <v>0</v>
      </c>
      <c r="BM785" s="67">
        <v>0</v>
      </c>
      <c r="BN785" s="67">
        <v>1</v>
      </c>
      <c r="BO785" s="67">
        <v>0</v>
      </c>
      <c r="BP785" s="67">
        <v>0</v>
      </c>
      <c r="BQ785" s="67">
        <v>8</v>
      </c>
      <c r="BR785" s="67">
        <v>0</v>
      </c>
      <c r="BS785" s="67">
        <v>0</v>
      </c>
      <c r="BT785" s="67">
        <v>10</v>
      </c>
      <c r="BU785" s="70">
        <v>0</v>
      </c>
      <c r="BV785" s="29">
        <f t="shared" si="186"/>
        <v>0.66418011816569411</v>
      </c>
      <c r="BW785">
        <f t="shared" si="187"/>
        <v>1.08652546240644</v>
      </c>
      <c r="BX785">
        <f t="shared" si="188"/>
        <v>0.1644554352117841</v>
      </c>
      <c r="BY785">
        <f t="shared" si="189"/>
        <v>0.48834154112957734</v>
      </c>
      <c r="BZ785">
        <f t="shared" si="190"/>
        <v>0.27045191444879263</v>
      </c>
      <c r="CA785">
        <f t="shared" si="191"/>
        <v>0.4461985578408646</v>
      </c>
      <c r="CB785">
        <f t="shared" si="192"/>
        <v>0.67891464284095016</v>
      </c>
    </row>
    <row r="786" spans="1:80" x14ac:dyDescent="0.45">
      <c r="A786" s="11">
        <v>38</v>
      </c>
      <c r="B786" s="12">
        <f t="shared" si="180"/>
        <v>38</v>
      </c>
      <c r="C786" s="12" t="s">
        <v>59</v>
      </c>
      <c r="D786" s="12">
        <v>0</v>
      </c>
      <c r="E786" s="12" t="s">
        <v>53</v>
      </c>
      <c r="F786" s="12">
        <v>0</v>
      </c>
      <c r="G786" s="12">
        <v>1</v>
      </c>
      <c r="H786" s="12" t="s">
        <v>61</v>
      </c>
      <c r="I786" s="12">
        <v>1</v>
      </c>
      <c r="J786" s="12">
        <v>0</v>
      </c>
      <c r="K786" s="12">
        <v>17</v>
      </c>
      <c r="L786" s="12">
        <f t="shared" si="181"/>
        <v>17</v>
      </c>
      <c r="M786" s="12">
        <v>1</v>
      </c>
      <c r="N786" s="12" t="s">
        <v>55</v>
      </c>
      <c r="O786" s="12">
        <v>1</v>
      </c>
      <c r="P786" s="12">
        <v>0</v>
      </c>
      <c r="Q786" s="12">
        <v>0</v>
      </c>
      <c r="R786" s="12">
        <v>0</v>
      </c>
      <c r="S786" s="12">
        <v>0</v>
      </c>
      <c r="T786" s="12">
        <v>3</v>
      </c>
      <c r="U786" s="12" t="s">
        <v>19</v>
      </c>
      <c r="V786" s="12">
        <v>1</v>
      </c>
      <c r="W786" s="12">
        <v>65</v>
      </c>
      <c r="X786" s="12">
        <v>2</v>
      </c>
      <c r="Y786" s="12">
        <v>3</v>
      </c>
      <c r="Z786" s="12" t="s">
        <v>85</v>
      </c>
      <c r="AA786" s="12">
        <v>1</v>
      </c>
      <c r="AB786" s="12">
        <v>0</v>
      </c>
      <c r="AC786" s="12">
        <v>0</v>
      </c>
      <c r="AD786" s="12">
        <v>0</v>
      </c>
      <c r="AE786" s="12">
        <v>0</v>
      </c>
      <c r="AF786" s="12">
        <v>0</v>
      </c>
      <c r="AG786" s="12">
        <v>0</v>
      </c>
      <c r="AH786" s="12">
        <v>0</v>
      </c>
      <c r="AI786" s="12">
        <v>3</v>
      </c>
      <c r="AJ786" s="12" t="s">
        <v>64</v>
      </c>
      <c r="AK786" s="12">
        <v>0</v>
      </c>
      <c r="AL786" s="12">
        <v>1</v>
      </c>
      <c r="AM786" s="12">
        <v>8823</v>
      </c>
      <c r="AN786" s="12">
        <f t="shared" si="182"/>
        <v>8823</v>
      </c>
      <c r="AO786" s="12">
        <v>0</v>
      </c>
      <c r="AP786" s="12" t="s">
        <v>59</v>
      </c>
      <c r="AQ786" s="12">
        <v>0</v>
      </c>
      <c r="AR786" s="12">
        <v>18</v>
      </c>
      <c r="AS786" s="12">
        <v>3</v>
      </c>
      <c r="AT786" s="12">
        <v>1</v>
      </c>
      <c r="AU786" s="12">
        <v>1</v>
      </c>
      <c r="AV786" s="12">
        <v>20</v>
      </c>
      <c r="AW786" s="12">
        <f t="shared" si="183"/>
        <v>20</v>
      </c>
      <c r="AX786" s="12">
        <v>4</v>
      </c>
      <c r="AY786" s="12">
        <v>2</v>
      </c>
      <c r="AZ786" s="12">
        <v>19</v>
      </c>
      <c r="BA786" s="12">
        <f t="shared" si="184"/>
        <v>19</v>
      </c>
      <c r="BB786" s="12">
        <v>9</v>
      </c>
      <c r="BC786" s="12">
        <v>1</v>
      </c>
      <c r="BD786" s="12">
        <f t="shared" si="193"/>
        <v>1</v>
      </c>
      <c r="BE786" s="12">
        <v>9</v>
      </c>
      <c r="BF786" s="12">
        <f t="shared" si="185"/>
        <v>9</v>
      </c>
      <c r="BG786" s="12">
        <f t="shared" si="194"/>
        <v>27</v>
      </c>
      <c r="BH786" s="67">
        <v>0</v>
      </c>
      <c r="BI786" s="67">
        <v>1</v>
      </c>
      <c r="BJ786" s="67">
        <v>0</v>
      </c>
      <c r="BK786" s="67">
        <v>0</v>
      </c>
      <c r="BL786" s="67">
        <v>0</v>
      </c>
      <c r="BM786" s="67">
        <v>0</v>
      </c>
      <c r="BN786" s="67">
        <v>1</v>
      </c>
      <c r="BO786" s="67">
        <v>0</v>
      </c>
      <c r="BP786" s="67">
        <v>0</v>
      </c>
      <c r="BQ786" s="67">
        <v>9</v>
      </c>
      <c r="BR786" s="67">
        <v>0</v>
      </c>
      <c r="BS786" s="67">
        <v>0</v>
      </c>
      <c r="BT786" s="67">
        <v>20</v>
      </c>
      <c r="BU786" s="70">
        <v>0</v>
      </c>
      <c r="BV786" s="29">
        <f t="shared" si="186"/>
        <v>0.49279736717470668</v>
      </c>
      <c r="BW786">
        <f t="shared" si="187"/>
        <v>1.3667838287404401</v>
      </c>
      <c r="BX786">
        <f t="shared" si="188"/>
        <v>1.120762479521457</v>
      </c>
      <c r="BY786">
        <f t="shared" si="189"/>
        <v>1.9573635031905841</v>
      </c>
      <c r="BZ786">
        <f t="shared" si="190"/>
        <v>0.96307062430306978</v>
      </c>
      <c r="CA786">
        <f t="shared" si="191"/>
        <v>0.11780475942994788</v>
      </c>
      <c r="CB786">
        <f t="shared" si="192"/>
        <v>0.36858985273641137</v>
      </c>
    </row>
    <row r="787" spans="1:80" x14ac:dyDescent="0.45">
      <c r="A787" s="11">
        <v>40</v>
      </c>
      <c r="B787" s="12">
        <f t="shared" si="180"/>
        <v>40</v>
      </c>
      <c r="C787" s="12" t="s">
        <v>59</v>
      </c>
      <c r="D787" s="12">
        <v>0</v>
      </c>
      <c r="E787" s="12" t="s">
        <v>53</v>
      </c>
      <c r="F787" s="12">
        <v>0</v>
      </c>
      <c r="G787" s="12">
        <v>1</v>
      </c>
      <c r="H787" s="12" t="s">
        <v>61</v>
      </c>
      <c r="I787" s="12">
        <v>1</v>
      </c>
      <c r="J787" s="12">
        <v>0</v>
      </c>
      <c r="K787" s="12">
        <v>20</v>
      </c>
      <c r="L787" s="12">
        <f t="shared" si="181"/>
        <v>20</v>
      </c>
      <c r="M787" s="12">
        <v>4</v>
      </c>
      <c r="N787" s="12" t="s">
        <v>91</v>
      </c>
      <c r="O787" s="12">
        <v>0</v>
      </c>
      <c r="P787" s="12">
        <v>0</v>
      </c>
      <c r="Q787" s="12">
        <v>0</v>
      </c>
      <c r="R787" s="12">
        <v>0</v>
      </c>
      <c r="S787" s="12">
        <v>1</v>
      </c>
      <c r="T787" s="12">
        <v>1</v>
      </c>
      <c r="U787" s="12" t="s">
        <v>62</v>
      </c>
      <c r="V787" s="12">
        <v>0</v>
      </c>
      <c r="W787" s="12">
        <v>61</v>
      </c>
      <c r="X787" s="12">
        <v>3</v>
      </c>
      <c r="Y787" s="12">
        <v>3</v>
      </c>
      <c r="Z787" s="12" t="s">
        <v>85</v>
      </c>
      <c r="AA787" s="12">
        <v>1</v>
      </c>
      <c r="AB787" s="12">
        <v>0</v>
      </c>
      <c r="AC787" s="12">
        <v>0</v>
      </c>
      <c r="AD787" s="12">
        <v>0</v>
      </c>
      <c r="AE787" s="12">
        <v>0</v>
      </c>
      <c r="AF787" s="12">
        <v>0</v>
      </c>
      <c r="AG787" s="12">
        <v>0</v>
      </c>
      <c r="AH787" s="12">
        <v>0</v>
      </c>
      <c r="AI787" s="12">
        <v>4</v>
      </c>
      <c r="AJ787" s="12" t="s">
        <v>64</v>
      </c>
      <c r="AK787" s="12">
        <v>0</v>
      </c>
      <c r="AL787" s="12">
        <v>1</v>
      </c>
      <c r="AM787" s="12">
        <v>10322</v>
      </c>
      <c r="AN787" s="12">
        <f t="shared" si="182"/>
        <v>10322</v>
      </c>
      <c r="AO787" s="12">
        <v>4</v>
      </c>
      <c r="AP787" s="12" t="s">
        <v>59</v>
      </c>
      <c r="AQ787" s="12">
        <v>0</v>
      </c>
      <c r="AR787" s="12">
        <v>20</v>
      </c>
      <c r="AS787" s="12">
        <v>4</v>
      </c>
      <c r="AT787" s="12">
        <v>4</v>
      </c>
      <c r="AU787" s="12">
        <v>1</v>
      </c>
      <c r="AV787" s="12">
        <v>14</v>
      </c>
      <c r="AW787" s="12">
        <f t="shared" si="183"/>
        <v>14</v>
      </c>
      <c r="AX787" s="12">
        <v>6</v>
      </c>
      <c r="AY787" s="12">
        <v>3</v>
      </c>
      <c r="AZ787" s="12">
        <v>11</v>
      </c>
      <c r="BA787" s="12">
        <f t="shared" si="184"/>
        <v>11</v>
      </c>
      <c r="BB787" s="12">
        <v>10</v>
      </c>
      <c r="BC787" s="12">
        <v>11</v>
      </c>
      <c r="BD787" s="12">
        <f t="shared" si="193"/>
        <v>11</v>
      </c>
      <c r="BE787" s="12">
        <v>1</v>
      </c>
      <c r="BF787" s="12">
        <f t="shared" si="185"/>
        <v>1</v>
      </c>
      <c r="BG787" s="12">
        <f t="shared" si="194"/>
        <v>3</v>
      </c>
      <c r="BH787" s="67">
        <v>0</v>
      </c>
      <c r="BI787" s="67">
        <v>1</v>
      </c>
      <c r="BJ787" s="67">
        <v>0</v>
      </c>
      <c r="BK787" s="67">
        <v>0</v>
      </c>
      <c r="BL787" s="67">
        <v>0</v>
      </c>
      <c r="BM787" s="67">
        <v>0</v>
      </c>
      <c r="BN787" s="67">
        <v>1</v>
      </c>
      <c r="BO787" s="67">
        <v>0</v>
      </c>
      <c r="BP787" s="67">
        <v>0</v>
      </c>
      <c r="BQ787" s="67">
        <v>1</v>
      </c>
      <c r="BR787" s="67">
        <v>0</v>
      </c>
      <c r="BS787" s="67">
        <v>0</v>
      </c>
      <c r="BT787" s="67">
        <v>14</v>
      </c>
      <c r="BU787" s="70">
        <v>0</v>
      </c>
      <c r="BV787" s="29">
        <f t="shared" si="186"/>
        <v>0.81119451248868879</v>
      </c>
      <c r="BW787">
        <f t="shared" si="187"/>
        <v>0.87528310193156111</v>
      </c>
      <c r="BX787">
        <f t="shared" si="188"/>
        <v>0.34963173068151232</v>
      </c>
      <c r="BY787">
        <f t="shared" si="189"/>
        <v>0.65156620358080031</v>
      </c>
      <c r="BZ787">
        <f t="shared" si="190"/>
        <v>1.3331273859286286</v>
      </c>
      <c r="CA787">
        <f t="shared" si="191"/>
        <v>0.33673395837055903</v>
      </c>
      <c r="CB787">
        <f t="shared" si="192"/>
        <v>2.7346580483089769</v>
      </c>
    </row>
    <row r="788" spans="1:80" x14ac:dyDescent="0.45">
      <c r="A788" s="11">
        <v>27</v>
      </c>
      <c r="B788" s="12">
        <f t="shared" si="180"/>
        <v>27</v>
      </c>
      <c r="C788" s="12" t="s">
        <v>59</v>
      </c>
      <c r="D788" s="12">
        <v>0</v>
      </c>
      <c r="E788" s="12" t="s">
        <v>86</v>
      </c>
      <c r="F788" s="12">
        <v>0</v>
      </c>
      <c r="G788" s="12">
        <v>0</v>
      </c>
      <c r="H788" s="12" t="s">
        <v>61</v>
      </c>
      <c r="I788" s="12">
        <v>1</v>
      </c>
      <c r="J788" s="12">
        <v>0</v>
      </c>
      <c r="K788" s="12">
        <v>8</v>
      </c>
      <c r="L788" s="12">
        <f t="shared" si="181"/>
        <v>8</v>
      </c>
      <c r="M788" s="12">
        <v>5</v>
      </c>
      <c r="N788" s="12" t="s">
        <v>55</v>
      </c>
      <c r="O788" s="12">
        <v>1</v>
      </c>
      <c r="P788" s="12">
        <v>0</v>
      </c>
      <c r="Q788" s="12">
        <v>0</v>
      </c>
      <c r="R788" s="12">
        <v>0</v>
      </c>
      <c r="S788" s="12">
        <v>0</v>
      </c>
      <c r="T788" s="12">
        <v>1</v>
      </c>
      <c r="U788" s="12" t="s">
        <v>62</v>
      </c>
      <c r="V788" s="12">
        <v>0</v>
      </c>
      <c r="W788" s="12">
        <v>87</v>
      </c>
      <c r="X788" s="12">
        <v>1</v>
      </c>
      <c r="Y788" s="12">
        <v>1</v>
      </c>
      <c r="Z788" s="12" t="s">
        <v>67</v>
      </c>
      <c r="AA788" s="12">
        <v>0</v>
      </c>
      <c r="AB788" s="12">
        <v>0</v>
      </c>
      <c r="AC788" s="12">
        <v>1</v>
      </c>
      <c r="AD788" s="12">
        <v>0</v>
      </c>
      <c r="AE788" s="12">
        <v>0</v>
      </c>
      <c r="AF788" s="12">
        <v>0</v>
      </c>
      <c r="AG788" s="12">
        <v>0</v>
      </c>
      <c r="AH788" s="12">
        <v>0</v>
      </c>
      <c r="AI788" s="12">
        <v>3</v>
      </c>
      <c r="AJ788" s="12" t="s">
        <v>64</v>
      </c>
      <c r="AK788" s="12">
        <v>0</v>
      </c>
      <c r="AL788" s="12">
        <v>1</v>
      </c>
      <c r="AM788" s="12">
        <v>4621</v>
      </c>
      <c r="AN788" s="12">
        <f t="shared" si="182"/>
        <v>4621</v>
      </c>
      <c r="AO788" s="12">
        <v>1</v>
      </c>
      <c r="AP788" s="12" t="s">
        <v>59</v>
      </c>
      <c r="AQ788" s="12">
        <v>0</v>
      </c>
      <c r="AR788" s="12">
        <v>19</v>
      </c>
      <c r="AS788" s="12">
        <v>3</v>
      </c>
      <c r="AT788" s="12">
        <v>4</v>
      </c>
      <c r="AU788" s="12">
        <v>3</v>
      </c>
      <c r="AV788" s="12">
        <v>3</v>
      </c>
      <c r="AW788" s="12">
        <f t="shared" si="183"/>
        <v>3</v>
      </c>
      <c r="AX788" s="12">
        <v>4</v>
      </c>
      <c r="AY788" s="12">
        <v>3</v>
      </c>
      <c r="AZ788" s="12">
        <v>3</v>
      </c>
      <c r="BA788" s="12">
        <f t="shared" si="184"/>
        <v>3</v>
      </c>
      <c r="BB788" s="12">
        <v>2</v>
      </c>
      <c r="BC788" s="12">
        <v>1</v>
      </c>
      <c r="BD788" s="12">
        <f t="shared" si="193"/>
        <v>1</v>
      </c>
      <c r="BE788" s="12">
        <v>2</v>
      </c>
      <c r="BF788" s="12">
        <f t="shared" si="185"/>
        <v>2</v>
      </c>
      <c r="BG788" s="12">
        <f t="shared" si="194"/>
        <v>2</v>
      </c>
      <c r="BH788" s="67">
        <v>0</v>
      </c>
      <c r="BI788" s="67">
        <v>1</v>
      </c>
      <c r="BJ788" s="67">
        <v>0</v>
      </c>
      <c r="BK788" s="67">
        <v>0</v>
      </c>
      <c r="BL788" s="67">
        <v>0</v>
      </c>
      <c r="BM788" s="67">
        <v>0</v>
      </c>
      <c r="BN788" s="67">
        <v>1</v>
      </c>
      <c r="BO788" s="67">
        <v>0</v>
      </c>
      <c r="BP788" s="67">
        <v>0</v>
      </c>
      <c r="BQ788" s="67">
        <v>2</v>
      </c>
      <c r="BR788" s="67">
        <v>0</v>
      </c>
      <c r="BS788" s="67">
        <v>0</v>
      </c>
      <c r="BT788" s="67">
        <v>3</v>
      </c>
      <c r="BU788" s="70">
        <v>0</v>
      </c>
      <c r="BV788" s="29">
        <f t="shared" si="186"/>
        <v>0.39973419026982504</v>
      </c>
      <c r="BW788">
        <f t="shared" si="187"/>
        <v>0.59502473559756086</v>
      </c>
      <c r="BX788">
        <f t="shared" si="188"/>
        <v>1.0641079755250529</v>
      </c>
      <c r="BY788">
        <f t="shared" si="189"/>
        <v>0.65423109602898355</v>
      </c>
      <c r="BZ788">
        <f t="shared" si="190"/>
        <v>0.14709966057360641</v>
      </c>
      <c r="CA788">
        <f t="shared" si="191"/>
        <v>1.0863058347434136</v>
      </c>
      <c r="CB788">
        <f t="shared" si="192"/>
        <v>0.36858985273641137</v>
      </c>
    </row>
    <row r="789" spans="1:80" x14ac:dyDescent="0.45">
      <c r="A789" s="11">
        <v>55</v>
      </c>
      <c r="B789" s="12">
        <f t="shared" si="180"/>
        <v>55</v>
      </c>
      <c r="C789" s="12" t="s">
        <v>59</v>
      </c>
      <c r="D789" s="12">
        <v>0</v>
      </c>
      <c r="E789" s="12" t="s">
        <v>60</v>
      </c>
      <c r="F789" s="12">
        <v>1</v>
      </c>
      <c r="G789" s="12">
        <v>0</v>
      </c>
      <c r="H789" s="12" t="s">
        <v>61</v>
      </c>
      <c r="I789" s="12">
        <v>1</v>
      </c>
      <c r="J789" s="12">
        <v>0</v>
      </c>
      <c r="K789" s="12">
        <v>2</v>
      </c>
      <c r="L789" s="12">
        <f t="shared" si="181"/>
        <v>2</v>
      </c>
      <c r="M789" s="12">
        <v>1</v>
      </c>
      <c r="N789" s="12" t="s">
        <v>55</v>
      </c>
      <c r="O789" s="12">
        <v>1</v>
      </c>
      <c r="P789" s="12">
        <v>0</v>
      </c>
      <c r="Q789" s="12">
        <v>0</v>
      </c>
      <c r="R789" s="12">
        <v>0</v>
      </c>
      <c r="S789" s="12">
        <v>0</v>
      </c>
      <c r="T789" s="12">
        <v>4</v>
      </c>
      <c r="U789" s="12" t="s">
        <v>62</v>
      </c>
      <c r="V789" s="12">
        <v>0</v>
      </c>
      <c r="W789" s="12">
        <v>65</v>
      </c>
      <c r="X789" s="12">
        <v>3</v>
      </c>
      <c r="Y789" s="12">
        <v>3</v>
      </c>
      <c r="Z789" s="12" t="s">
        <v>83</v>
      </c>
      <c r="AA789" s="12">
        <v>0</v>
      </c>
      <c r="AB789" s="12">
        <v>0</v>
      </c>
      <c r="AC789" s="12">
        <v>0</v>
      </c>
      <c r="AD789" s="12">
        <v>0</v>
      </c>
      <c r="AE789" s="12">
        <v>1</v>
      </c>
      <c r="AF789" s="12">
        <v>1</v>
      </c>
      <c r="AG789" s="12">
        <v>0</v>
      </c>
      <c r="AH789" s="12">
        <v>0</v>
      </c>
      <c r="AI789" s="12">
        <v>2</v>
      </c>
      <c r="AJ789" s="12" t="s">
        <v>64</v>
      </c>
      <c r="AK789" s="12">
        <v>0</v>
      </c>
      <c r="AL789" s="12">
        <v>1</v>
      </c>
      <c r="AM789" s="12">
        <v>10976</v>
      </c>
      <c r="AN789" s="12">
        <f t="shared" si="182"/>
        <v>10976</v>
      </c>
      <c r="AO789" s="12">
        <v>3</v>
      </c>
      <c r="AP789" s="12" t="s">
        <v>59</v>
      </c>
      <c r="AQ789" s="12">
        <v>0</v>
      </c>
      <c r="AR789" s="12">
        <v>18</v>
      </c>
      <c r="AS789" s="12">
        <v>3</v>
      </c>
      <c r="AT789" s="12">
        <v>2</v>
      </c>
      <c r="AU789" s="12">
        <v>1</v>
      </c>
      <c r="AV789" s="12">
        <v>23</v>
      </c>
      <c r="AW789" s="12">
        <f t="shared" si="183"/>
        <v>23</v>
      </c>
      <c r="AX789" s="12">
        <v>4</v>
      </c>
      <c r="AY789" s="12">
        <v>3</v>
      </c>
      <c r="AZ789" s="12">
        <v>3</v>
      </c>
      <c r="BA789" s="12">
        <f t="shared" si="184"/>
        <v>3</v>
      </c>
      <c r="BB789" s="12">
        <v>2</v>
      </c>
      <c r="BC789" s="12">
        <v>1</v>
      </c>
      <c r="BD789" s="12">
        <f t="shared" si="193"/>
        <v>1</v>
      </c>
      <c r="BE789" s="12">
        <v>2</v>
      </c>
      <c r="BF789" s="12">
        <f t="shared" si="185"/>
        <v>2</v>
      </c>
      <c r="BG789" s="12">
        <f t="shared" si="194"/>
        <v>6</v>
      </c>
      <c r="BH789" s="67">
        <v>0</v>
      </c>
      <c r="BI789" s="67">
        <v>0</v>
      </c>
      <c r="BJ789" s="67">
        <v>0</v>
      </c>
      <c r="BK789" s="67">
        <v>1</v>
      </c>
      <c r="BL789" s="67">
        <v>0</v>
      </c>
      <c r="BM789" s="67">
        <v>0</v>
      </c>
      <c r="BN789" s="67">
        <v>1</v>
      </c>
      <c r="BO789" s="67">
        <v>0</v>
      </c>
      <c r="BP789" s="67">
        <v>0</v>
      </c>
      <c r="BQ789" s="67">
        <v>2</v>
      </c>
      <c r="BR789" s="67">
        <v>0</v>
      </c>
      <c r="BS789" s="67">
        <v>0</v>
      </c>
      <c r="BT789" s="67">
        <v>23</v>
      </c>
      <c r="BU789" s="70">
        <v>0</v>
      </c>
      <c r="BV789" s="29">
        <f t="shared" si="186"/>
        <v>0.95010827702194056</v>
      </c>
      <c r="BW789">
        <f t="shared" si="187"/>
        <v>0.59502473559756086</v>
      </c>
      <c r="BX789">
        <f t="shared" si="188"/>
        <v>1.5063278539414293</v>
      </c>
      <c r="BY789">
        <f t="shared" si="189"/>
        <v>0.65423109602898355</v>
      </c>
      <c r="BZ789">
        <f t="shared" si="190"/>
        <v>0.88721318382472392</v>
      </c>
      <c r="CA789">
        <f t="shared" si="191"/>
        <v>1.9787029504251428</v>
      </c>
      <c r="CB789">
        <f t="shared" si="192"/>
        <v>0.36858985273641137</v>
      </c>
    </row>
    <row r="790" spans="1:80" x14ac:dyDescent="0.45">
      <c r="A790" s="11">
        <v>28</v>
      </c>
      <c r="B790" s="12">
        <f t="shared" si="180"/>
        <v>28</v>
      </c>
      <c r="C790" s="12" t="s">
        <v>59</v>
      </c>
      <c r="D790" s="12">
        <v>0</v>
      </c>
      <c r="E790" s="12" t="s">
        <v>53</v>
      </c>
      <c r="F790" s="12">
        <v>0</v>
      </c>
      <c r="G790" s="12">
        <v>1</v>
      </c>
      <c r="H790" s="12" t="s">
        <v>61</v>
      </c>
      <c r="I790" s="12">
        <v>1</v>
      </c>
      <c r="J790" s="12">
        <v>0</v>
      </c>
      <c r="K790" s="12">
        <v>10</v>
      </c>
      <c r="L790" s="12">
        <f t="shared" si="181"/>
        <v>10</v>
      </c>
      <c r="M790" s="12">
        <v>3</v>
      </c>
      <c r="N790" s="12" t="s">
        <v>66</v>
      </c>
      <c r="O790" s="12">
        <v>0</v>
      </c>
      <c r="P790" s="12">
        <v>1</v>
      </c>
      <c r="Q790" s="12">
        <v>0</v>
      </c>
      <c r="R790" s="12">
        <v>0</v>
      </c>
      <c r="S790" s="12">
        <v>0</v>
      </c>
      <c r="T790" s="12">
        <v>3</v>
      </c>
      <c r="U790" s="12" t="s">
        <v>19</v>
      </c>
      <c r="V790" s="12">
        <v>1</v>
      </c>
      <c r="W790" s="12">
        <v>59</v>
      </c>
      <c r="X790" s="12">
        <v>3</v>
      </c>
      <c r="Y790" s="12">
        <v>2</v>
      </c>
      <c r="Z790" s="12" t="s">
        <v>63</v>
      </c>
      <c r="AA790" s="12">
        <v>0</v>
      </c>
      <c r="AB790" s="12">
        <v>0</v>
      </c>
      <c r="AC790" s="12">
        <v>0</v>
      </c>
      <c r="AD790" s="12">
        <v>0</v>
      </c>
      <c r="AE790" s="12">
        <v>0</v>
      </c>
      <c r="AF790" s="12">
        <v>0</v>
      </c>
      <c r="AG790" s="12">
        <v>0</v>
      </c>
      <c r="AH790" s="12">
        <v>1</v>
      </c>
      <c r="AI790" s="12">
        <v>3</v>
      </c>
      <c r="AJ790" s="12" t="s">
        <v>57</v>
      </c>
      <c r="AK790" s="12">
        <v>1</v>
      </c>
      <c r="AL790" s="12">
        <v>0</v>
      </c>
      <c r="AM790" s="12">
        <v>3660</v>
      </c>
      <c r="AN790" s="12">
        <f t="shared" si="182"/>
        <v>3660</v>
      </c>
      <c r="AO790" s="12">
        <v>3</v>
      </c>
      <c r="AP790" s="12" t="s">
        <v>59</v>
      </c>
      <c r="AQ790" s="12">
        <v>0</v>
      </c>
      <c r="AR790" s="12">
        <v>13</v>
      </c>
      <c r="AS790" s="12">
        <v>3</v>
      </c>
      <c r="AT790" s="12">
        <v>4</v>
      </c>
      <c r="AU790" s="12">
        <v>0</v>
      </c>
      <c r="AV790" s="12">
        <v>10</v>
      </c>
      <c r="AW790" s="12">
        <f t="shared" si="183"/>
        <v>10</v>
      </c>
      <c r="AX790" s="12">
        <v>4</v>
      </c>
      <c r="AY790" s="12">
        <v>4</v>
      </c>
      <c r="AZ790" s="12">
        <v>8</v>
      </c>
      <c r="BA790" s="12">
        <f t="shared" si="184"/>
        <v>8</v>
      </c>
      <c r="BB790" s="12">
        <v>7</v>
      </c>
      <c r="BC790" s="12">
        <v>1</v>
      </c>
      <c r="BD790" s="12">
        <f t="shared" si="193"/>
        <v>1</v>
      </c>
      <c r="BE790" s="12">
        <v>7</v>
      </c>
      <c r="BF790" s="12">
        <f t="shared" si="185"/>
        <v>7</v>
      </c>
      <c r="BG790" s="12">
        <f t="shared" si="194"/>
        <v>14</v>
      </c>
      <c r="BH790" s="67">
        <v>1</v>
      </c>
      <c r="BI790" s="67">
        <v>0</v>
      </c>
      <c r="BJ790" s="67">
        <v>0</v>
      </c>
      <c r="BK790" s="67">
        <v>0</v>
      </c>
      <c r="BL790" s="67">
        <v>1</v>
      </c>
      <c r="BM790" s="67">
        <v>0</v>
      </c>
      <c r="BN790" s="67">
        <v>0</v>
      </c>
      <c r="BO790" s="67">
        <v>0</v>
      </c>
      <c r="BP790" s="67">
        <v>0</v>
      </c>
      <c r="BQ790" s="67">
        <v>7</v>
      </c>
      <c r="BR790" s="67">
        <v>0</v>
      </c>
      <c r="BS790" s="67">
        <v>0</v>
      </c>
      <c r="BT790" s="67">
        <v>10</v>
      </c>
      <c r="BU790" s="70">
        <v>0</v>
      </c>
      <c r="BV790" s="29">
        <f t="shared" si="186"/>
        <v>0.60385670971394567</v>
      </c>
      <c r="BW790">
        <f t="shared" si="187"/>
        <v>0.80626709607243985</v>
      </c>
      <c r="BX790">
        <f t="shared" si="188"/>
        <v>0.1644554352117841</v>
      </c>
      <c r="BY790">
        <f t="shared" si="189"/>
        <v>0.16189221622713135</v>
      </c>
      <c r="BZ790">
        <f t="shared" si="190"/>
        <v>9.9604847176766084E-2</v>
      </c>
      <c r="CA790">
        <f t="shared" si="191"/>
        <v>0.97684123527310796</v>
      </c>
      <c r="CB790">
        <f t="shared" si="192"/>
        <v>0.36858985273641137</v>
      </c>
    </row>
    <row r="791" spans="1:80" x14ac:dyDescent="0.45">
      <c r="A791" s="11">
        <v>44</v>
      </c>
      <c r="B791" s="12">
        <f t="shared" si="180"/>
        <v>44</v>
      </c>
      <c r="C791" s="12" t="s">
        <v>52</v>
      </c>
      <c r="D791" s="12">
        <v>1</v>
      </c>
      <c r="E791" s="12" t="s">
        <v>53</v>
      </c>
      <c r="F791" s="12">
        <v>0</v>
      </c>
      <c r="G791" s="12">
        <v>1</v>
      </c>
      <c r="H791" s="12" t="s">
        <v>97</v>
      </c>
      <c r="I791" s="12">
        <v>0</v>
      </c>
      <c r="J791" s="12">
        <v>0</v>
      </c>
      <c r="K791" s="12">
        <v>1</v>
      </c>
      <c r="L791" s="12">
        <f t="shared" si="181"/>
        <v>1</v>
      </c>
      <c r="M791" s="12">
        <v>2</v>
      </c>
      <c r="N791" s="12" t="s">
        <v>70</v>
      </c>
      <c r="O791" s="12">
        <v>0</v>
      </c>
      <c r="P791" s="12">
        <v>0</v>
      </c>
      <c r="Q791" s="12">
        <v>1</v>
      </c>
      <c r="R791" s="12">
        <v>0</v>
      </c>
      <c r="S791" s="12">
        <v>0</v>
      </c>
      <c r="T791" s="12">
        <v>2</v>
      </c>
      <c r="U791" s="12" t="s">
        <v>62</v>
      </c>
      <c r="V791" s="12">
        <v>0</v>
      </c>
      <c r="W791" s="12">
        <v>91</v>
      </c>
      <c r="X791" s="12">
        <v>2</v>
      </c>
      <c r="Y791" s="12">
        <v>3</v>
      </c>
      <c r="Z791" s="12" t="s">
        <v>97</v>
      </c>
      <c r="AA791" s="12">
        <v>0</v>
      </c>
      <c r="AB791" s="12">
        <v>0</v>
      </c>
      <c r="AC791" s="12">
        <v>0</v>
      </c>
      <c r="AD791" s="12">
        <v>0</v>
      </c>
      <c r="AE791" s="12">
        <v>0</v>
      </c>
      <c r="AF791" s="12">
        <v>0</v>
      </c>
      <c r="AG791" s="12">
        <v>0</v>
      </c>
      <c r="AH791" s="12">
        <v>0</v>
      </c>
      <c r="AI791" s="12">
        <v>1</v>
      </c>
      <c r="AJ791" s="12" t="s">
        <v>64</v>
      </c>
      <c r="AK791" s="12">
        <v>0</v>
      </c>
      <c r="AL791" s="12">
        <v>1</v>
      </c>
      <c r="AM791" s="12">
        <v>10482</v>
      </c>
      <c r="AN791" s="12">
        <f t="shared" si="182"/>
        <v>10482</v>
      </c>
      <c r="AO791" s="12">
        <v>9</v>
      </c>
      <c r="AP791" s="12" t="s">
        <v>59</v>
      </c>
      <c r="AQ791" s="12">
        <v>0</v>
      </c>
      <c r="AR791" s="12">
        <v>14</v>
      </c>
      <c r="AS791" s="12">
        <v>3</v>
      </c>
      <c r="AT791" s="12">
        <v>4</v>
      </c>
      <c r="AU791" s="12">
        <v>1</v>
      </c>
      <c r="AV791" s="12">
        <v>24</v>
      </c>
      <c r="AW791" s="12">
        <f t="shared" si="183"/>
        <v>24</v>
      </c>
      <c r="AX791" s="12">
        <v>1</v>
      </c>
      <c r="AY791" s="12">
        <v>3</v>
      </c>
      <c r="AZ791" s="12">
        <v>20</v>
      </c>
      <c r="BA791" s="12">
        <f t="shared" si="184"/>
        <v>20</v>
      </c>
      <c r="BB791" s="12">
        <v>6</v>
      </c>
      <c r="BC791" s="12">
        <v>3</v>
      </c>
      <c r="BD791" s="12">
        <f t="shared" si="193"/>
        <v>3</v>
      </c>
      <c r="BE791" s="12">
        <v>6</v>
      </c>
      <c r="BF791" s="12">
        <f t="shared" si="185"/>
        <v>6</v>
      </c>
      <c r="BG791" s="12">
        <f t="shared" si="194"/>
        <v>18</v>
      </c>
      <c r="BH791" s="67">
        <v>0</v>
      </c>
      <c r="BI791" s="67">
        <v>1</v>
      </c>
      <c r="BJ791" s="67">
        <v>0</v>
      </c>
      <c r="BK791" s="67">
        <v>0</v>
      </c>
      <c r="BL791" s="67">
        <v>0</v>
      </c>
      <c r="BM791" s="67">
        <v>0</v>
      </c>
      <c r="BN791" s="67">
        <v>1</v>
      </c>
      <c r="BO791" s="67">
        <v>0</v>
      </c>
      <c r="BP791" s="67">
        <v>6</v>
      </c>
      <c r="BQ791" s="67">
        <v>0</v>
      </c>
      <c r="BR791" s="67">
        <v>0</v>
      </c>
      <c r="BS791" s="67">
        <v>24</v>
      </c>
      <c r="BT791" s="67">
        <v>0</v>
      </c>
      <c r="BU791" s="70">
        <v>0</v>
      </c>
      <c r="BV791" s="29">
        <f t="shared" si="186"/>
        <v>0.84517953133474433</v>
      </c>
      <c r="BW791">
        <f t="shared" si="187"/>
        <v>0.52600872973843971</v>
      </c>
      <c r="BX791">
        <f t="shared" si="188"/>
        <v>1.6348496454147534</v>
      </c>
      <c r="BY791">
        <f t="shared" si="189"/>
        <v>2.1205881656418071</v>
      </c>
      <c r="BZ791">
        <f t="shared" si="190"/>
        <v>1.01056543769991</v>
      </c>
      <c r="CA791">
        <f t="shared" si="191"/>
        <v>0.77459235625178136</v>
      </c>
      <c r="CB791">
        <f t="shared" si="192"/>
        <v>0.2520597274726662</v>
      </c>
    </row>
    <row r="792" spans="1:80" x14ac:dyDescent="0.45">
      <c r="A792" s="11">
        <v>33</v>
      </c>
      <c r="B792" s="12">
        <f t="shared" si="180"/>
        <v>33</v>
      </c>
      <c r="C792" s="12" t="s">
        <v>59</v>
      </c>
      <c r="D792" s="12">
        <v>0</v>
      </c>
      <c r="E792" s="12" t="s">
        <v>53</v>
      </c>
      <c r="F792" s="12">
        <v>0</v>
      </c>
      <c r="G792" s="12">
        <v>1</v>
      </c>
      <c r="H792" s="12" t="s">
        <v>61</v>
      </c>
      <c r="I792" s="12">
        <v>1</v>
      </c>
      <c r="J792" s="12">
        <v>0</v>
      </c>
      <c r="K792" s="12">
        <v>5</v>
      </c>
      <c r="L792" s="12">
        <f t="shared" si="181"/>
        <v>5</v>
      </c>
      <c r="M792" s="12">
        <v>3</v>
      </c>
      <c r="N792" s="12" t="s">
        <v>55</v>
      </c>
      <c r="O792" s="12">
        <v>1</v>
      </c>
      <c r="P792" s="12">
        <v>0</v>
      </c>
      <c r="Q792" s="12">
        <v>0</v>
      </c>
      <c r="R792" s="12">
        <v>0</v>
      </c>
      <c r="S792" s="12">
        <v>0</v>
      </c>
      <c r="T792" s="12">
        <v>4</v>
      </c>
      <c r="U792" s="12" t="s">
        <v>62</v>
      </c>
      <c r="V792" s="12">
        <v>0</v>
      </c>
      <c r="W792" s="12">
        <v>34</v>
      </c>
      <c r="X792" s="12">
        <v>2</v>
      </c>
      <c r="Y792" s="12">
        <v>3</v>
      </c>
      <c r="Z792" s="12" t="s">
        <v>85</v>
      </c>
      <c r="AA792" s="12">
        <v>1</v>
      </c>
      <c r="AB792" s="12">
        <v>0</v>
      </c>
      <c r="AC792" s="12">
        <v>0</v>
      </c>
      <c r="AD792" s="12">
        <v>0</v>
      </c>
      <c r="AE792" s="12">
        <v>0</v>
      </c>
      <c r="AF792" s="12">
        <v>0</v>
      </c>
      <c r="AG792" s="12">
        <v>0</v>
      </c>
      <c r="AH792" s="12">
        <v>0</v>
      </c>
      <c r="AI792" s="12">
        <v>4</v>
      </c>
      <c r="AJ792" s="12" t="s">
        <v>78</v>
      </c>
      <c r="AK792" s="12">
        <v>0</v>
      </c>
      <c r="AL792" s="12">
        <v>0</v>
      </c>
      <c r="AM792" s="12">
        <v>7119</v>
      </c>
      <c r="AN792" s="12">
        <f t="shared" si="182"/>
        <v>7119</v>
      </c>
      <c r="AO792" s="12">
        <v>4</v>
      </c>
      <c r="AP792" s="12" t="s">
        <v>59</v>
      </c>
      <c r="AQ792" s="12">
        <v>0</v>
      </c>
      <c r="AR792" s="12">
        <v>15</v>
      </c>
      <c r="AS792" s="12">
        <v>3</v>
      </c>
      <c r="AT792" s="12">
        <v>3</v>
      </c>
      <c r="AU792" s="12">
        <v>1</v>
      </c>
      <c r="AV792" s="12">
        <v>9</v>
      </c>
      <c r="AW792" s="12">
        <f t="shared" si="183"/>
        <v>9</v>
      </c>
      <c r="AX792" s="12">
        <v>2</v>
      </c>
      <c r="AY792" s="12">
        <v>3</v>
      </c>
      <c r="AZ792" s="12">
        <v>3</v>
      </c>
      <c r="BA792" s="12">
        <f t="shared" si="184"/>
        <v>3</v>
      </c>
      <c r="BB792" s="12">
        <v>2</v>
      </c>
      <c r="BC792" s="12">
        <v>1</v>
      </c>
      <c r="BD792" s="12">
        <f t="shared" si="193"/>
        <v>1</v>
      </c>
      <c r="BE792" s="12">
        <v>2</v>
      </c>
      <c r="BF792" s="12">
        <f t="shared" si="185"/>
        <v>2</v>
      </c>
      <c r="BG792" s="12">
        <f t="shared" si="194"/>
        <v>6</v>
      </c>
      <c r="BH792" s="67">
        <v>1</v>
      </c>
      <c r="BI792" s="67">
        <v>0</v>
      </c>
      <c r="BJ792" s="67">
        <v>0</v>
      </c>
      <c r="BK792" s="67">
        <v>0</v>
      </c>
      <c r="BL792" s="67">
        <v>1</v>
      </c>
      <c r="BM792" s="67">
        <v>0</v>
      </c>
      <c r="BN792" s="67">
        <v>0</v>
      </c>
      <c r="BO792" s="67">
        <v>0</v>
      </c>
      <c r="BP792" s="67">
        <v>0</v>
      </c>
      <c r="BQ792" s="67">
        <v>2</v>
      </c>
      <c r="BR792" s="67">
        <v>0</v>
      </c>
      <c r="BS792" s="67">
        <v>0</v>
      </c>
      <c r="BT792" s="67">
        <v>9</v>
      </c>
      <c r="BU792" s="70">
        <v>0</v>
      </c>
      <c r="BV792" s="29">
        <f t="shared" si="186"/>
        <v>0.13085691646421593</v>
      </c>
      <c r="BW792">
        <f t="shared" si="187"/>
        <v>0.59502473559756086</v>
      </c>
      <c r="BX792">
        <f t="shared" si="188"/>
        <v>0.29297722668510823</v>
      </c>
      <c r="BY792">
        <f t="shared" si="189"/>
        <v>0.65423109602898355</v>
      </c>
      <c r="BZ792">
        <f t="shared" si="190"/>
        <v>0.51715642219916513</v>
      </c>
      <c r="CA792">
        <f t="shared" si="191"/>
        <v>0.42951823792158</v>
      </c>
      <c r="CB792">
        <f t="shared" si="192"/>
        <v>0.36858985273641137</v>
      </c>
    </row>
    <row r="793" spans="1:80" x14ac:dyDescent="0.45">
      <c r="A793" s="11">
        <v>35</v>
      </c>
      <c r="B793" s="12">
        <f t="shared" si="180"/>
        <v>35</v>
      </c>
      <c r="C793" s="12" t="s">
        <v>52</v>
      </c>
      <c r="D793" s="12">
        <v>1</v>
      </c>
      <c r="E793" s="12" t="s">
        <v>53</v>
      </c>
      <c r="F793" s="12">
        <v>0</v>
      </c>
      <c r="G793" s="12">
        <v>1</v>
      </c>
      <c r="H793" s="12" t="s">
        <v>54</v>
      </c>
      <c r="I793" s="12">
        <v>0</v>
      </c>
      <c r="J793" s="12">
        <v>1</v>
      </c>
      <c r="K793" s="12">
        <v>4</v>
      </c>
      <c r="L793" s="12">
        <f t="shared" si="181"/>
        <v>4</v>
      </c>
      <c r="M793" s="12">
        <v>3</v>
      </c>
      <c r="N793" s="12" t="s">
        <v>91</v>
      </c>
      <c r="O793" s="12">
        <v>0</v>
      </c>
      <c r="P793" s="12">
        <v>0</v>
      </c>
      <c r="Q793" s="12">
        <v>0</v>
      </c>
      <c r="R793" s="12">
        <v>0</v>
      </c>
      <c r="S793" s="12">
        <v>1</v>
      </c>
      <c r="T793" s="12">
        <v>4</v>
      </c>
      <c r="U793" s="12" t="s">
        <v>62</v>
      </c>
      <c r="V793" s="12">
        <v>0</v>
      </c>
      <c r="W793" s="12">
        <v>86</v>
      </c>
      <c r="X793" s="12">
        <v>3</v>
      </c>
      <c r="Y793" s="12">
        <v>3</v>
      </c>
      <c r="Z793" s="12" t="s">
        <v>56</v>
      </c>
      <c r="AA793" s="12">
        <v>0</v>
      </c>
      <c r="AB793" s="12">
        <v>1</v>
      </c>
      <c r="AC793" s="12">
        <v>0</v>
      </c>
      <c r="AD793" s="12">
        <v>0</v>
      </c>
      <c r="AE793" s="12">
        <v>0</v>
      </c>
      <c r="AF793" s="12">
        <v>0</v>
      </c>
      <c r="AG793" s="12">
        <v>0</v>
      </c>
      <c r="AH793" s="12">
        <v>0</v>
      </c>
      <c r="AI793" s="12">
        <v>1</v>
      </c>
      <c r="AJ793" s="12" t="s">
        <v>57</v>
      </c>
      <c r="AK793" s="12">
        <v>1</v>
      </c>
      <c r="AL793" s="12">
        <v>0</v>
      </c>
      <c r="AM793" s="12">
        <v>9582</v>
      </c>
      <c r="AN793" s="12">
        <f t="shared" si="182"/>
        <v>9582</v>
      </c>
      <c r="AO793" s="12">
        <v>0</v>
      </c>
      <c r="AP793" s="12" t="s">
        <v>52</v>
      </c>
      <c r="AQ793" s="12">
        <v>1</v>
      </c>
      <c r="AR793" s="12">
        <v>22</v>
      </c>
      <c r="AS793" s="12">
        <v>4</v>
      </c>
      <c r="AT793" s="12">
        <v>1</v>
      </c>
      <c r="AU793" s="12">
        <v>0</v>
      </c>
      <c r="AV793" s="12">
        <v>9</v>
      </c>
      <c r="AW793" s="12">
        <f t="shared" si="183"/>
        <v>9</v>
      </c>
      <c r="AX793" s="12">
        <v>2</v>
      </c>
      <c r="AY793" s="12">
        <v>3</v>
      </c>
      <c r="AZ793" s="12">
        <v>8</v>
      </c>
      <c r="BA793" s="12">
        <f t="shared" si="184"/>
        <v>8</v>
      </c>
      <c r="BB793" s="12">
        <v>7</v>
      </c>
      <c r="BC793" s="12">
        <v>4</v>
      </c>
      <c r="BD793" s="12">
        <f t="shared" si="193"/>
        <v>4</v>
      </c>
      <c r="BE793" s="12">
        <v>7</v>
      </c>
      <c r="BF793" s="12">
        <f t="shared" si="185"/>
        <v>7</v>
      </c>
      <c r="BG793" s="12">
        <f t="shared" si="194"/>
        <v>21</v>
      </c>
      <c r="BH793" s="67">
        <v>1</v>
      </c>
      <c r="BI793" s="67">
        <v>0</v>
      </c>
      <c r="BJ793" s="67">
        <v>0</v>
      </c>
      <c r="BK793" s="67">
        <v>0</v>
      </c>
      <c r="BL793" s="67">
        <v>0</v>
      </c>
      <c r="BM793" s="67">
        <v>1</v>
      </c>
      <c r="BN793" s="67">
        <v>0</v>
      </c>
      <c r="BO793" s="67">
        <v>0</v>
      </c>
      <c r="BP793" s="67">
        <v>0</v>
      </c>
      <c r="BQ793" s="67">
        <v>0</v>
      </c>
      <c r="BR793" s="67">
        <v>7</v>
      </c>
      <c r="BS793" s="67">
        <v>0</v>
      </c>
      <c r="BT793" s="67">
        <v>0</v>
      </c>
      <c r="BU793" s="70">
        <v>9</v>
      </c>
      <c r="BV793" s="29">
        <f t="shared" si="186"/>
        <v>0.65401380032568224</v>
      </c>
      <c r="BW793">
        <f t="shared" si="187"/>
        <v>0.80626709607243985</v>
      </c>
      <c r="BX793">
        <f t="shared" si="188"/>
        <v>0.29297722668510823</v>
      </c>
      <c r="BY793">
        <f t="shared" si="189"/>
        <v>0.16189221622713135</v>
      </c>
      <c r="BZ793">
        <f t="shared" si="190"/>
        <v>0.64050867607435136</v>
      </c>
      <c r="CA793">
        <f t="shared" si="191"/>
        <v>0.21058903898096887</v>
      </c>
      <c r="CB793">
        <f t="shared" si="192"/>
        <v>0.56238451757720498</v>
      </c>
    </row>
    <row r="794" spans="1:80" x14ac:dyDescent="0.45">
      <c r="A794" s="11">
        <v>33</v>
      </c>
      <c r="B794" s="12">
        <f t="shared" si="180"/>
        <v>33</v>
      </c>
      <c r="C794" s="12" t="s">
        <v>52</v>
      </c>
      <c r="D794" s="12">
        <v>1</v>
      </c>
      <c r="E794" s="12" t="s">
        <v>60</v>
      </c>
      <c r="F794" s="12">
        <v>1</v>
      </c>
      <c r="G794" s="12">
        <v>0</v>
      </c>
      <c r="H794" s="12" t="s">
        <v>61</v>
      </c>
      <c r="I794" s="12">
        <v>1</v>
      </c>
      <c r="J794" s="12">
        <v>0</v>
      </c>
      <c r="K794" s="12">
        <v>29</v>
      </c>
      <c r="L794" s="12">
        <f t="shared" si="181"/>
        <v>29</v>
      </c>
      <c r="M794" s="12">
        <v>4</v>
      </c>
      <c r="N794" s="12" t="s">
        <v>70</v>
      </c>
      <c r="O794" s="12">
        <v>0</v>
      </c>
      <c r="P794" s="12">
        <v>0</v>
      </c>
      <c r="Q794" s="12">
        <v>1</v>
      </c>
      <c r="R794" s="12">
        <v>0</v>
      </c>
      <c r="S794" s="12">
        <v>0</v>
      </c>
      <c r="T794" s="12">
        <v>1</v>
      </c>
      <c r="U794" s="12" t="s">
        <v>19</v>
      </c>
      <c r="V794" s="12">
        <v>1</v>
      </c>
      <c r="W794" s="12">
        <v>54</v>
      </c>
      <c r="X794" s="12">
        <v>2</v>
      </c>
      <c r="Y794" s="12">
        <v>2</v>
      </c>
      <c r="Z794" s="12" t="s">
        <v>63</v>
      </c>
      <c r="AA794" s="12">
        <v>0</v>
      </c>
      <c r="AB794" s="12">
        <v>0</v>
      </c>
      <c r="AC794" s="12">
        <v>0</v>
      </c>
      <c r="AD794" s="12">
        <v>0</v>
      </c>
      <c r="AE794" s="12">
        <v>0</v>
      </c>
      <c r="AF794" s="12">
        <v>0</v>
      </c>
      <c r="AG794" s="12">
        <v>0</v>
      </c>
      <c r="AH794" s="12">
        <v>1</v>
      </c>
      <c r="AI794" s="12">
        <v>3</v>
      </c>
      <c r="AJ794" s="12" t="s">
        <v>57</v>
      </c>
      <c r="AK794" s="12">
        <v>1</v>
      </c>
      <c r="AL794" s="12">
        <v>0</v>
      </c>
      <c r="AM794" s="12">
        <v>4508</v>
      </c>
      <c r="AN794" s="12">
        <f t="shared" si="182"/>
        <v>4508</v>
      </c>
      <c r="AO794" s="12">
        <v>1</v>
      </c>
      <c r="AP794" s="12" t="s">
        <v>59</v>
      </c>
      <c r="AQ794" s="12">
        <v>0</v>
      </c>
      <c r="AR794" s="12">
        <v>22</v>
      </c>
      <c r="AS794" s="12">
        <v>4</v>
      </c>
      <c r="AT794" s="12">
        <v>2</v>
      </c>
      <c r="AU794" s="12">
        <v>0</v>
      </c>
      <c r="AV794" s="12">
        <v>14</v>
      </c>
      <c r="AW794" s="12">
        <f t="shared" si="183"/>
        <v>14</v>
      </c>
      <c r="AX794" s="12">
        <v>4</v>
      </c>
      <c r="AY794" s="12">
        <v>3</v>
      </c>
      <c r="AZ794" s="12">
        <v>13</v>
      </c>
      <c r="BA794" s="12">
        <f t="shared" si="184"/>
        <v>13</v>
      </c>
      <c r="BB794" s="12">
        <v>7</v>
      </c>
      <c r="BC794" s="12">
        <v>3</v>
      </c>
      <c r="BD794" s="12">
        <f t="shared" si="193"/>
        <v>3</v>
      </c>
      <c r="BE794" s="12">
        <v>8</v>
      </c>
      <c r="BF794" s="12">
        <f t="shared" si="185"/>
        <v>8</v>
      </c>
      <c r="BG794" s="12">
        <f t="shared" si="194"/>
        <v>16</v>
      </c>
      <c r="BH794" s="67">
        <v>0</v>
      </c>
      <c r="BI794" s="67">
        <v>0</v>
      </c>
      <c r="BJ794" s="67">
        <v>1</v>
      </c>
      <c r="BK794" s="67">
        <v>0</v>
      </c>
      <c r="BL794" s="67">
        <v>1</v>
      </c>
      <c r="BM794" s="67">
        <v>0</v>
      </c>
      <c r="BN794" s="67">
        <v>0</v>
      </c>
      <c r="BO794" s="67">
        <v>0</v>
      </c>
      <c r="BP794" s="67">
        <v>0</v>
      </c>
      <c r="BQ794" s="67">
        <v>8</v>
      </c>
      <c r="BR794" s="67">
        <v>0</v>
      </c>
      <c r="BS794" s="67">
        <v>0</v>
      </c>
      <c r="BT794" s="67">
        <v>14</v>
      </c>
      <c r="BU794" s="70">
        <v>0</v>
      </c>
      <c r="BV794" s="29">
        <f t="shared" si="186"/>
        <v>0.42373610982985171</v>
      </c>
      <c r="BW794">
        <f t="shared" si="187"/>
        <v>1.08652546240644</v>
      </c>
      <c r="BX794">
        <f t="shared" si="188"/>
        <v>0.34963173068151232</v>
      </c>
      <c r="BY794">
        <f t="shared" si="189"/>
        <v>0.97801552848324624</v>
      </c>
      <c r="BZ794">
        <f t="shared" si="190"/>
        <v>2.4432976708053049</v>
      </c>
      <c r="CA794">
        <f t="shared" si="191"/>
        <v>0.42951823792158</v>
      </c>
      <c r="CB794">
        <f t="shared" si="192"/>
        <v>0.2520597274726662</v>
      </c>
    </row>
    <row r="795" spans="1:80" x14ac:dyDescent="0.45">
      <c r="A795" s="11">
        <v>28</v>
      </c>
      <c r="B795" s="12">
        <f t="shared" si="180"/>
        <v>28</v>
      </c>
      <c r="C795" s="12" t="s">
        <v>59</v>
      </c>
      <c r="D795" s="12">
        <v>0</v>
      </c>
      <c r="E795" s="12" t="s">
        <v>53</v>
      </c>
      <c r="F795" s="12">
        <v>0</v>
      </c>
      <c r="G795" s="12">
        <v>1</v>
      </c>
      <c r="H795" s="12" t="s">
        <v>61</v>
      </c>
      <c r="I795" s="12">
        <v>1</v>
      </c>
      <c r="J795" s="12">
        <v>0</v>
      </c>
      <c r="K795" s="12">
        <v>15</v>
      </c>
      <c r="L795" s="12">
        <f t="shared" si="181"/>
        <v>15</v>
      </c>
      <c r="M795" s="12">
        <v>2</v>
      </c>
      <c r="N795" s="12" t="s">
        <v>55</v>
      </c>
      <c r="O795" s="12">
        <v>1</v>
      </c>
      <c r="P795" s="12">
        <v>0</v>
      </c>
      <c r="Q795" s="12">
        <v>0</v>
      </c>
      <c r="R795" s="12">
        <v>0</v>
      </c>
      <c r="S795" s="12">
        <v>0</v>
      </c>
      <c r="T795" s="12">
        <v>1</v>
      </c>
      <c r="U795" s="12" t="s">
        <v>62</v>
      </c>
      <c r="V795" s="12">
        <v>0</v>
      </c>
      <c r="W795" s="12">
        <v>50</v>
      </c>
      <c r="X795" s="12">
        <v>3</v>
      </c>
      <c r="Y795" s="12">
        <v>1</v>
      </c>
      <c r="Z795" s="12" t="s">
        <v>67</v>
      </c>
      <c r="AA795" s="12">
        <v>0</v>
      </c>
      <c r="AB795" s="12">
        <v>0</v>
      </c>
      <c r="AC795" s="12">
        <v>1</v>
      </c>
      <c r="AD795" s="12">
        <v>0</v>
      </c>
      <c r="AE795" s="12">
        <v>0</v>
      </c>
      <c r="AF795" s="12">
        <v>0</v>
      </c>
      <c r="AG795" s="12">
        <v>0</v>
      </c>
      <c r="AH795" s="12">
        <v>0</v>
      </c>
      <c r="AI795" s="12">
        <v>3</v>
      </c>
      <c r="AJ795" s="12" t="s">
        <v>78</v>
      </c>
      <c r="AK795" s="12">
        <v>0</v>
      </c>
      <c r="AL795" s="12">
        <v>0</v>
      </c>
      <c r="AM795" s="12">
        <v>2207</v>
      </c>
      <c r="AN795" s="12">
        <f t="shared" si="182"/>
        <v>2207</v>
      </c>
      <c r="AO795" s="12">
        <v>1</v>
      </c>
      <c r="AP795" s="12" t="s">
        <v>59</v>
      </c>
      <c r="AQ795" s="12">
        <v>0</v>
      </c>
      <c r="AR795" s="12">
        <v>16</v>
      </c>
      <c r="AS795" s="12">
        <v>3</v>
      </c>
      <c r="AT795" s="12">
        <v>4</v>
      </c>
      <c r="AU795" s="12">
        <v>1</v>
      </c>
      <c r="AV795" s="12">
        <v>4</v>
      </c>
      <c r="AW795" s="12">
        <f t="shared" si="183"/>
        <v>4</v>
      </c>
      <c r="AX795" s="12">
        <v>5</v>
      </c>
      <c r="AY795" s="12">
        <v>2</v>
      </c>
      <c r="AZ795" s="12">
        <v>4</v>
      </c>
      <c r="BA795" s="12">
        <f t="shared" si="184"/>
        <v>4</v>
      </c>
      <c r="BB795" s="12">
        <v>2</v>
      </c>
      <c r="BC795" s="12">
        <v>2</v>
      </c>
      <c r="BD795" s="12">
        <f t="shared" si="193"/>
        <v>2</v>
      </c>
      <c r="BE795" s="12">
        <v>2</v>
      </c>
      <c r="BF795" s="12">
        <f t="shared" si="185"/>
        <v>2</v>
      </c>
      <c r="BG795" s="12">
        <f t="shared" si="194"/>
        <v>2</v>
      </c>
      <c r="BH795" s="67">
        <v>1</v>
      </c>
      <c r="BI795" s="67">
        <v>0</v>
      </c>
      <c r="BJ795" s="67">
        <v>0</v>
      </c>
      <c r="BK795" s="67">
        <v>0</v>
      </c>
      <c r="BL795" s="67">
        <v>1</v>
      </c>
      <c r="BM795" s="67">
        <v>0</v>
      </c>
      <c r="BN795" s="67">
        <v>0</v>
      </c>
      <c r="BO795" s="67">
        <v>0</v>
      </c>
      <c r="BP795" s="67">
        <v>0</v>
      </c>
      <c r="BQ795" s="67">
        <v>2</v>
      </c>
      <c r="BR795" s="67">
        <v>0</v>
      </c>
      <c r="BS795" s="67">
        <v>0</v>
      </c>
      <c r="BT795" s="67">
        <v>4</v>
      </c>
      <c r="BU795" s="70">
        <v>0</v>
      </c>
      <c r="BV795" s="29">
        <f t="shared" si="186"/>
        <v>0.91248316210968694</v>
      </c>
      <c r="BW795">
        <f t="shared" si="187"/>
        <v>0.59502473559756086</v>
      </c>
      <c r="BX795">
        <f t="shared" si="188"/>
        <v>0.93558618405172878</v>
      </c>
      <c r="BY795">
        <f t="shared" si="189"/>
        <v>0.49100643357776058</v>
      </c>
      <c r="BZ795">
        <f t="shared" si="190"/>
        <v>0.71636611655269733</v>
      </c>
      <c r="CA795">
        <f t="shared" si="191"/>
        <v>0.97684123527310796</v>
      </c>
      <c r="CB795">
        <f t="shared" si="192"/>
        <v>5.8265062631872602E-2</v>
      </c>
    </row>
    <row r="796" spans="1:80" x14ac:dyDescent="0.45">
      <c r="A796" s="11">
        <v>34</v>
      </c>
      <c r="B796" s="12">
        <f t="shared" si="180"/>
        <v>34</v>
      </c>
      <c r="C796" s="12" t="s">
        <v>59</v>
      </c>
      <c r="D796" s="12">
        <v>0</v>
      </c>
      <c r="E796" s="12" t="s">
        <v>60</v>
      </c>
      <c r="F796" s="12">
        <v>1</v>
      </c>
      <c r="G796" s="12">
        <v>0</v>
      </c>
      <c r="H796" s="12" t="s">
        <v>61</v>
      </c>
      <c r="I796" s="12">
        <v>1</v>
      </c>
      <c r="J796" s="12">
        <v>0</v>
      </c>
      <c r="K796" s="12">
        <v>3</v>
      </c>
      <c r="L796" s="12">
        <f t="shared" si="181"/>
        <v>3</v>
      </c>
      <c r="M796" s="12">
        <v>1</v>
      </c>
      <c r="N796" s="12" t="s">
        <v>55</v>
      </c>
      <c r="O796" s="12">
        <v>1</v>
      </c>
      <c r="P796" s="12">
        <v>0</v>
      </c>
      <c r="Q796" s="12">
        <v>0</v>
      </c>
      <c r="R796" s="12">
        <v>0</v>
      </c>
      <c r="S796" s="12">
        <v>0</v>
      </c>
      <c r="T796" s="12">
        <v>1</v>
      </c>
      <c r="U796" s="12" t="s">
        <v>62</v>
      </c>
      <c r="V796" s="12">
        <v>0</v>
      </c>
      <c r="W796" s="12">
        <v>45</v>
      </c>
      <c r="X796" s="12">
        <v>3</v>
      </c>
      <c r="Y796" s="12">
        <v>2</v>
      </c>
      <c r="Z796" s="12" t="s">
        <v>85</v>
      </c>
      <c r="AA796" s="12">
        <v>1</v>
      </c>
      <c r="AB796" s="12">
        <v>0</v>
      </c>
      <c r="AC796" s="12">
        <v>0</v>
      </c>
      <c r="AD796" s="12">
        <v>0</v>
      </c>
      <c r="AE796" s="12">
        <v>0</v>
      </c>
      <c r="AF796" s="12">
        <v>0</v>
      </c>
      <c r="AG796" s="12">
        <v>0</v>
      </c>
      <c r="AH796" s="12">
        <v>0</v>
      </c>
      <c r="AI796" s="12">
        <v>4</v>
      </c>
      <c r="AJ796" s="12" t="s">
        <v>57</v>
      </c>
      <c r="AK796" s="12">
        <v>1</v>
      </c>
      <c r="AL796" s="12">
        <v>0</v>
      </c>
      <c r="AM796" s="12">
        <v>7756</v>
      </c>
      <c r="AN796" s="12">
        <f t="shared" si="182"/>
        <v>7756</v>
      </c>
      <c r="AO796" s="12">
        <v>0</v>
      </c>
      <c r="AP796" s="12" t="s">
        <v>59</v>
      </c>
      <c r="AQ796" s="12">
        <v>0</v>
      </c>
      <c r="AR796" s="12">
        <v>17</v>
      </c>
      <c r="AS796" s="12">
        <v>3</v>
      </c>
      <c r="AT796" s="12">
        <v>3</v>
      </c>
      <c r="AU796" s="12">
        <v>0</v>
      </c>
      <c r="AV796" s="12">
        <v>7</v>
      </c>
      <c r="AW796" s="12">
        <f t="shared" si="183"/>
        <v>7</v>
      </c>
      <c r="AX796" s="12">
        <v>1</v>
      </c>
      <c r="AY796" s="12">
        <v>2</v>
      </c>
      <c r="AZ796" s="12">
        <v>6</v>
      </c>
      <c r="BA796" s="12">
        <f t="shared" si="184"/>
        <v>6</v>
      </c>
      <c r="BB796" s="12">
        <v>2</v>
      </c>
      <c r="BC796" s="12">
        <v>0</v>
      </c>
      <c r="BD796" s="12">
        <f t="shared" si="193"/>
        <v>0</v>
      </c>
      <c r="BE796" s="12">
        <v>4</v>
      </c>
      <c r="BF796" s="12">
        <f t="shared" si="185"/>
        <v>4</v>
      </c>
      <c r="BG796" s="12">
        <f t="shared" si="194"/>
        <v>8</v>
      </c>
      <c r="BH796" s="67">
        <v>0</v>
      </c>
      <c r="BI796" s="67">
        <v>0</v>
      </c>
      <c r="BJ796" s="67">
        <v>1</v>
      </c>
      <c r="BK796" s="67">
        <v>0</v>
      </c>
      <c r="BL796" s="67">
        <v>1</v>
      </c>
      <c r="BM796" s="67">
        <v>0</v>
      </c>
      <c r="BN796" s="67">
        <v>0</v>
      </c>
      <c r="BO796" s="67">
        <v>0</v>
      </c>
      <c r="BP796" s="67">
        <v>0</v>
      </c>
      <c r="BQ796" s="67">
        <v>4</v>
      </c>
      <c r="BR796" s="67">
        <v>0</v>
      </c>
      <c r="BS796" s="67">
        <v>0</v>
      </c>
      <c r="BT796" s="67">
        <v>7</v>
      </c>
      <c r="BU796" s="70">
        <v>0</v>
      </c>
      <c r="BV796" s="29">
        <f t="shared" si="186"/>
        <v>0.26615977274507424</v>
      </c>
      <c r="BW796">
        <f t="shared" si="187"/>
        <v>3.4508002929560584E-2</v>
      </c>
      <c r="BX796">
        <f t="shared" si="188"/>
        <v>0.55002080963175637</v>
      </c>
      <c r="BY796">
        <f t="shared" si="189"/>
        <v>0.16455710867531462</v>
      </c>
      <c r="BZ796">
        <f t="shared" si="190"/>
        <v>0.76386092994953758</v>
      </c>
      <c r="CA796">
        <f t="shared" si="191"/>
        <v>0.32005363845127444</v>
      </c>
      <c r="CB796">
        <f t="shared" si="192"/>
        <v>0.67891464284095016</v>
      </c>
    </row>
    <row r="797" spans="1:80" x14ac:dyDescent="0.45">
      <c r="A797" s="11">
        <v>37</v>
      </c>
      <c r="B797" s="12">
        <f t="shared" si="180"/>
        <v>37</v>
      </c>
      <c r="C797" s="12" t="s">
        <v>59</v>
      </c>
      <c r="D797" s="12">
        <v>0</v>
      </c>
      <c r="E797" s="12" t="s">
        <v>53</v>
      </c>
      <c r="F797" s="12">
        <v>0</v>
      </c>
      <c r="G797" s="12">
        <v>1</v>
      </c>
      <c r="H797" s="12" t="s">
        <v>54</v>
      </c>
      <c r="I797" s="12">
        <v>0</v>
      </c>
      <c r="J797" s="12">
        <v>1</v>
      </c>
      <c r="K797" s="12">
        <v>10</v>
      </c>
      <c r="L797" s="12">
        <f t="shared" si="181"/>
        <v>10</v>
      </c>
      <c r="M797" s="12">
        <v>4</v>
      </c>
      <c r="N797" s="12" t="s">
        <v>55</v>
      </c>
      <c r="O797" s="12">
        <v>1</v>
      </c>
      <c r="P797" s="12">
        <v>0</v>
      </c>
      <c r="Q797" s="12">
        <v>0</v>
      </c>
      <c r="R797" s="12">
        <v>0</v>
      </c>
      <c r="S797" s="12">
        <v>0</v>
      </c>
      <c r="T797" s="12">
        <v>4</v>
      </c>
      <c r="U797" s="12" t="s">
        <v>19</v>
      </c>
      <c r="V797" s="12">
        <v>1</v>
      </c>
      <c r="W797" s="12">
        <v>88</v>
      </c>
      <c r="X797" s="12">
        <v>2</v>
      </c>
      <c r="Y797" s="12">
        <v>2</v>
      </c>
      <c r="Z797" s="12" t="s">
        <v>56</v>
      </c>
      <c r="AA797" s="12">
        <v>0</v>
      </c>
      <c r="AB797" s="12">
        <v>1</v>
      </c>
      <c r="AC797" s="12">
        <v>0</v>
      </c>
      <c r="AD797" s="12">
        <v>0</v>
      </c>
      <c r="AE797" s="12">
        <v>0</v>
      </c>
      <c r="AF797" s="12">
        <v>0</v>
      </c>
      <c r="AG797" s="12">
        <v>0</v>
      </c>
      <c r="AH797" s="12">
        <v>0</v>
      </c>
      <c r="AI797" s="12">
        <v>4</v>
      </c>
      <c r="AJ797" s="12" t="s">
        <v>78</v>
      </c>
      <c r="AK797" s="12">
        <v>0</v>
      </c>
      <c r="AL797" s="12">
        <v>0</v>
      </c>
      <c r="AM797" s="12">
        <v>6694</v>
      </c>
      <c r="AN797" s="12">
        <f t="shared" si="182"/>
        <v>6694</v>
      </c>
      <c r="AO797" s="12">
        <v>2</v>
      </c>
      <c r="AP797" s="12" t="s">
        <v>52</v>
      </c>
      <c r="AQ797" s="12">
        <v>1</v>
      </c>
      <c r="AR797" s="12">
        <v>14</v>
      </c>
      <c r="AS797" s="12">
        <v>3</v>
      </c>
      <c r="AT797" s="12">
        <v>3</v>
      </c>
      <c r="AU797" s="12">
        <v>3</v>
      </c>
      <c r="AV797" s="12">
        <v>8</v>
      </c>
      <c r="AW797" s="12">
        <f t="shared" si="183"/>
        <v>8</v>
      </c>
      <c r="AX797" s="12">
        <v>5</v>
      </c>
      <c r="AY797" s="12">
        <v>3</v>
      </c>
      <c r="AZ797" s="12">
        <v>1</v>
      </c>
      <c r="BA797" s="12">
        <f t="shared" si="184"/>
        <v>1</v>
      </c>
      <c r="BB797" s="12">
        <v>0</v>
      </c>
      <c r="BC797" s="12">
        <v>0</v>
      </c>
      <c r="BD797" s="12">
        <f t="shared" si="193"/>
        <v>0</v>
      </c>
      <c r="BE797" s="12">
        <v>0</v>
      </c>
      <c r="BF797" s="12">
        <f t="shared" si="185"/>
        <v>0</v>
      </c>
      <c r="BG797" s="12">
        <f t="shared" si="194"/>
        <v>0</v>
      </c>
      <c r="BH797" s="67">
        <v>1</v>
      </c>
      <c r="BI797" s="67">
        <v>0</v>
      </c>
      <c r="BJ797" s="67">
        <v>0</v>
      </c>
      <c r="BK797" s="67">
        <v>0</v>
      </c>
      <c r="BL797" s="67">
        <v>0</v>
      </c>
      <c r="BM797" s="67">
        <v>1</v>
      </c>
      <c r="BN797" s="67">
        <v>0</v>
      </c>
      <c r="BO797" s="67">
        <v>0</v>
      </c>
      <c r="BP797" s="67">
        <v>0</v>
      </c>
      <c r="BQ797" s="67">
        <v>0</v>
      </c>
      <c r="BR797" s="67">
        <v>0</v>
      </c>
      <c r="BS797" s="67">
        <v>0</v>
      </c>
      <c r="BT797" s="67">
        <v>0</v>
      </c>
      <c r="BU797" s="70">
        <v>8</v>
      </c>
      <c r="BV797" s="29">
        <f t="shared" si="186"/>
        <v>4.0584210154381101E-2</v>
      </c>
      <c r="BW797">
        <f t="shared" si="187"/>
        <v>1.1555414682655611</v>
      </c>
      <c r="BX797">
        <f t="shared" si="188"/>
        <v>0.42149901815843233</v>
      </c>
      <c r="BY797">
        <f t="shared" si="189"/>
        <v>0.9806804209314296</v>
      </c>
      <c r="BZ797">
        <f t="shared" si="190"/>
        <v>9.9604847176766084E-2</v>
      </c>
      <c r="CA797">
        <f t="shared" si="191"/>
        <v>8.3401599596422994E-3</v>
      </c>
      <c r="CB797">
        <f t="shared" si="192"/>
        <v>0.67891464284095016</v>
      </c>
    </row>
    <row r="798" spans="1:80" x14ac:dyDescent="0.45">
      <c r="A798" s="11">
        <v>25</v>
      </c>
      <c r="B798" s="12">
        <f t="shared" si="180"/>
        <v>25</v>
      </c>
      <c r="C798" s="12" t="s">
        <v>52</v>
      </c>
      <c r="D798" s="12">
        <v>1</v>
      </c>
      <c r="E798" s="12" t="s">
        <v>53</v>
      </c>
      <c r="F798" s="12">
        <v>0</v>
      </c>
      <c r="G798" s="12">
        <v>1</v>
      </c>
      <c r="H798" s="12" t="s">
        <v>61</v>
      </c>
      <c r="I798" s="12">
        <v>1</v>
      </c>
      <c r="J798" s="12">
        <v>0</v>
      </c>
      <c r="K798" s="12">
        <v>4</v>
      </c>
      <c r="L798" s="12">
        <f t="shared" si="181"/>
        <v>4</v>
      </c>
      <c r="M798" s="12">
        <v>1</v>
      </c>
      <c r="N798" s="12" t="s">
        <v>91</v>
      </c>
      <c r="O798" s="12">
        <v>0</v>
      </c>
      <c r="P798" s="12">
        <v>0</v>
      </c>
      <c r="Q798" s="12">
        <v>0</v>
      </c>
      <c r="R798" s="12">
        <v>0</v>
      </c>
      <c r="S798" s="12">
        <v>1</v>
      </c>
      <c r="T798" s="12">
        <v>4</v>
      </c>
      <c r="U798" s="12" t="s">
        <v>62</v>
      </c>
      <c r="V798" s="12">
        <v>0</v>
      </c>
      <c r="W798" s="12">
        <v>32</v>
      </c>
      <c r="X798" s="12">
        <v>3</v>
      </c>
      <c r="Y798" s="12">
        <v>1</v>
      </c>
      <c r="Z798" s="12" t="s">
        <v>67</v>
      </c>
      <c r="AA798" s="12">
        <v>0</v>
      </c>
      <c r="AB798" s="12">
        <v>0</v>
      </c>
      <c r="AC798" s="12">
        <v>1</v>
      </c>
      <c r="AD798" s="12">
        <v>0</v>
      </c>
      <c r="AE798" s="12">
        <v>0</v>
      </c>
      <c r="AF798" s="12">
        <v>0</v>
      </c>
      <c r="AG798" s="12">
        <v>0</v>
      </c>
      <c r="AH798" s="12">
        <v>0</v>
      </c>
      <c r="AI798" s="12">
        <v>4</v>
      </c>
      <c r="AJ798" s="12" t="s">
        <v>64</v>
      </c>
      <c r="AK798" s="12">
        <v>0</v>
      </c>
      <c r="AL798" s="12">
        <v>1</v>
      </c>
      <c r="AM798" s="12">
        <v>3691</v>
      </c>
      <c r="AN798" s="12">
        <f t="shared" si="182"/>
        <v>3691</v>
      </c>
      <c r="AO798" s="12">
        <v>1</v>
      </c>
      <c r="AP798" s="12" t="s">
        <v>52</v>
      </c>
      <c r="AQ798" s="12">
        <v>1</v>
      </c>
      <c r="AR798" s="12">
        <v>15</v>
      </c>
      <c r="AS798" s="12">
        <v>3</v>
      </c>
      <c r="AT798" s="12">
        <v>2</v>
      </c>
      <c r="AU798" s="12">
        <v>1</v>
      </c>
      <c r="AV798" s="12">
        <v>7</v>
      </c>
      <c r="AW798" s="12">
        <f t="shared" si="183"/>
        <v>7</v>
      </c>
      <c r="AX798" s="12">
        <v>3</v>
      </c>
      <c r="AY798" s="12">
        <v>4</v>
      </c>
      <c r="AZ798" s="12">
        <v>7</v>
      </c>
      <c r="BA798" s="12">
        <f t="shared" si="184"/>
        <v>7</v>
      </c>
      <c r="BB798" s="12">
        <v>7</v>
      </c>
      <c r="BC798" s="12">
        <v>5</v>
      </c>
      <c r="BD798" s="12">
        <f t="shared" si="193"/>
        <v>5</v>
      </c>
      <c r="BE798" s="12">
        <v>6</v>
      </c>
      <c r="BF798" s="12">
        <f t="shared" si="185"/>
        <v>6</v>
      </c>
      <c r="BG798" s="12">
        <f t="shared" si="194"/>
        <v>6</v>
      </c>
      <c r="BH798" s="67">
        <v>0</v>
      </c>
      <c r="BI798" s="67">
        <v>1</v>
      </c>
      <c r="BJ798" s="67">
        <v>0</v>
      </c>
      <c r="BK798" s="67">
        <v>0</v>
      </c>
      <c r="BL798" s="67">
        <v>0</v>
      </c>
      <c r="BM798" s="67">
        <v>0</v>
      </c>
      <c r="BN798" s="67">
        <v>0</v>
      </c>
      <c r="BO798" s="67">
        <v>1</v>
      </c>
      <c r="BP798" s="67">
        <v>0</v>
      </c>
      <c r="BQ798" s="67">
        <v>6</v>
      </c>
      <c r="BR798" s="67">
        <v>0</v>
      </c>
      <c r="BS798" s="67">
        <v>0</v>
      </c>
      <c r="BT798" s="67">
        <v>7</v>
      </c>
      <c r="BU798" s="70">
        <v>0</v>
      </c>
      <c r="BV798" s="29">
        <f t="shared" si="186"/>
        <v>0.59727211231252242</v>
      </c>
      <c r="BW798">
        <f t="shared" si="187"/>
        <v>0.52600872973843971</v>
      </c>
      <c r="BX798">
        <f t="shared" si="188"/>
        <v>0.55002080963175637</v>
      </c>
      <c r="BY798">
        <f t="shared" si="189"/>
        <v>1.3324462240916321E-3</v>
      </c>
      <c r="BZ798">
        <f t="shared" si="190"/>
        <v>0.64050867607435136</v>
      </c>
      <c r="CA798">
        <f t="shared" si="191"/>
        <v>1.3052350336840246</v>
      </c>
      <c r="CB798">
        <f t="shared" si="192"/>
        <v>0.87270930768174382</v>
      </c>
    </row>
    <row r="799" spans="1:80" x14ac:dyDescent="0.45">
      <c r="A799" s="11">
        <v>26</v>
      </c>
      <c r="B799" s="12">
        <f t="shared" si="180"/>
        <v>26</v>
      </c>
      <c r="C799" s="12" t="s">
        <v>52</v>
      </c>
      <c r="D799" s="12">
        <v>1</v>
      </c>
      <c r="E799" s="12" t="s">
        <v>53</v>
      </c>
      <c r="F799" s="12">
        <v>0</v>
      </c>
      <c r="G799" s="12">
        <v>1</v>
      </c>
      <c r="H799" s="12" t="s">
        <v>61</v>
      </c>
      <c r="I799" s="12">
        <v>1</v>
      </c>
      <c r="J799" s="12">
        <v>0</v>
      </c>
      <c r="K799" s="12">
        <v>21</v>
      </c>
      <c r="L799" s="12">
        <f t="shared" si="181"/>
        <v>21</v>
      </c>
      <c r="M799" s="12">
        <v>3</v>
      </c>
      <c r="N799" s="12" t="s">
        <v>70</v>
      </c>
      <c r="O799" s="12">
        <v>0</v>
      </c>
      <c r="P799" s="12">
        <v>0</v>
      </c>
      <c r="Q799" s="12">
        <v>1</v>
      </c>
      <c r="R799" s="12">
        <v>0</v>
      </c>
      <c r="S799" s="12">
        <v>0</v>
      </c>
      <c r="T799" s="12">
        <v>1</v>
      </c>
      <c r="U799" s="12" t="s">
        <v>62</v>
      </c>
      <c r="V799" s="12">
        <v>0</v>
      </c>
      <c r="W799" s="12">
        <v>37</v>
      </c>
      <c r="X799" s="12">
        <v>3</v>
      </c>
      <c r="Y799" s="12">
        <v>1</v>
      </c>
      <c r="Z799" s="12" t="s">
        <v>67</v>
      </c>
      <c r="AA799" s="12">
        <v>0</v>
      </c>
      <c r="AB799" s="12">
        <v>0</v>
      </c>
      <c r="AC799" s="12">
        <v>1</v>
      </c>
      <c r="AD799" s="12">
        <v>0</v>
      </c>
      <c r="AE799" s="12">
        <v>0</v>
      </c>
      <c r="AF799" s="12">
        <v>0</v>
      </c>
      <c r="AG799" s="12">
        <v>0</v>
      </c>
      <c r="AH799" s="12">
        <v>0</v>
      </c>
      <c r="AI799" s="12">
        <v>3</v>
      </c>
      <c r="AJ799" s="12" t="s">
        <v>78</v>
      </c>
      <c r="AK799" s="12">
        <v>0</v>
      </c>
      <c r="AL799" s="12">
        <v>0</v>
      </c>
      <c r="AM799" s="12">
        <v>2377</v>
      </c>
      <c r="AN799" s="12">
        <f t="shared" si="182"/>
        <v>2377</v>
      </c>
      <c r="AO799" s="12">
        <v>1</v>
      </c>
      <c r="AP799" s="12" t="s">
        <v>59</v>
      </c>
      <c r="AQ799" s="12">
        <v>0</v>
      </c>
      <c r="AR799" s="12">
        <v>20</v>
      </c>
      <c r="AS799" s="12">
        <v>4</v>
      </c>
      <c r="AT799" s="12">
        <v>3</v>
      </c>
      <c r="AU799" s="12">
        <v>1</v>
      </c>
      <c r="AV799" s="12">
        <v>1</v>
      </c>
      <c r="AW799" s="12">
        <f t="shared" si="183"/>
        <v>1</v>
      </c>
      <c r="AX799" s="12">
        <v>0</v>
      </c>
      <c r="AY799" s="12">
        <v>2</v>
      </c>
      <c r="AZ799" s="12">
        <v>1</v>
      </c>
      <c r="BA799" s="12">
        <f t="shared" si="184"/>
        <v>1</v>
      </c>
      <c r="BB799" s="12">
        <v>1</v>
      </c>
      <c r="BC799" s="12">
        <v>0</v>
      </c>
      <c r="BD799" s="12">
        <f t="shared" si="193"/>
        <v>0</v>
      </c>
      <c r="BE799" s="12">
        <v>0</v>
      </c>
      <c r="BF799" s="12">
        <f t="shared" si="185"/>
        <v>0</v>
      </c>
      <c r="BG799" s="12">
        <f t="shared" si="194"/>
        <v>0</v>
      </c>
      <c r="BH799" s="67">
        <v>1</v>
      </c>
      <c r="BI799" s="67">
        <v>0</v>
      </c>
      <c r="BJ799" s="67">
        <v>0</v>
      </c>
      <c r="BK799" s="67">
        <v>0</v>
      </c>
      <c r="BL799" s="67">
        <v>1</v>
      </c>
      <c r="BM799" s="67">
        <v>0</v>
      </c>
      <c r="BN799" s="67">
        <v>0</v>
      </c>
      <c r="BO799" s="67">
        <v>0</v>
      </c>
      <c r="BP799" s="67">
        <v>0</v>
      </c>
      <c r="BQ799" s="67">
        <v>0</v>
      </c>
      <c r="BR799" s="67">
        <v>0</v>
      </c>
      <c r="BS799" s="67">
        <v>0</v>
      </c>
      <c r="BT799" s="67">
        <v>1</v>
      </c>
      <c r="BU799" s="70">
        <v>0</v>
      </c>
      <c r="BV799" s="29">
        <f t="shared" si="186"/>
        <v>0.87637407958575297</v>
      </c>
      <c r="BW799">
        <f t="shared" si="187"/>
        <v>1.1555414682655611</v>
      </c>
      <c r="BX799">
        <f t="shared" si="188"/>
        <v>1.3211515584717011</v>
      </c>
      <c r="BY799">
        <f t="shared" si="189"/>
        <v>0.9806804209314296</v>
      </c>
      <c r="BZ799">
        <f t="shared" si="190"/>
        <v>1.4564796398038149</v>
      </c>
      <c r="CA799">
        <f t="shared" si="191"/>
        <v>1.195770434213719</v>
      </c>
      <c r="CB799">
        <f t="shared" si="192"/>
        <v>0.67891464284095016</v>
      </c>
    </row>
    <row r="800" spans="1:80" x14ac:dyDescent="0.45">
      <c r="A800" s="11">
        <v>33</v>
      </c>
      <c r="B800" s="12">
        <f t="shared" si="180"/>
        <v>33</v>
      </c>
      <c r="C800" s="12" t="s">
        <v>52</v>
      </c>
      <c r="D800" s="12">
        <v>1</v>
      </c>
      <c r="E800" s="12" t="s">
        <v>53</v>
      </c>
      <c r="F800" s="12">
        <v>0</v>
      </c>
      <c r="G800" s="12">
        <v>1</v>
      </c>
      <c r="H800" s="12" t="s">
        <v>61</v>
      </c>
      <c r="I800" s="12">
        <v>1</v>
      </c>
      <c r="J800" s="12">
        <v>0</v>
      </c>
      <c r="K800" s="12">
        <v>25</v>
      </c>
      <c r="L800" s="12">
        <f t="shared" si="181"/>
        <v>25</v>
      </c>
      <c r="M800" s="12">
        <v>3</v>
      </c>
      <c r="N800" s="12" t="s">
        <v>70</v>
      </c>
      <c r="O800" s="12">
        <v>0</v>
      </c>
      <c r="P800" s="12">
        <v>0</v>
      </c>
      <c r="Q800" s="12">
        <v>1</v>
      </c>
      <c r="R800" s="12">
        <v>0</v>
      </c>
      <c r="S800" s="12">
        <v>0</v>
      </c>
      <c r="T800" s="12">
        <v>1</v>
      </c>
      <c r="U800" s="12" t="s">
        <v>62</v>
      </c>
      <c r="V800" s="12">
        <v>0</v>
      </c>
      <c r="W800" s="12">
        <v>55</v>
      </c>
      <c r="X800" s="12">
        <v>2</v>
      </c>
      <c r="Y800" s="12">
        <v>1</v>
      </c>
      <c r="Z800" s="12" t="s">
        <v>63</v>
      </c>
      <c r="AA800" s="12">
        <v>0</v>
      </c>
      <c r="AB800" s="12">
        <v>0</v>
      </c>
      <c r="AC800" s="12">
        <v>0</v>
      </c>
      <c r="AD800" s="12">
        <v>0</v>
      </c>
      <c r="AE800" s="12">
        <v>0</v>
      </c>
      <c r="AF800" s="12">
        <v>0</v>
      </c>
      <c r="AG800" s="12">
        <v>0</v>
      </c>
      <c r="AH800" s="12">
        <v>1</v>
      </c>
      <c r="AI800" s="12">
        <v>2</v>
      </c>
      <c r="AJ800" s="12" t="s">
        <v>57</v>
      </c>
      <c r="AK800" s="12">
        <v>1</v>
      </c>
      <c r="AL800" s="12">
        <v>0</v>
      </c>
      <c r="AM800" s="12">
        <v>2313</v>
      </c>
      <c r="AN800" s="12">
        <f t="shared" si="182"/>
        <v>2313</v>
      </c>
      <c r="AO800" s="12">
        <v>4</v>
      </c>
      <c r="AP800" s="12" t="s">
        <v>52</v>
      </c>
      <c r="AQ800" s="12">
        <v>1</v>
      </c>
      <c r="AR800" s="12">
        <v>20</v>
      </c>
      <c r="AS800" s="12">
        <v>4</v>
      </c>
      <c r="AT800" s="12">
        <v>2</v>
      </c>
      <c r="AU800" s="12">
        <v>0</v>
      </c>
      <c r="AV800" s="12">
        <v>5</v>
      </c>
      <c r="AW800" s="12">
        <f t="shared" si="183"/>
        <v>5</v>
      </c>
      <c r="AX800" s="12">
        <v>0</v>
      </c>
      <c r="AY800" s="12">
        <v>3</v>
      </c>
      <c r="AZ800" s="12">
        <v>2</v>
      </c>
      <c r="BA800" s="12">
        <f t="shared" si="184"/>
        <v>2</v>
      </c>
      <c r="BB800" s="12">
        <v>2</v>
      </c>
      <c r="BC800" s="12">
        <v>2</v>
      </c>
      <c r="BD800" s="12">
        <f t="shared" si="193"/>
        <v>2</v>
      </c>
      <c r="BE800" s="12">
        <v>2</v>
      </c>
      <c r="BF800" s="12">
        <f t="shared" si="185"/>
        <v>2</v>
      </c>
      <c r="BG800" s="12">
        <f t="shared" si="194"/>
        <v>2</v>
      </c>
      <c r="BH800" s="67">
        <v>1</v>
      </c>
      <c r="BI800" s="67">
        <v>0</v>
      </c>
      <c r="BJ800" s="67">
        <v>0</v>
      </c>
      <c r="BK800" s="67">
        <v>0</v>
      </c>
      <c r="BL800" s="67">
        <v>0</v>
      </c>
      <c r="BM800" s="67">
        <v>1</v>
      </c>
      <c r="BN800" s="67">
        <v>0</v>
      </c>
      <c r="BO800" s="67">
        <v>0</v>
      </c>
      <c r="BP800" s="67">
        <v>0</v>
      </c>
      <c r="BQ800" s="67">
        <v>2</v>
      </c>
      <c r="BR800" s="67">
        <v>0</v>
      </c>
      <c r="BS800" s="67">
        <v>0</v>
      </c>
      <c r="BT800" s="67">
        <v>5</v>
      </c>
      <c r="BU800" s="70">
        <v>0</v>
      </c>
      <c r="BV800" s="29">
        <f t="shared" si="186"/>
        <v>0.88996808712417519</v>
      </c>
      <c r="BW800">
        <f t="shared" si="187"/>
        <v>0.59502473559756086</v>
      </c>
      <c r="BX800">
        <f t="shared" si="188"/>
        <v>0.80706439257840468</v>
      </c>
      <c r="BY800">
        <f t="shared" si="189"/>
        <v>0.81745575848020657</v>
      </c>
      <c r="BZ800">
        <f t="shared" si="190"/>
        <v>1.9498886553045598</v>
      </c>
      <c r="CA800">
        <f t="shared" si="191"/>
        <v>0.42951823792158</v>
      </c>
      <c r="CB800">
        <f t="shared" si="192"/>
        <v>5.8265062631872602E-2</v>
      </c>
    </row>
    <row r="801" spans="1:80" x14ac:dyDescent="0.45">
      <c r="A801" s="11">
        <v>42</v>
      </c>
      <c r="B801" s="12">
        <f t="shared" si="180"/>
        <v>42</v>
      </c>
      <c r="C801" s="12" t="s">
        <v>59</v>
      </c>
      <c r="D801" s="12">
        <v>0</v>
      </c>
      <c r="E801" s="12" t="s">
        <v>53</v>
      </c>
      <c r="F801" s="12">
        <v>0</v>
      </c>
      <c r="G801" s="12">
        <v>1</v>
      </c>
      <c r="H801" s="12" t="s">
        <v>61</v>
      </c>
      <c r="I801" s="12">
        <v>1</v>
      </c>
      <c r="J801" s="12">
        <v>0</v>
      </c>
      <c r="K801" s="12">
        <v>2</v>
      </c>
      <c r="L801" s="12">
        <f t="shared" si="181"/>
        <v>2</v>
      </c>
      <c r="M801" s="12">
        <v>2</v>
      </c>
      <c r="N801" s="12" t="s">
        <v>70</v>
      </c>
      <c r="O801" s="12">
        <v>0</v>
      </c>
      <c r="P801" s="12">
        <v>0</v>
      </c>
      <c r="Q801" s="12">
        <v>1</v>
      </c>
      <c r="R801" s="12">
        <v>0</v>
      </c>
      <c r="S801" s="12">
        <v>0</v>
      </c>
      <c r="T801" s="12">
        <v>4</v>
      </c>
      <c r="U801" s="12" t="s">
        <v>62</v>
      </c>
      <c r="V801" s="12">
        <v>0</v>
      </c>
      <c r="W801" s="12">
        <v>35</v>
      </c>
      <c r="X801" s="12">
        <v>3</v>
      </c>
      <c r="Y801" s="12">
        <v>4</v>
      </c>
      <c r="Z801" s="12" t="s">
        <v>87</v>
      </c>
      <c r="AA801" s="12">
        <v>0</v>
      </c>
      <c r="AB801" s="12">
        <v>0</v>
      </c>
      <c r="AC801" s="12">
        <v>0</v>
      </c>
      <c r="AD801" s="12">
        <v>1</v>
      </c>
      <c r="AE801" s="12">
        <v>0</v>
      </c>
      <c r="AF801" s="12">
        <v>0</v>
      </c>
      <c r="AG801" s="12">
        <v>0</v>
      </c>
      <c r="AH801" s="12">
        <v>0</v>
      </c>
      <c r="AI801" s="12">
        <v>1</v>
      </c>
      <c r="AJ801" s="12" t="s">
        <v>64</v>
      </c>
      <c r="AK801" s="12">
        <v>0</v>
      </c>
      <c r="AL801" s="12">
        <v>1</v>
      </c>
      <c r="AM801" s="12">
        <v>17665</v>
      </c>
      <c r="AN801" s="12">
        <f t="shared" si="182"/>
        <v>17665</v>
      </c>
      <c r="AO801" s="12">
        <v>0</v>
      </c>
      <c r="AP801" s="12" t="s">
        <v>59</v>
      </c>
      <c r="AQ801" s="12">
        <v>0</v>
      </c>
      <c r="AR801" s="12">
        <v>17</v>
      </c>
      <c r="AS801" s="12">
        <v>3</v>
      </c>
      <c r="AT801" s="12">
        <v>4</v>
      </c>
      <c r="AU801" s="12">
        <v>1</v>
      </c>
      <c r="AV801" s="12">
        <v>23</v>
      </c>
      <c r="AW801" s="12">
        <f t="shared" si="183"/>
        <v>23</v>
      </c>
      <c r="AX801" s="12">
        <v>3</v>
      </c>
      <c r="AY801" s="12">
        <v>3</v>
      </c>
      <c r="AZ801" s="12">
        <v>22</v>
      </c>
      <c r="BA801" s="12">
        <f t="shared" si="184"/>
        <v>22</v>
      </c>
      <c r="BB801" s="12">
        <v>6</v>
      </c>
      <c r="BC801" s="12">
        <v>13</v>
      </c>
      <c r="BD801" s="12">
        <f t="shared" si="193"/>
        <v>13</v>
      </c>
      <c r="BE801" s="12">
        <v>7</v>
      </c>
      <c r="BF801" s="12">
        <f t="shared" si="185"/>
        <v>7</v>
      </c>
      <c r="BG801" s="12">
        <f t="shared" si="194"/>
        <v>28</v>
      </c>
      <c r="BH801" s="67">
        <v>0</v>
      </c>
      <c r="BI801" s="67">
        <v>1</v>
      </c>
      <c r="BJ801" s="67">
        <v>0</v>
      </c>
      <c r="BK801" s="67">
        <v>0</v>
      </c>
      <c r="BL801" s="67">
        <v>0</v>
      </c>
      <c r="BM801" s="67">
        <v>0</v>
      </c>
      <c r="BN801" s="67">
        <v>1</v>
      </c>
      <c r="BO801" s="67">
        <v>0</v>
      </c>
      <c r="BP801" s="67">
        <v>0</v>
      </c>
      <c r="BQ801" s="67">
        <v>7</v>
      </c>
      <c r="BR801" s="67">
        <v>0</v>
      </c>
      <c r="BS801" s="67">
        <v>0</v>
      </c>
      <c r="BT801" s="67">
        <v>23</v>
      </c>
      <c r="BU801" s="70">
        <v>0</v>
      </c>
      <c r="BV801" s="29">
        <f t="shared" si="186"/>
        <v>2.370894471154847</v>
      </c>
      <c r="BW801">
        <f t="shared" si="187"/>
        <v>0.80626709607243985</v>
      </c>
      <c r="BX801">
        <f t="shared" si="188"/>
        <v>1.5063278539414293</v>
      </c>
      <c r="BY801">
        <f t="shared" si="189"/>
        <v>2.4470374905442531</v>
      </c>
      <c r="BZ801">
        <f t="shared" si="190"/>
        <v>0.88721318382472392</v>
      </c>
      <c r="CA801">
        <f t="shared" si="191"/>
        <v>0.55566315731117022</v>
      </c>
      <c r="CB801">
        <f t="shared" si="192"/>
        <v>3.3553076285180543</v>
      </c>
    </row>
    <row r="802" spans="1:80" x14ac:dyDescent="0.45">
      <c r="A802" s="11">
        <v>28</v>
      </c>
      <c r="B802" s="12">
        <f t="shared" si="180"/>
        <v>28</v>
      </c>
      <c r="C802" s="12" t="s">
        <v>52</v>
      </c>
      <c r="D802" s="12">
        <v>1</v>
      </c>
      <c r="E802" s="12" t="s">
        <v>60</v>
      </c>
      <c r="F802" s="12">
        <v>1</v>
      </c>
      <c r="G802" s="12">
        <v>0</v>
      </c>
      <c r="H802" s="12" t="s">
        <v>61</v>
      </c>
      <c r="I802" s="12">
        <v>1</v>
      </c>
      <c r="J802" s="12">
        <v>0</v>
      </c>
      <c r="K802" s="12">
        <v>1</v>
      </c>
      <c r="L802" s="12">
        <f t="shared" si="181"/>
        <v>1</v>
      </c>
      <c r="M802" s="12">
        <v>3</v>
      </c>
      <c r="N802" s="12" t="s">
        <v>70</v>
      </c>
      <c r="O802" s="12">
        <v>0</v>
      </c>
      <c r="P802" s="12">
        <v>0</v>
      </c>
      <c r="Q802" s="12">
        <v>1</v>
      </c>
      <c r="R802" s="12">
        <v>0</v>
      </c>
      <c r="S802" s="12">
        <v>0</v>
      </c>
      <c r="T802" s="12">
        <v>1</v>
      </c>
      <c r="U802" s="12" t="s">
        <v>62</v>
      </c>
      <c r="V802" s="12">
        <v>0</v>
      </c>
      <c r="W802" s="12">
        <v>45</v>
      </c>
      <c r="X802" s="12">
        <v>2</v>
      </c>
      <c r="Y802" s="12">
        <v>1</v>
      </c>
      <c r="Z802" s="12" t="s">
        <v>67</v>
      </c>
      <c r="AA802" s="12">
        <v>0</v>
      </c>
      <c r="AB802" s="12">
        <v>0</v>
      </c>
      <c r="AC802" s="12">
        <v>1</v>
      </c>
      <c r="AD802" s="12">
        <v>0</v>
      </c>
      <c r="AE802" s="12">
        <v>0</v>
      </c>
      <c r="AF802" s="12">
        <v>0</v>
      </c>
      <c r="AG802" s="12">
        <v>0</v>
      </c>
      <c r="AH802" s="12">
        <v>0</v>
      </c>
      <c r="AI802" s="12">
        <v>2</v>
      </c>
      <c r="AJ802" s="12" t="s">
        <v>78</v>
      </c>
      <c r="AK802" s="12">
        <v>0</v>
      </c>
      <c r="AL802" s="12">
        <v>0</v>
      </c>
      <c r="AM802" s="12">
        <v>2596</v>
      </c>
      <c r="AN802" s="12">
        <f t="shared" si="182"/>
        <v>2596</v>
      </c>
      <c r="AO802" s="12">
        <v>1</v>
      </c>
      <c r="AP802" s="12" t="s">
        <v>59</v>
      </c>
      <c r="AQ802" s="12">
        <v>0</v>
      </c>
      <c r="AR802" s="12">
        <v>15</v>
      </c>
      <c r="AS802" s="12">
        <v>3</v>
      </c>
      <c r="AT802" s="12">
        <v>1</v>
      </c>
      <c r="AU802" s="12">
        <v>2</v>
      </c>
      <c r="AV802" s="12">
        <v>1</v>
      </c>
      <c r="AW802" s="12">
        <f t="shared" si="183"/>
        <v>1</v>
      </c>
      <c r="AX802" s="12">
        <v>2</v>
      </c>
      <c r="AY802" s="12">
        <v>3</v>
      </c>
      <c r="AZ802" s="12">
        <v>1</v>
      </c>
      <c r="BA802" s="12">
        <f t="shared" si="184"/>
        <v>1</v>
      </c>
      <c r="BB802" s="12">
        <v>0</v>
      </c>
      <c r="BC802" s="12">
        <v>0</v>
      </c>
      <c r="BD802" s="12">
        <f t="shared" si="193"/>
        <v>0</v>
      </c>
      <c r="BE802" s="12">
        <v>0</v>
      </c>
      <c r="BF802" s="12">
        <f t="shared" si="185"/>
        <v>0</v>
      </c>
      <c r="BG802" s="12">
        <f t="shared" si="194"/>
        <v>0</v>
      </c>
      <c r="BH802" s="67">
        <v>0</v>
      </c>
      <c r="BI802" s="67">
        <v>0</v>
      </c>
      <c r="BJ802" s="67">
        <v>1</v>
      </c>
      <c r="BK802" s="67">
        <v>0</v>
      </c>
      <c r="BL802" s="67">
        <v>1</v>
      </c>
      <c r="BM802" s="67">
        <v>0</v>
      </c>
      <c r="BN802" s="67">
        <v>0</v>
      </c>
      <c r="BO802" s="67">
        <v>0</v>
      </c>
      <c r="BP802" s="67">
        <v>0</v>
      </c>
      <c r="BQ802" s="67">
        <v>0</v>
      </c>
      <c r="BR802" s="67">
        <v>0</v>
      </c>
      <c r="BS802" s="67">
        <v>0</v>
      </c>
      <c r="BT802" s="67">
        <v>1</v>
      </c>
      <c r="BU802" s="70">
        <v>0</v>
      </c>
      <c r="BV802" s="29">
        <f t="shared" si="186"/>
        <v>0.8298570850402146</v>
      </c>
      <c r="BW802">
        <f t="shared" si="187"/>
        <v>1.1555414682655611</v>
      </c>
      <c r="BX802">
        <f t="shared" si="188"/>
        <v>1.3211515584717011</v>
      </c>
      <c r="BY802">
        <f t="shared" si="189"/>
        <v>0.9806804209314296</v>
      </c>
      <c r="BZ802">
        <f t="shared" si="190"/>
        <v>1.01056543769991</v>
      </c>
      <c r="CA802">
        <f t="shared" si="191"/>
        <v>0.97684123527310796</v>
      </c>
      <c r="CB802">
        <f t="shared" si="192"/>
        <v>0.67891464284095016</v>
      </c>
    </row>
    <row r="803" spans="1:80" x14ac:dyDescent="0.45">
      <c r="A803" s="11">
        <v>50</v>
      </c>
      <c r="B803" s="12">
        <f t="shared" si="180"/>
        <v>50</v>
      </c>
      <c r="C803" s="12" t="s">
        <v>52</v>
      </c>
      <c r="D803" s="12">
        <v>1</v>
      </c>
      <c r="E803" s="12" t="s">
        <v>60</v>
      </c>
      <c r="F803" s="12">
        <v>1</v>
      </c>
      <c r="G803" s="12">
        <v>0</v>
      </c>
      <c r="H803" s="12" t="s">
        <v>54</v>
      </c>
      <c r="I803" s="12">
        <v>0</v>
      </c>
      <c r="J803" s="12">
        <v>1</v>
      </c>
      <c r="K803" s="12">
        <v>1</v>
      </c>
      <c r="L803" s="12">
        <f t="shared" si="181"/>
        <v>1</v>
      </c>
      <c r="M803" s="12">
        <v>4</v>
      </c>
      <c r="N803" s="12" t="s">
        <v>66</v>
      </c>
      <c r="O803" s="12">
        <v>0</v>
      </c>
      <c r="P803" s="12">
        <v>1</v>
      </c>
      <c r="Q803" s="12">
        <v>0</v>
      </c>
      <c r="R803" s="12">
        <v>0</v>
      </c>
      <c r="S803" s="12">
        <v>0</v>
      </c>
      <c r="T803" s="12">
        <v>4</v>
      </c>
      <c r="U803" s="12" t="s">
        <v>62</v>
      </c>
      <c r="V803" s="12">
        <v>0</v>
      </c>
      <c r="W803" s="12">
        <v>81</v>
      </c>
      <c r="X803" s="12">
        <v>3</v>
      </c>
      <c r="Y803" s="12">
        <v>2</v>
      </c>
      <c r="Z803" s="12" t="s">
        <v>56</v>
      </c>
      <c r="AA803" s="12">
        <v>0</v>
      </c>
      <c r="AB803" s="12">
        <v>1</v>
      </c>
      <c r="AC803" s="12">
        <v>0</v>
      </c>
      <c r="AD803" s="12">
        <v>0</v>
      </c>
      <c r="AE803" s="12">
        <v>0</v>
      </c>
      <c r="AF803" s="12">
        <v>0</v>
      </c>
      <c r="AG803" s="12">
        <v>0</v>
      </c>
      <c r="AH803" s="12">
        <v>0</v>
      </c>
      <c r="AI803" s="12">
        <v>3</v>
      </c>
      <c r="AJ803" s="12" t="s">
        <v>57</v>
      </c>
      <c r="AK803" s="12">
        <v>1</v>
      </c>
      <c r="AL803" s="12">
        <v>0</v>
      </c>
      <c r="AM803" s="12">
        <v>4728</v>
      </c>
      <c r="AN803" s="12">
        <f t="shared" si="182"/>
        <v>4728</v>
      </c>
      <c r="AO803" s="12">
        <v>3</v>
      </c>
      <c r="AP803" s="12" t="s">
        <v>52</v>
      </c>
      <c r="AQ803" s="12">
        <v>1</v>
      </c>
      <c r="AR803" s="12">
        <v>14</v>
      </c>
      <c r="AS803" s="12">
        <v>3</v>
      </c>
      <c r="AT803" s="12">
        <v>4</v>
      </c>
      <c r="AU803" s="12">
        <v>0</v>
      </c>
      <c r="AV803" s="12">
        <v>5</v>
      </c>
      <c r="AW803" s="12">
        <f t="shared" si="183"/>
        <v>5</v>
      </c>
      <c r="AX803" s="12">
        <v>4</v>
      </c>
      <c r="AY803" s="12">
        <v>3</v>
      </c>
      <c r="AZ803" s="12">
        <v>0</v>
      </c>
      <c r="BA803" s="12">
        <f t="shared" si="184"/>
        <v>0</v>
      </c>
      <c r="BB803" s="12">
        <v>0</v>
      </c>
      <c r="BC803" s="12">
        <v>0</v>
      </c>
      <c r="BD803" s="12">
        <f t="shared" si="193"/>
        <v>0</v>
      </c>
      <c r="BE803" s="12">
        <v>0</v>
      </c>
      <c r="BF803" s="12">
        <f t="shared" si="185"/>
        <v>0</v>
      </c>
      <c r="BG803" s="12">
        <f t="shared" si="194"/>
        <v>0</v>
      </c>
      <c r="BH803" s="67">
        <v>0</v>
      </c>
      <c r="BI803" s="67">
        <v>0</v>
      </c>
      <c r="BJ803" s="67">
        <v>1</v>
      </c>
      <c r="BK803" s="67">
        <v>0</v>
      </c>
      <c r="BL803" s="67">
        <v>0</v>
      </c>
      <c r="BM803" s="67">
        <v>1</v>
      </c>
      <c r="BN803" s="67">
        <v>0</v>
      </c>
      <c r="BO803" s="67">
        <v>0</v>
      </c>
      <c r="BP803" s="67">
        <v>0</v>
      </c>
      <c r="BQ803" s="67">
        <v>0</v>
      </c>
      <c r="BR803" s="67">
        <v>0</v>
      </c>
      <c r="BS803" s="67">
        <v>0</v>
      </c>
      <c r="BT803" s="67">
        <v>0</v>
      </c>
      <c r="BU803" s="70">
        <v>5</v>
      </c>
      <c r="BV803" s="29">
        <f t="shared" si="186"/>
        <v>0.37700670891652543</v>
      </c>
      <c r="BW803">
        <f t="shared" si="187"/>
        <v>1.1555414682655611</v>
      </c>
      <c r="BX803">
        <f t="shared" si="188"/>
        <v>0.80706439257840468</v>
      </c>
      <c r="BY803">
        <f t="shared" si="189"/>
        <v>1.1439050833826525</v>
      </c>
      <c r="BZ803">
        <f t="shared" si="190"/>
        <v>1.01056543769991</v>
      </c>
      <c r="CA803">
        <f t="shared" si="191"/>
        <v>1.4313799530736149</v>
      </c>
      <c r="CB803">
        <f t="shared" si="192"/>
        <v>0.67891464284095016</v>
      </c>
    </row>
    <row r="804" spans="1:80" x14ac:dyDescent="0.45">
      <c r="A804" s="11">
        <v>33</v>
      </c>
      <c r="B804" s="12">
        <f t="shared" si="180"/>
        <v>33</v>
      </c>
      <c r="C804" s="12" t="s">
        <v>59</v>
      </c>
      <c r="D804" s="12">
        <v>0</v>
      </c>
      <c r="E804" s="12" t="s">
        <v>60</v>
      </c>
      <c r="F804" s="12">
        <v>1</v>
      </c>
      <c r="G804" s="12">
        <v>0</v>
      </c>
      <c r="H804" s="12" t="s">
        <v>54</v>
      </c>
      <c r="I804" s="12">
        <v>0</v>
      </c>
      <c r="J804" s="12">
        <v>1</v>
      </c>
      <c r="K804" s="12">
        <v>7</v>
      </c>
      <c r="L804" s="12">
        <f t="shared" si="181"/>
        <v>7</v>
      </c>
      <c r="M804" s="12">
        <v>3</v>
      </c>
      <c r="N804" s="12" t="s">
        <v>55</v>
      </c>
      <c r="O804" s="12">
        <v>1</v>
      </c>
      <c r="P804" s="12">
        <v>0</v>
      </c>
      <c r="Q804" s="12">
        <v>0</v>
      </c>
      <c r="R804" s="12">
        <v>0</v>
      </c>
      <c r="S804" s="12">
        <v>0</v>
      </c>
      <c r="T804" s="12">
        <v>4</v>
      </c>
      <c r="U804" s="12" t="s">
        <v>19</v>
      </c>
      <c r="V804" s="12">
        <v>1</v>
      </c>
      <c r="W804" s="12">
        <v>30</v>
      </c>
      <c r="X804" s="12">
        <v>3</v>
      </c>
      <c r="Y804" s="12">
        <v>2</v>
      </c>
      <c r="Z804" s="12" t="s">
        <v>56</v>
      </c>
      <c r="AA804" s="12">
        <v>0</v>
      </c>
      <c r="AB804" s="12">
        <v>1</v>
      </c>
      <c r="AC804" s="12">
        <v>0</v>
      </c>
      <c r="AD804" s="12">
        <v>0</v>
      </c>
      <c r="AE804" s="12">
        <v>0</v>
      </c>
      <c r="AF804" s="12">
        <v>0</v>
      </c>
      <c r="AG804" s="12">
        <v>0</v>
      </c>
      <c r="AH804" s="12">
        <v>0</v>
      </c>
      <c r="AI804" s="12">
        <v>2</v>
      </c>
      <c r="AJ804" s="12" t="s">
        <v>64</v>
      </c>
      <c r="AK804" s="12">
        <v>0</v>
      </c>
      <c r="AL804" s="12">
        <v>1</v>
      </c>
      <c r="AM804" s="12">
        <v>4302</v>
      </c>
      <c r="AN804" s="12">
        <f t="shared" si="182"/>
        <v>4302</v>
      </c>
      <c r="AO804" s="12">
        <v>0</v>
      </c>
      <c r="AP804" s="12" t="s">
        <v>59</v>
      </c>
      <c r="AQ804" s="12">
        <v>0</v>
      </c>
      <c r="AR804" s="12">
        <v>17</v>
      </c>
      <c r="AS804" s="12">
        <v>3</v>
      </c>
      <c r="AT804" s="12">
        <v>3</v>
      </c>
      <c r="AU804" s="12">
        <v>1</v>
      </c>
      <c r="AV804" s="12">
        <v>4</v>
      </c>
      <c r="AW804" s="12">
        <f t="shared" si="183"/>
        <v>4</v>
      </c>
      <c r="AX804" s="12">
        <v>3</v>
      </c>
      <c r="AY804" s="12">
        <v>3</v>
      </c>
      <c r="AZ804" s="12">
        <v>3</v>
      </c>
      <c r="BA804" s="12">
        <f t="shared" si="184"/>
        <v>3</v>
      </c>
      <c r="BB804" s="12">
        <v>2</v>
      </c>
      <c r="BC804" s="12">
        <v>0</v>
      </c>
      <c r="BD804" s="12">
        <f t="shared" si="193"/>
        <v>0</v>
      </c>
      <c r="BE804" s="12">
        <v>2</v>
      </c>
      <c r="BF804" s="12">
        <f t="shared" si="185"/>
        <v>2</v>
      </c>
      <c r="BG804" s="12">
        <f t="shared" si="194"/>
        <v>4</v>
      </c>
      <c r="BH804" s="67">
        <v>0</v>
      </c>
      <c r="BI804" s="67">
        <v>0</v>
      </c>
      <c r="BJ804" s="67">
        <v>0</v>
      </c>
      <c r="BK804" s="67">
        <v>1</v>
      </c>
      <c r="BL804" s="67">
        <v>0</v>
      </c>
      <c r="BM804" s="67">
        <v>0</v>
      </c>
      <c r="BN804" s="67">
        <v>1</v>
      </c>
      <c r="BO804" s="67">
        <v>0</v>
      </c>
      <c r="BP804" s="67">
        <v>0</v>
      </c>
      <c r="BQ804" s="67">
        <v>0</v>
      </c>
      <c r="BR804" s="67">
        <v>2</v>
      </c>
      <c r="BS804" s="67">
        <v>0</v>
      </c>
      <c r="BT804" s="67">
        <v>0</v>
      </c>
      <c r="BU804" s="70">
        <v>4</v>
      </c>
      <c r="BV804" s="29">
        <f t="shared" si="186"/>
        <v>0.46749182159414815</v>
      </c>
      <c r="BW804">
        <f t="shared" si="187"/>
        <v>0.59502473559756086</v>
      </c>
      <c r="BX804">
        <f t="shared" si="188"/>
        <v>0.93558618405172878</v>
      </c>
      <c r="BY804">
        <f t="shared" si="189"/>
        <v>0.65423109602898355</v>
      </c>
      <c r="BZ804">
        <f t="shared" si="190"/>
        <v>0.27045191444879263</v>
      </c>
      <c r="CA804">
        <f t="shared" si="191"/>
        <v>0.42951823792158</v>
      </c>
      <c r="CB804">
        <f t="shared" si="192"/>
        <v>0.67891464284095016</v>
      </c>
    </row>
    <row r="805" spans="1:80" x14ac:dyDescent="0.45">
      <c r="A805" s="11">
        <v>34</v>
      </c>
      <c r="B805" s="12">
        <f t="shared" si="180"/>
        <v>34</v>
      </c>
      <c r="C805" s="12" t="s">
        <v>59</v>
      </c>
      <c r="D805" s="12">
        <v>0</v>
      </c>
      <c r="E805" s="12" t="s">
        <v>86</v>
      </c>
      <c r="F805" s="12">
        <v>0</v>
      </c>
      <c r="G805" s="12">
        <v>0</v>
      </c>
      <c r="H805" s="12" t="s">
        <v>61</v>
      </c>
      <c r="I805" s="12">
        <v>1</v>
      </c>
      <c r="J805" s="12">
        <v>0</v>
      </c>
      <c r="K805" s="12">
        <v>3</v>
      </c>
      <c r="L805" s="12">
        <f t="shared" si="181"/>
        <v>3</v>
      </c>
      <c r="M805" s="12">
        <v>4</v>
      </c>
      <c r="N805" s="12" t="s">
        <v>55</v>
      </c>
      <c r="O805" s="12">
        <v>1</v>
      </c>
      <c r="P805" s="12">
        <v>0</v>
      </c>
      <c r="Q805" s="12">
        <v>0</v>
      </c>
      <c r="R805" s="12">
        <v>0</v>
      </c>
      <c r="S805" s="12">
        <v>0</v>
      </c>
      <c r="T805" s="12">
        <v>3</v>
      </c>
      <c r="U805" s="12" t="s">
        <v>62</v>
      </c>
      <c r="V805" s="12">
        <v>0</v>
      </c>
      <c r="W805" s="12">
        <v>40</v>
      </c>
      <c r="X805" s="12">
        <v>2</v>
      </c>
      <c r="Y805" s="12">
        <v>1</v>
      </c>
      <c r="Z805" s="12" t="s">
        <v>63</v>
      </c>
      <c r="AA805" s="12">
        <v>0</v>
      </c>
      <c r="AB805" s="12">
        <v>0</v>
      </c>
      <c r="AC805" s="12">
        <v>0</v>
      </c>
      <c r="AD805" s="12">
        <v>0</v>
      </c>
      <c r="AE805" s="12">
        <v>0</v>
      </c>
      <c r="AF805" s="12">
        <v>0</v>
      </c>
      <c r="AG805" s="12">
        <v>0</v>
      </c>
      <c r="AH805" s="12">
        <v>1</v>
      </c>
      <c r="AI805" s="12">
        <v>4</v>
      </c>
      <c r="AJ805" s="12" t="s">
        <v>64</v>
      </c>
      <c r="AK805" s="12">
        <v>0</v>
      </c>
      <c r="AL805" s="12">
        <v>1</v>
      </c>
      <c r="AM805" s="12">
        <v>2979</v>
      </c>
      <c r="AN805" s="12">
        <f t="shared" si="182"/>
        <v>2979</v>
      </c>
      <c r="AO805" s="12">
        <v>3</v>
      </c>
      <c r="AP805" s="12" t="s">
        <v>59</v>
      </c>
      <c r="AQ805" s="12">
        <v>0</v>
      </c>
      <c r="AR805" s="12">
        <v>17</v>
      </c>
      <c r="AS805" s="12">
        <v>3</v>
      </c>
      <c r="AT805" s="12">
        <v>4</v>
      </c>
      <c r="AU805" s="12">
        <v>3</v>
      </c>
      <c r="AV805" s="12">
        <v>6</v>
      </c>
      <c r="AW805" s="12">
        <f t="shared" si="183"/>
        <v>6</v>
      </c>
      <c r="AX805" s="12">
        <v>2</v>
      </c>
      <c r="AY805" s="12">
        <v>3</v>
      </c>
      <c r="AZ805" s="12">
        <v>0</v>
      </c>
      <c r="BA805" s="12">
        <f t="shared" si="184"/>
        <v>0</v>
      </c>
      <c r="BB805" s="12">
        <v>0</v>
      </c>
      <c r="BC805" s="12">
        <v>0</v>
      </c>
      <c r="BD805" s="12">
        <f t="shared" si="193"/>
        <v>0</v>
      </c>
      <c r="BE805" s="12">
        <v>0</v>
      </c>
      <c r="BF805" s="12">
        <f t="shared" si="185"/>
        <v>0</v>
      </c>
      <c r="BG805" s="12">
        <f t="shared" si="194"/>
        <v>0</v>
      </c>
      <c r="BH805" s="67">
        <v>0</v>
      </c>
      <c r="BI805" s="67">
        <v>1</v>
      </c>
      <c r="BJ805" s="67">
        <v>0</v>
      </c>
      <c r="BK805" s="67">
        <v>0</v>
      </c>
      <c r="BL805" s="67">
        <v>0</v>
      </c>
      <c r="BM805" s="67">
        <v>0</v>
      </c>
      <c r="BN805" s="67">
        <v>1</v>
      </c>
      <c r="BO805" s="67">
        <v>0</v>
      </c>
      <c r="BP805" s="67">
        <v>0</v>
      </c>
      <c r="BQ805" s="67">
        <v>0</v>
      </c>
      <c r="BR805" s="67">
        <v>0</v>
      </c>
      <c r="BS805" s="67">
        <v>0</v>
      </c>
      <c r="BT805" s="67">
        <v>6</v>
      </c>
      <c r="BU805" s="70">
        <v>0</v>
      </c>
      <c r="BV805" s="29">
        <f t="shared" si="186"/>
        <v>0.74850544617746928</v>
      </c>
      <c r="BW805">
        <f t="shared" si="187"/>
        <v>1.1555414682655611</v>
      </c>
      <c r="BX805">
        <f t="shared" si="188"/>
        <v>0.67854260110508058</v>
      </c>
      <c r="BY805">
        <f t="shared" si="189"/>
        <v>1.1439050833826525</v>
      </c>
      <c r="BZ805">
        <f t="shared" si="190"/>
        <v>0.76386092994953758</v>
      </c>
      <c r="CA805">
        <f t="shared" si="191"/>
        <v>0.32005363845127444</v>
      </c>
      <c r="CB805">
        <f t="shared" si="192"/>
        <v>0.67891464284095016</v>
      </c>
    </row>
    <row r="806" spans="1:80" x14ac:dyDescent="0.45">
      <c r="A806" s="11">
        <v>48</v>
      </c>
      <c r="B806" s="12">
        <f t="shared" si="180"/>
        <v>48</v>
      </c>
      <c r="C806" s="12" t="s">
        <v>59</v>
      </c>
      <c r="D806" s="12">
        <v>0</v>
      </c>
      <c r="E806" s="12" t="s">
        <v>86</v>
      </c>
      <c r="F806" s="12">
        <v>0</v>
      </c>
      <c r="G806" s="12">
        <v>0</v>
      </c>
      <c r="H806" s="12" t="s">
        <v>61</v>
      </c>
      <c r="I806" s="12">
        <v>1</v>
      </c>
      <c r="J806" s="12">
        <v>0</v>
      </c>
      <c r="K806" s="12">
        <v>1</v>
      </c>
      <c r="L806" s="12">
        <f t="shared" si="181"/>
        <v>1</v>
      </c>
      <c r="M806" s="12">
        <v>4</v>
      </c>
      <c r="N806" s="12" t="s">
        <v>70</v>
      </c>
      <c r="O806" s="12">
        <v>0</v>
      </c>
      <c r="P806" s="12">
        <v>0</v>
      </c>
      <c r="Q806" s="12">
        <v>1</v>
      </c>
      <c r="R806" s="12">
        <v>0</v>
      </c>
      <c r="S806" s="12">
        <v>0</v>
      </c>
      <c r="T806" s="12">
        <v>1</v>
      </c>
      <c r="U806" s="12" t="s">
        <v>62</v>
      </c>
      <c r="V806" s="12">
        <v>0</v>
      </c>
      <c r="W806" s="12">
        <v>35</v>
      </c>
      <c r="X806" s="12">
        <v>4</v>
      </c>
      <c r="Y806" s="12">
        <v>4</v>
      </c>
      <c r="Z806" s="12" t="s">
        <v>87</v>
      </c>
      <c r="AA806" s="12">
        <v>0</v>
      </c>
      <c r="AB806" s="12">
        <v>0</v>
      </c>
      <c r="AC806" s="12">
        <v>0</v>
      </c>
      <c r="AD806" s="12">
        <v>1</v>
      </c>
      <c r="AE806" s="12">
        <v>0</v>
      </c>
      <c r="AF806" s="12">
        <v>0</v>
      </c>
      <c r="AG806" s="12">
        <v>0</v>
      </c>
      <c r="AH806" s="12">
        <v>0</v>
      </c>
      <c r="AI806" s="12">
        <v>4</v>
      </c>
      <c r="AJ806" s="12" t="s">
        <v>57</v>
      </c>
      <c r="AK806" s="12">
        <v>1</v>
      </c>
      <c r="AL806" s="12">
        <v>0</v>
      </c>
      <c r="AM806" s="12">
        <v>16885</v>
      </c>
      <c r="AN806" s="12">
        <f t="shared" si="182"/>
        <v>16885</v>
      </c>
      <c r="AO806" s="12">
        <v>2</v>
      </c>
      <c r="AP806" s="12" t="s">
        <v>59</v>
      </c>
      <c r="AQ806" s="12">
        <v>0</v>
      </c>
      <c r="AR806" s="12">
        <v>22</v>
      </c>
      <c r="AS806" s="12">
        <v>4</v>
      </c>
      <c r="AT806" s="12">
        <v>3</v>
      </c>
      <c r="AU806" s="12">
        <v>0</v>
      </c>
      <c r="AV806" s="12">
        <v>27</v>
      </c>
      <c r="AW806" s="12">
        <f t="shared" si="183"/>
        <v>27</v>
      </c>
      <c r="AX806" s="12">
        <v>3</v>
      </c>
      <c r="AY806" s="12">
        <v>2</v>
      </c>
      <c r="AZ806" s="12">
        <v>5</v>
      </c>
      <c r="BA806" s="12">
        <f t="shared" si="184"/>
        <v>5</v>
      </c>
      <c r="BB806" s="12">
        <v>4</v>
      </c>
      <c r="BC806" s="12">
        <v>2</v>
      </c>
      <c r="BD806" s="12">
        <f t="shared" si="193"/>
        <v>2</v>
      </c>
      <c r="BE806" s="12">
        <v>1</v>
      </c>
      <c r="BF806" s="12">
        <f t="shared" si="185"/>
        <v>1</v>
      </c>
      <c r="BG806" s="12">
        <f t="shared" si="194"/>
        <v>4</v>
      </c>
      <c r="BH806" s="67">
        <v>1</v>
      </c>
      <c r="BI806" s="67">
        <v>0</v>
      </c>
      <c r="BJ806" s="67">
        <v>0</v>
      </c>
      <c r="BK806" s="67">
        <v>0</v>
      </c>
      <c r="BL806" s="67">
        <v>1</v>
      </c>
      <c r="BM806" s="67">
        <v>0</v>
      </c>
      <c r="BN806" s="67">
        <v>0</v>
      </c>
      <c r="BO806" s="67">
        <v>0</v>
      </c>
      <c r="BP806" s="67">
        <v>0</v>
      </c>
      <c r="BQ806" s="67">
        <v>1</v>
      </c>
      <c r="BR806" s="67">
        <v>0</v>
      </c>
      <c r="BS806" s="67">
        <v>0</v>
      </c>
      <c r="BT806" s="67">
        <v>27</v>
      </c>
      <c r="BU806" s="70">
        <v>0</v>
      </c>
      <c r="BV806" s="29">
        <f t="shared" si="186"/>
        <v>2.2052175042803266</v>
      </c>
      <c r="BW806">
        <f t="shared" si="187"/>
        <v>0.87528310193156111</v>
      </c>
      <c r="BX806">
        <f t="shared" si="188"/>
        <v>2.0204150198347257</v>
      </c>
      <c r="BY806">
        <f t="shared" si="189"/>
        <v>0.32778177112653761</v>
      </c>
      <c r="BZ806">
        <f t="shared" si="190"/>
        <v>1.01056543769991</v>
      </c>
      <c r="CA806">
        <f t="shared" si="191"/>
        <v>1.2124507541330036</v>
      </c>
      <c r="CB806">
        <f t="shared" si="192"/>
        <v>5.8265062631872602E-2</v>
      </c>
    </row>
    <row r="807" spans="1:80" x14ac:dyDescent="0.45">
      <c r="A807" s="11">
        <v>45</v>
      </c>
      <c r="B807" s="12">
        <f t="shared" si="180"/>
        <v>45</v>
      </c>
      <c r="C807" s="12" t="s">
        <v>59</v>
      </c>
      <c r="D807" s="12">
        <v>0</v>
      </c>
      <c r="E807" s="12" t="s">
        <v>86</v>
      </c>
      <c r="F807" s="12">
        <v>0</v>
      </c>
      <c r="G807" s="12">
        <v>0</v>
      </c>
      <c r="H807" s="12" t="s">
        <v>54</v>
      </c>
      <c r="I807" s="12">
        <v>0</v>
      </c>
      <c r="J807" s="12">
        <v>1</v>
      </c>
      <c r="K807" s="12">
        <v>9</v>
      </c>
      <c r="L807" s="12">
        <f t="shared" si="181"/>
        <v>9</v>
      </c>
      <c r="M807" s="12">
        <v>4</v>
      </c>
      <c r="N807" s="12" t="s">
        <v>55</v>
      </c>
      <c r="O807" s="12">
        <v>1</v>
      </c>
      <c r="P807" s="12">
        <v>0</v>
      </c>
      <c r="Q807" s="12">
        <v>0</v>
      </c>
      <c r="R807" s="12">
        <v>0</v>
      </c>
      <c r="S807" s="12">
        <v>0</v>
      </c>
      <c r="T807" s="12">
        <v>2</v>
      </c>
      <c r="U807" s="12" t="s">
        <v>19</v>
      </c>
      <c r="V807" s="12">
        <v>1</v>
      </c>
      <c r="W807" s="12">
        <v>65</v>
      </c>
      <c r="X807" s="12">
        <v>2</v>
      </c>
      <c r="Y807" s="12">
        <v>2</v>
      </c>
      <c r="Z807" s="12" t="s">
        <v>56</v>
      </c>
      <c r="AA807" s="12">
        <v>0</v>
      </c>
      <c r="AB807" s="12">
        <v>1</v>
      </c>
      <c r="AC807" s="12">
        <v>0</v>
      </c>
      <c r="AD807" s="12">
        <v>0</v>
      </c>
      <c r="AE807" s="12">
        <v>0</v>
      </c>
      <c r="AF807" s="12">
        <v>0</v>
      </c>
      <c r="AG807" s="12">
        <v>0</v>
      </c>
      <c r="AH807" s="12">
        <v>0</v>
      </c>
      <c r="AI807" s="12">
        <v>3</v>
      </c>
      <c r="AJ807" s="12" t="s">
        <v>64</v>
      </c>
      <c r="AK807" s="12">
        <v>0</v>
      </c>
      <c r="AL807" s="12">
        <v>1</v>
      </c>
      <c r="AM807" s="12">
        <v>5593</v>
      </c>
      <c r="AN807" s="12">
        <f t="shared" si="182"/>
        <v>5593</v>
      </c>
      <c r="AO807" s="12">
        <v>1</v>
      </c>
      <c r="AP807" s="12" t="s">
        <v>59</v>
      </c>
      <c r="AQ807" s="12">
        <v>0</v>
      </c>
      <c r="AR807" s="12">
        <v>13</v>
      </c>
      <c r="AS807" s="12">
        <v>3</v>
      </c>
      <c r="AT807" s="12">
        <v>4</v>
      </c>
      <c r="AU807" s="12">
        <v>1</v>
      </c>
      <c r="AV807" s="12">
        <v>15</v>
      </c>
      <c r="AW807" s="12">
        <f t="shared" si="183"/>
        <v>15</v>
      </c>
      <c r="AX807" s="12">
        <v>2</v>
      </c>
      <c r="AY807" s="12">
        <v>3</v>
      </c>
      <c r="AZ807" s="12">
        <v>15</v>
      </c>
      <c r="BA807" s="12">
        <f t="shared" si="184"/>
        <v>15</v>
      </c>
      <c r="BB807" s="12">
        <v>10</v>
      </c>
      <c r="BC807" s="12">
        <v>4</v>
      </c>
      <c r="BD807" s="12">
        <f t="shared" si="193"/>
        <v>4</v>
      </c>
      <c r="BE807" s="12">
        <v>12</v>
      </c>
      <c r="BF807" s="12">
        <f t="shared" si="185"/>
        <v>12</v>
      </c>
      <c r="BG807" s="12">
        <f t="shared" si="194"/>
        <v>24</v>
      </c>
      <c r="BH807" s="67">
        <v>0</v>
      </c>
      <c r="BI807" s="67">
        <v>1</v>
      </c>
      <c r="BJ807" s="67">
        <v>0</v>
      </c>
      <c r="BK807" s="67">
        <v>0</v>
      </c>
      <c r="BL807" s="67">
        <v>0</v>
      </c>
      <c r="BM807" s="67">
        <v>0</v>
      </c>
      <c r="BN807" s="67">
        <v>1</v>
      </c>
      <c r="BO807" s="67">
        <v>0</v>
      </c>
      <c r="BP807" s="67">
        <v>0</v>
      </c>
      <c r="BQ807" s="67">
        <v>0</v>
      </c>
      <c r="BR807" s="67">
        <v>12</v>
      </c>
      <c r="BS807" s="67">
        <v>0</v>
      </c>
      <c r="BT807" s="67">
        <v>0</v>
      </c>
      <c r="BU807" s="70">
        <v>15</v>
      </c>
      <c r="BV807" s="29">
        <f t="shared" si="186"/>
        <v>0.1932752007800381</v>
      </c>
      <c r="BW807">
        <f t="shared" si="187"/>
        <v>2.2075589277424408</v>
      </c>
      <c r="BX807">
        <f t="shared" si="188"/>
        <v>0.47815352215483642</v>
      </c>
      <c r="BY807">
        <f t="shared" si="189"/>
        <v>1.3044648533856922</v>
      </c>
      <c r="BZ807">
        <f t="shared" si="190"/>
        <v>2.3747406698420157E-2</v>
      </c>
      <c r="CA807">
        <f t="shared" si="191"/>
        <v>0.88405695572208698</v>
      </c>
      <c r="CB807">
        <f t="shared" si="192"/>
        <v>0.56238451757720498</v>
      </c>
    </row>
    <row r="808" spans="1:80" x14ac:dyDescent="0.45">
      <c r="A808" s="11">
        <v>52</v>
      </c>
      <c r="B808" s="12">
        <f t="shared" si="180"/>
        <v>52</v>
      </c>
      <c r="C808" s="12" t="s">
        <v>59</v>
      </c>
      <c r="D808" s="12">
        <v>0</v>
      </c>
      <c r="E808" s="12" t="s">
        <v>53</v>
      </c>
      <c r="F808" s="12">
        <v>0</v>
      </c>
      <c r="G808" s="12">
        <v>1</v>
      </c>
      <c r="H808" s="12" t="s">
        <v>61</v>
      </c>
      <c r="I808" s="12">
        <v>1</v>
      </c>
      <c r="J808" s="12">
        <v>0</v>
      </c>
      <c r="K808" s="12">
        <v>7</v>
      </c>
      <c r="L808" s="12">
        <f t="shared" si="181"/>
        <v>7</v>
      </c>
      <c r="M808" s="12">
        <v>4</v>
      </c>
      <c r="N808" s="12" t="s">
        <v>55</v>
      </c>
      <c r="O808" s="12">
        <v>1</v>
      </c>
      <c r="P808" s="12">
        <v>0</v>
      </c>
      <c r="Q808" s="12">
        <v>0</v>
      </c>
      <c r="R808" s="12">
        <v>0</v>
      </c>
      <c r="S808" s="12">
        <v>0</v>
      </c>
      <c r="T808" s="12">
        <v>2</v>
      </c>
      <c r="U808" s="12" t="s">
        <v>62</v>
      </c>
      <c r="V808" s="12">
        <v>0</v>
      </c>
      <c r="W808" s="12">
        <v>87</v>
      </c>
      <c r="X808" s="12">
        <v>3</v>
      </c>
      <c r="Y808" s="12">
        <v>3</v>
      </c>
      <c r="Z808" s="12" t="s">
        <v>85</v>
      </c>
      <c r="AA808" s="12">
        <v>1</v>
      </c>
      <c r="AB808" s="12">
        <v>0</v>
      </c>
      <c r="AC808" s="12">
        <v>0</v>
      </c>
      <c r="AD808" s="12">
        <v>0</v>
      </c>
      <c r="AE808" s="12">
        <v>0</v>
      </c>
      <c r="AF808" s="12">
        <v>0</v>
      </c>
      <c r="AG808" s="12">
        <v>0</v>
      </c>
      <c r="AH808" s="12">
        <v>0</v>
      </c>
      <c r="AI808" s="12">
        <v>2</v>
      </c>
      <c r="AJ808" s="12" t="s">
        <v>57</v>
      </c>
      <c r="AK808" s="12">
        <v>1</v>
      </c>
      <c r="AL808" s="12">
        <v>0</v>
      </c>
      <c r="AM808" s="12">
        <v>10445</v>
      </c>
      <c r="AN808" s="12">
        <f t="shared" si="182"/>
        <v>10445</v>
      </c>
      <c r="AO808" s="12">
        <v>7</v>
      </c>
      <c r="AP808" s="12" t="s">
        <v>59</v>
      </c>
      <c r="AQ808" s="12">
        <v>0</v>
      </c>
      <c r="AR808" s="12">
        <v>19</v>
      </c>
      <c r="AS808" s="12">
        <v>3</v>
      </c>
      <c r="AT808" s="12">
        <v>4</v>
      </c>
      <c r="AU808" s="12">
        <v>0</v>
      </c>
      <c r="AV808" s="12">
        <v>18</v>
      </c>
      <c r="AW808" s="12">
        <f t="shared" si="183"/>
        <v>18</v>
      </c>
      <c r="AX808" s="12">
        <v>4</v>
      </c>
      <c r="AY808" s="12">
        <v>3</v>
      </c>
      <c r="AZ808" s="12">
        <v>8</v>
      </c>
      <c r="BA808" s="12">
        <f t="shared" si="184"/>
        <v>8</v>
      </c>
      <c r="BB808" s="12">
        <v>6</v>
      </c>
      <c r="BC808" s="12">
        <v>4</v>
      </c>
      <c r="BD808" s="12">
        <f t="shared" si="193"/>
        <v>4</v>
      </c>
      <c r="BE808" s="12">
        <v>0</v>
      </c>
      <c r="BF808" s="12">
        <f t="shared" si="185"/>
        <v>0</v>
      </c>
      <c r="BG808" s="12">
        <f t="shared" si="194"/>
        <v>0</v>
      </c>
      <c r="BH808" s="67">
        <v>1</v>
      </c>
      <c r="BI808" s="67">
        <v>0</v>
      </c>
      <c r="BJ808" s="67">
        <v>0</v>
      </c>
      <c r="BK808" s="67">
        <v>0</v>
      </c>
      <c r="BL808" s="67">
        <v>1</v>
      </c>
      <c r="BM808" s="67">
        <v>0</v>
      </c>
      <c r="BN808" s="67">
        <v>0</v>
      </c>
      <c r="BO808" s="67">
        <v>0</v>
      </c>
      <c r="BP808" s="67">
        <v>0</v>
      </c>
      <c r="BQ808" s="67">
        <v>0</v>
      </c>
      <c r="BR808" s="67">
        <v>0</v>
      </c>
      <c r="BS808" s="67">
        <v>0</v>
      </c>
      <c r="BT808" s="67">
        <v>18</v>
      </c>
      <c r="BU808" s="70">
        <v>0</v>
      </c>
      <c r="BV808" s="29">
        <f t="shared" si="186"/>
        <v>0.83732049572659395</v>
      </c>
      <c r="BW808">
        <f t="shared" si="187"/>
        <v>1.1555414682655611</v>
      </c>
      <c r="BX808">
        <f t="shared" si="188"/>
        <v>0.86371889657480871</v>
      </c>
      <c r="BY808">
        <f t="shared" si="189"/>
        <v>0.16189221622713135</v>
      </c>
      <c r="BZ808">
        <f t="shared" si="190"/>
        <v>0.27045191444879263</v>
      </c>
      <c r="CA808">
        <f t="shared" si="191"/>
        <v>1.6503091520142259</v>
      </c>
      <c r="CB808">
        <f t="shared" si="192"/>
        <v>0.56238451757720498</v>
      </c>
    </row>
    <row r="809" spans="1:80" x14ac:dyDescent="0.45">
      <c r="A809" s="11">
        <v>38</v>
      </c>
      <c r="B809" s="12">
        <f t="shared" si="180"/>
        <v>38</v>
      </c>
      <c r="C809" s="12" t="s">
        <v>59</v>
      </c>
      <c r="D809" s="12">
        <v>0</v>
      </c>
      <c r="E809" s="12" t="s">
        <v>53</v>
      </c>
      <c r="F809" s="12">
        <v>0</v>
      </c>
      <c r="G809" s="12">
        <v>1</v>
      </c>
      <c r="H809" s="12" t="s">
        <v>54</v>
      </c>
      <c r="I809" s="12">
        <v>0</v>
      </c>
      <c r="J809" s="12">
        <v>1</v>
      </c>
      <c r="K809" s="12">
        <v>10</v>
      </c>
      <c r="L809" s="12">
        <f t="shared" si="181"/>
        <v>10</v>
      </c>
      <c r="M809" s="12">
        <v>4</v>
      </c>
      <c r="N809" s="12" t="s">
        <v>90</v>
      </c>
      <c r="O809" s="12">
        <v>0</v>
      </c>
      <c r="P809" s="12">
        <v>0</v>
      </c>
      <c r="Q809" s="12">
        <v>0</v>
      </c>
      <c r="R809" s="12">
        <v>1</v>
      </c>
      <c r="S809" s="12">
        <v>0</v>
      </c>
      <c r="T809" s="12">
        <v>3</v>
      </c>
      <c r="U809" s="12" t="s">
        <v>62</v>
      </c>
      <c r="V809" s="12">
        <v>0</v>
      </c>
      <c r="W809" s="12">
        <v>73</v>
      </c>
      <c r="X809" s="12">
        <v>2</v>
      </c>
      <c r="Y809" s="12">
        <v>3</v>
      </c>
      <c r="Z809" s="12" t="s">
        <v>56</v>
      </c>
      <c r="AA809" s="12">
        <v>0</v>
      </c>
      <c r="AB809" s="12">
        <v>1</v>
      </c>
      <c r="AC809" s="12">
        <v>0</v>
      </c>
      <c r="AD809" s="12">
        <v>0</v>
      </c>
      <c r="AE809" s="12">
        <v>0</v>
      </c>
      <c r="AF809" s="12">
        <v>0</v>
      </c>
      <c r="AG809" s="12">
        <v>0</v>
      </c>
      <c r="AH809" s="12">
        <v>0</v>
      </c>
      <c r="AI809" s="12">
        <v>3</v>
      </c>
      <c r="AJ809" s="12" t="s">
        <v>78</v>
      </c>
      <c r="AK809" s="12">
        <v>0</v>
      </c>
      <c r="AL809" s="12">
        <v>0</v>
      </c>
      <c r="AM809" s="12">
        <v>8740</v>
      </c>
      <c r="AN809" s="12">
        <f t="shared" si="182"/>
        <v>8740</v>
      </c>
      <c r="AO809" s="12">
        <v>0</v>
      </c>
      <c r="AP809" s="12" t="s">
        <v>52</v>
      </c>
      <c r="AQ809" s="12">
        <v>1</v>
      </c>
      <c r="AR809" s="12">
        <v>14</v>
      </c>
      <c r="AS809" s="12">
        <v>3</v>
      </c>
      <c r="AT809" s="12">
        <v>2</v>
      </c>
      <c r="AU809" s="12">
        <v>2</v>
      </c>
      <c r="AV809" s="12">
        <v>9</v>
      </c>
      <c r="AW809" s="12">
        <f t="shared" si="183"/>
        <v>9</v>
      </c>
      <c r="AX809" s="12">
        <v>2</v>
      </c>
      <c r="AY809" s="12">
        <v>3</v>
      </c>
      <c r="AZ809" s="12">
        <v>8</v>
      </c>
      <c r="BA809" s="12">
        <f t="shared" si="184"/>
        <v>8</v>
      </c>
      <c r="BB809" s="12">
        <v>7</v>
      </c>
      <c r="BC809" s="12">
        <v>2</v>
      </c>
      <c r="BD809" s="12">
        <f t="shared" si="193"/>
        <v>2</v>
      </c>
      <c r="BE809" s="12">
        <v>7</v>
      </c>
      <c r="BF809" s="12">
        <f t="shared" si="185"/>
        <v>7</v>
      </c>
      <c r="BG809" s="12">
        <f t="shared" si="194"/>
        <v>21</v>
      </c>
      <c r="BH809" s="67">
        <v>1</v>
      </c>
      <c r="BI809" s="67">
        <v>0</v>
      </c>
      <c r="BJ809" s="67">
        <v>0</v>
      </c>
      <c r="BK809" s="67">
        <v>0</v>
      </c>
      <c r="BL809" s="67">
        <v>0</v>
      </c>
      <c r="BM809" s="67">
        <v>1</v>
      </c>
      <c r="BN809" s="67">
        <v>0</v>
      </c>
      <c r="BO809" s="67">
        <v>0</v>
      </c>
      <c r="BP809" s="67">
        <v>0</v>
      </c>
      <c r="BQ809" s="67">
        <v>0</v>
      </c>
      <c r="BR809" s="67">
        <v>7</v>
      </c>
      <c r="BS809" s="67">
        <v>0</v>
      </c>
      <c r="BT809" s="67">
        <v>0</v>
      </c>
      <c r="BU809" s="70">
        <v>9</v>
      </c>
      <c r="BV809" s="29">
        <f t="shared" si="186"/>
        <v>0.4751676386483154</v>
      </c>
      <c r="BW809">
        <f t="shared" si="187"/>
        <v>0.80626709607243985</v>
      </c>
      <c r="BX809">
        <f t="shared" si="188"/>
        <v>0.29297722668510823</v>
      </c>
      <c r="BY809">
        <f t="shared" si="189"/>
        <v>0.16189221622713135</v>
      </c>
      <c r="BZ809">
        <f t="shared" si="190"/>
        <v>9.9604847176766084E-2</v>
      </c>
      <c r="CA809">
        <f t="shared" si="191"/>
        <v>0.11780475942994788</v>
      </c>
      <c r="CB809">
        <f t="shared" si="192"/>
        <v>5.8265062631872602E-2</v>
      </c>
    </row>
    <row r="810" spans="1:80" x14ac:dyDescent="0.45">
      <c r="A810" s="11">
        <v>29</v>
      </c>
      <c r="B810" s="12">
        <f t="shared" si="180"/>
        <v>29</v>
      </c>
      <c r="C810" s="12" t="s">
        <v>59</v>
      </c>
      <c r="D810" s="12">
        <v>0</v>
      </c>
      <c r="E810" s="12" t="s">
        <v>53</v>
      </c>
      <c r="F810" s="12">
        <v>0</v>
      </c>
      <c r="G810" s="12">
        <v>1</v>
      </c>
      <c r="H810" s="12" t="s">
        <v>61</v>
      </c>
      <c r="I810" s="12">
        <v>1</v>
      </c>
      <c r="J810" s="12">
        <v>0</v>
      </c>
      <c r="K810" s="12">
        <v>28</v>
      </c>
      <c r="L810" s="12">
        <f t="shared" si="181"/>
        <v>28</v>
      </c>
      <c r="M810" s="12">
        <v>4</v>
      </c>
      <c r="N810" s="12" t="s">
        <v>55</v>
      </c>
      <c r="O810" s="12">
        <v>1</v>
      </c>
      <c r="P810" s="12">
        <v>0</v>
      </c>
      <c r="Q810" s="12">
        <v>0</v>
      </c>
      <c r="R810" s="12">
        <v>0</v>
      </c>
      <c r="S810" s="12">
        <v>0</v>
      </c>
      <c r="T810" s="12">
        <v>3</v>
      </c>
      <c r="U810" s="12" t="s">
        <v>19</v>
      </c>
      <c r="V810" s="12">
        <v>1</v>
      </c>
      <c r="W810" s="12">
        <v>93</v>
      </c>
      <c r="X810" s="12">
        <v>3</v>
      </c>
      <c r="Y810" s="12">
        <v>1</v>
      </c>
      <c r="Z810" s="12" t="s">
        <v>63</v>
      </c>
      <c r="AA810" s="12">
        <v>0</v>
      </c>
      <c r="AB810" s="12">
        <v>0</v>
      </c>
      <c r="AC810" s="12">
        <v>0</v>
      </c>
      <c r="AD810" s="12">
        <v>0</v>
      </c>
      <c r="AE810" s="12">
        <v>0</v>
      </c>
      <c r="AF810" s="12">
        <v>0</v>
      </c>
      <c r="AG810" s="12">
        <v>0</v>
      </c>
      <c r="AH810" s="12">
        <v>1</v>
      </c>
      <c r="AI810" s="12">
        <v>4</v>
      </c>
      <c r="AJ810" s="12" t="s">
        <v>78</v>
      </c>
      <c r="AK810" s="12">
        <v>0</v>
      </c>
      <c r="AL810" s="12">
        <v>0</v>
      </c>
      <c r="AM810" s="12">
        <v>2514</v>
      </c>
      <c r="AN810" s="12">
        <f t="shared" si="182"/>
        <v>2514</v>
      </c>
      <c r="AO810" s="12">
        <v>4</v>
      </c>
      <c r="AP810" s="12" t="s">
        <v>59</v>
      </c>
      <c r="AQ810" s="12">
        <v>0</v>
      </c>
      <c r="AR810" s="12">
        <v>22</v>
      </c>
      <c r="AS810" s="12">
        <v>4</v>
      </c>
      <c r="AT810" s="12">
        <v>1</v>
      </c>
      <c r="AU810" s="12">
        <v>1</v>
      </c>
      <c r="AV810" s="12">
        <v>11</v>
      </c>
      <c r="AW810" s="12">
        <f t="shared" si="183"/>
        <v>11</v>
      </c>
      <c r="AX810" s="12">
        <v>1</v>
      </c>
      <c r="AY810" s="12">
        <v>3</v>
      </c>
      <c r="AZ810" s="12">
        <v>7</v>
      </c>
      <c r="BA810" s="12">
        <f t="shared" si="184"/>
        <v>7</v>
      </c>
      <c r="BB810" s="12">
        <v>5</v>
      </c>
      <c r="BC810" s="12">
        <v>1</v>
      </c>
      <c r="BD810" s="12">
        <f t="shared" si="193"/>
        <v>1</v>
      </c>
      <c r="BE810" s="12">
        <v>7</v>
      </c>
      <c r="BF810" s="12">
        <f t="shared" si="185"/>
        <v>7</v>
      </c>
      <c r="BG810" s="12">
        <f t="shared" si="194"/>
        <v>7</v>
      </c>
      <c r="BH810" s="67">
        <v>1</v>
      </c>
      <c r="BI810" s="67">
        <v>0</v>
      </c>
      <c r="BJ810" s="67">
        <v>0</v>
      </c>
      <c r="BK810" s="67">
        <v>0</v>
      </c>
      <c r="BL810" s="67">
        <v>1</v>
      </c>
      <c r="BM810" s="67">
        <v>0</v>
      </c>
      <c r="BN810" s="67">
        <v>0</v>
      </c>
      <c r="BO810" s="67">
        <v>0</v>
      </c>
      <c r="BP810" s="67">
        <v>0</v>
      </c>
      <c r="BQ810" s="67">
        <v>7</v>
      </c>
      <c r="BR810" s="67">
        <v>0</v>
      </c>
      <c r="BS810" s="67">
        <v>0</v>
      </c>
      <c r="BT810" s="67">
        <v>11</v>
      </c>
      <c r="BU810" s="70">
        <v>0</v>
      </c>
      <c r="BV810" s="29">
        <f t="shared" si="186"/>
        <v>0.84727440719881797</v>
      </c>
      <c r="BW810">
        <f t="shared" si="187"/>
        <v>0.80626709607243985</v>
      </c>
      <c r="BX810">
        <f t="shared" si="188"/>
        <v>3.593364373846001E-2</v>
      </c>
      <c r="BY810">
        <f t="shared" si="189"/>
        <v>1.3324462240916321E-3</v>
      </c>
      <c r="BZ810">
        <f t="shared" si="190"/>
        <v>2.3199454169301186</v>
      </c>
      <c r="CA810">
        <f t="shared" si="191"/>
        <v>0.86737663580280233</v>
      </c>
      <c r="CB810">
        <f t="shared" si="192"/>
        <v>0.36858985273641137</v>
      </c>
    </row>
    <row r="811" spans="1:80" x14ac:dyDescent="0.45">
      <c r="A811" s="11">
        <v>28</v>
      </c>
      <c r="B811" s="12">
        <f t="shared" si="180"/>
        <v>28</v>
      </c>
      <c r="C811" s="12" t="s">
        <v>59</v>
      </c>
      <c r="D811" s="12">
        <v>0</v>
      </c>
      <c r="E811" s="12" t="s">
        <v>53</v>
      </c>
      <c r="F811" s="12">
        <v>0</v>
      </c>
      <c r="G811" s="12">
        <v>1</v>
      </c>
      <c r="H811" s="12" t="s">
        <v>61</v>
      </c>
      <c r="I811" s="12">
        <v>1</v>
      </c>
      <c r="J811" s="12">
        <v>0</v>
      </c>
      <c r="K811" s="12">
        <v>3</v>
      </c>
      <c r="L811" s="12">
        <f t="shared" si="181"/>
        <v>3</v>
      </c>
      <c r="M811" s="12">
        <v>3</v>
      </c>
      <c r="N811" s="12" t="s">
        <v>70</v>
      </c>
      <c r="O811" s="12">
        <v>0</v>
      </c>
      <c r="P811" s="12">
        <v>0</v>
      </c>
      <c r="Q811" s="12">
        <v>1</v>
      </c>
      <c r="R811" s="12">
        <v>0</v>
      </c>
      <c r="S811" s="12">
        <v>0</v>
      </c>
      <c r="T811" s="12">
        <v>4</v>
      </c>
      <c r="U811" s="12" t="s">
        <v>19</v>
      </c>
      <c r="V811" s="12">
        <v>1</v>
      </c>
      <c r="W811" s="12">
        <v>93</v>
      </c>
      <c r="X811" s="12">
        <v>3</v>
      </c>
      <c r="Y811" s="12">
        <v>3</v>
      </c>
      <c r="Z811" s="12" t="s">
        <v>83</v>
      </c>
      <c r="AA811" s="12">
        <v>0</v>
      </c>
      <c r="AB811" s="12">
        <v>0</v>
      </c>
      <c r="AC811" s="12">
        <v>0</v>
      </c>
      <c r="AD811" s="12">
        <v>0</v>
      </c>
      <c r="AE811" s="12">
        <v>1</v>
      </c>
      <c r="AF811" s="12">
        <v>1</v>
      </c>
      <c r="AG811" s="12">
        <v>0</v>
      </c>
      <c r="AH811" s="12">
        <v>0</v>
      </c>
      <c r="AI811" s="12">
        <v>2</v>
      </c>
      <c r="AJ811" s="12" t="s">
        <v>78</v>
      </c>
      <c r="AK811" s="12">
        <v>0</v>
      </c>
      <c r="AL811" s="12">
        <v>0</v>
      </c>
      <c r="AM811" s="12">
        <v>7655</v>
      </c>
      <c r="AN811" s="12">
        <f t="shared" si="182"/>
        <v>7655</v>
      </c>
      <c r="AO811" s="12">
        <v>0</v>
      </c>
      <c r="AP811" s="12" t="s">
        <v>59</v>
      </c>
      <c r="AQ811" s="12">
        <v>0</v>
      </c>
      <c r="AR811" s="12">
        <v>17</v>
      </c>
      <c r="AS811" s="12">
        <v>3</v>
      </c>
      <c r="AT811" s="12">
        <v>2</v>
      </c>
      <c r="AU811" s="12">
        <v>3</v>
      </c>
      <c r="AV811" s="12">
        <v>10</v>
      </c>
      <c r="AW811" s="12">
        <f t="shared" si="183"/>
        <v>10</v>
      </c>
      <c r="AX811" s="12">
        <v>3</v>
      </c>
      <c r="AY811" s="12">
        <v>2</v>
      </c>
      <c r="AZ811" s="12">
        <v>9</v>
      </c>
      <c r="BA811" s="12">
        <f t="shared" si="184"/>
        <v>9</v>
      </c>
      <c r="BB811" s="12">
        <v>7</v>
      </c>
      <c r="BC811" s="12">
        <v>1</v>
      </c>
      <c r="BD811" s="12">
        <f t="shared" si="193"/>
        <v>1</v>
      </c>
      <c r="BE811" s="12">
        <v>7</v>
      </c>
      <c r="BF811" s="12">
        <f t="shared" si="185"/>
        <v>7</v>
      </c>
      <c r="BG811" s="12">
        <f t="shared" si="194"/>
        <v>21</v>
      </c>
      <c r="BH811" s="67">
        <v>1</v>
      </c>
      <c r="BI811" s="67">
        <v>0</v>
      </c>
      <c r="BJ811" s="67">
        <v>0</v>
      </c>
      <c r="BK811" s="67">
        <v>0</v>
      </c>
      <c r="BL811" s="67">
        <v>1</v>
      </c>
      <c r="BM811" s="67">
        <v>0</v>
      </c>
      <c r="BN811" s="67">
        <v>0</v>
      </c>
      <c r="BO811" s="67">
        <v>0</v>
      </c>
      <c r="BP811" s="67">
        <v>0</v>
      </c>
      <c r="BQ811" s="67">
        <v>7</v>
      </c>
      <c r="BR811" s="67">
        <v>0</v>
      </c>
      <c r="BS811" s="67">
        <v>0</v>
      </c>
      <c r="BT811" s="67">
        <v>10</v>
      </c>
      <c r="BU811" s="70">
        <v>0</v>
      </c>
      <c r="BV811" s="29">
        <f t="shared" si="186"/>
        <v>0.24470672959850176</v>
      </c>
      <c r="BW811">
        <f t="shared" si="187"/>
        <v>0.80626709607243985</v>
      </c>
      <c r="BX811">
        <f t="shared" si="188"/>
        <v>0.1644554352117841</v>
      </c>
      <c r="BY811">
        <f t="shared" si="189"/>
        <v>0.32511687867835437</v>
      </c>
      <c r="BZ811">
        <f t="shared" si="190"/>
        <v>0.76386092994953758</v>
      </c>
      <c r="CA811">
        <f t="shared" si="191"/>
        <v>0.97684123527310796</v>
      </c>
      <c r="CB811">
        <f t="shared" si="192"/>
        <v>0.36858985273641137</v>
      </c>
    </row>
    <row r="812" spans="1:80" x14ac:dyDescent="0.45">
      <c r="A812" s="11">
        <v>46</v>
      </c>
      <c r="B812" s="12">
        <f t="shared" si="180"/>
        <v>46</v>
      </c>
      <c r="C812" s="12" t="s">
        <v>59</v>
      </c>
      <c r="D812" s="12">
        <v>0</v>
      </c>
      <c r="E812" s="12" t="s">
        <v>53</v>
      </c>
      <c r="F812" s="12">
        <v>0</v>
      </c>
      <c r="G812" s="12">
        <v>1</v>
      </c>
      <c r="H812" s="12" t="s">
        <v>54</v>
      </c>
      <c r="I812" s="12">
        <v>0</v>
      </c>
      <c r="J812" s="12">
        <v>1</v>
      </c>
      <c r="K812" s="12">
        <v>3</v>
      </c>
      <c r="L812" s="12">
        <f t="shared" si="181"/>
        <v>3</v>
      </c>
      <c r="M812" s="12">
        <v>1</v>
      </c>
      <c r="N812" s="12" t="s">
        <v>90</v>
      </c>
      <c r="O812" s="12">
        <v>0</v>
      </c>
      <c r="P812" s="12">
        <v>0</v>
      </c>
      <c r="Q812" s="12">
        <v>0</v>
      </c>
      <c r="R812" s="12">
        <v>1</v>
      </c>
      <c r="S812" s="12">
        <v>0</v>
      </c>
      <c r="T812" s="12">
        <v>1</v>
      </c>
      <c r="U812" s="12" t="s">
        <v>62</v>
      </c>
      <c r="V812" s="12">
        <v>0</v>
      </c>
      <c r="W812" s="12">
        <v>52</v>
      </c>
      <c r="X812" s="12">
        <v>3</v>
      </c>
      <c r="Y812" s="12">
        <v>4</v>
      </c>
      <c r="Z812" s="12" t="s">
        <v>87</v>
      </c>
      <c r="AA812" s="12">
        <v>0</v>
      </c>
      <c r="AB812" s="12">
        <v>0</v>
      </c>
      <c r="AC812" s="12">
        <v>0</v>
      </c>
      <c r="AD812" s="12">
        <v>1</v>
      </c>
      <c r="AE812" s="12">
        <v>0</v>
      </c>
      <c r="AF812" s="12">
        <v>0</v>
      </c>
      <c r="AG812" s="12">
        <v>0</v>
      </c>
      <c r="AH812" s="12">
        <v>0</v>
      </c>
      <c r="AI812" s="12">
        <v>3</v>
      </c>
      <c r="AJ812" s="12" t="s">
        <v>64</v>
      </c>
      <c r="AK812" s="12">
        <v>0</v>
      </c>
      <c r="AL812" s="12">
        <v>1</v>
      </c>
      <c r="AM812" s="12">
        <v>17465</v>
      </c>
      <c r="AN812" s="12">
        <f t="shared" si="182"/>
        <v>17465</v>
      </c>
      <c r="AO812" s="12">
        <v>3</v>
      </c>
      <c r="AP812" s="12" t="s">
        <v>59</v>
      </c>
      <c r="AQ812" s="12">
        <v>0</v>
      </c>
      <c r="AR812" s="12">
        <v>12</v>
      </c>
      <c r="AS812" s="12">
        <v>3</v>
      </c>
      <c r="AT812" s="12">
        <v>4</v>
      </c>
      <c r="AU812" s="12">
        <v>1</v>
      </c>
      <c r="AV812" s="12">
        <v>23</v>
      </c>
      <c r="AW812" s="12">
        <f t="shared" si="183"/>
        <v>23</v>
      </c>
      <c r="AX812" s="12">
        <v>3</v>
      </c>
      <c r="AY812" s="12">
        <v>3</v>
      </c>
      <c r="AZ812" s="12">
        <v>12</v>
      </c>
      <c r="BA812" s="12">
        <f t="shared" si="184"/>
        <v>12</v>
      </c>
      <c r="BB812" s="12">
        <v>9</v>
      </c>
      <c r="BC812" s="12">
        <v>4</v>
      </c>
      <c r="BD812" s="12">
        <f t="shared" si="193"/>
        <v>4</v>
      </c>
      <c r="BE812" s="12">
        <v>9</v>
      </c>
      <c r="BF812" s="12">
        <f t="shared" si="185"/>
        <v>9</v>
      </c>
      <c r="BG812" s="12">
        <f t="shared" si="194"/>
        <v>36</v>
      </c>
      <c r="BH812" s="67">
        <v>0</v>
      </c>
      <c r="BI812" s="67">
        <v>1</v>
      </c>
      <c r="BJ812" s="67">
        <v>0</v>
      </c>
      <c r="BK812" s="67">
        <v>0</v>
      </c>
      <c r="BL812" s="67">
        <v>0</v>
      </c>
      <c r="BM812" s="67">
        <v>0</v>
      </c>
      <c r="BN812" s="67">
        <v>1</v>
      </c>
      <c r="BO812" s="67">
        <v>0</v>
      </c>
      <c r="BP812" s="67">
        <v>0</v>
      </c>
      <c r="BQ812" s="67">
        <v>0</v>
      </c>
      <c r="BR812" s="67">
        <v>9</v>
      </c>
      <c r="BS812" s="67">
        <v>0</v>
      </c>
      <c r="BT812" s="67">
        <v>0</v>
      </c>
      <c r="BU812" s="70">
        <v>23</v>
      </c>
      <c r="BV812" s="29">
        <f t="shared" si="186"/>
        <v>2.3284131975972775</v>
      </c>
      <c r="BW812">
        <f t="shared" si="187"/>
        <v>1.3667838287404401</v>
      </c>
      <c r="BX812">
        <f t="shared" si="188"/>
        <v>1.5063278539414293</v>
      </c>
      <c r="BY812">
        <f t="shared" si="189"/>
        <v>0.81479086603202333</v>
      </c>
      <c r="BZ812">
        <f t="shared" si="190"/>
        <v>0.76386092994953758</v>
      </c>
      <c r="CA812">
        <f t="shared" si="191"/>
        <v>0.99352155519239249</v>
      </c>
      <c r="CB812">
        <f t="shared" si="192"/>
        <v>0.56238451757720498</v>
      </c>
    </row>
    <row r="813" spans="1:80" x14ac:dyDescent="0.45">
      <c r="A813" s="11">
        <v>38</v>
      </c>
      <c r="B813" s="12">
        <f t="shared" si="180"/>
        <v>38</v>
      </c>
      <c r="C813" s="12" t="s">
        <v>59</v>
      </c>
      <c r="D813" s="12">
        <v>0</v>
      </c>
      <c r="E813" s="12" t="s">
        <v>53</v>
      </c>
      <c r="F813" s="12">
        <v>0</v>
      </c>
      <c r="G813" s="12">
        <v>1</v>
      </c>
      <c r="H813" s="12" t="s">
        <v>54</v>
      </c>
      <c r="I813" s="12">
        <v>0</v>
      </c>
      <c r="J813" s="12">
        <v>1</v>
      </c>
      <c r="K813" s="12">
        <v>2</v>
      </c>
      <c r="L813" s="12">
        <f t="shared" si="181"/>
        <v>2</v>
      </c>
      <c r="M813" s="12">
        <v>2</v>
      </c>
      <c r="N813" s="12" t="s">
        <v>90</v>
      </c>
      <c r="O813" s="12">
        <v>0</v>
      </c>
      <c r="P813" s="12">
        <v>0</v>
      </c>
      <c r="Q813" s="12">
        <v>0</v>
      </c>
      <c r="R813" s="12">
        <v>1</v>
      </c>
      <c r="S813" s="12">
        <v>0</v>
      </c>
      <c r="T813" s="12">
        <v>4</v>
      </c>
      <c r="U813" s="12" t="s">
        <v>62</v>
      </c>
      <c r="V813" s="12">
        <v>0</v>
      </c>
      <c r="W813" s="12">
        <v>32</v>
      </c>
      <c r="X813" s="12">
        <v>3</v>
      </c>
      <c r="Y813" s="12">
        <v>3</v>
      </c>
      <c r="Z813" s="12" t="s">
        <v>56</v>
      </c>
      <c r="AA813" s="12">
        <v>0</v>
      </c>
      <c r="AB813" s="12">
        <v>1</v>
      </c>
      <c r="AC813" s="12">
        <v>0</v>
      </c>
      <c r="AD813" s="12">
        <v>0</v>
      </c>
      <c r="AE813" s="12">
        <v>0</v>
      </c>
      <c r="AF813" s="12">
        <v>0</v>
      </c>
      <c r="AG813" s="12">
        <v>0</v>
      </c>
      <c r="AH813" s="12">
        <v>0</v>
      </c>
      <c r="AI813" s="12">
        <v>2</v>
      </c>
      <c r="AJ813" s="12" t="s">
        <v>57</v>
      </c>
      <c r="AK813" s="12">
        <v>1</v>
      </c>
      <c r="AL813" s="12">
        <v>0</v>
      </c>
      <c r="AM813" s="12">
        <v>7351</v>
      </c>
      <c r="AN813" s="12">
        <f t="shared" si="182"/>
        <v>7351</v>
      </c>
      <c r="AO813" s="12">
        <v>7</v>
      </c>
      <c r="AP813" s="12" t="s">
        <v>59</v>
      </c>
      <c r="AQ813" s="12">
        <v>0</v>
      </c>
      <c r="AR813" s="12">
        <v>16</v>
      </c>
      <c r="AS813" s="12">
        <v>3</v>
      </c>
      <c r="AT813" s="12">
        <v>3</v>
      </c>
      <c r="AU813" s="12">
        <v>0</v>
      </c>
      <c r="AV813" s="12">
        <v>10</v>
      </c>
      <c r="AW813" s="12">
        <f t="shared" si="183"/>
        <v>10</v>
      </c>
      <c r="AX813" s="12">
        <v>2</v>
      </c>
      <c r="AY813" s="12">
        <v>3</v>
      </c>
      <c r="AZ813" s="12">
        <v>1</v>
      </c>
      <c r="BA813" s="12">
        <f t="shared" si="184"/>
        <v>1</v>
      </c>
      <c r="BB813" s="12">
        <v>0</v>
      </c>
      <c r="BC813" s="12">
        <v>0</v>
      </c>
      <c r="BD813" s="12">
        <f t="shared" si="193"/>
        <v>0</v>
      </c>
      <c r="BE813" s="12">
        <v>0</v>
      </c>
      <c r="BF813" s="12">
        <f t="shared" si="185"/>
        <v>0</v>
      </c>
      <c r="BG813" s="12">
        <f t="shared" si="194"/>
        <v>0</v>
      </c>
      <c r="BH813" s="67">
        <v>1</v>
      </c>
      <c r="BI813" s="67">
        <v>0</v>
      </c>
      <c r="BJ813" s="67">
        <v>0</v>
      </c>
      <c r="BK813" s="67">
        <v>0</v>
      </c>
      <c r="BL813" s="67">
        <v>1</v>
      </c>
      <c r="BM813" s="67">
        <v>0</v>
      </c>
      <c r="BN813" s="67">
        <v>0</v>
      </c>
      <c r="BO813" s="67">
        <v>0</v>
      </c>
      <c r="BP813" s="67">
        <v>0</v>
      </c>
      <c r="BQ813" s="67">
        <v>0</v>
      </c>
      <c r="BR813" s="67">
        <v>0</v>
      </c>
      <c r="BS813" s="67">
        <v>0</v>
      </c>
      <c r="BT813" s="67">
        <v>0</v>
      </c>
      <c r="BU813" s="70">
        <v>10</v>
      </c>
      <c r="BV813" s="29">
        <f t="shared" si="186"/>
        <v>0.18013519379099635</v>
      </c>
      <c r="BW813">
        <f t="shared" si="187"/>
        <v>1.1555414682655611</v>
      </c>
      <c r="BX813">
        <f t="shared" si="188"/>
        <v>0.1644554352117841</v>
      </c>
      <c r="BY813">
        <f t="shared" si="189"/>
        <v>0.9806804209314296</v>
      </c>
      <c r="BZ813">
        <f t="shared" si="190"/>
        <v>0.88721318382472392</v>
      </c>
      <c r="CA813">
        <f t="shared" si="191"/>
        <v>0.11780475942994788</v>
      </c>
      <c r="CB813">
        <f t="shared" si="192"/>
        <v>0.67891464284095016</v>
      </c>
    </row>
    <row r="814" spans="1:80" x14ac:dyDescent="0.45">
      <c r="A814" s="11">
        <v>43</v>
      </c>
      <c r="B814" s="12">
        <f t="shared" si="180"/>
        <v>43</v>
      </c>
      <c r="C814" s="12" t="s">
        <v>59</v>
      </c>
      <c r="D814" s="12">
        <v>0</v>
      </c>
      <c r="E814" s="12" t="s">
        <v>60</v>
      </c>
      <c r="F814" s="12">
        <v>1</v>
      </c>
      <c r="G814" s="12">
        <v>0</v>
      </c>
      <c r="H814" s="12" t="s">
        <v>61</v>
      </c>
      <c r="I814" s="12">
        <v>1</v>
      </c>
      <c r="J814" s="12">
        <v>0</v>
      </c>
      <c r="K814" s="12">
        <v>27</v>
      </c>
      <c r="L814" s="12">
        <f t="shared" si="181"/>
        <v>27</v>
      </c>
      <c r="M814" s="12">
        <v>3</v>
      </c>
      <c r="N814" s="12" t="s">
        <v>55</v>
      </c>
      <c r="O814" s="12">
        <v>1</v>
      </c>
      <c r="P814" s="12">
        <v>0</v>
      </c>
      <c r="Q814" s="12">
        <v>0</v>
      </c>
      <c r="R814" s="12">
        <v>0</v>
      </c>
      <c r="S814" s="12">
        <v>0</v>
      </c>
      <c r="T814" s="12">
        <v>3</v>
      </c>
      <c r="U814" s="12" t="s">
        <v>19</v>
      </c>
      <c r="V814" s="12">
        <v>1</v>
      </c>
      <c r="W814" s="12">
        <v>83</v>
      </c>
      <c r="X814" s="12">
        <v>3</v>
      </c>
      <c r="Y814" s="12">
        <v>3</v>
      </c>
      <c r="Z814" s="12" t="s">
        <v>83</v>
      </c>
      <c r="AA814" s="12">
        <v>0</v>
      </c>
      <c r="AB814" s="12">
        <v>0</v>
      </c>
      <c r="AC814" s="12">
        <v>0</v>
      </c>
      <c r="AD814" s="12">
        <v>0</v>
      </c>
      <c r="AE814" s="12">
        <v>1</v>
      </c>
      <c r="AF814" s="12">
        <v>1</v>
      </c>
      <c r="AG814" s="12">
        <v>0</v>
      </c>
      <c r="AH814" s="12">
        <v>0</v>
      </c>
      <c r="AI814" s="12">
        <v>1</v>
      </c>
      <c r="AJ814" s="12" t="s">
        <v>64</v>
      </c>
      <c r="AK814" s="12">
        <v>0</v>
      </c>
      <c r="AL814" s="12">
        <v>1</v>
      </c>
      <c r="AM814" s="12">
        <v>10820</v>
      </c>
      <c r="AN814" s="12">
        <f t="shared" si="182"/>
        <v>10820</v>
      </c>
      <c r="AO814" s="12">
        <v>8</v>
      </c>
      <c r="AP814" s="12" t="s">
        <v>59</v>
      </c>
      <c r="AQ814" s="12">
        <v>0</v>
      </c>
      <c r="AR814" s="12">
        <v>11</v>
      </c>
      <c r="AS814" s="12">
        <v>3</v>
      </c>
      <c r="AT814" s="12">
        <v>3</v>
      </c>
      <c r="AU814" s="12">
        <v>1</v>
      </c>
      <c r="AV814" s="12">
        <v>18</v>
      </c>
      <c r="AW814" s="12">
        <f t="shared" si="183"/>
        <v>18</v>
      </c>
      <c r="AX814" s="12">
        <v>1</v>
      </c>
      <c r="AY814" s="12">
        <v>3</v>
      </c>
      <c r="AZ814" s="12">
        <v>8</v>
      </c>
      <c r="BA814" s="12">
        <f t="shared" si="184"/>
        <v>8</v>
      </c>
      <c r="BB814" s="12">
        <v>7</v>
      </c>
      <c r="BC814" s="12">
        <v>0</v>
      </c>
      <c r="BD814" s="12">
        <f t="shared" si="193"/>
        <v>0</v>
      </c>
      <c r="BE814" s="12">
        <v>1</v>
      </c>
      <c r="BF814" s="12">
        <f t="shared" si="185"/>
        <v>1</v>
      </c>
      <c r="BG814" s="12">
        <f t="shared" si="194"/>
        <v>3</v>
      </c>
      <c r="BH814" s="67">
        <v>0</v>
      </c>
      <c r="BI814" s="67">
        <v>0</v>
      </c>
      <c r="BJ814" s="67">
        <v>0</v>
      </c>
      <c r="BK814" s="67">
        <v>1</v>
      </c>
      <c r="BL814" s="67">
        <v>0</v>
      </c>
      <c r="BM814" s="67">
        <v>0</v>
      </c>
      <c r="BN814" s="67">
        <v>1</v>
      </c>
      <c r="BO814" s="67">
        <v>0</v>
      </c>
      <c r="BP814" s="67">
        <v>0</v>
      </c>
      <c r="BQ814" s="67">
        <v>1</v>
      </c>
      <c r="BR814" s="67">
        <v>0</v>
      </c>
      <c r="BS814" s="67">
        <v>0</v>
      </c>
      <c r="BT814" s="67">
        <v>18</v>
      </c>
      <c r="BU814" s="70">
        <v>0</v>
      </c>
      <c r="BV814" s="29">
        <f t="shared" si="186"/>
        <v>0.91697288364703644</v>
      </c>
      <c r="BW814">
        <f t="shared" si="187"/>
        <v>0.87528310193156111</v>
      </c>
      <c r="BX814">
        <f t="shared" si="188"/>
        <v>0.86371889657480871</v>
      </c>
      <c r="BY814">
        <f t="shared" si="189"/>
        <v>0.16189221622713135</v>
      </c>
      <c r="BZ814">
        <f t="shared" si="190"/>
        <v>2.1965931630549322</v>
      </c>
      <c r="CA814">
        <f t="shared" si="191"/>
        <v>0.66512775678147573</v>
      </c>
      <c r="CB814">
        <f t="shared" si="192"/>
        <v>0.67891464284095016</v>
      </c>
    </row>
    <row r="815" spans="1:80" x14ac:dyDescent="0.45">
      <c r="A815" s="11">
        <v>39</v>
      </c>
      <c r="B815" s="12">
        <f t="shared" si="180"/>
        <v>39</v>
      </c>
      <c r="C815" s="12" t="s">
        <v>52</v>
      </c>
      <c r="D815" s="12">
        <v>1</v>
      </c>
      <c r="E815" s="12" t="s">
        <v>60</v>
      </c>
      <c r="F815" s="12">
        <v>1</v>
      </c>
      <c r="G815" s="12">
        <v>0</v>
      </c>
      <c r="H815" s="12" t="s">
        <v>61</v>
      </c>
      <c r="I815" s="12">
        <v>1</v>
      </c>
      <c r="J815" s="12">
        <v>0</v>
      </c>
      <c r="K815" s="12">
        <v>2</v>
      </c>
      <c r="L815" s="12">
        <f t="shared" si="181"/>
        <v>2</v>
      </c>
      <c r="M815" s="12">
        <v>3</v>
      </c>
      <c r="N815" s="12" t="s">
        <v>55</v>
      </c>
      <c r="O815" s="12">
        <v>1</v>
      </c>
      <c r="P815" s="12">
        <v>0</v>
      </c>
      <c r="Q815" s="12">
        <v>0</v>
      </c>
      <c r="R815" s="12">
        <v>0</v>
      </c>
      <c r="S815" s="12">
        <v>0</v>
      </c>
      <c r="T815" s="12">
        <v>1</v>
      </c>
      <c r="U815" s="12" t="s">
        <v>62</v>
      </c>
      <c r="V815" s="12">
        <v>0</v>
      </c>
      <c r="W815" s="12">
        <v>84</v>
      </c>
      <c r="X815" s="12">
        <v>3</v>
      </c>
      <c r="Y815" s="12">
        <v>4</v>
      </c>
      <c r="Z815" s="12" t="s">
        <v>85</v>
      </c>
      <c r="AA815" s="12">
        <v>1</v>
      </c>
      <c r="AB815" s="12">
        <v>0</v>
      </c>
      <c r="AC815" s="12">
        <v>0</v>
      </c>
      <c r="AD815" s="12">
        <v>0</v>
      </c>
      <c r="AE815" s="12">
        <v>0</v>
      </c>
      <c r="AF815" s="12">
        <v>0</v>
      </c>
      <c r="AG815" s="12">
        <v>0</v>
      </c>
      <c r="AH815" s="12">
        <v>0</v>
      </c>
      <c r="AI815" s="12">
        <v>4</v>
      </c>
      <c r="AJ815" s="12" t="s">
        <v>78</v>
      </c>
      <c r="AK815" s="12">
        <v>0</v>
      </c>
      <c r="AL815" s="12">
        <v>0</v>
      </c>
      <c r="AM815" s="12">
        <v>12169</v>
      </c>
      <c r="AN815" s="12">
        <f t="shared" si="182"/>
        <v>12169</v>
      </c>
      <c r="AO815" s="12">
        <v>7</v>
      </c>
      <c r="AP815" s="12" t="s">
        <v>59</v>
      </c>
      <c r="AQ815" s="12">
        <v>0</v>
      </c>
      <c r="AR815" s="12">
        <v>11</v>
      </c>
      <c r="AS815" s="12">
        <v>3</v>
      </c>
      <c r="AT815" s="12">
        <v>4</v>
      </c>
      <c r="AU815" s="12">
        <v>3</v>
      </c>
      <c r="AV815" s="12">
        <v>21</v>
      </c>
      <c r="AW815" s="12">
        <f t="shared" si="183"/>
        <v>21</v>
      </c>
      <c r="AX815" s="12">
        <v>4</v>
      </c>
      <c r="AY815" s="12">
        <v>3</v>
      </c>
      <c r="AZ815" s="12">
        <v>18</v>
      </c>
      <c r="BA815" s="12">
        <f t="shared" si="184"/>
        <v>18</v>
      </c>
      <c r="BB815" s="12">
        <v>7</v>
      </c>
      <c r="BC815" s="12">
        <v>11</v>
      </c>
      <c r="BD815" s="12">
        <f t="shared" si="193"/>
        <v>11</v>
      </c>
      <c r="BE815" s="12">
        <v>5</v>
      </c>
      <c r="BF815" s="12">
        <f t="shared" si="185"/>
        <v>5</v>
      </c>
      <c r="BG815" s="12">
        <f t="shared" si="194"/>
        <v>20</v>
      </c>
      <c r="BH815" s="67">
        <v>0</v>
      </c>
      <c r="BI815" s="67">
        <v>0</v>
      </c>
      <c r="BJ815" s="67">
        <v>1</v>
      </c>
      <c r="BK815" s="67">
        <v>0</v>
      </c>
      <c r="BL815" s="67">
        <v>1</v>
      </c>
      <c r="BM815" s="67">
        <v>0</v>
      </c>
      <c r="BN815" s="67">
        <v>0</v>
      </c>
      <c r="BO815" s="67">
        <v>0</v>
      </c>
      <c r="BP815" s="67">
        <v>0</v>
      </c>
      <c r="BQ815" s="67">
        <v>5</v>
      </c>
      <c r="BR815" s="67">
        <v>0</v>
      </c>
      <c r="BS815" s="67">
        <v>0</v>
      </c>
      <c r="BT815" s="67">
        <v>21</v>
      </c>
      <c r="BU815" s="70">
        <v>0</v>
      </c>
      <c r="BV815" s="29">
        <f t="shared" si="186"/>
        <v>1.2035090737928416</v>
      </c>
      <c r="BW815">
        <f t="shared" si="187"/>
        <v>0.24575036340443959</v>
      </c>
      <c r="BX815">
        <f t="shared" si="188"/>
        <v>1.2492842709947811</v>
      </c>
      <c r="BY815">
        <f t="shared" si="189"/>
        <v>1.794138840739361</v>
      </c>
      <c r="BZ815">
        <f t="shared" si="190"/>
        <v>0.88721318382472392</v>
      </c>
      <c r="CA815">
        <f t="shared" si="191"/>
        <v>0.22726935890025346</v>
      </c>
      <c r="CB815">
        <f t="shared" si="192"/>
        <v>2.7346580483089769</v>
      </c>
    </row>
    <row r="816" spans="1:80" x14ac:dyDescent="0.45">
      <c r="A816" s="11">
        <v>40</v>
      </c>
      <c r="B816" s="12">
        <f t="shared" si="180"/>
        <v>40</v>
      </c>
      <c r="C816" s="12" t="s">
        <v>59</v>
      </c>
      <c r="D816" s="12">
        <v>0</v>
      </c>
      <c r="E816" s="12" t="s">
        <v>53</v>
      </c>
      <c r="F816" s="12">
        <v>0</v>
      </c>
      <c r="G816" s="12">
        <v>1</v>
      </c>
      <c r="H816" s="12" t="s">
        <v>61</v>
      </c>
      <c r="I816" s="12">
        <v>1</v>
      </c>
      <c r="J816" s="12">
        <v>0</v>
      </c>
      <c r="K816" s="12">
        <v>14</v>
      </c>
      <c r="L816" s="12">
        <f t="shared" si="181"/>
        <v>14</v>
      </c>
      <c r="M816" s="12">
        <v>3</v>
      </c>
      <c r="N816" s="12" t="s">
        <v>70</v>
      </c>
      <c r="O816" s="12">
        <v>0</v>
      </c>
      <c r="P816" s="12">
        <v>0</v>
      </c>
      <c r="Q816" s="12">
        <v>1</v>
      </c>
      <c r="R816" s="12">
        <v>0</v>
      </c>
      <c r="S816" s="12">
        <v>0</v>
      </c>
      <c r="T816" s="12">
        <v>3</v>
      </c>
      <c r="U816" s="12" t="s">
        <v>62</v>
      </c>
      <c r="V816" s="12">
        <v>0</v>
      </c>
      <c r="W816" s="12">
        <v>44</v>
      </c>
      <c r="X816" s="12">
        <v>2</v>
      </c>
      <c r="Y816" s="12">
        <v>5</v>
      </c>
      <c r="Z816" s="12" t="s">
        <v>89</v>
      </c>
      <c r="AA816" s="12">
        <v>0</v>
      </c>
      <c r="AB816" s="12">
        <v>0</v>
      </c>
      <c r="AC816" s="12">
        <v>0</v>
      </c>
      <c r="AD816" s="12">
        <v>0</v>
      </c>
      <c r="AE816" s="12">
        <v>0</v>
      </c>
      <c r="AF816" s="12">
        <v>0</v>
      </c>
      <c r="AG816" s="12">
        <v>0</v>
      </c>
      <c r="AH816" s="12">
        <v>0</v>
      </c>
      <c r="AI816" s="12">
        <v>3</v>
      </c>
      <c r="AJ816" s="12" t="s">
        <v>57</v>
      </c>
      <c r="AK816" s="12">
        <v>1</v>
      </c>
      <c r="AL816" s="12">
        <v>0</v>
      </c>
      <c r="AM816" s="12">
        <v>19626</v>
      </c>
      <c r="AN816" s="12">
        <f t="shared" si="182"/>
        <v>19626</v>
      </c>
      <c r="AO816" s="12">
        <v>1</v>
      </c>
      <c r="AP816" s="12" t="s">
        <v>59</v>
      </c>
      <c r="AQ816" s="12">
        <v>0</v>
      </c>
      <c r="AR816" s="12">
        <v>14</v>
      </c>
      <c r="AS816" s="12">
        <v>3</v>
      </c>
      <c r="AT816" s="12">
        <v>1</v>
      </c>
      <c r="AU816" s="12">
        <v>0</v>
      </c>
      <c r="AV816" s="12">
        <v>21</v>
      </c>
      <c r="AW816" s="12">
        <f t="shared" si="183"/>
        <v>21</v>
      </c>
      <c r="AX816" s="12">
        <v>2</v>
      </c>
      <c r="AY816" s="12">
        <v>4</v>
      </c>
      <c r="AZ816" s="12">
        <v>20</v>
      </c>
      <c r="BA816" s="12">
        <f t="shared" si="184"/>
        <v>20</v>
      </c>
      <c r="BB816" s="12">
        <v>7</v>
      </c>
      <c r="BC816" s="12">
        <v>4</v>
      </c>
      <c r="BD816" s="12">
        <f t="shared" si="193"/>
        <v>4</v>
      </c>
      <c r="BE816" s="12">
        <v>9</v>
      </c>
      <c r="BF816" s="12">
        <f t="shared" si="185"/>
        <v>9</v>
      </c>
      <c r="BG816" s="12">
        <f t="shared" si="194"/>
        <v>45</v>
      </c>
      <c r="BH816" s="67">
        <v>1</v>
      </c>
      <c r="BI816" s="67">
        <v>0</v>
      </c>
      <c r="BJ816" s="67">
        <v>0</v>
      </c>
      <c r="BK816" s="67">
        <v>0</v>
      </c>
      <c r="BL816" s="67">
        <v>1</v>
      </c>
      <c r="BM816" s="67">
        <v>0</v>
      </c>
      <c r="BN816" s="67">
        <v>0</v>
      </c>
      <c r="BO816" s="67">
        <v>0</v>
      </c>
      <c r="BP816" s="67">
        <v>0</v>
      </c>
      <c r="BQ816" s="67">
        <v>9</v>
      </c>
      <c r="BR816" s="67">
        <v>0</v>
      </c>
      <c r="BS816" s="67">
        <v>0</v>
      </c>
      <c r="BT816" s="67">
        <v>21</v>
      </c>
      <c r="BU816" s="70">
        <v>0</v>
      </c>
      <c r="BV816" s="29">
        <f t="shared" si="186"/>
        <v>2.7874233583868144</v>
      </c>
      <c r="BW816">
        <f t="shared" si="187"/>
        <v>1.3667838287404401</v>
      </c>
      <c r="BX816">
        <f t="shared" si="188"/>
        <v>1.2492842709947811</v>
      </c>
      <c r="BY816">
        <f t="shared" si="189"/>
        <v>2.1205881656418071</v>
      </c>
      <c r="BZ816">
        <f t="shared" si="190"/>
        <v>0.59301386267751111</v>
      </c>
      <c r="CA816">
        <f t="shared" si="191"/>
        <v>0.33673395837055903</v>
      </c>
      <c r="CB816">
        <f t="shared" si="192"/>
        <v>0.56238451757720498</v>
      </c>
    </row>
    <row r="817" spans="1:80" x14ac:dyDescent="0.45">
      <c r="A817" s="11">
        <v>21</v>
      </c>
      <c r="B817" s="12">
        <f t="shared" si="180"/>
        <v>21</v>
      </c>
      <c r="C817" s="12" t="s">
        <v>59</v>
      </c>
      <c r="D817" s="12">
        <v>0</v>
      </c>
      <c r="E817" s="12" t="s">
        <v>53</v>
      </c>
      <c r="F817" s="12">
        <v>0</v>
      </c>
      <c r="G817" s="12">
        <v>1</v>
      </c>
      <c r="H817" s="12" t="s">
        <v>61</v>
      </c>
      <c r="I817" s="12">
        <v>1</v>
      </c>
      <c r="J817" s="12">
        <v>0</v>
      </c>
      <c r="K817" s="12">
        <v>1</v>
      </c>
      <c r="L817" s="12">
        <f t="shared" si="181"/>
        <v>1</v>
      </c>
      <c r="M817" s="12">
        <v>1</v>
      </c>
      <c r="N817" s="12" t="s">
        <v>91</v>
      </c>
      <c r="O817" s="12">
        <v>0</v>
      </c>
      <c r="P817" s="12">
        <v>0</v>
      </c>
      <c r="Q817" s="12">
        <v>0</v>
      </c>
      <c r="R817" s="12">
        <v>0</v>
      </c>
      <c r="S817" s="12">
        <v>1</v>
      </c>
      <c r="T817" s="12">
        <v>4</v>
      </c>
      <c r="U817" s="12" t="s">
        <v>19</v>
      </c>
      <c r="V817" s="12">
        <v>1</v>
      </c>
      <c r="W817" s="12">
        <v>70</v>
      </c>
      <c r="X817" s="12">
        <v>2</v>
      </c>
      <c r="Y817" s="12">
        <v>1</v>
      </c>
      <c r="Z817" s="12" t="s">
        <v>63</v>
      </c>
      <c r="AA817" s="12">
        <v>0</v>
      </c>
      <c r="AB817" s="12">
        <v>0</v>
      </c>
      <c r="AC817" s="12">
        <v>0</v>
      </c>
      <c r="AD817" s="12">
        <v>0</v>
      </c>
      <c r="AE817" s="12">
        <v>0</v>
      </c>
      <c r="AF817" s="12">
        <v>0</v>
      </c>
      <c r="AG817" s="12">
        <v>0</v>
      </c>
      <c r="AH817" s="12">
        <v>1</v>
      </c>
      <c r="AI817" s="12">
        <v>2</v>
      </c>
      <c r="AJ817" s="12" t="s">
        <v>57</v>
      </c>
      <c r="AK817" s="12">
        <v>1</v>
      </c>
      <c r="AL817" s="12">
        <v>0</v>
      </c>
      <c r="AM817" s="12">
        <v>2070</v>
      </c>
      <c r="AN817" s="12">
        <f t="shared" si="182"/>
        <v>2070</v>
      </c>
      <c r="AO817" s="12">
        <v>1</v>
      </c>
      <c r="AP817" s="12" t="s">
        <v>52</v>
      </c>
      <c r="AQ817" s="12">
        <v>1</v>
      </c>
      <c r="AR817" s="12">
        <v>11</v>
      </c>
      <c r="AS817" s="12">
        <v>3</v>
      </c>
      <c r="AT817" s="12">
        <v>3</v>
      </c>
      <c r="AU817" s="12">
        <v>0</v>
      </c>
      <c r="AV817" s="12">
        <v>2</v>
      </c>
      <c r="AW817" s="12">
        <f t="shared" si="183"/>
        <v>2</v>
      </c>
      <c r="AX817" s="12">
        <v>6</v>
      </c>
      <c r="AY817" s="12">
        <v>4</v>
      </c>
      <c r="AZ817" s="12">
        <v>2</v>
      </c>
      <c r="BA817" s="12">
        <f t="shared" si="184"/>
        <v>2</v>
      </c>
      <c r="BB817" s="12">
        <v>2</v>
      </c>
      <c r="BC817" s="12">
        <v>2</v>
      </c>
      <c r="BD817" s="12">
        <f t="shared" si="193"/>
        <v>2</v>
      </c>
      <c r="BE817" s="12">
        <v>2</v>
      </c>
      <c r="BF817" s="12">
        <f t="shared" si="185"/>
        <v>2</v>
      </c>
      <c r="BG817" s="12">
        <f t="shared" si="194"/>
        <v>2</v>
      </c>
      <c r="BH817" s="67">
        <v>1</v>
      </c>
      <c r="BI817" s="67">
        <v>0</v>
      </c>
      <c r="BJ817" s="67">
        <v>0</v>
      </c>
      <c r="BK817" s="67">
        <v>0</v>
      </c>
      <c r="BL817" s="67">
        <v>0</v>
      </c>
      <c r="BM817" s="67">
        <v>1</v>
      </c>
      <c r="BN817" s="67">
        <v>0</v>
      </c>
      <c r="BO817" s="67">
        <v>0</v>
      </c>
      <c r="BP817" s="67">
        <v>0</v>
      </c>
      <c r="BQ817" s="67">
        <v>2</v>
      </c>
      <c r="BR817" s="67">
        <v>0</v>
      </c>
      <c r="BS817" s="67">
        <v>0</v>
      </c>
      <c r="BT817" s="67">
        <v>2</v>
      </c>
      <c r="BU817" s="70">
        <v>0</v>
      </c>
      <c r="BV817" s="29">
        <f t="shared" si="186"/>
        <v>0.94158283449662195</v>
      </c>
      <c r="BW817">
        <f t="shared" si="187"/>
        <v>0.59502473559756086</v>
      </c>
      <c r="BX817">
        <f t="shared" si="188"/>
        <v>1.192629766998377</v>
      </c>
      <c r="BY817">
        <f t="shared" si="189"/>
        <v>0.81745575848020657</v>
      </c>
      <c r="BZ817">
        <f t="shared" si="190"/>
        <v>1.01056543769991</v>
      </c>
      <c r="CA817">
        <f t="shared" si="191"/>
        <v>1.7430934315652469</v>
      </c>
      <c r="CB817">
        <f t="shared" si="192"/>
        <v>5.8265062631872602E-2</v>
      </c>
    </row>
    <row r="818" spans="1:80" x14ac:dyDescent="0.45">
      <c r="A818" s="11">
        <v>39</v>
      </c>
      <c r="B818" s="12">
        <f t="shared" si="180"/>
        <v>39</v>
      </c>
      <c r="C818" s="12" t="s">
        <v>59</v>
      </c>
      <c r="D818" s="12">
        <v>0</v>
      </c>
      <c r="E818" s="12" t="s">
        <v>86</v>
      </c>
      <c r="F818" s="12">
        <v>0</v>
      </c>
      <c r="G818" s="12">
        <v>0</v>
      </c>
      <c r="H818" s="12" t="s">
        <v>61</v>
      </c>
      <c r="I818" s="12">
        <v>1</v>
      </c>
      <c r="J818" s="12">
        <v>0</v>
      </c>
      <c r="K818" s="12">
        <v>9</v>
      </c>
      <c r="L818" s="12">
        <f t="shared" si="181"/>
        <v>9</v>
      </c>
      <c r="M818" s="12">
        <v>3</v>
      </c>
      <c r="N818" s="12" t="s">
        <v>55</v>
      </c>
      <c r="O818" s="12">
        <v>1</v>
      </c>
      <c r="P818" s="12">
        <v>0</v>
      </c>
      <c r="Q818" s="12">
        <v>0</v>
      </c>
      <c r="R818" s="12">
        <v>0</v>
      </c>
      <c r="S818" s="12">
        <v>0</v>
      </c>
      <c r="T818" s="12">
        <v>3</v>
      </c>
      <c r="U818" s="12" t="s">
        <v>62</v>
      </c>
      <c r="V818" s="12">
        <v>0</v>
      </c>
      <c r="W818" s="12">
        <v>70</v>
      </c>
      <c r="X818" s="12">
        <v>3</v>
      </c>
      <c r="Y818" s="12">
        <v>2</v>
      </c>
      <c r="Z818" s="12" t="s">
        <v>67</v>
      </c>
      <c r="AA818" s="12">
        <v>0</v>
      </c>
      <c r="AB818" s="12">
        <v>0</v>
      </c>
      <c r="AC818" s="12">
        <v>1</v>
      </c>
      <c r="AD818" s="12">
        <v>0</v>
      </c>
      <c r="AE818" s="12">
        <v>0</v>
      </c>
      <c r="AF818" s="12">
        <v>0</v>
      </c>
      <c r="AG818" s="12">
        <v>0</v>
      </c>
      <c r="AH818" s="12">
        <v>0</v>
      </c>
      <c r="AI818" s="12">
        <v>2</v>
      </c>
      <c r="AJ818" s="12" t="s">
        <v>57</v>
      </c>
      <c r="AK818" s="12">
        <v>1</v>
      </c>
      <c r="AL818" s="12">
        <v>0</v>
      </c>
      <c r="AM818" s="12">
        <v>6782</v>
      </c>
      <c r="AN818" s="12">
        <f t="shared" si="182"/>
        <v>6782</v>
      </c>
      <c r="AO818" s="12">
        <v>9</v>
      </c>
      <c r="AP818" s="12" t="s">
        <v>59</v>
      </c>
      <c r="AQ818" s="12">
        <v>0</v>
      </c>
      <c r="AR818" s="12">
        <v>15</v>
      </c>
      <c r="AS818" s="12">
        <v>3</v>
      </c>
      <c r="AT818" s="12">
        <v>3</v>
      </c>
      <c r="AU818" s="12">
        <v>0</v>
      </c>
      <c r="AV818" s="12">
        <v>9</v>
      </c>
      <c r="AW818" s="12">
        <f t="shared" si="183"/>
        <v>9</v>
      </c>
      <c r="AX818" s="12">
        <v>2</v>
      </c>
      <c r="AY818" s="12">
        <v>2</v>
      </c>
      <c r="AZ818" s="12">
        <v>5</v>
      </c>
      <c r="BA818" s="12">
        <f t="shared" si="184"/>
        <v>5</v>
      </c>
      <c r="BB818" s="12">
        <v>4</v>
      </c>
      <c r="BC818" s="12">
        <v>0</v>
      </c>
      <c r="BD818" s="12">
        <f t="shared" si="193"/>
        <v>0</v>
      </c>
      <c r="BE818" s="12">
        <v>3</v>
      </c>
      <c r="BF818" s="12">
        <f t="shared" si="185"/>
        <v>3</v>
      </c>
      <c r="BG818" s="12">
        <f t="shared" si="194"/>
        <v>6</v>
      </c>
      <c r="BH818" s="67">
        <v>1</v>
      </c>
      <c r="BI818" s="67">
        <v>0</v>
      </c>
      <c r="BJ818" s="67">
        <v>0</v>
      </c>
      <c r="BK818" s="67">
        <v>0</v>
      </c>
      <c r="BL818" s="67">
        <v>1</v>
      </c>
      <c r="BM818" s="67">
        <v>0</v>
      </c>
      <c r="BN818" s="67">
        <v>0</v>
      </c>
      <c r="BO818" s="67">
        <v>0</v>
      </c>
      <c r="BP818" s="67">
        <v>0</v>
      </c>
      <c r="BQ818" s="67">
        <v>3</v>
      </c>
      <c r="BR818" s="67">
        <v>0</v>
      </c>
      <c r="BS818" s="67">
        <v>0</v>
      </c>
      <c r="BT818" s="67">
        <v>9</v>
      </c>
      <c r="BU818" s="70">
        <v>0</v>
      </c>
      <c r="BV818" s="29">
        <f t="shared" si="186"/>
        <v>5.9275970519711604E-2</v>
      </c>
      <c r="BW818">
        <f t="shared" si="187"/>
        <v>0.31476636926356072</v>
      </c>
      <c r="BX818">
        <f t="shared" si="188"/>
        <v>0.29297722668510823</v>
      </c>
      <c r="BY818">
        <f t="shared" si="189"/>
        <v>0.32778177112653761</v>
      </c>
      <c r="BZ818">
        <f t="shared" si="190"/>
        <v>2.3747406698420157E-2</v>
      </c>
      <c r="CA818">
        <f t="shared" si="191"/>
        <v>0.22726935890025346</v>
      </c>
      <c r="CB818">
        <f t="shared" si="192"/>
        <v>0.67891464284095016</v>
      </c>
    </row>
    <row r="819" spans="1:80" x14ac:dyDescent="0.45">
      <c r="A819" s="11">
        <v>36</v>
      </c>
      <c r="B819" s="12">
        <f t="shared" si="180"/>
        <v>36</v>
      </c>
      <c r="C819" s="12" t="s">
        <v>59</v>
      </c>
      <c r="D819" s="12">
        <v>0</v>
      </c>
      <c r="E819" s="12" t="s">
        <v>86</v>
      </c>
      <c r="F819" s="12">
        <v>0</v>
      </c>
      <c r="G819" s="12">
        <v>0</v>
      </c>
      <c r="H819" s="12" t="s">
        <v>61</v>
      </c>
      <c r="I819" s="12">
        <v>1</v>
      </c>
      <c r="J819" s="12">
        <v>0</v>
      </c>
      <c r="K819" s="12">
        <v>18</v>
      </c>
      <c r="L819" s="12">
        <f t="shared" si="181"/>
        <v>18</v>
      </c>
      <c r="M819" s="12">
        <v>4</v>
      </c>
      <c r="N819" s="12" t="s">
        <v>55</v>
      </c>
      <c r="O819" s="12">
        <v>1</v>
      </c>
      <c r="P819" s="12">
        <v>0</v>
      </c>
      <c r="Q819" s="12">
        <v>0</v>
      </c>
      <c r="R819" s="12">
        <v>0</v>
      </c>
      <c r="S819" s="12">
        <v>0</v>
      </c>
      <c r="T819" s="12">
        <v>1</v>
      </c>
      <c r="U819" s="12" t="s">
        <v>62</v>
      </c>
      <c r="V819" s="12">
        <v>0</v>
      </c>
      <c r="W819" s="12">
        <v>78</v>
      </c>
      <c r="X819" s="12">
        <v>3</v>
      </c>
      <c r="Y819" s="12">
        <v>2</v>
      </c>
      <c r="Z819" s="12" t="s">
        <v>83</v>
      </c>
      <c r="AA819" s="12">
        <v>0</v>
      </c>
      <c r="AB819" s="12">
        <v>0</v>
      </c>
      <c r="AC819" s="12">
        <v>0</v>
      </c>
      <c r="AD819" s="12">
        <v>0</v>
      </c>
      <c r="AE819" s="12">
        <v>1</v>
      </c>
      <c r="AF819" s="12">
        <v>1</v>
      </c>
      <c r="AG819" s="12">
        <v>0</v>
      </c>
      <c r="AH819" s="12">
        <v>0</v>
      </c>
      <c r="AI819" s="12">
        <v>4</v>
      </c>
      <c r="AJ819" s="12" t="s">
        <v>57</v>
      </c>
      <c r="AK819" s="12">
        <v>1</v>
      </c>
      <c r="AL819" s="12">
        <v>0</v>
      </c>
      <c r="AM819" s="12">
        <v>7779</v>
      </c>
      <c r="AN819" s="12">
        <f t="shared" si="182"/>
        <v>7779</v>
      </c>
      <c r="AO819" s="12">
        <v>2</v>
      </c>
      <c r="AP819" s="12" t="s">
        <v>59</v>
      </c>
      <c r="AQ819" s="12">
        <v>0</v>
      </c>
      <c r="AR819" s="12">
        <v>20</v>
      </c>
      <c r="AS819" s="12">
        <v>4</v>
      </c>
      <c r="AT819" s="12">
        <v>1</v>
      </c>
      <c r="AU819" s="12">
        <v>0</v>
      </c>
      <c r="AV819" s="12">
        <v>18</v>
      </c>
      <c r="AW819" s="12">
        <f t="shared" si="183"/>
        <v>18</v>
      </c>
      <c r="AX819" s="12">
        <v>0</v>
      </c>
      <c r="AY819" s="12">
        <v>3</v>
      </c>
      <c r="AZ819" s="12">
        <v>11</v>
      </c>
      <c r="BA819" s="12">
        <f t="shared" si="184"/>
        <v>11</v>
      </c>
      <c r="BB819" s="12">
        <v>9</v>
      </c>
      <c r="BC819" s="12">
        <v>0</v>
      </c>
      <c r="BD819" s="12">
        <f t="shared" si="193"/>
        <v>0</v>
      </c>
      <c r="BE819" s="12">
        <v>9</v>
      </c>
      <c r="BF819" s="12">
        <f t="shared" si="185"/>
        <v>9</v>
      </c>
      <c r="BG819" s="12">
        <f t="shared" si="194"/>
        <v>18</v>
      </c>
      <c r="BH819" s="67">
        <v>1</v>
      </c>
      <c r="BI819" s="67">
        <v>0</v>
      </c>
      <c r="BJ819" s="67">
        <v>0</v>
      </c>
      <c r="BK819" s="67">
        <v>0</v>
      </c>
      <c r="BL819" s="67">
        <v>1</v>
      </c>
      <c r="BM819" s="67">
        <v>0</v>
      </c>
      <c r="BN819" s="67">
        <v>0</v>
      </c>
      <c r="BO819" s="67">
        <v>0</v>
      </c>
      <c r="BP819" s="67">
        <v>0</v>
      </c>
      <c r="BQ819" s="67">
        <v>9</v>
      </c>
      <c r="BR819" s="67">
        <v>0</v>
      </c>
      <c r="BS819" s="67">
        <v>0</v>
      </c>
      <c r="BT819" s="67">
        <v>18</v>
      </c>
      <c r="BU819" s="70">
        <v>0</v>
      </c>
      <c r="BV819" s="29">
        <f t="shared" si="186"/>
        <v>0.27104511920419472</v>
      </c>
      <c r="BW819">
        <f t="shared" si="187"/>
        <v>1.3667838287404401</v>
      </c>
      <c r="BX819">
        <f t="shared" si="188"/>
        <v>0.86371889657480871</v>
      </c>
      <c r="BY819">
        <f t="shared" si="189"/>
        <v>0.65156620358080031</v>
      </c>
      <c r="BZ819">
        <f t="shared" si="190"/>
        <v>1.0864228781782561</v>
      </c>
      <c r="CA819">
        <f t="shared" si="191"/>
        <v>0.10112443951066327</v>
      </c>
      <c r="CB819">
        <f t="shared" si="192"/>
        <v>0.67891464284095016</v>
      </c>
    </row>
    <row r="820" spans="1:80" x14ac:dyDescent="0.45">
      <c r="A820" s="11">
        <v>31</v>
      </c>
      <c r="B820" s="12">
        <f t="shared" si="180"/>
        <v>31</v>
      </c>
      <c r="C820" s="12" t="s">
        <v>59</v>
      </c>
      <c r="D820" s="12">
        <v>0</v>
      </c>
      <c r="E820" s="12" t="s">
        <v>60</v>
      </c>
      <c r="F820" s="12">
        <v>1</v>
      </c>
      <c r="G820" s="12">
        <v>0</v>
      </c>
      <c r="H820" s="12" t="s">
        <v>54</v>
      </c>
      <c r="I820" s="12">
        <v>0</v>
      </c>
      <c r="J820" s="12">
        <v>1</v>
      </c>
      <c r="K820" s="12">
        <v>20</v>
      </c>
      <c r="L820" s="12">
        <f t="shared" si="181"/>
        <v>20</v>
      </c>
      <c r="M820" s="12">
        <v>3</v>
      </c>
      <c r="N820" s="12" t="s">
        <v>55</v>
      </c>
      <c r="O820" s="12">
        <v>1</v>
      </c>
      <c r="P820" s="12">
        <v>0</v>
      </c>
      <c r="Q820" s="12">
        <v>0</v>
      </c>
      <c r="R820" s="12">
        <v>0</v>
      </c>
      <c r="S820" s="12">
        <v>0</v>
      </c>
      <c r="T820" s="12">
        <v>3</v>
      </c>
      <c r="U820" s="12" t="s">
        <v>62</v>
      </c>
      <c r="V820" s="12">
        <v>0</v>
      </c>
      <c r="W820" s="12">
        <v>67</v>
      </c>
      <c r="X820" s="12">
        <v>4</v>
      </c>
      <c r="Y820" s="12">
        <v>1</v>
      </c>
      <c r="Z820" s="12" t="s">
        <v>88</v>
      </c>
      <c r="AA820" s="12">
        <v>0</v>
      </c>
      <c r="AB820" s="12">
        <v>0</v>
      </c>
      <c r="AC820" s="12">
        <v>0</v>
      </c>
      <c r="AD820" s="12">
        <v>0</v>
      </c>
      <c r="AE820" s="12">
        <v>0</v>
      </c>
      <c r="AF820" s="12">
        <v>0</v>
      </c>
      <c r="AG820" s="12">
        <v>1</v>
      </c>
      <c r="AH820" s="12">
        <v>0</v>
      </c>
      <c r="AI820" s="12">
        <v>4</v>
      </c>
      <c r="AJ820" s="12" t="s">
        <v>64</v>
      </c>
      <c r="AK820" s="12">
        <v>0</v>
      </c>
      <c r="AL820" s="12">
        <v>1</v>
      </c>
      <c r="AM820" s="12">
        <v>2791</v>
      </c>
      <c r="AN820" s="12">
        <f t="shared" si="182"/>
        <v>2791</v>
      </c>
      <c r="AO820" s="12">
        <v>0</v>
      </c>
      <c r="AP820" s="12" t="s">
        <v>59</v>
      </c>
      <c r="AQ820" s="12">
        <v>0</v>
      </c>
      <c r="AR820" s="12">
        <v>12</v>
      </c>
      <c r="AS820" s="12">
        <v>3</v>
      </c>
      <c r="AT820" s="12">
        <v>1</v>
      </c>
      <c r="AU820" s="12">
        <v>1</v>
      </c>
      <c r="AV820" s="12">
        <v>3</v>
      </c>
      <c r="AW820" s="12">
        <f t="shared" si="183"/>
        <v>3</v>
      </c>
      <c r="AX820" s="12">
        <v>4</v>
      </c>
      <c r="AY820" s="12">
        <v>3</v>
      </c>
      <c r="AZ820" s="12">
        <v>2</v>
      </c>
      <c r="BA820" s="12">
        <f t="shared" si="184"/>
        <v>2</v>
      </c>
      <c r="BB820" s="12">
        <v>2</v>
      </c>
      <c r="BC820" s="12">
        <v>2</v>
      </c>
      <c r="BD820" s="12">
        <f t="shared" si="193"/>
        <v>2</v>
      </c>
      <c r="BE820" s="12">
        <v>2</v>
      </c>
      <c r="BF820" s="12">
        <f t="shared" si="185"/>
        <v>2</v>
      </c>
      <c r="BG820" s="12">
        <f t="shared" si="194"/>
        <v>2</v>
      </c>
      <c r="BH820" s="67">
        <v>0</v>
      </c>
      <c r="BI820" s="67">
        <v>0</v>
      </c>
      <c r="BJ820" s="67">
        <v>0</v>
      </c>
      <c r="BK820" s="67">
        <v>1</v>
      </c>
      <c r="BL820" s="67">
        <v>0</v>
      </c>
      <c r="BM820" s="67">
        <v>0</v>
      </c>
      <c r="BN820" s="67">
        <v>1</v>
      </c>
      <c r="BO820" s="67">
        <v>0</v>
      </c>
      <c r="BP820" s="67">
        <v>0</v>
      </c>
      <c r="BQ820" s="67">
        <v>0</v>
      </c>
      <c r="BR820" s="67">
        <v>2</v>
      </c>
      <c r="BS820" s="67">
        <v>0</v>
      </c>
      <c r="BT820" s="67">
        <v>0</v>
      </c>
      <c r="BU820" s="70">
        <v>3</v>
      </c>
      <c r="BV820" s="29">
        <f t="shared" si="186"/>
        <v>0.78843784332158451</v>
      </c>
      <c r="BW820">
        <f t="shared" si="187"/>
        <v>0.59502473559756086</v>
      </c>
      <c r="BX820">
        <f t="shared" si="188"/>
        <v>1.0641079755250529</v>
      </c>
      <c r="BY820">
        <f t="shared" si="189"/>
        <v>0.81745575848020657</v>
      </c>
      <c r="BZ820">
        <f t="shared" si="190"/>
        <v>1.3331273859286286</v>
      </c>
      <c r="CA820">
        <f t="shared" si="191"/>
        <v>0.6484474368621912</v>
      </c>
      <c r="CB820">
        <f t="shared" si="192"/>
        <v>5.8265062631872602E-2</v>
      </c>
    </row>
    <row r="821" spans="1:80" x14ac:dyDescent="0.45">
      <c r="A821" s="11">
        <v>28</v>
      </c>
      <c r="B821" s="12">
        <f t="shared" si="180"/>
        <v>28</v>
      </c>
      <c r="C821" s="12" t="s">
        <v>59</v>
      </c>
      <c r="D821" s="12">
        <v>0</v>
      </c>
      <c r="E821" s="12" t="s">
        <v>53</v>
      </c>
      <c r="F821" s="12">
        <v>0</v>
      </c>
      <c r="G821" s="12">
        <v>1</v>
      </c>
      <c r="H821" s="12" t="s">
        <v>61</v>
      </c>
      <c r="I821" s="12">
        <v>1</v>
      </c>
      <c r="J821" s="12">
        <v>0</v>
      </c>
      <c r="K821" s="12">
        <v>2</v>
      </c>
      <c r="L821" s="12">
        <f t="shared" si="181"/>
        <v>2</v>
      </c>
      <c r="M821" s="12">
        <v>1</v>
      </c>
      <c r="N821" s="12" t="s">
        <v>55</v>
      </c>
      <c r="O821" s="12">
        <v>1</v>
      </c>
      <c r="P821" s="12">
        <v>0</v>
      </c>
      <c r="Q821" s="12">
        <v>0</v>
      </c>
      <c r="R821" s="12">
        <v>0</v>
      </c>
      <c r="S821" s="12">
        <v>0</v>
      </c>
      <c r="T821" s="12">
        <v>1</v>
      </c>
      <c r="U821" s="12" t="s">
        <v>62</v>
      </c>
      <c r="V821" s="12">
        <v>0</v>
      </c>
      <c r="W821" s="12">
        <v>67</v>
      </c>
      <c r="X821" s="12">
        <v>2</v>
      </c>
      <c r="Y821" s="12">
        <v>1</v>
      </c>
      <c r="Z821" s="12" t="s">
        <v>63</v>
      </c>
      <c r="AA821" s="12">
        <v>0</v>
      </c>
      <c r="AB821" s="12">
        <v>0</v>
      </c>
      <c r="AC821" s="12">
        <v>0</v>
      </c>
      <c r="AD821" s="12">
        <v>0</v>
      </c>
      <c r="AE821" s="12">
        <v>0</v>
      </c>
      <c r="AF821" s="12">
        <v>0</v>
      </c>
      <c r="AG821" s="12">
        <v>0</v>
      </c>
      <c r="AH821" s="12">
        <v>1</v>
      </c>
      <c r="AI821" s="12">
        <v>2</v>
      </c>
      <c r="AJ821" s="12" t="s">
        <v>64</v>
      </c>
      <c r="AK821" s="12">
        <v>0</v>
      </c>
      <c r="AL821" s="12">
        <v>1</v>
      </c>
      <c r="AM821" s="12">
        <v>3201</v>
      </c>
      <c r="AN821" s="12">
        <f t="shared" si="182"/>
        <v>3201</v>
      </c>
      <c r="AO821" s="12">
        <v>0</v>
      </c>
      <c r="AP821" s="12" t="s">
        <v>59</v>
      </c>
      <c r="AQ821" s="12">
        <v>0</v>
      </c>
      <c r="AR821" s="12">
        <v>17</v>
      </c>
      <c r="AS821" s="12">
        <v>3</v>
      </c>
      <c r="AT821" s="12">
        <v>1</v>
      </c>
      <c r="AU821" s="12">
        <v>0</v>
      </c>
      <c r="AV821" s="12">
        <v>6</v>
      </c>
      <c r="AW821" s="12">
        <f t="shared" si="183"/>
        <v>6</v>
      </c>
      <c r="AX821" s="12">
        <v>2</v>
      </c>
      <c r="AY821" s="12">
        <v>1</v>
      </c>
      <c r="AZ821" s="12">
        <v>5</v>
      </c>
      <c r="BA821" s="12">
        <f t="shared" si="184"/>
        <v>5</v>
      </c>
      <c r="BB821" s="12">
        <v>3</v>
      </c>
      <c r="BC821" s="12">
        <v>0</v>
      </c>
      <c r="BD821" s="12">
        <f t="shared" si="193"/>
        <v>0</v>
      </c>
      <c r="BE821" s="12">
        <v>4</v>
      </c>
      <c r="BF821" s="12">
        <f t="shared" si="185"/>
        <v>4</v>
      </c>
      <c r="BG821" s="12">
        <f t="shared" si="194"/>
        <v>4</v>
      </c>
      <c r="BH821" s="67">
        <v>0</v>
      </c>
      <c r="BI821" s="67">
        <v>1</v>
      </c>
      <c r="BJ821" s="67">
        <v>0</v>
      </c>
      <c r="BK821" s="67">
        <v>0</v>
      </c>
      <c r="BL821" s="67">
        <v>0</v>
      </c>
      <c r="BM821" s="67">
        <v>0</v>
      </c>
      <c r="BN821" s="67">
        <v>1</v>
      </c>
      <c r="BO821" s="67">
        <v>0</v>
      </c>
      <c r="BP821" s="67">
        <v>0</v>
      </c>
      <c r="BQ821" s="67">
        <v>4</v>
      </c>
      <c r="BR821" s="67">
        <v>0</v>
      </c>
      <c r="BS821" s="67">
        <v>0</v>
      </c>
      <c r="BT821" s="67">
        <v>6</v>
      </c>
      <c r="BU821" s="70">
        <v>0</v>
      </c>
      <c r="BV821" s="29">
        <f t="shared" si="186"/>
        <v>0.70135123252856735</v>
      </c>
      <c r="BW821">
        <f t="shared" si="187"/>
        <v>3.4508002929560584E-2</v>
      </c>
      <c r="BX821">
        <f t="shared" si="188"/>
        <v>0.67854260110508058</v>
      </c>
      <c r="BY821">
        <f t="shared" si="189"/>
        <v>0.32778177112653761</v>
      </c>
      <c r="BZ821">
        <f t="shared" si="190"/>
        <v>0.88721318382472392</v>
      </c>
      <c r="CA821">
        <f t="shared" si="191"/>
        <v>0.97684123527310796</v>
      </c>
      <c r="CB821">
        <f t="shared" si="192"/>
        <v>0.67891464284095016</v>
      </c>
    </row>
    <row r="822" spans="1:80" x14ac:dyDescent="0.45">
      <c r="A822" s="11">
        <v>35</v>
      </c>
      <c r="B822" s="12">
        <f t="shared" si="180"/>
        <v>35</v>
      </c>
      <c r="C822" s="12" t="s">
        <v>59</v>
      </c>
      <c r="D822" s="12">
        <v>0</v>
      </c>
      <c r="E822" s="12" t="s">
        <v>60</v>
      </c>
      <c r="F822" s="12">
        <v>1</v>
      </c>
      <c r="G822" s="12">
        <v>0</v>
      </c>
      <c r="H822" s="12" t="s">
        <v>54</v>
      </c>
      <c r="I822" s="12">
        <v>0</v>
      </c>
      <c r="J822" s="12">
        <v>1</v>
      </c>
      <c r="K822" s="12">
        <v>11</v>
      </c>
      <c r="L822" s="12">
        <f t="shared" si="181"/>
        <v>11</v>
      </c>
      <c r="M822" s="12">
        <v>2</v>
      </c>
      <c r="N822" s="12" t="s">
        <v>90</v>
      </c>
      <c r="O822" s="12">
        <v>0</v>
      </c>
      <c r="P822" s="12">
        <v>0</v>
      </c>
      <c r="Q822" s="12">
        <v>0</v>
      </c>
      <c r="R822" s="12">
        <v>1</v>
      </c>
      <c r="S822" s="12">
        <v>0</v>
      </c>
      <c r="T822" s="12">
        <v>4</v>
      </c>
      <c r="U822" s="12" t="s">
        <v>62</v>
      </c>
      <c r="V822" s="12">
        <v>0</v>
      </c>
      <c r="W822" s="12">
        <v>54</v>
      </c>
      <c r="X822" s="12">
        <v>3</v>
      </c>
      <c r="Y822" s="12">
        <v>2</v>
      </c>
      <c r="Z822" s="12" t="s">
        <v>56</v>
      </c>
      <c r="AA822" s="12">
        <v>0</v>
      </c>
      <c r="AB822" s="12">
        <v>1</v>
      </c>
      <c r="AC822" s="12">
        <v>0</v>
      </c>
      <c r="AD822" s="12">
        <v>0</v>
      </c>
      <c r="AE822" s="12">
        <v>0</v>
      </c>
      <c r="AF822" s="12">
        <v>0</v>
      </c>
      <c r="AG822" s="12">
        <v>0</v>
      </c>
      <c r="AH822" s="12">
        <v>0</v>
      </c>
      <c r="AI822" s="12">
        <v>4</v>
      </c>
      <c r="AJ822" s="12" t="s">
        <v>78</v>
      </c>
      <c r="AK822" s="12">
        <v>0</v>
      </c>
      <c r="AL822" s="12">
        <v>0</v>
      </c>
      <c r="AM822" s="12">
        <v>4968</v>
      </c>
      <c r="AN822" s="12">
        <f t="shared" si="182"/>
        <v>4968</v>
      </c>
      <c r="AO822" s="12">
        <v>1</v>
      </c>
      <c r="AP822" s="12" t="s">
        <v>59</v>
      </c>
      <c r="AQ822" s="12">
        <v>0</v>
      </c>
      <c r="AR822" s="12">
        <v>11</v>
      </c>
      <c r="AS822" s="12">
        <v>3</v>
      </c>
      <c r="AT822" s="12">
        <v>4</v>
      </c>
      <c r="AU822" s="12">
        <v>1</v>
      </c>
      <c r="AV822" s="12">
        <v>5</v>
      </c>
      <c r="AW822" s="12">
        <f t="shared" si="183"/>
        <v>5</v>
      </c>
      <c r="AX822" s="12">
        <v>3</v>
      </c>
      <c r="AY822" s="12">
        <v>3</v>
      </c>
      <c r="AZ822" s="12">
        <v>5</v>
      </c>
      <c r="BA822" s="12">
        <f t="shared" si="184"/>
        <v>5</v>
      </c>
      <c r="BB822" s="12">
        <v>2</v>
      </c>
      <c r="BC822" s="12">
        <v>0</v>
      </c>
      <c r="BD822" s="12">
        <f t="shared" si="193"/>
        <v>0</v>
      </c>
      <c r="BE822" s="12">
        <v>2</v>
      </c>
      <c r="BF822" s="12">
        <f t="shared" si="185"/>
        <v>2</v>
      </c>
      <c r="BG822" s="12">
        <f t="shared" si="194"/>
        <v>4</v>
      </c>
      <c r="BH822" s="67">
        <v>0</v>
      </c>
      <c r="BI822" s="67">
        <v>0</v>
      </c>
      <c r="BJ822" s="67">
        <v>1</v>
      </c>
      <c r="BK822" s="67">
        <v>0</v>
      </c>
      <c r="BL822" s="67">
        <v>1</v>
      </c>
      <c r="BM822" s="67">
        <v>0</v>
      </c>
      <c r="BN822" s="67">
        <v>0</v>
      </c>
      <c r="BO822" s="67">
        <v>0</v>
      </c>
      <c r="BP822" s="67">
        <v>0</v>
      </c>
      <c r="BQ822" s="67">
        <v>0</v>
      </c>
      <c r="BR822" s="67">
        <v>2</v>
      </c>
      <c r="BS822" s="67">
        <v>0</v>
      </c>
      <c r="BT822" s="67">
        <v>0</v>
      </c>
      <c r="BU822" s="70">
        <v>5</v>
      </c>
      <c r="BV822" s="29">
        <f t="shared" si="186"/>
        <v>0.32602918064744224</v>
      </c>
      <c r="BW822">
        <f t="shared" si="187"/>
        <v>0.59502473559756086</v>
      </c>
      <c r="BX822">
        <f t="shared" si="188"/>
        <v>0.80706439257840468</v>
      </c>
      <c r="BY822">
        <f t="shared" si="189"/>
        <v>0.32778177112653761</v>
      </c>
      <c r="BZ822">
        <f t="shared" si="190"/>
        <v>0.22295710105195232</v>
      </c>
      <c r="CA822">
        <f t="shared" si="191"/>
        <v>0.21058903898096887</v>
      </c>
      <c r="CB822">
        <f t="shared" si="192"/>
        <v>0.67891464284095016</v>
      </c>
    </row>
    <row r="823" spans="1:80" x14ac:dyDescent="0.45">
      <c r="A823" s="11">
        <v>49</v>
      </c>
      <c r="B823" s="12">
        <f t="shared" si="180"/>
        <v>49</v>
      </c>
      <c r="C823" s="12" t="s">
        <v>59</v>
      </c>
      <c r="D823" s="12">
        <v>0</v>
      </c>
      <c r="E823" s="12" t="s">
        <v>53</v>
      </c>
      <c r="F823" s="12">
        <v>0</v>
      </c>
      <c r="G823" s="12">
        <v>1</v>
      </c>
      <c r="H823" s="12" t="s">
        <v>54</v>
      </c>
      <c r="I823" s="12">
        <v>0</v>
      </c>
      <c r="J823" s="12">
        <v>1</v>
      </c>
      <c r="K823" s="12">
        <v>8</v>
      </c>
      <c r="L823" s="12">
        <f t="shared" si="181"/>
        <v>8</v>
      </c>
      <c r="M823" s="12">
        <v>4</v>
      </c>
      <c r="N823" s="12" t="s">
        <v>91</v>
      </c>
      <c r="O823" s="12">
        <v>0</v>
      </c>
      <c r="P823" s="12">
        <v>0</v>
      </c>
      <c r="Q823" s="12">
        <v>0</v>
      </c>
      <c r="R823" s="12">
        <v>0</v>
      </c>
      <c r="S823" s="12">
        <v>1</v>
      </c>
      <c r="T823" s="12">
        <v>4</v>
      </c>
      <c r="U823" s="12" t="s">
        <v>62</v>
      </c>
      <c r="V823" s="12">
        <v>0</v>
      </c>
      <c r="W823" s="12">
        <v>56</v>
      </c>
      <c r="X823" s="12">
        <v>2</v>
      </c>
      <c r="Y823" s="12">
        <v>4</v>
      </c>
      <c r="Z823" s="12" t="s">
        <v>56</v>
      </c>
      <c r="AA823" s="12">
        <v>0</v>
      </c>
      <c r="AB823" s="12">
        <v>1</v>
      </c>
      <c r="AC823" s="12">
        <v>0</v>
      </c>
      <c r="AD823" s="12">
        <v>0</v>
      </c>
      <c r="AE823" s="12">
        <v>0</v>
      </c>
      <c r="AF823" s="12">
        <v>0</v>
      </c>
      <c r="AG823" s="12">
        <v>0</v>
      </c>
      <c r="AH823" s="12">
        <v>0</v>
      </c>
      <c r="AI823" s="12">
        <v>2</v>
      </c>
      <c r="AJ823" s="12" t="s">
        <v>64</v>
      </c>
      <c r="AK823" s="12">
        <v>0</v>
      </c>
      <c r="AL823" s="12">
        <v>1</v>
      </c>
      <c r="AM823" s="12">
        <v>13120</v>
      </c>
      <c r="AN823" s="12">
        <f t="shared" si="182"/>
        <v>13120</v>
      </c>
      <c r="AO823" s="12">
        <v>6</v>
      </c>
      <c r="AP823" s="12" t="s">
        <v>59</v>
      </c>
      <c r="AQ823" s="12">
        <v>0</v>
      </c>
      <c r="AR823" s="12">
        <v>17</v>
      </c>
      <c r="AS823" s="12">
        <v>3</v>
      </c>
      <c r="AT823" s="12">
        <v>2</v>
      </c>
      <c r="AU823" s="12">
        <v>1</v>
      </c>
      <c r="AV823" s="12">
        <v>22</v>
      </c>
      <c r="AW823" s="12">
        <f t="shared" si="183"/>
        <v>22</v>
      </c>
      <c r="AX823" s="12">
        <v>3</v>
      </c>
      <c r="AY823" s="12">
        <v>3</v>
      </c>
      <c r="AZ823" s="12">
        <v>9</v>
      </c>
      <c r="BA823" s="12">
        <f t="shared" si="184"/>
        <v>9</v>
      </c>
      <c r="BB823" s="12">
        <v>8</v>
      </c>
      <c r="BC823" s="12">
        <v>2</v>
      </c>
      <c r="BD823" s="12">
        <f t="shared" si="193"/>
        <v>2</v>
      </c>
      <c r="BE823" s="12">
        <v>3</v>
      </c>
      <c r="BF823" s="12">
        <f t="shared" si="185"/>
        <v>3</v>
      </c>
      <c r="BG823" s="12">
        <f t="shared" si="194"/>
        <v>12</v>
      </c>
      <c r="BH823" s="67">
        <v>0</v>
      </c>
      <c r="BI823" s="67">
        <v>1</v>
      </c>
      <c r="BJ823" s="67">
        <v>0</v>
      </c>
      <c r="BK823" s="67">
        <v>0</v>
      </c>
      <c r="BL823" s="67">
        <v>0</v>
      </c>
      <c r="BM823" s="67">
        <v>0</v>
      </c>
      <c r="BN823" s="67">
        <v>1</v>
      </c>
      <c r="BO823" s="67">
        <v>0</v>
      </c>
      <c r="BP823" s="67">
        <v>0</v>
      </c>
      <c r="BQ823" s="67">
        <v>0</v>
      </c>
      <c r="BR823" s="67">
        <v>3</v>
      </c>
      <c r="BS823" s="67">
        <v>0</v>
      </c>
      <c r="BT823" s="67">
        <v>0</v>
      </c>
      <c r="BU823" s="70">
        <v>22</v>
      </c>
      <c r="BV823" s="29">
        <f t="shared" si="186"/>
        <v>1.4055075295590838</v>
      </c>
      <c r="BW823">
        <f t="shared" si="187"/>
        <v>0.31476636926356072</v>
      </c>
      <c r="BX823">
        <f t="shared" si="188"/>
        <v>1.3778060624681052</v>
      </c>
      <c r="BY823">
        <f t="shared" si="189"/>
        <v>0.32511687867835437</v>
      </c>
      <c r="BZ823">
        <f t="shared" si="190"/>
        <v>0.14709966057360641</v>
      </c>
      <c r="CA823">
        <f t="shared" si="191"/>
        <v>1.3219153536033093</v>
      </c>
      <c r="CB823">
        <f t="shared" si="192"/>
        <v>5.8265062631872602E-2</v>
      </c>
    </row>
    <row r="824" spans="1:80" x14ac:dyDescent="0.45">
      <c r="A824" s="11">
        <v>34</v>
      </c>
      <c r="B824" s="12">
        <f t="shared" si="180"/>
        <v>34</v>
      </c>
      <c r="C824" s="12" t="s">
        <v>59</v>
      </c>
      <c r="D824" s="12">
        <v>0</v>
      </c>
      <c r="E824" s="12" t="s">
        <v>60</v>
      </c>
      <c r="F824" s="12">
        <v>1</v>
      </c>
      <c r="G824" s="12">
        <v>0</v>
      </c>
      <c r="H824" s="12" t="s">
        <v>61</v>
      </c>
      <c r="I824" s="12">
        <v>1</v>
      </c>
      <c r="J824" s="12">
        <v>0</v>
      </c>
      <c r="K824" s="12">
        <v>2</v>
      </c>
      <c r="L824" s="12">
        <f t="shared" si="181"/>
        <v>2</v>
      </c>
      <c r="M824" s="12">
        <v>2</v>
      </c>
      <c r="N824" s="12" t="s">
        <v>55</v>
      </c>
      <c r="O824" s="12">
        <v>1</v>
      </c>
      <c r="P824" s="12">
        <v>0</v>
      </c>
      <c r="Q824" s="12">
        <v>0</v>
      </c>
      <c r="R824" s="12">
        <v>0</v>
      </c>
      <c r="S824" s="12">
        <v>0</v>
      </c>
      <c r="T824" s="12">
        <v>4</v>
      </c>
      <c r="U824" s="12" t="s">
        <v>62</v>
      </c>
      <c r="V824" s="12">
        <v>0</v>
      </c>
      <c r="W824" s="12">
        <v>95</v>
      </c>
      <c r="X824" s="12">
        <v>3</v>
      </c>
      <c r="Y824" s="12">
        <v>2</v>
      </c>
      <c r="Z824" s="12" t="s">
        <v>83</v>
      </c>
      <c r="AA824" s="12">
        <v>0</v>
      </c>
      <c r="AB824" s="12">
        <v>0</v>
      </c>
      <c r="AC824" s="12">
        <v>0</v>
      </c>
      <c r="AD824" s="12">
        <v>0</v>
      </c>
      <c r="AE824" s="12">
        <v>1</v>
      </c>
      <c r="AF824" s="12">
        <v>1</v>
      </c>
      <c r="AG824" s="12">
        <v>0</v>
      </c>
      <c r="AH824" s="12">
        <v>0</v>
      </c>
      <c r="AI824" s="12">
        <v>3</v>
      </c>
      <c r="AJ824" s="12" t="s">
        <v>57</v>
      </c>
      <c r="AK824" s="12">
        <v>1</v>
      </c>
      <c r="AL824" s="12">
        <v>0</v>
      </c>
      <c r="AM824" s="12">
        <v>4033</v>
      </c>
      <c r="AN824" s="12">
        <f t="shared" si="182"/>
        <v>4033</v>
      </c>
      <c r="AO824" s="12">
        <v>2</v>
      </c>
      <c r="AP824" s="12" t="s">
        <v>59</v>
      </c>
      <c r="AQ824" s="12">
        <v>0</v>
      </c>
      <c r="AR824" s="12">
        <v>11</v>
      </c>
      <c r="AS824" s="12">
        <v>3</v>
      </c>
      <c r="AT824" s="12">
        <v>4</v>
      </c>
      <c r="AU824" s="12">
        <v>0</v>
      </c>
      <c r="AV824" s="12">
        <v>5</v>
      </c>
      <c r="AW824" s="12">
        <f t="shared" si="183"/>
        <v>5</v>
      </c>
      <c r="AX824" s="12">
        <v>3</v>
      </c>
      <c r="AY824" s="12">
        <v>2</v>
      </c>
      <c r="AZ824" s="12">
        <v>3</v>
      </c>
      <c r="BA824" s="12">
        <f t="shared" si="184"/>
        <v>3</v>
      </c>
      <c r="BB824" s="12">
        <v>2</v>
      </c>
      <c r="BC824" s="12">
        <v>0</v>
      </c>
      <c r="BD824" s="12">
        <f t="shared" si="193"/>
        <v>0</v>
      </c>
      <c r="BE824" s="12">
        <v>2</v>
      </c>
      <c r="BF824" s="12">
        <f t="shared" si="185"/>
        <v>2</v>
      </c>
      <c r="BG824" s="12">
        <f t="shared" si="194"/>
        <v>4</v>
      </c>
      <c r="BH824" s="67">
        <v>0</v>
      </c>
      <c r="BI824" s="67">
        <v>0</v>
      </c>
      <c r="BJ824" s="67">
        <v>1</v>
      </c>
      <c r="BK824" s="67">
        <v>0</v>
      </c>
      <c r="BL824" s="67">
        <v>1</v>
      </c>
      <c r="BM824" s="67">
        <v>0</v>
      </c>
      <c r="BN824" s="67">
        <v>0</v>
      </c>
      <c r="BO824" s="67">
        <v>0</v>
      </c>
      <c r="BP824" s="67">
        <v>0</v>
      </c>
      <c r="BQ824" s="67">
        <v>2</v>
      </c>
      <c r="BR824" s="67">
        <v>0</v>
      </c>
      <c r="BS824" s="67">
        <v>0</v>
      </c>
      <c r="BT824" s="67">
        <v>5</v>
      </c>
      <c r="BU824" s="70">
        <v>0</v>
      </c>
      <c r="BV824" s="29">
        <f t="shared" si="186"/>
        <v>0.52462913452907889</v>
      </c>
      <c r="BW824">
        <f t="shared" si="187"/>
        <v>0.59502473559756086</v>
      </c>
      <c r="BX824">
        <f t="shared" si="188"/>
        <v>0.80706439257840468</v>
      </c>
      <c r="BY824">
        <f t="shared" si="189"/>
        <v>0.65423109602898355</v>
      </c>
      <c r="BZ824">
        <f t="shared" si="190"/>
        <v>0.88721318382472392</v>
      </c>
      <c r="CA824">
        <f t="shared" si="191"/>
        <v>0.32005363845127444</v>
      </c>
      <c r="CB824">
        <f t="shared" si="192"/>
        <v>0.67891464284095016</v>
      </c>
    </row>
    <row r="825" spans="1:80" x14ac:dyDescent="0.45">
      <c r="A825" s="11">
        <v>29</v>
      </c>
      <c r="B825" s="12">
        <f t="shared" si="180"/>
        <v>29</v>
      </c>
      <c r="C825" s="12" t="s">
        <v>59</v>
      </c>
      <c r="D825" s="12">
        <v>0</v>
      </c>
      <c r="E825" s="12" t="s">
        <v>60</v>
      </c>
      <c r="F825" s="12">
        <v>1</v>
      </c>
      <c r="G825" s="12">
        <v>0</v>
      </c>
      <c r="H825" s="12" t="s">
        <v>61</v>
      </c>
      <c r="I825" s="12">
        <v>1</v>
      </c>
      <c r="J825" s="12">
        <v>0</v>
      </c>
      <c r="K825" s="12">
        <v>10</v>
      </c>
      <c r="L825" s="12">
        <f t="shared" si="181"/>
        <v>10</v>
      </c>
      <c r="M825" s="12">
        <v>3</v>
      </c>
      <c r="N825" s="12" t="s">
        <v>55</v>
      </c>
      <c r="O825" s="12">
        <v>1</v>
      </c>
      <c r="P825" s="12">
        <v>0</v>
      </c>
      <c r="Q825" s="12">
        <v>0</v>
      </c>
      <c r="R825" s="12">
        <v>0</v>
      </c>
      <c r="S825" s="12">
        <v>0</v>
      </c>
      <c r="T825" s="12">
        <v>4</v>
      </c>
      <c r="U825" s="12" t="s">
        <v>19</v>
      </c>
      <c r="V825" s="12">
        <v>1</v>
      </c>
      <c r="W825" s="12">
        <v>61</v>
      </c>
      <c r="X825" s="12">
        <v>3</v>
      </c>
      <c r="Y825" s="12">
        <v>1</v>
      </c>
      <c r="Z825" s="12" t="s">
        <v>63</v>
      </c>
      <c r="AA825" s="12">
        <v>0</v>
      </c>
      <c r="AB825" s="12">
        <v>0</v>
      </c>
      <c r="AC825" s="12">
        <v>0</v>
      </c>
      <c r="AD825" s="12">
        <v>0</v>
      </c>
      <c r="AE825" s="12">
        <v>0</v>
      </c>
      <c r="AF825" s="12">
        <v>0</v>
      </c>
      <c r="AG825" s="12">
        <v>0</v>
      </c>
      <c r="AH825" s="12">
        <v>1</v>
      </c>
      <c r="AI825" s="12">
        <v>2</v>
      </c>
      <c r="AJ825" s="12" t="s">
        <v>78</v>
      </c>
      <c r="AK825" s="12">
        <v>0</v>
      </c>
      <c r="AL825" s="12">
        <v>0</v>
      </c>
      <c r="AM825" s="12">
        <v>3291</v>
      </c>
      <c r="AN825" s="12">
        <f t="shared" si="182"/>
        <v>3291</v>
      </c>
      <c r="AO825" s="12">
        <v>0</v>
      </c>
      <c r="AP825" s="12" t="s">
        <v>59</v>
      </c>
      <c r="AQ825" s="12">
        <v>0</v>
      </c>
      <c r="AR825" s="12">
        <v>14</v>
      </c>
      <c r="AS825" s="12">
        <v>3</v>
      </c>
      <c r="AT825" s="12">
        <v>4</v>
      </c>
      <c r="AU825" s="12">
        <v>2</v>
      </c>
      <c r="AV825" s="12">
        <v>8</v>
      </c>
      <c r="AW825" s="12">
        <f t="shared" si="183"/>
        <v>8</v>
      </c>
      <c r="AX825" s="12">
        <v>2</v>
      </c>
      <c r="AY825" s="12">
        <v>2</v>
      </c>
      <c r="AZ825" s="12">
        <v>7</v>
      </c>
      <c r="BA825" s="12">
        <f t="shared" si="184"/>
        <v>7</v>
      </c>
      <c r="BB825" s="12">
        <v>5</v>
      </c>
      <c r="BC825" s="12">
        <v>1</v>
      </c>
      <c r="BD825" s="12">
        <f t="shared" si="193"/>
        <v>1</v>
      </c>
      <c r="BE825" s="12">
        <v>1</v>
      </c>
      <c r="BF825" s="12">
        <f t="shared" si="185"/>
        <v>1</v>
      </c>
      <c r="BG825" s="12">
        <f t="shared" si="194"/>
        <v>1</v>
      </c>
      <c r="BH825" s="67">
        <v>0</v>
      </c>
      <c r="BI825" s="67">
        <v>0</v>
      </c>
      <c r="BJ825" s="67">
        <v>1</v>
      </c>
      <c r="BK825" s="67">
        <v>0</v>
      </c>
      <c r="BL825" s="67">
        <v>1</v>
      </c>
      <c r="BM825" s="67">
        <v>0</v>
      </c>
      <c r="BN825" s="67">
        <v>0</v>
      </c>
      <c r="BO825" s="67">
        <v>0</v>
      </c>
      <c r="BP825" s="67">
        <v>0</v>
      </c>
      <c r="BQ825" s="67">
        <v>1</v>
      </c>
      <c r="BR825" s="67">
        <v>0</v>
      </c>
      <c r="BS825" s="67">
        <v>0</v>
      </c>
      <c r="BT825" s="67">
        <v>8</v>
      </c>
      <c r="BU825" s="70">
        <v>0</v>
      </c>
      <c r="BV825" s="29">
        <f t="shared" si="186"/>
        <v>0.68223465942766115</v>
      </c>
      <c r="BW825">
        <f t="shared" si="187"/>
        <v>0.87528310193156111</v>
      </c>
      <c r="BX825">
        <f t="shared" si="188"/>
        <v>0.42149901815843233</v>
      </c>
      <c r="BY825">
        <f t="shared" si="189"/>
        <v>1.3324462240916321E-3</v>
      </c>
      <c r="BZ825">
        <f t="shared" si="190"/>
        <v>9.9604847176766084E-2</v>
      </c>
      <c r="CA825">
        <f t="shared" si="191"/>
        <v>0.86737663580280233</v>
      </c>
      <c r="CB825">
        <f t="shared" si="192"/>
        <v>0.36858985273641137</v>
      </c>
    </row>
    <row r="826" spans="1:80" x14ac:dyDescent="0.45">
      <c r="A826" s="11">
        <v>42</v>
      </c>
      <c r="B826" s="12">
        <f t="shared" si="180"/>
        <v>42</v>
      </c>
      <c r="C826" s="12" t="s">
        <v>59</v>
      </c>
      <c r="D826" s="12">
        <v>0</v>
      </c>
      <c r="E826" s="12" t="s">
        <v>53</v>
      </c>
      <c r="F826" s="12">
        <v>0</v>
      </c>
      <c r="G826" s="12">
        <v>1</v>
      </c>
      <c r="H826" s="12" t="s">
        <v>61</v>
      </c>
      <c r="I826" s="12">
        <v>1</v>
      </c>
      <c r="J826" s="12">
        <v>0</v>
      </c>
      <c r="K826" s="12">
        <v>29</v>
      </c>
      <c r="L826" s="12">
        <f t="shared" si="181"/>
        <v>29</v>
      </c>
      <c r="M826" s="12">
        <v>3</v>
      </c>
      <c r="N826" s="12" t="s">
        <v>70</v>
      </c>
      <c r="O826" s="12">
        <v>0</v>
      </c>
      <c r="P826" s="12">
        <v>0</v>
      </c>
      <c r="Q826" s="12">
        <v>1</v>
      </c>
      <c r="R826" s="12">
        <v>0</v>
      </c>
      <c r="S826" s="12">
        <v>0</v>
      </c>
      <c r="T826" s="12">
        <v>2</v>
      </c>
      <c r="U826" s="12" t="s">
        <v>62</v>
      </c>
      <c r="V826" s="12">
        <v>0</v>
      </c>
      <c r="W826" s="12">
        <v>56</v>
      </c>
      <c r="X826" s="12">
        <v>1</v>
      </c>
      <c r="Y826" s="12">
        <v>2</v>
      </c>
      <c r="Z826" s="12" t="s">
        <v>67</v>
      </c>
      <c r="AA826" s="12">
        <v>0</v>
      </c>
      <c r="AB826" s="12">
        <v>0</v>
      </c>
      <c r="AC826" s="12">
        <v>1</v>
      </c>
      <c r="AD826" s="12">
        <v>0</v>
      </c>
      <c r="AE826" s="12">
        <v>0</v>
      </c>
      <c r="AF826" s="12">
        <v>0</v>
      </c>
      <c r="AG826" s="12">
        <v>0</v>
      </c>
      <c r="AH826" s="12">
        <v>0</v>
      </c>
      <c r="AI826" s="12">
        <v>4</v>
      </c>
      <c r="AJ826" s="12" t="s">
        <v>57</v>
      </c>
      <c r="AK826" s="12">
        <v>1</v>
      </c>
      <c r="AL826" s="12">
        <v>0</v>
      </c>
      <c r="AM826" s="12">
        <v>4272</v>
      </c>
      <c r="AN826" s="12">
        <f t="shared" si="182"/>
        <v>4272</v>
      </c>
      <c r="AO826" s="12">
        <v>4</v>
      </c>
      <c r="AP826" s="12" t="s">
        <v>59</v>
      </c>
      <c r="AQ826" s="12">
        <v>0</v>
      </c>
      <c r="AR826" s="12">
        <v>19</v>
      </c>
      <c r="AS826" s="12">
        <v>3</v>
      </c>
      <c r="AT826" s="12">
        <v>1</v>
      </c>
      <c r="AU826" s="12">
        <v>0</v>
      </c>
      <c r="AV826" s="12">
        <v>16</v>
      </c>
      <c r="AW826" s="12">
        <f t="shared" si="183"/>
        <v>16</v>
      </c>
      <c r="AX826" s="12">
        <v>3</v>
      </c>
      <c r="AY826" s="12">
        <v>3</v>
      </c>
      <c r="AZ826" s="12">
        <v>1</v>
      </c>
      <c r="BA826" s="12">
        <f t="shared" si="184"/>
        <v>1</v>
      </c>
      <c r="BB826" s="12">
        <v>0</v>
      </c>
      <c r="BC826" s="12">
        <v>0</v>
      </c>
      <c r="BD826" s="12">
        <f t="shared" si="193"/>
        <v>0</v>
      </c>
      <c r="BE826" s="12">
        <v>0</v>
      </c>
      <c r="BF826" s="12">
        <f t="shared" si="185"/>
        <v>0</v>
      </c>
      <c r="BG826" s="12">
        <f t="shared" si="194"/>
        <v>0</v>
      </c>
      <c r="BH826" s="67">
        <v>1</v>
      </c>
      <c r="BI826" s="67">
        <v>0</v>
      </c>
      <c r="BJ826" s="67">
        <v>0</v>
      </c>
      <c r="BK826" s="67">
        <v>0</v>
      </c>
      <c r="BL826" s="67">
        <v>1</v>
      </c>
      <c r="BM826" s="67">
        <v>0</v>
      </c>
      <c r="BN826" s="67">
        <v>0</v>
      </c>
      <c r="BO826" s="67">
        <v>0</v>
      </c>
      <c r="BP826" s="67">
        <v>0</v>
      </c>
      <c r="BQ826" s="67">
        <v>0</v>
      </c>
      <c r="BR826" s="67">
        <v>0</v>
      </c>
      <c r="BS826" s="67">
        <v>0</v>
      </c>
      <c r="BT826" s="67">
        <v>16</v>
      </c>
      <c r="BU826" s="70">
        <v>0</v>
      </c>
      <c r="BV826" s="29">
        <f t="shared" si="186"/>
        <v>0.47386401262778355</v>
      </c>
      <c r="BW826">
        <f t="shared" si="187"/>
        <v>1.1555414682655611</v>
      </c>
      <c r="BX826">
        <f t="shared" si="188"/>
        <v>0.60667531362816052</v>
      </c>
      <c r="BY826">
        <f t="shared" si="189"/>
        <v>0.9806804209314296</v>
      </c>
      <c r="BZ826">
        <f t="shared" si="190"/>
        <v>2.4432976708053049</v>
      </c>
      <c r="CA826">
        <f t="shared" si="191"/>
        <v>0.55566315731117022</v>
      </c>
      <c r="CB826">
        <f t="shared" si="192"/>
        <v>0.67891464284095016</v>
      </c>
    </row>
    <row r="827" spans="1:80" x14ac:dyDescent="0.45">
      <c r="A827" s="11">
        <v>29</v>
      </c>
      <c r="B827" s="12">
        <f t="shared" si="180"/>
        <v>29</v>
      </c>
      <c r="C827" s="12" t="s">
        <v>59</v>
      </c>
      <c r="D827" s="12">
        <v>0</v>
      </c>
      <c r="E827" s="12" t="s">
        <v>53</v>
      </c>
      <c r="F827" s="12">
        <v>0</v>
      </c>
      <c r="G827" s="12">
        <v>1</v>
      </c>
      <c r="H827" s="12" t="s">
        <v>61</v>
      </c>
      <c r="I827" s="12">
        <v>1</v>
      </c>
      <c r="J827" s="12">
        <v>0</v>
      </c>
      <c r="K827" s="12">
        <v>8</v>
      </c>
      <c r="L827" s="12">
        <f t="shared" si="181"/>
        <v>8</v>
      </c>
      <c r="M827" s="12">
        <v>1</v>
      </c>
      <c r="N827" s="12" t="s">
        <v>70</v>
      </c>
      <c r="O827" s="12">
        <v>0</v>
      </c>
      <c r="P827" s="12">
        <v>0</v>
      </c>
      <c r="Q827" s="12">
        <v>1</v>
      </c>
      <c r="R827" s="12">
        <v>0</v>
      </c>
      <c r="S827" s="12">
        <v>0</v>
      </c>
      <c r="T827" s="12">
        <v>2</v>
      </c>
      <c r="U827" s="12" t="s">
        <v>62</v>
      </c>
      <c r="V827" s="12">
        <v>0</v>
      </c>
      <c r="W827" s="12">
        <v>79</v>
      </c>
      <c r="X827" s="12">
        <v>2</v>
      </c>
      <c r="Y827" s="12">
        <v>2</v>
      </c>
      <c r="Z827" s="12" t="s">
        <v>83</v>
      </c>
      <c r="AA827" s="12">
        <v>0</v>
      </c>
      <c r="AB827" s="12">
        <v>0</v>
      </c>
      <c r="AC827" s="12">
        <v>0</v>
      </c>
      <c r="AD827" s="12">
        <v>0</v>
      </c>
      <c r="AE827" s="12">
        <v>1</v>
      </c>
      <c r="AF827" s="12">
        <v>1</v>
      </c>
      <c r="AG827" s="12">
        <v>0</v>
      </c>
      <c r="AH827" s="12">
        <v>0</v>
      </c>
      <c r="AI827" s="12">
        <v>4</v>
      </c>
      <c r="AJ827" s="12" t="s">
        <v>64</v>
      </c>
      <c r="AK827" s="12">
        <v>0</v>
      </c>
      <c r="AL827" s="12">
        <v>1</v>
      </c>
      <c r="AM827" s="12">
        <v>5056</v>
      </c>
      <c r="AN827" s="12">
        <f t="shared" si="182"/>
        <v>5056</v>
      </c>
      <c r="AO827" s="12">
        <v>1</v>
      </c>
      <c r="AP827" s="12" t="s">
        <v>52</v>
      </c>
      <c r="AQ827" s="12">
        <v>1</v>
      </c>
      <c r="AR827" s="12">
        <v>15</v>
      </c>
      <c r="AS827" s="12">
        <v>3</v>
      </c>
      <c r="AT827" s="12">
        <v>3</v>
      </c>
      <c r="AU827" s="12">
        <v>1</v>
      </c>
      <c r="AV827" s="12">
        <v>10</v>
      </c>
      <c r="AW827" s="12">
        <f t="shared" si="183"/>
        <v>10</v>
      </c>
      <c r="AX827" s="12">
        <v>2</v>
      </c>
      <c r="AY827" s="12">
        <v>2</v>
      </c>
      <c r="AZ827" s="12">
        <v>10</v>
      </c>
      <c r="BA827" s="12">
        <f t="shared" si="184"/>
        <v>10</v>
      </c>
      <c r="BB827" s="12">
        <v>7</v>
      </c>
      <c r="BC827" s="12">
        <v>1</v>
      </c>
      <c r="BD827" s="12">
        <f t="shared" si="193"/>
        <v>1</v>
      </c>
      <c r="BE827" s="12">
        <v>2</v>
      </c>
      <c r="BF827" s="12">
        <f t="shared" si="185"/>
        <v>2</v>
      </c>
      <c r="BG827" s="12">
        <f t="shared" si="194"/>
        <v>4</v>
      </c>
      <c r="BH827" s="67">
        <v>0</v>
      </c>
      <c r="BI827" s="67">
        <v>1</v>
      </c>
      <c r="BJ827" s="67">
        <v>0</v>
      </c>
      <c r="BK827" s="67">
        <v>0</v>
      </c>
      <c r="BL827" s="67">
        <v>0</v>
      </c>
      <c r="BM827" s="67">
        <v>0</v>
      </c>
      <c r="BN827" s="67">
        <v>0</v>
      </c>
      <c r="BO827" s="67">
        <v>1</v>
      </c>
      <c r="BP827" s="67">
        <v>0</v>
      </c>
      <c r="BQ827" s="67">
        <v>2</v>
      </c>
      <c r="BR827" s="67">
        <v>0</v>
      </c>
      <c r="BS827" s="67">
        <v>0</v>
      </c>
      <c r="BT827" s="67">
        <v>10</v>
      </c>
      <c r="BU827" s="70">
        <v>0</v>
      </c>
      <c r="BV827" s="29">
        <f t="shared" si="186"/>
        <v>0.30733742028211175</v>
      </c>
      <c r="BW827">
        <f t="shared" si="187"/>
        <v>0.59502473559756086</v>
      </c>
      <c r="BX827">
        <f t="shared" si="188"/>
        <v>0.1644554352117841</v>
      </c>
      <c r="BY827">
        <f t="shared" si="189"/>
        <v>0.48834154112957734</v>
      </c>
      <c r="BZ827">
        <f t="shared" si="190"/>
        <v>0.14709966057360641</v>
      </c>
      <c r="CA827">
        <f t="shared" si="191"/>
        <v>0.86737663580280233</v>
      </c>
      <c r="CB827">
        <f t="shared" si="192"/>
        <v>0.36858985273641137</v>
      </c>
    </row>
    <row r="828" spans="1:80" x14ac:dyDescent="0.45">
      <c r="A828" s="11">
        <v>38</v>
      </c>
      <c r="B828" s="12">
        <f t="shared" si="180"/>
        <v>38</v>
      </c>
      <c r="C828" s="12" t="s">
        <v>59</v>
      </c>
      <c r="D828" s="12">
        <v>0</v>
      </c>
      <c r="E828" s="12" t="s">
        <v>53</v>
      </c>
      <c r="F828" s="12">
        <v>0</v>
      </c>
      <c r="G828" s="12">
        <v>1</v>
      </c>
      <c r="H828" s="12" t="s">
        <v>97</v>
      </c>
      <c r="I828" s="12">
        <v>0</v>
      </c>
      <c r="J828" s="12">
        <v>0</v>
      </c>
      <c r="K828" s="12">
        <v>1</v>
      </c>
      <c r="L828" s="12">
        <f t="shared" si="181"/>
        <v>1</v>
      </c>
      <c r="M828" s="12">
        <v>3</v>
      </c>
      <c r="N828" s="12" t="s">
        <v>97</v>
      </c>
      <c r="O828" s="12">
        <v>0</v>
      </c>
      <c r="P828" s="12">
        <v>0</v>
      </c>
      <c r="Q828" s="12">
        <v>0</v>
      </c>
      <c r="R828" s="12">
        <v>0</v>
      </c>
      <c r="S828" s="12">
        <v>0</v>
      </c>
      <c r="T828" s="12">
        <v>3</v>
      </c>
      <c r="U828" s="12" t="s">
        <v>62</v>
      </c>
      <c r="V828" s="12">
        <v>0</v>
      </c>
      <c r="W828" s="12">
        <v>37</v>
      </c>
      <c r="X828" s="12">
        <v>4</v>
      </c>
      <c r="Y828" s="12">
        <v>1</v>
      </c>
      <c r="Z828" s="12" t="s">
        <v>97</v>
      </c>
      <c r="AA828" s="12">
        <v>0</v>
      </c>
      <c r="AB828" s="12">
        <v>0</v>
      </c>
      <c r="AC828" s="12">
        <v>0</v>
      </c>
      <c r="AD828" s="12">
        <v>0</v>
      </c>
      <c r="AE828" s="12">
        <v>0</v>
      </c>
      <c r="AF828" s="12">
        <v>0</v>
      </c>
      <c r="AG828" s="12">
        <v>0</v>
      </c>
      <c r="AH828" s="12">
        <v>0</v>
      </c>
      <c r="AI828" s="12">
        <v>3</v>
      </c>
      <c r="AJ828" s="12" t="s">
        <v>64</v>
      </c>
      <c r="AK828" s="12">
        <v>0</v>
      </c>
      <c r="AL828" s="12">
        <v>1</v>
      </c>
      <c r="AM828" s="12">
        <v>2844</v>
      </c>
      <c r="AN828" s="12">
        <f t="shared" si="182"/>
        <v>2844</v>
      </c>
      <c r="AO828" s="12">
        <v>1</v>
      </c>
      <c r="AP828" s="12" t="s">
        <v>59</v>
      </c>
      <c r="AQ828" s="12">
        <v>0</v>
      </c>
      <c r="AR828" s="12">
        <v>13</v>
      </c>
      <c r="AS828" s="12">
        <v>3</v>
      </c>
      <c r="AT828" s="12">
        <v>4</v>
      </c>
      <c r="AU828" s="12">
        <v>1</v>
      </c>
      <c r="AV828" s="12">
        <v>7</v>
      </c>
      <c r="AW828" s="12">
        <f t="shared" si="183"/>
        <v>7</v>
      </c>
      <c r="AX828" s="12">
        <v>2</v>
      </c>
      <c r="AY828" s="12">
        <v>4</v>
      </c>
      <c r="AZ828" s="12">
        <v>7</v>
      </c>
      <c r="BA828" s="12">
        <f t="shared" si="184"/>
        <v>7</v>
      </c>
      <c r="BB828" s="12">
        <v>6</v>
      </c>
      <c r="BC828" s="12">
        <v>5</v>
      </c>
      <c r="BD828" s="12">
        <f t="shared" si="193"/>
        <v>5</v>
      </c>
      <c r="BE828" s="12">
        <v>0</v>
      </c>
      <c r="BF828" s="12">
        <f t="shared" si="185"/>
        <v>0</v>
      </c>
      <c r="BG828" s="12">
        <f t="shared" si="194"/>
        <v>0</v>
      </c>
      <c r="BH828" s="67">
        <v>0</v>
      </c>
      <c r="BI828" s="67">
        <v>1</v>
      </c>
      <c r="BJ828" s="67">
        <v>0</v>
      </c>
      <c r="BK828" s="67">
        <v>0</v>
      </c>
      <c r="BL828" s="67">
        <v>0</v>
      </c>
      <c r="BM828" s="67">
        <v>0</v>
      </c>
      <c r="BN828" s="67">
        <v>1</v>
      </c>
      <c r="BO828" s="67">
        <v>0</v>
      </c>
      <c r="BP828" s="67">
        <v>0</v>
      </c>
      <c r="BQ828" s="67">
        <v>0</v>
      </c>
      <c r="BR828" s="67">
        <v>0</v>
      </c>
      <c r="BS828" s="67">
        <v>7</v>
      </c>
      <c r="BT828" s="67">
        <v>0</v>
      </c>
      <c r="BU828" s="70">
        <v>0</v>
      </c>
      <c r="BV828" s="29">
        <f t="shared" si="186"/>
        <v>0.77718030582882858</v>
      </c>
      <c r="BW828">
        <f t="shared" si="187"/>
        <v>1.1555414682655611</v>
      </c>
      <c r="BX828">
        <f t="shared" si="188"/>
        <v>0.55002080963175637</v>
      </c>
      <c r="BY828">
        <f t="shared" si="189"/>
        <v>1.3324462240916321E-3</v>
      </c>
      <c r="BZ828">
        <f t="shared" si="190"/>
        <v>1.01056543769991</v>
      </c>
      <c r="CA828">
        <f t="shared" si="191"/>
        <v>0.11780475942994788</v>
      </c>
      <c r="CB828">
        <f t="shared" si="192"/>
        <v>0.87270930768174382</v>
      </c>
    </row>
    <row r="829" spans="1:80" x14ac:dyDescent="0.45">
      <c r="A829" s="11">
        <v>28</v>
      </c>
      <c r="B829" s="12">
        <f t="shared" si="180"/>
        <v>28</v>
      </c>
      <c r="C829" s="12" t="s">
        <v>59</v>
      </c>
      <c r="D829" s="12">
        <v>0</v>
      </c>
      <c r="E829" s="12" t="s">
        <v>60</v>
      </c>
      <c r="F829" s="12">
        <v>1</v>
      </c>
      <c r="G829" s="12">
        <v>0</v>
      </c>
      <c r="H829" s="12" t="s">
        <v>61</v>
      </c>
      <c r="I829" s="12">
        <v>1</v>
      </c>
      <c r="J829" s="12">
        <v>0</v>
      </c>
      <c r="K829" s="12">
        <v>6</v>
      </c>
      <c r="L829" s="12">
        <f t="shared" si="181"/>
        <v>6</v>
      </c>
      <c r="M829" s="12">
        <v>3</v>
      </c>
      <c r="N829" s="12" t="s">
        <v>55</v>
      </c>
      <c r="O829" s="12">
        <v>1</v>
      </c>
      <c r="P829" s="12">
        <v>0</v>
      </c>
      <c r="Q829" s="12">
        <v>0</v>
      </c>
      <c r="R829" s="12">
        <v>0</v>
      </c>
      <c r="S829" s="12">
        <v>0</v>
      </c>
      <c r="T829" s="12">
        <v>3</v>
      </c>
      <c r="U829" s="12" t="s">
        <v>62</v>
      </c>
      <c r="V829" s="12">
        <v>0</v>
      </c>
      <c r="W829" s="12">
        <v>39</v>
      </c>
      <c r="X829" s="12">
        <v>2</v>
      </c>
      <c r="Y829" s="12">
        <v>1</v>
      </c>
      <c r="Z829" s="12" t="s">
        <v>63</v>
      </c>
      <c r="AA829" s="12">
        <v>0</v>
      </c>
      <c r="AB829" s="12">
        <v>0</v>
      </c>
      <c r="AC829" s="12">
        <v>0</v>
      </c>
      <c r="AD829" s="12">
        <v>0</v>
      </c>
      <c r="AE829" s="12">
        <v>0</v>
      </c>
      <c r="AF829" s="12">
        <v>0</v>
      </c>
      <c r="AG829" s="12">
        <v>0</v>
      </c>
      <c r="AH829" s="12">
        <v>1</v>
      </c>
      <c r="AI829" s="12">
        <v>3</v>
      </c>
      <c r="AJ829" s="12" t="s">
        <v>78</v>
      </c>
      <c r="AK829" s="12">
        <v>0</v>
      </c>
      <c r="AL829" s="12">
        <v>0</v>
      </c>
      <c r="AM829" s="12">
        <v>2703</v>
      </c>
      <c r="AN829" s="12">
        <f t="shared" si="182"/>
        <v>2703</v>
      </c>
      <c r="AO829" s="12">
        <v>1</v>
      </c>
      <c r="AP829" s="12" t="s">
        <v>52</v>
      </c>
      <c r="AQ829" s="12">
        <v>1</v>
      </c>
      <c r="AR829" s="12">
        <v>14</v>
      </c>
      <c r="AS829" s="12">
        <v>3</v>
      </c>
      <c r="AT829" s="12">
        <v>4</v>
      </c>
      <c r="AU829" s="12">
        <v>1</v>
      </c>
      <c r="AV829" s="12">
        <v>3</v>
      </c>
      <c r="AW829" s="12">
        <f t="shared" si="183"/>
        <v>3</v>
      </c>
      <c r="AX829" s="12">
        <v>2</v>
      </c>
      <c r="AY829" s="12">
        <v>3</v>
      </c>
      <c r="AZ829" s="12">
        <v>3</v>
      </c>
      <c r="BA829" s="12">
        <f t="shared" si="184"/>
        <v>3</v>
      </c>
      <c r="BB829" s="12">
        <v>1</v>
      </c>
      <c r="BC829" s="12">
        <v>0</v>
      </c>
      <c r="BD829" s="12">
        <f t="shared" si="193"/>
        <v>0</v>
      </c>
      <c r="BE829" s="12">
        <v>2</v>
      </c>
      <c r="BF829" s="12">
        <f t="shared" si="185"/>
        <v>2</v>
      </c>
      <c r="BG829" s="12">
        <f t="shared" si="194"/>
        <v>2</v>
      </c>
      <c r="BH829" s="67">
        <v>0</v>
      </c>
      <c r="BI829" s="67">
        <v>0</v>
      </c>
      <c r="BJ829" s="67">
        <v>1</v>
      </c>
      <c r="BK829" s="67">
        <v>0</v>
      </c>
      <c r="BL829" s="67">
        <v>0</v>
      </c>
      <c r="BM829" s="67">
        <v>1</v>
      </c>
      <c r="BN829" s="67">
        <v>0</v>
      </c>
      <c r="BO829" s="67">
        <v>0</v>
      </c>
      <c r="BP829" s="67">
        <v>0</v>
      </c>
      <c r="BQ829" s="67">
        <v>2</v>
      </c>
      <c r="BR829" s="67">
        <v>0</v>
      </c>
      <c r="BS829" s="67">
        <v>0</v>
      </c>
      <c r="BT829" s="67">
        <v>3</v>
      </c>
      <c r="BU829" s="70">
        <v>0</v>
      </c>
      <c r="BV829" s="29">
        <f t="shared" si="186"/>
        <v>0.807129603686915</v>
      </c>
      <c r="BW829">
        <f t="shared" si="187"/>
        <v>0.59502473559756086</v>
      </c>
      <c r="BX829">
        <f t="shared" si="188"/>
        <v>1.0641079755250529</v>
      </c>
      <c r="BY829">
        <f t="shared" si="189"/>
        <v>0.65423109602898355</v>
      </c>
      <c r="BZ829">
        <f t="shared" si="190"/>
        <v>0.39380416832397891</v>
      </c>
      <c r="CA829">
        <f t="shared" si="191"/>
        <v>0.97684123527310796</v>
      </c>
      <c r="CB829">
        <f t="shared" si="192"/>
        <v>0.67891464284095016</v>
      </c>
    </row>
    <row r="830" spans="1:80" x14ac:dyDescent="0.45">
      <c r="A830" s="11">
        <v>18</v>
      </c>
      <c r="B830" s="12">
        <f t="shared" si="180"/>
        <v>19</v>
      </c>
      <c r="C830" s="12" t="s">
        <v>52</v>
      </c>
      <c r="D830" s="12">
        <v>1</v>
      </c>
      <c r="E830" s="12" t="s">
        <v>86</v>
      </c>
      <c r="F830" s="12">
        <v>0</v>
      </c>
      <c r="G830" s="12">
        <v>0</v>
      </c>
      <c r="H830" s="12" t="s">
        <v>61</v>
      </c>
      <c r="I830" s="12">
        <v>1</v>
      </c>
      <c r="J830" s="12">
        <v>0</v>
      </c>
      <c r="K830" s="12">
        <v>8</v>
      </c>
      <c r="L830" s="12">
        <f t="shared" si="181"/>
        <v>8</v>
      </c>
      <c r="M830" s="12">
        <v>1</v>
      </c>
      <c r="N830" s="12" t="s">
        <v>70</v>
      </c>
      <c r="O830" s="12">
        <v>0</v>
      </c>
      <c r="P830" s="12">
        <v>0</v>
      </c>
      <c r="Q830" s="12">
        <v>1</v>
      </c>
      <c r="R830" s="12">
        <v>0</v>
      </c>
      <c r="S830" s="12">
        <v>0</v>
      </c>
      <c r="T830" s="12">
        <v>3</v>
      </c>
      <c r="U830" s="12" t="s">
        <v>62</v>
      </c>
      <c r="V830" s="12">
        <v>0</v>
      </c>
      <c r="W830" s="12">
        <v>80</v>
      </c>
      <c r="X830" s="12">
        <v>3</v>
      </c>
      <c r="Y830" s="12">
        <v>1</v>
      </c>
      <c r="Z830" s="12" t="s">
        <v>67</v>
      </c>
      <c r="AA830" s="12">
        <v>0</v>
      </c>
      <c r="AB830" s="12">
        <v>0</v>
      </c>
      <c r="AC830" s="12">
        <v>1</v>
      </c>
      <c r="AD830" s="12">
        <v>0</v>
      </c>
      <c r="AE830" s="12">
        <v>0</v>
      </c>
      <c r="AF830" s="12">
        <v>0</v>
      </c>
      <c r="AG830" s="12">
        <v>0</v>
      </c>
      <c r="AH830" s="12">
        <v>0</v>
      </c>
      <c r="AI830" s="12">
        <v>3</v>
      </c>
      <c r="AJ830" s="12" t="s">
        <v>57</v>
      </c>
      <c r="AK830" s="12">
        <v>1</v>
      </c>
      <c r="AL830" s="12">
        <v>0</v>
      </c>
      <c r="AM830" s="12">
        <v>1904</v>
      </c>
      <c r="AN830" s="12">
        <f t="shared" si="182"/>
        <v>1904</v>
      </c>
      <c r="AO830" s="12">
        <v>1</v>
      </c>
      <c r="AP830" s="12" t="s">
        <v>59</v>
      </c>
      <c r="AQ830" s="12">
        <v>0</v>
      </c>
      <c r="AR830" s="12">
        <v>12</v>
      </c>
      <c r="AS830" s="12">
        <v>3</v>
      </c>
      <c r="AT830" s="12">
        <v>4</v>
      </c>
      <c r="AU830" s="12">
        <v>0</v>
      </c>
      <c r="AV830" s="12">
        <v>0</v>
      </c>
      <c r="AW830" s="12">
        <f t="shared" si="183"/>
        <v>1</v>
      </c>
      <c r="AX830" s="12">
        <v>0</v>
      </c>
      <c r="AY830" s="12">
        <v>3</v>
      </c>
      <c r="AZ830" s="12">
        <v>0</v>
      </c>
      <c r="BA830" s="12">
        <f t="shared" si="184"/>
        <v>0</v>
      </c>
      <c r="BB830" s="12">
        <v>0</v>
      </c>
      <c r="BC830" s="12">
        <v>0</v>
      </c>
      <c r="BD830" s="12">
        <f t="shared" si="193"/>
        <v>0</v>
      </c>
      <c r="BE830" s="12">
        <v>0</v>
      </c>
      <c r="BF830" s="12">
        <f t="shared" si="185"/>
        <v>0</v>
      </c>
      <c r="BG830" s="12">
        <f t="shared" si="194"/>
        <v>0</v>
      </c>
      <c r="BH830" s="67">
        <v>1</v>
      </c>
      <c r="BI830" s="67">
        <v>0</v>
      </c>
      <c r="BJ830" s="67">
        <v>0</v>
      </c>
      <c r="BK830" s="67">
        <v>0</v>
      </c>
      <c r="BL830" s="67">
        <v>1</v>
      </c>
      <c r="BM830" s="67">
        <v>0</v>
      </c>
      <c r="BN830" s="67">
        <v>0</v>
      </c>
      <c r="BO830" s="67">
        <v>0</v>
      </c>
      <c r="BP830" s="67">
        <v>0</v>
      </c>
      <c r="BQ830" s="67">
        <v>0</v>
      </c>
      <c r="BR830" s="67">
        <v>0</v>
      </c>
      <c r="BS830" s="67">
        <v>0</v>
      </c>
      <c r="BT830" s="67">
        <v>1</v>
      </c>
      <c r="BU830" s="70">
        <v>0</v>
      </c>
      <c r="BV830" s="29">
        <f t="shared" si="186"/>
        <v>0.9768422915494045</v>
      </c>
      <c r="BW830">
        <f t="shared" si="187"/>
        <v>1.1555414682655611</v>
      </c>
      <c r="BX830">
        <f t="shared" si="188"/>
        <v>1.4496733499450252</v>
      </c>
      <c r="BY830">
        <f t="shared" si="189"/>
        <v>1.1439050833826525</v>
      </c>
      <c r="BZ830">
        <f t="shared" si="190"/>
        <v>0.14709966057360641</v>
      </c>
      <c r="CA830">
        <f t="shared" si="191"/>
        <v>2.0714872299761637</v>
      </c>
      <c r="CB830">
        <f t="shared" si="192"/>
        <v>0.67891464284095016</v>
      </c>
    </row>
    <row r="831" spans="1:80" x14ac:dyDescent="0.45">
      <c r="A831" s="11">
        <v>33</v>
      </c>
      <c r="B831" s="12">
        <f t="shared" si="180"/>
        <v>33</v>
      </c>
      <c r="C831" s="12" t="s">
        <v>52</v>
      </c>
      <c r="D831" s="12">
        <v>1</v>
      </c>
      <c r="E831" s="12" t="s">
        <v>53</v>
      </c>
      <c r="F831" s="12">
        <v>0</v>
      </c>
      <c r="G831" s="12">
        <v>1</v>
      </c>
      <c r="H831" s="12" t="s">
        <v>54</v>
      </c>
      <c r="I831" s="12">
        <v>0</v>
      </c>
      <c r="J831" s="12">
        <v>1</v>
      </c>
      <c r="K831" s="12">
        <v>9</v>
      </c>
      <c r="L831" s="12">
        <f t="shared" si="181"/>
        <v>9</v>
      </c>
      <c r="M831" s="12">
        <v>4</v>
      </c>
      <c r="N831" s="12" t="s">
        <v>90</v>
      </c>
      <c r="O831" s="12">
        <v>0</v>
      </c>
      <c r="P831" s="12">
        <v>0</v>
      </c>
      <c r="Q831" s="12">
        <v>0</v>
      </c>
      <c r="R831" s="12">
        <v>1</v>
      </c>
      <c r="S831" s="12">
        <v>0</v>
      </c>
      <c r="T831" s="12">
        <v>1</v>
      </c>
      <c r="U831" s="12" t="s">
        <v>19</v>
      </c>
      <c r="V831" s="12">
        <v>1</v>
      </c>
      <c r="W831" s="12">
        <v>77</v>
      </c>
      <c r="X831" s="12">
        <v>3</v>
      </c>
      <c r="Y831" s="12">
        <v>2</v>
      </c>
      <c r="Z831" s="12" t="s">
        <v>56</v>
      </c>
      <c r="AA831" s="12">
        <v>0</v>
      </c>
      <c r="AB831" s="12">
        <v>1</v>
      </c>
      <c r="AC831" s="12">
        <v>0</v>
      </c>
      <c r="AD831" s="12">
        <v>0</v>
      </c>
      <c r="AE831" s="12">
        <v>0</v>
      </c>
      <c r="AF831" s="12">
        <v>0</v>
      </c>
      <c r="AG831" s="12">
        <v>0</v>
      </c>
      <c r="AH831" s="12">
        <v>0</v>
      </c>
      <c r="AI831" s="12">
        <v>1</v>
      </c>
      <c r="AJ831" s="12" t="s">
        <v>57</v>
      </c>
      <c r="AK831" s="12">
        <v>1</v>
      </c>
      <c r="AL831" s="12">
        <v>0</v>
      </c>
      <c r="AM831" s="12">
        <v>8224</v>
      </c>
      <c r="AN831" s="12">
        <f t="shared" si="182"/>
        <v>8224</v>
      </c>
      <c r="AO831" s="12">
        <v>0</v>
      </c>
      <c r="AP831" s="12" t="s">
        <v>52</v>
      </c>
      <c r="AQ831" s="12">
        <v>1</v>
      </c>
      <c r="AR831" s="12">
        <v>17</v>
      </c>
      <c r="AS831" s="12">
        <v>3</v>
      </c>
      <c r="AT831" s="12">
        <v>1</v>
      </c>
      <c r="AU831" s="12">
        <v>0</v>
      </c>
      <c r="AV831" s="12">
        <v>6</v>
      </c>
      <c r="AW831" s="12">
        <f t="shared" si="183"/>
        <v>6</v>
      </c>
      <c r="AX831" s="12">
        <v>3</v>
      </c>
      <c r="AY831" s="12">
        <v>3</v>
      </c>
      <c r="AZ831" s="12">
        <v>5</v>
      </c>
      <c r="BA831" s="12">
        <f t="shared" si="184"/>
        <v>5</v>
      </c>
      <c r="BB831" s="12">
        <v>2</v>
      </c>
      <c r="BC831" s="12">
        <v>0</v>
      </c>
      <c r="BD831" s="12">
        <f t="shared" si="193"/>
        <v>0</v>
      </c>
      <c r="BE831" s="12">
        <v>3</v>
      </c>
      <c r="BF831" s="12">
        <f t="shared" si="185"/>
        <v>3</v>
      </c>
      <c r="BG831" s="12">
        <f t="shared" si="194"/>
        <v>6</v>
      </c>
      <c r="BH831" s="67">
        <v>1</v>
      </c>
      <c r="BI831" s="67">
        <v>0</v>
      </c>
      <c r="BJ831" s="67">
        <v>0</v>
      </c>
      <c r="BK831" s="67">
        <v>0</v>
      </c>
      <c r="BL831" s="67">
        <v>0</v>
      </c>
      <c r="BM831" s="67">
        <v>1</v>
      </c>
      <c r="BN831" s="67">
        <v>0</v>
      </c>
      <c r="BO831" s="67">
        <v>0</v>
      </c>
      <c r="BP831" s="67">
        <v>0</v>
      </c>
      <c r="BQ831" s="67">
        <v>0</v>
      </c>
      <c r="BR831" s="67">
        <v>3</v>
      </c>
      <c r="BS831" s="67">
        <v>0</v>
      </c>
      <c r="BT831" s="67">
        <v>0</v>
      </c>
      <c r="BU831" s="70">
        <v>6</v>
      </c>
      <c r="BV831" s="29">
        <f t="shared" si="186"/>
        <v>0.36556595286978649</v>
      </c>
      <c r="BW831">
        <f t="shared" si="187"/>
        <v>0.31476636926356072</v>
      </c>
      <c r="BX831">
        <f t="shared" si="188"/>
        <v>0.67854260110508058</v>
      </c>
      <c r="BY831">
        <f t="shared" si="189"/>
        <v>0.32778177112653761</v>
      </c>
      <c r="BZ831">
        <f t="shared" si="190"/>
        <v>2.3747406698420157E-2</v>
      </c>
      <c r="CA831">
        <f t="shared" si="191"/>
        <v>0.42951823792158</v>
      </c>
      <c r="CB831">
        <f t="shared" si="192"/>
        <v>0.67891464284095016</v>
      </c>
    </row>
    <row r="832" spans="1:80" x14ac:dyDescent="0.45">
      <c r="A832" s="11">
        <v>41</v>
      </c>
      <c r="B832" s="12">
        <f t="shared" si="180"/>
        <v>41</v>
      </c>
      <c r="C832" s="12" t="s">
        <v>59</v>
      </c>
      <c r="D832" s="12">
        <v>0</v>
      </c>
      <c r="E832" s="12" t="s">
        <v>53</v>
      </c>
      <c r="F832" s="12">
        <v>0</v>
      </c>
      <c r="G832" s="12">
        <v>1</v>
      </c>
      <c r="H832" s="12" t="s">
        <v>61</v>
      </c>
      <c r="I832" s="12">
        <v>1</v>
      </c>
      <c r="J832" s="12">
        <v>0</v>
      </c>
      <c r="K832" s="12">
        <v>12</v>
      </c>
      <c r="L832" s="12">
        <f t="shared" si="181"/>
        <v>12</v>
      </c>
      <c r="M832" s="12">
        <v>4</v>
      </c>
      <c r="N832" s="12" t="s">
        <v>55</v>
      </c>
      <c r="O832" s="12">
        <v>1</v>
      </c>
      <c r="P832" s="12">
        <v>0</v>
      </c>
      <c r="Q832" s="12">
        <v>0</v>
      </c>
      <c r="R832" s="12">
        <v>0</v>
      </c>
      <c r="S832" s="12">
        <v>0</v>
      </c>
      <c r="T832" s="12">
        <v>2</v>
      </c>
      <c r="U832" s="12" t="s">
        <v>62</v>
      </c>
      <c r="V832" s="12">
        <v>0</v>
      </c>
      <c r="W832" s="12">
        <v>46</v>
      </c>
      <c r="X832" s="12">
        <v>3</v>
      </c>
      <c r="Y832" s="12">
        <v>1</v>
      </c>
      <c r="Z832" s="12" t="s">
        <v>67</v>
      </c>
      <c r="AA832" s="12">
        <v>0</v>
      </c>
      <c r="AB832" s="12">
        <v>0</v>
      </c>
      <c r="AC832" s="12">
        <v>1</v>
      </c>
      <c r="AD832" s="12">
        <v>0</v>
      </c>
      <c r="AE832" s="12">
        <v>0</v>
      </c>
      <c r="AF832" s="12">
        <v>0</v>
      </c>
      <c r="AG832" s="12">
        <v>0</v>
      </c>
      <c r="AH832" s="12">
        <v>0</v>
      </c>
      <c r="AI832" s="12">
        <v>4</v>
      </c>
      <c r="AJ832" s="12" t="s">
        <v>64</v>
      </c>
      <c r="AK832" s="12">
        <v>0</v>
      </c>
      <c r="AL832" s="12">
        <v>1</v>
      </c>
      <c r="AM832" s="12">
        <v>4766</v>
      </c>
      <c r="AN832" s="12">
        <f t="shared" si="182"/>
        <v>4766</v>
      </c>
      <c r="AO832" s="12">
        <v>3</v>
      </c>
      <c r="AP832" s="12" t="s">
        <v>52</v>
      </c>
      <c r="AQ832" s="12">
        <v>1</v>
      </c>
      <c r="AR832" s="12">
        <v>11</v>
      </c>
      <c r="AS832" s="12">
        <v>3</v>
      </c>
      <c r="AT832" s="12">
        <v>1</v>
      </c>
      <c r="AU832" s="12">
        <v>1</v>
      </c>
      <c r="AV832" s="12">
        <v>6</v>
      </c>
      <c r="AW832" s="12">
        <f t="shared" si="183"/>
        <v>6</v>
      </c>
      <c r="AX832" s="12">
        <v>4</v>
      </c>
      <c r="AY832" s="12">
        <v>3</v>
      </c>
      <c r="AZ832" s="12">
        <v>1</v>
      </c>
      <c r="BA832" s="12">
        <f t="shared" si="184"/>
        <v>1</v>
      </c>
      <c r="BB832" s="12">
        <v>0</v>
      </c>
      <c r="BC832" s="12">
        <v>0</v>
      </c>
      <c r="BD832" s="12">
        <f t="shared" si="193"/>
        <v>0</v>
      </c>
      <c r="BE832" s="12">
        <v>0</v>
      </c>
      <c r="BF832" s="12">
        <f t="shared" si="185"/>
        <v>0</v>
      </c>
      <c r="BG832" s="12">
        <f t="shared" si="194"/>
        <v>0</v>
      </c>
      <c r="BH832" s="67">
        <v>0</v>
      </c>
      <c r="BI832" s="67">
        <v>1</v>
      </c>
      <c r="BJ832" s="67">
        <v>0</v>
      </c>
      <c r="BK832" s="67">
        <v>0</v>
      </c>
      <c r="BL832" s="67">
        <v>0</v>
      </c>
      <c r="BM832" s="67">
        <v>0</v>
      </c>
      <c r="BN832" s="67">
        <v>0</v>
      </c>
      <c r="BO832" s="67">
        <v>1</v>
      </c>
      <c r="BP832" s="67">
        <v>0</v>
      </c>
      <c r="BQ832" s="67">
        <v>0</v>
      </c>
      <c r="BR832" s="67">
        <v>0</v>
      </c>
      <c r="BS832" s="67">
        <v>0</v>
      </c>
      <c r="BT832" s="67">
        <v>6</v>
      </c>
      <c r="BU832" s="70">
        <v>0</v>
      </c>
      <c r="BV832" s="29">
        <f t="shared" si="186"/>
        <v>0.36893526694058726</v>
      </c>
      <c r="BW832">
        <f t="shared" si="187"/>
        <v>1.1555414682655611</v>
      </c>
      <c r="BX832">
        <f t="shared" si="188"/>
        <v>0.67854260110508058</v>
      </c>
      <c r="BY832">
        <f t="shared" si="189"/>
        <v>0.9806804209314296</v>
      </c>
      <c r="BZ832">
        <f t="shared" si="190"/>
        <v>0.3463093549271386</v>
      </c>
      <c r="CA832">
        <f t="shared" si="191"/>
        <v>0.4461985578408646</v>
      </c>
      <c r="CB832">
        <f t="shared" si="192"/>
        <v>0.67891464284095016</v>
      </c>
    </row>
    <row r="833" spans="1:80" x14ac:dyDescent="0.45">
      <c r="A833" s="11">
        <v>31</v>
      </c>
      <c r="B833" s="12">
        <f t="shared" si="180"/>
        <v>31</v>
      </c>
      <c r="C833" s="12" t="s">
        <v>52</v>
      </c>
      <c r="D833" s="12">
        <v>1</v>
      </c>
      <c r="E833" s="12" t="s">
        <v>60</v>
      </c>
      <c r="F833" s="12">
        <v>1</v>
      </c>
      <c r="G833" s="12">
        <v>0</v>
      </c>
      <c r="H833" s="12" t="s">
        <v>61</v>
      </c>
      <c r="I833" s="12">
        <v>1</v>
      </c>
      <c r="J833" s="12">
        <v>0</v>
      </c>
      <c r="K833" s="12">
        <v>15</v>
      </c>
      <c r="L833" s="12">
        <f t="shared" si="181"/>
        <v>15</v>
      </c>
      <c r="M833" s="12">
        <v>3</v>
      </c>
      <c r="N833" s="12" t="s">
        <v>70</v>
      </c>
      <c r="O833" s="12">
        <v>0</v>
      </c>
      <c r="P833" s="12">
        <v>0</v>
      </c>
      <c r="Q833" s="12">
        <v>1</v>
      </c>
      <c r="R833" s="12">
        <v>0</v>
      </c>
      <c r="S833" s="12">
        <v>0</v>
      </c>
      <c r="T833" s="12">
        <v>3</v>
      </c>
      <c r="U833" s="12" t="s">
        <v>62</v>
      </c>
      <c r="V833" s="12">
        <v>0</v>
      </c>
      <c r="W833" s="12">
        <v>72</v>
      </c>
      <c r="X833" s="12">
        <v>3</v>
      </c>
      <c r="Y833" s="12">
        <v>1</v>
      </c>
      <c r="Z833" s="12" t="s">
        <v>67</v>
      </c>
      <c r="AA833" s="12">
        <v>0</v>
      </c>
      <c r="AB833" s="12">
        <v>0</v>
      </c>
      <c r="AC833" s="12">
        <v>1</v>
      </c>
      <c r="AD833" s="12">
        <v>0</v>
      </c>
      <c r="AE833" s="12">
        <v>0</v>
      </c>
      <c r="AF833" s="12">
        <v>0</v>
      </c>
      <c r="AG833" s="12">
        <v>0</v>
      </c>
      <c r="AH833" s="12">
        <v>0</v>
      </c>
      <c r="AI833" s="12">
        <v>3</v>
      </c>
      <c r="AJ833" s="12" t="s">
        <v>64</v>
      </c>
      <c r="AK833" s="12">
        <v>0</v>
      </c>
      <c r="AL833" s="12">
        <v>1</v>
      </c>
      <c r="AM833" s="12">
        <v>2610</v>
      </c>
      <c r="AN833" s="12">
        <f t="shared" si="182"/>
        <v>2610</v>
      </c>
      <c r="AO833" s="12">
        <v>1</v>
      </c>
      <c r="AP833" s="12" t="s">
        <v>59</v>
      </c>
      <c r="AQ833" s="12">
        <v>0</v>
      </c>
      <c r="AR833" s="12">
        <v>12</v>
      </c>
      <c r="AS833" s="12">
        <v>3</v>
      </c>
      <c r="AT833" s="12">
        <v>3</v>
      </c>
      <c r="AU833" s="12">
        <v>1</v>
      </c>
      <c r="AV833" s="12">
        <v>2</v>
      </c>
      <c r="AW833" s="12">
        <f t="shared" si="183"/>
        <v>2</v>
      </c>
      <c r="AX833" s="12">
        <v>5</v>
      </c>
      <c r="AY833" s="12">
        <v>2</v>
      </c>
      <c r="AZ833" s="12">
        <v>2</v>
      </c>
      <c r="BA833" s="12">
        <f t="shared" si="184"/>
        <v>2</v>
      </c>
      <c r="BB833" s="12">
        <v>2</v>
      </c>
      <c r="BC833" s="12">
        <v>2</v>
      </c>
      <c r="BD833" s="12">
        <f t="shared" si="193"/>
        <v>2</v>
      </c>
      <c r="BE833" s="12">
        <v>2</v>
      </c>
      <c r="BF833" s="12">
        <f t="shared" si="185"/>
        <v>2</v>
      </c>
      <c r="BG833" s="12">
        <f t="shared" si="194"/>
        <v>2</v>
      </c>
      <c r="BH833" s="67">
        <v>0</v>
      </c>
      <c r="BI833" s="67">
        <v>0</v>
      </c>
      <c r="BJ833" s="67">
        <v>0</v>
      </c>
      <c r="BK833" s="67">
        <v>1</v>
      </c>
      <c r="BL833" s="67">
        <v>0</v>
      </c>
      <c r="BM833" s="67">
        <v>0</v>
      </c>
      <c r="BN833" s="67">
        <v>1</v>
      </c>
      <c r="BO833" s="67">
        <v>0</v>
      </c>
      <c r="BP833" s="67">
        <v>0</v>
      </c>
      <c r="BQ833" s="67">
        <v>2</v>
      </c>
      <c r="BR833" s="67">
        <v>0</v>
      </c>
      <c r="BS833" s="67">
        <v>0</v>
      </c>
      <c r="BT833" s="67">
        <v>2</v>
      </c>
      <c r="BU833" s="70">
        <v>0</v>
      </c>
      <c r="BV833" s="29">
        <f t="shared" si="186"/>
        <v>0.82688339589118476</v>
      </c>
      <c r="BW833">
        <f t="shared" si="187"/>
        <v>0.59502473559756086</v>
      </c>
      <c r="BX833">
        <f t="shared" si="188"/>
        <v>1.192629766998377</v>
      </c>
      <c r="BY833">
        <f t="shared" si="189"/>
        <v>0.81745575848020657</v>
      </c>
      <c r="BZ833">
        <f t="shared" si="190"/>
        <v>0.71636611655269733</v>
      </c>
      <c r="CA833">
        <f t="shared" si="191"/>
        <v>0.6484474368621912</v>
      </c>
      <c r="CB833">
        <f t="shared" si="192"/>
        <v>5.8265062631872602E-2</v>
      </c>
    </row>
    <row r="834" spans="1:80" x14ac:dyDescent="0.45">
      <c r="A834" s="11">
        <v>37</v>
      </c>
      <c r="B834" s="12">
        <f t="shared" ref="B834:B897" si="195">IF(A834&gt;$CD$29,$CD$29,IF(A834&lt;$CD$30,$CD$30,A834))</f>
        <v>37</v>
      </c>
      <c r="C834" s="12" t="s">
        <v>59</v>
      </c>
      <c r="D834" s="12">
        <v>0</v>
      </c>
      <c r="E834" s="12" t="s">
        <v>53</v>
      </c>
      <c r="F834" s="12">
        <v>0</v>
      </c>
      <c r="G834" s="12">
        <v>1</v>
      </c>
      <c r="H834" s="12" t="s">
        <v>61</v>
      </c>
      <c r="I834" s="12">
        <v>1</v>
      </c>
      <c r="J834" s="12">
        <v>0</v>
      </c>
      <c r="K834" s="12">
        <v>25</v>
      </c>
      <c r="L834" s="12">
        <f t="shared" ref="L834:L897" si="196">IF(K834&gt;$CD$25,$CD$25,IF(K834&lt;$CD$26,$CD$26,K834))</f>
        <v>25</v>
      </c>
      <c r="M834" s="12">
        <v>2</v>
      </c>
      <c r="N834" s="12" t="s">
        <v>70</v>
      </c>
      <c r="O834" s="12">
        <v>0</v>
      </c>
      <c r="P834" s="12">
        <v>0</v>
      </c>
      <c r="Q834" s="12">
        <v>1</v>
      </c>
      <c r="R834" s="12">
        <v>0</v>
      </c>
      <c r="S834" s="12">
        <v>0</v>
      </c>
      <c r="T834" s="12">
        <v>3</v>
      </c>
      <c r="U834" s="12" t="s">
        <v>19</v>
      </c>
      <c r="V834" s="12">
        <v>1</v>
      </c>
      <c r="W834" s="12">
        <v>52</v>
      </c>
      <c r="X834" s="12">
        <v>2</v>
      </c>
      <c r="Y834" s="12">
        <v>2</v>
      </c>
      <c r="Z834" s="12" t="s">
        <v>85</v>
      </c>
      <c r="AA834" s="12">
        <v>1</v>
      </c>
      <c r="AB834" s="12">
        <v>0</v>
      </c>
      <c r="AC834" s="12">
        <v>0</v>
      </c>
      <c r="AD834" s="12">
        <v>0</v>
      </c>
      <c r="AE834" s="12">
        <v>0</v>
      </c>
      <c r="AF834" s="12">
        <v>0</v>
      </c>
      <c r="AG834" s="12">
        <v>0</v>
      </c>
      <c r="AH834" s="12">
        <v>0</v>
      </c>
      <c r="AI834" s="12">
        <v>4</v>
      </c>
      <c r="AJ834" s="12" t="s">
        <v>78</v>
      </c>
      <c r="AK834" s="12">
        <v>0</v>
      </c>
      <c r="AL834" s="12">
        <v>0</v>
      </c>
      <c r="AM834" s="12">
        <v>5731</v>
      </c>
      <c r="AN834" s="12">
        <f t="shared" ref="AN834:AN897" si="197">IF(AM834&gt;$CD$8,$CD$8,IF(AM834&lt;$CD$9,$CD$9,AM834))</f>
        <v>5731</v>
      </c>
      <c r="AO834" s="12">
        <v>7</v>
      </c>
      <c r="AP834" s="12" t="s">
        <v>59</v>
      </c>
      <c r="AQ834" s="12">
        <v>0</v>
      </c>
      <c r="AR834" s="12">
        <v>13</v>
      </c>
      <c r="AS834" s="12">
        <v>3</v>
      </c>
      <c r="AT834" s="12">
        <v>3</v>
      </c>
      <c r="AU834" s="12">
        <v>2</v>
      </c>
      <c r="AV834" s="12">
        <v>9</v>
      </c>
      <c r="AW834" s="12">
        <f t="shared" ref="AW834:AW897" si="198">IF(AV834&gt;$CD$17,$CD$17,IF(AV834&lt;$CD$18,$CD$18,AV834))</f>
        <v>9</v>
      </c>
      <c r="AX834" s="12">
        <v>2</v>
      </c>
      <c r="AY834" s="12">
        <v>3</v>
      </c>
      <c r="AZ834" s="12">
        <v>6</v>
      </c>
      <c r="BA834" s="12">
        <f t="shared" ref="BA834:BA897" si="199">IF(AZ834&gt; $CD$21,$CD$21,IF(AZ834&lt;$CD$22,$CD$22,AZ834))</f>
        <v>6</v>
      </c>
      <c r="BB834" s="12">
        <v>2</v>
      </c>
      <c r="BC834" s="12">
        <v>1</v>
      </c>
      <c r="BD834" s="12">
        <f t="shared" si="193"/>
        <v>1</v>
      </c>
      <c r="BE834" s="12">
        <v>3</v>
      </c>
      <c r="BF834" s="12">
        <f t="shared" ref="BF834:BF897" si="200">IF(BE834&gt;$CD$12,$CD$12,IF(BE834&lt;$CD$13,$CD$13,BE834))</f>
        <v>3</v>
      </c>
      <c r="BG834" s="12">
        <f t="shared" si="194"/>
        <v>6</v>
      </c>
      <c r="BH834" s="67">
        <v>1</v>
      </c>
      <c r="BI834" s="67">
        <v>0</v>
      </c>
      <c r="BJ834" s="67">
        <v>0</v>
      </c>
      <c r="BK834" s="67">
        <v>0</v>
      </c>
      <c r="BL834" s="67">
        <v>1</v>
      </c>
      <c r="BM834" s="67">
        <v>0</v>
      </c>
      <c r="BN834" s="67">
        <v>0</v>
      </c>
      <c r="BO834" s="67">
        <v>0</v>
      </c>
      <c r="BP834" s="67">
        <v>0</v>
      </c>
      <c r="BQ834" s="67">
        <v>3</v>
      </c>
      <c r="BR834" s="67">
        <v>0</v>
      </c>
      <c r="BS834" s="67">
        <v>0</v>
      </c>
      <c r="BT834" s="67">
        <v>9</v>
      </c>
      <c r="BU834" s="70">
        <v>0</v>
      </c>
      <c r="BV834" s="29">
        <f t="shared" ref="BV834:BV897" si="201">ABS((AM834-AVERAGE(AM:AM))/_xlfn.STDEV.S(AM:AM))</f>
        <v>0.16396312202531524</v>
      </c>
      <c r="BW834">
        <f t="shared" ref="BW834:BW897" si="202">ABS((BE834-AVERAGE(BE:BE))/_xlfn.STDEV.S(BE:BE))</f>
        <v>0.31476636926356072</v>
      </c>
      <c r="BX834">
        <f t="shared" ref="BX834:BX897" si="203">ABS((AV834-AVERAGE(AV:AV))/_xlfn.STDEV.S(AV:AV))</f>
        <v>0.29297722668510823</v>
      </c>
      <c r="BY834">
        <f t="shared" ref="BY834:BY897" si="204">ABS((AZ834-AVERAGE(AZ:AZ))/_xlfn.STDEV.S(AZ:AZ))</f>
        <v>0.16455710867531462</v>
      </c>
      <c r="BZ834">
        <f t="shared" ref="BZ834:BZ897" si="205">ABS((K834-AVERAGE(K:K))/_xlfn.STDEV.S(K:K))</f>
        <v>1.9498886553045598</v>
      </c>
      <c r="CA834">
        <f t="shared" ref="CA834:CA897" si="206">ABS((A834-AVERAGE(A:A))/_xlfn.STDEV.S(A:A))</f>
        <v>8.3401599596422994E-3</v>
      </c>
      <c r="CB834">
        <f t="shared" ref="CB834:CB897" si="207">ABS((BC834-AVERAGE(BC:BC))/_xlfn.STDEV.S(BC:BC))</f>
        <v>0.36858985273641137</v>
      </c>
    </row>
    <row r="835" spans="1:80" x14ac:dyDescent="0.45">
      <c r="A835" s="11">
        <v>27</v>
      </c>
      <c r="B835" s="12">
        <f t="shared" si="195"/>
        <v>27</v>
      </c>
      <c r="C835" s="12" t="s">
        <v>59</v>
      </c>
      <c r="D835" s="12">
        <v>0</v>
      </c>
      <c r="E835" s="12" t="s">
        <v>53</v>
      </c>
      <c r="F835" s="12">
        <v>0</v>
      </c>
      <c r="G835" s="12">
        <v>1</v>
      </c>
      <c r="H835" s="12" t="s">
        <v>61</v>
      </c>
      <c r="I835" s="12">
        <v>1</v>
      </c>
      <c r="J835" s="12">
        <v>0</v>
      </c>
      <c r="K835" s="12">
        <v>6</v>
      </c>
      <c r="L835" s="12">
        <f t="shared" si="196"/>
        <v>6</v>
      </c>
      <c r="M835" s="12">
        <v>3</v>
      </c>
      <c r="N835" s="12" t="s">
        <v>55</v>
      </c>
      <c r="O835" s="12">
        <v>1</v>
      </c>
      <c r="P835" s="12">
        <v>0</v>
      </c>
      <c r="Q835" s="12">
        <v>0</v>
      </c>
      <c r="R835" s="12">
        <v>0</v>
      </c>
      <c r="S835" s="12">
        <v>0</v>
      </c>
      <c r="T835" s="12">
        <v>4</v>
      </c>
      <c r="U835" s="12" t="s">
        <v>62</v>
      </c>
      <c r="V835" s="12">
        <v>0</v>
      </c>
      <c r="W835" s="12">
        <v>55</v>
      </c>
      <c r="X835" s="12">
        <v>2</v>
      </c>
      <c r="Y835" s="12">
        <v>1</v>
      </c>
      <c r="Z835" s="12" t="s">
        <v>63</v>
      </c>
      <c r="AA835" s="12">
        <v>0</v>
      </c>
      <c r="AB835" s="12">
        <v>0</v>
      </c>
      <c r="AC835" s="12">
        <v>0</v>
      </c>
      <c r="AD835" s="12">
        <v>0</v>
      </c>
      <c r="AE835" s="12">
        <v>0</v>
      </c>
      <c r="AF835" s="12">
        <v>0</v>
      </c>
      <c r="AG835" s="12">
        <v>0</v>
      </c>
      <c r="AH835" s="12">
        <v>1</v>
      </c>
      <c r="AI835" s="12">
        <v>3</v>
      </c>
      <c r="AJ835" s="12" t="s">
        <v>64</v>
      </c>
      <c r="AK835" s="12">
        <v>0</v>
      </c>
      <c r="AL835" s="12">
        <v>1</v>
      </c>
      <c r="AM835" s="12">
        <v>2539</v>
      </c>
      <c r="AN835" s="12">
        <f t="shared" si="197"/>
        <v>2539</v>
      </c>
      <c r="AO835" s="12">
        <v>1</v>
      </c>
      <c r="AP835" s="12" t="s">
        <v>59</v>
      </c>
      <c r="AQ835" s="12">
        <v>0</v>
      </c>
      <c r="AR835" s="12">
        <v>13</v>
      </c>
      <c r="AS835" s="12">
        <v>3</v>
      </c>
      <c r="AT835" s="12">
        <v>3</v>
      </c>
      <c r="AU835" s="12">
        <v>1</v>
      </c>
      <c r="AV835" s="12">
        <v>4</v>
      </c>
      <c r="AW835" s="12">
        <f t="shared" si="198"/>
        <v>4</v>
      </c>
      <c r="AX835" s="12">
        <v>0</v>
      </c>
      <c r="AY835" s="12">
        <v>3</v>
      </c>
      <c r="AZ835" s="12">
        <v>4</v>
      </c>
      <c r="BA835" s="12">
        <f t="shared" si="199"/>
        <v>4</v>
      </c>
      <c r="BB835" s="12">
        <v>2</v>
      </c>
      <c r="BC835" s="12">
        <v>2</v>
      </c>
      <c r="BD835" s="12">
        <f t="shared" ref="BD835:BD898" si="208">IF(BC835&gt;$CD$33,$CD$33,BC835)</f>
        <v>2</v>
      </c>
      <c r="BE835" s="12">
        <v>2</v>
      </c>
      <c r="BF835" s="12">
        <f t="shared" si="200"/>
        <v>2</v>
      </c>
      <c r="BG835" s="12">
        <f t="shared" ref="BG835:BG898" si="209">BF835*Y835</f>
        <v>2</v>
      </c>
      <c r="BH835" s="67">
        <v>0</v>
      </c>
      <c r="BI835" s="67">
        <v>1</v>
      </c>
      <c r="BJ835" s="67">
        <v>0</v>
      </c>
      <c r="BK835" s="67">
        <v>0</v>
      </c>
      <c r="BL835" s="67">
        <v>0</v>
      </c>
      <c r="BM835" s="67">
        <v>0</v>
      </c>
      <c r="BN835" s="67">
        <v>1</v>
      </c>
      <c r="BO835" s="67">
        <v>0</v>
      </c>
      <c r="BP835" s="67">
        <v>0</v>
      </c>
      <c r="BQ835" s="67">
        <v>2</v>
      </c>
      <c r="BR835" s="67">
        <v>0</v>
      </c>
      <c r="BS835" s="67">
        <v>0</v>
      </c>
      <c r="BT835" s="67">
        <v>4</v>
      </c>
      <c r="BU835" s="70">
        <v>0</v>
      </c>
      <c r="BV835" s="29">
        <f t="shared" si="201"/>
        <v>0.84196424800412184</v>
      </c>
      <c r="BW835">
        <f t="shared" si="202"/>
        <v>0.59502473559756086</v>
      </c>
      <c r="BX835">
        <f t="shared" si="203"/>
        <v>0.93558618405172878</v>
      </c>
      <c r="BY835">
        <f t="shared" si="204"/>
        <v>0.49100643357776058</v>
      </c>
      <c r="BZ835">
        <f t="shared" si="205"/>
        <v>0.39380416832397891</v>
      </c>
      <c r="CA835">
        <f t="shared" si="206"/>
        <v>1.0863058347434136</v>
      </c>
      <c r="CB835">
        <f t="shared" si="207"/>
        <v>5.8265062631872602E-2</v>
      </c>
    </row>
    <row r="836" spans="1:80" x14ac:dyDescent="0.45">
      <c r="A836" s="11">
        <v>34</v>
      </c>
      <c r="B836" s="12">
        <f t="shared" si="195"/>
        <v>34</v>
      </c>
      <c r="C836" s="12" t="s">
        <v>59</v>
      </c>
      <c r="D836" s="12">
        <v>0</v>
      </c>
      <c r="E836" s="12" t="s">
        <v>53</v>
      </c>
      <c r="F836" s="12">
        <v>0</v>
      </c>
      <c r="G836" s="12">
        <v>1</v>
      </c>
      <c r="H836" s="12" t="s">
        <v>54</v>
      </c>
      <c r="I836" s="12">
        <v>0</v>
      </c>
      <c r="J836" s="12">
        <v>1</v>
      </c>
      <c r="K836" s="12">
        <v>9</v>
      </c>
      <c r="L836" s="12">
        <f t="shared" si="196"/>
        <v>9</v>
      </c>
      <c r="M836" s="12">
        <v>1</v>
      </c>
      <c r="N836" s="12" t="s">
        <v>55</v>
      </c>
      <c r="O836" s="12">
        <v>1</v>
      </c>
      <c r="P836" s="12">
        <v>0</v>
      </c>
      <c r="Q836" s="12">
        <v>0</v>
      </c>
      <c r="R836" s="12">
        <v>0</v>
      </c>
      <c r="S836" s="12">
        <v>0</v>
      </c>
      <c r="T836" s="12">
        <v>2</v>
      </c>
      <c r="U836" s="12" t="s">
        <v>19</v>
      </c>
      <c r="V836" s="12">
        <v>1</v>
      </c>
      <c r="W836" s="12">
        <v>70</v>
      </c>
      <c r="X836" s="12">
        <v>3</v>
      </c>
      <c r="Y836" s="12">
        <v>2</v>
      </c>
      <c r="Z836" s="12" t="s">
        <v>56</v>
      </c>
      <c r="AA836" s="12">
        <v>0</v>
      </c>
      <c r="AB836" s="12">
        <v>1</v>
      </c>
      <c r="AC836" s="12">
        <v>0</v>
      </c>
      <c r="AD836" s="12">
        <v>0</v>
      </c>
      <c r="AE836" s="12">
        <v>0</v>
      </c>
      <c r="AF836" s="12">
        <v>0</v>
      </c>
      <c r="AG836" s="12">
        <v>0</v>
      </c>
      <c r="AH836" s="12">
        <v>0</v>
      </c>
      <c r="AI836" s="12">
        <v>3</v>
      </c>
      <c r="AJ836" s="12" t="s">
        <v>64</v>
      </c>
      <c r="AK836" s="12">
        <v>0</v>
      </c>
      <c r="AL836" s="12">
        <v>1</v>
      </c>
      <c r="AM836" s="12">
        <v>5714</v>
      </c>
      <c r="AN836" s="12">
        <f t="shared" si="197"/>
        <v>5714</v>
      </c>
      <c r="AO836" s="12">
        <v>1</v>
      </c>
      <c r="AP836" s="12" t="s">
        <v>59</v>
      </c>
      <c r="AQ836" s="12">
        <v>0</v>
      </c>
      <c r="AR836" s="12">
        <v>20</v>
      </c>
      <c r="AS836" s="12">
        <v>4</v>
      </c>
      <c r="AT836" s="12">
        <v>1</v>
      </c>
      <c r="AU836" s="12">
        <v>0</v>
      </c>
      <c r="AV836" s="12">
        <v>6</v>
      </c>
      <c r="AW836" s="12">
        <f t="shared" si="198"/>
        <v>6</v>
      </c>
      <c r="AX836" s="12">
        <v>3</v>
      </c>
      <c r="AY836" s="12">
        <v>2</v>
      </c>
      <c r="AZ836" s="12">
        <v>6</v>
      </c>
      <c r="BA836" s="12">
        <f t="shared" si="199"/>
        <v>6</v>
      </c>
      <c r="BB836" s="12">
        <v>5</v>
      </c>
      <c r="BC836" s="12">
        <v>1</v>
      </c>
      <c r="BD836" s="12">
        <f t="shared" si="208"/>
        <v>1</v>
      </c>
      <c r="BE836" s="12">
        <v>3</v>
      </c>
      <c r="BF836" s="12">
        <f t="shared" si="200"/>
        <v>3</v>
      </c>
      <c r="BG836" s="12">
        <f t="shared" si="209"/>
        <v>6</v>
      </c>
      <c r="BH836" s="67">
        <v>0</v>
      </c>
      <c r="BI836" s="67">
        <v>1</v>
      </c>
      <c r="BJ836" s="67">
        <v>0</v>
      </c>
      <c r="BK836" s="67">
        <v>0</v>
      </c>
      <c r="BL836" s="67">
        <v>0</v>
      </c>
      <c r="BM836" s="67">
        <v>0</v>
      </c>
      <c r="BN836" s="67">
        <v>1</v>
      </c>
      <c r="BO836" s="67">
        <v>0</v>
      </c>
      <c r="BP836" s="67">
        <v>0</v>
      </c>
      <c r="BQ836" s="67">
        <v>0</v>
      </c>
      <c r="BR836" s="67">
        <v>3</v>
      </c>
      <c r="BS836" s="67">
        <v>0</v>
      </c>
      <c r="BT836" s="67">
        <v>0</v>
      </c>
      <c r="BU836" s="70">
        <v>6</v>
      </c>
      <c r="BV836" s="29">
        <f t="shared" si="201"/>
        <v>0.16757403027770865</v>
      </c>
      <c r="BW836">
        <f t="shared" si="202"/>
        <v>0.31476636926356072</v>
      </c>
      <c r="BX836">
        <f t="shared" si="203"/>
        <v>0.67854260110508058</v>
      </c>
      <c r="BY836">
        <f t="shared" si="204"/>
        <v>0.16455710867531462</v>
      </c>
      <c r="BZ836">
        <f t="shared" si="205"/>
        <v>2.3747406698420157E-2</v>
      </c>
      <c r="CA836">
        <f t="shared" si="206"/>
        <v>0.32005363845127444</v>
      </c>
      <c r="CB836">
        <f t="shared" si="207"/>
        <v>0.36858985273641137</v>
      </c>
    </row>
    <row r="837" spans="1:80" x14ac:dyDescent="0.45">
      <c r="A837" s="11">
        <v>35</v>
      </c>
      <c r="B837" s="12">
        <f t="shared" si="195"/>
        <v>35</v>
      </c>
      <c r="C837" s="12" t="s">
        <v>59</v>
      </c>
      <c r="D837" s="12">
        <v>0</v>
      </c>
      <c r="E837" s="12" t="s">
        <v>53</v>
      </c>
      <c r="F837" s="12">
        <v>0</v>
      </c>
      <c r="G837" s="12">
        <v>1</v>
      </c>
      <c r="H837" s="12" t="s">
        <v>97</v>
      </c>
      <c r="I837" s="12">
        <v>0</v>
      </c>
      <c r="J837" s="12">
        <v>0</v>
      </c>
      <c r="K837" s="12">
        <v>8</v>
      </c>
      <c r="L837" s="12">
        <f t="shared" si="196"/>
        <v>8</v>
      </c>
      <c r="M837" s="12">
        <v>4</v>
      </c>
      <c r="N837" s="12" t="s">
        <v>91</v>
      </c>
      <c r="O837" s="12">
        <v>0</v>
      </c>
      <c r="P837" s="12">
        <v>0</v>
      </c>
      <c r="Q837" s="12">
        <v>0</v>
      </c>
      <c r="R837" s="12">
        <v>0</v>
      </c>
      <c r="S837" s="12">
        <v>1</v>
      </c>
      <c r="T837" s="12">
        <v>3</v>
      </c>
      <c r="U837" s="12" t="s">
        <v>62</v>
      </c>
      <c r="V837" s="12">
        <v>0</v>
      </c>
      <c r="W837" s="12">
        <v>100</v>
      </c>
      <c r="X837" s="12">
        <v>3</v>
      </c>
      <c r="Y837" s="12">
        <v>1</v>
      </c>
      <c r="Z837" s="12" t="s">
        <v>97</v>
      </c>
      <c r="AA837" s="12">
        <v>0</v>
      </c>
      <c r="AB837" s="12">
        <v>0</v>
      </c>
      <c r="AC837" s="12">
        <v>0</v>
      </c>
      <c r="AD837" s="12">
        <v>0</v>
      </c>
      <c r="AE837" s="12">
        <v>0</v>
      </c>
      <c r="AF837" s="12">
        <v>0</v>
      </c>
      <c r="AG837" s="12">
        <v>0</v>
      </c>
      <c r="AH837" s="12">
        <v>0</v>
      </c>
      <c r="AI837" s="12">
        <v>3</v>
      </c>
      <c r="AJ837" s="12" t="s">
        <v>57</v>
      </c>
      <c r="AK837" s="12">
        <v>1</v>
      </c>
      <c r="AL837" s="12">
        <v>0</v>
      </c>
      <c r="AM837" s="12">
        <v>4323</v>
      </c>
      <c r="AN837" s="12">
        <f t="shared" si="197"/>
        <v>4323</v>
      </c>
      <c r="AO837" s="12">
        <v>1</v>
      </c>
      <c r="AP837" s="12" t="s">
        <v>59</v>
      </c>
      <c r="AQ837" s="12">
        <v>0</v>
      </c>
      <c r="AR837" s="12">
        <v>17</v>
      </c>
      <c r="AS837" s="12">
        <v>3</v>
      </c>
      <c r="AT837" s="12">
        <v>2</v>
      </c>
      <c r="AU837" s="12">
        <v>0</v>
      </c>
      <c r="AV837" s="12">
        <v>6</v>
      </c>
      <c r="AW837" s="12">
        <f t="shared" si="198"/>
        <v>6</v>
      </c>
      <c r="AX837" s="12">
        <v>2</v>
      </c>
      <c r="AY837" s="12">
        <v>1</v>
      </c>
      <c r="AZ837" s="12">
        <v>5</v>
      </c>
      <c r="BA837" s="12">
        <f t="shared" si="199"/>
        <v>5</v>
      </c>
      <c r="BB837" s="12">
        <v>4</v>
      </c>
      <c r="BC837" s="12">
        <v>1</v>
      </c>
      <c r="BD837" s="12">
        <f t="shared" si="208"/>
        <v>1</v>
      </c>
      <c r="BE837" s="12">
        <v>4</v>
      </c>
      <c r="BF837" s="12">
        <f t="shared" si="200"/>
        <v>4</v>
      </c>
      <c r="BG837" s="12">
        <f t="shared" si="209"/>
        <v>4</v>
      </c>
      <c r="BH837" s="67">
        <v>1</v>
      </c>
      <c r="BI837" s="67">
        <v>0</v>
      </c>
      <c r="BJ837" s="67">
        <v>0</v>
      </c>
      <c r="BK837" s="67">
        <v>0</v>
      </c>
      <c r="BL837" s="67">
        <v>1</v>
      </c>
      <c r="BM837" s="67">
        <v>0</v>
      </c>
      <c r="BN837" s="67">
        <v>0</v>
      </c>
      <c r="BO837" s="67">
        <v>0</v>
      </c>
      <c r="BP837" s="67">
        <v>4</v>
      </c>
      <c r="BQ837" s="67">
        <v>0</v>
      </c>
      <c r="BR837" s="67">
        <v>0</v>
      </c>
      <c r="BS837" s="67">
        <v>6</v>
      </c>
      <c r="BT837" s="67">
        <v>0</v>
      </c>
      <c r="BU837" s="70">
        <v>0</v>
      </c>
      <c r="BV837" s="29">
        <f t="shared" si="201"/>
        <v>0.46303128787060338</v>
      </c>
      <c r="BW837">
        <f t="shared" si="202"/>
        <v>3.4508002929560584E-2</v>
      </c>
      <c r="BX837">
        <f t="shared" si="203"/>
        <v>0.67854260110508058</v>
      </c>
      <c r="BY837">
        <f t="shared" si="204"/>
        <v>0.32778177112653761</v>
      </c>
      <c r="BZ837">
        <f t="shared" si="205"/>
        <v>0.14709966057360641</v>
      </c>
      <c r="CA837">
        <f t="shared" si="206"/>
        <v>0.21058903898096887</v>
      </c>
      <c r="CB837">
        <f t="shared" si="207"/>
        <v>0.36858985273641137</v>
      </c>
    </row>
    <row r="838" spans="1:80" x14ac:dyDescent="0.45">
      <c r="A838" s="11">
        <v>29</v>
      </c>
      <c r="B838" s="12">
        <f t="shared" si="195"/>
        <v>29</v>
      </c>
      <c r="C838" s="12" t="s">
        <v>52</v>
      </c>
      <c r="D838" s="12">
        <v>1</v>
      </c>
      <c r="E838" s="12" t="s">
        <v>53</v>
      </c>
      <c r="F838" s="12">
        <v>0</v>
      </c>
      <c r="G838" s="12">
        <v>1</v>
      </c>
      <c r="H838" s="12" t="s">
        <v>54</v>
      </c>
      <c r="I838" s="12">
        <v>0</v>
      </c>
      <c r="J838" s="12">
        <v>1</v>
      </c>
      <c r="K838" s="12">
        <v>23</v>
      </c>
      <c r="L838" s="12">
        <f t="shared" si="196"/>
        <v>23</v>
      </c>
      <c r="M838" s="12">
        <v>1</v>
      </c>
      <c r="N838" s="12" t="s">
        <v>55</v>
      </c>
      <c r="O838" s="12">
        <v>1</v>
      </c>
      <c r="P838" s="12">
        <v>0</v>
      </c>
      <c r="Q838" s="12">
        <v>0</v>
      </c>
      <c r="R838" s="12">
        <v>0</v>
      </c>
      <c r="S838" s="12">
        <v>0</v>
      </c>
      <c r="T838" s="12">
        <v>4</v>
      </c>
      <c r="U838" s="12" t="s">
        <v>19</v>
      </c>
      <c r="V838" s="12">
        <v>1</v>
      </c>
      <c r="W838" s="12">
        <v>45</v>
      </c>
      <c r="X838" s="12">
        <v>2</v>
      </c>
      <c r="Y838" s="12">
        <v>3</v>
      </c>
      <c r="Z838" s="12" t="s">
        <v>56</v>
      </c>
      <c r="AA838" s="12">
        <v>0</v>
      </c>
      <c r="AB838" s="12">
        <v>1</v>
      </c>
      <c r="AC838" s="12">
        <v>0</v>
      </c>
      <c r="AD838" s="12">
        <v>0</v>
      </c>
      <c r="AE838" s="12">
        <v>0</v>
      </c>
      <c r="AF838" s="12">
        <v>0</v>
      </c>
      <c r="AG838" s="12">
        <v>0</v>
      </c>
      <c r="AH838" s="12">
        <v>0</v>
      </c>
      <c r="AI838" s="12">
        <v>1</v>
      </c>
      <c r="AJ838" s="12" t="s">
        <v>64</v>
      </c>
      <c r="AK838" s="12">
        <v>0</v>
      </c>
      <c r="AL838" s="12">
        <v>1</v>
      </c>
      <c r="AM838" s="12">
        <v>7336</v>
      </c>
      <c r="AN838" s="12">
        <f t="shared" si="197"/>
        <v>7336</v>
      </c>
      <c r="AO838" s="12">
        <v>1</v>
      </c>
      <c r="AP838" s="12" t="s">
        <v>59</v>
      </c>
      <c r="AQ838" s="12">
        <v>0</v>
      </c>
      <c r="AR838" s="12">
        <v>13</v>
      </c>
      <c r="AS838" s="12">
        <v>3</v>
      </c>
      <c r="AT838" s="12">
        <v>1</v>
      </c>
      <c r="AU838" s="12">
        <v>1</v>
      </c>
      <c r="AV838" s="12">
        <v>11</v>
      </c>
      <c r="AW838" s="12">
        <f t="shared" si="198"/>
        <v>11</v>
      </c>
      <c r="AX838" s="12">
        <v>3</v>
      </c>
      <c r="AY838" s="12">
        <v>1</v>
      </c>
      <c r="AZ838" s="12">
        <v>11</v>
      </c>
      <c r="BA838" s="12">
        <f t="shared" si="199"/>
        <v>11</v>
      </c>
      <c r="BB838" s="12">
        <v>8</v>
      </c>
      <c r="BC838" s="12">
        <v>3</v>
      </c>
      <c r="BD838" s="12">
        <f t="shared" si="208"/>
        <v>3</v>
      </c>
      <c r="BE838" s="12">
        <v>10</v>
      </c>
      <c r="BF838" s="12">
        <f t="shared" si="200"/>
        <v>10</v>
      </c>
      <c r="BG838" s="12">
        <f t="shared" si="209"/>
        <v>30</v>
      </c>
      <c r="BH838" s="67">
        <v>0</v>
      </c>
      <c r="BI838" s="67">
        <v>1</v>
      </c>
      <c r="BJ838" s="67">
        <v>0</v>
      </c>
      <c r="BK838" s="67">
        <v>0</v>
      </c>
      <c r="BL838" s="67">
        <v>0</v>
      </c>
      <c r="BM838" s="67">
        <v>0</v>
      </c>
      <c r="BN838" s="67">
        <v>1</v>
      </c>
      <c r="BO838" s="67">
        <v>0</v>
      </c>
      <c r="BP838" s="67">
        <v>0</v>
      </c>
      <c r="BQ838" s="67">
        <v>0</v>
      </c>
      <c r="BR838" s="67">
        <v>10</v>
      </c>
      <c r="BS838" s="67">
        <v>0</v>
      </c>
      <c r="BT838" s="67">
        <v>0</v>
      </c>
      <c r="BU838" s="70">
        <v>11</v>
      </c>
      <c r="BV838" s="29">
        <f t="shared" si="201"/>
        <v>0.17694909827417865</v>
      </c>
      <c r="BW838">
        <f t="shared" si="202"/>
        <v>1.6470421950744405</v>
      </c>
      <c r="BX838">
        <f t="shared" si="203"/>
        <v>3.593364373846001E-2</v>
      </c>
      <c r="BY838">
        <f t="shared" si="204"/>
        <v>0.65156620358080031</v>
      </c>
      <c r="BZ838">
        <f t="shared" si="205"/>
        <v>1.7031841475541873</v>
      </c>
      <c r="CA838">
        <f t="shared" si="206"/>
        <v>0.86737663580280233</v>
      </c>
      <c r="CB838">
        <f t="shared" si="207"/>
        <v>0.2520597274726662</v>
      </c>
    </row>
    <row r="839" spans="1:80" x14ac:dyDescent="0.45">
      <c r="A839" s="11">
        <v>40</v>
      </c>
      <c r="B839" s="12">
        <f t="shared" si="195"/>
        <v>40</v>
      </c>
      <c r="C839" s="12" t="s">
        <v>59</v>
      </c>
      <c r="D839" s="12">
        <v>0</v>
      </c>
      <c r="E839" s="12" t="s">
        <v>60</v>
      </c>
      <c r="F839" s="12">
        <v>1</v>
      </c>
      <c r="G839" s="12">
        <v>0</v>
      </c>
      <c r="H839" s="12" t="s">
        <v>61</v>
      </c>
      <c r="I839" s="12">
        <v>1</v>
      </c>
      <c r="J839" s="12">
        <v>0</v>
      </c>
      <c r="K839" s="12">
        <v>9</v>
      </c>
      <c r="L839" s="12">
        <f t="shared" si="196"/>
        <v>9</v>
      </c>
      <c r="M839" s="12">
        <v>4</v>
      </c>
      <c r="N839" s="12" t="s">
        <v>70</v>
      </c>
      <c r="O839" s="12">
        <v>0</v>
      </c>
      <c r="P839" s="12">
        <v>0</v>
      </c>
      <c r="Q839" s="12">
        <v>1</v>
      </c>
      <c r="R839" s="12">
        <v>0</v>
      </c>
      <c r="S839" s="12">
        <v>0</v>
      </c>
      <c r="T839" s="12">
        <v>2</v>
      </c>
      <c r="U839" s="12" t="s">
        <v>19</v>
      </c>
      <c r="V839" s="12">
        <v>1</v>
      </c>
      <c r="W839" s="12">
        <v>88</v>
      </c>
      <c r="X839" s="12">
        <v>3</v>
      </c>
      <c r="Y839" s="12">
        <v>3</v>
      </c>
      <c r="Z839" s="12" t="s">
        <v>89</v>
      </c>
      <c r="AA839" s="12">
        <v>0</v>
      </c>
      <c r="AB839" s="12">
        <v>0</v>
      </c>
      <c r="AC839" s="12">
        <v>0</v>
      </c>
      <c r="AD839" s="12">
        <v>0</v>
      </c>
      <c r="AE839" s="12">
        <v>0</v>
      </c>
      <c r="AF839" s="12">
        <v>0</v>
      </c>
      <c r="AG839" s="12">
        <v>0</v>
      </c>
      <c r="AH839" s="12">
        <v>0</v>
      </c>
      <c r="AI839" s="12">
        <v>3</v>
      </c>
      <c r="AJ839" s="12" t="s">
        <v>57</v>
      </c>
      <c r="AK839" s="12">
        <v>1</v>
      </c>
      <c r="AL839" s="12">
        <v>0</v>
      </c>
      <c r="AM839" s="12">
        <v>13499</v>
      </c>
      <c r="AN839" s="12">
        <f t="shared" si="197"/>
        <v>13499</v>
      </c>
      <c r="AO839" s="12">
        <v>9</v>
      </c>
      <c r="AP839" s="12" t="s">
        <v>59</v>
      </c>
      <c r="AQ839" s="12">
        <v>0</v>
      </c>
      <c r="AR839" s="12">
        <v>17</v>
      </c>
      <c r="AS839" s="12">
        <v>3</v>
      </c>
      <c r="AT839" s="12">
        <v>3</v>
      </c>
      <c r="AU839" s="12">
        <v>0</v>
      </c>
      <c r="AV839" s="12">
        <v>20</v>
      </c>
      <c r="AW839" s="12">
        <f t="shared" si="198"/>
        <v>20</v>
      </c>
      <c r="AX839" s="12">
        <v>3</v>
      </c>
      <c r="AY839" s="12">
        <v>2</v>
      </c>
      <c r="AZ839" s="12">
        <v>18</v>
      </c>
      <c r="BA839" s="12">
        <f t="shared" si="199"/>
        <v>18</v>
      </c>
      <c r="BB839" s="12">
        <v>7</v>
      </c>
      <c r="BC839" s="12">
        <v>2</v>
      </c>
      <c r="BD839" s="12">
        <f t="shared" si="208"/>
        <v>2</v>
      </c>
      <c r="BE839" s="12">
        <v>13</v>
      </c>
      <c r="BF839" s="12">
        <f t="shared" si="200"/>
        <v>13</v>
      </c>
      <c r="BG839" s="12">
        <f t="shared" si="209"/>
        <v>39</v>
      </c>
      <c r="BH839" s="67">
        <v>0</v>
      </c>
      <c r="BI839" s="67">
        <v>0</v>
      </c>
      <c r="BJ839" s="67">
        <v>1</v>
      </c>
      <c r="BK839" s="67">
        <v>0</v>
      </c>
      <c r="BL839" s="67">
        <v>1</v>
      </c>
      <c r="BM839" s="67">
        <v>0</v>
      </c>
      <c r="BN839" s="67">
        <v>0</v>
      </c>
      <c r="BO839" s="67">
        <v>0</v>
      </c>
      <c r="BP839" s="67">
        <v>0</v>
      </c>
      <c r="BQ839" s="67">
        <v>13</v>
      </c>
      <c r="BR839" s="67">
        <v>0</v>
      </c>
      <c r="BS839" s="67">
        <v>0</v>
      </c>
      <c r="BT839" s="67">
        <v>20</v>
      </c>
      <c r="BU839" s="70">
        <v>0</v>
      </c>
      <c r="BV839" s="29">
        <f t="shared" si="201"/>
        <v>1.4860095429506777</v>
      </c>
      <c r="BW839">
        <f t="shared" si="202"/>
        <v>2.4878172940764407</v>
      </c>
      <c r="BX839">
        <f t="shared" si="203"/>
        <v>1.120762479521457</v>
      </c>
      <c r="BY839">
        <f t="shared" si="204"/>
        <v>1.794138840739361</v>
      </c>
      <c r="BZ839">
        <f t="shared" si="205"/>
        <v>2.3747406698420157E-2</v>
      </c>
      <c r="CA839">
        <f t="shared" si="206"/>
        <v>0.33673395837055903</v>
      </c>
      <c r="CB839">
        <f t="shared" si="207"/>
        <v>5.8265062631872602E-2</v>
      </c>
    </row>
    <row r="840" spans="1:80" x14ac:dyDescent="0.45">
      <c r="A840" s="11">
        <v>42</v>
      </c>
      <c r="B840" s="12">
        <f t="shared" si="195"/>
        <v>42</v>
      </c>
      <c r="C840" s="12" t="s">
        <v>52</v>
      </c>
      <c r="D840" s="12">
        <v>1</v>
      </c>
      <c r="E840" s="12" t="s">
        <v>60</v>
      </c>
      <c r="F840" s="12">
        <v>1</v>
      </c>
      <c r="G840" s="12">
        <v>0</v>
      </c>
      <c r="H840" s="12" t="s">
        <v>54</v>
      </c>
      <c r="I840" s="12">
        <v>0</v>
      </c>
      <c r="J840" s="12">
        <v>1</v>
      </c>
      <c r="K840" s="12">
        <v>12</v>
      </c>
      <c r="L840" s="12">
        <f t="shared" si="196"/>
        <v>12</v>
      </c>
      <c r="M840" s="12">
        <v>3</v>
      </c>
      <c r="N840" s="12" t="s">
        <v>55</v>
      </c>
      <c r="O840" s="12">
        <v>1</v>
      </c>
      <c r="P840" s="12">
        <v>0</v>
      </c>
      <c r="Q840" s="12">
        <v>0</v>
      </c>
      <c r="R840" s="12">
        <v>0</v>
      </c>
      <c r="S840" s="12">
        <v>0</v>
      </c>
      <c r="T840" s="12">
        <v>3</v>
      </c>
      <c r="U840" s="12" t="s">
        <v>62</v>
      </c>
      <c r="V840" s="12">
        <v>0</v>
      </c>
      <c r="W840" s="12">
        <v>44</v>
      </c>
      <c r="X840" s="12">
        <v>3</v>
      </c>
      <c r="Y840" s="12">
        <v>4</v>
      </c>
      <c r="Z840" s="12" t="s">
        <v>56</v>
      </c>
      <c r="AA840" s="12">
        <v>0</v>
      </c>
      <c r="AB840" s="12">
        <v>1</v>
      </c>
      <c r="AC840" s="12">
        <v>0</v>
      </c>
      <c r="AD840" s="12">
        <v>0</v>
      </c>
      <c r="AE840" s="12">
        <v>0</v>
      </c>
      <c r="AF840" s="12">
        <v>0</v>
      </c>
      <c r="AG840" s="12">
        <v>0</v>
      </c>
      <c r="AH840" s="12">
        <v>0</v>
      </c>
      <c r="AI840" s="12">
        <v>1</v>
      </c>
      <c r="AJ840" s="12" t="s">
        <v>57</v>
      </c>
      <c r="AK840" s="12">
        <v>1</v>
      </c>
      <c r="AL840" s="12">
        <v>0</v>
      </c>
      <c r="AM840" s="12">
        <v>13758</v>
      </c>
      <c r="AN840" s="12">
        <f t="shared" si="197"/>
        <v>13758</v>
      </c>
      <c r="AO840" s="12">
        <v>0</v>
      </c>
      <c r="AP840" s="12" t="s">
        <v>52</v>
      </c>
      <c r="AQ840" s="12">
        <v>1</v>
      </c>
      <c r="AR840" s="12">
        <v>12</v>
      </c>
      <c r="AS840" s="12">
        <v>3</v>
      </c>
      <c r="AT840" s="12">
        <v>2</v>
      </c>
      <c r="AU840" s="12">
        <v>0</v>
      </c>
      <c r="AV840" s="12">
        <v>22</v>
      </c>
      <c r="AW840" s="12">
        <f t="shared" si="198"/>
        <v>22</v>
      </c>
      <c r="AX840" s="12">
        <v>2</v>
      </c>
      <c r="AY840" s="12">
        <v>2</v>
      </c>
      <c r="AZ840" s="12">
        <v>21</v>
      </c>
      <c r="BA840" s="12">
        <f t="shared" si="199"/>
        <v>21</v>
      </c>
      <c r="BB840" s="12">
        <v>9</v>
      </c>
      <c r="BC840" s="12">
        <v>13</v>
      </c>
      <c r="BD840" s="12">
        <f t="shared" si="208"/>
        <v>13</v>
      </c>
      <c r="BE840" s="12">
        <v>14</v>
      </c>
      <c r="BF840" s="12">
        <f t="shared" si="200"/>
        <v>14</v>
      </c>
      <c r="BG840" s="12">
        <f t="shared" si="209"/>
        <v>56</v>
      </c>
      <c r="BH840" s="67">
        <v>0</v>
      </c>
      <c r="BI840" s="67">
        <v>0</v>
      </c>
      <c r="BJ840" s="67">
        <v>1</v>
      </c>
      <c r="BK840" s="67">
        <v>0</v>
      </c>
      <c r="BL840" s="67">
        <v>0</v>
      </c>
      <c r="BM840" s="67">
        <v>1</v>
      </c>
      <c r="BN840" s="67">
        <v>0</v>
      </c>
      <c r="BO840" s="67">
        <v>0</v>
      </c>
      <c r="BP840" s="67">
        <v>0</v>
      </c>
      <c r="BQ840" s="67">
        <v>0</v>
      </c>
      <c r="BR840" s="67">
        <v>14</v>
      </c>
      <c r="BS840" s="67">
        <v>0</v>
      </c>
      <c r="BT840" s="67">
        <v>0</v>
      </c>
      <c r="BU840" s="70">
        <v>22</v>
      </c>
      <c r="BV840" s="29">
        <f t="shared" si="201"/>
        <v>1.54102279220773</v>
      </c>
      <c r="BW840">
        <f t="shared" si="202"/>
        <v>2.7680756604104411</v>
      </c>
      <c r="BX840">
        <f t="shared" si="203"/>
        <v>1.3778060624681052</v>
      </c>
      <c r="BY840">
        <f t="shared" si="204"/>
        <v>2.2838128280930299</v>
      </c>
      <c r="BZ840">
        <f t="shared" si="205"/>
        <v>0.3463093549271386</v>
      </c>
      <c r="CA840">
        <f t="shared" si="206"/>
        <v>0.55566315731117022</v>
      </c>
      <c r="CB840">
        <f t="shared" si="207"/>
        <v>3.3553076285180543</v>
      </c>
    </row>
    <row r="841" spans="1:80" x14ac:dyDescent="0.45">
      <c r="A841" s="11">
        <v>42</v>
      </c>
      <c r="B841" s="12">
        <f t="shared" si="195"/>
        <v>42</v>
      </c>
      <c r="C841" s="12" t="s">
        <v>59</v>
      </c>
      <c r="D841" s="12">
        <v>0</v>
      </c>
      <c r="E841" s="12" t="s">
        <v>53</v>
      </c>
      <c r="F841" s="12">
        <v>0</v>
      </c>
      <c r="G841" s="12">
        <v>1</v>
      </c>
      <c r="H841" s="12" t="s">
        <v>54</v>
      </c>
      <c r="I841" s="12">
        <v>0</v>
      </c>
      <c r="J841" s="12">
        <v>1</v>
      </c>
      <c r="K841" s="12">
        <v>4</v>
      </c>
      <c r="L841" s="12">
        <f t="shared" si="196"/>
        <v>4</v>
      </c>
      <c r="M841" s="12">
        <v>4</v>
      </c>
      <c r="N841" s="12" t="s">
        <v>90</v>
      </c>
      <c r="O841" s="12">
        <v>0</v>
      </c>
      <c r="P841" s="12">
        <v>0</v>
      </c>
      <c r="Q841" s="12">
        <v>0</v>
      </c>
      <c r="R841" s="12">
        <v>1</v>
      </c>
      <c r="S841" s="12">
        <v>0</v>
      </c>
      <c r="T841" s="12">
        <v>2</v>
      </c>
      <c r="U841" s="12" t="s">
        <v>62</v>
      </c>
      <c r="V841" s="12">
        <v>0</v>
      </c>
      <c r="W841" s="12">
        <v>45</v>
      </c>
      <c r="X841" s="12">
        <v>3</v>
      </c>
      <c r="Y841" s="12">
        <v>2</v>
      </c>
      <c r="Z841" s="12" t="s">
        <v>56</v>
      </c>
      <c r="AA841" s="12">
        <v>0</v>
      </c>
      <c r="AB841" s="12">
        <v>1</v>
      </c>
      <c r="AC841" s="12">
        <v>0</v>
      </c>
      <c r="AD841" s="12">
        <v>0</v>
      </c>
      <c r="AE841" s="12">
        <v>0</v>
      </c>
      <c r="AF841" s="12">
        <v>0</v>
      </c>
      <c r="AG841" s="12">
        <v>0</v>
      </c>
      <c r="AH841" s="12">
        <v>0</v>
      </c>
      <c r="AI841" s="12">
        <v>1</v>
      </c>
      <c r="AJ841" s="12" t="s">
        <v>57</v>
      </c>
      <c r="AK841" s="12">
        <v>1</v>
      </c>
      <c r="AL841" s="12">
        <v>0</v>
      </c>
      <c r="AM841" s="12">
        <v>5155</v>
      </c>
      <c r="AN841" s="12">
        <f t="shared" si="197"/>
        <v>5155</v>
      </c>
      <c r="AO841" s="12">
        <v>7</v>
      </c>
      <c r="AP841" s="12" t="s">
        <v>59</v>
      </c>
      <c r="AQ841" s="12">
        <v>0</v>
      </c>
      <c r="AR841" s="12">
        <v>13</v>
      </c>
      <c r="AS841" s="12">
        <v>3</v>
      </c>
      <c r="AT841" s="12">
        <v>4</v>
      </c>
      <c r="AU841" s="12">
        <v>0</v>
      </c>
      <c r="AV841" s="12">
        <v>9</v>
      </c>
      <c r="AW841" s="12">
        <f t="shared" si="198"/>
        <v>9</v>
      </c>
      <c r="AX841" s="12">
        <v>3</v>
      </c>
      <c r="AY841" s="12">
        <v>4</v>
      </c>
      <c r="AZ841" s="12">
        <v>6</v>
      </c>
      <c r="BA841" s="12">
        <f t="shared" si="199"/>
        <v>6</v>
      </c>
      <c r="BB841" s="12">
        <v>4</v>
      </c>
      <c r="BC841" s="12">
        <v>1</v>
      </c>
      <c r="BD841" s="12">
        <f t="shared" si="208"/>
        <v>1</v>
      </c>
      <c r="BE841" s="12">
        <v>5</v>
      </c>
      <c r="BF841" s="12">
        <f t="shared" si="200"/>
        <v>5</v>
      </c>
      <c r="BG841" s="12">
        <f t="shared" si="209"/>
        <v>10</v>
      </c>
      <c r="BH841" s="67">
        <v>1</v>
      </c>
      <c r="BI841" s="67">
        <v>0</v>
      </c>
      <c r="BJ841" s="67">
        <v>0</v>
      </c>
      <c r="BK841" s="67">
        <v>0</v>
      </c>
      <c r="BL841" s="67">
        <v>1</v>
      </c>
      <c r="BM841" s="67">
        <v>0</v>
      </c>
      <c r="BN841" s="67">
        <v>0</v>
      </c>
      <c r="BO841" s="67">
        <v>0</v>
      </c>
      <c r="BP841" s="67">
        <v>0</v>
      </c>
      <c r="BQ841" s="67">
        <v>0</v>
      </c>
      <c r="BR841" s="67">
        <v>5</v>
      </c>
      <c r="BS841" s="67">
        <v>0</v>
      </c>
      <c r="BT841" s="67">
        <v>0</v>
      </c>
      <c r="BU841" s="70">
        <v>9</v>
      </c>
      <c r="BV841" s="29">
        <f t="shared" si="201"/>
        <v>0.28630918987111492</v>
      </c>
      <c r="BW841">
        <f t="shared" si="202"/>
        <v>0.24575036340443959</v>
      </c>
      <c r="BX841">
        <f t="shared" si="203"/>
        <v>0.29297722668510823</v>
      </c>
      <c r="BY841">
        <f t="shared" si="204"/>
        <v>0.16455710867531462</v>
      </c>
      <c r="BZ841">
        <f t="shared" si="205"/>
        <v>0.64050867607435136</v>
      </c>
      <c r="CA841">
        <f t="shared" si="206"/>
        <v>0.55566315731117022</v>
      </c>
      <c r="CB841">
        <f t="shared" si="207"/>
        <v>0.36858985273641137</v>
      </c>
    </row>
    <row r="842" spans="1:80" x14ac:dyDescent="0.45">
      <c r="A842" s="11">
        <v>35</v>
      </c>
      <c r="B842" s="12">
        <f t="shared" si="195"/>
        <v>35</v>
      </c>
      <c r="C842" s="12" t="s">
        <v>59</v>
      </c>
      <c r="D842" s="12">
        <v>0</v>
      </c>
      <c r="E842" s="12" t="s">
        <v>53</v>
      </c>
      <c r="F842" s="12">
        <v>0</v>
      </c>
      <c r="G842" s="12">
        <v>1</v>
      </c>
      <c r="H842" s="12" t="s">
        <v>61</v>
      </c>
      <c r="I842" s="12">
        <v>1</v>
      </c>
      <c r="J842" s="12">
        <v>0</v>
      </c>
      <c r="K842" s="12">
        <v>1</v>
      </c>
      <c r="L842" s="12">
        <f t="shared" si="196"/>
        <v>1</v>
      </c>
      <c r="M842" s="12">
        <v>4</v>
      </c>
      <c r="N842" s="12" t="s">
        <v>70</v>
      </c>
      <c r="O842" s="12">
        <v>0</v>
      </c>
      <c r="P842" s="12">
        <v>0</v>
      </c>
      <c r="Q842" s="12">
        <v>1</v>
      </c>
      <c r="R842" s="12">
        <v>0</v>
      </c>
      <c r="S842" s="12">
        <v>0</v>
      </c>
      <c r="T842" s="12">
        <v>4</v>
      </c>
      <c r="U842" s="12" t="s">
        <v>62</v>
      </c>
      <c r="V842" s="12">
        <v>0</v>
      </c>
      <c r="W842" s="12">
        <v>58</v>
      </c>
      <c r="X842" s="12">
        <v>2</v>
      </c>
      <c r="Y842" s="12">
        <v>1</v>
      </c>
      <c r="Z842" s="12" t="s">
        <v>67</v>
      </c>
      <c r="AA842" s="12">
        <v>0</v>
      </c>
      <c r="AB842" s="12">
        <v>0</v>
      </c>
      <c r="AC842" s="12">
        <v>1</v>
      </c>
      <c r="AD842" s="12">
        <v>0</v>
      </c>
      <c r="AE842" s="12">
        <v>0</v>
      </c>
      <c r="AF842" s="12">
        <v>0</v>
      </c>
      <c r="AG842" s="12">
        <v>0</v>
      </c>
      <c r="AH842" s="12">
        <v>0</v>
      </c>
      <c r="AI842" s="12">
        <v>3</v>
      </c>
      <c r="AJ842" s="12" t="s">
        <v>64</v>
      </c>
      <c r="AK842" s="12">
        <v>0</v>
      </c>
      <c r="AL842" s="12">
        <v>1</v>
      </c>
      <c r="AM842" s="12">
        <v>2258</v>
      </c>
      <c r="AN842" s="12">
        <f t="shared" si="197"/>
        <v>2258</v>
      </c>
      <c r="AO842" s="12">
        <v>6</v>
      </c>
      <c r="AP842" s="12" t="s">
        <v>59</v>
      </c>
      <c r="AQ842" s="12">
        <v>0</v>
      </c>
      <c r="AR842" s="12">
        <v>12</v>
      </c>
      <c r="AS842" s="12">
        <v>3</v>
      </c>
      <c r="AT842" s="12">
        <v>2</v>
      </c>
      <c r="AU842" s="12">
        <v>1</v>
      </c>
      <c r="AV842" s="12">
        <v>10</v>
      </c>
      <c r="AW842" s="12">
        <f t="shared" si="198"/>
        <v>10</v>
      </c>
      <c r="AX842" s="12">
        <v>2</v>
      </c>
      <c r="AY842" s="12">
        <v>3</v>
      </c>
      <c r="AZ842" s="12">
        <v>8</v>
      </c>
      <c r="BA842" s="12">
        <f t="shared" si="199"/>
        <v>8</v>
      </c>
      <c r="BB842" s="12">
        <v>0</v>
      </c>
      <c r="BC842" s="12">
        <v>1</v>
      </c>
      <c r="BD842" s="12">
        <f t="shared" si="208"/>
        <v>1</v>
      </c>
      <c r="BE842" s="12">
        <v>7</v>
      </c>
      <c r="BF842" s="12">
        <f t="shared" si="200"/>
        <v>7</v>
      </c>
      <c r="BG842" s="12">
        <f t="shared" si="209"/>
        <v>7</v>
      </c>
      <c r="BH842" s="67">
        <v>0</v>
      </c>
      <c r="BI842" s="67">
        <v>1</v>
      </c>
      <c r="BJ842" s="67">
        <v>0</v>
      </c>
      <c r="BK842" s="67">
        <v>0</v>
      </c>
      <c r="BL842" s="67">
        <v>0</v>
      </c>
      <c r="BM842" s="67">
        <v>0</v>
      </c>
      <c r="BN842" s="67">
        <v>1</v>
      </c>
      <c r="BO842" s="67">
        <v>0</v>
      </c>
      <c r="BP842" s="67">
        <v>0</v>
      </c>
      <c r="BQ842" s="67">
        <v>7</v>
      </c>
      <c r="BR842" s="67">
        <v>0</v>
      </c>
      <c r="BS842" s="67">
        <v>0</v>
      </c>
      <c r="BT842" s="67">
        <v>10</v>
      </c>
      <c r="BU842" s="70">
        <v>0</v>
      </c>
      <c r="BV842" s="29">
        <f t="shared" si="201"/>
        <v>0.90165043735250672</v>
      </c>
      <c r="BW842">
        <f t="shared" si="202"/>
        <v>0.80626709607243985</v>
      </c>
      <c r="BX842">
        <f t="shared" si="203"/>
        <v>0.1644554352117841</v>
      </c>
      <c r="BY842">
        <f t="shared" si="204"/>
        <v>0.16189221622713135</v>
      </c>
      <c r="BZ842">
        <f t="shared" si="205"/>
        <v>1.01056543769991</v>
      </c>
      <c r="CA842">
        <f t="shared" si="206"/>
        <v>0.21058903898096887</v>
      </c>
      <c r="CB842">
        <f t="shared" si="207"/>
        <v>0.36858985273641137</v>
      </c>
    </row>
    <row r="843" spans="1:80" x14ac:dyDescent="0.45">
      <c r="A843" s="11">
        <v>24</v>
      </c>
      <c r="B843" s="12">
        <f t="shared" si="195"/>
        <v>24</v>
      </c>
      <c r="C843" s="12" t="s">
        <v>59</v>
      </c>
      <c r="D843" s="12">
        <v>0</v>
      </c>
      <c r="E843" s="12" t="s">
        <v>53</v>
      </c>
      <c r="F843" s="12">
        <v>0</v>
      </c>
      <c r="G843" s="12">
        <v>1</v>
      </c>
      <c r="H843" s="12" t="s">
        <v>61</v>
      </c>
      <c r="I843" s="12">
        <v>1</v>
      </c>
      <c r="J843" s="12">
        <v>0</v>
      </c>
      <c r="K843" s="12">
        <v>24</v>
      </c>
      <c r="L843" s="12">
        <f t="shared" si="196"/>
        <v>24</v>
      </c>
      <c r="M843" s="12">
        <v>3</v>
      </c>
      <c r="N843" s="12" t="s">
        <v>70</v>
      </c>
      <c r="O843" s="12">
        <v>0</v>
      </c>
      <c r="P843" s="12">
        <v>0</v>
      </c>
      <c r="Q843" s="12">
        <v>1</v>
      </c>
      <c r="R843" s="12">
        <v>0</v>
      </c>
      <c r="S843" s="12">
        <v>0</v>
      </c>
      <c r="T843" s="12">
        <v>4</v>
      </c>
      <c r="U843" s="12" t="s">
        <v>62</v>
      </c>
      <c r="V843" s="12">
        <v>0</v>
      </c>
      <c r="W843" s="12">
        <v>49</v>
      </c>
      <c r="X843" s="12">
        <v>3</v>
      </c>
      <c r="Y843" s="12">
        <v>1</v>
      </c>
      <c r="Z843" s="12" t="s">
        <v>67</v>
      </c>
      <c r="AA843" s="12">
        <v>0</v>
      </c>
      <c r="AB843" s="12">
        <v>0</v>
      </c>
      <c r="AC843" s="12">
        <v>1</v>
      </c>
      <c r="AD843" s="12">
        <v>0</v>
      </c>
      <c r="AE843" s="12">
        <v>0</v>
      </c>
      <c r="AF843" s="12">
        <v>0</v>
      </c>
      <c r="AG843" s="12">
        <v>0</v>
      </c>
      <c r="AH843" s="12">
        <v>0</v>
      </c>
      <c r="AI843" s="12">
        <v>2</v>
      </c>
      <c r="AJ843" s="12" t="s">
        <v>57</v>
      </c>
      <c r="AK843" s="12">
        <v>1</v>
      </c>
      <c r="AL843" s="12">
        <v>0</v>
      </c>
      <c r="AM843" s="12">
        <v>3597</v>
      </c>
      <c r="AN843" s="12">
        <f t="shared" si="197"/>
        <v>3597</v>
      </c>
      <c r="AO843" s="12">
        <v>8</v>
      </c>
      <c r="AP843" s="12" t="s">
        <v>59</v>
      </c>
      <c r="AQ843" s="12">
        <v>0</v>
      </c>
      <c r="AR843" s="12">
        <v>22</v>
      </c>
      <c r="AS843" s="12">
        <v>4</v>
      </c>
      <c r="AT843" s="12">
        <v>4</v>
      </c>
      <c r="AU843" s="12">
        <v>0</v>
      </c>
      <c r="AV843" s="12">
        <v>6</v>
      </c>
      <c r="AW843" s="12">
        <f t="shared" si="198"/>
        <v>6</v>
      </c>
      <c r="AX843" s="12">
        <v>2</v>
      </c>
      <c r="AY843" s="12">
        <v>3</v>
      </c>
      <c r="AZ843" s="12">
        <v>4</v>
      </c>
      <c r="BA843" s="12">
        <f t="shared" si="199"/>
        <v>4</v>
      </c>
      <c r="BB843" s="12">
        <v>3</v>
      </c>
      <c r="BC843" s="12">
        <v>1</v>
      </c>
      <c r="BD843" s="12">
        <f t="shared" si="208"/>
        <v>1</v>
      </c>
      <c r="BE843" s="12">
        <v>2</v>
      </c>
      <c r="BF843" s="12">
        <f t="shared" si="200"/>
        <v>2</v>
      </c>
      <c r="BG843" s="12">
        <f t="shared" si="209"/>
        <v>2</v>
      </c>
      <c r="BH843" s="67">
        <v>1</v>
      </c>
      <c r="BI843" s="67">
        <v>0</v>
      </c>
      <c r="BJ843" s="67">
        <v>0</v>
      </c>
      <c r="BK843" s="67">
        <v>0</v>
      </c>
      <c r="BL843" s="67">
        <v>1</v>
      </c>
      <c r="BM843" s="67">
        <v>0</v>
      </c>
      <c r="BN843" s="67">
        <v>0</v>
      </c>
      <c r="BO843" s="67">
        <v>0</v>
      </c>
      <c r="BP843" s="67">
        <v>0</v>
      </c>
      <c r="BQ843" s="67">
        <v>2</v>
      </c>
      <c r="BR843" s="67">
        <v>0</v>
      </c>
      <c r="BS843" s="67">
        <v>0</v>
      </c>
      <c r="BT843" s="67">
        <v>6</v>
      </c>
      <c r="BU843" s="70">
        <v>0</v>
      </c>
      <c r="BV843" s="29">
        <f t="shared" si="201"/>
        <v>0.61723831088458003</v>
      </c>
      <c r="BW843">
        <f t="shared" si="202"/>
        <v>0.59502473559756086</v>
      </c>
      <c r="BX843">
        <f t="shared" si="203"/>
        <v>0.67854260110508058</v>
      </c>
      <c r="BY843">
        <f t="shared" si="204"/>
        <v>0.49100643357776058</v>
      </c>
      <c r="BZ843">
        <f t="shared" si="205"/>
        <v>1.8265364014293735</v>
      </c>
      <c r="CA843">
        <f t="shared" si="206"/>
        <v>1.4146996331543302</v>
      </c>
      <c r="CB843">
        <f t="shared" si="207"/>
        <v>0.36858985273641137</v>
      </c>
    </row>
    <row r="844" spans="1:80" x14ac:dyDescent="0.45">
      <c r="A844" s="11">
        <v>28</v>
      </c>
      <c r="B844" s="12">
        <f t="shared" si="195"/>
        <v>28</v>
      </c>
      <c r="C844" s="12" t="s">
        <v>52</v>
      </c>
      <c r="D844" s="12">
        <v>1</v>
      </c>
      <c r="E844" s="12" t="s">
        <v>53</v>
      </c>
      <c r="F844" s="12">
        <v>0</v>
      </c>
      <c r="G844" s="12">
        <v>1</v>
      </c>
      <c r="H844" s="12" t="s">
        <v>61</v>
      </c>
      <c r="I844" s="12">
        <v>1</v>
      </c>
      <c r="J844" s="12">
        <v>0</v>
      </c>
      <c r="K844" s="12">
        <v>12</v>
      </c>
      <c r="L844" s="12">
        <f t="shared" si="196"/>
        <v>12</v>
      </c>
      <c r="M844" s="12">
        <v>1</v>
      </c>
      <c r="N844" s="12" t="s">
        <v>55</v>
      </c>
      <c r="O844" s="12">
        <v>1</v>
      </c>
      <c r="P844" s="12">
        <v>0</v>
      </c>
      <c r="Q844" s="12">
        <v>0</v>
      </c>
      <c r="R844" s="12">
        <v>0</v>
      </c>
      <c r="S844" s="12">
        <v>0</v>
      </c>
      <c r="T844" s="12">
        <v>3</v>
      </c>
      <c r="U844" s="12" t="s">
        <v>19</v>
      </c>
      <c r="V844" s="12">
        <v>1</v>
      </c>
      <c r="W844" s="12">
        <v>79</v>
      </c>
      <c r="X844" s="12">
        <v>3</v>
      </c>
      <c r="Y844" s="12">
        <v>1</v>
      </c>
      <c r="Z844" s="12" t="s">
        <v>67</v>
      </c>
      <c r="AA844" s="12">
        <v>0</v>
      </c>
      <c r="AB844" s="12">
        <v>0</v>
      </c>
      <c r="AC844" s="12">
        <v>1</v>
      </c>
      <c r="AD844" s="12">
        <v>0</v>
      </c>
      <c r="AE844" s="12">
        <v>0</v>
      </c>
      <c r="AF844" s="12">
        <v>0</v>
      </c>
      <c r="AG844" s="12">
        <v>0</v>
      </c>
      <c r="AH844" s="12">
        <v>0</v>
      </c>
      <c r="AI844" s="12">
        <v>4</v>
      </c>
      <c r="AJ844" s="12" t="s">
        <v>64</v>
      </c>
      <c r="AK844" s="12">
        <v>0</v>
      </c>
      <c r="AL844" s="12">
        <v>1</v>
      </c>
      <c r="AM844" s="12">
        <v>2515</v>
      </c>
      <c r="AN844" s="12">
        <f t="shared" si="197"/>
        <v>2515</v>
      </c>
      <c r="AO844" s="12">
        <v>1</v>
      </c>
      <c r="AP844" s="12" t="s">
        <v>52</v>
      </c>
      <c r="AQ844" s="12">
        <v>1</v>
      </c>
      <c r="AR844" s="12">
        <v>11</v>
      </c>
      <c r="AS844" s="12">
        <v>3</v>
      </c>
      <c r="AT844" s="12">
        <v>4</v>
      </c>
      <c r="AU844" s="12">
        <v>0</v>
      </c>
      <c r="AV844" s="12">
        <v>1</v>
      </c>
      <c r="AW844" s="12">
        <f t="shared" si="198"/>
        <v>1</v>
      </c>
      <c r="AX844" s="12">
        <v>4</v>
      </c>
      <c r="AY844" s="12">
        <v>2</v>
      </c>
      <c r="AZ844" s="12">
        <v>1</v>
      </c>
      <c r="BA844" s="12">
        <f t="shared" si="199"/>
        <v>1</v>
      </c>
      <c r="BB844" s="12">
        <v>1</v>
      </c>
      <c r="BC844" s="12">
        <v>0</v>
      </c>
      <c r="BD844" s="12">
        <f t="shared" si="208"/>
        <v>0</v>
      </c>
      <c r="BE844" s="12">
        <v>0</v>
      </c>
      <c r="BF844" s="12">
        <f t="shared" si="200"/>
        <v>0</v>
      </c>
      <c r="BG844" s="12">
        <f t="shared" si="209"/>
        <v>0</v>
      </c>
      <c r="BH844" s="67">
        <v>0</v>
      </c>
      <c r="BI844" s="67">
        <v>1</v>
      </c>
      <c r="BJ844" s="67">
        <v>0</v>
      </c>
      <c r="BK844" s="67">
        <v>0</v>
      </c>
      <c r="BL844" s="67">
        <v>0</v>
      </c>
      <c r="BM844" s="67">
        <v>0</v>
      </c>
      <c r="BN844" s="67">
        <v>0</v>
      </c>
      <c r="BO844" s="67">
        <v>1</v>
      </c>
      <c r="BP844" s="67">
        <v>0</v>
      </c>
      <c r="BQ844" s="67">
        <v>0</v>
      </c>
      <c r="BR844" s="67">
        <v>0</v>
      </c>
      <c r="BS844" s="67">
        <v>0</v>
      </c>
      <c r="BT844" s="67">
        <v>1</v>
      </c>
      <c r="BU844" s="70">
        <v>0</v>
      </c>
      <c r="BV844" s="29">
        <f t="shared" si="201"/>
        <v>0.84706200083103012</v>
      </c>
      <c r="BW844">
        <f t="shared" si="202"/>
        <v>1.1555414682655611</v>
      </c>
      <c r="BX844">
        <f t="shared" si="203"/>
        <v>1.3211515584717011</v>
      </c>
      <c r="BY844">
        <f t="shared" si="204"/>
        <v>0.9806804209314296</v>
      </c>
      <c r="BZ844">
        <f t="shared" si="205"/>
        <v>0.3463093549271386</v>
      </c>
      <c r="CA844">
        <f t="shared" si="206"/>
        <v>0.97684123527310796</v>
      </c>
      <c r="CB844">
        <f t="shared" si="207"/>
        <v>0.67891464284095016</v>
      </c>
    </row>
    <row r="845" spans="1:80" x14ac:dyDescent="0.45">
      <c r="A845" s="11">
        <v>26</v>
      </c>
      <c r="B845" s="12">
        <f t="shared" si="195"/>
        <v>26</v>
      </c>
      <c r="C845" s="12" t="s">
        <v>59</v>
      </c>
      <c r="D845" s="12">
        <v>0</v>
      </c>
      <c r="E845" s="12" t="s">
        <v>53</v>
      </c>
      <c r="F845" s="12">
        <v>0</v>
      </c>
      <c r="G845" s="12">
        <v>1</v>
      </c>
      <c r="H845" s="12" t="s">
        <v>61</v>
      </c>
      <c r="I845" s="12">
        <v>1</v>
      </c>
      <c r="J845" s="12">
        <v>0</v>
      </c>
      <c r="K845" s="12">
        <v>3</v>
      </c>
      <c r="L845" s="12">
        <f t="shared" si="196"/>
        <v>3</v>
      </c>
      <c r="M845" s="12">
        <v>4</v>
      </c>
      <c r="N845" s="12" t="s">
        <v>70</v>
      </c>
      <c r="O845" s="12">
        <v>0</v>
      </c>
      <c r="P845" s="12">
        <v>0</v>
      </c>
      <c r="Q845" s="12">
        <v>1</v>
      </c>
      <c r="R845" s="12">
        <v>0</v>
      </c>
      <c r="S845" s="12">
        <v>0</v>
      </c>
      <c r="T845" s="12">
        <v>1</v>
      </c>
      <c r="U845" s="12" t="s">
        <v>62</v>
      </c>
      <c r="V845" s="12">
        <v>0</v>
      </c>
      <c r="W845" s="12">
        <v>82</v>
      </c>
      <c r="X845" s="12">
        <v>4</v>
      </c>
      <c r="Y845" s="12">
        <v>1</v>
      </c>
      <c r="Z845" s="12" t="s">
        <v>67</v>
      </c>
      <c r="AA845" s="12">
        <v>0</v>
      </c>
      <c r="AB845" s="12">
        <v>0</v>
      </c>
      <c r="AC845" s="12">
        <v>1</v>
      </c>
      <c r="AD845" s="12">
        <v>0</v>
      </c>
      <c r="AE845" s="12">
        <v>0</v>
      </c>
      <c r="AF845" s="12">
        <v>0</v>
      </c>
      <c r="AG845" s="12">
        <v>0</v>
      </c>
      <c r="AH845" s="12">
        <v>0</v>
      </c>
      <c r="AI845" s="12">
        <v>4</v>
      </c>
      <c r="AJ845" s="12" t="s">
        <v>64</v>
      </c>
      <c r="AK845" s="12">
        <v>0</v>
      </c>
      <c r="AL845" s="12">
        <v>1</v>
      </c>
      <c r="AM845" s="12">
        <v>4420</v>
      </c>
      <c r="AN845" s="12">
        <f t="shared" si="197"/>
        <v>4420</v>
      </c>
      <c r="AO845" s="12">
        <v>1</v>
      </c>
      <c r="AP845" s="12" t="s">
        <v>59</v>
      </c>
      <c r="AQ845" s="12">
        <v>0</v>
      </c>
      <c r="AR845" s="12">
        <v>22</v>
      </c>
      <c r="AS845" s="12">
        <v>4</v>
      </c>
      <c r="AT845" s="12">
        <v>2</v>
      </c>
      <c r="AU845" s="12">
        <v>1</v>
      </c>
      <c r="AV845" s="12">
        <v>8</v>
      </c>
      <c r="AW845" s="12">
        <f t="shared" si="198"/>
        <v>8</v>
      </c>
      <c r="AX845" s="12">
        <v>2</v>
      </c>
      <c r="AY845" s="12">
        <v>3</v>
      </c>
      <c r="AZ845" s="12">
        <v>8</v>
      </c>
      <c r="BA845" s="12">
        <f t="shared" si="199"/>
        <v>8</v>
      </c>
      <c r="BB845" s="12">
        <v>7</v>
      </c>
      <c r="BC845" s="12">
        <v>0</v>
      </c>
      <c r="BD845" s="12">
        <f t="shared" si="208"/>
        <v>0</v>
      </c>
      <c r="BE845" s="12">
        <v>7</v>
      </c>
      <c r="BF845" s="12">
        <f t="shared" si="200"/>
        <v>7</v>
      </c>
      <c r="BG845" s="12">
        <f t="shared" si="209"/>
        <v>7</v>
      </c>
      <c r="BH845" s="67">
        <v>0</v>
      </c>
      <c r="BI845" s="67">
        <v>1</v>
      </c>
      <c r="BJ845" s="67">
        <v>0</v>
      </c>
      <c r="BK845" s="67">
        <v>0</v>
      </c>
      <c r="BL845" s="67">
        <v>0</v>
      </c>
      <c r="BM845" s="67">
        <v>0</v>
      </c>
      <c r="BN845" s="67">
        <v>1</v>
      </c>
      <c r="BO845" s="67">
        <v>0</v>
      </c>
      <c r="BP845" s="67">
        <v>0</v>
      </c>
      <c r="BQ845" s="67">
        <v>7</v>
      </c>
      <c r="BR845" s="67">
        <v>0</v>
      </c>
      <c r="BS845" s="67">
        <v>0</v>
      </c>
      <c r="BT845" s="67">
        <v>8</v>
      </c>
      <c r="BU845" s="70">
        <v>0</v>
      </c>
      <c r="BV845" s="29">
        <f t="shared" si="201"/>
        <v>0.44242787019518226</v>
      </c>
      <c r="BW845">
        <f t="shared" si="202"/>
        <v>0.80626709607243985</v>
      </c>
      <c r="BX845">
        <f t="shared" si="203"/>
        <v>0.42149901815843233</v>
      </c>
      <c r="BY845">
        <f t="shared" si="204"/>
        <v>0.16189221622713135</v>
      </c>
      <c r="BZ845">
        <f t="shared" si="205"/>
        <v>0.76386092994953758</v>
      </c>
      <c r="CA845">
        <f t="shared" si="206"/>
        <v>1.195770434213719</v>
      </c>
      <c r="CB845">
        <f t="shared" si="207"/>
        <v>0.67891464284095016</v>
      </c>
    </row>
    <row r="846" spans="1:80" x14ac:dyDescent="0.45">
      <c r="A846" s="11">
        <v>30</v>
      </c>
      <c r="B846" s="12">
        <f t="shared" si="195"/>
        <v>30</v>
      </c>
      <c r="C846" s="12" t="s">
        <v>59</v>
      </c>
      <c r="D846" s="12">
        <v>0</v>
      </c>
      <c r="E846" s="12" t="s">
        <v>53</v>
      </c>
      <c r="F846" s="12">
        <v>0</v>
      </c>
      <c r="G846" s="12">
        <v>1</v>
      </c>
      <c r="H846" s="12" t="s">
        <v>54</v>
      </c>
      <c r="I846" s="12">
        <v>0</v>
      </c>
      <c r="J846" s="12">
        <v>1</v>
      </c>
      <c r="K846" s="12">
        <v>10</v>
      </c>
      <c r="L846" s="12">
        <f t="shared" si="196"/>
        <v>10</v>
      </c>
      <c r="M846" s="12">
        <v>3</v>
      </c>
      <c r="N846" s="12" t="s">
        <v>90</v>
      </c>
      <c r="O846" s="12">
        <v>0</v>
      </c>
      <c r="P846" s="12">
        <v>0</v>
      </c>
      <c r="Q846" s="12">
        <v>0</v>
      </c>
      <c r="R846" s="12">
        <v>1</v>
      </c>
      <c r="S846" s="12">
        <v>0</v>
      </c>
      <c r="T846" s="12">
        <v>3</v>
      </c>
      <c r="U846" s="12" t="s">
        <v>62</v>
      </c>
      <c r="V846" s="12">
        <v>0</v>
      </c>
      <c r="W846" s="12">
        <v>72</v>
      </c>
      <c r="X846" s="12">
        <v>2</v>
      </c>
      <c r="Y846" s="12">
        <v>2</v>
      </c>
      <c r="Z846" s="12" t="s">
        <v>56</v>
      </c>
      <c r="AA846" s="12">
        <v>0</v>
      </c>
      <c r="AB846" s="12">
        <v>1</v>
      </c>
      <c r="AC846" s="12">
        <v>0</v>
      </c>
      <c r="AD846" s="12">
        <v>0</v>
      </c>
      <c r="AE846" s="12">
        <v>0</v>
      </c>
      <c r="AF846" s="12">
        <v>0</v>
      </c>
      <c r="AG846" s="12">
        <v>0</v>
      </c>
      <c r="AH846" s="12">
        <v>0</v>
      </c>
      <c r="AI846" s="12">
        <v>3</v>
      </c>
      <c r="AJ846" s="12" t="s">
        <v>64</v>
      </c>
      <c r="AK846" s="12">
        <v>0</v>
      </c>
      <c r="AL846" s="12">
        <v>1</v>
      </c>
      <c r="AM846" s="12">
        <v>6578</v>
      </c>
      <c r="AN846" s="12">
        <f t="shared" si="197"/>
        <v>6578</v>
      </c>
      <c r="AO846" s="12">
        <v>1</v>
      </c>
      <c r="AP846" s="12" t="s">
        <v>59</v>
      </c>
      <c r="AQ846" s="12">
        <v>0</v>
      </c>
      <c r="AR846" s="12">
        <v>18</v>
      </c>
      <c r="AS846" s="12">
        <v>3</v>
      </c>
      <c r="AT846" s="12">
        <v>1</v>
      </c>
      <c r="AU846" s="12">
        <v>1</v>
      </c>
      <c r="AV846" s="12">
        <v>10</v>
      </c>
      <c r="AW846" s="12">
        <f t="shared" si="198"/>
        <v>10</v>
      </c>
      <c r="AX846" s="12">
        <v>3</v>
      </c>
      <c r="AY846" s="12">
        <v>3</v>
      </c>
      <c r="AZ846" s="12">
        <v>10</v>
      </c>
      <c r="BA846" s="12">
        <f t="shared" si="199"/>
        <v>10</v>
      </c>
      <c r="BB846" s="12">
        <v>3</v>
      </c>
      <c r="BC846" s="12">
        <v>1</v>
      </c>
      <c r="BD846" s="12">
        <f t="shared" si="208"/>
        <v>1</v>
      </c>
      <c r="BE846" s="12">
        <v>4</v>
      </c>
      <c r="BF846" s="12">
        <f t="shared" si="200"/>
        <v>4</v>
      </c>
      <c r="BG846" s="12">
        <f t="shared" si="209"/>
        <v>8</v>
      </c>
      <c r="BH846" s="67">
        <v>0</v>
      </c>
      <c r="BI846" s="67">
        <v>1</v>
      </c>
      <c r="BJ846" s="67">
        <v>0</v>
      </c>
      <c r="BK846" s="67">
        <v>0</v>
      </c>
      <c r="BL846" s="67">
        <v>0</v>
      </c>
      <c r="BM846" s="67">
        <v>0</v>
      </c>
      <c r="BN846" s="67">
        <v>1</v>
      </c>
      <c r="BO846" s="67">
        <v>0</v>
      </c>
      <c r="BP846" s="67">
        <v>0</v>
      </c>
      <c r="BQ846" s="67">
        <v>0</v>
      </c>
      <c r="BR846" s="67">
        <v>4</v>
      </c>
      <c r="BS846" s="67">
        <v>0</v>
      </c>
      <c r="BT846" s="67">
        <v>0</v>
      </c>
      <c r="BU846" s="70">
        <v>10</v>
      </c>
      <c r="BV846" s="29">
        <f t="shared" si="201"/>
        <v>1.5945071490990885E-2</v>
      </c>
      <c r="BW846">
        <f t="shared" si="202"/>
        <v>3.4508002929560584E-2</v>
      </c>
      <c r="BX846">
        <f t="shared" si="203"/>
        <v>0.1644554352117841</v>
      </c>
      <c r="BY846">
        <f t="shared" si="204"/>
        <v>0.48834154112957734</v>
      </c>
      <c r="BZ846">
        <f t="shared" si="205"/>
        <v>9.9604847176766084E-2</v>
      </c>
      <c r="CA846">
        <f t="shared" si="206"/>
        <v>0.75791203633249671</v>
      </c>
      <c r="CB846">
        <f t="shared" si="207"/>
        <v>0.36858985273641137</v>
      </c>
    </row>
    <row r="847" spans="1:80" x14ac:dyDescent="0.45">
      <c r="A847" s="11">
        <v>40</v>
      </c>
      <c r="B847" s="12">
        <f t="shared" si="195"/>
        <v>40</v>
      </c>
      <c r="C847" s="12" t="s">
        <v>59</v>
      </c>
      <c r="D847" s="12">
        <v>0</v>
      </c>
      <c r="E847" s="12" t="s">
        <v>60</v>
      </c>
      <c r="F847" s="12">
        <v>1</v>
      </c>
      <c r="G847" s="12">
        <v>0</v>
      </c>
      <c r="H847" s="12" t="s">
        <v>61</v>
      </c>
      <c r="I847" s="12">
        <v>1</v>
      </c>
      <c r="J847" s="12">
        <v>0</v>
      </c>
      <c r="K847" s="12">
        <v>26</v>
      </c>
      <c r="L847" s="12">
        <f t="shared" si="196"/>
        <v>26</v>
      </c>
      <c r="M847" s="12">
        <v>2</v>
      </c>
      <c r="N847" s="12" t="s">
        <v>70</v>
      </c>
      <c r="O847" s="12">
        <v>0</v>
      </c>
      <c r="P847" s="12">
        <v>0</v>
      </c>
      <c r="Q847" s="12">
        <v>1</v>
      </c>
      <c r="R847" s="12">
        <v>0</v>
      </c>
      <c r="S847" s="12">
        <v>0</v>
      </c>
      <c r="T847" s="12">
        <v>3</v>
      </c>
      <c r="U847" s="12" t="s">
        <v>19</v>
      </c>
      <c r="V847" s="12">
        <v>1</v>
      </c>
      <c r="W847" s="12">
        <v>92</v>
      </c>
      <c r="X847" s="12">
        <v>2</v>
      </c>
      <c r="Y847" s="12">
        <v>2</v>
      </c>
      <c r="Z847" s="12" t="s">
        <v>63</v>
      </c>
      <c r="AA847" s="12">
        <v>0</v>
      </c>
      <c r="AB847" s="12">
        <v>0</v>
      </c>
      <c r="AC847" s="12">
        <v>0</v>
      </c>
      <c r="AD847" s="12">
        <v>0</v>
      </c>
      <c r="AE847" s="12">
        <v>0</v>
      </c>
      <c r="AF847" s="12">
        <v>0</v>
      </c>
      <c r="AG847" s="12">
        <v>0</v>
      </c>
      <c r="AH847" s="12">
        <v>1</v>
      </c>
      <c r="AI847" s="12">
        <v>4</v>
      </c>
      <c r="AJ847" s="12" t="s">
        <v>64</v>
      </c>
      <c r="AK847" s="12">
        <v>0</v>
      </c>
      <c r="AL847" s="12">
        <v>1</v>
      </c>
      <c r="AM847" s="12">
        <v>4422</v>
      </c>
      <c r="AN847" s="12">
        <f t="shared" si="197"/>
        <v>4422</v>
      </c>
      <c r="AO847" s="12">
        <v>3</v>
      </c>
      <c r="AP847" s="12" t="s">
        <v>52</v>
      </c>
      <c r="AQ847" s="12">
        <v>1</v>
      </c>
      <c r="AR847" s="12">
        <v>13</v>
      </c>
      <c r="AS847" s="12">
        <v>3</v>
      </c>
      <c r="AT847" s="12">
        <v>4</v>
      </c>
      <c r="AU847" s="12">
        <v>1</v>
      </c>
      <c r="AV847" s="12">
        <v>16</v>
      </c>
      <c r="AW847" s="12">
        <f t="shared" si="198"/>
        <v>16</v>
      </c>
      <c r="AX847" s="12">
        <v>3</v>
      </c>
      <c r="AY847" s="12">
        <v>1</v>
      </c>
      <c r="AZ847" s="12">
        <v>1</v>
      </c>
      <c r="BA847" s="12">
        <f t="shared" si="199"/>
        <v>1</v>
      </c>
      <c r="BB847" s="12">
        <v>1</v>
      </c>
      <c r="BC847" s="12">
        <v>0</v>
      </c>
      <c r="BD847" s="12">
        <f t="shared" si="208"/>
        <v>0</v>
      </c>
      <c r="BE847" s="12">
        <v>0</v>
      </c>
      <c r="BF847" s="12">
        <f t="shared" si="200"/>
        <v>0</v>
      </c>
      <c r="BG847" s="12">
        <f t="shared" si="209"/>
        <v>0</v>
      </c>
      <c r="BH847" s="67">
        <v>0</v>
      </c>
      <c r="BI847" s="67">
        <v>0</v>
      </c>
      <c r="BJ847" s="67">
        <v>0</v>
      </c>
      <c r="BK847" s="67">
        <v>1</v>
      </c>
      <c r="BL847" s="67">
        <v>0</v>
      </c>
      <c r="BM847" s="67">
        <v>0</v>
      </c>
      <c r="BN847" s="67">
        <v>0</v>
      </c>
      <c r="BO847" s="67">
        <v>1</v>
      </c>
      <c r="BP847" s="67">
        <v>0</v>
      </c>
      <c r="BQ847" s="67">
        <v>0</v>
      </c>
      <c r="BR847" s="67">
        <v>0</v>
      </c>
      <c r="BS847" s="67">
        <v>0</v>
      </c>
      <c r="BT847" s="67">
        <v>16</v>
      </c>
      <c r="BU847" s="70">
        <v>0</v>
      </c>
      <c r="BV847" s="29">
        <f t="shared" si="201"/>
        <v>0.44200305745960655</v>
      </c>
      <c r="BW847">
        <f t="shared" si="202"/>
        <v>1.1555414682655611</v>
      </c>
      <c r="BX847">
        <f t="shared" si="203"/>
        <v>0.60667531362816052</v>
      </c>
      <c r="BY847">
        <f t="shared" si="204"/>
        <v>0.9806804209314296</v>
      </c>
      <c r="BZ847">
        <f t="shared" si="205"/>
        <v>2.0732409091797459</v>
      </c>
      <c r="CA847">
        <f t="shared" si="206"/>
        <v>0.33673395837055903</v>
      </c>
      <c r="CB847">
        <f t="shared" si="207"/>
        <v>0.67891464284095016</v>
      </c>
    </row>
    <row r="848" spans="1:80" x14ac:dyDescent="0.45">
      <c r="A848" s="11">
        <v>35</v>
      </c>
      <c r="B848" s="12">
        <f t="shared" si="195"/>
        <v>35</v>
      </c>
      <c r="C848" s="12" t="s">
        <v>59</v>
      </c>
      <c r="D848" s="12">
        <v>0</v>
      </c>
      <c r="E848" s="12" t="s">
        <v>53</v>
      </c>
      <c r="F848" s="12">
        <v>0</v>
      </c>
      <c r="G848" s="12">
        <v>1</v>
      </c>
      <c r="H848" s="12" t="s">
        <v>61</v>
      </c>
      <c r="I848" s="12">
        <v>1</v>
      </c>
      <c r="J848" s="12">
        <v>0</v>
      </c>
      <c r="K848" s="12">
        <v>2</v>
      </c>
      <c r="L848" s="12">
        <f t="shared" si="196"/>
        <v>2</v>
      </c>
      <c r="M848" s="12">
        <v>3</v>
      </c>
      <c r="N848" s="12" t="s">
        <v>55</v>
      </c>
      <c r="O848" s="12">
        <v>1</v>
      </c>
      <c r="P848" s="12">
        <v>0</v>
      </c>
      <c r="Q848" s="12">
        <v>0</v>
      </c>
      <c r="R848" s="12">
        <v>0</v>
      </c>
      <c r="S848" s="12">
        <v>0</v>
      </c>
      <c r="T848" s="12">
        <v>3</v>
      </c>
      <c r="U848" s="12" t="s">
        <v>62</v>
      </c>
      <c r="V848" s="12">
        <v>0</v>
      </c>
      <c r="W848" s="12">
        <v>44</v>
      </c>
      <c r="X848" s="12">
        <v>2</v>
      </c>
      <c r="Y848" s="12">
        <v>3</v>
      </c>
      <c r="Z848" s="12" t="s">
        <v>83</v>
      </c>
      <c r="AA848" s="12">
        <v>0</v>
      </c>
      <c r="AB848" s="12">
        <v>0</v>
      </c>
      <c r="AC848" s="12">
        <v>0</v>
      </c>
      <c r="AD848" s="12">
        <v>0</v>
      </c>
      <c r="AE848" s="12">
        <v>1</v>
      </c>
      <c r="AF848" s="12">
        <v>1</v>
      </c>
      <c r="AG848" s="12">
        <v>0</v>
      </c>
      <c r="AH848" s="12">
        <v>0</v>
      </c>
      <c r="AI848" s="12">
        <v>2</v>
      </c>
      <c r="AJ848" s="12" t="s">
        <v>78</v>
      </c>
      <c r="AK848" s="12">
        <v>0</v>
      </c>
      <c r="AL848" s="12">
        <v>0</v>
      </c>
      <c r="AM848" s="12">
        <v>10274</v>
      </c>
      <c r="AN848" s="12">
        <f t="shared" si="197"/>
        <v>10274</v>
      </c>
      <c r="AO848" s="12">
        <v>2</v>
      </c>
      <c r="AP848" s="12" t="s">
        <v>59</v>
      </c>
      <c r="AQ848" s="12">
        <v>0</v>
      </c>
      <c r="AR848" s="12">
        <v>18</v>
      </c>
      <c r="AS848" s="12">
        <v>3</v>
      </c>
      <c r="AT848" s="12">
        <v>2</v>
      </c>
      <c r="AU848" s="12">
        <v>1</v>
      </c>
      <c r="AV848" s="12">
        <v>15</v>
      </c>
      <c r="AW848" s="12">
        <f t="shared" si="198"/>
        <v>15</v>
      </c>
      <c r="AX848" s="12">
        <v>2</v>
      </c>
      <c r="AY848" s="12">
        <v>4</v>
      </c>
      <c r="AZ848" s="12">
        <v>7</v>
      </c>
      <c r="BA848" s="12">
        <f t="shared" si="199"/>
        <v>7</v>
      </c>
      <c r="BB848" s="12">
        <v>7</v>
      </c>
      <c r="BC848" s="12">
        <v>6</v>
      </c>
      <c r="BD848" s="12">
        <f t="shared" si="208"/>
        <v>6</v>
      </c>
      <c r="BE848" s="12">
        <v>4</v>
      </c>
      <c r="BF848" s="12">
        <f t="shared" si="200"/>
        <v>4</v>
      </c>
      <c r="BG848" s="12">
        <f t="shared" si="209"/>
        <v>12</v>
      </c>
      <c r="BH848" s="67">
        <v>1</v>
      </c>
      <c r="BI848" s="67">
        <v>0</v>
      </c>
      <c r="BJ848" s="67">
        <v>0</v>
      </c>
      <c r="BK848" s="67">
        <v>0</v>
      </c>
      <c r="BL848" s="67">
        <v>1</v>
      </c>
      <c r="BM848" s="67">
        <v>0</v>
      </c>
      <c r="BN848" s="67">
        <v>0</v>
      </c>
      <c r="BO848" s="67">
        <v>0</v>
      </c>
      <c r="BP848" s="67">
        <v>0</v>
      </c>
      <c r="BQ848" s="67">
        <v>4</v>
      </c>
      <c r="BR848" s="67">
        <v>0</v>
      </c>
      <c r="BS848" s="67">
        <v>0</v>
      </c>
      <c r="BT848" s="67">
        <v>15</v>
      </c>
      <c r="BU848" s="70">
        <v>0</v>
      </c>
      <c r="BV848" s="29">
        <f t="shared" si="201"/>
        <v>0.80099900683487213</v>
      </c>
      <c r="BW848">
        <f t="shared" si="202"/>
        <v>3.4508002929560584E-2</v>
      </c>
      <c r="BX848">
        <f t="shared" si="203"/>
        <v>0.47815352215483642</v>
      </c>
      <c r="BY848">
        <f t="shared" si="204"/>
        <v>1.3324462240916321E-3</v>
      </c>
      <c r="BZ848">
        <f t="shared" si="205"/>
        <v>0.88721318382472392</v>
      </c>
      <c r="CA848">
        <f t="shared" si="206"/>
        <v>0.21058903898096887</v>
      </c>
      <c r="CB848">
        <f t="shared" si="207"/>
        <v>1.1830340977862825</v>
      </c>
    </row>
    <row r="849" spans="1:80" x14ac:dyDescent="0.45">
      <c r="A849" s="11">
        <v>34</v>
      </c>
      <c r="B849" s="12">
        <f t="shared" si="195"/>
        <v>34</v>
      </c>
      <c r="C849" s="12" t="s">
        <v>59</v>
      </c>
      <c r="D849" s="12">
        <v>0</v>
      </c>
      <c r="E849" s="12" t="s">
        <v>60</v>
      </c>
      <c r="F849" s="12">
        <v>1</v>
      </c>
      <c r="G849" s="12">
        <v>0</v>
      </c>
      <c r="H849" s="12" t="s">
        <v>61</v>
      </c>
      <c r="I849" s="12">
        <v>1</v>
      </c>
      <c r="J849" s="12">
        <v>0</v>
      </c>
      <c r="K849" s="12">
        <v>1</v>
      </c>
      <c r="L849" s="12">
        <f t="shared" si="196"/>
        <v>1</v>
      </c>
      <c r="M849" s="12">
        <v>3</v>
      </c>
      <c r="N849" s="12" t="s">
        <v>70</v>
      </c>
      <c r="O849" s="12">
        <v>0</v>
      </c>
      <c r="P849" s="12">
        <v>0</v>
      </c>
      <c r="Q849" s="12">
        <v>1</v>
      </c>
      <c r="R849" s="12">
        <v>0</v>
      </c>
      <c r="S849" s="12">
        <v>0</v>
      </c>
      <c r="T849" s="12">
        <v>4</v>
      </c>
      <c r="U849" s="12" t="s">
        <v>62</v>
      </c>
      <c r="V849" s="12">
        <v>0</v>
      </c>
      <c r="W849" s="12">
        <v>97</v>
      </c>
      <c r="X849" s="12">
        <v>2</v>
      </c>
      <c r="Y849" s="12">
        <v>2</v>
      </c>
      <c r="Z849" s="12" t="s">
        <v>85</v>
      </c>
      <c r="AA849" s="12">
        <v>1</v>
      </c>
      <c r="AB849" s="12">
        <v>0</v>
      </c>
      <c r="AC849" s="12">
        <v>0</v>
      </c>
      <c r="AD849" s="12">
        <v>0</v>
      </c>
      <c r="AE849" s="12">
        <v>0</v>
      </c>
      <c r="AF849" s="12">
        <v>0</v>
      </c>
      <c r="AG849" s="12">
        <v>0</v>
      </c>
      <c r="AH849" s="12">
        <v>0</v>
      </c>
      <c r="AI849" s="12">
        <v>1</v>
      </c>
      <c r="AJ849" s="12" t="s">
        <v>57</v>
      </c>
      <c r="AK849" s="12">
        <v>1</v>
      </c>
      <c r="AL849" s="12">
        <v>0</v>
      </c>
      <c r="AM849" s="12">
        <v>5343</v>
      </c>
      <c r="AN849" s="12">
        <f t="shared" si="197"/>
        <v>5343</v>
      </c>
      <c r="AO849" s="12">
        <v>0</v>
      </c>
      <c r="AP849" s="12" t="s">
        <v>59</v>
      </c>
      <c r="AQ849" s="12">
        <v>0</v>
      </c>
      <c r="AR849" s="12">
        <v>20</v>
      </c>
      <c r="AS849" s="12">
        <v>4</v>
      </c>
      <c r="AT849" s="12">
        <v>3</v>
      </c>
      <c r="AU849" s="12">
        <v>0</v>
      </c>
      <c r="AV849" s="12">
        <v>14</v>
      </c>
      <c r="AW849" s="12">
        <f t="shared" si="198"/>
        <v>14</v>
      </c>
      <c r="AX849" s="12">
        <v>3</v>
      </c>
      <c r="AY849" s="12">
        <v>3</v>
      </c>
      <c r="AZ849" s="12">
        <v>13</v>
      </c>
      <c r="BA849" s="12">
        <f t="shared" si="199"/>
        <v>13</v>
      </c>
      <c r="BB849" s="12">
        <v>9</v>
      </c>
      <c r="BC849" s="12">
        <v>4</v>
      </c>
      <c r="BD849" s="12">
        <f t="shared" si="208"/>
        <v>4</v>
      </c>
      <c r="BE849" s="12">
        <v>9</v>
      </c>
      <c r="BF849" s="12">
        <f t="shared" si="200"/>
        <v>9</v>
      </c>
      <c r="BG849" s="12">
        <f t="shared" si="209"/>
        <v>18</v>
      </c>
      <c r="BH849" s="67">
        <v>0</v>
      </c>
      <c r="BI849" s="67">
        <v>0</v>
      </c>
      <c r="BJ849" s="67">
        <v>1</v>
      </c>
      <c r="BK849" s="67">
        <v>0</v>
      </c>
      <c r="BL849" s="67">
        <v>1</v>
      </c>
      <c r="BM849" s="67">
        <v>0</v>
      </c>
      <c r="BN849" s="67">
        <v>0</v>
      </c>
      <c r="BO849" s="67">
        <v>0</v>
      </c>
      <c r="BP849" s="67">
        <v>0</v>
      </c>
      <c r="BQ849" s="67">
        <v>9</v>
      </c>
      <c r="BR849" s="67">
        <v>0</v>
      </c>
      <c r="BS849" s="67">
        <v>0</v>
      </c>
      <c r="BT849" s="67">
        <v>14</v>
      </c>
      <c r="BU849" s="70">
        <v>0</v>
      </c>
      <c r="BV849" s="29">
        <f t="shared" si="201"/>
        <v>0.24637679272699975</v>
      </c>
      <c r="BW849">
        <f t="shared" si="202"/>
        <v>1.3667838287404401</v>
      </c>
      <c r="BX849">
        <f t="shared" si="203"/>
        <v>0.34963173068151232</v>
      </c>
      <c r="BY849">
        <f t="shared" si="204"/>
        <v>0.97801552848324624</v>
      </c>
      <c r="BZ849">
        <f t="shared" si="205"/>
        <v>1.01056543769991</v>
      </c>
      <c r="CA849">
        <f t="shared" si="206"/>
        <v>0.32005363845127444</v>
      </c>
      <c r="CB849">
        <f t="shared" si="207"/>
        <v>0.56238451757720498</v>
      </c>
    </row>
    <row r="850" spans="1:80" x14ac:dyDescent="0.45">
      <c r="A850" s="11">
        <v>35</v>
      </c>
      <c r="B850" s="12">
        <f t="shared" si="195"/>
        <v>35</v>
      </c>
      <c r="C850" s="12" t="s">
        <v>59</v>
      </c>
      <c r="D850" s="12">
        <v>0</v>
      </c>
      <c r="E850" s="12" t="s">
        <v>60</v>
      </c>
      <c r="F850" s="12">
        <v>1</v>
      </c>
      <c r="G850" s="12">
        <v>0</v>
      </c>
      <c r="H850" s="12" t="s">
        <v>61</v>
      </c>
      <c r="I850" s="12">
        <v>1</v>
      </c>
      <c r="J850" s="12">
        <v>0</v>
      </c>
      <c r="K850" s="12">
        <v>4</v>
      </c>
      <c r="L850" s="12">
        <f t="shared" si="196"/>
        <v>4</v>
      </c>
      <c r="M850" s="12">
        <v>4</v>
      </c>
      <c r="N850" s="12" t="s">
        <v>66</v>
      </c>
      <c r="O850" s="12">
        <v>0</v>
      </c>
      <c r="P850" s="12">
        <v>1</v>
      </c>
      <c r="Q850" s="12">
        <v>0</v>
      </c>
      <c r="R850" s="12">
        <v>0</v>
      </c>
      <c r="S850" s="12">
        <v>0</v>
      </c>
      <c r="T850" s="12">
        <v>4</v>
      </c>
      <c r="U850" s="12" t="s">
        <v>62</v>
      </c>
      <c r="V850" s="12">
        <v>0</v>
      </c>
      <c r="W850" s="12">
        <v>47</v>
      </c>
      <c r="X850" s="12">
        <v>2</v>
      </c>
      <c r="Y850" s="12">
        <v>1</v>
      </c>
      <c r="Z850" s="12" t="s">
        <v>67</v>
      </c>
      <c r="AA850" s="12">
        <v>0</v>
      </c>
      <c r="AB850" s="12">
        <v>0</v>
      </c>
      <c r="AC850" s="12">
        <v>1</v>
      </c>
      <c r="AD850" s="12">
        <v>0</v>
      </c>
      <c r="AE850" s="12">
        <v>0</v>
      </c>
      <c r="AF850" s="12">
        <v>0</v>
      </c>
      <c r="AG850" s="12">
        <v>0</v>
      </c>
      <c r="AH850" s="12">
        <v>0</v>
      </c>
      <c r="AI850" s="12">
        <v>4</v>
      </c>
      <c r="AJ850" s="12" t="s">
        <v>64</v>
      </c>
      <c r="AK850" s="12">
        <v>0</v>
      </c>
      <c r="AL850" s="12">
        <v>1</v>
      </c>
      <c r="AM850" s="12">
        <v>2376</v>
      </c>
      <c r="AN850" s="12">
        <f t="shared" si="197"/>
        <v>2376</v>
      </c>
      <c r="AO850" s="12">
        <v>1</v>
      </c>
      <c r="AP850" s="12" t="s">
        <v>59</v>
      </c>
      <c r="AQ850" s="12">
        <v>0</v>
      </c>
      <c r="AR850" s="12">
        <v>13</v>
      </c>
      <c r="AS850" s="12">
        <v>3</v>
      </c>
      <c r="AT850" s="12">
        <v>2</v>
      </c>
      <c r="AU850" s="12">
        <v>1</v>
      </c>
      <c r="AV850" s="12">
        <v>2</v>
      </c>
      <c r="AW850" s="12">
        <f t="shared" si="198"/>
        <v>2</v>
      </c>
      <c r="AX850" s="12">
        <v>2</v>
      </c>
      <c r="AY850" s="12">
        <v>4</v>
      </c>
      <c r="AZ850" s="12">
        <v>2</v>
      </c>
      <c r="BA850" s="12">
        <f t="shared" si="199"/>
        <v>2</v>
      </c>
      <c r="BB850" s="12">
        <v>2</v>
      </c>
      <c r="BC850" s="12">
        <v>2</v>
      </c>
      <c r="BD850" s="12">
        <f t="shared" si="208"/>
        <v>2</v>
      </c>
      <c r="BE850" s="12">
        <v>2</v>
      </c>
      <c r="BF850" s="12">
        <f t="shared" si="200"/>
        <v>2</v>
      </c>
      <c r="BG850" s="12">
        <f t="shared" si="209"/>
        <v>2</v>
      </c>
      <c r="BH850" s="67">
        <v>0</v>
      </c>
      <c r="BI850" s="67">
        <v>0</v>
      </c>
      <c r="BJ850" s="67">
        <v>0</v>
      </c>
      <c r="BK850" s="67">
        <v>1</v>
      </c>
      <c r="BL850" s="67">
        <v>0</v>
      </c>
      <c r="BM850" s="67">
        <v>0</v>
      </c>
      <c r="BN850" s="67">
        <v>1</v>
      </c>
      <c r="BO850" s="67">
        <v>0</v>
      </c>
      <c r="BP850" s="67">
        <v>0</v>
      </c>
      <c r="BQ850" s="67">
        <v>2</v>
      </c>
      <c r="BR850" s="67">
        <v>0</v>
      </c>
      <c r="BS850" s="67">
        <v>0</v>
      </c>
      <c r="BT850" s="67">
        <v>2</v>
      </c>
      <c r="BU850" s="70">
        <v>0</v>
      </c>
      <c r="BV850" s="29">
        <f t="shared" si="201"/>
        <v>0.87658648595354083</v>
      </c>
      <c r="BW850">
        <f t="shared" si="202"/>
        <v>0.59502473559756086</v>
      </c>
      <c r="BX850">
        <f t="shared" si="203"/>
        <v>1.192629766998377</v>
      </c>
      <c r="BY850">
        <f t="shared" si="204"/>
        <v>0.81745575848020657</v>
      </c>
      <c r="BZ850">
        <f t="shared" si="205"/>
        <v>0.64050867607435136</v>
      </c>
      <c r="CA850">
        <f t="shared" si="206"/>
        <v>0.21058903898096887</v>
      </c>
      <c r="CB850">
        <f t="shared" si="207"/>
        <v>5.8265062631872602E-2</v>
      </c>
    </row>
    <row r="851" spans="1:80" x14ac:dyDescent="0.45">
      <c r="A851" s="11">
        <v>43</v>
      </c>
      <c r="B851" s="12">
        <f t="shared" si="195"/>
        <v>43</v>
      </c>
      <c r="C851" s="12" t="s">
        <v>52</v>
      </c>
      <c r="D851" s="12">
        <v>1</v>
      </c>
      <c r="E851" s="12" t="s">
        <v>53</v>
      </c>
      <c r="F851" s="12">
        <v>0</v>
      </c>
      <c r="G851" s="12">
        <v>1</v>
      </c>
      <c r="H851" s="12" t="s">
        <v>54</v>
      </c>
      <c r="I851" s="12">
        <v>0</v>
      </c>
      <c r="J851" s="12">
        <v>1</v>
      </c>
      <c r="K851" s="12">
        <v>9</v>
      </c>
      <c r="L851" s="12">
        <f t="shared" si="196"/>
        <v>9</v>
      </c>
      <c r="M851" s="12">
        <v>3</v>
      </c>
      <c r="N851" s="12" t="s">
        <v>90</v>
      </c>
      <c r="O851" s="12">
        <v>0</v>
      </c>
      <c r="P851" s="12">
        <v>0</v>
      </c>
      <c r="Q851" s="12">
        <v>0</v>
      </c>
      <c r="R851" s="12">
        <v>1</v>
      </c>
      <c r="S851" s="12">
        <v>0</v>
      </c>
      <c r="T851" s="12">
        <v>1</v>
      </c>
      <c r="U851" s="12" t="s">
        <v>19</v>
      </c>
      <c r="V851" s="12">
        <v>1</v>
      </c>
      <c r="W851" s="12">
        <v>85</v>
      </c>
      <c r="X851" s="12">
        <v>1</v>
      </c>
      <c r="Y851" s="12">
        <v>2</v>
      </c>
      <c r="Z851" s="12" t="s">
        <v>56</v>
      </c>
      <c r="AA851" s="12">
        <v>0</v>
      </c>
      <c r="AB851" s="12">
        <v>1</v>
      </c>
      <c r="AC851" s="12">
        <v>0</v>
      </c>
      <c r="AD851" s="12">
        <v>0</v>
      </c>
      <c r="AE851" s="12">
        <v>0</v>
      </c>
      <c r="AF851" s="12">
        <v>0</v>
      </c>
      <c r="AG851" s="12">
        <v>0</v>
      </c>
      <c r="AH851" s="12">
        <v>0</v>
      </c>
      <c r="AI851" s="12">
        <v>3</v>
      </c>
      <c r="AJ851" s="12" t="s">
        <v>57</v>
      </c>
      <c r="AK851" s="12">
        <v>1</v>
      </c>
      <c r="AL851" s="12">
        <v>0</v>
      </c>
      <c r="AM851" s="12">
        <v>5346</v>
      </c>
      <c r="AN851" s="12">
        <f t="shared" si="197"/>
        <v>5346</v>
      </c>
      <c r="AO851" s="12">
        <v>8</v>
      </c>
      <c r="AP851" s="12" t="s">
        <v>59</v>
      </c>
      <c r="AQ851" s="12">
        <v>0</v>
      </c>
      <c r="AR851" s="12">
        <v>13</v>
      </c>
      <c r="AS851" s="12">
        <v>3</v>
      </c>
      <c r="AT851" s="12">
        <v>2</v>
      </c>
      <c r="AU851" s="12">
        <v>0</v>
      </c>
      <c r="AV851" s="12">
        <v>7</v>
      </c>
      <c r="AW851" s="12">
        <f t="shared" si="198"/>
        <v>7</v>
      </c>
      <c r="AX851" s="12">
        <v>2</v>
      </c>
      <c r="AY851" s="12">
        <v>2</v>
      </c>
      <c r="AZ851" s="12">
        <v>4</v>
      </c>
      <c r="BA851" s="12">
        <f t="shared" si="199"/>
        <v>4</v>
      </c>
      <c r="BB851" s="12">
        <v>3</v>
      </c>
      <c r="BC851" s="12">
        <v>1</v>
      </c>
      <c r="BD851" s="12">
        <f t="shared" si="208"/>
        <v>1</v>
      </c>
      <c r="BE851" s="12">
        <v>3</v>
      </c>
      <c r="BF851" s="12">
        <f t="shared" si="200"/>
        <v>3</v>
      </c>
      <c r="BG851" s="12">
        <f t="shared" si="209"/>
        <v>6</v>
      </c>
      <c r="BH851" s="67">
        <v>1</v>
      </c>
      <c r="BI851" s="67">
        <v>0</v>
      </c>
      <c r="BJ851" s="67">
        <v>0</v>
      </c>
      <c r="BK851" s="67">
        <v>0</v>
      </c>
      <c r="BL851" s="67">
        <v>1</v>
      </c>
      <c r="BM851" s="67">
        <v>0</v>
      </c>
      <c r="BN851" s="67">
        <v>0</v>
      </c>
      <c r="BO851" s="67">
        <v>0</v>
      </c>
      <c r="BP851" s="67">
        <v>0</v>
      </c>
      <c r="BQ851" s="67">
        <v>0</v>
      </c>
      <c r="BR851" s="67">
        <v>3</v>
      </c>
      <c r="BS851" s="67">
        <v>0</v>
      </c>
      <c r="BT851" s="67">
        <v>0</v>
      </c>
      <c r="BU851" s="70">
        <v>7</v>
      </c>
      <c r="BV851" s="29">
        <f t="shared" si="201"/>
        <v>0.24573957362363621</v>
      </c>
      <c r="BW851">
        <f t="shared" si="202"/>
        <v>0.31476636926356072</v>
      </c>
      <c r="BX851">
        <f t="shared" si="203"/>
        <v>0.55002080963175637</v>
      </c>
      <c r="BY851">
        <f t="shared" si="204"/>
        <v>0.49100643357776058</v>
      </c>
      <c r="BZ851">
        <f t="shared" si="205"/>
        <v>2.3747406698420157E-2</v>
      </c>
      <c r="CA851">
        <f t="shared" si="206"/>
        <v>0.66512775678147573</v>
      </c>
      <c r="CB851">
        <f t="shared" si="207"/>
        <v>0.36858985273641137</v>
      </c>
    </row>
    <row r="852" spans="1:80" x14ac:dyDescent="0.45">
      <c r="A852" s="11">
        <v>32</v>
      </c>
      <c r="B852" s="12">
        <f t="shared" si="195"/>
        <v>32</v>
      </c>
      <c r="C852" s="12" t="s">
        <v>59</v>
      </c>
      <c r="D852" s="12">
        <v>0</v>
      </c>
      <c r="E852" s="12" t="s">
        <v>86</v>
      </c>
      <c r="F852" s="12">
        <v>0</v>
      </c>
      <c r="G852" s="12">
        <v>0</v>
      </c>
      <c r="H852" s="12" t="s">
        <v>54</v>
      </c>
      <c r="I852" s="12">
        <v>0</v>
      </c>
      <c r="J852" s="12">
        <v>1</v>
      </c>
      <c r="K852" s="12">
        <v>2</v>
      </c>
      <c r="L852" s="12">
        <f t="shared" si="196"/>
        <v>2</v>
      </c>
      <c r="M852" s="12">
        <v>1</v>
      </c>
      <c r="N852" s="12" t="s">
        <v>55</v>
      </c>
      <c r="O852" s="12">
        <v>1</v>
      </c>
      <c r="P852" s="12">
        <v>0</v>
      </c>
      <c r="Q852" s="12">
        <v>0</v>
      </c>
      <c r="R852" s="12">
        <v>0</v>
      </c>
      <c r="S852" s="12">
        <v>0</v>
      </c>
      <c r="T852" s="12">
        <v>3</v>
      </c>
      <c r="U852" s="12" t="s">
        <v>19</v>
      </c>
      <c r="V852" s="12">
        <v>1</v>
      </c>
      <c r="W852" s="12">
        <v>76</v>
      </c>
      <c r="X852" s="12">
        <v>3</v>
      </c>
      <c r="Y852" s="12">
        <v>1</v>
      </c>
      <c r="Z852" s="12" t="s">
        <v>88</v>
      </c>
      <c r="AA852" s="12">
        <v>0</v>
      </c>
      <c r="AB852" s="12">
        <v>0</v>
      </c>
      <c r="AC852" s="12">
        <v>0</v>
      </c>
      <c r="AD852" s="12">
        <v>0</v>
      </c>
      <c r="AE852" s="12">
        <v>0</v>
      </c>
      <c r="AF852" s="12">
        <v>0</v>
      </c>
      <c r="AG852" s="12">
        <v>1</v>
      </c>
      <c r="AH852" s="12">
        <v>0</v>
      </c>
      <c r="AI852" s="12">
        <v>1</v>
      </c>
      <c r="AJ852" s="12" t="s">
        <v>78</v>
      </c>
      <c r="AK852" s="12">
        <v>0</v>
      </c>
      <c r="AL852" s="12">
        <v>0</v>
      </c>
      <c r="AM852" s="12">
        <v>2827</v>
      </c>
      <c r="AN852" s="12">
        <f t="shared" si="197"/>
        <v>2827</v>
      </c>
      <c r="AO852" s="12">
        <v>1</v>
      </c>
      <c r="AP852" s="12" t="s">
        <v>59</v>
      </c>
      <c r="AQ852" s="12">
        <v>0</v>
      </c>
      <c r="AR852" s="12">
        <v>12</v>
      </c>
      <c r="AS852" s="12">
        <v>3</v>
      </c>
      <c r="AT852" s="12">
        <v>3</v>
      </c>
      <c r="AU852" s="12">
        <v>3</v>
      </c>
      <c r="AV852" s="12">
        <v>1</v>
      </c>
      <c r="AW852" s="12">
        <f t="shared" si="198"/>
        <v>1</v>
      </c>
      <c r="AX852" s="12">
        <v>3</v>
      </c>
      <c r="AY852" s="12">
        <v>3</v>
      </c>
      <c r="AZ852" s="12">
        <v>1</v>
      </c>
      <c r="BA852" s="12">
        <f t="shared" si="199"/>
        <v>1</v>
      </c>
      <c r="BB852" s="12">
        <v>0</v>
      </c>
      <c r="BC852" s="12">
        <v>0</v>
      </c>
      <c r="BD852" s="12">
        <f t="shared" si="208"/>
        <v>0</v>
      </c>
      <c r="BE852" s="12">
        <v>0</v>
      </c>
      <c r="BF852" s="12">
        <f t="shared" si="200"/>
        <v>0</v>
      </c>
      <c r="BG852" s="12">
        <f t="shared" si="209"/>
        <v>0</v>
      </c>
      <c r="BH852" s="67">
        <v>1</v>
      </c>
      <c r="BI852" s="67">
        <v>0</v>
      </c>
      <c r="BJ852" s="67">
        <v>0</v>
      </c>
      <c r="BK852" s="67">
        <v>0</v>
      </c>
      <c r="BL852" s="67">
        <v>1</v>
      </c>
      <c r="BM852" s="67">
        <v>0</v>
      </c>
      <c r="BN852" s="67">
        <v>0</v>
      </c>
      <c r="BO852" s="67">
        <v>0</v>
      </c>
      <c r="BP852" s="67">
        <v>0</v>
      </c>
      <c r="BQ852" s="67">
        <v>0</v>
      </c>
      <c r="BR852" s="67">
        <v>0</v>
      </c>
      <c r="BS852" s="67">
        <v>0</v>
      </c>
      <c r="BT852" s="67">
        <v>0</v>
      </c>
      <c r="BU852" s="70">
        <v>1</v>
      </c>
      <c r="BV852" s="29">
        <f t="shared" si="201"/>
        <v>0.78079121408122198</v>
      </c>
      <c r="BW852">
        <f t="shared" si="202"/>
        <v>1.1555414682655611</v>
      </c>
      <c r="BX852">
        <f t="shared" si="203"/>
        <v>1.3211515584717011</v>
      </c>
      <c r="BY852">
        <f t="shared" si="204"/>
        <v>0.9806804209314296</v>
      </c>
      <c r="BZ852">
        <f t="shared" si="205"/>
        <v>0.88721318382472392</v>
      </c>
      <c r="CA852">
        <f t="shared" si="206"/>
        <v>0.53898283739188557</v>
      </c>
      <c r="CB852">
        <f t="shared" si="207"/>
        <v>0.67891464284095016</v>
      </c>
    </row>
    <row r="853" spans="1:80" x14ac:dyDescent="0.45">
      <c r="A853" s="11">
        <v>56</v>
      </c>
      <c r="B853" s="12">
        <f t="shared" si="195"/>
        <v>56</v>
      </c>
      <c r="C853" s="12" t="s">
        <v>59</v>
      </c>
      <c r="D853" s="12">
        <v>0</v>
      </c>
      <c r="E853" s="12" t="s">
        <v>53</v>
      </c>
      <c r="F853" s="12">
        <v>0</v>
      </c>
      <c r="G853" s="12">
        <v>1</v>
      </c>
      <c r="H853" s="12" t="s">
        <v>61</v>
      </c>
      <c r="I853" s="12">
        <v>1</v>
      </c>
      <c r="J853" s="12">
        <v>0</v>
      </c>
      <c r="K853" s="12">
        <v>4</v>
      </c>
      <c r="L853" s="12">
        <f t="shared" si="196"/>
        <v>4</v>
      </c>
      <c r="M853" s="12">
        <v>4</v>
      </c>
      <c r="N853" s="12" t="s">
        <v>91</v>
      </c>
      <c r="O853" s="12">
        <v>0</v>
      </c>
      <c r="P853" s="12">
        <v>0</v>
      </c>
      <c r="Q853" s="12">
        <v>0</v>
      </c>
      <c r="R853" s="12">
        <v>0</v>
      </c>
      <c r="S853" s="12">
        <v>1</v>
      </c>
      <c r="T853" s="12">
        <v>4</v>
      </c>
      <c r="U853" s="12" t="s">
        <v>19</v>
      </c>
      <c r="V853" s="12">
        <v>1</v>
      </c>
      <c r="W853" s="12">
        <v>92</v>
      </c>
      <c r="X853" s="12">
        <v>3</v>
      </c>
      <c r="Y853" s="12">
        <v>5</v>
      </c>
      <c r="Z853" s="12" t="s">
        <v>87</v>
      </c>
      <c r="AA853" s="12">
        <v>0</v>
      </c>
      <c r="AB853" s="12">
        <v>0</v>
      </c>
      <c r="AC853" s="12">
        <v>0</v>
      </c>
      <c r="AD853" s="12">
        <v>1</v>
      </c>
      <c r="AE853" s="12">
        <v>0</v>
      </c>
      <c r="AF853" s="12">
        <v>0</v>
      </c>
      <c r="AG853" s="12">
        <v>0</v>
      </c>
      <c r="AH853" s="12">
        <v>0</v>
      </c>
      <c r="AI853" s="12">
        <v>1</v>
      </c>
      <c r="AJ853" s="12" t="s">
        <v>78</v>
      </c>
      <c r="AK853" s="12">
        <v>0</v>
      </c>
      <c r="AL853" s="12">
        <v>0</v>
      </c>
      <c r="AM853" s="12">
        <v>19943</v>
      </c>
      <c r="AN853" s="12">
        <f t="shared" si="197"/>
        <v>19626.310000000001</v>
      </c>
      <c r="AO853" s="12">
        <v>4</v>
      </c>
      <c r="AP853" s="12" t="s">
        <v>59</v>
      </c>
      <c r="AQ853" s="12">
        <v>0</v>
      </c>
      <c r="AR853" s="12">
        <v>13</v>
      </c>
      <c r="AS853" s="12">
        <v>3</v>
      </c>
      <c r="AT853" s="12">
        <v>4</v>
      </c>
      <c r="AU853" s="12">
        <v>1</v>
      </c>
      <c r="AV853" s="12">
        <v>28</v>
      </c>
      <c r="AW853" s="12">
        <f t="shared" si="198"/>
        <v>28</v>
      </c>
      <c r="AX853" s="12">
        <v>2</v>
      </c>
      <c r="AY853" s="12">
        <v>3</v>
      </c>
      <c r="AZ853" s="12">
        <v>5</v>
      </c>
      <c r="BA853" s="12">
        <f t="shared" si="199"/>
        <v>5</v>
      </c>
      <c r="BB853" s="12">
        <v>2</v>
      </c>
      <c r="BC853" s="12">
        <v>4</v>
      </c>
      <c r="BD853" s="12">
        <f t="shared" si="208"/>
        <v>4</v>
      </c>
      <c r="BE853" s="12">
        <v>2</v>
      </c>
      <c r="BF853" s="12">
        <f t="shared" si="200"/>
        <v>2</v>
      </c>
      <c r="BG853" s="12">
        <f t="shared" si="209"/>
        <v>10</v>
      </c>
      <c r="BH853" s="67">
        <v>1</v>
      </c>
      <c r="BI853" s="67">
        <v>0</v>
      </c>
      <c r="BJ853" s="67">
        <v>0</v>
      </c>
      <c r="BK853" s="67">
        <v>0</v>
      </c>
      <c r="BL853" s="67">
        <v>1</v>
      </c>
      <c r="BM853" s="67">
        <v>0</v>
      </c>
      <c r="BN853" s="67">
        <v>0</v>
      </c>
      <c r="BO853" s="67">
        <v>0</v>
      </c>
      <c r="BP853" s="67">
        <v>0</v>
      </c>
      <c r="BQ853" s="67">
        <v>2</v>
      </c>
      <c r="BR853" s="67">
        <v>0</v>
      </c>
      <c r="BS853" s="67">
        <v>0</v>
      </c>
      <c r="BT853" s="67">
        <v>28</v>
      </c>
      <c r="BU853" s="70">
        <v>0</v>
      </c>
      <c r="BV853" s="29">
        <f t="shared" si="201"/>
        <v>2.8547561769755618</v>
      </c>
      <c r="BW853">
        <f t="shared" si="202"/>
        <v>0.59502473559756086</v>
      </c>
      <c r="BX853">
        <f t="shared" si="203"/>
        <v>2.1489368113080496</v>
      </c>
      <c r="BY853">
        <f t="shared" si="204"/>
        <v>0.32778177112653761</v>
      </c>
      <c r="BZ853">
        <f t="shared" si="205"/>
        <v>0.64050867607435136</v>
      </c>
      <c r="CA853">
        <f t="shared" si="206"/>
        <v>2.0881675498954482</v>
      </c>
      <c r="CB853">
        <f t="shared" si="207"/>
        <v>0.56238451757720498</v>
      </c>
    </row>
    <row r="854" spans="1:80" x14ac:dyDescent="0.45">
      <c r="A854" s="11">
        <v>29</v>
      </c>
      <c r="B854" s="12">
        <f t="shared" si="195"/>
        <v>29</v>
      </c>
      <c r="C854" s="12" t="s">
        <v>59</v>
      </c>
      <c r="D854" s="12">
        <v>0</v>
      </c>
      <c r="E854" s="12" t="s">
        <v>53</v>
      </c>
      <c r="F854" s="12">
        <v>0</v>
      </c>
      <c r="G854" s="12">
        <v>1</v>
      </c>
      <c r="H854" s="12" t="s">
        <v>61</v>
      </c>
      <c r="I854" s="12">
        <v>1</v>
      </c>
      <c r="J854" s="12">
        <v>0</v>
      </c>
      <c r="K854" s="12">
        <v>6</v>
      </c>
      <c r="L854" s="12">
        <f t="shared" si="196"/>
        <v>6</v>
      </c>
      <c r="M854" s="12">
        <v>1</v>
      </c>
      <c r="N854" s="12" t="s">
        <v>70</v>
      </c>
      <c r="O854" s="12">
        <v>0</v>
      </c>
      <c r="P854" s="12">
        <v>0</v>
      </c>
      <c r="Q854" s="12">
        <v>1</v>
      </c>
      <c r="R854" s="12">
        <v>0</v>
      </c>
      <c r="S854" s="12">
        <v>0</v>
      </c>
      <c r="T854" s="12">
        <v>2</v>
      </c>
      <c r="U854" s="12" t="s">
        <v>19</v>
      </c>
      <c r="V854" s="12">
        <v>1</v>
      </c>
      <c r="W854" s="12">
        <v>54</v>
      </c>
      <c r="X854" s="12">
        <v>3</v>
      </c>
      <c r="Y854" s="12">
        <v>1</v>
      </c>
      <c r="Z854" s="12" t="s">
        <v>67</v>
      </c>
      <c r="AA854" s="12">
        <v>0</v>
      </c>
      <c r="AB854" s="12">
        <v>0</v>
      </c>
      <c r="AC854" s="12">
        <v>1</v>
      </c>
      <c r="AD854" s="12">
        <v>0</v>
      </c>
      <c r="AE854" s="12">
        <v>0</v>
      </c>
      <c r="AF854" s="12">
        <v>0</v>
      </c>
      <c r="AG854" s="12">
        <v>0</v>
      </c>
      <c r="AH854" s="12">
        <v>0</v>
      </c>
      <c r="AI854" s="12">
        <v>4</v>
      </c>
      <c r="AJ854" s="12" t="s">
        <v>64</v>
      </c>
      <c r="AK854" s="12">
        <v>0</v>
      </c>
      <c r="AL854" s="12">
        <v>1</v>
      </c>
      <c r="AM854" s="12">
        <v>3131</v>
      </c>
      <c r="AN854" s="12">
        <f t="shared" si="197"/>
        <v>3131</v>
      </c>
      <c r="AO854" s="12">
        <v>1</v>
      </c>
      <c r="AP854" s="12" t="s">
        <v>59</v>
      </c>
      <c r="AQ854" s="12">
        <v>0</v>
      </c>
      <c r="AR854" s="12">
        <v>13</v>
      </c>
      <c r="AS854" s="12">
        <v>3</v>
      </c>
      <c r="AT854" s="12">
        <v>1</v>
      </c>
      <c r="AU854" s="12">
        <v>1</v>
      </c>
      <c r="AV854" s="12">
        <v>10</v>
      </c>
      <c r="AW854" s="12">
        <f t="shared" si="198"/>
        <v>10</v>
      </c>
      <c r="AX854" s="12">
        <v>5</v>
      </c>
      <c r="AY854" s="12">
        <v>3</v>
      </c>
      <c r="AZ854" s="12">
        <v>10</v>
      </c>
      <c r="BA854" s="12">
        <f t="shared" si="199"/>
        <v>10</v>
      </c>
      <c r="BB854" s="12">
        <v>8</v>
      </c>
      <c r="BC854" s="12">
        <v>0</v>
      </c>
      <c r="BD854" s="12">
        <f t="shared" si="208"/>
        <v>0</v>
      </c>
      <c r="BE854" s="12">
        <v>8</v>
      </c>
      <c r="BF854" s="12">
        <f t="shared" si="200"/>
        <v>8</v>
      </c>
      <c r="BG854" s="12">
        <f t="shared" si="209"/>
        <v>8</v>
      </c>
      <c r="BH854" s="67">
        <v>0</v>
      </c>
      <c r="BI854" s="67">
        <v>1</v>
      </c>
      <c r="BJ854" s="67">
        <v>0</v>
      </c>
      <c r="BK854" s="67">
        <v>0</v>
      </c>
      <c r="BL854" s="67">
        <v>0</v>
      </c>
      <c r="BM854" s="67">
        <v>0</v>
      </c>
      <c r="BN854" s="67">
        <v>1</v>
      </c>
      <c r="BO854" s="67">
        <v>0</v>
      </c>
      <c r="BP854" s="67">
        <v>0</v>
      </c>
      <c r="BQ854" s="67">
        <v>8</v>
      </c>
      <c r="BR854" s="67">
        <v>0</v>
      </c>
      <c r="BS854" s="67">
        <v>0</v>
      </c>
      <c r="BT854" s="67">
        <v>10</v>
      </c>
      <c r="BU854" s="70">
        <v>0</v>
      </c>
      <c r="BV854" s="29">
        <f t="shared" si="201"/>
        <v>0.71621967827371658</v>
      </c>
      <c r="BW854">
        <f t="shared" si="202"/>
        <v>1.08652546240644</v>
      </c>
      <c r="BX854">
        <f t="shared" si="203"/>
        <v>0.1644554352117841</v>
      </c>
      <c r="BY854">
        <f t="shared" si="204"/>
        <v>0.48834154112957734</v>
      </c>
      <c r="BZ854">
        <f t="shared" si="205"/>
        <v>0.39380416832397891</v>
      </c>
      <c r="CA854">
        <f t="shared" si="206"/>
        <v>0.86737663580280233</v>
      </c>
      <c r="CB854">
        <f t="shared" si="207"/>
        <v>0.67891464284095016</v>
      </c>
    </row>
    <row r="855" spans="1:80" x14ac:dyDescent="0.45">
      <c r="A855" s="11">
        <v>19</v>
      </c>
      <c r="B855" s="12">
        <f t="shared" si="195"/>
        <v>19</v>
      </c>
      <c r="C855" s="12" t="s">
        <v>59</v>
      </c>
      <c r="D855" s="12">
        <v>0</v>
      </c>
      <c r="E855" s="12" t="s">
        <v>53</v>
      </c>
      <c r="F855" s="12">
        <v>0</v>
      </c>
      <c r="G855" s="12">
        <v>1</v>
      </c>
      <c r="H855" s="12" t="s">
        <v>61</v>
      </c>
      <c r="I855" s="12">
        <v>1</v>
      </c>
      <c r="J855" s="12">
        <v>0</v>
      </c>
      <c r="K855" s="12">
        <v>9</v>
      </c>
      <c r="L855" s="12">
        <f t="shared" si="196"/>
        <v>9</v>
      </c>
      <c r="M855" s="12">
        <v>2</v>
      </c>
      <c r="N855" s="12" t="s">
        <v>55</v>
      </c>
      <c r="O855" s="12">
        <v>1</v>
      </c>
      <c r="P855" s="12">
        <v>0</v>
      </c>
      <c r="Q855" s="12">
        <v>0</v>
      </c>
      <c r="R855" s="12">
        <v>0</v>
      </c>
      <c r="S855" s="12">
        <v>0</v>
      </c>
      <c r="T855" s="12">
        <v>3</v>
      </c>
      <c r="U855" s="12" t="s">
        <v>62</v>
      </c>
      <c r="V855" s="12">
        <v>0</v>
      </c>
      <c r="W855" s="12">
        <v>54</v>
      </c>
      <c r="X855" s="12">
        <v>3</v>
      </c>
      <c r="Y855" s="12">
        <v>1</v>
      </c>
      <c r="Z855" s="12" t="s">
        <v>63</v>
      </c>
      <c r="AA855" s="12">
        <v>0</v>
      </c>
      <c r="AB855" s="12">
        <v>0</v>
      </c>
      <c r="AC855" s="12">
        <v>0</v>
      </c>
      <c r="AD855" s="12">
        <v>0</v>
      </c>
      <c r="AE855" s="12">
        <v>0</v>
      </c>
      <c r="AF855" s="12">
        <v>0</v>
      </c>
      <c r="AG855" s="12">
        <v>0</v>
      </c>
      <c r="AH855" s="12">
        <v>1</v>
      </c>
      <c r="AI855" s="12">
        <v>1</v>
      </c>
      <c r="AJ855" s="12" t="s">
        <v>57</v>
      </c>
      <c r="AK855" s="12">
        <v>1</v>
      </c>
      <c r="AL855" s="12">
        <v>0</v>
      </c>
      <c r="AM855" s="12">
        <v>2552</v>
      </c>
      <c r="AN855" s="12">
        <f t="shared" si="197"/>
        <v>2552</v>
      </c>
      <c r="AO855" s="12">
        <v>1</v>
      </c>
      <c r="AP855" s="12" t="s">
        <v>59</v>
      </c>
      <c r="AQ855" s="12">
        <v>0</v>
      </c>
      <c r="AR855" s="12">
        <v>25</v>
      </c>
      <c r="AS855" s="12">
        <v>4</v>
      </c>
      <c r="AT855" s="12">
        <v>3</v>
      </c>
      <c r="AU855" s="12">
        <v>0</v>
      </c>
      <c r="AV855" s="12">
        <v>1</v>
      </c>
      <c r="AW855" s="12">
        <f t="shared" si="198"/>
        <v>1</v>
      </c>
      <c r="AX855" s="12">
        <v>4</v>
      </c>
      <c r="AY855" s="12">
        <v>3</v>
      </c>
      <c r="AZ855" s="12">
        <v>1</v>
      </c>
      <c r="BA855" s="12">
        <f t="shared" si="199"/>
        <v>1</v>
      </c>
      <c r="BB855" s="12">
        <v>1</v>
      </c>
      <c r="BC855" s="12">
        <v>0</v>
      </c>
      <c r="BD855" s="12">
        <f t="shared" si="208"/>
        <v>0</v>
      </c>
      <c r="BE855" s="12">
        <v>0</v>
      </c>
      <c r="BF855" s="12">
        <f t="shared" si="200"/>
        <v>0</v>
      </c>
      <c r="BG855" s="12">
        <f t="shared" si="209"/>
        <v>0</v>
      </c>
      <c r="BH855" s="67">
        <v>1</v>
      </c>
      <c r="BI855" s="67">
        <v>0</v>
      </c>
      <c r="BJ855" s="67">
        <v>0</v>
      </c>
      <c r="BK855" s="67">
        <v>0</v>
      </c>
      <c r="BL855" s="67">
        <v>1</v>
      </c>
      <c r="BM855" s="67">
        <v>0</v>
      </c>
      <c r="BN855" s="67">
        <v>0</v>
      </c>
      <c r="BO855" s="67">
        <v>0</v>
      </c>
      <c r="BP855" s="67">
        <v>0</v>
      </c>
      <c r="BQ855" s="67">
        <v>0</v>
      </c>
      <c r="BR855" s="67">
        <v>0</v>
      </c>
      <c r="BS855" s="67">
        <v>0</v>
      </c>
      <c r="BT855" s="67">
        <v>1</v>
      </c>
      <c r="BU855" s="70">
        <v>0</v>
      </c>
      <c r="BV855" s="29">
        <f t="shared" si="201"/>
        <v>0.83920296522287985</v>
      </c>
      <c r="BW855">
        <f t="shared" si="202"/>
        <v>1.1555414682655611</v>
      </c>
      <c r="BX855">
        <f t="shared" si="203"/>
        <v>1.3211515584717011</v>
      </c>
      <c r="BY855">
        <f t="shared" si="204"/>
        <v>0.9806804209314296</v>
      </c>
      <c r="BZ855">
        <f t="shared" si="205"/>
        <v>2.3747406698420157E-2</v>
      </c>
      <c r="CA855">
        <f t="shared" si="206"/>
        <v>1.9620226305058581</v>
      </c>
      <c r="CB855">
        <f t="shared" si="207"/>
        <v>0.67891464284095016</v>
      </c>
    </row>
    <row r="856" spans="1:80" x14ac:dyDescent="0.45">
      <c r="A856" s="11">
        <v>45</v>
      </c>
      <c r="B856" s="12">
        <f t="shared" si="195"/>
        <v>45</v>
      </c>
      <c r="C856" s="12" t="s">
        <v>59</v>
      </c>
      <c r="D856" s="12">
        <v>0</v>
      </c>
      <c r="E856" s="12" t="s">
        <v>53</v>
      </c>
      <c r="F856" s="12">
        <v>0</v>
      </c>
      <c r="G856" s="12">
        <v>1</v>
      </c>
      <c r="H856" s="12" t="s">
        <v>61</v>
      </c>
      <c r="I856" s="12">
        <v>1</v>
      </c>
      <c r="J856" s="12">
        <v>0</v>
      </c>
      <c r="K856" s="12">
        <v>7</v>
      </c>
      <c r="L856" s="12">
        <f t="shared" si="196"/>
        <v>7</v>
      </c>
      <c r="M856" s="12">
        <v>3</v>
      </c>
      <c r="N856" s="12" t="s">
        <v>70</v>
      </c>
      <c r="O856" s="12">
        <v>0</v>
      </c>
      <c r="P856" s="12">
        <v>0</v>
      </c>
      <c r="Q856" s="12">
        <v>1</v>
      </c>
      <c r="R856" s="12">
        <v>0</v>
      </c>
      <c r="S856" s="12">
        <v>0</v>
      </c>
      <c r="T856" s="12">
        <v>1</v>
      </c>
      <c r="U856" s="12" t="s">
        <v>19</v>
      </c>
      <c r="V856" s="12">
        <v>1</v>
      </c>
      <c r="W856" s="12">
        <v>83</v>
      </c>
      <c r="X856" s="12">
        <v>3</v>
      </c>
      <c r="Y856" s="12">
        <v>1</v>
      </c>
      <c r="Z856" s="12" t="s">
        <v>63</v>
      </c>
      <c r="AA856" s="12">
        <v>0</v>
      </c>
      <c r="AB856" s="12">
        <v>0</v>
      </c>
      <c r="AC856" s="12">
        <v>0</v>
      </c>
      <c r="AD856" s="12">
        <v>0</v>
      </c>
      <c r="AE856" s="12">
        <v>0</v>
      </c>
      <c r="AF856" s="12">
        <v>0</v>
      </c>
      <c r="AG856" s="12">
        <v>0</v>
      </c>
      <c r="AH856" s="12">
        <v>1</v>
      </c>
      <c r="AI856" s="12">
        <v>3</v>
      </c>
      <c r="AJ856" s="12" t="s">
        <v>64</v>
      </c>
      <c r="AK856" s="12">
        <v>0</v>
      </c>
      <c r="AL856" s="12">
        <v>1</v>
      </c>
      <c r="AM856" s="12">
        <v>4477</v>
      </c>
      <c r="AN856" s="12">
        <f t="shared" si="197"/>
        <v>4477</v>
      </c>
      <c r="AO856" s="12">
        <v>4</v>
      </c>
      <c r="AP856" s="12" t="s">
        <v>52</v>
      </c>
      <c r="AQ856" s="12">
        <v>1</v>
      </c>
      <c r="AR856" s="12">
        <v>19</v>
      </c>
      <c r="AS856" s="12">
        <v>3</v>
      </c>
      <c r="AT856" s="12">
        <v>3</v>
      </c>
      <c r="AU856" s="12">
        <v>1</v>
      </c>
      <c r="AV856" s="12">
        <v>7</v>
      </c>
      <c r="AW856" s="12">
        <f t="shared" si="198"/>
        <v>7</v>
      </c>
      <c r="AX856" s="12">
        <v>2</v>
      </c>
      <c r="AY856" s="12">
        <v>2</v>
      </c>
      <c r="AZ856" s="12">
        <v>3</v>
      </c>
      <c r="BA856" s="12">
        <f t="shared" si="199"/>
        <v>3</v>
      </c>
      <c r="BB856" s="12">
        <v>2</v>
      </c>
      <c r="BC856" s="12">
        <v>0</v>
      </c>
      <c r="BD856" s="12">
        <f t="shared" si="208"/>
        <v>0</v>
      </c>
      <c r="BE856" s="12">
        <v>2</v>
      </c>
      <c r="BF856" s="12">
        <f t="shared" si="200"/>
        <v>2</v>
      </c>
      <c r="BG856" s="12">
        <f t="shared" si="209"/>
        <v>2</v>
      </c>
      <c r="BH856" s="67">
        <v>0</v>
      </c>
      <c r="BI856" s="67">
        <v>1</v>
      </c>
      <c r="BJ856" s="67">
        <v>0</v>
      </c>
      <c r="BK856" s="67">
        <v>0</v>
      </c>
      <c r="BL856" s="67">
        <v>0</v>
      </c>
      <c r="BM856" s="67">
        <v>0</v>
      </c>
      <c r="BN856" s="67">
        <v>0</v>
      </c>
      <c r="BO856" s="67">
        <v>1</v>
      </c>
      <c r="BP856" s="67">
        <v>0</v>
      </c>
      <c r="BQ856" s="67">
        <v>2</v>
      </c>
      <c r="BR856" s="67">
        <v>0</v>
      </c>
      <c r="BS856" s="67">
        <v>0</v>
      </c>
      <c r="BT856" s="67">
        <v>7</v>
      </c>
      <c r="BU856" s="70">
        <v>0</v>
      </c>
      <c r="BV856" s="29">
        <f t="shared" si="201"/>
        <v>0.43032070723127497</v>
      </c>
      <c r="BW856">
        <f t="shared" si="202"/>
        <v>0.59502473559756086</v>
      </c>
      <c r="BX856">
        <f t="shared" si="203"/>
        <v>0.55002080963175637</v>
      </c>
      <c r="BY856">
        <f t="shared" si="204"/>
        <v>0.65423109602898355</v>
      </c>
      <c r="BZ856">
        <f t="shared" si="205"/>
        <v>0.27045191444879263</v>
      </c>
      <c r="CA856">
        <f t="shared" si="206"/>
        <v>0.88405695572208698</v>
      </c>
      <c r="CB856">
        <f t="shared" si="207"/>
        <v>0.67891464284095016</v>
      </c>
    </row>
    <row r="857" spans="1:80" x14ac:dyDescent="0.45">
      <c r="A857" s="11">
        <v>37</v>
      </c>
      <c r="B857" s="12">
        <f t="shared" si="195"/>
        <v>37</v>
      </c>
      <c r="C857" s="12" t="s">
        <v>59</v>
      </c>
      <c r="D857" s="12">
        <v>0</v>
      </c>
      <c r="E857" s="12" t="s">
        <v>53</v>
      </c>
      <c r="F857" s="12">
        <v>0</v>
      </c>
      <c r="G857" s="12">
        <v>1</v>
      </c>
      <c r="H857" s="12" t="s">
        <v>61</v>
      </c>
      <c r="I857" s="12">
        <v>1</v>
      </c>
      <c r="J857" s="12">
        <v>0</v>
      </c>
      <c r="K857" s="12">
        <v>1</v>
      </c>
      <c r="L857" s="12">
        <f t="shared" si="196"/>
        <v>1</v>
      </c>
      <c r="M857" s="12">
        <v>3</v>
      </c>
      <c r="N857" s="12" t="s">
        <v>55</v>
      </c>
      <c r="O857" s="12">
        <v>1</v>
      </c>
      <c r="P857" s="12">
        <v>0</v>
      </c>
      <c r="Q857" s="12">
        <v>0</v>
      </c>
      <c r="R857" s="12">
        <v>0</v>
      </c>
      <c r="S857" s="12">
        <v>0</v>
      </c>
      <c r="T857" s="12">
        <v>4</v>
      </c>
      <c r="U857" s="12" t="s">
        <v>19</v>
      </c>
      <c r="V857" s="12">
        <v>1</v>
      </c>
      <c r="W857" s="12">
        <v>56</v>
      </c>
      <c r="X857" s="12">
        <v>2</v>
      </c>
      <c r="Y857" s="12">
        <v>2</v>
      </c>
      <c r="Z857" s="12" t="s">
        <v>83</v>
      </c>
      <c r="AA857" s="12">
        <v>0</v>
      </c>
      <c r="AB857" s="12">
        <v>0</v>
      </c>
      <c r="AC857" s="12">
        <v>0</v>
      </c>
      <c r="AD857" s="12">
        <v>0</v>
      </c>
      <c r="AE857" s="12">
        <v>1</v>
      </c>
      <c r="AF857" s="12">
        <v>1</v>
      </c>
      <c r="AG857" s="12">
        <v>0</v>
      </c>
      <c r="AH857" s="12">
        <v>0</v>
      </c>
      <c r="AI857" s="12">
        <v>4</v>
      </c>
      <c r="AJ857" s="12" t="s">
        <v>64</v>
      </c>
      <c r="AK857" s="12">
        <v>0</v>
      </c>
      <c r="AL857" s="12">
        <v>1</v>
      </c>
      <c r="AM857" s="12">
        <v>6474</v>
      </c>
      <c r="AN857" s="12">
        <f t="shared" si="197"/>
        <v>6474</v>
      </c>
      <c r="AO857" s="12">
        <v>1</v>
      </c>
      <c r="AP857" s="12" t="s">
        <v>59</v>
      </c>
      <c r="AQ857" s="12">
        <v>0</v>
      </c>
      <c r="AR857" s="12">
        <v>13</v>
      </c>
      <c r="AS857" s="12">
        <v>3</v>
      </c>
      <c r="AT857" s="12">
        <v>2</v>
      </c>
      <c r="AU857" s="12">
        <v>1</v>
      </c>
      <c r="AV857" s="12">
        <v>14</v>
      </c>
      <c r="AW857" s="12">
        <f t="shared" si="198"/>
        <v>14</v>
      </c>
      <c r="AX857" s="12">
        <v>2</v>
      </c>
      <c r="AY857" s="12">
        <v>2</v>
      </c>
      <c r="AZ857" s="12">
        <v>14</v>
      </c>
      <c r="BA857" s="12">
        <f t="shared" si="199"/>
        <v>14</v>
      </c>
      <c r="BB857" s="12">
        <v>8</v>
      </c>
      <c r="BC857" s="12">
        <v>3</v>
      </c>
      <c r="BD857" s="12">
        <f t="shared" si="208"/>
        <v>3</v>
      </c>
      <c r="BE857" s="12">
        <v>11</v>
      </c>
      <c r="BF857" s="12">
        <f t="shared" si="200"/>
        <v>11</v>
      </c>
      <c r="BG857" s="12">
        <f t="shared" si="209"/>
        <v>22</v>
      </c>
      <c r="BH857" s="67">
        <v>0</v>
      </c>
      <c r="BI857" s="67">
        <v>1</v>
      </c>
      <c r="BJ857" s="67">
        <v>0</v>
      </c>
      <c r="BK857" s="67">
        <v>0</v>
      </c>
      <c r="BL857" s="67">
        <v>0</v>
      </c>
      <c r="BM857" s="67">
        <v>0</v>
      </c>
      <c r="BN857" s="67">
        <v>1</v>
      </c>
      <c r="BO857" s="67">
        <v>0</v>
      </c>
      <c r="BP857" s="67">
        <v>0</v>
      </c>
      <c r="BQ857" s="67">
        <v>11</v>
      </c>
      <c r="BR857" s="67">
        <v>0</v>
      </c>
      <c r="BS857" s="67">
        <v>0</v>
      </c>
      <c r="BT857" s="67">
        <v>14</v>
      </c>
      <c r="BU857" s="70">
        <v>0</v>
      </c>
      <c r="BV857" s="29">
        <f t="shared" si="201"/>
        <v>6.1451907589451698E-3</v>
      </c>
      <c r="BW857">
        <f t="shared" si="202"/>
        <v>1.9273005614084406</v>
      </c>
      <c r="BX857">
        <f t="shared" si="203"/>
        <v>0.34963173068151232</v>
      </c>
      <c r="BY857">
        <f t="shared" si="204"/>
        <v>1.1412401909344694</v>
      </c>
      <c r="BZ857">
        <f t="shared" si="205"/>
        <v>1.01056543769991</v>
      </c>
      <c r="CA857">
        <f t="shared" si="206"/>
        <v>8.3401599596422994E-3</v>
      </c>
      <c r="CB857">
        <f t="shared" si="207"/>
        <v>0.2520597274726662</v>
      </c>
    </row>
    <row r="858" spans="1:80" x14ac:dyDescent="0.45">
      <c r="A858" s="11">
        <v>20</v>
      </c>
      <c r="B858" s="12">
        <f t="shared" si="195"/>
        <v>20</v>
      </c>
      <c r="C858" s="12" t="s">
        <v>59</v>
      </c>
      <c r="D858" s="12">
        <v>0</v>
      </c>
      <c r="E858" s="12" t="s">
        <v>53</v>
      </c>
      <c r="F858" s="12">
        <v>0</v>
      </c>
      <c r="G858" s="12">
        <v>1</v>
      </c>
      <c r="H858" s="12" t="s">
        <v>61</v>
      </c>
      <c r="I858" s="12">
        <v>1</v>
      </c>
      <c r="J858" s="12">
        <v>0</v>
      </c>
      <c r="K858" s="12">
        <v>3</v>
      </c>
      <c r="L858" s="12">
        <f t="shared" si="196"/>
        <v>3</v>
      </c>
      <c r="M858" s="12">
        <v>3</v>
      </c>
      <c r="N858" s="12" t="s">
        <v>55</v>
      </c>
      <c r="O858" s="12">
        <v>1</v>
      </c>
      <c r="P858" s="12">
        <v>0</v>
      </c>
      <c r="Q858" s="12">
        <v>0</v>
      </c>
      <c r="R858" s="12">
        <v>0</v>
      </c>
      <c r="S858" s="12">
        <v>0</v>
      </c>
      <c r="T858" s="12">
        <v>1</v>
      </c>
      <c r="U858" s="12" t="s">
        <v>62</v>
      </c>
      <c r="V858" s="12">
        <v>0</v>
      </c>
      <c r="W858" s="12">
        <v>87</v>
      </c>
      <c r="X858" s="12">
        <v>2</v>
      </c>
      <c r="Y858" s="12">
        <v>1</v>
      </c>
      <c r="Z858" s="12" t="s">
        <v>67</v>
      </c>
      <c r="AA858" s="12">
        <v>0</v>
      </c>
      <c r="AB858" s="12">
        <v>0</v>
      </c>
      <c r="AC858" s="12">
        <v>1</v>
      </c>
      <c r="AD858" s="12">
        <v>0</v>
      </c>
      <c r="AE858" s="12">
        <v>0</v>
      </c>
      <c r="AF858" s="12">
        <v>0</v>
      </c>
      <c r="AG858" s="12">
        <v>0</v>
      </c>
      <c r="AH858" s="12">
        <v>0</v>
      </c>
      <c r="AI858" s="12">
        <v>3</v>
      </c>
      <c r="AJ858" s="12" t="s">
        <v>57</v>
      </c>
      <c r="AK858" s="12">
        <v>1</v>
      </c>
      <c r="AL858" s="12">
        <v>0</v>
      </c>
      <c r="AM858" s="12">
        <v>3033</v>
      </c>
      <c r="AN858" s="12">
        <f t="shared" si="197"/>
        <v>3033</v>
      </c>
      <c r="AO858" s="12">
        <v>1</v>
      </c>
      <c r="AP858" s="12" t="s">
        <v>59</v>
      </c>
      <c r="AQ858" s="12">
        <v>0</v>
      </c>
      <c r="AR858" s="12">
        <v>12</v>
      </c>
      <c r="AS858" s="12">
        <v>3</v>
      </c>
      <c r="AT858" s="12">
        <v>1</v>
      </c>
      <c r="AU858" s="12">
        <v>0</v>
      </c>
      <c r="AV858" s="12">
        <v>2</v>
      </c>
      <c r="AW858" s="12">
        <f t="shared" si="198"/>
        <v>2</v>
      </c>
      <c r="AX858" s="12">
        <v>2</v>
      </c>
      <c r="AY858" s="12">
        <v>2</v>
      </c>
      <c r="AZ858" s="12">
        <v>2</v>
      </c>
      <c r="BA858" s="12">
        <f t="shared" si="199"/>
        <v>2</v>
      </c>
      <c r="BB858" s="12">
        <v>2</v>
      </c>
      <c r="BC858" s="12">
        <v>1</v>
      </c>
      <c r="BD858" s="12">
        <f t="shared" si="208"/>
        <v>1</v>
      </c>
      <c r="BE858" s="12">
        <v>2</v>
      </c>
      <c r="BF858" s="12">
        <f t="shared" si="200"/>
        <v>2</v>
      </c>
      <c r="BG858" s="12">
        <f t="shared" si="209"/>
        <v>2</v>
      </c>
      <c r="BH858" s="67">
        <v>1</v>
      </c>
      <c r="BI858" s="67">
        <v>0</v>
      </c>
      <c r="BJ858" s="67">
        <v>0</v>
      </c>
      <c r="BK858" s="67">
        <v>0</v>
      </c>
      <c r="BL858" s="67">
        <v>1</v>
      </c>
      <c r="BM858" s="67">
        <v>0</v>
      </c>
      <c r="BN858" s="67">
        <v>0</v>
      </c>
      <c r="BO858" s="67">
        <v>0</v>
      </c>
      <c r="BP858" s="67">
        <v>0</v>
      </c>
      <c r="BQ858" s="67">
        <v>2</v>
      </c>
      <c r="BR858" s="67">
        <v>0</v>
      </c>
      <c r="BS858" s="67">
        <v>0</v>
      </c>
      <c r="BT858" s="67">
        <v>2</v>
      </c>
      <c r="BU858" s="70">
        <v>0</v>
      </c>
      <c r="BV858" s="29">
        <f t="shared" si="201"/>
        <v>0.73703550231692561</v>
      </c>
      <c r="BW858">
        <f t="shared" si="202"/>
        <v>0.59502473559756086</v>
      </c>
      <c r="BX858">
        <f t="shared" si="203"/>
        <v>1.192629766998377</v>
      </c>
      <c r="BY858">
        <f t="shared" si="204"/>
        <v>0.81745575848020657</v>
      </c>
      <c r="BZ858">
        <f t="shared" si="205"/>
        <v>0.76386092994953758</v>
      </c>
      <c r="CA858">
        <f t="shared" si="206"/>
        <v>1.8525580310355525</v>
      </c>
      <c r="CB858">
        <f t="shared" si="207"/>
        <v>0.36858985273641137</v>
      </c>
    </row>
    <row r="859" spans="1:80" x14ac:dyDescent="0.45">
      <c r="A859" s="11">
        <v>44</v>
      </c>
      <c r="B859" s="12">
        <f t="shared" si="195"/>
        <v>44</v>
      </c>
      <c r="C859" s="12" t="s">
        <v>52</v>
      </c>
      <c r="D859" s="12">
        <v>1</v>
      </c>
      <c r="E859" s="12" t="s">
        <v>53</v>
      </c>
      <c r="F859" s="12">
        <v>0</v>
      </c>
      <c r="G859" s="12">
        <v>1</v>
      </c>
      <c r="H859" s="12" t="s">
        <v>61</v>
      </c>
      <c r="I859" s="12">
        <v>1</v>
      </c>
      <c r="J859" s="12">
        <v>0</v>
      </c>
      <c r="K859" s="12">
        <v>10</v>
      </c>
      <c r="L859" s="12">
        <f t="shared" si="196"/>
        <v>10</v>
      </c>
      <c r="M859" s="12">
        <v>4</v>
      </c>
      <c r="N859" s="12" t="s">
        <v>55</v>
      </c>
      <c r="O859" s="12">
        <v>1</v>
      </c>
      <c r="P859" s="12">
        <v>0</v>
      </c>
      <c r="Q859" s="12">
        <v>0</v>
      </c>
      <c r="R859" s="12">
        <v>0</v>
      </c>
      <c r="S859" s="12">
        <v>0</v>
      </c>
      <c r="T859" s="12">
        <v>3</v>
      </c>
      <c r="U859" s="12" t="s">
        <v>62</v>
      </c>
      <c r="V859" s="12">
        <v>0</v>
      </c>
      <c r="W859" s="12">
        <v>96</v>
      </c>
      <c r="X859" s="12">
        <v>3</v>
      </c>
      <c r="Y859" s="12">
        <v>1</v>
      </c>
      <c r="Z859" s="12" t="s">
        <v>63</v>
      </c>
      <c r="AA859" s="12">
        <v>0</v>
      </c>
      <c r="AB859" s="12">
        <v>0</v>
      </c>
      <c r="AC859" s="12">
        <v>0</v>
      </c>
      <c r="AD859" s="12">
        <v>0</v>
      </c>
      <c r="AE859" s="12">
        <v>0</v>
      </c>
      <c r="AF859" s="12">
        <v>0</v>
      </c>
      <c r="AG859" s="12">
        <v>0</v>
      </c>
      <c r="AH859" s="12">
        <v>1</v>
      </c>
      <c r="AI859" s="12">
        <v>3</v>
      </c>
      <c r="AJ859" s="12" t="s">
        <v>57</v>
      </c>
      <c r="AK859" s="12">
        <v>1</v>
      </c>
      <c r="AL859" s="12">
        <v>0</v>
      </c>
      <c r="AM859" s="12">
        <v>2936</v>
      </c>
      <c r="AN859" s="12">
        <f t="shared" si="197"/>
        <v>2936</v>
      </c>
      <c r="AO859" s="12">
        <v>1</v>
      </c>
      <c r="AP859" s="12" t="s">
        <v>52</v>
      </c>
      <c r="AQ859" s="12">
        <v>1</v>
      </c>
      <c r="AR859" s="12">
        <v>11</v>
      </c>
      <c r="AS859" s="12">
        <v>3</v>
      </c>
      <c r="AT859" s="12">
        <v>3</v>
      </c>
      <c r="AU859" s="12">
        <v>0</v>
      </c>
      <c r="AV859" s="12">
        <v>6</v>
      </c>
      <c r="AW859" s="12">
        <f t="shared" si="198"/>
        <v>6</v>
      </c>
      <c r="AX859" s="12">
        <v>4</v>
      </c>
      <c r="AY859" s="12">
        <v>3</v>
      </c>
      <c r="AZ859" s="12">
        <v>6</v>
      </c>
      <c r="BA859" s="12">
        <f t="shared" si="199"/>
        <v>6</v>
      </c>
      <c r="BB859" s="12">
        <v>4</v>
      </c>
      <c r="BC859" s="12">
        <v>0</v>
      </c>
      <c r="BD859" s="12">
        <f t="shared" si="208"/>
        <v>0</v>
      </c>
      <c r="BE859" s="12">
        <v>2</v>
      </c>
      <c r="BF859" s="12">
        <f t="shared" si="200"/>
        <v>2</v>
      </c>
      <c r="BG859" s="12">
        <f t="shared" si="209"/>
        <v>2</v>
      </c>
      <c r="BH859" s="67">
        <v>1</v>
      </c>
      <c r="BI859" s="67">
        <v>0</v>
      </c>
      <c r="BJ859" s="67">
        <v>0</v>
      </c>
      <c r="BK859" s="67">
        <v>0</v>
      </c>
      <c r="BL859" s="67">
        <v>0</v>
      </c>
      <c r="BM859" s="67">
        <v>1</v>
      </c>
      <c r="BN859" s="67">
        <v>0</v>
      </c>
      <c r="BO859" s="67">
        <v>0</v>
      </c>
      <c r="BP859" s="67">
        <v>0</v>
      </c>
      <c r="BQ859" s="67">
        <v>2</v>
      </c>
      <c r="BR859" s="67">
        <v>0</v>
      </c>
      <c r="BS859" s="67">
        <v>0</v>
      </c>
      <c r="BT859" s="67">
        <v>6</v>
      </c>
      <c r="BU859" s="70">
        <v>0</v>
      </c>
      <c r="BV859" s="29">
        <f t="shared" si="201"/>
        <v>0.75763891999234667</v>
      </c>
      <c r="BW859">
        <f t="shared" si="202"/>
        <v>0.59502473559756086</v>
      </c>
      <c r="BX859">
        <f t="shared" si="203"/>
        <v>0.67854260110508058</v>
      </c>
      <c r="BY859">
        <f t="shared" si="204"/>
        <v>0.16455710867531462</v>
      </c>
      <c r="BZ859">
        <f t="shared" si="205"/>
        <v>9.9604847176766084E-2</v>
      </c>
      <c r="CA859">
        <f t="shared" si="206"/>
        <v>0.77459235625178136</v>
      </c>
      <c r="CB859">
        <f t="shared" si="207"/>
        <v>0.67891464284095016</v>
      </c>
    </row>
    <row r="860" spans="1:80" x14ac:dyDescent="0.45">
      <c r="A860" s="11">
        <v>53</v>
      </c>
      <c r="B860" s="12">
        <f t="shared" si="195"/>
        <v>53</v>
      </c>
      <c r="C860" s="12" t="s">
        <v>59</v>
      </c>
      <c r="D860" s="12">
        <v>0</v>
      </c>
      <c r="E860" s="12" t="s">
        <v>53</v>
      </c>
      <c r="F860" s="12">
        <v>0</v>
      </c>
      <c r="G860" s="12">
        <v>1</v>
      </c>
      <c r="H860" s="12" t="s">
        <v>61</v>
      </c>
      <c r="I860" s="12">
        <v>1</v>
      </c>
      <c r="J860" s="12">
        <v>0</v>
      </c>
      <c r="K860" s="12">
        <v>7</v>
      </c>
      <c r="L860" s="12">
        <f t="shared" si="196"/>
        <v>7</v>
      </c>
      <c r="M860" s="12">
        <v>2</v>
      </c>
      <c r="N860" s="12" t="s">
        <v>70</v>
      </c>
      <c r="O860" s="12">
        <v>0</v>
      </c>
      <c r="P860" s="12">
        <v>0</v>
      </c>
      <c r="Q860" s="12">
        <v>1</v>
      </c>
      <c r="R860" s="12">
        <v>0</v>
      </c>
      <c r="S860" s="12">
        <v>0</v>
      </c>
      <c r="T860" s="12">
        <v>4</v>
      </c>
      <c r="U860" s="12" t="s">
        <v>19</v>
      </c>
      <c r="V860" s="12">
        <v>1</v>
      </c>
      <c r="W860" s="12">
        <v>50</v>
      </c>
      <c r="X860" s="12">
        <v>3</v>
      </c>
      <c r="Y860" s="12">
        <v>5</v>
      </c>
      <c r="Z860" s="12" t="s">
        <v>87</v>
      </c>
      <c r="AA860" s="12">
        <v>0</v>
      </c>
      <c r="AB860" s="12">
        <v>0</v>
      </c>
      <c r="AC860" s="12">
        <v>0</v>
      </c>
      <c r="AD860" s="12">
        <v>1</v>
      </c>
      <c r="AE860" s="12">
        <v>0</v>
      </c>
      <c r="AF860" s="12">
        <v>0</v>
      </c>
      <c r="AG860" s="12">
        <v>0</v>
      </c>
      <c r="AH860" s="12">
        <v>0</v>
      </c>
      <c r="AI860" s="12">
        <v>3</v>
      </c>
      <c r="AJ860" s="12" t="s">
        <v>78</v>
      </c>
      <c r="AK860" s="12">
        <v>0</v>
      </c>
      <c r="AL860" s="12">
        <v>0</v>
      </c>
      <c r="AM860" s="12">
        <v>18606</v>
      </c>
      <c r="AN860" s="12">
        <f t="shared" si="197"/>
        <v>18606</v>
      </c>
      <c r="AO860" s="12">
        <v>3</v>
      </c>
      <c r="AP860" s="12" t="s">
        <v>59</v>
      </c>
      <c r="AQ860" s="12">
        <v>0</v>
      </c>
      <c r="AR860" s="12">
        <v>18</v>
      </c>
      <c r="AS860" s="12">
        <v>3</v>
      </c>
      <c r="AT860" s="12">
        <v>2</v>
      </c>
      <c r="AU860" s="12">
        <v>1</v>
      </c>
      <c r="AV860" s="12">
        <v>26</v>
      </c>
      <c r="AW860" s="12">
        <f t="shared" si="198"/>
        <v>26</v>
      </c>
      <c r="AX860" s="12">
        <v>6</v>
      </c>
      <c r="AY860" s="12">
        <v>3</v>
      </c>
      <c r="AZ860" s="12">
        <v>7</v>
      </c>
      <c r="BA860" s="12">
        <f t="shared" si="199"/>
        <v>7</v>
      </c>
      <c r="BB860" s="12">
        <v>7</v>
      </c>
      <c r="BC860" s="12">
        <v>4</v>
      </c>
      <c r="BD860" s="12">
        <f t="shared" si="208"/>
        <v>4</v>
      </c>
      <c r="BE860" s="12">
        <v>7</v>
      </c>
      <c r="BF860" s="12">
        <f t="shared" si="200"/>
        <v>7</v>
      </c>
      <c r="BG860" s="12">
        <f t="shared" si="209"/>
        <v>35</v>
      </c>
      <c r="BH860" s="67">
        <v>1</v>
      </c>
      <c r="BI860" s="67">
        <v>0</v>
      </c>
      <c r="BJ860" s="67">
        <v>0</v>
      </c>
      <c r="BK860" s="67">
        <v>0</v>
      </c>
      <c r="BL860" s="67">
        <v>1</v>
      </c>
      <c r="BM860" s="67">
        <v>0</v>
      </c>
      <c r="BN860" s="67">
        <v>0</v>
      </c>
      <c r="BO860" s="67">
        <v>0</v>
      </c>
      <c r="BP860" s="67">
        <v>0</v>
      </c>
      <c r="BQ860" s="67">
        <v>7</v>
      </c>
      <c r="BR860" s="67">
        <v>0</v>
      </c>
      <c r="BS860" s="67">
        <v>0</v>
      </c>
      <c r="BT860" s="67">
        <v>26</v>
      </c>
      <c r="BU860" s="70">
        <v>0</v>
      </c>
      <c r="BV860" s="29">
        <f t="shared" si="201"/>
        <v>2.5707688632432109</v>
      </c>
      <c r="BW860">
        <f t="shared" si="202"/>
        <v>0.80626709607243985</v>
      </c>
      <c r="BX860">
        <f t="shared" si="203"/>
        <v>1.8918932283614016</v>
      </c>
      <c r="BY860">
        <f t="shared" si="204"/>
        <v>1.3324462240916321E-3</v>
      </c>
      <c r="BZ860">
        <f t="shared" si="205"/>
        <v>0.27045191444879263</v>
      </c>
      <c r="CA860">
        <f t="shared" si="206"/>
        <v>1.7597737514845315</v>
      </c>
      <c r="CB860">
        <f t="shared" si="207"/>
        <v>0.56238451757720498</v>
      </c>
    </row>
    <row r="861" spans="1:80" x14ac:dyDescent="0.45">
      <c r="A861" s="11">
        <v>29</v>
      </c>
      <c r="B861" s="12">
        <f t="shared" si="195"/>
        <v>29</v>
      </c>
      <c r="C861" s="12" t="s">
        <v>59</v>
      </c>
      <c r="D861" s="12">
        <v>0</v>
      </c>
      <c r="E861" s="12" t="s">
        <v>53</v>
      </c>
      <c r="F861" s="12">
        <v>0</v>
      </c>
      <c r="G861" s="12">
        <v>1</v>
      </c>
      <c r="H861" s="12" t="s">
        <v>61</v>
      </c>
      <c r="I861" s="12">
        <v>1</v>
      </c>
      <c r="J861" s="12">
        <v>0</v>
      </c>
      <c r="K861" s="12">
        <v>15</v>
      </c>
      <c r="L861" s="12">
        <f t="shared" si="196"/>
        <v>15</v>
      </c>
      <c r="M861" s="12">
        <v>1</v>
      </c>
      <c r="N861" s="12" t="s">
        <v>55</v>
      </c>
      <c r="O861" s="12">
        <v>1</v>
      </c>
      <c r="P861" s="12">
        <v>0</v>
      </c>
      <c r="Q861" s="12">
        <v>0</v>
      </c>
      <c r="R861" s="12">
        <v>0</v>
      </c>
      <c r="S861" s="12">
        <v>0</v>
      </c>
      <c r="T861" s="12">
        <v>2</v>
      </c>
      <c r="U861" s="12" t="s">
        <v>19</v>
      </c>
      <c r="V861" s="12">
        <v>1</v>
      </c>
      <c r="W861" s="12">
        <v>69</v>
      </c>
      <c r="X861" s="12">
        <v>1</v>
      </c>
      <c r="Y861" s="12">
        <v>1</v>
      </c>
      <c r="Z861" s="12" t="s">
        <v>63</v>
      </c>
      <c r="AA861" s="12">
        <v>0</v>
      </c>
      <c r="AB861" s="12">
        <v>0</v>
      </c>
      <c r="AC861" s="12">
        <v>0</v>
      </c>
      <c r="AD861" s="12">
        <v>0</v>
      </c>
      <c r="AE861" s="12">
        <v>0</v>
      </c>
      <c r="AF861" s="12">
        <v>0</v>
      </c>
      <c r="AG861" s="12">
        <v>0</v>
      </c>
      <c r="AH861" s="12">
        <v>1</v>
      </c>
      <c r="AI861" s="12">
        <v>4</v>
      </c>
      <c r="AJ861" s="12" t="s">
        <v>64</v>
      </c>
      <c r="AK861" s="12">
        <v>0</v>
      </c>
      <c r="AL861" s="12">
        <v>1</v>
      </c>
      <c r="AM861" s="12">
        <v>2168</v>
      </c>
      <c r="AN861" s="12">
        <f t="shared" si="197"/>
        <v>2168</v>
      </c>
      <c r="AO861" s="12">
        <v>0</v>
      </c>
      <c r="AP861" s="12" t="s">
        <v>52</v>
      </c>
      <c r="AQ861" s="12">
        <v>1</v>
      </c>
      <c r="AR861" s="12">
        <v>18</v>
      </c>
      <c r="AS861" s="12">
        <v>3</v>
      </c>
      <c r="AT861" s="12">
        <v>1</v>
      </c>
      <c r="AU861" s="12">
        <v>1</v>
      </c>
      <c r="AV861" s="12">
        <v>6</v>
      </c>
      <c r="AW861" s="12">
        <f t="shared" si="198"/>
        <v>6</v>
      </c>
      <c r="AX861" s="12">
        <v>2</v>
      </c>
      <c r="AY861" s="12">
        <v>2</v>
      </c>
      <c r="AZ861" s="12">
        <v>5</v>
      </c>
      <c r="BA861" s="12">
        <f t="shared" si="199"/>
        <v>5</v>
      </c>
      <c r="BB861" s="12">
        <v>4</v>
      </c>
      <c r="BC861" s="12">
        <v>1</v>
      </c>
      <c r="BD861" s="12">
        <f t="shared" si="208"/>
        <v>1</v>
      </c>
      <c r="BE861" s="12">
        <v>3</v>
      </c>
      <c r="BF861" s="12">
        <f t="shared" si="200"/>
        <v>3</v>
      </c>
      <c r="BG861" s="12">
        <f t="shared" si="209"/>
        <v>3</v>
      </c>
      <c r="BH861" s="67">
        <v>0</v>
      </c>
      <c r="BI861" s="67">
        <v>1</v>
      </c>
      <c r="BJ861" s="67">
        <v>0</v>
      </c>
      <c r="BK861" s="67">
        <v>0</v>
      </c>
      <c r="BL861" s="67">
        <v>0</v>
      </c>
      <c r="BM861" s="67">
        <v>0</v>
      </c>
      <c r="BN861" s="67">
        <v>0</v>
      </c>
      <c r="BO861" s="67">
        <v>1</v>
      </c>
      <c r="BP861" s="67">
        <v>0</v>
      </c>
      <c r="BQ861" s="67">
        <v>3</v>
      </c>
      <c r="BR861" s="67">
        <v>0</v>
      </c>
      <c r="BS861" s="67">
        <v>0</v>
      </c>
      <c r="BT861" s="67">
        <v>6</v>
      </c>
      <c r="BU861" s="70">
        <v>0</v>
      </c>
      <c r="BV861" s="29">
        <f t="shared" si="201"/>
        <v>0.92076701045341292</v>
      </c>
      <c r="BW861">
        <f t="shared" si="202"/>
        <v>0.31476636926356072</v>
      </c>
      <c r="BX861">
        <f t="shared" si="203"/>
        <v>0.67854260110508058</v>
      </c>
      <c r="BY861">
        <f t="shared" si="204"/>
        <v>0.32778177112653761</v>
      </c>
      <c r="BZ861">
        <f t="shared" si="205"/>
        <v>0.71636611655269733</v>
      </c>
      <c r="CA861">
        <f t="shared" si="206"/>
        <v>0.86737663580280233</v>
      </c>
      <c r="CB861">
        <f t="shared" si="207"/>
        <v>0.36858985273641137</v>
      </c>
    </row>
    <row r="862" spans="1:80" x14ac:dyDescent="0.45">
      <c r="A862" s="11">
        <v>22</v>
      </c>
      <c r="B862" s="12">
        <f t="shared" si="195"/>
        <v>22</v>
      </c>
      <c r="C862" s="12" t="s">
        <v>52</v>
      </c>
      <c r="D862" s="12">
        <v>1</v>
      </c>
      <c r="E862" s="12" t="s">
        <v>60</v>
      </c>
      <c r="F862" s="12">
        <v>1</v>
      </c>
      <c r="G862" s="12">
        <v>0</v>
      </c>
      <c r="H862" s="12" t="s">
        <v>61</v>
      </c>
      <c r="I862" s="12">
        <v>1</v>
      </c>
      <c r="J862" s="12">
        <v>0</v>
      </c>
      <c r="K862" s="12">
        <v>3</v>
      </c>
      <c r="L862" s="12">
        <f t="shared" si="196"/>
        <v>3</v>
      </c>
      <c r="M862" s="12">
        <v>4</v>
      </c>
      <c r="N862" s="12" t="s">
        <v>55</v>
      </c>
      <c r="O862" s="12">
        <v>1</v>
      </c>
      <c r="P862" s="12">
        <v>0</v>
      </c>
      <c r="Q862" s="12">
        <v>0</v>
      </c>
      <c r="R862" s="12">
        <v>0</v>
      </c>
      <c r="S862" s="12">
        <v>0</v>
      </c>
      <c r="T862" s="12">
        <v>3</v>
      </c>
      <c r="U862" s="12" t="s">
        <v>62</v>
      </c>
      <c r="V862" s="12">
        <v>0</v>
      </c>
      <c r="W862" s="12">
        <v>48</v>
      </c>
      <c r="X862" s="12">
        <v>2</v>
      </c>
      <c r="Y862" s="12">
        <v>1</v>
      </c>
      <c r="Z862" s="12" t="s">
        <v>63</v>
      </c>
      <c r="AA862" s="12">
        <v>0</v>
      </c>
      <c r="AB862" s="12">
        <v>0</v>
      </c>
      <c r="AC862" s="12">
        <v>0</v>
      </c>
      <c r="AD862" s="12">
        <v>0</v>
      </c>
      <c r="AE862" s="12">
        <v>0</v>
      </c>
      <c r="AF862" s="12">
        <v>0</v>
      </c>
      <c r="AG862" s="12">
        <v>0</v>
      </c>
      <c r="AH862" s="12">
        <v>1</v>
      </c>
      <c r="AI862" s="12">
        <v>4</v>
      </c>
      <c r="AJ862" s="12" t="s">
        <v>64</v>
      </c>
      <c r="AK862" s="12">
        <v>0</v>
      </c>
      <c r="AL862" s="12">
        <v>1</v>
      </c>
      <c r="AM862" s="12">
        <v>2853</v>
      </c>
      <c r="AN862" s="12">
        <f t="shared" si="197"/>
        <v>2853</v>
      </c>
      <c r="AO862" s="12">
        <v>0</v>
      </c>
      <c r="AP862" s="12" t="s">
        <v>52</v>
      </c>
      <c r="AQ862" s="12">
        <v>1</v>
      </c>
      <c r="AR862" s="12">
        <v>11</v>
      </c>
      <c r="AS862" s="12">
        <v>3</v>
      </c>
      <c r="AT862" s="12">
        <v>2</v>
      </c>
      <c r="AU862" s="12">
        <v>1</v>
      </c>
      <c r="AV862" s="12">
        <v>1</v>
      </c>
      <c r="AW862" s="12">
        <f t="shared" si="198"/>
        <v>1</v>
      </c>
      <c r="AX862" s="12">
        <v>5</v>
      </c>
      <c r="AY862" s="12">
        <v>3</v>
      </c>
      <c r="AZ862" s="12">
        <v>0</v>
      </c>
      <c r="BA862" s="12">
        <f t="shared" si="199"/>
        <v>0</v>
      </c>
      <c r="BB862" s="12">
        <v>0</v>
      </c>
      <c r="BC862" s="12">
        <v>0</v>
      </c>
      <c r="BD862" s="12">
        <f t="shared" si="208"/>
        <v>0</v>
      </c>
      <c r="BE862" s="12">
        <v>0</v>
      </c>
      <c r="BF862" s="12">
        <f t="shared" si="200"/>
        <v>0</v>
      </c>
      <c r="BG862" s="12">
        <f t="shared" si="209"/>
        <v>0</v>
      </c>
      <c r="BH862" s="67">
        <v>0</v>
      </c>
      <c r="BI862" s="67">
        <v>0</v>
      </c>
      <c r="BJ862" s="67">
        <v>0</v>
      </c>
      <c r="BK862" s="67">
        <v>1</v>
      </c>
      <c r="BL862" s="67">
        <v>0</v>
      </c>
      <c r="BM862" s="67">
        <v>0</v>
      </c>
      <c r="BN862" s="67">
        <v>0</v>
      </c>
      <c r="BO862" s="67">
        <v>1</v>
      </c>
      <c r="BP862" s="67">
        <v>0</v>
      </c>
      <c r="BQ862" s="67">
        <v>0</v>
      </c>
      <c r="BR862" s="67">
        <v>0</v>
      </c>
      <c r="BS862" s="67">
        <v>0</v>
      </c>
      <c r="BT862" s="67">
        <v>1</v>
      </c>
      <c r="BU862" s="70">
        <v>0</v>
      </c>
      <c r="BV862" s="29">
        <f t="shared" si="201"/>
        <v>0.775268648518738</v>
      </c>
      <c r="BW862">
        <f t="shared" si="202"/>
        <v>1.1555414682655611</v>
      </c>
      <c r="BX862">
        <f t="shared" si="203"/>
        <v>1.3211515584717011</v>
      </c>
      <c r="BY862">
        <f t="shared" si="204"/>
        <v>1.1439050833826525</v>
      </c>
      <c r="BZ862">
        <f t="shared" si="205"/>
        <v>0.76386092994953758</v>
      </c>
      <c r="CA862">
        <f t="shared" si="206"/>
        <v>1.6336288320949415</v>
      </c>
      <c r="CB862">
        <f t="shared" si="207"/>
        <v>0.67891464284095016</v>
      </c>
    </row>
    <row r="863" spans="1:80" x14ac:dyDescent="0.45">
      <c r="A863" s="11">
        <v>46</v>
      </c>
      <c r="B863" s="12">
        <f t="shared" si="195"/>
        <v>46</v>
      </c>
      <c r="C863" s="12" t="s">
        <v>59</v>
      </c>
      <c r="D863" s="12">
        <v>0</v>
      </c>
      <c r="E863" s="12" t="s">
        <v>53</v>
      </c>
      <c r="F863" s="12">
        <v>0</v>
      </c>
      <c r="G863" s="12">
        <v>1</v>
      </c>
      <c r="H863" s="12" t="s">
        <v>54</v>
      </c>
      <c r="I863" s="12">
        <v>0</v>
      </c>
      <c r="J863" s="12">
        <v>1</v>
      </c>
      <c r="K863" s="12">
        <v>2</v>
      </c>
      <c r="L863" s="12">
        <f t="shared" si="196"/>
        <v>2</v>
      </c>
      <c r="M863" s="12">
        <v>3</v>
      </c>
      <c r="N863" s="12" t="s">
        <v>90</v>
      </c>
      <c r="O863" s="12">
        <v>0</v>
      </c>
      <c r="P863" s="12">
        <v>0</v>
      </c>
      <c r="Q863" s="12">
        <v>0</v>
      </c>
      <c r="R863" s="12">
        <v>1</v>
      </c>
      <c r="S863" s="12">
        <v>0</v>
      </c>
      <c r="T863" s="12">
        <v>3</v>
      </c>
      <c r="U863" s="12" t="s">
        <v>19</v>
      </c>
      <c r="V863" s="12">
        <v>1</v>
      </c>
      <c r="W863" s="12">
        <v>69</v>
      </c>
      <c r="X863" s="12">
        <v>3</v>
      </c>
      <c r="Y863" s="12">
        <v>4</v>
      </c>
      <c r="Z863" s="12" t="s">
        <v>87</v>
      </c>
      <c r="AA863" s="12">
        <v>0</v>
      </c>
      <c r="AB863" s="12">
        <v>0</v>
      </c>
      <c r="AC863" s="12">
        <v>0</v>
      </c>
      <c r="AD863" s="12">
        <v>1</v>
      </c>
      <c r="AE863" s="12">
        <v>0</v>
      </c>
      <c r="AF863" s="12">
        <v>0</v>
      </c>
      <c r="AG863" s="12">
        <v>0</v>
      </c>
      <c r="AH863" s="12">
        <v>0</v>
      </c>
      <c r="AI863" s="12">
        <v>1</v>
      </c>
      <c r="AJ863" s="12" t="s">
        <v>64</v>
      </c>
      <c r="AK863" s="12">
        <v>0</v>
      </c>
      <c r="AL863" s="12">
        <v>1</v>
      </c>
      <c r="AM863" s="12">
        <v>17048</v>
      </c>
      <c r="AN863" s="12">
        <f t="shared" si="197"/>
        <v>17048</v>
      </c>
      <c r="AO863" s="12">
        <v>8</v>
      </c>
      <c r="AP863" s="12" t="s">
        <v>59</v>
      </c>
      <c r="AQ863" s="12">
        <v>0</v>
      </c>
      <c r="AR863" s="12">
        <v>23</v>
      </c>
      <c r="AS863" s="12">
        <v>4</v>
      </c>
      <c r="AT863" s="12">
        <v>1</v>
      </c>
      <c r="AU863" s="12">
        <v>0</v>
      </c>
      <c r="AV863" s="12">
        <v>28</v>
      </c>
      <c r="AW863" s="12">
        <f t="shared" si="198"/>
        <v>28</v>
      </c>
      <c r="AX863" s="12">
        <v>2</v>
      </c>
      <c r="AY863" s="12">
        <v>3</v>
      </c>
      <c r="AZ863" s="12">
        <v>26</v>
      </c>
      <c r="BA863" s="12">
        <f t="shared" si="199"/>
        <v>26</v>
      </c>
      <c r="BB863" s="12">
        <v>15</v>
      </c>
      <c r="BC863" s="12">
        <v>15</v>
      </c>
      <c r="BD863" s="12">
        <f t="shared" si="208"/>
        <v>14</v>
      </c>
      <c r="BE863" s="12">
        <v>9</v>
      </c>
      <c r="BF863" s="12">
        <f t="shared" si="200"/>
        <v>9</v>
      </c>
      <c r="BG863" s="12">
        <f t="shared" si="209"/>
        <v>36</v>
      </c>
      <c r="BH863" s="67">
        <v>0</v>
      </c>
      <c r="BI863" s="67">
        <v>1</v>
      </c>
      <c r="BJ863" s="67">
        <v>0</v>
      </c>
      <c r="BK863" s="67">
        <v>0</v>
      </c>
      <c r="BL863" s="67">
        <v>0</v>
      </c>
      <c r="BM863" s="67">
        <v>0</v>
      </c>
      <c r="BN863" s="67">
        <v>1</v>
      </c>
      <c r="BO863" s="67">
        <v>0</v>
      </c>
      <c r="BP863" s="67">
        <v>0</v>
      </c>
      <c r="BQ863" s="67">
        <v>0</v>
      </c>
      <c r="BR863" s="67">
        <v>9</v>
      </c>
      <c r="BS863" s="67">
        <v>0</v>
      </c>
      <c r="BT863" s="67">
        <v>0</v>
      </c>
      <c r="BU863" s="70">
        <v>28</v>
      </c>
      <c r="BV863" s="29">
        <f t="shared" si="201"/>
        <v>2.2398397422297456</v>
      </c>
      <c r="BW863">
        <f t="shared" si="202"/>
        <v>1.3667838287404401</v>
      </c>
      <c r="BX863">
        <f t="shared" si="203"/>
        <v>2.1489368113080496</v>
      </c>
      <c r="BY863">
        <f t="shared" si="204"/>
        <v>3.0999361403491448</v>
      </c>
      <c r="BZ863">
        <f t="shared" si="205"/>
        <v>0.88721318382472392</v>
      </c>
      <c r="CA863">
        <f t="shared" si="206"/>
        <v>0.99352155519239249</v>
      </c>
      <c r="CB863">
        <f t="shared" si="207"/>
        <v>3.9759572087271318</v>
      </c>
    </row>
    <row r="864" spans="1:80" x14ac:dyDescent="0.45">
      <c r="A864" s="11">
        <v>44</v>
      </c>
      <c r="B864" s="12">
        <f t="shared" si="195"/>
        <v>44</v>
      </c>
      <c r="C864" s="12" t="s">
        <v>59</v>
      </c>
      <c r="D864" s="12">
        <v>0</v>
      </c>
      <c r="E864" s="12" t="s">
        <v>86</v>
      </c>
      <c r="F864" s="12">
        <v>0</v>
      </c>
      <c r="G864" s="12">
        <v>0</v>
      </c>
      <c r="H864" s="12" t="s">
        <v>61</v>
      </c>
      <c r="I864" s="12">
        <v>1</v>
      </c>
      <c r="J864" s="12">
        <v>0</v>
      </c>
      <c r="K864" s="12">
        <v>17</v>
      </c>
      <c r="L864" s="12">
        <f t="shared" si="196"/>
        <v>17</v>
      </c>
      <c r="M864" s="12">
        <v>3</v>
      </c>
      <c r="N864" s="12" t="s">
        <v>55</v>
      </c>
      <c r="O864" s="12">
        <v>1</v>
      </c>
      <c r="P864" s="12">
        <v>0</v>
      </c>
      <c r="Q864" s="12">
        <v>0</v>
      </c>
      <c r="R864" s="12">
        <v>0</v>
      </c>
      <c r="S864" s="12">
        <v>0</v>
      </c>
      <c r="T864" s="12">
        <v>4</v>
      </c>
      <c r="U864" s="12" t="s">
        <v>62</v>
      </c>
      <c r="V864" s="12">
        <v>0</v>
      </c>
      <c r="W864" s="12">
        <v>74</v>
      </c>
      <c r="X864" s="12">
        <v>1</v>
      </c>
      <c r="Y864" s="12">
        <v>1</v>
      </c>
      <c r="Z864" s="12" t="s">
        <v>63</v>
      </c>
      <c r="AA864" s="12">
        <v>0</v>
      </c>
      <c r="AB864" s="12">
        <v>0</v>
      </c>
      <c r="AC864" s="12">
        <v>0</v>
      </c>
      <c r="AD864" s="12">
        <v>0</v>
      </c>
      <c r="AE864" s="12">
        <v>0</v>
      </c>
      <c r="AF864" s="12">
        <v>0</v>
      </c>
      <c r="AG864" s="12">
        <v>0</v>
      </c>
      <c r="AH864" s="12">
        <v>1</v>
      </c>
      <c r="AI864" s="12">
        <v>3</v>
      </c>
      <c r="AJ864" s="12" t="s">
        <v>57</v>
      </c>
      <c r="AK864" s="12">
        <v>1</v>
      </c>
      <c r="AL864" s="12">
        <v>0</v>
      </c>
      <c r="AM864" s="12">
        <v>2290</v>
      </c>
      <c r="AN864" s="12">
        <f t="shared" si="197"/>
        <v>2290</v>
      </c>
      <c r="AO864" s="12">
        <v>2</v>
      </c>
      <c r="AP864" s="12" t="s">
        <v>59</v>
      </c>
      <c r="AQ864" s="12">
        <v>0</v>
      </c>
      <c r="AR864" s="12">
        <v>13</v>
      </c>
      <c r="AS864" s="12">
        <v>3</v>
      </c>
      <c r="AT864" s="12">
        <v>4</v>
      </c>
      <c r="AU864" s="12">
        <v>0</v>
      </c>
      <c r="AV864" s="12">
        <v>6</v>
      </c>
      <c r="AW864" s="12">
        <f t="shared" si="198"/>
        <v>6</v>
      </c>
      <c r="AX864" s="12">
        <v>3</v>
      </c>
      <c r="AY864" s="12">
        <v>3</v>
      </c>
      <c r="AZ864" s="12">
        <v>0</v>
      </c>
      <c r="BA864" s="12">
        <f t="shared" si="199"/>
        <v>0</v>
      </c>
      <c r="BB864" s="12">
        <v>0</v>
      </c>
      <c r="BC864" s="12">
        <v>0</v>
      </c>
      <c r="BD864" s="12">
        <f t="shared" si="208"/>
        <v>0</v>
      </c>
      <c r="BE864" s="12">
        <v>0</v>
      </c>
      <c r="BF864" s="12">
        <f t="shared" si="200"/>
        <v>0</v>
      </c>
      <c r="BG864" s="12">
        <f t="shared" si="209"/>
        <v>0</v>
      </c>
      <c r="BH864" s="67">
        <v>1</v>
      </c>
      <c r="BI864" s="67">
        <v>0</v>
      </c>
      <c r="BJ864" s="67">
        <v>0</v>
      </c>
      <c r="BK864" s="67">
        <v>0</v>
      </c>
      <c r="BL864" s="67">
        <v>1</v>
      </c>
      <c r="BM864" s="67">
        <v>0</v>
      </c>
      <c r="BN864" s="67">
        <v>0</v>
      </c>
      <c r="BO864" s="67">
        <v>0</v>
      </c>
      <c r="BP864" s="67">
        <v>0</v>
      </c>
      <c r="BQ864" s="67">
        <v>0</v>
      </c>
      <c r="BR864" s="67">
        <v>0</v>
      </c>
      <c r="BS864" s="67">
        <v>0</v>
      </c>
      <c r="BT864" s="67">
        <v>6</v>
      </c>
      <c r="BU864" s="70">
        <v>0</v>
      </c>
      <c r="BV864" s="29">
        <f t="shared" si="201"/>
        <v>0.89485343358329561</v>
      </c>
      <c r="BW864">
        <f t="shared" si="202"/>
        <v>1.1555414682655611</v>
      </c>
      <c r="BX864">
        <f t="shared" si="203"/>
        <v>0.67854260110508058</v>
      </c>
      <c r="BY864">
        <f t="shared" si="204"/>
        <v>1.1439050833826525</v>
      </c>
      <c r="BZ864">
        <f t="shared" si="205"/>
        <v>0.96307062430306978</v>
      </c>
      <c r="CA864">
        <f t="shared" si="206"/>
        <v>0.77459235625178136</v>
      </c>
      <c r="CB864">
        <f t="shared" si="207"/>
        <v>0.67891464284095016</v>
      </c>
    </row>
    <row r="865" spans="1:80" x14ac:dyDescent="0.45">
      <c r="A865" s="11">
        <v>33</v>
      </c>
      <c r="B865" s="12">
        <f t="shared" si="195"/>
        <v>33</v>
      </c>
      <c r="C865" s="12" t="s">
        <v>59</v>
      </c>
      <c r="D865" s="12">
        <v>0</v>
      </c>
      <c r="E865" s="12" t="s">
        <v>53</v>
      </c>
      <c r="F865" s="12">
        <v>0</v>
      </c>
      <c r="G865" s="12">
        <v>1</v>
      </c>
      <c r="H865" s="12" t="s">
        <v>97</v>
      </c>
      <c r="I865" s="12">
        <v>0</v>
      </c>
      <c r="J865" s="12">
        <v>0</v>
      </c>
      <c r="K865" s="12">
        <v>2</v>
      </c>
      <c r="L865" s="12">
        <f t="shared" si="196"/>
        <v>2</v>
      </c>
      <c r="M865" s="12">
        <v>3</v>
      </c>
      <c r="N865" s="12" t="s">
        <v>97</v>
      </c>
      <c r="O865" s="12">
        <v>0</v>
      </c>
      <c r="P865" s="12">
        <v>0</v>
      </c>
      <c r="Q865" s="12">
        <v>0</v>
      </c>
      <c r="R865" s="12">
        <v>0</v>
      </c>
      <c r="S865" s="12">
        <v>0</v>
      </c>
      <c r="T865" s="12">
        <v>2</v>
      </c>
      <c r="U865" s="12" t="s">
        <v>62</v>
      </c>
      <c r="V865" s="12">
        <v>0</v>
      </c>
      <c r="W865" s="12">
        <v>99</v>
      </c>
      <c r="X865" s="12">
        <v>3</v>
      </c>
      <c r="Y865" s="12">
        <v>1</v>
      </c>
      <c r="Z865" s="12" t="s">
        <v>97</v>
      </c>
      <c r="AA865" s="12">
        <v>0</v>
      </c>
      <c r="AB865" s="12">
        <v>0</v>
      </c>
      <c r="AC865" s="12">
        <v>0</v>
      </c>
      <c r="AD865" s="12">
        <v>0</v>
      </c>
      <c r="AE865" s="12">
        <v>0</v>
      </c>
      <c r="AF865" s="12">
        <v>0</v>
      </c>
      <c r="AG865" s="12">
        <v>0</v>
      </c>
      <c r="AH865" s="12">
        <v>0</v>
      </c>
      <c r="AI865" s="12">
        <v>3</v>
      </c>
      <c r="AJ865" s="12" t="s">
        <v>64</v>
      </c>
      <c r="AK865" s="12">
        <v>0</v>
      </c>
      <c r="AL865" s="12">
        <v>1</v>
      </c>
      <c r="AM865" s="12">
        <v>3600</v>
      </c>
      <c r="AN865" s="12">
        <f t="shared" si="197"/>
        <v>3600</v>
      </c>
      <c r="AO865" s="12">
        <v>1</v>
      </c>
      <c r="AP865" s="12" t="s">
        <v>59</v>
      </c>
      <c r="AQ865" s="12">
        <v>0</v>
      </c>
      <c r="AR865" s="12">
        <v>13</v>
      </c>
      <c r="AS865" s="12">
        <v>3</v>
      </c>
      <c r="AT865" s="12">
        <v>4</v>
      </c>
      <c r="AU865" s="12">
        <v>1</v>
      </c>
      <c r="AV865" s="12">
        <v>5</v>
      </c>
      <c r="AW865" s="12">
        <f t="shared" si="198"/>
        <v>5</v>
      </c>
      <c r="AX865" s="12">
        <v>2</v>
      </c>
      <c r="AY865" s="12">
        <v>3</v>
      </c>
      <c r="AZ865" s="12">
        <v>5</v>
      </c>
      <c r="BA865" s="12">
        <f t="shared" si="199"/>
        <v>5</v>
      </c>
      <c r="BB865" s="12">
        <v>4</v>
      </c>
      <c r="BC865" s="12">
        <v>1</v>
      </c>
      <c r="BD865" s="12">
        <f t="shared" si="208"/>
        <v>1</v>
      </c>
      <c r="BE865" s="12">
        <v>4</v>
      </c>
      <c r="BF865" s="12">
        <f t="shared" si="200"/>
        <v>4</v>
      </c>
      <c r="BG865" s="12">
        <f t="shared" si="209"/>
        <v>4</v>
      </c>
      <c r="BH865" s="67">
        <v>0</v>
      </c>
      <c r="BI865" s="67">
        <v>1</v>
      </c>
      <c r="BJ865" s="67">
        <v>0</v>
      </c>
      <c r="BK865" s="67">
        <v>0</v>
      </c>
      <c r="BL865" s="67">
        <v>0</v>
      </c>
      <c r="BM865" s="67">
        <v>0</v>
      </c>
      <c r="BN865" s="67">
        <v>1</v>
      </c>
      <c r="BO865" s="67">
        <v>0</v>
      </c>
      <c r="BP865" s="67">
        <v>4</v>
      </c>
      <c r="BQ865" s="67">
        <v>0</v>
      </c>
      <c r="BR865" s="67">
        <v>0</v>
      </c>
      <c r="BS865" s="67">
        <v>5</v>
      </c>
      <c r="BT865" s="67">
        <v>0</v>
      </c>
      <c r="BU865" s="70">
        <v>0</v>
      </c>
      <c r="BV865" s="29">
        <f t="shared" si="201"/>
        <v>0.61660109178121647</v>
      </c>
      <c r="BW865">
        <f t="shared" si="202"/>
        <v>3.4508002929560584E-2</v>
      </c>
      <c r="BX865">
        <f t="shared" si="203"/>
        <v>0.80706439257840468</v>
      </c>
      <c r="BY865">
        <f t="shared" si="204"/>
        <v>0.32778177112653761</v>
      </c>
      <c r="BZ865">
        <f t="shared" si="205"/>
        <v>0.88721318382472392</v>
      </c>
      <c r="CA865">
        <f t="shared" si="206"/>
        <v>0.42951823792158</v>
      </c>
      <c r="CB865">
        <f t="shared" si="207"/>
        <v>0.36858985273641137</v>
      </c>
    </row>
    <row r="866" spans="1:80" x14ac:dyDescent="0.45">
      <c r="A866" s="11">
        <v>41</v>
      </c>
      <c r="B866" s="12">
        <f t="shared" si="195"/>
        <v>41</v>
      </c>
      <c r="C866" s="12" t="s">
        <v>52</v>
      </c>
      <c r="D866" s="12">
        <v>1</v>
      </c>
      <c r="E866" s="12" t="s">
        <v>86</v>
      </c>
      <c r="F866" s="12">
        <v>0</v>
      </c>
      <c r="G866" s="12">
        <v>0</v>
      </c>
      <c r="H866" s="12" t="s">
        <v>61</v>
      </c>
      <c r="I866" s="12">
        <v>1</v>
      </c>
      <c r="J866" s="12">
        <v>0</v>
      </c>
      <c r="K866" s="12">
        <v>5</v>
      </c>
      <c r="L866" s="12">
        <f t="shared" si="196"/>
        <v>5</v>
      </c>
      <c r="M866" s="12">
        <v>2</v>
      </c>
      <c r="N866" s="12" t="s">
        <v>55</v>
      </c>
      <c r="O866" s="12">
        <v>1</v>
      </c>
      <c r="P866" s="12">
        <v>0</v>
      </c>
      <c r="Q866" s="12">
        <v>0</v>
      </c>
      <c r="R866" s="12">
        <v>0</v>
      </c>
      <c r="S866" s="12">
        <v>0</v>
      </c>
      <c r="T866" s="12">
        <v>1</v>
      </c>
      <c r="U866" s="12" t="s">
        <v>62</v>
      </c>
      <c r="V866" s="12">
        <v>0</v>
      </c>
      <c r="W866" s="12">
        <v>95</v>
      </c>
      <c r="X866" s="12">
        <v>2</v>
      </c>
      <c r="Y866" s="12">
        <v>1</v>
      </c>
      <c r="Z866" s="12" t="s">
        <v>63</v>
      </c>
      <c r="AA866" s="12">
        <v>0</v>
      </c>
      <c r="AB866" s="12">
        <v>0</v>
      </c>
      <c r="AC866" s="12">
        <v>0</v>
      </c>
      <c r="AD866" s="12">
        <v>0</v>
      </c>
      <c r="AE866" s="12">
        <v>0</v>
      </c>
      <c r="AF866" s="12">
        <v>0</v>
      </c>
      <c r="AG866" s="12">
        <v>0</v>
      </c>
      <c r="AH866" s="12">
        <v>1</v>
      </c>
      <c r="AI866" s="12">
        <v>1</v>
      </c>
      <c r="AJ866" s="12" t="s">
        <v>78</v>
      </c>
      <c r="AK866" s="12">
        <v>0</v>
      </c>
      <c r="AL866" s="12">
        <v>0</v>
      </c>
      <c r="AM866" s="12">
        <v>2107</v>
      </c>
      <c r="AN866" s="12">
        <f t="shared" si="197"/>
        <v>2107</v>
      </c>
      <c r="AO866" s="12">
        <v>6</v>
      </c>
      <c r="AP866" s="12" t="s">
        <v>59</v>
      </c>
      <c r="AQ866" s="12">
        <v>0</v>
      </c>
      <c r="AR866" s="12">
        <v>17</v>
      </c>
      <c r="AS866" s="12">
        <v>3</v>
      </c>
      <c r="AT866" s="12">
        <v>1</v>
      </c>
      <c r="AU866" s="12">
        <v>1</v>
      </c>
      <c r="AV866" s="12">
        <v>5</v>
      </c>
      <c r="AW866" s="12">
        <f t="shared" si="198"/>
        <v>5</v>
      </c>
      <c r="AX866" s="12">
        <v>2</v>
      </c>
      <c r="AY866" s="12">
        <v>1</v>
      </c>
      <c r="AZ866" s="12">
        <v>1</v>
      </c>
      <c r="BA866" s="12">
        <f t="shared" si="199"/>
        <v>1</v>
      </c>
      <c r="BB866" s="12">
        <v>0</v>
      </c>
      <c r="BC866" s="12">
        <v>0</v>
      </c>
      <c r="BD866" s="12">
        <f t="shared" si="208"/>
        <v>0</v>
      </c>
      <c r="BE866" s="12">
        <v>0</v>
      </c>
      <c r="BF866" s="12">
        <f t="shared" si="200"/>
        <v>0</v>
      </c>
      <c r="BG866" s="12">
        <f t="shared" si="209"/>
        <v>0</v>
      </c>
      <c r="BH866" s="67">
        <v>1</v>
      </c>
      <c r="BI866" s="67">
        <v>0</v>
      </c>
      <c r="BJ866" s="67">
        <v>0</v>
      </c>
      <c r="BK866" s="67">
        <v>0</v>
      </c>
      <c r="BL866" s="67">
        <v>1</v>
      </c>
      <c r="BM866" s="67">
        <v>0</v>
      </c>
      <c r="BN866" s="67">
        <v>0</v>
      </c>
      <c r="BO866" s="67">
        <v>0</v>
      </c>
      <c r="BP866" s="67">
        <v>0</v>
      </c>
      <c r="BQ866" s="67">
        <v>0</v>
      </c>
      <c r="BR866" s="67">
        <v>0</v>
      </c>
      <c r="BS866" s="67">
        <v>0</v>
      </c>
      <c r="BT866" s="67">
        <v>5</v>
      </c>
      <c r="BU866" s="70">
        <v>0</v>
      </c>
      <c r="BV866" s="29">
        <f t="shared" si="201"/>
        <v>0.93372379888847157</v>
      </c>
      <c r="BW866">
        <f t="shared" si="202"/>
        <v>1.1555414682655611</v>
      </c>
      <c r="BX866">
        <f t="shared" si="203"/>
        <v>0.80706439257840468</v>
      </c>
      <c r="BY866">
        <f t="shared" si="204"/>
        <v>0.9806804209314296</v>
      </c>
      <c r="BZ866">
        <f t="shared" si="205"/>
        <v>0.51715642219916513</v>
      </c>
      <c r="CA866">
        <f t="shared" si="206"/>
        <v>0.4461985578408646</v>
      </c>
      <c r="CB866">
        <f t="shared" si="207"/>
        <v>0.67891464284095016</v>
      </c>
    </row>
    <row r="867" spans="1:80" x14ac:dyDescent="0.45">
      <c r="A867" s="11">
        <v>30</v>
      </c>
      <c r="B867" s="12">
        <f t="shared" si="195"/>
        <v>30</v>
      </c>
      <c r="C867" s="12" t="s">
        <v>59</v>
      </c>
      <c r="D867" s="12">
        <v>0</v>
      </c>
      <c r="E867" s="12" t="s">
        <v>53</v>
      </c>
      <c r="F867" s="12">
        <v>0</v>
      </c>
      <c r="G867" s="12">
        <v>1</v>
      </c>
      <c r="H867" s="12" t="s">
        <v>54</v>
      </c>
      <c r="I867" s="12">
        <v>0</v>
      </c>
      <c r="J867" s="12">
        <v>1</v>
      </c>
      <c r="K867" s="12">
        <v>29</v>
      </c>
      <c r="L867" s="12">
        <f t="shared" si="196"/>
        <v>29</v>
      </c>
      <c r="M867" s="12">
        <v>4</v>
      </c>
      <c r="N867" s="12" t="s">
        <v>55</v>
      </c>
      <c r="O867" s="12">
        <v>1</v>
      </c>
      <c r="P867" s="12">
        <v>0</v>
      </c>
      <c r="Q867" s="12">
        <v>0</v>
      </c>
      <c r="R867" s="12">
        <v>0</v>
      </c>
      <c r="S867" s="12">
        <v>0</v>
      </c>
      <c r="T867" s="12">
        <v>3</v>
      </c>
      <c r="U867" s="12" t="s">
        <v>62</v>
      </c>
      <c r="V867" s="12">
        <v>0</v>
      </c>
      <c r="W867" s="12">
        <v>61</v>
      </c>
      <c r="X867" s="12">
        <v>3</v>
      </c>
      <c r="Y867" s="12">
        <v>2</v>
      </c>
      <c r="Z867" s="12" t="s">
        <v>56</v>
      </c>
      <c r="AA867" s="12">
        <v>0</v>
      </c>
      <c r="AB867" s="12">
        <v>1</v>
      </c>
      <c r="AC867" s="12">
        <v>0</v>
      </c>
      <c r="AD867" s="12">
        <v>0</v>
      </c>
      <c r="AE867" s="12">
        <v>0</v>
      </c>
      <c r="AF867" s="12">
        <v>0</v>
      </c>
      <c r="AG867" s="12">
        <v>0</v>
      </c>
      <c r="AH867" s="12">
        <v>0</v>
      </c>
      <c r="AI867" s="12">
        <v>1</v>
      </c>
      <c r="AJ867" s="12" t="s">
        <v>78</v>
      </c>
      <c r="AK867" s="12">
        <v>0</v>
      </c>
      <c r="AL867" s="12">
        <v>0</v>
      </c>
      <c r="AM867" s="12">
        <v>4115</v>
      </c>
      <c r="AN867" s="12">
        <f t="shared" si="197"/>
        <v>4115</v>
      </c>
      <c r="AO867" s="12">
        <v>8</v>
      </c>
      <c r="AP867" s="12" t="s">
        <v>59</v>
      </c>
      <c r="AQ867" s="12">
        <v>0</v>
      </c>
      <c r="AR867" s="12">
        <v>19</v>
      </c>
      <c r="AS867" s="12">
        <v>3</v>
      </c>
      <c r="AT867" s="12">
        <v>3</v>
      </c>
      <c r="AU867" s="12">
        <v>3</v>
      </c>
      <c r="AV867" s="12">
        <v>8</v>
      </c>
      <c r="AW867" s="12">
        <f t="shared" si="198"/>
        <v>8</v>
      </c>
      <c r="AX867" s="12">
        <v>3</v>
      </c>
      <c r="AY867" s="12">
        <v>3</v>
      </c>
      <c r="AZ867" s="12">
        <v>4</v>
      </c>
      <c r="BA867" s="12">
        <f t="shared" si="199"/>
        <v>4</v>
      </c>
      <c r="BB867" s="12">
        <v>3</v>
      </c>
      <c r="BC867" s="12">
        <v>0</v>
      </c>
      <c r="BD867" s="12">
        <f t="shared" si="208"/>
        <v>0</v>
      </c>
      <c r="BE867" s="12">
        <v>3</v>
      </c>
      <c r="BF867" s="12">
        <f t="shared" si="200"/>
        <v>3</v>
      </c>
      <c r="BG867" s="12">
        <f t="shared" si="209"/>
        <v>6</v>
      </c>
      <c r="BH867" s="67">
        <v>1</v>
      </c>
      <c r="BI867" s="67">
        <v>0</v>
      </c>
      <c r="BJ867" s="67">
        <v>0</v>
      </c>
      <c r="BK867" s="67">
        <v>0</v>
      </c>
      <c r="BL867" s="67">
        <v>1</v>
      </c>
      <c r="BM867" s="67">
        <v>0</v>
      </c>
      <c r="BN867" s="67">
        <v>0</v>
      </c>
      <c r="BO867" s="67">
        <v>0</v>
      </c>
      <c r="BP867" s="67">
        <v>0</v>
      </c>
      <c r="BQ867" s="67">
        <v>0</v>
      </c>
      <c r="BR867" s="67">
        <v>3</v>
      </c>
      <c r="BS867" s="67">
        <v>0</v>
      </c>
      <c r="BT867" s="67">
        <v>0</v>
      </c>
      <c r="BU867" s="70">
        <v>8</v>
      </c>
      <c r="BV867" s="29">
        <f t="shared" si="201"/>
        <v>0.50721181237047541</v>
      </c>
      <c r="BW867">
        <f t="shared" si="202"/>
        <v>0.31476636926356072</v>
      </c>
      <c r="BX867">
        <f t="shared" si="203"/>
        <v>0.42149901815843233</v>
      </c>
      <c r="BY867">
        <f t="shared" si="204"/>
        <v>0.49100643357776058</v>
      </c>
      <c r="BZ867">
        <f t="shared" si="205"/>
        <v>2.4432976708053049</v>
      </c>
      <c r="CA867">
        <f t="shared" si="206"/>
        <v>0.75791203633249671</v>
      </c>
      <c r="CB867">
        <f t="shared" si="207"/>
        <v>0.67891464284095016</v>
      </c>
    </row>
    <row r="868" spans="1:80" x14ac:dyDescent="0.45">
      <c r="A868" s="11">
        <v>40</v>
      </c>
      <c r="B868" s="12">
        <f t="shared" si="195"/>
        <v>40</v>
      </c>
      <c r="C868" s="12" t="s">
        <v>59</v>
      </c>
      <c r="D868" s="12">
        <v>0</v>
      </c>
      <c r="E868" s="12" t="s">
        <v>60</v>
      </c>
      <c r="F868" s="12">
        <v>1</v>
      </c>
      <c r="G868" s="12">
        <v>0</v>
      </c>
      <c r="H868" s="12" t="s">
        <v>54</v>
      </c>
      <c r="I868" s="12">
        <v>0</v>
      </c>
      <c r="J868" s="12">
        <v>1</v>
      </c>
      <c r="K868" s="12">
        <v>2</v>
      </c>
      <c r="L868" s="12">
        <f t="shared" si="196"/>
        <v>2</v>
      </c>
      <c r="M868" s="12">
        <v>4</v>
      </c>
      <c r="N868" s="12" t="s">
        <v>70</v>
      </c>
      <c r="O868" s="12">
        <v>0</v>
      </c>
      <c r="P868" s="12">
        <v>0</v>
      </c>
      <c r="Q868" s="12">
        <v>1</v>
      </c>
      <c r="R868" s="12">
        <v>0</v>
      </c>
      <c r="S868" s="12">
        <v>0</v>
      </c>
      <c r="T868" s="12">
        <v>2</v>
      </c>
      <c r="U868" s="12" t="s">
        <v>62</v>
      </c>
      <c r="V868" s="12">
        <v>0</v>
      </c>
      <c r="W868" s="12">
        <v>62</v>
      </c>
      <c r="X868" s="12">
        <v>3</v>
      </c>
      <c r="Y868" s="12">
        <v>2</v>
      </c>
      <c r="Z868" s="12" t="s">
        <v>56</v>
      </c>
      <c r="AA868" s="12">
        <v>0</v>
      </c>
      <c r="AB868" s="12">
        <v>1</v>
      </c>
      <c r="AC868" s="12">
        <v>0</v>
      </c>
      <c r="AD868" s="12">
        <v>0</v>
      </c>
      <c r="AE868" s="12">
        <v>0</v>
      </c>
      <c r="AF868" s="12">
        <v>0</v>
      </c>
      <c r="AG868" s="12">
        <v>0</v>
      </c>
      <c r="AH868" s="12">
        <v>0</v>
      </c>
      <c r="AI868" s="12">
        <v>2</v>
      </c>
      <c r="AJ868" s="12" t="s">
        <v>64</v>
      </c>
      <c r="AK868" s="12">
        <v>0</v>
      </c>
      <c r="AL868" s="12">
        <v>1</v>
      </c>
      <c r="AM868" s="12">
        <v>4327</v>
      </c>
      <c r="AN868" s="12">
        <f t="shared" si="197"/>
        <v>4327</v>
      </c>
      <c r="AO868" s="12">
        <v>5</v>
      </c>
      <c r="AP868" s="12" t="s">
        <v>59</v>
      </c>
      <c r="AQ868" s="12">
        <v>0</v>
      </c>
      <c r="AR868" s="12">
        <v>12</v>
      </c>
      <c r="AS868" s="12">
        <v>3</v>
      </c>
      <c r="AT868" s="12">
        <v>4</v>
      </c>
      <c r="AU868" s="12">
        <v>3</v>
      </c>
      <c r="AV868" s="12">
        <v>5</v>
      </c>
      <c r="AW868" s="12">
        <f t="shared" si="198"/>
        <v>5</v>
      </c>
      <c r="AX868" s="12">
        <v>2</v>
      </c>
      <c r="AY868" s="12">
        <v>3</v>
      </c>
      <c r="AZ868" s="12">
        <v>0</v>
      </c>
      <c r="BA868" s="12">
        <f t="shared" si="199"/>
        <v>0</v>
      </c>
      <c r="BB868" s="12">
        <v>0</v>
      </c>
      <c r="BC868" s="12">
        <v>0</v>
      </c>
      <c r="BD868" s="12">
        <f t="shared" si="208"/>
        <v>0</v>
      </c>
      <c r="BE868" s="12">
        <v>0</v>
      </c>
      <c r="BF868" s="12">
        <f t="shared" si="200"/>
        <v>0</v>
      </c>
      <c r="BG868" s="12">
        <f t="shared" si="209"/>
        <v>0</v>
      </c>
      <c r="BH868" s="67">
        <v>0</v>
      </c>
      <c r="BI868" s="67">
        <v>0</v>
      </c>
      <c r="BJ868" s="67">
        <v>0</v>
      </c>
      <c r="BK868" s="67">
        <v>1</v>
      </c>
      <c r="BL868" s="67">
        <v>0</v>
      </c>
      <c r="BM868" s="67">
        <v>0</v>
      </c>
      <c r="BN868" s="67">
        <v>1</v>
      </c>
      <c r="BO868" s="67">
        <v>0</v>
      </c>
      <c r="BP868" s="67">
        <v>0</v>
      </c>
      <c r="BQ868" s="67">
        <v>0</v>
      </c>
      <c r="BR868" s="67">
        <v>0</v>
      </c>
      <c r="BS868" s="67">
        <v>0</v>
      </c>
      <c r="BT868" s="67">
        <v>0</v>
      </c>
      <c r="BU868" s="70">
        <v>5</v>
      </c>
      <c r="BV868" s="29">
        <f t="shared" si="201"/>
        <v>0.46218166239945196</v>
      </c>
      <c r="BW868">
        <f t="shared" si="202"/>
        <v>1.1555414682655611</v>
      </c>
      <c r="BX868">
        <f t="shared" si="203"/>
        <v>0.80706439257840468</v>
      </c>
      <c r="BY868">
        <f t="shared" si="204"/>
        <v>1.1439050833826525</v>
      </c>
      <c r="BZ868">
        <f t="shared" si="205"/>
        <v>0.88721318382472392</v>
      </c>
      <c r="CA868">
        <f t="shared" si="206"/>
        <v>0.33673395837055903</v>
      </c>
      <c r="CB868">
        <f t="shared" si="207"/>
        <v>0.67891464284095016</v>
      </c>
    </row>
    <row r="869" spans="1:80" x14ac:dyDescent="0.45">
      <c r="A869" s="11">
        <v>50</v>
      </c>
      <c r="B869" s="12">
        <f t="shared" si="195"/>
        <v>50</v>
      </c>
      <c r="C869" s="12" t="s">
        <v>59</v>
      </c>
      <c r="D869" s="12">
        <v>0</v>
      </c>
      <c r="E869" s="12" t="s">
        <v>60</v>
      </c>
      <c r="F869" s="12">
        <v>1</v>
      </c>
      <c r="G869" s="12">
        <v>0</v>
      </c>
      <c r="H869" s="12" t="s">
        <v>61</v>
      </c>
      <c r="I869" s="12">
        <v>1</v>
      </c>
      <c r="J869" s="12">
        <v>0</v>
      </c>
      <c r="K869" s="12">
        <v>2</v>
      </c>
      <c r="L869" s="12">
        <f t="shared" si="196"/>
        <v>2</v>
      </c>
      <c r="M869" s="12">
        <v>3</v>
      </c>
      <c r="N869" s="12" t="s">
        <v>70</v>
      </c>
      <c r="O869" s="12">
        <v>0</v>
      </c>
      <c r="P869" s="12">
        <v>0</v>
      </c>
      <c r="Q869" s="12">
        <v>1</v>
      </c>
      <c r="R869" s="12">
        <v>0</v>
      </c>
      <c r="S869" s="12">
        <v>0</v>
      </c>
      <c r="T869" s="12">
        <v>4</v>
      </c>
      <c r="U869" s="12" t="s">
        <v>19</v>
      </c>
      <c r="V869" s="12">
        <v>1</v>
      </c>
      <c r="W869" s="12">
        <v>30</v>
      </c>
      <c r="X869" s="12">
        <v>3</v>
      </c>
      <c r="Y869" s="12">
        <v>4</v>
      </c>
      <c r="Z869" s="12" t="s">
        <v>87</v>
      </c>
      <c r="AA869" s="12">
        <v>0</v>
      </c>
      <c r="AB869" s="12">
        <v>0</v>
      </c>
      <c r="AC869" s="12">
        <v>0</v>
      </c>
      <c r="AD869" s="12">
        <v>1</v>
      </c>
      <c r="AE869" s="12">
        <v>0</v>
      </c>
      <c r="AF869" s="12">
        <v>0</v>
      </c>
      <c r="AG869" s="12">
        <v>0</v>
      </c>
      <c r="AH869" s="12">
        <v>0</v>
      </c>
      <c r="AI869" s="12">
        <v>1</v>
      </c>
      <c r="AJ869" s="12" t="s">
        <v>64</v>
      </c>
      <c r="AK869" s="12">
        <v>0</v>
      </c>
      <c r="AL869" s="12">
        <v>1</v>
      </c>
      <c r="AM869" s="12">
        <v>17856</v>
      </c>
      <c r="AN869" s="12">
        <f t="shared" si="197"/>
        <v>17856</v>
      </c>
      <c r="AO869" s="12">
        <v>2</v>
      </c>
      <c r="AP869" s="12" t="s">
        <v>59</v>
      </c>
      <c r="AQ869" s="12">
        <v>0</v>
      </c>
      <c r="AR869" s="12">
        <v>22</v>
      </c>
      <c r="AS869" s="12">
        <v>4</v>
      </c>
      <c r="AT869" s="12">
        <v>3</v>
      </c>
      <c r="AU869" s="12">
        <v>1</v>
      </c>
      <c r="AV869" s="12">
        <v>32</v>
      </c>
      <c r="AW869" s="12">
        <f t="shared" si="198"/>
        <v>32</v>
      </c>
      <c r="AX869" s="12">
        <v>3</v>
      </c>
      <c r="AY869" s="12">
        <v>3</v>
      </c>
      <c r="AZ869" s="12">
        <v>2</v>
      </c>
      <c r="BA869" s="12">
        <f t="shared" si="199"/>
        <v>2</v>
      </c>
      <c r="BB869" s="12">
        <v>2</v>
      </c>
      <c r="BC869" s="12">
        <v>2</v>
      </c>
      <c r="BD869" s="12">
        <f t="shared" si="208"/>
        <v>2</v>
      </c>
      <c r="BE869" s="12">
        <v>2</v>
      </c>
      <c r="BF869" s="12">
        <f t="shared" si="200"/>
        <v>2</v>
      </c>
      <c r="BG869" s="12">
        <f t="shared" si="209"/>
        <v>8</v>
      </c>
      <c r="BH869" s="67">
        <v>0</v>
      </c>
      <c r="BI869" s="67">
        <v>0</v>
      </c>
      <c r="BJ869" s="67">
        <v>0</v>
      </c>
      <c r="BK869" s="67">
        <v>1</v>
      </c>
      <c r="BL869" s="67">
        <v>0</v>
      </c>
      <c r="BM869" s="67">
        <v>0</v>
      </c>
      <c r="BN869" s="67">
        <v>1</v>
      </c>
      <c r="BO869" s="67">
        <v>0</v>
      </c>
      <c r="BP869" s="67">
        <v>0</v>
      </c>
      <c r="BQ869" s="67">
        <v>2</v>
      </c>
      <c r="BR869" s="67">
        <v>0</v>
      </c>
      <c r="BS869" s="67">
        <v>0</v>
      </c>
      <c r="BT869" s="67">
        <v>32</v>
      </c>
      <c r="BU869" s="70">
        <v>0</v>
      </c>
      <c r="BV869" s="29">
        <f t="shared" si="201"/>
        <v>2.4114640874023254</v>
      </c>
      <c r="BW869">
        <f t="shared" si="202"/>
        <v>0.59502473559756086</v>
      </c>
      <c r="BX869">
        <f t="shared" si="203"/>
        <v>2.663023977201346</v>
      </c>
      <c r="BY869">
        <f t="shared" si="204"/>
        <v>0.81745575848020657</v>
      </c>
      <c r="BZ869">
        <f t="shared" si="205"/>
        <v>0.88721318382472392</v>
      </c>
      <c r="CA869">
        <f t="shared" si="206"/>
        <v>1.4313799530736149</v>
      </c>
      <c r="CB869">
        <f t="shared" si="207"/>
        <v>5.8265062631872602E-2</v>
      </c>
    </row>
    <row r="870" spans="1:80" x14ac:dyDescent="0.45">
      <c r="A870" s="11">
        <v>28</v>
      </c>
      <c r="B870" s="12">
        <f t="shared" si="195"/>
        <v>28</v>
      </c>
      <c r="C870" s="12" t="s">
        <v>59</v>
      </c>
      <c r="D870" s="12">
        <v>0</v>
      </c>
      <c r="E870" s="12" t="s">
        <v>53</v>
      </c>
      <c r="F870" s="12">
        <v>0</v>
      </c>
      <c r="G870" s="12">
        <v>1</v>
      </c>
      <c r="H870" s="12" t="s">
        <v>61</v>
      </c>
      <c r="I870" s="12">
        <v>1</v>
      </c>
      <c r="J870" s="12">
        <v>0</v>
      </c>
      <c r="K870" s="12">
        <v>19</v>
      </c>
      <c r="L870" s="12">
        <f t="shared" si="196"/>
        <v>19</v>
      </c>
      <c r="M870" s="12">
        <v>4</v>
      </c>
      <c r="N870" s="12" t="s">
        <v>70</v>
      </c>
      <c r="O870" s="12">
        <v>0</v>
      </c>
      <c r="P870" s="12">
        <v>0</v>
      </c>
      <c r="Q870" s="12">
        <v>1</v>
      </c>
      <c r="R870" s="12">
        <v>0</v>
      </c>
      <c r="S870" s="12">
        <v>0</v>
      </c>
      <c r="T870" s="12">
        <v>4</v>
      </c>
      <c r="U870" s="12" t="s">
        <v>62</v>
      </c>
      <c r="V870" s="12">
        <v>0</v>
      </c>
      <c r="W870" s="12">
        <v>78</v>
      </c>
      <c r="X870" s="12">
        <v>2</v>
      </c>
      <c r="Y870" s="12">
        <v>1</v>
      </c>
      <c r="Z870" s="12" t="s">
        <v>67</v>
      </c>
      <c r="AA870" s="12">
        <v>0</v>
      </c>
      <c r="AB870" s="12">
        <v>0</v>
      </c>
      <c r="AC870" s="12">
        <v>1</v>
      </c>
      <c r="AD870" s="12">
        <v>0</v>
      </c>
      <c r="AE870" s="12">
        <v>0</v>
      </c>
      <c r="AF870" s="12">
        <v>0</v>
      </c>
      <c r="AG870" s="12">
        <v>0</v>
      </c>
      <c r="AH870" s="12">
        <v>0</v>
      </c>
      <c r="AI870" s="12">
        <v>1</v>
      </c>
      <c r="AJ870" s="12" t="s">
        <v>64</v>
      </c>
      <c r="AK870" s="12">
        <v>0</v>
      </c>
      <c r="AL870" s="12">
        <v>1</v>
      </c>
      <c r="AM870" s="12">
        <v>3196</v>
      </c>
      <c r="AN870" s="12">
        <f t="shared" si="197"/>
        <v>3196</v>
      </c>
      <c r="AO870" s="12">
        <v>1</v>
      </c>
      <c r="AP870" s="12" t="s">
        <v>59</v>
      </c>
      <c r="AQ870" s="12">
        <v>0</v>
      </c>
      <c r="AR870" s="12">
        <v>12</v>
      </c>
      <c r="AS870" s="12">
        <v>3</v>
      </c>
      <c r="AT870" s="12">
        <v>3</v>
      </c>
      <c r="AU870" s="12">
        <v>3</v>
      </c>
      <c r="AV870" s="12">
        <v>6</v>
      </c>
      <c r="AW870" s="12">
        <f t="shared" si="198"/>
        <v>6</v>
      </c>
      <c r="AX870" s="12">
        <v>2</v>
      </c>
      <c r="AY870" s="12">
        <v>3</v>
      </c>
      <c r="AZ870" s="12">
        <v>6</v>
      </c>
      <c r="BA870" s="12">
        <f t="shared" si="199"/>
        <v>6</v>
      </c>
      <c r="BB870" s="12">
        <v>5</v>
      </c>
      <c r="BC870" s="12">
        <v>3</v>
      </c>
      <c r="BD870" s="12">
        <f t="shared" si="208"/>
        <v>3</v>
      </c>
      <c r="BE870" s="12">
        <v>3</v>
      </c>
      <c r="BF870" s="12">
        <f t="shared" si="200"/>
        <v>3</v>
      </c>
      <c r="BG870" s="12">
        <f t="shared" si="209"/>
        <v>3</v>
      </c>
      <c r="BH870" s="67">
        <v>0</v>
      </c>
      <c r="BI870" s="67">
        <v>1</v>
      </c>
      <c r="BJ870" s="67">
        <v>0</v>
      </c>
      <c r="BK870" s="67">
        <v>0</v>
      </c>
      <c r="BL870" s="67">
        <v>0</v>
      </c>
      <c r="BM870" s="67">
        <v>0</v>
      </c>
      <c r="BN870" s="67">
        <v>1</v>
      </c>
      <c r="BO870" s="67">
        <v>0</v>
      </c>
      <c r="BP870" s="67">
        <v>0</v>
      </c>
      <c r="BQ870" s="67">
        <v>3</v>
      </c>
      <c r="BR870" s="67">
        <v>0</v>
      </c>
      <c r="BS870" s="67">
        <v>0</v>
      </c>
      <c r="BT870" s="67">
        <v>6</v>
      </c>
      <c r="BU870" s="70">
        <v>0</v>
      </c>
      <c r="BV870" s="29">
        <f t="shared" si="201"/>
        <v>0.70241326436750651</v>
      </c>
      <c r="BW870">
        <f t="shared" si="202"/>
        <v>0.31476636926356072</v>
      </c>
      <c r="BX870">
        <f t="shared" si="203"/>
        <v>0.67854260110508058</v>
      </c>
      <c r="BY870">
        <f t="shared" si="204"/>
        <v>0.16455710867531462</v>
      </c>
      <c r="BZ870">
        <f t="shared" si="205"/>
        <v>1.2097751320534422</v>
      </c>
      <c r="CA870">
        <f t="shared" si="206"/>
        <v>0.97684123527310796</v>
      </c>
      <c r="CB870">
        <f t="shared" si="207"/>
        <v>0.2520597274726662</v>
      </c>
    </row>
    <row r="871" spans="1:80" x14ac:dyDescent="0.45">
      <c r="A871" s="11">
        <v>46</v>
      </c>
      <c r="B871" s="12">
        <f t="shared" si="195"/>
        <v>46</v>
      </c>
      <c r="C871" s="12" t="s">
        <v>59</v>
      </c>
      <c r="D871" s="12">
        <v>0</v>
      </c>
      <c r="E871" s="12" t="s">
        <v>53</v>
      </c>
      <c r="F871" s="12">
        <v>0</v>
      </c>
      <c r="G871" s="12">
        <v>1</v>
      </c>
      <c r="H871" s="12" t="s">
        <v>61</v>
      </c>
      <c r="I871" s="12">
        <v>1</v>
      </c>
      <c r="J871" s="12">
        <v>0</v>
      </c>
      <c r="K871" s="12">
        <v>15</v>
      </c>
      <c r="L871" s="12">
        <f t="shared" si="196"/>
        <v>15</v>
      </c>
      <c r="M871" s="12">
        <v>2</v>
      </c>
      <c r="N871" s="12" t="s">
        <v>55</v>
      </c>
      <c r="O871" s="12">
        <v>1</v>
      </c>
      <c r="P871" s="12">
        <v>0</v>
      </c>
      <c r="Q871" s="12">
        <v>0</v>
      </c>
      <c r="R871" s="12">
        <v>0</v>
      </c>
      <c r="S871" s="12">
        <v>0</v>
      </c>
      <c r="T871" s="12">
        <v>4</v>
      </c>
      <c r="U871" s="12" t="s">
        <v>62</v>
      </c>
      <c r="V871" s="12">
        <v>0</v>
      </c>
      <c r="W871" s="12">
        <v>52</v>
      </c>
      <c r="X871" s="12">
        <v>3</v>
      </c>
      <c r="Y871" s="12">
        <v>5</v>
      </c>
      <c r="Z871" s="12" t="s">
        <v>89</v>
      </c>
      <c r="AA871" s="12">
        <v>0</v>
      </c>
      <c r="AB871" s="12">
        <v>0</v>
      </c>
      <c r="AC871" s="12">
        <v>0</v>
      </c>
      <c r="AD871" s="12">
        <v>0</v>
      </c>
      <c r="AE871" s="12">
        <v>0</v>
      </c>
      <c r="AF871" s="12">
        <v>0</v>
      </c>
      <c r="AG871" s="12">
        <v>0</v>
      </c>
      <c r="AH871" s="12">
        <v>0</v>
      </c>
      <c r="AI871" s="12">
        <v>2</v>
      </c>
      <c r="AJ871" s="12" t="s">
        <v>64</v>
      </c>
      <c r="AK871" s="12">
        <v>0</v>
      </c>
      <c r="AL871" s="12">
        <v>1</v>
      </c>
      <c r="AM871" s="12">
        <v>19081</v>
      </c>
      <c r="AN871" s="12">
        <f t="shared" si="197"/>
        <v>19081</v>
      </c>
      <c r="AO871" s="12">
        <v>5</v>
      </c>
      <c r="AP871" s="12" t="s">
        <v>59</v>
      </c>
      <c r="AQ871" s="12">
        <v>0</v>
      </c>
      <c r="AR871" s="12">
        <v>11</v>
      </c>
      <c r="AS871" s="12">
        <v>3</v>
      </c>
      <c r="AT871" s="12">
        <v>1</v>
      </c>
      <c r="AU871" s="12">
        <v>1</v>
      </c>
      <c r="AV871" s="12">
        <v>25</v>
      </c>
      <c r="AW871" s="12">
        <f t="shared" si="198"/>
        <v>25</v>
      </c>
      <c r="AX871" s="12">
        <v>2</v>
      </c>
      <c r="AY871" s="12">
        <v>3</v>
      </c>
      <c r="AZ871" s="12">
        <v>4</v>
      </c>
      <c r="BA871" s="12">
        <f t="shared" si="199"/>
        <v>4</v>
      </c>
      <c r="BB871" s="12">
        <v>2</v>
      </c>
      <c r="BC871" s="12">
        <v>0</v>
      </c>
      <c r="BD871" s="12">
        <f t="shared" si="208"/>
        <v>0</v>
      </c>
      <c r="BE871" s="12">
        <v>3</v>
      </c>
      <c r="BF871" s="12">
        <f t="shared" si="200"/>
        <v>3</v>
      </c>
      <c r="BG871" s="12">
        <f t="shared" si="209"/>
        <v>15</v>
      </c>
      <c r="BH871" s="67">
        <v>0</v>
      </c>
      <c r="BI871" s="67">
        <v>1</v>
      </c>
      <c r="BJ871" s="67">
        <v>0</v>
      </c>
      <c r="BK871" s="67">
        <v>0</v>
      </c>
      <c r="BL871" s="67">
        <v>0</v>
      </c>
      <c r="BM871" s="67">
        <v>0</v>
      </c>
      <c r="BN871" s="67">
        <v>1</v>
      </c>
      <c r="BO871" s="67">
        <v>0</v>
      </c>
      <c r="BP871" s="67">
        <v>0</v>
      </c>
      <c r="BQ871" s="67">
        <v>3</v>
      </c>
      <c r="BR871" s="67">
        <v>0</v>
      </c>
      <c r="BS871" s="67">
        <v>0</v>
      </c>
      <c r="BT871" s="67">
        <v>25</v>
      </c>
      <c r="BU871" s="70">
        <v>0</v>
      </c>
      <c r="BV871" s="29">
        <f t="shared" si="201"/>
        <v>2.6716618879424376</v>
      </c>
      <c r="BW871">
        <f t="shared" si="202"/>
        <v>0.31476636926356072</v>
      </c>
      <c r="BX871">
        <f t="shared" si="203"/>
        <v>1.7633714368880775</v>
      </c>
      <c r="BY871">
        <f t="shared" si="204"/>
        <v>0.49100643357776058</v>
      </c>
      <c r="BZ871">
        <f t="shared" si="205"/>
        <v>0.71636611655269733</v>
      </c>
      <c r="CA871">
        <f t="shared" si="206"/>
        <v>0.99352155519239249</v>
      </c>
      <c r="CB871">
        <f t="shared" si="207"/>
        <v>0.67891464284095016</v>
      </c>
    </row>
    <row r="872" spans="1:80" x14ac:dyDescent="0.45">
      <c r="A872" s="11">
        <v>35</v>
      </c>
      <c r="B872" s="12">
        <f t="shared" si="195"/>
        <v>35</v>
      </c>
      <c r="C872" s="12" t="s">
        <v>59</v>
      </c>
      <c r="D872" s="12">
        <v>0</v>
      </c>
      <c r="E872" s="12" t="s">
        <v>53</v>
      </c>
      <c r="F872" s="12">
        <v>0</v>
      </c>
      <c r="G872" s="12">
        <v>1</v>
      </c>
      <c r="H872" s="12" t="s">
        <v>54</v>
      </c>
      <c r="I872" s="12">
        <v>0</v>
      </c>
      <c r="J872" s="12">
        <v>1</v>
      </c>
      <c r="K872" s="12">
        <v>17</v>
      </c>
      <c r="L872" s="12">
        <f t="shared" si="196"/>
        <v>17</v>
      </c>
      <c r="M872" s="12">
        <v>4</v>
      </c>
      <c r="N872" s="12" t="s">
        <v>55</v>
      </c>
      <c r="O872" s="12">
        <v>1</v>
      </c>
      <c r="P872" s="12">
        <v>0</v>
      </c>
      <c r="Q872" s="12">
        <v>0</v>
      </c>
      <c r="R872" s="12">
        <v>0</v>
      </c>
      <c r="S872" s="12">
        <v>0</v>
      </c>
      <c r="T872" s="12">
        <v>3</v>
      </c>
      <c r="U872" s="12" t="s">
        <v>62</v>
      </c>
      <c r="V872" s="12">
        <v>0</v>
      </c>
      <c r="W872" s="12">
        <v>94</v>
      </c>
      <c r="X872" s="12">
        <v>3</v>
      </c>
      <c r="Y872" s="12">
        <v>2</v>
      </c>
      <c r="Z872" s="12" t="s">
        <v>56</v>
      </c>
      <c r="AA872" s="12">
        <v>0</v>
      </c>
      <c r="AB872" s="12">
        <v>1</v>
      </c>
      <c r="AC872" s="12">
        <v>0</v>
      </c>
      <c r="AD872" s="12">
        <v>0</v>
      </c>
      <c r="AE872" s="12">
        <v>0</v>
      </c>
      <c r="AF872" s="12">
        <v>0</v>
      </c>
      <c r="AG872" s="12">
        <v>0</v>
      </c>
      <c r="AH872" s="12">
        <v>0</v>
      </c>
      <c r="AI872" s="12">
        <v>1</v>
      </c>
      <c r="AJ872" s="12" t="s">
        <v>64</v>
      </c>
      <c r="AK872" s="12">
        <v>0</v>
      </c>
      <c r="AL872" s="12">
        <v>1</v>
      </c>
      <c r="AM872" s="12">
        <v>8966</v>
      </c>
      <c r="AN872" s="12">
        <f t="shared" si="197"/>
        <v>8966</v>
      </c>
      <c r="AO872" s="12">
        <v>3</v>
      </c>
      <c r="AP872" s="12" t="s">
        <v>52</v>
      </c>
      <c r="AQ872" s="12">
        <v>1</v>
      </c>
      <c r="AR872" s="12">
        <v>15</v>
      </c>
      <c r="AS872" s="12">
        <v>3</v>
      </c>
      <c r="AT872" s="12">
        <v>4</v>
      </c>
      <c r="AU872" s="12">
        <v>3</v>
      </c>
      <c r="AV872" s="12">
        <v>15</v>
      </c>
      <c r="AW872" s="12">
        <f t="shared" si="198"/>
        <v>15</v>
      </c>
      <c r="AX872" s="12">
        <v>2</v>
      </c>
      <c r="AY872" s="12">
        <v>3</v>
      </c>
      <c r="AZ872" s="12">
        <v>7</v>
      </c>
      <c r="BA872" s="12">
        <f t="shared" si="199"/>
        <v>7</v>
      </c>
      <c r="BB872" s="12">
        <v>7</v>
      </c>
      <c r="BC872" s="12">
        <v>1</v>
      </c>
      <c r="BD872" s="12">
        <f t="shared" si="208"/>
        <v>1</v>
      </c>
      <c r="BE872" s="12">
        <v>7</v>
      </c>
      <c r="BF872" s="12">
        <f t="shared" si="200"/>
        <v>7</v>
      </c>
      <c r="BG872" s="12">
        <f t="shared" si="209"/>
        <v>14</v>
      </c>
      <c r="BH872" s="67">
        <v>0</v>
      </c>
      <c r="BI872" s="67">
        <v>1</v>
      </c>
      <c r="BJ872" s="67">
        <v>0</v>
      </c>
      <c r="BK872" s="67">
        <v>0</v>
      </c>
      <c r="BL872" s="67">
        <v>0</v>
      </c>
      <c r="BM872" s="67">
        <v>0</v>
      </c>
      <c r="BN872" s="67">
        <v>0</v>
      </c>
      <c r="BO872" s="67">
        <v>1</v>
      </c>
      <c r="BP872" s="67">
        <v>0</v>
      </c>
      <c r="BQ872" s="67">
        <v>0</v>
      </c>
      <c r="BR872" s="67">
        <v>7</v>
      </c>
      <c r="BS872" s="67">
        <v>0</v>
      </c>
      <c r="BT872" s="67">
        <v>0</v>
      </c>
      <c r="BU872" s="70">
        <v>15</v>
      </c>
      <c r="BV872" s="29">
        <f t="shared" si="201"/>
        <v>0.5231714777683687</v>
      </c>
      <c r="BW872">
        <f t="shared" si="202"/>
        <v>0.80626709607243985</v>
      </c>
      <c r="BX872">
        <f t="shared" si="203"/>
        <v>0.47815352215483642</v>
      </c>
      <c r="BY872">
        <f t="shared" si="204"/>
        <v>1.3324462240916321E-3</v>
      </c>
      <c r="BZ872">
        <f t="shared" si="205"/>
        <v>0.96307062430306978</v>
      </c>
      <c r="CA872">
        <f t="shared" si="206"/>
        <v>0.21058903898096887</v>
      </c>
      <c r="CB872">
        <f t="shared" si="207"/>
        <v>0.36858985273641137</v>
      </c>
    </row>
    <row r="873" spans="1:80" x14ac:dyDescent="0.45">
      <c r="A873" s="11">
        <v>24</v>
      </c>
      <c r="B873" s="12">
        <f t="shared" si="195"/>
        <v>24</v>
      </c>
      <c r="C873" s="12" t="s">
        <v>52</v>
      </c>
      <c r="D873" s="12">
        <v>1</v>
      </c>
      <c r="E873" s="12" t="s">
        <v>53</v>
      </c>
      <c r="F873" s="12">
        <v>0</v>
      </c>
      <c r="G873" s="12">
        <v>1</v>
      </c>
      <c r="H873" s="12" t="s">
        <v>61</v>
      </c>
      <c r="I873" s="12">
        <v>1</v>
      </c>
      <c r="J873" s="12">
        <v>0</v>
      </c>
      <c r="K873" s="12">
        <v>17</v>
      </c>
      <c r="L873" s="12">
        <f t="shared" si="196"/>
        <v>17</v>
      </c>
      <c r="M873" s="12">
        <v>2</v>
      </c>
      <c r="N873" s="12" t="s">
        <v>55</v>
      </c>
      <c r="O873" s="12">
        <v>1</v>
      </c>
      <c r="P873" s="12">
        <v>0</v>
      </c>
      <c r="Q873" s="12">
        <v>0</v>
      </c>
      <c r="R873" s="12">
        <v>0</v>
      </c>
      <c r="S873" s="12">
        <v>0</v>
      </c>
      <c r="T873" s="12">
        <v>4</v>
      </c>
      <c r="U873" s="12" t="s">
        <v>19</v>
      </c>
      <c r="V873" s="12">
        <v>1</v>
      </c>
      <c r="W873" s="12">
        <v>97</v>
      </c>
      <c r="X873" s="12">
        <v>3</v>
      </c>
      <c r="Y873" s="12">
        <v>1</v>
      </c>
      <c r="Z873" s="12" t="s">
        <v>67</v>
      </c>
      <c r="AA873" s="12">
        <v>0</v>
      </c>
      <c r="AB873" s="12">
        <v>0</v>
      </c>
      <c r="AC873" s="12">
        <v>1</v>
      </c>
      <c r="AD873" s="12">
        <v>0</v>
      </c>
      <c r="AE873" s="12">
        <v>0</v>
      </c>
      <c r="AF873" s="12">
        <v>0</v>
      </c>
      <c r="AG873" s="12">
        <v>0</v>
      </c>
      <c r="AH873" s="12">
        <v>0</v>
      </c>
      <c r="AI873" s="12">
        <v>2</v>
      </c>
      <c r="AJ873" s="12" t="s">
        <v>64</v>
      </c>
      <c r="AK873" s="12">
        <v>0</v>
      </c>
      <c r="AL873" s="12">
        <v>1</v>
      </c>
      <c r="AM873" s="12">
        <v>2210</v>
      </c>
      <c r="AN873" s="12">
        <f t="shared" si="197"/>
        <v>2210</v>
      </c>
      <c r="AO873" s="12">
        <v>1</v>
      </c>
      <c r="AP873" s="12" t="s">
        <v>59</v>
      </c>
      <c r="AQ873" s="12">
        <v>0</v>
      </c>
      <c r="AR873" s="12">
        <v>13</v>
      </c>
      <c r="AS873" s="12">
        <v>3</v>
      </c>
      <c r="AT873" s="12">
        <v>1</v>
      </c>
      <c r="AU873" s="12">
        <v>1</v>
      </c>
      <c r="AV873" s="12">
        <v>1</v>
      </c>
      <c r="AW873" s="12">
        <f t="shared" si="198"/>
        <v>1</v>
      </c>
      <c r="AX873" s="12">
        <v>3</v>
      </c>
      <c r="AY873" s="12">
        <v>1</v>
      </c>
      <c r="AZ873" s="12">
        <v>1</v>
      </c>
      <c r="BA873" s="12">
        <f t="shared" si="199"/>
        <v>1</v>
      </c>
      <c r="BB873" s="12">
        <v>0</v>
      </c>
      <c r="BC873" s="12">
        <v>0</v>
      </c>
      <c r="BD873" s="12">
        <f t="shared" si="208"/>
        <v>0</v>
      </c>
      <c r="BE873" s="12">
        <v>0</v>
      </c>
      <c r="BF873" s="12">
        <f t="shared" si="200"/>
        <v>0</v>
      </c>
      <c r="BG873" s="12">
        <f t="shared" si="209"/>
        <v>0</v>
      </c>
      <c r="BH873" s="67">
        <v>0</v>
      </c>
      <c r="BI873" s="67">
        <v>1</v>
      </c>
      <c r="BJ873" s="67">
        <v>0</v>
      </c>
      <c r="BK873" s="67">
        <v>0</v>
      </c>
      <c r="BL873" s="67">
        <v>0</v>
      </c>
      <c r="BM873" s="67">
        <v>0</v>
      </c>
      <c r="BN873" s="67">
        <v>1</v>
      </c>
      <c r="BO873" s="67">
        <v>0</v>
      </c>
      <c r="BP873" s="67">
        <v>0</v>
      </c>
      <c r="BQ873" s="67">
        <v>0</v>
      </c>
      <c r="BR873" s="67">
        <v>0</v>
      </c>
      <c r="BS873" s="67">
        <v>0</v>
      </c>
      <c r="BT873" s="67">
        <v>1</v>
      </c>
      <c r="BU873" s="70">
        <v>0</v>
      </c>
      <c r="BV873" s="29">
        <f t="shared" si="201"/>
        <v>0.91184594300632338</v>
      </c>
      <c r="BW873">
        <f t="shared" si="202"/>
        <v>1.1555414682655611</v>
      </c>
      <c r="BX873">
        <f t="shared" si="203"/>
        <v>1.3211515584717011</v>
      </c>
      <c r="BY873">
        <f t="shared" si="204"/>
        <v>0.9806804209314296</v>
      </c>
      <c r="BZ873">
        <f t="shared" si="205"/>
        <v>0.96307062430306978</v>
      </c>
      <c r="CA873">
        <f t="shared" si="206"/>
        <v>1.4146996331543302</v>
      </c>
      <c r="CB873">
        <f t="shared" si="207"/>
        <v>0.67891464284095016</v>
      </c>
    </row>
    <row r="874" spans="1:80" x14ac:dyDescent="0.45">
      <c r="A874" s="11">
        <v>33</v>
      </c>
      <c r="B874" s="12">
        <f t="shared" si="195"/>
        <v>33</v>
      </c>
      <c r="C874" s="12" t="s">
        <v>59</v>
      </c>
      <c r="D874" s="12">
        <v>0</v>
      </c>
      <c r="E874" s="12" t="s">
        <v>60</v>
      </c>
      <c r="F874" s="12">
        <v>1</v>
      </c>
      <c r="G874" s="12">
        <v>0</v>
      </c>
      <c r="H874" s="12" t="s">
        <v>54</v>
      </c>
      <c r="I874" s="12">
        <v>0</v>
      </c>
      <c r="J874" s="12">
        <v>1</v>
      </c>
      <c r="K874" s="12">
        <v>25</v>
      </c>
      <c r="L874" s="12">
        <f t="shared" si="196"/>
        <v>25</v>
      </c>
      <c r="M874" s="12">
        <v>3</v>
      </c>
      <c r="N874" s="12" t="s">
        <v>70</v>
      </c>
      <c r="O874" s="12">
        <v>0</v>
      </c>
      <c r="P874" s="12">
        <v>0</v>
      </c>
      <c r="Q874" s="12">
        <v>1</v>
      </c>
      <c r="R874" s="12">
        <v>0</v>
      </c>
      <c r="S874" s="12">
        <v>0</v>
      </c>
      <c r="T874" s="12">
        <v>2</v>
      </c>
      <c r="U874" s="12" t="s">
        <v>19</v>
      </c>
      <c r="V874" s="12">
        <v>1</v>
      </c>
      <c r="W874" s="12">
        <v>82</v>
      </c>
      <c r="X874" s="12">
        <v>3</v>
      </c>
      <c r="Y874" s="12">
        <v>2</v>
      </c>
      <c r="Z874" s="12" t="s">
        <v>56</v>
      </c>
      <c r="AA874" s="12">
        <v>0</v>
      </c>
      <c r="AB874" s="12">
        <v>1</v>
      </c>
      <c r="AC874" s="12">
        <v>0</v>
      </c>
      <c r="AD874" s="12">
        <v>0</v>
      </c>
      <c r="AE874" s="12">
        <v>0</v>
      </c>
      <c r="AF874" s="12">
        <v>0</v>
      </c>
      <c r="AG874" s="12">
        <v>0</v>
      </c>
      <c r="AH874" s="12">
        <v>0</v>
      </c>
      <c r="AI874" s="12">
        <v>3</v>
      </c>
      <c r="AJ874" s="12" t="s">
        <v>64</v>
      </c>
      <c r="AK874" s="12">
        <v>0</v>
      </c>
      <c r="AL874" s="12">
        <v>1</v>
      </c>
      <c r="AM874" s="12">
        <v>4539</v>
      </c>
      <c r="AN874" s="12">
        <f t="shared" si="197"/>
        <v>4539</v>
      </c>
      <c r="AO874" s="12">
        <v>1</v>
      </c>
      <c r="AP874" s="12" t="s">
        <v>59</v>
      </c>
      <c r="AQ874" s="12">
        <v>0</v>
      </c>
      <c r="AR874" s="12">
        <v>12</v>
      </c>
      <c r="AS874" s="12">
        <v>3</v>
      </c>
      <c r="AT874" s="12">
        <v>1</v>
      </c>
      <c r="AU874" s="12">
        <v>1</v>
      </c>
      <c r="AV874" s="12">
        <v>10</v>
      </c>
      <c r="AW874" s="12">
        <f t="shared" si="198"/>
        <v>10</v>
      </c>
      <c r="AX874" s="12">
        <v>3</v>
      </c>
      <c r="AY874" s="12">
        <v>2</v>
      </c>
      <c r="AZ874" s="12">
        <v>10</v>
      </c>
      <c r="BA874" s="12">
        <f t="shared" si="199"/>
        <v>10</v>
      </c>
      <c r="BB874" s="12">
        <v>7</v>
      </c>
      <c r="BC874" s="12">
        <v>0</v>
      </c>
      <c r="BD874" s="12">
        <f t="shared" si="208"/>
        <v>0</v>
      </c>
      <c r="BE874" s="12">
        <v>1</v>
      </c>
      <c r="BF874" s="12">
        <f t="shared" si="200"/>
        <v>1</v>
      </c>
      <c r="BG874" s="12">
        <f t="shared" si="209"/>
        <v>2</v>
      </c>
      <c r="BH874" s="67">
        <v>0</v>
      </c>
      <c r="BI874" s="67">
        <v>0</v>
      </c>
      <c r="BJ874" s="67">
        <v>0</v>
      </c>
      <c r="BK874" s="67">
        <v>1</v>
      </c>
      <c r="BL874" s="67">
        <v>0</v>
      </c>
      <c r="BM874" s="67">
        <v>0</v>
      </c>
      <c r="BN874" s="67">
        <v>1</v>
      </c>
      <c r="BO874" s="67">
        <v>0</v>
      </c>
      <c r="BP874" s="67">
        <v>0</v>
      </c>
      <c r="BQ874" s="67">
        <v>0</v>
      </c>
      <c r="BR874" s="67">
        <v>1</v>
      </c>
      <c r="BS874" s="67">
        <v>0</v>
      </c>
      <c r="BT874" s="67">
        <v>0</v>
      </c>
      <c r="BU874" s="70">
        <v>10</v>
      </c>
      <c r="BV874" s="29">
        <f t="shared" si="201"/>
        <v>0.41715151242842846</v>
      </c>
      <c r="BW874">
        <f t="shared" si="202"/>
        <v>0.87528310193156111</v>
      </c>
      <c r="BX874">
        <f t="shared" si="203"/>
        <v>0.1644554352117841</v>
      </c>
      <c r="BY874">
        <f t="shared" si="204"/>
        <v>0.48834154112957734</v>
      </c>
      <c r="BZ874">
        <f t="shared" si="205"/>
        <v>1.9498886553045598</v>
      </c>
      <c r="CA874">
        <f t="shared" si="206"/>
        <v>0.42951823792158</v>
      </c>
      <c r="CB874">
        <f t="shared" si="207"/>
        <v>0.67891464284095016</v>
      </c>
    </row>
    <row r="875" spans="1:80" x14ac:dyDescent="0.45">
      <c r="A875" s="11">
        <v>36</v>
      </c>
      <c r="B875" s="12">
        <f t="shared" si="195"/>
        <v>36</v>
      </c>
      <c r="C875" s="12" t="s">
        <v>59</v>
      </c>
      <c r="D875" s="12">
        <v>0</v>
      </c>
      <c r="E875" s="12" t="s">
        <v>53</v>
      </c>
      <c r="F875" s="12">
        <v>0</v>
      </c>
      <c r="G875" s="12">
        <v>1</v>
      </c>
      <c r="H875" s="12" t="s">
        <v>61</v>
      </c>
      <c r="I875" s="12">
        <v>1</v>
      </c>
      <c r="J875" s="12">
        <v>0</v>
      </c>
      <c r="K875" s="12">
        <v>6</v>
      </c>
      <c r="L875" s="12">
        <f t="shared" si="196"/>
        <v>6</v>
      </c>
      <c r="M875" s="12">
        <v>4</v>
      </c>
      <c r="N875" s="12" t="s">
        <v>55</v>
      </c>
      <c r="O875" s="12">
        <v>1</v>
      </c>
      <c r="P875" s="12">
        <v>0</v>
      </c>
      <c r="Q875" s="12">
        <v>0</v>
      </c>
      <c r="R875" s="12">
        <v>0</v>
      </c>
      <c r="S875" s="12">
        <v>0</v>
      </c>
      <c r="T875" s="12">
        <v>3</v>
      </c>
      <c r="U875" s="12" t="s">
        <v>62</v>
      </c>
      <c r="V875" s="12">
        <v>0</v>
      </c>
      <c r="W875" s="12">
        <v>60</v>
      </c>
      <c r="X875" s="12">
        <v>1</v>
      </c>
      <c r="Y875" s="12">
        <v>1</v>
      </c>
      <c r="Z875" s="12" t="s">
        <v>67</v>
      </c>
      <c r="AA875" s="12">
        <v>0</v>
      </c>
      <c r="AB875" s="12">
        <v>0</v>
      </c>
      <c r="AC875" s="12">
        <v>1</v>
      </c>
      <c r="AD875" s="12">
        <v>0</v>
      </c>
      <c r="AE875" s="12">
        <v>0</v>
      </c>
      <c r="AF875" s="12">
        <v>0</v>
      </c>
      <c r="AG875" s="12">
        <v>0</v>
      </c>
      <c r="AH875" s="12">
        <v>0</v>
      </c>
      <c r="AI875" s="12">
        <v>3</v>
      </c>
      <c r="AJ875" s="12" t="s">
        <v>78</v>
      </c>
      <c r="AK875" s="12">
        <v>0</v>
      </c>
      <c r="AL875" s="12">
        <v>0</v>
      </c>
      <c r="AM875" s="12">
        <v>2741</v>
      </c>
      <c r="AN875" s="12">
        <f t="shared" si="197"/>
        <v>2741</v>
      </c>
      <c r="AO875" s="12">
        <v>1</v>
      </c>
      <c r="AP875" s="12" t="s">
        <v>59</v>
      </c>
      <c r="AQ875" s="12">
        <v>0</v>
      </c>
      <c r="AR875" s="12">
        <v>14</v>
      </c>
      <c r="AS875" s="12">
        <v>3</v>
      </c>
      <c r="AT875" s="12">
        <v>3</v>
      </c>
      <c r="AU875" s="12">
        <v>1</v>
      </c>
      <c r="AV875" s="12">
        <v>7</v>
      </c>
      <c r="AW875" s="12">
        <f t="shared" si="198"/>
        <v>7</v>
      </c>
      <c r="AX875" s="12">
        <v>4</v>
      </c>
      <c r="AY875" s="12">
        <v>3</v>
      </c>
      <c r="AZ875" s="12">
        <v>7</v>
      </c>
      <c r="BA875" s="12">
        <f t="shared" si="199"/>
        <v>7</v>
      </c>
      <c r="BB875" s="12">
        <v>7</v>
      </c>
      <c r="BC875" s="12">
        <v>1</v>
      </c>
      <c r="BD875" s="12">
        <f t="shared" si="208"/>
        <v>1</v>
      </c>
      <c r="BE875" s="12">
        <v>7</v>
      </c>
      <c r="BF875" s="12">
        <f t="shared" si="200"/>
        <v>7</v>
      </c>
      <c r="BG875" s="12">
        <f t="shared" si="209"/>
        <v>7</v>
      </c>
      <c r="BH875" s="67">
        <v>1</v>
      </c>
      <c r="BI875" s="67">
        <v>0</v>
      </c>
      <c r="BJ875" s="67">
        <v>0</v>
      </c>
      <c r="BK875" s="67">
        <v>0</v>
      </c>
      <c r="BL875" s="67">
        <v>1</v>
      </c>
      <c r="BM875" s="67">
        <v>0</v>
      </c>
      <c r="BN875" s="67">
        <v>0</v>
      </c>
      <c r="BO875" s="67">
        <v>0</v>
      </c>
      <c r="BP875" s="67">
        <v>0</v>
      </c>
      <c r="BQ875" s="67">
        <v>7</v>
      </c>
      <c r="BR875" s="67">
        <v>0</v>
      </c>
      <c r="BS875" s="67">
        <v>0</v>
      </c>
      <c r="BT875" s="67">
        <v>7</v>
      </c>
      <c r="BU875" s="70">
        <v>0</v>
      </c>
      <c r="BV875" s="29">
        <f t="shared" si="201"/>
        <v>0.79905816171097677</v>
      </c>
      <c r="BW875">
        <f t="shared" si="202"/>
        <v>0.80626709607243985</v>
      </c>
      <c r="BX875">
        <f t="shared" si="203"/>
        <v>0.55002080963175637</v>
      </c>
      <c r="BY875">
        <f t="shared" si="204"/>
        <v>1.3324462240916321E-3</v>
      </c>
      <c r="BZ875">
        <f t="shared" si="205"/>
        <v>0.39380416832397891</v>
      </c>
      <c r="CA875">
        <f t="shared" si="206"/>
        <v>0.10112443951066327</v>
      </c>
      <c r="CB875">
        <f t="shared" si="207"/>
        <v>0.36858985273641137</v>
      </c>
    </row>
    <row r="876" spans="1:80" x14ac:dyDescent="0.45">
      <c r="A876" s="11">
        <v>30</v>
      </c>
      <c r="B876" s="12">
        <f t="shared" si="195"/>
        <v>30</v>
      </c>
      <c r="C876" s="12" t="s">
        <v>59</v>
      </c>
      <c r="D876" s="12">
        <v>0</v>
      </c>
      <c r="E876" s="12" t="s">
        <v>53</v>
      </c>
      <c r="F876" s="12">
        <v>0</v>
      </c>
      <c r="G876" s="12">
        <v>1</v>
      </c>
      <c r="H876" s="12" t="s">
        <v>61</v>
      </c>
      <c r="I876" s="12">
        <v>1</v>
      </c>
      <c r="J876" s="12">
        <v>0</v>
      </c>
      <c r="K876" s="12">
        <v>7</v>
      </c>
      <c r="L876" s="12">
        <f t="shared" si="196"/>
        <v>7</v>
      </c>
      <c r="M876" s="12">
        <v>4</v>
      </c>
      <c r="N876" s="12" t="s">
        <v>55</v>
      </c>
      <c r="O876" s="12">
        <v>1</v>
      </c>
      <c r="P876" s="12">
        <v>0</v>
      </c>
      <c r="Q876" s="12">
        <v>0</v>
      </c>
      <c r="R876" s="12">
        <v>0</v>
      </c>
      <c r="S876" s="12">
        <v>0</v>
      </c>
      <c r="T876" s="12">
        <v>3</v>
      </c>
      <c r="U876" s="12" t="s">
        <v>62</v>
      </c>
      <c r="V876" s="12">
        <v>0</v>
      </c>
      <c r="W876" s="12">
        <v>49</v>
      </c>
      <c r="X876" s="12">
        <v>3</v>
      </c>
      <c r="Y876" s="12">
        <v>2</v>
      </c>
      <c r="Z876" s="12" t="s">
        <v>67</v>
      </c>
      <c r="AA876" s="12">
        <v>0</v>
      </c>
      <c r="AB876" s="12">
        <v>0</v>
      </c>
      <c r="AC876" s="12">
        <v>1</v>
      </c>
      <c r="AD876" s="12">
        <v>0</v>
      </c>
      <c r="AE876" s="12">
        <v>0</v>
      </c>
      <c r="AF876" s="12">
        <v>0</v>
      </c>
      <c r="AG876" s="12">
        <v>0</v>
      </c>
      <c r="AH876" s="12">
        <v>0</v>
      </c>
      <c r="AI876" s="12">
        <v>3</v>
      </c>
      <c r="AJ876" s="12" t="s">
        <v>78</v>
      </c>
      <c r="AK876" s="12">
        <v>0</v>
      </c>
      <c r="AL876" s="12">
        <v>0</v>
      </c>
      <c r="AM876" s="12">
        <v>3491</v>
      </c>
      <c r="AN876" s="12">
        <f t="shared" si="197"/>
        <v>3491</v>
      </c>
      <c r="AO876" s="12">
        <v>1</v>
      </c>
      <c r="AP876" s="12" t="s">
        <v>59</v>
      </c>
      <c r="AQ876" s="12">
        <v>0</v>
      </c>
      <c r="AR876" s="12">
        <v>13</v>
      </c>
      <c r="AS876" s="12">
        <v>3</v>
      </c>
      <c r="AT876" s="12">
        <v>1</v>
      </c>
      <c r="AU876" s="12">
        <v>3</v>
      </c>
      <c r="AV876" s="12">
        <v>10</v>
      </c>
      <c r="AW876" s="12">
        <f t="shared" si="198"/>
        <v>10</v>
      </c>
      <c r="AX876" s="12">
        <v>4</v>
      </c>
      <c r="AY876" s="12">
        <v>2</v>
      </c>
      <c r="AZ876" s="12">
        <v>10</v>
      </c>
      <c r="BA876" s="12">
        <f t="shared" si="199"/>
        <v>10</v>
      </c>
      <c r="BB876" s="12">
        <v>7</v>
      </c>
      <c r="BC876" s="12">
        <v>8</v>
      </c>
      <c r="BD876" s="12">
        <f t="shared" si="208"/>
        <v>8</v>
      </c>
      <c r="BE876" s="12">
        <v>9</v>
      </c>
      <c r="BF876" s="12">
        <f t="shared" si="200"/>
        <v>9</v>
      </c>
      <c r="BG876" s="12">
        <f t="shared" si="209"/>
        <v>18</v>
      </c>
      <c r="BH876" s="67">
        <v>1</v>
      </c>
      <c r="BI876" s="67">
        <v>0</v>
      </c>
      <c r="BJ876" s="67">
        <v>0</v>
      </c>
      <c r="BK876" s="67">
        <v>0</v>
      </c>
      <c r="BL876" s="67">
        <v>1</v>
      </c>
      <c r="BM876" s="67">
        <v>0</v>
      </c>
      <c r="BN876" s="67">
        <v>0</v>
      </c>
      <c r="BO876" s="67">
        <v>0</v>
      </c>
      <c r="BP876" s="67">
        <v>0</v>
      </c>
      <c r="BQ876" s="67">
        <v>9</v>
      </c>
      <c r="BR876" s="67">
        <v>0</v>
      </c>
      <c r="BS876" s="67">
        <v>0</v>
      </c>
      <c r="BT876" s="67">
        <v>10</v>
      </c>
      <c r="BU876" s="70">
        <v>0</v>
      </c>
      <c r="BV876" s="29">
        <f t="shared" si="201"/>
        <v>0.63975338587009178</v>
      </c>
      <c r="BW876">
        <f t="shared" si="202"/>
        <v>1.3667838287404401</v>
      </c>
      <c r="BX876">
        <f t="shared" si="203"/>
        <v>0.1644554352117841</v>
      </c>
      <c r="BY876">
        <f t="shared" si="204"/>
        <v>0.48834154112957734</v>
      </c>
      <c r="BZ876">
        <f t="shared" si="205"/>
        <v>0.27045191444879263</v>
      </c>
      <c r="CA876">
        <f t="shared" si="206"/>
        <v>0.75791203633249671</v>
      </c>
      <c r="CB876">
        <f t="shared" si="207"/>
        <v>1.8036836779953602</v>
      </c>
    </row>
    <row r="877" spans="1:80" x14ac:dyDescent="0.45">
      <c r="A877" s="11">
        <v>44</v>
      </c>
      <c r="B877" s="12">
        <f t="shared" si="195"/>
        <v>44</v>
      </c>
      <c r="C877" s="12" t="s">
        <v>59</v>
      </c>
      <c r="D877" s="12">
        <v>0</v>
      </c>
      <c r="E877" s="12" t="s">
        <v>53</v>
      </c>
      <c r="F877" s="12">
        <v>0</v>
      </c>
      <c r="G877" s="12">
        <v>1</v>
      </c>
      <c r="H877" s="12" t="s">
        <v>61</v>
      </c>
      <c r="I877" s="12">
        <v>1</v>
      </c>
      <c r="J877" s="12">
        <v>0</v>
      </c>
      <c r="K877" s="12">
        <v>29</v>
      </c>
      <c r="L877" s="12">
        <f t="shared" si="196"/>
        <v>29</v>
      </c>
      <c r="M877" s="12">
        <v>4</v>
      </c>
      <c r="N877" s="12" t="s">
        <v>66</v>
      </c>
      <c r="O877" s="12">
        <v>0</v>
      </c>
      <c r="P877" s="12">
        <v>1</v>
      </c>
      <c r="Q877" s="12">
        <v>0</v>
      </c>
      <c r="R877" s="12">
        <v>0</v>
      </c>
      <c r="S877" s="12">
        <v>0</v>
      </c>
      <c r="T877" s="12">
        <v>4</v>
      </c>
      <c r="U877" s="12" t="s">
        <v>62</v>
      </c>
      <c r="V877" s="12">
        <v>0</v>
      </c>
      <c r="W877" s="12">
        <v>32</v>
      </c>
      <c r="X877" s="12">
        <v>3</v>
      </c>
      <c r="Y877" s="12">
        <v>2</v>
      </c>
      <c r="Z877" s="12" t="s">
        <v>63</v>
      </c>
      <c r="AA877" s="12">
        <v>0</v>
      </c>
      <c r="AB877" s="12">
        <v>0</v>
      </c>
      <c r="AC877" s="12">
        <v>0</v>
      </c>
      <c r="AD877" s="12">
        <v>0</v>
      </c>
      <c r="AE877" s="12">
        <v>0</v>
      </c>
      <c r="AF877" s="12">
        <v>0</v>
      </c>
      <c r="AG877" s="12">
        <v>0</v>
      </c>
      <c r="AH877" s="12">
        <v>1</v>
      </c>
      <c r="AI877" s="12">
        <v>4</v>
      </c>
      <c r="AJ877" s="12" t="s">
        <v>57</v>
      </c>
      <c r="AK877" s="12">
        <v>1</v>
      </c>
      <c r="AL877" s="12">
        <v>0</v>
      </c>
      <c r="AM877" s="12">
        <v>4541</v>
      </c>
      <c r="AN877" s="12">
        <f t="shared" si="197"/>
        <v>4541</v>
      </c>
      <c r="AO877" s="12">
        <v>1</v>
      </c>
      <c r="AP877" s="12" t="s">
        <v>59</v>
      </c>
      <c r="AQ877" s="12">
        <v>0</v>
      </c>
      <c r="AR877" s="12">
        <v>25</v>
      </c>
      <c r="AS877" s="12">
        <v>4</v>
      </c>
      <c r="AT877" s="12">
        <v>2</v>
      </c>
      <c r="AU877" s="12">
        <v>0</v>
      </c>
      <c r="AV877" s="12">
        <v>20</v>
      </c>
      <c r="AW877" s="12">
        <f t="shared" si="198"/>
        <v>20</v>
      </c>
      <c r="AX877" s="12">
        <v>3</v>
      </c>
      <c r="AY877" s="12">
        <v>3</v>
      </c>
      <c r="AZ877" s="12">
        <v>20</v>
      </c>
      <c r="BA877" s="12">
        <f t="shared" si="199"/>
        <v>20</v>
      </c>
      <c r="BB877" s="12">
        <v>11</v>
      </c>
      <c r="BC877" s="12">
        <v>13</v>
      </c>
      <c r="BD877" s="12">
        <f t="shared" si="208"/>
        <v>13</v>
      </c>
      <c r="BE877" s="12">
        <v>17</v>
      </c>
      <c r="BF877" s="12">
        <f t="shared" si="200"/>
        <v>14</v>
      </c>
      <c r="BG877" s="12">
        <f t="shared" si="209"/>
        <v>28</v>
      </c>
      <c r="BH877" s="67">
        <v>1</v>
      </c>
      <c r="BI877" s="67">
        <v>0</v>
      </c>
      <c r="BJ877" s="67">
        <v>0</v>
      </c>
      <c r="BK877" s="67">
        <v>0</v>
      </c>
      <c r="BL877" s="67">
        <v>1</v>
      </c>
      <c r="BM877" s="67">
        <v>0</v>
      </c>
      <c r="BN877" s="67">
        <v>0</v>
      </c>
      <c r="BO877" s="67">
        <v>0</v>
      </c>
      <c r="BP877" s="67">
        <v>0</v>
      </c>
      <c r="BQ877" s="67">
        <v>14</v>
      </c>
      <c r="BR877" s="67">
        <v>0</v>
      </c>
      <c r="BS877" s="67">
        <v>0</v>
      </c>
      <c r="BT877" s="67">
        <v>20</v>
      </c>
      <c r="BU877" s="70">
        <v>0</v>
      </c>
      <c r="BV877" s="29">
        <f t="shared" si="201"/>
        <v>0.41672669969285281</v>
      </c>
      <c r="BW877">
        <f t="shared" si="202"/>
        <v>3.6088507594124417</v>
      </c>
      <c r="BX877">
        <f t="shared" si="203"/>
        <v>1.120762479521457</v>
      </c>
      <c r="BY877">
        <f t="shared" si="204"/>
        <v>2.1205881656418071</v>
      </c>
      <c r="BZ877">
        <f t="shared" si="205"/>
        <v>2.4432976708053049</v>
      </c>
      <c r="CA877">
        <f t="shared" si="206"/>
        <v>0.77459235625178136</v>
      </c>
      <c r="CB877">
        <f t="shared" si="207"/>
        <v>3.3553076285180543</v>
      </c>
    </row>
    <row r="878" spans="1:80" x14ac:dyDescent="0.45">
      <c r="A878" s="11">
        <v>20</v>
      </c>
      <c r="B878" s="12">
        <f t="shared" si="195"/>
        <v>20</v>
      </c>
      <c r="C878" s="12" t="s">
        <v>59</v>
      </c>
      <c r="D878" s="12">
        <v>0</v>
      </c>
      <c r="E878" s="12" t="s">
        <v>53</v>
      </c>
      <c r="F878" s="12">
        <v>0</v>
      </c>
      <c r="G878" s="12">
        <v>1</v>
      </c>
      <c r="H878" s="12" t="s">
        <v>54</v>
      </c>
      <c r="I878" s="12">
        <v>0</v>
      </c>
      <c r="J878" s="12">
        <v>1</v>
      </c>
      <c r="K878" s="12">
        <v>21</v>
      </c>
      <c r="L878" s="12">
        <f t="shared" si="196"/>
        <v>21</v>
      </c>
      <c r="M878" s="12">
        <v>3</v>
      </c>
      <c r="N878" s="12" t="s">
        <v>90</v>
      </c>
      <c r="O878" s="12">
        <v>0</v>
      </c>
      <c r="P878" s="12">
        <v>0</v>
      </c>
      <c r="Q878" s="12">
        <v>0</v>
      </c>
      <c r="R878" s="12">
        <v>1</v>
      </c>
      <c r="S878" s="12">
        <v>0</v>
      </c>
      <c r="T878" s="12">
        <v>3</v>
      </c>
      <c r="U878" s="12" t="s">
        <v>62</v>
      </c>
      <c r="V878" s="12">
        <v>0</v>
      </c>
      <c r="W878" s="12">
        <v>43</v>
      </c>
      <c r="X878" s="12">
        <v>4</v>
      </c>
      <c r="Y878" s="12">
        <v>1</v>
      </c>
      <c r="Z878" s="12" t="s">
        <v>88</v>
      </c>
      <c r="AA878" s="12">
        <v>0</v>
      </c>
      <c r="AB878" s="12">
        <v>0</v>
      </c>
      <c r="AC878" s="12">
        <v>0</v>
      </c>
      <c r="AD878" s="12">
        <v>0</v>
      </c>
      <c r="AE878" s="12">
        <v>0</v>
      </c>
      <c r="AF878" s="12">
        <v>0</v>
      </c>
      <c r="AG878" s="12">
        <v>1</v>
      </c>
      <c r="AH878" s="12">
        <v>0</v>
      </c>
      <c r="AI878" s="12">
        <v>4</v>
      </c>
      <c r="AJ878" s="12" t="s">
        <v>57</v>
      </c>
      <c r="AK878" s="12">
        <v>1</v>
      </c>
      <c r="AL878" s="12">
        <v>0</v>
      </c>
      <c r="AM878" s="12">
        <v>2678</v>
      </c>
      <c r="AN878" s="12">
        <f t="shared" si="197"/>
        <v>2678</v>
      </c>
      <c r="AO878" s="12">
        <v>1</v>
      </c>
      <c r="AP878" s="12" t="s">
        <v>59</v>
      </c>
      <c r="AQ878" s="12">
        <v>0</v>
      </c>
      <c r="AR878" s="12">
        <v>17</v>
      </c>
      <c r="AS878" s="12">
        <v>3</v>
      </c>
      <c r="AT878" s="12">
        <v>4</v>
      </c>
      <c r="AU878" s="12">
        <v>0</v>
      </c>
      <c r="AV878" s="12">
        <v>2</v>
      </c>
      <c r="AW878" s="12">
        <f t="shared" si="198"/>
        <v>2</v>
      </c>
      <c r="AX878" s="12">
        <v>2</v>
      </c>
      <c r="AY878" s="12">
        <v>3</v>
      </c>
      <c r="AZ878" s="12">
        <v>2</v>
      </c>
      <c r="BA878" s="12">
        <f t="shared" si="199"/>
        <v>2</v>
      </c>
      <c r="BB878" s="12">
        <v>1</v>
      </c>
      <c r="BC878" s="12">
        <v>2</v>
      </c>
      <c r="BD878" s="12">
        <f t="shared" si="208"/>
        <v>2</v>
      </c>
      <c r="BE878" s="12">
        <v>2</v>
      </c>
      <c r="BF878" s="12">
        <f t="shared" si="200"/>
        <v>2</v>
      </c>
      <c r="BG878" s="12">
        <f t="shared" si="209"/>
        <v>2</v>
      </c>
      <c r="BH878" s="67">
        <v>1</v>
      </c>
      <c r="BI878" s="67">
        <v>0</v>
      </c>
      <c r="BJ878" s="67">
        <v>0</v>
      </c>
      <c r="BK878" s="67">
        <v>0</v>
      </c>
      <c r="BL878" s="67">
        <v>1</v>
      </c>
      <c r="BM878" s="67">
        <v>0</v>
      </c>
      <c r="BN878" s="67">
        <v>0</v>
      </c>
      <c r="BO878" s="67">
        <v>0</v>
      </c>
      <c r="BP878" s="67">
        <v>0</v>
      </c>
      <c r="BQ878" s="67">
        <v>0</v>
      </c>
      <c r="BR878" s="67">
        <v>2</v>
      </c>
      <c r="BS878" s="67">
        <v>0</v>
      </c>
      <c r="BT878" s="67">
        <v>0</v>
      </c>
      <c r="BU878" s="70">
        <v>2</v>
      </c>
      <c r="BV878" s="29">
        <f t="shared" si="201"/>
        <v>0.81243976288161113</v>
      </c>
      <c r="BW878">
        <f t="shared" si="202"/>
        <v>0.59502473559756086</v>
      </c>
      <c r="BX878">
        <f t="shared" si="203"/>
        <v>1.192629766998377</v>
      </c>
      <c r="BY878">
        <f t="shared" si="204"/>
        <v>0.81745575848020657</v>
      </c>
      <c r="BZ878">
        <f t="shared" si="205"/>
        <v>1.4564796398038149</v>
      </c>
      <c r="CA878">
        <f t="shared" si="206"/>
        <v>1.8525580310355525</v>
      </c>
      <c r="CB878">
        <f t="shared" si="207"/>
        <v>5.8265062631872602E-2</v>
      </c>
    </row>
    <row r="879" spans="1:80" x14ac:dyDescent="0.45">
      <c r="A879" s="11">
        <v>46</v>
      </c>
      <c r="B879" s="12">
        <f t="shared" si="195"/>
        <v>46</v>
      </c>
      <c r="C879" s="12" t="s">
        <v>59</v>
      </c>
      <c r="D879" s="12">
        <v>0</v>
      </c>
      <c r="E879" s="12" t="s">
        <v>53</v>
      </c>
      <c r="F879" s="12">
        <v>0</v>
      </c>
      <c r="G879" s="12">
        <v>1</v>
      </c>
      <c r="H879" s="12" t="s">
        <v>61</v>
      </c>
      <c r="I879" s="12">
        <v>1</v>
      </c>
      <c r="J879" s="12">
        <v>0</v>
      </c>
      <c r="K879" s="12">
        <v>2</v>
      </c>
      <c r="L879" s="12">
        <f t="shared" si="196"/>
        <v>2</v>
      </c>
      <c r="M879" s="12">
        <v>4</v>
      </c>
      <c r="N879" s="12" t="s">
        <v>91</v>
      </c>
      <c r="O879" s="12">
        <v>0</v>
      </c>
      <c r="P879" s="12">
        <v>0</v>
      </c>
      <c r="Q879" s="12">
        <v>0</v>
      </c>
      <c r="R879" s="12">
        <v>0</v>
      </c>
      <c r="S879" s="12">
        <v>1</v>
      </c>
      <c r="T879" s="12">
        <v>4</v>
      </c>
      <c r="U879" s="12" t="s">
        <v>62</v>
      </c>
      <c r="V879" s="12">
        <v>0</v>
      </c>
      <c r="W879" s="12">
        <v>60</v>
      </c>
      <c r="X879" s="12">
        <v>3</v>
      </c>
      <c r="Y879" s="12">
        <v>2</v>
      </c>
      <c r="Z879" s="12" t="s">
        <v>83</v>
      </c>
      <c r="AA879" s="12">
        <v>0</v>
      </c>
      <c r="AB879" s="12">
        <v>0</v>
      </c>
      <c r="AC879" s="12">
        <v>0</v>
      </c>
      <c r="AD879" s="12">
        <v>0</v>
      </c>
      <c r="AE879" s="12">
        <v>1</v>
      </c>
      <c r="AF879" s="12">
        <v>1</v>
      </c>
      <c r="AG879" s="12">
        <v>0</v>
      </c>
      <c r="AH879" s="12">
        <v>0</v>
      </c>
      <c r="AI879" s="12">
        <v>4</v>
      </c>
      <c r="AJ879" s="12" t="s">
        <v>78</v>
      </c>
      <c r="AK879" s="12">
        <v>0</v>
      </c>
      <c r="AL879" s="12">
        <v>0</v>
      </c>
      <c r="AM879" s="12">
        <v>7379</v>
      </c>
      <c r="AN879" s="12">
        <f t="shared" si="197"/>
        <v>7379</v>
      </c>
      <c r="AO879" s="12">
        <v>2</v>
      </c>
      <c r="AP879" s="12" t="s">
        <v>59</v>
      </c>
      <c r="AQ879" s="12">
        <v>0</v>
      </c>
      <c r="AR879" s="12">
        <v>11</v>
      </c>
      <c r="AS879" s="12">
        <v>3</v>
      </c>
      <c r="AT879" s="12">
        <v>3</v>
      </c>
      <c r="AU879" s="12">
        <v>1</v>
      </c>
      <c r="AV879" s="12">
        <v>12</v>
      </c>
      <c r="AW879" s="12">
        <f t="shared" si="198"/>
        <v>12</v>
      </c>
      <c r="AX879" s="12">
        <v>3</v>
      </c>
      <c r="AY879" s="12">
        <v>2</v>
      </c>
      <c r="AZ879" s="12">
        <v>6</v>
      </c>
      <c r="BA879" s="12">
        <f t="shared" si="199"/>
        <v>6</v>
      </c>
      <c r="BB879" s="12">
        <v>3</v>
      </c>
      <c r="BC879" s="12">
        <v>1</v>
      </c>
      <c r="BD879" s="12">
        <f t="shared" si="208"/>
        <v>1</v>
      </c>
      <c r="BE879" s="12">
        <v>4</v>
      </c>
      <c r="BF879" s="12">
        <f t="shared" si="200"/>
        <v>4</v>
      </c>
      <c r="BG879" s="12">
        <f t="shared" si="209"/>
        <v>8</v>
      </c>
      <c r="BH879" s="67">
        <v>1</v>
      </c>
      <c r="BI879" s="67">
        <v>0</v>
      </c>
      <c r="BJ879" s="67">
        <v>0</v>
      </c>
      <c r="BK879" s="67">
        <v>0</v>
      </c>
      <c r="BL879" s="67">
        <v>1</v>
      </c>
      <c r="BM879" s="67">
        <v>0</v>
      </c>
      <c r="BN879" s="67">
        <v>0</v>
      </c>
      <c r="BO879" s="67">
        <v>0</v>
      </c>
      <c r="BP879" s="67">
        <v>0</v>
      </c>
      <c r="BQ879" s="67">
        <v>4</v>
      </c>
      <c r="BR879" s="67">
        <v>0</v>
      </c>
      <c r="BS879" s="67">
        <v>0</v>
      </c>
      <c r="BT879" s="67">
        <v>12</v>
      </c>
      <c r="BU879" s="70">
        <v>0</v>
      </c>
      <c r="BV879" s="29">
        <f t="shared" si="201"/>
        <v>0.18608257208905607</v>
      </c>
      <c r="BW879">
        <f t="shared" si="202"/>
        <v>3.4508002929560584E-2</v>
      </c>
      <c r="BX879">
        <f t="shared" si="203"/>
        <v>9.2588147734864096E-2</v>
      </c>
      <c r="BY879">
        <f t="shared" si="204"/>
        <v>0.16455710867531462</v>
      </c>
      <c r="BZ879">
        <f t="shared" si="205"/>
        <v>0.88721318382472392</v>
      </c>
      <c r="CA879">
        <f t="shared" si="206"/>
        <v>0.99352155519239249</v>
      </c>
      <c r="CB879">
        <f t="shared" si="207"/>
        <v>0.36858985273641137</v>
      </c>
    </row>
    <row r="880" spans="1:80" x14ac:dyDescent="0.45">
      <c r="A880" s="11">
        <v>42</v>
      </c>
      <c r="B880" s="12">
        <f t="shared" si="195"/>
        <v>42</v>
      </c>
      <c r="C880" s="12" t="s">
        <v>59</v>
      </c>
      <c r="D880" s="12">
        <v>0</v>
      </c>
      <c r="E880" s="12" t="s">
        <v>86</v>
      </c>
      <c r="F880" s="12">
        <v>0</v>
      </c>
      <c r="G880" s="12">
        <v>0</v>
      </c>
      <c r="H880" s="12" t="s">
        <v>97</v>
      </c>
      <c r="I880" s="12">
        <v>0</v>
      </c>
      <c r="J880" s="12">
        <v>0</v>
      </c>
      <c r="K880" s="12">
        <v>2</v>
      </c>
      <c r="L880" s="12">
        <f t="shared" si="196"/>
        <v>2</v>
      </c>
      <c r="M880" s="12">
        <v>5</v>
      </c>
      <c r="N880" s="12" t="s">
        <v>70</v>
      </c>
      <c r="O880" s="12">
        <v>0</v>
      </c>
      <c r="P880" s="12">
        <v>0</v>
      </c>
      <c r="Q880" s="12">
        <v>1</v>
      </c>
      <c r="R880" s="12">
        <v>0</v>
      </c>
      <c r="S880" s="12">
        <v>0</v>
      </c>
      <c r="T880" s="12">
        <v>4</v>
      </c>
      <c r="U880" s="12" t="s">
        <v>62</v>
      </c>
      <c r="V880" s="12">
        <v>0</v>
      </c>
      <c r="W880" s="12">
        <v>79</v>
      </c>
      <c r="X880" s="12">
        <v>4</v>
      </c>
      <c r="Y880" s="12">
        <v>2</v>
      </c>
      <c r="Z880" s="12" t="s">
        <v>97</v>
      </c>
      <c r="AA880" s="12">
        <v>0</v>
      </c>
      <c r="AB880" s="12">
        <v>0</v>
      </c>
      <c r="AC880" s="12">
        <v>0</v>
      </c>
      <c r="AD880" s="12">
        <v>0</v>
      </c>
      <c r="AE880" s="12">
        <v>0</v>
      </c>
      <c r="AF880" s="12">
        <v>0</v>
      </c>
      <c r="AG880" s="12">
        <v>0</v>
      </c>
      <c r="AH880" s="12">
        <v>0</v>
      </c>
      <c r="AI880" s="12">
        <v>1</v>
      </c>
      <c r="AJ880" s="12" t="s">
        <v>64</v>
      </c>
      <c r="AK880" s="12">
        <v>0</v>
      </c>
      <c r="AL880" s="12">
        <v>1</v>
      </c>
      <c r="AM880" s="12">
        <v>6272</v>
      </c>
      <c r="AN880" s="12">
        <f t="shared" si="197"/>
        <v>6272</v>
      </c>
      <c r="AO880" s="12">
        <v>7</v>
      </c>
      <c r="AP880" s="12" t="s">
        <v>59</v>
      </c>
      <c r="AQ880" s="12">
        <v>0</v>
      </c>
      <c r="AR880" s="12">
        <v>16</v>
      </c>
      <c r="AS880" s="12">
        <v>3</v>
      </c>
      <c r="AT880" s="12">
        <v>1</v>
      </c>
      <c r="AU880" s="12">
        <v>1</v>
      </c>
      <c r="AV880" s="12">
        <v>10</v>
      </c>
      <c r="AW880" s="12">
        <f t="shared" si="198"/>
        <v>10</v>
      </c>
      <c r="AX880" s="12">
        <v>3</v>
      </c>
      <c r="AY880" s="12">
        <v>4</v>
      </c>
      <c r="AZ880" s="12">
        <v>4</v>
      </c>
      <c r="BA880" s="12">
        <f t="shared" si="199"/>
        <v>4</v>
      </c>
      <c r="BB880" s="12">
        <v>3</v>
      </c>
      <c r="BC880" s="12">
        <v>0</v>
      </c>
      <c r="BD880" s="12">
        <f t="shared" si="208"/>
        <v>0</v>
      </c>
      <c r="BE880" s="12">
        <v>3</v>
      </c>
      <c r="BF880" s="12">
        <f t="shared" si="200"/>
        <v>3</v>
      </c>
      <c r="BG880" s="12">
        <f t="shared" si="209"/>
        <v>6</v>
      </c>
      <c r="BH880" s="67">
        <v>0</v>
      </c>
      <c r="BI880" s="67">
        <v>1</v>
      </c>
      <c r="BJ880" s="67">
        <v>0</v>
      </c>
      <c r="BK880" s="67">
        <v>0</v>
      </c>
      <c r="BL880" s="67">
        <v>0</v>
      </c>
      <c r="BM880" s="67">
        <v>0</v>
      </c>
      <c r="BN880" s="67">
        <v>1</v>
      </c>
      <c r="BO880" s="67">
        <v>0</v>
      </c>
      <c r="BP880" s="67">
        <v>3</v>
      </c>
      <c r="BQ880" s="67">
        <v>0</v>
      </c>
      <c r="BR880" s="67">
        <v>0</v>
      </c>
      <c r="BS880" s="67">
        <v>10</v>
      </c>
      <c r="BT880" s="67">
        <v>0</v>
      </c>
      <c r="BU880" s="70">
        <v>0</v>
      </c>
      <c r="BV880" s="29">
        <f t="shared" si="201"/>
        <v>4.9051277052090198E-2</v>
      </c>
      <c r="BW880">
        <f t="shared" si="202"/>
        <v>0.31476636926356072</v>
      </c>
      <c r="BX880">
        <f t="shared" si="203"/>
        <v>0.1644554352117841</v>
      </c>
      <c r="BY880">
        <f t="shared" si="204"/>
        <v>0.49100643357776058</v>
      </c>
      <c r="BZ880">
        <f t="shared" si="205"/>
        <v>0.88721318382472392</v>
      </c>
      <c r="CA880">
        <f t="shared" si="206"/>
        <v>0.55566315731117022</v>
      </c>
      <c r="CB880">
        <f t="shared" si="207"/>
        <v>0.67891464284095016</v>
      </c>
    </row>
    <row r="881" spans="1:80" x14ac:dyDescent="0.45">
      <c r="A881" s="11">
        <v>60</v>
      </c>
      <c r="B881" s="12">
        <f t="shared" si="195"/>
        <v>58.309999999999945</v>
      </c>
      <c r="C881" s="12" t="s">
        <v>59</v>
      </c>
      <c r="D881" s="12">
        <v>0</v>
      </c>
      <c r="E881" s="12" t="s">
        <v>53</v>
      </c>
      <c r="F881" s="12">
        <v>0</v>
      </c>
      <c r="G881" s="12">
        <v>1</v>
      </c>
      <c r="H881" s="12" t="s">
        <v>54</v>
      </c>
      <c r="I881" s="12">
        <v>0</v>
      </c>
      <c r="J881" s="12">
        <v>1</v>
      </c>
      <c r="K881" s="12">
        <v>7</v>
      </c>
      <c r="L881" s="12">
        <f t="shared" si="196"/>
        <v>7</v>
      </c>
      <c r="M881" s="12">
        <v>4</v>
      </c>
      <c r="N881" s="12" t="s">
        <v>90</v>
      </c>
      <c r="O881" s="12">
        <v>0</v>
      </c>
      <c r="P881" s="12">
        <v>0</v>
      </c>
      <c r="Q881" s="12">
        <v>0</v>
      </c>
      <c r="R881" s="12">
        <v>1</v>
      </c>
      <c r="S881" s="12">
        <v>0</v>
      </c>
      <c r="T881" s="12">
        <v>2</v>
      </c>
      <c r="U881" s="12" t="s">
        <v>62</v>
      </c>
      <c r="V881" s="12">
        <v>0</v>
      </c>
      <c r="W881" s="12">
        <v>52</v>
      </c>
      <c r="X881" s="12">
        <v>4</v>
      </c>
      <c r="Y881" s="12">
        <v>2</v>
      </c>
      <c r="Z881" s="12" t="s">
        <v>56</v>
      </c>
      <c r="AA881" s="12">
        <v>0</v>
      </c>
      <c r="AB881" s="12">
        <v>1</v>
      </c>
      <c r="AC881" s="12">
        <v>0</v>
      </c>
      <c r="AD881" s="12">
        <v>0</v>
      </c>
      <c r="AE881" s="12">
        <v>0</v>
      </c>
      <c r="AF881" s="12">
        <v>0</v>
      </c>
      <c r="AG881" s="12">
        <v>0</v>
      </c>
      <c r="AH881" s="12">
        <v>0</v>
      </c>
      <c r="AI881" s="12">
        <v>4</v>
      </c>
      <c r="AJ881" s="12" t="s">
        <v>78</v>
      </c>
      <c r="AK881" s="12">
        <v>0</v>
      </c>
      <c r="AL881" s="12">
        <v>0</v>
      </c>
      <c r="AM881" s="12">
        <v>5220</v>
      </c>
      <c r="AN881" s="12">
        <f t="shared" si="197"/>
        <v>5220</v>
      </c>
      <c r="AO881" s="12">
        <v>0</v>
      </c>
      <c r="AP881" s="12" t="s">
        <v>52</v>
      </c>
      <c r="AQ881" s="12">
        <v>1</v>
      </c>
      <c r="AR881" s="12">
        <v>18</v>
      </c>
      <c r="AS881" s="12">
        <v>3</v>
      </c>
      <c r="AT881" s="12">
        <v>2</v>
      </c>
      <c r="AU881" s="12">
        <v>1</v>
      </c>
      <c r="AV881" s="12">
        <v>12</v>
      </c>
      <c r="AW881" s="12">
        <f t="shared" si="198"/>
        <v>12</v>
      </c>
      <c r="AX881" s="12">
        <v>3</v>
      </c>
      <c r="AY881" s="12">
        <v>3</v>
      </c>
      <c r="AZ881" s="12">
        <v>11</v>
      </c>
      <c r="BA881" s="12">
        <f t="shared" si="199"/>
        <v>11</v>
      </c>
      <c r="BB881" s="12">
        <v>7</v>
      </c>
      <c r="BC881" s="12">
        <v>1</v>
      </c>
      <c r="BD881" s="12">
        <f t="shared" si="208"/>
        <v>1</v>
      </c>
      <c r="BE881" s="12">
        <v>9</v>
      </c>
      <c r="BF881" s="12">
        <f t="shared" si="200"/>
        <v>9</v>
      </c>
      <c r="BG881" s="12">
        <f t="shared" si="209"/>
        <v>18</v>
      </c>
      <c r="BH881" s="67">
        <v>1</v>
      </c>
      <c r="BI881" s="67">
        <v>0</v>
      </c>
      <c r="BJ881" s="67">
        <v>0</v>
      </c>
      <c r="BK881" s="67">
        <v>0</v>
      </c>
      <c r="BL881" s="67">
        <v>0</v>
      </c>
      <c r="BM881" s="67">
        <v>1</v>
      </c>
      <c r="BN881" s="67">
        <v>0</v>
      </c>
      <c r="BO881" s="67">
        <v>0</v>
      </c>
      <c r="BP881" s="67">
        <v>0</v>
      </c>
      <c r="BQ881" s="67">
        <v>0</v>
      </c>
      <c r="BR881" s="67">
        <v>9</v>
      </c>
      <c r="BS881" s="67">
        <v>0</v>
      </c>
      <c r="BT881" s="67">
        <v>0</v>
      </c>
      <c r="BU881" s="70">
        <v>12</v>
      </c>
      <c r="BV881" s="29">
        <f t="shared" si="201"/>
        <v>0.27250277596490491</v>
      </c>
      <c r="BW881">
        <f t="shared" si="202"/>
        <v>1.3667838287404401</v>
      </c>
      <c r="BX881">
        <f t="shared" si="203"/>
        <v>9.2588147734864096E-2</v>
      </c>
      <c r="BY881">
        <f t="shared" si="204"/>
        <v>0.65156620358080031</v>
      </c>
      <c r="BZ881">
        <f t="shared" si="205"/>
        <v>0.27045191444879263</v>
      </c>
      <c r="CA881">
        <f t="shared" si="206"/>
        <v>2.5260259477766707</v>
      </c>
      <c r="CB881">
        <f t="shared" si="207"/>
        <v>0.36858985273641137</v>
      </c>
    </row>
    <row r="882" spans="1:80" x14ac:dyDescent="0.45">
      <c r="A882" s="11">
        <v>32</v>
      </c>
      <c r="B882" s="12">
        <f t="shared" si="195"/>
        <v>32</v>
      </c>
      <c r="C882" s="12" t="s">
        <v>59</v>
      </c>
      <c r="D882" s="12">
        <v>0</v>
      </c>
      <c r="E882" s="12" t="s">
        <v>60</v>
      </c>
      <c r="F882" s="12">
        <v>1</v>
      </c>
      <c r="G882" s="12">
        <v>0</v>
      </c>
      <c r="H882" s="12" t="s">
        <v>61</v>
      </c>
      <c r="I882" s="12">
        <v>1</v>
      </c>
      <c r="J882" s="12">
        <v>0</v>
      </c>
      <c r="K882" s="12">
        <v>13</v>
      </c>
      <c r="L882" s="12">
        <f t="shared" si="196"/>
        <v>13</v>
      </c>
      <c r="M882" s="12">
        <v>3</v>
      </c>
      <c r="N882" s="12" t="s">
        <v>66</v>
      </c>
      <c r="O882" s="12">
        <v>0</v>
      </c>
      <c r="P882" s="12">
        <v>1</v>
      </c>
      <c r="Q882" s="12">
        <v>0</v>
      </c>
      <c r="R882" s="12">
        <v>0</v>
      </c>
      <c r="S882" s="12">
        <v>0</v>
      </c>
      <c r="T882" s="12">
        <v>3</v>
      </c>
      <c r="U882" s="12" t="s">
        <v>19</v>
      </c>
      <c r="V882" s="12">
        <v>1</v>
      </c>
      <c r="W882" s="12">
        <v>77</v>
      </c>
      <c r="X882" s="12">
        <v>2</v>
      </c>
      <c r="Y882" s="12">
        <v>1</v>
      </c>
      <c r="Z882" s="12" t="s">
        <v>67</v>
      </c>
      <c r="AA882" s="12">
        <v>0</v>
      </c>
      <c r="AB882" s="12">
        <v>0</v>
      </c>
      <c r="AC882" s="12">
        <v>1</v>
      </c>
      <c r="AD882" s="12">
        <v>0</v>
      </c>
      <c r="AE882" s="12">
        <v>0</v>
      </c>
      <c r="AF882" s="12">
        <v>0</v>
      </c>
      <c r="AG882" s="12">
        <v>0</v>
      </c>
      <c r="AH882" s="12">
        <v>0</v>
      </c>
      <c r="AI882" s="12">
        <v>2</v>
      </c>
      <c r="AJ882" s="12" t="s">
        <v>64</v>
      </c>
      <c r="AK882" s="12">
        <v>0</v>
      </c>
      <c r="AL882" s="12">
        <v>1</v>
      </c>
      <c r="AM882" s="12">
        <v>2743</v>
      </c>
      <c r="AN882" s="12">
        <f t="shared" si="197"/>
        <v>2743</v>
      </c>
      <c r="AO882" s="12">
        <v>1</v>
      </c>
      <c r="AP882" s="12" t="s">
        <v>59</v>
      </c>
      <c r="AQ882" s="12">
        <v>0</v>
      </c>
      <c r="AR882" s="12">
        <v>20</v>
      </c>
      <c r="AS882" s="12">
        <v>4</v>
      </c>
      <c r="AT882" s="12">
        <v>3</v>
      </c>
      <c r="AU882" s="12">
        <v>1</v>
      </c>
      <c r="AV882" s="12">
        <v>2</v>
      </c>
      <c r="AW882" s="12">
        <f t="shared" si="198"/>
        <v>2</v>
      </c>
      <c r="AX882" s="12">
        <v>2</v>
      </c>
      <c r="AY882" s="12">
        <v>3</v>
      </c>
      <c r="AZ882" s="12">
        <v>2</v>
      </c>
      <c r="BA882" s="12">
        <f t="shared" si="199"/>
        <v>2</v>
      </c>
      <c r="BB882" s="12">
        <v>2</v>
      </c>
      <c r="BC882" s="12">
        <v>2</v>
      </c>
      <c r="BD882" s="12">
        <f t="shared" si="208"/>
        <v>2</v>
      </c>
      <c r="BE882" s="12">
        <v>2</v>
      </c>
      <c r="BF882" s="12">
        <f t="shared" si="200"/>
        <v>2</v>
      </c>
      <c r="BG882" s="12">
        <f t="shared" si="209"/>
        <v>2</v>
      </c>
      <c r="BH882" s="67">
        <v>0</v>
      </c>
      <c r="BI882" s="67">
        <v>0</v>
      </c>
      <c r="BJ882" s="67">
        <v>0</v>
      </c>
      <c r="BK882" s="67">
        <v>1</v>
      </c>
      <c r="BL882" s="67">
        <v>0</v>
      </c>
      <c r="BM882" s="67">
        <v>0</v>
      </c>
      <c r="BN882" s="67">
        <v>1</v>
      </c>
      <c r="BO882" s="67">
        <v>0</v>
      </c>
      <c r="BP882" s="67">
        <v>0</v>
      </c>
      <c r="BQ882" s="67">
        <v>2</v>
      </c>
      <c r="BR882" s="67">
        <v>0</v>
      </c>
      <c r="BS882" s="67">
        <v>0</v>
      </c>
      <c r="BT882" s="67">
        <v>2</v>
      </c>
      <c r="BU882" s="70">
        <v>0</v>
      </c>
      <c r="BV882" s="29">
        <f t="shared" si="201"/>
        <v>0.79863334897540106</v>
      </c>
      <c r="BW882">
        <f t="shared" si="202"/>
        <v>0.59502473559756086</v>
      </c>
      <c r="BX882">
        <f t="shared" si="203"/>
        <v>1.192629766998377</v>
      </c>
      <c r="BY882">
        <f t="shared" si="204"/>
        <v>0.81745575848020657</v>
      </c>
      <c r="BZ882">
        <f t="shared" si="205"/>
        <v>0.46966160880232483</v>
      </c>
      <c r="CA882">
        <f t="shared" si="206"/>
        <v>0.53898283739188557</v>
      </c>
      <c r="CB882">
        <f t="shared" si="207"/>
        <v>5.8265062631872602E-2</v>
      </c>
    </row>
    <row r="883" spans="1:80" x14ac:dyDescent="0.45">
      <c r="A883" s="11">
        <v>32</v>
      </c>
      <c r="B883" s="12">
        <f t="shared" si="195"/>
        <v>32</v>
      </c>
      <c r="C883" s="12" t="s">
        <v>59</v>
      </c>
      <c r="D883" s="12">
        <v>0</v>
      </c>
      <c r="E883" s="12" t="s">
        <v>60</v>
      </c>
      <c r="F883" s="12">
        <v>1</v>
      </c>
      <c r="G883" s="12">
        <v>0</v>
      </c>
      <c r="H883" s="12" t="s">
        <v>61</v>
      </c>
      <c r="I883" s="12">
        <v>1</v>
      </c>
      <c r="J883" s="12">
        <v>0</v>
      </c>
      <c r="K883" s="12">
        <v>2</v>
      </c>
      <c r="L883" s="12">
        <f t="shared" si="196"/>
        <v>2</v>
      </c>
      <c r="M883" s="12">
        <v>2</v>
      </c>
      <c r="N883" s="12" t="s">
        <v>55</v>
      </c>
      <c r="O883" s="12">
        <v>1</v>
      </c>
      <c r="P883" s="12">
        <v>0</v>
      </c>
      <c r="Q883" s="12">
        <v>0</v>
      </c>
      <c r="R883" s="12">
        <v>0</v>
      </c>
      <c r="S883" s="12">
        <v>0</v>
      </c>
      <c r="T883" s="12">
        <v>4</v>
      </c>
      <c r="U883" s="12" t="s">
        <v>19</v>
      </c>
      <c r="V883" s="12">
        <v>1</v>
      </c>
      <c r="W883" s="12">
        <v>38</v>
      </c>
      <c r="X883" s="12">
        <v>3</v>
      </c>
      <c r="Y883" s="12">
        <v>2</v>
      </c>
      <c r="Z883" s="12" t="s">
        <v>63</v>
      </c>
      <c r="AA883" s="12">
        <v>0</v>
      </c>
      <c r="AB883" s="12">
        <v>0</v>
      </c>
      <c r="AC883" s="12">
        <v>0</v>
      </c>
      <c r="AD883" s="12">
        <v>0</v>
      </c>
      <c r="AE883" s="12">
        <v>0</v>
      </c>
      <c r="AF883" s="12">
        <v>0</v>
      </c>
      <c r="AG883" s="12">
        <v>0</v>
      </c>
      <c r="AH883" s="12">
        <v>1</v>
      </c>
      <c r="AI883" s="12">
        <v>3</v>
      </c>
      <c r="AJ883" s="12" t="s">
        <v>57</v>
      </c>
      <c r="AK883" s="12">
        <v>1</v>
      </c>
      <c r="AL883" s="12">
        <v>0</v>
      </c>
      <c r="AM883" s="12">
        <v>4998</v>
      </c>
      <c r="AN883" s="12">
        <f t="shared" si="197"/>
        <v>4998</v>
      </c>
      <c r="AO883" s="12">
        <v>4</v>
      </c>
      <c r="AP883" s="12" t="s">
        <v>52</v>
      </c>
      <c r="AQ883" s="12">
        <v>1</v>
      </c>
      <c r="AR883" s="12">
        <v>14</v>
      </c>
      <c r="AS883" s="12">
        <v>3</v>
      </c>
      <c r="AT883" s="12">
        <v>4</v>
      </c>
      <c r="AU883" s="12">
        <v>0</v>
      </c>
      <c r="AV883" s="12">
        <v>10</v>
      </c>
      <c r="AW883" s="12">
        <f t="shared" si="198"/>
        <v>10</v>
      </c>
      <c r="AX883" s="12">
        <v>2</v>
      </c>
      <c r="AY883" s="12">
        <v>3</v>
      </c>
      <c r="AZ883" s="12">
        <v>8</v>
      </c>
      <c r="BA883" s="12">
        <f t="shared" si="199"/>
        <v>8</v>
      </c>
      <c r="BB883" s="12">
        <v>7</v>
      </c>
      <c r="BC883" s="12">
        <v>0</v>
      </c>
      <c r="BD883" s="12">
        <f t="shared" si="208"/>
        <v>0</v>
      </c>
      <c r="BE883" s="12">
        <v>7</v>
      </c>
      <c r="BF883" s="12">
        <f t="shared" si="200"/>
        <v>7</v>
      </c>
      <c r="BG883" s="12">
        <f t="shared" si="209"/>
        <v>14</v>
      </c>
      <c r="BH883" s="67">
        <v>0</v>
      </c>
      <c r="BI883" s="67">
        <v>0</v>
      </c>
      <c r="BJ883" s="67">
        <v>1</v>
      </c>
      <c r="BK883" s="67">
        <v>0</v>
      </c>
      <c r="BL883" s="67">
        <v>0</v>
      </c>
      <c r="BM883" s="67">
        <v>1</v>
      </c>
      <c r="BN883" s="67">
        <v>0</v>
      </c>
      <c r="BO883" s="67">
        <v>0</v>
      </c>
      <c r="BP883" s="67">
        <v>0</v>
      </c>
      <c r="BQ883" s="67">
        <v>7</v>
      </c>
      <c r="BR883" s="67">
        <v>0</v>
      </c>
      <c r="BS883" s="67">
        <v>0</v>
      </c>
      <c r="BT883" s="67">
        <v>10</v>
      </c>
      <c r="BU883" s="70">
        <v>0</v>
      </c>
      <c r="BV883" s="29">
        <f t="shared" si="201"/>
        <v>0.31965698961380684</v>
      </c>
      <c r="BW883">
        <f t="shared" si="202"/>
        <v>0.80626709607243985</v>
      </c>
      <c r="BX883">
        <f t="shared" si="203"/>
        <v>0.1644554352117841</v>
      </c>
      <c r="BY883">
        <f t="shared" si="204"/>
        <v>0.16189221622713135</v>
      </c>
      <c r="BZ883">
        <f t="shared" si="205"/>
        <v>0.88721318382472392</v>
      </c>
      <c r="CA883">
        <f t="shared" si="206"/>
        <v>0.53898283739188557</v>
      </c>
      <c r="CB883">
        <f t="shared" si="207"/>
        <v>0.67891464284095016</v>
      </c>
    </row>
    <row r="884" spans="1:80" x14ac:dyDescent="0.45">
      <c r="A884" s="11">
        <v>36</v>
      </c>
      <c r="B884" s="12">
        <f t="shared" si="195"/>
        <v>36</v>
      </c>
      <c r="C884" s="12" t="s">
        <v>59</v>
      </c>
      <c r="D884" s="12">
        <v>0</v>
      </c>
      <c r="E884" s="12" t="s">
        <v>53</v>
      </c>
      <c r="F884" s="12">
        <v>0</v>
      </c>
      <c r="G884" s="12">
        <v>1</v>
      </c>
      <c r="H884" s="12" t="s">
        <v>61</v>
      </c>
      <c r="I884" s="12">
        <v>1</v>
      </c>
      <c r="J884" s="12">
        <v>0</v>
      </c>
      <c r="K884" s="12">
        <v>1</v>
      </c>
      <c r="L884" s="12">
        <f t="shared" si="196"/>
        <v>1</v>
      </c>
      <c r="M884" s="12">
        <v>3</v>
      </c>
      <c r="N884" s="12" t="s">
        <v>91</v>
      </c>
      <c r="O884" s="12">
        <v>0</v>
      </c>
      <c r="P884" s="12">
        <v>0</v>
      </c>
      <c r="Q884" s="12">
        <v>0</v>
      </c>
      <c r="R884" s="12">
        <v>0</v>
      </c>
      <c r="S884" s="12">
        <v>1</v>
      </c>
      <c r="T884" s="12">
        <v>3</v>
      </c>
      <c r="U884" s="12" t="s">
        <v>19</v>
      </c>
      <c r="V884" s="12">
        <v>1</v>
      </c>
      <c r="W884" s="12">
        <v>77</v>
      </c>
      <c r="X884" s="12">
        <v>1</v>
      </c>
      <c r="Y884" s="12">
        <v>3</v>
      </c>
      <c r="Z884" s="12" t="s">
        <v>83</v>
      </c>
      <c r="AA884" s="12">
        <v>0</v>
      </c>
      <c r="AB884" s="12">
        <v>0</v>
      </c>
      <c r="AC884" s="12">
        <v>0</v>
      </c>
      <c r="AD884" s="12">
        <v>0</v>
      </c>
      <c r="AE884" s="12">
        <v>1</v>
      </c>
      <c r="AF884" s="12">
        <v>1</v>
      </c>
      <c r="AG884" s="12">
        <v>0</v>
      </c>
      <c r="AH884" s="12">
        <v>0</v>
      </c>
      <c r="AI884" s="12">
        <v>1</v>
      </c>
      <c r="AJ884" s="12" t="s">
        <v>78</v>
      </c>
      <c r="AK884" s="12">
        <v>0</v>
      </c>
      <c r="AL884" s="12">
        <v>0</v>
      </c>
      <c r="AM884" s="12">
        <v>10252</v>
      </c>
      <c r="AN884" s="12">
        <f t="shared" si="197"/>
        <v>10252</v>
      </c>
      <c r="AO884" s="12">
        <v>2</v>
      </c>
      <c r="AP884" s="12" t="s">
        <v>52</v>
      </c>
      <c r="AQ884" s="12">
        <v>1</v>
      </c>
      <c r="AR884" s="12">
        <v>21</v>
      </c>
      <c r="AS884" s="12">
        <v>4</v>
      </c>
      <c r="AT884" s="12">
        <v>3</v>
      </c>
      <c r="AU884" s="12">
        <v>1</v>
      </c>
      <c r="AV884" s="12">
        <v>17</v>
      </c>
      <c r="AW884" s="12">
        <f t="shared" si="198"/>
        <v>17</v>
      </c>
      <c r="AX884" s="12">
        <v>2</v>
      </c>
      <c r="AY884" s="12">
        <v>3</v>
      </c>
      <c r="AZ884" s="12">
        <v>7</v>
      </c>
      <c r="BA884" s="12">
        <f t="shared" si="199"/>
        <v>7</v>
      </c>
      <c r="BB884" s="12">
        <v>7</v>
      </c>
      <c r="BC884" s="12">
        <v>7</v>
      </c>
      <c r="BD884" s="12">
        <f t="shared" si="208"/>
        <v>7</v>
      </c>
      <c r="BE884" s="12">
        <v>7</v>
      </c>
      <c r="BF884" s="12">
        <f t="shared" si="200"/>
        <v>7</v>
      </c>
      <c r="BG884" s="12">
        <f t="shared" si="209"/>
        <v>21</v>
      </c>
      <c r="BH884" s="67">
        <v>1</v>
      </c>
      <c r="BI884" s="67">
        <v>0</v>
      </c>
      <c r="BJ884" s="67">
        <v>0</v>
      </c>
      <c r="BK884" s="67">
        <v>0</v>
      </c>
      <c r="BL884" s="67">
        <v>0</v>
      </c>
      <c r="BM884" s="67">
        <v>1</v>
      </c>
      <c r="BN884" s="67">
        <v>0</v>
      </c>
      <c r="BO884" s="67">
        <v>0</v>
      </c>
      <c r="BP884" s="67">
        <v>0</v>
      </c>
      <c r="BQ884" s="67">
        <v>7</v>
      </c>
      <c r="BR884" s="67">
        <v>0</v>
      </c>
      <c r="BS884" s="67">
        <v>0</v>
      </c>
      <c r="BT884" s="67">
        <v>17</v>
      </c>
      <c r="BU884" s="70">
        <v>0</v>
      </c>
      <c r="BV884" s="29">
        <f t="shared" si="201"/>
        <v>0.79632606674353956</v>
      </c>
      <c r="BW884">
        <f t="shared" si="202"/>
        <v>0.80626709607243985</v>
      </c>
      <c r="BX884">
        <f t="shared" si="203"/>
        <v>0.73519710510148462</v>
      </c>
      <c r="BY884">
        <f t="shared" si="204"/>
        <v>1.3324462240916321E-3</v>
      </c>
      <c r="BZ884">
        <f t="shared" si="205"/>
        <v>1.01056543769991</v>
      </c>
      <c r="CA884">
        <f t="shared" si="206"/>
        <v>0.10112443951066327</v>
      </c>
      <c r="CB884">
        <f t="shared" si="207"/>
        <v>1.4933588878908215</v>
      </c>
    </row>
    <row r="885" spans="1:80" x14ac:dyDescent="0.45">
      <c r="A885" s="11">
        <v>33</v>
      </c>
      <c r="B885" s="12">
        <f t="shared" si="195"/>
        <v>33</v>
      </c>
      <c r="C885" s="12" t="s">
        <v>59</v>
      </c>
      <c r="D885" s="12">
        <v>0</v>
      </c>
      <c r="E885" s="12" t="s">
        <v>53</v>
      </c>
      <c r="F885" s="12">
        <v>0</v>
      </c>
      <c r="G885" s="12">
        <v>1</v>
      </c>
      <c r="H885" s="12" t="s">
        <v>61</v>
      </c>
      <c r="I885" s="12">
        <v>1</v>
      </c>
      <c r="J885" s="12">
        <v>0</v>
      </c>
      <c r="K885" s="12">
        <v>9</v>
      </c>
      <c r="L885" s="12">
        <f t="shared" si="196"/>
        <v>9</v>
      </c>
      <c r="M885" s="12">
        <v>3</v>
      </c>
      <c r="N885" s="12" t="s">
        <v>70</v>
      </c>
      <c r="O885" s="12">
        <v>0</v>
      </c>
      <c r="P885" s="12">
        <v>0</v>
      </c>
      <c r="Q885" s="12">
        <v>1</v>
      </c>
      <c r="R885" s="12">
        <v>0</v>
      </c>
      <c r="S885" s="12">
        <v>0</v>
      </c>
      <c r="T885" s="12">
        <v>1</v>
      </c>
      <c r="U885" s="12" t="s">
        <v>62</v>
      </c>
      <c r="V885" s="12">
        <v>0</v>
      </c>
      <c r="W885" s="12">
        <v>60</v>
      </c>
      <c r="X885" s="12">
        <v>3</v>
      </c>
      <c r="Y885" s="12">
        <v>1</v>
      </c>
      <c r="Z885" s="12" t="s">
        <v>63</v>
      </c>
      <c r="AA885" s="12">
        <v>0</v>
      </c>
      <c r="AB885" s="12">
        <v>0</v>
      </c>
      <c r="AC885" s="12">
        <v>0</v>
      </c>
      <c r="AD885" s="12">
        <v>0</v>
      </c>
      <c r="AE885" s="12">
        <v>0</v>
      </c>
      <c r="AF885" s="12">
        <v>0</v>
      </c>
      <c r="AG885" s="12">
        <v>0</v>
      </c>
      <c r="AH885" s="12">
        <v>1</v>
      </c>
      <c r="AI885" s="12">
        <v>4</v>
      </c>
      <c r="AJ885" s="12" t="s">
        <v>64</v>
      </c>
      <c r="AK885" s="12">
        <v>0</v>
      </c>
      <c r="AL885" s="12">
        <v>1</v>
      </c>
      <c r="AM885" s="12">
        <v>2781</v>
      </c>
      <c r="AN885" s="12">
        <f t="shared" si="197"/>
        <v>2781</v>
      </c>
      <c r="AO885" s="12">
        <v>0</v>
      </c>
      <c r="AP885" s="12" t="s">
        <v>59</v>
      </c>
      <c r="AQ885" s="12">
        <v>0</v>
      </c>
      <c r="AR885" s="12">
        <v>13</v>
      </c>
      <c r="AS885" s="12">
        <v>3</v>
      </c>
      <c r="AT885" s="12">
        <v>2</v>
      </c>
      <c r="AU885" s="12">
        <v>1</v>
      </c>
      <c r="AV885" s="12">
        <v>15</v>
      </c>
      <c r="AW885" s="12">
        <f t="shared" si="198"/>
        <v>15</v>
      </c>
      <c r="AX885" s="12">
        <v>5</v>
      </c>
      <c r="AY885" s="12">
        <v>3</v>
      </c>
      <c r="AZ885" s="12">
        <v>14</v>
      </c>
      <c r="BA885" s="12">
        <f t="shared" si="199"/>
        <v>14</v>
      </c>
      <c r="BB885" s="12">
        <v>10</v>
      </c>
      <c r="BC885" s="12">
        <v>4</v>
      </c>
      <c r="BD885" s="12">
        <f t="shared" si="208"/>
        <v>4</v>
      </c>
      <c r="BE885" s="12">
        <v>10</v>
      </c>
      <c r="BF885" s="12">
        <f t="shared" si="200"/>
        <v>10</v>
      </c>
      <c r="BG885" s="12">
        <f t="shared" si="209"/>
        <v>10</v>
      </c>
      <c r="BH885" s="67">
        <v>0</v>
      </c>
      <c r="BI885" s="67">
        <v>1</v>
      </c>
      <c r="BJ885" s="67">
        <v>0</v>
      </c>
      <c r="BK885" s="67">
        <v>0</v>
      </c>
      <c r="BL885" s="67">
        <v>0</v>
      </c>
      <c r="BM885" s="67">
        <v>0</v>
      </c>
      <c r="BN885" s="67">
        <v>1</v>
      </c>
      <c r="BO885" s="67">
        <v>0</v>
      </c>
      <c r="BP885" s="67">
        <v>0</v>
      </c>
      <c r="BQ885" s="67">
        <v>10</v>
      </c>
      <c r="BR885" s="67">
        <v>0</v>
      </c>
      <c r="BS885" s="67">
        <v>0</v>
      </c>
      <c r="BT885" s="67">
        <v>15</v>
      </c>
      <c r="BU885" s="70">
        <v>0</v>
      </c>
      <c r="BV885" s="29">
        <f t="shared" si="201"/>
        <v>0.79056190699946294</v>
      </c>
      <c r="BW885">
        <f t="shared" si="202"/>
        <v>1.6470421950744405</v>
      </c>
      <c r="BX885">
        <f t="shared" si="203"/>
        <v>0.47815352215483642</v>
      </c>
      <c r="BY885">
        <f t="shared" si="204"/>
        <v>1.1412401909344694</v>
      </c>
      <c r="BZ885">
        <f t="shared" si="205"/>
        <v>2.3747406698420157E-2</v>
      </c>
      <c r="CA885">
        <f t="shared" si="206"/>
        <v>0.42951823792158</v>
      </c>
      <c r="CB885">
        <f t="shared" si="207"/>
        <v>0.56238451757720498</v>
      </c>
    </row>
    <row r="886" spans="1:80" x14ac:dyDescent="0.45">
      <c r="A886" s="11">
        <v>40</v>
      </c>
      <c r="B886" s="12">
        <f t="shared" si="195"/>
        <v>40</v>
      </c>
      <c r="C886" s="12" t="s">
        <v>59</v>
      </c>
      <c r="D886" s="12">
        <v>0</v>
      </c>
      <c r="E886" s="12" t="s">
        <v>53</v>
      </c>
      <c r="F886" s="12">
        <v>0</v>
      </c>
      <c r="G886" s="12">
        <v>1</v>
      </c>
      <c r="H886" s="12" t="s">
        <v>54</v>
      </c>
      <c r="I886" s="12">
        <v>0</v>
      </c>
      <c r="J886" s="12">
        <v>1</v>
      </c>
      <c r="K886" s="12">
        <v>10</v>
      </c>
      <c r="L886" s="12">
        <f t="shared" si="196"/>
        <v>10</v>
      </c>
      <c r="M886" s="12">
        <v>3</v>
      </c>
      <c r="N886" s="12" t="s">
        <v>91</v>
      </c>
      <c r="O886" s="12">
        <v>0</v>
      </c>
      <c r="P886" s="12">
        <v>0</v>
      </c>
      <c r="Q886" s="12">
        <v>0</v>
      </c>
      <c r="R886" s="12">
        <v>0</v>
      </c>
      <c r="S886" s="12">
        <v>1</v>
      </c>
      <c r="T886" s="12">
        <v>2</v>
      </c>
      <c r="U886" s="12" t="s">
        <v>19</v>
      </c>
      <c r="V886" s="12">
        <v>1</v>
      </c>
      <c r="W886" s="12">
        <v>84</v>
      </c>
      <c r="X886" s="12">
        <v>2</v>
      </c>
      <c r="Y886" s="12">
        <v>2</v>
      </c>
      <c r="Z886" s="12" t="s">
        <v>56</v>
      </c>
      <c r="AA886" s="12">
        <v>0</v>
      </c>
      <c r="AB886" s="12">
        <v>1</v>
      </c>
      <c r="AC886" s="12">
        <v>0</v>
      </c>
      <c r="AD886" s="12">
        <v>0</v>
      </c>
      <c r="AE886" s="12">
        <v>0</v>
      </c>
      <c r="AF886" s="12">
        <v>0</v>
      </c>
      <c r="AG886" s="12">
        <v>0</v>
      </c>
      <c r="AH886" s="12">
        <v>0</v>
      </c>
      <c r="AI886" s="12">
        <v>2</v>
      </c>
      <c r="AJ886" s="12" t="s">
        <v>78</v>
      </c>
      <c r="AK886" s="12">
        <v>0</v>
      </c>
      <c r="AL886" s="12">
        <v>0</v>
      </c>
      <c r="AM886" s="12">
        <v>6852</v>
      </c>
      <c r="AN886" s="12">
        <f t="shared" si="197"/>
        <v>6852</v>
      </c>
      <c r="AO886" s="12">
        <v>7</v>
      </c>
      <c r="AP886" s="12" t="s">
        <v>59</v>
      </c>
      <c r="AQ886" s="12">
        <v>0</v>
      </c>
      <c r="AR886" s="12">
        <v>12</v>
      </c>
      <c r="AS886" s="12">
        <v>3</v>
      </c>
      <c r="AT886" s="12">
        <v>2</v>
      </c>
      <c r="AU886" s="12">
        <v>1</v>
      </c>
      <c r="AV886" s="12">
        <v>7</v>
      </c>
      <c r="AW886" s="12">
        <f t="shared" si="198"/>
        <v>7</v>
      </c>
      <c r="AX886" s="12">
        <v>2</v>
      </c>
      <c r="AY886" s="12">
        <v>4</v>
      </c>
      <c r="AZ886" s="12">
        <v>5</v>
      </c>
      <c r="BA886" s="12">
        <f t="shared" si="199"/>
        <v>5</v>
      </c>
      <c r="BB886" s="12">
        <v>1</v>
      </c>
      <c r="BC886" s="12">
        <v>1</v>
      </c>
      <c r="BD886" s="12">
        <f t="shared" si="208"/>
        <v>1</v>
      </c>
      <c r="BE886" s="12">
        <v>3</v>
      </c>
      <c r="BF886" s="12">
        <f t="shared" si="200"/>
        <v>3</v>
      </c>
      <c r="BG886" s="12">
        <f t="shared" si="209"/>
        <v>6</v>
      </c>
      <c r="BH886" s="67">
        <v>1</v>
      </c>
      <c r="BI886" s="67">
        <v>0</v>
      </c>
      <c r="BJ886" s="67">
        <v>0</v>
      </c>
      <c r="BK886" s="67">
        <v>0</v>
      </c>
      <c r="BL886" s="67">
        <v>1</v>
      </c>
      <c r="BM886" s="67">
        <v>0</v>
      </c>
      <c r="BN886" s="67">
        <v>0</v>
      </c>
      <c r="BO886" s="67">
        <v>0</v>
      </c>
      <c r="BP886" s="67">
        <v>0</v>
      </c>
      <c r="BQ886" s="67">
        <v>0</v>
      </c>
      <c r="BR886" s="67">
        <v>3</v>
      </c>
      <c r="BS886" s="67">
        <v>0</v>
      </c>
      <c r="BT886" s="67">
        <v>0</v>
      </c>
      <c r="BU886" s="70">
        <v>7</v>
      </c>
      <c r="BV886" s="29">
        <f t="shared" si="201"/>
        <v>7.4144416264860874E-2</v>
      </c>
      <c r="BW886">
        <f t="shared" si="202"/>
        <v>0.31476636926356072</v>
      </c>
      <c r="BX886">
        <f t="shared" si="203"/>
        <v>0.55002080963175637</v>
      </c>
      <c r="BY886">
        <f t="shared" si="204"/>
        <v>0.32778177112653761</v>
      </c>
      <c r="BZ886">
        <f t="shared" si="205"/>
        <v>9.9604847176766084E-2</v>
      </c>
      <c r="CA886">
        <f t="shared" si="206"/>
        <v>0.33673395837055903</v>
      </c>
      <c r="CB886">
        <f t="shared" si="207"/>
        <v>0.36858985273641137</v>
      </c>
    </row>
    <row r="887" spans="1:80" x14ac:dyDescent="0.45">
      <c r="A887" s="11">
        <v>25</v>
      </c>
      <c r="B887" s="12">
        <f t="shared" si="195"/>
        <v>25</v>
      </c>
      <c r="C887" s="12" t="s">
        <v>59</v>
      </c>
      <c r="D887" s="12">
        <v>0</v>
      </c>
      <c r="E887" s="12" t="s">
        <v>53</v>
      </c>
      <c r="F887" s="12">
        <v>0</v>
      </c>
      <c r="G887" s="12">
        <v>1</v>
      </c>
      <c r="H887" s="12" t="s">
        <v>54</v>
      </c>
      <c r="I887" s="12">
        <v>0</v>
      </c>
      <c r="J887" s="12">
        <v>1</v>
      </c>
      <c r="K887" s="12">
        <v>10</v>
      </c>
      <c r="L887" s="12">
        <f t="shared" si="196"/>
        <v>10</v>
      </c>
      <c r="M887" s="12">
        <v>4</v>
      </c>
      <c r="N887" s="12" t="s">
        <v>55</v>
      </c>
      <c r="O887" s="12">
        <v>1</v>
      </c>
      <c r="P887" s="12">
        <v>0</v>
      </c>
      <c r="Q887" s="12">
        <v>0</v>
      </c>
      <c r="R887" s="12">
        <v>0</v>
      </c>
      <c r="S887" s="12">
        <v>0</v>
      </c>
      <c r="T887" s="12">
        <v>3</v>
      </c>
      <c r="U887" s="12" t="s">
        <v>62</v>
      </c>
      <c r="V887" s="12">
        <v>0</v>
      </c>
      <c r="W887" s="12">
        <v>57</v>
      </c>
      <c r="X887" s="12">
        <v>3</v>
      </c>
      <c r="Y887" s="12">
        <v>2</v>
      </c>
      <c r="Z887" s="12" t="s">
        <v>56</v>
      </c>
      <c r="AA887" s="12">
        <v>0</v>
      </c>
      <c r="AB887" s="12">
        <v>1</v>
      </c>
      <c r="AC887" s="12">
        <v>0</v>
      </c>
      <c r="AD887" s="12">
        <v>0</v>
      </c>
      <c r="AE887" s="12">
        <v>0</v>
      </c>
      <c r="AF887" s="12">
        <v>0</v>
      </c>
      <c r="AG887" s="12">
        <v>0</v>
      </c>
      <c r="AH887" s="12">
        <v>0</v>
      </c>
      <c r="AI887" s="12">
        <v>4</v>
      </c>
      <c r="AJ887" s="12" t="s">
        <v>57</v>
      </c>
      <c r="AK887" s="12">
        <v>1</v>
      </c>
      <c r="AL887" s="12">
        <v>0</v>
      </c>
      <c r="AM887" s="12">
        <v>4950</v>
      </c>
      <c r="AN887" s="12">
        <f t="shared" si="197"/>
        <v>4950</v>
      </c>
      <c r="AO887" s="12">
        <v>0</v>
      </c>
      <c r="AP887" s="12" t="s">
        <v>59</v>
      </c>
      <c r="AQ887" s="12">
        <v>0</v>
      </c>
      <c r="AR887" s="12">
        <v>14</v>
      </c>
      <c r="AS887" s="12">
        <v>3</v>
      </c>
      <c r="AT887" s="12">
        <v>2</v>
      </c>
      <c r="AU887" s="12">
        <v>0</v>
      </c>
      <c r="AV887" s="12">
        <v>5</v>
      </c>
      <c r="AW887" s="12">
        <f t="shared" si="198"/>
        <v>5</v>
      </c>
      <c r="AX887" s="12">
        <v>4</v>
      </c>
      <c r="AY887" s="12">
        <v>3</v>
      </c>
      <c r="AZ887" s="12">
        <v>4</v>
      </c>
      <c r="BA887" s="12">
        <f t="shared" si="199"/>
        <v>4</v>
      </c>
      <c r="BB887" s="12">
        <v>3</v>
      </c>
      <c r="BC887" s="12">
        <v>1</v>
      </c>
      <c r="BD887" s="12">
        <f t="shared" si="208"/>
        <v>1</v>
      </c>
      <c r="BE887" s="12">
        <v>1</v>
      </c>
      <c r="BF887" s="12">
        <f t="shared" si="200"/>
        <v>1</v>
      </c>
      <c r="BG887" s="12">
        <f t="shared" si="209"/>
        <v>2</v>
      </c>
      <c r="BH887" s="67">
        <v>1</v>
      </c>
      <c r="BI887" s="67">
        <v>0</v>
      </c>
      <c r="BJ887" s="67">
        <v>0</v>
      </c>
      <c r="BK887" s="67">
        <v>0</v>
      </c>
      <c r="BL887" s="67">
        <v>1</v>
      </c>
      <c r="BM887" s="67">
        <v>0</v>
      </c>
      <c r="BN887" s="67">
        <v>0</v>
      </c>
      <c r="BO887" s="67">
        <v>0</v>
      </c>
      <c r="BP887" s="67">
        <v>0</v>
      </c>
      <c r="BQ887" s="67">
        <v>0</v>
      </c>
      <c r="BR887" s="67">
        <v>1</v>
      </c>
      <c r="BS887" s="67">
        <v>0</v>
      </c>
      <c r="BT887" s="67">
        <v>0</v>
      </c>
      <c r="BU887" s="70">
        <v>5</v>
      </c>
      <c r="BV887" s="29">
        <f t="shared" si="201"/>
        <v>0.3298524952676235</v>
      </c>
      <c r="BW887">
        <f t="shared" si="202"/>
        <v>0.87528310193156111</v>
      </c>
      <c r="BX887">
        <f t="shared" si="203"/>
        <v>0.80706439257840468</v>
      </c>
      <c r="BY887">
        <f t="shared" si="204"/>
        <v>0.49100643357776058</v>
      </c>
      <c r="BZ887">
        <f t="shared" si="205"/>
        <v>9.9604847176766084E-2</v>
      </c>
      <c r="CA887">
        <f t="shared" si="206"/>
        <v>1.3052350336840246</v>
      </c>
      <c r="CB887">
        <f t="shared" si="207"/>
        <v>0.36858985273641137</v>
      </c>
    </row>
    <row r="888" spans="1:80" x14ac:dyDescent="0.45">
      <c r="A888" s="11">
        <v>30</v>
      </c>
      <c r="B888" s="12">
        <f t="shared" si="195"/>
        <v>30</v>
      </c>
      <c r="C888" s="12" t="s">
        <v>59</v>
      </c>
      <c r="D888" s="12">
        <v>0</v>
      </c>
      <c r="E888" s="12" t="s">
        <v>53</v>
      </c>
      <c r="F888" s="12">
        <v>0</v>
      </c>
      <c r="G888" s="12">
        <v>1</v>
      </c>
      <c r="H888" s="12" t="s">
        <v>61</v>
      </c>
      <c r="I888" s="12">
        <v>1</v>
      </c>
      <c r="J888" s="12">
        <v>0</v>
      </c>
      <c r="K888" s="12">
        <v>1</v>
      </c>
      <c r="L888" s="12">
        <f t="shared" si="196"/>
        <v>1</v>
      </c>
      <c r="M888" s="12">
        <v>3</v>
      </c>
      <c r="N888" s="12" t="s">
        <v>70</v>
      </c>
      <c r="O888" s="12">
        <v>0</v>
      </c>
      <c r="P888" s="12">
        <v>0</v>
      </c>
      <c r="Q888" s="12">
        <v>1</v>
      </c>
      <c r="R888" s="12">
        <v>0</v>
      </c>
      <c r="S888" s="12">
        <v>0</v>
      </c>
      <c r="T888" s="12">
        <v>4</v>
      </c>
      <c r="U888" s="12" t="s">
        <v>62</v>
      </c>
      <c r="V888" s="12">
        <v>0</v>
      </c>
      <c r="W888" s="12">
        <v>63</v>
      </c>
      <c r="X888" s="12">
        <v>3</v>
      </c>
      <c r="Y888" s="12">
        <v>1</v>
      </c>
      <c r="Z888" s="12" t="s">
        <v>63</v>
      </c>
      <c r="AA888" s="12">
        <v>0</v>
      </c>
      <c r="AB888" s="12">
        <v>0</v>
      </c>
      <c r="AC888" s="12">
        <v>0</v>
      </c>
      <c r="AD888" s="12">
        <v>0</v>
      </c>
      <c r="AE888" s="12">
        <v>0</v>
      </c>
      <c r="AF888" s="12">
        <v>0</v>
      </c>
      <c r="AG888" s="12">
        <v>0</v>
      </c>
      <c r="AH888" s="12">
        <v>1</v>
      </c>
      <c r="AI888" s="12">
        <v>2</v>
      </c>
      <c r="AJ888" s="12" t="s">
        <v>64</v>
      </c>
      <c r="AK888" s="12">
        <v>0</v>
      </c>
      <c r="AL888" s="12">
        <v>1</v>
      </c>
      <c r="AM888" s="12">
        <v>3579</v>
      </c>
      <c r="AN888" s="12">
        <f t="shared" si="197"/>
        <v>3579</v>
      </c>
      <c r="AO888" s="12">
        <v>0</v>
      </c>
      <c r="AP888" s="12" t="s">
        <v>52</v>
      </c>
      <c r="AQ888" s="12">
        <v>1</v>
      </c>
      <c r="AR888" s="12">
        <v>21</v>
      </c>
      <c r="AS888" s="12">
        <v>4</v>
      </c>
      <c r="AT888" s="12">
        <v>1</v>
      </c>
      <c r="AU888" s="12">
        <v>1</v>
      </c>
      <c r="AV888" s="12">
        <v>12</v>
      </c>
      <c r="AW888" s="12">
        <f t="shared" si="198"/>
        <v>12</v>
      </c>
      <c r="AX888" s="12">
        <v>2</v>
      </c>
      <c r="AY888" s="12">
        <v>3</v>
      </c>
      <c r="AZ888" s="12">
        <v>11</v>
      </c>
      <c r="BA888" s="12">
        <f t="shared" si="199"/>
        <v>11</v>
      </c>
      <c r="BB888" s="12">
        <v>9</v>
      </c>
      <c r="BC888" s="12">
        <v>5</v>
      </c>
      <c r="BD888" s="12">
        <f t="shared" si="208"/>
        <v>5</v>
      </c>
      <c r="BE888" s="12">
        <v>7</v>
      </c>
      <c r="BF888" s="12">
        <f t="shared" si="200"/>
        <v>7</v>
      </c>
      <c r="BG888" s="12">
        <f t="shared" si="209"/>
        <v>7</v>
      </c>
      <c r="BH888" s="67">
        <v>0</v>
      </c>
      <c r="BI888" s="67">
        <v>1</v>
      </c>
      <c r="BJ888" s="67">
        <v>0</v>
      </c>
      <c r="BK888" s="67">
        <v>0</v>
      </c>
      <c r="BL888" s="67">
        <v>0</v>
      </c>
      <c r="BM888" s="67">
        <v>0</v>
      </c>
      <c r="BN888" s="67">
        <v>0</v>
      </c>
      <c r="BO888" s="67">
        <v>1</v>
      </c>
      <c r="BP888" s="67">
        <v>0</v>
      </c>
      <c r="BQ888" s="67">
        <v>7</v>
      </c>
      <c r="BR888" s="67">
        <v>0</v>
      </c>
      <c r="BS888" s="67">
        <v>0</v>
      </c>
      <c r="BT888" s="67">
        <v>12</v>
      </c>
      <c r="BU888" s="70">
        <v>0</v>
      </c>
      <c r="BV888" s="29">
        <f t="shared" si="201"/>
        <v>0.62106162550476129</v>
      </c>
      <c r="BW888">
        <f t="shared" si="202"/>
        <v>0.80626709607243985</v>
      </c>
      <c r="BX888">
        <f t="shared" si="203"/>
        <v>9.2588147734864096E-2</v>
      </c>
      <c r="BY888">
        <f t="shared" si="204"/>
        <v>0.65156620358080031</v>
      </c>
      <c r="BZ888">
        <f t="shared" si="205"/>
        <v>1.01056543769991</v>
      </c>
      <c r="CA888">
        <f t="shared" si="206"/>
        <v>0.75791203633249671</v>
      </c>
      <c r="CB888">
        <f t="shared" si="207"/>
        <v>0.87270930768174382</v>
      </c>
    </row>
    <row r="889" spans="1:80" x14ac:dyDescent="0.45">
      <c r="A889" s="11">
        <v>42</v>
      </c>
      <c r="B889" s="12">
        <f t="shared" si="195"/>
        <v>42</v>
      </c>
      <c r="C889" s="12" t="s">
        <v>59</v>
      </c>
      <c r="D889" s="12">
        <v>0</v>
      </c>
      <c r="E889" s="12" t="s">
        <v>60</v>
      </c>
      <c r="F889" s="12">
        <v>1</v>
      </c>
      <c r="G889" s="12">
        <v>0</v>
      </c>
      <c r="H889" s="12" t="s">
        <v>61</v>
      </c>
      <c r="I889" s="12">
        <v>1</v>
      </c>
      <c r="J889" s="12">
        <v>0</v>
      </c>
      <c r="K889" s="12">
        <v>26</v>
      </c>
      <c r="L889" s="12">
        <f t="shared" si="196"/>
        <v>26</v>
      </c>
      <c r="M889" s="12">
        <v>5</v>
      </c>
      <c r="N889" s="12" t="s">
        <v>70</v>
      </c>
      <c r="O889" s="12">
        <v>0</v>
      </c>
      <c r="P889" s="12">
        <v>0</v>
      </c>
      <c r="Q889" s="12">
        <v>1</v>
      </c>
      <c r="R889" s="12">
        <v>0</v>
      </c>
      <c r="S889" s="12">
        <v>0</v>
      </c>
      <c r="T889" s="12">
        <v>1</v>
      </c>
      <c r="U889" s="12" t="s">
        <v>19</v>
      </c>
      <c r="V889" s="12">
        <v>1</v>
      </c>
      <c r="W889" s="12">
        <v>60</v>
      </c>
      <c r="X889" s="12">
        <v>3</v>
      </c>
      <c r="Y889" s="12">
        <v>3</v>
      </c>
      <c r="Z889" s="12" t="s">
        <v>89</v>
      </c>
      <c r="AA889" s="12">
        <v>0</v>
      </c>
      <c r="AB889" s="12">
        <v>0</v>
      </c>
      <c r="AC889" s="12">
        <v>0</v>
      </c>
      <c r="AD889" s="12">
        <v>0</v>
      </c>
      <c r="AE889" s="12">
        <v>0</v>
      </c>
      <c r="AF889" s="12">
        <v>0</v>
      </c>
      <c r="AG889" s="12">
        <v>0</v>
      </c>
      <c r="AH889" s="12">
        <v>0</v>
      </c>
      <c r="AI889" s="12">
        <v>1</v>
      </c>
      <c r="AJ889" s="12" t="s">
        <v>64</v>
      </c>
      <c r="AK889" s="12">
        <v>0</v>
      </c>
      <c r="AL889" s="12">
        <v>1</v>
      </c>
      <c r="AM889" s="12">
        <v>13191</v>
      </c>
      <c r="AN889" s="12">
        <f t="shared" si="197"/>
        <v>13191</v>
      </c>
      <c r="AO889" s="12">
        <v>3</v>
      </c>
      <c r="AP889" s="12" t="s">
        <v>52</v>
      </c>
      <c r="AQ889" s="12">
        <v>1</v>
      </c>
      <c r="AR889" s="12">
        <v>17</v>
      </c>
      <c r="AS889" s="12">
        <v>3</v>
      </c>
      <c r="AT889" s="12">
        <v>3</v>
      </c>
      <c r="AU889" s="12">
        <v>0</v>
      </c>
      <c r="AV889" s="12">
        <v>20</v>
      </c>
      <c r="AW889" s="12">
        <f t="shared" si="198"/>
        <v>20</v>
      </c>
      <c r="AX889" s="12">
        <v>6</v>
      </c>
      <c r="AY889" s="12">
        <v>3</v>
      </c>
      <c r="AZ889" s="12">
        <v>1</v>
      </c>
      <c r="BA889" s="12">
        <f t="shared" si="199"/>
        <v>1</v>
      </c>
      <c r="BB889" s="12">
        <v>0</v>
      </c>
      <c r="BC889" s="12">
        <v>0</v>
      </c>
      <c r="BD889" s="12">
        <f t="shared" si="208"/>
        <v>0</v>
      </c>
      <c r="BE889" s="12">
        <v>0</v>
      </c>
      <c r="BF889" s="12">
        <f t="shared" si="200"/>
        <v>0</v>
      </c>
      <c r="BG889" s="12">
        <f t="shared" si="209"/>
        <v>0</v>
      </c>
      <c r="BH889" s="67">
        <v>0</v>
      </c>
      <c r="BI889" s="67">
        <v>0</v>
      </c>
      <c r="BJ889" s="67">
        <v>0</v>
      </c>
      <c r="BK889" s="67">
        <v>1</v>
      </c>
      <c r="BL889" s="67">
        <v>0</v>
      </c>
      <c r="BM889" s="67">
        <v>0</v>
      </c>
      <c r="BN889" s="67">
        <v>0</v>
      </c>
      <c r="BO889" s="67">
        <v>1</v>
      </c>
      <c r="BP889" s="67">
        <v>0</v>
      </c>
      <c r="BQ889" s="67">
        <v>0</v>
      </c>
      <c r="BR889" s="67">
        <v>0</v>
      </c>
      <c r="BS889" s="67">
        <v>0</v>
      </c>
      <c r="BT889" s="67">
        <v>20</v>
      </c>
      <c r="BU889" s="70">
        <v>0</v>
      </c>
      <c r="BV889" s="29">
        <f t="shared" si="201"/>
        <v>1.4205883816720208</v>
      </c>
      <c r="BW889">
        <f t="shared" si="202"/>
        <v>1.1555414682655611</v>
      </c>
      <c r="BX889">
        <f t="shared" si="203"/>
        <v>1.120762479521457</v>
      </c>
      <c r="BY889">
        <f t="shared" si="204"/>
        <v>0.9806804209314296</v>
      </c>
      <c r="BZ889">
        <f t="shared" si="205"/>
        <v>2.0732409091797459</v>
      </c>
      <c r="CA889">
        <f t="shared" si="206"/>
        <v>0.55566315731117022</v>
      </c>
      <c r="CB889">
        <f t="shared" si="207"/>
        <v>0.67891464284095016</v>
      </c>
    </row>
    <row r="890" spans="1:80" x14ac:dyDescent="0.45">
      <c r="A890" s="11">
        <v>35</v>
      </c>
      <c r="B890" s="12">
        <f t="shared" si="195"/>
        <v>35</v>
      </c>
      <c r="C890" s="12" t="s">
        <v>59</v>
      </c>
      <c r="D890" s="12">
        <v>0</v>
      </c>
      <c r="E890" s="12" t="s">
        <v>86</v>
      </c>
      <c r="F890" s="12">
        <v>0</v>
      </c>
      <c r="G890" s="12">
        <v>0</v>
      </c>
      <c r="H890" s="12" t="s">
        <v>54</v>
      </c>
      <c r="I890" s="12">
        <v>0</v>
      </c>
      <c r="J890" s="12">
        <v>1</v>
      </c>
      <c r="K890" s="12">
        <v>8</v>
      </c>
      <c r="L890" s="12">
        <f t="shared" si="196"/>
        <v>8</v>
      </c>
      <c r="M890" s="12">
        <v>2</v>
      </c>
      <c r="N890" s="12" t="s">
        <v>90</v>
      </c>
      <c r="O890" s="12">
        <v>0</v>
      </c>
      <c r="P890" s="12">
        <v>0</v>
      </c>
      <c r="Q890" s="12">
        <v>0</v>
      </c>
      <c r="R890" s="12">
        <v>1</v>
      </c>
      <c r="S890" s="12">
        <v>0</v>
      </c>
      <c r="T890" s="12">
        <v>3</v>
      </c>
      <c r="U890" s="12" t="s">
        <v>19</v>
      </c>
      <c r="V890" s="12">
        <v>1</v>
      </c>
      <c r="W890" s="12">
        <v>78</v>
      </c>
      <c r="X890" s="12">
        <v>2</v>
      </c>
      <c r="Y890" s="12">
        <v>3</v>
      </c>
      <c r="Z890" s="12" t="s">
        <v>56</v>
      </c>
      <c r="AA890" s="12">
        <v>0</v>
      </c>
      <c r="AB890" s="12">
        <v>1</v>
      </c>
      <c r="AC890" s="12">
        <v>0</v>
      </c>
      <c r="AD890" s="12">
        <v>0</v>
      </c>
      <c r="AE890" s="12">
        <v>0</v>
      </c>
      <c r="AF890" s="12">
        <v>0</v>
      </c>
      <c r="AG890" s="12">
        <v>0</v>
      </c>
      <c r="AH890" s="12">
        <v>0</v>
      </c>
      <c r="AI890" s="12">
        <v>4</v>
      </c>
      <c r="AJ890" s="12" t="s">
        <v>64</v>
      </c>
      <c r="AK890" s="12">
        <v>0</v>
      </c>
      <c r="AL890" s="12">
        <v>1</v>
      </c>
      <c r="AM890" s="12">
        <v>10377</v>
      </c>
      <c r="AN890" s="12">
        <f t="shared" si="197"/>
        <v>10377</v>
      </c>
      <c r="AO890" s="12">
        <v>4</v>
      </c>
      <c r="AP890" s="12" t="s">
        <v>52</v>
      </c>
      <c r="AQ890" s="12">
        <v>1</v>
      </c>
      <c r="AR890" s="12">
        <v>11</v>
      </c>
      <c r="AS890" s="12">
        <v>3</v>
      </c>
      <c r="AT890" s="12">
        <v>2</v>
      </c>
      <c r="AU890" s="12">
        <v>1</v>
      </c>
      <c r="AV890" s="12">
        <v>16</v>
      </c>
      <c r="AW890" s="12">
        <f t="shared" si="198"/>
        <v>16</v>
      </c>
      <c r="AX890" s="12">
        <v>6</v>
      </c>
      <c r="AY890" s="12">
        <v>2</v>
      </c>
      <c r="AZ890" s="12">
        <v>13</v>
      </c>
      <c r="BA890" s="12">
        <f t="shared" si="199"/>
        <v>13</v>
      </c>
      <c r="BB890" s="12">
        <v>2</v>
      </c>
      <c r="BC890" s="12">
        <v>4</v>
      </c>
      <c r="BD890" s="12">
        <f t="shared" si="208"/>
        <v>4</v>
      </c>
      <c r="BE890" s="12">
        <v>12</v>
      </c>
      <c r="BF890" s="12">
        <f t="shared" si="200"/>
        <v>12</v>
      </c>
      <c r="BG890" s="12">
        <f t="shared" si="209"/>
        <v>36</v>
      </c>
      <c r="BH890" s="67">
        <v>0</v>
      </c>
      <c r="BI890" s="67">
        <v>1</v>
      </c>
      <c r="BJ890" s="67">
        <v>0</v>
      </c>
      <c r="BK890" s="67">
        <v>0</v>
      </c>
      <c r="BL890" s="67">
        <v>0</v>
      </c>
      <c r="BM890" s="67">
        <v>0</v>
      </c>
      <c r="BN890" s="67">
        <v>0</v>
      </c>
      <c r="BO890" s="67">
        <v>1</v>
      </c>
      <c r="BP890" s="67">
        <v>0</v>
      </c>
      <c r="BQ890" s="67">
        <v>0</v>
      </c>
      <c r="BR890" s="67">
        <v>12</v>
      </c>
      <c r="BS890" s="67">
        <v>0</v>
      </c>
      <c r="BT890" s="67">
        <v>0</v>
      </c>
      <c r="BU890" s="70">
        <v>16</v>
      </c>
      <c r="BV890" s="29">
        <f t="shared" si="201"/>
        <v>0.82287686271702043</v>
      </c>
      <c r="BW890">
        <f t="shared" si="202"/>
        <v>2.2075589277424408</v>
      </c>
      <c r="BX890">
        <f t="shared" si="203"/>
        <v>0.60667531362816052</v>
      </c>
      <c r="BY890">
        <f t="shared" si="204"/>
        <v>0.97801552848324624</v>
      </c>
      <c r="BZ890">
        <f t="shared" si="205"/>
        <v>0.14709966057360641</v>
      </c>
      <c r="CA890">
        <f t="shared" si="206"/>
        <v>0.21058903898096887</v>
      </c>
      <c r="CB890">
        <f t="shared" si="207"/>
        <v>0.56238451757720498</v>
      </c>
    </row>
    <row r="891" spans="1:80" x14ac:dyDescent="0.45">
      <c r="A891" s="11">
        <v>27</v>
      </c>
      <c r="B891" s="12">
        <f t="shared" si="195"/>
        <v>27</v>
      </c>
      <c r="C891" s="12" t="s">
        <v>59</v>
      </c>
      <c r="D891" s="12">
        <v>0</v>
      </c>
      <c r="E891" s="12" t="s">
        <v>53</v>
      </c>
      <c r="F891" s="12">
        <v>0</v>
      </c>
      <c r="G891" s="12">
        <v>1</v>
      </c>
      <c r="H891" s="12" t="s">
        <v>61</v>
      </c>
      <c r="I891" s="12">
        <v>1</v>
      </c>
      <c r="J891" s="12">
        <v>0</v>
      </c>
      <c r="K891" s="12">
        <v>14</v>
      </c>
      <c r="L891" s="12">
        <f t="shared" si="196"/>
        <v>14</v>
      </c>
      <c r="M891" s="12">
        <v>3</v>
      </c>
      <c r="N891" s="12" t="s">
        <v>55</v>
      </c>
      <c r="O891" s="12">
        <v>1</v>
      </c>
      <c r="P891" s="12">
        <v>0</v>
      </c>
      <c r="Q891" s="12">
        <v>0</v>
      </c>
      <c r="R891" s="12">
        <v>0</v>
      </c>
      <c r="S891" s="12">
        <v>0</v>
      </c>
      <c r="T891" s="12">
        <v>1</v>
      </c>
      <c r="U891" s="12" t="s">
        <v>62</v>
      </c>
      <c r="V891" s="12">
        <v>0</v>
      </c>
      <c r="W891" s="12">
        <v>42</v>
      </c>
      <c r="X891" s="12">
        <v>3</v>
      </c>
      <c r="Y891" s="12">
        <v>1</v>
      </c>
      <c r="Z891" s="12" t="s">
        <v>63</v>
      </c>
      <c r="AA891" s="12">
        <v>0</v>
      </c>
      <c r="AB891" s="12">
        <v>0</v>
      </c>
      <c r="AC891" s="12">
        <v>0</v>
      </c>
      <c r="AD891" s="12">
        <v>0</v>
      </c>
      <c r="AE891" s="12">
        <v>0</v>
      </c>
      <c r="AF891" s="12">
        <v>0</v>
      </c>
      <c r="AG891" s="12">
        <v>0</v>
      </c>
      <c r="AH891" s="12">
        <v>1</v>
      </c>
      <c r="AI891" s="12">
        <v>1</v>
      </c>
      <c r="AJ891" s="12" t="s">
        <v>64</v>
      </c>
      <c r="AK891" s="12">
        <v>0</v>
      </c>
      <c r="AL891" s="12">
        <v>1</v>
      </c>
      <c r="AM891" s="12">
        <v>2235</v>
      </c>
      <c r="AN891" s="12">
        <f t="shared" si="197"/>
        <v>2235</v>
      </c>
      <c r="AO891" s="12">
        <v>1</v>
      </c>
      <c r="AP891" s="12" t="s">
        <v>52</v>
      </c>
      <c r="AQ891" s="12">
        <v>1</v>
      </c>
      <c r="AR891" s="12">
        <v>14</v>
      </c>
      <c r="AS891" s="12">
        <v>3</v>
      </c>
      <c r="AT891" s="12">
        <v>4</v>
      </c>
      <c r="AU891" s="12">
        <v>2</v>
      </c>
      <c r="AV891" s="12">
        <v>9</v>
      </c>
      <c r="AW891" s="12">
        <f t="shared" si="198"/>
        <v>9</v>
      </c>
      <c r="AX891" s="12">
        <v>3</v>
      </c>
      <c r="AY891" s="12">
        <v>2</v>
      </c>
      <c r="AZ891" s="12">
        <v>9</v>
      </c>
      <c r="BA891" s="12">
        <f t="shared" si="199"/>
        <v>9</v>
      </c>
      <c r="BB891" s="12">
        <v>7</v>
      </c>
      <c r="BC891" s="12">
        <v>6</v>
      </c>
      <c r="BD891" s="12">
        <f t="shared" si="208"/>
        <v>6</v>
      </c>
      <c r="BE891" s="12">
        <v>8</v>
      </c>
      <c r="BF891" s="12">
        <f t="shared" si="200"/>
        <v>8</v>
      </c>
      <c r="BG891" s="12">
        <f t="shared" si="209"/>
        <v>8</v>
      </c>
      <c r="BH891" s="67">
        <v>0</v>
      </c>
      <c r="BI891" s="67">
        <v>1</v>
      </c>
      <c r="BJ891" s="67">
        <v>0</v>
      </c>
      <c r="BK891" s="67">
        <v>0</v>
      </c>
      <c r="BL891" s="67">
        <v>0</v>
      </c>
      <c r="BM891" s="67">
        <v>0</v>
      </c>
      <c r="BN891" s="67">
        <v>0</v>
      </c>
      <c r="BO891" s="67">
        <v>1</v>
      </c>
      <c r="BP891" s="67">
        <v>0</v>
      </c>
      <c r="BQ891" s="67">
        <v>8</v>
      </c>
      <c r="BR891" s="67">
        <v>0</v>
      </c>
      <c r="BS891" s="67">
        <v>0</v>
      </c>
      <c r="BT891" s="67">
        <v>9</v>
      </c>
      <c r="BU891" s="70">
        <v>0</v>
      </c>
      <c r="BV891" s="29">
        <f t="shared" si="201"/>
        <v>0.90653578381162725</v>
      </c>
      <c r="BW891">
        <f t="shared" si="202"/>
        <v>1.08652546240644</v>
      </c>
      <c r="BX891">
        <f t="shared" si="203"/>
        <v>0.29297722668510823</v>
      </c>
      <c r="BY891">
        <f t="shared" si="204"/>
        <v>0.32511687867835437</v>
      </c>
      <c r="BZ891">
        <f t="shared" si="205"/>
        <v>0.59301386267751111</v>
      </c>
      <c r="CA891">
        <f t="shared" si="206"/>
        <v>1.0863058347434136</v>
      </c>
      <c r="CB891">
        <f t="shared" si="207"/>
        <v>1.1830340977862825</v>
      </c>
    </row>
    <row r="892" spans="1:80" x14ac:dyDescent="0.45">
      <c r="A892" s="11">
        <v>54</v>
      </c>
      <c r="B892" s="12">
        <f t="shared" si="195"/>
        <v>54</v>
      </c>
      <c r="C892" s="12" t="s">
        <v>59</v>
      </c>
      <c r="D892" s="12">
        <v>0</v>
      </c>
      <c r="E892" s="12" t="s">
        <v>60</v>
      </c>
      <c r="F892" s="12">
        <v>1</v>
      </c>
      <c r="G892" s="12">
        <v>0</v>
      </c>
      <c r="H892" s="12" t="s">
        <v>61</v>
      </c>
      <c r="I892" s="12">
        <v>1</v>
      </c>
      <c r="J892" s="12">
        <v>0</v>
      </c>
      <c r="K892" s="12">
        <v>1</v>
      </c>
      <c r="L892" s="12">
        <f t="shared" si="196"/>
        <v>1</v>
      </c>
      <c r="M892" s="12">
        <v>4</v>
      </c>
      <c r="N892" s="12" t="s">
        <v>55</v>
      </c>
      <c r="O892" s="12">
        <v>1</v>
      </c>
      <c r="P892" s="12">
        <v>0</v>
      </c>
      <c r="Q892" s="12">
        <v>0</v>
      </c>
      <c r="R892" s="12">
        <v>0</v>
      </c>
      <c r="S892" s="12">
        <v>0</v>
      </c>
      <c r="T892" s="12">
        <v>4</v>
      </c>
      <c r="U892" s="12" t="s">
        <v>19</v>
      </c>
      <c r="V892" s="12">
        <v>1</v>
      </c>
      <c r="W892" s="12">
        <v>53</v>
      </c>
      <c r="X892" s="12">
        <v>3</v>
      </c>
      <c r="Y892" s="12">
        <v>3</v>
      </c>
      <c r="Z892" s="12" t="s">
        <v>83</v>
      </c>
      <c r="AA892" s="12">
        <v>0</v>
      </c>
      <c r="AB892" s="12">
        <v>0</v>
      </c>
      <c r="AC892" s="12">
        <v>0</v>
      </c>
      <c r="AD892" s="12">
        <v>0</v>
      </c>
      <c r="AE892" s="12">
        <v>1</v>
      </c>
      <c r="AF892" s="12">
        <v>1</v>
      </c>
      <c r="AG892" s="12">
        <v>0</v>
      </c>
      <c r="AH892" s="12">
        <v>0</v>
      </c>
      <c r="AI892" s="12">
        <v>3</v>
      </c>
      <c r="AJ892" s="12" t="s">
        <v>78</v>
      </c>
      <c r="AK892" s="12">
        <v>0</v>
      </c>
      <c r="AL892" s="12">
        <v>0</v>
      </c>
      <c r="AM892" s="12">
        <v>10502</v>
      </c>
      <c r="AN892" s="12">
        <f t="shared" si="197"/>
        <v>10502</v>
      </c>
      <c r="AO892" s="12">
        <v>7</v>
      </c>
      <c r="AP892" s="12" t="s">
        <v>59</v>
      </c>
      <c r="AQ892" s="12">
        <v>0</v>
      </c>
      <c r="AR892" s="12">
        <v>17</v>
      </c>
      <c r="AS892" s="12">
        <v>3</v>
      </c>
      <c r="AT892" s="12">
        <v>1</v>
      </c>
      <c r="AU892" s="12">
        <v>1</v>
      </c>
      <c r="AV892" s="12">
        <v>33</v>
      </c>
      <c r="AW892" s="12">
        <f t="shared" si="198"/>
        <v>33</v>
      </c>
      <c r="AX892" s="12">
        <v>2</v>
      </c>
      <c r="AY892" s="12">
        <v>1</v>
      </c>
      <c r="AZ892" s="12">
        <v>5</v>
      </c>
      <c r="BA892" s="12">
        <f t="shared" si="199"/>
        <v>5</v>
      </c>
      <c r="BB892" s="12">
        <v>4</v>
      </c>
      <c r="BC892" s="12">
        <v>1</v>
      </c>
      <c r="BD892" s="12">
        <f t="shared" si="208"/>
        <v>1</v>
      </c>
      <c r="BE892" s="12">
        <v>4</v>
      </c>
      <c r="BF892" s="12">
        <f t="shared" si="200"/>
        <v>4</v>
      </c>
      <c r="BG892" s="12">
        <f t="shared" si="209"/>
        <v>12</v>
      </c>
      <c r="BH892" s="67">
        <v>0</v>
      </c>
      <c r="BI892" s="67">
        <v>0</v>
      </c>
      <c r="BJ892" s="67">
        <v>1</v>
      </c>
      <c r="BK892" s="67">
        <v>0</v>
      </c>
      <c r="BL892" s="67">
        <v>1</v>
      </c>
      <c r="BM892" s="67">
        <v>0</v>
      </c>
      <c r="BN892" s="67">
        <v>0</v>
      </c>
      <c r="BO892" s="67">
        <v>0</v>
      </c>
      <c r="BP892" s="67">
        <v>0</v>
      </c>
      <c r="BQ892" s="67">
        <v>4</v>
      </c>
      <c r="BR892" s="67">
        <v>0</v>
      </c>
      <c r="BS892" s="67">
        <v>0</v>
      </c>
      <c r="BT892" s="67">
        <v>33</v>
      </c>
      <c r="BU892" s="70">
        <v>0</v>
      </c>
      <c r="BV892" s="29">
        <f t="shared" si="201"/>
        <v>0.84942765869050119</v>
      </c>
      <c r="BW892">
        <f t="shared" si="202"/>
        <v>3.4508002929560584E-2</v>
      </c>
      <c r="BX892">
        <f t="shared" si="203"/>
        <v>2.7915457686746699</v>
      </c>
      <c r="BY892">
        <f t="shared" si="204"/>
        <v>0.32778177112653761</v>
      </c>
      <c r="BZ892">
        <f t="shared" si="205"/>
        <v>1.01056543769991</v>
      </c>
      <c r="CA892">
        <f t="shared" si="206"/>
        <v>1.8692383509548371</v>
      </c>
      <c r="CB892">
        <f t="shared" si="207"/>
        <v>0.36858985273641137</v>
      </c>
    </row>
    <row r="893" spans="1:80" x14ac:dyDescent="0.45">
      <c r="A893" s="11">
        <v>44</v>
      </c>
      <c r="B893" s="12">
        <f t="shared" si="195"/>
        <v>44</v>
      </c>
      <c r="C893" s="12" t="s">
        <v>59</v>
      </c>
      <c r="D893" s="12">
        <v>0</v>
      </c>
      <c r="E893" s="12" t="s">
        <v>53</v>
      </c>
      <c r="F893" s="12">
        <v>0</v>
      </c>
      <c r="G893" s="12">
        <v>1</v>
      </c>
      <c r="H893" s="12" t="s">
        <v>61</v>
      </c>
      <c r="I893" s="12">
        <v>1</v>
      </c>
      <c r="J893" s="12">
        <v>0</v>
      </c>
      <c r="K893" s="12">
        <v>2</v>
      </c>
      <c r="L893" s="12">
        <f t="shared" si="196"/>
        <v>2</v>
      </c>
      <c r="M893" s="12">
        <v>1</v>
      </c>
      <c r="N893" s="12" t="s">
        <v>55</v>
      </c>
      <c r="O893" s="12">
        <v>1</v>
      </c>
      <c r="P893" s="12">
        <v>0</v>
      </c>
      <c r="Q893" s="12">
        <v>0</v>
      </c>
      <c r="R893" s="12">
        <v>0</v>
      </c>
      <c r="S893" s="12">
        <v>0</v>
      </c>
      <c r="T893" s="12">
        <v>1</v>
      </c>
      <c r="U893" s="12" t="s">
        <v>19</v>
      </c>
      <c r="V893" s="12">
        <v>1</v>
      </c>
      <c r="W893" s="12">
        <v>72</v>
      </c>
      <c r="X893" s="12">
        <v>4</v>
      </c>
      <c r="Y893" s="12">
        <v>1</v>
      </c>
      <c r="Z893" s="12" t="s">
        <v>63</v>
      </c>
      <c r="AA893" s="12">
        <v>0</v>
      </c>
      <c r="AB893" s="12">
        <v>0</v>
      </c>
      <c r="AC893" s="12">
        <v>0</v>
      </c>
      <c r="AD893" s="12">
        <v>0</v>
      </c>
      <c r="AE893" s="12">
        <v>0</v>
      </c>
      <c r="AF893" s="12">
        <v>0</v>
      </c>
      <c r="AG893" s="12">
        <v>0</v>
      </c>
      <c r="AH893" s="12">
        <v>1</v>
      </c>
      <c r="AI893" s="12">
        <v>4</v>
      </c>
      <c r="AJ893" s="12" t="s">
        <v>64</v>
      </c>
      <c r="AK893" s="12">
        <v>0</v>
      </c>
      <c r="AL893" s="12">
        <v>1</v>
      </c>
      <c r="AM893" s="12">
        <v>2011</v>
      </c>
      <c r="AN893" s="12">
        <f t="shared" si="197"/>
        <v>2011</v>
      </c>
      <c r="AO893" s="12">
        <v>1</v>
      </c>
      <c r="AP893" s="12" t="s">
        <v>59</v>
      </c>
      <c r="AQ893" s="12">
        <v>0</v>
      </c>
      <c r="AR893" s="12">
        <v>13</v>
      </c>
      <c r="AS893" s="12">
        <v>3</v>
      </c>
      <c r="AT893" s="12">
        <v>4</v>
      </c>
      <c r="AU893" s="12">
        <v>1</v>
      </c>
      <c r="AV893" s="12">
        <v>10</v>
      </c>
      <c r="AW893" s="12">
        <f t="shared" si="198"/>
        <v>10</v>
      </c>
      <c r="AX893" s="12">
        <v>5</v>
      </c>
      <c r="AY893" s="12">
        <v>3</v>
      </c>
      <c r="AZ893" s="12">
        <v>10</v>
      </c>
      <c r="BA893" s="12">
        <f t="shared" si="199"/>
        <v>10</v>
      </c>
      <c r="BB893" s="12">
        <v>5</v>
      </c>
      <c r="BC893" s="12">
        <v>7</v>
      </c>
      <c r="BD893" s="12">
        <f t="shared" si="208"/>
        <v>7</v>
      </c>
      <c r="BE893" s="12">
        <v>7</v>
      </c>
      <c r="BF893" s="12">
        <f t="shared" si="200"/>
        <v>7</v>
      </c>
      <c r="BG893" s="12">
        <f t="shared" si="209"/>
        <v>7</v>
      </c>
      <c r="BH893" s="67">
        <v>0</v>
      </c>
      <c r="BI893" s="67">
        <v>1</v>
      </c>
      <c r="BJ893" s="67">
        <v>0</v>
      </c>
      <c r="BK893" s="67">
        <v>0</v>
      </c>
      <c r="BL893" s="67">
        <v>0</v>
      </c>
      <c r="BM893" s="67">
        <v>0</v>
      </c>
      <c r="BN893" s="67">
        <v>1</v>
      </c>
      <c r="BO893" s="67">
        <v>0</v>
      </c>
      <c r="BP893" s="67">
        <v>0</v>
      </c>
      <c r="BQ893" s="67">
        <v>7</v>
      </c>
      <c r="BR893" s="67">
        <v>0</v>
      </c>
      <c r="BS893" s="67">
        <v>0</v>
      </c>
      <c r="BT893" s="67">
        <v>10</v>
      </c>
      <c r="BU893" s="70">
        <v>0</v>
      </c>
      <c r="BV893" s="29">
        <f t="shared" si="201"/>
        <v>0.95411481019610489</v>
      </c>
      <c r="BW893">
        <f t="shared" si="202"/>
        <v>0.80626709607243985</v>
      </c>
      <c r="BX893">
        <f t="shared" si="203"/>
        <v>0.1644554352117841</v>
      </c>
      <c r="BY893">
        <f t="shared" si="204"/>
        <v>0.48834154112957734</v>
      </c>
      <c r="BZ893">
        <f t="shared" si="205"/>
        <v>0.88721318382472392</v>
      </c>
      <c r="CA893">
        <f t="shared" si="206"/>
        <v>0.77459235625178136</v>
      </c>
      <c r="CB893">
        <f t="shared" si="207"/>
        <v>1.4933588878908215</v>
      </c>
    </row>
    <row r="894" spans="1:80" x14ac:dyDescent="0.45">
      <c r="A894" s="11">
        <v>19</v>
      </c>
      <c r="B894" s="12">
        <f t="shared" si="195"/>
        <v>19</v>
      </c>
      <c r="C894" s="12" t="s">
        <v>52</v>
      </c>
      <c r="D894" s="12">
        <v>1</v>
      </c>
      <c r="E894" s="12" t="s">
        <v>86</v>
      </c>
      <c r="F894" s="12">
        <v>0</v>
      </c>
      <c r="G894" s="12">
        <v>0</v>
      </c>
      <c r="H894" s="12" t="s">
        <v>61</v>
      </c>
      <c r="I894" s="12">
        <v>1</v>
      </c>
      <c r="J894" s="12">
        <v>0</v>
      </c>
      <c r="K894" s="12">
        <v>10</v>
      </c>
      <c r="L894" s="12">
        <f t="shared" si="196"/>
        <v>10</v>
      </c>
      <c r="M894" s="12">
        <v>3</v>
      </c>
      <c r="N894" s="12" t="s">
        <v>70</v>
      </c>
      <c r="O894" s="12">
        <v>0</v>
      </c>
      <c r="P894" s="12">
        <v>0</v>
      </c>
      <c r="Q894" s="12">
        <v>1</v>
      </c>
      <c r="R894" s="12">
        <v>0</v>
      </c>
      <c r="S894" s="12">
        <v>0</v>
      </c>
      <c r="T894" s="12">
        <v>1</v>
      </c>
      <c r="U894" s="12" t="s">
        <v>19</v>
      </c>
      <c r="V894" s="12">
        <v>1</v>
      </c>
      <c r="W894" s="12">
        <v>96</v>
      </c>
      <c r="X894" s="12">
        <v>2</v>
      </c>
      <c r="Y894" s="12">
        <v>1</v>
      </c>
      <c r="Z894" s="12" t="s">
        <v>63</v>
      </c>
      <c r="AA894" s="12">
        <v>0</v>
      </c>
      <c r="AB894" s="12">
        <v>0</v>
      </c>
      <c r="AC894" s="12">
        <v>0</v>
      </c>
      <c r="AD894" s="12">
        <v>0</v>
      </c>
      <c r="AE894" s="12">
        <v>0</v>
      </c>
      <c r="AF894" s="12">
        <v>0</v>
      </c>
      <c r="AG894" s="12">
        <v>0</v>
      </c>
      <c r="AH894" s="12">
        <v>1</v>
      </c>
      <c r="AI894" s="12">
        <v>2</v>
      </c>
      <c r="AJ894" s="12" t="s">
        <v>57</v>
      </c>
      <c r="AK894" s="12">
        <v>1</v>
      </c>
      <c r="AL894" s="12">
        <v>0</v>
      </c>
      <c r="AM894" s="12">
        <v>1859</v>
      </c>
      <c r="AN894" s="12">
        <f t="shared" si="197"/>
        <v>1859</v>
      </c>
      <c r="AO894" s="12">
        <v>1</v>
      </c>
      <c r="AP894" s="12" t="s">
        <v>52</v>
      </c>
      <c r="AQ894" s="12">
        <v>1</v>
      </c>
      <c r="AR894" s="12">
        <v>25</v>
      </c>
      <c r="AS894" s="12">
        <v>4</v>
      </c>
      <c r="AT894" s="12">
        <v>2</v>
      </c>
      <c r="AU894" s="12">
        <v>0</v>
      </c>
      <c r="AV894" s="12">
        <v>1</v>
      </c>
      <c r="AW894" s="12">
        <f t="shared" si="198"/>
        <v>1</v>
      </c>
      <c r="AX894" s="12">
        <v>2</v>
      </c>
      <c r="AY894" s="12">
        <v>4</v>
      </c>
      <c r="AZ894" s="12">
        <v>1</v>
      </c>
      <c r="BA894" s="12">
        <f t="shared" si="199"/>
        <v>1</v>
      </c>
      <c r="BB894" s="12">
        <v>1</v>
      </c>
      <c r="BC894" s="12">
        <v>0</v>
      </c>
      <c r="BD894" s="12">
        <f t="shared" si="208"/>
        <v>0</v>
      </c>
      <c r="BE894" s="12">
        <v>0</v>
      </c>
      <c r="BF894" s="12">
        <f t="shared" si="200"/>
        <v>0</v>
      </c>
      <c r="BG894" s="12">
        <f t="shared" si="209"/>
        <v>0</v>
      </c>
      <c r="BH894" s="67">
        <v>1</v>
      </c>
      <c r="BI894" s="67">
        <v>0</v>
      </c>
      <c r="BJ894" s="67">
        <v>0</v>
      </c>
      <c r="BK894" s="67">
        <v>0</v>
      </c>
      <c r="BL894" s="67">
        <v>0</v>
      </c>
      <c r="BM894" s="67">
        <v>1</v>
      </c>
      <c r="BN894" s="67">
        <v>0</v>
      </c>
      <c r="BO894" s="67">
        <v>0</v>
      </c>
      <c r="BP894" s="67">
        <v>0</v>
      </c>
      <c r="BQ894" s="67">
        <v>0</v>
      </c>
      <c r="BR894" s="67">
        <v>0</v>
      </c>
      <c r="BS894" s="67">
        <v>0</v>
      </c>
      <c r="BT894" s="67">
        <v>1</v>
      </c>
      <c r="BU894" s="70">
        <v>0</v>
      </c>
      <c r="BV894" s="29">
        <f t="shared" si="201"/>
        <v>0.98640057809985759</v>
      </c>
      <c r="BW894">
        <f t="shared" si="202"/>
        <v>1.1555414682655611</v>
      </c>
      <c r="BX894">
        <f t="shared" si="203"/>
        <v>1.3211515584717011</v>
      </c>
      <c r="BY894">
        <f t="shared" si="204"/>
        <v>0.9806804209314296</v>
      </c>
      <c r="BZ894">
        <f t="shared" si="205"/>
        <v>9.9604847176766084E-2</v>
      </c>
      <c r="CA894">
        <f t="shared" si="206"/>
        <v>1.9620226305058581</v>
      </c>
      <c r="CB894">
        <f t="shared" si="207"/>
        <v>0.67891464284095016</v>
      </c>
    </row>
    <row r="895" spans="1:80" x14ac:dyDescent="0.45">
      <c r="A895" s="11">
        <v>29</v>
      </c>
      <c r="B895" s="12">
        <f t="shared" si="195"/>
        <v>29</v>
      </c>
      <c r="C895" s="12" t="s">
        <v>59</v>
      </c>
      <c r="D895" s="12">
        <v>0</v>
      </c>
      <c r="E895" s="12" t="s">
        <v>53</v>
      </c>
      <c r="F895" s="12">
        <v>0</v>
      </c>
      <c r="G895" s="12">
        <v>1</v>
      </c>
      <c r="H895" s="12" t="s">
        <v>61</v>
      </c>
      <c r="I895" s="12">
        <v>1</v>
      </c>
      <c r="J895" s="12">
        <v>0</v>
      </c>
      <c r="K895" s="12">
        <v>1</v>
      </c>
      <c r="L895" s="12">
        <f t="shared" si="196"/>
        <v>1</v>
      </c>
      <c r="M895" s="12">
        <v>3</v>
      </c>
      <c r="N895" s="12" t="s">
        <v>55</v>
      </c>
      <c r="O895" s="12">
        <v>1</v>
      </c>
      <c r="P895" s="12">
        <v>0</v>
      </c>
      <c r="Q895" s="12">
        <v>0</v>
      </c>
      <c r="R895" s="12">
        <v>0</v>
      </c>
      <c r="S895" s="12">
        <v>0</v>
      </c>
      <c r="T895" s="12">
        <v>1</v>
      </c>
      <c r="U895" s="12" t="s">
        <v>19</v>
      </c>
      <c r="V895" s="12">
        <v>1</v>
      </c>
      <c r="W895" s="12">
        <v>97</v>
      </c>
      <c r="X895" s="12">
        <v>3</v>
      </c>
      <c r="Y895" s="12">
        <v>1</v>
      </c>
      <c r="Z895" s="12" t="s">
        <v>63</v>
      </c>
      <c r="AA895" s="12">
        <v>0</v>
      </c>
      <c r="AB895" s="12">
        <v>0</v>
      </c>
      <c r="AC895" s="12">
        <v>0</v>
      </c>
      <c r="AD895" s="12">
        <v>0</v>
      </c>
      <c r="AE895" s="12">
        <v>0</v>
      </c>
      <c r="AF895" s="12">
        <v>0</v>
      </c>
      <c r="AG895" s="12">
        <v>0</v>
      </c>
      <c r="AH895" s="12">
        <v>1</v>
      </c>
      <c r="AI895" s="12">
        <v>4</v>
      </c>
      <c r="AJ895" s="12" t="s">
        <v>78</v>
      </c>
      <c r="AK895" s="12">
        <v>0</v>
      </c>
      <c r="AL895" s="12">
        <v>0</v>
      </c>
      <c r="AM895" s="12">
        <v>3760</v>
      </c>
      <c r="AN895" s="12">
        <f t="shared" si="197"/>
        <v>3760</v>
      </c>
      <c r="AO895" s="12">
        <v>1</v>
      </c>
      <c r="AP895" s="12" t="s">
        <v>59</v>
      </c>
      <c r="AQ895" s="12">
        <v>0</v>
      </c>
      <c r="AR895" s="12">
        <v>15</v>
      </c>
      <c r="AS895" s="12">
        <v>3</v>
      </c>
      <c r="AT895" s="12">
        <v>1</v>
      </c>
      <c r="AU895" s="12">
        <v>3</v>
      </c>
      <c r="AV895" s="12">
        <v>3</v>
      </c>
      <c r="AW895" s="12">
        <f t="shared" si="198"/>
        <v>3</v>
      </c>
      <c r="AX895" s="12">
        <v>5</v>
      </c>
      <c r="AY895" s="12">
        <v>3</v>
      </c>
      <c r="AZ895" s="12">
        <v>3</v>
      </c>
      <c r="BA895" s="12">
        <f t="shared" si="199"/>
        <v>3</v>
      </c>
      <c r="BB895" s="12">
        <v>2</v>
      </c>
      <c r="BC895" s="12">
        <v>1</v>
      </c>
      <c r="BD895" s="12">
        <f t="shared" si="208"/>
        <v>1</v>
      </c>
      <c r="BE895" s="12">
        <v>2</v>
      </c>
      <c r="BF895" s="12">
        <f t="shared" si="200"/>
        <v>2</v>
      </c>
      <c r="BG895" s="12">
        <f t="shared" si="209"/>
        <v>2</v>
      </c>
      <c r="BH895" s="67">
        <v>1</v>
      </c>
      <c r="BI895" s="67">
        <v>0</v>
      </c>
      <c r="BJ895" s="67">
        <v>0</v>
      </c>
      <c r="BK895" s="67">
        <v>0</v>
      </c>
      <c r="BL895" s="67">
        <v>1</v>
      </c>
      <c r="BM895" s="67">
        <v>0</v>
      </c>
      <c r="BN895" s="67">
        <v>0</v>
      </c>
      <c r="BO895" s="67">
        <v>0</v>
      </c>
      <c r="BP895" s="67">
        <v>0</v>
      </c>
      <c r="BQ895" s="67">
        <v>2</v>
      </c>
      <c r="BR895" s="67">
        <v>0</v>
      </c>
      <c r="BS895" s="67">
        <v>0</v>
      </c>
      <c r="BT895" s="67">
        <v>3</v>
      </c>
      <c r="BU895" s="70">
        <v>0</v>
      </c>
      <c r="BV895" s="29">
        <f t="shared" si="201"/>
        <v>0.58261607293516104</v>
      </c>
      <c r="BW895">
        <f t="shared" si="202"/>
        <v>0.59502473559756086</v>
      </c>
      <c r="BX895">
        <f t="shared" si="203"/>
        <v>1.0641079755250529</v>
      </c>
      <c r="BY895">
        <f t="shared" si="204"/>
        <v>0.65423109602898355</v>
      </c>
      <c r="BZ895">
        <f t="shared" si="205"/>
        <v>1.01056543769991</v>
      </c>
      <c r="CA895">
        <f t="shared" si="206"/>
        <v>0.86737663580280233</v>
      </c>
      <c r="CB895">
        <f t="shared" si="207"/>
        <v>0.36858985273641137</v>
      </c>
    </row>
    <row r="896" spans="1:80" x14ac:dyDescent="0.45">
      <c r="A896" s="11">
        <v>54</v>
      </c>
      <c r="B896" s="12">
        <f t="shared" si="195"/>
        <v>54</v>
      </c>
      <c r="C896" s="12" t="s">
        <v>59</v>
      </c>
      <c r="D896" s="12">
        <v>0</v>
      </c>
      <c r="E896" s="12" t="s">
        <v>53</v>
      </c>
      <c r="F896" s="12">
        <v>0</v>
      </c>
      <c r="G896" s="12">
        <v>1</v>
      </c>
      <c r="H896" s="12" t="s">
        <v>61</v>
      </c>
      <c r="I896" s="12">
        <v>1</v>
      </c>
      <c r="J896" s="12">
        <v>0</v>
      </c>
      <c r="K896" s="12">
        <v>3</v>
      </c>
      <c r="L896" s="12">
        <f t="shared" si="196"/>
        <v>3</v>
      </c>
      <c r="M896" s="12">
        <v>3</v>
      </c>
      <c r="N896" s="12" t="s">
        <v>55</v>
      </c>
      <c r="O896" s="12">
        <v>1</v>
      </c>
      <c r="P896" s="12">
        <v>0</v>
      </c>
      <c r="Q896" s="12">
        <v>0</v>
      </c>
      <c r="R896" s="12">
        <v>0</v>
      </c>
      <c r="S896" s="12">
        <v>0</v>
      </c>
      <c r="T896" s="12">
        <v>4</v>
      </c>
      <c r="U896" s="12" t="s">
        <v>62</v>
      </c>
      <c r="V896" s="12">
        <v>0</v>
      </c>
      <c r="W896" s="12">
        <v>85</v>
      </c>
      <c r="X896" s="12">
        <v>3</v>
      </c>
      <c r="Y896" s="12">
        <v>4</v>
      </c>
      <c r="Z896" s="12" t="s">
        <v>89</v>
      </c>
      <c r="AA896" s="12">
        <v>0</v>
      </c>
      <c r="AB896" s="12">
        <v>0</v>
      </c>
      <c r="AC896" s="12">
        <v>0</v>
      </c>
      <c r="AD896" s="12">
        <v>0</v>
      </c>
      <c r="AE896" s="12">
        <v>0</v>
      </c>
      <c r="AF896" s="12">
        <v>0</v>
      </c>
      <c r="AG896" s="12">
        <v>0</v>
      </c>
      <c r="AH896" s="12">
        <v>0</v>
      </c>
      <c r="AI896" s="12">
        <v>4</v>
      </c>
      <c r="AJ896" s="12" t="s">
        <v>64</v>
      </c>
      <c r="AK896" s="12">
        <v>0</v>
      </c>
      <c r="AL896" s="12">
        <v>1</v>
      </c>
      <c r="AM896" s="12">
        <v>17779</v>
      </c>
      <c r="AN896" s="12">
        <f t="shared" si="197"/>
        <v>17779</v>
      </c>
      <c r="AO896" s="12">
        <v>3</v>
      </c>
      <c r="AP896" s="12" t="s">
        <v>59</v>
      </c>
      <c r="AQ896" s="12">
        <v>0</v>
      </c>
      <c r="AR896" s="12">
        <v>14</v>
      </c>
      <c r="AS896" s="12">
        <v>3</v>
      </c>
      <c r="AT896" s="12">
        <v>1</v>
      </c>
      <c r="AU896" s="12">
        <v>0</v>
      </c>
      <c r="AV896" s="12">
        <v>36</v>
      </c>
      <c r="AW896" s="12">
        <f t="shared" si="198"/>
        <v>35</v>
      </c>
      <c r="AX896" s="12">
        <v>2</v>
      </c>
      <c r="AY896" s="12">
        <v>3</v>
      </c>
      <c r="AZ896" s="12">
        <v>10</v>
      </c>
      <c r="BA896" s="12">
        <f t="shared" si="199"/>
        <v>10</v>
      </c>
      <c r="BB896" s="12">
        <v>9</v>
      </c>
      <c r="BC896" s="12">
        <v>0</v>
      </c>
      <c r="BD896" s="12">
        <f t="shared" si="208"/>
        <v>0</v>
      </c>
      <c r="BE896" s="12">
        <v>9</v>
      </c>
      <c r="BF896" s="12">
        <f t="shared" si="200"/>
        <v>9</v>
      </c>
      <c r="BG896" s="12">
        <f t="shared" si="209"/>
        <v>36</v>
      </c>
      <c r="BH896" s="67">
        <v>0</v>
      </c>
      <c r="BI896" s="67">
        <v>1</v>
      </c>
      <c r="BJ896" s="67">
        <v>0</v>
      </c>
      <c r="BK896" s="67">
        <v>0</v>
      </c>
      <c r="BL896" s="67">
        <v>0</v>
      </c>
      <c r="BM896" s="67">
        <v>0</v>
      </c>
      <c r="BN896" s="67">
        <v>1</v>
      </c>
      <c r="BO896" s="67">
        <v>0</v>
      </c>
      <c r="BP896" s="67">
        <v>0</v>
      </c>
      <c r="BQ896" s="67">
        <v>9</v>
      </c>
      <c r="BR896" s="67">
        <v>0</v>
      </c>
      <c r="BS896" s="67">
        <v>0</v>
      </c>
      <c r="BT896" s="67">
        <v>35</v>
      </c>
      <c r="BU896" s="70">
        <v>0</v>
      </c>
      <c r="BV896" s="29">
        <f t="shared" si="201"/>
        <v>2.3951087970826617</v>
      </c>
      <c r="BW896">
        <f t="shared" si="202"/>
        <v>1.3667838287404401</v>
      </c>
      <c r="BX896">
        <f t="shared" si="203"/>
        <v>3.1771111430946424</v>
      </c>
      <c r="BY896">
        <f t="shared" si="204"/>
        <v>0.48834154112957734</v>
      </c>
      <c r="BZ896">
        <f t="shared" si="205"/>
        <v>0.76386092994953758</v>
      </c>
      <c r="CA896">
        <f t="shared" si="206"/>
        <v>1.8692383509548371</v>
      </c>
      <c r="CB896">
        <f t="shared" si="207"/>
        <v>0.67891464284095016</v>
      </c>
    </row>
    <row r="897" spans="1:80" x14ac:dyDescent="0.45">
      <c r="A897" s="11">
        <v>31</v>
      </c>
      <c r="B897" s="12">
        <f t="shared" si="195"/>
        <v>31</v>
      </c>
      <c r="C897" s="12" t="s">
        <v>59</v>
      </c>
      <c r="D897" s="12">
        <v>0</v>
      </c>
      <c r="E897" s="12" t="s">
        <v>53</v>
      </c>
      <c r="F897" s="12">
        <v>0</v>
      </c>
      <c r="G897" s="12">
        <v>1</v>
      </c>
      <c r="H897" s="12" t="s">
        <v>61</v>
      </c>
      <c r="I897" s="12">
        <v>1</v>
      </c>
      <c r="J897" s="12">
        <v>0</v>
      </c>
      <c r="K897" s="12">
        <v>11</v>
      </c>
      <c r="L897" s="12">
        <f t="shared" si="196"/>
        <v>11</v>
      </c>
      <c r="M897" s="12">
        <v>2</v>
      </c>
      <c r="N897" s="12" t="s">
        <v>70</v>
      </c>
      <c r="O897" s="12">
        <v>0</v>
      </c>
      <c r="P897" s="12">
        <v>0</v>
      </c>
      <c r="Q897" s="12">
        <v>1</v>
      </c>
      <c r="R897" s="12">
        <v>0</v>
      </c>
      <c r="S897" s="12">
        <v>0</v>
      </c>
      <c r="T897" s="12">
        <v>3</v>
      </c>
      <c r="U897" s="12" t="s">
        <v>62</v>
      </c>
      <c r="V897" s="12">
        <v>0</v>
      </c>
      <c r="W897" s="12">
        <v>80</v>
      </c>
      <c r="X897" s="12">
        <v>3</v>
      </c>
      <c r="Y897" s="12">
        <v>2</v>
      </c>
      <c r="Z897" s="12" t="s">
        <v>85</v>
      </c>
      <c r="AA897" s="12">
        <v>1</v>
      </c>
      <c r="AB897" s="12">
        <v>0</v>
      </c>
      <c r="AC897" s="12">
        <v>0</v>
      </c>
      <c r="AD897" s="12">
        <v>0</v>
      </c>
      <c r="AE897" s="12">
        <v>0</v>
      </c>
      <c r="AF897" s="12">
        <v>0</v>
      </c>
      <c r="AG897" s="12">
        <v>0</v>
      </c>
      <c r="AH897" s="12">
        <v>0</v>
      </c>
      <c r="AI897" s="12">
        <v>1</v>
      </c>
      <c r="AJ897" s="12" t="s">
        <v>64</v>
      </c>
      <c r="AK897" s="12">
        <v>0</v>
      </c>
      <c r="AL897" s="12">
        <v>1</v>
      </c>
      <c r="AM897" s="12">
        <v>6833</v>
      </c>
      <c r="AN897" s="12">
        <f t="shared" si="197"/>
        <v>6833</v>
      </c>
      <c r="AO897" s="12">
        <v>1</v>
      </c>
      <c r="AP897" s="12" t="s">
        <v>52</v>
      </c>
      <c r="AQ897" s="12">
        <v>1</v>
      </c>
      <c r="AR897" s="12">
        <v>12</v>
      </c>
      <c r="AS897" s="12">
        <v>3</v>
      </c>
      <c r="AT897" s="12">
        <v>4</v>
      </c>
      <c r="AU897" s="12">
        <v>0</v>
      </c>
      <c r="AV897" s="12">
        <v>6</v>
      </c>
      <c r="AW897" s="12">
        <f t="shared" si="198"/>
        <v>6</v>
      </c>
      <c r="AX897" s="12">
        <v>2</v>
      </c>
      <c r="AY897" s="12">
        <v>2</v>
      </c>
      <c r="AZ897" s="12">
        <v>6</v>
      </c>
      <c r="BA897" s="12">
        <f t="shared" si="199"/>
        <v>6</v>
      </c>
      <c r="BB897" s="12">
        <v>5</v>
      </c>
      <c r="BC897" s="12">
        <v>0</v>
      </c>
      <c r="BD897" s="12">
        <f t="shared" si="208"/>
        <v>0</v>
      </c>
      <c r="BE897" s="12">
        <v>1</v>
      </c>
      <c r="BF897" s="12">
        <f t="shared" si="200"/>
        <v>1</v>
      </c>
      <c r="BG897" s="12">
        <f t="shared" si="209"/>
        <v>2</v>
      </c>
      <c r="BH897" s="67">
        <v>0</v>
      </c>
      <c r="BI897" s="67">
        <v>1</v>
      </c>
      <c r="BJ897" s="67">
        <v>0</v>
      </c>
      <c r="BK897" s="67">
        <v>0</v>
      </c>
      <c r="BL897" s="67">
        <v>0</v>
      </c>
      <c r="BM897" s="67">
        <v>0</v>
      </c>
      <c r="BN897" s="67">
        <v>0</v>
      </c>
      <c r="BO897" s="67">
        <v>1</v>
      </c>
      <c r="BP897" s="67">
        <v>0</v>
      </c>
      <c r="BQ897" s="67">
        <v>1</v>
      </c>
      <c r="BR897" s="67">
        <v>0</v>
      </c>
      <c r="BS897" s="67">
        <v>0</v>
      </c>
      <c r="BT897" s="67">
        <v>6</v>
      </c>
      <c r="BU897" s="70">
        <v>0</v>
      </c>
      <c r="BV897" s="29">
        <f t="shared" si="201"/>
        <v>7.0108695276891786E-2</v>
      </c>
      <c r="BW897">
        <f t="shared" si="202"/>
        <v>0.87528310193156111</v>
      </c>
      <c r="BX897">
        <f t="shared" si="203"/>
        <v>0.67854260110508058</v>
      </c>
      <c r="BY897">
        <f t="shared" si="204"/>
        <v>0.16455710867531462</v>
      </c>
      <c r="BZ897">
        <f t="shared" si="205"/>
        <v>0.22295710105195232</v>
      </c>
      <c r="CA897">
        <f t="shared" si="206"/>
        <v>0.6484474368621912</v>
      </c>
      <c r="CB897">
        <f t="shared" si="207"/>
        <v>0.67891464284095016</v>
      </c>
    </row>
    <row r="898" spans="1:80" x14ac:dyDescent="0.45">
      <c r="A898" s="11">
        <v>31</v>
      </c>
      <c r="B898" s="12">
        <f t="shared" ref="B898:B961" si="210">IF(A898&gt;$CD$29,$CD$29,IF(A898&lt;$CD$30,$CD$30,A898))</f>
        <v>31</v>
      </c>
      <c r="C898" s="12" t="s">
        <v>59</v>
      </c>
      <c r="D898" s="12">
        <v>0</v>
      </c>
      <c r="E898" s="12" t="s">
        <v>53</v>
      </c>
      <c r="F898" s="12">
        <v>0</v>
      </c>
      <c r="G898" s="12">
        <v>1</v>
      </c>
      <c r="H898" s="12" t="s">
        <v>61</v>
      </c>
      <c r="I898" s="12">
        <v>1</v>
      </c>
      <c r="J898" s="12">
        <v>0</v>
      </c>
      <c r="K898" s="12">
        <v>24</v>
      </c>
      <c r="L898" s="12">
        <f t="shared" ref="L898:L961" si="211">IF(K898&gt;$CD$25,$CD$25,IF(K898&lt;$CD$26,$CD$26,K898))</f>
        <v>24</v>
      </c>
      <c r="M898" s="12">
        <v>3</v>
      </c>
      <c r="N898" s="12" t="s">
        <v>70</v>
      </c>
      <c r="O898" s="12">
        <v>0</v>
      </c>
      <c r="P898" s="12">
        <v>0</v>
      </c>
      <c r="Q898" s="12">
        <v>1</v>
      </c>
      <c r="R898" s="12">
        <v>0</v>
      </c>
      <c r="S898" s="12">
        <v>0</v>
      </c>
      <c r="T898" s="12">
        <v>3</v>
      </c>
      <c r="U898" s="12" t="s">
        <v>19</v>
      </c>
      <c r="V898" s="12">
        <v>1</v>
      </c>
      <c r="W898" s="12">
        <v>96</v>
      </c>
      <c r="X898" s="12">
        <v>2</v>
      </c>
      <c r="Y898" s="12">
        <v>2</v>
      </c>
      <c r="Z898" s="12" t="s">
        <v>85</v>
      </c>
      <c r="AA898" s="12">
        <v>1</v>
      </c>
      <c r="AB898" s="12">
        <v>0</v>
      </c>
      <c r="AC898" s="12">
        <v>0</v>
      </c>
      <c r="AD898" s="12">
        <v>0</v>
      </c>
      <c r="AE898" s="12">
        <v>0</v>
      </c>
      <c r="AF898" s="12">
        <v>0</v>
      </c>
      <c r="AG898" s="12">
        <v>0</v>
      </c>
      <c r="AH898" s="12">
        <v>0</v>
      </c>
      <c r="AI898" s="12">
        <v>1</v>
      </c>
      <c r="AJ898" s="12" t="s">
        <v>57</v>
      </c>
      <c r="AK898" s="12">
        <v>1</v>
      </c>
      <c r="AL898" s="12">
        <v>0</v>
      </c>
      <c r="AM898" s="12">
        <v>6812</v>
      </c>
      <c r="AN898" s="12">
        <f t="shared" ref="AN898:AN961" si="212">IF(AM898&gt;$CD$8,$CD$8,IF(AM898&lt;$CD$9,$CD$9,AM898))</f>
        <v>6812</v>
      </c>
      <c r="AO898" s="12">
        <v>1</v>
      </c>
      <c r="AP898" s="12" t="s">
        <v>59</v>
      </c>
      <c r="AQ898" s="12">
        <v>0</v>
      </c>
      <c r="AR898" s="12">
        <v>19</v>
      </c>
      <c r="AS898" s="12">
        <v>3</v>
      </c>
      <c r="AT898" s="12">
        <v>2</v>
      </c>
      <c r="AU898" s="12">
        <v>0</v>
      </c>
      <c r="AV898" s="12">
        <v>10</v>
      </c>
      <c r="AW898" s="12">
        <f t="shared" ref="AW898:AW961" si="213">IF(AV898&gt;$CD$17,$CD$17,IF(AV898&lt;$CD$18,$CD$18,AV898))</f>
        <v>10</v>
      </c>
      <c r="AX898" s="12">
        <v>2</v>
      </c>
      <c r="AY898" s="12">
        <v>3</v>
      </c>
      <c r="AZ898" s="12">
        <v>10</v>
      </c>
      <c r="BA898" s="12">
        <f t="shared" ref="BA898:BA961" si="214">IF(AZ898&gt; $CD$21,$CD$21,IF(AZ898&lt;$CD$22,$CD$22,AZ898))</f>
        <v>10</v>
      </c>
      <c r="BB898" s="12">
        <v>9</v>
      </c>
      <c r="BC898" s="12">
        <v>1</v>
      </c>
      <c r="BD898" s="12">
        <f t="shared" si="208"/>
        <v>1</v>
      </c>
      <c r="BE898" s="12">
        <v>8</v>
      </c>
      <c r="BF898" s="12">
        <f t="shared" ref="BF898:BF961" si="215">IF(BE898&gt;$CD$12,$CD$12,IF(BE898&lt;$CD$13,$CD$13,BE898))</f>
        <v>8</v>
      </c>
      <c r="BG898" s="12">
        <f t="shared" si="209"/>
        <v>16</v>
      </c>
      <c r="BH898" s="67">
        <v>1</v>
      </c>
      <c r="BI898" s="67">
        <v>0</v>
      </c>
      <c r="BJ898" s="67">
        <v>0</v>
      </c>
      <c r="BK898" s="67">
        <v>0</v>
      </c>
      <c r="BL898" s="67">
        <v>1</v>
      </c>
      <c r="BM898" s="67">
        <v>0</v>
      </c>
      <c r="BN898" s="67">
        <v>0</v>
      </c>
      <c r="BO898" s="67">
        <v>0</v>
      </c>
      <c r="BP898" s="67">
        <v>0</v>
      </c>
      <c r="BQ898" s="67">
        <v>8</v>
      </c>
      <c r="BR898" s="67">
        <v>0</v>
      </c>
      <c r="BS898" s="67">
        <v>0</v>
      </c>
      <c r="BT898" s="67">
        <v>10</v>
      </c>
      <c r="BU898" s="70">
        <v>0</v>
      </c>
      <c r="BV898" s="29">
        <f t="shared" ref="BV898:BV961" si="216">ABS((AM898-AVERAGE(AM:AM))/_xlfn.STDEV.S(AM:AM))</f>
        <v>6.5648161553347004E-2</v>
      </c>
      <c r="BW898">
        <f t="shared" ref="BW898:BW961" si="217">ABS((BE898-AVERAGE(BE:BE))/_xlfn.STDEV.S(BE:BE))</f>
        <v>1.08652546240644</v>
      </c>
      <c r="BX898">
        <f t="shared" ref="BX898:BX961" si="218">ABS((AV898-AVERAGE(AV:AV))/_xlfn.STDEV.S(AV:AV))</f>
        <v>0.1644554352117841</v>
      </c>
      <c r="BY898">
        <f t="shared" ref="BY898:BY961" si="219">ABS((AZ898-AVERAGE(AZ:AZ))/_xlfn.STDEV.S(AZ:AZ))</f>
        <v>0.48834154112957734</v>
      </c>
      <c r="BZ898">
        <f t="shared" ref="BZ898:BZ961" si="220">ABS((K898-AVERAGE(K:K))/_xlfn.STDEV.S(K:K))</f>
        <v>1.8265364014293735</v>
      </c>
      <c r="CA898">
        <f t="shared" ref="CA898:CA961" si="221">ABS((A898-AVERAGE(A:A))/_xlfn.STDEV.S(A:A))</f>
        <v>0.6484474368621912</v>
      </c>
      <c r="CB898">
        <f t="shared" ref="CB898:CB961" si="222">ABS((BC898-AVERAGE(BC:BC))/_xlfn.STDEV.S(BC:BC))</f>
        <v>0.36858985273641137</v>
      </c>
    </row>
    <row r="899" spans="1:80" x14ac:dyDescent="0.45">
      <c r="A899" s="11">
        <v>59</v>
      </c>
      <c r="B899" s="12">
        <f t="shared" si="210"/>
        <v>58.309999999999945</v>
      </c>
      <c r="C899" s="12" t="s">
        <v>59</v>
      </c>
      <c r="D899" s="12">
        <v>0</v>
      </c>
      <c r="E899" s="12" t="s">
        <v>53</v>
      </c>
      <c r="F899" s="12">
        <v>0</v>
      </c>
      <c r="G899" s="12">
        <v>1</v>
      </c>
      <c r="H899" s="12" t="s">
        <v>54</v>
      </c>
      <c r="I899" s="12">
        <v>0</v>
      </c>
      <c r="J899" s="12">
        <v>1</v>
      </c>
      <c r="K899" s="12">
        <v>3</v>
      </c>
      <c r="L899" s="12">
        <f t="shared" si="211"/>
        <v>3</v>
      </c>
      <c r="M899" s="12">
        <v>3</v>
      </c>
      <c r="N899" s="12" t="s">
        <v>55</v>
      </c>
      <c r="O899" s="12">
        <v>1</v>
      </c>
      <c r="P899" s="12">
        <v>0</v>
      </c>
      <c r="Q899" s="12">
        <v>0</v>
      </c>
      <c r="R899" s="12">
        <v>0</v>
      </c>
      <c r="S899" s="12">
        <v>0</v>
      </c>
      <c r="T899" s="12">
        <v>3</v>
      </c>
      <c r="U899" s="12" t="s">
        <v>19</v>
      </c>
      <c r="V899" s="12">
        <v>1</v>
      </c>
      <c r="W899" s="12">
        <v>48</v>
      </c>
      <c r="X899" s="12">
        <v>2</v>
      </c>
      <c r="Y899" s="12">
        <v>2</v>
      </c>
      <c r="Z899" s="12" t="s">
        <v>56</v>
      </c>
      <c r="AA899" s="12">
        <v>0</v>
      </c>
      <c r="AB899" s="12">
        <v>1</v>
      </c>
      <c r="AC899" s="12">
        <v>0</v>
      </c>
      <c r="AD899" s="12">
        <v>0</v>
      </c>
      <c r="AE899" s="12">
        <v>0</v>
      </c>
      <c r="AF899" s="12">
        <v>0</v>
      </c>
      <c r="AG899" s="12">
        <v>0</v>
      </c>
      <c r="AH899" s="12">
        <v>0</v>
      </c>
      <c r="AI899" s="12">
        <v>4</v>
      </c>
      <c r="AJ899" s="12" t="s">
        <v>57</v>
      </c>
      <c r="AK899" s="12">
        <v>1</v>
      </c>
      <c r="AL899" s="12">
        <v>0</v>
      </c>
      <c r="AM899" s="12">
        <v>5171</v>
      </c>
      <c r="AN899" s="12">
        <f t="shared" si="212"/>
        <v>5171</v>
      </c>
      <c r="AO899" s="12">
        <v>5</v>
      </c>
      <c r="AP899" s="12" t="s">
        <v>59</v>
      </c>
      <c r="AQ899" s="12">
        <v>0</v>
      </c>
      <c r="AR899" s="12">
        <v>17</v>
      </c>
      <c r="AS899" s="12">
        <v>3</v>
      </c>
      <c r="AT899" s="12">
        <v>4</v>
      </c>
      <c r="AU899" s="12">
        <v>0</v>
      </c>
      <c r="AV899" s="12">
        <v>13</v>
      </c>
      <c r="AW899" s="12">
        <f t="shared" si="213"/>
        <v>13</v>
      </c>
      <c r="AX899" s="12">
        <v>2</v>
      </c>
      <c r="AY899" s="12">
        <v>3</v>
      </c>
      <c r="AZ899" s="12">
        <v>6</v>
      </c>
      <c r="BA899" s="12">
        <f t="shared" si="214"/>
        <v>6</v>
      </c>
      <c r="BB899" s="12">
        <v>1</v>
      </c>
      <c r="BC899" s="12">
        <v>0</v>
      </c>
      <c r="BD899" s="12">
        <f t="shared" ref="BD899:BD962" si="223">IF(BC899&gt;$CD$33,$CD$33,BC899)</f>
        <v>0</v>
      </c>
      <c r="BE899" s="12">
        <v>5</v>
      </c>
      <c r="BF899" s="12">
        <f t="shared" si="215"/>
        <v>5</v>
      </c>
      <c r="BG899" s="12">
        <f t="shared" ref="BG899:BG962" si="224">BF899*Y899</f>
        <v>10</v>
      </c>
      <c r="BH899" s="67">
        <v>1</v>
      </c>
      <c r="BI899" s="67">
        <v>0</v>
      </c>
      <c r="BJ899" s="67">
        <v>0</v>
      </c>
      <c r="BK899" s="67">
        <v>0</v>
      </c>
      <c r="BL899" s="67">
        <v>1</v>
      </c>
      <c r="BM899" s="67">
        <v>0</v>
      </c>
      <c r="BN899" s="67">
        <v>0</v>
      </c>
      <c r="BO899" s="67">
        <v>0</v>
      </c>
      <c r="BP899" s="67">
        <v>0</v>
      </c>
      <c r="BQ899" s="67">
        <v>0</v>
      </c>
      <c r="BR899" s="67">
        <v>5</v>
      </c>
      <c r="BS899" s="67">
        <v>0</v>
      </c>
      <c r="BT899" s="67">
        <v>0</v>
      </c>
      <c r="BU899" s="70">
        <v>13</v>
      </c>
      <c r="BV899" s="29">
        <f t="shared" si="216"/>
        <v>0.28291068798650937</v>
      </c>
      <c r="BW899">
        <f t="shared" si="217"/>
        <v>0.24575036340443959</v>
      </c>
      <c r="BX899">
        <f t="shared" si="218"/>
        <v>0.22110993920818819</v>
      </c>
      <c r="BY899">
        <f t="shared" si="219"/>
        <v>0.16455710867531462</v>
      </c>
      <c r="BZ899">
        <f t="shared" si="220"/>
        <v>0.76386092994953758</v>
      </c>
      <c r="CA899">
        <f t="shared" si="221"/>
        <v>2.4165613483063648</v>
      </c>
      <c r="CB899">
        <f t="shared" si="222"/>
        <v>0.67891464284095016</v>
      </c>
    </row>
    <row r="900" spans="1:80" x14ac:dyDescent="0.45">
      <c r="A900" s="11">
        <v>43</v>
      </c>
      <c r="B900" s="12">
        <f t="shared" si="210"/>
        <v>43</v>
      </c>
      <c r="C900" s="12" t="s">
        <v>59</v>
      </c>
      <c r="D900" s="12">
        <v>0</v>
      </c>
      <c r="E900" s="12" t="s">
        <v>53</v>
      </c>
      <c r="F900" s="12">
        <v>0</v>
      </c>
      <c r="G900" s="12">
        <v>1</v>
      </c>
      <c r="H900" s="12" t="s">
        <v>61</v>
      </c>
      <c r="I900" s="12">
        <v>1</v>
      </c>
      <c r="J900" s="12">
        <v>0</v>
      </c>
      <c r="K900" s="12">
        <v>3</v>
      </c>
      <c r="L900" s="12">
        <f t="shared" si="211"/>
        <v>3</v>
      </c>
      <c r="M900" s="12">
        <v>3</v>
      </c>
      <c r="N900" s="12" t="s">
        <v>55</v>
      </c>
      <c r="O900" s="12">
        <v>1</v>
      </c>
      <c r="P900" s="12">
        <v>0</v>
      </c>
      <c r="Q900" s="12">
        <v>0</v>
      </c>
      <c r="R900" s="12">
        <v>0</v>
      </c>
      <c r="S900" s="12">
        <v>0</v>
      </c>
      <c r="T900" s="12">
        <v>3</v>
      </c>
      <c r="U900" s="12" t="s">
        <v>62</v>
      </c>
      <c r="V900" s="12">
        <v>0</v>
      </c>
      <c r="W900" s="12">
        <v>96</v>
      </c>
      <c r="X900" s="12">
        <v>1</v>
      </c>
      <c r="Y900" s="12">
        <v>5</v>
      </c>
      <c r="Z900" s="12" t="s">
        <v>89</v>
      </c>
      <c r="AA900" s="12">
        <v>0</v>
      </c>
      <c r="AB900" s="12">
        <v>0</v>
      </c>
      <c r="AC900" s="12">
        <v>0</v>
      </c>
      <c r="AD900" s="12">
        <v>0</v>
      </c>
      <c r="AE900" s="12">
        <v>0</v>
      </c>
      <c r="AF900" s="12">
        <v>0</v>
      </c>
      <c r="AG900" s="12">
        <v>0</v>
      </c>
      <c r="AH900" s="12">
        <v>0</v>
      </c>
      <c r="AI900" s="12">
        <v>4</v>
      </c>
      <c r="AJ900" s="12" t="s">
        <v>64</v>
      </c>
      <c r="AK900" s="12">
        <v>0</v>
      </c>
      <c r="AL900" s="12">
        <v>1</v>
      </c>
      <c r="AM900" s="12">
        <v>19740</v>
      </c>
      <c r="AN900" s="12">
        <f t="shared" si="212"/>
        <v>19626.310000000001</v>
      </c>
      <c r="AO900" s="12">
        <v>3</v>
      </c>
      <c r="AP900" s="12" t="s">
        <v>59</v>
      </c>
      <c r="AQ900" s="12">
        <v>0</v>
      </c>
      <c r="AR900" s="12">
        <v>14</v>
      </c>
      <c r="AS900" s="12">
        <v>3</v>
      </c>
      <c r="AT900" s="12">
        <v>2</v>
      </c>
      <c r="AU900" s="12">
        <v>1</v>
      </c>
      <c r="AV900" s="12">
        <v>25</v>
      </c>
      <c r="AW900" s="12">
        <f t="shared" si="213"/>
        <v>25</v>
      </c>
      <c r="AX900" s="12">
        <v>2</v>
      </c>
      <c r="AY900" s="12">
        <v>3</v>
      </c>
      <c r="AZ900" s="12">
        <v>8</v>
      </c>
      <c r="BA900" s="12">
        <f t="shared" si="214"/>
        <v>8</v>
      </c>
      <c r="BB900" s="12">
        <v>7</v>
      </c>
      <c r="BC900" s="12">
        <v>0</v>
      </c>
      <c r="BD900" s="12">
        <f t="shared" si="223"/>
        <v>0</v>
      </c>
      <c r="BE900" s="12">
        <v>7</v>
      </c>
      <c r="BF900" s="12">
        <f t="shared" si="215"/>
        <v>7</v>
      </c>
      <c r="BG900" s="12">
        <f t="shared" si="224"/>
        <v>35</v>
      </c>
      <c r="BH900" s="67">
        <v>0</v>
      </c>
      <c r="BI900" s="67">
        <v>1</v>
      </c>
      <c r="BJ900" s="67">
        <v>0</v>
      </c>
      <c r="BK900" s="67">
        <v>0</v>
      </c>
      <c r="BL900" s="67">
        <v>0</v>
      </c>
      <c r="BM900" s="67">
        <v>0</v>
      </c>
      <c r="BN900" s="67">
        <v>1</v>
      </c>
      <c r="BO900" s="67">
        <v>0</v>
      </c>
      <c r="BP900" s="67">
        <v>0</v>
      </c>
      <c r="BQ900" s="67">
        <v>7</v>
      </c>
      <c r="BR900" s="67">
        <v>0</v>
      </c>
      <c r="BS900" s="67">
        <v>0</v>
      </c>
      <c r="BT900" s="67">
        <v>25</v>
      </c>
      <c r="BU900" s="70">
        <v>0</v>
      </c>
      <c r="BV900" s="29">
        <f t="shared" si="216"/>
        <v>2.8116376843146287</v>
      </c>
      <c r="BW900">
        <f t="shared" si="217"/>
        <v>0.80626709607243985</v>
      </c>
      <c r="BX900">
        <f t="shared" si="218"/>
        <v>1.7633714368880775</v>
      </c>
      <c r="BY900">
        <f t="shared" si="219"/>
        <v>0.16189221622713135</v>
      </c>
      <c r="BZ900">
        <f t="shared" si="220"/>
        <v>0.76386092994953758</v>
      </c>
      <c r="CA900">
        <f t="shared" si="221"/>
        <v>0.66512775678147573</v>
      </c>
      <c r="CB900">
        <f t="shared" si="222"/>
        <v>0.67891464284095016</v>
      </c>
    </row>
    <row r="901" spans="1:80" x14ac:dyDescent="0.45">
      <c r="A901" s="11">
        <v>49</v>
      </c>
      <c r="B901" s="12">
        <f t="shared" si="210"/>
        <v>49</v>
      </c>
      <c r="C901" s="12" t="s">
        <v>59</v>
      </c>
      <c r="D901" s="12">
        <v>0</v>
      </c>
      <c r="E901" s="12" t="s">
        <v>53</v>
      </c>
      <c r="F901" s="12">
        <v>0</v>
      </c>
      <c r="G901" s="12">
        <v>1</v>
      </c>
      <c r="H901" s="12" t="s">
        <v>61</v>
      </c>
      <c r="I901" s="12">
        <v>1</v>
      </c>
      <c r="J901" s="12">
        <v>0</v>
      </c>
      <c r="K901" s="12">
        <v>4</v>
      </c>
      <c r="L901" s="12">
        <f t="shared" si="211"/>
        <v>4</v>
      </c>
      <c r="M901" s="12">
        <v>2</v>
      </c>
      <c r="N901" s="12" t="s">
        <v>70</v>
      </c>
      <c r="O901" s="12">
        <v>0</v>
      </c>
      <c r="P901" s="12">
        <v>0</v>
      </c>
      <c r="Q901" s="12">
        <v>1</v>
      </c>
      <c r="R901" s="12">
        <v>0</v>
      </c>
      <c r="S901" s="12">
        <v>0</v>
      </c>
      <c r="T901" s="12">
        <v>1</v>
      </c>
      <c r="U901" s="12" t="s">
        <v>62</v>
      </c>
      <c r="V901" s="12">
        <v>0</v>
      </c>
      <c r="W901" s="12">
        <v>85</v>
      </c>
      <c r="X901" s="12">
        <v>2</v>
      </c>
      <c r="Y901" s="12">
        <v>5</v>
      </c>
      <c r="Z901" s="12" t="s">
        <v>87</v>
      </c>
      <c r="AA901" s="12">
        <v>0</v>
      </c>
      <c r="AB901" s="12">
        <v>0</v>
      </c>
      <c r="AC901" s="12">
        <v>0</v>
      </c>
      <c r="AD901" s="12">
        <v>1</v>
      </c>
      <c r="AE901" s="12">
        <v>0</v>
      </c>
      <c r="AF901" s="12">
        <v>0</v>
      </c>
      <c r="AG901" s="12">
        <v>0</v>
      </c>
      <c r="AH901" s="12">
        <v>0</v>
      </c>
      <c r="AI901" s="12">
        <v>3</v>
      </c>
      <c r="AJ901" s="12" t="s">
        <v>64</v>
      </c>
      <c r="AK901" s="12">
        <v>0</v>
      </c>
      <c r="AL901" s="12">
        <v>1</v>
      </c>
      <c r="AM901" s="12">
        <v>18711</v>
      </c>
      <c r="AN901" s="12">
        <f t="shared" si="212"/>
        <v>18711</v>
      </c>
      <c r="AO901" s="12">
        <v>2</v>
      </c>
      <c r="AP901" s="12" t="s">
        <v>59</v>
      </c>
      <c r="AQ901" s="12">
        <v>0</v>
      </c>
      <c r="AR901" s="12">
        <v>13</v>
      </c>
      <c r="AS901" s="12">
        <v>3</v>
      </c>
      <c r="AT901" s="12">
        <v>3</v>
      </c>
      <c r="AU901" s="12">
        <v>1</v>
      </c>
      <c r="AV901" s="12">
        <v>23</v>
      </c>
      <c r="AW901" s="12">
        <f t="shared" si="213"/>
        <v>23</v>
      </c>
      <c r="AX901" s="12">
        <v>2</v>
      </c>
      <c r="AY901" s="12">
        <v>4</v>
      </c>
      <c r="AZ901" s="12">
        <v>1</v>
      </c>
      <c r="BA901" s="12">
        <f t="shared" si="214"/>
        <v>1</v>
      </c>
      <c r="BB901" s="12">
        <v>0</v>
      </c>
      <c r="BC901" s="12">
        <v>0</v>
      </c>
      <c r="BD901" s="12">
        <f t="shared" si="223"/>
        <v>0</v>
      </c>
      <c r="BE901" s="12">
        <v>0</v>
      </c>
      <c r="BF901" s="12">
        <f t="shared" si="215"/>
        <v>0</v>
      </c>
      <c r="BG901" s="12">
        <f t="shared" si="224"/>
        <v>0</v>
      </c>
      <c r="BH901" s="67">
        <v>0</v>
      </c>
      <c r="BI901" s="67">
        <v>1</v>
      </c>
      <c r="BJ901" s="67">
        <v>0</v>
      </c>
      <c r="BK901" s="67">
        <v>0</v>
      </c>
      <c r="BL901" s="67">
        <v>0</v>
      </c>
      <c r="BM901" s="67">
        <v>0</v>
      </c>
      <c r="BN901" s="67">
        <v>1</v>
      </c>
      <c r="BO901" s="67">
        <v>0</v>
      </c>
      <c r="BP901" s="67">
        <v>0</v>
      </c>
      <c r="BQ901" s="67">
        <v>0</v>
      </c>
      <c r="BR901" s="67">
        <v>0</v>
      </c>
      <c r="BS901" s="67">
        <v>0</v>
      </c>
      <c r="BT901" s="67">
        <v>23</v>
      </c>
      <c r="BU901" s="70">
        <v>0</v>
      </c>
      <c r="BV901" s="29">
        <f t="shared" si="216"/>
        <v>2.5930715318609345</v>
      </c>
      <c r="BW901">
        <f t="shared" si="217"/>
        <v>1.1555414682655611</v>
      </c>
      <c r="BX901">
        <f t="shared" si="218"/>
        <v>1.5063278539414293</v>
      </c>
      <c r="BY901">
        <f t="shared" si="219"/>
        <v>0.9806804209314296</v>
      </c>
      <c r="BZ901">
        <f t="shared" si="220"/>
        <v>0.64050867607435136</v>
      </c>
      <c r="CA901">
        <f t="shared" si="221"/>
        <v>1.3219153536033093</v>
      </c>
      <c r="CB901">
        <f t="shared" si="222"/>
        <v>0.67891464284095016</v>
      </c>
    </row>
    <row r="902" spans="1:80" x14ac:dyDescent="0.45">
      <c r="A902" s="11">
        <v>36</v>
      </c>
      <c r="B902" s="12">
        <f t="shared" si="210"/>
        <v>36</v>
      </c>
      <c r="C902" s="12" t="s">
        <v>59</v>
      </c>
      <c r="D902" s="12">
        <v>0</v>
      </c>
      <c r="E902" s="12" t="s">
        <v>60</v>
      </c>
      <c r="F902" s="12">
        <v>1</v>
      </c>
      <c r="G902" s="12">
        <v>0</v>
      </c>
      <c r="H902" s="12" t="s">
        <v>61</v>
      </c>
      <c r="I902" s="12">
        <v>1</v>
      </c>
      <c r="J902" s="12">
        <v>0</v>
      </c>
      <c r="K902" s="12">
        <v>3</v>
      </c>
      <c r="L902" s="12">
        <f t="shared" si="211"/>
        <v>3</v>
      </c>
      <c r="M902" s="12">
        <v>3</v>
      </c>
      <c r="N902" s="12" t="s">
        <v>91</v>
      </c>
      <c r="O902" s="12">
        <v>0</v>
      </c>
      <c r="P902" s="12">
        <v>0</v>
      </c>
      <c r="Q902" s="12">
        <v>0</v>
      </c>
      <c r="R902" s="12">
        <v>0</v>
      </c>
      <c r="S902" s="12">
        <v>1</v>
      </c>
      <c r="T902" s="12">
        <v>3</v>
      </c>
      <c r="U902" s="12" t="s">
        <v>62</v>
      </c>
      <c r="V902" s="12">
        <v>0</v>
      </c>
      <c r="W902" s="12">
        <v>46</v>
      </c>
      <c r="X902" s="12">
        <v>3</v>
      </c>
      <c r="Y902" s="12">
        <v>1</v>
      </c>
      <c r="Z902" s="12" t="s">
        <v>63</v>
      </c>
      <c r="AA902" s="12">
        <v>0</v>
      </c>
      <c r="AB902" s="12">
        <v>0</v>
      </c>
      <c r="AC902" s="12">
        <v>0</v>
      </c>
      <c r="AD902" s="12">
        <v>0</v>
      </c>
      <c r="AE902" s="12">
        <v>0</v>
      </c>
      <c r="AF902" s="12">
        <v>0</v>
      </c>
      <c r="AG902" s="12">
        <v>0</v>
      </c>
      <c r="AH902" s="12">
        <v>1</v>
      </c>
      <c r="AI902" s="12">
        <v>2</v>
      </c>
      <c r="AJ902" s="12" t="s">
        <v>64</v>
      </c>
      <c r="AK902" s="12">
        <v>0</v>
      </c>
      <c r="AL902" s="12">
        <v>1</v>
      </c>
      <c r="AM902" s="12">
        <v>3692</v>
      </c>
      <c r="AN902" s="12">
        <f t="shared" si="212"/>
        <v>3692</v>
      </c>
      <c r="AO902" s="12">
        <v>1</v>
      </c>
      <c r="AP902" s="12" t="s">
        <v>59</v>
      </c>
      <c r="AQ902" s="12">
        <v>0</v>
      </c>
      <c r="AR902" s="12">
        <v>12</v>
      </c>
      <c r="AS902" s="12">
        <v>3</v>
      </c>
      <c r="AT902" s="12">
        <v>3</v>
      </c>
      <c r="AU902" s="12">
        <v>0</v>
      </c>
      <c r="AV902" s="12">
        <v>12</v>
      </c>
      <c r="AW902" s="12">
        <f t="shared" si="213"/>
        <v>12</v>
      </c>
      <c r="AX902" s="12">
        <v>2</v>
      </c>
      <c r="AY902" s="12">
        <v>2</v>
      </c>
      <c r="AZ902" s="12">
        <v>11</v>
      </c>
      <c r="BA902" s="12">
        <f t="shared" si="214"/>
        <v>11</v>
      </c>
      <c r="BB902" s="12">
        <v>10</v>
      </c>
      <c r="BC902" s="12">
        <v>0</v>
      </c>
      <c r="BD902" s="12">
        <f t="shared" si="223"/>
        <v>0</v>
      </c>
      <c r="BE902" s="12">
        <v>7</v>
      </c>
      <c r="BF902" s="12">
        <f t="shared" si="215"/>
        <v>7</v>
      </c>
      <c r="BG902" s="12">
        <f t="shared" si="224"/>
        <v>7</v>
      </c>
      <c r="BH902" s="67">
        <v>0</v>
      </c>
      <c r="BI902" s="67">
        <v>0</v>
      </c>
      <c r="BJ902" s="67">
        <v>0</v>
      </c>
      <c r="BK902" s="67">
        <v>1</v>
      </c>
      <c r="BL902" s="67">
        <v>0</v>
      </c>
      <c r="BM902" s="67">
        <v>0</v>
      </c>
      <c r="BN902" s="67">
        <v>1</v>
      </c>
      <c r="BO902" s="67">
        <v>0</v>
      </c>
      <c r="BP902" s="67">
        <v>0</v>
      </c>
      <c r="BQ902" s="67">
        <v>7</v>
      </c>
      <c r="BR902" s="67">
        <v>0</v>
      </c>
      <c r="BS902" s="67">
        <v>0</v>
      </c>
      <c r="BT902" s="67">
        <v>12</v>
      </c>
      <c r="BU902" s="70">
        <v>0</v>
      </c>
      <c r="BV902" s="29">
        <f t="shared" si="216"/>
        <v>0.59705970594473456</v>
      </c>
      <c r="BW902">
        <f t="shared" si="217"/>
        <v>0.80626709607243985</v>
      </c>
      <c r="BX902">
        <f t="shared" si="218"/>
        <v>9.2588147734864096E-2</v>
      </c>
      <c r="BY902">
        <f t="shared" si="219"/>
        <v>0.65156620358080031</v>
      </c>
      <c r="BZ902">
        <f t="shared" si="220"/>
        <v>0.76386092994953758</v>
      </c>
      <c r="CA902">
        <f t="shared" si="221"/>
        <v>0.10112443951066327</v>
      </c>
      <c r="CB902">
        <f t="shared" si="222"/>
        <v>0.67891464284095016</v>
      </c>
    </row>
    <row r="903" spans="1:80" x14ac:dyDescent="0.45">
      <c r="A903" s="11">
        <v>48</v>
      </c>
      <c r="B903" s="12">
        <f t="shared" si="210"/>
        <v>48</v>
      </c>
      <c r="C903" s="12" t="s">
        <v>59</v>
      </c>
      <c r="D903" s="12">
        <v>0</v>
      </c>
      <c r="E903" s="12" t="s">
        <v>53</v>
      </c>
      <c r="F903" s="12">
        <v>0</v>
      </c>
      <c r="G903" s="12">
        <v>1</v>
      </c>
      <c r="H903" s="12" t="s">
        <v>61</v>
      </c>
      <c r="I903" s="12">
        <v>1</v>
      </c>
      <c r="J903" s="12">
        <v>0</v>
      </c>
      <c r="K903" s="12">
        <v>2</v>
      </c>
      <c r="L903" s="12">
        <f t="shared" si="211"/>
        <v>2</v>
      </c>
      <c r="M903" s="12">
        <v>2</v>
      </c>
      <c r="N903" s="12" t="s">
        <v>91</v>
      </c>
      <c r="O903" s="12">
        <v>0</v>
      </c>
      <c r="P903" s="12">
        <v>0</v>
      </c>
      <c r="Q903" s="12">
        <v>0</v>
      </c>
      <c r="R903" s="12">
        <v>0</v>
      </c>
      <c r="S903" s="12">
        <v>1</v>
      </c>
      <c r="T903" s="12">
        <v>4</v>
      </c>
      <c r="U903" s="12" t="s">
        <v>62</v>
      </c>
      <c r="V903" s="12">
        <v>0</v>
      </c>
      <c r="W903" s="12">
        <v>76</v>
      </c>
      <c r="X903" s="12">
        <v>4</v>
      </c>
      <c r="Y903" s="12">
        <v>1</v>
      </c>
      <c r="Z903" s="12" t="s">
        <v>67</v>
      </c>
      <c r="AA903" s="12">
        <v>0</v>
      </c>
      <c r="AB903" s="12">
        <v>0</v>
      </c>
      <c r="AC903" s="12">
        <v>1</v>
      </c>
      <c r="AD903" s="12">
        <v>0</v>
      </c>
      <c r="AE903" s="12">
        <v>0</v>
      </c>
      <c r="AF903" s="12">
        <v>0</v>
      </c>
      <c r="AG903" s="12">
        <v>0</v>
      </c>
      <c r="AH903" s="12">
        <v>0</v>
      </c>
      <c r="AI903" s="12">
        <v>2</v>
      </c>
      <c r="AJ903" s="12" t="s">
        <v>57</v>
      </c>
      <c r="AK903" s="12">
        <v>1</v>
      </c>
      <c r="AL903" s="12">
        <v>0</v>
      </c>
      <c r="AM903" s="12">
        <v>2559</v>
      </c>
      <c r="AN903" s="12">
        <f t="shared" si="212"/>
        <v>2559</v>
      </c>
      <c r="AO903" s="12">
        <v>5</v>
      </c>
      <c r="AP903" s="12" t="s">
        <v>59</v>
      </c>
      <c r="AQ903" s="12">
        <v>0</v>
      </c>
      <c r="AR903" s="12">
        <v>11</v>
      </c>
      <c r="AS903" s="12">
        <v>3</v>
      </c>
      <c r="AT903" s="12">
        <v>3</v>
      </c>
      <c r="AU903" s="12">
        <v>0</v>
      </c>
      <c r="AV903" s="12">
        <v>7</v>
      </c>
      <c r="AW903" s="12">
        <f t="shared" si="213"/>
        <v>7</v>
      </c>
      <c r="AX903" s="12">
        <v>4</v>
      </c>
      <c r="AY903" s="12">
        <v>2</v>
      </c>
      <c r="AZ903" s="12">
        <v>1</v>
      </c>
      <c r="BA903" s="12">
        <f t="shared" si="214"/>
        <v>1</v>
      </c>
      <c r="BB903" s="12">
        <v>0</v>
      </c>
      <c r="BC903" s="12">
        <v>0</v>
      </c>
      <c r="BD903" s="12">
        <f t="shared" si="223"/>
        <v>0</v>
      </c>
      <c r="BE903" s="12">
        <v>0</v>
      </c>
      <c r="BF903" s="12">
        <f t="shared" si="215"/>
        <v>0</v>
      </c>
      <c r="BG903" s="12">
        <f t="shared" si="224"/>
        <v>0</v>
      </c>
      <c r="BH903" s="67">
        <v>1</v>
      </c>
      <c r="BI903" s="67">
        <v>0</v>
      </c>
      <c r="BJ903" s="67">
        <v>0</v>
      </c>
      <c r="BK903" s="67">
        <v>0</v>
      </c>
      <c r="BL903" s="67">
        <v>1</v>
      </c>
      <c r="BM903" s="67">
        <v>0</v>
      </c>
      <c r="BN903" s="67">
        <v>0</v>
      </c>
      <c r="BO903" s="67">
        <v>0</v>
      </c>
      <c r="BP903" s="67">
        <v>0</v>
      </c>
      <c r="BQ903" s="67">
        <v>0</v>
      </c>
      <c r="BR903" s="67">
        <v>0</v>
      </c>
      <c r="BS903" s="67">
        <v>0</v>
      </c>
      <c r="BT903" s="67">
        <v>7</v>
      </c>
      <c r="BU903" s="70">
        <v>0</v>
      </c>
      <c r="BV903" s="29">
        <f t="shared" si="216"/>
        <v>0.83771612064836487</v>
      </c>
      <c r="BW903">
        <f t="shared" si="217"/>
        <v>1.1555414682655611</v>
      </c>
      <c r="BX903">
        <f t="shared" si="218"/>
        <v>0.55002080963175637</v>
      </c>
      <c r="BY903">
        <f t="shared" si="219"/>
        <v>0.9806804209314296</v>
      </c>
      <c r="BZ903">
        <f t="shared" si="220"/>
        <v>0.88721318382472392</v>
      </c>
      <c r="CA903">
        <f t="shared" si="221"/>
        <v>1.2124507541330036</v>
      </c>
      <c r="CB903">
        <f t="shared" si="222"/>
        <v>0.67891464284095016</v>
      </c>
    </row>
    <row r="904" spans="1:80" x14ac:dyDescent="0.45">
      <c r="A904" s="11">
        <v>27</v>
      </c>
      <c r="B904" s="12">
        <f t="shared" si="210"/>
        <v>27</v>
      </c>
      <c r="C904" s="12" t="s">
        <v>59</v>
      </c>
      <c r="D904" s="12">
        <v>0</v>
      </c>
      <c r="E904" s="12" t="s">
        <v>53</v>
      </c>
      <c r="F904" s="12">
        <v>0</v>
      </c>
      <c r="G904" s="12">
        <v>1</v>
      </c>
      <c r="H904" s="12" t="s">
        <v>61</v>
      </c>
      <c r="I904" s="12">
        <v>1</v>
      </c>
      <c r="J904" s="12">
        <v>0</v>
      </c>
      <c r="K904" s="12">
        <v>4</v>
      </c>
      <c r="L904" s="12">
        <f t="shared" si="211"/>
        <v>4</v>
      </c>
      <c r="M904" s="12">
        <v>2</v>
      </c>
      <c r="N904" s="12" t="s">
        <v>55</v>
      </c>
      <c r="O904" s="12">
        <v>1</v>
      </c>
      <c r="P904" s="12">
        <v>0</v>
      </c>
      <c r="Q904" s="12">
        <v>0</v>
      </c>
      <c r="R904" s="12">
        <v>0</v>
      </c>
      <c r="S904" s="12">
        <v>0</v>
      </c>
      <c r="T904" s="12">
        <v>1</v>
      </c>
      <c r="U904" s="12" t="s">
        <v>62</v>
      </c>
      <c r="V904" s="12">
        <v>0</v>
      </c>
      <c r="W904" s="12">
        <v>76</v>
      </c>
      <c r="X904" s="12">
        <v>3</v>
      </c>
      <c r="Y904" s="12">
        <v>1</v>
      </c>
      <c r="Z904" s="12" t="s">
        <v>63</v>
      </c>
      <c r="AA904" s="12">
        <v>0</v>
      </c>
      <c r="AB904" s="12">
        <v>0</v>
      </c>
      <c r="AC904" s="12">
        <v>0</v>
      </c>
      <c r="AD904" s="12">
        <v>0</v>
      </c>
      <c r="AE904" s="12">
        <v>0</v>
      </c>
      <c r="AF904" s="12">
        <v>0</v>
      </c>
      <c r="AG904" s="12">
        <v>0</v>
      </c>
      <c r="AH904" s="12">
        <v>1</v>
      </c>
      <c r="AI904" s="12">
        <v>3</v>
      </c>
      <c r="AJ904" s="12" t="s">
        <v>78</v>
      </c>
      <c r="AK904" s="12">
        <v>0</v>
      </c>
      <c r="AL904" s="12">
        <v>0</v>
      </c>
      <c r="AM904" s="12">
        <v>2517</v>
      </c>
      <c r="AN904" s="12">
        <f t="shared" si="212"/>
        <v>2517</v>
      </c>
      <c r="AO904" s="12">
        <v>1</v>
      </c>
      <c r="AP904" s="12" t="s">
        <v>59</v>
      </c>
      <c r="AQ904" s="12">
        <v>0</v>
      </c>
      <c r="AR904" s="12">
        <v>11</v>
      </c>
      <c r="AS904" s="12">
        <v>3</v>
      </c>
      <c r="AT904" s="12">
        <v>2</v>
      </c>
      <c r="AU904" s="12">
        <v>3</v>
      </c>
      <c r="AV904" s="12">
        <v>5</v>
      </c>
      <c r="AW904" s="12">
        <f t="shared" si="213"/>
        <v>5</v>
      </c>
      <c r="AX904" s="12">
        <v>2</v>
      </c>
      <c r="AY904" s="12">
        <v>3</v>
      </c>
      <c r="AZ904" s="12">
        <v>5</v>
      </c>
      <c r="BA904" s="12">
        <f t="shared" si="214"/>
        <v>5</v>
      </c>
      <c r="BB904" s="12">
        <v>3</v>
      </c>
      <c r="BC904" s="12">
        <v>0</v>
      </c>
      <c r="BD904" s="12">
        <f t="shared" si="223"/>
        <v>0</v>
      </c>
      <c r="BE904" s="12">
        <v>3</v>
      </c>
      <c r="BF904" s="12">
        <f t="shared" si="215"/>
        <v>3</v>
      </c>
      <c r="BG904" s="12">
        <f t="shared" si="224"/>
        <v>3</v>
      </c>
      <c r="BH904" s="67">
        <v>1</v>
      </c>
      <c r="BI904" s="67">
        <v>0</v>
      </c>
      <c r="BJ904" s="67">
        <v>0</v>
      </c>
      <c r="BK904" s="67">
        <v>0</v>
      </c>
      <c r="BL904" s="67">
        <v>1</v>
      </c>
      <c r="BM904" s="67">
        <v>0</v>
      </c>
      <c r="BN904" s="67">
        <v>0</v>
      </c>
      <c r="BO904" s="67">
        <v>0</v>
      </c>
      <c r="BP904" s="67">
        <v>0</v>
      </c>
      <c r="BQ904" s="67">
        <v>3</v>
      </c>
      <c r="BR904" s="67">
        <v>0</v>
      </c>
      <c r="BS904" s="67">
        <v>0</v>
      </c>
      <c r="BT904" s="67">
        <v>5</v>
      </c>
      <c r="BU904" s="70">
        <v>0</v>
      </c>
      <c r="BV904" s="29">
        <f t="shared" si="216"/>
        <v>0.84663718809545441</v>
      </c>
      <c r="BW904">
        <f t="shared" si="217"/>
        <v>0.31476636926356072</v>
      </c>
      <c r="BX904">
        <f t="shared" si="218"/>
        <v>0.80706439257840468</v>
      </c>
      <c r="BY904">
        <f t="shared" si="219"/>
        <v>0.32778177112653761</v>
      </c>
      <c r="BZ904">
        <f t="shared" si="220"/>
        <v>0.64050867607435136</v>
      </c>
      <c r="CA904">
        <f t="shared" si="221"/>
        <v>1.0863058347434136</v>
      </c>
      <c r="CB904">
        <f t="shared" si="222"/>
        <v>0.67891464284095016</v>
      </c>
    </row>
    <row r="905" spans="1:80" x14ac:dyDescent="0.45">
      <c r="A905" s="11">
        <v>29</v>
      </c>
      <c r="B905" s="12">
        <f t="shared" si="210"/>
        <v>29</v>
      </c>
      <c r="C905" s="12" t="s">
        <v>59</v>
      </c>
      <c r="D905" s="12">
        <v>0</v>
      </c>
      <c r="E905" s="12" t="s">
        <v>53</v>
      </c>
      <c r="F905" s="12">
        <v>0</v>
      </c>
      <c r="G905" s="12">
        <v>1</v>
      </c>
      <c r="H905" s="12" t="s">
        <v>61</v>
      </c>
      <c r="I905" s="12">
        <v>1</v>
      </c>
      <c r="J905" s="12">
        <v>0</v>
      </c>
      <c r="K905" s="12">
        <v>7</v>
      </c>
      <c r="L905" s="12">
        <f t="shared" si="211"/>
        <v>7</v>
      </c>
      <c r="M905" s="12">
        <v>3</v>
      </c>
      <c r="N905" s="12" t="s">
        <v>55</v>
      </c>
      <c r="O905" s="12">
        <v>1</v>
      </c>
      <c r="P905" s="12">
        <v>0</v>
      </c>
      <c r="Q905" s="12">
        <v>0</v>
      </c>
      <c r="R905" s="12">
        <v>0</v>
      </c>
      <c r="S905" s="12">
        <v>0</v>
      </c>
      <c r="T905" s="12">
        <v>3</v>
      </c>
      <c r="U905" s="12" t="s">
        <v>62</v>
      </c>
      <c r="V905" s="12">
        <v>0</v>
      </c>
      <c r="W905" s="12">
        <v>82</v>
      </c>
      <c r="X905" s="12">
        <v>3</v>
      </c>
      <c r="Y905" s="12">
        <v>2</v>
      </c>
      <c r="Z905" s="12" t="s">
        <v>85</v>
      </c>
      <c r="AA905" s="12">
        <v>1</v>
      </c>
      <c r="AB905" s="12">
        <v>0</v>
      </c>
      <c r="AC905" s="12">
        <v>0</v>
      </c>
      <c r="AD905" s="12">
        <v>0</v>
      </c>
      <c r="AE905" s="12">
        <v>0</v>
      </c>
      <c r="AF905" s="12">
        <v>0</v>
      </c>
      <c r="AG905" s="12">
        <v>0</v>
      </c>
      <c r="AH905" s="12">
        <v>0</v>
      </c>
      <c r="AI905" s="12">
        <v>4</v>
      </c>
      <c r="AJ905" s="12" t="s">
        <v>78</v>
      </c>
      <c r="AK905" s="12">
        <v>0</v>
      </c>
      <c r="AL905" s="12">
        <v>0</v>
      </c>
      <c r="AM905" s="12">
        <v>6623</v>
      </c>
      <c r="AN905" s="12">
        <f t="shared" si="212"/>
        <v>6623</v>
      </c>
      <c r="AO905" s="12">
        <v>1</v>
      </c>
      <c r="AP905" s="12" t="s">
        <v>52</v>
      </c>
      <c r="AQ905" s="12">
        <v>1</v>
      </c>
      <c r="AR905" s="12">
        <v>11</v>
      </c>
      <c r="AS905" s="12">
        <v>3</v>
      </c>
      <c r="AT905" s="12">
        <v>2</v>
      </c>
      <c r="AU905" s="12">
        <v>2</v>
      </c>
      <c r="AV905" s="12">
        <v>6</v>
      </c>
      <c r="AW905" s="12">
        <f t="shared" si="213"/>
        <v>6</v>
      </c>
      <c r="AX905" s="12">
        <v>2</v>
      </c>
      <c r="AY905" s="12">
        <v>3</v>
      </c>
      <c r="AZ905" s="12">
        <v>6</v>
      </c>
      <c r="BA905" s="12">
        <f t="shared" si="214"/>
        <v>6</v>
      </c>
      <c r="BB905" s="12">
        <v>0</v>
      </c>
      <c r="BC905" s="12">
        <v>1</v>
      </c>
      <c r="BD905" s="12">
        <f t="shared" si="223"/>
        <v>1</v>
      </c>
      <c r="BE905" s="12">
        <v>0</v>
      </c>
      <c r="BF905" s="12">
        <f t="shared" si="215"/>
        <v>0</v>
      </c>
      <c r="BG905" s="12">
        <f t="shared" si="224"/>
        <v>0</v>
      </c>
      <c r="BH905" s="67">
        <v>1</v>
      </c>
      <c r="BI905" s="67">
        <v>0</v>
      </c>
      <c r="BJ905" s="67">
        <v>0</v>
      </c>
      <c r="BK905" s="67">
        <v>0</v>
      </c>
      <c r="BL905" s="67">
        <v>0</v>
      </c>
      <c r="BM905" s="67">
        <v>1</v>
      </c>
      <c r="BN905" s="67">
        <v>0</v>
      </c>
      <c r="BO905" s="67">
        <v>0</v>
      </c>
      <c r="BP905" s="67">
        <v>0</v>
      </c>
      <c r="BQ905" s="67">
        <v>0</v>
      </c>
      <c r="BR905" s="67">
        <v>0</v>
      </c>
      <c r="BS905" s="67">
        <v>0</v>
      </c>
      <c r="BT905" s="67">
        <v>6</v>
      </c>
      <c r="BU905" s="70">
        <v>0</v>
      </c>
      <c r="BV905" s="29">
        <f t="shared" si="216"/>
        <v>2.5503358041443984E-2</v>
      </c>
      <c r="BW905">
        <f t="shared" si="217"/>
        <v>1.1555414682655611</v>
      </c>
      <c r="BX905">
        <f t="shared" si="218"/>
        <v>0.67854260110508058</v>
      </c>
      <c r="BY905">
        <f t="shared" si="219"/>
        <v>0.16455710867531462</v>
      </c>
      <c r="BZ905">
        <f t="shared" si="220"/>
        <v>0.27045191444879263</v>
      </c>
      <c r="CA905">
        <f t="shared" si="221"/>
        <v>0.86737663580280233</v>
      </c>
      <c r="CB905">
        <f t="shared" si="222"/>
        <v>0.36858985273641137</v>
      </c>
    </row>
    <row r="906" spans="1:80" x14ac:dyDescent="0.45">
      <c r="A906" s="11">
        <v>48</v>
      </c>
      <c r="B906" s="12">
        <f t="shared" si="210"/>
        <v>48</v>
      </c>
      <c r="C906" s="12" t="s">
        <v>59</v>
      </c>
      <c r="D906" s="12">
        <v>0</v>
      </c>
      <c r="E906" s="12" t="s">
        <v>53</v>
      </c>
      <c r="F906" s="12">
        <v>0</v>
      </c>
      <c r="G906" s="12">
        <v>1</v>
      </c>
      <c r="H906" s="12" t="s">
        <v>61</v>
      </c>
      <c r="I906" s="12">
        <v>1</v>
      </c>
      <c r="J906" s="12">
        <v>0</v>
      </c>
      <c r="K906" s="12">
        <v>1</v>
      </c>
      <c r="L906" s="12">
        <f t="shared" si="211"/>
        <v>1</v>
      </c>
      <c r="M906" s="12">
        <v>3</v>
      </c>
      <c r="N906" s="12" t="s">
        <v>55</v>
      </c>
      <c r="O906" s="12">
        <v>1</v>
      </c>
      <c r="P906" s="12">
        <v>0</v>
      </c>
      <c r="Q906" s="12">
        <v>0</v>
      </c>
      <c r="R906" s="12">
        <v>0</v>
      </c>
      <c r="S906" s="12">
        <v>0</v>
      </c>
      <c r="T906" s="12">
        <v>4</v>
      </c>
      <c r="U906" s="12" t="s">
        <v>62</v>
      </c>
      <c r="V906" s="12">
        <v>0</v>
      </c>
      <c r="W906" s="12">
        <v>76</v>
      </c>
      <c r="X906" s="12">
        <v>2</v>
      </c>
      <c r="Y906" s="12">
        <v>5</v>
      </c>
      <c r="Z906" s="12" t="s">
        <v>89</v>
      </c>
      <c r="AA906" s="12">
        <v>0</v>
      </c>
      <c r="AB906" s="12">
        <v>0</v>
      </c>
      <c r="AC906" s="12">
        <v>0</v>
      </c>
      <c r="AD906" s="12">
        <v>0</v>
      </c>
      <c r="AE906" s="12">
        <v>0</v>
      </c>
      <c r="AF906" s="12">
        <v>0</v>
      </c>
      <c r="AG906" s="12">
        <v>0</v>
      </c>
      <c r="AH906" s="12">
        <v>0</v>
      </c>
      <c r="AI906" s="12">
        <v>4</v>
      </c>
      <c r="AJ906" s="12" t="s">
        <v>57</v>
      </c>
      <c r="AK906" s="12">
        <v>1</v>
      </c>
      <c r="AL906" s="12">
        <v>0</v>
      </c>
      <c r="AM906" s="12">
        <v>18265</v>
      </c>
      <c r="AN906" s="12">
        <f t="shared" si="212"/>
        <v>18265</v>
      </c>
      <c r="AO906" s="12">
        <v>6</v>
      </c>
      <c r="AP906" s="12" t="s">
        <v>59</v>
      </c>
      <c r="AQ906" s="12">
        <v>0</v>
      </c>
      <c r="AR906" s="12">
        <v>12</v>
      </c>
      <c r="AS906" s="12">
        <v>3</v>
      </c>
      <c r="AT906" s="12">
        <v>3</v>
      </c>
      <c r="AU906" s="12">
        <v>0</v>
      </c>
      <c r="AV906" s="12">
        <v>25</v>
      </c>
      <c r="AW906" s="12">
        <f t="shared" si="213"/>
        <v>25</v>
      </c>
      <c r="AX906" s="12">
        <v>3</v>
      </c>
      <c r="AY906" s="12">
        <v>4</v>
      </c>
      <c r="AZ906" s="12">
        <v>1</v>
      </c>
      <c r="BA906" s="12">
        <f t="shared" si="214"/>
        <v>1</v>
      </c>
      <c r="BB906" s="12">
        <v>0</v>
      </c>
      <c r="BC906" s="12">
        <v>0</v>
      </c>
      <c r="BD906" s="12">
        <f t="shared" si="223"/>
        <v>0</v>
      </c>
      <c r="BE906" s="12">
        <v>0</v>
      </c>
      <c r="BF906" s="12">
        <f t="shared" si="215"/>
        <v>0</v>
      </c>
      <c r="BG906" s="12">
        <f t="shared" si="224"/>
        <v>0</v>
      </c>
      <c r="BH906" s="67">
        <v>1</v>
      </c>
      <c r="BI906" s="67">
        <v>0</v>
      </c>
      <c r="BJ906" s="67">
        <v>0</v>
      </c>
      <c r="BK906" s="67">
        <v>0</v>
      </c>
      <c r="BL906" s="67">
        <v>1</v>
      </c>
      <c r="BM906" s="67">
        <v>0</v>
      </c>
      <c r="BN906" s="67">
        <v>0</v>
      </c>
      <c r="BO906" s="67">
        <v>0</v>
      </c>
      <c r="BP906" s="67">
        <v>0</v>
      </c>
      <c r="BQ906" s="67">
        <v>0</v>
      </c>
      <c r="BR906" s="67">
        <v>0</v>
      </c>
      <c r="BS906" s="67">
        <v>0</v>
      </c>
      <c r="BT906" s="67">
        <v>25</v>
      </c>
      <c r="BU906" s="70">
        <v>0</v>
      </c>
      <c r="BV906" s="29">
        <f t="shared" si="216"/>
        <v>2.498338291827555</v>
      </c>
      <c r="BW906">
        <f t="shared" si="217"/>
        <v>1.1555414682655611</v>
      </c>
      <c r="BX906">
        <f t="shared" si="218"/>
        <v>1.7633714368880775</v>
      </c>
      <c r="BY906">
        <f t="shared" si="219"/>
        <v>0.9806804209314296</v>
      </c>
      <c r="BZ906">
        <f t="shared" si="220"/>
        <v>1.01056543769991</v>
      </c>
      <c r="CA906">
        <f t="shared" si="221"/>
        <v>1.2124507541330036</v>
      </c>
      <c r="CB906">
        <f t="shared" si="222"/>
        <v>0.67891464284095016</v>
      </c>
    </row>
    <row r="907" spans="1:80" x14ac:dyDescent="0.45">
      <c r="A907" s="11">
        <v>29</v>
      </c>
      <c r="B907" s="12">
        <f t="shared" si="210"/>
        <v>29</v>
      </c>
      <c r="C907" s="12" t="s">
        <v>59</v>
      </c>
      <c r="D907" s="12">
        <v>0</v>
      </c>
      <c r="E907" s="12" t="s">
        <v>53</v>
      </c>
      <c r="F907" s="12">
        <v>0</v>
      </c>
      <c r="G907" s="12">
        <v>1</v>
      </c>
      <c r="H907" s="12" t="s">
        <v>61</v>
      </c>
      <c r="I907" s="12">
        <v>1</v>
      </c>
      <c r="J907" s="12">
        <v>0</v>
      </c>
      <c r="K907" s="12">
        <v>1</v>
      </c>
      <c r="L907" s="12">
        <f t="shared" si="211"/>
        <v>1</v>
      </c>
      <c r="M907" s="12">
        <v>3</v>
      </c>
      <c r="N907" s="12" t="s">
        <v>55</v>
      </c>
      <c r="O907" s="12">
        <v>1</v>
      </c>
      <c r="P907" s="12">
        <v>0</v>
      </c>
      <c r="Q907" s="12">
        <v>0</v>
      </c>
      <c r="R907" s="12">
        <v>0</v>
      </c>
      <c r="S907" s="12">
        <v>0</v>
      </c>
      <c r="T907" s="12">
        <v>4</v>
      </c>
      <c r="U907" s="12" t="s">
        <v>19</v>
      </c>
      <c r="V907" s="12">
        <v>1</v>
      </c>
      <c r="W907" s="12">
        <v>87</v>
      </c>
      <c r="X907" s="12">
        <v>2</v>
      </c>
      <c r="Y907" s="12">
        <v>4</v>
      </c>
      <c r="Z907" s="12" t="s">
        <v>89</v>
      </c>
      <c r="AA907" s="12">
        <v>0</v>
      </c>
      <c r="AB907" s="12">
        <v>0</v>
      </c>
      <c r="AC907" s="12">
        <v>0</v>
      </c>
      <c r="AD907" s="12">
        <v>0</v>
      </c>
      <c r="AE907" s="12">
        <v>0</v>
      </c>
      <c r="AF907" s="12">
        <v>0</v>
      </c>
      <c r="AG907" s="12">
        <v>0</v>
      </c>
      <c r="AH907" s="12">
        <v>0</v>
      </c>
      <c r="AI907" s="12">
        <v>4</v>
      </c>
      <c r="AJ907" s="12" t="s">
        <v>78</v>
      </c>
      <c r="AK907" s="12">
        <v>0</v>
      </c>
      <c r="AL907" s="12">
        <v>0</v>
      </c>
      <c r="AM907" s="12">
        <v>16124</v>
      </c>
      <c r="AN907" s="12">
        <f t="shared" si="212"/>
        <v>16124</v>
      </c>
      <c r="AO907" s="12">
        <v>3</v>
      </c>
      <c r="AP907" s="12" t="s">
        <v>59</v>
      </c>
      <c r="AQ907" s="12">
        <v>0</v>
      </c>
      <c r="AR907" s="12">
        <v>14</v>
      </c>
      <c r="AS907" s="12">
        <v>3</v>
      </c>
      <c r="AT907" s="12">
        <v>2</v>
      </c>
      <c r="AU907" s="12">
        <v>2</v>
      </c>
      <c r="AV907" s="12">
        <v>9</v>
      </c>
      <c r="AW907" s="12">
        <f t="shared" si="213"/>
        <v>9</v>
      </c>
      <c r="AX907" s="12">
        <v>2</v>
      </c>
      <c r="AY907" s="12">
        <v>2</v>
      </c>
      <c r="AZ907" s="12">
        <v>7</v>
      </c>
      <c r="BA907" s="12">
        <f t="shared" si="214"/>
        <v>7</v>
      </c>
      <c r="BB907" s="12">
        <v>7</v>
      </c>
      <c r="BC907" s="12">
        <v>1</v>
      </c>
      <c r="BD907" s="12">
        <f t="shared" si="223"/>
        <v>1</v>
      </c>
      <c r="BE907" s="12">
        <v>7</v>
      </c>
      <c r="BF907" s="12">
        <f t="shared" si="215"/>
        <v>7</v>
      </c>
      <c r="BG907" s="12">
        <f t="shared" si="224"/>
        <v>28</v>
      </c>
      <c r="BH907" s="67">
        <v>1</v>
      </c>
      <c r="BI907" s="67">
        <v>0</v>
      </c>
      <c r="BJ907" s="67">
        <v>0</v>
      </c>
      <c r="BK907" s="67">
        <v>0</v>
      </c>
      <c r="BL907" s="67">
        <v>1</v>
      </c>
      <c r="BM907" s="67">
        <v>0</v>
      </c>
      <c r="BN907" s="67">
        <v>0</v>
      </c>
      <c r="BO907" s="67">
        <v>0</v>
      </c>
      <c r="BP907" s="67">
        <v>0</v>
      </c>
      <c r="BQ907" s="67">
        <v>7</v>
      </c>
      <c r="BR907" s="67">
        <v>0</v>
      </c>
      <c r="BS907" s="67">
        <v>0</v>
      </c>
      <c r="BT907" s="67">
        <v>9</v>
      </c>
      <c r="BU907" s="70">
        <v>0</v>
      </c>
      <c r="BV907" s="29">
        <f t="shared" si="216"/>
        <v>2.0435762583937751</v>
      </c>
      <c r="BW907">
        <f t="shared" si="217"/>
        <v>0.80626709607243985</v>
      </c>
      <c r="BX907">
        <f t="shared" si="218"/>
        <v>0.29297722668510823</v>
      </c>
      <c r="BY907">
        <f t="shared" si="219"/>
        <v>1.3324462240916321E-3</v>
      </c>
      <c r="BZ907">
        <f t="shared" si="220"/>
        <v>1.01056543769991</v>
      </c>
      <c r="CA907">
        <f t="shared" si="221"/>
        <v>0.86737663580280233</v>
      </c>
      <c r="CB907">
        <f t="shared" si="222"/>
        <v>0.36858985273641137</v>
      </c>
    </row>
    <row r="908" spans="1:80" x14ac:dyDescent="0.45">
      <c r="A908" s="11">
        <v>34</v>
      </c>
      <c r="B908" s="12">
        <f t="shared" si="210"/>
        <v>34</v>
      </c>
      <c r="C908" s="12" t="s">
        <v>59</v>
      </c>
      <c r="D908" s="12">
        <v>0</v>
      </c>
      <c r="E908" s="12" t="s">
        <v>53</v>
      </c>
      <c r="F908" s="12">
        <v>0</v>
      </c>
      <c r="G908" s="12">
        <v>1</v>
      </c>
      <c r="H908" s="12" t="s">
        <v>61</v>
      </c>
      <c r="I908" s="12">
        <v>1</v>
      </c>
      <c r="J908" s="12">
        <v>0</v>
      </c>
      <c r="K908" s="12">
        <v>20</v>
      </c>
      <c r="L908" s="12">
        <f t="shared" si="211"/>
        <v>20</v>
      </c>
      <c r="M908" s="12">
        <v>3</v>
      </c>
      <c r="N908" s="12" t="s">
        <v>91</v>
      </c>
      <c r="O908" s="12">
        <v>0</v>
      </c>
      <c r="P908" s="12">
        <v>0</v>
      </c>
      <c r="Q908" s="12">
        <v>0</v>
      </c>
      <c r="R908" s="12">
        <v>0</v>
      </c>
      <c r="S908" s="12">
        <v>1</v>
      </c>
      <c r="T908" s="12">
        <v>3</v>
      </c>
      <c r="U908" s="12" t="s">
        <v>19</v>
      </c>
      <c r="V908" s="12">
        <v>1</v>
      </c>
      <c r="W908" s="12">
        <v>89</v>
      </c>
      <c r="X908" s="12">
        <v>4</v>
      </c>
      <c r="Y908" s="12">
        <v>1</v>
      </c>
      <c r="Z908" s="12" t="s">
        <v>63</v>
      </c>
      <c r="AA908" s="12">
        <v>0</v>
      </c>
      <c r="AB908" s="12">
        <v>0</v>
      </c>
      <c r="AC908" s="12">
        <v>0</v>
      </c>
      <c r="AD908" s="12">
        <v>0</v>
      </c>
      <c r="AE908" s="12">
        <v>0</v>
      </c>
      <c r="AF908" s="12">
        <v>0</v>
      </c>
      <c r="AG908" s="12">
        <v>0</v>
      </c>
      <c r="AH908" s="12">
        <v>1</v>
      </c>
      <c r="AI908" s="12">
        <v>3</v>
      </c>
      <c r="AJ908" s="12" t="s">
        <v>64</v>
      </c>
      <c r="AK908" s="12">
        <v>0</v>
      </c>
      <c r="AL908" s="12">
        <v>1</v>
      </c>
      <c r="AM908" s="12">
        <v>2585</v>
      </c>
      <c r="AN908" s="12">
        <f t="shared" si="212"/>
        <v>2585</v>
      </c>
      <c r="AO908" s="12">
        <v>0</v>
      </c>
      <c r="AP908" s="12" t="s">
        <v>59</v>
      </c>
      <c r="AQ908" s="12">
        <v>0</v>
      </c>
      <c r="AR908" s="12">
        <v>17</v>
      </c>
      <c r="AS908" s="12">
        <v>3</v>
      </c>
      <c r="AT908" s="12">
        <v>4</v>
      </c>
      <c r="AU908" s="12">
        <v>0</v>
      </c>
      <c r="AV908" s="12">
        <v>2</v>
      </c>
      <c r="AW908" s="12">
        <f t="shared" si="213"/>
        <v>2</v>
      </c>
      <c r="AX908" s="12">
        <v>5</v>
      </c>
      <c r="AY908" s="12">
        <v>2</v>
      </c>
      <c r="AZ908" s="12">
        <v>1</v>
      </c>
      <c r="BA908" s="12">
        <f t="shared" si="214"/>
        <v>1</v>
      </c>
      <c r="BB908" s="12">
        <v>0</v>
      </c>
      <c r="BC908" s="12">
        <v>0</v>
      </c>
      <c r="BD908" s="12">
        <f t="shared" si="223"/>
        <v>0</v>
      </c>
      <c r="BE908" s="12">
        <v>0</v>
      </c>
      <c r="BF908" s="12">
        <f t="shared" si="215"/>
        <v>0</v>
      </c>
      <c r="BG908" s="12">
        <f t="shared" si="224"/>
        <v>0</v>
      </c>
      <c r="BH908" s="67">
        <v>0</v>
      </c>
      <c r="BI908" s="67">
        <v>1</v>
      </c>
      <c r="BJ908" s="67">
        <v>0</v>
      </c>
      <c r="BK908" s="67">
        <v>0</v>
      </c>
      <c r="BL908" s="67">
        <v>0</v>
      </c>
      <c r="BM908" s="67">
        <v>0</v>
      </c>
      <c r="BN908" s="67">
        <v>1</v>
      </c>
      <c r="BO908" s="67">
        <v>0</v>
      </c>
      <c r="BP908" s="67">
        <v>0</v>
      </c>
      <c r="BQ908" s="67">
        <v>0</v>
      </c>
      <c r="BR908" s="67">
        <v>0</v>
      </c>
      <c r="BS908" s="67">
        <v>0</v>
      </c>
      <c r="BT908" s="67">
        <v>2</v>
      </c>
      <c r="BU908" s="70">
        <v>0</v>
      </c>
      <c r="BV908" s="29">
        <f t="shared" si="216"/>
        <v>0.83219355508588089</v>
      </c>
      <c r="BW908">
        <f t="shared" si="217"/>
        <v>1.1555414682655611</v>
      </c>
      <c r="BX908">
        <f t="shared" si="218"/>
        <v>1.192629766998377</v>
      </c>
      <c r="BY908">
        <f t="shared" si="219"/>
        <v>0.9806804209314296</v>
      </c>
      <c r="BZ908">
        <f t="shared" si="220"/>
        <v>1.3331273859286286</v>
      </c>
      <c r="CA908">
        <f t="shared" si="221"/>
        <v>0.32005363845127444</v>
      </c>
      <c r="CB908">
        <f t="shared" si="222"/>
        <v>0.67891464284095016</v>
      </c>
    </row>
    <row r="909" spans="1:80" x14ac:dyDescent="0.45">
      <c r="A909" s="11">
        <v>44</v>
      </c>
      <c r="B909" s="12">
        <f t="shared" si="210"/>
        <v>44</v>
      </c>
      <c r="C909" s="12" t="s">
        <v>59</v>
      </c>
      <c r="D909" s="12">
        <v>0</v>
      </c>
      <c r="E909" s="12" t="s">
        <v>53</v>
      </c>
      <c r="F909" s="12">
        <v>0</v>
      </c>
      <c r="G909" s="12">
        <v>1</v>
      </c>
      <c r="H909" s="12" t="s">
        <v>54</v>
      </c>
      <c r="I909" s="12">
        <v>0</v>
      </c>
      <c r="J909" s="12">
        <v>1</v>
      </c>
      <c r="K909" s="12">
        <v>5</v>
      </c>
      <c r="L909" s="12">
        <f t="shared" si="211"/>
        <v>5</v>
      </c>
      <c r="M909" s="12">
        <v>3</v>
      </c>
      <c r="N909" s="12" t="s">
        <v>90</v>
      </c>
      <c r="O909" s="12">
        <v>0</v>
      </c>
      <c r="P909" s="12">
        <v>0</v>
      </c>
      <c r="Q909" s="12">
        <v>0</v>
      </c>
      <c r="R909" s="12">
        <v>1</v>
      </c>
      <c r="S909" s="12">
        <v>0</v>
      </c>
      <c r="T909" s="12">
        <v>2</v>
      </c>
      <c r="U909" s="12" t="s">
        <v>62</v>
      </c>
      <c r="V909" s="12">
        <v>0</v>
      </c>
      <c r="W909" s="12">
        <v>88</v>
      </c>
      <c r="X909" s="12">
        <v>3</v>
      </c>
      <c r="Y909" s="12">
        <v>5</v>
      </c>
      <c r="Z909" s="12" t="s">
        <v>87</v>
      </c>
      <c r="AA909" s="12">
        <v>0</v>
      </c>
      <c r="AB909" s="12">
        <v>0</v>
      </c>
      <c r="AC909" s="12">
        <v>0</v>
      </c>
      <c r="AD909" s="12">
        <v>1</v>
      </c>
      <c r="AE909" s="12">
        <v>0</v>
      </c>
      <c r="AF909" s="12">
        <v>0</v>
      </c>
      <c r="AG909" s="12">
        <v>0</v>
      </c>
      <c r="AH909" s="12">
        <v>0</v>
      </c>
      <c r="AI909" s="12">
        <v>2</v>
      </c>
      <c r="AJ909" s="12" t="s">
        <v>64</v>
      </c>
      <c r="AK909" s="12">
        <v>0</v>
      </c>
      <c r="AL909" s="12">
        <v>1</v>
      </c>
      <c r="AM909" s="12">
        <v>18213</v>
      </c>
      <c r="AN909" s="12">
        <f t="shared" si="212"/>
        <v>18213</v>
      </c>
      <c r="AO909" s="12">
        <v>7</v>
      </c>
      <c r="AP909" s="12" t="s">
        <v>59</v>
      </c>
      <c r="AQ909" s="12">
        <v>0</v>
      </c>
      <c r="AR909" s="12">
        <v>11</v>
      </c>
      <c r="AS909" s="12">
        <v>3</v>
      </c>
      <c r="AT909" s="12">
        <v>3</v>
      </c>
      <c r="AU909" s="12">
        <v>1</v>
      </c>
      <c r="AV909" s="12">
        <v>26</v>
      </c>
      <c r="AW909" s="12">
        <f t="shared" si="213"/>
        <v>26</v>
      </c>
      <c r="AX909" s="12">
        <v>5</v>
      </c>
      <c r="AY909" s="12">
        <v>3</v>
      </c>
      <c r="AZ909" s="12">
        <v>22</v>
      </c>
      <c r="BA909" s="12">
        <f t="shared" si="214"/>
        <v>22</v>
      </c>
      <c r="BB909" s="12">
        <v>9</v>
      </c>
      <c r="BC909" s="12">
        <v>3</v>
      </c>
      <c r="BD909" s="12">
        <f t="shared" si="223"/>
        <v>3</v>
      </c>
      <c r="BE909" s="12">
        <v>10</v>
      </c>
      <c r="BF909" s="12">
        <f t="shared" si="215"/>
        <v>10</v>
      </c>
      <c r="BG909" s="12">
        <f t="shared" si="224"/>
        <v>50</v>
      </c>
      <c r="BH909" s="67">
        <v>0</v>
      </c>
      <c r="BI909" s="67">
        <v>1</v>
      </c>
      <c r="BJ909" s="67">
        <v>0</v>
      </c>
      <c r="BK909" s="67">
        <v>0</v>
      </c>
      <c r="BL909" s="67">
        <v>0</v>
      </c>
      <c r="BM909" s="67">
        <v>0</v>
      </c>
      <c r="BN909" s="67">
        <v>1</v>
      </c>
      <c r="BO909" s="67">
        <v>0</v>
      </c>
      <c r="BP909" s="67">
        <v>0</v>
      </c>
      <c r="BQ909" s="67">
        <v>0</v>
      </c>
      <c r="BR909" s="67">
        <v>10</v>
      </c>
      <c r="BS909" s="67">
        <v>0</v>
      </c>
      <c r="BT909" s="67">
        <v>0</v>
      </c>
      <c r="BU909" s="70">
        <v>26</v>
      </c>
      <c r="BV909" s="29">
        <f t="shared" si="216"/>
        <v>2.487293160702587</v>
      </c>
      <c r="BW909">
        <f t="shared" si="217"/>
        <v>1.6470421950744405</v>
      </c>
      <c r="BX909">
        <f t="shared" si="218"/>
        <v>1.8918932283614016</v>
      </c>
      <c r="BY909">
        <f t="shared" si="219"/>
        <v>2.4470374905442531</v>
      </c>
      <c r="BZ909">
        <f t="shared" si="220"/>
        <v>0.51715642219916513</v>
      </c>
      <c r="CA909">
        <f t="shared" si="221"/>
        <v>0.77459235625178136</v>
      </c>
      <c r="CB909">
        <f t="shared" si="222"/>
        <v>0.2520597274726662</v>
      </c>
    </row>
    <row r="910" spans="1:80" x14ac:dyDescent="0.45">
      <c r="A910" s="11">
        <v>33</v>
      </c>
      <c r="B910" s="12">
        <f t="shared" si="210"/>
        <v>33</v>
      </c>
      <c r="C910" s="12" t="s">
        <v>59</v>
      </c>
      <c r="D910" s="12">
        <v>0</v>
      </c>
      <c r="E910" s="12" t="s">
        <v>53</v>
      </c>
      <c r="F910" s="12">
        <v>0</v>
      </c>
      <c r="G910" s="12">
        <v>1</v>
      </c>
      <c r="H910" s="12" t="s">
        <v>54</v>
      </c>
      <c r="I910" s="12">
        <v>0</v>
      </c>
      <c r="J910" s="12">
        <v>1</v>
      </c>
      <c r="K910" s="12">
        <v>10</v>
      </c>
      <c r="L910" s="12">
        <f t="shared" si="211"/>
        <v>10</v>
      </c>
      <c r="M910" s="12">
        <v>5</v>
      </c>
      <c r="N910" s="12" t="s">
        <v>90</v>
      </c>
      <c r="O910" s="12">
        <v>0</v>
      </c>
      <c r="P910" s="12">
        <v>0</v>
      </c>
      <c r="Q910" s="12">
        <v>0</v>
      </c>
      <c r="R910" s="12">
        <v>1</v>
      </c>
      <c r="S910" s="12">
        <v>0</v>
      </c>
      <c r="T910" s="12">
        <v>4</v>
      </c>
      <c r="U910" s="12" t="s">
        <v>62</v>
      </c>
      <c r="V910" s="12">
        <v>0</v>
      </c>
      <c r="W910" s="12">
        <v>82</v>
      </c>
      <c r="X910" s="12">
        <v>4</v>
      </c>
      <c r="Y910" s="12">
        <v>3</v>
      </c>
      <c r="Z910" s="12" t="s">
        <v>56</v>
      </c>
      <c r="AA910" s="12">
        <v>0</v>
      </c>
      <c r="AB910" s="12">
        <v>1</v>
      </c>
      <c r="AC910" s="12">
        <v>0</v>
      </c>
      <c r="AD910" s="12">
        <v>0</v>
      </c>
      <c r="AE910" s="12">
        <v>0</v>
      </c>
      <c r="AF910" s="12">
        <v>0</v>
      </c>
      <c r="AG910" s="12">
        <v>0</v>
      </c>
      <c r="AH910" s="12">
        <v>0</v>
      </c>
      <c r="AI910" s="12">
        <v>3</v>
      </c>
      <c r="AJ910" s="12" t="s">
        <v>78</v>
      </c>
      <c r="AK910" s="12">
        <v>0</v>
      </c>
      <c r="AL910" s="12">
        <v>0</v>
      </c>
      <c r="AM910" s="12">
        <v>8380</v>
      </c>
      <c r="AN910" s="12">
        <f t="shared" si="212"/>
        <v>8380</v>
      </c>
      <c r="AO910" s="12">
        <v>0</v>
      </c>
      <c r="AP910" s="12" t="s">
        <v>52</v>
      </c>
      <c r="AQ910" s="12">
        <v>1</v>
      </c>
      <c r="AR910" s="12">
        <v>14</v>
      </c>
      <c r="AS910" s="12">
        <v>3</v>
      </c>
      <c r="AT910" s="12">
        <v>4</v>
      </c>
      <c r="AU910" s="12">
        <v>2</v>
      </c>
      <c r="AV910" s="12">
        <v>10</v>
      </c>
      <c r="AW910" s="12">
        <f t="shared" si="213"/>
        <v>10</v>
      </c>
      <c r="AX910" s="12">
        <v>3</v>
      </c>
      <c r="AY910" s="12">
        <v>3</v>
      </c>
      <c r="AZ910" s="12">
        <v>9</v>
      </c>
      <c r="BA910" s="12">
        <f t="shared" si="214"/>
        <v>9</v>
      </c>
      <c r="BB910" s="12">
        <v>8</v>
      </c>
      <c r="BC910" s="12">
        <v>0</v>
      </c>
      <c r="BD910" s="12">
        <f t="shared" si="223"/>
        <v>0</v>
      </c>
      <c r="BE910" s="12">
        <v>8</v>
      </c>
      <c r="BF910" s="12">
        <f t="shared" si="215"/>
        <v>8</v>
      </c>
      <c r="BG910" s="12">
        <f t="shared" si="224"/>
        <v>24</v>
      </c>
      <c r="BH910" s="67">
        <v>1</v>
      </c>
      <c r="BI910" s="67">
        <v>0</v>
      </c>
      <c r="BJ910" s="67">
        <v>0</v>
      </c>
      <c r="BK910" s="67">
        <v>0</v>
      </c>
      <c r="BL910" s="67">
        <v>0</v>
      </c>
      <c r="BM910" s="67">
        <v>1</v>
      </c>
      <c r="BN910" s="67">
        <v>0</v>
      </c>
      <c r="BO910" s="67">
        <v>0</v>
      </c>
      <c r="BP910" s="67">
        <v>0</v>
      </c>
      <c r="BQ910" s="67">
        <v>0</v>
      </c>
      <c r="BR910" s="67">
        <v>8</v>
      </c>
      <c r="BS910" s="67">
        <v>0</v>
      </c>
      <c r="BT910" s="67">
        <v>0</v>
      </c>
      <c r="BU910" s="70">
        <v>10</v>
      </c>
      <c r="BV910" s="29">
        <f t="shared" si="216"/>
        <v>0.39870134624469056</v>
      </c>
      <c r="BW910">
        <f t="shared" si="217"/>
        <v>1.08652546240644</v>
      </c>
      <c r="BX910">
        <f t="shared" si="218"/>
        <v>0.1644554352117841</v>
      </c>
      <c r="BY910">
        <f t="shared" si="219"/>
        <v>0.32511687867835437</v>
      </c>
      <c r="BZ910">
        <f t="shared" si="220"/>
        <v>9.9604847176766084E-2</v>
      </c>
      <c r="CA910">
        <f t="shared" si="221"/>
        <v>0.42951823792158</v>
      </c>
      <c r="CB910">
        <f t="shared" si="222"/>
        <v>0.67891464284095016</v>
      </c>
    </row>
    <row r="911" spans="1:80" x14ac:dyDescent="0.45">
      <c r="A911" s="11">
        <v>19</v>
      </c>
      <c r="B911" s="12">
        <f t="shared" si="210"/>
        <v>19</v>
      </c>
      <c r="C911" s="12" t="s">
        <v>59</v>
      </c>
      <c r="D911" s="12">
        <v>0</v>
      </c>
      <c r="E911" s="12" t="s">
        <v>53</v>
      </c>
      <c r="F911" s="12">
        <v>0</v>
      </c>
      <c r="G911" s="12">
        <v>1</v>
      </c>
      <c r="H911" s="12" t="s">
        <v>61</v>
      </c>
      <c r="I911" s="12">
        <v>1</v>
      </c>
      <c r="J911" s="12">
        <v>0</v>
      </c>
      <c r="K911" s="12">
        <v>25</v>
      </c>
      <c r="L911" s="12">
        <f t="shared" si="211"/>
        <v>25</v>
      </c>
      <c r="M911" s="12">
        <v>3</v>
      </c>
      <c r="N911" s="12" t="s">
        <v>55</v>
      </c>
      <c r="O911" s="12">
        <v>1</v>
      </c>
      <c r="P911" s="12">
        <v>0</v>
      </c>
      <c r="Q911" s="12">
        <v>0</v>
      </c>
      <c r="R911" s="12">
        <v>0</v>
      </c>
      <c r="S911" s="12">
        <v>0</v>
      </c>
      <c r="T911" s="12">
        <v>2</v>
      </c>
      <c r="U911" s="12" t="s">
        <v>19</v>
      </c>
      <c r="V911" s="12">
        <v>1</v>
      </c>
      <c r="W911" s="12">
        <v>57</v>
      </c>
      <c r="X911" s="12">
        <v>4</v>
      </c>
      <c r="Y911" s="12">
        <v>1</v>
      </c>
      <c r="Z911" s="12" t="s">
        <v>63</v>
      </c>
      <c r="AA911" s="12">
        <v>0</v>
      </c>
      <c r="AB911" s="12">
        <v>0</v>
      </c>
      <c r="AC911" s="12">
        <v>0</v>
      </c>
      <c r="AD911" s="12">
        <v>0</v>
      </c>
      <c r="AE911" s="12">
        <v>0</v>
      </c>
      <c r="AF911" s="12">
        <v>0</v>
      </c>
      <c r="AG911" s="12">
        <v>0</v>
      </c>
      <c r="AH911" s="12">
        <v>1</v>
      </c>
      <c r="AI911" s="12">
        <v>4</v>
      </c>
      <c r="AJ911" s="12" t="s">
        <v>57</v>
      </c>
      <c r="AK911" s="12">
        <v>1</v>
      </c>
      <c r="AL911" s="12">
        <v>0</v>
      </c>
      <c r="AM911" s="12">
        <v>2994</v>
      </c>
      <c r="AN911" s="12">
        <f t="shared" si="212"/>
        <v>2994</v>
      </c>
      <c r="AO911" s="12">
        <v>1</v>
      </c>
      <c r="AP911" s="12" t="s">
        <v>52</v>
      </c>
      <c r="AQ911" s="12">
        <v>1</v>
      </c>
      <c r="AR911" s="12">
        <v>12</v>
      </c>
      <c r="AS911" s="12">
        <v>3</v>
      </c>
      <c r="AT911" s="12">
        <v>4</v>
      </c>
      <c r="AU911" s="12">
        <v>0</v>
      </c>
      <c r="AV911" s="12">
        <v>1</v>
      </c>
      <c r="AW911" s="12">
        <f t="shared" si="213"/>
        <v>1</v>
      </c>
      <c r="AX911" s="12">
        <v>2</v>
      </c>
      <c r="AY911" s="12">
        <v>3</v>
      </c>
      <c r="AZ911" s="12">
        <v>1</v>
      </c>
      <c r="BA911" s="12">
        <f t="shared" si="214"/>
        <v>1</v>
      </c>
      <c r="BB911" s="12">
        <v>0</v>
      </c>
      <c r="BC911" s="12">
        <v>0</v>
      </c>
      <c r="BD911" s="12">
        <f t="shared" si="223"/>
        <v>0</v>
      </c>
      <c r="BE911" s="12">
        <v>1</v>
      </c>
      <c r="BF911" s="12">
        <f t="shared" si="215"/>
        <v>1</v>
      </c>
      <c r="BG911" s="12">
        <f t="shared" si="224"/>
        <v>1</v>
      </c>
      <c r="BH911" s="67">
        <v>1</v>
      </c>
      <c r="BI911" s="67">
        <v>0</v>
      </c>
      <c r="BJ911" s="67">
        <v>0</v>
      </c>
      <c r="BK911" s="67">
        <v>0</v>
      </c>
      <c r="BL911" s="67">
        <v>0</v>
      </c>
      <c r="BM911" s="67">
        <v>1</v>
      </c>
      <c r="BN911" s="67">
        <v>0</v>
      </c>
      <c r="BO911" s="67">
        <v>0</v>
      </c>
      <c r="BP911" s="67">
        <v>0</v>
      </c>
      <c r="BQ911" s="67">
        <v>1</v>
      </c>
      <c r="BR911" s="67">
        <v>0</v>
      </c>
      <c r="BS911" s="67">
        <v>0</v>
      </c>
      <c r="BT911" s="67">
        <v>1</v>
      </c>
      <c r="BU911" s="70">
        <v>0</v>
      </c>
      <c r="BV911" s="29">
        <f t="shared" si="216"/>
        <v>0.74531935066065158</v>
      </c>
      <c r="BW911">
        <f t="shared" si="217"/>
        <v>0.87528310193156111</v>
      </c>
      <c r="BX911">
        <f t="shared" si="218"/>
        <v>1.3211515584717011</v>
      </c>
      <c r="BY911">
        <f t="shared" si="219"/>
        <v>0.9806804209314296</v>
      </c>
      <c r="BZ911">
        <f t="shared" si="220"/>
        <v>1.9498886553045598</v>
      </c>
      <c r="CA911">
        <f t="shared" si="221"/>
        <v>1.9620226305058581</v>
      </c>
      <c r="CB911">
        <f t="shared" si="222"/>
        <v>0.67891464284095016</v>
      </c>
    </row>
    <row r="912" spans="1:80" x14ac:dyDescent="0.45">
      <c r="A912" s="11">
        <v>23</v>
      </c>
      <c r="B912" s="12">
        <f t="shared" si="210"/>
        <v>23</v>
      </c>
      <c r="C912" s="12" t="s">
        <v>59</v>
      </c>
      <c r="D912" s="12">
        <v>0</v>
      </c>
      <c r="E912" s="12" t="s">
        <v>53</v>
      </c>
      <c r="F912" s="12">
        <v>0</v>
      </c>
      <c r="G912" s="12">
        <v>1</v>
      </c>
      <c r="H912" s="12" t="s">
        <v>61</v>
      </c>
      <c r="I912" s="12">
        <v>1</v>
      </c>
      <c r="J912" s="12">
        <v>0</v>
      </c>
      <c r="K912" s="12">
        <v>1</v>
      </c>
      <c r="L912" s="12">
        <f t="shared" si="211"/>
        <v>1</v>
      </c>
      <c r="M912" s="12">
        <v>2</v>
      </c>
      <c r="N912" s="12" t="s">
        <v>55</v>
      </c>
      <c r="O912" s="12">
        <v>1</v>
      </c>
      <c r="P912" s="12">
        <v>0</v>
      </c>
      <c r="Q912" s="12">
        <v>0</v>
      </c>
      <c r="R912" s="12">
        <v>0</v>
      </c>
      <c r="S912" s="12">
        <v>0</v>
      </c>
      <c r="T912" s="12">
        <v>4</v>
      </c>
      <c r="U912" s="12" t="s">
        <v>62</v>
      </c>
      <c r="V912" s="12">
        <v>0</v>
      </c>
      <c r="W912" s="12">
        <v>47</v>
      </c>
      <c r="X912" s="12">
        <v>3</v>
      </c>
      <c r="Y912" s="12">
        <v>1</v>
      </c>
      <c r="Z912" s="12" t="s">
        <v>63</v>
      </c>
      <c r="AA912" s="12">
        <v>0</v>
      </c>
      <c r="AB912" s="12">
        <v>0</v>
      </c>
      <c r="AC912" s="12">
        <v>0</v>
      </c>
      <c r="AD912" s="12">
        <v>0</v>
      </c>
      <c r="AE912" s="12">
        <v>0</v>
      </c>
      <c r="AF912" s="12">
        <v>0</v>
      </c>
      <c r="AG912" s="12">
        <v>0</v>
      </c>
      <c r="AH912" s="12">
        <v>1</v>
      </c>
      <c r="AI912" s="12">
        <v>3</v>
      </c>
      <c r="AJ912" s="12" t="s">
        <v>64</v>
      </c>
      <c r="AK912" s="12">
        <v>0</v>
      </c>
      <c r="AL912" s="12">
        <v>1</v>
      </c>
      <c r="AM912" s="12">
        <v>1223</v>
      </c>
      <c r="AN912" s="12">
        <f t="shared" si="212"/>
        <v>1382.46</v>
      </c>
      <c r="AO912" s="12">
        <v>1</v>
      </c>
      <c r="AP912" s="12" t="s">
        <v>59</v>
      </c>
      <c r="AQ912" s="12">
        <v>0</v>
      </c>
      <c r="AR912" s="12">
        <v>22</v>
      </c>
      <c r="AS912" s="12">
        <v>4</v>
      </c>
      <c r="AT912" s="12">
        <v>4</v>
      </c>
      <c r="AU912" s="12">
        <v>1</v>
      </c>
      <c r="AV912" s="12">
        <v>1</v>
      </c>
      <c r="AW912" s="12">
        <f t="shared" si="213"/>
        <v>1</v>
      </c>
      <c r="AX912" s="12">
        <v>2</v>
      </c>
      <c r="AY912" s="12">
        <v>3</v>
      </c>
      <c r="AZ912" s="12">
        <v>1</v>
      </c>
      <c r="BA912" s="12">
        <f t="shared" si="214"/>
        <v>1</v>
      </c>
      <c r="BB912" s="12">
        <v>0</v>
      </c>
      <c r="BC912" s="12">
        <v>0</v>
      </c>
      <c r="BD912" s="12">
        <f t="shared" si="223"/>
        <v>0</v>
      </c>
      <c r="BE912" s="12">
        <v>1</v>
      </c>
      <c r="BF912" s="12">
        <f t="shared" si="215"/>
        <v>1</v>
      </c>
      <c r="BG912" s="12">
        <f t="shared" si="224"/>
        <v>1</v>
      </c>
      <c r="BH912" s="67">
        <v>0</v>
      </c>
      <c r="BI912" s="67">
        <v>1</v>
      </c>
      <c r="BJ912" s="67">
        <v>0</v>
      </c>
      <c r="BK912" s="67">
        <v>0</v>
      </c>
      <c r="BL912" s="67">
        <v>0</v>
      </c>
      <c r="BM912" s="67">
        <v>0</v>
      </c>
      <c r="BN912" s="67">
        <v>1</v>
      </c>
      <c r="BO912" s="67">
        <v>0</v>
      </c>
      <c r="BP912" s="67">
        <v>0</v>
      </c>
      <c r="BQ912" s="67">
        <v>1</v>
      </c>
      <c r="BR912" s="67">
        <v>0</v>
      </c>
      <c r="BS912" s="67">
        <v>0</v>
      </c>
      <c r="BT912" s="67">
        <v>1</v>
      </c>
      <c r="BU912" s="70">
        <v>0</v>
      </c>
      <c r="BV912" s="29">
        <f t="shared" si="216"/>
        <v>1.121491028012928</v>
      </c>
      <c r="BW912">
        <f t="shared" si="217"/>
        <v>0.87528310193156111</v>
      </c>
      <c r="BX912">
        <f t="shared" si="218"/>
        <v>1.3211515584717011</v>
      </c>
      <c r="BY912">
        <f t="shared" si="219"/>
        <v>0.9806804209314296</v>
      </c>
      <c r="BZ912">
        <f t="shared" si="220"/>
        <v>1.01056543769991</v>
      </c>
      <c r="CA912">
        <f t="shared" si="221"/>
        <v>1.5241642326246359</v>
      </c>
      <c r="CB912">
        <f t="shared" si="222"/>
        <v>0.67891464284095016</v>
      </c>
    </row>
    <row r="913" spans="1:80" x14ac:dyDescent="0.45">
      <c r="A913" s="11">
        <v>25</v>
      </c>
      <c r="B913" s="12">
        <f t="shared" si="210"/>
        <v>25</v>
      </c>
      <c r="C913" s="12" t="s">
        <v>52</v>
      </c>
      <c r="D913" s="12">
        <v>1</v>
      </c>
      <c r="E913" s="12" t="s">
        <v>60</v>
      </c>
      <c r="F913" s="12">
        <v>1</v>
      </c>
      <c r="G913" s="12">
        <v>0</v>
      </c>
      <c r="H913" s="12" t="s">
        <v>54</v>
      </c>
      <c r="I913" s="12">
        <v>0</v>
      </c>
      <c r="J913" s="12">
        <v>1</v>
      </c>
      <c r="K913" s="12">
        <v>24</v>
      </c>
      <c r="L913" s="12">
        <f t="shared" si="211"/>
        <v>24</v>
      </c>
      <c r="M913" s="12">
        <v>1</v>
      </c>
      <c r="N913" s="12" t="s">
        <v>55</v>
      </c>
      <c r="O913" s="12">
        <v>1</v>
      </c>
      <c r="P913" s="12">
        <v>0</v>
      </c>
      <c r="Q913" s="12">
        <v>0</v>
      </c>
      <c r="R913" s="12">
        <v>0</v>
      </c>
      <c r="S913" s="12">
        <v>0</v>
      </c>
      <c r="T913" s="12">
        <v>3</v>
      </c>
      <c r="U913" s="12" t="s">
        <v>62</v>
      </c>
      <c r="V913" s="12">
        <v>0</v>
      </c>
      <c r="W913" s="12">
        <v>73</v>
      </c>
      <c r="X913" s="12">
        <v>1</v>
      </c>
      <c r="Y913" s="12">
        <v>1</v>
      </c>
      <c r="Z913" s="12" t="s">
        <v>88</v>
      </c>
      <c r="AA913" s="12">
        <v>0</v>
      </c>
      <c r="AB913" s="12">
        <v>0</v>
      </c>
      <c r="AC913" s="12">
        <v>0</v>
      </c>
      <c r="AD913" s="12">
        <v>0</v>
      </c>
      <c r="AE913" s="12">
        <v>0</v>
      </c>
      <c r="AF913" s="12">
        <v>0</v>
      </c>
      <c r="AG913" s="12">
        <v>1</v>
      </c>
      <c r="AH913" s="12">
        <v>0</v>
      </c>
      <c r="AI913" s="12">
        <v>4</v>
      </c>
      <c r="AJ913" s="12" t="s">
        <v>57</v>
      </c>
      <c r="AK913" s="12">
        <v>1</v>
      </c>
      <c r="AL913" s="12">
        <v>0</v>
      </c>
      <c r="AM913" s="12">
        <v>1118</v>
      </c>
      <c r="AN913" s="12">
        <f t="shared" si="212"/>
        <v>1382.46</v>
      </c>
      <c r="AO913" s="12">
        <v>1</v>
      </c>
      <c r="AP913" s="12" t="s">
        <v>52</v>
      </c>
      <c r="AQ913" s="12">
        <v>1</v>
      </c>
      <c r="AR913" s="12">
        <v>14</v>
      </c>
      <c r="AS913" s="12">
        <v>3</v>
      </c>
      <c r="AT913" s="12">
        <v>4</v>
      </c>
      <c r="AU913" s="12">
        <v>0</v>
      </c>
      <c r="AV913" s="12">
        <v>1</v>
      </c>
      <c r="AW913" s="12">
        <f t="shared" si="213"/>
        <v>1</v>
      </c>
      <c r="AX913" s="12">
        <v>4</v>
      </c>
      <c r="AY913" s="12">
        <v>3</v>
      </c>
      <c r="AZ913" s="12">
        <v>1</v>
      </c>
      <c r="BA913" s="12">
        <f t="shared" si="214"/>
        <v>1</v>
      </c>
      <c r="BB913" s="12">
        <v>0</v>
      </c>
      <c r="BC913" s="12">
        <v>1</v>
      </c>
      <c r="BD913" s="12">
        <f t="shared" si="223"/>
        <v>1</v>
      </c>
      <c r="BE913" s="12">
        <v>0</v>
      </c>
      <c r="BF913" s="12">
        <f t="shared" si="215"/>
        <v>0</v>
      </c>
      <c r="BG913" s="12">
        <f t="shared" si="224"/>
        <v>0</v>
      </c>
      <c r="BH913" s="67">
        <v>0</v>
      </c>
      <c r="BI913" s="67">
        <v>0</v>
      </c>
      <c r="BJ913" s="67">
        <v>1</v>
      </c>
      <c r="BK913" s="67">
        <v>0</v>
      </c>
      <c r="BL913" s="67">
        <v>0</v>
      </c>
      <c r="BM913" s="67">
        <v>1</v>
      </c>
      <c r="BN913" s="67">
        <v>0</v>
      </c>
      <c r="BO913" s="67">
        <v>0</v>
      </c>
      <c r="BP913" s="67">
        <v>0</v>
      </c>
      <c r="BQ913" s="67">
        <v>0</v>
      </c>
      <c r="BR913" s="67">
        <v>0</v>
      </c>
      <c r="BS913" s="67">
        <v>0</v>
      </c>
      <c r="BT913" s="67">
        <v>0</v>
      </c>
      <c r="BU913" s="70">
        <v>1</v>
      </c>
      <c r="BV913" s="29">
        <f t="shared" si="216"/>
        <v>1.1437936966306519</v>
      </c>
      <c r="BW913">
        <f t="shared" si="217"/>
        <v>1.1555414682655611</v>
      </c>
      <c r="BX913">
        <f t="shared" si="218"/>
        <v>1.3211515584717011</v>
      </c>
      <c r="BY913">
        <f t="shared" si="219"/>
        <v>0.9806804209314296</v>
      </c>
      <c r="BZ913">
        <f t="shared" si="220"/>
        <v>1.8265364014293735</v>
      </c>
      <c r="CA913">
        <f t="shared" si="221"/>
        <v>1.3052350336840246</v>
      </c>
      <c r="CB913">
        <f t="shared" si="222"/>
        <v>0.36858985273641137</v>
      </c>
    </row>
    <row r="914" spans="1:80" x14ac:dyDescent="0.45">
      <c r="A914" s="11">
        <v>26</v>
      </c>
      <c r="B914" s="12">
        <f t="shared" si="210"/>
        <v>26</v>
      </c>
      <c r="C914" s="12" t="s">
        <v>59</v>
      </c>
      <c r="D914" s="12">
        <v>0</v>
      </c>
      <c r="E914" s="12" t="s">
        <v>53</v>
      </c>
      <c r="F914" s="12">
        <v>0</v>
      </c>
      <c r="G914" s="12">
        <v>1</v>
      </c>
      <c r="H914" s="12" t="s">
        <v>61</v>
      </c>
      <c r="I914" s="12">
        <v>1</v>
      </c>
      <c r="J914" s="12">
        <v>0</v>
      </c>
      <c r="K914" s="12">
        <v>4</v>
      </c>
      <c r="L914" s="12">
        <f t="shared" si="211"/>
        <v>4</v>
      </c>
      <c r="M914" s="12">
        <v>2</v>
      </c>
      <c r="N914" s="12" t="s">
        <v>55</v>
      </c>
      <c r="O914" s="12">
        <v>1</v>
      </c>
      <c r="P914" s="12">
        <v>0</v>
      </c>
      <c r="Q914" s="12">
        <v>0</v>
      </c>
      <c r="R914" s="12">
        <v>0</v>
      </c>
      <c r="S914" s="12">
        <v>0</v>
      </c>
      <c r="T914" s="12">
        <v>3</v>
      </c>
      <c r="U914" s="12" t="s">
        <v>62</v>
      </c>
      <c r="V914" s="12">
        <v>0</v>
      </c>
      <c r="W914" s="12">
        <v>53</v>
      </c>
      <c r="X914" s="12">
        <v>3</v>
      </c>
      <c r="Y914" s="12">
        <v>1</v>
      </c>
      <c r="Z914" s="12" t="s">
        <v>63</v>
      </c>
      <c r="AA914" s="12">
        <v>0</v>
      </c>
      <c r="AB914" s="12">
        <v>0</v>
      </c>
      <c r="AC914" s="12">
        <v>0</v>
      </c>
      <c r="AD914" s="12">
        <v>0</v>
      </c>
      <c r="AE914" s="12">
        <v>0</v>
      </c>
      <c r="AF914" s="12">
        <v>0</v>
      </c>
      <c r="AG914" s="12">
        <v>0</v>
      </c>
      <c r="AH914" s="12">
        <v>1</v>
      </c>
      <c r="AI914" s="12">
        <v>4</v>
      </c>
      <c r="AJ914" s="12" t="s">
        <v>57</v>
      </c>
      <c r="AK914" s="12">
        <v>1</v>
      </c>
      <c r="AL914" s="12">
        <v>0</v>
      </c>
      <c r="AM914" s="12">
        <v>2875</v>
      </c>
      <c r="AN914" s="12">
        <f t="shared" si="212"/>
        <v>2875</v>
      </c>
      <c r="AO914" s="12">
        <v>1</v>
      </c>
      <c r="AP914" s="12" t="s">
        <v>52</v>
      </c>
      <c r="AQ914" s="12">
        <v>1</v>
      </c>
      <c r="AR914" s="12">
        <v>20</v>
      </c>
      <c r="AS914" s="12">
        <v>4</v>
      </c>
      <c r="AT914" s="12">
        <v>2</v>
      </c>
      <c r="AU914" s="12">
        <v>0</v>
      </c>
      <c r="AV914" s="12">
        <v>8</v>
      </c>
      <c r="AW914" s="12">
        <f t="shared" si="213"/>
        <v>8</v>
      </c>
      <c r="AX914" s="12">
        <v>2</v>
      </c>
      <c r="AY914" s="12">
        <v>2</v>
      </c>
      <c r="AZ914" s="12">
        <v>8</v>
      </c>
      <c r="BA914" s="12">
        <f t="shared" si="214"/>
        <v>8</v>
      </c>
      <c r="BB914" s="12">
        <v>5</v>
      </c>
      <c r="BC914" s="12">
        <v>2</v>
      </c>
      <c r="BD914" s="12">
        <f t="shared" si="223"/>
        <v>2</v>
      </c>
      <c r="BE914" s="12">
        <v>2</v>
      </c>
      <c r="BF914" s="12">
        <f t="shared" si="215"/>
        <v>2</v>
      </c>
      <c r="BG914" s="12">
        <f t="shared" si="224"/>
        <v>2</v>
      </c>
      <c r="BH914" s="67">
        <v>1</v>
      </c>
      <c r="BI914" s="67">
        <v>0</v>
      </c>
      <c r="BJ914" s="67">
        <v>0</v>
      </c>
      <c r="BK914" s="67">
        <v>0</v>
      </c>
      <c r="BL914" s="67">
        <v>0</v>
      </c>
      <c r="BM914" s="67">
        <v>1</v>
      </c>
      <c r="BN914" s="67">
        <v>0</v>
      </c>
      <c r="BO914" s="67">
        <v>0</v>
      </c>
      <c r="BP914" s="67">
        <v>0</v>
      </c>
      <c r="BQ914" s="67">
        <v>2</v>
      </c>
      <c r="BR914" s="67">
        <v>0</v>
      </c>
      <c r="BS914" s="67">
        <v>0</v>
      </c>
      <c r="BT914" s="67">
        <v>8</v>
      </c>
      <c r="BU914" s="70">
        <v>0</v>
      </c>
      <c r="BV914" s="29">
        <f t="shared" si="216"/>
        <v>0.77059570842740532</v>
      </c>
      <c r="BW914">
        <f t="shared" si="217"/>
        <v>0.59502473559756086</v>
      </c>
      <c r="BX914">
        <f t="shared" si="218"/>
        <v>0.42149901815843233</v>
      </c>
      <c r="BY914">
        <f t="shared" si="219"/>
        <v>0.16189221622713135</v>
      </c>
      <c r="BZ914">
        <f t="shared" si="220"/>
        <v>0.64050867607435136</v>
      </c>
      <c r="CA914">
        <f t="shared" si="221"/>
        <v>1.195770434213719</v>
      </c>
      <c r="CB914">
        <f t="shared" si="222"/>
        <v>5.8265062631872602E-2</v>
      </c>
    </row>
    <row r="915" spans="1:80" x14ac:dyDescent="0.45">
      <c r="A915" s="11">
        <v>45</v>
      </c>
      <c r="B915" s="12">
        <f t="shared" si="210"/>
        <v>45</v>
      </c>
      <c r="C915" s="12" t="s">
        <v>52</v>
      </c>
      <c r="D915" s="12">
        <v>1</v>
      </c>
      <c r="E915" s="12" t="s">
        <v>53</v>
      </c>
      <c r="F915" s="12">
        <v>0</v>
      </c>
      <c r="G915" s="12">
        <v>1</v>
      </c>
      <c r="H915" s="12" t="s">
        <v>54</v>
      </c>
      <c r="I915" s="12">
        <v>0</v>
      </c>
      <c r="J915" s="12">
        <v>1</v>
      </c>
      <c r="K915" s="12">
        <v>2</v>
      </c>
      <c r="L915" s="12">
        <f t="shared" si="211"/>
        <v>2</v>
      </c>
      <c r="M915" s="12">
        <v>3</v>
      </c>
      <c r="N915" s="12" t="s">
        <v>90</v>
      </c>
      <c r="O915" s="12">
        <v>0</v>
      </c>
      <c r="P915" s="12">
        <v>0</v>
      </c>
      <c r="Q915" s="12">
        <v>0</v>
      </c>
      <c r="R915" s="12">
        <v>1</v>
      </c>
      <c r="S915" s="12">
        <v>0</v>
      </c>
      <c r="T915" s="12">
        <v>1</v>
      </c>
      <c r="U915" s="12" t="s">
        <v>19</v>
      </c>
      <c r="V915" s="12">
        <v>1</v>
      </c>
      <c r="W915" s="12">
        <v>94</v>
      </c>
      <c r="X915" s="12">
        <v>1</v>
      </c>
      <c r="Y915" s="12">
        <v>5</v>
      </c>
      <c r="Z915" s="12" t="s">
        <v>87</v>
      </c>
      <c r="AA915" s="12">
        <v>0</v>
      </c>
      <c r="AB915" s="12">
        <v>0</v>
      </c>
      <c r="AC915" s="12">
        <v>0</v>
      </c>
      <c r="AD915" s="12">
        <v>1</v>
      </c>
      <c r="AE915" s="12">
        <v>0</v>
      </c>
      <c r="AF915" s="12">
        <v>0</v>
      </c>
      <c r="AG915" s="12">
        <v>0</v>
      </c>
      <c r="AH915" s="12">
        <v>0</v>
      </c>
      <c r="AI915" s="12">
        <v>2</v>
      </c>
      <c r="AJ915" s="12" t="s">
        <v>57</v>
      </c>
      <c r="AK915" s="12">
        <v>1</v>
      </c>
      <c r="AL915" s="12">
        <v>0</v>
      </c>
      <c r="AM915" s="12">
        <v>18824</v>
      </c>
      <c r="AN915" s="12">
        <f t="shared" si="212"/>
        <v>18824</v>
      </c>
      <c r="AO915" s="12">
        <v>2</v>
      </c>
      <c r="AP915" s="12" t="s">
        <v>52</v>
      </c>
      <c r="AQ915" s="12">
        <v>1</v>
      </c>
      <c r="AR915" s="12">
        <v>16</v>
      </c>
      <c r="AS915" s="12">
        <v>3</v>
      </c>
      <c r="AT915" s="12">
        <v>1</v>
      </c>
      <c r="AU915" s="12">
        <v>0</v>
      </c>
      <c r="AV915" s="12">
        <v>26</v>
      </c>
      <c r="AW915" s="12">
        <f t="shared" si="213"/>
        <v>26</v>
      </c>
      <c r="AX915" s="12">
        <v>2</v>
      </c>
      <c r="AY915" s="12">
        <v>3</v>
      </c>
      <c r="AZ915" s="12">
        <v>24</v>
      </c>
      <c r="BA915" s="12">
        <f t="shared" si="214"/>
        <v>24</v>
      </c>
      <c r="BB915" s="12">
        <v>10</v>
      </c>
      <c r="BC915" s="12">
        <v>1</v>
      </c>
      <c r="BD915" s="12">
        <f t="shared" si="223"/>
        <v>1</v>
      </c>
      <c r="BE915" s="12">
        <v>11</v>
      </c>
      <c r="BF915" s="12">
        <f t="shared" si="215"/>
        <v>11</v>
      </c>
      <c r="BG915" s="12">
        <f t="shared" si="224"/>
        <v>55</v>
      </c>
      <c r="BH915" s="67">
        <v>1</v>
      </c>
      <c r="BI915" s="67">
        <v>0</v>
      </c>
      <c r="BJ915" s="67">
        <v>0</v>
      </c>
      <c r="BK915" s="67">
        <v>0</v>
      </c>
      <c r="BL915" s="67">
        <v>0</v>
      </c>
      <c r="BM915" s="67">
        <v>1</v>
      </c>
      <c r="BN915" s="67">
        <v>0</v>
      </c>
      <c r="BO915" s="67">
        <v>0</v>
      </c>
      <c r="BP915" s="67">
        <v>0</v>
      </c>
      <c r="BQ915" s="67">
        <v>0</v>
      </c>
      <c r="BR915" s="67">
        <v>11</v>
      </c>
      <c r="BS915" s="67">
        <v>0</v>
      </c>
      <c r="BT915" s="67">
        <v>0</v>
      </c>
      <c r="BU915" s="70">
        <v>26</v>
      </c>
      <c r="BV915" s="29">
        <f t="shared" si="216"/>
        <v>2.617073451420961</v>
      </c>
      <c r="BW915">
        <f t="shared" si="217"/>
        <v>1.9273005614084406</v>
      </c>
      <c r="BX915">
        <f t="shared" si="218"/>
        <v>1.8918932283614016</v>
      </c>
      <c r="BY915">
        <f t="shared" si="219"/>
        <v>2.7734868154466992</v>
      </c>
      <c r="BZ915">
        <f t="shared" si="220"/>
        <v>0.88721318382472392</v>
      </c>
      <c r="CA915">
        <f t="shared" si="221"/>
        <v>0.88405695572208698</v>
      </c>
      <c r="CB915">
        <f t="shared" si="222"/>
        <v>0.36858985273641137</v>
      </c>
    </row>
    <row r="916" spans="1:80" x14ac:dyDescent="0.45">
      <c r="A916" s="11">
        <v>55</v>
      </c>
      <c r="B916" s="12">
        <f t="shared" si="210"/>
        <v>55</v>
      </c>
      <c r="C916" s="12" t="s">
        <v>59</v>
      </c>
      <c r="D916" s="12">
        <v>0</v>
      </c>
      <c r="E916" s="12" t="s">
        <v>86</v>
      </c>
      <c r="F916" s="12">
        <v>0</v>
      </c>
      <c r="G916" s="12">
        <v>0</v>
      </c>
      <c r="H916" s="12" t="s">
        <v>61</v>
      </c>
      <c r="I916" s="12">
        <v>1</v>
      </c>
      <c r="J916" s="12">
        <v>0</v>
      </c>
      <c r="K916" s="12">
        <v>8</v>
      </c>
      <c r="L916" s="12">
        <f t="shared" si="211"/>
        <v>8</v>
      </c>
      <c r="M916" s="12">
        <v>1</v>
      </c>
      <c r="N916" s="12" t="s">
        <v>70</v>
      </c>
      <c r="O916" s="12">
        <v>0</v>
      </c>
      <c r="P916" s="12">
        <v>0</v>
      </c>
      <c r="Q916" s="12">
        <v>1</v>
      </c>
      <c r="R916" s="12">
        <v>0</v>
      </c>
      <c r="S916" s="12">
        <v>0</v>
      </c>
      <c r="T916" s="12">
        <v>4</v>
      </c>
      <c r="U916" s="12" t="s">
        <v>62</v>
      </c>
      <c r="V916" s="12">
        <v>0</v>
      </c>
      <c r="W916" s="12">
        <v>37</v>
      </c>
      <c r="X916" s="12">
        <v>2</v>
      </c>
      <c r="Y916" s="12">
        <v>4</v>
      </c>
      <c r="Z916" s="12" t="s">
        <v>85</v>
      </c>
      <c r="AA916" s="12">
        <v>1</v>
      </c>
      <c r="AB916" s="12">
        <v>0</v>
      </c>
      <c r="AC916" s="12">
        <v>0</v>
      </c>
      <c r="AD916" s="12">
        <v>0</v>
      </c>
      <c r="AE916" s="12">
        <v>0</v>
      </c>
      <c r="AF916" s="12">
        <v>0</v>
      </c>
      <c r="AG916" s="12">
        <v>0</v>
      </c>
      <c r="AH916" s="12">
        <v>0</v>
      </c>
      <c r="AI916" s="12">
        <v>2</v>
      </c>
      <c r="AJ916" s="12" t="s">
        <v>78</v>
      </c>
      <c r="AK916" s="12">
        <v>0</v>
      </c>
      <c r="AL916" s="12">
        <v>0</v>
      </c>
      <c r="AM916" s="12">
        <v>13577</v>
      </c>
      <c r="AN916" s="12">
        <f t="shared" si="212"/>
        <v>13577</v>
      </c>
      <c r="AO916" s="12">
        <v>1</v>
      </c>
      <c r="AP916" s="12" t="s">
        <v>52</v>
      </c>
      <c r="AQ916" s="12">
        <v>1</v>
      </c>
      <c r="AR916" s="12">
        <v>15</v>
      </c>
      <c r="AS916" s="12">
        <v>3</v>
      </c>
      <c r="AT916" s="12">
        <v>4</v>
      </c>
      <c r="AU916" s="12">
        <v>1</v>
      </c>
      <c r="AV916" s="12">
        <v>34</v>
      </c>
      <c r="AW916" s="12">
        <f t="shared" si="213"/>
        <v>34</v>
      </c>
      <c r="AX916" s="12">
        <v>3</v>
      </c>
      <c r="AY916" s="12">
        <v>3</v>
      </c>
      <c r="AZ916" s="12">
        <v>33</v>
      </c>
      <c r="BA916" s="12">
        <f t="shared" si="214"/>
        <v>31</v>
      </c>
      <c r="BB916" s="12">
        <v>9</v>
      </c>
      <c r="BC916" s="12">
        <v>15</v>
      </c>
      <c r="BD916" s="12">
        <f t="shared" si="223"/>
        <v>14</v>
      </c>
      <c r="BE916" s="12">
        <v>0</v>
      </c>
      <c r="BF916" s="12">
        <f t="shared" si="215"/>
        <v>0</v>
      </c>
      <c r="BG916" s="12">
        <f t="shared" si="224"/>
        <v>0</v>
      </c>
      <c r="BH916" s="67">
        <v>1</v>
      </c>
      <c r="BI916" s="67">
        <v>0</v>
      </c>
      <c r="BJ916" s="67">
        <v>0</v>
      </c>
      <c r="BK916" s="67">
        <v>0</v>
      </c>
      <c r="BL916" s="67">
        <v>0</v>
      </c>
      <c r="BM916" s="67">
        <v>1</v>
      </c>
      <c r="BN916" s="67">
        <v>0</v>
      </c>
      <c r="BO916" s="67">
        <v>0</v>
      </c>
      <c r="BP916" s="67">
        <v>0</v>
      </c>
      <c r="BQ916" s="67">
        <v>0</v>
      </c>
      <c r="BR916" s="67">
        <v>0</v>
      </c>
      <c r="BS916" s="67">
        <v>0</v>
      </c>
      <c r="BT916" s="67">
        <v>34</v>
      </c>
      <c r="BU916" s="70">
        <v>0</v>
      </c>
      <c r="BV916" s="29">
        <f t="shared" si="216"/>
        <v>1.5025772396381298</v>
      </c>
      <c r="BW916">
        <f t="shared" si="217"/>
        <v>1.1555414682655611</v>
      </c>
      <c r="BX916">
        <f t="shared" si="218"/>
        <v>2.9200675601479942</v>
      </c>
      <c r="BY916">
        <f t="shared" si="219"/>
        <v>4.2425087775077062</v>
      </c>
      <c r="BZ916">
        <f t="shared" si="220"/>
        <v>0.14709966057360641</v>
      </c>
      <c r="CA916">
        <f t="shared" si="221"/>
        <v>1.9787029504251428</v>
      </c>
      <c r="CB916">
        <f t="shared" si="222"/>
        <v>3.9759572087271318</v>
      </c>
    </row>
    <row r="917" spans="1:80" x14ac:dyDescent="0.45">
      <c r="A917" s="11">
        <v>21</v>
      </c>
      <c r="B917" s="12">
        <f t="shared" si="210"/>
        <v>21</v>
      </c>
      <c r="C917" s="12" t="s">
        <v>52</v>
      </c>
      <c r="D917" s="12">
        <v>1</v>
      </c>
      <c r="E917" s="12" t="s">
        <v>60</v>
      </c>
      <c r="F917" s="12">
        <v>1</v>
      </c>
      <c r="G917" s="12">
        <v>0</v>
      </c>
      <c r="H917" s="12" t="s">
        <v>61</v>
      </c>
      <c r="I917" s="12">
        <v>1</v>
      </c>
      <c r="J917" s="12">
        <v>0</v>
      </c>
      <c r="K917" s="12">
        <v>10</v>
      </c>
      <c r="L917" s="12">
        <f t="shared" si="211"/>
        <v>10</v>
      </c>
      <c r="M917" s="12">
        <v>2</v>
      </c>
      <c r="N917" s="12" t="s">
        <v>55</v>
      </c>
      <c r="O917" s="12">
        <v>1</v>
      </c>
      <c r="P917" s="12">
        <v>0</v>
      </c>
      <c r="Q917" s="12">
        <v>0</v>
      </c>
      <c r="R917" s="12">
        <v>0</v>
      </c>
      <c r="S917" s="12">
        <v>0</v>
      </c>
      <c r="T917" s="12">
        <v>1</v>
      </c>
      <c r="U917" s="12" t="s">
        <v>19</v>
      </c>
      <c r="V917" s="12">
        <v>1</v>
      </c>
      <c r="W917" s="12">
        <v>45</v>
      </c>
      <c r="X917" s="12">
        <v>2</v>
      </c>
      <c r="Y917" s="12">
        <v>1</v>
      </c>
      <c r="Z917" s="12" t="s">
        <v>67</v>
      </c>
      <c r="AA917" s="12">
        <v>0</v>
      </c>
      <c r="AB917" s="12">
        <v>0</v>
      </c>
      <c r="AC917" s="12">
        <v>1</v>
      </c>
      <c r="AD917" s="12">
        <v>0</v>
      </c>
      <c r="AE917" s="12">
        <v>0</v>
      </c>
      <c r="AF917" s="12">
        <v>0</v>
      </c>
      <c r="AG917" s="12">
        <v>0</v>
      </c>
      <c r="AH917" s="12">
        <v>0</v>
      </c>
      <c r="AI917" s="12">
        <v>3</v>
      </c>
      <c r="AJ917" s="12" t="s">
        <v>57</v>
      </c>
      <c r="AK917" s="12">
        <v>1</v>
      </c>
      <c r="AL917" s="12">
        <v>0</v>
      </c>
      <c r="AM917" s="12">
        <v>2625</v>
      </c>
      <c r="AN917" s="12">
        <f t="shared" si="212"/>
        <v>2625</v>
      </c>
      <c r="AO917" s="12">
        <v>1</v>
      </c>
      <c r="AP917" s="12" t="s">
        <v>59</v>
      </c>
      <c r="AQ917" s="12">
        <v>0</v>
      </c>
      <c r="AR917" s="12">
        <v>20</v>
      </c>
      <c r="AS917" s="12">
        <v>4</v>
      </c>
      <c r="AT917" s="12">
        <v>3</v>
      </c>
      <c r="AU917" s="12">
        <v>0</v>
      </c>
      <c r="AV917" s="12">
        <v>2</v>
      </c>
      <c r="AW917" s="12">
        <f t="shared" si="213"/>
        <v>2</v>
      </c>
      <c r="AX917" s="12">
        <v>2</v>
      </c>
      <c r="AY917" s="12">
        <v>1</v>
      </c>
      <c r="AZ917" s="12">
        <v>2</v>
      </c>
      <c r="BA917" s="12">
        <f t="shared" si="214"/>
        <v>2</v>
      </c>
      <c r="BB917" s="12">
        <v>2</v>
      </c>
      <c r="BC917" s="12">
        <v>2</v>
      </c>
      <c r="BD917" s="12">
        <f t="shared" si="223"/>
        <v>2</v>
      </c>
      <c r="BE917" s="12">
        <v>2</v>
      </c>
      <c r="BF917" s="12">
        <f t="shared" si="215"/>
        <v>2</v>
      </c>
      <c r="BG917" s="12">
        <f t="shared" si="224"/>
        <v>2</v>
      </c>
      <c r="BH917" s="67">
        <v>0</v>
      </c>
      <c r="BI917" s="67">
        <v>0</v>
      </c>
      <c r="BJ917" s="67">
        <v>1</v>
      </c>
      <c r="BK917" s="67">
        <v>0</v>
      </c>
      <c r="BL917" s="67">
        <v>1</v>
      </c>
      <c r="BM917" s="67">
        <v>0</v>
      </c>
      <c r="BN917" s="67">
        <v>0</v>
      </c>
      <c r="BO917" s="67">
        <v>0</v>
      </c>
      <c r="BP917" s="67">
        <v>0</v>
      </c>
      <c r="BQ917" s="67">
        <v>2</v>
      </c>
      <c r="BR917" s="67">
        <v>0</v>
      </c>
      <c r="BS917" s="67">
        <v>0</v>
      </c>
      <c r="BT917" s="67">
        <v>2</v>
      </c>
      <c r="BU917" s="70">
        <v>0</v>
      </c>
      <c r="BV917" s="29">
        <f t="shared" si="216"/>
        <v>0.82369730037436706</v>
      </c>
      <c r="BW917">
        <f t="shared" si="217"/>
        <v>0.59502473559756086</v>
      </c>
      <c r="BX917">
        <f t="shared" si="218"/>
        <v>1.192629766998377</v>
      </c>
      <c r="BY917">
        <f t="shared" si="219"/>
        <v>0.81745575848020657</v>
      </c>
      <c r="BZ917">
        <f t="shared" si="220"/>
        <v>9.9604847176766084E-2</v>
      </c>
      <c r="CA917">
        <f t="shared" si="221"/>
        <v>1.7430934315652469</v>
      </c>
      <c r="CB917">
        <f t="shared" si="222"/>
        <v>5.8265062631872602E-2</v>
      </c>
    </row>
    <row r="918" spans="1:80" x14ac:dyDescent="0.45">
      <c r="A918" s="11">
        <v>46</v>
      </c>
      <c r="B918" s="12">
        <f t="shared" si="210"/>
        <v>46</v>
      </c>
      <c r="C918" s="12" t="s">
        <v>59</v>
      </c>
      <c r="D918" s="12">
        <v>0</v>
      </c>
      <c r="E918" s="12" t="s">
        <v>53</v>
      </c>
      <c r="F918" s="12">
        <v>0</v>
      </c>
      <c r="G918" s="12">
        <v>1</v>
      </c>
      <c r="H918" s="12" t="s">
        <v>54</v>
      </c>
      <c r="I918" s="12">
        <v>0</v>
      </c>
      <c r="J918" s="12">
        <v>1</v>
      </c>
      <c r="K918" s="12">
        <v>4</v>
      </c>
      <c r="L918" s="12">
        <f t="shared" si="211"/>
        <v>4</v>
      </c>
      <c r="M918" s="12">
        <v>2</v>
      </c>
      <c r="N918" s="12" t="s">
        <v>90</v>
      </c>
      <c r="O918" s="12">
        <v>0</v>
      </c>
      <c r="P918" s="12">
        <v>0</v>
      </c>
      <c r="Q918" s="12">
        <v>0</v>
      </c>
      <c r="R918" s="12">
        <v>1</v>
      </c>
      <c r="S918" s="12">
        <v>0</v>
      </c>
      <c r="T918" s="12">
        <v>4</v>
      </c>
      <c r="U918" s="12" t="s">
        <v>19</v>
      </c>
      <c r="V918" s="12">
        <v>1</v>
      </c>
      <c r="W918" s="12">
        <v>33</v>
      </c>
      <c r="X918" s="12">
        <v>2</v>
      </c>
      <c r="Y918" s="12">
        <v>5</v>
      </c>
      <c r="Z918" s="12" t="s">
        <v>87</v>
      </c>
      <c r="AA918" s="12">
        <v>0</v>
      </c>
      <c r="AB918" s="12">
        <v>0</v>
      </c>
      <c r="AC918" s="12">
        <v>0</v>
      </c>
      <c r="AD918" s="12">
        <v>1</v>
      </c>
      <c r="AE918" s="12">
        <v>0</v>
      </c>
      <c r="AF918" s="12">
        <v>0</v>
      </c>
      <c r="AG918" s="12">
        <v>0</v>
      </c>
      <c r="AH918" s="12">
        <v>0</v>
      </c>
      <c r="AI918" s="12">
        <v>2</v>
      </c>
      <c r="AJ918" s="12" t="s">
        <v>64</v>
      </c>
      <c r="AK918" s="12">
        <v>0</v>
      </c>
      <c r="AL918" s="12">
        <v>1</v>
      </c>
      <c r="AM918" s="12">
        <v>18789</v>
      </c>
      <c r="AN918" s="12">
        <f t="shared" si="212"/>
        <v>18789</v>
      </c>
      <c r="AO918" s="12">
        <v>2</v>
      </c>
      <c r="AP918" s="12" t="s">
        <v>59</v>
      </c>
      <c r="AQ918" s="12">
        <v>0</v>
      </c>
      <c r="AR918" s="12">
        <v>14</v>
      </c>
      <c r="AS918" s="12">
        <v>3</v>
      </c>
      <c r="AT918" s="12">
        <v>3</v>
      </c>
      <c r="AU918" s="12">
        <v>1</v>
      </c>
      <c r="AV918" s="12">
        <v>26</v>
      </c>
      <c r="AW918" s="12">
        <f t="shared" si="213"/>
        <v>26</v>
      </c>
      <c r="AX918" s="12">
        <v>2</v>
      </c>
      <c r="AY918" s="12">
        <v>3</v>
      </c>
      <c r="AZ918" s="12">
        <v>11</v>
      </c>
      <c r="BA918" s="12">
        <f t="shared" si="214"/>
        <v>11</v>
      </c>
      <c r="BB918" s="12">
        <v>4</v>
      </c>
      <c r="BC918" s="12">
        <v>0</v>
      </c>
      <c r="BD918" s="12">
        <f t="shared" si="223"/>
        <v>0</v>
      </c>
      <c r="BE918" s="12">
        <v>8</v>
      </c>
      <c r="BF918" s="12">
        <f t="shared" si="215"/>
        <v>8</v>
      </c>
      <c r="BG918" s="12">
        <f t="shared" si="224"/>
        <v>40</v>
      </c>
      <c r="BH918" s="67">
        <v>0</v>
      </c>
      <c r="BI918" s="67">
        <v>1</v>
      </c>
      <c r="BJ918" s="67">
        <v>0</v>
      </c>
      <c r="BK918" s="67">
        <v>0</v>
      </c>
      <c r="BL918" s="67">
        <v>0</v>
      </c>
      <c r="BM918" s="67">
        <v>0</v>
      </c>
      <c r="BN918" s="67">
        <v>1</v>
      </c>
      <c r="BO918" s="67">
        <v>0</v>
      </c>
      <c r="BP918" s="67">
        <v>0</v>
      </c>
      <c r="BQ918" s="67">
        <v>0</v>
      </c>
      <c r="BR918" s="67">
        <v>8</v>
      </c>
      <c r="BS918" s="67">
        <v>0</v>
      </c>
      <c r="BT918" s="67">
        <v>0</v>
      </c>
      <c r="BU918" s="70">
        <v>26</v>
      </c>
      <c r="BV918" s="29">
        <f t="shared" si="216"/>
        <v>2.6096392285483865</v>
      </c>
      <c r="BW918">
        <f t="shared" si="217"/>
        <v>1.08652546240644</v>
      </c>
      <c r="BX918">
        <f t="shared" si="218"/>
        <v>1.8918932283614016</v>
      </c>
      <c r="BY918">
        <f t="shared" si="219"/>
        <v>0.65156620358080031</v>
      </c>
      <c r="BZ918">
        <f t="shared" si="220"/>
        <v>0.64050867607435136</v>
      </c>
      <c r="CA918">
        <f t="shared" si="221"/>
        <v>0.99352155519239249</v>
      </c>
      <c r="CB918">
        <f t="shared" si="222"/>
        <v>0.67891464284095016</v>
      </c>
    </row>
    <row r="919" spans="1:80" x14ac:dyDescent="0.45">
      <c r="A919" s="11">
        <v>34</v>
      </c>
      <c r="B919" s="12">
        <f t="shared" si="210"/>
        <v>34</v>
      </c>
      <c r="C919" s="12" t="s">
        <v>59</v>
      </c>
      <c r="D919" s="12">
        <v>0</v>
      </c>
      <c r="E919" s="12" t="s">
        <v>53</v>
      </c>
      <c r="F919" s="12">
        <v>0</v>
      </c>
      <c r="G919" s="12">
        <v>1</v>
      </c>
      <c r="H919" s="12" t="s">
        <v>54</v>
      </c>
      <c r="I919" s="12">
        <v>0</v>
      </c>
      <c r="J919" s="12">
        <v>1</v>
      </c>
      <c r="K919" s="12">
        <v>2</v>
      </c>
      <c r="L919" s="12">
        <f t="shared" si="211"/>
        <v>2</v>
      </c>
      <c r="M919" s="12">
        <v>3</v>
      </c>
      <c r="N919" s="12" t="s">
        <v>90</v>
      </c>
      <c r="O919" s="12">
        <v>0</v>
      </c>
      <c r="P919" s="12">
        <v>0</v>
      </c>
      <c r="Q919" s="12">
        <v>0</v>
      </c>
      <c r="R919" s="12">
        <v>1</v>
      </c>
      <c r="S919" s="12">
        <v>0</v>
      </c>
      <c r="T919" s="12">
        <v>3</v>
      </c>
      <c r="U919" s="12" t="s">
        <v>19</v>
      </c>
      <c r="V919" s="12">
        <v>1</v>
      </c>
      <c r="W919" s="12">
        <v>86</v>
      </c>
      <c r="X919" s="12">
        <v>3</v>
      </c>
      <c r="Y919" s="12">
        <v>2</v>
      </c>
      <c r="Z919" s="12" t="s">
        <v>56</v>
      </c>
      <c r="AA919" s="12">
        <v>0</v>
      </c>
      <c r="AB919" s="12">
        <v>1</v>
      </c>
      <c r="AC919" s="12">
        <v>0</v>
      </c>
      <c r="AD919" s="12">
        <v>0</v>
      </c>
      <c r="AE919" s="12">
        <v>0</v>
      </c>
      <c r="AF919" s="12">
        <v>0</v>
      </c>
      <c r="AG919" s="12">
        <v>0</v>
      </c>
      <c r="AH919" s="12">
        <v>0</v>
      </c>
      <c r="AI919" s="12">
        <v>1</v>
      </c>
      <c r="AJ919" s="12" t="s">
        <v>57</v>
      </c>
      <c r="AK919" s="12">
        <v>1</v>
      </c>
      <c r="AL919" s="12">
        <v>0</v>
      </c>
      <c r="AM919" s="12">
        <v>4538</v>
      </c>
      <c r="AN919" s="12">
        <f t="shared" si="212"/>
        <v>4538</v>
      </c>
      <c r="AO919" s="12">
        <v>0</v>
      </c>
      <c r="AP919" s="12" t="s">
        <v>52</v>
      </c>
      <c r="AQ919" s="12">
        <v>1</v>
      </c>
      <c r="AR919" s="12">
        <v>12</v>
      </c>
      <c r="AS919" s="12">
        <v>3</v>
      </c>
      <c r="AT919" s="12">
        <v>4</v>
      </c>
      <c r="AU919" s="12">
        <v>0</v>
      </c>
      <c r="AV919" s="12">
        <v>4</v>
      </c>
      <c r="AW919" s="12">
        <f t="shared" si="213"/>
        <v>4</v>
      </c>
      <c r="AX919" s="12">
        <v>3</v>
      </c>
      <c r="AY919" s="12">
        <v>3</v>
      </c>
      <c r="AZ919" s="12">
        <v>3</v>
      </c>
      <c r="BA919" s="12">
        <f t="shared" si="214"/>
        <v>3</v>
      </c>
      <c r="BB919" s="12">
        <v>2</v>
      </c>
      <c r="BC919" s="12">
        <v>0</v>
      </c>
      <c r="BD919" s="12">
        <f t="shared" si="223"/>
        <v>0</v>
      </c>
      <c r="BE919" s="12">
        <v>2</v>
      </c>
      <c r="BF919" s="12">
        <f t="shared" si="215"/>
        <v>2</v>
      </c>
      <c r="BG919" s="12">
        <f t="shared" si="224"/>
        <v>4</v>
      </c>
      <c r="BH919" s="67">
        <v>1</v>
      </c>
      <c r="BI919" s="67">
        <v>0</v>
      </c>
      <c r="BJ919" s="67">
        <v>0</v>
      </c>
      <c r="BK919" s="67">
        <v>0</v>
      </c>
      <c r="BL919" s="67">
        <v>0</v>
      </c>
      <c r="BM919" s="67">
        <v>1</v>
      </c>
      <c r="BN919" s="67">
        <v>0</v>
      </c>
      <c r="BO919" s="67">
        <v>0</v>
      </c>
      <c r="BP919" s="67">
        <v>0</v>
      </c>
      <c r="BQ919" s="67">
        <v>0</v>
      </c>
      <c r="BR919" s="67">
        <v>2</v>
      </c>
      <c r="BS919" s="67">
        <v>0</v>
      </c>
      <c r="BT919" s="67">
        <v>0</v>
      </c>
      <c r="BU919" s="70">
        <v>4</v>
      </c>
      <c r="BV919" s="29">
        <f t="shared" si="216"/>
        <v>0.41736391879621632</v>
      </c>
      <c r="BW919">
        <f t="shared" si="217"/>
        <v>0.59502473559756086</v>
      </c>
      <c r="BX919">
        <f t="shared" si="218"/>
        <v>0.93558618405172878</v>
      </c>
      <c r="BY919">
        <f t="shared" si="219"/>
        <v>0.65423109602898355</v>
      </c>
      <c r="BZ919">
        <f t="shared" si="220"/>
        <v>0.88721318382472392</v>
      </c>
      <c r="CA919">
        <f t="shared" si="221"/>
        <v>0.32005363845127444</v>
      </c>
      <c r="CB919">
        <f t="shared" si="222"/>
        <v>0.67891464284095016</v>
      </c>
    </row>
    <row r="920" spans="1:80" x14ac:dyDescent="0.45">
      <c r="A920" s="11">
        <v>51</v>
      </c>
      <c r="B920" s="12">
        <f t="shared" si="210"/>
        <v>51</v>
      </c>
      <c r="C920" s="12" t="s">
        <v>59</v>
      </c>
      <c r="D920" s="12">
        <v>0</v>
      </c>
      <c r="E920" s="12" t="s">
        <v>60</v>
      </c>
      <c r="F920" s="12">
        <v>1</v>
      </c>
      <c r="G920" s="12">
        <v>0</v>
      </c>
      <c r="H920" s="12" t="s">
        <v>54</v>
      </c>
      <c r="I920" s="12">
        <v>0</v>
      </c>
      <c r="J920" s="12">
        <v>1</v>
      </c>
      <c r="K920" s="12">
        <v>9</v>
      </c>
      <c r="L920" s="12">
        <f t="shared" si="211"/>
        <v>9</v>
      </c>
      <c r="M920" s="12">
        <v>3</v>
      </c>
      <c r="N920" s="12" t="s">
        <v>55</v>
      </c>
      <c r="O920" s="12">
        <v>1</v>
      </c>
      <c r="P920" s="12">
        <v>0</v>
      </c>
      <c r="Q920" s="12">
        <v>0</v>
      </c>
      <c r="R920" s="12">
        <v>0</v>
      </c>
      <c r="S920" s="12">
        <v>0</v>
      </c>
      <c r="T920" s="12">
        <v>4</v>
      </c>
      <c r="U920" s="12" t="s">
        <v>62</v>
      </c>
      <c r="V920" s="12">
        <v>0</v>
      </c>
      <c r="W920" s="12">
        <v>83</v>
      </c>
      <c r="X920" s="12">
        <v>3</v>
      </c>
      <c r="Y920" s="12">
        <v>5</v>
      </c>
      <c r="Z920" s="12" t="s">
        <v>87</v>
      </c>
      <c r="AA920" s="12">
        <v>0</v>
      </c>
      <c r="AB920" s="12">
        <v>0</v>
      </c>
      <c r="AC920" s="12">
        <v>0</v>
      </c>
      <c r="AD920" s="12">
        <v>1</v>
      </c>
      <c r="AE920" s="12">
        <v>0</v>
      </c>
      <c r="AF920" s="12">
        <v>0</v>
      </c>
      <c r="AG920" s="12">
        <v>0</v>
      </c>
      <c r="AH920" s="12">
        <v>0</v>
      </c>
      <c r="AI920" s="12">
        <v>2</v>
      </c>
      <c r="AJ920" s="12" t="s">
        <v>78</v>
      </c>
      <c r="AK920" s="12">
        <v>0</v>
      </c>
      <c r="AL920" s="12">
        <v>0</v>
      </c>
      <c r="AM920" s="12">
        <v>19847</v>
      </c>
      <c r="AN920" s="12">
        <f t="shared" si="212"/>
        <v>19626.310000000001</v>
      </c>
      <c r="AO920" s="12">
        <v>4</v>
      </c>
      <c r="AP920" s="12" t="s">
        <v>52</v>
      </c>
      <c r="AQ920" s="12">
        <v>1</v>
      </c>
      <c r="AR920" s="12">
        <v>24</v>
      </c>
      <c r="AS920" s="12">
        <v>4</v>
      </c>
      <c r="AT920" s="12">
        <v>1</v>
      </c>
      <c r="AU920" s="12">
        <v>1</v>
      </c>
      <c r="AV920" s="12">
        <v>31</v>
      </c>
      <c r="AW920" s="12">
        <f t="shared" si="213"/>
        <v>31</v>
      </c>
      <c r="AX920" s="12">
        <v>5</v>
      </c>
      <c r="AY920" s="12">
        <v>2</v>
      </c>
      <c r="AZ920" s="12">
        <v>29</v>
      </c>
      <c r="BA920" s="12">
        <f t="shared" si="214"/>
        <v>29</v>
      </c>
      <c r="BB920" s="12">
        <v>10</v>
      </c>
      <c r="BC920" s="12">
        <v>11</v>
      </c>
      <c r="BD920" s="12">
        <f t="shared" si="223"/>
        <v>11</v>
      </c>
      <c r="BE920" s="12">
        <v>10</v>
      </c>
      <c r="BF920" s="12">
        <f t="shared" si="215"/>
        <v>10</v>
      </c>
      <c r="BG920" s="12">
        <f t="shared" si="224"/>
        <v>50</v>
      </c>
      <c r="BH920" s="67">
        <v>0</v>
      </c>
      <c r="BI920" s="67">
        <v>0</v>
      </c>
      <c r="BJ920" s="67">
        <v>1</v>
      </c>
      <c r="BK920" s="67">
        <v>0</v>
      </c>
      <c r="BL920" s="67">
        <v>0</v>
      </c>
      <c r="BM920" s="67">
        <v>1</v>
      </c>
      <c r="BN920" s="67">
        <v>0</v>
      </c>
      <c r="BO920" s="67">
        <v>0</v>
      </c>
      <c r="BP920" s="67">
        <v>0</v>
      </c>
      <c r="BQ920" s="67">
        <v>0</v>
      </c>
      <c r="BR920" s="67">
        <v>10</v>
      </c>
      <c r="BS920" s="67">
        <v>0</v>
      </c>
      <c r="BT920" s="67">
        <v>0</v>
      </c>
      <c r="BU920" s="70">
        <v>31</v>
      </c>
      <c r="BV920" s="29">
        <f t="shared" si="216"/>
        <v>2.8343651656679283</v>
      </c>
      <c r="BW920">
        <f t="shared" si="217"/>
        <v>1.6470421950744405</v>
      </c>
      <c r="BX920">
        <f t="shared" si="218"/>
        <v>2.5345021857280217</v>
      </c>
      <c r="BY920">
        <f t="shared" si="219"/>
        <v>3.5896101277028141</v>
      </c>
      <c r="BZ920">
        <f t="shared" si="220"/>
        <v>2.3747406698420157E-2</v>
      </c>
      <c r="CA920">
        <f t="shared" si="221"/>
        <v>1.5408445525439205</v>
      </c>
      <c r="CB920">
        <f t="shared" si="222"/>
        <v>2.7346580483089769</v>
      </c>
    </row>
    <row r="921" spans="1:80" x14ac:dyDescent="0.45">
      <c r="A921" s="11">
        <v>59</v>
      </c>
      <c r="B921" s="12">
        <f t="shared" si="210"/>
        <v>58.309999999999945</v>
      </c>
      <c r="C921" s="12" t="s">
        <v>59</v>
      </c>
      <c r="D921" s="12">
        <v>0</v>
      </c>
      <c r="E921" s="12" t="s">
        <v>53</v>
      </c>
      <c r="F921" s="12">
        <v>0</v>
      </c>
      <c r="G921" s="12">
        <v>1</v>
      </c>
      <c r="H921" s="12" t="s">
        <v>61</v>
      </c>
      <c r="I921" s="12">
        <v>1</v>
      </c>
      <c r="J921" s="12">
        <v>0</v>
      </c>
      <c r="K921" s="12">
        <v>18</v>
      </c>
      <c r="L921" s="12">
        <f t="shared" si="211"/>
        <v>18</v>
      </c>
      <c r="M921" s="12">
        <v>4</v>
      </c>
      <c r="N921" s="12" t="s">
        <v>70</v>
      </c>
      <c r="O921" s="12">
        <v>0</v>
      </c>
      <c r="P921" s="12">
        <v>0</v>
      </c>
      <c r="Q921" s="12">
        <v>1</v>
      </c>
      <c r="R921" s="12">
        <v>0</v>
      </c>
      <c r="S921" s="12">
        <v>0</v>
      </c>
      <c r="T921" s="12">
        <v>4</v>
      </c>
      <c r="U921" s="12" t="s">
        <v>62</v>
      </c>
      <c r="V921" s="12">
        <v>0</v>
      </c>
      <c r="W921" s="12">
        <v>67</v>
      </c>
      <c r="X921" s="12">
        <v>3</v>
      </c>
      <c r="Y921" s="12">
        <v>3</v>
      </c>
      <c r="Z921" s="12" t="s">
        <v>83</v>
      </c>
      <c r="AA921" s="12">
        <v>0</v>
      </c>
      <c r="AB921" s="12">
        <v>0</v>
      </c>
      <c r="AC921" s="12">
        <v>0</v>
      </c>
      <c r="AD921" s="12">
        <v>0</v>
      </c>
      <c r="AE921" s="12">
        <v>1</v>
      </c>
      <c r="AF921" s="12">
        <v>1</v>
      </c>
      <c r="AG921" s="12">
        <v>0</v>
      </c>
      <c r="AH921" s="12">
        <v>0</v>
      </c>
      <c r="AI921" s="12">
        <v>4</v>
      </c>
      <c r="AJ921" s="12" t="s">
        <v>57</v>
      </c>
      <c r="AK921" s="12">
        <v>1</v>
      </c>
      <c r="AL921" s="12">
        <v>0</v>
      </c>
      <c r="AM921" s="12">
        <v>10512</v>
      </c>
      <c r="AN921" s="12">
        <f t="shared" si="212"/>
        <v>10512</v>
      </c>
      <c r="AO921" s="12">
        <v>6</v>
      </c>
      <c r="AP921" s="12" t="s">
        <v>59</v>
      </c>
      <c r="AQ921" s="12">
        <v>0</v>
      </c>
      <c r="AR921" s="12">
        <v>12</v>
      </c>
      <c r="AS921" s="12">
        <v>3</v>
      </c>
      <c r="AT921" s="12">
        <v>4</v>
      </c>
      <c r="AU921" s="12">
        <v>0</v>
      </c>
      <c r="AV921" s="12">
        <v>25</v>
      </c>
      <c r="AW921" s="12">
        <f t="shared" si="213"/>
        <v>25</v>
      </c>
      <c r="AX921" s="12">
        <v>6</v>
      </c>
      <c r="AY921" s="12">
        <v>2</v>
      </c>
      <c r="AZ921" s="12">
        <v>9</v>
      </c>
      <c r="BA921" s="12">
        <f t="shared" si="214"/>
        <v>9</v>
      </c>
      <c r="BB921" s="12">
        <v>7</v>
      </c>
      <c r="BC921" s="12">
        <v>5</v>
      </c>
      <c r="BD921" s="12">
        <f t="shared" si="223"/>
        <v>5</v>
      </c>
      <c r="BE921" s="12">
        <v>4</v>
      </c>
      <c r="BF921" s="12">
        <f t="shared" si="215"/>
        <v>4</v>
      </c>
      <c r="BG921" s="12">
        <f t="shared" si="224"/>
        <v>12</v>
      </c>
      <c r="BH921" s="67">
        <v>1</v>
      </c>
      <c r="BI921" s="67">
        <v>0</v>
      </c>
      <c r="BJ921" s="67">
        <v>0</v>
      </c>
      <c r="BK921" s="67">
        <v>0</v>
      </c>
      <c r="BL921" s="67">
        <v>1</v>
      </c>
      <c r="BM921" s="67">
        <v>0</v>
      </c>
      <c r="BN921" s="67">
        <v>0</v>
      </c>
      <c r="BO921" s="67">
        <v>0</v>
      </c>
      <c r="BP921" s="67">
        <v>0</v>
      </c>
      <c r="BQ921" s="67">
        <v>4</v>
      </c>
      <c r="BR921" s="67">
        <v>0</v>
      </c>
      <c r="BS921" s="67">
        <v>0</v>
      </c>
      <c r="BT921" s="67">
        <v>25</v>
      </c>
      <c r="BU921" s="70">
        <v>0</v>
      </c>
      <c r="BV921" s="29">
        <f t="shared" si="216"/>
        <v>0.85155172236837973</v>
      </c>
      <c r="BW921">
        <f t="shared" si="217"/>
        <v>3.4508002929560584E-2</v>
      </c>
      <c r="BX921">
        <f t="shared" si="218"/>
        <v>1.7633714368880775</v>
      </c>
      <c r="BY921">
        <f t="shared" si="219"/>
        <v>0.32511687867835437</v>
      </c>
      <c r="BZ921">
        <f t="shared" si="220"/>
        <v>1.0864228781782561</v>
      </c>
      <c r="CA921">
        <f t="shared" si="221"/>
        <v>2.4165613483063648</v>
      </c>
      <c r="CB921">
        <f t="shared" si="222"/>
        <v>0.87270930768174382</v>
      </c>
    </row>
    <row r="922" spans="1:80" x14ac:dyDescent="0.45">
      <c r="A922" s="11">
        <v>34</v>
      </c>
      <c r="B922" s="12">
        <f t="shared" si="210"/>
        <v>34</v>
      </c>
      <c r="C922" s="12" t="s">
        <v>59</v>
      </c>
      <c r="D922" s="12">
        <v>0</v>
      </c>
      <c r="E922" s="12" t="s">
        <v>60</v>
      </c>
      <c r="F922" s="12">
        <v>1</v>
      </c>
      <c r="G922" s="12">
        <v>0</v>
      </c>
      <c r="H922" s="12" t="s">
        <v>61</v>
      </c>
      <c r="I922" s="12">
        <v>1</v>
      </c>
      <c r="J922" s="12">
        <v>0</v>
      </c>
      <c r="K922" s="12">
        <v>19</v>
      </c>
      <c r="L922" s="12">
        <f t="shared" si="211"/>
        <v>19</v>
      </c>
      <c r="M922" s="12">
        <v>3</v>
      </c>
      <c r="N922" s="12" t="s">
        <v>70</v>
      </c>
      <c r="O922" s="12">
        <v>0</v>
      </c>
      <c r="P922" s="12">
        <v>0</v>
      </c>
      <c r="Q922" s="12">
        <v>1</v>
      </c>
      <c r="R922" s="12">
        <v>0</v>
      </c>
      <c r="S922" s="12">
        <v>0</v>
      </c>
      <c r="T922" s="12">
        <v>3</v>
      </c>
      <c r="U922" s="12" t="s">
        <v>19</v>
      </c>
      <c r="V922" s="12">
        <v>1</v>
      </c>
      <c r="W922" s="12">
        <v>46</v>
      </c>
      <c r="X922" s="12">
        <v>3</v>
      </c>
      <c r="Y922" s="12">
        <v>2</v>
      </c>
      <c r="Z922" s="12" t="s">
        <v>67</v>
      </c>
      <c r="AA922" s="12">
        <v>0</v>
      </c>
      <c r="AB922" s="12">
        <v>0</v>
      </c>
      <c r="AC922" s="12">
        <v>1</v>
      </c>
      <c r="AD922" s="12">
        <v>0</v>
      </c>
      <c r="AE922" s="12">
        <v>0</v>
      </c>
      <c r="AF922" s="12">
        <v>0</v>
      </c>
      <c r="AG922" s="12">
        <v>0</v>
      </c>
      <c r="AH922" s="12">
        <v>0</v>
      </c>
      <c r="AI922" s="12">
        <v>2</v>
      </c>
      <c r="AJ922" s="12" t="s">
        <v>78</v>
      </c>
      <c r="AK922" s="12">
        <v>0</v>
      </c>
      <c r="AL922" s="12">
        <v>0</v>
      </c>
      <c r="AM922" s="12">
        <v>4444</v>
      </c>
      <c r="AN922" s="12">
        <f t="shared" si="212"/>
        <v>4444</v>
      </c>
      <c r="AO922" s="12">
        <v>4</v>
      </c>
      <c r="AP922" s="12" t="s">
        <v>59</v>
      </c>
      <c r="AQ922" s="12">
        <v>0</v>
      </c>
      <c r="AR922" s="12">
        <v>13</v>
      </c>
      <c r="AS922" s="12">
        <v>3</v>
      </c>
      <c r="AT922" s="12">
        <v>3</v>
      </c>
      <c r="AU922" s="12">
        <v>2</v>
      </c>
      <c r="AV922" s="12">
        <v>15</v>
      </c>
      <c r="AW922" s="12">
        <f t="shared" si="213"/>
        <v>15</v>
      </c>
      <c r="AX922" s="12">
        <v>2</v>
      </c>
      <c r="AY922" s="12">
        <v>4</v>
      </c>
      <c r="AZ922" s="12">
        <v>11</v>
      </c>
      <c r="BA922" s="12">
        <f t="shared" si="214"/>
        <v>11</v>
      </c>
      <c r="BB922" s="12">
        <v>8</v>
      </c>
      <c r="BC922" s="12">
        <v>5</v>
      </c>
      <c r="BD922" s="12">
        <f t="shared" si="223"/>
        <v>5</v>
      </c>
      <c r="BE922" s="12">
        <v>10</v>
      </c>
      <c r="BF922" s="12">
        <f t="shared" si="215"/>
        <v>10</v>
      </c>
      <c r="BG922" s="12">
        <f t="shared" si="224"/>
        <v>20</v>
      </c>
      <c r="BH922" s="67">
        <v>0</v>
      </c>
      <c r="BI922" s="67">
        <v>0</v>
      </c>
      <c r="BJ922" s="67">
        <v>1</v>
      </c>
      <c r="BK922" s="67">
        <v>0</v>
      </c>
      <c r="BL922" s="67">
        <v>1</v>
      </c>
      <c r="BM922" s="67">
        <v>0</v>
      </c>
      <c r="BN922" s="67">
        <v>0</v>
      </c>
      <c r="BO922" s="67">
        <v>0</v>
      </c>
      <c r="BP922" s="67">
        <v>0</v>
      </c>
      <c r="BQ922" s="67">
        <v>10</v>
      </c>
      <c r="BR922" s="67">
        <v>0</v>
      </c>
      <c r="BS922" s="67">
        <v>0</v>
      </c>
      <c r="BT922" s="67">
        <v>15</v>
      </c>
      <c r="BU922" s="70">
        <v>0</v>
      </c>
      <c r="BV922" s="29">
        <f t="shared" si="216"/>
        <v>0.43733011736827393</v>
      </c>
      <c r="BW922">
        <f t="shared" si="217"/>
        <v>1.6470421950744405</v>
      </c>
      <c r="BX922">
        <f t="shared" si="218"/>
        <v>0.47815352215483642</v>
      </c>
      <c r="BY922">
        <f t="shared" si="219"/>
        <v>0.65156620358080031</v>
      </c>
      <c r="BZ922">
        <f t="shared" si="220"/>
        <v>1.2097751320534422</v>
      </c>
      <c r="CA922">
        <f t="shared" si="221"/>
        <v>0.32005363845127444</v>
      </c>
      <c r="CB922">
        <f t="shared" si="222"/>
        <v>0.87270930768174382</v>
      </c>
    </row>
    <row r="923" spans="1:80" x14ac:dyDescent="0.45">
      <c r="A923" s="11">
        <v>28</v>
      </c>
      <c r="B923" s="12">
        <f t="shared" si="210"/>
        <v>28</v>
      </c>
      <c r="C923" s="12" t="s">
        <v>59</v>
      </c>
      <c r="D923" s="12">
        <v>0</v>
      </c>
      <c r="E923" s="12" t="s">
        <v>60</v>
      </c>
      <c r="F923" s="12">
        <v>1</v>
      </c>
      <c r="G923" s="12">
        <v>0</v>
      </c>
      <c r="H923" s="12" t="s">
        <v>61</v>
      </c>
      <c r="I923" s="12">
        <v>1</v>
      </c>
      <c r="J923" s="12">
        <v>0</v>
      </c>
      <c r="K923" s="12">
        <v>1</v>
      </c>
      <c r="L923" s="12">
        <f t="shared" si="211"/>
        <v>1</v>
      </c>
      <c r="M923" s="12">
        <v>4</v>
      </c>
      <c r="N923" s="12" t="s">
        <v>70</v>
      </c>
      <c r="O923" s="12">
        <v>0</v>
      </c>
      <c r="P923" s="12">
        <v>0</v>
      </c>
      <c r="Q923" s="12">
        <v>1</v>
      </c>
      <c r="R923" s="12">
        <v>0</v>
      </c>
      <c r="S923" s="12">
        <v>0</v>
      </c>
      <c r="T923" s="12">
        <v>4</v>
      </c>
      <c r="U923" s="12" t="s">
        <v>62</v>
      </c>
      <c r="V923" s="12">
        <v>0</v>
      </c>
      <c r="W923" s="12">
        <v>44</v>
      </c>
      <c r="X923" s="12">
        <v>3</v>
      </c>
      <c r="Y923" s="12">
        <v>1</v>
      </c>
      <c r="Z923" s="12" t="s">
        <v>67</v>
      </c>
      <c r="AA923" s="12">
        <v>0</v>
      </c>
      <c r="AB923" s="12">
        <v>0</v>
      </c>
      <c r="AC923" s="12">
        <v>1</v>
      </c>
      <c r="AD923" s="12">
        <v>0</v>
      </c>
      <c r="AE923" s="12">
        <v>0</v>
      </c>
      <c r="AF923" s="12">
        <v>0</v>
      </c>
      <c r="AG923" s="12">
        <v>0</v>
      </c>
      <c r="AH923" s="12">
        <v>0</v>
      </c>
      <c r="AI923" s="12">
        <v>3</v>
      </c>
      <c r="AJ923" s="12" t="s">
        <v>57</v>
      </c>
      <c r="AK923" s="12">
        <v>1</v>
      </c>
      <c r="AL923" s="12">
        <v>0</v>
      </c>
      <c r="AM923" s="12">
        <v>2154</v>
      </c>
      <c r="AN923" s="12">
        <f t="shared" si="212"/>
        <v>2154</v>
      </c>
      <c r="AO923" s="12">
        <v>0</v>
      </c>
      <c r="AP923" s="12" t="s">
        <v>52</v>
      </c>
      <c r="AQ923" s="12">
        <v>1</v>
      </c>
      <c r="AR923" s="12">
        <v>11</v>
      </c>
      <c r="AS923" s="12">
        <v>3</v>
      </c>
      <c r="AT923" s="12">
        <v>3</v>
      </c>
      <c r="AU923" s="12">
        <v>0</v>
      </c>
      <c r="AV923" s="12">
        <v>5</v>
      </c>
      <c r="AW923" s="12">
        <f t="shared" si="213"/>
        <v>5</v>
      </c>
      <c r="AX923" s="12">
        <v>2</v>
      </c>
      <c r="AY923" s="12">
        <v>2</v>
      </c>
      <c r="AZ923" s="12">
        <v>4</v>
      </c>
      <c r="BA923" s="12">
        <f t="shared" si="214"/>
        <v>4</v>
      </c>
      <c r="BB923" s="12">
        <v>2</v>
      </c>
      <c r="BC923" s="12">
        <v>0</v>
      </c>
      <c r="BD923" s="12">
        <f t="shared" si="223"/>
        <v>0</v>
      </c>
      <c r="BE923" s="12">
        <v>2</v>
      </c>
      <c r="BF923" s="12">
        <f t="shared" si="215"/>
        <v>2</v>
      </c>
      <c r="BG923" s="12">
        <f t="shared" si="224"/>
        <v>2</v>
      </c>
      <c r="BH923" s="67">
        <v>0</v>
      </c>
      <c r="BI923" s="67">
        <v>0</v>
      </c>
      <c r="BJ923" s="67">
        <v>1</v>
      </c>
      <c r="BK923" s="67">
        <v>0</v>
      </c>
      <c r="BL923" s="67">
        <v>0</v>
      </c>
      <c r="BM923" s="67">
        <v>1</v>
      </c>
      <c r="BN923" s="67">
        <v>0</v>
      </c>
      <c r="BO923" s="67">
        <v>0</v>
      </c>
      <c r="BP923" s="67">
        <v>0</v>
      </c>
      <c r="BQ923" s="67">
        <v>2</v>
      </c>
      <c r="BR923" s="67">
        <v>0</v>
      </c>
      <c r="BS923" s="67">
        <v>0</v>
      </c>
      <c r="BT923" s="67">
        <v>5</v>
      </c>
      <c r="BU923" s="70">
        <v>0</v>
      </c>
      <c r="BV923" s="29">
        <f t="shared" si="216"/>
        <v>0.92374069960244276</v>
      </c>
      <c r="BW923">
        <f t="shared" si="217"/>
        <v>0.59502473559756086</v>
      </c>
      <c r="BX923">
        <f t="shared" si="218"/>
        <v>0.80706439257840468</v>
      </c>
      <c r="BY923">
        <f t="shared" si="219"/>
        <v>0.49100643357776058</v>
      </c>
      <c r="BZ923">
        <f t="shared" si="220"/>
        <v>1.01056543769991</v>
      </c>
      <c r="CA923">
        <f t="shared" si="221"/>
        <v>0.97684123527310796</v>
      </c>
      <c r="CB923">
        <f t="shared" si="222"/>
        <v>0.67891464284095016</v>
      </c>
    </row>
    <row r="924" spans="1:80" x14ac:dyDescent="0.45">
      <c r="A924" s="11">
        <v>44</v>
      </c>
      <c r="B924" s="12">
        <f t="shared" si="210"/>
        <v>44</v>
      </c>
      <c r="C924" s="12" t="s">
        <v>59</v>
      </c>
      <c r="D924" s="12">
        <v>0</v>
      </c>
      <c r="E924" s="12" t="s">
        <v>53</v>
      </c>
      <c r="F924" s="12">
        <v>0</v>
      </c>
      <c r="G924" s="12">
        <v>1</v>
      </c>
      <c r="H924" s="12" t="s">
        <v>61</v>
      </c>
      <c r="I924" s="12">
        <v>1</v>
      </c>
      <c r="J924" s="12">
        <v>0</v>
      </c>
      <c r="K924" s="12">
        <v>4</v>
      </c>
      <c r="L924" s="12">
        <f t="shared" si="211"/>
        <v>4</v>
      </c>
      <c r="M924" s="12">
        <v>2</v>
      </c>
      <c r="N924" s="12" t="s">
        <v>55</v>
      </c>
      <c r="O924" s="12">
        <v>1</v>
      </c>
      <c r="P924" s="12">
        <v>0</v>
      </c>
      <c r="Q924" s="12">
        <v>0</v>
      </c>
      <c r="R924" s="12">
        <v>0</v>
      </c>
      <c r="S924" s="12">
        <v>0</v>
      </c>
      <c r="T924" s="12">
        <v>3</v>
      </c>
      <c r="U924" s="12" t="s">
        <v>62</v>
      </c>
      <c r="V924" s="12">
        <v>0</v>
      </c>
      <c r="W924" s="12">
        <v>92</v>
      </c>
      <c r="X924" s="12">
        <v>4</v>
      </c>
      <c r="Y924" s="12">
        <v>5</v>
      </c>
      <c r="Z924" s="12" t="s">
        <v>87</v>
      </c>
      <c r="AA924" s="12">
        <v>0</v>
      </c>
      <c r="AB924" s="12">
        <v>0</v>
      </c>
      <c r="AC924" s="12">
        <v>0</v>
      </c>
      <c r="AD924" s="12">
        <v>1</v>
      </c>
      <c r="AE924" s="12">
        <v>0</v>
      </c>
      <c r="AF924" s="12">
        <v>0</v>
      </c>
      <c r="AG924" s="12">
        <v>0</v>
      </c>
      <c r="AH924" s="12">
        <v>0</v>
      </c>
      <c r="AI924" s="12">
        <v>1</v>
      </c>
      <c r="AJ924" s="12" t="s">
        <v>78</v>
      </c>
      <c r="AK924" s="12">
        <v>0</v>
      </c>
      <c r="AL924" s="12">
        <v>0</v>
      </c>
      <c r="AM924" s="12">
        <v>19190</v>
      </c>
      <c r="AN924" s="12">
        <f t="shared" si="212"/>
        <v>19190</v>
      </c>
      <c r="AO924" s="12">
        <v>1</v>
      </c>
      <c r="AP924" s="12" t="s">
        <v>59</v>
      </c>
      <c r="AQ924" s="12">
        <v>0</v>
      </c>
      <c r="AR924" s="12">
        <v>14</v>
      </c>
      <c r="AS924" s="12">
        <v>3</v>
      </c>
      <c r="AT924" s="12">
        <v>4</v>
      </c>
      <c r="AU924" s="12">
        <v>2</v>
      </c>
      <c r="AV924" s="12">
        <v>26</v>
      </c>
      <c r="AW924" s="12">
        <f t="shared" si="213"/>
        <v>26</v>
      </c>
      <c r="AX924" s="12">
        <v>4</v>
      </c>
      <c r="AY924" s="12">
        <v>2</v>
      </c>
      <c r="AZ924" s="12">
        <v>25</v>
      </c>
      <c r="BA924" s="12">
        <f t="shared" si="214"/>
        <v>25</v>
      </c>
      <c r="BB924" s="12">
        <v>9</v>
      </c>
      <c r="BC924" s="12">
        <v>14</v>
      </c>
      <c r="BD924" s="12">
        <f t="shared" si="223"/>
        <v>14</v>
      </c>
      <c r="BE924" s="12">
        <v>13</v>
      </c>
      <c r="BF924" s="12">
        <f t="shared" si="215"/>
        <v>13</v>
      </c>
      <c r="BG924" s="12">
        <f t="shared" si="224"/>
        <v>65</v>
      </c>
      <c r="BH924" s="67">
        <v>1</v>
      </c>
      <c r="BI924" s="67">
        <v>0</v>
      </c>
      <c r="BJ924" s="67">
        <v>0</v>
      </c>
      <c r="BK924" s="67">
        <v>0</v>
      </c>
      <c r="BL924" s="67">
        <v>1</v>
      </c>
      <c r="BM924" s="67">
        <v>0</v>
      </c>
      <c r="BN924" s="67">
        <v>0</v>
      </c>
      <c r="BO924" s="67">
        <v>0</v>
      </c>
      <c r="BP924" s="67">
        <v>0</v>
      </c>
      <c r="BQ924" s="67">
        <v>13</v>
      </c>
      <c r="BR924" s="67">
        <v>0</v>
      </c>
      <c r="BS924" s="67">
        <v>0</v>
      </c>
      <c r="BT924" s="67">
        <v>26</v>
      </c>
      <c r="BU924" s="70">
        <v>0</v>
      </c>
      <c r="BV924" s="29">
        <f t="shared" si="216"/>
        <v>2.6948141820313132</v>
      </c>
      <c r="BW924">
        <f t="shared" si="217"/>
        <v>2.4878172940764407</v>
      </c>
      <c r="BX924">
        <f t="shared" si="218"/>
        <v>1.8918932283614016</v>
      </c>
      <c r="BY924">
        <f t="shared" si="219"/>
        <v>2.936711477897922</v>
      </c>
      <c r="BZ924">
        <f t="shared" si="220"/>
        <v>0.64050867607435136</v>
      </c>
      <c r="CA924">
        <f t="shared" si="221"/>
        <v>0.77459235625178136</v>
      </c>
      <c r="CB924">
        <f t="shared" si="222"/>
        <v>3.665632418622593</v>
      </c>
    </row>
    <row r="925" spans="1:80" x14ac:dyDescent="0.45">
      <c r="A925" s="11">
        <v>34</v>
      </c>
      <c r="B925" s="12">
        <f t="shared" si="210"/>
        <v>34</v>
      </c>
      <c r="C925" s="12" t="s">
        <v>59</v>
      </c>
      <c r="D925" s="12">
        <v>0</v>
      </c>
      <c r="E925" s="12" t="s">
        <v>60</v>
      </c>
      <c r="F925" s="12">
        <v>1</v>
      </c>
      <c r="G925" s="12">
        <v>0</v>
      </c>
      <c r="H925" s="12" t="s">
        <v>97</v>
      </c>
      <c r="I925" s="12">
        <v>0</v>
      </c>
      <c r="J925" s="12">
        <v>0</v>
      </c>
      <c r="K925" s="12">
        <v>11</v>
      </c>
      <c r="L925" s="12">
        <f t="shared" si="211"/>
        <v>11</v>
      </c>
      <c r="M925" s="12">
        <v>3</v>
      </c>
      <c r="N925" s="12" t="s">
        <v>55</v>
      </c>
      <c r="O925" s="12">
        <v>1</v>
      </c>
      <c r="P925" s="12">
        <v>0</v>
      </c>
      <c r="Q925" s="12">
        <v>0</v>
      </c>
      <c r="R925" s="12">
        <v>0</v>
      </c>
      <c r="S925" s="12">
        <v>0</v>
      </c>
      <c r="T925" s="12">
        <v>3</v>
      </c>
      <c r="U925" s="12" t="s">
        <v>62</v>
      </c>
      <c r="V925" s="12">
        <v>0</v>
      </c>
      <c r="W925" s="12">
        <v>56</v>
      </c>
      <c r="X925" s="12">
        <v>2</v>
      </c>
      <c r="Y925" s="12">
        <v>2</v>
      </c>
      <c r="Z925" s="12" t="s">
        <v>97</v>
      </c>
      <c r="AA925" s="12">
        <v>0</v>
      </c>
      <c r="AB925" s="12">
        <v>0</v>
      </c>
      <c r="AC925" s="12">
        <v>0</v>
      </c>
      <c r="AD925" s="12">
        <v>0</v>
      </c>
      <c r="AE925" s="12">
        <v>0</v>
      </c>
      <c r="AF925" s="12">
        <v>0</v>
      </c>
      <c r="AG925" s="12">
        <v>0</v>
      </c>
      <c r="AH925" s="12">
        <v>0</v>
      </c>
      <c r="AI925" s="12">
        <v>2</v>
      </c>
      <c r="AJ925" s="12" t="s">
        <v>64</v>
      </c>
      <c r="AK925" s="12">
        <v>0</v>
      </c>
      <c r="AL925" s="12">
        <v>1</v>
      </c>
      <c r="AM925" s="12">
        <v>4490</v>
      </c>
      <c r="AN925" s="12">
        <f t="shared" si="212"/>
        <v>4490</v>
      </c>
      <c r="AO925" s="12">
        <v>4</v>
      </c>
      <c r="AP925" s="12" t="s">
        <v>59</v>
      </c>
      <c r="AQ925" s="12">
        <v>0</v>
      </c>
      <c r="AR925" s="12">
        <v>11</v>
      </c>
      <c r="AS925" s="12">
        <v>3</v>
      </c>
      <c r="AT925" s="12">
        <v>4</v>
      </c>
      <c r="AU925" s="12">
        <v>2</v>
      </c>
      <c r="AV925" s="12">
        <v>14</v>
      </c>
      <c r="AW925" s="12">
        <f t="shared" si="213"/>
        <v>14</v>
      </c>
      <c r="AX925" s="12">
        <v>5</v>
      </c>
      <c r="AY925" s="12">
        <v>4</v>
      </c>
      <c r="AZ925" s="12">
        <v>10</v>
      </c>
      <c r="BA925" s="12">
        <f t="shared" si="214"/>
        <v>10</v>
      </c>
      <c r="BB925" s="12">
        <v>9</v>
      </c>
      <c r="BC925" s="12">
        <v>1</v>
      </c>
      <c r="BD925" s="12">
        <f t="shared" si="223"/>
        <v>1</v>
      </c>
      <c r="BE925" s="12">
        <v>8</v>
      </c>
      <c r="BF925" s="12">
        <f t="shared" si="215"/>
        <v>8</v>
      </c>
      <c r="BG925" s="12">
        <f t="shared" si="224"/>
        <v>16</v>
      </c>
      <c r="BH925" s="67">
        <v>0</v>
      </c>
      <c r="BI925" s="67">
        <v>0</v>
      </c>
      <c r="BJ925" s="67">
        <v>0</v>
      </c>
      <c r="BK925" s="67">
        <v>1</v>
      </c>
      <c r="BL925" s="67">
        <v>0</v>
      </c>
      <c r="BM925" s="67">
        <v>0</v>
      </c>
      <c r="BN925" s="67">
        <v>1</v>
      </c>
      <c r="BO925" s="67">
        <v>0</v>
      </c>
      <c r="BP925" s="67">
        <v>8</v>
      </c>
      <c r="BQ925" s="67">
        <v>0</v>
      </c>
      <c r="BR925" s="67">
        <v>0</v>
      </c>
      <c r="BS925" s="67">
        <v>14</v>
      </c>
      <c r="BT925" s="67">
        <v>0</v>
      </c>
      <c r="BU925" s="70">
        <v>0</v>
      </c>
      <c r="BV925" s="29">
        <f t="shared" si="216"/>
        <v>0.42755942445003298</v>
      </c>
      <c r="BW925">
        <f t="shared" si="217"/>
        <v>1.08652546240644</v>
      </c>
      <c r="BX925">
        <f t="shared" si="218"/>
        <v>0.34963173068151232</v>
      </c>
      <c r="BY925">
        <f t="shared" si="219"/>
        <v>0.48834154112957734</v>
      </c>
      <c r="BZ925">
        <f t="shared" si="220"/>
        <v>0.22295710105195232</v>
      </c>
      <c r="CA925">
        <f t="shared" si="221"/>
        <v>0.32005363845127444</v>
      </c>
      <c r="CB925">
        <f t="shared" si="222"/>
        <v>0.36858985273641137</v>
      </c>
    </row>
    <row r="926" spans="1:80" x14ac:dyDescent="0.45">
      <c r="A926" s="11">
        <v>35</v>
      </c>
      <c r="B926" s="12">
        <f t="shared" si="210"/>
        <v>35</v>
      </c>
      <c r="C926" s="12" t="s">
        <v>59</v>
      </c>
      <c r="D926" s="12">
        <v>0</v>
      </c>
      <c r="E926" s="12" t="s">
        <v>53</v>
      </c>
      <c r="F926" s="12">
        <v>0</v>
      </c>
      <c r="G926" s="12">
        <v>1</v>
      </c>
      <c r="H926" s="12" t="s">
        <v>61</v>
      </c>
      <c r="I926" s="12">
        <v>1</v>
      </c>
      <c r="J926" s="12">
        <v>0</v>
      </c>
      <c r="K926" s="12">
        <v>6</v>
      </c>
      <c r="L926" s="12">
        <f t="shared" si="211"/>
        <v>6</v>
      </c>
      <c r="M926" s="12">
        <v>1</v>
      </c>
      <c r="N926" s="12" t="s">
        <v>55</v>
      </c>
      <c r="O926" s="12">
        <v>1</v>
      </c>
      <c r="P926" s="12">
        <v>0</v>
      </c>
      <c r="Q926" s="12">
        <v>0</v>
      </c>
      <c r="R926" s="12">
        <v>0</v>
      </c>
      <c r="S926" s="12">
        <v>0</v>
      </c>
      <c r="T926" s="12">
        <v>3</v>
      </c>
      <c r="U926" s="12" t="s">
        <v>62</v>
      </c>
      <c r="V926" s="12">
        <v>0</v>
      </c>
      <c r="W926" s="12">
        <v>66</v>
      </c>
      <c r="X926" s="12">
        <v>3</v>
      </c>
      <c r="Y926" s="12">
        <v>1</v>
      </c>
      <c r="Z926" s="12" t="s">
        <v>63</v>
      </c>
      <c r="AA926" s="12">
        <v>0</v>
      </c>
      <c r="AB926" s="12">
        <v>0</v>
      </c>
      <c r="AC926" s="12">
        <v>0</v>
      </c>
      <c r="AD926" s="12">
        <v>0</v>
      </c>
      <c r="AE926" s="12">
        <v>0</v>
      </c>
      <c r="AF926" s="12">
        <v>0</v>
      </c>
      <c r="AG926" s="12">
        <v>0</v>
      </c>
      <c r="AH926" s="12">
        <v>1</v>
      </c>
      <c r="AI926" s="12">
        <v>3</v>
      </c>
      <c r="AJ926" s="12" t="s">
        <v>64</v>
      </c>
      <c r="AK926" s="12">
        <v>0</v>
      </c>
      <c r="AL926" s="12">
        <v>1</v>
      </c>
      <c r="AM926" s="12">
        <v>3506</v>
      </c>
      <c r="AN926" s="12">
        <f t="shared" si="212"/>
        <v>3506</v>
      </c>
      <c r="AO926" s="12">
        <v>0</v>
      </c>
      <c r="AP926" s="12" t="s">
        <v>52</v>
      </c>
      <c r="AQ926" s="12">
        <v>1</v>
      </c>
      <c r="AR926" s="12">
        <v>14</v>
      </c>
      <c r="AS926" s="12">
        <v>3</v>
      </c>
      <c r="AT926" s="12">
        <v>4</v>
      </c>
      <c r="AU926" s="12">
        <v>0</v>
      </c>
      <c r="AV926" s="12">
        <v>4</v>
      </c>
      <c r="AW926" s="12">
        <f t="shared" si="213"/>
        <v>4</v>
      </c>
      <c r="AX926" s="12">
        <v>3</v>
      </c>
      <c r="AY926" s="12">
        <v>3</v>
      </c>
      <c r="AZ926" s="12">
        <v>3</v>
      </c>
      <c r="BA926" s="12">
        <f t="shared" si="214"/>
        <v>3</v>
      </c>
      <c r="BB926" s="12">
        <v>2</v>
      </c>
      <c r="BC926" s="12">
        <v>2</v>
      </c>
      <c r="BD926" s="12">
        <f t="shared" si="223"/>
        <v>2</v>
      </c>
      <c r="BE926" s="12">
        <v>2</v>
      </c>
      <c r="BF926" s="12">
        <f t="shared" si="215"/>
        <v>2</v>
      </c>
      <c r="BG926" s="12">
        <f t="shared" si="224"/>
        <v>2</v>
      </c>
      <c r="BH926" s="67">
        <v>0</v>
      </c>
      <c r="BI926" s="67">
        <v>1</v>
      </c>
      <c r="BJ926" s="67">
        <v>0</v>
      </c>
      <c r="BK926" s="67">
        <v>0</v>
      </c>
      <c r="BL926" s="67">
        <v>0</v>
      </c>
      <c r="BM926" s="67">
        <v>0</v>
      </c>
      <c r="BN926" s="67">
        <v>0</v>
      </c>
      <c r="BO926" s="67">
        <v>1</v>
      </c>
      <c r="BP926" s="67">
        <v>0</v>
      </c>
      <c r="BQ926" s="67">
        <v>2</v>
      </c>
      <c r="BR926" s="67">
        <v>0</v>
      </c>
      <c r="BS926" s="67">
        <v>0</v>
      </c>
      <c r="BT926" s="67">
        <v>4</v>
      </c>
      <c r="BU926" s="70">
        <v>0</v>
      </c>
      <c r="BV926" s="29">
        <f t="shared" si="216"/>
        <v>0.63656729035327408</v>
      </c>
      <c r="BW926">
        <f t="shared" si="217"/>
        <v>0.59502473559756086</v>
      </c>
      <c r="BX926">
        <f t="shared" si="218"/>
        <v>0.93558618405172878</v>
      </c>
      <c r="BY926">
        <f t="shared" si="219"/>
        <v>0.65423109602898355</v>
      </c>
      <c r="BZ926">
        <f t="shared" si="220"/>
        <v>0.39380416832397891</v>
      </c>
      <c r="CA926">
        <f t="shared" si="221"/>
        <v>0.21058903898096887</v>
      </c>
      <c r="CB926">
        <f t="shared" si="222"/>
        <v>5.8265062631872602E-2</v>
      </c>
    </row>
    <row r="927" spans="1:80" x14ac:dyDescent="0.45">
      <c r="A927" s="11">
        <v>42</v>
      </c>
      <c r="B927" s="12">
        <f t="shared" si="210"/>
        <v>42</v>
      </c>
      <c r="C927" s="12" t="s">
        <v>59</v>
      </c>
      <c r="D927" s="12">
        <v>0</v>
      </c>
      <c r="E927" s="12" t="s">
        <v>53</v>
      </c>
      <c r="F927" s="12">
        <v>0</v>
      </c>
      <c r="G927" s="12">
        <v>1</v>
      </c>
      <c r="H927" s="12" t="s">
        <v>61</v>
      </c>
      <c r="I927" s="12">
        <v>1</v>
      </c>
      <c r="J927" s="12">
        <v>0</v>
      </c>
      <c r="K927" s="12">
        <v>7</v>
      </c>
      <c r="L927" s="12">
        <f t="shared" si="211"/>
        <v>7</v>
      </c>
      <c r="M927" s="12">
        <v>4</v>
      </c>
      <c r="N927" s="12" t="s">
        <v>70</v>
      </c>
      <c r="O927" s="12">
        <v>0</v>
      </c>
      <c r="P927" s="12">
        <v>0</v>
      </c>
      <c r="Q927" s="12">
        <v>1</v>
      </c>
      <c r="R927" s="12">
        <v>0</v>
      </c>
      <c r="S927" s="12">
        <v>0</v>
      </c>
      <c r="T927" s="12">
        <v>2</v>
      </c>
      <c r="U927" s="12" t="s">
        <v>19</v>
      </c>
      <c r="V927" s="12">
        <v>1</v>
      </c>
      <c r="W927" s="12">
        <v>78</v>
      </c>
      <c r="X927" s="12">
        <v>4</v>
      </c>
      <c r="Y927" s="12">
        <v>2</v>
      </c>
      <c r="Z927" s="12" t="s">
        <v>63</v>
      </c>
      <c r="AA927" s="12">
        <v>0</v>
      </c>
      <c r="AB927" s="12">
        <v>0</v>
      </c>
      <c r="AC927" s="12">
        <v>0</v>
      </c>
      <c r="AD927" s="12">
        <v>0</v>
      </c>
      <c r="AE927" s="12">
        <v>0</v>
      </c>
      <c r="AF927" s="12">
        <v>0</v>
      </c>
      <c r="AG927" s="12">
        <v>0</v>
      </c>
      <c r="AH927" s="12">
        <v>1</v>
      </c>
      <c r="AI927" s="12">
        <v>2</v>
      </c>
      <c r="AJ927" s="12" t="s">
        <v>64</v>
      </c>
      <c r="AK927" s="12">
        <v>0</v>
      </c>
      <c r="AL927" s="12">
        <v>1</v>
      </c>
      <c r="AM927" s="12">
        <v>2372</v>
      </c>
      <c r="AN927" s="12">
        <f t="shared" si="212"/>
        <v>2372</v>
      </c>
      <c r="AO927" s="12">
        <v>6</v>
      </c>
      <c r="AP927" s="12" t="s">
        <v>52</v>
      </c>
      <c r="AQ927" s="12">
        <v>1</v>
      </c>
      <c r="AR927" s="12">
        <v>16</v>
      </c>
      <c r="AS927" s="12">
        <v>3</v>
      </c>
      <c r="AT927" s="12">
        <v>4</v>
      </c>
      <c r="AU927" s="12">
        <v>0</v>
      </c>
      <c r="AV927" s="12">
        <v>18</v>
      </c>
      <c r="AW927" s="12">
        <f t="shared" si="213"/>
        <v>18</v>
      </c>
      <c r="AX927" s="12">
        <v>2</v>
      </c>
      <c r="AY927" s="12">
        <v>3</v>
      </c>
      <c r="AZ927" s="12">
        <v>1</v>
      </c>
      <c r="BA927" s="12">
        <f t="shared" si="214"/>
        <v>1</v>
      </c>
      <c r="BB927" s="12">
        <v>0</v>
      </c>
      <c r="BC927" s="12">
        <v>0</v>
      </c>
      <c r="BD927" s="12">
        <f t="shared" si="223"/>
        <v>0</v>
      </c>
      <c r="BE927" s="12">
        <v>0</v>
      </c>
      <c r="BF927" s="12">
        <f t="shared" si="215"/>
        <v>0</v>
      </c>
      <c r="BG927" s="12">
        <f t="shared" si="224"/>
        <v>0</v>
      </c>
      <c r="BH927" s="67">
        <v>0</v>
      </c>
      <c r="BI927" s="67">
        <v>1</v>
      </c>
      <c r="BJ927" s="67">
        <v>0</v>
      </c>
      <c r="BK927" s="67">
        <v>0</v>
      </c>
      <c r="BL927" s="67">
        <v>0</v>
      </c>
      <c r="BM927" s="67">
        <v>0</v>
      </c>
      <c r="BN927" s="67">
        <v>0</v>
      </c>
      <c r="BO927" s="67">
        <v>1</v>
      </c>
      <c r="BP927" s="67">
        <v>0</v>
      </c>
      <c r="BQ927" s="67">
        <v>0</v>
      </c>
      <c r="BR927" s="67">
        <v>0</v>
      </c>
      <c r="BS927" s="67">
        <v>0</v>
      </c>
      <c r="BT927" s="67">
        <v>18</v>
      </c>
      <c r="BU927" s="70">
        <v>0</v>
      </c>
      <c r="BV927" s="29">
        <f t="shared" si="216"/>
        <v>0.87743611142469224</v>
      </c>
      <c r="BW927">
        <f t="shared" si="217"/>
        <v>1.1555414682655611</v>
      </c>
      <c r="BX927">
        <f t="shared" si="218"/>
        <v>0.86371889657480871</v>
      </c>
      <c r="BY927">
        <f t="shared" si="219"/>
        <v>0.9806804209314296</v>
      </c>
      <c r="BZ927">
        <f t="shared" si="220"/>
        <v>0.27045191444879263</v>
      </c>
      <c r="CA927">
        <f t="shared" si="221"/>
        <v>0.55566315731117022</v>
      </c>
      <c r="CB927">
        <f t="shared" si="222"/>
        <v>0.67891464284095016</v>
      </c>
    </row>
    <row r="928" spans="1:80" x14ac:dyDescent="0.45">
      <c r="A928" s="11">
        <v>43</v>
      </c>
      <c r="B928" s="12">
        <f t="shared" si="210"/>
        <v>43</v>
      </c>
      <c r="C928" s="12" t="s">
        <v>59</v>
      </c>
      <c r="D928" s="12">
        <v>0</v>
      </c>
      <c r="E928" s="12" t="s">
        <v>53</v>
      </c>
      <c r="F928" s="12">
        <v>0</v>
      </c>
      <c r="G928" s="12">
        <v>1</v>
      </c>
      <c r="H928" s="12" t="s">
        <v>54</v>
      </c>
      <c r="I928" s="12">
        <v>0</v>
      </c>
      <c r="J928" s="12">
        <v>1</v>
      </c>
      <c r="K928" s="12">
        <v>4</v>
      </c>
      <c r="L928" s="12">
        <f t="shared" si="211"/>
        <v>4</v>
      </c>
      <c r="M928" s="12">
        <v>4</v>
      </c>
      <c r="N928" s="12" t="s">
        <v>90</v>
      </c>
      <c r="O928" s="12">
        <v>0</v>
      </c>
      <c r="P928" s="12">
        <v>0</v>
      </c>
      <c r="Q928" s="12">
        <v>0</v>
      </c>
      <c r="R928" s="12">
        <v>1</v>
      </c>
      <c r="S928" s="12">
        <v>0</v>
      </c>
      <c r="T928" s="12">
        <v>4</v>
      </c>
      <c r="U928" s="12" t="s">
        <v>19</v>
      </c>
      <c r="V928" s="12">
        <v>1</v>
      </c>
      <c r="W928" s="12">
        <v>56</v>
      </c>
      <c r="X928" s="12">
        <v>2</v>
      </c>
      <c r="Y928" s="12">
        <v>3</v>
      </c>
      <c r="Z928" s="12" t="s">
        <v>56</v>
      </c>
      <c r="AA928" s="12">
        <v>0</v>
      </c>
      <c r="AB928" s="12">
        <v>1</v>
      </c>
      <c r="AC928" s="12">
        <v>0</v>
      </c>
      <c r="AD928" s="12">
        <v>0</v>
      </c>
      <c r="AE928" s="12">
        <v>0</v>
      </c>
      <c r="AF928" s="12">
        <v>0</v>
      </c>
      <c r="AG928" s="12">
        <v>0</v>
      </c>
      <c r="AH928" s="12">
        <v>0</v>
      </c>
      <c r="AI928" s="12">
        <v>4</v>
      </c>
      <c r="AJ928" s="12" t="s">
        <v>57</v>
      </c>
      <c r="AK928" s="12">
        <v>1</v>
      </c>
      <c r="AL928" s="12">
        <v>0</v>
      </c>
      <c r="AM928" s="12">
        <v>10231</v>
      </c>
      <c r="AN928" s="12">
        <f t="shared" si="212"/>
        <v>10231</v>
      </c>
      <c r="AO928" s="12">
        <v>3</v>
      </c>
      <c r="AP928" s="12" t="s">
        <v>59</v>
      </c>
      <c r="AQ928" s="12">
        <v>0</v>
      </c>
      <c r="AR928" s="12">
        <v>14</v>
      </c>
      <c r="AS928" s="12">
        <v>3</v>
      </c>
      <c r="AT928" s="12">
        <v>4</v>
      </c>
      <c r="AU928" s="12">
        <v>0</v>
      </c>
      <c r="AV928" s="12">
        <v>23</v>
      </c>
      <c r="AW928" s="12">
        <f t="shared" si="213"/>
        <v>23</v>
      </c>
      <c r="AX928" s="12">
        <v>3</v>
      </c>
      <c r="AY928" s="12">
        <v>4</v>
      </c>
      <c r="AZ928" s="12">
        <v>21</v>
      </c>
      <c r="BA928" s="12">
        <f t="shared" si="214"/>
        <v>21</v>
      </c>
      <c r="BB928" s="12">
        <v>7</v>
      </c>
      <c r="BC928" s="12">
        <v>15</v>
      </c>
      <c r="BD928" s="12">
        <f t="shared" si="223"/>
        <v>14</v>
      </c>
      <c r="BE928" s="12">
        <v>17</v>
      </c>
      <c r="BF928" s="12">
        <f t="shared" si="215"/>
        <v>14</v>
      </c>
      <c r="BG928" s="12">
        <f t="shared" si="224"/>
        <v>42</v>
      </c>
      <c r="BH928" s="67">
        <v>1</v>
      </c>
      <c r="BI928" s="67">
        <v>0</v>
      </c>
      <c r="BJ928" s="67">
        <v>0</v>
      </c>
      <c r="BK928" s="67">
        <v>0</v>
      </c>
      <c r="BL928" s="67">
        <v>1</v>
      </c>
      <c r="BM928" s="67">
        <v>0</v>
      </c>
      <c r="BN928" s="67">
        <v>0</v>
      </c>
      <c r="BO928" s="67">
        <v>0</v>
      </c>
      <c r="BP928" s="67">
        <v>0</v>
      </c>
      <c r="BQ928" s="67">
        <v>0</v>
      </c>
      <c r="BR928" s="67">
        <v>14</v>
      </c>
      <c r="BS928" s="67">
        <v>0</v>
      </c>
      <c r="BT928" s="67">
        <v>0</v>
      </c>
      <c r="BU928" s="70">
        <v>23</v>
      </c>
      <c r="BV928" s="29">
        <f t="shared" si="216"/>
        <v>0.79186553301999474</v>
      </c>
      <c r="BW928">
        <f t="shared" si="217"/>
        <v>3.6088507594124417</v>
      </c>
      <c r="BX928">
        <f t="shared" si="218"/>
        <v>1.5063278539414293</v>
      </c>
      <c r="BY928">
        <f t="shared" si="219"/>
        <v>2.2838128280930299</v>
      </c>
      <c r="BZ928">
        <f t="shared" si="220"/>
        <v>0.64050867607435136</v>
      </c>
      <c r="CA928">
        <f t="shared" si="221"/>
        <v>0.66512775678147573</v>
      </c>
      <c r="CB928">
        <f t="shared" si="222"/>
        <v>3.9759572087271318</v>
      </c>
    </row>
    <row r="929" spans="1:80" x14ac:dyDescent="0.45">
      <c r="A929" s="11">
        <v>36</v>
      </c>
      <c r="B929" s="12">
        <f t="shared" si="210"/>
        <v>36</v>
      </c>
      <c r="C929" s="12" t="s">
        <v>59</v>
      </c>
      <c r="D929" s="12">
        <v>0</v>
      </c>
      <c r="E929" s="12" t="s">
        <v>53</v>
      </c>
      <c r="F929" s="12">
        <v>0</v>
      </c>
      <c r="G929" s="12">
        <v>1</v>
      </c>
      <c r="H929" s="12" t="s">
        <v>61</v>
      </c>
      <c r="I929" s="12">
        <v>1</v>
      </c>
      <c r="J929" s="12">
        <v>0</v>
      </c>
      <c r="K929" s="12">
        <v>2</v>
      </c>
      <c r="L929" s="12">
        <f t="shared" si="211"/>
        <v>2</v>
      </c>
      <c r="M929" s="12">
        <v>4</v>
      </c>
      <c r="N929" s="12" t="s">
        <v>55</v>
      </c>
      <c r="O929" s="12">
        <v>1</v>
      </c>
      <c r="P929" s="12">
        <v>0</v>
      </c>
      <c r="Q929" s="12">
        <v>0</v>
      </c>
      <c r="R929" s="12">
        <v>0</v>
      </c>
      <c r="S929" s="12">
        <v>0</v>
      </c>
      <c r="T929" s="12">
        <v>3</v>
      </c>
      <c r="U929" s="12" t="s">
        <v>19</v>
      </c>
      <c r="V929" s="12">
        <v>1</v>
      </c>
      <c r="W929" s="12">
        <v>53</v>
      </c>
      <c r="X929" s="12">
        <v>3</v>
      </c>
      <c r="Y929" s="12">
        <v>2</v>
      </c>
      <c r="Z929" s="12" t="s">
        <v>83</v>
      </c>
      <c r="AA929" s="12">
        <v>0</v>
      </c>
      <c r="AB929" s="12">
        <v>0</v>
      </c>
      <c r="AC929" s="12">
        <v>0</v>
      </c>
      <c r="AD929" s="12">
        <v>0</v>
      </c>
      <c r="AE929" s="12">
        <v>1</v>
      </c>
      <c r="AF929" s="12">
        <v>1</v>
      </c>
      <c r="AG929" s="12">
        <v>0</v>
      </c>
      <c r="AH929" s="12">
        <v>0</v>
      </c>
      <c r="AI929" s="12">
        <v>2</v>
      </c>
      <c r="AJ929" s="12" t="s">
        <v>57</v>
      </c>
      <c r="AK929" s="12">
        <v>1</v>
      </c>
      <c r="AL929" s="12">
        <v>0</v>
      </c>
      <c r="AM929" s="12">
        <v>5410</v>
      </c>
      <c r="AN929" s="12">
        <f t="shared" si="212"/>
        <v>5410</v>
      </c>
      <c r="AO929" s="12">
        <v>9</v>
      </c>
      <c r="AP929" s="12" t="s">
        <v>52</v>
      </c>
      <c r="AQ929" s="12">
        <v>1</v>
      </c>
      <c r="AR929" s="12">
        <v>11</v>
      </c>
      <c r="AS929" s="12">
        <v>3</v>
      </c>
      <c r="AT929" s="12">
        <v>4</v>
      </c>
      <c r="AU929" s="12">
        <v>0</v>
      </c>
      <c r="AV929" s="12">
        <v>18</v>
      </c>
      <c r="AW929" s="12">
        <f t="shared" si="213"/>
        <v>18</v>
      </c>
      <c r="AX929" s="12">
        <v>2</v>
      </c>
      <c r="AY929" s="12">
        <v>3</v>
      </c>
      <c r="AZ929" s="12">
        <v>16</v>
      </c>
      <c r="BA929" s="12">
        <f t="shared" si="214"/>
        <v>16</v>
      </c>
      <c r="BB929" s="12">
        <v>14</v>
      </c>
      <c r="BC929" s="12">
        <v>5</v>
      </c>
      <c r="BD929" s="12">
        <f t="shared" si="223"/>
        <v>5</v>
      </c>
      <c r="BE929" s="12">
        <v>12</v>
      </c>
      <c r="BF929" s="12">
        <f t="shared" si="215"/>
        <v>12</v>
      </c>
      <c r="BG929" s="12">
        <f t="shared" si="224"/>
        <v>24</v>
      </c>
      <c r="BH929" s="67">
        <v>1</v>
      </c>
      <c r="BI929" s="67">
        <v>0</v>
      </c>
      <c r="BJ929" s="67">
        <v>0</v>
      </c>
      <c r="BK929" s="67">
        <v>0</v>
      </c>
      <c r="BL929" s="67">
        <v>0</v>
      </c>
      <c r="BM929" s="67">
        <v>1</v>
      </c>
      <c r="BN929" s="67">
        <v>0</v>
      </c>
      <c r="BO929" s="67">
        <v>0</v>
      </c>
      <c r="BP929" s="67">
        <v>0</v>
      </c>
      <c r="BQ929" s="67">
        <v>12</v>
      </c>
      <c r="BR929" s="67">
        <v>0</v>
      </c>
      <c r="BS929" s="67">
        <v>0</v>
      </c>
      <c r="BT929" s="67">
        <v>18</v>
      </c>
      <c r="BU929" s="70">
        <v>0</v>
      </c>
      <c r="BV929" s="29">
        <f t="shared" si="216"/>
        <v>0.23214556608521403</v>
      </c>
      <c r="BW929">
        <f t="shared" si="217"/>
        <v>2.2075589277424408</v>
      </c>
      <c r="BX929">
        <f t="shared" si="218"/>
        <v>0.86371889657480871</v>
      </c>
      <c r="BY929">
        <f t="shared" si="219"/>
        <v>1.4676895158369152</v>
      </c>
      <c r="BZ929">
        <f t="shared" si="220"/>
        <v>0.88721318382472392</v>
      </c>
      <c r="CA929">
        <f t="shared" si="221"/>
        <v>0.10112443951066327</v>
      </c>
      <c r="CB929">
        <f t="shared" si="222"/>
        <v>0.87270930768174382</v>
      </c>
    </row>
    <row r="930" spans="1:80" x14ac:dyDescent="0.45">
      <c r="A930" s="11">
        <v>44</v>
      </c>
      <c r="B930" s="12">
        <f t="shared" si="210"/>
        <v>44</v>
      </c>
      <c r="C930" s="12" t="s">
        <v>52</v>
      </c>
      <c r="D930" s="12">
        <v>1</v>
      </c>
      <c r="E930" s="12" t="s">
        <v>53</v>
      </c>
      <c r="F930" s="12">
        <v>0</v>
      </c>
      <c r="G930" s="12">
        <v>1</v>
      </c>
      <c r="H930" s="12" t="s">
        <v>61</v>
      </c>
      <c r="I930" s="12">
        <v>1</v>
      </c>
      <c r="J930" s="12">
        <v>0</v>
      </c>
      <c r="K930" s="12">
        <v>15</v>
      </c>
      <c r="L930" s="12">
        <f t="shared" si="211"/>
        <v>15</v>
      </c>
      <c r="M930" s="12">
        <v>3</v>
      </c>
      <c r="N930" s="12" t="s">
        <v>70</v>
      </c>
      <c r="O930" s="12">
        <v>0</v>
      </c>
      <c r="P930" s="12">
        <v>0</v>
      </c>
      <c r="Q930" s="12">
        <v>1</v>
      </c>
      <c r="R930" s="12">
        <v>0</v>
      </c>
      <c r="S930" s="12">
        <v>0</v>
      </c>
      <c r="T930" s="12">
        <v>1</v>
      </c>
      <c r="U930" s="12" t="s">
        <v>19</v>
      </c>
      <c r="V930" s="12">
        <v>1</v>
      </c>
      <c r="W930" s="12">
        <v>73</v>
      </c>
      <c r="X930" s="12">
        <v>3</v>
      </c>
      <c r="Y930" s="12">
        <v>3</v>
      </c>
      <c r="Z930" s="12" t="s">
        <v>85</v>
      </c>
      <c r="AA930" s="12">
        <v>1</v>
      </c>
      <c r="AB930" s="12">
        <v>0</v>
      </c>
      <c r="AC930" s="12">
        <v>0</v>
      </c>
      <c r="AD930" s="12">
        <v>0</v>
      </c>
      <c r="AE930" s="12">
        <v>0</v>
      </c>
      <c r="AF930" s="12">
        <v>0</v>
      </c>
      <c r="AG930" s="12">
        <v>0</v>
      </c>
      <c r="AH930" s="12">
        <v>0</v>
      </c>
      <c r="AI930" s="12">
        <v>4</v>
      </c>
      <c r="AJ930" s="12" t="s">
        <v>64</v>
      </c>
      <c r="AK930" s="12">
        <v>0</v>
      </c>
      <c r="AL930" s="12">
        <v>1</v>
      </c>
      <c r="AM930" s="12">
        <v>7978</v>
      </c>
      <c r="AN930" s="12">
        <f t="shared" si="212"/>
        <v>7978</v>
      </c>
      <c r="AO930" s="12">
        <v>1</v>
      </c>
      <c r="AP930" s="12" t="s">
        <v>59</v>
      </c>
      <c r="AQ930" s="12">
        <v>0</v>
      </c>
      <c r="AR930" s="12">
        <v>11</v>
      </c>
      <c r="AS930" s="12">
        <v>3</v>
      </c>
      <c r="AT930" s="12">
        <v>4</v>
      </c>
      <c r="AU930" s="12">
        <v>1</v>
      </c>
      <c r="AV930" s="12">
        <v>10</v>
      </c>
      <c r="AW930" s="12">
        <f t="shared" si="213"/>
        <v>10</v>
      </c>
      <c r="AX930" s="12">
        <v>2</v>
      </c>
      <c r="AY930" s="12">
        <v>3</v>
      </c>
      <c r="AZ930" s="12">
        <v>10</v>
      </c>
      <c r="BA930" s="12">
        <f t="shared" si="214"/>
        <v>10</v>
      </c>
      <c r="BB930" s="12">
        <v>7</v>
      </c>
      <c r="BC930" s="12">
        <v>0</v>
      </c>
      <c r="BD930" s="12">
        <f t="shared" si="223"/>
        <v>0</v>
      </c>
      <c r="BE930" s="12">
        <v>5</v>
      </c>
      <c r="BF930" s="12">
        <f t="shared" si="215"/>
        <v>5</v>
      </c>
      <c r="BG930" s="12">
        <f t="shared" si="224"/>
        <v>15</v>
      </c>
      <c r="BH930" s="67">
        <v>0</v>
      </c>
      <c r="BI930" s="67">
        <v>1</v>
      </c>
      <c r="BJ930" s="67">
        <v>0</v>
      </c>
      <c r="BK930" s="67">
        <v>0</v>
      </c>
      <c r="BL930" s="67">
        <v>0</v>
      </c>
      <c r="BM930" s="67">
        <v>0</v>
      </c>
      <c r="BN930" s="67">
        <v>1</v>
      </c>
      <c r="BO930" s="67">
        <v>0</v>
      </c>
      <c r="BP930" s="67">
        <v>0</v>
      </c>
      <c r="BQ930" s="67">
        <v>5</v>
      </c>
      <c r="BR930" s="67">
        <v>0</v>
      </c>
      <c r="BS930" s="67">
        <v>0</v>
      </c>
      <c r="BT930" s="67">
        <v>10</v>
      </c>
      <c r="BU930" s="70">
        <v>0</v>
      </c>
      <c r="BV930" s="29">
        <f t="shared" si="216"/>
        <v>0.31331398639397623</v>
      </c>
      <c r="BW930">
        <f t="shared" si="217"/>
        <v>0.24575036340443959</v>
      </c>
      <c r="BX930">
        <f t="shared" si="218"/>
        <v>0.1644554352117841</v>
      </c>
      <c r="BY930">
        <f t="shared" si="219"/>
        <v>0.48834154112957734</v>
      </c>
      <c r="BZ930">
        <f t="shared" si="220"/>
        <v>0.71636611655269733</v>
      </c>
      <c r="CA930">
        <f t="shared" si="221"/>
        <v>0.77459235625178136</v>
      </c>
      <c r="CB930">
        <f t="shared" si="222"/>
        <v>0.67891464284095016</v>
      </c>
    </row>
    <row r="931" spans="1:80" x14ac:dyDescent="0.45">
      <c r="A931" s="11">
        <v>28</v>
      </c>
      <c r="B931" s="12">
        <f t="shared" si="210"/>
        <v>28</v>
      </c>
      <c r="C931" s="12" t="s">
        <v>59</v>
      </c>
      <c r="D931" s="12">
        <v>0</v>
      </c>
      <c r="E931" s="12" t="s">
        <v>60</v>
      </c>
      <c r="F931" s="12">
        <v>1</v>
      </c>
      <c r="G931" s="12">
        <v>0</v>
      </c>
      <c r="H931" s="12" t="s">
        <v>61</v>
      </c>
      <c r="I931" s="12">
        <v>1</v>
      </c>
      <c r="J931" s="12">
        <v>0</v>
      </c>
      <c r="K931" s="12">
        <v>2</v>
      </c>
      <c r="L931" s="12">
        <f t="shared" si="211"/>
        <v>2</v>
      </c>
      <c r="M931" s="12">
        <v>3</v>
      </c>
      <c r="N931" s="12" t="s">
        <v>55</v>
      </c>
      <c r="O931" s="12">
        <v>1</v>
      </c>
      <c r="P931" s="12">
        <v>0</v>
      </c>
      <c r="Q931" s="12">
        <v>0</v>
      </c>
      <c r="R931" s="12">
        <v>0</v>
      </c>
      <c r="S931" s="12">
        <v>0</v>
      </c>
      <c r="T931" s="12">
        <v>4</v>
      </c>
      <c r="U931" s="12" t="s">
        <v>62</v>
      </c>
      <c r="V931" s="12">
        <v>0</v>
      </c>
      <c r="W931" s="12">
        <v>52</v>
      </c>
      <c r="X931" s="12">
        <v>2</v>
      </c>
      <c r="Y931" s="12">
        <v>1</v>
      </c>
      <c r="Z931" s="12" t="s">
        <v>67</v>
      </c>
      <c r="AA931" s="12">
        <v>0</v>
      </c>
      <c r="AB931" s="12">
        <v>0</v>
      </c>
      <c r="AC931" s="12">
        <v>1</v>
      </c>
      <c r="AD931" s="12">
        <v>0</v>
      </c>
      <c r="AE931" s="12">
        <v>0</v>
      </c>
      <c r="AF931" s="12">
        <v>0</v>
      </c>
      <c r="AG931" s="12">
        <v>0</v>
      </c>
      <c r="AH931" s="12">
        <v>0</v>
      </c>
      <c r="AI931" s="12">
        <v>4</v>
      </c>
      <c r="AJ931" s="12" t="s">
        <v>64</v>
      </c>
      <c r="AK931" s="12">
        <v>0</v>
      </c>
      <c r="AL931" s="12">
        <v>1</v>
      </c>
      <c r="AM931" s="12">
        <v>3867</v>
      </c>
      <c r="AN931" s="12">
        <f t="shared" si="212"/>
        <v>3867</v>
      </c>
      <c r="AO931" s="12">
        <v>1</v>
      </c>
      <c r="AP931" s="12" t="s">
        <v>52</v>
      </c>
      <c r="AQ931" s="12">
        <v>1</v>
      </c>
      <c r="AR931" s="12">
        <v>12</v>
      </c>
      <c r="AS931" s="12">
        <v>3</v>
      </c>
      <c r="AT931" s="12">
        <v>2</v>
      </c>
      <c r="AU931" s="12">
        <v>1</v>
      </c>
      <c r="AV931" s="12">
        <v>2</v>
      </c>
      <c r="AW931" s="12">
        <f t="shared" si="213"/>
        <v>2</v>
      </c>
      <c r="AX931" s="12">
        <v>2</v>
      </c>
      <c r="AY931" s="12">
        <v>3</v>
      </c>
      <c r="AZ931" s="12">
        <v>2</v>
      </c>
      <c r="BA931" s="12">
        <f t="shared" si="214"/>
        <v>2</v>
      </c>
      <c r="BB931" s="12">
        <v>2</v>
      </c>
      <c r="BC931" s="12">
        <v>2</v>
      </c>
      <c r="BD931" s="12">
        <f t="shared" si="223"/>
        <v>2</v>
      </c>
      <c r="BE931" s="12">
        <v>2</v>
      </c>
      <c r="BF931" s="12">
        <f t="shared" si="215"/>
        <v>2</v>
      </c>
      <c r="BG931" s="12">
        <f t="shared" si="224"/>
        <v>2</v>
      </c>
      <c r="BH931" s="67">
        <v>0</v>
      </c>
      <c r="BI931" s="67">
        <v>0</v>
      </c>
      <c r="BJ931" s="67">
        <v>0</v>
      </c>
      <c r="BK931" s="67">
        <v>1</v>
      </c>
      <c r="BL931" s="67">
        <v>0</v>
      </c>
      <c r="BM931" s="67">
        <v>0</v>
      </c>
      <c r="BN931" s="67">
        <v>0</v>
      </c>
      <c r="BO931" s="67">
        <v>1</v>
      </c>
      <c r="BP931" s="67">
        <v>0</v>
      </c>
      <c r="BQ931" s="67">
        <v>2</v>
      </c>
      <c r="BR931" s="67">
        <v>0</v>
      </c>
      <c r="BS931" s="67">
        <v>0</v>
      </c>
      <c r="BT931" s="67">
        <v>2</v>
      </c>
      <c r="BU931" s="70">
        <v>0</v>
      </c>
      <c r="BV931" s="29">
        <f t="shared" si="216"/>
        <v>0.55988859158186144</v>
      </c>
      <c r="BW931">
        <f t="shared" si="217"/>
        <v>0.59502473559756086</v>
      </c>
      <c r="BX931">
        <f t="shared" si="218"/>
        <v>1.192629766998377</v>
      </c>
      <c r="BY931">
        <f t="shared" si="219"/>
        <v>0.81745575848020657</v>
      </c>
      <c r="BZ931">
        <f t="shared" si="220"/>
        <v>0.88721318382472392</v>
      </c>
      <c r="CA931">
        <f t="shared" si="221"/>
        <v>0.97684123527310796</v>
      </c>
      <c r="CB931">
        <f t="shared" si="222"/>
        <v>5.8265062631872602E-2</v>
      </c>
    </row>
    <row r="932" spans="1:80" x14ac:dyDescent="0.45">
      <c r="A932" s="11">
        <v>51</v>
      </c>
      <c r="B932" s="12">
        <f t="shared" si="210"/>
        <v>51</v>
      </c>
      <c r="C932" s="12" t="s">
        <v>59</v>
      </c>
      <c r="D932" s="12">
        <v>0</v>
      </c>
      <c r="E932" s="12" t="s">
        <v>60</v>
      </c>
      <c r="F932" s="12">
        <v>1</v>
      </c>
      <c r="G932" s="12">
        <v>0</v>
      </c>
      <c r="H932" s="12" t="s">
        <v>61</v>
      </c>
      <c r="I932" s="12">
        <v>1</v>
      </c>
      <c r="J932" s="12">
        <v>0</v>
      </c>
      <c r="K932" s="12">
        <v>6</v>
      </c>
      <c r="L932" s="12">
        <f t="shared" si="211"/>
        <v>6</v>
      </c>
      <c r="M932" s="12">
        <v>2</v>
      </c>
      <c r="N932" s="12" t="s">
        <v>70</v>
      </c>
      <c r="O932" s="12">
        <v>0</v>
      </c>
      <c r="P932" s="12">
        <v>0</v>
      </c>
      <c r="Q932" s="12">
        <v>1</v>
      </c>
      <c r="R932" s="12">
        <v>0</v>
      </c>
      <c r="S932" s="12">
        <v>0</v>
      </c>
      <c r="T932" s="12">
        <v>2</v>
      </c>
      <c r="U932" s="12" t="s">
        <v>19</v>
      </c>
      <c r="V932" s="12">
        <v>1</v>
      </c>
      <c r="W932" s="12">
        <v>40</v>
      </c>
      <c r="X932" s="12">
        <v>2</v>
      </c>
      <c r="Y932" s="12">
        <v>1</v>
      </c>
      <c r="Z932" s="12" t="s">
        <v>67</v>
      </c>
      <c r="AA932" s="12">
        <v>0</v>
      </c>
      <c r="AB932" s="12">
        <v>0</v>
      </c>
      <c r="AC932" s="12">
        <v>1</v>
      </c>
      <c r="AD932" s="12">
        <v>0</v>
      </c>
      <c r="AE932" s="12">
        <v>0</v>
      </c>
      <c r="AF932" s="12">
        <v>0</v>
      </c>
      <c r="AG932" s="12">
        <v>0</v>
      </c>
      <c r="AH932" s="12">
        <v>0</v>
      </c>
      <c r="AI932" s="12">
        <v>3</v>
      </c>
      <c r="AJ932" s="12" t="s">
        <v>57</v>
      </c>
      <c r="AK932" s="12">
        <v>1</v>
      </c>
      <c r="AL932" s="12">
        <v>0</v>
      </c>
      <c r="AM932" s="12">
        <v>2838</v>
      </c>
      <c r="AN932" s="12">
        <f t="shared" si="212"/>
        <v>2838</v>
      </c>
      <c r="AO932" s="12">
        <v>0</v>
      </c>
      <c r="AP932" s="12" t="s">
        <v>59</v>
      </c>
      <c r="AQ932" s="12">
        <v>0</v>
      </c>
      <c r="AR932" s="12">
        <v>14</v>
      </c>
      <c r="AS932" s="12">
        <v>3</v>
      </c>
      <c r="AT932" s="12">
        <v>2</v>
      </c>
      <c r="AU932" s="12">
        <v>0</v>
      </c>
      <c r="AV932" s="12">
        <v>8</v>
      </c>
      <c r="AW932" s="12">
        <f t="shared" si="213"/>
        <v>8</v>
      </c>
      <c r="AX932" s="12">
        <v>6</v>
      </c>
      <c r="AY932" s="12">
        <v>2</v>
      </c>
      <c r="AZ932" s="12">
        <v>7</v>
      </c>
      <c r="BA932" s="12">
        <f t="shared" si="214"/>
        <v>7</v>
      </c>
      <c r="BB932" s="12">
        <v>0</v>
      </c>
      <c r="BC932" s="12">
        <v>7</v>
      </c>
      <c r="BD932" s="12">
        <f t="shared" si="223"/>
        <v>7</v>
      </c>
      <c r="BE932" s="12">
        <v>7</v>
      </c>
      <c r="BF932" s="12">
        <f t="shared" si="215"/>
        <v>7</v>
      </c>
      <c r="BG932" s="12">
        <f t="shared" si="224"/>
        <v>7</v>
      </c>
      <c r="BH932" s="67">
        <v>0</v>
      </c>
      <c r="BI932" s="67">
        <v>0</v>
      </c>
      <c r="BJ932" s="67">
        <v>1</v>
      </c>
      <c r="BK932" s="67">
        <v>0</v>
      </c>
      <c r="BL932" s="67">
        <v>1</v>
      </c>
      <c r="BM932" s="67">
        <v>0</v>
      </c>
      <c r="BN932" s="67">
        <v>0</v>
      </c>
      <c r="BO932" s="67">
        <v>0</v>
      </c>
      <c r="BP932" s="67">
        <v>0</v>
      </c>
      <c r="BQ932" s="67">
        <v>7</v>
      </c>
      <c r="BR932" s="67">
        <v>0</v>
      </c>
      <c r="BS932" s="67">
        <v>0</v>
      </c>
      <c r="BT932" s="67">
        <v>8</v>
      </c>
      <c r="BU932" s="70">
        <v>0</v>
      </c>
      <c r="BV932" s="29">
        <f t="shared" si="216"/>
        <v>0.7784547440355557</v>
      </c>
      <c r="BW932">
        <f t="shared" si="217"/>
        <v>0.80626709607243985</v>
      </c>
      <c r="BX932">
        <f t="shared" si="218"/>
        <v>0.42149901815843233</v>
      </c>
      <c r="BY932">
        <f t="shared" si="219"/>
        <v>1.3324462240916321E-3</v>
      </c>
      <c r="BZ932">
        <f t="shared" si="220"/>
        <v>0.39380416832397891</v>
      </c>
      <c r="CA932">
        <f t="shared" si="221"/>
        <v>1.5408445525439205</v>
      </c>
      <c r="CB932">
        <f t="shared" si="222"/>
        <v>1.4933588878908215</v>
      </c>
    </row>
    <row r="933" spans="1:80" x14ac:dyDescent="0.45">
      <c r="A933" s="11">
        <v>30</v>
      </c>
      <c r="B933" s="12">
        <f t="shared" si="210"/>
        <v>30</v>
      </c>
      <c r="C933" s="12" t="s">
        <v>59</v>
      </c>
      <c r="D933" s="12">
        <v>0</v>
      </c>
      <c r="E933" s="12" t="s">
        <v>86</v>
      </c>
      <c r="F933" s="12">
        <v>0</v>
      </c>
      <c r="G933" s="12">
        <v>0</v>
      </c>
      <c r="H933" s="12" t="s">
        <v>61</v>
      </c>
      <c r="I933" s="12">
        <v>1</v>
      </c>
      <c r="J933" s="12">
        <v>0</v>
      </c>
      <c r="K933" s="12">
        <v>9</v>
      </c>
      <c r="L933" s="12">
        <f t="shared" si="211"/>
        <v>9</v>
      </c>
      <c r="M933" s="12">
        <v>2</v>
      </c>
      <c r="N933" s="12" t="s">
        <v>70</v>
      </c>
      <c r="O933" s="12">
        <v>0</v>
      </c>
      <c r="P933" s="12">
        <v>0</v>
      </c>
      <c r="Q933" s="12">
        <v>1</v>
      </c>
      <c r="R933" s="12">
        <v>0</v>
      </c>
      <c r="S933" s="12">
        <v>0</v>
      </c>
      <c r="T933" s="12">
        <v>3</v>
      </c>
      <c r="U933" s="12" t="s">
        <v>19</v>
      </c>
      <c r="V933" s="12">
        <v>1</v>
      </c>
      <c r="W933" s="12">
        <v>72</v>
      </c>
      <c r="X933" s="12">
        <v>3</v>
      </c>
      <c r="Y933" s="12">
        <v>2</v>
      </c>
      <c r="Z933" s="12" t="s">
        <v>83</v>
      </c>
      <c r="AA933" s="12">
        <v>0</v>
      </c>
      <c r="AB933" s="12">
        <v>0</v>
      </c>
      <c r="AC933" s="12">
        <v>0</v>
      </c>
      <c r="AD933" s="12">
        <v>0</v>
      </c>
      <c r="AE933" s="12">
        <v>1</v>
      </c>
      <c r="AF933" s="12">
        <v>1</v>
      </c>
      <c r="AG933" s="12">
        <v>0</v>
      </c>
      <c r="AH933" s="12">
        <v>0</v>
      </c>
      <c r="AI933" s="12">
        <v>3</v>
      </c>
      <c r="AJ933" s="12" t="s">
        <v>57</v>
      </c>
      <c r="AK933" s="12">
        <v>1</v>
      </c>
      <c r="AL933" s="12">
        <v>0</v>
      </c>
      <c r="AM933" s="12">
        <v>4695</v>
      </c>
      <c r="AN933" s="12">
        <f t="shared" si="212"/>
        <v>4695</v>
      </c>
      <c r="AO933" s="12">
        <v>7</v>
      </c>
      <c r="AP933" s="12" t="s">
        <v>52</v>
      </c>
      <c r="AQ933" s="12">
        <v>1</v>
      </c>
      <c r="AR933" s="12">
        <v>18</v>
      </c>
      <c r="AS933" s="12">
        <v>3</v>
      </c>
      <c r="AT933" s="12">
        <v>3</v>
      </c>
      <c r="AU933" s="12">
        <v>0</v>
      </c>
      <c r="AV933" s="12">
        <v>10</v>
      </c>
      <c r="AW933" s="12">
        <f t="shared" si="213"/>
        <v>10</v>
      </c>
      <c r="AX933" s="12">
        <v>3</v>
      </c>
      <c r="AY933" s="12">
        <v>3</v>
      </c>
      <c r="AZ933" s="12">
        <v>8</v>
      </c>
      <c r="BA933" s="12">
        <f t="shared" si="214"/>
        <v>8</v>
      </c>
      <c r="BB933" s="12">
        <v>4</v>
      </c>
      <c r="BC933" s="12">
        <v>1</v>
      </c>
      <c r="BD933" s="12">
        <f t="shared" si="223"/>
        <v>1</v>
      </c>
      <c r="BE933" s="12">
        <v>7</v>
      </c>
      <c r="BF933" s="12">
        <f t="shared" si="215"/>
        <v>7</v>
      </c>
      <c r="BG933" s="12">
        <f t="shared" si="224"/>
        <v>14</v>
      </c>
      <c r="BH933" s="67">
        <v>1</v>
      </c>
      <c r="BI933" s="67">
        <v>0</v>
      </c>
      <c r="BJ933" s="67">
        <v>0</v>
      </c>
      <c r="BK933" s="67">
        <v>0</v>
      </c>
      <c r="BL933" s="67">
        <v>0</v>
      </c>
      <c r="BM933" s="67">
        <v>1</v>
      </c>
      <c r="BN933" s="67">
        <v>0</v>
      </c>
      <c r="BO933" s="67">
        <v>0</v>
      </c>
      <c r="BP933" s="67">
        <v>0</v>
      </c>
      <c r="BQ933" s="67">
        <v>7</v>
      </c>
      <c r="BR933" s="67">
        <v>0</v>
      </c>
      <c r="BS933" s="67">
        <v>0</v>
      </c>
      <c r="BT933" s="67">
        <v>10</v>
      </c>
      <c r="BU933" s="70">
        <v>0</v>
      </c>
      <c r="BV933" s="29">
        <f t="shared" si="216"/>
        <v>0.3840161190535244</v>
      </c>
      <c r="BW933">
        <f t="shared" si="217"/>
        <v>0.80626709607243985</v>
      </c>
      <c r="BX933">
        <f t="shared" si="218"/>
        <v>0.1644554352117841</v>
      </c>
      <c r="BY933">
        <f t="shared" si="219"/>
        <v>0.16189221622713135</v>
      </c>
      <c r="BZ933">
        <f t="shared" si="220"/>
        <v>2.3747406698420157E-2</v>
      </c>
      <c r="CA933">
        <f t="shared" si="221"/>
        <v>0.75791203633249671</v>
      </c>
      <c r="CB933">
        <f t="shared" si="222"/>
        <v>0.36858985273641137</v>
      </c>
    </row>
    <row r="934" spans="1:80" x14ac:dyDescent="0.45">
      <c r="A934" s="11">
        <v>29</v>
      </c>
      <c r="B934" s="12">
        <f t="shared" si="210"/>
        <v>29</v>
      </c>
      <c r="C934" s="12" t="s">
        <v>52</v>
      </c>
      <c r="D934" s="12">
        <v>1</v>
      </c>
      <c r="E934" s="12" t="s">
        <v>53</v>
      </c>
      <c r="F934" s="12">
        <v>0</v>
      </c>
      <c r="G934" s="12">
        <v>1</v>
      </c>
      <c r="H934" s="12" t="s">
        <v>61</v>
      </c>
      <c r="I934" s="12">
        <v>1</v>
      </c>
      <c r="J934" s="12">
        <v>0</v>
      </c>
      <c r="K934" s="12">
        <v>7</v>
      </c>
      <c r="L934" s="12">
        <f t="shared" si="211"/>
        <v>7</v>
      </c>
      <c r="M934" s="12">
        <v>3</v>
      </c>
      <c r="N934" s="12" t="s">
        <v>91</v>
      </c>
      <c r="O934" s="12">
        <v>0</v>
      </c>
      <c r="P934" s="12">
        <v>0</v>
      </c>
      <c r="Q934" s="12">
        <v>0</v>
      </c>
      <c r="R934" s="12">
        <v>0</v>
      </c>
      <c r="S934" s="12">
        <v>1</v>
      </c>
      <c r="T934" s="12">
        <v>2</v>
      </c>
      <c r="U934" s="12" t="s">
        <v>19</v>
      </c>
      <c r="V934" s="12">
        <v>1</v>
      </c>
      <c r="W934" s="12">
        <v>39</v>
      </c>
      <c r="X934" s="12">
        <v>3</v>
      </c>
      <c r="Y934" s="12">
        <v>1</v>
      </c>
      <c r="Z934" s="12" t="s">
        <v>67</v>
      </c>
      <c r="AA934" s="12">
        <v>0</v>
      </c>
      <c r="AB934" s="12">
        <v>0</v>
      </c>
      <c r="AC934" s="12">
        <v>1</v>
      </c>
      <c r="AD934" s="12">
        <v>0</v>
      </c>
      <c r="AE934" s="12">
        <v>0</v>
      </c>
      <c r="AF934" s="12">
        <v>0</v>
      </c>
      <c r="AG934" s="12">
        <v>0</v>
      </c>
      <c r="AH934" s="12">
        <v>0</v>
      </c>
      <c r="AI934" s="12">
        <v>3</v>
      </c>
      <c r="AJ934" s="12" t="s">
        <v>78</v>
      </c>
      <c r="AK934" s="12">
        <v>0</v>
      </c>
      <c r="AL934" s="12">
        <v>0</v>
      </c>
      <c r="AM934" s="12">
        <v>3339</v>
      </c>
      <c r="AN934" s="12">
        <f t="shared" si="212"/>
        <v>3339</v>
      </c>
      <c r="AO934" s="12">
        <v>3</v>
      </c>
      <c r="AP934" s="12" t="s">
        <v>52</v>
      </c>
      <c r="AQ934" s="12">
        <v>1</v>
      </c>
      <c r="AR934" s="12">
        <v>13</v>
      </c>
      <c r="AS934" s="12">
        <v>3</v>
      </c>
      <c r="AT934" s="12">
        <v>1</v>
      </c>
      <c r="AU934" s="12">
        <v>2</v>
      </c>
      <c r="AV934" s="12">
        <v>10</v>
      </c>
      <c r="AW934" s="12">
        <f t="shared" si="213"/>
        <v>10</v>
      </c>
      <c r="AX934" s="12">
        <v>2</v>
      </c>
      <c r="AY934" s="12">
        <v>3</v>
      </c>
      <c r="AZ934" s="12">
        <v>7</v>
      </c>
      <c r="BA934" s="12">
        <f t="shared" si="214"/>
        <v>7</v>
      </c>
      <c r="BB934" s="12">
        <v>7</v>
      </c>
      <c r="BC934" s="12">
        <v>7</v>
      </c>
      <c r="BD934" s="12">
        <f t="shared" si="223"/>
        <v>7</v>
      </c>
      <c r="BE934" s="12">
        <v>7</v>
      </c>
      <c r="BF934" s="12">
        <f t="shared" si="215"/>
        <v>7</v>
      </c>
      <c r="BG934" s="12">
        <f t="shared" si="224"/>
        <v>7</v>
      </c>
      <c r="BH934" s="67">
        <v>1</v>
      </c>
      <c r="BI934" s="67">
        <v>0</v>
      </c>
      <c r="BJ934" s="67">
        <v>0</v>
      </c>
      <c r="BK934" s="67">
        <v>0</v>
      </c>
      <c r="BL934" s="67">
        <v>0</v>
      </c>
      <c r="BM934" s="67">
        <v>1</v>
      </c>
      <c r="BN934" s="67">
        <v>0</v>
      </c>
      <c r="BO934" s="67">
        <v>0</v>
      </c>
      <c r="BP934" s="67">
        <v>0</v>
      </c>
      <c r="BQ934" s="67">
        <v>7</v>
      </c>
      <c r="BR934" s="67">
        <v>0</v>
      </c>
      <c r="BS934" s="67">
        <v>0</v>
      </c>
      <c r="BT934" s="67">
        <v>10</v>
      </c>
      <c r="BU934" s="70">
        <v>0</v>
      </c>
      <c r="BV934" s="29">
        <f t="shared" si="216"/>
        <v>0.67203915377384449</v>
      </c>
      <c r="BW934">
        <f t="shared" si="217"/>
        <v>0.80626709607243985</v>
      </c>
      <c r="BX934">
        <f t="shared" si="218"/>
        <v>0.1644554352117841</v>
      </c>
      <c r="BY934">
        <f t="shared" si="219"/>
        <v>1.3324462240916321E-3</v>
      </c>
      <c r="BZ934">
        <f t="shared" si="220"/>
        <v>0.27045191444879263</v>
      </c>
      <c r="CA934">
        <f t="shared" si="221"/>
        <v>0.86737663580280233</v>
      </c>
      <c r="CB934">
        <f t="shared" si="222"/>
        <v>1.4933588878908215</v>
      </c>
    </row>
    <row r="935" spans="1:80" x14ac:dyDescent="0.45">
      <c r="A935" s="11">
        <v>28</v>
      </c>
      <c r="B935" s="12">
        <f t="shared" si="210"/>
        <v>28</v>
      </c>
      <c r="C935" s="12" t="s">
        <v>59</v>
      </c>
      <c r="D935" s="12">
        <v>0</v>
      </c>
      <c r="E935" s="12" t="s">
        <v>53</v>
      </c>
      <c r="F935" s="12">
        <v>0</v>
      </c>
      <c r="G935" s="12">
        <v>1</v>
      </c>
      <c r="H935" s="12" t="s">
        <v>61</v>
      </c>
      <c r="I935" s="12">
        <v>1</v>
      </c>
      <c r="J935" s="12">
        <v>0</v>
      </c>
      <c r="K935" s="12">
        <v>1</v>
      </c>
      <c r="L935" s="12">
        <f t="shared" si="211"/>
        <v>1</v>
      </c>
      <c r="M935" s="12">
        <v>3</v>
      </c>
      <c r="N935" s="12" t="s">
        <v>91</v>
      </c>
      <c r="O935" s="12">
        <v>0</v>
      </c>
      <c r="P935" s="12">
        <v>0</v>
      </c>
      <c r="Q935" s="12">
        <v>0</v>
      </c>
      <c r="R935" s="12">
        <v>0</v>
      </c>
      <c r="S935" s="12">
        <v>1</v>
      </c>
      <c r="T935" s="12">
        <v>4</v>
      </c>
      <c r="U935" s="12" t="s">
        <v>62</v>
      </c>
      <c r="V935" s="12">
        <v>0</v>
      </c>
      <c r="W935" s="12">
        <v>84</v>
      </c>
      <c r="X935" s="12">
        <v>3</v>
      </c>
      <c r="Y935" s="12">
        <v>1</v>
      </c>
      <c r="Z935" s="12" t="s">
        <v>63</v>
      </c>
      <c r="AA935" s="12">
        <v>0</v>
      </c>
      <c r="AB935" s="12">
        <v>0</v>
      </c>
      <c r="AC935" s="12">
        <v>0</v>
      </c>
      <c r="AD935" s="12">
        <v>0</v>
      </c>
      <c r="AE935" s="12">
        <v>0</v>
      </c>
      <c r="AF935" s="12">
        <v>0</v>
      </c>
      <c r="AG935" s="12">
        <v>0</v>
      </c>
      <c r="AH935" s="12">
        <v>1</v>
      </c>
      <c r="AI935" s="12">
        <v>1</v>
      </c>
      <c r="AJ935" s="12" t="s">
        <v>57</v>
      </c>
      <c r="AK935" s="12">
        <v>1</v>
      </c>
      <c r="AL935" s="12">
        <v>0</v>
      </c>
      <c r="AM935" s="12">
        <v>2080</v>
      </c>
      <c r="AN935" s="12">
        <f t="shared" si="212"/>
        <v>2080</v>
      </c>
      <c r="AO935" s="12">
        <v>2</v>
      </c>
      <c r="AP935" s="12" t="s">
        <v>59</v>
      </c>
      <c r="AQ935" s="12">
        <v>0</v>
      </c>
      <c r="AR935" s="12">
        <v>11</v>
      </c>
      <c r="AS935" s="12">
        <v>3</v>
      </c>
      <c r="AT935" s="12">
        <v>2</v>
      </c>
      <c r="AU935" s="12">
        <v>0</v>
      </c>
      <c r="AV935" s="12">
        <v>5</v>
      </c>
      <c r="AW935" s="12">
        <f t="shared" si="213"/>
        <v>5</v>
      </c>
      <c r="AX935" s="12">
        <v>2</v>
      </c>
      <c r="AY935" s="12">
        <v>2</v>
      </c>
      <c r="AZ935" s="12">
        <v>3</v>
      </c>
      <c r="BA935" s="12">
        <f t="shared" si="214"/>
        <v>3</v>
      </c>
      <c r="BB935" s="12">
        <v>2</v>
      </c>
      <c r="BC935" s="12">
        <v>1</v>
      </c>
      <c r="BD935" s="12">
        <f t="shared" si="223"/>
        <v>1</v>
      </c>
      <c r="BE935" s="12">
        <v>2</v>
      </c>
      <c r="BF935" s="12">
        <f t="shared" si="215"/>
        <v>2</v>
      </c>
      <c r="BG935" s="12">
        <f t="shared" si="224"/>
        <v>2</v>
      </c>
      <c r="BH935" s="67">
        <v>1</v>
      </c>
      <c r="BI935" s="67">
        <v>0</v>
      </c>
      <c r="BJ935" s="67">
        <v>0</v>
      </c>
      <c r="BK935" s="67">
        <v>0</v>
      </c>
      <c r="BL935" s="67">
        <v>1</v>
      </c>
      <c r="BM935" s="67">
        <v>0</v>
      </c>
      <c r="BN935" s="67">
        <v>0</v>
      </c>
      <c r="BO935" s="67">
        <v>0</v>
      </c>
      <c r="BP935" s="67">
        <v>0</v>
      </c>
      <c r="BQ935" s="67">
        <v>2</v>
      </c>
      <c r="BR935" s="67">
        <v>0</v>
      </c>
      <c r="BS935" s="67">
        <v>0</v>
      </c>
      <c r="BT935" s="67">
        <v>5</v>
      </c>
      <c r="BU935" s="70">
        <v>0</v>
      </c>
      <c r="BV935" s="29">
        <f t="shared" si="216"/>
        <v>0.9394587708187434</v>
      </c>
      <c r="BW935">
        <f t="shared" si="217"/>
        <v>0.59502473559756086</v>
      </c>
      <c r="BX935">
        <f t="shared" si="218"/>
        <v>0.80706439257840468</v>
      </c>
      <c r="BY935">
        <f t="shared" si="219"/>
        <v>0.65423109602898355</v>
      </c>
      <c r="BZ935">
        <f t="shared" si="220"/>
        <v>1.01056543769991</v>
      </c>
      <c r="CA935">
        <f t="shared" si="221"/>
        <v>0.97684123527310796</v>
      </c>
      <c r="CB935">
        <f t="shared" si="222"/>
        <v>0.36858985273641137</v>
      </c>
    </row>
    <row r="936" spans="1:80" x14ac:dyDescent="0.45">
      <c r="A936" s="11">
        <v>25</v>
      </c>
      <c r="B936" s="12">
        <f t="shared" si="210"/>
        <v>25</v>
      </c>
      <c r="C936" s="12" t="s">
        <v>59</v>
      </c>
      <c r="D936" s="12">
        <v>0</v>
      </c>
      <c r="E936" s="12" t="s">
        <v>53</v>
      </c>
      <c r="F936" s="12">
        <v>0</v>
      </c>
      <c r="G936" s="12">
        <v>1</v>
      </c>
      <c r="H936" s="12" t="s">
        <v>61</v>
      </c>
      <c r="I936" s="12">
        <v>1</v>
      </c>
      <c r="J936" s="12">
        <v>0</v>
      </c>
      <c r="K936" s="12">
        <v>1</v>
      </c>
      <c r="L936" s="12">
        <f t="shared" si="211"/>
        <v>1</v>
      </c>
      <c r="M936" s="12">
        <v>3</v>
      </c>
      <c r="N936" s="12" t="s">
        <v>70</v>
      </c>
      <c r="O936" s="12">
        <v>0</v>
      </c>
      <c r="P936" s="12">
        <v>0</v>
      </c>
      <c r="Q936" s="12">
        <v>1</v>
      </c>
      <c r="R936" s="12">
        <v>0</v>
      </c>
      <c r="S936" s="12">
        <v>0</v>
      </c>
      <c r="T936" s="12">
        <v>4</v>
      </c>
      <c r="U936" s="12" t="s">
        <v>19</v>
      </c>
      <c r="V936" s="12">
        <v>1</v>
      </c>
      <c r="W936" s="12">
        <v>40</v>
      </c>
      <c r="X936" s="12">
        <v>3</v>
      </c>
      <c r="Y936" s="12">
        <v>1</v>
      </c>
      <c r="Z936" s="12" t="s">
        <v>63</v>
      </c>
      <c r="AA936" s="12">
        <v>0</v>
      </c>
      <c r="AB936" s="12">
        <v>0</v>
      </c>
      <c r="AC936" s="12">
        <v>0</v>
      </c>
      <c r="AD936" s="12">
        <v>0</v>
      </c>
      <c r="AE936" s="12">
        <v>0</v>
      </c>
      <c r="AF936" s="12">
        <v>0</v>
      </c>
      <c r="AG936" s="12">
        <v>0</v>
      </c>
      <c r="AH936" s="12">
        <v>1</v>
      </c>
      <c r="AI936" s="12">
        <v>2</v>
      </c>
      <c r="AJ936" s="12" t="s">
        <v>57</v>
      </c>
      <c r="AK936" s="12">
        <v>1</v>
      </c>
      <c r="AL936" s="12">
        <v>0</v>
      </c>
      <c r="AM936" s="12">
        <v>2096</v>
      </c>
      <c r="AN936" s="12">
        <f t="shared" si="212"/>
        <v>2096</v>
      </c>
      <c r="AO936" s="12">
        <v>1</v>
      </c>
      <c r="AP936" s="12" t="s">
        <v>59</v>
      </c>
      <c r="AQ936" s="12">
        <v>0</v>
      </c>
      <c r="AR936" s="12">
        <v>18</v>
      </c>
      <c r="AS936" s="12">
        <v>3</v>
      </c>
      <c r="AT936" s="12">
        <v>4</v>
      </c>
      <c r="AU936" s="12">
        <v>0</v>
      </c>
      <c r="AV936" s="12">
        <v>2</v>
      </c>
      <c r="AW936" s="12">
        <f t="shared" si="213"/>
        <v>2</v>
      </c>
      <c r="AX936" s="12">
        <v>3</v>
      </c>
      <c r="AY936" s="12">
        <v>2</v>
      </c>
      <c r="AZ936" s="12">
        <v>2</v>
      </c>
      <c r="BA936" s="12">
        <f t="shared" si="214"/>
        <v>2</v>
      </c>
      <c r="BB936" s="12">
        <v>2</v>
      </c>
      <c r="BC936" s="12">
        <v>2</v>
      </c>
      <c r="BD936" s="12">
        <f t="shared" si="223"/>
        <v>2</v>
      </c>
      <c r="BE936" s="12">
        <v>1</v>
      </c>
      <c r="BF936" s="12">
        <f t="shared" si="215"/>
        <v>1</v>
      </c>
      <c r="BG936" s="12">
        <f t="shared" si="224"/>
        <v>1</v>
      </c>
      <c r="BH936" s="67">
        <v>1</v>
      </c>
      <c r="BI936" s="67">
        <v>0</v>
      </c>
      <c r="BJ936" s="67">
        <v>0</v>
      </c>
      <c r="BK936" s="67">
        <v>0</v>
      </c>
      <c r="BL936" s="67">
        <v>1</v>
      </c>
      <c r="BM936" s="67">
        <v>0</v>
      </c>
      <c r="BN936" s="67">
        <v>0</v>
      </c>
      <c r="BO936" s="67">
        <v>0</v>
      </c>
      <c r="BP936" s="67">
        <v>0</v>
      </c>
      <c r="BQ936" s="67">
        <v>1</v>
      </c>
      <c r="BR936" s="67">
        <v>0</v>
      </c>
      <c r="BS936" s="67">
        <v>0</v>
      </c>
      <c r="BT936" s="67">
        <v>2</v>
      </c>
      <c r="BU936" s="70">
        <v>0</v>
      </c>
      <c r="BV936" s="29">
        <f t="shared" si="216"/>
        <v>0.93606026893413785</v>
      </c>
      <c r="BW936">
        <f t="shared" si="217"/>
        <v>0.87528310193156111</v>
      </c>
      <c r="BX936">
        <f t="shared" si="218"/>
        <v>1.192629766998377</v>
      </c>
      <c r="BY936">
        <f t="shared" si="219"/>
        <v>0.81745575848020657</v>
      </c>
      <c r="BZ936">
        <f t="shared" si="220"/>
        <v>1.01056543769991</v>
      </c>
      <c r="CA936">
        <f t="shared" si="221"/>
        <v>1.3052350336840246</v>
      </c>
      <c r="CB936">
        <f t="shared" si="222"/>
        <v>5.8265062631872602E-2</v>
      </c>
    </row>
    <row r="937" spans="1:80" x14ac:dyDescent="0.45">
      <c r="A937" s="11">
        <v>32</v>
      </c>
      <c r="B937" s="12">
        <f t="shared" si="210"/>
        <v>32</v>
      </c>
      <c r="C937" s="12" t="s">
        <v>59</v>
      </c>
      <c r="D937" s="12">
        <v>0</v>
      </c>
      <c r="E937" s="12" t="s">
        <v>53</v>
      </c>
      <c r="F937" s="12">
        <v>0</v>
      </c>
      <c r="G937" s="12">
        <v>1</v>
      </c>
      <c r="H937" s="12" t="s">
        <v>54</v>
      </c>
      <c r="I937" s="12">
        <v>0</v>
      </c>
      <c r="J937" s="12">
        <v>1</v>
      </c>
      <c r="K937" s="12">
        <v>8</v>
      </c>
      <c r="L937" s="12">
        <f t="shared" si="211"/>
        <v>8</v>
      </c>
      <c r="M937" s="12">
        <v>3</v>
      </c>
      <c r="N937" s="12" t="s">
        <v>70</v>
      </c>
      <c r="O937" s="12">
        <v>0</v>
      </c>
      <c r="P937" s="12">
        <v>0</v>
      </c>
      <c r="Q937" s="12">
        <v>1</v>
      </c>
      <c r="R937" s="12">
        <v>0</v>
      </c>
      <c r="S937" s="12">
        <v>0</v>
      </c>
      <c r="T937" s="12">
        <v>3</v>
      </c>
      <c r="U937" s="12" t="s">
        <v>62</v>
      </c>
      <c r="V937" s="12">
        <v>0</v>
      </c>
      <c r="W937" s="12">
        <v>56</v>
      </c>
      <c r="X937" s="12">
        <v>4</v>
      </c>
      <c r="Y937" s="12">
        <v>2</v>
      </c>
      <c r="Z937" s="12" t="s">
        <v>56</v>
      </c>
      <c r="AA937" s="12">
        <v>0</v>
      </c>
      <c r="AB937" s="12">
        <v>1</v>
      </c>
      <c r="AC937" s="12">
        <v>0</v>
      </c>
      <c r="AD937" s="12">
        <v>0</v>
      </c>
      <c r="AE937" s="12">
        <v>0</v>
      </c>
      <c r="AF937" s="12">
        <v>0</v>
      </c>
      <c r="AG937" s="12">
        <v>0</v>
      </c>
      <c r="AH937" s="12">
        <v>0</v>
      </c>
      <c r="AI937" s="12">
        <v>4</v>
      </c>
      <c r="AJ937" s="12" t="s">
        <v>64</v>
      </c>
      <c r="AK937" s="12">
        <v>0</v>
      </c>
      <c r="AL937" s="12">
        <v>1</v>
      </c>
      <c r="AM937" s="12">
        <v>6209</v>
      </c>
      <c r="AN937" s="12">
        <f t="shared" si="212"/>
        <v>6209</v>
      </c>
      <c r="AO937" s="12">
        <v>1</v>
      </c>
      <c r="AP937" s="12" t="s">
        <v>59</v>
      </c>
      <c r="AQ937" s="12">
        <v>0</v>
      </c>
      <c r="AR937" s="12">
        <v>15</v>
      </c>
      <c r="AS937" s="12">
        <v>3</v>
      </c>
      <c r="AT937" s="12">
        <v>3</v>
      </c>
      <c r="AU937" s="12">
        <v>2</v>
      </c>
      <c r="AV937" s="12">
        <v>10</v>
      </c>
      <c r="AW937" s="12">
        <f t="shared" si="213"/>
        <v>10</v>
      </c>
      <c r="AX937" s="12">
        <v>4</v>
      </c>
      <c r="AY937" s="12">
        <v>4</v>
      </c>
      <c r="AZ937" s="12">
        <v>10</v>
      </c>
      <c r="BA937" s="12">
        <f t="shared" si="214"/>
        <v>10</v>
      </c>
      <c r="BB937" s="12">
        <v>7</v>
      </c>
      <c r="BC937" s="12">
        <v>0</v>
      </c>
      <c r="BD937" s="12">
        <f t="shared" si="223"/>
        <v>0</v>
      </c>
      <c r="BE937" s="12">
        <v>8</v>
      </c>
      <c r="BF937" s="12">
        <f t="shared" si="215"/>
        <v>8</v>
      </c>
      <c r="BG937" s="12">
        <f t="shared" si="224"/>
        <v>16</v>
      </c>
      <c r="BH937" s="67">
        <v>0</v>
      </c>
      <c r="BI937" s="67">
        <v>1</v>
      </c>
      <c r="BJ937" s="67">
        <v>0</v>
      </c>
      <c r="BK937" s="67">
        <v>0</v>
      </c>
      <c r="BL937" s="67">
        <v>0</v>
      </c>
      <c r="BM937" s="67">
        <v>0</v>
      </c>
      <c r="BN937" s="67">
        <v>1</v>
      </c>
      <c r="BO937" s="67">
        <v>0</v>
      </c>
      <c r="BP937" s="67">
        <v>0</v>
      </c>
      <c r="BQ937" s="67">
        <v>0</v>
      </c>
      <c r="BR937" s="67">
        <v>8</v>
      </c>
      <c r="BS937" s="67">
        <v>0</v>
      </c>
      <c r="BT937" s="67">
        <v>0</v>
      </c>
      <c r="BU937" s="70">
        <v>10</v>
      </c>
      <c r="BV937" s="29">
        <f t="shared" si="216"/>
        <v>6.2432878222724537E-2</v>
      </c>
      <c r="BW937">
        <f t="shared" si="217"/>
        <v>1.08652546240644</v>
      </c>
      <c r="BX937">
        <f t="shared" si="218"/>
        <v>0.1644554352117841</v>
      </c>
      <c r="BY937">
        <f t="shared" si="219"/>
        <v>0.48834154112957734</v>
      </c>
      <c r="BZ937">
        <f t="shared" si="220"/>
        <v>0.14709966057360641</v>
      </c>
      <c r="CA937">
        <f t="shared" si="221"/>
        <v>0.53898283739188557</v>
      </c>
      <c r="CB937">
        <f t="shared" si="222"/>
        <v>0.67891464284095016</v>
      </c>
    </row>
    <row r="938" spans="1:80" x14ac:dyDescent="0.45">
      <c r="A938" s="11">
        <v>45</v>
      </c>
      <c r="B938" s="12">
        <f t="shared" si="210"/>
        <v>45</v>
      </c>
      <c r="C938" s="12" t="s">
        <v>59</v>
      </c>
      <c r="D938" s="12">
        <v>0</v>
      </c>
      <c r="E938" s="12" t="s">
        <v>60</v>
      </c>
      <c r="F938" s="12">
        <v>1</v>
      </c>
      <c r="G938" s="12">
        <v>0</v>
      </c>
      <c r="H938" s="12" t="s">
        <v>61</v>
      </c>
      <c r="I938" s="12">
        <v>1</v>
      </c>
      <c r="J938" s="12">
        <v>0</v>
      </c>
      <c r="K938" s="12">
        <v>25</v>
      </c>
      <c r="L938" s="12">
        <f t="shared" si="211"/>
        <v>25</v>
      </c>
      <c r="M938" s="12">
        <v>3</v>
      </c>
      <c r="N938" s="12" t="s">
        <v>70</v>
      </c>
      <c r="O938" s="12">
        <v>0</v>
      </c>
      <c r="P938" s="12">
        <v>0</v>
      </c>
      <c r="Q938" s="12">
        <v>1</v>
      </c>
      <c r="R938" s="12">
        <v>0</v>
      </c>
      <c r="S938" s="12">
        <v>0</v>
      </c>
      <c r="T938" s="12">
        <v>2</v>
      </c>
      <c r="U938" s="12" t="s">
        <v>19</v>
      </c>
      <c r="V938" s="12">
        <v>1</v>
      </c>
      <c r="W938" s="12">
        <v>83</v>
      </c>
      <c r="X938" s="12">
        <v>3</v>
      </c>
      <c r="Y938" s="12">
        <v>5</v>
      </c>
      <c r="Z938" s="12" t="s">
        <v>87</v>
      </c>
      <c r="AA938" s="12">
        <v>0</v>
      </c>
      <c r="AB938" s="12">
        <v>0</v>
      </c>
      <c r="AC938" s="12">
        <v>0</v>
      </c>
      <c r="AD938" s="12">
        <v>1</v>
      </c>
      <c r="AE938" s="12">
        <v>0</v>
      </c>
      <c r="AF938" s="12">
        <v>0</v>
      </c>
      <c r="AG938" s="12">
        <v>0</v>
      </c>
      <c r="AH938" s="12">
        <v>0</v>
      </c>
      <c r="AI938" s="12">
        <v>2</v>
      </c>
      <c r="AJ938" s="12" t="s">
        <v>57</v>
      </c>
      <c r="AK938" s="12">
        <v>1</v>
      </c>
      <c r="AL938" s="12">
        <v>0</v>
      </c>
      <c r="AM938" s="12">
        <v>18061</v>
      </c>
      <c r="AN938" s="12">
        <f t="shared" si="212"/>
        <v>18061</v>
      </c>
      <c r="AO938" s="12">
        <v>3</v>
      </c>
      <c r="AP938" s="12" t="s">
        <v>59</v>
      </c>
      <c r="AQ938" s="12">
        <v>0</v>
      </c>
      <c r="AR938" s="12">
        <v>22</v>
      </c>
      <c r="AS938" s="12">
        <v>4</v>
      </c>
      <c r="AT938" s="12">
        <v>3</v>
      </c>
      <c r="AU938" s="12">
        <v>0</v>
      </c>
      <c r="AV938" s="12">
        <v>22</v>
      </c>
      <c r="AW938" s="12">
        <f t="shared" si="213"/>
        <v>22</v>
      </c>
      <c r="AX938" s="12">
        <v>4</v>
      </c>
      <c r="AY938" s="12">
        <v>3</v>
      </c>
      <c r="AZ938" s="12">
        <v>0</v>
      </c>
      <c r="BA938" s="12">
        <f t="shared" si="214"/>
        <v>0</v>
      </c>
      <c r="BB938" s="12">
        <v>0</v>
      </c>
      <c r="BC938" s="12">
        <v>0</v>
      </c>
      <c r="BD938" s="12">
        <f t="shared" si="223"/>
        <v>0</v>
      </c>
      <c r="BE938" s="12">
        <v>0</v>
      </c>
      <c r="BF938" s="12">
        <f t="shared" si="215"/>
        <v>0</v>
      </c>
      <c r="BG938" s="12">
        <f t="shared" si="224"/>
        <v>0</v>
      </c>
      <c r="BH938" s="67">
        <v>0</v>
      </c>
      <c r="BI938" s="67">
        <v>0</v>
      </c>
      <c r="BJ938" s="67">
        <v>1</v>
      </c>
      <c r="BK938" s="67">
        <v>0</v>
      </c>
      <c r="BL938" s="67">
        <v>1</v>
      </c>
      <c r="BM938" s="67">
        <v>0</v>
      </c>
      <c r="BN938" s="67">
        <v>0</v>
      </c>
      <c r="BO938" s="67">
        <v>0</v>
      </c>
      <c r="BP938" s="67">
        <v>0</v>
      </c>
      <c r="BQ938" s="67">
        <v>0</v>
      </c>
      <c r="BR938" s="67">
        <v>0</v>
      </c>
      <c r="BS938" s="67">
        <v>0</v>
      </c>
      <c r="BT938" s="67">
        <v>22</v>
      </c>
      <c r="BU938" s="70">
        <v>0</v>
      </c>
      <c r="BV938" s="29">
        <f t="shared" si="216"/>
        <v>2.4550073927988341</v>
      </c>
      <c r="BW938">
        <f t="shared" si="217"/>
        <v>1.1555414682655611</v>
      </c>
      <c r="BX938">
        <f t="shared" si="218"/>
        <v>1.3778060624681052</v>
      </c>
      <c r="BY938">
        <f t="shared" si="219"/>
        <v>1.1439050833826525</v>
      </c>
      <c r="BZ938">
        <f t="shared" si="220"/>
        <v>1.9498886553045598</v>
      </c>
      <c r="CA938">
        <f t="shared" si="221"/>
        <v>0.88405695572208698</v>
      </c>
      <c r="CB938">
        <f t="shared" si="222"/>
        <v>0.67891464284095016</v>
      </c>
    </row>
    <row r="939" spans="1:80" x14ac:dyDescent="0.45">
      <c r="A939" s="11">
        <v>39</v>
      </c>
      <c r="B939" s="12">
        <f t="shared" si="210"/>
        <v>39</v>
      </c>
      <c r="C939" s="12" t="s">
        <v>59</v>
      </c>
      <c r="D939" s="12">
        <v>0</v>
      </c>
      <c r="E939" s="12" t="s">
        <v>53</v>
      </c>
      <c r="F939" s="12">
        <v>0</v>
      </c>
      <c r="G939" s="12">
        <v>1</v>
      </c>
      <c r="H939" s="12" t="s">
        <v>61</v>
      </c>
      <c r="I939" s="12">
        <v>1</v>
      </c>
      <c r="J939" s="12">
        <v>0</v>
      </c>
      <c r="K939" s="12">
        <v>13</v>
      </c>
      <c r="L939" s="12">
        <f t="shared" si="211"/>
        <v>13</v>
      </c>
      <c r="M939" s="12">
        <v>4</v>
      </c>
      <c r="N939" s="12" t="s">
        <v>70</v>
      </c>
      <c r="O939" s="12">
        <v>0</v>
      </c>
      <c r="P939" s="12">
        <v>0</v>
      </c>
      <c r="Q939" s="12">
        <v>1</v>
      </c>
      <c r="R939" s="12">
        <v>0</v>
      </c>
      <c r="S939" s="12">
        <v>0</v>
      </c>
      <c r="T939" s="12">
        <v>3</v>
      </c>
      <c r="U939" s="12" t="s">
        <v>19</v>
      </c>
      <c r="V939" s="12">
        <v>1</v>
      </c>
      <c r="W939" s="12">
        <v>94</v>
      </c>
      <c r="X939" s="12">
        <v>2</v>
      </c>
      <c r="Y939" s="12">
        <v>4</v>
      </c>
      <c r="Z939" s="12" t="s">
        <v>87</v>
      </c>
      <c r="AA939" s="12">
        <v>0</v>
      </c>
      <c r="AB939" s="12">
        <v>0</v>
      </c>
      <c r="AC939" s="12">
        <v>0</v>
      </c>
      <c r="AD939" s="12">
        <v>1</v>
      </c>
      <c r="AE939" s="12">
        <v>0</v>
      </c>
      <c r="AF939" s="12">
        <v>0</v>
      </c>
      <c r="AG939" s="12">
        <v>0</v>
      </c>
      <c r="AH939" s="12">
        <v>0</v>
      </c>
      <c r="AI939" s="12">
        <v>2</v>
      </c>
      <c r="AJ939" s="12" t="s">
        <v>78</v>
      </c>
      <c r="AK939" s="12">
        <v>0</v>
      </c>
      <c r="AL939" s="12">
        <v>0</v>
      </c>
      <c r="AM939" s="12">
        <v>17123</v>
      </c>
      <c r="AN939" s="12">
        <f t="shared" si="212"/>
        <v>17123</v>
      </c>
      <c r="AO939" s="12">
        <v>6</v>
      </c>
      <c r="AP939" s="12" t="s">
        <v>52</v>
      </c>
      <c r="AQ939" s="12">
        <v>1</v>
      </c>
      <c r="AR939" s="12">
        <v>13</v>
      </c>
      <c r="AS939" s="12">
        <v>3</v>
      </c>
      <c r="AT939" s="12">
        <v>4</v>
      </c>
      <c r="AU939" s="12">
        <v>2</v>
      </c>
      <c r="AV939" s="12">
        <v>21</v>
      </c>
      <c r="AW939" s="12">
        <f t="shared" si="213"/>
        <v>21</v>
      </c>
      <c r="AX939" s="12">
        <v>4</v>
      </c>
      <c r="AY939" s="12">
        <v>3</v>
      </c>
      <c r="AZ939" s="12">
        <v>19</v>
      </c>
      <c r="BA939" s="12">
        <f t="shared" si="214"/>
        <v>19</v>
      </c>
      <c r="BB939" s="12">
        <v>9</v>
      </c>
      <c r="BC939" s="12">
        <v>15</v>
      </c>
      <c r="BD939" s="12">
        <f t="shared" si="223"/>
        <v>14</v>
      </c>
      <c r="BE939" s="12">
        <v>2</v>
      </c>
      <c r="BF939" s="12">
        <f t="shared" si="215"/>
        <v>2</v>
      </c>
      <c r="BG939" s="12">
        <f t="shared" si="224"/>
        <v>8</v>
      </c>
      <c r="BH939" s="67">
        <v>1</v>
      </c>
      <c r="BI939" s="67">
        <v>0</v>
      </c>
      <c r="BJ939" s="67">
        <v>0</v>
      </c>
      <c r="BK939" s="67">
        <v>0</v>
      </c>
      <c r="BL939" s="67">
        <v>0</v>
      </c>
      <c r="BM939" s="67">
        <v>1</v>
      </c>
      <c r="BN939" s="67">
        <v>0</v>
      </c>
      <c r="BO939" s="67">
        <v>0</v>
      </c>
      <c r="BP939" s="67">
        <v>0</v>
      </c>
      <c r="BQ939" s="67">
        <v>2</v>
      </c>
      <c r="BR939" s="67">
        <v>0</v>
      </c>
      <c r="BS939" s="67">
        <v>0</v>
      </c>
      <c r="BT939" s="67">
        <v>21</v>
      </c>
      <c r="BU939" s="70">
        <v>0</v>
      </c>
      <c r="BV939" s="29">
        <f t="shared" si="216"/>
        <v>2.2557702198138339</v>
      </c>
      <c r="BW939">
        <f t="shared" si="217"/>
        <v>0.59502473559756086</v>
      </c>
      <c r="BX939">
        <f t="shared" si="218"/>
        <v>1.2492842709947811</v>
      </c>
      <c r="BY939">
        <f t="shared" si="219"/>
        <v>1.9573635031905841</v>
      </c>
      <c r="BZ939">
        <f t="shared" si="220"/>
        <v>0.46966160880232483</v>
      </c>
      <c r="CA939">
        <f t="shared" si="221"/>
        <v>0.22726935890025346</v>
      </c>
      <c r="CB939">
        <f t="shared" si="222"/>
        <v>3.9759572087271318</v>
      </c>
    </row>
    <row r="940" spans="1:80" x14ac:dyDescent="0.45">
      <c r="A940" s="11">
        <v>58</v>
      </c>
      <c r="B940" s="12">
        <f t="shared" si="210"/>
        <v>58</v>
      </c>
      <c r="C940" s="12" t="s">
        <v>59</v>
      </c>
      <c r="D940" s="12">
        <v>0</v>
      </c>
      <c r="E940" s="12" t="s">
        <v>53</v>
      </c>
      <c r="F940" s="12">
        <v>0</v>
      </c>
      <c r="G940" s="12">
        <v>1</v>
      </c>
      <c r="H940" s="12" t="s">
        <v>61</v>
      </c>
      <c r="I940" s="12">
        <v>1</v>
      </c>
      <c r="J940" s="12">
        <v>0</v>
      </c>
      <c r="K940" s="12">
        <v>23</v>
      </c>
      <c r="L940" s="12">
        <f t="shared" si="211"/>
        <v>23</v>
      </c>
      <c r="M940" s="12">
        <v>4</v>
      </c>
      <c r="N940" s="12" t="s">
        <v>55</v>
      </c>
      <c r="O940" s="12">
        <v>1</v>
      </c>
      <c r="P940" s="12">
        <v>0</v>
      </c>
      <c r="Q940" s="12">
        <v>0</v>
      </c>
      <c r="R940" s="12">
        <v>0</v>
      </c>
      <c r="S940" s="12">
        <v>0</v>
      </c>
      <c r="T940" s="12">
        <v>1</v>
      </c>
      <c r="U940" s="12" t="s">
        <v>62</v>
      </c>
      <c r="V940" s="12">
        <v>0</v>
      </c>
      <c r="W940" s="12">
        <v>88</v>
      </c>
      <c r="X940" s="12">
        <v>3</v>
      </c>
      <c r="Y940" s="12">
        <v>1</v>
      </c>
      <c r="Z940" s="12" t="s">
        <v>63</v>
      </c>
      <c r="AA940" s="12">
        <v>0</v>
      </c>
      <c r="AB940" s="12">
        <v>0</v>
      </c>
      <c r="AC940" s="12">
        <v>0</v>
      </c>
      <c r="AD940" s="12">
        <v>0</v>
      </c>
      <c r="AE940" s="12">
        <v>0</v>
      </c>
      <c r="AF940" s="12">
        <v>0</v>
      </c>
      <c r="AG940" s="12">
        <v>0</v>
      </c>
      <c r="AH940" s="12">
        <v>1</v>
      </c>
      <c r="AI940" s="12">
        <v>3</v>
      </c>
      <c r="AJ940" s="12" t="s">
        <v>78</v>
      </c>
      <c r="AK940" s="12">
        <v>0</v>
      </c>
      <c r="AL940" s="12">
        <v>0</v>
      </c>
      <c r="AM940" s="12">
        <v>2372</v>
      </c>
      <c r="AN940" s="12">
        <f t="shared" si="212"/>
        <v>2372</v>
      </c>
      <c r="AO940" s="12">
        <v>1</v>
      </c>
      <c r="AP940" s="12" t="s">
        <v>59</v>
      </c>
      <c r="AQ940" s="12">
        <v>0</v>
      </c>
      <c r="AR940" s="12">
        <v>12</v>
      </c>
      <c r="AS940" s="12">
        <v>3</v>
      </c>
      <c r="AT940" s="12">
        <v>4</v>
      </c>
      <c r="AU940" s="12">
        <v>2</v>
      </c>
      <c r="AV940" s="12">
        <v>2</v>
      </c>
      <c r="AW940" s="12">
        <f t="shared" si="213"/>
        <v>2</v>
      </c>
      <c r="AX940" s="12">
        <v>3</v>
      </c>
      <c r="AY940" s="12">
        <v>3</v>
      </c>
      <c r="AZ940" s="12">
        <v>2</v>
      </c>
      <c r="BA940" s="12">
        <f t="shared" si="214"/>
        <v>2</v>
      </c>
      <c r="BB940" s="12">
        <v>2</v>
      </c>
      <c r="BC940" s="12">
        <v>2</v>
      </c>
      <c r="BD940" s="12">
        <f t="shared" si="223"/>
        <v>2</v>
      </c>
      <c r="BE940" s="12">
        <v>2</v>
      </c>
      <c r="BF940" s="12">
        <f t="shared" si="215"/>
        <v>2</v>
      </c>
      <c r="BG940" s="12">
        <f t="shared" si="224"/>
        <v>2</v>
      </c>
      <c r="BH940" s="67">
        <v>1</v>
      </c>
      <c r="BI940" s="67">
        <v>0</v>
      </c>
      <c r="BJ940" s="67">
        <v>0</v>
      </c>
      <c r="BK940" s="67">
        <v>0</v>
      </c>
      <c r="BL940" s="67">
        <v>1</v>
      </c>
      <c r="BM940" s="67">
        <v>0</v>
      </c>
      <c r="BN940" s="67">
        <v>0</v>
      </c>
      <c r="BO940" s="67">
        <v>0</v>
      </c>
      <c r="BP940" s="67">
        <v>0</v>
      </c>
      <c r="BQ940" s="67">
        <v>2</v>
      </c>
      <c r="BR940" s="67">
        <v>0</v>
      </c>
      <c r="BS940" s="67">
        <v>0</v>
      </c>
      <c r="BT940" s="67">
        <v>2</v>
      </c>
      <c r="BU940" s="70">
        <v>0</v>
      </c>
      <c r="BV940" s="29">
        <f t="shared" si="216"/>
        <v>0.87743611142469224</v>
      </c>
      <c r="BW940">
        <f t="shared" si="217"/>
        <v>0.59502473559756086</v>
      </c>
      <c r="BX940">
        <f t="shared" si="218"/>
        <v>1.192629766998377</v>
      </c>
      <c r="BY940">
        <f t="shared" si="219"/>
        <v>0.81745575848020657</v>
      </c>
      <c r="BZ940">
        <f t="shared" si="220"/>
        <v>1.7031841475541873</v>
      </c>
      <c r="CA940">
        <f t="shared" si="221"/>
        <v>2.3070967488360594</v>
      </c>
      <c r="CB940">
        <f t="shared" si="222"/>
        <v>5.8265062631872602E-2</v>
      </c>
    </row>
    <row r="941" spans="1:80" x14ac:dyDescent="0.45">
      <c r="A941" s="11">
        <v>32</v>
      </c>
      <c r="B941" s="12">
        <f t="shared" si="210"/>
        <v>32</v>
      </c>
      <c r="C941" s="12" t="s">
        <v>52</v>
      </c>
      <c r="D941" s="12">
        <v>1</v>
      </c>
      <c r="E941" s="12" t="s">
        <v>53</v>
      </c>
      <c r="F941" s="12">
        <v>0</v>
      </c>
      <c r="G941" s="12">
        <v>1</v>
      </c>
      <c r="H941" s="12" t="s">
        <v>61</v>
      </c>
      <c r="I941" s="12">
        <v>1</v>
      </c>
      <c r="J941" s="12">
        <v>0</v>
      </c>
      <c r="K941" s="12">
        <v>7</v>
      </c>
      <c r="L941" s="12">
        <f t="shared" si="211"/>
        <v>7</v>
      </c>
      <c r="M941" s="12">
        <v>2</v>
      </c>
      <c r="N941" s="12" t="s">
        <v>55</v>
      </c>
      <c r="O941" s="12">
        <v>1</v>
      </c>
      <c r="P941" s="12">
        <v>0</v>
      </c>
      <c r="Q941" s="12">
        <v>0</v>
      </c>
      <c r="R941" s="12">
        <v>0</v>
      </c>
      <c r="S941" s="12">
        <v>0</v>
      </c>
      <c r="T941" s="12">
        <v>4</v>
      </c>
      <c r="U941" s="12" t="s">
        <v>62</v>
      </c>
      <c r="V941" s="12">
        <v>0</v>
      </c>
      <c r="W941" s="12">
        <v>79</v>
      </c>
      <c r="X941" s="12">
        <v>3</v>
      </c>
      <c r="Y941" s="12">
        <v>2</v>
      </c>
      <c r="Z941" s="12" t="s">
        <v>67</v>
      </c>
      <c r="AA941" s="12">
        <v>0</v>
      </c>
      <c r="AB941" s="12">
        <v>0</v>
      </c>
      <c r="AC941" s="12">
        <v>1</v>
      </c>
      <c r="AD941" s="12">
        <v>0</v>
      </c>
      <c r="AE941" s="12">
        <v>0</v>
      </c>
      <c r="AF941" s="12">
        <v>0</v>
      </c>
      <c r="AG941" s="12">
        <v>0</v>
      </c>
      <c r="AH941" s="12">
        <v>0</v>
      </c>
      <c r="AI941" s="12">
        <v>3</v>
      </c>
      <c r="AJ941" s="12" t="s">
        <v>64</v>
      </c>
      <c r="AK941" s="12">
        <v>0</v>
      </c>
      <c r="AL941" s="12">
        <v>1</v>
      </c>
      <c r="AM941" s="12">
        <v>4883</v>
      </c>
      <c r="AN941" s="12">
        <f t="shared" si="212"/>
        <v>4883</v>
      </c>
      <c r="AO941" s="12">
        <v>1</v>
      </c>
      <c r="AP941" s="12" t="s">
        <v>59</v>
      </c>
      <c r="AQ941" s="12">
        <v>0</v>
      </c>
      <c r="AR941" s="12">
        <v>18</v>
      </c>
      <c r="AS941" s="12">
        <v>3</v>
      </c>
      <c r="AT941" s="12">
        <v>1</v>
      </c>
      <c r="AU941" s="12">
        <v>1</v>
      </c>
      <c r="AV941" s="12">
        <v>10</v>
      </c>
      <c r="AW941" s="12">
        <f t="shared" si="213"/>
        <v>10</v>
      </c>
      <c r="AX941" s="12">
        <v>3</v>
      </c>
      <c r="AY941" s="12">
        <v>3</v>
      </c>
      <c r="AZ941" s="12">
        <v>10</v>
      </c>
      <c r="BA941" s="12">
        <f t="shared" si="214"/>
        <v>10</v>
      </c>
      <c r="BB941" s="12">
        <v>4</v>
      </c>
      <c r="BC941" s="12">
        <v>1</v>
      </c>
      <c r="BD941" s="12">
        <f t="shared" si="223"/>
        <v>1</v>
      </c>
      <c r="BE941" s="12">
        <v>1</v>
      </c>
      <c r="BF941" s="12">
        <f t="shared" si="215"/>
        <v>1</v>
      </c>
      <c r="BG941" s="12">
        <f t="shared" si="224"/>
        <v>2</v>
      </c>
      <c r="BH941" s="67">
        <v>0</v>
      </c>
      <c r="BI941" s="67">
        <v>1</v>
      </c>
      <c r="BJ941" s="67">
        <v>0</v>
      </c>
      <c r="BK941" s="67">
        <v>0</v>
      </c>
      <c r="BL941" s="67">
        <v>0</v>
      </c>
      <c r="BM941" s="67">
        <v>0</v>
      </c>
      <c r="BN941" s="67">
        <v>1</v>
      </c>
      <c r="BO941" s="67">
        <v>0</v>
      </c>
      <c r="BP941" s="67">
        <v>0</v>
      </c>
      <c r="BQ941" s="67">
        <v>1</v>
      </c>
      <c r="BR941" s="67">
        <v>0</v>
      </c>
      <c r="BS941" s="67">
        <v>0</v>
      </c>
      <c r="BT941" s="67">
        <v>10</v>
      </c>
      <c r="BU941" s="70">
        <v>0</v>
      </c>
      <c r="BV941" s="29">
        <f t="shared" si="216"/>
        <v>0.34408372190940922</v>
      </c>
      <c r="BW941">
        <f t="shared" si="217"/>
        <v>0.87528310193156111</v>
      </c>
      <c r="BX941">
        <f t="shared" si="218"/>
        <v>0.1644554352117841</v>
      </c>
      <c r="BY941">
        <f t="shared" si="219"/>
        <v>0.48834154112957734</v>
      </c>
      <c r="BZ941">
        <f t="shared" si="220"/>
        <v>0.27045191444879263</v>
      </c>
      <c r="CA941">
        <f t="shared" si="221"/>
        <v>0.53898283739188557</v>
      </c>
      <c r="CB941">
        <f t="shared" si="222"/>
        <v>0.36858985273641137</v>
      </c>
    </row>
    <row r="942" spans="1:80" x14ac:dyDescent="0.45">
      <c r="A942" s="11">
        <v>39</v>
      </c>
      <c r="B942" s="12">
        <f t="shared" si="210"/>
        <v>39</v>
      </c>
      <c r="C942" s="12" t="s">
        <v>52</v>
      </c>
      <c r="D942" s="12">
        <v>1</v>
      </c>
      <c r="E942" s="12" t="s">
        <v>53</v>
      </c>
      <c r="F942" s="12">
        <v>0</v>
      </c>
      <c r="G942" s="12">
        <v>1</v>
      </c>
      <c r="H942" s="12" t="s">
        <v>61</v>
      </c>
      <c r="I942" s="12">
        <v>1</v>
      </c>
      <c r="J942" s="12">
        <v>0</v>
      </c>
      <c r="K942" s="12">
        <v>23</v>
      </c>
      <c r="L942" s="12">
        <f t="shared" si="211"/>
        <v>23</v>
      </c>
      <c r="M942" s="12">
        <v>3</v>
      </c>
      <c r="N942" s="12" t="s">
        <v>70</v>
      </c>
      <c r="O942" s="12">
        <v>0</v>
      </c>
      <c r="P942" s="12">
        <v>0</v>
      </c>
      <c r="Q942" s="12">
        <v>1</v>
      </c>
      <c r="R942" s="12">
        <v>0</v>
      </c>
      <c r="S942" s="12">
        <v>0</v>
      </c>
      <c r="T942" s="12">
        <v>3</v>
      </c>
      <c r="U942" s="12" t="s">
        <v>62</v>
      </c>
      <c r="V942" s="12">
        <v>0</v>
      </c>
      <c r="W942" s="12">
        <v>93</v>
      </c>
      <c r="X942" s="12">
        <v>3</v>
      </c>
      <c r="Y942" s="12">
        <v>1</v>
      </c>
      <c r="Z942" s="12" t="s">
        <v>63</v>
      </c>
      <c r="AA942" s="12">
        <v>0</v>
      </c>
      <c r="AB942" s="12">
        <v>0</v>
      </c>
      <c r="AC942" s="12">
        <v>0</v>
      </c>
      <c r="AD942" s="12">
        <v>0</v>
      </c>
      <c r="AE942" s="12">
        <v>0</v>
      </c>
      <c r="AF942" s="12">
        <v>0</v>
      </c>
      <c r="AG942" s="12">
        <v>0</v>
      </c>
      <c r="AH942" s="12">
        <v>1</v>
      </c>
      <c r="AI942" s="12">
        <v>1</v>
      </c>
      <c r="AJ942" s="12" t="s">
        <v>57</v>
      </c>
      <c r="AK942" s="12">
        <v>1</v>
      </c>
      <c r="AL942" s="12">
        <v>0</v>
      </c>
      <c r="AM942" s="12">
        <v>3904</v>
      </c>
      <c r="AN942" s="12">
        <f t="shared" si="212"/>
        <v>3904</v>
      </c>
      <c r="AO942" s="12">
        <v>0</v>
      </c>
      <c r="AP942" s="12" t="s">
        <v>59</v>
      </c>
      <c r="AQ942" s="12">
        <v>0</v>
      </c>
      <c r="AR942" s="12">
        <v>13</v>
      </c>
      <c r="AS942" s="12">
        <v>3</v>
      </c>
      <c r="AT942" s="12">
        <v>1</v>
      </c>
      <c r="AU942" s="12">
        <v>0</v>
      </c>
      <c r="AV942" s="12">
        <v>6</v>
      </c>
      <c r="AW942" s="12">
        <f t="shared" si="213"/>
        <v>6</v>
      </c>
      <c r="AX942" s="12">
        <v>2</v>
      </c>
      <c r="AY942" s="12">
        <v>3</v>
      </c>
      <c r="AZ942" s="12">
        <v>5</v>
      </c>
      <c r="BA942" s="12">
        <f t="shared" si="214"/>
        <v>5</v>
      </c>
      <c r="BB942" s="12">
        <v>2</v>
      </c>
      <c r="BC942" s="12">
        <v>0</v>
      </c>
      <c r="BD942" s="12">
        <f t="shared" si="223"/>
        <v>0</v>
      </c>
      <c r="BE942" s="12">
        <v>3</v>
      </c>
      <c r="BF942" s="12">
        <f t="shared" si="215"/>
        <v>3</v>
      </c>
      <c r="BG942" s="12">
        <f t="shared" si="224"/>
        <v>3</v>
      </c>
      <c r="BH942" s="67">
        <v>1</v>
      </c>
      <c r="BI942" s="67">
        <v>0</v>
      </c>
      <c r="BJ942" s="67">
        <v>0</v>
      </c>
      <c r="BK942" s="67">
        <v>0</v>
      </c>
      <c r="BL942" s="67">
        <v>1</v>
      </c>
      <c r="BM942" s="67">
        <v>0</v>
      </c>
      <c r="BN942" s="67">
        <v>0</v>
      </c>
      <c r="BO942" s="67">
        <v>0</v>
      </c>
      <c r="BP942" s="67">
        <v>0</v>
      </c>
      <c r="BQ942" s="67">
        <v>3</v>
      </c>
      <c r="BR942" s="67">
        <v>0</v>
      </c>
      <c r="BS942" s="67">
        <v>0</v>
      </c>
      <c r="BT942" s="67">
        <v>6</v>
      </c>
      <c r="BU942" s="70">
        <v>0</v>
      </c>
      <c r="BV942" s="29">
        <f t="shared" si="216"/>
        <v>0.55202955597371106</v>
      </c>
      <c r="BW942">
        <f t="shared" si="217"/>
        <v>0.31476636926356072</v>
      </c>
      <c r="BX942">
        <f t="shared" si="218"/>
        <v>0.67854260110508058</v>
      </c>
      <c r="BY942">
        <f t="shared" si="219"/>
        <v>0.32778177112653761</v>
      </c>
      <c r="BZ942">
        <f t="shared" si="220"/>
        <v>1.7031841475541873</v>
      </c>
      <c r="CA942">
        <f t="shared" si="221"/>
        <v>0.22726935890025346</v>
      </c>
      <c r="CB942">
        <f t="shared" si="222"/>
        <v>0.67891464284095016</v>
      </c>
    </row>
    <row r="943" spans="1:80" x14ac:dyDescent="0.45">
      <c r="A943" s="11">
        <v>30</v>
      </c>
      <c r="B943" s="12">
        <f t="shared" si="210"/>
        <v>30</v>
      </c>
      <c r="C943" s="12" t="s">
        <v>59</v>
      </c>
      <c r="D943" s="12">
        <v>0</v>
      </c>
      <c r="E943" s="12" t="s">
        <v>53</v>
      </c>
      <c r="F943" s="12">
        <v>0</v>
      </c>
      <c r="G943" s="12">
        <v>1</v>
      </c>
      <c r="H943" s="12" t="s">
        <v>61</v>
      </c>
      <c r="I943" s="12">
        <v>1</v>
      </c>
      <c r="J943" s="12">
        <v>0</v>
      </c>
      <c r="K943" s="12">
        <v>6</v>
      </c>
      <c r="L943" s="12">
        <f t="shared" si="211"/>
        <v>6</v>
      </c>
      <c r="M943" s="12">
        <v>3</v>
      </c>
      <c r="N943" s="12" t="s">
        <v>91</v>
      </c>
      <c r="O943" s="12">
        <v>0</v>
      </c>
      <c r="P943" s="12">
        <v>0</v>
      </c>
      <c r="Q943" s="12">
        <v>0</v>
      </c>
      <c r="R943" s="12">
        <v>0</v>
      </c>
      <c r="S943" s="12">
        <v>1</v>
      </c>
      <c r="T943" s="12">
        <v>1</v>
      </c>
      <c r="U943" s="12" t="s">
        <v>19</v>
      </c>
      <c r="V943" s="12">
        <v>1</v>
      </c>
      <c r="W943" s="12">
        <v>48</v>
      </c>
      <c r="X943" s="12">
        <v>2</v>
      </c>
      <c r="Y943" s="12">
        <v>2</v>
      </c>
      <c r="Z943" s="12" t="s">
        <v>67</v>
      </c>
      <c r="AA943" s="12">
        <v>0</v>
      </c>
      <c r="AB943" s="12">
        <v>0</v>
      </c>
      <c r="AC943" s="12">
        <v>1</v>
      </c>
      <c r="AD943" s="12">
        <v>0</v>
      </c>
      <c r="AE943" s="12">
        <v>0</v>
      </c>
      <c r="AF943" s="12">
        <v>0</v>
      </c>
      <c r="AG943" s="12">
        <v>0</v>
      </c>
      <c r="AH943" s="12">
        <v>0</v>
      </c>
      <c r="AI943" s="12">
        <v>4</v>
      </c>
      <c r="AJ943" s="12" t="s">
        <v>64</v>
      </c>
      <c r="AK943" s="12">
        <v>0</v>
      </c>
      <c r="AL943" s="12">
        <v>1</v>
      </c>
      <c r="AM943" s="12">
        <v>4627</v>
      </c>
      <c r="AN943" s="12">
        <f t="shared" si="212"/>
        <v>4627</v>
      </c>
      <c r="AO943" s="12">
        <v>0</v>
      </c>
      <c r="AP943" s="12" t="s">
        <v>59</v>
      </c>
      <c r="AQ943" s="12">
        <v>0</v>
      </c>
      <c r="AR943" s="12">
        <v>12</v>
      </c>
      <c r="AS943" s="12">
        <v>3</v>
      </c>
      <c r="AT943" s="12">
        <v>1</v>
      </c>
      <c r="AU943" s="12">
        <v>1</v>
      </c>
      <c r="AV943" s="12">
        <v>10</v>
      </c>
      <c r="AW943" s="12">
        <f t="shared" si="213"/>
        <v>10</v>
      </c>
      <c r="AX943" s="12">
        <v>6</v>
      </c>
      <c r="AY943" s="12">
        <v>3</v>
      </c>
      <c r="AZ943" s="12">
        <v>9</v>
      </c>
      <c r="BA943" s="12">
        <f t="shared" si="214"/>
        <v>9</v>
      </c>
      <c r="BB943" s="12">
        <v>2</v>
      </c>
      <c r="BC943" s="12">
        <v>6</v>
      </c>
      <c r="BD943" s="12">
        <f t="shared" si="223"/>
        <v>6</v>
      </c>
      <c r="BE943" s="12">
        <v>7</v>
      </c>
      <c r="BF943" s="12">
        <f t="shared" si="215"/>
        <v>7</v>
      </c>
      <c r="BG943" s="12">
        <f t="shared" si="224"/>
        <v>14</v>
      </c>
      <c r="BH943" s="67">
        <v>0</v>
      </c>
      <c r="BI943" s="67">
        <v>1</v>
      </c>
      <c r="BJ943" s="67">
        <v>0</v>
      </c>
      <c r="BK943" s="67">
        <v>0</v>
      </c>
      <c r="BL943" s="67">
        <v>0</v>
      </c>
      <c r="BM943" s="67">
        <v>0</v>
      </c>
      <c r="BN943" s="67">
        <v>1</v>
      </c>
      <c r="BO943" s="67">
        <v>0</v>
      </c>
      <c r="BP943" s="67">
        <v>0</v>
      </c>
      <c r="BQ943" s="67">
        <v>7</v>
      </c>
      <c r="BR943" s="67">
        <v>0</v>
      </c>
      <c r="BS943" s="67">
        <v>0</v>
      </c>
      <c r="BT943" s="67">
        <v>10</v>
      </c>
      <c r="BU943" s="70">
        <v>0</v>
      </c>
      <c r="BV943" s="29">
        <f t="shared" si="216"/>
        <v>0.39845975206309797</v>
      </c>
      <c r="BW943">
        <f t="shared" si="217"/>
        <v>0.80626709607243985</v>
      </c>
      <c r="BX943">
        <f t="shared" si="218"/>
        <v>0.1644554352117841</v>
      </c>
      <c r="BY943">
        <f t="shared" si="219"/>
        <v>0.32511687867835437</v>
      </c>
      <c r="BZ943">
        <f t="shared" si="220"/>
        <v>0.39380416832397891</v>
      </c>
      <c r="CA943">
        <f t="shared" si="221"/>
        <v>0.75791203633249671</v>
      </c>
      <c r="CB943">
        <f t="shared" si="222"/>
        <v>1.1830340977862825</v>
      </c>
    </row>
    <row r="944" spans="1:80" x14ac:dyDescent="0.45">
      <c r="A944" s="11">
        <v>36</v>
      </c>
      <c r="B944" s="12">
        <f t="shared" si="210"/>
        <v>36</v>
      </c>
      <c r="C944" s="12" t="s">
        <v>59</v>
      </c>
      <c r="D944" s="12">
        <v>0</v>
      </c>
      <c r="E944" s="12" t="s">
        <v>53</v>
      </c>
      <c r="F944" s="12">
        <v>0</v>
      </c>
      <c r="G944" s="12">
        <v>1</v>
      </c>
      <c r="H944" s="12" t="s">
        <v>61</v>
      </c>
      <c r="I944" s="12">
        <v>1</v>
      </c>
      <c r="J944" s="12">
        <v>0</v>
      </c>
      <c r="K944" s="12">
        <v>10</v>
      </c>
      <c r="L944" s="12">
        <f t="shared" si="211"/>
        <v>10</v>
      </c>
      <c r="M944" s="12">
        <v>4</v>
      </c>
      <c r="N944" s="12" t="s">
        <v>91</v>
      </c>
      <c r="O944" s="12">
        <v>0</v>
      </c>
      <c r="P944" s="12">
        <v>0</v>
      </c>
      <c r="Q944" s="12">
        <v>0</v>
      </c>
      <c r="R944" s="12">
        <v>0</v>
      </c>
      <c r="S944" s="12">
        <v>1</v>
      </c>
      <c r="T944" s="12">
        <v>4</v>
      </c>
      <c r="U944" s="12" t="s">
        <v>19</v>
      </c>
      <c r="V944" s="12">
        <v>1</v>
      </c>
      <c r="W944" s="12">
        <v>63</v>
      </c>
      <c r="X944" s="12">
        <v>3</v>
      </c>
      <c r="Y944" s="12">
        <v>3</v>
      </c>
      <c r="Z944" s="12" t="s">
        <v>85</v>
      </c>
      <c r="AA944" s="12">
        <v>1</v>
      </c>
      <c r="AB944" s="12">
        <v>0</v>
      </c>
      <c r="AC944" s="12">
        <v>0</v>
      </c>
      <c r="AD944" s="12">
        <v>0</v>
      </c>
      <c r="AE944" s="12">
        <v>0</v>
      </c>
      <c r="AF944" s="12">
        <v>0</v>
      </c>
      <c r="AG944" s="12">
        <v>0</v>
      </c>
      <c r="AH944" s="12">
        <v>0</v>
      </c>
      <c r="AI944" s="12">
        <v>3</v>
      </c>
      <c r="AJ944" s="12" t="s">
        <v>64</v>
      </c>
      <c r="AK944" s="12">
        <v>0</v>
      </c>
      <c r="AL944" s="12">
        <v>1</v>
      </c>
      <c r="AM944" s="12">
        <v>7094</v>
      </c>
      <c r="AN944" s="12">
        <f t="shared" si="212"/>
        <v>7094</v>
      </c>
      <c r="AO944" s="12">
        <v>3</v>
      </c>
      <c r="AP944" s="12" t="s">
        <v>59</v>
      </c>
      <c r="AQ944" s="12">
        <v>0</v>
      </c>
      <c r="AR944" s="12">
        <v>12</v>
      </c>
      <c r="AS944" s="12">
        <v>3</v>
      </c>
      <c r="AT944" s="12">
        <v>1</v>
      </c>
      <c r="AU944" s="12">
        <v>0</v>
      </c>
      <c r="AV944" s="12">
        <v>10</v>
      </c>
      <c r="AW944" s="12">
        <f t="shared" si="213"/>
        <v>10</v>
      </c>
      <c r="AX944" s="12">
        <v>0</v>
      </c>
      <c r="AY944" s="12">
        <v>3</v>
      </c>
      <c r="AZ944" s="12">
        <v>7</v>
      </c>
      <c r="BA944" s="12">
        <f t="shared" si="214"/>
        <v>7</v>
      </c>
      <c r="BB944" s="12">
        <v>7</v>
      </c>
      <c r="BC944" s="12">
        <v>1</v>
      </c>
      <c r="BD944" s="12">
        <f t="shared" si="223"/>
        <v>1</v>
      </c>
      <c r="BE944" s="12">
        <v>7</v>
      </c>
      <c r="BF944" s="12">
        <f t="shared" si="215"/>
        <v>7</v>
      </c>
      <c r="BG944" s="12">
        <f t="shared" si="224"/>
        <v>21</v>
      </c>
      <c r="BH944" s="67">
        <v>0</v>
      </c>
      <c r="BI944" s="67">
        <v>1</v>
      </c>
      <c r="BJ944" s="67">
        <v>0</v>
      </c>
      <c r="BK944" s="67">
        <v>0</v>
      </c>
      <c r="BL944" s="67">
        <v>0</v>
      </c>
      <c r="BM944" s="67">
        <v>0</v>
      </c>
      <c r="BN944" s="67">
        <v>1</v>
      </c>
      <c r="BO944" s="67">
        <v>0</v>
      </c>
      <c r="BP944" s="67">
        <v>0</v>
      </c>
      <c r="BQ944" s="67">
        <v>7</v>
      </c>
      <c r="BR944" s="67">
        <v>0</v>
      </c>
      <c r="BS944" s="67">
        <v>0</v>
      </c>
      <c r="BT944" s="67">
        <v>10</v>
      </c>
      <c r="BU944" s="70">
        <v>0</v>
      </c>
      <c r="BV944" s="29">
        <f t="shared" si="216"/>
        <v>0.12554675726951978</v>
      </c>
      <c r="BW944">
        <f t="shared" si="217"/>
        <v>0.80626709607243985</v>
      </c>
      <c r="BX944">
        <f t="shared" si="218"/>
        <v>0.1644554352117841</v>
      </c>
      <c r="BY944">
        <f t="shared" si="219"/>
        <v>1.3324462240916321E-3</v>
      </c>
      <c r="BZ944">
        <f t="shared" si="220"/>
        <v>9.9604847176766084E-2</v>
      </c>
      <c r="CA944">
        <f t="shared" si="221"/>
        <v>0.10112443951066327</v>
      </c>
      <c r="CB944">
        <f t="shared" si="222"/>
        <v>0.36858985273641137</v>
      </c>
    </row>
    <row r="945" spans="1:80" x14ac:dyDescent="0.45">
      <c r="A945" s="11">
        <v>46</v>
      </c>
      <c r="B945" s="12">
        <f t="shared" si="210"/>
        <v>46</v>
      </c>
      <c r="C945" s="12" t="s">
        <v>59</v>
      </c>
      <c r="D945" s="12">
        <v>0</v>
      </c>
      <c r="E945" s="12" t="s">
        <v>53</v>
      </c>
      <c r="F945" s="12">
        <v>0</v>
      </c>
      <c r="G945" s="12">
        <v>1</v>
      </c>
      <c r="H945" s="12" t="s">
        <v>97</v>
      </c>
      <c r="I945" s="12">
        <v>0</v>
      </c>
      <c r="J945" s="12">
        <v>0</v>
      </c>
      <c r="K945" s="12">
        <v>1</v>
      </c>
      <c r="L945" s="12">
        <f t="shared" si="211"/>
        <v>1</v>
      </c>
      <c r="M945" s="12">
        <v>2</v>
      </c>
      <c r="N945" s="12" t="s">
        <v>55</v>
      </c>
      <c r="O945" s="12">
        <v>1</v>
      </c>
      <c r="P945" s="12">
        <v>0</v>
      </c>
      <c r="Q945" s="12">
        <v>0</v>
      </c>
      <c r="R945" s="12">
        <v>0</v>
      </c>
      <c r="S945" s="12">
        <v>0</v>
      </c>
      <c r="T945" s="12">
        <v>4</v>
      </c>
      <c r="U945" s="12" t="s">
        <v>19</v>
      </c>
      <c r="V945" s="12">
        <v>1</v>
      </c>
      <c r="W945" s="12">
        <v>44</v>
      </c>
      <c r="X945" s="12">
        <v>3</v>
      </c>
      <c r="Y945" s="12">
        <v>1</v>
      </c>
      <c r="Z945" s="12" t="s">
        <v>97</v>
      </c>
      <c r="AA945" s="12">
        <v>0</v>
      </c>
      <c r="AB945" s="12">
        <v>0</v>
      </c>
      <c r="AC945" s="12">
        <v>0</v>
      </c>
      <c r="AD945" s="12">
        <v>0</v>
      </c>
      <c r="AE945" s="12">
        <v>0</v>
      </c>
      <c r="AF945" s="12">
        <v>0</v>
      </c>
      <c r="AG945" s="12">
        <v>0</v>
      </c>
      <c r="AH945" s="12">
        <v>0</v>
      </c>
      <c r="AI945" s="12">
        <v>1</v>
      </c>
      <c r="AJ945" s="12" t="s">
        <v>57</v>
      </c>
      <c r="AK945" s="12">
        <v>1</v>
      </c>
      <c r="AL945" s="12">
        <v>0</v>
      </c>
      <c r="AM945" s="12">
        <v>3423</v>
      </c>
      <c r="AN945" s="12">
        <f t="shared" si="212"/>
        <v>3423</v>
      </c>
      <c r="AO945" s="12">
        <v>6</v>
      </c>
      <c r="AP945" s="12" t="s">
        <v>59</v>
      </c>
      <c r="AQ945" s="12">
        <v>0</v>
      </c>
      <c r="AR945" s="12">
        <v>12</v>
      </c>
      <c r="AS945" s="12">
        <v>3</v>
      </c>
      <c r="AT945" s="12">
        <v>3</v>
      </c>
      <c r="AU945" s="12">
        <v>0</v>
      </c>
      <c r="AV945" s="12">
        <v>10</v>
      </c>
      <c r="AW945" s="12">
        <f t="shared" si="213"/>
        <v>10</v>
      </c>
      <c r="AX945" s="12">
        <v>3</v>
      </c>
      <c r="AY945" s="12">
        <v>4</v>
      </c>
      <c r="AZ945" s="12">
        <v>7</v>
      </c>
      <c r="BA945" s="12">
        <f t="shared" si="214"/>
        <v>7</v>
      </c>
      <c r="BB945" s="12">
        <v>6</v>
      </c>
      <c r="BC945" s="12">
        <v>5</v>
      </c>
      <c r="BD945" s="12">
        <f t="shared" si="223"/>
        <v>5</v>
      </c>
      <c r="BE945" s="12">
        <v>7</v>
      </c>
      <c r="BF945" s="12">
        <f t="shared" si="215"/>
        <v>7</v>
      </c>
      <c r="BG945" s="12">
        <f t="shared" si="224"/>
        <v>7</v>
      </c>
      <c r="BH945" s="67">
        <v>1</v>
      </c>
      <c r="BI945" s="67">
        <v>0</v>
      </c>
      <c r="BJ945" s="67">
        <v>0</v>
      </c>
      <c r="BK945" s="67">
        <v>0</v>
      </c>
      <c r="BL945" s="67">
        <v>1</v>
      </c>
      <c r="BM945" s="67">
        <v>0</v>
      </c>
      <c r="BN945" s="67">
        <v>0</v>
      </c>
      <c r="BO945" s="67">
        <v>0</v>
      </c>
      <c r="BP945" s="67">
        <v>7</v>
      </c>
      <c r="BQ945" s="67">
        <v>0</v>
      </c>
      <c r="BR945" s="67">
        <v>0</v>
      </c>
      <c r="BS945" s="67">
        <v>10</v>
      </c>
      <c r="BT945" s="67">
        <v>0</v>
      </c>
      <c r="BU945" s="70">
        <v>0</v>
      </c>
      <c r="BV945" s="29">
        <f t="shared" si="216"/>
        <v>0.65419701887966542</v>
      </c>
      <c r="BW945">
        <f t="shared" si="217"/>
        <v>0.80626709607243985</v>
      </c>
      <c r="BX945">
        <f t="shared" si="218"/>
        <v>0.1644554352117841</v>
      </c>
      <c r="BY945">
        <f t="shared" si="219"/>
        <v>1.3324462240916321E-3</v>
      </c>
      <c r="BZ945">
        <f t="shared" si="220"/>
        <v>1.01056543769991</v>
      </c>
      <c r="CA945">
        <f t="shared" si="221"/>
        <v>0.99352155519239249</v>
      </c>
      <c r="CB945">
        <f t="shared" si="222"/>
        <v>0.87270930768174382</v>
      </c>
    </row>
    <row r="946" spans="1:80" x14ac:dyDescent="0.45">
      <c r="A946" s="11">
        <v>28</v>
      </c>
      <c r="B946" s="12">
        <f t="shared" si="210"/>
        <v>28</v>
      </c>
      <c r="C946" s="12" t="s">
        <v>59</v>
      </c>
      <c r="D946" s="12">
        <v>0</v>
      </c>
      <c r="E946" s="12" t="s">
        <v>86</v>
      </c>
      <c r="F946" s="12">
        <v>0</v>
      </c>
      <c r="G946" s="12">
        <v>0</v>
      </c>
      <c r="H946" s="12" t="s">
        <v>61</v>
      </c>
      <c r="I946" s="12">
        <v>1</v>
      </c>
      <c r="J946" s="12">
        <v>0</v>
      </c>
      <c r="K946" s="12">
        <v>1</v>
      </c>
      <c r="L946" s="12">
        <f t="shared" si="211"/>
        <v>1</v>
      </c>
      <c r="M946" s="12">
        <v>3</v>
      </c>
      <c r="N946" s="12" t="s">
        <v>55</v>
      </c>
      <c r="O946" s="12">
        <v>1</v>
      </c>
      <c r="P946" s="12">
        <v>0</v>
      </c>
      <c r="Q946" s="12">
        <v>0</v>
      </c>
      <c r="R946" s="12">
        <v>0</v>
      </c>
      <c r="S946" s="12">
        <v>0</v>
      </c>
      <c r="T946" s="12">
        <v>3</v>
      </c>
      <c r="U946" s="12" t="s">
        <v>19</v>
      </c>
      <c r="V946" s="12">
        <v>1</v>
      </c>
      <c r="W946" s="12">
        <v>55</v>
      </c>
      <c r="X946" s="12">
        <v>1</v>
      </c>
      <c r="Y946" s="12">
        <v>2</v>
      </c>
      <c r="Z946" s="12" t="s">
        <v>67</v>
      </c>
      <c r="AA946" s="12">
        <v>0</v>
      </c>
      <c r="AB946" s="12">
        <v>0</v>
      </c>
      <c r="AC946" s="12">
        <v>1</v>
      </c>
      <c r="AD946" s="12">
        <v>0</v>
      </c>
      <c r="AE946" s="12">
        <v>0</v>
      </c>
      <c r="AF946" s="12">
        <v>0</v>
      </c>
      <c r="AG946" s="12">
        <v>0</v>
      </c>
      <c r="AH946" s="12">
        <v>0</v>
      </c>
      <c r="AI946" s="12">
        <v>4</v>
      </c>
      <c r="AJ946" s="12" t="s">
        <v>64</v>
      </c>
      <c r="AK946" s="12">
        <v>0</v>
      </c>
      <c r="AL946" s="12">
        <v>1</v>
      </c>
      <c r="AM946" s="12">
        <v>6674</v>
      </c>
      <c r="AN946" s="12">
        <f t="shared" si="212"/>
        <v>6674</v>
      </c>
      <c r="AO946" s="12">
        <v>0</v>
      </c>
      <c r="AP946" s="12" t="s">
        <v>59</v>
      </c>
      <c r="AQ946" s="12">
        <v>0</v>
      </c>
      <c r="AR946" s="12">
        <v>11</v>
      </c>
      <c r="AS946" s="12">
        <v>3</v>
      </c>
      <c r="AT946" s="12">
        <v>1</v>
      </c>
      <c r="AU946" s="12">
        <v>3</v>
      </c>
      <c r="AV946" s="12">
        <v>10</v>
      </c>
      <c r="AW946" s="12">
        <f t="shared" si="213"/>
        <v>10</v>
      </c>
      <c r="AX946" s="12">
        <v>6</v>
      </c>
      <c r="AY946" s="12">
        <v>3</v>
      </c>
      <c r="AZ946" s="12">
        <v>9</v>
      </c>
      <c r="BA946" s="12">
        <f t="shared" si="214"/>
        <v>9</v>
      </c>
      <c r="BB946" s="12">
        <v>8</v>
      </c>
      <c r="BC946" s="12">
        <v>7</v>
      </c>
      <c r="BD946" s="12">
        <f t="shared" si="223"/>
        <v>7</v>
      </c>
      <c r="BE946" s="12">
        <v>5</v>
      </c>
      <c r="BF946" s="12">
        <f t="shared" si="215"/>
        <v>5</v>
      </c>
      <c r="BG946" s="12">
        <f t="shared" si="224"/>
        <v>10</v>
      </c>
      <c r="BH946" s="67">
        <v>0</v>
      </c>
      <c r="BI946" s="67">
        <v>1</v>
      </c>
      <c r="BJ946" s="67">
        <v>0</v>
      </c>
      <c r="BK946" s="67">
        <v>0</v>
      </c>
      <c r="BL946" s="67">
        <v>0</v>
      </c>
      <c r="BM946" s="67">
        <v>0</v>
      </c>
      <c r="BN946" s="67">
        <v>1</v>
      </c>
      <c r="BO946" s="67">
        <v>0</v>
      </c>
      <c r="BP946" s="67">
        <v>0</v>
      </c>
      <c r="BQ946" s="67">
        <v>5</v>
      </c>
      <c r="BR946" s="67">
        <v>0</v>
      </c>
      <c r="BS946" s="67">
        <v>0</v>
      </c>
      <c r="BT946" s="67">
        <v>10</v>
      </c>
      <c r="BU946" s="70">
        <v>0</v>
      </c>
      <c r="BV946" s="29">
        <f t="shared" si="216"/>
        <v>3.6336082798624166E-2</v>
      </c>
      <c r="BW946">
        <f t="shared" si="217"/>
        <v>0.24575036340443959</v>
      </c>
      <c r="BX946">
        <f t="shared" si="218"/>
        <v>0.1644554352117841</v>
      </c>
      <c r="BY946">
        <f t="shared" si="219"/>
        <v>0.32511687867835437</v>
      </c>
      <c r="BZ946">
        <f t="shared" si="220"/>
        <v>1.01056543769991</v>
      </c>
      <c r="CA946">
        <f t="shared" si="221"/>
        <v>0.97684123527310796</v>
      </c>
      <c r="CB946">
        <f t="shared" si="222"/>
        <v>1.4933588878908215</v>
      </c>
    </row>
    <row r="947" spans="1:80" x14ac:dyDescent="0.45">
      <c r="A947" s="11">
        <v>50</v>
      </c>
      <c r="B947" s="12">
        <f t="shared" si="210"/>
        <v>50</v>
      </c>
      <c r="C947" s="12" t="s">
        <v>59</v>
      </c>
      <c r="D947" s="12">
        <v>0</v>
      </c>
      <c r="E947" s="12" t="s">
        <v>53</v>
      </c>
      <c r="F947" s="12">
        <v>0</v>
      </c>
      <c r="G947" s="12">
        <v>1</v>
      </c>
      <c r="H947" s="12" t="s">
        <v>61</v>
      </c>
      <c r="I947" s="12">
        <v>1</v>
      </c>
      <c r="J947" s="12">
        <v>0</v>
      </c>
      <c r="K947" s="12">
        <v>28</v>
      </c>
      <c r="L947" s="12">
        <f t="shared" si="211"/>
        <v>28</v>
      </c>
      <c r="M947" s="12">
        <v>3</v>
      </c>
      <c r="N947" s="12" t="s">
        <v>55</v>
      </c>
      <c r="O947" s="12">
        <v>1</v>
      </c>
      <c r="P947" s="12">
        <v>0</v>
      </c>
      <c r="Q947" s="12">
        <v>0</v>
      </c>
      <c r="R947" s="12">
        <v>0</v>
      </c>
      <c r="S947" s="12">
        <v>0</v>
      </c>
      <c r="T947" s="12">
        <v>4</v>
      </c>
      <c r="U947" s="12" t="s">
        <v>19</v>
      </c>
      <c r="V947" s="12">
        <v>1</v>
      </c>
      <c r="W947" s="12">
        <v>43</v>
      </c>
      <c r="X947" s="12">
        <v>3</v>
      </c>
      <c r="Y947" s="12">
        <v>4</v>
      </c>
      <c r="Z947" s="12" t="s">
        <v>89</v>
      </c>
      <c r="AA947" s="12">
        <v>0</v>
      </c>
      <c r="AB947" s="12">
        <v>0</v>
      </c>
      <c r="AC947" s="12">
        <v>0</v>
      </c>
      <c r="AD947" s="12">
        <v>0</v>
      </c>
      <c r="AE947" s="12">
        <v>0</v>
      </c>
      <c r="AF947" s="12">
        <v>0</v>
      </c>
      <c r="AG947" s="12">
        <v>0</v>
      </c>
      <c r="AH947" s="12">
        <v>0</v>
      </c>
      <c r="AI947" s="12">
        <v>1</v>
      </c>
      <c r="AJ947" s="12" t="s">
        <v>64</v>
      </c>
      <c r="AK947" s="12">
        <v>0</v>
      </c>
      <c r="AL947" s="12">
        <v>1</v>
      </c>
      <c r="AM947" s="12">
        <v>16880</v>
      </c>
      <c r="AN947" s="12">
        <f t="shared" si="212"/>
        <v>16880</v>
      </c>
      <c r="AO947" s="12">
        <v>4</v>
      </c>
      <c r="AP947" s="12" t="s">
        <v>52</v>
      </c>
      <c r="AQ947" s="12">
        <v>1</v>
      </c>
      <c r="AR947" s="12">
        <v>11</v>
      </c>
      <c r="AS947" s="12">
        <v>3</v>
      </c>
      <c r="AT947" s="12">
        <v>2</v>
      </c>
      <c r="AU947" s="12">
        <v>0</v>
      </c>
      <c r="AV947" s="12">
        <v>25</v>
      </c>
      <c r="AW947" s="12">
        <f t="shared" si="213"/>
        <v>25</v>
      </c>
      <c r="AX947" s="12">
        <v>2</v>
      </c>
      <c r="AY947" s="12">
        <v>3</v>
      </c>
      <c r="AZ947" s="12">
        <v>3</v>
      </c>
      <c r="BA947" s="12">
        <f t="shared" si="214"/>
        <v>3</v>
      </c>
      <c r="BB947" s="12">
        <v>2</v>
      </c>
      <c r="BC947" s="12">
        <v>1</v>
      </c>
      <c r="BD947" s="12">
        <f t="shared" si="223"/>
        <v>1</v>
      </c>
      <c r="BE947" s="12">
        <v>2</v>
      </c>
      <c r="BF947" s="12">
        <f t="shared" si="215"/>
        <v>2</v>
      </c>
      <c r="BG947" s="12">
        <f t="shared" si="224"/>
        <v>8</v>
      </c>
      <c r="BH947" s="67">
        <v>0</v>
      </c>
      <c r="BI947" s="67">
        <v>1</v>
      </c>
      <c r="BJ947" s="67">
        <v>0</v>
      </c>
      <c r="BK947" s="67">
        <v>0</v>
      </c>
      <c r="BL947" s="67">
        <v>0</v>
      </c>
      <c r="BM947" s="67">
        <v>0</v>
      </c>
      <c r="BN947" s="67">
        <v>0</v>
      </c>
      <c r="BO947" s="67">
        <v>1</v>
      </c>
      <c r="BP947" s="67">
        <v>0</v>
      </c>
      <c r="BQ947" s="67">
        <v>2</v>
      </c>
      <c r="BR947" s="67">
        <v>0</v>
      </c>
      <c r="BS947" s="67">
        <v>0</v>
      </c>
      <c r="BT947" s="67">
        <v>25</v>
      </c>
      <c r="BU947" s="70">
        <v>0</v>
      </c>
      <c r="BV947" s="29">
        <f t="shared" si="216"/>
        <v>2.2041554724413874</v>
      </c>
      <c r="BW947">
        <f t="shared" si="217"/>
        <v>0.59502473559756086</v>
      </c>
      <c r="BX947">
        <f t="shared" si="218"/>
        <v>1.7633714368880775</v>
      </c>
      <c r="BY947">
        <f t="shared" si="219"/>
        <v>0.65423109602898355</v>
      </c>
      <c r="BZ947">
        <f t="shared" si="220"/>
        <v>2.3199454169301186</v>
      </c>
      <c r="CA947">
        <f t="shared" si="221"/>
        <v>1.4313799530736149</v>
      </c>
      <c r="CB947">
        <f t="shared" si="222"/>
        <v>0.36858985273641137</v>
      </c>
    </row>
    <row r="948" spans="1:80" x14ac:dyDescent="0.45">
      <c r="A948" s="11">
        <v>40</v>
      </c>
      <c r="B948" s="12">
        <f t="shared" si="210"/>
        <v>40</v>
      </c>
      <c r="C948" s="12" t="s">
        <v>52</v>
      </c>
      <c r="D948" s="12">
        <v>1</v>
      </c>
      <c r="E948" s="12" t="s">
        <v>53</v>
      </c>
      <c r="F948" s="12">
        <v>0</v>
      </c>
      <c r="G948" s="12">
        <v>1</v>
      </c>
      <c r="H948" s="12" t="s">
        <v>54</v>
      </c>
      <c r="I948" s="12">
        <v>0</v>
      </c>
      <c r="J948" s="12">
        <v>1</v>
      </c>
      <c r="K948" s="12">
        <v>25</v>
      </c>
      <c r="L948" s="12">
        <f t="shared" si="211"/>
        <v>25</v>
      </c>
      <c r="M948" s="12">
        <v>4</v>
      </c>
      <c r="N948" s="12" t="s">
        <v>90</v>
      </c>
      <c r="O948" s="12">
        <v>0</v>
      </c>
      <c r="P948" s="12">
        <v>0</v>
      </c>
      <c r="Q948" s="12">
        <v>0</v>
      </c>
      <c r="R948" s="12">
        <v>1</v>
      </c>
      <c r="S948" s="12">
        <v>0</v>
      </c>
      <c r="T948" s="12">
        <v>4</v>
      </c>
      <c r="U948" s="12" t="s">
        <v>62</v>
      </c>
      <c r="V948" s="12">
        <v>0</v>
      </c>
      <c r="W948" s="12">
        <v>57</v>
      </c>
      <c r="X948" s="12">
        <v>2</v>
      </c>
      <c r="Y948" s="12">
        <v>3</v>
      </c>
      <c r="Z948" s="12" t="s">
        <v>56</v>
      </c>
      <c r="AA948" s="12">
        <v>0</v>
      </c>
      <c r="AB948" s="12">
        <v>1</v>
      </c>
      <c r="AC948" s="12">
        <v>0</v>
      </c>
      <c r="AD948" s="12">
        <v>0</v>
      </c>
      <c r="AE948" s="12">
        <v>0</v>
      </c>
      <c r="AF948" s="12">
        <v>0</v>
      </c>
      <c r="AG948" s="12">
        <v>0</v>
      </c>
      <c r="AH948" s="12">
        <v>0</v>
      </c>
      <c r="AI948" s="12">
        <v>2</v>
      </c>
      <c r="AJ948" s="12" t="s">
        <v>57</v>
      </c>
      <c r="AK948" s="12">
        <v>1</v>
      </c>
      <c r="AL948" s="12">
        <v>0</v>
      </c>
      <c r="AM948" s="12">
        <v>9094</v>
      </c>
      <c r="AN948" s="12">
        <f t="shared" si="212"/>
        <v>9094</v>
      </c>
      <c r="AO948" s="12">
        <v>2</v>
      </c>
      <c r="AP948" s="12" t="s">
        <v>52</v>
      </c>
      <c r="AQ948" s="12">
        <v>1</v>
      </c>
      <c r="AR948" s="12">
        <v>12</v>
      </c>
      <c r="AS948" s="12">
        <v>3</v>
      </c>
      <c r="AT948" s="12">
        <v>3</v>
      </c>
      <c r="AU948" s="12">
        <v>0</v>
      </c>
      <c r="AV948" s="12">
        <v>9</v>
      </c>
      <c r="AW948" s="12">
        <f t="shared" si="213"/>
        <v>9</v>
      </c>
      <c r="AX948" s="12">
        <v>2</v>
      </c>
      <c r="AY948" s="12">
        <v>3</v>
      </c>
      <c r="AZ948" s="12">
        <v>5</v>
      </c>
      <c r="BA948" s="12">
        <f t="shared" si="214"/>
        <v>5</v>
      </c>
      <c r="BB948" s="12">
        <v>4</v>
      </c>
      <c r="BC948" s="12">
        <v>1</v>
      </c>
      <c r="BD948" s="12">
        <f t="shared" si="223"/>
        <v>1</v>
      </c>
      <c r="BE948" s="12">
        <v>0</v>
      </c>
      <c r="BF948" s="12">
        <f t="shared" si="215"/>
        <v>0</v>
      </c>
      <c r="BG948" s="12">
        <f t="shared" si="224"/>
        <v>0</v>
      </c>
      <c r="BH948" s="67">
        <v>1</v>
      </c>
      <c r="BI948" s="67">
        <v>0</v>
      </c>
      <c r="BJ948" s="67">
        <v>0</v>
      </c>
      <c r="BK948" s="67">
        <v>0</v>
      </c>
      <c r="BL948" s="67">
        <v>0</v>
      </c>
      <c r="BM948" s="67">
        <v>1</v>
      </c>
      <c r="BN948" s="67">
        <v>0</v>
      </c>
      <c r="BO948" s="67">
        <v>0</v>
      </c>
      <c r="BP948" s="67">
        <v>0</v>
      </c>
      <c r="BQ948" s="67">
        <v>0</v>
      </c>
      <c r="BR948" s="67">
        <v>0</v>
      </c>
      <c r="BS948" s="67">
        <v>0</v>
      </c>
      <c r="BT948" s="67">
        <v>0</v>
      </c>
      <c r="BU948" s="70">
        <v>9</v>
      </c>
      <c r="BV948" s="29">
        <f t="shared" si="216"/>
        <v>0.55035949284521313</v>
      </c>
      <c r="BW948">
        <f t="shared" si="217"/>
        <v>1.1555414682655611</v>
      </c>
      <c r="BX948">
        <f t="shared" si="218"/>
        <v>0.29297722668510823</v>
      </c>
      <c r="BY948">
        <f t="shared" si="219"/>
        <v>0.32778177112653761</v>
      </c>
      <c r="BZ948">
        <f t="shared" si="220"/>
        <v>1.9498886553045598</v>
      </c>
      <c r="CA948">
        <f t="shared" si="221"/>
        <v>0.33673395837055903</v>
      </c>
      <c r="CB948">
        <f t="shared" si="222"/>
        <v>0.36858985273641137</v>
      </c>
    </row>
    <row r="949" spans="1:80" x14ac:dyDescent="0.45">
      <c r="A949" s="11">
        <v>52</v>
      </c>
      <c r="B949" s="12">
        <f t="shared" si="210"/>
        <v>52</v>
      </c>
      <c r="C949" s="12" t="s">
        <v>52</v>
      </c>
      <c r="D949" s="12">
        <v>1</v>
      </c>
      <c r="E949" s="12" t="s">
        <v>53</v>
      </c>
      <c r="F949" s="12">
        <v>0</v>
      </c>
      <c r="G949" s="12">
        <v>1</v>
      </c>
      <c r="H949" s="12" t="s">
        <v>54</v>
      </c>
      <c r="I949" s="12">
        <v>0</v>
      </c>
      <c r="J949" s="12">
        <v>1</v>
      </c>
      <c r="K949" s="12">
        <v>5</v>
      </c>
      <c r="L949" s="12">
        <f t="shared" si="211"/>
        <v>5</v>
      </c>
      <c r="M949" s="12">
        <v>3</v>
      </c>
      <c r="N949" s="12" t="s">
        <v>55</v>
      </c>
      <c r="O949" s="12">
        <v>1</v>
      </c>
      <c r="P949" s="12">
        <v>0</v>
      </c>
      <c r="Q949" s="12">
        <v>0</v>
      </c>
      <c r="R949" s="12">
        <v>0</v>
      </c>
      <c r="S949" s="12">
        <v>0</v>
      </c>
      <c r="T949" s="12">
        <v>2</v>
      </c>
      <c r="U949" s="12" t="s">
        <v>62</v>
      </c>
      <c r="V949" s="12">
        <v>0</v>
      </c>
      <c r="W949" s="12">
        <v>64</v>
      </c>
      <c r="X949" s="12">
        <v>3</v>
      </c>
      <c r="Y949" s="12">
        <v>3</v>
      </c>
      <c r="Z949" s="12" t="s">
        <v>56</v>
      </c>
      <c r="AA949" s="12">
        <v>0</v>
      </c>
      <c r="AB949" s="12">
        <v>1</v>
      </c>
      <c r="AC949" s="12">
        <v>0</v>
      </c>
      <c r="AD949" s="12">
        <v>0</v>
      </c>
      <c r="AE949" s="12">
        <v>0</v>
      </c>
      <c r="AF949" s="12">
        <v>0</v>
      </c>
      <c r="AG949" s="12">
        <v>0</v>
      </c>
      <c r="AH949" s="12">
        <v>0</v>
      </c>
      <c r="AI949" s="12">
        <v>2</v>
      </c>
      <c r="AJ949" s="12" t="s">
        <v>57</v>
      </c>
      <c r="AK949" s="12">
        <v>1</v>
      </c>
      <c r="AL949" s="12">
        <v>0</v>
      </c>
      <c r="AM949" s="12">
        <v>8446</v>
      </c>
      <c r="AN949" s="12">
        <f t="shared" si="212"/>
        <v>8446</v>
      </c>
      <c r="AO949" s="12">
        <v>9</v>
      </c>
      <c r="AP949" s="12" t="s">
        <v>52</v>
      </c>
      <c r="AQ949" s="12">
        <v>1</v>
      </c>
      <c r="AR949" s="12">
        <v>19</v>
      </c>
      <c r="AS949" s="12">
        <v>3</v>
      </c>
      <c r="AT949" s="12">
        <v>3</v>
      </c>
      <c r="AU949" s="12">
        <v>0</v>
      </c>
      <c r="AV949" s="12">
        <v>10</v>
      </c>
      <c r="AW949" s="12">
        <f t="shared" si="213"/>
        <v>10</v>
      </c>
      <c r="AX949" s="12">
        <v>2</v>
      </c>
      <c r="AY949" s="12">
        <v>2</v>
      </c>
      <c r="AZ949" s="12">
        <v>8</v>
      </c>
      <c r="BA949" s="12">
        <f t="shared" si="214"/>
        <v>8</v>
      </c>
      <c r="BB949" s="12">
        <v>7</v>
      </c>
      <c r="BC949" s="12">
        <v>7</v>
      </c>
      <c r="BD949" s="12">
        <f t="shared" si="223"/>
        <v>7</v>
      </c>
      <c r="BE949" s="12">
        <v>7</v>
      </c>
      <c r="BF949" s="12">
        <f t="shared" si="215"/>
        <v>7</v>
      </c>
      <c r="BG949" s="12">
        <f t="shared" si="224"/>
        <v>21</v>
      </c>
      <c r="BH949" s="67">
        <v>1</v>
      </c>
      <c r="BI949" s="67">
        <v>0</v>
      </c>
      <c r="BJ949" s="67">
        <v>0</v>
      </c>
      <c r="BK949" s="67">
        <v>0</v>
      </c>
      <c r="BL949" s="67">
        <v>0</v>
      </c>
      <c r="BM949" s="67">
        <v>1</v>
      </c>
      <c r="BN949" s="67">
        <v>0</v>
      </c>
      <c r="BO949" s="67">
        <v>0</v>
      </c>
      <c r="BP949" s="67">
        <v>0</v>
      </c>
      <c r="BQ949" s="67">
        <v>0</v>
      </c>
      <c r="BR949" s="67">
        <v>7</v>
      </c>
      <c r="BS949" s="67">
        <v>0</v>
      </c>
      <c r="BT949" s="67">
        <v>0</v>
      </c>
      <c r="BU949" s="70">
        <v>10</v>
      </c>
      <c r="BV949" s="29">
        <f t="shared" si="216"/>
        <v>0.41272016651868848</v>
      </c>
      <c r="BW949">
        <f t="shared" si="217"/>
        <v>0.80626709607243985</v>
      </c>
      <c r="BX949">
        <f t="shared" si="218"/>
        <v>0.1644554352117841</v>
      </c>
      <c r="BY949">
        <f t="shared" si="219"/>
        <v>0.16189221622713135</v>
      </c>
      <c r="BZ949">
        <f t="shared" si="220"/>
        <v>0.51715642219916513</v>
      </c>
      <c r="CA949">
        <f t="shared" si="221"/>
        <v>1.6503091520142259</v>
      </c>
      <c r="CB949">
        <f t="shared" si="222"/>
        <v>1.4933588878908215</v>
      </c>
    </row>
    <row r="950" spans="1:80" x14ac:dyDescent="0.45">
      <c r="A950" s="11">
        <v>30</v>
      </c>
      <c r="B950" s="12">
        <f t="shared" si="210"/>
        <v>30</v>
      </c>
      <c r="C950" s="12" t="s">
        <v>59</v>
      </c>
      <c r="D950" s="12">
        <v>0</v>
      </c>
      <c r="E950" s="12" t="s">
        <v>53</v>
      </c>
      <c r="F950" s="12">
        <v>0</v>
      </c>
      <c r="G950" s="12">
        <v>1</v>
      </c>
      <c r="H950" s="12" t="s">
        <v>61</v>
      </c>
      <c r="I950" s="12">
        <v>1</v>
      </c>
      <c r="J950" s="12">
        <v>0</v>
      </c>
      <c r="K950" s="12">
        <v>17</v>
      </c>
      <c r="L950" s="12">
        <f t="shared" si="211"/>
        <v>17</v>
      </c>
      <c r="M950" s="12">
        <v>4</v>
      </c>
      <c r="N950" s="12" t="s">
        <v>70</v>
      </c>
      <c r="O950" s="12">
        <v>0</v>
      </c>
      <c r="P950" s="12">
        <v>0</v>
      </c>
      <c r="Q950" s="12">
        <v>1</v>
      </c>
      <c r="R950" s="12">
        <v>0</v>
      </c>
      <c r="S950" s="12">
        <v>0</v>
      </c>
      <c r="T950" s="12">
        <v>2</v>
      </c>
      <c r="U950" s="12" t="s">
        <v>19</v>
      </c>
      <c r="V950" s="12">
        <v>1</v>
      </c>
      <c r="W950" s="12">
        <v>95</v>
      </c>
      <c r="X950" s="12">
        <v>3</v>
      </c>
      <c r="Y950" s="12">
        <v>3</v>
      </c>
      <c r="Z950" s="12" t="s">
        <v>87</v>
      </c>
      <c r="AA950" s="12">
        <v>0</v>
      </c>
      <c r="AB950" s="12">
        <v>0</v>
      </c>
      <c r="AC950" s="12">
        <v>0</v>
      </c>
      <c r="AD950" s="12">
        <v>1</v>
      </c>
      <c r="AE950" s="12">
        <v>0</v>
      </c>
      <c r="AF950" s="12">
        <v>0</v>
      </c>
      <c r="AG950" s="12">
        <v>0</v>
      </c>
      <c r="AH950" s="12">
        <v>0</v>
      </c>
      <c r="AI950" s="12">
        <v>1</v>
      </c>
      <c r="AJ950" s="12" t="s">
        <v>64</v>
      </c>
      <c r="AK950" s="12">
        <v>0</v>
      </c>
      <c r="AL950" s="12">
        <v>1</v>
      </c>
      <c r="AM950" s="12">
        <v>11916</v>
      </c>
      <c r="AN950" s="12">
        <f t="shared" si="212"/>
        <v>11916</v>
      </c>
      <c r="AO950" s="12">
        <v>1</v>
      </c>
      <c r="AP950" s="12" t="s">
        <v>52</v>
      </c>
      <c r="AQ950" s="12">
        <v>1</v>
      </c>
      <c r="AR950" s="12">
        <v>23</v>
      </c>
      <c r="AS950" s="12">
        <v>4</v>
      </c>
      <c r="AT950" s="12">
        <v>4</v>
      </c>
      <c r="AU950" s="12">
        <v>2</v>
      </c>
      <c r="AV950" s="12">
        <v>9</v>
      </c>
      <c r="AW950" s="12">
        <f t="shared" si="213"/>
        <v>9</v>
      </c>
      <c r="AX950" s="12">
        <v>2</v>
      </c>
      <c r="AY950" s="12">
        <v>3</v>
      </c>
      <c r="AZ950" s="12">
        <v>9</v>
      </c>
      <c r="BA950" s="12">
        <f t="shared" si="214"/>
        <v>9</v>
      </c>
      <c r="BB950" s="12">
        <v>1</v>
      </c>
      <c r="BC950" s="12">
        <v>0</v>
      </c>
      <c r="BD950" s="12">
        <f t="shared" si="223"/>
        <v>0</v>
      </c>
      <c r="BE950" s="12">
        <v>8</v>
      </c>
      <c r="BF950" s="12">
        <f t="shared" si="215"/>
        <v>8</v>
      </c>
      <c r="BG950" s="12">
        <f t="shared" si="224"/>
        <v>24</v>
      </c>
      <c r="BH950" s="67">
        <v>0</v>
      </c>
      <c r="BI950" s="67">
        <v>1</v>
      </c>
      <c r="BJ950" s="67">
        <v>0</v>
      </c>
      <c r="BK950" s="67">
        <v>0</v>
      </c>
      <c r="BL950" s="67">
        <v>0</v>
      </c>
      <c r="BM950" s="67">
        <v>0</v>
      </c>
      <c r="BN950" s="67">
        <v>0</v>
      </c>
      <c r="BO950" s="67">
        <v>1</v>
      </c>
      <c r="BP950" s="67">
        <v>0</v>
      </c>
      <c r="BQ950" s="67">
        <v>8</v>
      </c>
      <c r="BR950" s="67">
        <v>0</v>
      </c>
      <c r="BS950" s="67">
        <v>0</v>
      </c>
      <c r="BT950" s="67">
        <v>9</v>
      </c>
      <c r="BU950" s="70">
        <v>0</v>
      </c>
      <c r="BV950" s="29">
        <f t="shared" si="216"/>
        <v>1.1497702627425164</v>
      </c>
      <c r="BW950">
        <f t="shared" si="217"/>
        <v>1.08652546240644</v>
      </c>
      <c r="BX950">
        <f t="shared" si="218"/>
        <v>0.29297722668510823</v>
      </c>
      <c r="BY950">
        <f t="shared" si="219"/>
        <v>0.32511687867835437</v>
      </c>
      <c r="BZ950">
        <f t="shared" si="220"/>
        <v>0.96307062430306978</v>
      </c>
      <c r="CA950">
        <f t="shared" si="221"/>
        <v>0.75791203633249671</v>
      </c>
      <c r="CB950">
        <f t="shared" si="222"/>
        <v>0.67891464284095016</v>
      </c>
    </row>
    <row r="951" spans="1:80" x14ac:dyDescent="0.45">
      <c r="A951" s="11">
        <v>39</v>
      </c>
      <c r="B951" s="12">
        <f t="shared" si="210"/>
        <v>39</v>
      </c>
      <c r="C951" s="12" t="s">
        <v>59</v>
      </c>
      <c r="D951" s="12">
        <v>0</v>
      </c>
      <c r="E951" s="12" t="s">
        <v>53</v>
      </c>
      <c r="F951" s="12">
        <v>0</v>
      </c>
      <c r="G951" s="12">
        <v>1</v>
      </c>
      <c r="H951" s="12" t="s">
        <v>61</v>
      </c>
      <c r="I951" s="12">
        <v>1</v>
      </c>
      <c r="J951" s="12">
        <v>0</v>
      </c>
      <c r="K951" s="12">
        <v>18</v>
      </c>
      <c r="L951" s="12">
        <f t="shared" si="211"/>
        <v>18</v>
      </c>
      <c r="M951" s="12">
        <v>2</v>
      </c>
      <c r="N951" s="12" t="s">
        <v>55</v>
      </c>
      <c r="O951" s="12">
        <v>1</v>
      </c>
      <c r="P951" s="12">
        <v>0</v>
      </c>
      <c r="Q951" s="12">
        <v>0</v>
      </c>
      <c r="R951" s="12">
        <v>0</v>
      </c>
      <c r="S951" s="12">
        <v>0</v>
      </c>
      <c r="T951" s="12">
        <v>1</v>
      </c>
      <c r="U951" s="12" t="s">
        <v>62</v>
      </c>
      <c r="V951" s="12">
        <v>0</v>
      </c>
      <c r="W951" s="12">
        <v>32</v>
      </c>
      <c r="X951" s="12">
        <v>3</v>
      </c>
      <c r="Y951" s="12">
        <v>2</v>
      </c>
      <c r="Z951" s="12" t="s">
        <v>83</v>
      </c>
      <c r="AA951" s="12">
        <v>0</v>
      </c>
      <c r="AB951" s="12">
        <v>0</v>
      </c>
      <c r="AC951" s="12">
        <v>0</v>
      </c>
      <c r="AD951" s="12">
        <v>0</v>
      </c>
      <c r="AE951" s="12">
        <v>1</v>
      </c>
      <c r="AF951" s="12">
        <v>1</v>
      </c>
      <c r="AG951" s="12">
        <v>0</v>
      </c>
      <c r="AH951" s="12">
        <v>0</v>
      </c>
      <c r="AI951" s="12">
        <v>3</v>
      </c>
      <c r="AJ951" s="12" t="s">
        <v>57</v>
      </c>
      <c r="AK951" s="12">
        <v>1</v>
      </c>
      <c r="AL951" s="12">
        <v>0</v>
      </c>
      <c r="AM951" s="12">
        <v>4534</v>
      </c>
      <c r="AN951" s="12">
        <f t="shared" si="212"/>
        <v>4534</v>
      </c>
      <c r="AO951" s="12">
        <v>0</v>
      </c>
      <c r="AP951" s="12" t="s">
        <v>59</v>
      </c>
      <c r="AQ951" s="12">
        <v>0</v>
      </c>
      <c r="AR951" s="12">
        <v>11</v>
      </c>
      <c r="AS951" s="12">
        <v>3</v>
      </c>
      <c r="AT951" s="12">
        <v>1</v>
      </c>
      <c r="AU951" s="12">
        <v>0</v>
      </c>
      <c r="AV951" s="12">
        <v>9</v>
      </c>
      <c r="AW951" s="12">
        <f t="shared" si="213"/>
        <v>9</v>
      </c>
      <c r="AX951" s="12">
        <v>6</v>
      </c>
      <c r="AY951" s="12">
        <v>3</v>
      </c>
      <c r="AZ951" s="12">
        <v>8</v>
      </c>
      <c r="BA951" s="12">
        <f t="shared" si="214"/>
        <v>8</v>
      </c>
      <c r="BB951" s="12">
        <v>7</v>
      </c>
      <c r="BC951" s="12">
        <v>1</v>
      </c>
      <c r="BD951" s="12">
        <f t="shared" si="223"/>
        <v>1</v>
      </c>
      <c r="BE951" s="12">
        <v>7</v>
      </c>
      <c r="BF951" s="12">
        <f t="shared" si="215"/>
        <v>7</v>
      </c>
      <c r="BG951" s="12">
        <f t="shared" si="224"/>
        <v>14</v>
      </c>
      <c r="BH951" s="67">
        <v>1</v>
      </c>
      <c r="BI951" s="67">
        <v>0</v>
      </c>
      <c r="BJ951" s="67">
        <v>0</v>
      </c>
      <c r="BK951" s="67">
        <v>0</v>
      </c>
      <c r="BL951" s="67">
        <v>1</v>
      </c>
      <c r="BM951" s="67">
        <v>0</v>
      </c>
      <c r="BN951" s="67">
        <v>0</v>
      </c>
      <c r="BO951" s="67">
        <v>0</v>
      </c>
      <c r="BP951" s="67">
        <v>0</v>
      </c>
      <c r="BQ951" s="67">
        <v>7</v>
      </c>
      <c r="BR951" s="67">
        <v>0</v>
      </c>
      <c r="BS951" s="67">
        <v>0</v>
      </c>
      <c r="BT951" s="67">
        <v>9</v>
      </c>
      <c r="BU951" s="70">
        <v>0</v>
      </c>
      <c r="BV951" s="29">
        <f t="shared" si="216"/>
        <v>0.41821354426736773</v>
      </c>
      <c r="BW951">
        <f t="shared" si="217"/>
        <v>0.80626709607243985</v>
      </c>
      <c r="BX951">
        <f t="shared" si="218"/>
        <v>0.29297722668510823</v>
      </c>
      <c r="BY951">
        <f t="shared" si="219"/>
        <v>0.16189221622713135</v>
      </c>
      <c r="BZ951">
        <f t="shared" si="220"/>
        <v>1.0864228781782561</v>
      </c>
      <c r="CA951">
        <f t="shared" si="221"/>
        <v>0.22726935890025346</v>
      </c>
      <c r="CB951">
        <f t="shared" si="222"/>
        <v>0.36858985273641137</v>
      </c>
    </row>
    <row r="952" spans="1:80" x14ac:dyDescent="0.45">
      <c r="A952" s="11">
        <v>31</v>
      </c>
      <c r="B952" s="12">
        <f t="shared" si="210"/>
        <v>31</v>
      </c>
      <c r="C952" s="12" t="s">
        <v>59</v>
      </c>
      <c r="D952" s="12">
        <v>0</v>
      </c>
      <c r="E952" s="12" t="s">
        <v>86</v>
      </c>
      <c r="F952" s="12">
        <v>0</v>
      </c>
      <c r="G952" s="12">
        <v>0</v>
      </c>
      <c r="H952" s="12" t="s">
        <v>54</v>
      </c>
      <c r="I952" s="12">
        <v>0</v>
      </c>
      <c r="J952" s="12">
        <v>1</v>
      </c>
      <c r="K952" s="12">
        <v>2</v>
      </c>
      <c r="L952" s="12">
        <f t="shared" si="211"/>
        <v>2</v>
      </c>
      <c r="M952" s="12">
        <v>4</v>
      </c>
      <c r="N952" s="12" t="s">
        <v>55</v>
      </c>
      <c r="O952" s="12">
        <v>1</v>
      </c>
      <c r="P952" s="12">
        <v>0</v>
      </c>
      <c r="Q952" s="12">
        <v>0</v>
      </c>
      <c r="R952" s="12">
        <v>0</v>
      </c>
      <c r="S952" s="12">
        <v>0</v>
      </c>
      <c r="T952" s="12">
        <v>4</v>
      </c>
      <c r="U952" s="12" t="s">
        <v>19</v>
      </c>
      <c r="V952" s="12">
        <v>1</v>
      </c>
      <c r="W952" s="12">
        <v>57</v>
      </c>
      <c r="X952" s="12">
        <v>3</v>
      </c>
      <c r="Y952" s="12">
        <v>3</v>
      </c>
      <c r="Z952" s="12" t="s">
        <v>56</v>
      </c>
      <c r="AA952" s="12">
        <v>0</v>
      </c>
      <c r="AB952" s="12">
        <v>1</v>
      </c>
      <c r="AC952" s="12">
        <v>0</v>
      </c>
      <c r="AD952" s="12">
        <v>0</v>
      </c>
      <c r="AE952" s="12">
        <v>0</v>
      </c>
      <c r="AF952" s="12">
        <v>0</v>
      </c>
      <c r="AG952" s="12">
        <v>0</v>
      </c>
      <c r="AH952" s="12">
        <v>0</v>
      </c>
      <c r="AI952" s="12">
        <v>3</v>
      </c>
      <c r="AJ952" s="12" t="s">
        <v>78</v>
      </c>
      <c r="AK952" s="12">
        <v>0</v>
      </c>
      <c r="AL952" s="12">
        <v>0</v>
      </c>
      <c r="AM952" s="12">
        <v>9852</v>
      </c>
      <c r="AN952" s="12">
        <f t="shared" si="212"/>
        <v>9852</v>
      </c>
      <c r="AO952" s="12">
        <v>1</v>
      </c>
      <c r="AP952" s="12" t="s">
        <v>52</v>
      </c>
      <c r="AQ952" s="12">
        <v>1</v>
      </c>
      <c r="AR952" s="12">
        <v>19</v>
      </c>
      <c r="AS952" s="12">
        <v>3</v>
      </c>
      <c r="AT952" s="12">
        <v>1</v>
      </c>
      <c r="AU952" s="12">
        <v>1</v>
      </c>
      <c r="AV952" s="12">
        <v>10</v>
      </c>
      <c r="AW952" s="12">
        <f t="shared" si="213"/>
        <v>10</v>
      </c>
      <c r="AX952" s="12">
        <v>5</v>
      </c>
      <c r="AY952" s="12">
        <v>2</v>
      </c>
      <c r="AZ952" s="12">
        <v>10</v>
      </c>
      <c r="BA952" s="12">
        <f t="shared" si="214"/>
        <v>10</v>
      </c>
      <c r="BB952" s="12">
        <v>8</v>
      </c>
      <c r="BC952" s="12">
        <v>9</v>
      </c>
      <c r="BD952" s="12">
        <f t="shared" si="223"/>
        <v>9</v>
      </c>
      <c r="BE952" s="12">
        <v>6</v>
      </c>
      <c r="BF952" s="12">
        <f t="shared" si="215"/>
        <v>6</v>
      </c>
      <c r="BG952" s="12">
        <f t="shared" si="224"/>
        <v>18</v>
      </c>
      <c r="BH952" s="67">
        <v>1</v>
      </c>
      <c r="BI952" s="67">
        <v>0</v>
      </c>
      <c r="BJ952" s="67">
        <v>0</v>
      </c>
      <c r="BK952" s="67">
        <v>0</v>
      </c>
      <c r="BL952" s="67">
        <v>0</v>
      </c>
      <c r="BM952" s="67">
        <v>1</v>
      </c>
      <c r="BN952" s="67">
        <v>0</v>
      </c>
      <c r="BO952" s="67">
        <v>0</v>
      </c>
      <c r="BP952" s="67">
        <v>0</v>
      </c>
      <c r="BQ952" s="67">
        <v>0</v>
      </c>
      <c r="BR952" s="67">
        <v>6</v>
      </c>
      <c r="BS952" s="67">
        <v>0</v>
      </c>
      <c r="BT952" s="67">
        <v>0</v>
      </c>
      <c r="BU952" s="70">
        <v>10</v>
      </c>
      <c r="BV952" s="29">
        <f t="shared" si="216"/>
        <v>0.71136351962840083</v>
      </c>
      <c r="BW952">
        <f t="shared" si="217"/>
        <v>0.52600872973843971</v>
      </c>
      <c r="BX952">
        <f t="shared" si="218"/>
        <v>0.1644554352117841</v>
      </c>
      <c r="BY952">
        <f t="shared" si="219"/>
        <v>0.48834154112957734</v>
      </c>
      <c r="BZ952">
        <f t="shared" si="220"/>
        <v>0.88721318382472392</v>
      </c>
      <c r="CA952">
        <f t="shared" si="221"/>
        <v>0.6484474368621912</v>
      </c>
      <c r="CB952">
        <f t="shared" si="222"/>
        <v>2.114008468099899</v>
      </c>
    </row>
    <row r="953" spans="1:80" x14ac:dyDescent="0.45">
      <c r="A953" s="11">
        <v>41</v>
      </c>
      <c r="B953" s="12">
        <f t="shared" si="210"/>
        <v>41</v>
      </c>
      <c r="C953" s="12" t="s">
        <v>59</v>
      </c>
      <c r="D953" s="12">
        <v>0</v>
      </c>
      <c r="E953" s="12" t="s">
        <v>86</v>
      </c>
      <c r="F953" s="12">
        <v>0</v>
      </c>
      <c r="G953" s="12">
        <v>0</v>
      </c>
      <c r="H953" s="12" t="s">
        <v>54</v>
      </c>
      <c r="I953" s="12">
        <v>0</v>
      </c>
      <c r="J953" s="12">
        <v>1</v>
      </c>
      <c r="K953" s="12">
        <v>10</v>
      </c>
      <c r="L953" s="12">
        <f t="shared" si="211"/>
        <v>10</v>
      </c>
      <c r="M953" s="12">
        <v>2</v>
      </c>
      <c r="N953" s="12" t="s">
        <v>70</v>
      </c>
      <c r="O953" s="12">
        <v>0</v>
      </c>
      <c r="P953" s="12">
        <v>0</v>
      </c>
      <c r="Q953" s="12">
        <v>1</v>
      </c>
      <c r="R953" s="12">
        <v>0</v>
      </c>
      <c r="S953" s="12">
        <v>0</v>
      </c>
      <c r="T953" s="12">
        <v>3</v>
      </c>
      <c r="U953" s="12" t="s">
        <v>62</v>
      </c>
      <c r="V953" s="12">
        <v>0</v>
      </c>
      <c r="W953" s="12">
        <v>40</v>
      </c>
      <c r="X953" s="12">
        <v>1</v>
      </c>
      <c r="Y953" s="12">
        <v>2</v>
      </c>
      <c r="Z953" s="12" t="s">
        <v>56</v>
      </c>
      <c r="AA953" s="12">
        <v>0</v>
      </c>
      <c r="AB953" s="12">
        <v>1</v>
      </c>
      <c r="AC953" s="12">
        <v>0</v>
      </c>
      <c r="AD953" s="12">
        <v>0</v>
      </c>
      <c r="AE953" s="12">
        <v>0</v>
      </c>
      <c r="AF953" s="12">
        <v>0</v>
      </c>
      <c r="AG953" s="12">
        <v>0</v>
      </c>
      <c r="AH953" s="12">
        <v>0</v>
      </c>
      <c r="AI953" s="12">
        <v>2</v>
      </c>
      <c r="AJ953" s="12" t="s">
        <v>57</v>
      </c>
      <c r="AK953" s="12">
        <v>1</v>
      </c>
      <c r="AL953" s="12">
        <v>0</v>
      </c>
      <c r="AM953" s="12">
        <v>6151</v>
      </c>
      <c r="AN953" s="12">
        <f t="shared" si="212"/>
        <v>6151</v>
      </c>
      <c r="AO953" s="12">
        <v>1</v>
      </c>
      <c r="AP953" s="12" t="s">
        <v>59</v>
      </c>
      <c r="AQ953" s="12">
        <v>0</v>
      </c>
      <c r="AR953" s="12">
        <v>13</v>
      </c>
      <c r="AS953" s="12">
        <v>3</v>
      </c>
      <c r="AT953" s="12">
        <v>1</v>
      </c>
      <c r="AU953" s="12">
        <v>0</v>
      </c>
      <c r="AV953" s="12">
        <v>19</v>
      </c>
      <c r="AW953" s="12">
        <f t="shared" si="213"/>
        <v>19</v>
      </c>
      <c r="AX953" s="12">
        <v>4</v>
      </c>
      <c r="AY953" s="12">
        <v>3</v>
      </c>
      <c r="AZ953" s="12">
        <v>19</v>
      </c>
      <c r="BA953" s="12">
        <f t="shared" si="214"/>
        <v>19</v>
      </c>
      <c r="BB953" s="12">
        <v>2</v>
      </c>
      <c r="BC953" s="12">
        <v>11</v>
      </c>
      <c r="BD953" s="12">
        <f t="shared" si="223"/>
        <v>11</v>
      </c>
      <c r="BE953" s="12">
        <v>9</v>
      </c>
      <c r="BF953" s="12">
        <f t="shared" si="215"/>
        <v>9</v>
      </c>
      <c r="BG953" s="12">
        <f t="shared" si="224"/>
        <v>18</v>
      </c>
      <c r="BH953" s="67">
        <v>1</v>
      </c>
      <c r="BI953" s="67">
        <v>0</v>
      </c>
      <c r="BJ953" s="67">
        <v>0</v>
      </c>
      <c r="BK953" s="67">
        <v>0</v>
      </c>
      <c r="BL953" s="67">
        <v>1</v>
      </c>
      <c r="BM953" s="67">
        <v>0</v>
      </c>
      <c r="BN953" s="67">
        <v>0</v>
      </c>
      <c r="BO953" s="67">
        <v>0</v>
      </c>
      <c r="BP953" s="67">
        <v>0</v>
      </c>
      <c r="BQ953" s="67">
        <v>0</v>
      </c>
      <c r="BR953" s="67">
        <v>9</v>
      </c>
      <c r="BS953" s="67">
        <v>0</v>
      </c>
      <c r="BT953" s="67">
        <v>0</v>
      </c>
      <c r="BU953" s="70">
        <v>19</v>
      </c>
      <c r="BV953" s="29">
        <f t="shared" si="216"/>
        <v>7.4752447554419649E-2</v>
      </c>
      <c r="BW953">
        <f t="shared" si="217"/>
        <v>1.3667838287404401</v>
      </c>
      <c r="BX953">
        <f t="shared" si="218"/>
        <v>0.99224068804813281</v>
      </c>
      <c r="BY953">
        <f t="shared" si="219"/>
        <v>1.9573635031905841</v>
      </c>
      <c r="BZ953">
        <f t="shared" si="220"/>
        <v>9.9604847176766084E-2</v>
      </c>
      <c r="CA953">
        <f t="shared" si="221"/>
        <v>0.4461985578408646</v>
      </c>
      <c r="CB953">
        <f t="shared" si="222"/>
        <v>2.7346580483089769</v>
      </c>
    </row>
    <row r="954" spans="1:80" x14ac:dyDescent="0.45">
      <c r="A954" s="11">
        <v>31</v>
      </c>
      <c r="B954" s="12">
        <f t="shared" si="210"/>
        <v>31</v>
      </c>
      <c r="C954" s="12" t="s">
        <v>52</v>
      </c>
      <c r="D954" s="12">
        <v>1</v>
      </c>
      <c r="E954" s="12" t="s">
        <v>60</v>
      </c>
      <c r="F954" s="12">
        <v>1</v>
      </c>
      <c r="G954" s="12">
        <v>0</v>
      </c>
      <c r="H954" s="12" t="s">
        <v>54</v>
      </c>
      <c r="I954" s="12">
        <v>0</v>
      </c>
      <c r="J954" s="12">
        <v>1</v>
      </c>
      <c r="K954" s="12">
        <v>1</v>
      </c>
      <c r="L954" s="12">
        <f t="shared" si="211"/>
        <v>1</v>
      </c>
      <c r="M954" s="12">
        <v>3</v>
      </c>
      <c r="N954" s="12" t="s">
        <v>55</v>
      </c>
      <c r="O954" s="12">
        <v>1</v>
      </c>
      <c r="P954" s="12">
        <v>0</v>
      </c>
      <c r="Q954" s="12">
        <v>0</v>
      </c>
      <c r="R954" s="12">
        <v>0</v>
      </c>
      <c r="S954" s="12">
        <v>0</v>
      </c>
      <c r="T954" s="12">
        <v>4</v>
      </c>
      <c r="U954" s="12" t="s">
        <v>19</v>
      </c>
      <c r="V954" s="12">
        <v>1</v>
      </c>
      <c r="W954" s="12">
        <v>54</v>
      </c>
      <c r="X954" s="12">
        <v>3</v>
      </c>
      <c r="Y954" s="12">
        <v>1</v>
      </c>
      <c r="Z954" s="12" t="s">
        <v>88</v>
      </c>
      <c r="AA954" s="12">
        <v>0</v>
      </c>
      <c r="AB954" s="12">
        <v>0</v>
      </c>
      <c r="AC954" s="12">
        <v>0</v>
      </c>
      <c r="AD954" s="12">
        <v>0</v>
      </c>
      <c r="AE954" s="12">
        <v>0</v>
      </c>
      <c r="AF954" s="12">
        <v>0</v>
      </c>
      <c r="AG954" s="12">
        <v>1</v>
      </c>
      <c r="AH954" s="12">
        <v>0</v>
      </c>
      <c r="AI954" s="12">
        <v>2</v>
      </c>
      <c r="AJ954" s="12" t="s">
        <v>57</v>
      </c>
      <c r="AK954" s="12">
        <v>1</v>
      </c>
      <c r="AL954" s="12">
        <v>0</v>
      </c>
      <c r="AM954" s="12">
        <v>2302</v>
      </c>
      <c r="AN954" s="12">
        <f t="shared" si="212"/>
        <v>2302</v>
      </c>
      <c r="AO954" s="12">
        <v>1</v>
      </c>
      <c r="AP954" s="12" t="s">
        <v>52</v>
      </c>
      <c r="AQ954" s="12">
        <v>1</v>
      </c>
      <c r="AR954" s="12">
        <v>11</v>
      </c>
      <c r="AS954" s="12">
        <v>3</v>
      </c>
      <c r="AT954" s="12">
        <v>1</v>
      </c>
      <c r="AU954" s="12">
        <v>0</v>
      </c>
      <c r="AV954" s="12">
        <v>3</v>
      </c>
      <c r="AW954" s="12">
        <f t="shared" si="213"/>
        <v>3</v>
      </c>
      <c r="AX954" s="12">
        <v>2</v>
      </c>
      <c r="AY954" s="12">
        <v>4</v>
      </c>
      <c r="AZ954" s="12">
        <v>3</v>
      </c>
      <c r="BA954" s="12">
        <f t="shared" si="214"/>
        <v>3</v>
      </c>
      <c r="BB954" s="12">
        <v>2</v>
      </c>
      <c r="BC954" s="12">
        <v>2</v>
      </c>
      <c r="BD954" s="12">
        <f t="shared" si="223"/>
        <v>2</v>
      </c>
      <c r="BE954" s="12">
        <v>2</v>
      </c>
      <c r="BF954" s="12">
        <f t="shared" si="215"/>
        <v>2</v>
      </c>
      <c r="BG954" s="12">
        <f t="shared" si="224"/>
        <v>2</v>
      </c>
      <c r="BH954" s="67">
        <v>0</v>
      </c>
      <c r="BI954" s="67">
        <v>0</v>
      </c>
      <c r="BJ954" s="67">
        <v>1</v>
      </c>
      <c r="BK954" s="67">
        <v>0</v>
      </c>
      <c r="BL954" s="67">
        <v>0</v>
      </c>
      <c r="BM954" s="67">
        <v>1</v>
      </c>
      <c r="BN954" s="67">
        <v>0</v>
      </c>
      <c r="BO954" s="67">
        <v>0</v>
      </c>
      <c r="BP954" s="67">
        <v>0</v>
      </c>
      <c r="BQ954" s="67">
        <v>0</v>
      </c>
      <c r="BR954" s="67">
        <v>2</v>
      </c>
      <c r="BS954" s="67">
        <v>0</v>
      </c>
      <c r="BT954" s="67">
        <v>0</v>
      </c>
      <c r="BU954" s="70">
        <v>3</v>
      </c>
      <c r="BV954" s="29">
        <f t="shared" si="216"/>
        <v>0.89230455716984147</v>
      </c>
      <c r="BW954">
        <f t="shared" si="217"/>
        <v>0.59502473559756086</v>
      </c>
      <c r="BX954">
        <f t="shared" si="218"/>
        <v>1.0641079755250529</v>
      </c>
      <c r="BY954">
        <f t="shared" si="219"/>
        <v>0.65423109602898355</v>
      </c>
      <c r="BZ954">
        <f t="shared" si="220"/>
        <v>1.01056543769991</v>
      </c>
      <c r="CA954">
        <f t="shared" si="221"/>
        <v>0.6484474368621912</v>
      </c>
      <c r="CB954">
        <f t="shared" si="222"/>
        <v>5.8265062631872602E-2</v>
      </c>
    </row>
    <row r="955" spans="1:80" x14ac:dyDescent="0.45">
      <c r="A955" s="11">
        <v>44</v>
      </c>
      <c r="B955" s="12">
        <f t="shared" si="210"/>
        <v>44</v>
      </c>
      <c r="C955" s="12" t="s">
        <v>52</v>
      </c>
      <c r="D955" s="12">
        <v>1</v>
      </c>
      <c r="E955" s="12" t="s">
        <v>53</v>
      </c>
      <c r="F955" s="12">
        <v>0</v>
      </c>
      <c r="G955" s="12">
        <v>1</v>
      </c>
      <c r="H955" s="12" t="s">
        <v>61</v>
      </c>
      <c r="I955" s="12">
        <v>1</v>
      </c>
      <c r="J955" s="12">
        <v>0</v>
      </c>
      <c r="K955" s="12">
        <v>3</v>
      </c>
      <c r="L955" s="12">
        <f t="shared" si="211"/>
        <v>3</v>
      </c>
      <c r="M955" s="12">
        <v>3</v>
      </c>
      <c r="N955" s="12" t="s">
        <v>55</v>
      </c>
      <c r="O955" s="12">
        <v>1</v>
      </c>
      <c r="P955" s="12">
        <v>0</v>
      </c>
      <c r="Q955" s="12">
        <v>0</v>
      </c>
      <c r="R955" s="12">
        <v>0</v>
      </c>
      <c r="S955" s="12">
        <v>0</v>
      </c>
      <c r="T955" s="12">
        <v>1</v>
      </c>
      <c r="U955" s="12" t="s">
        <v>62</v>
      </c>
      <c r="V955" s="12">
        <v>0</v>
      </c>
      <c r="W955" s="12">
        <v>89</v>
      </c>
      <c r="X955" s="12">
        <v>3</v>
      </c>
      <c r="Y955" s="12">
        <v>1</v>
      </c>
      <c r="Z955" s="12" t="s">
        <v>67</v>
      </c>
      <c r="AA955" s="12">
        <v>0</v>
      </c>
      <c r="AB955" s="12">
        <v>0</v>
      </c>
      <c r="AC955" s="12">
        <v>1</v>
      </c>
      <c r="AD955" s="12">
        <v>0</v>
      </c>
      <c r="AE955" s="12">
        <v>0</v>
      </c>
      <c r="AF955" s="12">
        <v>0</v>
      </c>
      <c r="AG955" s="12">
        <v>0</v>
      </c>
      <c r="AH955" s="12">
        <v>0</v>
      </c>
      <c r="AI955" s="12">
        <v>1</v>
      </c>
      <c r="AJ955" s="12" t="s">
        <v>64</v>
      </c>
      <c r="AK955" s="12">
        <v>0</v>
      </c>
      <c r="AL955" s="12">
        <v>1</v>
      </c>
      <c r="AM955" s="12">
        <v>2362</v>
      </c>
      <c r="AN955" s="12">
        <f t="shared" si="212"/>
        <v>2362</v>
      </c>
      <c r="AO955" s="12">
        <v>4</v>
      </c>
      <c r="AP955" s="12" t="s">
        <v>59</v>
      </c>
      <c r="AQ955" s="12">
        <v>0</v>
      </c>
      <c r="AR955" s="12">
        <v>12</v>
      </c>
      <c r="AS955" s="12">
        <v>3</v>
      </c>
      <c r="AT955" s="12">
        <v>3</v>
      </c>
      <c r="AU955" s="12">
        <v>0</v>
      </c>
      <c r="AV955" s="12">
        <v>10</v>
      </c>
      <c r="AW955" s="12">
        <f t="shared" si="213"/>
        <v>10</v>
      </c>
      <c r="AX955" s="12">
        <v>4</v>
      </c>
      <c r="AY955" s="12">
        <v>4</v>
      </c>
      <c r="AZ955" s="12">
        <v>3</v>
      </c>
      <c r="BA955" s="12">
        <f t="shared" si="214"/>
        <v>3</v>
      </c>
      <c r="BB955" s="12">
        <v>2</v>
      </c>
      <c r="BC955" s="12">
        <v>1</v>
      </c>
      <c r="BD955" s="12">
        <f t="shared" si="223"/>
        <v>1</v>
      </c>
      <c r="BE955" s="12">
        <v>2</v>
      </c>
      <c r="BF955" s="12">
        <f t="shared" si="215"/>
        <v>2</v>
      </c>
      <c r="BG955" s="12">
        <f t="shared" si="224"/>
        <v>2</v>
      </c>
      <c r="BH955" s="67">
        <v>0</v>
      </c>
      <c r="BI955" s="67">
        <v>1</v>
      </c>
      <c r="BJ955" s="67">
        <v>0</v>
      </c>
      <c r="BK955" s="67">
        <v>0</v>
      </c>
      <c r="BL955" s="67">
        <v>0</v>
      </c>
      <c r="BM955" s="67">
        <v>0</v>
      </c>
      <c r="BN955" s="67">
        <v>1</v>
      </c>
      <c r="BO955" s="67">
        <v>0</v>
      </c>
      <c r="BP955" s="67">
        <v>0</v>
      </c>
      <c r="BQ955" s="67">
        <v>2</v>
      </c>
      <c r="BR955" s="67">
        <v>0</v>
      </c>
      <c r="BS955" s="67">
        <v>0</v>
      </c>
      <c r="BT955" s="67">
        <v>10</v>
      </c>
      <c r="BU955" s="70">
        <v>0</v>
      </c>
      <c r="BV955" s="29">
        <f t="shared" si="216"/>
        <v>0.87956017510257067</v>
      </c>
      <c r="BW955">
        <f t="shared" si="217"/>
        <v>0.59502473559756086</v>
      </c>
      <c r="BX955">
        <f t="shared" si="218"/>
        <v>0.1644554352117841</v>
      </c>
      <c r="BY955">
        <f t="shared" si="219"/>
        <v>0.65423109602898355</v>
      </c>
      <c r="BZ955">
        <f t="shared" si="220"/>
        <v>0.76386092994953758</v>
      </c>
      <c r="CA955">
        <f t="shared" si="221"/>
        <v>0.77459235625178136</v>
      </c>
      <c r="CB955">
        <f t="shared" si="222"/>
        <v>0.36858985273641137</v>
      </c>
    </row>
    <row r="956" spans="1:80" x14ac:dyDescent="0.45">
      <c r="A956" s="11">
        <v>42</v>
      </c>
      <c r="B956" s="12">
        <f t="shared" si="210"/>
        <v>42</v>
      </c>
      <c r="C956" s="12" t="s">
        <v>59</v>
      </c>
      <c r="D956" s="12">
        <v>0</v>
      </c>
      <c r="E956" s="12" t="s">
        <v>86</v>
      </c>
      <c r="F956" s="12">
        <v>0</v>
      </c>
      <c r="G956" s="12">
        <v>0</v>
      </c>
      <c r="H956" s="12" t="s">
        <v>61</v>
      </c>
      <c r="I956" s="12">
        <v>1</v>
      </c>
      <c r="J956" s="12">
        <v>0</v>
      </c>
      <c r="K956" s="12">
        <v>2</v>
      </c>
      <c r="L956" s="12">
        <f t="shared" si="211"/>
        <v>2</v>
      </c>
      <c r="M956" s="12">
        <v>1</v>
      </c>
      <c r="N956" s="12" t="s">
        <v>55</v>
      </c>
      <c r="O956" s="12">
        <v>1</v>
      </c>
      <c r="P956" s="12">
        <v>0</v>
      </c>
      <c r="Q956" s="12">
        <v>0</v>
      </c>
      <c r="R956" s="12">
        <v>0</v>
      </c>
      <c r="S956" s="12">
        <v>0</v>
      </c>
      <c r="T956" s="12">
        <v>3</v>
      </c>
      <c r="U956" s="12" t="s">
        <v>62</v>
      </c>
      <c r="V956" s="12">
        <v>0</v>
      </c>
      <c r="W956" s="12">
        <v>37</v>
      </c>
      <c r="X956" s="12">
        <v>3</v>
      </c>
      <c r="Y956" s="12">
        <v>4</v>
      </c>
      <c r="Z956" s="12" t="s">
        <v>87</v>
      </c>
      <c r="AA956" s="12">
        <v>0</v>
      </c>
      <c r="AB956" s="12">
        <v>0</v>
      </c>
      <c r="AC956" s="12">
        <v>0</v>
      </c>
      <c r="AD956" s="12">
        <v>1</v>
      </c>
      <c r="AE956" s="12">
        <v>0</v>
      </c>
      <c r="AF956" s="12">
        <v>0</v>
      </c>
      <c r="AG956" s="12">
        <v>0</v>
      </c>
      <c r="AH956" s="12">
        <v>0</v>
      </c>
      <c r="AI956" s="12">
        <v>3</v>
      </c>
      <c r="AJ956" s="12" t="s">
        <v>64</v>
      </c>
      <c r="AK956" s="12">
        <v>0</v>
      </c>
      <c r="AL956" s="12">
        <v>1</v>
      </c>
      <c r="AM956" s="12">
        <v>17861</v>
      </c>
      <c r="AN956" s="12">
        <f t="shared" si="212"/>
        <v>17861</v>
      </c>
      <c r="AO956" s="12">
        <v>0</v>
      </c>
      <c r="AP956" s="12" t="s">
        <v>52</v>
      </c>
      <c r="AQ956" s="12">
        <v>1</v>
      </c>
      <c r="AR956" s="12">
        <v>13</v>
      </c>
      <c r="AS956" s="12">
        <v>3</v>
      </c>
      <c r="AT956" s="12">
        <v>4</v>
      </c>
      <c r="AU956" s="12">
        <v>0</v>
      </c>
      <c r="AV956" s="12">
        <v>21</v>
      </c>
      <c r="AW956" s="12">
        <f t="shared" si="213"/>
        <v>21</v>
      </c>
      <c r="AX956" s="12">
        <v>3</v>
      </c>
      <c r="AY956" s="12">
        <v>2</v>
      </c>
      <c r="AZ956" s="12">
        <v>20</v>
      </c>
      <c r="BA956" s="12">
        <f t="shared" si="214"/>
        <v>20</v>
      </c>
      <c r="BB956" s="12">
        <v>8</v>
      </c>
      <c r="BC956" s="12">
        <v>2</v>
      </c>
      <c r="BD956" s="12">
        <f t="shared" si="223"/>
        <v>2</v>
      </c>
      <c r="BE956" s="12">
        <v>10</v>
      </c>
      <c r="BF956" s="12">
        <f t="shared" si="215"/>
        <v>10</v>
      </c>
      <c r="BG956" s="12">
        <f t="shared" si="224"/>
        <v>40</v>
      </c>
      <c r="BH956" s="67">
        <v>0</v>
      </c>
      <c r="BI956" s="67">
        <v>1</v>
      </c>
      <c r="BJ956" s="67">
        <v>0</v>
      </c>
      <c r="BK956" s="67">
        <v>0</v>
      </c>
      <c r="BL956" s="67">
        <v>0</v>
      </c>
      <c r="BM956" s="67">
        <v>0</v>
      </c>
      <c r="BN956" s="67">
        <v>0</v>
      </c>
      <c r="BO956" s="67">
        <v>1</v>
      </c>
      <c r="BP956" s="67">
        <v>0</v>
      </c>
      <c r="BQ956" s="67">
        <v>10</v>
      </c>
      <c r="BR956" s="67">
        <v>0</v>
      </c>
      <c r="BS956" s="67">
        <v>0</v>
      </c>
      <c r="BT956" s="67">
        <v>21</v>
      </c>
      <c r="BU956" s="70">
        <v>0</v>
      </c>
      <c r="BV956" s="29">
        <f t="shared" si="216"/>
        <v>2.412526119241265</v>
      </c>
      <c r="BW956">
        <f t="shared" si="217"/>
        <v>1.6470421950744405</v>
      </c>
      <c r="BX956">
        <f t="shared" si="218"/>
        <v>1.2492842709947811</v>
      </c>
      <c r="BY956">
        <f t="shared" si="219"/>
        <v>2.1205881656418071</v>
      </c>
      <c r="BZ956">
        <f t="shared" si="220"/>
        <v>0.88721318382472392</v>
      </c>
      <c r="CA956">
        <f t="shared" si="221"/>
        <v>0.55566315731117022</v>
      </c>
      <c r="CB956">
        <f t="shared" si="222"/>
        <v>5.8265062631872602E-2</v>
      </c>
    </row>
    <row r="957" spans="1:80" x14ac:dyDescent="0.45">
      <c r="A957" s="11">
        <v>55</v>
      </c>
      <c r="B957" s="12">
        <f t="shared" si="210"/>
        <v>55</v>
      </c>
      <c r="C957" s="12" t="s">
        <v>59</v>
      </c>
      <c r="D957" s="12">
        <v>0</v>
      </c>
      <c r="E957" s="12" t="s">
        <v>53</v>
      </c>
      <c r="F957" s="12">
        <v>0</v>
      </c>
      <c r="G957" s="12">
        <v>1</v>
      </c>
      <c r="H957" s="12" t="s">
        <v>61</v>
      </c>
      <c r="I957" s="12">
        <v>1</v>
      </c>
      <c r="J957" s="12">
        <v>0</v>
      </c>
      <c r="K957" s="12">
        <v>2</v>
      </c>
      <c r="L957" s="12">
        <f t="shared" si="211"/>
        <v>2</v>
      </c>
      <c r="M957" s="12">
        <v>2</v>
      </c>
      <c r="N957" s="12" t="s">
        <v>70</v>
      </c>
      <c r="O957" s="12">
        <v>0</v>
      </c>
      <c r="P957" s="12">
        <v>0</v>
      </c>
      <c r="Q957" s="12">
        <v>1</v>
      </c>
      <c r="R957" s="12">
        <v>0</v>
      </c>
      <c r="S957" s="12">
        <v>0</v>
      </c>
      <c r="T957" s="12">
        <v>4</v>
      </c>
      <c r="U957" s="12" t="s">
        <v>19</v>
      </c>
      <c r="V957" s="12">
        <v>1</v>
      </c>
      <c r="W957" s="12">
        <v>58</v>
      </c>
      <c r="X957" s="12">
        <v>1</v>
      </c>
      <c r="Y957" s="12">
        <v>5</v>
      </c>
      <c r="Z957" s="12" t="s">
        <v>87</v>
      </c>
      <c r="AA957" s="12">
        <v>0</v>
      </c>
      <c r="AB957" s="12">
        <v>0</v>
      </c>
      <c r="AC957" s="12">
        <v>0</v>
      </c>
      <c r="AD957" s="12">
        <v>1</v>
      </c>
      <c r="AE957" s="12">
        <v>0</v>
      </c>
      <c r="AF957" s="12">
        <v>0</v>
      </c>
      <c r="AG957" s="12">
        <v>0</v>
      </c>
      <c r="AH957" s="12">
        <v>0</v>
      </c>
      <c r="AI957" s="12">
        <v>3</v>
      </c>
      <c r="AJ957" s="12" t="s">
        <v>64</v>
      </c>
      <c r="AK957" s="12">
        <v>0</v>
      </c>
      <c r="AL957" s="12">
        <v>1</v>
      </c>
      <c r="AM957" s="12">
        <v>19187</v>
      </c>
      <c r="AN957" s="12">
        <f t="shared" si="212"/>
        <v>19187</v>
      </c>
      <c r="AO957" s="12">
        <v>4</v>
      </c>
      <c r="AP957" s="12" t="s">
        <v>59</v>
      </c>
      <c r="AQ957" s="12">
        <v>0</v>
      </c>
      <c r="AR957" s="12">
        <v>14</v>
      </c>
      <c r="AS957" s="12">
        <v>3</v>
      </c>
      <c r="AT957" s="12">
        <v>4</v>
      </c>
      <c r="AU957" s="12">
        <v>1</v>
      </c>
      <c r="AV957" s="12">
        <v>23</v>
      </c>
      <c r="AW957" s="12">
        <f t="shared" si="213"/>
        <v>23</v>
      </c>
      <c r="AX957" s="12">
        <v>5</v>
      </c>
      <c r="AY957" s="12">
        <v>3</v>
      </c>
      <c r="AZ957" s="12">
        <v>19</v>
      </c>
      <c r="BA957" s="12">
        <f t="shared" si="214"/>
        <v>19</v>
      </c>
      <c r="BB957" s="12">
        <v>9</v>
      </c>
      <c r="BC957" s="12">
        <v>9</v>
      </c>
      <c r="BD957" s="12">
        <f t="shared" si="223"/>
        <v>9</v>
      </c>
      <c r="BE957" s="12">
        <v>11</v>
      </c>
      <c r="BF957" s="12">
        <f t="shared" si="215"/>
        <v>11</v>
      </c>
      <c r="BG957" s="12">
        <f t="shared" si="224"/>
        <v>55</v>
      </c>
      <c r="BH957" s="67">
        <v>0</v>
      </c>
      <c r="BI957" s="67">
        <v>1</v>
      </c>
      <c r="BJ957" s="67">
        <v>0</v>
      </c>
      <c r="BK957" s="67">
        <v>0</v>
      </c>
      <c r="BL957" s="67">
        <v>0</v>
      </c>
      <c r="BM957" s="67">
        <v>0</v>
      </c>
      <c r="BN957" s="67">
        <v>1</v>
      </c>
      <c r="BO957" s="67">
        <v>0</v>
      </c>
      <c r="BP957" s="67">
        <v>0</v>
      </c>
      <c r="BQ957" s="67">
        <v>11</v>
      </c>
      <c r="BR957" s="67">
        <v>0</v>
      </c>
      <c r="BS957" s="67">
        <v>0</v>
      </c>
      <c r="BT957" s="67">
        <v>23</v>
      </c>
      <c r="BU957" s="70">
        <v>0</v>
      </c>
      <c r="BV957" s="29">
        <f t="shared" si="216"/>
        <v>2.6941769629279495</v>
      </c>
      <c r="BW957">
        <f t="shared" si="217"/>
        <v>1.9273005614084406</v>
      </c>
      <c r="BX957">
        <f t="shared" si="218"/>
        <v>1.5063278539414293</v>
      </c>
      <c r="BY957">
        <f t="shared" si="219"/>
        <v>1.9573635031905841</v>
      </c>
      <c r="BZ957">
        <f t="shared" si="220"/>
        <v>0.88721318382472392</v>
      </c>
      <c r="CA957">
        <f t="shared" si="221"/>
        <v>1.9787029504251428</v>
      </c>
      <c r="CB957">
        <f t="shared" si="222"/>
        <v>2.114008468099899</v>
      </c>
    </row>
    <row r="958" spans="1:80" x14ac:dyDescent="0.45">
      <c r="A958" s="11">
        <v>56</v>
      </c>
      <c r="B958" s="12">
        <f t="shared" si="210"/>
        <v>56</v>
      </c>
      <c r="C958" s="12" t="s">
        <v>59</v>
      </c>
      <c r="D958" s="12">
        <v>0</v>
      </c>
      <c r="E958" s="12" t="s">
        <v>53</v>
      </c>
      <c r="F958" s="12">
        <v>0</v>
      </c>
      <c r="G958" s="12">
        <v>1</v>
      </c>
      <c r="H958" s="12" t="s">
        <v>97</v>
      </c>
      <c r="I958" s="12">
        <v>0</v>
      </c>
      <c r="J958" s="12">
        <v>0</v>
      </c>
      <c r="K958" s="12">
        <v>8</v>
      </c>
      <c r="L958" s="12">
        <f t="shared" si="211"/>
        <v>8</v>
      </c>
      <c r="M958" s="12">
        <v>4</v>
      </c>
      <c r="N958" s="12" t="s">
        <v>55</v>
      </c>
      <c r="O958" s="12">
        <v>1</v>
      </c>
      <c r="P958" s="12">
        <v>0</v>
      </c>
      <c r="Q958" s="12">
        <v>0</v>
      </c>
      <c r="R958" s="12">
        <v>0</v>
      </c>
      <c r="S958" s="12">
        <v>0</v>
      </c>
      <c r="T958" s="12">
        <v>4</v>
      </c>
      <c r="U958" s="12" t="s">
        <v>62</v>
      </c>
      <c r="V958" s="12">
        <v>0</v>
      </c>
      <c r="W958" s="12">
        <v>99</v>
      </c>
      <c r="X958" s="12">
        <v>3</v>
      </c>
      <c r="Y958" s="12">
        <v>5</v>
      </c>
      <c r="Z958" s="12" t="s">
        <v>87</v>
      </c>
      <c r="AA958" s="12">
        <v>0</v>
      </c>
      <c r="AB958" s="12">
        <v>0</v>
      </c>
      <c r="AC958" s="12">
        <v>0</v>
      </c>
      <c r="AD958" s="12">
        <v>1</v>
      </c>
      <c r="AE958" s="12">
        <v>0</v>
      </c>
      <c r="AF958" s="12">
        <v>0</v>
      </c>
      <c r="AG958" s="12">
        <v>0</v>
      </c>
      <c r="AH958" s="12">
        <v>0</v>
      </c>
      <c r="AI958" s="12">
        <v>2</v>
      </c>
      <c r="AJ958" s="12" t="s">
        <v>57</v>
      </c>
      <c r="AK958" s="12">
        <v>1</v>
      </c>
      <c r="AL958" s="12">
        <v>0</v>
      </c>
      <c r="AM958" s="12">
        <v>19717</v>
      </c>
      <c r="AN958" s="12">
        <f t="shared" si="212"/>
        <v>19626.310000000001</v>
      </c>
      <c r="AO958" s="12">
        <v>6</v>
      </c>
      <c r="AP958" s="12" t="s">
        <v>59</v>
      </c>
      <c r="AQ958" s="12">
        <v>0</v>
      </c>
      <c r="AR958" s="12">
        <v>14</v>
      </c>
      <c r="AS958" s="12">
        <v>3</v>
      </c>
      <c r="AT958" s="12">
        <v>1</v>
      </c>
      <c r="AU958" s="12">
        <v>0</v>
      </c>
      <c r="AV958" s="12">
        <v>36</v>
      </c>
      <c r="AW958" s="12">
        <f t="shared" si="213"/>
        <v>35</v>
      </c>
      <c r="AX958" s="12">
        <v>4</v>
      </c>
      <c r="AY958" s="12">
        <v>3</v>
      </c>
      <c r="AZ958" s="12">
        <v>7</v>
      </c>
      <c r="BA958" s="12">
        <f t="shared" si="214"/>
        <v>7</v>
      </c>
      <c r="BB958" s="12">
        <v>3</v>
      </c>
      <c r="BC958" s="12">
        <v>7</v>
      </c>
      <c r="BD958" s="12">
        <f t="shared" si="223"/>
        <v>7</v>
      </c>
      <c r="BE958" s="12">
        <v>7</v>
      </c>
      <c r="BF958" s="12">
        <f t="shared" si="215"/>
        <v>7</v>
      </c>
      <c r="BG958" s="12">
        <f t="shared" si="224"/>
        <v>35</v>
      </c>
      <c r="BH958" s="67">
        <v>1</v>
      </c>
      <c r="BI958" s="67">
        <v>0</v>
      </c>
      <c r="BJ958" s="67">
        <v>0</v>
      </c>
      <c r="BK958" s="67">
        <v>0</v>
      </c>
      <c r="BL958" s="67">
        <v>1</v>
      </c>
      <c r="BM958" s="67">
        <v>0</v>
      </c>
      <c r="BN958" s="67">
        <v>0</v>
      </c>
      <c r="BO958" s="67">
        <v>0</v>
      </c>
      <c r="BP958" s="67">
        <v>7</v>
      </c>
      <c r="BQ958" s="67">
        <v>0</v>
      </c>
      <c r="BR958" s="67">
        <v>0</v>
      </c>
      <c r="BS958" s="67">
        <v>35</v>
      </c>
      <c r="BT958" s="67">
        <v>0</v>
      </c>
      <c r="BU958" s="70">
        <v>0</v>
      </c>
      <c r="BV958" s="29">
        <f t="shared" si="216"/>
        <v>2.8067523378555084</v>
      </c>
      <c r="BW958">
        <f t="shared" si="217"/>
        <v>0.80626709607243985</v>
      </c>
      <c r="BX958">
        <f t="shared" si="218"/>
        <v>3.1771111430946424</v>
      </c>
      <c r="BY958">
        <f t="shared" si="219"/>
        <v>1.3324462240916321E-3</v>
      </c>
      <c r="BZ958">
        <f t="shared" si="220"/>
        <v>0.14709966057360641</v>
      </c>
      <c r="CA958">
        <f t="shared" si="221"/>
        <v>2.0881675498954482</v>
      </c>
      <c r="CB958">
        <f t="shared" si="222"/>
        <v>1.4933588878908215</v>
      </c>
    </row>
    <row r="959" spans="1:80" x14ac:dyDescent="0.45">
      <c r="A959" s="11">
        <v>40</v>
      </c>
      <c r="B959" s="12">
        <f t="shared" si="210"/>
        <v>40</v>
      </c>
      <c r="C959" s="12" t="s">
        <v>59</v>
      </c>
      <c r="D959" s="12">
        <v>0</v>
      </c>
      <c r="E959" s="12" t="s">
        <v>86</v>
      </c>
      <c r="F959" s="12">
        <v>0</v>
      </c>
      <c r="G959" s="12">
        <v>0</v>
      </c>
      <c r="H959" s="12" t="s">
        <v>61</v>
      </c>
      <c r="I959" s="12">
        <v>1</v>
      </c>
      <c r="J959" s="12">
        <v>0</v>
      </c>
      <c r="K959" s="12">
        <v>16</v>
      </c>
      <c r="L959" s="12">
        <f t="shared" si="211"/>
        <v>16</v>
      </c>
      <c r="M959" s="12">
        <v>2</v>
      </c>
      <c r="N959" s="12" t="s">
        <v>55</v>
      </c>
      <c r="O959" s="12">
        <v>1</v>
      </c>
      <c r="P959" s="12">
        <v>0</v>
      </c>
      <c r="Q959" s="12">
        <v>0</v>
      </c>
      <c r="R959" s="12">
        <v>0</v>
      </c>
      <c r="S959" s="12">
        <v>0</v>
      </c>
      <c r="T959" s="12">
        <v>3</v>
      </c>
      <c r="U959" s="12" t="s">
        <v>62</v>
      </c>
      <c r="V959" s="12">
        <v>0</v>
      </c>
      <c r="W959" s="12">
        <v>74</v>
      </c>
      <c r="X959" s="12">
        <v>3</v>
      </c>
      <c r="Y959" s="12">
        <v>1</v>
      </c>
      <c r="Z959" s="12" t="s">
        <v>63</v>
      </c>
      <c r="AA959" s="12">
        <v>0</v>
      </c>
      <c r="AB959" s="12">
        <v>0</v>
      </c>
      <c r="AC959" s="12">
        <v>0</v>
      </c>
      <c r="AD959" s="12">
        <v>0</v>
      </c>
      <c r="AE959" s="12">
        <v>0</v>
      </c>
      <c r="AF959" s="12">
        <v>0</v>
      </c>
      <c r="AG959" s="12">
        <v>0</v>
      </c>
      <c r="AH959" s="12">
        <v>1</v>
      </c>
      <c r="AI959" s="12">
        <v>3</v>
      </c>
      <c r="AJ959" s="12" t="s">
        <v>78</v>
      </c>
      <c r="AK959" s="12">
        <v>0</v>
      </c>
      <c r="AL959" s="12">
        <v>0</v>
      </c>
      <c r="AM959" s="12">
        <v>3544</v>
      </c>
      <c r="AN959" s="12">
        <f t="shared" si="212"/>
        <v>3544</v>
      </c>
      <c r="AO959" s="12">
        <v>9</v>
      </c>
      <c r="AP959" s="12" t="s">
        <v>59</v>
      </c>
      <c r="AQ959" s="12">
        <v>0</v>
      </c>
      <c r="AR959" s="12">
        <v>16</v>
      </c>
      <c r="AS959" s="12">
        <v>3</v>
      </c>
      <c r="AT959" s="12">
        <v>2</v>
      </c>
      <c r="AU959" s="12">
        <v>1</v>
      </c>
      <c r="AV959" s="12">
        <v>6</v>
      </c>
      <c r="AW959" s="12">
        <f t="shared" si="213"/>
        <v>6</v>
      </c>
      <c r="AX959" s="12">
        <v>0</v>
      </c>
      <c r="AY959" s="12">
        <v>3</v>
      </c>
      <c r="AZ959" s="12">
        <v>4</v>
      </c>
      <c r="BA959" s="12">
        <f t="shared" si="214"/>
        <v>4</v>
      </c>
      <c r="BB959" s="12">
        <v>2</v>
      </c>
      <c r="BC959" s="12">
        <v>0</v>
      </c>
      <c r="BD959" s="12">
        <f t="shared" si="223"/>
        <v>0</v>
      </c>
      <c r="BE959" s="12">
        <v>0</v>
      </c>
      <c r="BF959" s="12">
        <f t="shared" si="215"/>
        <v>0</v>
      </c>
      <c r="BG959" s="12">
        <f t="shared" si="224"/>
        <v>0</v>
      </c>
      <c r="BH959" s="67">
        <v>1</v>
      </c>
      <c r="BI959" s="67">
        <v>0</v>
      </c>
      <c r="BJ959" s="67">
        <v>0</v>
      </c>
      <c r="BK959" s="67">
        <v>0</v>
      </c>
      <c r="BL959" s="67">
        <v>1</v>
      </c>
      <c r="BM959" s="67">
        <v>0</v>
      </c>
      <c r="BN959" s="67">
        <v>0</v>
      </c>
      <c r="BO959" s="67">
        <v>0</v>
      </c>
      <c r="BP959" s="67">
        <v>0</v>
      </c>
      <c r="BQ959" s="67">
        <v>0</v>
      </c>
      <c r="BR959" s="67">
        <v>0</v>
      </c>
      <c r="BS959" s="67">
        <v>0</v>
      </c>
      <c r="BT959" s="67">
        <v>6</v>
      </c>
      <c r="BU959" s="70">
        <v>0</v>
      </c>
      <c r="BV959" s="29">
        <f t="shared" si="216"/>
        <v>0.62849584837733596</v>
      </c>
      <c r="BW959">
        <f t="shared" si="217"/>
        <v>1.1555414682655611</v>
      </c>
      <c r="BX959">
        <f t="shared" si="218"/>
        <v>0.67854260110508058</v>
      </c>
      <c r="BY959">
        <f t="shared" si="219"/>
        <v>0.49100643357776058</v>
      </c>
      <c r="BZ959">
        <f t="shared" si="220"/>
        <v>0.83971837042788355</v>
      </c>
      <c r="CA959">
        <f t="shared" si="221"/>
        <v>0.33673395837055903</v>
      </c>
      <c r="CB959">
        <f t="shared" si="222"/>
        <v>0.67891464284095016</v>
      </c>
    </row>
    <row r="960" spans="1:80" x14ac:dyDescent="0.45">
      <c r="A960" s="11">
        <v>34</v>
      </c>
      <c r="B960" s="12">
        <f t="shared" si="210"/>
        <v>34</v>
      </c>
      <c r="C960" s="12" t="s">
        <v>59</v>
      </c>
      <c r="D960" s="12">
        <v>0</v>
      </c>
      <c r="E960" s="12" t="s">
        <v>53</v>
      </c>
      <c r="F960" s="12">
        <v>0</v>
      </c>
      <c r="G960" s="12">
        <v>1</v>
      </c>
      <c r="H960" s="12" t="s">
        <v>61</v>
      </c>
      <c r="I960" s="12">
        <v>1</v>
      </c>
      <c r="J960" s="12">
        <v>0</v>
      </c>
      <c r="K960" s="12">
        <v>9</v>
      </c>
      <c r="L960" s="12">
        <f t="shared" si="211"/>
        <v>9</v>
      </c>
      <c r="M960" s="12">
        <v>3</v>
      </c>
      <c r="N960" s="12" t="s">
        <v>55</v>
      </c>
      <c r="O960" s="12">
        <v>1</v>
      </c>
      <c r="P960" s="12">
        <v>0</v>
      </c>
      <c r="Q960" s="12">
        <v>0</v>
      </c>
      <c r="R960" s="12">
        <v>0</v>
      </c>
      <c r="S960" s="12">
        <v>0</v>
      </c>
      <c r="T960" s="12">
        <v>4</v>
      </c>
      <c r="U960" s="12" t="s">
        <v>62</v>
      </c>
      <c r="V960" s="12">
        <v>0</v>
      </c>
      <c r="W960" s="12">
        <v>86</v>
      </c>
      <c r="X960" s="12">
        <v>3</v>
      </c>
      <c r="Y960" s="12">
        <v>3</v>
      </c>
      <c r="Z960" s="12" t="s">
        <v>85</v>
      </c>
      <c r="AA960" s="12">
        <v>1</v>
      </c>
      <c r="AB960" s="12">
        <v>0</v>
      </c>
      <c r="AC960" s="12">
        <v>0</v>
      </c>
      <c r="AD960" s="12">
        <v>0</v>
      </c>
      <c r="AE960" s="12">
        <v>0</v>
      </c>
      <c r="AF960" s="12">
        <v>0</v>
      </c>
      <c r="AG960" s="12">
        <v>0</v>
      </c>
      <c r="AH960" s="12">
        <v>0</v>
      </c>
      <c r="AI960" s="12">
        <v>4</v>
      </c>
      <c r="AJ960" s="12" t="s">
        <v>78</v>
      </c>
      <c r="AK960" s="12">
        <v>0</v>
      </c>
      <c r="AL960" s="12">
        <v>0</v>
      </c>
      <c r="AM960" s="12">
        <v>8500</v>
      </c>
      <c r="AN960" s="12">
        <f t="shared" si="212"/>
        <v>8500</v>
      </c>
      <c r="AO960" s="12">
        <v>0</v>
      </c>
      <c r="AP960" s="12" t="s">
        <v>59</v>
      </c>
      <c r="AQ960" s="12">
        <v>0</v>
      </c>
      <c r="AR960" s="12">
        <v>11</v>
      </c>
      <c r="AS960" s="12">
        <v>3</v>
      </c>
      <c r="AT960" s="12">
        <v>4</v>
      </c>
      <c r="AU960" s="12">
        <v>1</v>
      </c>
      <c r="AV960" s="12">
        <v>10</v>
      </c>
      <c r="AW960" s="12">
        <f t="shared" si="213"/>
        <v>10</v>
      </c>
      <c r="AX960" s="12">
        <v>0</v>
      </c>
      <c r="AY960" s="12">
        <v>2</v>
      </c>
      <c r="AZ960" s="12">
        <v>9</v>
      </c>
      <c r="BA960" s="12">
        <f t="shared" si="214"/>
        <v>9</v>
      </c>
      <c r="BB960" s="12">
        <v>7</v>
      </c>
      <c r="BC960" s="12">
        <v>1</v>
      </c>
      <c r="BD960" s="12">
        <f t="shared" si="223"/>
        <v>1</v>
      </c>
      <c r="BE960" s="12">
        <v>6</v>
      </c>
      <c r="BF960" s="12">
        <f t="shared" si="215"/>
        <v>6</v>
      </c>
      <c r="BG960" s="12">
        <f t="shared" si="224"/>
        <v>18</v>
      </c>
      <c r="BH960" s="67">
        <v>1</v>
      </c>
      <c r="BI960" s="67">
        <v>0</v>
      </c>
      <c r="BJ960" s="67">
        <v>0</v>
      </c>
      <c r="BK960" s="67">
        <v>0</v>
      </c>
      <c r="BL960" s="67">
        <v>1</v>
      </c>
      <c r="BM960" s="67">
        <v>0</v>
      </c>
      <c r="BN960" s="67">
        <v>0</v>
      </c>
      <c r="BO960" s="67">
        <v>0</v>
      </c>
      <c r="BP960" s="67">
        <v>0</v>
      </c>
      <c r="BQ960" s="67">
        <v>6</v>
      </c>
      <c r="BR960" s="67">
        <v>0</v>
      </c>
      <c r="BS960" s="67">
        <v>0</v>
      </c>
      <c r="BT960" s="67">
        <v>10</v>
      </c>
      <c r="BU960" s="70">
        <v>0</v>
      </c>
      <c r="BV960" s="29">
        <f t="shared" si="216"/>
        <v>0.42419011037923221</v>
      </c>
      <c r="BW960">
        <f t="shared" si="217"/>
        <v>0.52600872973843971</v>
      </c>
      <c r="BX960">
        <f t="shared" si="218"/>
        <v>0.1644554352117841</v>
      </c>
      <c r="BY960">
        <f t="shared" si="219"/>
        <v>0.32511687867835437</v>
      </c>
      <c r="BZ960">
        <f t="shared" si="220"/>
        <v>2.3747406698420157E-2</v>
      </c>
      <c r="CA960">
        <f t="shared" si="221"/>
        <v>0.32005363845127444</v>
      </c>
      <c r="CB960">
        <f t="shared" si="222"/>
        <v>0.36858985273641137</v>
      </c>
    </row>
    <row r="961" spans="1:80" x14ac:dyDescent="0.45">
      <c r="A961" s="11">
        <v>40</v>
      </c>
      <c r="B961" s="12">
        <f t="shared" si="210"/>
        <v>40</v>
      </c>
      <c r="C961" s="12" t="s">
        <v>59</v>
      </c>
      <c r="D961" s="12">
        <v>0</v>
      </c>
      <c r="E961" s="12" t="s">
        <v>53</v>
      </c>
      <c r="F961" s="12">
        <v>0</v>
      </c>
      <c r="G961" s="12">
        <v>1</v>
      </c>
      <c r="H961" s="12" t="s">
        <v>61</v>
      </c>
      <c r="I961" s="12">
        <v>1</v>
      </c>
      <c r="J961" s="12">
        <v>0</v>
      </c>
      <c r="K961" s="12">
        <v>2</v>
      </c>
      <c r="L961" s="12">
        <f t="shared" si="211"/>
        <v>2</v>
      </c>
      <c r="M961" s="12">
        <v>3</v>
      </c>
      <c r="N961" s="12" t="s">
        <v>55</v>
      </c>
      <c r="O961" s="12">
        <v>1</v>
      </c>
      <c r="P961" s="12">
        <v>0</v>
      </c>
      <c r="Q961" s="12">
        <v>0</v>
      </c>
      <c r="R961" s="12">
        <v>0</v>
      </c>
      <c r="S961" s="12">
        <v>0</v>
      </c>
      <c r="T961" s="12">
        <v>3</v>
      </c>
      <c r="U961" s="12" t="s">
        <v>62</v>
      </c>
      <c r="V961" s="12">
        <v>0</v>
      </c>
      <c r="W961" s="12">
        <v>98</v>
      </c>
      <c r="X961" s="12">
        <v>3</v>
      </c>
      <c r="Y961" s="12">
        <v>2</v>
      </c>
      <c r="Z961" s="12" t="s">
        <v>63</v>
      </c>
      <c r="AA961" s="12">
        <v>0</v>
      </c>
      <c r="AB961" s="12">
        <v>0</v>
      </c>
      <c r="AC961" s="12">
        <v>0</v>
      </c>
      <c r="AD961" s="12">
        <v>0</v>
      </c>
      <c r="AE961" s="12">
        <v>0</v>
      </c>
      <c r="AF961" s="12">
        <v>0</v>
      </c>
      <c r="AG961" s="12">
        <v>0</v>
      </c>
      <c r="AH961" s="12">
        <v>1</v>
      </c>
      <c r="AI961" s="12">
        <v>4</v>
      </c>
      <c r="AJ961" s="12" t="s">
        <v>57</v>
      </c>
      <c r="AK961" s="12">
        <v>1</v>
      </c>
      <c r="AL961" s="12">
        <v>0</v>
      </c>
      <c r="AM961" s="12">
        <v>4661</v>
      </c>
      <c r="AN961" s="12">
        <f t="shared" si="212"/>
        <v>4661</v>
      </c>
      <c r="AO961" s="12">
        <v>1</v>
      </c>
      <c r="AP961" s="12" t="s">
        <v>59</v>
      </c>
      <c r="AQ961" s="12">
        <v>0</v>
      </c>
      <c r="AR961" s="12">
        <v>13</v>
      </c>
      <c r="AS961" s="12">
        <v>3</v>
      </c>
      <c r="AT961" s="12">
        <v>3</v>
      </c>
      <c r="AU961" s="12">
        <v>0</v>
      </c>
      <c r="AV961" s="12">
        <v>9</v>
      </c>
      <c r="AW961" s="12">
        <f t="shared" si="213"/>
        <v>9</v>
      </c>
      <c r="AX961" s="12">
        <v>4</v>
      </c>
      <c r="AY961" s="12">
        <v>3</v>
      </c>
      <c r="AZ961" s="12">
        <v>9</v>
      </c>
      <c r="BA961" s="12">
        <f t="shared" si="214"/>
        <v>9</v>
      </c>
      <c r="BB961" s="12">
        <v>8</v>
      </c>
      <c r="BC961" s="12">
        <v>8</v>
      </c>
      <c r="BD961" s="12">
        <f t="shared" si="223"/>
        <v>8</v>
      </c>
      <c r="BE961" s="12">
        <v>8</v>
      </c>
      <c r="BF961" s="12">
        <f t="shared" si="215"/>
        <v>8</v>
      </c>
      <c r="BG961" s="12">
        <f t="shared" si="224"/>
        <v>16</v>
      </c>
      <c r="BH961" s="67">
        <v>1</v>
      </c>
      <c r="BI961" s="67">
        <v>0</v>
      </c>
      <c r="BJ961" s="67">
        <v>0</v>
      </c>
      <c r="BK961" s="67">
        <v>0</v>
      </c>
      <c r="BL961" s="67">
        <v>1</v>
      </c>
      <c r="BM961" s="67">
        <v>0</v>
      </c>
      <c r="BN961" s="67">
        <v>0</v>
      </c>
      <c r="BO961" s="67">
        <v>0</v>
      </c>
      <c r="BP961" s="67">
        <v>0</v>
      </c>
      <c r="BQ961" s="67">
        <v>8</v>
      </c>
      <c r="BR961" s="67">
        <v>0</v>
      </c>
      <c r="BS961" s="67">
        <v>0</v>
      </c>
      <c r="BT961" s="67">
        <v>9</v>
      </c>
      <c r="BU961" s="70">
        <v>0</v>
      </c>
      <c r="BV961" s="29">
        <f t="shared" si="216"/>
        <v>0.39123793555831121</v>
      </c>
      <c r="BW961">
        <f t="shared" si="217"/>
        <v>1.08652546240644</v>
      </c>
      <c r="BX961">
        <f t="shared" si="218"/>
        <v>0.29297722668510823</v>
      </c>
      <c r="BY961">
        <f t="shared" si="219"/>
        <v>0.32511687867835437</v>
      </c>
      <c r="BZ961">
        <f t="shared" si="220"/>
        <v>0.88721318382472392</v>
      </c>
      <c r="CA961">
        <f t="shared" si="221"/>
        <v>0.33673395837055903</v>
      </c>
      <c r="CB961">
        <f t="shared" si="222"/>
        <v>1.8036836779953602</v>
      </c>
    </row>
    <row r="962" spans="1:80" x14ac:dyDescent="0.45">
      <c r="A962" s="11">
        <v>41</v>
      </c>
      <c r="B962" s="12">
        <f t="shared" ref="B962:B1025" si="225">IF(A962&gt;$CD$29,$CD$29,IF(A962&lt;$CD$30,$CD$30,A962))</f>
        <v>41</v>
      </c>
      <c r="C962" s="12" t="s">
        <v>59</v>
      </c>
      <c r="D962" s="12">
        <v>0</v>
      </c>
      <c r="E962" s="12" t="s">
        <v>60</v>
      </c>
      <c r="F962" s="12">
        <v>1</v>
      </c>
      <c r="G962" s="12">
        <v>0</v>
      </c>
      <c r="H962" s="12" t="s">
        <v>54</v>
      </c>
      <c r="I962" s="12">
        <v>0</v>
      </c>
      <c r="J962" s="12">
        <v>1</v>
      </c>
      <c r="K962" s="12">
        <v>1</v>
      </c>
      <c r="L962" s="12">
        <f t="shared" ref="L962:L1025" si="226">IF(K962&gt;$CD$25,$CD$25,IF(K962&lt;$CD$26,$CD$26,K962))</f>
        <v>1</v>
      </c>
      <c r="M962" s="12">
        <v>3</v>
      </c>
      <c r="N962" s="12" t="s">
        <v>90</v>
      </c>
      <c r="O962" s="12">
        <v>0</v>
      </c>
      <c r="P962" s="12">
        <v>0</v>
      </c>
      <c r="Q962" s="12">
        <v>0</v>
      </c>
      <c r="R962" s="12">
        <v>1</v>
      </c>
      <c r="S962" s="12">
        <v>0</v>
      </c>
      <c r="T962" s="12">
        <v>3</v>
      </c>
      <c r="U962" s="12" t="s">
        <v>19</v>
      </c>
      <c r="V962" s="12">
        <v>1</v>
      </c>
      <c r="W962" s="12">
        <v>66</v>
      </c>
      <c r="X962" s="12">
        <v>3</v>
      </c>
      <c r="Y962" s="12">
        <v>2</v>
      </c>
      <c r="Z962" s="12" t="s">
        <v>56</v>
      </c>
      <c r="AA962" s="12">
        <v>0</v>
      </c>
      <c r="AB962" s="12">
        <v>1</v>
      </c>
      <c r="AC962" s="12">
        <v>0</v>
      </c>
      <c r="AD962" s="12">
        <v>0</v>
      </c>
      <c r="AE962" s="12">
        <v>0</v>
      </c>
      <c r="AF962" s="12">
        <v>0</v>
      </c>
      <c r="AG962" s="12">
        <v>0</v>
      </c>
      <c r="AH962" s="12">
        <v>0</v>
      </c>
      <c r="AI962" s="12">
        <v>1</v>
      </c>
      <c r="AJ962" s="12" t="s">
        <v>78</v>
      </c>
      <c r="AK962" s="12">
        <v>0</v>
      </c>
      <c r="AL962" s="12">
        <v>0</v>
      </c>
      <c r="AM962" s="12">
        <v>4103</v>
      </c>
      <c r="AN962" s="12">
        <f t="shared" ref="AN962:AN1025" si="227">IF(AM962&gt;$CD$8,$CD$8,IF(AM962&lt;$CD$9,$CD$9,AM962))</f>
        <v>4103</v>
      </c>
      <c r="AO962" s="12">
        <v>0</v>
      </c>
      <c r="AP962" s="12" t="s">
        <v>59</v>
      </c>
      <c r="AQ962" s="12">
        <v>0</v>
      </c>
      <c r="AR962" s="12">
        <v>17</v>
      </c>
      <c r="AS962" s="12">
        <v>3</v>
      </c>
      <c r="AT962" s="12">
        <v>4</v>
      </c>
      <c r="AU962" s="12">
        <v>1</v>
      </c>
      <c r="AV962" s="12">
        <v>10</v>
      </c>
      <c r="AW962" s="12">
        <f t="shared" ref="AW962:AW1025" si="228">IF(AV962&gt;$CD$17,$CD$17,IF(AV962&lt;$CD$18,$CD$18,AV962))</f>
        <v>10</v>
      </c>
      <c r="AX962" s="12">
        <v>2</v>
      </c>
      <c r="AY962" s="12">
        <v>3</v>
      </c>
      <c r="AZ962" s="12">
        <v>9</v>
      </c>
      <c r="BA962" s="12">
        <f t="shared" ref="BA962:BA1025" si="229">IF(AZ962&gt; $CD$21,$CD$21,IF(AZ962&lt;$CD$22,$CD$22,AZ962))</f>
        <v>9</v>
      </c>
      <c r="BB962" s="12">
        <v>3</v>
      </c>
      <c r="BC962" s="12">
        <v>1</v>
      </c>
      <c r="BD962" s="12">
        <f t="shared" si="223"/>
        <v>1</v>
      </c>
      <c r="BE962" s="12">
        <v>7</v>
      </c>
      <c r="BF962" s="12">
        <f t="shared" ref="BF962:BF1025" si="230">IF(BE962&gt;$CD$12,$CD$12,IF(BE962&lt;$CD$13,$CD$13,BE962))</f>
        <v>7</v>
      </c>
      <c r="BG962" s="12">
        <f t="shared" si="224"/>
        <v>14</v>
      </c>
      <c r="BH962" s="67">
        <v>0</v>
      </c>
      <c r="BI962" s="67">
        <v>0</v>
      </c>
      <c r="BJ962" s="67">
        <v>1</v>
      </c>
      <c r="BK962" s="67">
        <v>0</v>
      </c>
      <c r="BL962" s="67">
        <v>1</v>
      </c>
      <c r="BM962" s="67">
        <v>0</v>
      </c>
      <c r="BN962" s="67">
        <v>0</v>
      </c>
      <c r="BO962" s="67">
        <v>0</v>
      </c>
      <c r="BP962" s="67">
        <v>0</v>
      </c>
      <c r="BQ962" s="67">
        <v>0</v>
      </c>
      <c r="BR962" s="67">
        <v>7</v>
      </c>
      <c r="BS962" s="67">
        <v>0</v>
      </c>
      <c r="BT962" s="67">
        <v>0</v>
      </c>
      <c r="BU962" s="70">
        <v>10</v>
      </c>
      <c r="BV962" s="29">
        <f t="shared" ref="BV962:BV1025" si="231">ABS((AM962-AVERAGE(AM:AM))/_xlfn.STDEV.S(AM:AM))</f>
        <v>0.50976068878392966</v>
      </c>
      <c r="BW962">
        <f t="shared" ref="BW962:BW1025" si="232">ABS((BE962-AVERAGE(BE:BE))/_xlfn.STDEV.S(BE:BE))</f>
        <v>0.80626709607243985</v>
      </c>
      <c r="BX962">
        <f t="shared" ref="BX962:BX1025" si="233">ABS((AV962-AVERAGE(AV:AV))/_xlfn.STDEV.S(AV:AV))</f>
        <v>0.1644554352117841</v>
      </c>
      <c r="BY962">
        <f t="shared" ref="BY962:BY1025" si="234">ABS((AZ962-AVERAGE(AZ:AZ))/_xlfn.STDEV.S(AZ:AZ))</f>
        <v>0.32511687867835437</v>
      </c>
      <c r="BZ962">
        <f t="shared" ref="BZ962:BZ1025" si="235">ABS((K962-AVERAGE(K:K))/_xlfn.STDEV.S(K:K))</f>
        <v>1.01056543769991</v>
      </c>
      <c r="CA962">
        <f t="shared" ref="CA962:CA1025" si="236">ABS((A962-AVERAGE(A:A))/_xlfn.STDEV.S(A:A))</f>
        <v>0.4461985578408646</v>
      </c>
      <c r="CB962">
        <f t="shared" ref="CB962:CB1025" si="237">ABS((BC962-AVERAGE(BC:BC))/_xlfn.STDEV.S(BC:BC))</f>
        <v>0.36858985273641137</v>
      </c>
    </row>
    <row r="963" spans="1:80" x14ac:dyDescent="0.45">
      <c r="A963" s="11">
        <v>35</v>
      </c>
      <c r="B963" s="12">
        <f t="shared" si="225"/>
        <v>35</v>
      </c>
      <c r="C963" s="12" t="s">
        <v>59</v>
      </c>
      <c r="D963" s="12">
        <v>0</v>
      </c>
      <c r="E963" s="12" t="s">
        <v>60</v>
      </c>
      <c r="F963" s="12">
        <v>1</v>
      </c>
      <c r="G963" s="12">
        <v>0</v>
      </c>
      <c r="H963" s="12" t="s">
        <v>61</v>
      </c>
      <c r="I963" s="12">
        <v>1</v>
      </c>
      <c r="J963" s="12">
        <v>0</v>
      </c>
      <c r="K963" s="12">
        <v>4</v>
      </c>
      <c r="L963" s="12">
        <f t="shared" si="226"/>
        <v>4</v>
      </c>
      <c r="M963" s="12">
        <v>4</v>
      </c>
      <c r="N963" s="12" t="s">
        <v>55</v>
      </c>
      <c r="O963" s="12">
        <v>1</v>
      </c>
      <c r="P963" s="12">
        <v>0</v>
      </c>
      <c r="Q963" s="12">
        <v>0</v>
      </c>
      <c r="R963" s="12">
        <v>0</v>
      </c>
      <c r="S963" s="12">
        <v>0</v>
      </c>
      <c r="T963" s="12">
        <v>3</v>
      </c>
      <c r="U963" s="12" t="s">
        <v>62</v>
      </c>
      <c r="V963" s="12">
        <v>0</v>
      </c>
      <c r="W963" s="12">
        <v>87</v>
      </c>
      <c r="X963" s="12">
        <v>3</v>
      </c>
      <c r="Y963" s="12">
        <v>2</v>
      </c>
      <c r="Z963" s="12" t="s">
        <v>63</v>
      </c>
      <c r="AA963" s="12">
        <v>0</v>
      </c>
      <c r="AB963" s="12">
        <v>0</v>
      </c>
      <c r="AC963" s="12">
        <v>0</v>
      </c>
      <c r="AD963" s="12">
        <v>0</v>
      </c>
      <c r="AE963" s="12">
        <v>0</v>
      </c>
      <c r="AF963" s="12">
        <v>0</v>
      </c>
      <c r="AG963" s="12">
        <v>0</v>
      </c>
      <c r="AH963" s="12">
        <v>1</v>
      </c>
      <c r="AI963" s="12">
        <v>3</v>
      </c>
      <c r="AJ963" s="12" t="s">
        <v>57</v>
      </c>
      <c r="AK963" s="12">
        <v>1</v>
      </c>
      <c r="AL963" s="12">
        <v>0</v>
      </c>
      <c r="AM963" s="12">
        <v>4249</v>
      </c>
      <c r="AN963" s="12">
        <f t="shared" si="227"/>
        <v>4249</v>
      </c>
      <c r="AO963" s="12">
        <v>1</v>
      </c>
      <c r="AP963" s="12" t="s">
        <v>52</v>
      </c>
      <c r="AQ963" s="12">
        <v>1</v>
      </c>
      <c r="AR963" s="12">
        <v>11</v>
      </c>
      <c r="AS963" s="12">
        <v>3</v>
      </c>
      <c r="AT963" s="12">
        <v>2</v>
      </c>
      <c r="AU963" s="12">
        <v>0</v>
      </c>
      <c r="AV963" s="12">
        <v>9</v>
      </c>
      <c r="AW963" s="12">
        <f t="shared" si="228"/>
        <v>9</v>
      </c>
      <c r="AX963" s="12">
        <v>3</v>
      </c>
      <c r="AY963" s="12">
        <v>3</v>
      </c>
      <c r="AZ963" s="12">
        <v>9</v>
      </c>
      <c r="BA963" s="12">
        <f t="shared" si="229"/>
        <v>9</v>
      </c>
      <c r="BB963" s="12">
        <v>6</v>
      </c>
      <c r="BC963" s="12">
        <v>1</v>
      </c>
      <c r="BD963" s="12">
        <f t="shared" ref="BD963:BD1026" si="238">IF(BC963&gt;$CD$33,$CD$33,BC963)</f>
        <v>1</v>
      </c>
      <c r="BE963" s="12">
        <v>1</v>
      </c>
      <c r="BF963" s="12">
        <f t="shared" si="230"/>
        <v>1</v>
      </c>
      <c r="BG963" s="12">
        <f t="shared" ref="BG963:BG1026" si="239">BF963*Y963</f>
        <v>2</v>
      </c>
      <c r="BH963" s="67">
        <v>0</v>
      </c>
      <c r="BI963" s="67">
        <v>0</v>
      </c>
      <c r="BJ963" s="67">
        <v>1</v>
      </c>
      <c r="BK963" s="67">
        <v>0</v>
      </c>
      <c r="BL963" s="67">
        <v>0</v>
      </c>
      <c r="BM963" s="67">
        <v>1</v>
      </c>
      <c r="BN963" s="67">
        <v>0</v>
      </c>
      <c r="BO963" s="67">
        <v>0</v>
      </c>
      <c r="BP963" s="67">
        <v>0</v>
      </c>
      <c r="BQ963" s="67">
        <v>1</v>
      </c>
      <c r="BR963" s="67">
        <v>0</v>
      </c>
      <c r="BS963" s="67">
        <v>0</v>
      </c>
      <c r="BT963" s="67">
        <v>9</v>
      </c>
      <c r="BU963" s="70">
        <v>0</v>
      </c>
      <c r="BV963" s="29">
        <f t="shared" si="231"/>
        <v>0.47874935908690402</v>
      </c>
      <c r="BW963">
        <f t="shared" si="232"/>
        <v>0.87528310193156111</v>
      </c>
      <c r="BX963">
        <f t="shared" si="233"/>
        <v>0.29297722668510823</v>
      </c>
      <c r="BY963">
        <f t="shared" si="234"/>
        <v>0.32511687867835437</v>
      </c>
      <c r="BZ963">
        <f t="shared" si="235"/>
        <v>0.64050867607435136</v>
      </c>
      <c r="CA963">
        <f t="shared" si="236"/>
        <v>0.21058903898096887</v>
      </c>
      <c r="CB963">
        <f t="shared" si="237"/>
        <v>0.36858985273641137</v>
      </c>
    </row>
    <row r="964" spans="1:80" x14ac:dyDescent="0.45">
      <c r="A964" s="11">
        <v>51</v>
      </c>
      <c r="B964" s="12">
        <f t="shared" si="225"/>
        <v>51</v>
      </c>
      <c r="C964" s="12" t="s">
        <v>59</v>
      </c>
      <c r="D964" s="12">
        <v>0</v>
      </c>
      <c r="E964" s="12" t="s">
        <v>53</v>
      </c>
      <c r="F964" s="12">
        <v>0</v>
      </c>
      <c r="G964" s="12">
        <v>1</v>
      </c>
      <c r="H964" s="12" t="s">
        <v>97</v>
      </c>
      <c r="I964" s="12">
        <v>0</v>
      </c>
      <c r="J964" s="12">
        <v>0</v>
      </c>
      <c r="K964" s="12">
        <v>5</v>
      </c>
      <c r="L964" s="12">
        <f t="shared" si="226"/>
        <v>5</v>
      </c>
      <c r="M964" s="12">
        <v>3</v>
      </c>
      <c r="N964" s="12" t="s">
        <v>55</v>
      </c>
      <c r="O964" s="12">
        <v>1</v>
      </c>
      <c r="P964" s="12">
        <v>0</v>
      </c>
      <c r="Q964" s="12">
        <v>0</v>
      </c>
      <c r="R964" s="12">
        <v>0</v>
      </c>
      <c r="S964" s="12">
        <v>0</v>
      </c>
      <c r="T964" s="12">
        <v>3</v>
      </c>
      <c r="U964" s="12" t="s">
        <v>62</v>
      </c>
      <c r="V964" s="12">
        <v>0</v>
      </c>
      <c r="W964" s="12">
        <v>84</v>
      </c>
      <c r="X964" s="12">
        <v>3</v>
      </c>
      <c r="Y964" s="12">
        <v>4</v>
      </c>
      <c r="Z964" s="12" t="s">
        <v>87</v>
      </c>
      <c r="AA964" s="12">
        <v>0</v>
      </c>
      <c r="AB964" s="12">
        <v>0</v>
      </c>
      <c r="AC964" s="12">
        <v>0</v>
      </c>
      <c r="AD964" s="12">
        <v>1</v>
      </c>
      <c r="AE964" s="12">
        <v>0</v>
      </c>
      <c r="AF964" s="12">
        <v>0</v>
      </c>
      <c r="AG964" s="12">
        <v>0</v>
      </c>
      <c r="AH964" s="12">
        <v>0</v>
      </c>
      <c r="AI964" s="12">
        <v>2</v>
      </c>
      <c r="AJ964" s="12" t="s">
        <v>78</v>
      </c>
      <c r="AK964" s="12">
        <v>0</v>
      </c>
      <c r="AL964" s="12">
        <v>0</v>
      </c>
      <c r="AM964" s="12">
        <v>14026</v>
      </c>
      <c r="AN964" s="12">
        <f t="shared" si="227"/>
        <v>14026</v>
      </c>
      <c r="AO964" s="12">
        <v>1</v>
      </c>
      <c r="AP964" s="12" t="s">
        <v>52</v>
      </c>
      <c r="AQ964" s="12">
        <v>1</v>
      </c>
      <c r="AR964" s="12">
        <v>11</v>
      </c>
      <c r="AS964" s="12">
        <v>3</v>
      </c>
      <c r="AT964" s="12">
        <v>2</v>
      </c>
      <c r="AU964" s="12">
        <v>1</v>
      </c>
      <c r="AV964" s="12">
        <v>33</v>
      </c>
      <c r="AW964" s="12">
        <f t="shared" si="228"/>
        <v>33</v>
      </c>
      <c r="AX964" s="12">
        <v>2</v>
      </c>
      <c r="AY964" s="12">
        <v>3</v>
      </c>
      <c r="AZ964" s="12">
        <v>33</v>
      </c>
      <c r="BA964" s="12">
        <f t="shared" si="229"/>
        <v>31</v>
      </c>
      <c r="BB964" s="12">
        <v>9</v>
      </c>
      <c r="BC964" s="12">
        <v>0</v>
      </c>
      <c r="BD964" s="12">
        <f t="shared" si="238"/>
        <v>0</v>
      </c>
      <c r="BE964" s="12">
        <v>10</v>
      </c>
      <c r="BF964" s="12">
        <f t="shared" si="230"/>
        <v>10</v>
      </c>
      <c r="BG964" s="12">
        <f t="shared" si="239"/>
        <v>40</v>
      </c>
      <c r="BH964" s="67">
        <v>1</v>
      </c>
      <c r="BI964" s="67">
        <v>0</v>
      </c>
      <c r="BJ964" s="67">
        <v>0</v>
      </c>
      <c r="BK964" s="67">
        <v>0</v>
      </c>
      <c r="BL964" s="67">
        <v>0</v>
      </c>
      <c r="BM964" s="67">
        <v>1</v>
      </c>
      <c r="BN964" s="67">
        <v>0</v>
      </c>
      <c r="BO964" s="67">
        <v>0</v>
      </c>
      <c r="BP964" s="67">
        <v>10</v>
      </c>
      <c r="BQ964" s="67">
        <v>0</v>
      </c>
      <c r="BR964" s="67">
        <v>0</v>
      </c>
      <c r="BS964" s="67">
        <v>33</v>
      </c>
      <c r="BT964" s="67">
        <v>0</v>
      </c>
      <c r="BU964" s="70">
        <v>0</v>
      </c>
      <c r="BV964" s="29">
        <f t="shared" si="231"/>
        <v>1.5979476987748729</v>
      </c>
      <c r="BW964">
        <f t="shared" si="232"/>
        <v>1.6470421950744405</v>
      </c>
      <c r="BX964">
        <f t="shared" si="233"/>
        <v>2.7915457686746699</v>
      </c>
      <c r="BY964">
        <f t="shared" si="234"/>
        <v>4.2425087775077062</v>
      </c>
      <c r="BZ964">
        <f t="shared" si="235"/>
        <v>0.51715642219916513</v>
      </c>
      <c r="CA964">
        <f t="shared" si="236"/>
        <v>1.5408445525439205</v>
      </c>
      <c r="CB964">
        <f t="shared" si="237"/>
        <v>0.67891464284095016</v>
      </c>
    </row>
    <row r="965" spans="1:80" x14ac:dyDescent="0.45">
      <c r="A965" s="11">
        <v>38</v>
      </c>
      <c r="B965" s="12">
        <f t="shared" si="225"/>
        <v>38</v>
      </c>
      <c r="C965" s="12" t="s">
        <v>59</v>
      </c>
      <c r="D965" s="12">
        <v>0</v>
      </c>
      <c r="E965" s="12" t="s">
        <v>53</v>
      </c>
      <c r="F965" s="12">
        <v>0</v>
      </c>
      <c r="G965" s="12">
        <v>1</v>
      </c>
      <c r="H965" s="12" t="s">
        <v>54</v>
      </c>
      <c r="I965" s="12">
        <v>0</v>
      </c>
      <c r="J965" s="12">
        <v>1</v>
      </c>
      <c r="K965" s="12">
        <v>2</v>
      </c>
      <c r="L965" s="12">
        <f t="shared" si="226"/>
        <v>2</v>
      </c>
      <c r="M965" s="12">
        <v>2</v>
      </c>
      <c r="N965" s="12" t="s">
        <v>55</v>
      </c>
      <c r="O965" s="12">
        <v>1</v>
      </c>
      <c r="P965" s="12">
        <v>0</v>
      </c>
      <c r="Q965" s="12">
        <v>0</v>
      </c>
      <c r="R965" s="12">
        <v>0</v>
      </c>
      <c r="S965" s="12">
        <v>0</v>
      </c>
      <c r="T965" s="12">
        <v>2</v>
      </c>
      <c r="U965" s="12" t="s">
        <v>19</v>
      </c>
      <c r="V965" s="12">
        <v>1</v>
      </c>
      <c r="W965" s="12">
        <v>31</v>
      </c>
      <c r="X965" s="12">
        <v>3</v>
      </c>
      <c r="Y965" s="12">
        <v>2</v>
      </c>
      <c r="Z965" s="12" t="s">
        <v>56</v>
      </c>
      <c r="AA965" s="12">
        <v>0</v>
      </c>
      <c r="AB965" s="12">
        <v>1</v>
      </c>
      <c r="AC965" s="12">
        <v>0</v>
      </c>
      <c r="AD965" s="12">
        <v>0</v>
      </c>
      <c r="AE965" s="12">
        <v>0</v>
      </c>
      <c r="AF965" s="12">
        <v>0</v>
      </c>
      <c r="AG965" s="12">
        <v>0</v>
      </c>
      <c r="AH965" s="12">
        <v>0</v>
      </c>
      <c r="AI965" s="12">
        <v>1</v>
      </c>
      <c r="AJ965" s="12" t="s">
        <v>78</v>
      </c>
      <c r="AK965" s="12">
        <v>0</v>
      </c>
      <c r="AL965" s="12">
        <v>0</v>
      </c>
      <c r="AM965" s="12">
        <v>6893</v>
      </c>
      <c r="AN965" s="12">
        <f t="shared" si="227"/>
        <v>6893</v>
      </c>
      <c r="AO965" s="12">
        <v>3</v>
      </c>
      <c r="AP965" s="12" t="s">
        <v>59</v>
      </c>
      <c r="AQ965" s="12">
        <v>0</v>
      </c>
      <c r="AR965" s="12">
        <v>15</v>
      </c>
      <c r="AS965" s="12">
        <v>3</v>
      </c>
      <c r="AT965" s="12">
        <v>4</v>
      </c>
      <c r="AU965" s="12">
        <v>1</v>
      </c>
      <c r="AV965" s="12">
        <v>11</v>
      </c>
      <c r="AW965" s="12">
        <f t="shared" si="228"/>
        <v>11</v>
      </c>
      <c r="AX965" s="12">
        <v>3</v>
      </c>
      <c r="AY965" s="12">
        <v>3</v>
      </c>
      <c r="AZ965" s="12">
        <v>7</v>
      </c>
      <c r="BA965" s="12">
        <f t="shared" si="229"/>
        <v>7</v>
      </c>
      <c r="BB965" s="12">
        <v>7</v>
      </c>
      <c r="BC965" s="12">
        <v>1</v>
      </c>
      <c r="BD965" s="12">
        <f t="shared" si="238"/>
        <v>1</v>
      </c>
      <c r="BE965" s="12">
        <v>7</v>
      </c>
      <c r="BF965" s="12">
        <f t="shared" si="230"/>
        <v>7</v>
      </c>
      <c r="BG965" s="12">
        <f t="shared" si="239"/>
        <v>14</v>
      </c>
      <c r="BH965" s="67">
        <v>1</v>
      </c>
      <c r="BI965" s="67">
        <v>0</v>
      </c>
      <c r="BJ965" s="67">
        <v>0</v>
      </c>
      <c r="BK965" s="67">
        <v>0</v>
      </c>
      <c r="BL965" s="67">
        <v>1</v>
      </c>
      <c r="BM965" s="67">
        <v>0</v>
      </c>
      <c r="BN965" s="67">
        <v>0</v>
      </c>
      <c r="BO965" s="67">
        <v>0</v>
      </c>
      <c r="BP965" s="67">
        <v>0</v>
      </c>
      <c r="BQ965" s="67">
        <v>0</v>
      </c>
      <c r="BR965" s="67">
        <v>7</v>
      </c>
      <c r="BS965" s="67">
        <v>0</v>
      </c>
      <c r="BT965" s="67">
        <v>0</v>
      </c>
      <c r="BU965" s="70">
        <v>11</v>
      </c>
      <c r="BV965" s="29">
        <f t="shared" si="231"/>
        <v>8.2853077344162585E-2</v>
      </c>
      <c r="BW965">
        <f t="shared" si="232"/>
        <v>0.80626709607243985</v>
      </c>
      <c r="BX965">
        <f t="shared" si="233"/>
        <v>3.593364373846001E-2</v>
      </c>
      <c r="BY965">
        <f t="shared" si="234"/>
        <v>1.3324462240916321E-3</v>
      </c>
      <c r="BZ965">
        <f t="shared" si="235"/>
        <v>0.88721318382472392</v>
      </c>
      <c r="CA965">
        <f t="shared" si="236"/>
        <v>0.11780475942994788</v>
      </c>
      <c r="CB965">
        <f t="shared" si="237"/>
        <v>0.36858985273641137</v>
      </c>
    </row>
    <row r="966" spans="1:80" x14ac:dyDescent="0.45">
      <c r="A966" s="11">
        <v>34</v>
      </c>
      <c r="B966" s="12">
        <f t="shared" si="225"/>
        <v>34</v>
      </c>
      <c r="C966" s="12" t="s">
        <v>59</v>
      </c>
      <c r="D966" s="12">
        <v>0</v>
      </c>
      <c r="E966" s="12" t="s">
        <v>53</v>
      </c>
      <c r="F966" s="12">
        <v>0</v>
      </c>
      <c r="G966" s="12">
        <v>1</v>
      </c>
      <c r="H966" s="12" t="s">
        <v>54</v>
      </c>
      <c r="I966" s="12">
        <v>0</v>
      </c>
      <c r="J966" s="12">
        <v>1</v>
      </c>
      <c r="K966" s="12">
        <v>15</v>
      </c>
      <c r="L966" s="12">
        <f t="shared" si="226"/>
        <v>15</v>
      </c>
      <c r="M966" s="12">
        <v>2</v>
      </c>
      <c r="N966" s="12" t="s">
        <v>70</v>
      </c>
      <c r="O966" s="12">
        <v>0</v>
      </c>
      <c r="P966" s="12">
        <v>0</v>
      </c>
      <c r="Q966" s="12">
        <v>1</v>
      </c>
      <c r="R966" s="12">
        <v>0</v>
      </c>
      <c r="S966" s="12">
        <v>0</v>
      </c>
      <c r="T966" s="12">
        <v>3</v>
      </c>
      <c r="U966" s="12" t="s">
        <v>19</v>
      </c>
      <c r="V966" s="12">
        <v>1</v>
      </c>
      <c r="W966" s="12">
        <v>66</v>
      </c>
      <c r="X966" s="12">
        <v>3</v>
      </c>
      <c r="Y966" s="12">
        <v>2</v>
      </c>
      <c r="Z966" s="12" t="s">
        <v>56</v>
      </c>
      <c r="AA966" s="12">
        <v>0</v>
      </c>
      <c r="AB966" s="12">
        <v>1</v>
      </c>
      <c r="AC966" s="12">
        <v>0</v>
      </c>
      <c r="AD966" s="12">
        <v>0</v>
      </c>
      <c r="AE966" s="12">
        <v>0</v>
      </c>
      <c r="AF966" s="12">
        <v>0</v>
      </c>
      <c r="AG966" s="12">
        <v>0</v>
      </c>
      <c r="AH966" s="12">
        <v>0</v>
      </c>
      <c r="AI966" s="12">
        <v>1</v>
      </c>
      <c r="AJ966" s="12" t="s">
        <v>57</v>
      </c>
      <c r="AK966" s="12">
        <v>1</v>
      </c>
      <c r="AL966" s="12">
        <v>0</v>
      </c>
      <c r="AM966" s="12">
        <v>6125</v>
      </c>
      <c r="AN966" s="12">
        <f t="shared" si="227"/>
        <v>6125</v>
      </c>
      <c r="AO966" s="12">
        <v>1</v>
      </c>
      <c r="AP966" s="12" t="s">
        <v>59</v>
      </c>
      <c r="AQ966" s="12">
        <v>0</v>
      </c>
      <c r="AR966" s="12">
        <v>12</v>
      </c>
      <c r="AS966" s="12">
        <v>3</v>
      </c>
      <c r="AT966" s="12">
        <v>4</v>
      </c>
      <c r="AU966" s="12">
        <v>0</v>
      </c>
      <c r="AV966" s="12">
        <v>10</v>
      </c>
      <c r="AW966" s="12">
        <f t="shared" si="228"/>
        <v>10</v>
      </c>
      <c r="AX966" s="12">
        <v>6</v>
      </c>
      <c r="AY966" s="12">
        <v>4</v>
      </c>
      <c r="AZ966" s="12">
        <v>10</v>
      </c>
      <c r="BA966" s="12">
        <f t="shared" si="229"/>
        <v>10</v>
      </c>
      <c r="BB966" s="12">
        <v>8</v>
      </c>
      <c r="BC966" s="12">
        <v>9</v>
      </c>
      <c r="BD966" s="12">
        <f t="shared" si="238"/>
        <v>9</v>
      </c>
      <c r="BE966" s="12">
        <v>6</v>
      </c>
      <c r="BF966" s="12">
        <f t="shared" si="230"/>
        <v>6</v>
      </c>
      <c r="BG966" s="12">
        <f t="shared" si="239"/>
        <v>12</v>
      </c>
      <c r="BH966" s="67">
        <v>1</v>
      </c>
      <c r="BI966" s="67">
        <v>0</v>
      </c>
      <c r="BJ966" s="67">
        <v>0</v>
      </c>
      <c r="BK966" s="67">
        <v>0</v>
      </c>
      <c r="BL966" s="67">
        <v>1</v>
      </c>
      <c r="BM966" s="67">
        <v>0</v>
      </c>
      <c r="BN966" s="67">
        <v>0</v>
      </c>
      <c r="BO966" s="67">
        <v>0</v>
      </c>
      <c r="BP966" s="67">
        <v>0</v>
      </c>
      <c r="BQ966" s="67">
        <v>0</v>
      </c>
      <c r="BR966" s="67">
        <v>6</v>
      </c>
      <c r="BS966" s="67">
        <v>0</v>
      </c>
      <c r="BT966" s="67">
        <v>0</v>
      </c>
      <c r="BU966" s="70">
        <v>10</v>
      </c>
      <c r="BV966" s="29">
        <f t="shared" si="231"/>
        <v>8.027501311690366E-2</v>
      </c>
      <c r="BW966">
        <f t="shared" si="232"/>
        <v>0.52600872973843971</v>
      </c>
      <c r="BX966">
        <f t="shared" si="233"/>
        <v>0.1644554352117841</v>
      </c>
      <c r="BY966">
        <f t="shared" si="234"/>
        <v>0.48834154112957734</v>
      </c>
      <c r="BZ966">
        <f t="shared" si="235"/>
        <v>0.71636611655269733</v>
      </c>
      <c r="CA966">
        <f t="shared" si="236"/>
        <v>0.32005363845127444</v>
      </c>
      <c r="CB966">
        <f t="shared" si="237"/>
        <v>2.114008468099899</v>
      </c>
    </row>
    <row r="967" spans="1:80" x14ac:dyDescent="0.45">
      <c r="A967" s="11">
        <v>25</v>
      </c>
      <c r="B967" s="12">
        <f t="shared" si="225"/>
        <v>25</v>
      </c>
      <c r="C967" s="12" t="s">
        <v>59</v>
      </c>
      <c r="D967" s="12">
        <v>0</v>
      </c>
      <c r="E967" s="12" t="s">
        <v>53</v>
      </c>
      <c r="F967" s="12">
        <v>0</v>
      </c>
      <c r="G967" s="12">
        <v>1</v>
      </c>
      <c r="H967" s="12" t="s">
        <v>61</v>
      </c>
      <c r="I967" s="12">
        <v>1</v>
      </c>
      <c r="J967" s="12">
        <v>0</v>
      </c>
      <c r="K967" s="12">
        <v>19</v>
      </c>
      <c r="L967" s="12">
        <f t="shared" si="226"/>
        <v>19</v>
      </c>
      <c r="M967" s="12">
        <v>1</v>
      </c>
      <c r="N967" s="12" t="s">
        <v>70</v>
      </c>
      <c r="O967" s="12">
        <v>0</v>
      </c>
      <c r="P967" s="12">
        <v>0</v>
      </c>
      <c r="Q967" s="12">
        <v>1</v>
      </c>
      <c r="R967" s="12">
        <v>0</v>
      </c>
      <c r="S967" s="12">
        <v>0</v>
      </c>
      <c r="T967" s="12">
        <v>4</v>
      </c>
      <c r="U967" s="12" t="s">
        <v>62</v>
      </c>
      <c r="V967" s="12">
        <v>0</v>
      </c>
      <c r="W967" s="12">
        <v>67</v>
      </c>
      <c r="X967" s="12">
        <v>3</v>
      </c>
      <c r="Y967" s="12">
        <v>1</v>
      </c>
      <c r="Z967" s="12" t="s">
        <v>67</v>
      </c>
      <c r="AA967" s="12">
        <v>0</v>
      </c>
      <c r="AB967" s="12">
        <v>0</v>
      </c>
      <c r="AC967" s="12">
        <v>1</v>
      </c>
      <c r="AD967" s="12">
        <v>0</v>
      </c>
      <c r="AE967" s="12">
        <v>0</v>
      </c>
      <c r="AF967" s="12">
        <v>0</v>
      </c>
      <c r="AG967" s="12">
        <v>0</v>
      </c>
      <c r="AH967" s="12">
        <v>0</v>
      </c>
      <c r="AI967" s="12">
        <v>4</v>
      </c>
      <c r="AJ967" s="12" t="s">
        <v>64</v>
      </c>
      <c r="AK967" s="12">
        <v>0</v>
      </c>
      <c r="AL967" s="12">
        <v>1</v>
      </c>
      <c r="AM967" s="12">
        <v>3669</v>
      </c>
      <c r="AN967" s="12">
        <f t="shared" si="227"/>
        <v>3669</v>
      </c>
      <c r="AO967" s="12">
        <v>3</v>
      </c>
      <c r="AP967" s="12" t="s">
        <v>59</v>
      </c>
      <c r="AQ967" s="12">
        <v>0</v>
      </c>
      <c r="AR967" s="12">
        <v>11</v>
      </c>
      <c r="AS967" s="12">
        <v>3</v>
      </c>
      <c r="AT967" s="12">
        <v>3</v>
      </c>
      <c r="AU967" s="12">
        <v>3</v>
      </c>
      <c r="AV967" s="12">
        <v>7</v>
      </c>
      <c r="AW967" s="12">
        <f t="shared" si="228"/>
        <v>7</v>
      </c>
      <c r="AX967" s="12">
        <v>6</v>
      </c>
      <c r="AY967" s="12">
        <v>2</v>
      </c>
      <c r="AZ967" s="12">
        <v>3</v>
      </c>
      <c r="BA967" s="12">
        <f t="shared" si="229"/>
        <v>3</v>
      </c>
      <c r="BB967" s="12">
        <v>2</v>
      </c>
      <c r="BC967" s="12">
        <v>1</v>
      </c>
      <c r="BD967" s="12">
        <f t="shared" si="238"/>
        <v>1</v>
      </c>
      <c r="BE967" s="12">
        <v>2</v>
      </c>
      <c r="BF967" s="12">
        <f t="shared" si="230"/>
        <v>2</v>
      </c>
      <c r="BG967" s="12">
        <f t="shared" si="239"/>
        <v>2</v>
      </c>
      <c r="BH967" s="67">
        <v>0</v>
      </c>
      <c r="BI967" s="67">
        <v>1</v>
      </c>
      <c r="BJ967" s="67">
        <v>0</v>
      </c>
      <c r="BK967" s="67">
        <v>0</v>
      </c>
      <c r="BL967" s="67">
        <v>0</v>
      </c>
      <c r="BM967" s="67">
        <v>0</v>
      </c>
      <c r="BN967" s="67">
        <v>1</v>
      </c>
      <c r="BO967" s="67">
        <v>0</v>
      </c>
      <c r="BP967" s="67">
        <v>0</v>
      </c>
      <c r="BQ967" s="67">
        <v>2</v>
      </c>
      <c r="BR967" s="67">
        <v>0</v>
      </c>
      <c r="BS967" s="67">
        <v>0</v>
      </c>
      <c r="BT967" s="67">
        <v>7</v>
      </c>
      <c r="BU967" s="70">
        <v>0</v>
      </c>
      <c r="BV967" s="29">
        <f t="shared" si="231"/>
        <v>0.6019450524038551</v>
      </c>
      <c r="BW967">
        <f t="shared" si="232"/>
        <v>0.59502473559756086</v>
      </c>
      <c r="BX967">
        <f t="shared" si="233"/>
        <v>0.55002080963175637</v>
      </c>
      <c r="BY967">
        <f t="shared" si="234"/>
        <v>0.65423109602898355</v>
      </c>
      <c r="BZ967">
        <f t="shared" si="235"/>
        <v>1.2097751320534422</v>
      </c>
      <c r="CA967">
        <f t="shared" si="236"/>
        <v>1.3052350336840246</v>
      </c>
      <c r="CB967">
        <f t="shared" si="237"/>
        <v>0.36858985273641137</v>
      </c>
    </row>
    <row r="968" spans="1:80" x14ac:dyDescent="0.45">
      <c r="A968" s="11">
        <v>58</v>
      </c>
      <c r="B968" s="12">
        <f t="shared" si="225"/>
        <v>58</v>
      </c>
      <c r="C968" s="12" t="s">
        <v>52</v>
      </c>
      <c r="D968" s="12">
        <v>1</v>
      </c>
      <c r="E968" s="12" t="s">
        <v>53</v>
      </c>
      <c r="F968" s="12">
        <v>0</v>
      </c>
      <c r="G968" s="12">
        <v>1</v>
      </c>
      <c r="H968" s="12" t="s">
        <v>61</v>
      </c>
      <c r="I968" s="12">
        <v>1</v>
      </c>
      <c r="J968" s="12">
        <v>0</v>
      </c>
      <c r="K968" s="12">
        <v>7</v>
      </c>
      <c r="L968" s="12">
        <f t="shared" si="226"/>
        <v>7</v>
      </c>
      <c r="M968" s="12">
        <v>4</v>
      </c>
      <c r="N968" s="12" t="s">
        <v>70</v>
      </c>
      <c r="O968" s="12">
        <v>0</v>
      </c>
      <c r="P968" s="12">
        <v>0</v>
      </c>
      <c r="Q968" s="12">
        <v>1</v>
      </c>
      <c r="R968" s="12">
        <v>0</v>
      </c>
      <c r="S968" s="12">
        <v>0</v>
      </c>
      <c r="T968" s="12">
        <v>3</v>
      </c>
      <c r="U968" s="12" t="s">
        <v>19</v>
      </c>
      <c r="V968" s="12">
        <v>1</v>
      </c>
      <c r="W968" s="12">
        <v>53</v>
      </c>
      <c r="X968" s="12">
        <v>2</v>
      </c>
      <c r="Y968" s="12">
        <v>3</v>
      </c>
      <c r="Z968" s="12" t="s">
        <v>83</v>
      </c>
      <c r="AA968" s="12">
        <v>0</v>
      </c>
      <c r="AB968" s="12">
        <v>0</v>
      </c>
      <c r="AC968" s="12">
        <v>0</v>
      </c>
      <c r="AD968" s="12">
        <v>0</v>
      </c>
      <c r="AE968" s="12">
        <v>1</v>
      </c>
      <c r="AF968" s="12">
        <v>1</v>
      </c>
      <c r="AG968" s="12">
        <v>0</v>
      </c>
      <c r="AH968" s="12">
        <v>0</v>
      </c>
      <c r="AI968" s="12">
        <v>1</v>
      </c>
      <c r="AJ968" s="12" t="s">
        <v>64</v>
      </c>
      <c r="AK968" s="12">
        <v>0</v>
      </c>
      <c r="AL968" s="12">
        <v>1</v>
      </c>
      <c r="AM968" s="12">
        <v>10008</v>
      </c>
      <c r="AN968" s="12">
        <f t="shared" si="227"/>
        <v>10008</v>
      </c>
      <c r="AO968" s="12">
        <v>7</v>
      </c>
      <c r="AP968" s="12" t="s">
        <v>52</v>
      </c>
      <c r="AQ968" s="12">
        <v>1</v>
      </c>
      <c r="AR968" s="12">
        <v>14</v>
      </c>
      <c r="AS968" s="12">
        <v>3</v>
      </c>
      <c r="AT968" s="12">
        <v>4</v>
      </c>
      <c r="AU968" s="12">
        <v>0</v>
      </c>
      <c r="AV968" s="12">
        <v>31</v>
      </c>
      <c r="AW968" s="12">
        <f t="shared" si="228"/>
        <v>31</v>
      </c>
      <c r="AX968" s="12">
        <v>0</v>
      </c>
      <c r="AY968" s="12">
        <v>2</v>
      </c>
      <c r="AZ968" s="12">
        <v>10</v>
      </c>
      <c r="BA968" s="12">
        <f t="shared" si="229"/>
        <v>10</v>
      </c>
      <c r="BB968" s="12">
        <v>9</v>
      </c>
      <c r="BC968" s="12">
        <v>5</v>
      </c>
      <c r="BD968" s="12">
        <f t="shared" si="238"/>
        <v>5</v>
      </c>
      <c r="BE968" s="12">
        <v>9</v>
      </c>
      <c r="BF968" s="12">
        <f t="shared" si="230"/>
        <v>9</v>
      </c>
      <c r="BG968" s="12">
        <f t="shared" si="239"/>
        <v>27</v>
      </c>
      <c r="BH968" s="67">
        <v>0</v>
      </c>
      <c r="BI968" s="67">
        <v>1</v>
      </c>
      <c r="BJ968" s="67">
        <v>0</v>
      </c>
      <c r="BK968" s="67">
        <v>0</v>
      </c>
      <c r="BL968" s="67">
        <v>0</v>
      </c>
      <c r="BM968" s="67">
        <v>0</v>
      </c>
      <c r="BN968" s="67">
        <v>0</v>
      </c>
      <c r="BO968" s="67">
        <v>1</v>
      </c>
      <c r="BP968" s="67">
        <v>0</v>
      </c>
      <c r="BQ968" s="67">
        <v>9</v>
      </c>
      <c r="BR968" s="67">
        <v>0</v>
      </c>
      <c r="BS968" s="67">
        <v>0</v>
      </c>
      <c r="BT968" s="67">
        <v>31</v>
      </c>
      <c r="BU968" s="70">
        <v>0</v>
      </c>
      <c r="BV968" s="29">
        <f t="shared" si="231"/>
        <v>0.74449891300330495</v>
      </c>
      <c r="BW968">
        <f t="shared" si="232"/>
        <v>1.3667838287404401</v>
      </c>
      <c r="BX968">
        <f t="shared" si="233"/>
        <v>2.5345021857280217</v>
      </c>
      <c r="BY968">
        <f t="shared" si="234"/>
        <v>0.48834154112957734</v>
      </c>
      <c r="BZ968">
        <f t="shared" si="235"/>
        <v>0.27045191444879263</v>
      </c>
      <c r="CA968">
        <f t="shared" si="236"/>
        <v>2.3070967488360594</v>
      </c>
      <c r="CB968">
        <f t="shared" si="237"/>
        <v>0.87270930768174382</v>
      </c>
    </row>
    <row r="969" spans="1:80" x14ac:dyDescent="0.45">
      <c r="A969" s="11">
        <v>40</v>
      </c>
      <c r="B969" s="12">
        <f t="shared" si="225"/>
        <v>40</v>
      </c>
      <c r="C969" s="12" t="s">
        <v>59</v>
      </c>
      <c r="D969" s="12">
        <v>0</v>
      </c>
      <c r="E969" s="12" t="s">
        <v>53</v>
      </c>
      <c r="F969" s="12">
        <v>0</v>
      </c>
      <c r="G969" s="12">
        <v>1</v>
      </c>
      <c r="H969" s="12" t="s">
        <v>61</v>
      </c>
      <c r="I969" s="12">
        <v>1</v>
      </c>
      <c r="J969" s="12">
        <v>0</v>
      </c>
      <c r="K969" s="12">
        <v>1</v>
      </c>
      <c r="L969" s="12">
        <f t="shared" si="226"/>
        <v>1</v>
      </c>
      <c r="M969" s="12">
        <v>4</v>
      </c>
      <c r="N969" s="12" t="s">
        <v>55</v>
      </c>
      <c r="O969" s="12">
        <v>1</v>
      </c>
      <c r="P969" s="12">
        <v>0</v>
      </c>
      <c r="Q969" s="12">
        <v>0</v>
      </c>
      <c r="R969" s="12">
        <v>0</v>
      </c>
      <c r="S969" s="12">
        <v>0</v>
      </c>
      <c r="T969" s="12">
        <v>2</v>
      </c>
      <c r="U969" s="12" t="s">
        <v>62</v>
      </c>
      <c r="V969" s="12">
        <v>0</v>
      </c>
      <c r="W969" s="12">
        <v>88</v>
      </c>
      <c r="X969" s="12">
        <v>3</v>
      </c>
      <c r="Y969" s="12">
        <v>1</v>
      </c>
      <c r="Z969" s="12" t="s">
        <v>67</v>
      </c>
      <c r="AA969" s="12">
        <v>0</v>
      </c>
      <c r="AB969" s="12">
        <v>0</v>
      </c>
      <c r="AC969" s="12">
        <v>1</v>
      </c>
      <c r="AD969" s="12">
        <v>0</v>
      </c>
      <c r="AE969" s="12">
        <v>0</v>
      </c>
      <c r="AF969" s="12">
        <v>0</v>
      </c>
      <c r="AG969" s="12">
        <v>0</v>
      </c>
      <c r="AH969" s="12">
        <v>0</v>
      </c>
      <c r="AI969" s="12">
        <v>2</v>
      </c>
      <c r="AJ969" s="12" t="s">
        <v>64</v>
      </c>
      <c r="AK969" s="12">
        <v>0</v>
      </c>
      <c r="AL969" s="12">
        <v>1</v>
      </c>
      <c r="AM969" s="12">
        <v>2387</v>
      </c>
      <c r="AN969" s="12">
        <f t="shared" si="227"/>
        <v>2387</v>
      </c>
      <c r="AO969" s="12">
        <v>3</v>
      </c>
      <c r="AP969" s="12" t="s">
        <v>59</v>
      </c>
      <c r="AQ969" s="12">
        <v>0</v>
      </c>
      <c r="AR969" s="12">
        <v>22</v>
      </c>
      <c r="AS969" s="12">
        <v>4</v>
      </c>
      <c r="AT969" s="12">
        <v>3</v>
      </c>
      <c r="AU969" s="12">
        <v>1</v>
      </c>
      <c r="AV969" s="12">
        <v>7</v>
      </c>
      <c r="AW969" s="12">
        <f t="shared" si="228"/>
        <v>7</v>
      </c>
      <c r="AX969" s="12">
        <v>3</v>
      </c>
      <c r="AY969" s="12">
        <v>3</v>
      </c>
      <c r="AZ969" s="12">
        <v>4</v>
      </c>
      <c r="BA969" s="12">
        <f t="shared" si="229"/>
        <v>4</v>
      </c>
      <c r="BB969" s="12">
        <v>2</v>
      </c>
      <c r="BC969" s="12">
        <v>0</v>
      </c>
      <c r="BD969" s="12">
        <f t="shared" si="238"/>
        <v>0</v>
      </c>
      <c r="BE969" s="12">
        <v>3</v>
      </c>
      <c r="BF969" s="12">
        <f t="shared" si="230"/>
        <v>3</v>
      </c>
      <c r="BG969" s="12">
        <f t="shared" si="239"/>
        <v>3</v>
      </c>
      <c r="BH969" s="67">
        <v>0</v>
      </c>
      <c r="BI969" s="67">
        <v>1</v>
      </c>
      <c r="BJ969" s="67">
        <v>0</v>
      </c>
      <c r="BK969" s="67">
        <v>0</v>
      </c>
      <c r="BL969" s="67">
        <v>0</v>
      </c>
      <c r="BM969" s="67">
        <v>0</v>
      </c>
      <c r="BN969" s="67">
        <v>1</v>
      </c>
      <c r="BO969" s="67">
        <v>0</v>
      </c>
      <c r="BP969" s="67">
        <v>0</v>
      </c>
      <c r="BQ969" s="67">
        <v>3</v>
      </c>
      <c r="BR969" s="67">
        <v>0</v>
      </c>
      <c r="BS969" s="67">
        <v>0</v>
      </c>
      <c r="BT969" s="67">
        <v>7</v>
      </c>
      <c r="BU969" s="70">
        <v>0</v>
      </c>
      <c r="BV969" s="29">
        <f t="shared" si="231"/>
        <v>0.87425001590787454</v>
      </c>
      <c r="BW969">
        <f t="shared" si="232"/>
        <v>0.31476636926356072</v>
      </c>
      <c r="BX969">
        <f t="shared" si="233"/>
        <v>0.55002080963175637</v>
      </c>
      <c r="BY969">
        <f t="shared" si="234"/>
        <v>0.49100643357776058</v>
      </c>
      <c r="BZ969">
        <f t="shared" si="235"/>
        <v>1.01056543769991</v>
      </c>
      <c r="CA969">
        <f t="shared" si="236"/>
        <v>0.33673395837055903</v>
      </c>
      <c r="CB969">
        <f t="shared" si="237"/>
        <v>0.67891464284095016</v>
      </c>
    </row>
    <row r="970" spans="1:80" x14ac:dyDescent="0.45">
      <c r="A970" s="11">
        <v>36</v>
      </c>
      <c r="B970" s="12">
        <f t="shared" si="225"/>
        <v>36</v>
      </c>
      <c r="C970" s="12" t="s">
        <v>59</v>
      </c>
      <c r="D970" s="12">
        <v>0</v>
      </c>
      <c r="E970" s="12" t="s">
        <v>60</v>
      </c>
      <c r="F970" s="12">
        <v>1</v>
      </c>
      <c r="G970" s="12">
        <v>0</v>
      </c>
      <c r="H970" s="12" t="s">
        <v>54</v>
      </c>
      <c r="I970" s="12">
        <v>0</v>
      </c>
      <c r="J970" s="12">
        <v>1</v>
      </c>
      <c r="K970" s="12">
        <v>7</v>
      </c>
      <c r="L970" s="12">
        <f t="shared" si="226"/>
        <v>7</v>
      </c>
      <c r="M970" s="12">
        <v>3</v>
      </c>
      <c r="N970" s="12" t="s">
        <v>90</v>
      </c>
      <c r="O970" s="12">
        <v>0</v>
      </c>
      <c r="P970" s="12">
        <v>0</v>
      </c>
      <c r="Q970" s="12">
        <v>0</v>
      </c>
      <c r="R970" s="12">
        <v>1</v>
      </c>
      <c r="S970" s="12">
        <v>0</v>
      </c>
      <c r="T970" s="12">
        <v>1</v>
      </c>
      <c r="U970" s="12" t="s">
        <v>19</v>
      </c>
      <c r="V970" s="12">
        <v>1</v>
      </c>
      <c r="W970" s="12">
        <v>83</v>
      </c>
      <c r="X970" s="12">
        <v>4</v>
      </c>
      <c r="Y970" s="12">
        <v>2</v>
      </c>
      <c r="Z970" s="12" t="s">
        <v>56</v>
      </c>
      <c r="AA970" s="12">
        <v>0</v>
      </c>
      <c r="AB970" s="12">
        <v>1</v>
      </c>
      <c r="AC970" s="12">
        <v>0</v>
      </c>
      <c r="AD970" s="12">
        <v>0</v>
      </c>
      <c r="AE970" s="12">
        <v>0</v>
      </c>
      <c r="AF970" s="12">
        <v>0</v>
      </c>
      <c r="AG970" s="12">
        <v>0</v>
      </c>
      <c r="AH970" s="12">
        <v>0</v>
      </c>
      <c r="AI970" s="12">
        <v>1</v>
      </c>
      <c r="AJ970" s="12" t="s">
        <v>64</v>
      </c>
      <c r="AK970" s="12">
        <v>0</v>
      </c>
      <c r="AL970" s="12">
        <v>1</v>
      </c>
      <c r="AM970" s="12">
        <v>4639</v>
      </c>
      <c r="AN970" s="12">
        <f t="shared" si="227"/>
        <v>4639</v>
      </c>
      <c r="AO970" s="12">
        <v>2</v>
      </c>
      <c r="AP970" s="12" t="s">
        <v>59</v>
      </c>
      <c r="AQ970" s="12">
        <v>0</v>
      </c>
      <c r="AR970" s="12">
        <v>16</v>
      </c>
      <c r="AS970" s="12">
        <v>3</v>
      </c>
      <c r="AT970" s="12">
        <v>4</v>
      </c>
      <c r="AU970" s="12">
        <v>1</v>
      </c>
      <c r="AV970" s="12">
        <v>17</v>
      </c>
      <c r="AW970" s="12">
        <f t="shared" si="228"/>
        <v>17</v>
      </c>
      <c r="AX970" s="12">
        <v>2</v>
      </c>
      <c r="AY970" s="12">
        <v>2</v>
      </c>
      <c r="AZ970" s="12">
        <v>15</v>
      </c>
      <c r="BA970" s="12">
        <f t="shared" si="229"/>
        <v>15</v>
      </c>
      <c r="BB970" s="12">
        <v>7</v>
      </c>
      <c r="BC970" s="12">
        <v>6</v>
      </c>
      <c r="BD970" s="12">
        <f t="shared" si="238"/>
        <v>6</v>
      </c>
      <c r="BE970" s="12">
        <v>13</v>
      </c>
      <c r="BF970" s="12">
        <f t="shared" si="230"/>
        <v>13</v>
      </c>
      <c r="BG970" s="12">
        <f t="shared" si="239"/>
        <v>26</v>
      </c>
      <c r="BH970" s="67">
        <v>0</v>
      </c>
      <c r="BI970" s="67">
        <v>0</v>
      </c>
      <c r="BJ970" s="67">
        <v>0</v>
      </c>
      <c r="BK970" s="67">
        <v>1</v>
      </c>
      <c r="BL970" s="67">
        <v>0</v>
      </c>
      <c r="BM970" s="67">
        <v>0</v>
      </c>
      <c r="BN970" s="67">
        <v>1</v>
      </c>
      <c r="BO970" s="67">
        <v>0</v>
      </c>
      <c r="BP970" s="67">
        <v>0</v>
      </c>
      <c r="BQ970" s="67">
        <v>0</v>
      </c>
      <c r="BR970" s="67">
        <v>13</v>
      </c>
      <c r="BS970" s="67">
        <v>0</v>
      </c>
      <c r="BT970" s="67">
        <v>0</v>
      </c>
      <c r="BU970" s="70">
        <v>17</v>
      </c>
      <c r="BV970" s="29">
        <f t="shared" si="231"/>
        <v>0.39591087564964383</v>
      </c>
      <c r="BW970">
        <f t="shared" si="232"/>
        <v>2.4878172940764407</v>
      </c>
      <c r="BX970">
        <f t="shared" si="233"/>
        <v>0.73519710510148462</v>
      </c>
      <c r="BY970">
        <f t="shared" si="234"/>
        <v>1.3044648533856922</v>
      </c>
      <c r="BZ970">
        <f t="shared" si="235"/>
        <v>0.27045191444879263</v>
      </c>
      <c r="CA970">
        <f t="shared" si="236"/>
        <v>0.10112443951066327</v>
      </c>
      <c r="CB970">
        <f t="shared" si="237"/>
        <v>1.1830340977862825</v>
      </c>
    </row>
    <row r="971" spans="1:80" x14ac:dyDescent="0.45">
      <c r="A971" s="11">
        <v>48</v>
      </c>
      <c r="B971" s="12">
        <f t="shared" si="225"/>
        <v>48</v>
      </c>
      <c r="C971" s="12" t="s">
        <v>59</v>
      </c>
      <c r="D971" s="12">
        <v>0</v>
      </c>
      <c r="E971" s="12" t="s">
        <v>53</v>
      </c>
      <c r="F971" s="12">
        <v>0</v>
      </c>
      <c r="G971" s="12">
        <v>1</v>
      </c>
      <c r="H971" s="12" t="s">
        <v>61</v>
      </c>
      <c r="I971" s="12">
        <v>1</v>
      </c>
      <c r="J971" s="12">
        <v>0</v>
      </c>
      <c r="K971" s="12">
        <v>4</v>
      </c>
      <c r="L971" s="12">
        <f t="shared" si="226"/>
        <v>4</v>
      </c>
      <c r="M971" s="12">
        <v>3</v>
      </c>
      <c r="N971" s="12" t="s">
        <v>55</v>
      </c>
      <c r="O971" s="12">
        <v>1</v>
      </c>
      <c r="P971" s="12">
        <v>0</v>
      </c>
      <c r="Q971" s="12">
        <v>0</v>
      </c>
      <c r="R971" s="12">
        <v>0</v>
      </c>
      <c r="S971" s="12">
        <v>0</v>
      </c>
      <c r="T971" s="12">
        <v>4</v>
      </c>
      <c r="U971" s="12" t="s">
        <v>62</v>
      </c>
      <c r="V971" s="12">
        <v>0</v>
      </c>
      <c r="W971" s="12">
        <v>54</v>
      </c>
      <c r="X971" s="12">
        <v>3</v>
      </c>
      <c r="Y971" s="12">
        <v>3</v>
      </c>
      <c r="Z971" s="12" t="s">
        <v>83</v>
      </c>
      <c r="AA971" s="12">
        <v>0</v>
      </c>
      <c r="AB971" s="12">
        <v>0</v>
      </c>
      <c r="AC971" s="12">
        <v>0</v>
      </c>
      <c r="AD971" s="12">
        <v>0</v>
      </c>
      <c r="AE971" s="12">
        <v>1</v>
      </c>
      <c r="AF971" s="12">
        <v>1</v>
      </c>
      <c r="AG971" s="12">
        <v>0</v>
      </c>
      <c r="AH971" s="12">
        <v>0</v>
      </c>
      <c r="AI971" s="12">
        <v>4</v>
      </c>
      <c r="AJ971" s="12" t="s">
        <v>57</v>
      </c>
      <c r="AK971" s="12">
        <v>1</v>
      </c>
      <c r="AL971" s="12">
        <v>0</v>
      </c>
      <c r="AM971" s="12">
        <v>7898</v>
      </c>
      <c r="AN971" s="12">
        <f t="shared" si="227"/>
        <v>7898</v>
      </c>
      <c r="AO971" s="12">
        <v>1</v>
      </c>
      <c r="AP971" s="12" t="s">
        <v>59</v>
      </c>
      <c r="AQ971" s="12">
        <v>0</v>
      </c>
      <c r="AR971" s="12">
        <v>11</v>
      </c>
      <c r="AS971" s="12">
        <v>3</v>
      </c>
      <c r="AT971" s="12">
        <v>3</v>
      </c>
      <c r="AU971" s="12">
        <v>0</v>
      </c>
      <c r="AV971" s="12">
        <v>11</v>
      </c>
      <c r="AW971" s="12">
        <f t="shared" si="228"/>
        <v>11</v>
      </c>
      <c r="AX971" s="12">
        <v>2</v>
      </c>
      <c r="AY971" s="12">
        <v>3</v>
      </c>
      <c r="AZ971" s="12">
        <v>10</v>
      </c>
      <c r="BA971" s="12">
        <f t="shared" si="229"/>
        <v>10</v>
      </c>
      <c r="BB971" s="12">
        <v>9</v>
      </c>
      <c r="BC971" s="12">
        <v>0</v>
      </c>
      <c r="BD971" s="12">
        <f t="shared" si="238"/>
        <v>0</v>
      </c>
      <c r="BE971" s="12">
        <v>8</v>
      </c>
      <c r="BF971" s="12">
        <f t="shared" si="230"/>
        <v>8</v>
      </c>
      <c r="BG971" s="12">
        <f t="shared" si="239"/>
        <v>24</v>
      </c>
      <c r="BH971" s="67">
        <v>1</v>
      </c>
      <c r="BI971" s="67">
        <v>0</v>
      </c>
      <c r="BJ971" s="67">
        <v>0</v>
      </c>
      <c r="BK971" s="67">
        <v>0</v>
      </c>
      <c r="BL971" s="67">
        <v>1</v>
      </c>
      <c r="BM971" s="67">
        <v>0</v>
      </c>
      <c r="BN971" s="67">
        <v>0</v>
      </c>
      <c r="BO971" s="67">
        <v>0</v>
      </c>
      <c r="BP971" s="67">
        <v>0</v>
      </c>
      <c r="BQ971" s="67">
        <v>8</v>
      </c>
      <c r="BR971" s="67">
        <v>0</v>
      </c>
      <c r="BS971" s="67">
        <v>0</v>
      </c>
      <c r="BT971" s="67">
        <v>11</v>
      </c>
      <c r="BU971" s="70">
        <v>0</v>
      </c>
      <c r="BV971" s="29">
        <f t="shared" si="231"/>
        <v>0.29632147697094852</v>
      </c>
      <c r="BW971">
        <f t="shared" si="232"/>
        <v>1.08652546240644</v>
      </c>
      <c r="BX971">
        <f t="shared" si="233"/>
        <v>3.593364373846001E-2</v>
      </c>
      <c r="BY971">
        <f t="shared" si="234"/>
        <v>0.48834154112957734</v>
      </c>
      <c r="BZ971">
        <f t="shared" si="235"/>
        <v>0.64050867607435136</v>
      </c>
      <c r="CA971">
        <f t="shared" si="236"/>
        <v>1.2124507541330036</v>
      </c>
      <c r="CB971">
        <f t="shared" si="237"/>
        <v>0.67891464284095016</v>
      </c>
    </row>
    <row r="972" spans="1:80" x14ac:dyDescent="0.45">
      <c r="A972" s="11">
        <v>27</v>
      </c>
      <c r="B972" s="12">
        <f t="shared" si="225"/>
        <v>27</v>
      </c>
      <c r="C972" s="12" t="s">
        <v>59</v>
      </c>
      <c r="D972" s="12">
        <v>0</v>
      </c>
      <c r="E972" s="12" t="s">
        <v>53</v>
      </c>
      <c r="F972" s="12">
        <v>0</v>
      </c>
      <c r="G972" s="12">
        <v>1</v>
      </c>
      <c r="H972" s="12" t="s">
        <v>54</v>
      </c>
      <c r="I972" s="12">
        <v>0</v>
      </c>
      <c r="J972" s="12">
        <v>1</v>
      </c>
      <c r="K972" s="12">
        <v>11</v>
      </c>
      <c r="L972" s="12">
        <f t="shared" si="226"/>
        <v>11</v>
      </c>
      <c r="M972" s="12">
        <v>3</v>
      </c>
      <c r="N972" s="12" t="s">
        <v>70</v>
      </c>
      <c r="O972" s="12">
        <v>0</v>
      </c>
      <c r="P972" s="12">
        <v>0</v>
      </c>
      <c r="Q972" s="12">
        <v>1</v>
      </c>
      <c r="R972" s="12">
        <v>0</v>
      </c>
      <c r="S972" s="12">
        <v>0</v>
      </c>
      <c r="T972" s="12">
        <v>3</v>
      </c>
      <c r="U972" s="12" t="s">
        <v>19</v>
      </c>
      <c r="V972" s="12">
        <v>1</v>
      </c>
      <c r="W972" s="12">
        <v>98</v>
      </c>
      <c r="X972" s="12">
        <v>4</v>
      </c>
      <c r="Y972" s="12">
        <v>1</v>
      </c>
      <c r="Z972" s="12" t="s">
        <v>88</v>
      </c>
      <c r="AA972" s="12">
        <v>0</v>
      </c>
      <c r="AB972" s="12">
        <v>0</v>
      </c>
      <c r="AC972" s="12">
        <v>0</v>
      </c>
      <c r="AD972" s="12">
        <v>0</v>
      </c>
      <c r="AE972" s="12">
        <v>0</v>
      </c>
      <c r="AF972" s="12">
        <v>0</v>
      </c>
      <c r="AG972" s="12">
        <v>1</v>
      </c>
      <c r="AH972" s="12">
        <v>0</v>
      </c>
      <c r="AI972" s="12">
        <v>4</v>
      </c>
      <c r="AJ972" s="12" t="s">
        <v>64</v>
      </c>
      <c r="AK972" s="12">
        <v>0</v>
      </c>
      <c r="AL972" s="12">
        <v>1</v>
      </c>
      <c r="AM972" s="12">
        <v>2534</v>
      </c>
      <c r="AN972" s="12">
        <f t="shared" si="227"/>
        <v>2534</v>
      </c>
      <c r="AO972" s="12">
        <v>8</v>
      </c>
      <c r="AP972" s="12" t="s">
        <v>59</v>
      </c>
      <c r="AQ972" s="12">
        <v>0</v>
      </c>
      <c r="AR972" s="12">
        <v>14</v>
      </c>
      <c r="AS972" s="12">
        <v>3</v>
      </c>
      <c r="AT972" s="12">
        <v>2</v>
      </c>
      <c r="AU972" s="12">
        <v>1</v>
      </c>
      <c r="AV972" s="12">
        <v>5</v>
      </c>
      <c r="AW972" s="12">
        <f t="shared" si="228"/>
        <v>5</v>
      </c>
      <c r="AX972" s="12">
        <v>4</v>
      </c>
      <c r="AY972" s="12">
        <v>3</v>
      </c>
      <c r="AZ972" s="12">
        <v>1</v>
      </c>
      <c r="BA972" s="12">
        <f t="shared" si="229"/>
        <v>1</v>
      </c>
      <c r="BB972" s="12">
        <v>0</v>
      </c>
      <c r="BC972" s="12">
        <v>0</v>
      </c>
      <c r="BD972" s="12">
        <f t="shared" si="238"/>
        <v>0</v>
      </c>
      <c r="BE972" s="12">
        <v>0</v>
      </c>
      <c r="BF972" s="12">
        <f t="shared" si="230"/>
        <v>0</v>
      </c>
      <c r="BG972" s="12">
        <f t="shared" si="239"/>
        <v>0</v>
      </c>
      <c r="BH972" s="67">
        <v>0</v>
      </c>
      <c r="BI972" s="67">
        <v>1</v>
      </c>
      <c r="BJ972" s="67">
        <v>0</v>
      </c>
      <c r="BK972" s="67">
        <v>0</v>
      </c>
      <c r="BL972" s="67">
        <v>0</v>
      </c>
      <c r="BM972" s="67">
        <v>0</v>
      </c>
      <c r="BN972" s="67">
        <v>1</v>
      </c>
      <c r="BO972" s="67">
        <v>0</v>
      </c>
      <c r="BP972" s="67">
        <v>0</v>
      </c>
      <c r="BQ972" s="67">
        <v>0</v>
      </c>
      <c r="BR972" s="67">
        <v>0</v>
      </c>
      <c r="BS972" s="67">
        <v>0</v>
      </c>
      <c r="BT972" s="67">
        <v>0</v>
      </c>
      <c r="BU972" s="70">
        <v>5</v>
      </c>
      <c r="BV972" s="29">
        <f t="shared" si="231"/>
        <v>0.843026279843061</v>
      </c>
      <c r="BW972">
        <f t="shared" si="232"/>
        <v>1.1555414682655611</v>
      </c>
      <c r="BX972">
        <f t="shared" si="233"/>
        <v>0.80706439257840468</v>
      </c>
      <c r="BY972">
        <f t="shared" si="234"/>
        <v>0.9806804209314296</v>
      </c>
      <c r="BZ972">
        <f t="shared" si="235"/>
        <v>0.22295710105195232</v>
      </c>
      <c r="CA972">
        <f t="shared" si="236"/>
        <v>1.0863058347434136</v>
      </c>
      <c r="CB972">
        <f t="shared" si="237"/>
        <v>0.67891464284095016</v>
      </c>
    </row>
    <row r="973" spans="1:80" x14ac:dyDescent="0.45">
      <c r="A973" s="11">
        <v>51</v>
      </c>
      <c r="B973" s="12">
        <f t="shared" si="225"/>
        <v>51</v>
      </c>
      <c r="C973" s="12" t="s">
        <v>59</v>
      </c>
      <c r="D973" s="12">
        <v>0</v>
      </c>
      <c r="E973" s="12" t="s">
        <v>53</v>
      </c>
      <c r="F973" s="12">
        <v>0</v>
      </c>
      <c r="G973" s="12">
        <v>1</v>
      </c>
      <c r="H973" s="12" t="s">
        <v>61</v>
      </c>
      <c r="I973" s="12">
        <v>1</v>
      </c>
      <c r="J973" s="12">
        <v>0</v>
      </c>
      <c r="K973" s="12">
        <v>11</v>
      </c>
      <c r="L973" s="12">
        <f t="shared" si="226"/>
        <v>11</v>
      </c>
      <c r="M973" s="12">
        <v>2</v>
      </c>
      <c r="N973" s="12" t="s">
        <v>91</v>
      </c>
      <c r="O973" s="12">
        <v>0</v>
      </c>
      <c r="P973" s="12">
        <v>0</v>
      </c>
      <c r="Q973" s="12">
        <v>0</v>
      </c>
      <c r="R973" s="12">
        <v>0</v>
      </c>
      <c r="S973" s="12">
        <v>1</v>
      </c>
      <c r="T973" s="12">
        <v>4</v>
      </c>
      <c r="U973" s="12" t="s">
        <v>19</v>
      </c>
      <c r="V973" s="12">
        <v>1</v>
      </c>
      <c r="W973" s="12">
        <v>82</v>
      </c>
      <c r="X973" s="12">
        <v>2</v>
      </c>
      <c r="Y973" s="12">
        <v>4</v>
      </c>
      <c r="Z973" s="12" t="s">
        <v>83</v>
      </c>
      <c r="AA973" s="12">
        <v>0</v>
      </c>
      <c r="AB973" s="12">
        <v>0</v>
      </c>
      <c r="AC973" s="12">
        <v>0</v>
      </c>
      <c r="AD973" s="12">
        <v>0</v>
      </c>
      <c r="AE973" s="12">
        <v>1</v>
      </c>
      <c r="AF973" s="12">
        <v>1</v>
      </c>
      <c r="AG973" s="12">
        <v>0</v>
      </c>
      <c r="AH973" s="12">
        <v>0</v>
      </c>
      <c r="AI973" s="12">
        <v>2</v>
      </c>
      <c r="AJ973" s="12" t="s">
        <v>57</v>
      </c>
      <c r="AK973" s="12">
        <v>1</v>
      </c>
      <c r="AL973" s="12">
        <v>0</v>
      </c>
      <c r="AM973" s="12">
        <v>13142</v>
      </c>
      <c r="AN973" s="12">
        <f t="shared" si="227"/>
        <v>13142</v>
      </c>
      <c r="AO973" s="12">
        <v>3</v>
      </c>
      <c r="AP973" s="12" t="s">
        <v>59</v>
      </c>
      <c r="AQ973" s="12">
        <v>0</v>
      </c>
      <c r="AR973" s="12">
        <v>16</v>
      </c>
      <c r="AS973" s="12">
        <v>3</v>
      </c>
      <c r="AT973" s="12">
        <v>2</v>
      </c>
      <c r="AU973" s="12">
        <v>0</v>
      </c>
      <c r="AV973" s="12">
        <v>29</v>
      </c>
      <c r="AW973" s="12">
        <f t="shared" si="228"/>
        <v>29</v>
      </c>
      <c r="AX973" s="12">
        <v>1</v>
      </c>
      <c r="AY973" s="12">
        <v>2</v>
      </c>
      <c r="AZ973" s="12">
        <v>5</v>
      </c>
      <c r="BA973" s="12">
        <f t="shared" si="229"/>
        <v>5</v>
      </c>
      <c r="BB973" s="12">
        <v>2</v>
      </c>
      <c r="BC973" s="12">
        <v>0</v>
      </c>
      <c r="BD973" s="12">
        <f t="shared" si="238"/>
        <v>0</v>
      </c>
      <c r="BE973" s="12">
        <v>3</v>
      </c>
      <c r="BF973" s="12">
        <f t="shared" si="230"/>
        <v>3</v>
      </c>
      <c r="BG973" s="12">
        <f t="shared" si="239"/>
        <v>12</v>
      </c>
      <c r="BH973" s="67">
        <v>1</v>
      </c>
      <c r="BI973" s="67">
        <v>0</v>
      </c>
      <c r="BJ973" s="67">
        <v>0</v>
      </c>
      <c r="BK973" s="67">
        <v>0</v>
      </c>
      <c r="BL973" s="67">
        <v>1</v>
      </c>
      <c r="BM973" s="67">
        <v>0</v>
      </c>
      <c r="BN973" s="67">
        <v>0</v>
      </c>
      <c r="BO973" s="67">
        <v>0</v>
      </c>
      <c r="BP973" s="67">
        <v>0</v>
      </c>
      <c r="BQ973" s="67">
        <v>3</v>
      </c>
      <c r="BR973" s="67">
        <v>0</v>
      </c>
      <c r="BS973" s="67">
        <v>0</v>
      </c>
      <c r="BT973" s="67">
        <v>29</v>
      </c>
      <c r="BU973" s="70">
        <v>0</v>
      </c>
      <c r="BV973" s="29">
        <f t="shared" si="231"/>
        <v>1.4101804696504163</v>
      </c>
      <c r="BW973">
        <f t="shared" si="232"/>
        <v>0.31476636926356072</v>
      </c>
      <c r="BX973">
        <f t="shared" si="233"/>
        <v>2.2774586027813735</v>
      </c>
      <c r="BY973">
        <f t="shared" si="234"/>
        <v>0.32778177112653761</v>
      </c>
      <c r="BZ973">
        <f t="shared" si="235"/>
        <v>0.22295710105195232</v>
      </c>
      <c r="CA973">
        <f t="shared" si="236"/>
        <v>1.5408445525439205</v>
      </c>
      <c r="CB973">
        <f t="shared" si="237"/>
        <v>0.67891464284095016</v>
      </c>
    </row>
    <row r="974" spans="1:80" x14ac:dyDescent="0.45">
      <c r="A974" s="11">
        <v>18</v>
      </c>
      <c r="B974" s="12">
        <f t="shared" si="225"/>
        <v>19</v>
      </c>
      <c r="C974" s="12" t="s">
        <v>59</v>
      </c>
      <c r="D974" s="12">
        <v>0</v>
      </c>
      <c r="E974" s="12" t="s">
        <v>86</v>
      </c>
      <c r="F974" s="12">
        <v>0</v>
      </c>
      <c r="G974" s="12">
        <v>0</v>
      </c>
      <c r="H974" s="12" t="s">
        <v>61</v>
      </c>
      <c r="I974" s="12">
        <v>1</v>
      </c>
      <c r="J974" s="12">
        <v>0</v>
      </c>
      <c r="K974" s="12">
        <v>1</v>
      </c>
      <c r="L974" s="12">
        <f t="shared" si="226"/>
        <v>1</v>
      </c>
      <c r="M974" s="12">
        <v>3</v>
      </c>
      <c r="N974" s="12" t="s">
        <v>55</v>
      </c>
      <c r="O974" s="12">
        <v>1</v>
      </c>
      <c r="P974" s="12">
        <v>0</v>
      </c>
      <c r="Q974" s="12">
        <v>0</v>
      </c>
      <c r="R974" s="12">
        <v>0</v>
      </c>
      <c r="S974" s="12">
        <v>0</v>
      </c>
      <c r="T974" s="12">
        <v>4</v>
      </c>
      <c r="U974" s="12" t="s">
        <v>19</v>
      </c>
      <c r="V974" s="12">
        <v>1</v>
      </c>
      <c r="W974" s="12">
        <v>97</v>
      </c>
      <c r="X974" s="12">
        <v>3</v>
      </c>
      <c r="Y974" s="12">
        <v>1</v>
      </c>
      <c r="Z974" s="12" t="s">
        <v>67</v>
      </c>
      <c r="AA974" s="12">
        <v>0</v>
      </c>
      <c r="AB974" s="12">
        <v>0</v>
      </c>
      <c r="AC974" s="12">
        <v>1</v>
      </c>
      <c r="AD974" s="12">
        <v>0</v>
      </c>
      <c r="AE974" s="12">
        <v>0</v>
      </c>
      <c r="AF974" s="12">
        <v>0</v>
      </c>
      <c r="AG974" s="12">
        <v>0</v>
      </c>
      <c r="AH974" s="12">
        <v>0</v>
      </c>
      <c r="AI974" s="12">
        <v>4</v>
      </c>
      <c r="AJ974" s="12" t="s">
        <v>57</v>
      </c>
      <c r="AK974" s="12">
        <v>1</v>
      </c>
      <c r="AL974" s="12">
        <v>0</v>
      </c>
      <c r="AM974" s="12">
        <v>1611</v>
      </c>
      <c r="AN974" s="12">
        <f t="shared" si="227"/>
        <v>1611</v>
      </c>
      <c r="AO974" s="12">
        <v>1</v>
      </c>
      <c r="AP974" s="12" t="s">
        <v>59</v>
      </c>
      <c r="AQ974" s="12">
        <v>0</v>
      </c>
      <c r="AR974" s="12">
        <v>15</v>
      </c>
      <c r="AS974" s="12">
        <v>3</v>
      </c>
      <c r="AT974" s="12">
        <v>3</v>
      </c>
      <c r="AU974" s="12">
        <v>0</v>
      </c>
      <c r="AV974" s="12">
        <v>0</v>
      </c>
      <c r="AW974" s="12">
        <f t="shared" si="228"/>
        <v>1</v>
      </c>
      <c r="AX974" s="12">
        <v>5</v>
      </c>
      <c r="AY974" s="12">
        <v>4</v>
      </c>
      <c r="AZ974" s="12">
        <v>0</v>
      </c>
      <c r="BA974" s="12">
        <f t="shared" si="229"/>
        <v>0</v>
      </c>
      <c r="BB974" s="12">
        <v>0</v>
      </c>
      <c r="BC974" s="12">
        <v>0</v>
      </c>
      <c r="BD974" s="12">
        <f t="shared" si="238"/>
        <v>0</v>
      </c>
      <c r="BE974" s="12">
        <v>0</v>
      </c>
      <c r="BF974" s="12">
        <f t="shared" si="230"/>
        <v>0</v>
      </c>
      <c r="BG974" s="12">
        <f t="shared" si="239"/>
        <v>0</v>
      </c>
      <c r="BH974" s="67">
        <v>1</v>
      </c>
      <c r="BI974" s="67">
        <v>0</v>
      </c>
      <c r="BJ974" s="67">
        <v>0</v>
      </c>
      <c r="BK974" s="67">
        <v>0</v>
      </c>
      <c r="BL974" s="67">
        <v>1</v>
      </c>
      <c r="BM974" s="67">
        <v>0</v>
      </c>
      <c r="BN974" s="67">
        <v>0</v>
      </c>
      <c r="BO974" s="67">
        <v>0</v>
      </c>
      <c r="BP974" s="67">
        <v>0</v>
      </c>
      <c r="BQ974" s="67">
        <v>0</v>
      </c>
      <c r="BR974" s="67">
        <v>0</v>
      </c>
      <c r="BS974" s="67">
        <v>0</v>
      </c>
      <c r="BT974" s="67">
        <v>1</v>
      </c>
      <c r="BU974" s="70">
        <v>0</v>
      </c>
      <c r="BV974" s="29">
        <f t="shared" si="231"/>
        <v>1.0390773573112435</v>
      </c>
      <c r="BW974">
        <f t="shared" si="232"/>
        <v>1.1555414682655611</v>
      </c>
      <c r="BX974">
        <f t="shared" si="233"/>
        <v>1.4496733499450252</v>
      </c>
      <c r="BY974">
        <f t="shared" si="234"/>
        <v>1.1439050833826525</v>
      </c>
      <c r="BZ974">
        <f t="shared" si="235"/>
        <v>1.01056543769991</v>
      </c>
      <c r="CA974">
        <f t="shared" si="236"/>
        <v>2.0714872299761637</v>
      </c>
      <c r="CB974">
        <f t="shared" si="237"/>
        <v>0.67891464284095016</v>
      </c>
    </row>
    <row r="975" spans="1:80" x14ac:dyDescent="0.45">
      <c r="A975" s="11">
        <v>35</v>
      </c>
      <c r="B975" s="12">
        <f t="shared" si="225"/>
        <v>35</v>
      </c>
      <c r="C975" s="12" t="s">
        <v>59</v>
      </c>
      <c r="D975" s="12">
        <v>0</v>
      </c>
      <c r="E975" s="12" t="s">
        <v>53</v>
      </c>
      <c r="F975" s="12">
        <v>0</v>
      </c>
      <c r="G975" s="12">
        <v>1</v>
      </c>
      <c r="H975" s="12" t="s">
        <v>61</v>
      </c>
      <c r="I975" s="12">
        <v>1</v>
      </c>
      <c r="J975" s="12">
        <v>0</v>
      </c>
      <c r="K975" s="12">
        <v>1</v>
      </c>
      <c r="L975" s="12">
        <f t="shared" si="226"/>
        <v>1</v>
      </c>
      <c r="M975" s="12">
        <v>3</v>
      </c>
      <c r="N975" s="12" t="s">
        <v>70</v>
      </c>
      <c r="O975" s="12">
        <v>0</v>
      </c>
      <c r="P975" s="12">
        <v>0</v>
      </c>
      <c r="Q975" s="12">
        <v>1</v>
      </c>
      <c r="R975" s="12">
        <v>0</v>
      </c>
      <c r="S975" s="12">
        <v>0</v>
      </c>
      <c r="T975" s="12">
        <v>4</v>
      </c>
      <c r="U975" s="12" t="s">
        <v>19</v>
      </c>
      <c r="V975" s="12">
        <v>1</v>
      </c>
      <c r="W975" s="12">
        <v>60</v>
      </c>
      <c r="X975" s="12">
        <v>2</v>
      </c>
      <c r="Y975" s="12">
        <v>2</v>
      </c>
      <c r="Z975" s="12" t="s">
        <v>67</v>
      </c>
      <c r="AA975" s="12">
        <v>0</v>
      </c>
      <c r="AB975" s="12">
        <v>0</v>
      </c>
      <c r="AC975" s="12">
        <v>1</v>
      </c>
      <c r="AD975" s="12">
        <v>0</v>
      </c>
      <c r="AE975" s="12">
        <v>0</v>
      </c>
      <c r="AF975" s="12">
        <v>0</v>
      </c>
      <c r="AG975" s="12">
        <v>0</v>
      </c>
      <c r="AH975" s="12">
        <v>0</v>
      </c>
      <c r="AI975" s="12">
        <v>4</v>
      </c>
      <c r="AJ975" s="12" t="s">
        <v>64</v>
      </c>
      <c r="AK975" s="12">
        <v>0</v>
      </c>
      <c r="AL975" s="12">
        <v>1</v>
      </c>
      <c r="AM975" s="12">
        <v>5363</v>
      </c>
      <c r="AN975" s="12">
        <f t="shared" si="227"/>
        <v>5363</v>
      </c>
      <c r="AO975" s="12">
        <v>0</v>
      </c>
      <c r="AP975" s="12" t="s">
        <v>59</v>
      </c>
      <c r="AQ975" s="12">
        <v>0</v>
      </c>
      <c r="AR975" s="12">
        <v>12</v>
      </c>
      <c r="AS975" s="12">
        <v>3</v>
      </c>
      <c r="AT975" s="12">
        <v>2</v>
      </c>
      <c r="AU975" s="12">
        <v>1</v>
      </c>
      <c r="AV975" s="12">
        <v>10</v>
      </c>
      <c r="AW975" s="12">
        <f t="shared" si="228"/>
        <v>10</v>
      </c>
      <c r="AX975" s="12">
        <v>0</v>
      </c>
      <c r="AY975" s="12">
        <v>3</v>
      </c>
      <c r="AZ975" s="12">
        <v>9</v>
      </c>
      <c r="BA975" s="12">
        <f t="shared" si="229"/>
        <v>9</v>
      </c>
      <c r="BB975" s="12">
        <v>7</v>
      </c>
      <c r="BC975" s="12">
        <v>0</v>
      </c>
      <c r="BD975" s="12">
        <f t="shared" si="238"/>
        <v>0</v>
      </c>
      <c r="BE975" s="12">
        <v>0</v>
      </c>
      <c r="BF975" s="12">
        <f t="shared" si="230"/>
        <v>0</v>
      </c>
      <c r="BG975" s="12">
        <f t="shared" si="239"/>
        <v>0</v>
      </c>
      <c r="BH975" s="67">
        <v>0</v>
      </c>
      <c r="BI975" s="67">
        <v>1</v>
      </c>
      <c r="BJ975" s="67">
        <v>0</v>
      </c>
      <c r="BK975" s="67">
        <v>0</v>
      </c>
      <c r="BL975" s="67">
        <v>0</v>
      </c>
      <c r="BM975" s="67">
        <v>0</v>
      </c>
      <c r="BN975" s="67">
        <v>1</v>
      </c>
      <c r="BO975" s="67">
        <v>0</v>
      </c>
      <c r="BP975" s="67">
        <v>0</v>
      </c>
      <c r="BQ975" s="67">
        <v>0</v>
      </c>
      <c r="BR975" s="67">
        <v>0</v>
      </c>
      <c r="BS975" s="67">
        <v>0</v>
      </c>
      <c r="BT975" s="67">
        <v>10</v>
      </c>
      <c r="BU975" s="70">
        <v>0</v>
      </c>
      <c r="BV975" s="29">
        <f t="shared" si="231"/>
        <v>0.24212866537124283</v>
      </c>
      <c r="BW975">
        <f t="shared" si="232"/>
        <v>1.1555414682655611</v>
      </c>
      <c r="BX975">
        <f t="shared" si="233"/>
        <v>0.1644554352117841</v>
      </c>
      <c r="BY975">
        <f t="shared" si="234"/>
        <v>0.32511687867835437</v>
      </c>
      <c r="BZ975">
        <f t="shared" si="235"/>
        <v>1.01056543769991</v>
      </c>
      <c r="CA975">
        <f t="shared" si="236"/>
        <v>0.21058903898096887</v>
      </c>
      <c r="CB975">
        <f t="shared" si="237"/>
        <v>0.67891464284095016</v>
      </c>
    </row>
    <row r="976" spans="1:80" x14ac:dyDescent="0.45">
      <c r="A976" s="11">
        <v>27</v>
      </c>
      <c r="B976" s="12">
        <f t="shared" si="225"/>
        <v>27</v>
      </c>
      <c r="C976" s="12" t="s">
        <v>59</v>
      </c>
      <c r="D976" s="12">
        <v>0</v>
      </c>
      <c r="E976" s="12" t="s">
        <v>60</v>
      </c>
      <c r="F976" s="12">
        <v>1</v>
      </c>
      <c r="G976" s="12">
        <v>0</v>
      </c>
      <c r="H976" s="12" t="s">
        <v>54</v>
      </c>
      <c r="I976" s="12">
        <v>0</v>
      </c>
      <c r="J976" s="12">
        <v>1</v>
      </c>
      <c r="K976" s="12">
        <v>2</v>
      </c>
      <c r="L976" s="12">
        <f t="shared" si="226"/>
        <v>2</v>
      </c>
      <c r="M976" s="12">
        <v>1</v>
      </c>
      <c r="N976" s="12" t="s">
        <v>55</v>
      </c>
      <c r="O976" s="12">
        <v>1</v>
      </c>
      <c r="P976" s="12">
        <v>0</v>
      </c>
      <c r="Q976" s="12">
        <v>0</v>
      </c>
      <c r="R976" s="12">
        <v>0</v>
      </c>
      <c r="S976" s="12">
        <v>0</v>
      </c>
      <c r="T976" s="12">
        <v>4</v>
      </c>
      <c r="U976" s="12" t="s">
        <v>62</v>
      </c>
      <c r="V976" s="12">
        <v>0</v>
      </c>
      <c r="W976" s="12">
        <v>43</v>
      </c>
      <c r="X976" s="12">
        <v>1</v>
      </c>
      <c r="Y976" s="12">
        <v>2</v>
      </c>
      <c r="Z976" s="12" t="s">
        <v>56</v>
      </c>
      <c r="AA976" s="12">
        <v>0</v>
      </c>
      <c r="AB976" s="12">
        <v>1</v>
      </c>
      <c r="AC976" s="12">
        <v>0</v>
      </c>
      <c r="AD976" s="12">
        <v>0</v>
      </c>
      <c r="AE976" s="12">
        <v>0</v>
      </c>
      <c r="AF976" s="12">
        <v>0</v>
      </c>
      <c r="AG976" s="12">
        <v>0</v>
      </c>
      <c r="AH976" s="12">
        <v>0</v>
      </c>
      <c r="AI976" s="12">
        <v>4</v>
      </c>
      <c r="AJ976" s="12" t="s">
        <v>57</v>
      </c>
      <c r="AK976" s="12">
        <v>1</v>
      </c>
      <c r="AL976" s="12">
        <v>0</v>
      </c>
      <c r="AM976" s="12">
        <v>5071</v>
      </c>
      <c r="AN976" s="12">
        <f t="shared" si="227"/>
        <v>5071</v>
      </c>
      <c r="AO976" s="12">
        <v>3</v>
      </c>
      <c r="AP976" s="12" t="s">
        <v>59</v>
      </c>
      <c r="AQ976" s="12">
        <v>0</v>
      </c>
      <c r="AR976" s="12">
        <v>20</v>
      </c>
      <c r="AS976" s="12">
        <v>4</v>
      </c>
      <c r="AT976" s="12">
        <v>2</v>
      </c>
      <c r="AU976" s="12">
        <v>0</v>
      </c>
      <c r="AV976" s="12">
        <v>8</v>
      </c>
      <c r="AW976" s="12">
        <f t="shared" si="228"/>
        <v>8</v>
      </c>
      <c r="AX976" s="12">
        <v>3</v>
      </c>
      <c r="AY976" s="12">
        <v>3</v>
      </c>
      <c r="AZ976" s="12">
        <v>6</v>
      </c>
      <c r="BA976" s="12">
        <f t="shared" si="229"/>
        <v>6</v>
      </c>
      <c r="BB976" s="12">
        <v>2</v>
      </c>
      <c r="BC976" s="12">
        <v>0</v>
      </c>
      <c r="BD976" s="12">
        <f t="shared" si="238"/>
        <v>0</v>
      </c>
      <c r="BE976" s="12">
        <v>0</v>
      </c>
      <c r="BF976" s="12">
        <f t="shared" si="230"/>
        <v>0</v>
      </c>
      <c r="BG976" s="12">
        <f t="shared" si="239"/>
        <v>0</v>
      </c>
      <c r="BH976" s="67">
        <v>0</v>
      </c>
      <c r="BI976" s="67">
        <v>0</v>
      </c>
      <c r="BJ976" s="67">
        <v>1</v>
      </c>
      <c r="BK976" s="67">
        <v>0</v>
      </c>
      <c r="BL976" s="67">
        <v>1</v>
      </c>
      <c r="BM976" s="67">
        <v>0</v>
      </c>
      <c r="BN976" s="67">
        <v>0</v>
      </c>
      <c r="BO976" s="67">
        <v>0</v>
      </c>
      <c r="BP976" s="67">
        <v>0</v>
      </c>
      <c r="BQ976" s="67">
        <v>0</v>
      </c>
      <c r="BR976" s="67">
        <v>0</v>
      </c>
      <c r="BS976" s="67">
        <v>0</v>
      </c>
      <c r="BT976" s="67">
        <v>0</v>
      </c>
      <c r="BU976" s="70">
        <v>8</v>
      </c>
      <c r="BV976" s="29">
        <f t="shared" si="231"/>
        <v>0.30415132476529405</v>
      </c>
      <c r="BW976">
        <f t="shared" si="232"/>
        <v>1.1555414682655611</v>
      </c>
      <c r="BX976">
        <f t="shared" si="233"/>
        <v>0.42149901815843233</v>
      </c>
      <c r="BY976">
        <f t="shared" si="234"/>
        <v>0.16455710867531462</v>
      </c>
      <c r="BZ976">
        <f t="shared" si="235"/>
        <v>0.88721318382472392</v>
      </c>
      <c r="CA976">
        <f t="shared" si="236"/>
        <v>1.0863058347434136</v>
      </c>
      <c r="CB976">
        <f t="shared" si="237"/>
        <v>0.67891464284095016</v>
      </c>
    </row>
    <row r="977" spans="1:80" x14ac:dyDescent="0.45">
      <c r="A977" s="11">
        <v>55</v>
      </c>
      <c r="B977" s="12">
        <f t="shared" si="225"/>
        <v>55</v>
      </c>
      <c r="C977" s="12" t="s">
        <v>52</v>
      </c>
      <c r="D977" s="12">
        <v>1</v>
      </c>
      <c r="E977" s="12" t="s">
        <v>53</v>
      </c>
      <c r="F977" s="12">
        <v>0</v>
      </c>
      <c r="G977" s="12">
        <v>1</v>
      </c>
      <c r="H977" s="12" t="s">
        <v>54</v>
      </c>
      <c r="I977" s="12">
        <v>0</v>
      </c>
      <c r="J977" s="12">
        <v>1</v>
      </c>
      <c r="K977" s="12">
        <v>13</v>
      </c>
      <c r="L977" s="12">
        <f t="shared" si="226"/>
        <v>13</v>
      </c>
      <c r="M977" s="12">
        <v>4</v>
      </c>
      <c r="N977" s="12" t="s">
        <v>90</v>
      </c>
      <c r="O977" s="12">
        <v>0</v>
      </c>
      <c r="P977" s="12">
        <v>0</v>
      </c>
      <c r="Q977" s="12">
        <v>0</v>
      </c>
      <c r="R977" s="12">
        <v>1</v>
      </c>
      <c r="S977" s="12">
        <v>0</v>
      </c>
      <c r="T977" s="12">
        <v>1</v>
      </c>
      <c r="U977" s="12" t="s">
        <v>62</v>
      </c>
      <c r="V977" s="12">
        <v>0</v>
      </c>
      <c r="W977" s="12">
        <v>85</v>
      </c>
      <c r="X977" s="12">
        <v>4</v>
      </c>
      <c r="Y977" s="12">
        <v>4</v>
      </c>
      <c r="Z977" s="12" t="s">
        <v>56</v>
      </c>
      <c r="AA977" s="12">
        <v>0</v>
      </c>
      <c r="AB977" s="12">
        <v>1</v>
      </c>
      <c r="AC977" s="12">
        <v>0</v>
      </c>
      <c r="AD977" s="12">
        <v>0</v>
      </c>
      <c r="AE977" s="12">
        <v>0</v>
      </c>
      <c r="AF977" s="12">
        <v>0</v>
      </c>
      <c r="AG977" s="12">
        <v>0</v>
      </c>
      <c r="AH977" s="12">
        <v>0</v>
      </c>
      <c r="AI977" s="12">
        <v>3</v>
      </c>
      <c r="AJ977" s="12" t="s">
        <v>57</v>
      </c>
      <c r="AK977" s="12">
        <v>1</v>
      </c>
      <c r="AL977" s="12">
        <v>0</v>
      </c>
      <c r="AM977" s="12">
        <v>13695</v>
      </c>
      <c r="AN977" s="12">
        <f t="shared" si="227"/>
        <v>13695</v>
      </c>
      <c r="AO977" s="12">
        <v>6</v>
      </c>
      <c r="AP977" s="12" t="s">
        <v>52</v>
      </c>
      <c r="AQ977" s="12">
        <v>1</v>
      </c>
      <c r="AR977" s="12">
        <v>17</v>
      </c>
      <c r="AS977" s="12">
        <v>3</v>
      </c>
      <c r="AT977" s="12">
        <v>3</v>
      </c>
      <c r="AU977" s="12">
        <v>0</v>
      </c>
      <c r="AV977" s="12">
        <v>24</v>
      </c>
      <c r="AW977" s="12">
        <f t="shared" si="228"/>
        <v>24</v>
      </c>
      <c r="AX977" s="12">
        <v>2</v>
      </c>
      <c r="AY977" s="12">
        <v>2</v>
      </c>
      <c r="AZ977" s="12">
        <v>19</v>
      </c>
      <c r="BA977" s="12">
        <f t="shared" si="229"/>
        <v>19</v>
      </c>
      <c r="BB977" s="12">
        <v>7</v>
      </c>
      <c r="BC977" s="12">
        <v>3</v>
      </c>
      <c r="BD977" s="12">
        <f t="shared" si="238"/>
        <v>3</v>
      </c>
      <c r="BE977" s="12">
        <v>8</v>
      </c>
      <c r="BF977" s="12">
        <f t="shared" si="230"/>
        <v>8</v>
      </c>
      <c r="BG977" s="12">
        <f t="shared" si="239"/>
        <v>32</v>
      </c>
      <c r="BH977" s="67">
        <v>1</v>
      </c>
      <c r="BI977" s="67">
        <v>0</v>
      </c>
      <c r="BJ977" s="67">
        <v>0</v>
      </c>
      <c r="BK977" s="67">
        <v>0</v>
      </c>
      <c r="BL977" s="67">
        <v>0</v>
      </c>
      <c r="BM977" s="67">
        <v>1</v>
      </c>
      <c r="BN977" s="67">
        <v>0</v>
      </c>
      <c r="BO977" s="67">
        <v>0</v>
      </c>
      <c r="BP977" s="67">
        <v>0</v>
      </c>
      <c r="BQ977" s="67">
        <v>0</v>
      </c>
      <c r="BR977" s="67">
        <v>8</v>
      </c>
      <c r="BS977" s="67">
        <v>0</v>
      </c>
      <c r="BT977" s="67">
        <v>0</v>
      </c>
      <c r="BU977" s="70">
        <v>24</v>
      </c>
      <c r="BV977" s="29">
        <f t="shared" si="231"/>
        <v>1.5276411910370957</v>
      </c>
      <c r="BW977">
        <f t="shared" si="232"/>
        <v>1.08652546240644</v>
      </c>
      <c r="BX977">
        <f t="shared" si="233"/>
        <v>1.6348496454147534</v>
      </c>
      <c r="BY977">
        <f t="shared" si="234"/>
        <v>1.9573635031905841</v>
      </c>
      <c r="BZ977">
        <f t="shared" si="235"/>
        <v>0.46966160880232483</v>
      </c>
      <c r="CA977">
        <f t="shared" si="236"/>
        <v>1.9787029504251428</v>
      </c>
      <c r="CB977">
        <f t="shared" si="237"/>
        <v>0.2520597274726662</v>
      </c>
    </row>
    <row r="978" spans="1:80" x14ac:dyDescent="0.45">
      <c r="A978" s="11">
        <v>56</v>
      </c>
      <c r="B978" s="12">
        <f t="shared" si="225"/>
        <v>56</v>
      </c>
      <c r="C978" s="12" t="s">
        <v>59</v>
      </c>
      <c r="D978" s="12">
        <v>0</v>
      </c>
      <c r="E978" s="12" t="s">
        <v>53</v>
      </c>
      <c r="F978" s="12">
        <v>0</v>
      </c>
      <c r="G978" s="12">
        <v>1</v>
      </c>
      <c r="H978" s="12" t="s">
        <v>61</v>
      </c>
      <c r="I978" s="12">
        <v>1</v>
      </c>
      <c r="J978" s="12">
        <v>0</v>
      </c>
      <c r="K978" s="12">
        <v>23</v>
      </c>
      <c r="L978" s="12">
        <f t="shared" si="226"/>
        <v>23</v>
      </c>
      <c r="M978" s="12">
        <v>3</v>
      </c>
      <c r="N978" s="12" t="s">
        <v>55</v>
      </c>
      <c r="O978" s="12">
        <v>1</v>
      </c>
      <c r="P978" s="12">
        <v>0</v>
      </c>
      <c r="Q978" s="12">
        <v>0</v>
      </c>
      <c r="R978" s="12">
        <v>0</v>
      </c>
      <c r="S978" s="12">
        <v>0</v>
      </c>
      <c r="T978" s="12">
        <v>4</v>
      </c>
      <c r="U978" s="12" t="s">
        <v>62</v>
      </c>
      <c r="V978" s="12">
        <v>0</v>
      </c>
      <c r="W978" s="12">
        <v>68</v>
      </c>
      <c r="X978" s="12">
        <v>3</v>
      </c>
      <c r="Y978" s="12">
        <v>4</v>
      </c>
      <c r="Z978" s="12" t="s">
        <v>83</v>
      </c>
      <c r="AA978" s="12">
        <v>0</v>
      </c>
      <c r="AB978" s="12">
        <v>0</v>
      </c>
      <c r="AC978" s="12">
        <v>0</v>
      </c>
      <c r="AD978" s="12">
        <v>0</v>
      </c>
      <c r="AE978" s="12">
        <v>1</v>
      </c>
      <c r="AF978" s="12">
        <v>1</v>
      </c>
      <c r="AG978" s="12">
        <v>0</v>
      </c>
      <c r="AH978" s="12">
        <v>0</v>
      </c>
      <c r="AI978" s="12">
        <v>2</v>
      </c>
      <c r="AJ978" s="12" t="s">
        <v>64</v>
      </c>
      <c r="AK978" s="12">
        <v>0</v>
      </c>
      <c r="AL978" s="12">
        <v>1</v>
      </c>
      <c r="AM978" s="12">
        <v>13402</v>
      </c>
      <c r="AN978" s="12">
        <f t="shared" si="227"/>
        <v>13402</v>
      </c>
      <c r="AO978" s="12">
        <v>4</v>
      </c>
      <c r="AP978" s="12" t="s">
        <v>52</v>
      </c>
      <c r="AQ978" s="12">
        <v>1</v>
      </c>
      <c r="AR978" s="12">
        <v>12</v>
      </c>
      <c r="AS978" s="12">
        <v>3</v>
      </c>
      <c r="AT978" s="12">
        <v>1</v>
      </c>
      <c r="AU978" s="12">
        <v>1</v>
      </c>
      <c r="AV978" s="12">
        <v>33</v>
      </c>
      <c r="AW978" s="12">
        <f t="shared" si="228"/>
        <v>33</v>
      </c>
      <c r="AX978" s="12">
        <v>0</v>
      </c>
      <c r="AY978" s="12">
        <v>3</v>
      </c>
      <c r="AZ978" s="12">
        <v>19</v>
      </c>
      <c r="BA978" s="12">
        <f t="shared" si="229"/>
        <v>19</v>
      </c>
      <c r="BB978" s="12">
        <v>16</v>
      </c>
      <c r="BC978" s="12">
        <v>15</v>
      </c>
      <c r="BD978" s="12">
        <f t="shared" si="238"/>
        <v>14</v>
      </c>
      <c r="BE978" s="12">
        <v>9</v>
      </c>
      <c r="BF978" s="12">
        <f t="shared" si="230"/>
        <v>9</v>
      </c>
      <c r="BG978" s="12">
        <f t="shared" si="239"/>
        <v>36</v>
      </c>
      <c r="BH978" s="67">
        <v>0</v>
      </c>
      <c r="BI978" s="67">
        <v>1</v>
      </c>
      <c r="BJ978" s="67">
        <v>0</v>
      </c>
      <c r="BK978" s="67">
        <v>0</v>
      </c>
      <c r="BL978" s="67">
        <v>0</v>
      </c>
      <c r="BM978" s="67">
        <v>0</v>
      </c>
      <c r="BN978" s="67">
        <v>0</v>
      </c>
      <c r="BO978" s="67">
        <v>1</v>
      </c>
      <c r="BP978" s="67">
        <v>0</v>
      </c>
      <c r="BQ978" s="67">
        <v>9</v>
      </c>
      <c r="BR978" s="67">
        <v>0</v>
      </c>
      <c r="BS978" s="67">
        <v>0</v>
      </c>
      <c r="BT978" s="67">
        <v>33</v>
      </c>
      <c r="BU978" s="70">
        <v>0</v>
      </c>
      <c r="BV978" s="29">
        <f t="shared" si="231"/>
        <v>1.4654061252752566</v>
      </c>
      <c r="BW978">
        <f t="shared" si="232"/>
        <v>1.3667838287404401</v>
      </c>
      <c r="BX978">
        <f t="shared" si="233"/>
        <v>2.7915457686746699</v>
      </c>
      <c r="BY978">
        <f t="shared" si="234"/>
        <v>1.9573635031905841</v>
      </c>
      <c r="BZ978">
        <f t="shared" si="235"/>
        <v>1.7031841475541873</v>
      </c>
      <c r="CA978">
        <f t="shared" si="236"/>
        <v>2.0881675498954482</v>
      </c>
      <c r="CB978">
        <f t="shared" si="237"/>
        <v>3.9759572087271318</v>
      </c>
    </row>
    <row r="979" spans="1:80" x14ac:dyDescent="0.45">
      <c r="A979" s="11">
        <v>34</v>
      </c>
      <c r="B979" s="12">
        <f t="shared" si="225"/>
        <v>34</v>
      </c>
      <c r="C979" s="12" t="s">
        <v>59</v>
      </c>
      <c r="D979" s="12">
        <v>0</v>
      </c>
      <c r="E979" s="12" t="s">
        <v>86</v>
      </c>
      <c r="F979" s="12">
        <v>0</v>
      </c>
      <c r="G979" s="12">
        <v>0</v>
      </c>
      <c r="H979" s="12" t="s">
        <v>61</v>
      </c>
      <c r="I979" s="12">
        <v>1</v>
      </c>
      <c r="J979" s="12">
        <v>0</v>
      </c>
      <c r="K979" s="12">
        <v>26</v>
      </c>
      <c r="L979" s="12">
        <f t="shared" si="226"/>
        <v>26</v>
      </c>
      <c r="M979" s="12">
        <v>1</v>
      </c>
      <c r="N979" s="12" t="s">
        <v>91</v>
      </c>
      <c r="O979" s="12">
        <v>0</v>
      </c>
      <c r="P979" s="12">
        <v>0</v>
      </c>
      <c r="Q979" s="12">
        <v>0</v>
      </c>
      <c r="R979" s="12">
        <v>0</v>
      </c>
      <c r="S979" s="12">
        <v>1</v>
      </c>
      <c r="T979" s="12">
        <v>1</v>
      </c>
      <c r="U979" s="12" t="s">
        <v>19</v>
      </c>
      <c r="V979" s="12">
        <v>1</v>
      </c>
      <c r="W979" s="12">
        <v>92</v>
      </c>
      <c r="X979" s="12">
        <v>2</v>
      </c>
      <c r="Y979" s="12">
        <v>1</v>
      </c>
      <c r="Z979" s="12" t="s">
        <v>63</v>
      </c>
      <c r="AA979" s="12">
        <v>0</v>
      </c>
      <c r="AB979" s="12">
        <v>0</v>
      </c>
      <c r="AC979" s="12">
        <v>0</v>
      </c>
      <c r="AD979" s="12">
        <v>0</v>
      </c>
      <c r="AE979" s="12">
        <v>0</v>
      </c>
      <c r="AF979" s="12">
        <v>0</v>
      </c>
      <c r="AG979" s="12">
        <v>0</v>
      </c>
      <c r="AH979" s="12">
        <v>1</v>
      </c>
      <c r="AI979" s="12">
        <v>3</v>
      </c>
      <c r="AJ979" s="12" t="s">
        <v>78</v>
      </c>
      <c r="AK979" s="12">
        <v>0</v>
      </c>
      <c r="AL979" s="12">
        <v>0</v>
      </c>
      <c r="AM979" s="12">
        <v>2029</v>
      </c>
      <c r="AN979" s="12">
        <f t="shared" si="227"/>
        <v>2029</v>
      </c>
      <c r="AO979" s="12">
        <v>1</v>
      </c>
      <c r="AP979" s="12" t="s">
        <v>59</v>
      </c>
      <c r="AQ979" s="12">
        <v>0</v>
      </c>
      <c r="AR979" s="12">
        <v>20</v>
      </c>
      <c r="AS979" s="12">
        <v>4</v>
      </c>
      <c r="AT979" s="12">
        <v>3</v>
      </c>
      <c r="AU979" s="12">
        <v>3</v>
      </c>
      <c r="AV979" s="12">
        <v>5</v>
      </c>
      <c r="AW979" s="12">
        <f t="shared" si="228"/>
        <v>5</v>
      </c>
      <c r="AX979" s="12">
        <v>2</v>
      </c>
      <c r="AY979" s="12">
        <v>3</v>
      </c>
      <c r="AZ979" s="12">
        <v>5</v>
      </c>
      <c r="BA979" s="12">
        <f t="shared" si="229"/>
        <v>5</v>
      </c>
      <c r="BB979" s="12">
        <v>4</v>
      </c>
      <c r="BC979" s="12">
        <v>0</v>
      </c>
      <c r="BD979" s="12">
        <f t="shared" si="238"/>
        <v>0</v>
      </c>
      <c r="BE979" s="12">
        <v>0</v>
      </c>
      <c r="BF979" s="12">
        <f t="shared" si="230"/>
        <v>0</v>
      </c>
      <c r="BG979" s="12">
        <f t="shared" si="239"/>
        <v>0</v>
      </c>
      <c r="BH979" s="67">
        <v>1</v>
      </c>
      <c r="BI979" s="67">
        <v>0</v>
      </c>
      <c r="BJ979" s="67">
        <v>0</v>
      </c>
      <c r="BK979" s="67">
        <v>0</v>
      </c>
      <c r="BL979" s="67">
        <v>1</v>
      </c>
      <c r="BM979" s="67">
        <v>0</v>
      </c>
      <c r="BN979" s="67">
        <v>0</v>
      </c>
      <c r="BO979" s="67">
        <v>0</v>
      </c>
      <c r="BP979" s="67">
        <v>0</v>
      </c>
      <c r="BQ979" s="67">
        <v>0</v>
      </c>
      <c r="BR979" s="67">
        <v>0</v>
      </c>
      <c r="BS979" s="67">
        <v>0</v>
      </c>
      <c r="BT979" s="67">
        <v>5</v>
      </c>
      <c r="BU979" s="70">
        <v>0</v>
      </c>
      <c r="BV979" s="29">
        <f t="shared" si="231"/>
        <v>0.95029149557592363</v>
      </c>
      <c r="BW979">
        <f t="shared" si="232"/>
        <v>1.1555414682655611</v>
      </c>
      <c r="BX979">
        <f t="shared" si="233"/>
        <v>0.80706439257840468</v>
      </c>
      <c r="BY979">
        <f t="shared" si="234"/>
        <v>0.32778177112653761</v>
      </c>
      <c r="BZ979">
        <f t="shared" si="235"/>
        <v>2.0732409091797459</v>
      </c>
      <c r="CA979">
        <f t="shared" si="236"/>
        <v>0.32005363845127444</v>
      </c>
      <c r="CB979">
        <f t="shared" si="237"/>
        <v>0.67891464284095016</v>
      </c>
    </row>
    <row r="980" spans="1:80" x14ac:dyDescent="0.45">
      <c r="A980" s="11">
        <v>40</v>
      </c>
      <c r="B980" s="12">
        <f t="shared" si="225"/>
        <v>40</v>
      </c>
      <c r="C980" s="12" t="s">
        <v>59</v>
      </c>
      <c r="D980" s="12">
        <v>0</v>
      </c>
      <c r="E980" s="12" t="s">
        <v>53</v>
      </c>
      <c r="F980" s="12">
        <v>0</v>
      </c>
      <c r="G980" s="12">
        <v>1</v>
      </c>
      <c r="H980" s="12" t="s">
        <v>61</v>
      </c>
      <c r="I980" s="12">
        <v>1</v>
      </c>
      <c r="J980" s="12">
        <v>0</v>
      </c>
      <c r="K980" s="12">
        <v>2</v>
      </c>
      <c r="L980" s="12">
        <f t="shared" si="226"/>
        <v>2</v>
      </c>
      <c r="M980" s="12">
        <v>1</v>
      </c>
      <c r="N980" s="12" t="s">
        <v>70</v>
      </c>
      <c r="O980" s="12">
        <v>0</v>
      </c>
      <c r="P980" s="12">
        <v>0</v>
      </c>
      <c r="Q980" s="12">
        <v>1</v>
      </c>
      <c r="R980" s="12">
        <v>0</v>
      </c>
      <c r="S980" s="12">
        <v>0</v>
      </c>
      <c r="T980" s="12">
        <v>2</v>
      </c>
      <c r="U980" s="12" t="s">
        <v>19</v>
      </c>
      <c r="V980" s="12">
        <v>1</v>
      </c>
      <c r="W980" s="12">
        <v>89</v>
      </c>
      <c r="X980" s="12">
        <v>4</v>
      </c>
      <c r="Y980" s="12">
        <v>2</v>
      </c>
      <c r="Z980" s="12" t="s">
        <v>85</v>
      </c>
      <c r="AA980" s="12">
        <v>1</v>
      </c>
      <c r="AB980" s="12">
        <v>0</v>
      </c>
      <c r="AC980" s="12">
        <v>0</v>
      </c>
      <c r="AD980" s="12">
        <v>0</v>
      </c>
      <c r="AE980" s="12">
        <v>0</v>
      </c>
      <c r="AF980" s="12">
        <v>0</v>
      </c>
      <c r="AG980" s="12">
        <v>0</v>
      </c>
      <c r="AH980" s="12">
        <v>0</v>
      </c>
      <c r="AI980" s="12">
        <v>3</v>
      </c>
      <c r="AJ980" s="12" t="s">
        <v>78</v>
      </c>
      <c r="AK980" s="12">
        <v>0</v>
      </c>
      <c r="AL980" s="12">
        <v>0</v>
      </c>
      <c r="AM980" s="12">
        <v>6377</v>
      </c>
      <c r="AN980" s="12">
        <f t="shared" si="227"/>
        <v>6377</v>
      </c>
      <c r="AO980" s="12">
        <v>5</v>
      </c>
      <c r="AP980" s="12" t="s">
        <v>59</v>
      </c>
      <c r="AQ980" s="12">
        <v>0</v>
      </c>
      <c r="AR980" s="12">
        <v>20</v>
      </c>
      <c r="AS980" s="12">
        <v>4</v>
      </c>
      <c r="AT980" s="12">
        <v>2</v>
      </c>
      <c r="AU980" s="12">
        <v>3</v>
      </c>
      <c r="AV980" s="12">
        <v>15</v>
      </c>
      <c r="AW980" s="12">
        <f t="shared" si="228"/>
        <v>15</v>
      </c>
      <c r="AX980" s="12">
        <v>0</v>
      </c>
      <c r="AY980" s="12">
        <v>3</v>
      </c>
      <c r="AZ980" s="12">
        <v>12</v>
      </c>
      <c r="BA980" s="12">
        <f t="shared" si="229"/>
        <v>12</v>
      </c>
      <c r="BB980" s="12">
        <v>11</v>
      </c>
      <c r="BC980" s="12">
        <v>11</v>
      </c>
      <c r="BD980" s="12">
        <f t="shared" si="238"/>
        <v>11</v>
      </c>
      <c r="BE980" s="12">
        <v>8</v>
      </c>
      <c r="BF980" s="12">
        <f t="shared" si="230"/>
        <v>8</v>
      </c>
      <c r="BG980" s="12">
        <f t="shared" si="239"/>
        <v>16</v>
      </c>
      <c r="BH980" s="67">
        <v>1</v>
      </c>
      <c r="BI980" s="67">
        <v>0</v>
      </c>
      <c r="BJ980" s="67">
        <v>0</v>
      </c>
      <c r="BK980" s="67">
        <v>0</v>
      </c>
      <c r="BL980" s="67">
        <v>1</v>
      </c>
      <c r="BM980" s="67">
        <v>0</v>
      </c>
      <c r="BN980" s="67">
        <v>0</v>
      </c>
      <c r="BO980" s="67">
        <v>0</v>
      </c>
      <c r="BP980" s="67">
        <v>0</v>
      </c>
      <c r="BQ980" s="67">
        <v>8</v>
      </c>
      <c r="BR980" s="67">
        <v>0</v>
      </c>
      <c r="BS980" s="67">
        <v>0</v>
      </c>
      <c r="BT980" s="67">
        <v>15</v>
      </c>
      <c r="BU980" s="70">
        <v>0</v>
      </c>
      <c r="BV980" s="29">
        <f t="shared" si="231"/>
        <v>2.6748608434366297E-2</v>
      </c>
      <c r="BW980">
        <f t="shared" si="232"/>
        <v>1.08652546240644</v>
      </c>
      <c r="BX980">
        <f t="shared" si="233"/>
        <v>0.47815352215483642</v>
      </c>
      <c r="BY980">
        <f t="shared" si="234"/>
        <v>0.81479086603202333</v>
      </c>
      <c r="BZ980">
        <f t="shared" si="235"/>
        <v>0.88721318382472392</v>
      </c>
      <c r="CA980">
        <f t="shared" si="236"/>
        <v>0.33673395837055903</v>
      </c>
      <c r="CB980">
        <f t="shared" si="237"/>
        <v>2.7346580483089769</v>
      </c>
    </row>
    <row r="981" spans="1:80" x14ac:dyDescent="0.45">
      <c r="A981" s="11">
        <v>34</v>
      </c>
      <c r="B981" s="12">
        <f t="shared" si="225"/>
        <v>34</v>
      </c>
      <c r="C981" s="12" t="s">
        <v>59</v>
      </c>
      <c r="D981" s="12">
        <v>0</v>
      </c>
      <c r="E981" s="12" t="s">
        <v>53</v>
      </c>
      <c r="F981" s="12">
        <v>0</v>
      </c>
      <c r="G981" s="12">
        <v>1</v>
      </c>
      <c r="H981" s="12" t="s">
        <v>61</v>
      </c>
      <c r="I981" s="12">
        <v>1</v>
      </c>
      <c r="J981" s="12">
        <v>0</v>
      </c>
      <c r="K981" s="12">
        <v>29</v>
      </c>
      <c r="L981" s="12">
        <f t="shared" si="226"/>
        <v>29</v>
      </c>
      <c r="M981" s="12">
        <v>3</v>
      </c>
      <c r="N981" s="12" t="s">
        <v>70</v>
      </c>
      <c r="O981" s="12">
        <v>0</v>
      </c>
      <c r="P981" s="12">
        <v>0</v>
      </c>
      <c r="Q981" s="12">
        <v>1</v>
      </c>
      <c r="R981" s="12">
        <v>0</v>
      </c>
      <c r="S981" s="12">
        <v>0</v>
      </c>
      <c r="T981" s="12">
        <v>2</v>
      </c>
      <c r="U981" s="12" t="s">
        <v>62</v>
      </c>
      <c r="V981" s="12">
        <v>0</v>
      </c>
      <c r="W981" s="12">
        <v>86</v>
      </c>
      <c r="X981" s="12">
        <v>3</v>
      </c>
      <c r="Y981" s="12">
        <v>2</v>
      </c>
      <c r="Z981" s="12" t="s">
        <v>67</v>
      </c>
      <c r="AA981" s="12">
        <v>0</v>
      </c>
      <c r="AB981" s="12">
        <v>0</v>
      </c>
      <c r="AC981" s="12">
        <v>1</v>
      </c>
      <c r="AD981" s="12">
        <v>0</v>
      </c>
      <c r="AE981" s="12">
        <v>0</v>
      </c>
      <c r="AF981" s="12">
        <v>0</v>
      </c>
      <c r="AG981" s="12">
        <v>0</v>
      </c>
      <c r="AH981" s="12">
        <v>0</v>
      </c>
      <c r="AI981" s="12">
        <v>3</v>
      </c>
      <c r="AJ981" s="12" t="s">
        <v>64</v>
      </c>
      <c r="AK981" s="12">
        <v>0</v>
      </c>
      <c r="AL981" s="12">
        <v>1</v>
      </c>
      <c r="AM981" s="12">
        <v>5429</v>
      </c>
      <c r="AN981" s="12">
        <f t="shared" si="227"/>
        <v>5429</v>
      </c>
      <c r="AO981" s="12">
        <v>4</v>
      </c>
      <c r="AP981" s="12" t="s">
        <v>59</v>
      </c>
      <c r="AQ981" s="12">
        <v>0</v>
      </c>
      <c r="AR981" s="12">
        <v>13</v>
      </c>
      <c r="AS981" s="12">
        <v>3</v>
      </c>
      <c r="AT981" s="12">
        <v>1</v>
      </c>
      <c r="AU981" s="12">
        <v>2</v>
      </c>
      <c r="AV981" s="12">
        <v>10</v>
      </c>
      <c r="AW981" s="12">
        <f t="shared" si="228"/>
        <v>10</v>
      </c>
      <c r="AX981" s="12">
        <v>1</v>
      </c>
      <c r="AY981" s="12">
        <v>3</v>
      </c>
      <c r="AZ981" s="12">
        <v>8</v>
      </c>
      <c r="BA981" s="12">
        <f t="shared" si="229"/>
        <v>8</v>
      </c>
      <c r="BB981" s="12">
        <v>7</v>
      </c>
      <c r="BC981" s="12">
        <v>7</v>
      </c>
      <c r="BD981" s="12">
        <f t="shared" si="238"/>
        <v>7</v>
      </c>
      <c r="BE981" s="12">
        <v>7</v>
      </c>
      <c r="BF981" s="12">
        <f t="shared" si="230"/>
        <v>7</v>
      </c>
      <c r="BG981" s="12">
        <f t="shared" si="239"/>
        <v>14</v>
      </c>
      <c r="BH981" s="67">
        <v>0</v>
      </c>
      <c r="BI981" s="67">
        <v>1</v>
      </c>
      <c r="BJ981" s="67">
        <v>0</v>
      </c>
      <c r="BK981" s="67">
        <v>0</v>
      </c>
      <c r="BL981" s="67">
        <v>0</v>
      </c>
      <c r="BM981" s="67">
        <v>0</v>
      </c>
      <c r="BN981" s="67">
        <v>1</v>
      </c>
      <c r="BO981" s="67">
        <v>0</v>
      </c>
      <c r="BP981" s="67">
        <v>0</v>
      </c>
      <c r="BQ981" s="67">
        <v>7</v>
      </c>
      <c r="BR981" s="67">
        <v>0</v>
      </c>
      <c r="BS981" s="67">
        <v>0</v>
      </c>
      <c r="BT981" s="67">
        <v>10</v>
      </c>
      <c r="BU981" s="70">
        <v>0</v>
      </c>
      <c r="BV981" s="29">
        <f t="shared" si="231"/>
        <v>0.22810984509724494</v>
      </c>
      <c r="BW981">
        <f t="shared" si="232"/>
        <v>0.80626709607243985</v>
      </c>
      <c r="BX981">
        <f t="shared" si="233"/>
        <v>0.1644554352117841</v>
      </c>
      <c r="BY981">
        <f t="shared" si="234"/>
        <v>0.16189221622713135</v>
      </c>
      <c r="BZ981">
        <f t="shared" si="235"/>
        <v>2.4432976708053049</v>
      </c>
      <c r="CA981">
        <f t="shared" si="236"/>
        <v>0.32005363845127444</v>
      </c>
      <c r="CB981">
        <f t="shared" si="237"/>
        <v>1.4933588878908215</v>
      </c>
    </row>
    <row r="982" spans="1:80" x14ac:dyDescent="0.45">
      <c r="A982" s="11">
        <v>31</v>
      </c>
      <c r="B982" s="12">
        <f t="shared" si="225"/>
        <v>31</v>
      </c>
      <c r="C982" s="12" t="s">
        <v>52</v>
      </c>
      <c r="D982" s="12">
        <v>1</v>
      </c>
      <c r="E982" s="12" t="s">
        <v>60</v>
      </c>
      <c r="F982" s="12">
        <v>1</v>
      </c>
      <c r="G982" s="12">
        <v>0</v>
      </c>
      <c r="H982" s="12" t="s">
        <v>54</v>
      </c>
      <c r="I982" s="12">
        <v>0</v>
      </c>
      <c r="J982" s="12">
        <v>1</v>
      </c>
      <c r="K982" s="12">
        <v>2</v>
      </c>
      <c r="L982" s="12">
        <f t="shared" si="226"/>
        <v>2</v>
      </c>
      <c r="M982" s="12">
        <v>3</v>
      </c>
      <c r="N982" s="12" t="s">
        <v>55</v>
      </c>
      <c r="O982" s="12">
        <v>1</v>
      </c>
      <c r="P982" s="12">
        <v>0</v>
      </c>
      <c r="Q982" s="12">
        <v>0</v>
      </c>
      <c r="R982" s="12">
        <v>0</v>
      </c>
      <c r="S982" s="12">
        <v>0</v>
      </c>
      <c r="T982" s="12">
        <v>3</v>
      </c>
      <c r="U982" s="12" t="s">
        <v>19</v>
      </c>
      <c r="V982" s="12">
        <v>1</v>
      </c>
      <c r="W982" s="12">
        <v>90</v>
      </c>
      <c r="X982" s="12">
        <v>2</v>
      </c>
      <c r="Y982" s="12">
        <v>1</v>
      </c>
      <c r="Z982" s="12" t="s">
        <v>88</v>
      </c>
      <c r="AA982" s="12">
        <v>0</v>
      </c>
      <c r="AB982" s="12">
        <v>0</v>
      </c>
      <c r="AC982" s="12">
        <v>0</v>
      </c>
      <c r="AD982" s="12">
        <v>0</v>
      </c>
      <c r="AE982" s="12">
        <v>0</v>
      </c>
      <c r="AF982" s="12">
        <v>0</v>
      </c>
      <c r="AG982" s="12">
        <v>1</v>
      </c>
      <c r="AH982" s="12">
        <v>0</v>
      </c>
      <c r="AI982" s="12">
        <v>4</v>
      </c>
      <c r="AJ982" s="12" t="s">
        <v>57</v>
      </c>
      <c r="AK982" s="12">
        <v>1</v>
      </c>
      <c r="AL982" s="12">
        <v>0</v>
      </c>
      <c r="AM982" s="12">
        <v>2785</v>
      </c>
      <c r="AN982" s="12">
        <f t="shared" si="227"/>
        <v>2785</v>
      </c>
      <c r="AO982" s="12">
        <v>7</v>
      </c>
      <c r="AP982" s="12" t="s">
        <v>59</v>
      </c>
      <c r="AQ982" s="12">
        <v>0</v>
      </c>
      <c r="AR982" s="12">
        <v>14</v>
      </c>
      <c r="AS982" s="12">
        <v>3</v>
      </c>
      <c r="AT982" s="12">
        <v>3</v>
      </c>
      <c r="AU982" s="12">
        <v>0</v>
      </c>
      <c r="AV982" s="12">
        <v>3</v>
      </c>
      <c r="AW982" s="12">
        <f t="shared" si="228"/>
        <v>3</v>
      </c>
      <c r="AX982" s="12">
        <v>3</v>
      </c>
      <c r="AY982" s="12">
        <v>4</v>
      </c>
      <c r="AZ982" s="12">
        <v>1</v>
      </c>
      <c r="BA982" s="12">
        <f t="shared" si="229"/>
        <v>1</v>
      </c>
      <c r="BB982" s="12">
        <v>0</v>
      </c>
      <c r="BC982" s="12">
        <v>0</v>
      </c>
      <c r="BD982" s="12">
        <f t="shared" si="238"/>
        <v>0</v>
      </c>
      <c r="BE982" s="12">
        <v>0</v>
      </c>
      <c r="BF982" s="12">
        <f t="shared" si="230"/>
        <v>0</v>
      </c>
      <c r="BG982" s="12">
        <f t="shared" si="239"/>
        <v>0</v>
      </c>
      <c r="BH982" s="67">
        <v>0</v>
      </c>
      <c r="BI982" s="67">
        <v>0</v>
      </c>
      <c r="BJ982" s="67">
        <v>1</v>
      </c>
      <c r="BK982" s="67">
        <v>0</v>
      </c>
      <c r="BL982" s="67">
        <v>1</v>
      </c>
      <c r="BM982" s="67">
        <v>0</v>
      </c>
      <c r="BN982" s="67">
        <v>0</v>
      </c>
      <c r="BO982" s="67">
        <v>0</v>
      </c>
      <c r="BP982" s="67">
        <v>0</v>
      </c>
      <c r="BQ982" s="67">
        <v>0</v>
      </c>
      <c r="BR982" s="67">
        <v>0</v>
      </c>
      <c r="BS982" s="67">
        <v>0</v>
      </c>
      <c r="BT982" s="67">
        <v>0</v>
      </c>
      <c r="BU982" s="70">
        <v>3</v>
      </c>
      <c r="BV982" s="29">
        <f t="shared" si="231"/>
        <v>0.78971228152831152</v>
      </c>
      <c r="BW982">
        <f t="shared" si="232"/>
        <v>1.1555414682655611</v>
      </c>
      <c r="BX982">
        <f t="shared" si="233"/>
        <v>1.0641079755250529</v>
      </c>
      <c r="BY982">
        <f t="shared" si="234"/>
        <v>0.9806804209314296</v>
      </c>
      <c r="BZ982">
        <f t="shared" si="235"/>
        <v>0.88721318382472392</v>
      </c>
      <c r="CA982">
        <f t="shared" si="236"/>
        <v>0.6484474368621912</v>
      </c>
      <c r="CB982">
        <f t="shared" si="237"/>
        <v>0.67891464284095016</v>
      </c>
    </row>
    <row r="983" spans="1:80" x14ac:dyDescent="0.45">
      <c r="A983" s="11">
        <v>35</v>
      </c>
      <c r="B983" s="12">
        <f t="shared" si="225"/>
        <v>35</v>
      </c>
      <c r="C983" s="12" t="s">
        <v>52</v>
      </c>
      <c r="D983" s="12">
        <v>1</v>
      </c>
      <c r="E983" s="12" t="s">
        <v>60</v>
      </c>
      <c r="F983" s="12">
        <v>1</v>
      </c>
      <c r="G983" s="12">
        <v>0</v>
      </c>
      <c r="H983" s="12" t="s">
        <v>54</v>
      </c>
      <c r="I983" s="12">
        <v>0</v>
      </c>
      <c r="J983" s="12">
        <v>1</v>
      </c>
      <c r="K983" s="12">
        <v>18</v>
      </c>
      <c r="L983" s="12">
        <f t="shared" si="226"/>
        <v>18</v>
      </c>
      <c r="M983" s="12">
        <v>4</v>
      </c>
      <c r="N983" s="12" t="s">
        <v>90</v>
      </c>
      <c r="O983" s="12">
        <v>0</v>
      </c>
      <c r="P983" s="12">
        <v>0</v>
      </c>
      <c r="Q983" s="12">
        <v>0</v>
      </c>
      <c r="R983" s="12">
        <v>1</v>
      </c>
      <c r="S983" s="12">
        <v>0</v>
      </c>
      <c r="T983" s="12">
        <v>4</v>
      </c>
      <c r="U983" s="12" t="s">
        <v>19</v>
      </c>
      <c r="V983" s="12">
        <v>1</v>
      </c>
      <c r="W983" s="12">
        <v>67</v>
      </c>
      <c r="X983" s="12">
        <v>3</v>
      </c>
      <c r="Y983" s="12">
        <v>2</v>
      </c>
      <c r="Z983" s="12" t="s">
        <v>56</v>
      </c>
      <c r="AA983" s="12">
        <v>0</v>
      </c>
      <c r="AB983" s="12">
        <v>1</v>
      </c>
      <c r="AC983" s="12">
        <v>0</v>
      </c>
      <c r="AD983" s="12">
        <v>0</v>
      </c>
      <c r="AE983" s="12">
        <v>0</v>
      </c>
      <c r="AF983" s="12">
        <v>0</v>
      </c>
      <c r="AG983" s="12">
        <v>0</v>
      </c>
      <c r="AH983" s="12">
        <v>0</v>
      </c>
      <c r="AI983" s="12">
        <v>3</v>
      </c>
      <c r="AJ983" s="12" t="s">
        <v>64</v>
      </c>
      <c r="AK983" s="12">
        <v>0</v>
      </c>
      <c r="AL983" s="12">
        <v>1</v>
      </c>
      <c r="AM983" s="12">
        <v>4614</v>
      </c>
      <c r="AN983" s="12">
        <f t="shared" si="227"/>
        <v>4614</v>
      </c>
      <c r="AO983" s="12">
        <v>0</v>
      </c>
      <c r="AP983" s="12" t="s">
        <v>52</v>
      </c>
      <c r="AQ983" s="12">
        <v>1</v>
      </c>
      <c r="AR983" s="12">
        <v>18</v>
      </c>
      <c r="AS983" s="12">
        <v>3</v>
      </c>
      <c r="AT983" s="12">
        <v>3</v>
      </c>
      <c r="AU983" s="12">
        <v>1</v>
      </c>
      <c r="AV983" s="12">
        <v>5</v>
      </c>
      <c r="AW983" s="12">
        <f t="shared" si="228"/>
        <v>5</v>
      </c>
      <c r="AX983" s="12">
        <v>0</v>
      </c>
      <c r="AY983" s="12">
        <v>2</v>
      </c>
      <c r="AZ983" s="12">
        <v>4</v>
      </c>
      <c r="BA983" s="12">
        <f t="shared" si="229"/>
        <v>4</v>
      </c>
      <c r="BB983" s="12">
        <v>2</v>
      </c>
      <c r="BC983" s="12">
        <v>3</v>
      </c>
      <c r="BD983" s="12">
        <f t="shared" si="238"/>
        <v>3</v>
      </c>
      <c r="BE983" s="12">
        <v>2</v>
      </c>
      <c r="BF983" s="12">
        <f t="shared" si="230"/>
        <v>2</v>
      </c>
      <c r="BG983" s="12">
        <f t="shared" si="239"/>
        <v>4</v>
      </c>
      <c r="BH983" s="67">
        <v>0</v>
      </c>
      <c r="BI983" s="67">
        <v>0</v>
      </c>
      <c r="BJ983" s="67">
        <v>0</v>
      </c>
      <c r="BK983" s="67">
        <v>1</v>
      </c>
      <c r="BL983" s="67">
        <v>0</v>
      </c>
      <c r="BM983" s="67">
        <v>0</v>
      </c>
      <c r="BN983" s="67">
        <v>0</v>
      </c>
      <c r="BO983" s="67">
        <v>1</v>
      </c>
      <c r="BP983" s="67">
        <v>0</v>
      </c>
      <c r="BQ983" s="67">
        <v>0</v>
      </c>
      <c r="BR983" s="67">
        <v>2</v>
      </c>
      <c r="BS983" s="67">
        <v>0</v>
      </c>
      <c r="BT983" s="67">
        <v>0</v>
      </c>
      <c r="BU983" s="70">
        <v>5</v>
      </c>
      <c r="BV983" s="29">
        <f t="shared" si="231"/>
        <v>0.40122103484433996</v>
      </c>
      <c r="BW983">
        <f t="shared" si="232"/>
        <v>0.59502473559756086</v>
      </c>
      <c r="BX983">
        <f t="shared" si="233"/>
        <v>0.80706439257840468</v>
      </c>
      <c r="BY983">
        <f t="shared" si="234"/>
        <v>0.49100643357776058</v>
      </c>
      <c r="BZ983">
        <f t="shared" si="235"/>
        <v>1.0864228781782561</v>
      </c>
      <c r="CA983">
        <f t="shared" si="236"/>
        <v>0.21058903898096887</v>
      </c>
      <c r="CB983">
        <f t="shared" si="237"/>
        <v>0.2520597274726662</v>
      </c>
    </row>
    <row r="984" spans="1:80" x14ac:dyDescent="0.45">
      <c r="A984" s="11">
        <v>38</v>
      </c>
      <c r="B984" s="12">
        <f t="shared" si="225"/>
        <v>38</v>
      </c>
      <c r="C984" s="12" t="s">
        <v>59</v>
      </c>
      <c r="D984" s="12">
        <v>0</v>
      </c>
      <c r="E984" s="12" t="s">
        <v>60</v>
      </c>
      <c r="F984" s="12">
        <v>1</v>
      </c>
      <c r="G984" s="12">
        <v>0</v>
      </c>
      <c r="H984" s="12" t="s">
        <v>61</v>
      </c>
      <c r="I984" s="12">
        <v>1</v>
      </c>
      <c r="J984" s="12">
        <v>0</v>
      </c>
      <c r="K984" s="12">
        <v>7</v>
      </c>
      <c r="L984" s="12">
        <f t="shared" si="226"/>
        <v>7</v>
      </c>
      <c r="M984" s="12">
        <v>3</v>
      </c>
      <c r="N984" s="12" t="s">
        <v>55</v>
      </c>
      <c r="O984" s="12">
        <v>1</v>
      </c>
      <c r="P984" s="12">
        <v>0</v>
      </c>
      <c r="Q984" s="12">
        <v>0</v>
      </c>
      <c r="R984" s="12">
        <v>0</v>
      </c>
      <c r="S984" s="12">
        <v>0</v>
      </c>
      <c r="T984" s="12">
        <v>4</v>
      </c>
      <c r="U984" s="12" t="s">
        <v>62</v>
      </c>
      <c r="V984" s="12">
        <v>0</v>
      </c>
      <c r="W984" s="12">
        <v>57</v>
      </c>
      <c r="X984" s="12">
        <v>4</v>
      </c>
      <c r="Y984" s="12">
        <v>1</v>
      </c>
      <c r="Z984" s="12" t="s">
        <v>63</v>
      </c>
      <c r="AA984" s="12">
        <v>0</v>
      </c>
      <c r="AB984" s="12">
        <v>0</v>
      </c>
      <c r="AC984" s="12">
        <v>0</v>
      </c>
      <c r="AD984" s="12">
        <v>0</v>
      </c>
      <c r="AE984" s="12">
        <v>0</v>
      </c>
      <c r="AF984" s="12">
        <v>0</v>
      </c>
      <c r="AG984" s="12">
        <v>0</v>
      </c>
      <c r="AH984" s="12">
        <v>1</v>
      </c>
      <c r="AI984" s="12">
        <v>3</v>
      </c>
      <c r="AJ984" s="12" t="s">
        <v>78</v>
      </c>
      <c r="AK984" s="12">
        <v>0</v>
      </c>
      <c r="AL984" s="12">
        <v>0</v>
      </c>
      <c r="AM984" s="12">
        <v>2610</v>
      </c>
      <c r="AN984" s="12">
        <f t="shared" si="227"/>
        <v>2610</v>
      </c>
      <c r="AO984" s="12">
        <v>1</v>
      </c>
      <c r="AP984" s="12" t="s">
        <v>59</v>
      </c>
      <c r="AQ984" s="12">
        <v>0</v>
      </c>
      <c r="AR984" s="12">
        <v>11</v>
      </c>
      <c r="AS984" s="12">
        <v>3</v>
      </c>
      <c r="AT984" s="12">
        <v>4</v>
      </c>
      <c r="AU984" s="12">
        <v>3</v>
      </c>
      <c r="AV984" s="12">
        <v>4</v>
      </c>
      <c r="AW984" s="12">
        <f t="shared" si="228"/>
        <v>4</v>
      </c>
      <c r="AX984" s="12">
        <v>2</v>
      </c>
      <c r="AY984" s="12">
        <v>3</v>
      </c>
      <c r="AZ984" s="12">
        <v>4</v>
      </c>
      <c r="BA984" s="12">
        <f t="shared" si="229"/>
        <v>4</v>
      </c>
      <c r="BB984" s="12">
        <v>2</v>
      </c>
      <c r="BC984" s="12">
        <v>0</v>
      </c>
      <c r="BD984" s="12">
        <f t="shared" si="238"/>
        <v>0</v>
      </c>
      <c r="BE984" s="12">
        <v>3</v>
      </c>
      <c r="BF984" s="12">
        <f t="shared" si="230"/>
        <v>3</v>
      </c>
      <c r="BG984" s="12">
        <f t="shared" si="239"/>
        <v>3</v>
      </c>
      <c r="BH984" s="67">
        <v>0</v>
      </c>
      <c r="BI984" s="67">
        <v>0</v>
      </c>
      <c r="BJ984" s="67">
        <v>1</v>
      </c>
      <c r="BK984" s="67">
        <v>0</v>
      </c>
      <c r="BL984" s="67">
        <v>1</v>
      </c>
      <c r="BM984" s="67">
        <v>0</v>
      </c>
      <c r="BN984" s="67">
        <v>0</v>
      </c>
      <c r="BO984" s="67">
        <v>0</v>
      </c>
      <c r="BP984" s="67">
        <v>0</v>
      </c>
      <c r="BQ984" s="67">
        <v>3</v>
      </c>
      <c r="BR984" s="67">
        <v>0</v>
      </c>
      <c r="BS984" s="67">
        <v>0</v>
      </c>
      <c r="BT984" s="67">
        <v>4</v>
      </c>
      <c r="BU984" s="70">
        <v>0</v>
      </c>
      <c r="BV984" s="29">
        <f t="shared" si="231"/>
        <v>0.82688339589118476</v>
      </c>
      <c r="BW984">
        <f t="shared" si="232"/>
        <v>0.31476636926356072</v>
      </c>
      <c r="BX984">
        <f t="shared" si="233"/>
        <v>0.93558618405172878</v>
      </c>
      <c r="BY984">
        <f t="shared" si="234"/>
        <v>0.49100643357776058</v>
      </c>
      <c r="BZ984">
        <f t="shared" si="235"/>
        <v>0.27045191444879263</v>
      </c>
      <c r="CA984">
        <f t="shared" si="236"/>
        <v>0.11780475942994788</v>
      </c>
      <c r="CB984">
        <f t="shared" si="237"/>
        <v>0.67891464284095016</v>
      </c>
    </row>
    <row r="985" spans="1:80" x14ac:dyDescent="0.45">
      <c r="A985" s="11">
        <v>34</v>
      </c>
      <c r="B985" s="12">
        <f t="shared" si="225"/>
        <v>34</v>
      </c>
      <c r="C985" s="12" t="s">
        <v>59</v>
      </c>
      <c r="D985" s="12">
        <v>0</v>
      </c>
      <c r="E985" s="12" t="s">
        <v>53</v>
      </c>
      <c r="F985" s="12">
        <v>0</v>
      </c>
      <c r="G985" s="12">
        <v>1</v>
      </c>
      <c r="H985" s="12" t="s">
        <v>61</v>
      </c>
      <c r="I985" s="12">
        <v>1</v>
      </c>
      <c r="J985" s="12">
        <v>0</v>
      </c>
      <c r="K985" s="12">
        <v>2</v>
      </c>
      <c r="L985" s="12">
        <f t="shared" si="226"/>
        <v>2</v>
      </c>
      <c r="M985" s="12">
        <v>4</v>
      </c>
      <c r="N985" s="12" t="s">
        <v>91</v>
      </c>
      <c r="O985" s="12">
        <v>0</v>
      </c>
      <c r="P985" s="12">
        <v>0</v>
      </c>
      <c r="Q985" s="12">
        <v>0</v>
      </c>
      <c r="R985" s="12">
        <v>0</v>
      </c>
      <c r="S985" s="12">
        <v>1</v>
      </c>
      <c r="T985" s="12">
        <v>3</v>
      </c>
      <c r="U985" s="12" t="s">
        <v>19</v>
      </c>
      <c r="V985" s="12">
        <v>1</v>
      </c>
      <c r="W985" s="12">
        <v>98</v>
      </c>
      <c r="X985" s="12">
        <v>3</v>
      </c>
      <c r="Y985" s="12">
        <v>2</v>
      </c>
      <c r="Z985" s="12" t="s">
        <v>85</v>
      </c>
      <c r="AA985" s="12">
        <v>1</v>
      </c>
      <c r="AB985" s="12">
        <v>0</v>
      </c>
      <c r="AC985" s="12">
        <v>0</v>
      </c>
      <c r="AD985" s="12">
        <v>0</v>
      </c>
      <c r="AE985" s="12">
        <v>0</v>
      </c>
      <c r="AF985" s="12">
        <v>0</v>
      </c>
      <c r="AG985" s="12">
        <v>0</v>
      </c>
      <c r="AH985" s="12">
        <v>0</v>
      </c>
      <c r="AI985" s="12">
        <v>4</v>
      </c>
      <c r="AJ985" s="12" t="s">
        <v>57</v>
      </c>
      <c r="AK985" s="12">
        <v>1</v>
      </c>
      <c r="AL985" s="12">
        <v>0</v>
      </c>
      <c r="AM985" s="12">
        <v>6687</v>
      </c>
      <c r="AN985" s="12">
        <f t="shared" si="227"/>
        <v>6687</v>
      </c>
      <c r="AO985" s="12">
        <v>1</v>
      </c>
      <c r="AP985" s="12" t="s">
        <v>59</v>
      </c>
      <c r="AQ985" s="12">
        <v>0</v>
      </c>
      <c r="AR985" s="12">
        <v>11</v>
      </c>
      <c r="AS985" s="12">
        <v>3</v>
      </c>
      <c r="AT985" s="12">
        <v>4</v>
      </c>
      <c r="AU985" s="12">
        <v>0</v>
      </c>
      <c r="AV985" s="12">
        <v>14</v>
      </c>
      <c r="AW985" s="12">
        <f t="shared" si="228"/>
        <v>14</v>
      </c>
      <c r="AX985" s="12">
        <v>2</v>
      </c>
      <c r="AY985" s="12">
        <v>4</v>
      </c>
      <c r="AZ985" s="12">
        <v>14</v>
      </c>
      <c r="BA985" s="12">
        <f t="shared" si="229"/>
        <v>14</v>
      </c>
      <c r="BB985" s="12">
        <v>11</v>
      </c>
      <c r="BC985" s="12">
        <v>4</v>
      </c>
      <c r="BD985" s="12">
        <f t="shared" si="238"/>
        <v>4</v>
      </c>
      <c r="BE985" s="12">
        <v>11</v>
      </c>
      <c r="BF985" s="12">
        <f t="shared" si="230"/>
        <v>11</v>
      </c>
      <c r="BG985" s="12">
        <f t="shared" si="239"/>
        <v>22</v>
      </c>
      <c r="BH985" s="67">
        <v>1</v>
      </c>
      <c r="BI985" s="67">
        <v>0</v>
      </c>
      <c r="BJ985" s="67">
        <v>0</v>
      </c>
      <c r="BK985" s="67">
        <v>0</v>
      </c>
      <c r="BL985" s="67">
        <v>1</v>
      </c>
      <c r="BM985" s="67">
        <v>0</v>
      </c>
      <c r="BN985" s="67">
        <v>0</v>
      </c>
      <c r="BO985" s="67">
        <v>0</v>
      </c>
      <c r="BP985" s="67">
        <v>0</v>
      </c>
      <c r="BQ985" s="67">
        <v>11</v>
      </c>
      <c r="BR985" s="67">
        <v>0</v>
      </c>
      <c r="BS985" s="67">
        <v>0</v>
      </c>
      <c r="BT985" s="67">
        <v>14</v>
      </c>
      <c r="BU985" s="70">
        <v>0</v>
      </c>
      <c r="BV985" s="29">
        <f t="shared" si="231"/>
        <v>3.9097365579866171E-2</v>
      </c>
      <c r="BW985">
        <f t="shared" si="232"/>
        <v>1.9273005614084406</v>
      </c>
      <c r="BX985">
        <f t="shared" si="233"/>
        <v>0.34963173068151232</v>
      </c>
      <c r="BY985">
        <f t="shared" si="234"/>
        <v>1.1412401909344694</v>
      </c>
      <c r="BZ985">
        <f t="shared" si="235"/>
        <v>0.88721318382472392</v>
      </c>
      <c r="CA985">
        <f t="shared" si="236"/>
        <v>0.32005363845127444</v>
      </c>
      <c r="CB985">
        <f t="shared" si="237"/>
        <v>0.56238451757720498</v>
      </c>
    </row>
    <row r="986" spans="1:80" x14ac:dyDescent="0.45">
      <c r="A986" s="11">
        <v>28</v>
      </c>
      <c r="B986" s="12">
        <f t="shared" si="225"/>
        <v>28</v>
      </c>
      <c r="C986" s="12" t="s">
        <v>59</v>
      </c>
      <c r="D986" s="12">
        <v>0</v>
      </c>
      <c r="E986" s="12" t="s">
        <v>53</v>
      </c>
      <c r="F986" s="12">
        <v>0</v>
      </c>
      <c r="G986" s="12">
        <v>1</v>
      </c>
      <c r="H986" s="12" t="s">
        <v>54</v>
      </c>
      <c r="I986" s="12">
        <v>0</v>
      </c>
      <c r="J986" s="12">
        <v>1</v>
      </c>
      <c r="K986" s="12">
        <v>26</v>
      </c>
      <c r="L986" s="12">
        <f t="shared" si="226"/>
        <v>26</v>
      </c>
      <c r="M986" s="12">
        <v>3</v>
      </c>
      <c r="N986" s="12" t="s">
        <v>55</v>
      </c>
      <c r="O986" s="12">
        <v>1</v>
      </c>
      <c r="P986" s="12">
        <v>0</v>
      </c>
      <c r="Q986" s="12">
        <v>0</v>
      </c>
      <c r="R986" s="12">
        <v>0</v>
      </c>
      <c r="S986" s="12">
        <v>0</v>
      </c>
      <c r="T986" s="12">
        <v>3</v>
      </c>
      <c r="U986" s="12" t="s">
        <v>62</v>
      </c>
      <c r="V986" s="12">
        <v>0</v>
      </c>
      <c r="W986" s="12">
        <v>48</v>
      </c>
      <c r="X986" s="12">
        <v>2</v>
      </c>
      <c r="Y986" s="12">
        <v>2</v>
      </c>
      <c r="Z986" s="12" t="s">
        <v>56</v>
      </c>
      <c r="AA986" s="12">
        <v>0</v>
      </c>
      <c r="AB986" s="12">
        <v>1</v>
      </c>
      <c r="AC986" s="12">
        <v>0</v>
      </c>
      <c r="AD986" s="12">
        <v>0</v>
      </c>
      <c r="AE986" s="12">
        <v>0</v>
      </c>
      <c r="AF986" s="12">
        <v>0</v>
      </c>
      <c r="AG986" s="12">
        <v>0</v>
      </c>
      <c r="AH986" s="12">
        <v>0</v>
      </c>
      <c r="AI986" s="12">
        <v>1</v>
      </c>
      <c r="AJ986" s="12" t="s">
        <v>64</v>
      </c>
      <c r="AK986" s="12">
        <v>0</v>
      </c>
      <c r="AL986" s="12">
        <v>1</v>
      </c>
      <c r="AM986" s="12">
        <v>4724</v>
      </c>
      <c r="AN986" s="12">
        <f t="shared" si="227"/>
        <v>4724</v>
      </c>
      <c r="AO986" s="12">
        <v>1</v>
      </c>
      <c r="AP986" s="12" t="s">
        <v>59</v>
      </c>
      <c r="AQ986" s="12">
        <v>0</v>
      </c>
      <c r="AR986" s="12">
        <v>11</v>
      </c>
      <c r="AS986" s="12">
        <v>3</v>
      </c>
      <c r="AT986" s="12">
        <v>3</v>
      </c>
      <c r="AU986" s="12">
        <v>1</v>
      </c>
      <c r="AV986" s="12">
        <v>5</v>
      </c>
      <c r="AW986" s="12">
        <f t="shared" si="228"/>
        <v>5</v>
      </c>
      <c r="AX986" s="12">
        <v>0</v>
      </c>
      <c r="AY986" s="12">
        <v>3</v>
      </c>
      <c r="AZ986" s="12">
        <v>5</v>
      </c>
      <c r="BA986" s="12">
        <f t="shared" si="229"/>
        <v>5</v>
      </c>
      <c r="BB986" s="12">
        <v>3</v>
      </c>
      <c r="BC986" s="12">
        <v>0</v>
      </c>
      <c r="BD986" s="12">
        <f t="shared" si="238"/>
        <v>0</v>
      </c>
      <c r="BE986" s="12">
        <v>4</v>
      </c>
      <c r="BF986" s="12">
        <f t="shared" si="230"/>
        <v>4</v>
      </c>
      <c r="BG986" s="12">
        <f t="shared" si="239"/>
        <v>8</v>
      </c>
      <c r="BH986" s="67">
        <v>0</v>
      </c>
      <c r="BI986" s="67">
        <v>1</v>
      </c>
      <c r="BJ986" s="67">
        <v>0</v>
      </c>
      <c r="BK986" s="67">
        <v>0</v>
      </c>
      <c r="BL986" s="67">
        <v>0</v>
      </c>
      <c r="BM986" s="67">
        <v>0</v>
      </c>
      <c r="BN986" s="67">
        <v>1</v>
      </c>
      <c r="BO986" s="67">
        <v>0</v>
      </c>
      <c r="BP986" s="67">
        <v>0</v>
      </c>
      <c r="BQ986" s="67">
        <v>0</v>
      </c>
      <c r="BR986" s="67">
        <v>4</v>
      </c>
      <c r="BS986" s="67">
        <v>0</v>
      </c>
      <c r="BT986" s="67">
        <v>0</v>
      </c>
      <c r="BU986" s="70">
        <v>5</v>
      </c>
      <c r="BV986" s="29">
        <f t="shared" si="231"/>
        <v>0.37785633438767685</v>
      </c>
      <c r="BW986">
        <f t="shared" si="232"/>
        <v>3.4508002929560584E-2</v>
      </c>
      <c r="BX986">
        <f t="shared" si="233"/>
        <v>0.80706439257840468</v>
      </c>
      <c r="BY986">
        <f t="shared" si="234"/>
        <v>0.32778177112653761</v>
      </c>
      <c r="BZ986">
        <f t="shared" si="235"/>
        <v>2.0732409091797459</v>
      </c>
      <c r="CA986">
        <f t="shared" si="236"/>
        <v>0.97684123527310796</v>
      </c>
      <c r="CB986">
        <f t="shared" si="237"/>
        <v>0.67891464284095016</v>
      </c>
    </row>
    <row r="987" spans="1:80" x14ac:dyDescent="0.45">
      <c r="A987" s="11">
        <v>31</v>
      </c>
      <c r="B987" s="12">
        <f t="shared" si="225"/>
        <v>31</v>
      </c>
      <c r="C987" s="12" t="s">
        <v>52</v>
      </c>
      <c r="D987" s="12">
        <v>1</v>
      </c>
      <c r="E987" s="12" t="s">
        <v>53</v>
      </c>
      <c r="F987" s="12">
        <v>0</v>
      </c>
      <c r="G987" s="12">
        <v>1</v>
      </c>
      <c r="H987" s="12" t="s">
        <v>61</v>
      </c>
      <c r="I987" s="12">
        <v>1</v>
      </c>
      <c r="J987" s="12">
        <v>0</v>
      </c>
      <c r="K987" s="12">
        <v>22</v>
      </c>
      <c r="L987" s="12">
        <f t="shared" si="226"/>
        <v>22</v>
      </c>
      <c r="M987" s="12">
        <v>4</v>
      </c>
      <c r="N987" s="12" t="s">
        <v>70</v>
      </c>
      <c r="O987" s="12">
        <v>0</v>
      </c>
      <c r="P987" s="12">
        <v>0</v>
      </c>
      <c r="Q987" s="12">
        <v>1</v>
      </c>
      <c r="R987" s="12">
        <v>0</v>
      </c>
      <c r="S987" s="12">
        <v>0</v>
      </c>
      <c r="T987" s="12">
        <v>4</v>
      </c>
      <c r="U987" s="12" t="s">
        <v>62</v>
      </c>
      <c r="V987" s="12">
        <v>0</v>
      </c>
      <c r="W987" s="12">
        <v>98</v>
      </c>
      <c r="X987" s="12">
        <v>3</v>
      </c>
      <c r="Y987" s="12">
        <v>2</v>
      </c>
      <c r="Z987" s="12" t="s">
        <v>83</v>
      </c>
      <c r="AA987" s="12">
        <v>0</v>
      </c>
      <c r="AB987" s="12">
        <v>0</v>
      </c>
      <c r="AC987" s="12">
        <v>0</v>
      </c>
      <c r="AD987" s="12">
        <v>0</v>
      </c>
      <c r="AE987" s="12">
        <v>1</v>
      </c>
      <c r="AF987" s="12">
        <v>1</v>
      </c>
      <c r="AG987" s="12">
        <v>0</v>
      </c>
      <c r="AH987" s="12">
        <v>0</v>
      </c>
      <c r="AI987" s="12">
        <v>3</v>
      </c>
      <c r="AJ987" s="12" t="s">
        <v>64</v>
      </c>
      <c r="AK987" s="12">
        <v>0</v>
      </c>
      <c r="AL987" s="12">
        <v>1</v>
      </c>
      <c r="AM987" s="12">
        <v>6179</v>
      </c>
      <c r="AN987" s="12">
        <f t="shared" si="227"/>
        <v>6179</v>
      </c>
      <c r="AO987" s="12">
        <v>1</v>
      </c>
      <c r="AP987" s="12" t="s">
        <v>52</v>
      </c>
      <c r="AQ987" s="12">
        <v>1</v>
      </c>
      <c r="AR987" s="12">
        <v>15</v>
      </c>
      <c r="AS987" s="12">
        <v>3</v>
      </c>
      <c r="AT987" s="12">
        <v>4</v>
      </c>
      <c r="AU987" s="12">
        <v>2</v>
      </c>
      <c r="AV987" s="12">
        <v>10</v>
      </c>
      <c r="AW987" s="12">
        <f t="shared" si="228"/>
        <v>10</v>
      </c>
      <c r="AX987" s="12">
        <v>3</v>
      </c>
      <c r="AY987" s="12">
        <v>2</v>
      </c>
      <c r="AZ987" s="12">
        <v>10</v>
      </c>
      <c r="BA987" s="12">
        <f t="shared" si="229"/>
        <v>10</v>
      </c>
      <c r="BB987" s="12">
        <v>2</v>
      </c>
      <c r="BC987" s="12">
        <v>6</v>
      </c>
      <c r="BD987" s="12">
        <f t="shared" si="238"/>
        <v>6</v>
      </c>
      <c r="BE987" s="12">
        <v>7</v>
      </c>
      <c r="BF987" s="12">
        <f t="shared" si="230"/>
        <v>7</v>
      </c>
      <c r="BG987" s="12">
        <f t="shared" si="239"/>
        <v>14</v>
      </c>
      <c r="BH987" s="67">
        <v>0</v>
      </c>
      <c r="BI987" s="67">
        <v>1</v>
      </c>
      <c r="BJ987" s="67">
        <v>0</v>
      </c>
      <c r="BK987" s="67">
        <v>0</v>
      </c>
      <c r="BL987" s="67">
        <v>0</v>
      </c>
      <c r="BM987" s="67">
        <v>0</v>
      </c>
      <c r="BN987" s="67">
        <v>0</v>
      </c>
      <c r="BO987" s="67">
        <v>1</v>
      </c>
      <c r="BP987" s="67">
        <v>0</v>
      </c>
      <c r="BQ987" s="67">
        <v>7</v>
      </c>
      <c r="BR987" s="67">
        <v>0</v>
      </c>
      <c r="BS987" s="67">
        <v>0</v>
      </c>
      <c r="BT987" s="67">
        <v>10</v>
      </c>
      <c r="BU987" s="70">
        <v>0</v>
      </c>
      <c r="BV987" s="29">
        <f t="shared" si="231"/>
        <v>6.8805069256359944E-2</v>
      </c>
      <c r="BW987">
        <f t="shared" si="232"/>
        <v>0.80626709607243985</v>
      </c>
      <c r="BX987">
        <f t="shared" si="233"/>
        <v>0.1644554352117841</v>
      </c>
      <c r="BY987">
        <f t="shared" si="234"/>
        <v>0.48834154112957734</v>
      </c>
      <c r="BZ987">
        <f t="shared" si="235"/>
        <v>1.579831893679001</v>
      </c>
      <c r="CA987">
        <f t="shared" si="236"/>
        <v>0.6484474368621912</v>
      </c>
      <c r="CB987">
        <f t="shared" si="237"/>
        <v>1.1830340977862825</v>
      </c>
    </row>
    <row r="988" spans="1:80" x14ac:dyDescent="0.45">
      <c r="A988" s="11">
        <v>39</v>
      </c>
      <c r="B988" s="12">
        <f t="shared" si="225"/>
        <v>39</v>
      </c>
      <c r="C988" s="12" t="s">
        <v>59</v>
      </c>
      <c r="D988" s="12">
        <v>0</v>
      </c>
      <c r="E988" s="12" t="s">
        <v>53</v>
      </c>
      <c r="F988" s="12">
        <v>0</v>
      </c>
      <c r="G988" s="12">
        <v>1</v>
      </c>
      <c r="H988" s="12" t="s">
        <v>54</v>
      </c>
      <c r="I988" s="12">
        <v>0</v>
      </c>
      <c r="J988" s="12">
        <v>1</v>
      </c>
      <c r="K988" s="12">
        <v>21</v>
      </c>
      <c r="L988" s="12">
        <f t="shared" si="226"/>
        <v>21</v>
      </c>
      <c r="M988" s="12">
        <v>4</v>
      </c>
      <c r="N988" s="12" t="s">
        <v>55</v>
      </c>
      <c r="O988" s="12">
        <v>1</v>
      </c>
      <c r="P988" s="12">
        <v>0</v>
      </c>
      <c r="Q988" s="12">
        <v>0</v>
      </c>
      <c r="R988" s="12">
        <v>0</v>
      </c>
      <c r="S988" s="12">
        <v>0</v>
      </c>
      <c r="T988" s="12">
        <v>1</v>
      </c>
      <c r="U988" s="12" t="s">
        <v>62</v>
      </c>
      <c r="V988" s="12">
        <v>0</v>
      </c>
      <c r="W988" s="12">
        <v>44</v>
      </c>
      <c r="X988" s="12">
        <v>2</v>
      </c>
      <c r="Y988" s="12">
        <v>2</v>
      </c>
      <c r="Z988" s="12" t="s">
        <v>56</v>
      </c>
      <c r="AA988" s="12">
        <v>0</v>
      </c>
      <c r="AB988" s="12">
        <v>1</v>
      </c>
      <c r="AC988" s="12">
        <v>0</v>
      </c>
      <c r="AD988" s="12">
        <v>0</v>
      </c>
      <c r="AE988" s="12">
        <v>0</v>
      </c>
      <c r="AF988" s="12">
        <v>0</v>
      </c>
      <c r="AG988" s="12">
        <v>0</v>
      </c>
      <c r="AH988" s="12">
        <v>0</v>
      </c>
      <c r="AI988" s="12">
        <v>4</v>
      </c>
      <c r="AJ988" s="12" t="s">
        <v>64</v>
      </c>
      <c r="AK988" s="12">
        <v>0</v>
      </c>
      <c r="AL988" s="12">
        <v>1</v>
      </c>
      <c r="AM988" s="12">
        <v>6120</v>
      </c>
      <c r="AN988" s="12">
        <f t="shared" si="227"/>
        <v>6120</v>
      </c>
      <c r="AO988" s="12">
        <v>3</v>
      </c>
      <c r="AP988" s="12" t="s">
        <v>52</v>
      </c>
      <c r="AQ988" s="12">
        <v>1</v>
      </c>
      <c r="AR988" s="12">
        <v>12</v>
      </c>
      <c r="AS988" s="12">
        <v>3</v>
      </c>
      <c r="AT988" s="12">
        <v>4</v>
      </c>
      <c r="AU988" s="12">
        <v>2</v>
      </c>
      <c r="AV988" s="12">
        <v>8</v>
      </c>
      <c r="AW988" s="12">
        <f t="shared" si="228"/>
        <v>8</v>
      </c>
      <c r="AX988" s="12">
        <v>2</v>
      </c>
      <c r="AY988" s="12">
        <v>4</v>
      </c>
      <c r="AZ988" s="12">
        <v>5</v>
      </c>
      <c r="BA988" s="12">
        <f t="shared" si="229"/>
        <v>5</v>
      </c>
      <c r="BB988" s="12">
        <v>4</v>
      </c>
      <c r="BC988" s="12">
        <v>1</v>
      </c>
      <c r="BD988" s="12">
        <f t="shared" si="238"/>
        <v>1</v>
      </c>
      <c r="BE988" s="12">
        <v>4</v>
      </c>
      <c r="BF988" s="12">
        <f t="shared" si="230"/>
        <v>4</v>
      </c>
      <c r="BG988" s="12">
        <f t="shared" si="239"/>
        <v>8</v>
      </c>
      <c r="BH988" s="67">
        <v>0</v>
      </c>
      <c r="BI988" s="67">
        <v>1</v>
      </c>
      <c r="BJ988" s="67">
        <v>0</v>
      </c>
      <c r="BK988" s="67">
        <v>0</v>
      </c>
      <c r="BL988" s="67">
        <v>0</v>
      </c>
      <c r="BM988" s="67">
        <v>0</v>
      </c>
      <c r="BN988" s="67">
        <v>0</v>
      </c>
      <c r="BO988" s="67">
        <v>1</v>
      </c>
      <c r="BP988" s="67">
        <v>0</v>
      </c>
      <c r="BQ988" s="67">
        <v>0</v>
      </c>
      <c r="BR988" s="67">
        <v>4</v>
      </c>
      <c r="BS988" s="67">
        <v>0</v>
      </c>
      <c r="BT988" s="67">
        <v>0</v>
      </c>
      <c r="BU988" s="70">
        <v>8</v>
      </c>
      <c r="BV988" s="29">
        <f t="shared" si="231"/>
        <v>8.1337044955842888E-2</v>
      </c>
      <c r="BW988">
        <f t="shared" si="232"/>
        <v>3.4508002929560584E-2</v>
      </c>
      <c r="BX988">
        <f t="shared" si="233"/>
        <v>0.42149901815843233</v>
      </c>
      <c r="BY988">
        <f t="shared" si="234"/>
        <v>0.32778177112653761</v>
      </c>
      <c r="BZ988">
        <f t="shared" si="235"/>
        <v>1.4564796398038149</v>
      </c>
      <c r="CA988">
        <f t="shared" si="236"/>
        <v>0.22726935890025346</v>
      </c>
      <c r="CB988">
        <f t="shared" si="237"/>
        <v>0.36858985273641137</v>
      </c>
    </row>
    <row r="989" spans="1:80" x14ac:dyDescent="0.45">
      <c r="A989" s="11">
        <v>51</v>
      </c>
      <c r="B989" s="12">
        <f t="shared" si="225"/>
        <v>51</v>
      </c>
      <c r="C989" s="12" t="s">
        <v>59</v>
      </c>
      <c r="D989" s="12">
        <v>0</v>
      </c>
      <c r="E989" s="12" t="s">
        <v>60</v>
      </c>
      <c r="F989" s="12">
        <v>1</v>
      </c>
      <c r="G989" s="12">
        <v>0</v>
      </c>
      <c r="H989" s="12" t="s">
        <v>54</v>
      </c>
      <c r="I989" s="12">
        <v>0</v>
      </c>
      <c r="J989" s="12">
        <v>1</v>
      </c>
      <c r="K989" s="12">
        <v>2</v>
      </c>
      <c r="L989" s="12">
        <f t="shared" si="226"/>
        <v>2</v>
      </c>
      <c r="M989" s="12">
        <v>3</v>
      </c>
      <c r="N989" s="12" t="s">
        <v>90</v>
      </c>
      <c r="O989" s="12">
        <v>0</v>
      </c>
      <c r="P989" s="12">
        <v>0</v>
      </c>
      <c r="Q989" s="12">
        <v>0</v>
      </c>
      <c r="R989" s="12">
        <v>1</v>
      </c>
      <c r="S989" s="12">
        <v>0</v>
      </c>
      <c r="T989" s="12">
        <v>2</v>
      </c>
      <c r="U989" s="12" t="s">
        <v>62</v>
      </c>
      <c r="V989" s="12">
        <v>0</v>
      </c>
      <c r="W989" s="12">
        <v>52</v>
      </c>
      <c r="X989" s="12">
        <v>3</v>
      </c>
      <c r="Y989" s="12">
        <v>3</v>
      </c>
      <c r="Z989" s="12" t="s">
        <v>56</v>
      </c>
      <c r="AA989" s="12">
        <v>0</v>
      </c>
      <c r="AB989" s="12">
        <v>1</v>
      </c>
      <c r="AC989" s="12">
        <v>0</v>
      </c>
      <c r="AD989" s="12">
        <v>0</v>
      </c>
      <c r="AE989" s="12">
        <v>0</v>
      </c>
      <c r="AF989" s="12">
        <v>0</v>
      </c>
      <c r="AG989" s="12">
        <v>0</v>
      </c>
      <c r="AH989" s="12">
        <v>0</v>
      </c>
      <c r="AI989" s="12">
        <v>2</v>
      </c>
      <c r="AJ989" s="12" t="s">
        <v>64</v>
      </c>
      <c r="AK989" s="12">
        <v>0</v>
      </c>
      <c r="AL989" s="12">
        <v>1</v>
      </c>
      <c r="AM989" s="12">
        <v>10596</v>
      </c>
      <c r="AN989" s="12">
        <f t="shared" si="227"/>
        <v>10596</v>
      </c>
      <c r="AO989" s="12">
        <v>2</v>
      </c>
      <c r="AP989" s="12" t="s">
        <v>59</v>
      </c>
      <c r="AQ989" s="12">
        <v>0</v>
      </c>
      <c r="AR989" s="12">
        <v>11</v>
      </c>
      <c r="AS989" s="12">
        <v>3</v>
      </c>
      <c r="AT989" s="12">
        <v>2</v>
      </c>
      <c r="AU989" s="12">
        <v>0</v>
      </c>
      <c r="AV989" s="12">
        <v>14</v>
      </c>
      <c r="AW989" s="12">
        <f t="shared" si="228"/>
        <v>14</v>
      </c>
      <c r="AX989" s="12">
        <v>5</v>
      </c>
      <c r="AY989" s="12">
        <v>3</v>
      </c>
      <c r="AZ989" s="12">
        <v>4</v>
      </c>
      <c r="BA989" s="12">
        <f t="shared" si="229"/>
        <v>4</v>
      </c>
      <c r="BB989" s="12">
        <v>2</v>
      </c>
      <c r="BC989" s="12">
        <v>3</v>
      </c>
      <c r="BD989" s="12">
        <f t="shared" si="238"/>
        <v>3</v>
      </c>
      <c r="BE989" s="12">
        <v>2</v>
      </c>
      <c r="BF989" s="12">
        <f t="shared" si="230"/>
        <v>2</v>
      </c>
      <c r="BG989" s="12">
        <f t="shared" si="239"/>
        <v>6</v>
      </c>
      <c r="BH989" s="67">
        <v>0</v>
      </c>
      <c r="BI989" s="67">
        <v>0</v>
      </c>
      <c r="BJ989" s="67">
        <v>0</v>
      </c>
      <c r="BK989" s="67">
        <v>1</v>
      </c>
      <c r="BL989" s="67">
        <v>0</v>
      </c>
      <c r="BM989" s="67">
        <v>0</v>
      </c>
      <c r="BN989" s="67">
        <v>1</v>
      </c>
      <c r="BO989" s="67">
        <v>0</v>
      </c>
      <c r="BP989" s="67">
        <v>0</v>
      </c>
      <c r="BQ989" s="67">
        <v>0</v>
      </c>
      <c r="BR989" s="67">
        <v>2</v>
      </c>
      <c r="BS989" s="67">
        <v>0</v>
      </c>
      <c r="BT989" s="67">
        <v>0</v>
      </c>
      <c r="BU989" s="70">
        <v>14</v>
      </c>
      <c r="BV989" s="29">
        <f t="shared" si="231"/>
        <v>0.8693938572625588</v>
      </c>
      <c r="BW989">
        <f t="shared" si="232"/>
        <v>0.59502473559756086</v>
      </c>
      <c r="BX989">
        <f t="shared" si="233"/>
        <v>0.34963173068151232</v>
      </c>
      <c r="BY989">
        <f t="shared" si="234"/>
        <v>0.49100643357776058</v>
      </c>
      <c r="BZ989">
        <f t="shared" si="235"/>
        <v>0.88721318382472392</v>
      </c>
      <c r="CA989">
        <f t="shared" si="236"/>
        <v>1.5408445525439205</v>
      </c>
      <c r="CB989">
        <f t="shared" si="237"/>
        <v>0.2520597274726662</v>
      </c>
    </row>
    <row r="990" spans="1:80" x14ac:dyDescent="0.45">
      <c r="A990" s="11">
        <v>41</v>
      </c>
      <c r="B990" s="12">
        <f t="shared" si="225"/>
        <v>41</v>
      </c>
      <c r="C990" s="12" t="s">
        <v>59</v>
      </c>
      <c r="D990" s="12">
        <v>0</v>
      </c>
      <c r="E990" s="12" t="s">
        <v>60</v>
      </c>
      <c r="F990" s="12">
        <v>1</v>
      </c>
      <c r="G990" s="12">
        <v>0</v>
      </c>
      <c r="H990" s="12" t="s">
        <v>61</v>
      </c>
      <c r="I990" s="12">
        <v>1</v>
      </c>
      <c r="J990" s="12">
        <v>0</v>
      </c>
      <c r="K990" s="12">
        <v>22</v>
      </c>
      <c r="L990" s="12">
        <f t="shared" si="226"/>
        <v>22</v>
      </c>
      <c r="M990" s="12">
        <v>3</v>
      </c>
      <c r="N990" s="12" t="s">
        <v>55</v>
      </c>
      <c r="O990" s="12">
        <v>1</v>
      </c>
      <c r="P990" s="12">
        <v>0</v>
      </c>
      <c r="Q990" s="12">
        <v>0</v>
      </c>
      <c r="R990" s="12">
        <v>0</v>
      </c>
      <c r="S990" s="12">
        <v>0</v>
      </c>
      <c r="T990" s="12">
        <v>4</v>
      </c>
      <c r="U990" s="12" t="s">
        <v>19</v>
      </c>
      <c r="V990" s="12">
        <v>1</v>
      </c>
      <c r="W990" s="12">
        <v>75</v>
      </c>
      <c r="X990" s="12">
        <v>3</v>
      </c>
      <c r="Y990" s="12">
        <v>2</v>
      </c>
      <c r="Z990" s="12" t="s">
        <v>63</v>
      </c>
      <c r="AA990" s="12">
        <v>0</v>
      </c>
      <c r="AB990" s="12">
        <v>0</v>
      </c>
      <c r="AC990" s="12">
        <v>0</v>
      </c>
      <c r="AD990" s="12">
        <v>0</v>
      </c>
      <c r="AE990" s="12">
        <v>0</v>
      </c>
      <c r="AF990" s="12">
        <v>0</v>
      </c>
      <c r="AG990" s="12">
        <v>0</v>
      </c>
      <c r="AH990" s="12">
        <v>1</v>
      </c>
      <c r="AI990" s="12">
        <v>4</v>
      </c>
      <c r="AJ990" s="12" t="s">
        <v>78</v>
      </c>
      <c r="AK990" s="12">
        <v>0</v>
      </c>
      <c r="AL990" s="12">
        <v>0</v>
      </c>
      <c r="AM990" s="12">
        <v>5467</v>
      </c>
      <c r="AN990" s="12">
        <f t="shared" si="227"/>
        <v>5467</v>
      </c>
      <c r="AO990" s="12">
        <v>3</v>
      </c>
      <c r="AP990" s="12" t="s">
        <v>52</v>
      </c>
      <c r="AQ990" s="12">
        <v>1</v>
      </c>
      <c r="AR990" s="12">
        <v>14</v>
      </c>
      <c r="AS990" s="12">
        <v>3</v>
      </c>
      <c r="AT990" s="12">
        <v>1</v>
      </c>
      <c r="AU990" s="12">
        <v>2</v>
      </c>
      <c r="AV990" s="12">
        <v>12</v>
      </c>
      <c r="AW990" s="12">
        <f t="shared" si="228"/>
        <v>12</v>
      </c>
      <c r="AX990" s="12">
        <v>4</v>
      </c>
      <c r="AY990" s="12">
        <v>2</v>
      </c>
      <c r="AZ990" s="12">
        <v>6</v>
      </c>
      <c r="BA990" s="12">
        <f t="shared" si="229"/>
        <v>6</v>
      </c>
      <c r="BB990" s="12">
        <v>2</v>
      </c>
      <c r="BC990" s="12">
        <v>3</v>
      </c>
      <c r="BD990" s="12">
        <f t="shared" si="238"/>
        <v>3</v>
      </c>
      <c r="BE990" s="12">
        <v>3</v>
      </c>
      <c r="BF990" s="12">
        <f t="shared" si="230"/>
        <v>3</v>
      </c>
      <c r="BG990" s="12">
        <f t="shared" si="239"/>
        <v>6</v>
      </c>
      <c r="BH990" s="67">
        <v>0</v>
      </c>
      <c r="BI990" s="67">
        <v>0</v>
      </c>
      <c r="BJ990" s="67">
        <v>1</v>
      </c>
      <c r="BK990" s="67">
        <v>0</v>
      </c>
      <c r="BL990" s="67">
        <v>0</v>
      </c>
      <c r="BM990" s="67">
        <v>1</v>
      </c>
      <c r="BN990" s="67">
        <v>0</v>
      </c>
      <c r="BO990" s="67">
        <v>0</v>
      </c>
      <c r="BP990" s="67">
        <v>0</v>
      </c>
      <c r="BQ990" s="67">
        <v>3</v>
      </c>
      <c r="BR990" s="67">
        <v>0</v>
      </c>
      <c r="BS990" s="67">
        <v>0</v>
      </c>
      <c r="BT990" s="67">
        <v>12</v>
      </c>
      <c r="BU990" s="70">
        <v>0</v>
      </c>
      <c r="BV990" s="29">
        <f t="shared" si="231"/>
        <v>0.22003840312130676</v>
      </c>
      <c r="BW990">
        <f t="shared" si="232"/>
        <v>0.31476636926356072</v>
      </c>
      <c r="BX990">
        <f t="shared" si="233"/>
        <v>9.2588147734864096E-2</v>
      </c>
      <c r="BY990">
        <f t="shared" si="234"/>
        <v>0.16455710867531462</v>
      </c>
      <c r="BZ990">
        <f t="shared" si="235"/>
        <v>1.579831893679001</v>
      </c>
      <c r="CA990">
        <f t="shared" si="236"/>
        <v>0.4461985578408646</v>
      </c>
      <c r="CB990">
        <f t="shared" si="237"/>
        <v>0.2520597274726662</v>
      </c>
    </row>
    <row r="991" spans="1:80" x14ac:dyDescent="0.45">
      <c r="A991" s="11">
        <v>37</v>
      </c>
      <c r="B991" s="12">
        <f t="shared" si="225"/>
        <v>37</v>
      </c>
      <c r="C991" s="12" t="s">
        <v>59</v>
      </c>
      <c r="D991" s="12">
        <v>0</v>
      </c>
      <c r="E991" s="12" t="s">
        <v>53</v>
      </c>
      <c r="F991" s="12">
        <v>0</v>
      </c>
      <c r="G991" s="12">
        <v>1</v>
      </c>
      <c r="H991" s="12" t="s">
        <v>61</v>
      </c>
      <c r="I991" s="12">
        <v>1</v>
      </c>
      <c r="J991" s="12">
        <v>0</v>
      </c>
      <c r="K991" s="12">
        <v>4</v>
      </c>
      <c r="L991" s="12">
        <f t="shared" si="226"/>
        <v>4</v>
      </c>
      <c r="M991" s="12">
        <v>1</v>
      </c>
      <c r="N991" s="12" t="s">
        <v>55</v>
      </c>
      <c r="O991" s="12">
        <v>1</v>
      </c>
      <c r="P991" s="12">
        <v>0</v>
      </c>
      <c r="Q991" s="12">
        <v>0</v>
      </c>
      <c r="R991" s="12">
        <v>0</v>
      </c>
      <c r="S991" s="12">
        <v>0</v>
      </c>
      <c r="T991" s="12">
        <v>3</v>
      </c>
      <c r="U991" s="12" t="s">
        <v>62</v>
      </c>
      <c r="V991" s="12">
        <v>0</v>
      </c>
      <c r="W991" s="12">
        <v>54</v>
      </c>
      <c r="X991" s="12">
        <v>3</v>
      </c>
      <c r="Y991" s="12">
        <v>1</v>
      </c>
      <c r="Z991" s="12" t="s">
        <v>63</v>
      </c>
      <c r="AA991" s="12">
        <v>0</v>
      </c>
      <c r="AB991" s="12">
        <v>0</v>
      </c>
      <c r="AC991" s="12">
        <v>0</v>
      </c>
      <c r="AD991" s="12">
        <v>0</v>
      </c>
      <c r="AE991" s="12">
        <v>0</v>
      </c>
      <c r="AF991" s="12">
        <v>0</v>
      </c>
      <c r="AG991" s="12">
        <v>0</v>
      </c>
      <c r="AH991" s="12">
        <v>1</v>
      </c>
      <c r="AI991" s="12">
        <v>3</v>
      </c>
      <c r="AJ991" s="12" t="s">
        <v>64</v>
      </c>
      <c r="AK991" s="12">
        <v>0</v>
      </c>
      <c r="AL991" s="12">
        <v>1</v>
      </c>
      <c r="AM991" s="12">
        <v>2996</v>
      </c>
      <c r="AN991" s="12">
        <f t="shared" si="227"/>
        <v>2996</v>
      </c>
      <c r="AO991" s="12">
        <v>7</v>
      </c>
      <c r="AP991" s="12" t="s">
        <v>52</v>
      </c>
      <c r="AQ991" s="12">
        <v>1</v>
      </c>
      <c r="AR991" s="12">
        <v>15</v>
      </c>
      <c r="AS991" s="12">
        <v>3</v>
      </c>
      <c r="AT991" s="12">
        <v>4</v>
      </c>
      <c r="AU991" s="12">
        <v>0</v>
      </c>
      <c r="AV991" s="12">
        <v>8</v>
      </c>
      <c r="AW991" s="12">
        <f t="shared" si="228"/>
        <v>8</v>
      </c>
      <c r="AX991" s="12">
        <v>2</v>
      </c>
      <c r="AY991" s="12">
        <v>3</v>
      </c>
      <c r="AZ991" s="12">
        <v>6</v>
      </c>
      <c r="BA991" s="12">
        <f t="shared" si="229"/>
        <v>6</v>
      </c>
      <c r="BB991" s="12">
        <v>4</v>
      </c>
      <c r="BC991" s="12">
        <v>1</v>
      </c>
      <c r="BD991" s="12">
        <f t="shared" si="238"/>
        <v>1</v>
      </c>
      <c r="BE991" s="12">
        <v>3</v>
      </c>
      <c r="BF991" s="12">
        <f t="shared" si="230"/>
        <v>3</v>
      </c>
      <c r="BG991" s="12">
        <f t="shared" si="239"/>
        <v>3</v>
      </c>
      <c r="BH991" s="67">
        <v>0</v>
      </c>
      <c r="BI991" s="67">
        <v>1</v>
      </c>
      <c r="BJ991" s="67">
        <v>0</v>
      </c>
      <c r="BK991" s="67">
        <v>0</v>
      </c>
      <c r="BL991" s="67">
        <v>0</v>
      </c>
      <c r="BM991" s="67">
        <v>0</v>
      </c>
      <c r="BN991" s="67">
        <v>0</v>
      </c>
      <c r="BO991" s="67">
        <v>1</v>
      </c>
      <c r="BP991" s="67">
        <v>0</v>
      </c>
      <c r="BQ991" s="67">
        <v>3</v>
      </c>
      <c r="BR991" s="67">
        <v>0</v>
      </c>
      <c r="BS991" s="67">
        <v>0</v>
      </c>
      <c r="BT991" s="67">
        <v>8</v>
      </c>
      <c r="BU991" s="70">
        <v>0</v>
      </c>
      <c r="BV991" s="29">
        <f t="shared" si="231"/>
        <v>0.74489453792507587</v>
      </c>
      <c r="BW991">
        <f t="shared" si="232"/>
        <v>0.31476636926356072</v>
      </c>
      <c r="BX991">
        <f t="shared" si="233"/>
        <v>0.42149901815843233</v>
      </c>
      <c r="BY991">
        <f t="shared" si="234"/>
        <v>0.16455710867531462</v>
      </c>
      <c r="BZ991">
        <f t="shared" si="235"/>
        <v>0.64050867607435136</v>
      </c>
      <c r="CA991">
        <f t="shared" si="236"/>
        <v>8.3401599596422994E-3</v>
      </c>
      <c r="CB991">
        <f t="shared" si="237"/>
        <v>0.36858985273641137</v>
      </c>
    </row>
    <row r="992" spans="1:80" x14ac:dyDescent="0.45">
      <c r="A992" s="11">
        <v>33</v>
      </c>
      <c r="B992" s="12">
        <f t="shared" si="225"/>
        <v>33</v>
      </c>
      <c r="C992" s="12" t="s">
        <v>59</v>
      </c>
      <c r="D992" s="12">
        <v>0</v>
      </c>
      <c r="E992" s="12" t="s">
        <v>60</v>
      </c>
      <c r="F992" s="12">
        <v>1</v>
      </c>
      <c r="G992" s="12">
        <v>0</v>
      </c>
      <c r="H992" s="12" t="s">
        <v>54</v>
      </c>
      <c r="I992" s="12">
        <v>0</v>
      </c>
      <c r="J992" s="12">
        <v>1</v>
      </c>
      <c r="K992" s="12">
        <v>5</v>
      </c>
      <c r="L992" s="12">
        <f t="shared" si="226"/>
        <v>5</v>
      </c>
      <c r="M992" s="12">
        <v>1</v>
      </c>
      <c r="N992" s="12" t="s">
        <v>55</v>
      </c>
      <c r="O992" s="12">
        <v>1</v>
      </c>
      <c r="P992" s="12">
        <v>0</v>
      </c>
      <c r="Q992" s="12">
        <v>0</v>
      </c>
      <c r="R992" s="12">
        <v>0</v>
      </c>
      <c r="S992" s="12">
        <v>0</v>
      </c>
      <c r="T992" s="12">
        <v>2</v>
      </c>
      <c r="U992" s="12" t="s">
        <v>62</v>
      </c>
      <c r="V992" s="12">
        <v>0</v>
      </c>
      <c r="W992" s="12">
        <v>61</v>
      </c>
      <c r="X992" s="12">
        <v>3</v>
      </c>
      <c r="Y992" s="12">
        <v>2</v>
      </c>
      <c r="Z992" s="12" t="s">
        <v>56</v>
      </c>
      <c r="AA992" s="12">
        <v>0</v>
      </c>
      <c r="AB992" s="12">
        <v>1</v>
      </c>
      <c r="AC992" s="12">
        <v>0</v>
      </c>
      <c r="AD992" s="12">
        <v>0</v>
      </c>
      <c r="AE992" s="12">
        <v>0</v>
      </c>
      <c r="AF992" s="12">
        <v>0</v>
      </c>
      <c r="AG992" s="12">
        <v>0</v>
      </c>
      <c r="AH992" s="12">
        <v>0</v>
      </c>
      <c r="AI992" s="12">
        <v>4</v>
      </c>
      <c r="AJ992" s="12" t="s">
        <v>64</v>
      </c>
      <c r="AK992" s="12">
        <v>0</v>
      </c>
      <c r="AL992" s="12">
        <v>1</v>
      </c>
      <c r="AM992" s="12">
        <v>9998</v>
      </c>
      <c r="AN992" s="12">
        <f t="shared" si="227"/>
        <v>9998</v>
      </c>
      <c r="AO992" s="12">
        <v>6</v>
      </c>
      <c r="AP992" s="12" t="s">
        <v>59</v>
      </c>
      <c r="AQ992" s="12">
        <v>0</v>
      </c>
      <c r="AR992" s="12">
        <v>13</v>
      </c>
      <c r="AS992" s="12">
        <v>3</v>
      </c>
      <c r="AT992" s="12">
        <v>1</v>
      </c>
      <c r="AU992" s="12">
        <v>0</v>
      </c>
      <c r="AV992" s="12">
        <v>8</v>
      </c>
      <c r="AW992" s="12">
        <f t="shared" si="228"/>
        <v>8</v>
      </c>
      <c r="AX992" s="12">
        <v>2</v>
      </c>
      <c r="AY992" s="12">
        <v>4</v>
      </c>
      <c r="AZ992" s="12">
        <v>5</v>
      </c>
      <c r="BA992" s="12">
        <f t="shared" si="229"/>
        <v>5</v>
      </c>
      <c r="BB992" s="12">
        <v>4</v>
      </c>
      <c r="BC992" s="12">
        <v>1</v>
      </c>
      <c r="BD992" s="12">
        <f t="shared" si="238"/>
        <v>1</v>
      </c>
      <c r="BE992" s="12">
        <v>2</v>
      </c>
      <c r="BF992" s="12">
        <f t="shared" si="230"/>
        <v>2</v>
      </c>
      <c r="BG992" s="12">
        <f t="shared" si="239"/>
        <v>4</v>
      </c>
      <c r="BH992" s="67">
        <v>0</v>
      </c>
      <c r="BI992" s="67">
        <v>0</v>
      </c>
      <c r="BJ992" s="67">
        <v>0</v>
      </c>
      <c r="BK992" s="67">
        <v>1</v>
      </c>
      <c r="BL992" s="67">
        <v>0</v>
      </c>
      <c r="BM992" s="67">
        <v>0</v>
      </c>
      <c r="BN992" s="67">
        <v>1</v>
      </c>
      <c r="BO992" s="67">
        <v>0</v>
      </c>
      <c r="BP992" s="67">
        <v>0</v>
      </c>
      <c r="BQ992" s="67">
        <v>0</v>
      </c>
      <c r="BR992" s="67">
        <v>2</v>
      </c>
      <c r="BS992" s="67">
        <v>0</v>
      </c>
      <c r="BT992" s="67">
        <v>0</v>
      </c>
      <c r="BU992" s="70">
        <v>8</v>
      </c>
      <c r="BV992" s="29">
        <f t="shared" si="231"/>
        <v>0.74237484932542652</v>
      </c>
      <c r="BW992">
        <f t="shared" si="232"/>
        <v>0.59502473559756086</v>
      </c>
      <c r="BX992">
        <f t="shared" si="233"/>
        <v>0.42149901815843233</v>
      </c>
      <c r="BY992">
        <f t="shared" si="234"/>
        <v>0.32778177112653761</v>
      </c>
      <c r="BZ992">
        <f t="shared" si="235"/>
        <v>0.51715642219916513</v>
      </c>
      <c r="CA992">
        <f t="shared" si="236"/>
        <v>0.42951823792158</v>
      </c>
      <c r="CB992">
        <f t="shared" si="237"/>
        <v>0.36858985273641137</v>
      </c>
    </row>
    <row r="993" spans="1:80" x14ac:dyDescent="0.45">
      <c r="A993" s="11">
        <v>32</v>
      </c>
      <c r="B993" s="12">
        <f t="shared" si="225"/>
        <v>32</v>
      </c>
      <c r="C993" s="12" t="s">
        <v>59</v>
      </c>
      <c r="D993" s="12">
        <v>0</v>
      </c>
      <c r="E993" s="12" t="s">
        <v>53</v>
      </c>
      <c r="F993" s="12">
        <v>0</v>
      </c>
      <c r="G993" s="12">
        <v>1</v>
      </c>
      <c r="H993" s="12" t="s">
        <v>54</v>
      </c>
      <c r="I993" s="12">
        <v>0</v>
      </c>
      <c r="J993" s="12">
        <v>1</v>
      </c>
      <c r="K993" s="12">
        <v>2</v>
      </c>
      <c r="L993" s="12">
        <f t="shared" si="226"/>
        <v>2</v>
      </c>
      <c r="M993" s="12">
        <v>1</v>
      </c>
      <c r="N993" s="12" t="s">
        <v>90</v>
      </c>
      <c r="O993" s="12">
        <v>0</v>
      </c>
      <c r="P993" s="12">
        <v>0</v>
      </c>
      <c r="Q993" s="12">
        <v>0</v>
      </c>
      <c r="R993" s="12">
        <v>1</v>
      </c>
      <c r="S993" s="12">
        <v>0</v>
      </c>
      <c r="T993" s="12">
        <v>3</v>
      </c>
      <c r="U993" s="12" t="s">
        <v>62</v>
      </c>
      <c r="V993" s="12">
        <v>0</v>
      </c>
      <c r="W993" s="12">
        <v>36</v>
      </c>
      <c r="X993" s="12">
        <v>3</v>
      </c>
      <c r="Y993" s="12">
        <v>2</v>
      </c>
      <c r="Z993" s="12" t="s">
        <v>56</v>
      </c>
      <c r="AA993" s="12">
        <v>0</v>
      </c>
      <c r="AB993" s="12">
        <v>1</v>
      </c>
      <c r="AC993" s="12">
        <v>0</v>
      </c>
      <c r="AD993" s="12">
        <v>0</v>
      </c>
      <c r="AE993" s="12">
        <v>0</v>
      </c>
      <c r="AF993" s="12">
        <v>0</v>
      </c>
      <c r="AG993" s="12">
        <v>0</v>
      </c>
      <c r="AH993" s="12">
        <v>0</v>
      </c>
      <c r="AI993" s="12">
        <v>2</v>
      </c>
      <c r="AJ993" s="12" t="s">
        <v>64</v>
      </c>
      <c r="AK993" s="12">
        <v>0</v>
      </c>
      <c r="AL993" s="12">
        <v>1</v>
      </c>
      <c r="AM993" s="12">
        <v>4078</v>
      </c>
      <c r="AN993" s="12">
        <f t="shared" si="227"/>
        <v>4078</v>
      </c>
      <c r="AO993" s="12">
        <v>0</v>
      </c>
      <c r="AP993" s="12" t="s">
        <v>52</v>
      </c>
      <c r="AQ993" s="12">
        <v>1</v>
      </c>
      <c r="AR993" s="12">
        <v>13</v>
      </c>
      <c r="AS993" s="12">
        <v>3</v>
      </c>
      <c r="AT993" s="12">
        <v>1</v>
      </c>
      <c r="AU993" s="12">
        <v>3</v>
      </c>
      <c r="AV993" s="12">
        <v>4</v>
      </c>
      <c r="AW993" s="12">
        <f t="shared" si="228"/>
        <v>4</v>
      </c>
      <c r="AX993" s="12">
        <v>3</v>
      </c>
      <c r="AY993" s="12">
        <v>2</v>
      </c>
      <c r="AZ993" s="12">
        <v>3</v>
      </c>
      <c r="BA993" s="12">
        <f t="shared" si="229"/>
        <v>3</v>
      </c>
      <c r="BB993" s="12">
        <v>2</v>
      </c>
      <c r="BC993" s="12">
        <v>1</v>
      </c>
      <c r="BD993" s="12">
        <f t="shared" si="238"/>
        <v>1</v>
      </c>
      <c r="BE993" s="12">
        <v>2</v>
      </c>
      <c r="BF993" s="12">
        <f t="shared" si="230"/>
        <v>2</v>
      </c>
      <c r="BG993" s="12">
        <f t="shared" si="239"/>
        <v>4</v>
      </c>
      <c r="BH993" s="67">
        <v>0</v>
      </c>
      <c r="BI993" s="67">
        <v>1</v>
      </c>
      <c r="BJ993" s="67">
        <v>0</v>
      </c>
      <c r="BK993" s="67">
        <v>0</v>
      </c>
      <c r="BL993" s="67">
        <v>0</v>
      </c>
      <c r="BM993" s="67">
        <v>0</v>
      </c>
      <c r="BN993" s="67">
        <v>0</v>
      </c>
      <c r="BO993" s="67">
        <v>1</v>
      </c>
      <c r="BP993" s="67">
        <v>0</v>
      </c>
      <c r="BQ993" s="67">
        <v>0</v>
      </c>
      <c r="BR993" s="67">
        <v>2</v>
      </c>
      <c r="BS993" s="67">
        <v>0</v>
      </c>
      <c r="BT993" s="67">
        <v>0</v>
      </c>
      <c r="BU993" s="70">
        <v>4</v>
      </c>
      <c r="BV993" s="29">
        <f t="shared" si="231"/>
        <v>0.51507084797862579</v>
      </c>
      <c r="BW993">
        <f t="shared" si="232"/>
        <v>0.59502473559756086</v>
      </c>
      <c r="BX993">
        <f t="shared" si="233"/>
        <v>0.93558618405172878</v>
      </c>
      <c r="BY993">
        <f t="shared" si="234"/>
        <v>0.65423109602898355</v>
      </c>
      <c r="BZ993">
        <f t="shared" si="235"/>
        <v>0.88721318382472392</v>
      </c>
      <c r="CA993">
        <f t="shared" si="236"/>
        <v>0.53898283739188557</v>
      </c>
      <c r="CB993">
        <f t="shared" si="237"/>
        <v>0.36858985273641137</v>
      </c>
    </row>
    <row r="994" spans="1:80" x14ac:dyDescent="0.45">
      <c r="A994" s="11">
        <v>39</v>
      </c>
      <c r="B994" s="12">
        <f t="shared" si="225"/>
        <v>39</v>
      </c>
      <c r="C994" s="12" t="s">
        <v>59</v>
      </c>
      <c r="D994" s="12">
        <v>0</v>
      </c>
      <c r="E994" s="12" t="s">
        <v>86</v>
      </c>
      <c r="F994" s="12">
        <v>0</v>
      </c>
      <c r="G994" s="12">
        <v>0</v>
      </c>
      <c r="H994" s="12" t="s">
        <v>61</v>
      </c>
      <c r="I994" s="12">
        <v>1</v>
      </c>
      <c r="J994" s="12">
        <v>0</v>
      </c>
      <c r="K994" s="12">
        <v>25</v>
      </c>
      <c r="L994" s="12">
        <f t="shared" si="226"/>
        <v>25</v>
      </c>
      <c r="M994" s="12">
        <v>2</v>
      </c>
      <c r="N994" s="12" t="s">
        <v>55</v>
      </c>
      <c r="O994" s="12">
        <v>1</v>
      </c>
      <c r="P994" s="12">
        <v>0</v>
      </c>
      <c r="Q994" s="12">
        <v>0</v>
      </c>
      <c r="R994" s="12">
        <v>0</v>
      </c>
      <c r="S994" s="12">
        <v>0</v>
      </c>
      <c r="T994" s="12">
        <v>3</v>
      </c>
      <c r="U994" s="12" t="s">
        <v>62</v>
      </c>
      <c r="V994" s="12">
        <v>0</v>
      </c>
      <c r="W994" s="12">
        <v>71</v>
      </c>
      <c r="X994" s="12">
        <v>3</v>
      </c>
      <c r="Y994" s="12">
        <v>3</v>
      </c>
      <c r="Z994" s="12" t="s">
        <v>85</v>
      </c>
      <c r="AA994" s="12">
        <v>1</v>
      </c>
      <c r="AB994" s="12">
        <v>0</v>
      </c>
      <c r="AC994" s="12">
        <v>0</v>
      </c>
      <c r="AD994" s="12">
        <v>0</v>
      </c>
      <c r="AE994" s="12">
        <v>0</v>
      </c>
      <c r="AF994" s="12">
        <v>0</v>
      </c>
      <c r="AG994" s="12">
        <v>0</v>
      </c>
      <c r="AH994" s="12">
        <v>0</v>
      </c>
      <c r="AI994" s="12">
        <v>3</v>
      </c>
      <c r="AJ994" s="12" t="s">
        <v>64</v>
      </c>
      <c r="AK994" s="12">
        <v>0</v>
      </c>
      <c r="AL994" s="12">
        <v>1</v>
      </c>
      <c r="AM994" s="12">
        <v>10920</v>
      </c>
      <c r="AN994" s="12">
        <f t="shared" si="227"/>
        <v>10920</v>
      </c>
      <c r="AO994" s="12">
        <v>3</v>
      </c>
      <c r="AP994" s="12" t="s">
        <v>59</v>
      </c>
      <c r="AQ994" s="12">
        <v>0</v>
      </c>
      <c r="AR994" s="12">
        <v>21</v>
      </c>
      <c r="AS994" s="12">
        <v>4</v>
      </c>
      <c r="AT994" s="12">
        <v>2</v>
      </c>
      <c r="AU994" s="12">
        <v>1</v>
      </c>
      <c r="AV994" s="12">
        <v>13</v>
      </c>
      <c r="AW994" s="12">
        <f t="shared" si="228"/>
        <v>13</v>
      </c>
      <c r="AX994" s="12">
        <v>2</v>
      </c>
      <c r="AY994" s="12">
        <v>3</v>
      </c>
      <c r="AZ994" s="12">
        <v>6</v>
      </c>
      <c r="BA994" s="12">
        <f t="shared" si="229"/>
        <v>6</v>
      </c>
      <c r="BB994" s="12">
        <v>4</v>
      </c>
      <c r="BC994" s="12">
        <v>0</v>
      </c>
      <c r="BD994" s="12">
        <f t="shared" si="238"/>
        <v>0</v>
      </c>
      <c r="BE994" s="12">
        <v>5</v>
      </c>
      <c r="BF994" s="12">
        <f t="shared" si="230"/>
        <v>5</v>
      </c>
      <c r="BG994" s="12">
        <f t="shared" si="239"/>
        <v>15</v>
      </c>
      <c r="BH994" s="67">
        <v>0</v>
      </c>
      <c r="BI994" s="67">
        <v>1</v>
      </c>
      <c r="BJ994" s="67">
        <v>0</v>
      </c>
      <c r="BK994" s="67">
        <v>0</v>
      </c>
      <c r="BL994" s="67">
        <v>0</v>
      </c>
      <c r="BM994" s="67">
        <v>0</v>
      </c>
      <c r="BN994" s="67">
        <v>1</v>
      </c>
      <c r="BO994" s="67">
        <v>0</v>
      </c>
      <c r="BP994" s="67">
        <v>0</v>
      </c>
      <c r="BQ994" s="67">
        <v>5</v>
      </c>
      <c r="BR994" s="67">
        <v>0</v>
      </c>
      <c r="BS994" s="67">
        <v>0</v>
      </c>
      <c r="BT994" s="67">
        <v>13</v>
      </c>
      <c r="BU994" s="70">
        <v>0</v>
      </c>
      <c r="BV994" s="29">
        <f t="shared" si="231"/>
        <v>0.93821352042582118</v>
      </c>
      <c r="BW994">
        <f t="shared" si="232"/>
        <v>0.24575036340443959</v>
      </c>
      <c r="BX994">
        <f t="shared" si="233"/>
        <v>0.22110993920818819</v>
      </c>
      <c r="BY994">
        <f t="shared" si="234"/>
        <v>0.16455710867531462</v>
      </c>
      <c r="BZ994">
        <f t="shared" si="235"/>
        <v>1.9498886553045598</v>
      </c>
      <c r="CA994">
        <f t="shared" si="236"/>
        <v>0.22726935890025346</v>
      </c>
      <c r="CB994">
        <f t="shared" si="237"/>
        <v>0.67891464284095016</v>
      </c>
    </row>
    <row r="995" spans="1:80" x14ac:dyDescent="0.45">
      <c r="A995" s="11">
        <v>25</v>
      </c>
      <c r="B995" s="12">
        <f t="shared" si="225"/>
        <v>25</v>
      </c>
      <c r="C995" s="12" t="s">
        <v>59</v>
      </c>
      <c r="D995" s="12">
        <v>0</v>
      </c>
      <c r="E995" s="12" t="s">
        <v>53</v>
      </c>
      <c r="F995" s="12">
        <v>0</v>
      </c>
      <c r="G995" s="12">
        <v>1</v>
      </c>
      <c r="H995" s="12" t="s">
        <v>54</v>
      </c>
      <c r="I995" s="12">
        <v>0</v>
      </c>
      <c r="J995" s="12">
        <v>1</v>
      </c>
      <c r="K995" s="12">
        <v>18</v>
      </c>
      <c r="L995" s="12">
        <f t="shared" si="226"/>
        <v>18</v>
      </c>
      <c r="M995" s="12">
        <v>1</v>
      </c>
      <c r="N995" s="12" t="s">
        <v>55</v>
      </c>
      <c r="O995" s="12">
        <v>1</v>
      </c>
      <c r="P995" s="12">
        <v>0</v>
      </c>
      <c r="Q995" s="12">
        <v>0</v>
      </c>
      <c r="R995" s="12">
        <v>0</v>
      </c>
      <c r="S995" s="12">
        <v>0</v>
      </c>
      <c r="T995" s="12">
        <v>1</v>
      </c>
      <c r="U995" s="12" t="s">
        <v>62</v>
      </c>
      <c r="V995" s="12">
        <v>0</v>
      </c>
      <c r="W995" s="12">
        <v>93</v>
      </c>
      <c r="X995" s="12">
        <v>4</v>
      </c>
      <c r="Y995" s="12">
        <v>2</v>
      </c>
      <c r="Z995" s="12" t="s">
        <v>56</v>
      </c>
      <c r="AA995" s="12">
        <v>0</v>
      </c>
      <c r="AB995" s="12">
        <v>1</v>
      </c>
      <c r="AC995" s="12">
        <v>0</v>
      </c>
      <c r="AD995" s="12">
        <v>0</v>
      </c>
      <c r="AE995" s="12">
        <v>0</v>
      </c>
      <c r="AF995" s="12">
        <v>0</v>
      </c>
      <c r="AG995" s="12">
        <v>0</v>
      </c>
      <c r="AH995" s="12">
        <v>0</v>
      </c>
      <c r="AI995" s="12">
        <v>3</v>
      </c>
      <c r="AJ995" s="12" t="s">
        <v>64</v>
      </c>
      <c r="AK995" s="12">
        <v>0</v>
      </c>
      <c r="AL995" s="12">
        <v>1</v>
      </c>
      <c r="AM995" s="12">
        <v>6232</v>
      </c>
      <c r="AN995" s="12">
        <f t="shared" si="227"/>
        <v>6232</v>
      </c>
      <c r="AO995" s="12">
        <v>2</v>
      </c>
      <c r="AP995" s="12" t="s">
        <v>59</v>
      </c>
      <c r="AQ995" s="12">
        <v>0</v>
      </c>
      <c r="AR995" s="12">
        <v>11</v>
      </c>
      <c r="AS995" s="12">
        <v>3</v>
      </c>
      <c r="AT995" s="12">
        <v>2</v>
      </c>
      <c r="AU995" s="12">
        <v>0</v>
      </c>
      <c r="AV995" s="12">
        <v>6</v>
      </c>
      <c r="AW995" s="12">
        <f t="shared" si="228"/>
        <v>6</v>
      </c>
      <c r="AX995" s="12">
        <v>3</v>
      </c>
      <c r="AY995" s="12">
        <v>2</v>
      </c>
      <c r="AZ995" s="12">
        <v>3</v>
      </c>
      <c r="BA995" s="12">
        <f t="shared" si="229"/>
        <v>3</v>
      </c>
      <c r="BB995" s="12">
        <v>2</v>
      </c>
      <c r="BC995" s="12">
        <v>1</v>
      </c>
      <c r="BD995" s="12">
        <f t="shared" si="238"/>
        <v>1</v>
      </c>
      <c r="BE995" s="12">
        <v>2</v>
      </c>
      <c r="BF995" s="12">
        <f t="shared" si="230"/>
        <v>2</v>
      </c>
      <c r="BG995" s="12">
        <f t="shared" si="239"/>
        <v>4</v>
      </c>
      <c r="BH995" s="67">
        <v>0</v>
      </c>
      <c r="BI995" s="67">
        <v>1</v>
      </c>
      <c r="BJ995" s="67">
        <v>0</v>
      </c>
      <c r="BK995" s="67">
        <v>0</v>
      </c>
      <c r="BL995" s="67">
        <v>0</v>
      </c>
      <c r="BM995" s="67">
        <v>0</v>
      </c>
      <c r="BN995" s="67">
        <v>1</v>
      </c>
      <c r="BO995" s="67">
        <v>0</v>
      </c>
      <c r="BP995" s="67">
        <v>0</v>
      </c>
      <c r="BQ995" s="67">
        <v>0</v>
      </c>
      <c r="BR995" s="67">
        <v>2</v>
      </c>
      <c r="BS995" s="67">
        <v>0</v>
      </c>
      <c r="BT995" s="67">
        <v>0</v>
      </c>
      <c r="BU995" s="70">
        <v>6</v>
      </c>
      <c r="BV995" s="29">
        <f t="shared" si="231"/>
        <v>5.7547531763604061E-2</v>
      </c>
      <c r="BW995">
        <f t="shared" si="232"/>
        <v>0.59502473559756086</v>
      </c>
      <c r="BX995">
        <f t="shared" si="233"/>
        <v>0.67854260110508058</v>
      </c>
      <c r="BY995">
        <f t="shared" si="234"/>
        <v>0.65423109602898355</v>
      </c>
      <c r="BZ995">
        <f t="shared" si="235"/>
        <v>1.0864228781782561</v>
      </c>
      <c r="CA995">
        <f t="shared" si="236"/>
        <v>1.3052350336840246</v>
      </c>
      <c r="CB995">
        <f t="shared" si="237"/>
        <v>0.36858985273641137</v>
      </c>
    </row>
    <row r="996" spans="1:80" x14ac:dyDescent="0.45">
      <c r="A996" s="11">
        <v>52</v>
      </c>
      <c r="B996" s="12">
        <f t="shared" si="225"/>
        <v>52</v>
      </c>
      <c r="C996" s="12" t="s">
        <v>59</v>
      </c>
      <c r="D996" s="12">
        <v>0</v>
      </c>
      <c r="E996" s="12" t="s">
        <v>60</v>
      </c>
      <c r="F996" s="12">
        <v>1</v>
      </c>
      <c r="G996" s="12">
        <v>0</v>
      </c>
      <c r="H996" s="12" t="s">
        <v>61</v>
      </c>
      <c r="I996" s="12">
        <v>1</v>
      </c>
      <c r="J996" s="12">
        <v>0</v>
      </c>
      <c r="K996" s="12">
        <v>28</v>
      </c>
      <c r="L996" s="12">
        <f t="shared" si="226"/>
        <v>28</v>
      </c>
      <c r="M996" s="12">
        <v>2</v>
      </c>
      <c r="N996" s="12" t="s">
        <v>70</v>
      </c>
      <c r="O996" s="12">
        <v>0</v>
      </c>
      <c r="P996" s="12">
        <v>0</v>
      </c>
      <c r="Q996" s="12">
        <v>1</v>
      </c>
      <c r="R996" s="12">
        <v>0</v>
      </c>
      <c r="S996" s="12">
        <v>0</v>
      </c>
      <c r="T996" s="12">
        <v>4</v>
      </c>
      <c r="U996" s="12" t="s">
        <v>19</v>
      </c>
      <c r="V996" s="12">
        <v>1</v>
      </c>
      <c r="W996" s="12">
        <v>59</v>
      </c>
      <c r="X996" s="12">
        <v>4</v>
      </c>
      <c r="Y996" s="12">
        <v>4</v>
      </c>
      <c r="Z996" s="12" t="s">
        <v>83</v>
      </c>
      <c r="AA996" s="12">
        <v>0</v>
      </c>
      <c r="AB996" s="12">
        <v>0</v>
      </c>
      <c r="AC996" s="12">
        <v>0</v>
      </c>
      <c r="AD996" s="12">
        <v>0</v>
      </c>
      <c r="AE996" s="12">
        <v>1</v>
      </c>
      <c r="AF996" s="12">
        <v>1</v>
      </c>
      <c r="AG996" s="12">
        <v>0</v>
      </c>
      <c r="AH996" s="12">
        <v>0</v>
      </c>
      <c r="AI996" s="12">
        <v>3</v>
      </c>
      <c r="AJ996" s="12" t="s">
        <v>64</v>
      </c>
      <c r="AK996" s="12">
        <v>0</v>
      </c>
      <c r="AL996" s="12">
        <v>1</v>
      </c>
      <c r="AM996" s="12">
        <v>13247</v>
      </c>
      <c r="AN996" s="12">
        <f t="shared" si="227"/>
        <v>13247</v>
      </c>
      <c r="AO996" s="12">
        <v>2</v>
      </c>
      <c r="AP996" s="12" t="s">
        <v>52</v>
      </c>
      <c r="AQ996" s="12">
        <v>1</v>
      </c>
      <c r="AR996" s="12">
        <v>11</v>
      </c>
      <c r="AS996" s="12">
        <v>3</v>
      </c>
      <c r="AT996" s="12">
        <v>2</v>
      </c>
      <c r="AU996" s="12">
        <v>1</v>
      </c>
      <c r="AV996" s="12">
        <v>24</v>
      </c>
      <c r="AW996" s="12">
        <f t="shared" si="228"/>
        <v>24</v>
      </c>
      <c r="AX996" s="12">
        <v>3</v>
      </c>
      <c r="AY996" s="12">
        <v>2</v>
      </c>
      <c r="AZ996" s="12">
        <v>5</v>
      </c>
      <c r="BA996" s="12">
        <f t="shared" si="229"/>
        <v>5</v>
      </c>
      <c r="BB996" s="12">
        <v>3</v>
      </c>
      <c r="BC996" s="12">
        <v>0</v>
      </c>
      <c r="BD996" s="12">
        <f t="shared" si="238"/>
        <v>0</v>
      </c>
      <c r="BE996" s="12">
        <v>2</v>
      </c>
      <c r="BF996" s="12">
        <f t="shared" si="230"/>
        <v>2</v>
      </c>
      <c r="BG996" s="12">
        <f t="shared" si="239"/>
        <v>8</v>
      </c>
      <c r="BH996" s="67">
        <v>0</v>
      </c>
      <c r="BI996" s="67">
        <v>0</v>
      </c>
      <c r="BJ996" s="67">
        <v>0</v>
      </c>
      <c r="BK996" s="67">
        <v>1</v>
      </c>
      <c r="BL996" s="67">
        <v>0</v>
      </c>
      <c r="BM996" s="67">
        <v>0</v>
      </c>
      <c r="BN996" s="67">
        <v>0</v>
      </c>
      <c r="BO996" s="67">
        <v>1</v>
      </c>
      <c r="BP996" s="67">
        <v>0</v>
      </c>
      <c r="BQ996" s="67">
        <v>2</v>
      </c>
      <c r="BR996" s="67">
        <v>0</v>
      </c>
      <c r="BS996" s="67">
        <v>0</v>
      </c>
      <c r="BT996" s="67">
        <v>24</v>
      </c>
      <c r="BU996" s="70">
        <v>0</v>
      </c>
      <c r="BV996" s="29">
        <f t="shared" si="231"/>
        <v>1.4324831382681404</v>
      </c>
      <c r="BW996">
        <f t="shared" si="232"/>
        <v>0.59502473559756086</v>
      </c>
      <c r="BX996">
        <f t="shared" si="233"/>
        <v>1.6348496454147534</v>
      </c>
      <c r="BY996">
        <f t="shared" si="234"/>
        <v>0.32778177112653761</v>
      </c>
      <c r="BZ996">
        <f t="shared" si="235"/>
        <v>2.3199454169301186</v>
      </c>
      <c r="CA996">
        <f t="shared" si="236"/>
        <v>1.6503091520142259</v>
      </c>
      <c r="CB996">
        <f t="shared" si="237"/>
        <v>0.67891464284095016</v>
      </c>
    </row>
    <row r="997" spans="1:80" x14ac:dyDescent="0.45">
      <c r="A997" s="11">
        <v>43</v>
      </c>
      <c r="B997" s="12">
        <f t="shared" si="225"/>
        <v>43</v>
      </c>
      <c r="C997" s="12" t="s">
        <v>59</v>
      </c>
      <c r="D997" s="12">
        <v>0</v>
      </c>
      <c r="E997" s="12" t="s">
        <v>53</v>
      </c>
      <c r="F997" s="12">
        <v>0</v>
      </c>
      <c r="G997" s="12">
        <v>1</v>
      </c>
      <c r="H997" s="12" t="s">
        <v>61</v>
      </c>
      <c r="I997" s="12">
        <v>1</v>
      </c>
      <c r="J997" s="12">
        <v>0</v>
      </c>
      <c r="K997" s="12">
        <v>6</v>
      </c>
      <c r="L997" s="12">
        <f t="shared" si="226"/>
        <v>6</v>
      </c>
      <c r="M997" s="12">
        <v>3</v>
      </c>
      <c r="N997" s="12" t="s">
        <v>70</v>
      </c>
      <c r="O997" s="12">
        <v>0</v>
      </c>
      <c r="P997" s="12">
        <v>0</v>
      </c>
      <c r="Q997" s="12">
        <v>1</v>
      </c>
      <c r="R997" s="12">
        <v>0</v>
      </c>
      <c r="S997" s="12">
        <v>0</v>
      </c>
      <c r="T997" s="12">
        <v>1</v>
      </c>
      <c r="U997" s="12" t="s">
        <v>19</v>
      </c>
      <c r="V997" s="12">
        <v>1</v>
      </c>
      <c r="W997" s="12">
        <v>73</v>
      </c>
      <c r="X997" s="12">
        <v>2</v>
      </c>
      <c r="Y997" s="12">
        <v>2</v>
      </c>
      <c r="Z997" s="12" t="s">
        <v>63</v>
      </c>
      <c r="AA997" s="12">
        <v>0</v>
      </c>
      <c r="AB997" s="12">
        <v>0</v>
      </c>
      <c r="AC997" s="12">
        <v>0</v>
      </c>
      <c r="AD997" s="12">
        <v>0</v>
      </c>
      <c r="AE997" s="12">
        <v>0</v>
      </c>
      <c r="AF997" s="12">
        <v>0</v>
      </c>
      <c r="AG997" s="12">
        <v>0</v>
      </c>
      <c r="AH997" s="12">
        <v>1</v>
      </c>
      <c r="AI997" s="12">
        <v>3</v>
      </c>
      <c r="AJ997" s="12" t="s">
        <v>57</v>
      </c>
      <c r="AK997" s="12">
        <v>1</v>
      </c>
      <c r="AL997" s="12">
        <v>0</v>
      </c>
      <c r="AM997" s="12">
        <v>4081</v>
      </c>
      <c r="AN997" s="12">
        <f t="shared" si="227"/>
        <v>4081</v>
      </c>
      <c r="AO997" s="12">
        <v>1</v>
      </c>
      <c r="AP997" s="12" t="s">
        <v>52</v>
      </c>
      <c r="AQ997" s="12">
        <v>1</v>
      </c>
      <c r="AR997" s="12">
        <v>14</v>
      </c>
      <c r="AS997" s="12">
        <v>3</v>
      </c>
      <c r="AT997" s="12">
        <v>1</v>
      </c>
      <c r="AU997" s="12">
        <v>0</v>
      </c>
      <c r="AV997" s="12">
        <v>20</v>
      </c>
      <c r="AW997" s="12">
        <f t="shared" si="228"/>
        <v>20</v>
      </c>
      <c r="AX997" s="12">
        <v>3</v>
      </c>
      <c r="AY997" s="12">
        <v>1</v>
      </c>
      <c r="AZ997" s="12">
        <v>20</v>
      </c>
      <c r="BA997" s="12">
        <f t="shared" si="229"/>
        <v>20</v>
      </c>
      <c r="BB997" s="12">
        <v>7</v>
      </c>
      <c r="BC997" s="12">
        <v>1</v>
      </c>
      <c r="BD997" s="12">
        <f t="shared" si="238"/>
        <v>1</v>
      </c>
      <c r="BE997" s="12">
        <v>8</v>
      </c>
      <c r="BF997" s="12">
        <f t="shared" si="230"/>
        <v>8</v>
      </c>
      <c r="BG997" s="12">
        <f t="shared" si="239"/>
        <v>16</v>
      </c>
      <c r="BH997" s="67">
        <v>1</v>
      </c>
      <c r="BI997" s="67">
        <v>0</v>
      </c>
      <c r="BJ997" s="67">
        <v>0</v>
      </c>
      <c r="BK997" s="67">
        <v>0</v>
      </c>
      <c r="BL997" s="67">
        <v>0</v>
      </c>
      <c r="BM997" s="67">
        <v>1</v>
      </c>
      <c r="BN997" s="67">
        <v>0</v>
      </c>
      <c r="BO997" s="67">
        <v>0</v>
      </c>
      <c r="BP997" s="67">
        <v>0</v>
      </c>
      <c r="BQ997" s="67">
        <v>8</v>
      </c>
      <c r="BR997" s="67">
        <v>0</v>
      </c>
      <c r="BS997" s="67">
        <v>0</v>
      </c>
      <c r="BT997" s="67">
        <v>20</v>
      </c>
      <c r="BU997" s="70">
        <v>0</v>
      </c>
      <c r="BV997" s="29">
        <f t="shared" si="231"/>
        <v>0.51443362887526223</v>
      </c>
      <c r="BW997">
        <f t="shared" si="232"/>
        <v>1.08652546240644</v>
      </c>
      <c r="BX997">
        <f t="shared" si="233"/>
        <v>1.120762479521457</v>
      </c>
      <c r="BY997">
        <f t="shared" si="234"/>
        <v>2.1205881656418071</v>
      </c>
      <c r="BZ997">
        <f t="shared" si="235"/>
        <v>0.39380416832397891</v>
      </c>
      <c r="CA997">
        <f t="shared" si="236"/>
        <v>0.66512775678147573</v>
      </c>
      <c r="CB997">
        <f t="shared" si="237"/>
        <v>0.36858985273641137</v>
      </c>
    </row>
    <row r="998" spans="1:80" x14ac:dyDescent="0.45">
      <c r="A998" s="11">
        <v>27</v>
      </c>
      <c r="B998" s="12">
        <f t="shared" si="225"/>
        <v>27</v>
      </c>
      <c r="C998" s="12" t="s">
        <v>59</v>
      </c>
      <c r="D998" s="12">
        <v>0</v>
      </c>
      <c r="E998" s="12" t="s">
        <v>53</v>
      </c>
      <c r="F998" s="12">
        <v>0</v>
      </c>
      <c r="G998" s="12">
        <v>1</v>
      </c>
      <c r="H998" s="12" t="s">
        <v>54</v>
      </c>
      <c r="I998" s="12">
        <v>0</v>
      </c>
      <c r="J998" s="12">
        <v>1</v>
      </c>
      <c r="K998" s="12">
        <v>10</v>
      </c>
      <c r="L998" s="12">
        <f t="shared" si="226"/>
        <v>10</v>
      </c>
      <c r="M998" s="12">
        <v>3</v>
      </c>
      <c r="N998" s="12" t="s">
        <v>90</v>
      </c>
      <c r="O998" s="12">
        <v>0</v>
      </c>
      <c r="P998" s="12">
        <v>0</v>
      </c>
      <c r="Q998" s="12">
        <v>0</v>
      </c>
      <c r="R998" s="12">
        <v>1</v>
      </c>
      <c r="S998" s="12">
        <v>0</v>
      </c>
      <c r="T998" s="12">
        <v>4</v>
      </c>
      <c r="U998" s="12" t="s">
        <v>19</v>
      </c>
      <c r="V998" s="12">
        <v>1</v>
      </c>
      <c r="W998" s="12">
        <v>98</v>
      </c>
      <c r="X998" s="12">
        <v>2</v>
      </c>
      <c r="Y998" s="12">
        <v>2</v>
      </c>
      <c r="Z998" s="12" t="s">
        <v>56</v>
      </c>
      <c r="AA998" s="12">
        <v>0</v>
      </c>
      <c r="AB998" s="12">
        <v>1</v>
      </c>
      <c r="AC998" s="12">
        <v>0</v>
      </c>
      <c r="AD998" s="12">
        <v>0</v>
      </c>
      <c r="AE998" s="12">
        <v>0</v>
      </c>
      <c r="AF998" s="12">
        <v>0</v>
      </c>
      <c r="AG998" s="12">
        <v>0</v>
      </c>
      <c r="AH998" s="12">
        <v>0</v>
      </c>
      <c r="AI998" s="12">
        <v>4</v>
      </c>
      <c r="AJ998" s="12" t="s">
        <v>64</v>
      </c>
      <c r="AK998" s="12">
        <v>0</v>
      </c>
      <c r="AL998" s="12">
        <v>1</v>
      </c>
      <c r="AM998" s="12">
        <v>5769</v>
      </c>
      <c r="AN998" s="12">
        <f t="shared" si="227"/>
        <v>5769</v>
      </c>
      <c r="AO998" s="12">
        <v>1</v>
      </c>
      <c r="AP998" s="12" t="s">
        <v>52</v>
      </c>
      <c r="AQ998" s="12">
        <v>1</v>
      </c>
      <c r="AR998" s="12">
        <v>11</v>
      </c>
      <c r="AS998" s="12">
        <v>3</v>
      </c>
      <c r="AT998" s="12">
        <v>4</v>
      </c>
      <c r="AU998" s="12">
        <v>0</v>
      </c>
      <c r="AV998" s="12">
        <v>6</v>
      </c>
      <c r="AW998" s="12">
        <f t="shared" si="228"/>
        <v>6</v>
      </c>
      <c r="AX998" s="12">
        <v>3</v>
      </c>
      <c r="AY998" s="12">
        <v>3</v>
      </c>
      <c r="AZ998" s="12">
        <v>6</v>
      </c>
      <c r="BA998" s="12">
        <f t="shared" si="229"/>
        <v>6</v>
      </c>
      <c r="BB998" s="12">
        <v>2</v>
      </c>
      <c r="BC998" s="12">
        <v>4</v>
      </c>
      <c r="BD998" s="12">
        <f t="shared" si="238"/>
        <v>4</v>
      </c>
      <c r="BE998" s="12">
        <v>4</v>
      </c>
      <c r="BF998" s="12">
        <f t="shared" si="230"/>
        <v>4</v>
      </c>
      <c r="BG998" s="12">
        <f t="shared" si="239"/>
        <v>8</v>
      </c>
      <c r="BH998" s="67">
        <v>0</v>
      </c>
      <c r="BI998" s="67">
        <v>1</v>
      </c>
      <c r="BJ998" s="67">
        <v>0</v>
      </c>
      <c r="BK998" s="67">
        <v>0</v>
      </c>
      <c r="BL998" s="67">
        <v>0</v>
      </c>
      <c r="BM998" s="67">
        <v>0</v>
      </c>
      <c r="BN998" s="67">
        <v>0</v>
      </c>
      <c r="BO998" s="67">
        <v>1</v>
      </c>
      <c r="BP998" s="67">
        <v>0</v>
      </c>
      <c r="BQ998" s="67">
        <v>0</v>
      </c>
      <c r="BR998" s="67">
        <v>4</v>
      </c>
      <c r="BS998" s="67">
        <v>0</v>
      </c>
      <c r="BT998" s="67">
        <v>0</v>
      </c>
      <c r="BU998" s="70">
        <v>6</v>
      </c>
      <c r="BV998" s="29">
        <f t="shared" si="231"/>
        <v>0.15589168004937706</v>
      </c>
      <c r="BW998">
        <f t="shared" si="232"/>
        <v>3.4508002929560584E-2</v>
      </c>
      <c r="BX998">
        <f t="shared" si="233"/>
        <v>0.67854260110508058</v>
      </c>
      <c r="BY998">
        <f t="shared" si="234"/>
        <v>0.16455710867531462</v>
      </c>
      <c r="BZ998">
        <f t="shared" si="235"/>
        <v>9.9604847176766084E-2</v>
      </c>
      <c r="CA998">
        <f t="shared" si="236"/>
        <v>1.0863058347434136</v>
      </c>
      <c r="CB998">
        <f t="shared" si="237"/>
        <v>0.56238451757720498</v>
      </c>
    </row>
    <row r="999" spans="1:80" x14ac:dyDescent="0.45">
      <c r="A999" s="11">
        <v>27</v>
      </c>
      <c r="B999" s="12">
        <f t="shared" si="225"/>
        <v>27</v>
      </c>
      <c r="C999" s="12" t="s">
        <v>52</v>
      </c>
      <c r="D999" s="12">
        <v>1</v>
      </c>
      <c r="E999" s="12" t="s">
        <v>53</v>
      </c>
      <c r="F999" s="12">
        <v>0</v>
      </c>
      <c r="G999" s="12">
        <v>1</v>
      </c>
      <c r="H999" s="12" t="s">
        <v>61</v>
      </c>
      <c r="I999" s="12">
        <v>1</v>
      </c>
      <c r="J999" s="12">
        <v>0</v>
      </c>
      <c r="K999" s="12">
        <v>17</v>
      </c>
      <c r="L999" s="12">
        <f t="shared" si="226"/>
        <v>17</v>
      </c>
      <c r="M999" s="12">
        <v>4</v>
      </c>
      <c r="N999" s="12" t="s">
        <v>55</v>
      </c>
      <c r="O999" s="12">
        <v>1</v>
      </c>
      <c r="P999" s="12">
        <v>0</v>
      </c>
      <c r="Q999" s="12">
        <v>0</v>
      </c>
      <c r="R999" s="12">
        <v>0</v>
      </c>
      <c r="S999" s="12">
        <v>0</v>
      </c>
      <c r="T999" s="12">
        <v>4</v>
      </c>
      <c r="U999" s="12" t="s">
        <v>19</v>
      </c>
      <c r="V999" s="12">
        <v>1</v>
      </c>
      <c r="W999" s="12">
        <v>51</v>
      </c>
      <c r="X999" s="12">
        <v>3</v>
      </c>
      <c r="Y999" s="12">
        <v>1</v>
      </c>
      <c r="Z999" s="12" t="s">
        <v>63</v>
      </c>
      <c r="AA999" s="12">
        <v>0</v>
      </c>
      <c r="AB999" s="12">
        <v>0</v>
      </c>
      <c r="AC999" s="12">
        <v>0</v>
      </c>
      <c r="AD999" s="12">
        <v>0</v>
      </c>
      <c r="AE999" s="12">
        <v>0</v>
      </c>
      <c r="AF999" s="12">
        <v>0</v>
      </c>
      <c r="AG999" s="12">
        <v>0</v>
      </c>
      <c r="AH999" s="12">
        <v>1</v>
      </c>
      <c r="AI999" s="12">
        <v>3</v>
      </c>
      <c r="AJ999" s="12" t="s">
        <v>57</v>
      </c>
      <c r="AK999" s="12">
        <v>1</v>
      </c>
      <c r="AL999" s="12">
        <v>0</v>
      </c>
      <c r="AM999" s="12">
        <v>2394</v>
      </c>
      <c r="AN999" s="12">
        <f t="shared" si="227"/>
        <v>2394</v>
      </c>
      <c r="AO999" s="12">
        <v>1</v>
      </c>
      <c r="AP999" s="12" t="s">
        <v>52</v>
      </c>
      <c r="AQ999" s="12">
        <v>1</v>
      </c>
      <c r="AR999" s="12">
        <v>13</v>
      </c>
      <c r="AS999" s="12">
        <v>3</v>
      </c>
      <c r="AT999" s="12">
        <v>4</v>
      </c>
      <c r="AU999" s="12">
        <v>0</v>
      </c>
      <c r="AV999" s="12">
        <v>8</v>
      </c>
      <c r="AW999" s="12">
        <f t="shared" si="228"/>
        <v>8</v>
      </c>
      <c r="AX999" s="12">
        <v>2</v>
      </c>
      <c r="AY999" s="12">
        <v>3</v>
      </c>
      <c r="AZ999" s="12">
        <v>8</v>
      </c>
      <c r="BA999" s="12">
        <f t="shared" si="229"/>
        <v>8</v>
      </c>
      <c r="BB999" s="12">
        <v>2</v>
      </c>
      <c r="BC999" s="12">
        <v>7</v>
      </c>
      <c r="BD999" s="12">
        <f t="shared" si="238"/>
        <v>7</v>
      </c>
      <c r="BE999" s="12">
        <v>7</v>
      </c>
      <c r="BF999" s="12">
        <f t="shared" si="230"/>
        <v>7</v>
      </c>
      <c r="BG999" s="12">
        <f t="shared" si="239"/>
        <v>7</v>
      </c>
      <c r="BH999" s="67">
        <v>1</v>
      </c>
      <c r="BI999" s="67">
        <v>0</v>
      </c>
      <c r="BJ999" s="67">
        <v>0</v>
      </c>
      <c r="BK999" s="67">
        <v>0</v>
      </c>
      <c r="BL999" s="67">
        <v>0</v>
      </c>
      <c r="BM999" s="67">
        <v>1</v>
      </c>
      <c r="BN999" s="67">
        <v>0</v>
      </c>
      <c r="BO999" s="67">
        <v>0</v>
      </c>
      <c r="BP999" s="67">
        <v>0</v>
      </c>
      <c r="BQ999" s="67">
        <v>7</v>
      </c>
      <c r="BR999" s="67">
        <v>0</v>
      </c>
      <c r="BS999" s="67">
        <v>0</v>
      </c>
      <c r="BT999" s="67">
        <v>8</v>
      </c>
      <c r="BU999" s="70">
        <v>0</v>
      </c>
      <c r="BV999" s="29">
        <f t="shared" si="231"/>
        <v>0.87276317133335957</v>
      </c>
      <c r="BW999">
        <f t="shared" si="232"/>
        <v>0.80626709607243985</v>
      </c>
      <c r="BX999">
        <f t="shared" si="233"/>
        <v>0.42149901815843233</v>
      </c>
      <c r="BY999">
        <f t="shared" si="234"/>
        <v>0.16189221622713135</v>
      </c>
      <c r="BZ999">
        <f t="shared" si="235"/>
        <v>0.96307062430306978</v>
      </c>
      <c r="CA999">
        <f t="shared" si="236"/>
        <v>1.0863058347434136</v>
      </c>
      <c r="CB999">
        <f t="shared" si="237"/>
        <v>1.4933588878908215</v>
      </c>
    </row>
    <row r="1000" spans="1:80" x14ac:dyDescent="0.45">
      <c r="A1000" s="11">
        <v>26</v>
      </c>
      <c r="B1000" s="12">
        <f t="shared" si="225"/>
        <v>26</v>
      </c>
      <c r="C1000" s="12" t="s">
        <v>59</v>
      </c>
      <c r="D1000" s="12">
        <v>0</v>
      </c>
      <c r="E1000" s="12" t="s">
        <v>53</v>
      </c>
      <c r="F1000" s="12">
        <v>0</v>
      </c>
      <c r="G1000" s="12">
        <v>1</v>
      </c>
      <c r="H1000" s="12" t="s">
        <v>61</v>
      </c>
      <c r="I1000" s="12">
        <v>1</v>
      </c>
      <c r="J1000" s="12">
        <v>0</v>
      </c>
      <c r="K1000" s="12">
        <v>2</v>
      </c>
      <c r="L1000" s="12">
        <f t="shared" si="226"/>
        <v>2</v>
      </c>
      <c r="M1000" s="12">
        <v>1</v>
      </c>
      <c r="N1000" s="12" t="s">
        <v>70</v>
      </c>
      <c r="O1000" s="12">
        <v>0</v>
      </c>
      <c r="P1000" s="12">
        <v>0</v>
      </c>
      <c r="Q1000" s="12">
        <v>1</v>
      </c>
      <c r="R1000" s="12">
        <v>0</v>
      </c>
      <c r="S1000" s="12">
        <v>0</v>
      </c>
      <c r="T1000" s="12">
        <v>1</v>
      </c>
      <c r="U1000" s="12" t="s">
        <v>62</v>
      </c>
      <c r="V1000" s="12">
        <v>0</v>
      </c>
      <c r="W1000" s="12">
        <v>36</v>
      </c>
      <c r="X1000" s="12">
        <v>2</v>
      </c>
      <c r="Y1000" s="12">
        <v>1</v>
      </c>
      <c r="Z1000" s="12" t="s">
        <v>63</v>
      </c>
      <c r="AA1000" s="12">
        <v>0</v>
      </c>
      <c r="AB1000" s="12">
        <v>0</v>
      </c>
      <c r="AC1000" s="12">
        <v>0</v>
      </c>
      <c r="AD1000" s="12">
        <v>0</v>
      </c>
      <c r="AE1000" s="12">
        <v>0</v>
      </c>
      <c r="AF1000" s="12">
        <v>0</v>
      </c>
      <c r="AG1000" s="12">
        <v>0</v>
      </c>
      <c r="AH1000" s="12">
        <v>1</v>
      </c>
      <c r="AI1000" s="12">
        <v>4</v>
      </c>
      <c r="AJ1000" s="12" t="s">
        <v>57</v>
      </c>
      <c r="AK1000" s="12">
        <v>1</v>
      </c>
      <c r="AL1000" s="12">
        <v>0</v>
      </c>
      <c r="AM1000" s="12">
        <v>3904</v>
      </c>
      <c r="AN1000" s="12">
        <f t="shared" si="227"/>
        <v>3904</v>
      </c>
      <c r="AO1000" s="12">
        <v>0</v>
      </c>
      <c r="AP1000" s="12" t="s">
        <v>59</v>
      </c>
      <c r="AQ1000" s="12">
        <v>0</v>
      </c>
      <c r="AR1000" s="12">
        <v>12</v>
      </c>
      <c r="AS1000" s="12">
        <v>3</v>
      </c>
      <c r="AT1000" s="12">
        <v>4</v>
      </c>
      <c r="AU1000" s="12">
        <v>0</v>
      </c>
      <c r="AV1000" s="12">
        <v>5</v>
      </c>
      <c r="AW1000" s="12">
        <f t="shared" si="228"/>
        <v>5</v>
      </c>
      <c r="AX1000" s="12">
        <v>2</v>
      </c>
      <c r="AY1000" s="12">
        <v>3</v>
      </c>
      <c r="AZ1000" s="12">
        <v>4</v>
      </c>
      <c r="BA1000" s="12">
        <f t="shared" si="229"/>
        <v>4</v>
      </c>
      <c r="BB1000" s="12">
        <v>3</v>
      </c>
      <c r="BC1000" s="12">
        <v>1</v>
      </c>
      <c r="BD1000" s="12">
        <f t="shared" si="238"/>
        <v>1</v>
      </c>
      <c r="BE1000" s="12">
        <v>1</v>
      </c>
      <c r="BF1000" s="12">
        <f t="shared" si="230"/>
        <v>1</v>
      </c>
      <c r="BG1000" s="12">
        <f t="shared" si="239"/>
        <v>1</v>
      </c>
      <c r="BH1000" s="67">
        <v>1</v>
      </c>
      <c r="BI1000" s="67">
        <v>0</v>
      </c>
      <c r="BJ1000" s="67">
        <v>0</v>
      </c>
      <c r="BK1000" s="67">
        <v>0</v>
      </c>
      <c r="BL1000" s="67">
        <v>1</v>
      </c>
      <c r="BM1000" s="67">
        <v>0</v>
      </c>
      <c r="BN1000" s="67">
        <v>0</v>
      </c>
      <c r="BO1000" s="67">
        <v>0</v>
      </c>
      <c r="BP1000" s="67">
        <v>0</v>
      </c>
      <c r="BQ1000" s="67">
        <v>1</v>
      </c>
      <c r="BR1000" s="67">
        <v>0</v>
      </c>
      <c r="BS1000" s="67">
        <v>0</v>
      </c>
      <c r="BT1000" s="67">
        <v>5</v>
      </c>
      <c r="BU1000" s="70">
        <v>0</v>
      </c>
      <c r="BV1000" s="29">
        <f t="shared" si="231"/>
        <v>0.55202955597371106</v>
      </c>
      <c r="BW1000">
        <f t="shared" si="232"/>
        <v>0.87528310193156111</v>
      </c>
      <c r="BX1000">
        <f t="shared" si="233"/>
        <v>0.80706439257840468</v>
      </c>
      <c r="BY1000">
        <f t="shared" si="234"/>
        <v>0.49100643357776058</v>
      </c>
      <c r="BZ1000">
        <f t="shared" si="235"/>
        <v>0.88721318382472392</v>
      </c>
      <c r="CA1000">
        <f t="shared" si="236"/>
        <v>1.195770434213719</v>
      </c>
      <c r="CB1000">
        <f t="shared" si="237"/>
        <v>0.36858985273641137</v>
      </c>
    </row>
    <row r="1001" spans="1:80" x14ac:dyDescent="0.45">
      <c r="A1001" s="11">
        <v>42</v>
      </c>
      <c r="B1001" s="12">
        <f t="shared" si="225"/>
        <v>42</v>
      </c>
      <c r="C1001" s="12" t="s">
        <v>59</v>
      </c>
      <c r="D1001" s="12">
        <v>0</v>
      </c>
      <c r="E1001" s="12" t="s">
        <v>53</v>
      </c>
      <c r="F1001" s="12">
        <v>0</v>
      </c>
      <c r="G1001" s="12">
        <v>1</v>
      </c>
      <c r="H1001" s="12" t="s">
        <v>97</v>
      </c>
      <c r="I1001" s="12">
        <v>0</v>
      </c>
      <c r="J1001" s="12">
        <v>0</v>
      </c>
      <c r="K1001" s="12">
        <v>10</v>
      </c>
      <c r="L1001" s="12">
        <f t="shared" si="226"/>
        <v>10</v>
      </c>
      <c r="M1001" s="12">
        <v>3</v>
      </c>
      <c r="N1001" s="12" t="s">
        <v>97</v>
      </c>
      <c r="O1001" s="12">
        <v>0</v>
      </c>
      <c r="P1001" s="12">
        <v>0</v>
      </c>
      <c r="Q1001" s="12">
        <v>0</v>
      </c>
      <c r="R1001" s="12">
        <v>0</v>
      </c>
      <c r="S1001" s="12">
        <v>0</v>
      </c>
      <c r="T1001" s="12">
        <v>3</v>
      </c>
      <c r="U1001" s="12" t="s">
        <v>19</v>
      </c>
      <c r="V1001" s="12">
        <v>1</v>
      </c>
      <c r="W1001" s="12">
        <v>31</v>
      </c>
      <c r="X1001" s="12">
        <v>3</v>
      </c>
      <c r="Y1001" s="12">
        <v>4</v>
      </c>
      <c r="Z1001" s="12" t="s">
        <v>87</v>
      </c>
      <c r="AA1001" s="12">
        <v>0</v>
      </c>
      <c r="AB1001" s="12">
        <v>0</v>
      </c>
      <c r="AC1001" s="12">
        <v>0</v>
      </c>
      <c r="AD1001" s="12">
        <v>1</v>
      </c>
      <c r="AE1001" s="12">
        <v>0</v>
      </c>
      <c r="AF1001" s="12">
        <v>0</v>
      </c>
      <c r="AG1001" s="12">
        <v>0</v>
      </c>
      <c r="AH1001" s="12">
        <v>0</v>
      </c>
      <c r="AI1001" s="12">
        <v>1</v>
      </c>
      <c r="AJ1001" s="12" t="s">
        <v>64</v>
      </c>
      <c r="AK1001" s="12">
        <v>0</v>
      </c>
      <c r="AL1001" s="12">
        <v>1</v>
      </c>
      <c r="AM1001" s="12">
        <v>16799</v>
      </c>
      <c r="AN1001" s="12">
        <f t="shared" si="227"/>
        <v>16799</v>
      </c>
      <c r="AO1001" s="12">
        <v>0</v>
      </c>
      <c r="AP1001" s="12" t="s">
        <v>59</v>
      </c>
      <c r="AQ1001" s="12">
        <v>0</v>
      </c>
      <c r="AR1001" s="12">
        <v>14</v>
      </c>
      <c r="AS1001" s="12">
        <v>3</v>
      </c>
      <c r="AT1001" s="12">
        <v>3</v>
      </c>
      <c r="AU1001" s="12">
        <v>1</v>
      </c>
      <c r="AV1001" s="12">
        <v>21</v>
      </c>
      <c r="AW1001" s="12">
        <f t="shared" si="228"/>
        <v>21</v>
      </c>
      <c r="AX1001" s="12">
        <v>5</v>
      </c>
      <c r="AY1001" s="12">
        <v>3</v>
      </c>
      <c r="AZ1001" s="12">
        <v>20</v>
      </c>
      <c r="BA1001" s="12">
        <f t="shared" si="229"/>
        <v>20</v>
      </c>
      <c r="BB1001" s="12">
        <v>7</v>
      </c>
      <c r="BC1001" s="12">
        <v>0</v>
      </c>
      <c r="BD1001" s="12">
        <f t="shared" si="238"/>
        <v>0</v>
      </c>
      <c r="BE1001" s="12">
        <v>9</v>
      </c>
      <c r="BF1001" s="12">
        <f t="shared" si="230"/>
        <v>9</v>
      </c>
      <c r="BG1001" s="12">
        <f t="shared" si="239"/>
        <v>36</v>
      </c>
      <c r="BH1001" s="67">
        <v>0</v>
      </c>
      <c r="BI1001" s="67">
        <v>1</v>
      </c>
      <c r="BJ1001" s="67">
        <v>0</v>
      </c>
      <c r="BK1001" s="67">
        <v>0</v>
      </c>
      <c r="BL1001" s="67">
        <v>0</v>
      </c>
      <c r="BM1001" s="67">
        <v>0</v>
      </c>
      <c r="BN1001" s="67">
        <v>1</v>
      </c>
      <c r="BO1001" s="67">
        <v>0</v>
      </c>
      <c r="BP1001" s="67">
        <v>9</v>
      </c>
      <c r="BQ1001" s="67">
        <v>0</v>
      </c>
      <c r="BR1001" s="67">
        <v>0</v>
      </c>
      <c r="BS1001" s="67">
        <v>21</v>
      </c>
      <c r="BT1001" s="67">
        <v>0</v>
      </c>
      <c r="BU1001" s="70">
        <v>0</v>
      </c>
      <c r="BV1001" s="29">
        <f t="shared" si="231"/>
        <v>2.1869505566505718</v>
      </c>
      <c r="BW1001">
        <f t="shared" si="232"/>
        <v>1.3667838287404401</v>
      </c>
      <c r="BX1001">
        <f t="shared" si="233"/>
        <v>1.2492842709947811</v>
      </c>
      <c r="BY1001">
        <f t="shared" si="234"/>
        <v>2.1205881656418071</v>
      </c>
      <c r="BZ1001">
        <f t="shared" si="235"/>
        <v>9.9604847176766084E-2</v>
      </c>
      <c r="CA1001">
        <f t="shared" si="236"/>
        <v>0.55566315731117022</v>
      </c>
      <c r="CB1001">
        <f t="shared" si="237"/>
        <v>0.67891464284095016</v>
      </c>
    </row>
    <row r="1002" spans="1:80" x14ac:dyDescent="0.45">
      <c r="A1002" s="11">
        <v>52</v>
      </c>
      <c r="B1002" s="12">
        <f t="shared" si="225"/>
        <v>52</v>
      </c>
      <c r="C1002" s="12" t="s">
        <v>59</v>
      </c>
      <c r="D1002" s="12">
        <v>0</v>
      </c>
      <c r="E1002" s="12" t="s">
        <v>53</v>
      </c>
      <c r="F1002" s="12">
        <v>0</v>
      </c>
      <c r="G1002" s="12">
        <v>1</v>
      </c>
      <c r="H1002" s="12" t="s">
        <v>61</v>
      </c>
      <c r="I1002" s="12">
        <v>1</v>
      </c>
      <c r="J1002" s="12">
        <v>0</v>
      </c>
      <c r="K1002" s="12">
        <v>8</v>
      </c>
      <c r="L1002" s="12">
        <f t="shared" si="226"/>
        <v>8</v>
      </c>
      <c r="M1002" s="12">
        <v>4</v>
      </c>
      <c r="N1002" s="12" t="s">
        <v>66</v>
      </c>
      <c r="O1002" s="12">
        <v>0</v>
      </c>
      <c r="P1002" s="12">
        <v>1</v>
      </c>
      <c r="Q1002" s="12">
        <v>0</v>
      </c>
      <c r="R1002" s="12">
        <v>0</v>
      </c>
      <c r="S1002" s="12">
        <v>0</v>
      </c>
      <c r="T1002" s="12">
        <v>3</v>
      </c>
      <c r="U1002" s="12" t="s">
        <v>19</v>
      </c>
      <c r="V1002" s="12">
        <v>1</v>
      </c>
      <c r="W1002" s="12">
        <v>54</v>
      </c>
      <c r="X1002" s="12">
        <v>3</v>
      </c>
      <c r="Y1002" s="12">
        <v>1</v>
      </c>
      <c r="Z1002" s="12" t="s">
        <v>67</v>
      </c>
      <c r="AA1002" s="12">
        <v>0</v>
      </c>
      <c r="AB1002" s="12">
        <v>0</v>
      </c>
      <c r="AC1002" s="12">
        <v>1</v>
      </c>
      <c r="AD1002" s="12">
        <v>0</v>
      </c>
      <c r="AE1002" s="12">
        <v>0</v>
      </c>
      <c r="AF1002" s="12">
        <v>0</v>
      </c>
      <c r="AG1002" s="12">
        <v>0</v>
      </c>
      <c r="AH1002" s="12">
        <v>0</v>
      </c>
      <c r="AI1002" s="12">
        <v>1</v>
      </c>
      <c r="AJ1002" s="12" t="s">
        <v>64</v>
      </c>
      <c r="AK1002" s="12">
        <v>0</v>
      </c>
      <c r="AL1002" s="12">
        <v>1</v>
      </c>
      <c r="AM1002" s="12">
        <v>2950</v>
      </c>
      <c r="AN1002" s="12">
        <f t="shared" si="227"/>
        <v>2950</v>
      </c>
      <c r="AO1002" s="12">
        <v>9</v>
      </c>
      <c r="AP1002" s="12" t="s">
        <v>59</v>
      </c>
      <c r="AQ1002" s="12">
        <v>0</v>
      </c>
      <c r="AR1002" s="12">
        <v>13</v>
      </c>
      <c r="AS1002" s="12">
        <v>3</v>
      </c>
      <c r="AT1002" s="12">
        <v>3</v>
      </c>
      <c r="AU1002" s="12">
        <v>0</v>
      </c>
      <c r="AV1002" s="12">
        <v>12</v>
      </c>
      <c r="AW1002" s="12">
        <f t="shared" si="228"/>
        <v>12</v>
      </c>
      <c r="AX1002" s="12">
        <v>2</v>
      </c>
      <c r="AY1002" s="12">
        <v>1</v>
      </c>
      <c r="AZ1002" s="12">
        <v>5</v>
      </c>
      <c r="BA1002" s="12">
        <f t="shared" si="229"/>
        <v>5</v>
      </c>
      <c r="BB1002" s="12">
        <v>4</v>
      </c>
      <c r="BC1002" s="12">
        <v>0</v>
      </c>
      <c r="BD1002" s="12">
        <f t="shared" si="238"/>
        <v>0</v>
      </c>
      <c r="BE1002" s="12">
        <v>4</v>
      </c>
      <c r="BF1002" s="12">
        <f t="shared" si="230"/>
        <v>4</v>
      </c>
      <c r="BG1002" s="12">
        <f t="shared" si="239"/>
        <v>4</v>
      </c>
      <c r="BH1002" s="67">
        <v>0</v>
      </c>
      <c r="BI1002" s="67">
        <v>1</v>
      </c>
      <c r="BJ1002" s="67">
        <v>0</v>
      </c>
      <c r="BK1002" s="67">
        <v>0</v>
      </c>
      <c r="BL1002" s="67">
        <v>0</v>
      </c>
      <c r="BM1002" s="67">
        <v>0</v>
      </c>
      <c r="BN1002" s="67">
        <v>1</v>
      </c>
      <c r="BO1002" s="67">
        <v>0</v>
      </c>
      <c r="BP1002" s="67">
        <v>0</v>
      </c>
      <c r="BQ1002" s="67">
        <v>4</v>
      </c>
      <c r="BR1002" s="67">
        <v>0</v>
      </c>
      <c r="BS1002" s="67">
        <v>0</v>
      </c>
      <c r="BT1002" s="67">
        <v>12</v>
      </c>
      <c r="BU1002" s="70">
        <v>0</v>
      </c>
      <c r="BV1002" s="29">
        <f t="shared" si="231"/>
        <v>0.75466523084331683</v>
      </c>
      <c r="BW1002">
        <f t="shared" si="232"/>
        <v>3.4508002929560584E-2</v>
      </c>
      <c r="BX1002">
        <f t="shared" si="233"/>
        <v>9.2588147734864096E-2</v>
      </c>
      <c r="BY1002">
        <f t="shared" si="234"/>
        <v>0.32778177112653761</v>
      </c>
      <c r="BZ1002">
        <f t="shared" si="235"/>
        <v>0.14709966057360641</v>
      </c>
      <c r="CA1002">
        <f t="shared" si="236"/>
        <v>1.6503091520142259</v>
      </c>
      <c r="CB1002">
        <f t="shared" si="237"/>
        <v>0.67891464284095016</v>
      </c>
    </row>
    <row r="1003" spans="1:80" x14ac:dyDescent="0.45">
      <c r="A1003" s="11">
        <v>37</v>
      </c>
      <c r="B1003" s="12">
        <f t="shared" si="225"/>
        <v>37</v>
      </c>
      <c r="C1003" s="12" t="s">
        <v>59</v>
      </c>
      <c r="D1003" s="12">
        <v>0</v>
      </c>
      <c r="E1003" s="12" t="s">
        <v>53</v>
      </c>
      <c r="F1003" s="12">
        <v>0</v>
      </c>
      <c r="G1003" s="12">
        <v>1</v>
      </c>
      <c r="H1003" s="12" t="s">
        <v>61</v>
      </c>
      <c r="I1003" s="12">
        <v>1</v>
      </c>
      <c r="J1003" s="12">
        <v>0</v>
      </c>
      <c r="K1003" s="12">
        <v>11</v>
      </c>
      <c r="L1003" s="12">
        <f t="shared" si="226"/>
        <v>11</v>
      </c>
      <c r="M1003" s="12">
        <v>3</v>
      </c>
      <c r="N1003" s="12" t="s">
        <v>70</v>
      </c>
      <c r="O1003" s="12">
        <v>0</v>
      </c>
      <c r="P1003" s="12">
        <v>0</v>
      </c>
      <c r="Q1003" s="12">
        <v>1</v>
      </c>
      <c r="R1003" s="12">
        <v>0</v>
      </c>
      <c r="S1003" s="12">
        <v>0</v>
      </c>
      <c r="T1003" s="12">
        <v>1</v>
      </c>
      <c r="U1003" s="12" t="s">
        <v>19</v>
      </c>
      <c r="V1003" s="12">
        <v>1</v>
      </c>
      <c r="W1003" s="12">
        <v>94</v>
      </c>
      <c r="X1003" s="12">
        <v>3</v>
      </c>
      <c r="Y1003" s="12">
        <v>1</v>
      </c>
      <c r="Z1003" s="12" t="s">
        <v>67</v>
      </c>
      <c r="AA1003" s="12">
        <v>0</v>
      </c>
      <c r="AB1003" s="12">
        <v>0</v>
      </c>
      <c r="AC1003" s="12">
        <v>1</v>
      </c>
      <c r="AD1003" s="12">
        <v>0</v>
      </c>
      <c r="AE1003" s="12">
        <v>0</v>
      </c>
      <c r="AF1003" s="12">
        <v>0</v>
      </c>
      <c r="AG1003" s="12">
        <v>0</v>
      </c>
      <c r="AH1003" s="12">
        <v>0</v>
      </c>
      <c r="AI1003" s="12">
        <v>3</v>
      </c>
      <c r="AJ1003" s="12" t="s">
        <v>57</v>
      </c>
      <c r="AK1003" s="12">
        <v>1</v>
      </c>
      <c r="AL1003" s="12">
        <v>0</v>
      </c>
      <c r="AM1003" s="12">
        <v>3629</v>
      </c>
      <c r="AN1003" s="12">
        <f t="shared" si="227"/>
        <v>3629</v>
      </c>
      <c r="AO1003" s="12">
        <v>4</v>
      </c>
      <c r="AP1003" s="12" t="s">
        <v>59</v>
      </c>
      <c r="AQ1003" s="12">
        <v>0</v>
      </c>
      <c r="AR1003" s="12">
        <v>18</v>
      </c>
      <c r="AS1003" s="12">
        <v>3</v>
      </c>
      <c r="AT1003" s="12">
        <v>1</v>
      </c>
      <c r="AU1003" s="12">
        <v>0</v>
      </c>
      <c r="AV1003" s="12">
        <v>8</v>
      </c>
      <c r="AW1003" s="12">
        <f t="shared" si="228"/>
        <v>8</v>
      </c>
      <c r="AX1003" s="12">
        <v>6</v>
      </c>
      <c r="AY1003" s="12">
        <v>3</v>
      </c>
      <c r="AZ1003" s="12">
        <v>3</v>
      </c>
      <c r="BA1003" s="12">
        <f t="shared" si="229"/>
        <v>3</v>
      </c>
      <c r="BB1003" s="12">
        <v>2</v>
      </c>
      <c r="BC1003" s="12">
        <v>0</v>
      </c>
      <c r="BD1003" s="12">
        <f t="shared" si="238"/>
        <v>0</v>
      </c>
      <c r="BE1003" s="12">
        <v>2</v>
      </c>
      <c r="BF1003" s="12">
        <f t="shared" si="230"/>
        <v>2</v>
      </c>
      <c r="BG1003" s="12">
        <f t="shared" si="239"/>
        <v>2</v>
      </c>
      <c r="BH1003" s="67">
        <v>1</v>
      </c>
      <c r="BI1003" s="67">
        <v>0</v>
      </c>
      <c r="BJ1003" s="67">
        <v>0</v>
      </c>
      <c r="BK1003" s="67">
        <v>0</v>
      </c>
      <c r="BL1003" s="67">
        <v>1</v>
      </c>
      <c r="BM1003" s="67">
        <v>0</v>
      </c>
      <c r="BN1003" s="67">
        <v>0</v>
      </c>
      <c r="BO1003" s="67">
        <v>0</v>
      </c>
      <c r="BP1003" s="67">
        <v>0</v>
      </c>
      <c r="BQ1003" s="67">
        <v>2</v>
      </c>
      <c r="BR1003" s="67">
        <v>0</v>
      </c>
      <c r="BS1003" s="67">
        <v>0</v>
      </c>
      <c r="BT1003" s="67">
        <v>8</v>
      </c>
      <c r="BU1003" s="70">
        <v>0</v>
      </c>
      <c r="BV1003" s="29">
        <f t="shared" si="231"/>
        <v>0.61044130711536893</v>
      </c>
      <c r="BW1003">
        <f t="shared" si="232"/>
        <v>0.59502473559756086</v>
      </c>
      <c r="BX1003">
        <f t="shared" si="233"/>
        <v>0.42149901815843233</v>
      </c>
      <c r="BY1003">
        <f t="shared" si="234"/>
        <v>0.65423109602898355</v>
      </c>
      <c r="BZ1003">
        <f t="shared" si="235"/>
        <v>0.22295710105195232</v>
      </c>
      <c r="CA1003">
        <f t="shared" si="236"/>
        <v>8.3401599596422994E-3</v>
      </c>
      <c r="CB1003">
        <f t="shared" si="237"/>
        <v>0.67891464284095016</v>
      </c>
    </row>
    <row r="1004" spans="1:80" x14ac:dyDescent="0.45">
      <c r="A1004" s="11">
        <v>35</v>
      </c>
      <c r="B1004" s="12">
        <f t="shared" si="225"/>
        <v>35</v>
      </c>
      <c r="C1004" s="12" t="s">
        <v>59</v>
      </c>
      <c r="D1004" s="12">
        <v>0</v>
      </c>
      <c r="E1004" s="12" t="s">
        <v>60</v>
      </c>
      <c r="F1004" s="12">
        <v>1</v>
      </c>
      <c r="G1004" s="12">
        <v>0</v>
      </c>
      <c r="H1004" s="12" t="s">
        <v>61</v>
      </c>
      <c r="I1004" s="12">
        <v>1</v>
      </c>
      <c r="J1004" s="12">
        <v>0</v>
      </c>
      <c r="K1004" s="12">
        <v>18</v>
      </c>
      <c r="L1004" s="12">
        <f t="shared" si="226"/>
        <v>18</v>
      </c>
      <c r="M1004" s="12">
        <v>2</v>
      </c>
      <c r="N1004" s="12" t="s">
        <v>55</v>
      </c>
      <c r="O1004" s="12">
        <v>1</v>
      </c>
      <c r="P1004" s="12">
        <v>0</v>
      </c>
      <c r="Q1004" s="12">
        <v>0</v>
      </c>
      <c r="R1004" s="12">
        <v>0</v>
      </c>
      <c r="S1004" s="12">
        <v>0</v>
      </c>
      <c r="T1004" s="12">
        <v>3</v>
      </c>
      <c r="U1004" s="12" t="s">
        <v>62</v>
      </c>
      <c r="V1004" s="12">
        <v>0</v>
      </c>
      <c r="W1004" s="12">
        <v>60</v>
      </c>
      <c r="X1004" s="12">
        <v>3</v>
      </c>
      <c r="Y1004" s="12">
        <v>3</v>
      </c>
      <c r="Z1004" s="12" t="s">
        <v>83</v>
      </c>
      <c r="AA1004" s="12">
        <v>0</v>
      </c>
      <c r="AB1004" s="12">
        <v>0</v>
      </c>
      <c r="AC1004" s="12">
        <v>0</v>
      </c>
      <c r="AD1004" s="12">
        <v>0</v>
      </c>
      <c r="AE1004" s="12">
        <v>1</v>
      </c>
      <c r="AF1004" s="12">
        <v>1</v>
      </c>
      <c r="AG1004" s="12">
        <v>0</v>
      </c>
      <c r="AH1004" s="12">
        <v>0</v>
      </c>
      <c r="AI1004" s="12">
        <v>4</v>
      </c>
      <c r="AJ1004" s="12" t="s">
        <v>57</v>
      </c>
      <c r="AK1004" s="12">
        <v>1</v>
      </c>
      <c r="AL1004" s="12">
        <v>0</v>
      </c>
      <c r="AM1004" s="12">
        <v>9362</v>
      </c>
      <c r="AN1004" s="12">
        <f t="shared" si="227"/>
        <v>9362</v>
      </c>
      <c r="AO1004" s="12">
        <v>2</v>
      </c>
      <c r="AP1004" s="12" t="s">
        <v>59</v>
      </c>
      <c r="AQ1004" s="12">
        <v>0</v>
      </c>
      <c r="AR1004" s="12">
        <v>11</v>
      </c>
      <c r="AS1004" s="12">
        <v>3</v>
      </c>
      <c r="AT1004" s="12">
        <v>3</v>
      </c>
      <c r="AU1004" s="12">
        <v>0</v>
      </c>
      <c r="AV1004" s="12">
        <v>10</v>
      </c>
      <c r="AW1004" s="12">
        <f t="shared" si="228"/>
        <v>10</v>
      </c>
      <c r="AX1004" s="12">
        <v>2</v>
      </c>
      <c r="AY1004" s="12">
        <v>3</v>
      </c>
      <c r="AZ1004" s="12">
        <v>2</v>
      </c>
      <c r="BA1004" s="12">
        <f t="shared" si="229"/>
        <v>2</v>
      </c>
      <c r="BB1004" s="12">
        <v>2</v>
      </c>
      <c r="BC1004" s="12">
        <v>2</v>
      </c>
      <c r="BD1004" s="12">
        <f t="shared" si="238"/>
        <v>2</v>
      </c>
      <c r="BE1004" s="12">
        <v>2</v>
      </c>
      <c r="BF1004" s="12">
        <f t="shared" si="230"/>
        <v>2</v>
      </c>
      <c r="BG1004" s="12">
        <f t="shared" si="239"/>
        <v>6</v>
      </c>
      <c r="BH1004" s="67">
        <v>0</v>
      </c>
      <c r="BI1004" s="67">
        <v>0</v>
      </c>
      <c r="BJ1004" s="67">
        <v>1</v>
      </c>
      <c r="BK1004" s="67">
        <v>0</v>
      </c>
      <c r="BL1004" s="67">
        <v>1</v>
      </c>
      <c r="BM1004" s="67">
        <v>0</v>
      </c>
      <c r="BN1004" s="67">
        <v>0</v>
      </c>
      <c r="BO1004" s="67">
        <v>0</v>
      </c>
      <c r="BP1004" s="67">
        <v>0</v>
      </c>
      <c r="BQ1004" s="67">
        <v>2</v>
      </c>
      <c r="BR1004" s="67">
        <v>0</v>
      </c>
      <c r="BS1004" s="67">
        <v>0</v>
      </c>
      <c r="BT1004" s="67">
        <v>10</v>
      </c>
      <c r="BU1004" s="70">
        <v>0</v>
      </c>
      <c r="BV1004" s="29">
        <f t="shared" si="231"/>
        <v>0.60728439941235601</v>
      </c>
      <c r="BW1004">
        <f t="shared" si="232"/>
        <v>0.59502473559756086</v>
      </c>
      <c r="BX1004">
        <f t="shared" si="233"/>
        <v>0.1644554352117841</v>
      </c>
      <c r="BY1004">
        <f t="shared" si="234"/>
        <v>0.81745575848020657</v>
      </c>
      <c r="BZ1004">
        <f t="shared" si="235"/>
        <v>1.0864228781782561</v>
      </c>
      <c r="CA1004">
        <f t="shared" si="236"/>
        <v>0.21058903898096887</v>
      </c>
      <c r="CB1004">
        <f t="shared" si="237"/>
        <v>5.8265062631872602E-2</v>
      </c>
    </row>
    <row r="1005" spans="1:80" x14ac:dyDescent="0.45">
      <c r="A1005" s="11">
        <v>25</v>
      </c>
      <c r="B1005" s="12">
        <f t="shared" si="225"/>
        <v>25</v>
      </c>
      <c r="C1005" s="12" t="s">
        <v>59</v>
      </c>
      <c r="D1005" s="12">
        <v>0</v>
      </c>
      <c r="E1005" s="12" t="s">
        <v>53</v>
      </c>
      <c r="F1005" s="12">
        <v>0</v>
      </c>
      <c r="G1005" s="12">
        <v>1</v>
      </c>
      <c r="H1005" s="12" t="s">
        <v>61</v>
      </c>
      <c r="I1005" s="12">
        <v>1</v>
      </c>
      <c r="J1005" s="12">
        <v>0</v>
      </c>
      <c r="K1005" s="12">
        <v>1</v>
      </c>
      <c r="L1005" s="12">
        <f t="shared" si="226"/>
        <v>1</v>
      </c>
      <c r="M1005" s="12">
        <v>3</v>
      </c>
      <c r="N1005" s="12" t="s">
        <v>91</v>
      </c>
      <c r="O1005" s="12">
        <v>0</v>
      </c>
      <c r="P1005" s="12">
        <v>0</v>
      </c>
      <c r="Q1005" s="12">
        <v>0</v>
      </c>
      <c r="R1005" s="12">
        <v>0</v>
      </c>
      <c r="S1005" s="12">
        <v>1</v>
      </c>
      <c r="T1005" s="12">
        <v>1</v>
      </c>
      <c r="U1005" s="12" t="s">
        <v>62</v>
      </c>
      <c r="V1005" s="12">
        <v>0</v>
      </c>
      <c r="W1005" s="12">
        <v>81</v>
      </c>
      <c r="X1005" s="12">
        <v>3</v>
      </c>
      <c r="Y1005" s="12">
        <v>1</v>
      </c>
      <c r="Z1005" s="12" t="s">
        <v>67</v>
      </c>
      <c r="AA1005" s="12">
        <v>0</v>
      </c>
      <c r="AB1005" s="12">
        <v>0</v>
      </c>
      <c r="AC1005" s="12">
        <v>1</v>
      </c>
      <c r="AD1005" s="12">
        <v>0</v>
      </c>
      <c r="AE1005" s="12">
        <v>0</v>
      </c>
      <c r="AF1005" s="12">
        <v>0</v>
      </c>
      <c r="AG1005" s="12">
        <v>0</v>
      </c>
      <c r="AH1005" s="12">
        <v>0</v>
      </c>
      <c r="AI1005" s="12">
        <v>4</v>
      </c>
      <c r="AJ1005" s="12" t="s">
        <v>64</v>
      </c>
      <c r="AK1005" s="12">
        <v>0</v>
      </c>
      <c r="AL1005" s="12">
        <v>1</v>
      </c>
      <c r="AM1005" s="12">
        <v>3229</v>
      </c>
      <c r="AN1005" s="12">
        <f t="shared" si="227"/>
        <v>3229</v>
      </c>
      <c r="AO1005" s="12">
        <v>4</v>
      </c>
      <c r="AP1005" s="12" t="s">
        <v>59</v>
      </c>
      <c r="AQ1005" s="12">
        <v>0</v>
      </c>
      <c r="AR1005" s="12">
        <v>11</v>
      </c>
      <c r="AS1005" s="12">
        <v>3</v>
      </c>
      <c r="AT1005" s="12">
        <v>2</v>
      </c>
      <c r="AU1005" s="12">
        <v>1</v>
      </c>
      <c r="AV1005" s="12">
        <v>7</v>
      </c>
      <c r="AW1005" s="12">
        <f t="shared" si="228"/>
        <v>7</v>
      </c>
      <c r="AX1005" s="12">
        <v>2</v>
      </c>
      <c r="AY1005" s="12">
        <v>2</v>
      </c>
      <c r="AZ1005" s="12">
        <v>3</v>
      </c>
      <c r="BA1005" s="12">
        <f t="shared" si="229"/>
        <v>3</v>
      </c>
      <c r="BB1005" s="12">
        <v>2</v>
      </c>
      <c r="BC1005" s="12">
        <v>0</v>
      </c>
      <c r="BD1005" s="12">
        <f t="shared" si="238"/>
        <v>0</v>
      </c>
      <c r="BE1005" s="12">
        <v>2</v>
      </c>
      <c r="BF1005" s="12">
        <f t="shared" si="230"/>
        <v>2</v>
      </c>
      <c r="BG1005" s="12">
        <f t="shared" si="239"/>
        <v>2</v>
      </c>
      <c r="BH1005" s="67">
        <v>0</v>
      </c>
      <c r="BI1005" s="67">
        <v>1</v>
      </c>
      <c r="BJ1005" s="67">
        <v>0</v>
      </c>
      <c r="BK1005" s="67">
        <v>0</v>
      </c>
      <c r="BL1005" s="67">
        <v>0</v>
      </c>
      <c r="BM1005" s="67">
        <v>0</v>
      </c>
      <c r="BN1005" s="67">
        <v>1</v>
      </c>
      <c r="BO1005" s="67">
        <v>0</v>
      </c>
      <c r="BP1005" s="67">
        <v>0</v>
      </c>
      <c r="BQ1005" s="67">
        <v>2</v>
      </c>
      <c r="BR1005" s="67">
        <v>0</v>
      </c>
      <c r="BS1005" s="67">
        <v>0</v>
      </c>
      <c r="BT1005" s="67">
        <v>7</v>
      </c>
      <c r="BU1005" s="70">
        <v>0</v>
      </c>
      <c r="BV1005" s="29">
        <f t="shared" si="231"/>
        <v>0.69540385423050766</v>
      </c>
      <c r="BW1005">
        <f t="shared" si="232"/>
        <v>0.59502473559756086</v>
      </c>
      <c r="BX1005">
        <f t="shared" si="233"/>
        <v>0.55002080963175637</v>
      </c>
      <c r="BY1005">
        <f t="shared" si="234"/>
        <v>0.65423109602898355</v>
      </c>
      <c r="BZ1005">
        <f t="shared" si="235"/>
        <v>1.01056543769991</v>
      </c>
      <c r="CA1005">
        <f t="shared" si="236"/>
        <v>1.3052350336840246</v>
      </c>
      <c r="CB1005">
        <f t="shared" si="237"/>
        <v>0.67891464284095016</v>
      </c>
    </row>
    <row r="1006" spans="1:80" x14ac:dyDescent="0.45">
      <c r="A1006" s="11">
        <v>26</v>
      </c>
      <c r="B1006" s="12">
        <f t="shared" si="225"/>
        <v>26</v>
      </c>
      <c r="C1006" s="12" t="s">
        <v>59</v>
      </c>
      <c r="D1006" s="12">
        <v>0</v>
      </c>
      <c r="E1006" s="12" t="s">
        <v>53</v>
      </c>
      <c r="F1006" s="12">
        <v>0</v>
      </c>
      <c r="G1006" s="12">
        <v>1</v>
      </c>
      <c r="H1006" s="12" t="s">
        <v>61</v>
      </c>
      <c r="I1006" s="12">
        <v>1</v>
      </c>
      <c r="J1006" s="12">
        <v>0</v>
      </c>
      <c r="K1006" s="12">
        <v>7</v>
      </c>
      <c r="L1006" s="12">
        <f t="shared" si="226"/>
        <v>7</v>
      </c>
      <c r="M1006" s="12">
        <v>3</v>
      </c>
      <c r="N1006" s="12" t="s">
        <v>66</v>
      </c>
      <c r="O1006" s="12">
        <v>0</v>
      </c>
      <c r="P1006" s="12">
        <v>1</v>
      </c>
      <c r="Q1006" s="12">
        <v>0</v>
      </c>
      <c r="R1006" s="12">
        <v>0</v>
      </c>
      <c r="S1006" s="12">
        <v>0</v>
      </c>
      <c r="T1006" s="12">
        <v>3</v>
      </c>
      <c r="U1006" s="12" t="s">
        <v>62</v>
      </c>
      <c r="V1006" s="12">
        <v>0</v>
      </c>
      <c r="W1006" s="12">
        <v>100</v>
      </c>
      <c r="X1006" s="12">
        <v>4</v>
      </c>
      <c r="Y1006" s="12">
        <v>1</v>
      </c>
      <c r="Z1006" s="12" t="s">
        <v>67</v>
      </c>
      <c r="AA1006" s="12">
        <v>0</v>
      </c>
      <c r="AB1006" s="12">
        <v>0</v>
      </c>
      <c r="AC1006" s="12">
        <v>1</v>
      </c>
      <c r="AD1006" s="12">
        <v>0</v>
      </c>
      <c r="AE1006" s="12">
        <v>0</v>
      </c>
      <c r="AF1006" s="12">
        <v>0</v>
      </c>
      <c r="AG1006" s="12">
        <v>0</v>
      </c>
      <c r="AH1006" s="12">
        <v>0</v>
      </c>
      <c r="AI1006" s="12">
        <v>1</v>
      </c>
      <c r="AJ1006" s="12" t="s">
        <v>57</v>
      </c>
      <c r="AK1006" s="12">
        <v>1</v>
      </c>
      <c r="AL1006" s="12">
        <v>0</v>
      </c>
      <c r="AM1006" s="12">
        <v>3578</v>
      </c>
      <c r="AN1006" s="12">
        <f t="shared" si="227"/>
        <v>3578</v>
      </c>
      <c r="AO1006" s="12">
        <v>0</v>
      </c>
      <c r="AP1006" s="12" t="s">
        <v>59</v>
      </c>
      <c r="AQ1006" s="12">
        <v>0</v>
      </c>
      <c r="AR1006" s="12">
        <v>12</v>
      </c>
      <c r="AS1006" s="12">
        <v>3</v>
      </c>
      <c r="AT1006" s="12">
        <v>4</v>
      </c>
      <c r="AU1006" s="12">
        <v>0</v>
      </c>
      <c r="AV1006" s="12">
        <v>8</v>
      </c>
      <c r="AW1006" s="12">
        <f t="shared" si="228"/>
        <v>8</v>
      </c>
      <c r="AX1006" s="12">
        <v>2</v>
      </c>
      <c r="AY1006" s="12">
        <v>3</v>
      </c>
      <c r="AZ1006" s="12">
        <v>7</v>
      </c>
      <c r="BA1006" s="12">
        <f t="shared" si="229"/>
        <v>7</v>
      </c>
      <c r="BB1006" s="12">
        <v>7</v>
      </c>
      <c r="BC1006" s="12">
        <v>0</v>
      </c>
      <c r="BD1006" s="12">
        <f t="shared" si="238"/>
        <v>0</v>
      </c>
      <c r="BE1006" s="12">
        <v>7</v>
      </c>
      <c r="BF1006" s="12">
        <f t="shared" si="230"/>
        <v>7</v>
      </c>
      <c r="BG1006" s="12">
        <f t="shared" si="239"/>
        <v>7</v>
      </c>
      <c r="BH1006" s="67">
        <v>1</v>
      </c>
      <c r="BI1006" s="67">
        <v>0</v>
      </c>
      <c r="BJ1006" s="67">
        <v>0</v>
      </c>
      <c r="BK1006" s="67">
        <v>0</v>
      </c>
      <c r="BL1006" s="67">
        <v>1</v>
      </c>
      <c r="BM1006" s="67">
        <v>0</v>
      </c>
      <c r="BN1006" s="67">
        <v>0</v>
      </c>
      <c r="BO1006" s="67">
        <v>0</v>
      </c>
      <c r="BP1006" s="67">
        <v>0</v>
      </c>
      <c r="BQ1006" s="67">
        <v>7</v>
      </c>
      <c r="BR1006" s="67">
        <v>0</v>
      </c>
      <c r="BS1006" s="67">
        <v>0</v>
      </c>
      <c r="BT1006" s="67">
        <v>8</v>
      </c>
      <c r="BU1006" s="70">
        <v>0</v>
      </c>
      <c r="BV1006" s="29">
        <f t="shared" si="231"/>
        <v>0.62127403187254915</v>
      </c>
      <c r="BW1006">
        <f t="shared" si="232"/>
        <v>0.80626709607243985</v>
      </c>
      <c r="BX1006">
        <f t="shared" si="233"/>
        <v>0.42149901815843233</v>
      </c>
      <c r="BY1006">
        <f t="shared" si="234"/>
        <v>1.3324462240916321E-3</v>
      </c>
      <c r="BZ1006">
        <f t="shared" si="235"/>
        <v>0.27045191444879263</v>
      </c>
      <c r="CA1006">
        <f t="shared" si="236"/>
        <v>1.195770434213719</v>
      </c>
      <c r="CB1006">
        <f t="shared" si="237"/>
        <v>0.67891464284095016</v>
      </c>
    </row>
    <row r="1007" spans="1:80" x14ac:dyDescent="0.45">
      <c r="A1007" s="11">
        <v>29</v>
      </c>
      <c r="B1007" s="12">
        <f t="shared" si="225"/>
        <v>29</v>
      </c>
      <c r="C1007" s="12" t="s">
        <v>59</v>
      </c>
      <c r="D1007" s="12">
        <v>0</v>
      </c>
      <c r="E1007" s="12" t="s">
        <v>53</v>
      </c>
      <c r="F1007" s="12">
        <v>0</v>
      </c>
      <c r="G1007" s="12">
        <v>1</v>
      </c>
      <c r="H1007" s="12" t="s">
        <v>97</v>
      </c>
      <c r="I1007" s="12">
        <v>0</v>
      </c>
      <c r="J1007" s="12">
        <v>0</v>
      </c>
      <c r="K1007" s="12">
        <v>17</v>
      </c>
      <c r="L1007" s="12">
        <f t="shared" si="226"/>
        <v>17</v>
      </c>
      <c r="M1007" s="12">
        <v>3</v>
      </c>
      <c r="N1007" s="12" t="s">
        <v>66</v>
      </c>
      <c r="O1007" s="12">
        <v>0</v>
      </c>
      <c r="P1007" s="12">
        <v>1</v>
      </c>
      <c r="Q1007" s="12">
        <v>0</v>
      </c>
      <c r="R1007" s="12">
        <v>0</v>
      </c>
      <c r="S1007" s="12">
        <v>0</v>
      </c>
      <c r="T1007" s="12">
        <v>2</v>
      </c>
      <c r="U1007" s="12" t="s">
        <v>62</v>
      </c>
      <c r="V1007" s="12">
        <v>0</v>
      </c>
      <c r="W1007" s="12">
        <v>51</v>
      </c>
      <c r="X1007" s="12">
        <v>2</v>
      </c>
      <c r="Y1007" s="12">
        <v>3</v>
      </c>
      <c r="Z1007" s="12" t="s">
        <v>97</v>
      </c>
      <c r="AA1007" s="12">
        <v>0</v>
      </c>
      <c r="AB1007" s="12">
        <v>0</v>
      </c>
      <c r="AC1007" s="12">
        <v>0</v>
      </c>
      <c r="AD1007" s="12">
        <v>0</v>
      </c>
      <c r="AE1007" s="12">
        <v>0</v>
      </c>
      <c r="AF1007" s="12">
        <v>0</v>
      </c>
      <c r="AG1007" s="12">
        <v>0</v>
      </c>
      <c r="AH1007" s="12">
        <v>0</v>
      </c>
      <c r="AI1007" s="12">
        <v>1</v>
      </c>
      <c r="AJ1007" s="12" t="s">
        <v>57</v>
      </c>
      <c r="AK1007" s="12">
        <v>1</v>
      </c>
      <c r="AL1007" s="12">
        <v>0</v>
      </c>
      <c r="AM1007" s="12">
        <v>7988</v>
      </c>
      <c r="AN1007" s="12">
        <f t="shared" si="227"/>
        <v>7988</v>
      </c>
      <c r="AO1007" s="12">
        <v>1</v>
      </c>
      <c r="AP1007" s="12" t="s">
        <v>59</v>
      </c>
      <c r="AQ1007" s="12">
        <v>0</v>
      </c>
      <c r="AR1007" s="12">
        <v>13</v>
      </c>
      <c r="AS1007" s="12">
        <v>3</v>
      </c>
      <c r="AT1007" s="12">
        <v>1</v>
      </c>
      <c r="AU1007" s="12">
        <v>0</v>
      </c>
      <c r="AV1007" s="12">
        <v>10</v>
      </c>
      <c r="AW1007" s="12">
        <f t="shared" si="228"/>
        <v>10</v>
      </c>
      <c r="AX1007" s="12">
        <v>3</v>
      </c>
      <c r="AY1007" s="12">
        <v>2</v>
      </c>
      <c r="AZ1007" s="12">
        <v>10</v>
      </c>
      <c r="BA1007" s="12">
        <f t="shared" si="229"/>
        <v>10</v>
      </c>
      <c r="BB1007" s="12">
        <v>9</v>
      </c>
      <c r="BC1007" s="12">
        <v>0</v>
      </c>
      <c r="BD1007" s="12">
        <f t="shared" si="238"/>
        <v>0</v>
      </c>
      <c r="BE1007" s="12">
        <v>9</v>
      </c>
      <c r="BF1007" s="12">
        <f t="shared" si="230"/>
        <v>9</v>
      </c>
      <c r="BG1007" s="12">
        <f t="shared" si="239"/>
        <v>27</v>
      </c>
      <c r="BH1007" s="67">
        <v>1</v>
      </c>
      <c r="BI1007" s="67">
        <v>0</v>
      </c>
      <c r="BJ1007" s="67">
        <v>0</v>
      </c>
      <c r="BK1007" s="67">
        <v>0</v>
      </c>
      <c r="BL1007" s="67">
        <v>1</v>
      </c>
      <c r="BM1007" s="67">
        <v>0</v>
      </c>
      <c r="BN1007" s="67">
        <v>0</v>
      </c>
      <c r="BO1007" s="67">
        <v>0</v>
      </c>
      <c r="BP1007" s="67">
        <v>9</v>
      </c>
      <c r="BQ1007" s="67">
        <v>0</v>
      </c>
      <c r="BR1007" s="67">
        <v>0</v>
      </c>
      <c r="BS1007" s="67">
        <v>10</v>
      </c>
      <c r="BT1007" s="67">
        <v>0</v>
      </c>
      <c r="BU1007" s="70">
        <v>0</v>
      </c>
      <c r="BV1007" s="29">
        <f t="shared" si="231"/>
        <v>0.31543805007185471</v>
      </c>
      <c r="BW1007">
        <f t="shared" si="232"/>
        <v>1.3667838287404401</v>
      </c>
      <c r="BX1007">
        <f t="shared" si="233"/>
        <v>0.1644554352117841</v>
      </c>
      <c r="BY1007">
        <f t="shared" si="234"/>
        <v>0.48834154112957734</v>
      </c>
      <c r="BZ1007">
        <f t="shared" si="235"/>
        <v>0.96307062430306978</v>
      </c>
      <c r="CA1007">
        <f t="shared" si="236"/>
        <v>0.86737663580280233</v>
      </c>
      <c r="CB1007">
        <f t="shared" si="237"/>
        <v>0.67891464284095016</v>
      </c>
    </row>
    <row r="1008" spans="1:80" x14ac:dyDescent="0.45">
      <c r="A1008" s="11">
        <v>49</v>
      </c>
      <c r="B1008" s="12">
        <f t="shared" si="225"/>
        <v>49</v>
      </c>
      <c r="C1008" s="12" t="s">
        <v>52</v>
      </c>
      <c r="D1008" s="12">
        <v>1</v>
      </c>
      <c r="E1008" s="12" t="s">
        <v>60</v>
      </c>
      <c r="F1008" s="12">
        <v>1</v>
      </c>
      <c r="G1008" s="12">
        <v>0</v>
      </c>
      <c r="H1008" s="12" t="s">
        <v>61</v>
      </c>
      <c r="I1008" s="12">
        <v>1</v>
      </c>
      <c r="J1008" s="12">
        <v>0</v>
      </c>
      <c r="K1008" s="12">
        <v>28</v>
      </c>
      <c r="L1008" s="12">
        <f t="shared" si="226"/>
        <v>28</v>
      </c>
      <c r="M1008" s="12">
        <v>2</v>
      </c>
      <c r="N1008" s="12" t="s">
        <v>55</v>
      </c>
      <c r="O1008" s="12">
        <v>1</v>
      </c>
      <c r="P1008" s="12">
        <v>0</v>
      </c>
      <c r="Q1008" s="12">
        <v>0</v>
      </c>
      <c r="R1008" s="12">
        <v>0</v>
      </c>
      <c r="S1008" s="12">
        <v>0</v>
      </c>
      <c r="T1008" s="12">
        <v>1</v>
      </c>
      <c r="U1008" s="12" t="s">
        <v>62</v>
      </c>
      <c r="V1008" s="12">
        <v>0</v>
      </c>
      <c r="W1008" s="12">
        <v>97</v>
      </c>
      <c r="X1008" s="12">
        <v>2</v>
      </c>
      <c r="Y1008" s="12">
        <v>2</v>
      </c>
      <c r="Z1008" s="12" t="s">
        <v>67</v>
      </c>
      <c r="AA1008" s="12">
        <v>0</v>
      </c>
      <c r="AB1008" s="12">
        <v>0</v>
      </c>
      <c r="AC1008" s="12">
        <v>1</v>
      </c>
      <c r="AD1008" s="12">
        <v>0</v>
      </c>
      <c r="AE1008" s="12">
        <v>0</v>
      </c>
      <c r="AF1008" s="12">
        <v>0</v>
      </c>
      <c r="AG1008" s="12">
        <v>0</v>
      </c>
      <c r="AH1008" s="12">
        <v>0</v>
      </c>
      <c r="AI1008" s="12">
        <v>1</v>
      </c>
      <c r="AJ1008" s="12" t="s">
        <v>57</v>
      </c>
      <c r="AK1008" s="12">
        <v>1</v>
      </c>
      <c r="AL1008" s="12">
        <v>0</v>
      </c>
      <c r="AM1008" s="12">
        <v>4284</v>
      </c>
      <c r="AN1008" s="12">
        <f t="shared" si="227"/>
        <v>4284</v>
      </c>
      <c r="AO1008" s="12">
        <v>3</v>
      </c>
      <c r="AP1008" s="12" t="s">
        <v>59</v>
      </c>
      <c r="AQ1008" s="12">
        <v>0</v>
      </c>
      <c r="AR1008" s="12">
        <v>20</v>
      </c>
      <c r="AS1008" s="12">
        <v>4</v>
      </c>
      <c r="AT1008" s="12">
        <v>1</v>
      </c>
      <c r="AU1008" s="12">
        <v>0</v>
      </c>
      <c r="AV1008" s="12">
        <v>20</v>
      </c>
      <c r="AW1008" s="12">
        <f t="shared" si="228"/>
        <v>20</v>
      </c>
      <c r="AX1008" s="12">
        <v>2</v>
      </c>
      <c r="AY1008" s="12">
        <v>3</v>
      </c>
      <c r="AZ1008" s="12">
        <v>4</v>
      </c>
      <c r="BA1008" s="12">
        <f t="shared" si="229"/>
        <v>4</v>
      </c>
      <c r="BB1008" s="12">
        <v>3</v>
      </c>
      <c r="BC1008" s="12">
        <v>1</v>
      </c>
      <c r="BD1008" s="12">
        <f t="shared" si="238"/>
        <v>1</v>
      </c>
      <c r="BE1008" s="12">
        <v>3</v>
      </c>
      <c r="BF1008" s="12">
        <f t="shared" si="230"/>
        <v>3</v>
      </c>
      <c r="BG1008" s="12">
        <f t="shared" si="239"/>
        <v>6</v>
      </c>
      <c r="BH1008" s="67">
        <v>0</v>
      </c>
      <c r="BI1008" s="67">
        <v>0</v>
      </c>
      <c r="BJ1008" s="67">
        <v>1</v>
      </c>
      <c r="BK1008" s="67">
        <v>0</v>
      </c>
      <c r="BL1008" s="67">
        <v>1</v>
      </c>
      <c r="BM1008" s="67">
        <v>0</v>
      </c>
      <c r="BN1008" s="67">
        <v>0</v>
      </c>
      <c r="BO1008" s="67">
        <v>0</v>
      </c>
      <c r="BP1008" s="67">
        <v>0</v>
      </c>
      <c r="BQ1008" s="67">
        <v>3</v>
      </c>
      <c r="BR1008" s="67">
        <v>0</v>
      </c>
      <c r="BS1008" s="67">
        <v>0</v>
      </c>
      <c r="BT1008" s="67">
        <v>20</v>
      </c>
      <c r="BU1008" s="70">
        <v>0</v>
      </c>
      <c r="BV1008" s="29">
        <f t="shared" si="231"/>
        <v>0.47131513621432936</v>
      </c>
      <c r="BW1008">
        <f t="shared" si="232"/>
        <v>0.31476636926356072</v>
      </c>
      <c r="BX1008">
        <f t="shared" si="233"/>
        <v>1.120762479521457</v>
      </c>
      <c r="BY1008">
        <f t="shared" si="234"/>
        <v>0.49100643357776058</v>
      </c>
      <c r="BZ1008">
        <f t="shared" si="235"/>
        <v>2.3199454169301186</v>
      </c>
      <c r="CA1008">
        <f t="shared" si="236"/>
        <v>1.3219153536033093</v>
      </c>
      <c r="CB1008">
        <f t="shared" si="237"/>
        <v>0.36858985273641137</v>
      </c>
    </row>
    <row r="1009" spans="1:80" x14ac:dyDescent="0.45">
      <c r="A1009" s="11">
        <v>29</v>
      </c>
      <c r="B1009" s="12">
        <f t="shared" si="225"/>
        <v>29</v>
      </c>
      <c r="C1009" s="12" t="s">
        <v>52</v>
      </c>
      <c r="D1009" s="12">
        <v>1</v>
      </c>
      <c r="E1009" s="12" t="s">
        <v>60</v>
      </c>
      <c r="F1009" s="12">
        <v>1</v>
      </c>
      <c r="G1009" s="12">
        <v>0</v>
      </c>
      <c r="H1009" s="12" t="s">
        <v>61</v>
      </c>
      <c r="I1009" s="12">
        <v>1</v>
      </c>
      <c r="J1009" s="12">
        <v>0</v>
      </c>
      <c r="K1009" s="12">
        <v>14</v>
      </c>
      <c r="L1009" s="12">
        <f t="shared" si="226"/>
        <v>14</v>
      </c>
      <c r="M1009" s="12">
        <v>1</v>
      </c>
      <c r="N1009" s="12" t="s">
        <v>66</v>
      </c>
      <c r="O1009" s="12">
        <v>0</v>
      </c>
      <c r="P1009" s="12">
        <v>1</v>
      </c>
      <c r="Q1009" s="12">
        <v>0</v>
      </c>
      <c r="R1009" s="12">
        <v>0</v>
      </c>
      <c r="S1009" s="12">
        <v>0</v>
      </c>
      <c r="T1009" s="12">
        <v>3</v>
      </c>
      <c r="U1009" s="12" t="s">
        <v>19</v>
      </c>
      <c r="V1009" s="12">
        <v>1</v>
      </c>
      <c r="W1009" s="12">
        <v>84</v>
      </c>
      <c r="X1009" s="12">
        <v>3</v>
      </c>
      <c r="Y1009" s="12">
        <v>3</v>
      </c>
      <c r="Z1009" s="12" t="s">
        <v>85</v>
      </c>
      <c r="AA1009" s="12">
        <v>1</v>
      </c>
      <c r="AB1009" s="12">
        <v>0</v>
      </c>
      <c r="AC1009" s="12">
        <v>0</v>
      </c>
      <c r="AD1009" s="12">
        <v>0</v>
      </c>
      <c r="AE1009" s="12">
        <v>0</v>
      </c>
      <c r="AF1009" s="12">
        <v>0</v>
      </c>
      <c r="AG1009" s="12">
        <v>0</v>
      </c>
      <c r="AH1009" s="12">
        <v>0</v>
      </c>
      <c r="AI1009" s="12">
        <v>4</v>
      </c>
      <c r="AJ1009" s="12" t="s">
        <v>57</v>
      </c>
      <c r="AK1009" s="12">
        <v>1</v>
      </c>
      <c r="AL1009" s="12">
        <v>0</v>
      </c>
      <c r="AM1009" s="12">
        <v>7553</v>
      </c>
      <c r="AN1009" s="12">
        <f t="shared" si="227"/>
        <v>7553</v>
      </c>
      <c r="AO1009" s="12">
        <v>0</v>
      </c>
      <c r="AP1009" s="12" t="s">
        <v>52</v>
      </c>
      <c r="AQ1009" s="12">
        <v>1</v>
      </c>
      <c r="AR1009" s="12">
        <v>12</v>
      </c>
      <c r="AS1009" s="12">
        <v>3</v>
      </c>
      <c r="AT1009" s="12">
        <v>1</v>
      </c>
      <c r="AU1009" s="12">
        <v>0</v>
      </c>
      <c r="AV1009" s="12">
        <v>9</v>
      </c>
      <c r="AW1009" s="12">
        <f t="shared" si="228"/>
        <v>9</v>
      </c>
      <c r="AX1009" s="12">
        <v>1</v>
      </c>
      <c r="AY1009" s="12">
        <v>3</v>
      </c>
      <c r="AZ1009" s="12">
        <v>8</v>
      </c>
      <c r="BA1009" s="12">
        <f t="shared" si="229"/>
        <v>8</v>
      </c>
      <c r="BB1009" s="12">
        <v>7</v>
      </c>
      <c r="BC1009" s="12">
        <v>7</v>
      </c>
      <c r="BD1009" s="12">
        <f t="shared" si="238"/>
        <v>7</v>
      </c>
      <c r="BE1009" s="12">
        <v>7</v>
      </c>
      <c r="BF1009" s="12">
        <f t="shared" si="230"/>
        <v>7</v>
      </c>
      <c r="BG1009" s="12">
        <f t="shared" si="239"/>
        <v>21</v>
      </c>
      <c r="BH1009" s="67">
        <v>0</v>
      </c>
      <c r="BI1009" s="67">
        <v>0</v>
      </c>
      <c r="BJ1009" s="67">
        <v>1</v>
      </c>
      <c r="BK1009" s="67">
        <v>0</v>
      </c>
      <c r="BL1009" s="67">
        <v>0</v>
      </c>
      <c r="BM1009" s="67">
        <v>1</v>
      </c>
      <c r="BN1009" s="67">
        <v>0</v>
      </c>
      <c r="BO1009" s="67">
        <v>0</v>
      </c>
      <c r="BP1009" s="67">
        <v>0</v>
      </c>
      <c r="BQ1009" s="67">
        <v>7</v>
      </c>
      <c r="BR1009" s="67">
        <v>0</v>
      </c>
      <c r="BS1009" s="67">
        <v>0</v>
      </c>
      <c r="BT1009" s="67">
        <v>9</v>
      </c>
      <c r="BU1009" s="70">
        <v>0</v>
      </c>
      <c r="BV1009" s="29">
        <f t="shared" si="231"/>
        <v>0.2230412800841414</v>
      </c>
      <c r="BW1009">
        <f t="shared" si="232"/>
        <v>0.80626709607243985</v>
      </c>
      <c r="BX1009">
        <f t="shared" si="233"/>
        <v>0.29297722668510823</v>
      </c>
      <c r="BY1009">
        <f t="shared" si="234"/>
        <v>0.16189221622713135</v>
      </c>
      <c r="BZ1009">
        <f t="shared" si="235"/>
        <v>0.59301386267751111</v>
      </c>
      <c r="CA1009">
        <f t="shared" si="236"/>
        <v>0.86737663580280233</v>
      </c>
      <c r="CB1009">
        <f t="shared" si="237"/>
        <v>1.4933588878908215</v>
      </c>
    </row>
    <row r="1010" spans="1:80" x14ac:dyDescent="0.45">
      <c r="A1010" s="11">
        <v>54</v>
      </c>
      <c r="B1010" s="12">
        <f t="shared" si="225"/>
        <v>54</v>
      </c>
      <c r="C1010" s="12" t="s">
        <v>59</v>
      </c>
      <c r="D1010" s="12">
        <v>0</v>
      </c>
      <c r="E1010" s="12" t="s">
        <v>53</v>
      </c>
      <c r="F1010" s="12">
        <v>0</v>
      </c>
      <c r="G1010" s="12">
        <v>1</v>
      </c>
      <c r="H1010" s="12" t="s">
        <v>61</v>
      </c>
      <c r="I1010" s="12">
        <v>1</v>
      </c>
      <c r="J1010" s="12">
        <v>0</v>
      </c>
      <c r="K1010" s="12">
        <v>1</v>
      </c>
      <c r="L1010" s="12">
        <f t="shared" si="226"/>
        <v>1</v>
      </c>
      <c r="M1010" s="12">
        <v>3</v>
      </c>
      <c r="N1010" s="12" t="s">
        <v>70</v>
      </c>
      <c r="O1010" s="12">
        <v>0</v>
      </c>
      <c r="P1010" s="12">
        <v>0</v>
      </c>
      <c r="Q1010" s="12">
        <v>1</v>
      </c>
      <c r="R1010" s="12">
        <v>0</v>
      </c>
      <c r="S1010" s="12">
        <v>0</v>
      </c>
      <c r="T1010" s="12">
        <v>4</v>
      </c>
      <c r="U1010" s="12" t="s">
        <v>19</v>
      </c>
      <c r="V1010" s="12">
        <v>1</v>
      </c>
      <c r="W1010" s="12">
        <v>54</v>
      </c>
      <c r="X1010" s="12">
        <v>3</v>
      </c>
      <c r="Y1010" s="12">
        <v>4</v>
      </c>
      <c r="Z1010" s="12" t="s">
        <v>89</v>
      </c>
      <c r="AA1010" s="12">
        <v>0</v>
      </c>
      <c r="AB1010" s="12">
        <v>0</v>
      </c>
      <c r="AC1010" s="12">
        <v>0</v>
      </c>
      <c r="AD1010" s="12">
        <v>0</v>
      </c>
      <c r="AE1010" s="12">
        <v>0</v>
      </c>
      <c r="AF1010" s="12">
        <v>0</v>
      </c>
      <c r="AG1010" s="12">
        <v>0</v>
      </c>
      <c r="AH1010" s="12">
        <v>0</v>
      </c>
      <c r="AI1010" s="12">
        <v>4</v>
      </c>
      <c r="AJ1010" s="12" t="s">
        <v>57</v>
      </c>
      <c r="AK1010" s="12">
        <v>1</v>
      </c>
      <c r="AL1010" s="12">
        <v>0</v>
      </c>
      <c r="AM1010" s="12">
        <v>17328</v>
      </c>
      <c r="AN1010" s="12">
        <f t="shared" si="227"/>
        <v>17328</v>
      </c>
      <c r="AO1010" s="12">
        <v>6</v>
      </c>
      <c r="AP1010" s="12" t="s">
        <v>59</v>
      </c>
      <c r="AQ1010" s="12">
        <v>0</v>
      </c>
      <c r="AR1010" s="12">
        <v>19</v>
      </c>
      <c r="AS1010" s="12">
        <v>3</v>
      </c>
      <c r="AT1010" s="12">
        <v>4</v>
      </c>
      <c r="AU1010" s="12">
        <v>0</v>
      </c>
      <c r="AV1010" s="12">
        <v>29</v>
      </c>
      <c r="AW1010" s="12">
        <f t="shared" si="228"/>
        <v>29</v>
      </c>
      <c r="AX1010" s="12">
        <v>3</v>
      </c>
      <c r="AY1010" s="12">
        <v>2</v>
      </c>
      <c r="AZ1010" s="12">
        <v>20</v>
      </c>
      <c r="BA1010" s="12">
        <f t="shared" si="229"/>
        <v>20</v>
      </c>
      <c r="BB1010" s="12">
        <v>7</v>
      </c>
      <c r="BC1010" s="12">
        <v>12</v>
      </c>
      <c r="BD1010" s="12">
        <f t="shared" si="238"/>
        <v>12</v>
      </c>
      <c r="BE1010" s="12">
        <v>7</v>
      </c>
      <c r="BF1010" s="12">
        <f t="shared" si="230"/>
        <v>7</v>
      </c>
      <c r="BG1010" s="12">
        <f t="shared" si="239"/>
        <v>28</v>
      </c>
      <c r="BH1010" s="67">
        <v>1</v>
      </c>
      <c r="BI1010" s="67">
        <v>0</v>
      </c>
      <c r="BJ1010" s="67">
        <v>0</v>
      </c>
      <c r="BK1010" s="67">
        <v>0</v>
      </c>
      <c r="BL1010" s="67">
        <v>1</v>
      </c>
      <c r="BM1010" s="67">
        <v>0</v>
      </c>
      <c r="BN1010" s="67">
        <v>0</v>
      </c>
      <c r="BO1010" s="67">
        <v>0</v>
      </c>
      <c r="BP1010" s="67">
        <v>0</v>
      </c>
      <c r="BQ1010" s="67">
        <v>7</v>
      </c>
      <c r="BR1010" s="67">
        <v>0</v>
      </c>
      <c r="BS1010" s="67">
        <v>0</v>
      </c>
      <c r="BT1010" s="67">
        <v>29</v>
      </c>
      <c r="BU1010" s="70">
        <v>0</v>
      </c>
      <c r="BV1010" s="29">
        <f t="shared" si="231"/>
        <v>2.2993135252103425</v>
      </c>
      <c r="BW1010">
        <f t="shared" si="232"/>
        <v>0.80626709607243985</v>
      </c>
      <c r="BX1010">
        <f t="shared" si="233"/>
        <v>2.2774586027813735</v>
      </c>
      <c r="BY1010">
        <f t="shared" si="234"/>
        <v>2.1205881656418071</v>
      </c>
      <c r="BZ1010">
        <f t="shared" si="235"/>
        <v>1.01056543769991</v>
      </c>
      <c r="CA1010">
        <f t="shared" si="236"/>
        <v>1.8692383509548371</v>
      </c>
      <c r="CB1010">
        <f t="shared" si="237"/>
        <v>3.0449828384135156</v>
      </c>
    </row>
    <row r="1011" spans="1:80" x14ac:dyDescent="0.45">
      <c r="A1011" s="11">
        <v>58</v>
      </c>
      <c r="B1011" s="12">
        <f t="shared" si="225"/>
        <v>58</v>
      </c>
      <c r="C1011" s="12" t="s">
        <v>59</v>
      </c>
      <c r="D1011" s="12">
        <v>0</v>
      </c>
      <c r="E1011" s="12" t="s">
        <v>53</v>
      </c>
      <c r="F1011" s="12">
        <v>0</v>
      </c>
      <c r="G1011" s="12">
        <v>1</v>
      </c>
      <c r="H1011" s="12" t="s">
        <v>61</v>
      </c>
      <c r="I1011" s="12">
        <v>1</v>
      </c>
      <c r="J1011" s="12">
        <v>0</v>
      </c>
      <c r="K1011" s="12">
        <v>1</v>
      </c>
      <c r="L1011" s="12">
        <f t="shared" si="226"/>
        <v>1</v>
      </c>
      <c r="M1011" s="12">
        <v>3</v>
      </c>
      <c r="N1011" s="12" t="s">
        <v>70</v>
      </c>
      <c r="O1011" s="12">
        <v>0</v>
      </c>
      <c r="P1011" s="12">
        <v>0</v>
      </c>
      <c r="Q1011" s="12">
        <v>1</v>
      </c>
      <c r="R1011" s="12">
        <v>0</v>
      </c>
      <c r="S1011" s="12">
        <v>0</v>
      </c>
      <c r="T1011" s="12">
        <v>4</v>
      </c>
      <c r="U1011" s="12" t="s">
        <v>19</v>
      </c>
      <c r="V1011" s="12">
        <v>1</v>
      </c>
      <c r="W1011" s="12">
        <v>76</v>
      </c>
      <c r="X1011" s="12">
        <v>3</v>
      </c>
      <c r="Y1011" s="12">
        <v>5</v>
      </c>
      <c r="Z1011" s="12" t="s">
        <v>89</v>
      </c>
      <c r="AA1011" s="12">
        <v>0</v>
      </c>
      <c r="AB1011" s="12">
        <v>0</v>
      </c>
      <c r="AC1011" s="12">
        <v>0</v>
      </c>
      <c r="AD1011" s="12">
        <v>0</v>
      </c>
      <c r="AE1011" s="12">
        <v>0</v>
      </c>
      <c r="AF1011" s="12">
        <v>0</v>
      </c>
      <c r="AG1011" s="12">
        <v>0</v>
      </c>
      <c r="AH1011" s="12">
        <v>0</v>
      </c>
      <c r="AI1011" s="12">
        <v>1</v>
      </c>
      <c r="AJ1011" s="12" t="s">
        <v>64</v>
      </c>
      <c r="AK1011" s="12">
        <v>0</v>
      </c>
      <c r="AL1011" s="12">
        <v>1</v>
      </c>
      <c r="AM1011" s="12">
        <v>19701</v>
      </c>
      <c r="AN1011" s="12">
        <f t="shared" si="227"/>
        <v>19626.310000000001</v>
      </c>
      <c r="AO1011" s="12">
        <v>3</v>
      </c>
      <c r="AP1011" s="12" t="s">
        <v>52</v>
      </c>
      <c r="AQ1011" s="12">
        <v>1</v>
      </c>
      <c r="AR1011" s="12">
        <v>21</v>
      </c>
      <c r="AS1011" s="12">
        <v>4</v>
      </c>
      <c r="AT1011" s="12">
        <v>3</v>
      </c>
      <c r="AU1011" s="12">
        <v>1</v>
      </c>
      <c r="AV1011" s="12">
        <v>32</v>
      </c>
      <c r="AW1011" s="12">
        <f t="shared" si="228"/>
        <v>32</v>
      </c>
      <c r="AX1011" s="12">
        <v>3</v>
      </c>
      <c r="AY1011" s="12">
        <v>3</v>
      </c>
      <c r="AZ1011" s="12">
        <v>9</v>
      </c>
      <c r="BA1011" s="12">
        <f t="shared" si="229"/>
        <v>9</v>
      </c>
      <c r="BB1011" s="12">
        <v>8</v>
      </c>
      <c r="BC1011" s="12">
        <v>1</v>
      </c>
      <c r="BD1011" s="12">
        <f t="shared" si="238"/>
        <v>1</v>
      </c>
      <c r="BE1011" s="12">
        <v>5</v>
      </c>
      <c r="BF1011" s="12">
        <f t="shared" si="230"/>
        <v>5</v>
      </c>
      <c r="BG1011" s="12">
        <f t="shared" si="239"/>
        <v>25</v>
      </c>
      <c r="BH1011" s="67">
        <v>0</v>
      </c>
      <c r="BI1011" s="67">
        <v>1</v>
      </c>
      <c r="BJ1011" s="67">
        <v>0</v>
      </c>
      <c r="BK1011" s="67">
        <v>0</v>
      </c>
      <c r="BL1011" s="67">
        <v>0</v>
      </c>
      <c r="BM1011" s="67">
        <v>0</v>
      </c>
      <c r="BN1011" s="67">
        <v>0</v>
      </c>
      <c r="BO1011" s="67">
        <v>1</v>
      </c>
      <c r="BP1011" s="67">
        <v>0</v>
      </c>
      <c r="BQ1011" s="67">
        <v>5</v>
      </c>
      <c r="BR1011" s="67">
        <v>0</v>
      </c>
      <c r="BS1011" s="67">
        <v>0</v>
      </c>
      <c r="BT1011" s="67">
        <v>32</v>
      </c>
      <c r="BU1011" s="70">
        <v>0</v>
      </c>
      <c r="BV1011" s="29">
        <f t="shared" si="231"/>
        <v>2.8033538359709027</v>
      </c>
      <c r="BW1011">
        <f t="shared" si="232"/>
        <v>0.24575036340443959</v>
      </c>
      <c r="BX1011">
        <f t="shared" si="233"/>
        <v>2.663023977201346</v>
      </c>
      <c r="BY1011">
        <f t="shared" si="234"/>
        <v>0.32511687867835437</v>
      </c>
      <c r="BZ1011">
        <f t="shared" si="235"/>
        <v>1.01056543769991</v>
      </c>
      <c r="CA1011">
        <f t="shared" si="236"/>
        <v>2.3070967488360594</v>
      </c>
      <c r="CB1011">
        <f t="shared" si="237"/>
        <v>0.36858985273641137</v>
      </c>
    </row>
    <row r="1012" spans="1:80" x14ac:dyDescent="0.45">
      <c r="A1012" s="11">
        <v>55</v>
      </c>
      <c r="B1012" s="12">
        <f t="shared" si="225"/>
        <v>55</v>
      </c>
      <c r="C1012" s="12" t="s">
        <v>59</v>
      </c>
      <c r="D1012" s="12">
        <v>0</v>
      </c>
      <c r="E1012" s="12" t="s">
        <v>53</v>
      </c>
      <c r="F1012" s="12">
        <v>0</v>
      </c>
      <c r="G1012" s="12">
        <v>1</v>
      </c>
      <c r="H1012" s="12" t="s">
        <v>61</v>
      </c>
      <c r="I1012" s="12">
        <v>1</v>
      </c>
      <c r="J1012" s="12">
        <v>0</v>
      </c>
      <c r="K1012" s="12">
        <v>1</v>
      </c>
      <c r="L1012" s="12">
        <f t="shared" si="226"/>
        <v>1</v>
      </c>
      <c r="M1012" s="12">
        <v>4</v>
      </c>
      <c r="N1012" s="12" t="s">
        <v>70</v>
      </c>
      <c r="O1012" s="12">
        <v>0</v>
      </c>
      <c r="P1012" s="12">
        <v>0</v>
      </c>
      <c r="Q1012" s="12">
        <v>1</v>
      </c>
      <c r="R1012" s="12">
        <v>0</v>
      </c>
      <c r="S1012" s="12">
        <v>0</v>
      </c>
      <c r="T1012" s="12">
        <v>2</v>
      </c>
      <c r="U1012" s="12" t="s">
        <v>62</v>
      </c>
      <c r="V1012" s="12">
        <v>0</v>
      </c>
      <c r="W1012" s="12">
        <v>81</v>
      </c>
      <c r="X1012" s="12">
        <v>4</v>
      </c>
      <c r="Y1012" s="12">
        <v>4</v>
      </c>
      <c r="Z1012" s="12" t="s">
        <v>89</v>
      </c>
      <c r="AA1012" s="12">
        <v>0</v>
      </c>
      <c r="AB1012" s="12">
        <v>0</v>
      </c>
      <c r="AC1012" s="12">
        <v>0</v>
      </c>
      <c r="AD1012" s="12">
        <v>0</v>
      </c>
      <c r="AE1012" s="12">
        <v>0</v>
      </c>
      <c r="AF1012" s="12">
        <v>0</v>
      </c>
      <c r="AG1012" s="12">
        <v>0</v>
      </c>
      <c r="AH1012" s="12">
        <v>0</v>
      </c>
      <c r="AI1012" s="12">
        <v>4</v>
      </c>
      <c r="AJ1012" s="12" t="s">
        <v>78</v>
      </c>
      <c r="AK1012" s="12">
        <v>0</v>
      </c>
      <c r="AL1012" s="12">
        <v>0</v>
      </c>
      <c r="AM1012" s="12">
        <v>14732</v>
      </c>
      <c r="AN1012" s="12">
        <f t="shared" si="227"/>
        <v>14732</v>
      </c>
      <c r="AO1012" s="12">
        <v>2</v>
      </c>
      <c r="AP1012" s="12" t="s">
        <v>59</v>
      </c>
      <c r="AQ1012" s="12">
        <v>0</v>
      </c>
      <c r="AR1012" s="12">
        <v>13</v>
      </c>
      <c r="AS1012" s="12">
        <v>3</v>
      </c>
      <c r="AT1012" s="12">
        <v>4</v>
      </c>
      <c r="AU1012" s="12">
        <v>2</v>
      </c>
      <c r="AV1012" s="12">
        <v>31</v>
      </c>
      <c r="AW1012" s="12">
        <f t="shared" si="228"/>
        <v>31</v>
      </c>
      <c r="AX1012" s="12">
        <v>4</v>
      </c>
      <c r="AY1012" s="12">
        <v>4</v>
      </c>
      <c r="AZ1012" s="12">
        <v>7</v>
      </c>
      <c r="BA1012" s="12">
        <f t="shared" si="229"/>
        <v>7</v>
      </c>
      <c r="BB1012" s="12">
        <v>7</v>
      </c>
      <c r="BC1012" s="12">
        <v>0</v>
      </c>
      <c r="BD1012" s="12">
        <f t="shared" si="238"/>
        <v>0</v>
      </c>
      <c r="BE1012" s="12">
        <v>0</v>
      </c>
      <c r="BF1012" s="12">
        <f t="shared" si="230"/>
        <v>0</v>
      </c>
      <c r="BG1012" s="12">
        <f t="shared" si="239"/>
        <v>0</v>
      </c>
      <c r="BH1012" s="67">
        <v>1</v>
      </c>
      <c r="BI1012" s="67">
        <v>0</v>
      </c>
      <c r="BJ1012" s="67">
        <v>0</v>
      </c>
      <c r="BK1012" s="67">
        <v>0</v>
      </c>
      <c r="BL1012" s="67">
        <v>1</v>
      </c>
      <c r="BM1012" s="67">
        <v>0</v>
      </c>
      <c r="BN1012" s="67">
        <v>0</v>
      </c>
      <c r="BO1012" s="67">
        <v>0</v>
      </c>
      <c r="BP1012" s="67">
        <v>0</v>
      </c>
      <c r="BQ1012" s="67">
        <v>0</v>
      </c>
      <c r="BR1012" s="67">
        <v>0</v>
      </c>
      <c r="BS1012" s="67">
        <v>0</v>
      </c>
      <c r="BT1012" s="67">
        <v>31</v>
      </c>
      <c r="BU1012" s="70">
        <v>0</v>
      </c>
      <c r="BV1012" s="29">
        <f t="shared" si="231"/>
        <v>1.7479065944330927</v>
      </c>
      <c r="BW1012">
        <f t="shared" si="232"/>
        <v>1.1555414682655611</v>
      </c>
      <c r="BX1012">
        <f t="shared" si="233"/>
        <v>2.5345021857280217</v>
      </c>
      <c r="BY1012">
        <f t="shared" si="234"/>
        <v>1.3324462240916321E-3</v>
      </c>
      <c r="BZ1012">
        <f t="shared" si="235"/>
        <v>1.01056543769991</v>
      </c>
      <c r="CA1012">
        <f t="shared" si="236"/>
        <v>1.9787029504251428</v>
      </c>
      <c r="CB1012">
        <f t="shared" si="237"/>
        <v>0.67891464284095016</v>
      </c>
    </row>
    <row r="1013" spans="1:80" x14ac:dyDescent="0.45">
      <c r="A1013" s="11">
        <v>36</v>
      </c>
      <c r="B1013" s="12">
        <f t="shared" si="225"/>
        <v>36</v>
      </c>
      <c r="C1013" s="12" t="s">
        <v>59</v>
      </c>
      <c r="D1013" s="12">
        <v>0</v>
      </c>
      <c r="E1013" s="12" t="s">
        <v>53</v>
      </c>
      <c r="F1013" s="12">
        <v>0</v>
      </c>
      <c r="G1013" s="12">
        <v>1</v>
      </c>
      <c r="H1013" s="12" t="s">
        <v>54</v>
      </c>
      <c r="I1013" s="12">
        <v>0</v>
      </c>
      <c r="J1013" s="12">
        <v>1</v>
      </c>
      <c r="K1013" s="12">
        <v>3</v>
      </c>
      <c r="L1013" s="12">
        <f t="shared" si="226"/>
        <v>3</v>
      </c>
      <c r="M1013" s="12">
        <v>4</v>
      </c>
      <c r="N1013" s="12" t="s">
        <v>90</v>
      </c>
      <c r="O1013" s="12">
        <v>0</v>
      </c>
      <c r="P1013" s="12">
        <v>0</v>
      </c>
      <c r="Q1013" s="12">
        <v>0</v>
      </c>
      <c r="R1013" s="12">
        <v>1</v>
      </c>
      <c r="S1013" s="12">
        <v>0</v>
      </c>
      <c r="T1013" s="12">
        <v>1</v>
      </c>
      <c r="U1013" s="12" t="s">
        <v>19</v>
      </c>
      <c r="V1013" s="12">
        <v>1</v>
      </c>
      <c r="W1013" s="12">
        <v>99</v>
      </c>
      <c r="X1013" s="12">
        <v>3</v>
      </c>
      <c r="Y1013" s="12">
        <v>2</v>
      </c>
      <c r="Z1013" s="12" t="s">
        <v>56</v>
      </c>
      <c r="AA1013" s="12">
        <v>0</v>
      </c>
      <c r="AB1013" s="12">
        <v>1</v>
      </c>
      <c r="AC1013" s="12">
        <v>0</v>
      </c>
      <c r="AD1013" s="12">
        <v>0</v>
      </c>
      <c r="AE1013" s="12">
        <v>0</v>
      </c>
      <c r="AF1013" s="12">
        <v>0</v>
      </c>
      <c r="AG1013" s="12">
        <v>0</v>
      </c>
      <c r="AH1013" s="12">
        <v>0</v>
      </c>
      <c r="AI1013" s="12">
        <v>2</v>
      </c>
      <c r="AJ1013" s="12" t="s">
        <v>57</v>
      </c>
      <c r="AK1013" s="12">
        <v>1</v>
      </c>
      <c r="AL1013" s="12">
        <v>0</v>
      </c>
      <c r="AM1013" s="12">
        <v>9278</v>
      </c>
      <c r="AN1013" s="12">
        <f t="shared" si="227"/>
        <v>9278</v>
      </c>
      <c r="AO1013" s="12">
        <v>3</v>
      </c>
      <c r="AP1013" s="12" t="s">
        <v>52</v>
      </c>
      <c r="AQ1013" s="12">
        <v>1</v>
      </c>
      <c r="AR1013" s="12">
        <v>16</v>
      </c>
      <c r="AS1013" s="12">
        <v>3</v>
      </c>
      <c r="AT1013" s="12">
        <v>4</v>
      </c>
      <c r="AU1013" s="12">
        <v>0</v>
      </c>
      <c r="AV1013" s="12">
        <v>15</v>
      </c>
      <c r="AW1013" s="12">
        <f t="shared" si="228"/>
        <v>15</v>
      </c>
      <c r="AX1013" s="12">
        <v>3</v>
      </c>
      <c r="AY1013" s="12">
        <v>3</v>
      </c>
      <c r="AZ1013" s="12">
        <v>5</v>
      </c>
      <c r="BA1013" s="12">
        <f t="shared" si="229"/>
        <v>5</v>
      </c>
      <c r="BB1013" s="12">
        <v>4</v>
      </c>
      <c r="BC1013" s="12">
        <v>0</v>
      </c>
      <c r="BD1013" s="12">
        <f t="shared" si="238"/>
        <v>0</v>
      </c>
      <c r="BE1013" s="12">
        <v>1</v>
      </c>
      <c r="BF1013" s="12">
        <f t="shared" si="230"/>
        <v>1</v>
      </c>
      <c r="BG1013" s="12">
        <f t="shared" si="239"/>
        <v>2</v>
      </c>
      <c r="BH1013" s="67">
        <v>1</v>
      </c>
      <c r="BI1013" s="67">
        <v>0</v>
      </c>
      <c r="BJ1013" s="67">
        <v>0</v>
      </c>
      <c r="BK1013" s="67">
        <v>0</v>
      </c>
      <c r="BL1013" s="67">
        <v>0</v>
      </c>
      <c r="BM1013" s="67">
        <v>1</v>
      </c>
      <c r="BN1013" s="67">
        <v>0</v>
      </c>
      <c r="BO1013" s="67">
        <v>0</v>
      </c>
      <c r="BP1013" s="67">
        <v>0</v>
      </c>
      <c r="BQ1013" s="67">
        <v>0</v>
      </c>
      <c r="BR1013" s="67">
        <v>1</v>
      </c>
      <c r="BS1013" s="67">
        <v>0</v>
      </c>
      <c r="BT1013" s="67">
        <v>0</v>
      </c>
      <c r="BU1013" s="70">
        <v>15</v>
      </c>
      <c r="BV1013" s="29">
        <f t="shared" si="231"/>
        <v>0.58944226451817694</v>
      </c>
      <c r="BW1013">
        <f t="shared" si="232"/>
        <v>0.87528310193156111</v>
      </c>
      <c r="BX1013">
        <f t="shared" si="233"/>
        <v>0.47815352215483642</v>
      </c>
      <c r="BY1013">
        <f t="shared" si="234"/>
        <v>0.32778177112653761</v>
      </c>
      <c r="BZ1013">
        <f t="shared" si="235"/>
        <v>0.76386092994953758</v>
      </c>
      <c r="CA1013">
        <f t="shared" si="236"/>
        <v>0.10112443951066327</v>
      </c>
      <c r="CB1013">
        <f t="shared" si="237"/>
        <v>0.67891464284095016</v>
      </c>
    </row>
    <row r="1014" spans="1:80" x14ac:dyDescent="0.45">
      <c r="A1014" s="11">
        <v>31</v>
      </c>
      <c r="B1014" s="12">
        <f t="shared" si="225"/>
        <v>31</v>
      </c>
      <c r="C1014" s="12" t="s">
        <v>52</v>
      </c>
      <c r="D1014" s="12">
        <v>1</v>
      </c>
      <c r="E1014" s="12" t="s">
        <v>60</v>
      </c>
      <c r="F1014" s="12">
        <v>1</v>
      </c>
      <c r="G1014" s="12">
        <v>0</v>
      </c>
      <c r="H1014" s="12" t="s">
        <v>54</v>
      </c>
      <c r="I1014" s="12">
        <v>0</v>
      </c>
      <c r="J1014" s="12">
        <v>1</v>
      </c>
      <c r="K1014" s="12">
        <v>1</v>
      </c>
      <c r="L1014" s="12">
        <f t="shared" si="226"/>
        <v>1</v>
      </c>
      <c r="M1014" s="12">
        <v>4</v>
      </c>
      <c r="N1014" s="12" t="s">
        <v>55</v>
      </c>
      <c r="O1014" s="12">
        <v>1</v>
      </c>
      <c r="P1014" s="12">
        <v>0</v>
      </c>
      <c r="Q1014" s="12">
        <v>0</v>
      </c>
      <c r="R1014" s="12">
        <v>0</v>
      </c>
      <c r="S1014" s="12">
        <v>0</v>
      </c>
      <c r="T1014" s="12">
        <v>2</v>
      </c>
      <c r="U1014" s="12" t="s">
        <v>19</v>
      </c>
      <c r="V1014" s="12">
        <v>1</v>
      </c>
      <c r="W1014" s="12">
        <v>50</v>
      </c>
      <c r="X1014" s="12">
        <v>1</v>
      </c>
      <c r="Y1014" s="12">
        <v>1</v>
      </c>
      <c r="Z1014" s="12" t="s">
        <v>88</v>
      </c>
      <c r="AA1014" s="12">
        <v>0</v>
      </c>
      <c r="AB1014" s="12">
        <v>0</v>
      </c>
      <c r="AC1014" s="12">
        <v>0</v>
      </c>
      <c r="AD1014" s="12">
        <v>0</v>
      </c>
      <c r="AE1014" s="12">
        <v>0</v>
      </c>
      <c r="AF1014" s="12">
        <v>0</v>
      </c>
      <c r="AG1014" s="12">
        <v>1</v>
      </c>
      <c r="AH1014" s="12">
        <v>0</v>
      </c>
      <c r="AI1014" s="12">
        <v>3</v>
      </c>
      <c r="AJ1014" s="12" t="s">
        <v>57</v>
      </c>
      <c r="AK1014" s="12">
        <v>1</v>
      </c>
      <c r="AL1014" s="12">
        <v>0</v>
      </c>
      <c r="AM1014" s="12">
        <v>1359</v>
      </c>
      <c r="AN1014" s="12">
        <f t="shared" si="227"/>
        <v>1382.46</v>
      </c>
      <c r="AO1014" s="12">
        <v>1</v>
      </c>
      <c r="AP1014" s="12" t="s">
        <v>59</v>
      </c>
      <c r="AQ1014" s="12">
        <v>0</v>
      </c>
      <c r="AR1014" s="12">
        <v>12</v>
      </c>
      <c r="AS1014" s="12">
        <v>3</v>
      </c>
      <c r="AT1014" s="12">
        <v>2</v>
      </c>
      <c r="AU1014" s="12">
        <v>0</v>
      </c>
      <c r="AV1014" s="12">
        <v>1</v>
      </c>
      <c r="AW1014" s="12">
        <f t="shared" si="228"/>
        <v>1</v>
      </c>
      <c r="AX1014" s="12">
        <v>3</v>
      </c>
      <c r="AY1014" s="12">
        <v>3</v>
      </c>
      <c r="AZ1014" s="12">
        <v>1</v>
      </c>
      <c r="BA1014" s="12">
        <f t="shared" si="229"/>
        <v>1</v>
      </c>
      <c r="BB1014" s="12">
        <v>0</v>
      </c>
      <c r="BC1014" s="12">
        <v>0</v>
      </c>
      <c r="BD1014" s="12">
        <f t="shared" si="238"/>
        <v>0</v>
      </c>
      <c r="BE1014" s="12">
        <v>0</v>
      </c>
      <c r="BF1014" s="12">
        <f t="shared" si="230"/>
        <v>0</v>
      </c>
      <c r="BG1014" s="12">
        <f t="shared" si="239"/>
        <v>0</v>
      </c>
      <c r="BH1014" s="67">
        <v>0</v>
      </c>
      <c r="BI1014" s="67">
        <v>0</v>
      </c>
      <c r="BJ1014" s="67">
        <v>1</v>
      </c>
      <c r="BK1014" s="67">
        <v>0</v>
      </c>
      <c r="BL1014" s="67">
        <v>1</v>
      </c>
      <c r="BM1014" s="67">
        <v>0</v>
      </c>
      <c r="BN1014" s="67">
        <v>0</v>
      </c>
      <c r="BO1014" s="67">
        <v>0</v>
      </c>
      <c r="BP1014" s="67">
        <v>0</v>
      </c>
      <c r="BQ1014" s="67">
        <v>0</v>
      </c>
      <c r="BR1014" s="67">
        <v>0</v>
      </c>
      <c r="BS1014" s="67">
        <v>0</v>
      </c>
      <c r="BT1014" s="67">
        <v>0</v>
      </c>
      <c r="BU1014" s="70">
        <v>1</v>
      </c>
      <c r="BV1014" s="29">
        <f t="shared" si="231"/>
        <v>1.092603761993781</v>
      </c>
      <c r="BW1014">
        <f t="shared" si="232"/>
        <v>1.1555414682655611</v>
      </c>
      <c r="BX1014">
        <f t="shared" si="233"/>
        <v>1.3211515584717011</v>
      </c>
      <c r="BY1014">
        <f t="shared" si="234"/>
        <v>0.9806804209314296</v>
      </c>
      <c r="BZ1014">
        <f t="shared" si="235"/>
        <v>1.01056543769991</v>
      </c>
      <c r="CA1014">
        <f t="shared" si="236"/>
        <v>0.6484474368621912</v>
      </c>
      <c r="CB1014">
        <f t="shared" si="237"/>
        <v>0.67891464284095016</v>
      </c>
    </row>
    <row r="1015" spans="1:80" x14ac:dyDescent="0.45">
      <c r="A1015" s="11">
        <v>30</v>
      </c>
      <c r="B1015" s="12">
        <f t="shared" si="225"/>
        <v>30</v>
      </c>
      <c r="C1015" s="12" t="s">
        <v>59</v>
      </c>
      <c r="D1015" s="12">
        <v>0</v>
      </c>
      <c r="E1015" s="12" t="s">
        <v>53</v>
      </c>
      <c r="F1015" s="12">
        <v>0</v>
      </c>
      <c r="G1015" s="12">
        <v>1</v>
      </c>
      <c r="H1015" s="12" t="s">
        <v>54</v>
      </c>
      <c r="I1015" s="12">
        <v>0</v>
      </c>
      <c r="J1015" s="12">
        <v>1</v>
      </c>
      <c r="K1015" s="12">
        <v>7</v>
      </c>
      <c r="L1015" s="12">
        <f t="shared" si="226"/>
        <v>7</v>
      </c>
      <c r="M1015" s="12">
        <v>4</v>
      </c>
      <c r="N1015" s="12" t="s">
        <v>90</v>
      </c>
      <c r="O1015" s="12">
        <v>0</v>
      </c>
      <c r="P1015" s="12">
        <v>0</v>
      </c>
      <c r="Q1015" s="12">
        <v>0</v>
      </c>
      <c r="R1015" s="12">
        <v>1</v>
      </c>
      <c r="S1015" s="12">
        <v>0</v>
      </c>
      <c r="T1015" s="12">
        <v>4</v>
      </c>
      <c r="U1015" s="12" t="s">
        <v>19</v>
      </c>
      <c r="V1015" s="12">
        <v>1</v>
      </c>
      <c r="W1015" s="12">
        <v>73</v>
      </c>
      <c r="X1015" s="12">
        <v>3</v>
      </c>
      <c r="Y1015" s="12">
        <v>2</v>
      </c>
      <c r="Z1015" s="12" t="s">
        <v>56</v>
      </c>
      <c r="AA1015" s="12">
        <v>0</v>
      </c>
      <c r="AB1015" s="12">
        <v>1</v>
      </c>
      <c r="AC1015" s="12">
        <v>0</v>
      </c>
      <c r="AD1015" s="12">
        <v>0</v>
      </c>
      <c r="AE1015" s="12">
        <v>0</v>
      </c>
      <c r="AF1015" s="12">
        <v>0</v>
      </c>
      <c r="AG1015" s="12">
        <v>0</v>
      </c>
      <c r="AH1015" s="12">
        <v>0</v>
      </c>
      <c r="AI1015" s="12">
        <v>1</v>
      </c>
      <c r="AJ1015" s="12" t="s">
        <v>78</v>
      </c>
      <c r="AK1015" s="12">
        <v>0</v>
      </c>
      <c r="AL1015" s="12">
        <v>0</v>
      </c>
      <c r="AM1015" s="12">
        <v>4779</v>
      </c>
      <c r="AN1015" s="12">
        <f t="shared" si="227"/>
        <v>4779</v>
      </c>
      <c r="AO1015" s="12">
        <v>7</v>
      </c>
      <c r="AP1015" s="12" t="s">
        <v>59</v>
      </c>
      <c r="AQ1015" s="12">
        <v>0</v>
      </c>
      <c r="AR1015" s="12">
        <v>14</v>
      </c>
      <c r="AS1015" s="12">
        <v>3</v>
      </c>
      <c r="AT1015" s="12">
        <v>2</v>
      </c>
      <c r="AU1015" s="12">
        <v>2</v>
      </c>
      <c r="AV1015" s="12">
        <v>8</v>
      </c>
      <c r="AW1015" s="12">
        <f t="shared" si="228"/>
        <v>8</v>
      </c>
      <c r="AX1015" s="12">
        <v>3</v>
      </c>
      <c r="AY1015" s="12">
        <v>3</v>
      </c>
      <c r="AZ1015" s="12">
        <v>3</v>
      </c>
      <c r="BA1015" s="12">
        <f t="shared" si="229"/>
        <v>3</v>
      </c>
      <c r="BB1015" s="12">
        <v>2</v>
      </c>
      <c r="BC1015" s="12">
        <v>0</v>
      </c>
      <c r="BD1015" s="12">
        <f t="shared" si="238"/>
        <v>0</v>
      </c>
      <c r="BE1015" s="12">
        <v>2</v>
      </c>
      <c r="BF1015" s="12">
        <f t="shared" si="230"/>
        <v>2</v>
      </c>
      <c r="BG1015" s="12">
        <f t="shared" si="239"/>
        <v>4</v>
      </c>
      <c r="BH1015" s="67">
        <v>1</v>
      </c>
      <c r="BI1015" s="67">
        <v>0</v>
      </c>
      <c r="BJ1015" s="67">
        <v>0</v>
      </c>
      <c r="BK1015" s="67">
        <v>0</v>
      </c>
      <c r="BL1015" s="67">
        <v>1</v>
      </c>
      <c r="BM1015" s="67">
        <v>0</v>
      </c>
      <c r="BN1015" s="67">
        <v>0</v>
      </c>
      <c r="BO1015" s="67">
        <v>0</v>
      </c>
      <c r="BP1015" s="67">
        <v>0</v>
      </c>
      <c r="BQ1015" s="67">
        <v>0</v>
      </c>
      <c r="BR1015" s="67">
        <v>2</v>
      </c>
      <c r="BS1015" s="67">
        <v>0</v>
      </c>
      <c r="BT1015" s="67">
        <v>0</v>
      </c>
      <c r="BU1015" s="70">
        <v>8</v>
      </c>
      <c r="BV1015" s="29">
        <f t="shared" si="231"/>
        <v>0.36617398415934527</v>
      </c>
      <c r="BW1015">
        <f t="shared" si="232"/>
        <v>0.59502473559756086</v>
      </c>
      <c r="BX1015">
        <f t="shared" si="233"/>
        <v>0.42149901815843233</v>
      </c>
      <c r="BY1015">
        <f t="shared" si="234"/>
        <v>0.65423109602898355</v>
      </c>
      <c r="BZ1015">
        <f t="shared" si="235"/>
        <v>0.27045191444879263</v>
      </c>
      <c r="CA1015">
        <f t="shared" si="236"/>
        <v>0.75791203633249671</v>
      </c>
      <c r="CB1015">
        <f t="shared" si="237"/>
        <v>0.67891464284095016</v>
      </c>
    </row>
    <row r="1016" spans="1:80" x14ac:dyDescent="0.45">
      <c r="A1016" s="11">
        <v>31</v>
      </c>
      <c r="B1016" s="12">
        <f t="shared" si="225"/>
        <v>31</v>
      </c>
      <c r="C1016" s="12" t="s">
        <v>59</v>
      </c>
      <c r="D1016" s="12">
        <v>0</v>
      </c>
      <c r="E1016" s="12" t="s">
        <v>53</v>
      </c>
      <c r="F1016" s="12">
        <v>0</v>
      </c>
      <c r="G1016" s="12">
        <v>1</v>
      </c>
      <c r="H1016" s="12" t="s">
        <v>61</v>
      </c>
      <c r="I1016" s="12">
        <v>1</v>
      </c>
      <c r="J1016" s="12">
        <v>0</v>
      </c>
      <c r="K1016" s="12">
        <v>8</v>
      </c>
      <c r="L1016" s="12">
        <f t="shared" si="226"/>
        <v>8</v>
      </c>
      <c r="M1016" s="12">
        <v>5</v>
      </c>
      <c r="N1016" s="12" t="s">
        <v>55</v>
      </c>
      <c r="O1016" s="12">
        <v>1</v>
      </c>
      <c r="P1016" s="12">
        <v>0</v>
      </c>
      <c r="Q1016" s="12">
        <v>0</v>
      </c>
      <c r="R1016" s="12">
        <v>0</v>
      </c>
      <c r="S1016" s="12">
        <v>0</v>
      </c>
      <c r="T1016" s="12">
        <v>1</v>
      </c>
      <c r="U1016" s="12" t="s">
        <v>19</v>
      </c>
      <c r="V1016" s="12">
        <v>1</v>
      </c>
      <c r="W1016" s="12">
        <v>93</v>
      </c>
      <c r="X1016" s="12">
        <v>3</v>
      </c>
      <c r="Y1016" s="12">
        <v>4</v>
      </c>
      <c r="Z1016" s="12" t="s">
        <v>89</v>
      </c>
      <c r="AA1016" s="12">
        <v>0</v>
      </c>
      <c r="AB1016" s="12">
        <v>0</v>
      </c>
      <c r="AC1016" s="12">
        <v>0</v>
      </c>
      <c r="AD1016" s="12">
        <v>0</v>
      </c>
      <c r="AE1016" s="12">
        <v>0</v>
      </c>
      <c r="AF1016" s="12">
        <v>0</v>
      </c>
      <c r="AG1016" s="12">
        <v>0</v>
      </c>
      <c r="AH1016" s="12">
        <v>0</v>
      </c>
      <c r="AI1016" s="12">
        <v>2</v>
      </c>
      <c r="AJ1016" s="12" t="s">
        <v>57</v>
      </c>
      <c r="AK1016" s="12">
        <v>1</v>
      </c>
      <c r="AL1016" s="12">
        <v>0</v>
      </c>
      <c r="AM1016" s="12">
        <v>16422</v>
      </c>
      <c r="AN1016" s="12">
        <f t="shared" si="227"/>
        <v>16422</v>
      </c>
      <c r="AO1016" s="12">
        <v>3</v>
      </c>
      <c r="AP1016" s="12" t="s">
        <v>59</v>
      </c>
      <c r="AQ1016" s="12">
        <v>0</v>
      </c>
      <c r="AR1016" s="12">
        <v>11</v>
      </c>
      <c r="AS1016" s="12">
        <v>3</v>
      </c>
      <c r="AT1016" s="12">
        <v>3</v>
      </c>
      <c r="AU1016" s="12">
        <v>0</v>
      </c>
      <c r="AV1016" s="12">
        <v>9</v>
      </c>
      <c r="AW1016" s="12">
        <f t="shared" si="228"/>
        <v>9</v>
      </c>
      <c r="AX1016" s="12">
        <v>3</v>
      </c>
      <c r="AY1016" s="12">
        <v>4</v>
      </c>
      <c r="AZ1016" s="12">
        <v>3</v>
      </c>
      <c r="BA1016" s="12">
        <f t="shared" si="229"/>
        <v>3</v>
      </c>
      <c r="BB1016" s="12">
        <v>2</v>
      </c>
      <c r="BC1016" s="12">
        <v>1</v>
      </c>
      <c r="BD1016" s="12">
        <f t="shared" si="238"/>
        <v>1</v>
      </c>
      <c r="BE1016" s="12">
        <v>0</v>
      </c>
      <c r="BF1016" s="12">
        <f t="shared" si="230"/>
        <v>0</v>
      </c>
      <c r="BG1016" s="12">
        <f t="shared" si="239"/>
        <v>0</v>
      </c>
      <c r="BH1016" s="67">
        <v>1</v>
      </c>
      <c r="BI1016" s="67">
        <v>0</v>
      </c>
      <c r="BJ1016" s="67">
        <v>0</v>
      </c>
      <c r="BK1016" s="67">
        <v>0</v>
      </c>
      <c r="BL1016" s="67">
        <v>1</v>
      </c>
      <c r="BM1016" s="67">
        <v>0</v>
      </c>
      <c r="BN1016" s="67">
        <v>0</v>
      </c>
      <c r="BO1016" s="67">
        <v>0</v>
      </c>
      <c r="BP1016" s="67">
        <v>0</v>
      </c>
      <c r="BQ1016" s="67">
        <v>0</v>
      </c>
      <c r="BR1016" s="67">
        <v>0</v>
      </c>
      <c r="BS1016" s="67">
        <v>0</v>
      </c>
      <c r="BT1016" s="67">
        <v>9</v>
      </c>
      <c r="BU1016" s="70">
        <v>0</v>
      </c>
      <c r="BV1016" s="29">
        <f t="shared" si="231"/>
        <v>2.1068733559945536</v>
      </c>
      <c r="BW1016">
        <f t="shared" si="232"/>
        <v>1.1555414682655611</v>
      </c>
      <c r="BX1016">
        <f t="shared" si="233"/>
        <v>0.29297722668510823</v>
      </c>
      <c r="BY1016">
        <f t="shared" si="234"/>
        <v>0.65423109602898355</v>
      </c>
      <c r="BZ1016">
        <f t="shared" si="235"/>
        <v>0.14709966057360641</v>
      </c>
      <c r="CA1016">
        <f t="shared" si="236"/>
        <v>0.6484474368621912</v>
      </c>
      <c r="CB1016">
        <f t="shared" si="237"/>
        <v>0.36858985273641137</v>
      </c>
    </row>
    <row r="1017" spans="1:80" x14ac:dyDescent="0.45">
      <c r="A1017" s="11">
        <v>34</v>
      </c>
      <c r="B1017" s="12">
        <f t="shared" si="225"/>
        <v>34</v>
      </c>
      <c r="C1017" s="12" t="s">
        <v>59</v>
      </c>
      <c r="D1017" s="12">
        <v>0</v>
      </c>
      <c r="E1017" s="12" t="s">
        <v>60</v>
      </c>
      <c r="F1017" s="12">
        <v>1</v>
      </c>
      <c r="G1017" s="12">
        <v>0</v>
      </c>
      <c r="H1017" s="12" t="s">
        <v>61</v>
      </c>
      <c r="I1017" s="12">
        <v>1</v>
      </c>
      <c r="J1017" s="12">
        <v>0</v>
      </c>
      <c r="K1017" s="12">
        <v>1</v>
      </c>
      <c r="L1017" s="12">
        <f t="shared" si="226"/>
        <v>1</v>
      </c>
      <c r="M1017" s="12">
        <v>4</v>
      </c>
      <c r="N1017" s="12" t="s">
        <v>66</v>
      </c>
      <c r="O1017" s="12">
        <v>0</v>
      </c>
      <c r="P1017" s="12">
        <v>1</v>
      </c>
      <c r="Q1017" s="12">
        <v>0</v>
      </c>
      <c r="R1017" s="12">
        <v>0</v>
      </c>
      <c r="S1017" s="12">
        <v>0</v>
      </c>
      <c r="T1017" s="12">
        <v>4</v>
      </c>
      <c r="U1017" s="12" t="s">
        <v>62</v>
      </c>
      <c r="V1017" s="12">
        <v>0</v>
      </c>
      <c r="W1017" s="12">
        <v>91</v>
      </c>
      <c r="X1017" s="12">
        <v>3</v>
      </c>
      <c r="Y1017" s="12">
        <v>1</v>
      </c>
      <c r="Z1017" s="12" t="s">
        <v>63</v>
      </c>
      <c r="AA1017" s="12">
        <v>0</v>
      </c>
      <c r="AB1017" s="12">
        <v>0</v>
      </c>
      <c r="AC1017" s="12">
        <v>0</v>
      </c>
      <c r="AD1017" s="12">
        <v>0</v>
      </c>
      <c r="AE1017" s="12">
        <v>0</v>
      </c>
      <c r="AF1017" s="12">
        <v>0</v>
      </c>
      <c r="AG1017" s="12">
        <v>0</v>
      </c>
      <c r="AH1017" s="12">
        <v>1</v>
      </c>
      <c r="AI1017" s="12">
        <v>1</v>
      </c>
      <c r="AJ1017" s="12" t="s">
        <v>78</v>
      </c>
      <c r="AK1017" s="12">
        <v>0</v>
      </c>
      <c r="AL1017" s="12">
        <v>0</v>
      </c>
      <c r="AM1017" s="12">
        <v>2996</v>
      </c>
      <c r="AN1017" s="12">
        <f t="shared" si="227"/>
        <v>2996</v>
      </c>
      <c r="AO1017" s="12">
        <v>5</v>
      </c>
      <c r="AP1017" s="12" t="s">
        <v>59</v>
      </c>
      <c r="AQ1017" s="12">
        <v>0</v>
      </c>
      <c r="AR1017" s="12">
        <v>14</v>
      </c>
      <c r="AS1017" s="12">
        <v>3</v>
      </c>
      <c r="AT1017" s="12">
        <v>3</v>
      </c>
      <c r="AU1017" s="12">
        <v>2</v>
      </c>
      <c r="AV1017" s="12">
        <v>10</v>
      </c>
      <c r="AW1017" s="12">
        <f t="shared" si="228"/>
        <v>10</v>
      </c>
      <c r="AX1017" s="12">
        <v>2</v>
      </c>
      <c r="AY1017" s="12">
        <v>3</v>
      </c>
      <c r="AZ1017" s="12">
        <v>4</v>
      </c>
      <c r="BA1017" s="12">
        <f t="shared" si="229"/>
        <v>4</v>
      </c>
      <c r="BB1017" s="12">
        <v>3</v>
      </c>
      <c r="BC1017" s="12">
        <v>1</v>
      </c>
      <c r="BD1017" s="12">
        <f t="shared" si="238"/>
        <v>1</v>
      </c>
      <c r="BE1017" s="12">
        <v>3</v>
      </c>
      <c r="BF1017" s="12">
        <f t="shared" si="230"/>
        <v>3</v>
      </c>
      <c r="BG1017" s="12">
        <f t="shared" si="239"/>
        <v>3</v>
      </c>
      <c r="BH1017" s="67">
        <v>0</v>
      </c>
      <c r="BI1017" s="67">
        <v>0</v>
      </c>
      <c r="BJ1017" s="67">
        <v>1</v>
      </c>
      <c r="BK1017" s="67">
        <v>0</v>
      </c>
      <c r="BL1017" s="67">
        <v>1</v>
      </c>
      <c r="BM1017" s="67">
        <v>0</v>
      </c>
      <c r="BN1017" s="67">
        <v>0</v>
      </c>
      <c r="BO1017" s="67">
        <v>0</v>
      </c>
      <c r="BP1017" s="67">
        <v>0</v>
      </c>
      <c r="BQ1017" s="67">
        <v>3</v>
      </c>
      <c r="BR1017" s="67">
        <v>0</v>
      </c>
      <c r="BS1017" s="67">
        <v>0</v>
      </c>
      <c r="BT1017" s="67">
        <v>10</v>
      </c>
      <c r="BU1017" s="70">
        <v>0</v>
      </c>
      <c r="BV1017" s="29">
        <f t="shared" si="231"/>
        <v>0.74489453792507587</v>
      </c>
      <c r="BW1017">
        <f t="shared" si="232"/>
        <v>0.31476636926356072</v>
      </c>
      <c r="BX1017">
        <f t="shared" si="233"/>
        <v>0.1644554352117841</v>
      </c>
      <c r="BY1017">
        <f t="shared" si="234"/>
        <v>0.49100643357776058</v>
      </c>
      <c r="BZ1017">
        <f t="shared" si="235"/>
        <v>1.01056543769991</v>
      </c>
      <c r="CA1017">
        <f t="shared" si="236"/>
        <v>0.32005363845127444</v>
      </c>
      <c r="CB1017">
        <f t="shared" si="237"/>
        <v>0.36858985273641137</v>
      </c>
    </row>
    <row r="1018" spans="1:80" x14ac:dyDescent="0.45">
      <c r="A1018" s="11">
        <v>31</v>
      </c>
      <c r="B1018" s="12">
        <f t="shared" si="225"/>
        <v>31</v>
      </c>
      <c r="C1018" s="12" t="s">
        <v>52</v>
      </c>
      <c r="D1018" s="12">
        <v>1</v>
      </c>
      <c r="E1018" s="12" t="s">
        <v>53</v>
      </c>
      <c r="F1018" s="12">
        <v>0</v>
      </c>
      <c r="G1018" s="12">
        <v>1</v>
      </c>
      <c r="H1018" s="12" t="s">
        <v>61</v>
      </c>
      <c r="I1018" s="12">
        <v>1</v>
      </c>
      <c r="J1018" s="12">
        <v>0</v>
      </c>
      <c r="K1018" s="12">
        <v>8</v>
      </c>
      <c r="L1018" s="12">
        <f t="shared" si="226"/>
        <v>8</v>
      </c>
      <c r="M1018" s="12">
        <v>3</v>
      </c>
      <c r="N1018" s="12" t="s">
        <v>55</v>
      </c>
      <c r="O1018" s="12">
        <v>1</v>
      </c>
      <c r="P1018" s="12">
        <v>0</v>
      </c>
      <c r="Q1018" s="12">
        <v>0</v>
      </c>
      <c r="R1018" s="12">
        <v>0</v>
      </c>
      <c r="S1018" s="12">
        <v>0</v>
      </c>
      <c r="T1018" s="12">
        <v>1</v>
      </c>
      <c r="U1018" s="12" t="s">
        <v>19</v>
      </c>
      <c r="V1018" s="12">
        <v>1</v>
      </c>
      <c r="W1018" s="12">
        <v>34</v>
      </c>
      <c r="X1018" s="12">
        <v>2</v>
      </c>
      <c r="Y1018" s="12">
        <v>1</v>
      </c>
      <c r="Z1018" s="12" t="s">
        <v>63</v>
      </c>
      <c r="AA1018" s="12">
        <v>0</v>
      </c>
      <c r="AB1018" s="12">
        <v>0</v>
      </c>
      <c r="AC1018" s="12">
        <v>0</v>
      </c>
      <c r="AD1018" s="12">
        <v>0</v>
      </c>
      <c r="AE1018" s="12">
        <v>0</v>
      </c>
      <c r="AF1018" s="12">
        <v>0</v>
      </c>
      <c r="AG1018" s="12">
        <v>0</v>
      </c>
      <c r="AH1018" s="12">
        <v>1</v>
      </c>
      <c r="AI1018" s="12">
        <v>2</v>
      </c>
      <c r="AJ1018" s="12" t="s">
        <v>57</v>
      </c>
      <c r="AK1018" s="12">
        <v>1</v>
      </c>
      <c r="AL1018" s="12">
        <v>0</v>
      </c>
      <c r="AM1018" s="12">
        <v>1261</v>
      </c>
      <c r="AN1018" s="12">
        <f t="shared" si="227"/>
        <v>1382.46</v>
      </c>
      <c r="AO1018" s="12">
        <v>1</v>
      </c>
      <c r="AP1018" s="12" t="s">
        <v>59</v>
      </c>
      <c r="AQ1018" s="12">
        <v>0</v>
      </c>
      <c r="AR1018" s="12">
        <v>12</v>
      </c>
      <c r="AS1018" s="12">
        <v>3</v>
      </c>
      <c r="AT1018" s="12">
        <v>3</v>
      </c>
      <c r="AU1018" s="12">
        <v>0</v>
      </c>
      <c r="AV1018" s="12">
        <v>1</v>
      </c>
      <c r="AW1018" s="12">
        <f t="shared" si="228"/>
        <v>1</v>
      </c>
      <c r="AX1018" s="12">
        <v>3</v>
      </c>
      <c r="AY1018" s="12">
        <v>4</v>
      </c>
      <c r="AZ1018" s="12">
        <v>1</v>
      </c>
      <c r="BA1018" s="12">
        <f t="shared" si="229"/>
        <v>1</v>
      </c>
      <c r="BB1018" s="12">
        <v>0</v>
      </c>
      <c r="BC1018" s="12">
        <v>0</v>
      </c>
      <c r="BD1018" s="12">
        <f t="shared" si="238"/>
        <v>0</v>
      </c>
      <c r="BE1018" s="12">
        <v>0</v>
      </c>
      <c r="BF1018" s="12">
        <f t="shared" si="230"/>
        <v>0</v>
      </c>
      <c r="BG1018" s="12">
        <f t="shared" si="239"/>
        <v>0</v>
      </c>
      <c r="BH1018" s="67">
        <v>1</v>
      </c>
      <c r="BI1018" s="67">
        <v>0</v>
      </c>
      <c r="BJ1018" s="67">
        <v>0</v>
      </c>
      <c r="BK1018" s="67">
        <v>0</v>
      </c>
      <c r="BL1018" s="67">
        <v>1</v>
      </c>
      <c r="BM1018" s="67">
        <v>0</v>
      </c>
      <c r="BN1018" s="67">
        <v>0</v>
      </c>
      <c r="BO1018" s="67">
        <v>0</v>
      </c>
      <c r="BP1018" s="67">
        <v>0</v>
      </c>
      <c r="BQ1018" s="67">
        <v>0</v>
      </c>
      <c r="BR1018" s="67">
        <v>0</v>
      </c>
      <c r="BS1018" s="67">
        <v>0</v>
      </c>
      <c r="BT1018" s="67">
        <v>1</v>
      </c>
      <c r="BU1018" s="70">
        <v>0</v>
      </c>
      <c r="BV1018" s="29">
        <f t="shared" si="231"/>
        <v>1.1134195860369898</v>
      </c>
      <c r="BW1018">
        <f t="shared" si="232"/>
        <v>1.1555414682655611</v>
      </c>
      <c r="BX1018">
        <f t="shared" si="233"/>
        <v>1.3211515584717011</v>
      </c>
      <c r="BY1018">
        <f t="shared" si="234"/>
        <v>0.9806804209314296</v>
      </c>
      <c r="BZ1018">
        <f t="shared" si="235"/>
        <v>0.14709966057360641</v>
      </c>
      <c r="CA1018">
        <f t="shared" si="236"/>
        <v>0.6484474368621912</v>
      </c>
      <c r="CB1018">
        <f t="shared" si="237"/>
        <v>0.67891464284095016</v>
      </c>
    </row>
    <row r="1019" spans="1:80" x14ac:dyDescent="0.45">
      <c r="A1019" s="11">
        <v>27</v>
      </c>
      <c r="B1019" s="12">
        <f t="shared" si="225"/>
        <v>27</v>
      </c>
      <c r="C1019" s="12" t="s">
        <v>59</v>
      </c>
      <c r="D1019" s="12">
        <v>0</v>
      </c>
      <c r="E1019" s="12" t="s">
        <v>53</v>
      </c>
      <c r="F1019" s="12">
        <v>0</v>
      </c>
      <c r="G1019" s="12">
        <v>1</v>
      </c>
      <c r="H1019" s="12" t="s">
        <v>61</v>
      </c>
      <c r="I1019" s="12">
        <v>1</v>
      </c>
      <c r="J1019" s="12">
        <v>0</v>
      </c>
      <c r="K1019" s="12">
        <v>11</v>
      </c>
      <c r="L1019" s="12">
        <f t="shared" si="226"/>
        <v>11</v>
      </c>
      <c r="M1019" s="12">
        <v>1</v>
      </c>
      <c r="N1019" s="12" t="s">
        <v>55</v>
      </c>
      <c r="O1019" s="12">
        <v>1</v>
      </c>
      <c r="P1019" s="12">
        <v>0</v>
      </c>
      <c r="Q1019" s="12">
        <v>0</v>
      </c>
      <c r="R1019" s="12">
        <v>0</v>
      </c>
      <c r="S1019" s="12">
        <v>0</v>
      </c>
      <c r="T1019" s="12">
        <v>2</v>
      </c>
      <c r="U1019" s="12" t="s">
        <v>62</v>
      </c>
      <c r="V1019" s="12">
        <v>0</v>
      </c>
      <c r="W1019" s="12">
        <v>91</v>
      </c>
      <c r="X1019" s="12">
        <v>3</v>
      </c>
      <c r="Y1019" s="12">
        <v>1</v>
      </c>
      <c r="Z1019" s="12" t="s">
        <v>67</v>
      </c>
      <c r="AA1019" s="12">
        <v>0</v>
      </c>
      <c r="AB1019" s="12">
        <v>0</v>
      </c>
      <c r="AC1019" s="12">
        <v>1</v>
      </c>
      <c r="AD1019" s="12">
        <v>0</v>
      </c>
      <c r="AE1019" s="12">
        <v>0</v>
      </c>
      <c r="AF1019" s="12">
        <v>0</v>
      </c>
      <c r="AG1019" s="12">
        <v>0</v>
      </c>
      <c r="AH1019" s="12">
        <v>0</v>
      </c>
      <c r="AI1019" s="12">
        <v>1</v>
      </c>
      <c r="AJ1019" s="12" t="s">
        <v>64</v>
      </c>
      <c r="AK1019" s="12">
        <v>0</v>
      </c>
      <c r="AL1019" s="12">
        <v>1</v>
      </c>
      <c r="AM1019" s="12">
        <v>2099</v>
      </c>
      <c r="AN1019" s="12">
        <f t="shared" si="227"/>
        <v>2099</v>
      </c>
      <c r="AO1019" s="12">
        <v>0</v>
      </c>
      <c r="AP1019" s="12" t="s">
        <v>59</v>
      </c>
      <c r="AQ1019" s="12">
        <v>0</v>
      </c>
      <c r="AR1019" s="12">
        <v>14</v>
      </c>
      <c r="AS1019" s="12">
        <v>3</v>
      </c>
      <c r="AT1019" s="12">
        <v>2</v>
      </c>
      <c r="AU1019" s="12">
        <v>0</v>
      </c>
      <c r="AV1019" s="12">
        <v>6</v>
      </c>
      <c r="AW1019" s="12">
        <f t="shared" si="228"/>
        <v>6</v>
      </c>
      <c r="AX1019" s="12">
        <v>3</v>
      </c>
      <c r="AY1019" s="12">
        <v>4</v>
      </c>
      <c r="AZ1019" s="12">
        <v>5</v>
      </c>
      <c r="BA1019" s="12">
        <f t="shared" si="229"/>
        <v>5</v>
      </c>
      <c r="BB1019" s="12">
        <v>0</v>
      </c>
      <c r="BC1019" s="12">
        <v>1</v>
      </c>
      <c r="BD1019" s="12">
        <f t="shared" si="238"/>
        <v>1</v>
      </c>
      <c r="BE1019" s="12">
        <v>4</v>
      </c>
      <c r="BF1019" s="12">
        <f t="shared" si="230"/>
        <v>4</v>
      </c>
      <c r="BG1019" s="12">
        <f t="shared" si="239"/>
        <v>4</v>
      </c>
      <c r="BH1019" s="67">
        <v>0</v>
      </c>
      <c r="BI1019" s="67">
        <v>1</v>
      </c>
      <c r="BJ1019" s="67">
        <v>0</v>
      </c>
      <c r="BK1019" s="67">
        <v>0</v>
      </c>
      <c r="BL1019" s="67">
        <v>0</v>
      </c>
      <c r="BM1019" s="67">
        <v>0</v>
      </c>
      <c r="BN1019" s="67">
        <v>1</v>
      </c>
      <c r="BO1019" s="67">
        <v>0</v>
      </c>
      <c r="BP1019" s="67">
        <v>0</v>
      </c>
      <c r="BQ1019" s="67">
        <v>4</v>
      </c>
      <c r="BR1019" s="67">
        <v>0</v>
      </c>
      <c r="BS1019" s="67">
        <v>0</v>
      </c>
      <c r="BT1019" s="67">
        <v>6</v>
      </c>
      <c r="BU1019" s="70">
        <v>0</v>
      </c>
      <c r="BV1019" s="29">
        <f t="shared" si="231"/>
        <v>0.9354230498307744</v>
      </c>
      <c r="BW1019">
        <f t="shared" si="232"/>
        <v>3.4508002929560584E-2</v>
      </c>
      <c r="BX1019">
        <f t="shared" si="233"/>
        <v>0.67854260110508058</v>
      </c>
      <c r="BY1019">
        <f t="shared" si="234"/>
        <v>0.32778177112653761</v>
      </c>
      <c r="BZ1019">
        <f t="shared" si="235"/>
        <v>0.22295710105195232</v>
      </c>
      <c r="CA1019">
        <f t="shared" si="236"/>
        <v>1.0863058347434136</v>
      </c>
      <c r="CB1019">
        <f t="shared" si="237"/>
        <v>0.36858985273641137</v>
      </c>
    </row>
    <row r="1020" spans="1:80" x14ac:dyDescent="0.45">
      <c r="A1020" s="11">
        <v>36</v>
      </c>
      <c r="B1020" s="12">
        <f t="shared" si="225"/>
        <v>36</v>
      </c>
      <c r="C1020" s="12" t="s">
        <v>59</v>
      </c>
      <c r="D1020" s="12">
        <v>0</v>
      </c>
      <c r="E1020" s="12" t="s">
        <v>53</v>
      </c>
      <c r="F1020" s="12">
        <v>0</v>
      </c>
      <c r="G1020" s="12">
        <v>1</v>
      </c>
      <c r="H1020" s="12" t="s">
        <v>61</v>
      </c>
      <c r="I1020" s="12">
        <v>1</v>
      </c>
      <c r="J1020" s="12">
        <v>0</v>
      </c>
      <c r="K1020" s="12">
        <v>4</v>
      </c>
      <c r="L1020" s="12">
        <f t="shared" si="226"/>
        <v>4</v>
      </c>
      <c r="M1020" s="12">
        <v>4</v>
      </c>
      <c r="N1020" s="12" t="s">
        <v>55</v>
      </c>
      <c r="O1020" s="12">
        <v>1</v>
      </c>
      <c r="P1020" s="12">
        <v>0</v>
      </c>
      <c r="Q1020" s="12">
        <v>0</v>
      </c>
      <c r="R1020" s="12">
        <v>0</v>
      </c>
      <c r="S1020" s="12">
        <v>0</v>
      </c>
      <c r="T1020" s="12">
        <v>1</v>
      </c>
      <c r="U1020" s="12" t="s">
        <v>62</v>
      </c>
      <c r="V1020" s="12">
        <v>0</v>
      </c>
      <c r="W1020" s="12">
        <v>37</v>
      </c>
      <c r="X1020" s="12">
        <v>2</v>
      </c>
      <c r="Y1020" s="12">
        <v>2</v>
      </c>
      <c r="Z1020" s="12" t="s">
        <v>67</v>
      </c>
      <c r="AA1020" s="12">
        <v>0</v>
      </c>
      <c r="AB1020" s="12">
        <v>0</v>
      </c>
      <c r="AC1020" s="12">
        <v>1</v>
      </c>
      <c r="AD1020" s="12">
        <v>0</v>
      </c>
      <c r="AE1020" s="12">
        <v>0</v>
      </c>
      <c r="AF1020" s="12">
        <v>0</v>
      </c>
      <c r="AG1020" s="12">
        <v>0</v>
      </c>
      <c r="AH1020" s="12">
        <v>0</v>
      </c>
      <c r="AI1020" s="12">
        <v>4</v>
      </c>
      <c r="AJ1020" s="12" t="s">
        <v>57</v>
      </c>
      <c r="AK1020" s="12">
        <v>1</v>
      </c>
      <c r="AL1020" s="12">
        <v>0</v>
      </c>
      <c r="AM1020" s="12">
        <v>5810</v>
      </c>
      <c r="AN1020" s="12">
        <f t="shared" si="227"/>
        <v>5810</v>
      </c>
      <c r="AO1020" s="12">
        <v>1</v>
      </c>
      <c r="AP1020" s="12" t="s">
        <v>59</v>
      </c>
      <c r="AQ1020" s="12">
        <v>0</v>
      </c>
      <c r="AR1020" s="12">
        <v>16</v>
      </c>
      <c r="AS1020" s="12">
        <v>3</v>
      </c>
      <c r="AT1020" s="12">
        <v>3</v>
      </c>
      <c r="AU1020" s="12">
        <v>0</v>
      </c>
      <c r="AV1020" s="12">
        <v>10</v>
      </c>
      <c r="AW1020" s="12">
        <f t="shared" si="228"/>
        <v>10</v>
      </c>
      <c r="AX1020" s="12">
        <v>2</v>
      </c>
      <c r="AY1020" s="12">
        <v>2</v>
      </c>
      <c r="AZ1020" s="12">
        <v>10</v>
      </c>
      <c r="BA1020" s="12">
        <f t="shared" si="229"/>
        <v>10</v>
      </c>
      <c r="BB1020" s="12">
        <v>4</v>
      </c>
      <c r="BC1020" s="12">
        <v>1</v>
      </c>
      <c r="BD1020" s="12">
        <f t="shared" si="238"/>
        <v>1</v>
      </c>
      <c r="BE1020" s="12">
        <v>8</v>
      </c>
      <c r="BF1020" s="12">
        <f t="shared" si="230"/>
        <v>8</v>
      </c>
      <c r="BG1020" s="12">
        <f t="shared" si="239"/>
        <v>16</v>
      </c>
      <c r="BH1020" s="67">
        <v>1</v>
      </c>
      <c r="BI1020" s="67">
        <v>0</v>
      </c>
      <c r="BJ1020" s="67">
        <v>0</v>
      </c>
      <c r="BK1020" s="67">
        <v>0</v>
      </c>
      <c r="BL1020" s="67">
        <v>1</v>
      </c>
      <c r="BM1020" s="67">
        <v>0</v>
      </c>
      <c r="BN1020" s="67">
        <v>0</v>
      </c>
      <c r="BO1020" s="67">
        <v>0</v>
      </c>
      <c r="BP1020" s="67">
        <v>0</v>
      </c>
      <c r="BQ1020" s="67">
        <v>8</v>
      </c>
      <c r="BR1020" s="67">
        <v>0</v>
      </c>
      <c r="BS1020" s="67">
        <v>0</v>
      </c>
      <c r="BT1020" s="67">
        <v>10</v>
      </c>
      <c r="BU1020" s="70">
        <v>0</v>
      </c>
      <c r="BV1020" s="29">
        <f t="shared" si="231"/>
        <v>0.14718301897007535</v>
      </c>
      <c r="BW1020">
        <f t="shared" si="232"/>
        <v>1.08652546240644</v>
      </c>
      <c r="BX1020">
        <f t="shared" si="233"/>
        <v>0.1644554352117841</v>
      </c>
      <c r="BY1020">
        <f t="shared" si="234"/>
        <v>0.48834154112957734</v>
      </c>
      <c r="BZ1020">
        <f t="shared" si="235"/>
        <v>0.64050867607435136</v>
      </c>
      <c r="CA1020">
        <f t="shared" si="236"/>
        <v>0.10112443951066327</v>
      </c>
      <c r="CB1020">
        <f t="shared" si="237"/>
        <v>0.36858985273641137</v>
      </c>
    </row>
    <row r="1021" spans="1:80" x14ac:dyDescent="0.45">
      <c r="A1021" s="11">
        <v>36</v>
      </c>
      <c r="B1021" s="12">
        <f t="shared" si="225"/>
        <v>36</v>
      </c>
      <c r="C1021" s="12" t="s">
        <v>59</v>
      </c>
      <c r="D1021" s="12">
        <v>0</v>
      </c>
      <c r="E1021" s="12" t="s">
        <v>53</v>
      </c>
      <c r="F1021" s="12">
        <v>0</v>
      </c>
      <c r="G1021" s="12">
        <v>1</v>
      </c>
      <c r="H1021" s="12" t="s">
        <v>54</v>
      </c>
      <c r="I1021" s="12">
        <v>0</v>
      </c>
      <c r="J1021" s="12">
        <v>1</v>
      </c>
      <c r="K1021" s="12">
        <v>16</v>
      </c>
      <c r="L1021" s="12">
        <f t="shared" si="226"/>
        <v>16</v>
      </c>
      <c r="M1021" s="12">
        <v>4</v>
      </c>
      <c r="N1021" s="12" t="s">
        <v>90</v>
      </c>
      <c r="O1021" s="12">
        <v>0</v>
      </c>
      <c r="P1021" s="12">
        <v>0</v>
      </c>
      <c r="Q1021" s="12">
        <v>0</v>
      </c>
      <c r="R1021" s="12">
        <v>1</v>
      </c>
      <c r="S1021" s="12">
        <v>0</v>
      </c>
      <c r="T1021" s="12">
        <v>3</v>
      </c>
      <c r="U1021" s="12" t="s">
        <v>19</v>
      </c>
      <c r="V1021" s="12">
        <v>1</v>
      </c>
      <c r="W1021" s="12">
        <v>98</v>
      </c>
      <c r="X1021" s="12">
        <v>2</v>
      </c>
      <c r="Y1021" s="12">
        <v>2</v>
      </c>
      <c r="Z1021" s="12" t="s">
        <v>56</v>
      </c>
      <c r="AA1021" s="12">
        <v>0</v>
      </c>
      <c r="AB1021" s="12">
        <v>1</v>
      </c>
      <c r="AC1021" s="12">
        <v>0</v>
      </c>
      <c r="AD1021" s="12">
        <v>0</v>
      </c>
      <c r="AE1021" s="12">
        <v>0</v>
      </c>
      <c r="AF1021" s="12">
        <v>0</v>
      </c>
      <c r="AG1021" s="12">
        <v>0</v>
      </c>
      <c r="AH1021" s="12">
        <v>0</v>
      </c>
      <c r="AI1021" s="12">
        <v>1</v>
      </c>
      <c r="AJ1021" s="12" t="s">
        <v>64</v>
      </c>
      <c r="AK1021" s="12">
        <v>0</v>
      </c>
      <c r="AL1021" s="12">
        <v>1</v>
      </c>
      <c r="AM1021" s="12">
        <v>5647</v>
      </c>
      <c r="AN1021" s="12">
        <f t="shared" si="227"/>
        <v>5647</v>
      </c>
      <c r="AO1021" s="12">
        <v>4</v>
      </c>
      <c r="AP1021" s="12" t="s">
        <v>59</v>
      </c>
      <c r="AQ1021" s="12">
        <v>0</v>
      </c>
      <c r="AR1021" s="12">
        <v>13</v>
      </c>
      <c r="AS1021" s="12">
        <v>3</v>
      </c>
      <c r="AT1021" s="12">
        <v>1</v>
      </c>
      <c r="AU1021" s="12">
        <v>2</v>
      </c>
      <c r="AV1021" s="12">
        <v>11</v>
      </c>
      <c r="AW1021" s="12">
        <f t="shared" si="228"/>
        <v>11</v>
      </c>
      <c r="AX1021" s="12">
        <v>3</v>
      </c>
      <c r="AY1021" s="12">
        <v>2</v>
      </c>
      <c r="AZ1021" s="12">
        <v>3</v>
      </c>
      <c r="BA1021" s="12">
        <f t="shared" si="229"/>
        <v>3</v>
      </c>
      <c r="BB1021" s="12">
        <v>2</v>
      </c>
      <c r="BC1021" s="12">
        <v>0</v>
      </c>
      <c r="BD1021" s="12">
        <f t="shared" si="238"/>
        <v>0</v>
      </c>
      <c r="BE1021" s="12">
        <v>2</v>
      </c>
      <c r="BF1021" s="12">
        <f t="shared" si="230"/>
        <v>2</v>
      </c>
      <c r="BG1021" s="12">
        <f t="shared" si="239"/>
        <v>4</v>
      </c>
      <c r="BH1021" s="67">
        <v>0</v>
      </c>
      <c r="BI1021" s="67">
        <v>1</v>
      </c>
      <c r="BJ1021" s="67">
        <v>0</v>
      </c>
      <c r="BK1021" s="67">
        <v>0</v>
      </c>
      <c r="BL1021" s="67">
        <v>0</v>
      </c>
      <c r="BM1021" s="67">
        <v>0</v>
      </c>
      <c r="BN1021" s="67">
        <v>1</v>
      </c>
      <c r="BO1021" s="67">
        <v>0</v>
      </c>
      <c r="BP1021" s="67">
        <v>0</v>
      </c>
      <c r="BQ1021" s="67">
        <v>0</v>
      </c>
      <c r="BR1021" s="67">
        <v>2</v>
      </c>
      <c r="BS1021" s="67">
        <v>0</v>
      </c>
      <c r="BT1021" s="67">
        <v>0</v>
      </c>
      <c r="BU1021" s="70">
        <v>11</v>
      </c>
      <c r="BV1021" s="29">
        <f t="shared" si="231"/>
        <v>0.18180525691949437</v>
      </c>
      <c r="BW1021">
        <f t="shared" si="232"/>
        <v>0.59502473559756086</v>
      </c>
      <c r="BX1021">
        <f t="shared" si="233"/>
        <v>3.593364373846001E-2</v>
      </c>
      <c r="BY1021">
        <f t="shared" si="234"/>
        <v>0.65423109602898355</v>
      </c>
      <c r="BZ1021">
        <f t="shared" si="235"/>
        <v>0.83971837042788355</v>
      </c>
      <c r="CA1021">
        <f t="shared" si="236"/>
        <v>0.10112443951066327</v>
      </c>
      <c r="CB1021">
        <f t="shared" si="237"/>
        <v>0.67891464284095016</v>
      </c>
    </row>
    <row r="1022" spans="1:80" x14ac:dyDescent="0.45">
      <c r="A1022" s="11">
        <v>47</v>
      </c>
      <c r="B1022" s="12">
        <f t="shared" si="225"/>
        <v>47</v>
      </c>
      <c r="C1022" s="12" t="s">
        <v>59</v>
      </c>
      <c r="D1022" s="12">
        <v>0</v>
      </c>
      <c r="E1022" s="12" t="s">
        <v>53</v>
      </c>
      <c r="F1022" s="12">
        <v>0</v>
      </c>
      <c r="G1022" s="12">
        <v>1</v>
      </c>
      <c r="H1022" s="12" t="s">
        <v>61</v>
      </c>
      <c r="I1022" s="12">
        <v>1</v>
      </c>
      <c r="J1022" s="12">
        <v>0</v>
      </c>
      <c r="K1022" s="12">
        <v>1</v>
      </c>
      <c r="L1022" s="12">
        <f t="shared" si="226"/>
        <v>1</v>
      </c>
      <c r="M1022" s="12">
        <v>3</v>
      </c>
      <c r="N1022" s="12" t="s">
        <v>91</v>
      </c>
      <c r="O1022" s="12">
        <v>0</v>
      </c>
      <c r="P1022" s="12">
        <v>0</v>
      </c>
      <c r="Q1022" s="12">
        <v>0</v>
      </c>
      <c r="R1022" s="12">
        <v>0</v>
      </c>
      <c r="S1022" s="12">
        <v>1</v>
      </c>
      <c r="T1022" s="12">
        <v>1</v>
      </c>
      <c r="U1022" s="12" t="s">
        <v>62</v>
      </c>
      <c r="V1022" s="12">
        <v>0</v>
      </c>
      <c r="W1022" s="12">
        <v>74</v>
      </c>
      <c r="X1022" s="12">
        <v>3</v>
      </c>
      <c r="Y1022" s="12">
        <v>1</v>
      </c>
      <c r="Z1022" s="12" t="s">
        <v>63</v>
      </c>
      <c r="AA1022" s="12">
        <v>0</v>
      </c>
      <c r="AB1022" s="12">
        <v>0</v>
      </c>
      <c r="AC1022" s="12">
        <v>0</v>
      </c>
      <c r="AD1022" s="12">
        <v>0</v>
      </c>
      <c r="AE1022" s="12">
        <v>0</v>
      </c>
      <c r="AF1022" s="12">
        <v>0</v>
      </c>
      <c r="AG1022" s="12">
        <v>0</v>
      </c>
      <c r="AH1022" s="12">
        <v>1</v>
      </c>
      <c r="AI1022" s="12">
        <v>4</v>
      </c>
      <c r="AJ1022" s="12" t="s">
        <v>64</v>
      </c>
      <c r="AK1022" s="12">
        <v>0</v>
      </c>
      <c r="AL1022" s="12">
        <v>1</v>
      </c>
      <c r="AM1022" s="12">
        <v>3420</v>
      </c>
      <c r="AN1022" s="12">
        <f t="shared" si="227"/>
        <v>3420</v>
      </c>
      <c r="AO1022" s="12">
        <v>7</v>
      </c>
      <c r="AP1022" s="12" t="s">
        <v>59</v>
      </c>
      <c r="AQ1022" s="12">
        <v>0</v>
      </c>
      <c r="AR1022" s="12">
        <v>12</v>
      </c>
      <c r="AS1022" s="12">
        <v>3</v>
      </c>
      <c r="AT1022" s="12">
        <v>3</v>
      </c>
      <c r="AU1022" s="12">
        <v>1</v>
      </c>
      <c r="AV1022" s="12">
        <v>17</v>
      </c>
      <c r="AW1022" s="12">
        <f t="shared" si="228"/>
        <v>17</v>
      </c>
      <c r="AX1022" s="12">
        <v>2</v>
      </c>
      <c r="AY1022" s="12">
        <v>2</v>
      </c>
      <c r="AZ1022" s="12">
        <v>6</v>
      </c>
      <c r="BA1022" s="12">
        <f t="shared" si="229"/>
        <v>6</v>
      </c>
      <c r="BB1022" s="12">
        <v>5</v>
      </c>
      <c r="BC1022" s="12">
        <v>1</v>
      </c>
      <c r="BD1022" s="12">
        <f t="shared" si="238"/>
        <v>1</v>
      </c>
      <c r="BE1022" s="12">
        <v>2</v>
      </c>
      <c r="BF1022" s="12">
        <f t="shared" si="230"/>
        <v>2</v>
      </c>
      <c r="BG1022" s="12">
        <f t="shared" si="239"/>
        <v>2</v>
      </c>
      <c r="BH1022" s="67">
        <v>0</v>
      </c>
      <c r="BI1022" s="67">
        <v>1</v>
      </c>
      <c r="BJ1022" s="67">
        <v>0</v>
      </c>
      <c r="BK1022" s="67">
        <v>0</v>
      </c>
      <c r="BL1022" s="67">
        <v>0</v>
      </c>
      <c r="BM1022" s="67">
        <v>0</v>
      </c>
      <c r="BN1022" s="67">
        <v>1</v>
      </c>
      <c r="BO1022" s="67">
        <v>0</v>
      </c>
      <c r="BP1022" s="67">
        <v>0</v>
      </c>
      <c r="BQ1022" s="67">
        <v>2</v>
      </c>
      <c r="BR1022" s="67">
        <v>0</v>
      </c>
      <c r="BS1022" s="67">
        <v>0</v>
      </c>
      <c r="BT1022" s="67">
        <v>17</v>
      </c>
      <c r="BU1022" s="70">
        <v>0</v>
      </c>
      <c r="BV1022" s="29">
        <f t="shared" si="231"/>
        <v>0.65483423798302887</v>
      </c>
      <c r="BW1022">
        <f t="shared" si="232"/>
        <v>0.59502473559756086</v>
      </c>
      <c r="BX1022">
        <f t="shared" si="233"/>
        <v>0.73519710510148462</v>
      </c>
      <c r="BY1022">
        <f t="shared" si="234"/>
        <v>0.16455710867531462</v>
      </c>
      <c r="BZ1022">
        <f t="shared" si="235"/>
        <v>1.01056543769991</v>
      </c>
      <c r="CA1022">
        <f t="shared" si="236"/>
        <v>1.102986154662698</v>
      </c>
      <c r="CB1022">
        <f t="shared" si="237"/>
        <v>0.36858985273641137</v>
      </c>
    </row>
    <row r="1023" spans="1:80" x14ac:dyDescent="0.45">
      <c r="A1023" s="11">
        <v>25</v>
      </c>
      <c r="B1023" s="12">
        <f t="shared" si="225"/>
        <v>25</v>
      </c>
      <c r="C1023" s="12" t="s">
        <v>52</v>
      </c>
      <c r="D1023" s="12">
        <v>1</v>
      </c>
      <c r="E1023" s="12" t="s">
        <v>53</v>
      </c>
      <c r="F1023" s="12">
        <v>0</v>
      </c>
      <c r="G1023" s="12">
        <v>1</v>
      </c>
      <c r="H1023" s="12" t="s">
        <v>54</v>
      </c>
      <c r="I1023" s="12">
        <v>0</v>
      </c>
      <c r="J1023" s="12">
        <v>1</v>
      </c>
      <c r="K1023" s="12">
        <v>9</v>
      </c>
      <c r="L1023" s="12">
        <f t="shared" si="226"/>
        <v>9</v>
      </c>
      <c r="M1023" s="12">
        <v>2</v>
      </c>
      <c r="N1023" s="12" t="s">
        <v>55</v>
      </c>
      <c r="O1023" s="12">
        <v>1</v>
      </c>
      <c r="P1023" s="12">
        <v>0</v>
      </c>
      <c r="Q1023" s="12">
        <v>0</v>
      </c>
      <c r="R1023" s="12">
        <v>0</v>
      </c>
      <c r="S1023" s="12">
        <v>0</v>
      </c>
      <c r="T1023" s="12">
        <v>1</v>
      </c>
      <c r="U1023" s="12" t="s">
        <v>62</v>
      </c>
      <c r="V1023" s="12">
        <v>0</v>
      </c>
      <c r="W1023" s="12">
        <v>68</v>
      </c>
      <c r="X1023" s="12">
        <v>2</v>
      </c>
      <c r="Y1023" s="12">
        <v>1</v>
      </c>
      <c r="Z1023" s="12" t="s">
        <v>88</v>
      </c>
      <c r="AA1023" s="12">
        <v>0</v>
      </c>
      <c r="AB1023" s="12">
        <v>0</v>
      </c>
      <c r="AC1023" s="12">
        <v>0</v>
      </c>
      <c r="AD1023" s="12">
        <v>0</v>
      </c>
      <c r="AE1023" s="12">
        <v>0</v>
      </c>
      <c r="AF1023" s="12">
        <v>0</v>
      </c>
      <c r="AG1023" s="12">
        <v>1</v>
      </c>
      <c r="AH1023" s="12">
        <v>0</v>
      </c>
      <c r="AI1023" s="12">
        <v>1</v>
      </c>
      <c r="AJ1023" s="12" t="s">
        <v>64</v>
      </c>
      <c r="AK1023" s="12">
        <v>0</v>
      </c>
      <c r="AL1023" s="12">
        <v>1</v>
      </c>
      <c r="AM1023" s="12">
        <v>4400</v>
      </c>
      <c r="AN1023" s="12">
        <f t="shared" si="227"/>
        <v>4400</v>
      </c>
      <c r="AO1023" s="12">
        <v>3</v>
      </c>
      <c r="AP1023" s="12" t="s">
        <v>59</v>
      </c>
      <c r="AQ1023" s="12">
        <v>0</v>
      </c>
      <c r="AR1023" s="12">
        <v>12</v>
      </c>
      <c r="AS1023" s="12">
        <v>3</v>
      </c>
      <c r="AT1023" s="12">
        <v>1</v>
      </c>
      <c r="AU1023" s="12">
        <v>0</v>
      </c>
      <c r="AV1023" s="12">
        <v>6</v>
      </c>
      <c r="AW1023" s="12">
        <f t="shared" si="228"/>
        <v>6</v>
      </c>
      <c r="AX1023" s="12">
        <v>2</v>
      </c>
      <c r="AY1023" s="12">
        <v>3</v>
      </c>
      <c r="AZ1023" s="12">
        <v>3</v>
      </c>
      <c r="BA1023" s="12">
        <f t="shared" si="229"/>
        <v>3</v>
      </c>
      <c r="BB1023" s="12">
        <v>2</v>
      </c>
      <c r="BC1023" s="12">
        <v>2</v>
      </c>
      <c r="BD1023" s="12">
        <f t="shared" si="238"/>
        <v>2</v>
      </c>
      <c r="BE1023" s="12">
        <v>2</v>
      </c>
      <c r="BF1023" s="12">
        <f t="shared" si="230"/>
        <v>2</v>
      </c>
      <c r="BG1023" s="12">
        <f t="shared" si="239"/>
        <v>2</v>
      </c>
      <c r="BH1023" s="67">
        <v>0</v>
      </c>
      <c r="BI1023" s="67">
        <v>1</v>
      </c>
      <c r="BJ1023" s="67">
        <v>0</v>
      </c>
      <c r="BK1023" s="67">
        <v>0</v>
      </c>
      <c r="BL1023" s="67">
        <v>0</v>
      </c>
      <c r="BM1023" s="67">
        <v>0</v>
      </c>
      <c r="BN1023" s="67">
        <v>1</v>
      </c>
      <c r="BO1023" s="67">
        <v>0</v>
      </c>
      <c r="BP1023" s="67">
        <v>0</v>
      </c>
      <c r="BQ1023" s="67">
        <v>0</v>
      </c>
      <c r="BR1023" s="67">
        <v>2</v>
      </c>
      <c r="BS1023" s="67">
        <v>0</v>
      </c>
      <c r="BT1023" s="67">
        <v>0</v>
      </c>
      <c r="BU1023" s="70">
        <v>6</v>
      </c>
      <c r="BV1023" s="29">
        <f t="shared" si="231"/>
        <v>0.44667599755093917</v>
      </c>
      <c r="BW1023">
        <f t="shared" si="232"/>
        <v>0.59502473559756086</v>
      </c>
      <c r="BX1023">
        <f t="shared" si="233"/>
        <v>0.67854260110508058</v>
      </c>
      <c r="BY1023">
        <f t="shared" si="234"/>
        <v>0.65423109602898355</v>
      </c>
      <c r="BZ1023">
        <f t="shared" si="235"/>
        <v>2.3747406698420157E-2</v>
      </c>
      <c r="CA1023">
        <f t="shared" si="236"/>
        <v>1.3052350336840246</v>
      </c>
      <c r="CB1023">
        <f t="shared" si="237"/>
        <v>5.8265062631872602E-2</v>
      </c>
    </row>
    <row r="1024" spans="1:80" x14ac:dyDescent="0.45">
      <c r="A1024" s="11">
        <v>37</v>
      </c>
      <c r="B1024" s="12">
        <f t="shared" si="225"/>
        <v>37</v>
      </c>
      <c r="C1024" s="12" t="s">
        <v>59</v>
      </c>
      <c r="D1024" s="12">
        <v>0</v>
      </c>
      <c r="E1024" s="12" t="s">
        <v>86</v>
      </c>
      <c r="F1024" s="12">
        <v>0</v>
      </c>
      <c r="G1024" s="12">
        <v>0</v>
      </c>
      <c r="H1024" s="12" t="s">
        <v>61</v>
      </c>
      <c r="I1024" s="12">
        <v>1</v>
      </c>
      <c r="J1024" s="12">
        <v>0</v>
      </c>
      <c r="K1024" s="12">
        <v>5</v>
      </c>
      <c r="L1024" s="12">
        <f t="shared" si="226"/>
        <v>5</v>
      </c>
      <c r="M1024" s="12">
        <v>2</v>
      </c>
      <c r="N1024" s="12" t="s">
        <v>91</v>
      </c>
      <c r="O1024" s="12">
        <v>0</v>
      </c>
      <c r="P1024" s="12">
        <v>0</v>
      </c>
      <c r="Q1024" s="12">
        <v>0</v>
      </c>
      <c r="R1024" s="12">
        <v>0</v>
      </c>
      <c r="S1024" s="12">
        <v>1</v>
      </c>
      <c r="T1024" s="12">
        <v>3</v>
      </c>
      <c r="U1024" s="12" t="s">
        <v>62</v>
      </c>
      <c r="V1024" s="12">
        <v>0</v>
      </c>
      <c r="W1024" s="12">
        <v>84</v>
      </c>
      <c r="X1024" s="12">
        <v>4</v>
      </c>
      <c r="Y1024" s="12">
        <v>1</v>
      </c>
      <c r="Z1024" s="12" t="s">
        <v>67</v>
      </c>
      <c r="AA1024" s="12">
        <v>0</v>
      </c>
      <c r="AB1024" s="12">
        <v>0</v>
      </c>
      <c r="AC1024" s="12">
        <v>1</v>
      </c>
      <c r="AD1024" s="12">
        <v>0</v>
      </c>
      <c r="AE1024" s="12">
        <v>0</v>
      </c>
      <c r="AF1024" s="12">
        <v>0</v>
      </c>
      <c r="AG1024" s="12">
        <v>0</v>
      </c>
      <c r="AH1024" s="12">
        <v>0</v>
      </c>
      <c r="AI1024" s="12">
        <v>3</v>
      </c>
      <c r="AJ1024" s="12" t="s">
        <v>57</v>
      </c>
      <c r="AK1024" s="12">
        <v>1</v>
      </c>
      <c r="AL1024" s="12">
        <v>0</v>
      </c>
      <c r="AM1024" s="12">
        <v>3500</v>
      </c>
      <c r="AN1024" s="12">
        <f t="shared" si="227"/>
        <v>3500</v>
      </c>
      <c r="AO1024" s="12">
        <v>0</v>
      </c>
      <c r="AP1024" s="12" t="s">
        <v>59</v>
      </c>
      <c r="AQ1024" s="12">
        <v>0</v>
      </c>
      <c r="AR1024" s="12">
        <v>14</v>
      </c>
      <c r="AS1024" s="12">
        <v>3</v>
      </c>
      <c r="AT1024" s="12">
        <v>1</v>
      </c>
      <c r="AU1024" s="12">
        <v>0</v>
      </c>
      <c r="AV1024" s="12">
        <v>7</v>
      </c>
      <c r="AW1024" s="12">
        <f t="shared" si="228"/>
        <v>7</v>
      </c>
      <c r="AX1024" s="12">
        <v>2</v>
      </c>
      <c r="AY1024" s="12">
        <v>1</v>
      </c>
      <c r="AZ1024" s="12">
        <v>6</v>
      </c>
      <c r="BA1024" s="12">
        <f t="shared" si="229"/>
        <v>6</v>
      </c>
      <c r="BB1024" s="12">
        <v>5</v>
      </c>
      <c r="BC1024" s="12">
        <v>1</v>
      </c>
      <c r="BD1024" s="12">
        <f t="shared" si="238"/>
        <v>1</v>
      </c>
      <c r="BE1024" s="12">
        <v>3</v>
      </c>
      <c r="BF1024" s="12">
        <f t="shared" si="230"/>
        <v>3</v>
      </c>
      <c r="BG1024" s="12">
        <f t="shared" si="239"/>
        <v>3</v>
      </c>
      <c r="BH1024" s="67">
        <v>1</v>
      </c>
      <c r="BI1024" s="67">
        <v>0</v>
      </c>
      <c r="BJ1024" s="67">
        <v>0</v>
      </c>
      <c r="BK1024" s="67">
        <v>0</v>
      </c>
      <c r="BL1024" s="67">
        <v>1</v>
      </c>
      <c r="BM1024" s="67">
        <v>0</v>
      </c>
      <c r="BN1024" s="67">
        <v>0</v>
      </c>
      <c r="BO1024" s="67">
        <v>0</v>
      </c>
      <c r="BP1024" s="67">
        <v>0</v>
      </c>
      <c r="BQ1024" s="67">
        <v>3</v>
      </c>
      <c r="BR1024" s="67">
        <v>0</v>
      </c>
      <c r="BS1024" s="67">
        <v>0</v>
      </c>
      <c r="BT1024" s="67">
        <v>7</v>
      </c>
      <c r="BU1024" s="70">
        <v>0</v>
      </c>
      <c r="BV1024" s="29">
        <f t="shared" si="231"/>
        <v>0.63784172856000121</v>
      </c>
      <c r="BW1024">
        <f t="shared" si="232"/>
        <v>0.31476636926356072</v>
      </c>
      <c r="BX1024">
        <f t="shared" si="233"/>
        <v>0.55002080963175637</v>
      </c>
      <c r="BY1024">
        <f t="shared" si="234"/>
        <v>0.16455710867531462</v>
      </c>
      <c r="BZ1024">
        <f t="shared" si="235"/>
        <v>0.51715642219916513</v>
      </c>
      <c r="CA1024">
        <f t="shared" si="236"/>
        <v>8.3401599596422994E-3</v>
      </c>
      <c r="CB1024">
        <f t="shared" si="237"/>
        <v>0.36858985273641137</v>
      </c>
    </row>
    <row r="1025" spans="1:80" x14ac:dyDescent="0.45">
      <c r="A1025" s="11">
        <v>56</v>
      </c>
      <c r="B1025" s="12">
        <f t="shared" si="225"/>
        <v>56</v>
      </c>
      <c r="C1025" s="12" t="s">
        <v>59</v>
      </c>
      <c r="D1025" s="12">
        <v>0</v>
      </c>
      <c r="E1025" s="12" t="s">
        <v>53</v>
      </c>
      <c r="F1025" s="12">
        <v>0</v>
      </c>
      <c r="G1025" s="12">
        <v>1</v>
      </c>
      <c r="H1025" s="12" t="s">
        <v>61</v>
      </c>
      <c r="I1025" s="12">
        <v>1</v>
      </c>
      <c r="J1025" s="12">
        <v>0</v>
      </c>
      <c r="K1025" s="12">
        <v>1</v>
      </c>
      <c r="L1025" s="12">
        <f t="shared" si="226"/>
        <v>1</v>
      </c>
      <c r="M1025" s="12">
        <v>2</v>
      </c>
      <c r="N1025" s="12" t="s">
        <v>55</v>
      </c>
      <c r="O1025" s="12">
        <v>1</v>
      </c>
      <c r="P1025" s="12">
        <v>0</v>
      </c>
      <c r="Q1025" s="12">
        <v>0</v>
      </c>
      <c r="R1025" s="12">
        <v>0</v>
      </c>
      <c r="S1025" s="12">
        <v>0</v>
      </c>
      <c r="T1025" s="12">
        <v>1</v>
      </c>
      <c r="U1025" s="12" t="s">
        <v>19</v>
      </c>
      <c r="V1025" s="12">
        <v>1</v>
      </c>
      <c r="W1025" s="12">
        <v>90</v>
      </c>
      <c r="X1025" s="12">
        <v>3</v>
      </c>
      <c r="Y1025" s="12">
        <v>1</v>
      </c>
      <c r="Z1025" s="12" t="s">
        <v>63</v>
      </c>
      <c r="AA1025" s="12">
        <v>0</v>
      </c>
      <c r="AB1025" s="12">
        <v>0</v>
      </c>
      <c r="AC1025" s="12">
        <v>0</v>
      </c>
      <c r="AD1025" s="12">
        <v>0</v>
      </c>
      <c r="AE1025" s="12">
        <v>0</v>
      </c>
      <c r="AF1025" s="12">
        <v>0</v>
      </c>
      <c r="AG1025" s="12">
        <v>0</v>
      </c>
      <c r="AH1025" s="12">
        <v>1</v>
      </c>
      <c r="AI1025" s="12">
        <v>1</v>
      </c>
      <c r="AJ1025" s="12" t="s">
        <v>64</v>
      </c>
      <c r="AK1025" s="12">
        <v>0</v>
      </c>
      <c r="AL1025" s="12">
        <v>1</v>
      </c>
      <c r="AM1025" s="12">
        <v>2066</v>
      </c>
      <c r="AN1025" s="12">
        <f t="shared" si="227"/>
        <v>2066</v>
      </c>
      <c r="AO1025" s="12">
        <v>2</v>
      </c>
      <c r="AP1025" s="12" t="s">
        <v>59</v>
      </c>
      <c r="AQ1025" s="12">
        <v>0</v>
      </c>
      <c r="AR1025" s="12">
        <v>22</v>
      </c>
      <c r="AS1025" s="12">
        <v>4</v>
      </c>
      <c r="AT1025" s="12">
        <v>4</v>
      </c>
      <c r="AU1025" s="12">
        <v>1</v>
      </c>
      <c r="AV1025" s="12">
        <v>5</v>
      </c>
      <c r="AW1025" s="12">
        <f t="shared" si="228"/>
        <v>5</v>
      </c>
      <c r="AX1025" s="12">
        <v>3</v>
      </c>
      <c r="AY1025" s="12">
        <v>4</v>
      </c>
      <c r="AZ1025" s="12">
        <v>3</v>
      </c>
      <c r="BA1025" s="12">
        <f t="shared" si="229"/>
        <v>3</v>
      </c>
      <c r="BB1025" s="12">
        <v>2</v>
      </c>
      <c r="BC1025" s="12">
        <v>1</v>
      </c>
      <c r="BD1025" s="12">
        <f t="shared" si="238"/>
        <v>1</v>
      </c>
      <c r="BE1025" s="12">
        <v>0</v>
      </c>
      <c r="BF1025" s="12">
        <f t="shared" si="230"/>
        <v>0</v>
      </c>
      <c r="BG1025" s="12">
        <f t="shared" si="239"/>
        <v>0</v>
      </c>
      <c r="BH1025" s="67">
        <v>0</v>
      </c>
      <c r="BI1025" s="67">
        <v>1</v>
      </c>
      <c r="BJ1025" s="67">
        <v>0</v>
      </c>
      <c r="BK1025" s="67">
        <v>0</v>
      </c>
      <c r="BL1025" s="67">
        <v>0</v>
      </c>
      <c r="BM1025" s="67">
        <v>0</v>
      </c>
      <c r="BN1025" s="67">
        <v>1</v>
      </c>
      <c r="BO1025" s="67">
        <v>0</v>
      </c>
      <c r="BP1025" s="67">
        <v>0</v>
      </c>
      <c r="BQ1025" s="67">
        <v>0</v>
      </c>
      <c r="BR1025" s="67">
        <v>0</v>
      </c>
      <c r="BS1025" s="67">
        <v>0</v>
      </c>
      <c r="BT1025" s="67">
        <v>5</v>
      </c>
      <c r="BU1025" s="70">
        <v>0</v>
      </c>
      <c r="BV1025" s="29">
        <f t="shared" si="231"/>
        <v>0.94243245996777325</v>
      </c>
      <c r="BW1025">
        <f t="shared" si="232"/>
        <v>1.1555414682655611</v>
      </c>
      <c r="BX1025">
        <f t="shared" si="233"/>
        <v>0.80706439257840468</v>
      </c>
      <c r="BY1025">
        <f t="shared" si="234"/>
        <v>0.65423109602898355</v>
      </c>
      <c r="BZ1025">
        <f t="shared" si="235"/>
        <v>1.01056543769991</v>
      </c>
      <c r="CA1025">
        <f t="shared" si="236"/>
        <v>2.0881675498954482</v>
      </c>
      <c r="CB1025">
        <f t="shared" si="237"/>
        <v>0.36858985273641137</v>
      </c>
    </row>
    <row r="1026" spans="1:80" x14ac:dyDescent="0.45">
      <c r="A1026" s="11">
        <v>47</v>
      </c>
      <c r="B1026" s="12">
        <f t="shared" ref="B1026:B1089" si="240">IF(A1026&gt;$CD$29,$CD$29,IF(A1026&lt;$CD$30,$CD$30,A1026))</f>
        <v>47</v>
      </c>
      <c r="C1026" s="12" t="s">
        <v>59</v>
      </c>
      <c r="D1026" s="12">
        <v>0</v>
      </c>
      <c r="E1026" s="12" t="s">
        <v>53</v>
      </c>
      <c r="F1026" s="12">
        <v>0</v>
      </c>
      <c r="G1026" s="12">
        <v>1</v>
      </c>
      <c r="H1026" s="12" t="s">
        <v>61</v>
      </c>
      <c r="I1026" s="12">
        <v>1</v>
      </c>
      <c r="J1026" s="12">
        <v>0</v>
      </c>
      <c r="K1026" s="12">
        <v>2</v>
      </c>
      <c r="L1026" s="12">
        <f t="shared" ref="L1026:L1089" si="241">IF(K1026&gt;$CD$25,$CD$25,IF(K1026&lt;$CD$26,$CD$26,K1026))</f>
        <v>2</v>
      </c>
      <c r="M1026" s="12">
        <v>4</v>
      </c>
      <c r="N1026" s="12" t="s">
        <v>70</v>
      </c>
      <c r="O1026" s="12">
        <v>0</v>
      </c>
      <c r="P1026" s="12">
        <v>0</v>
      </c>
      <c r="Q1026" s="12">
        <v>1</v>
      </c>
      <c r="R1026" s="12">
        <v>0</v>
      </c>
      <c r="S1026" s="12">
        <v>0</v>
      </c>
      <c r="T1026" s="12">
        <v>1</v>
      </c>
      <c r="U1026" s="12" t="s">
        <v>19</v>
      </c>
      <c r="V1026" s="12">
        <v>1</v>
      </c>
      <c r="W1026" s="12">
        <v>82</v>
      </c>
      <c r="X1026" s="12">
        <v>3</v>
      </c>
      <c r="Y1026" s="12">
        <v>4</v>
      </c>
      <c r="Z1026" s="12" t="s">
        <v>89</v>
      </c>
      <c r="AA1026" s="12">
        <v>0</v>
      </c>
      <c r="AB1026" s="12">
        <v>0</v>
      </c>
      <c r="AC1026" s="12">
        <v>0</v>
      </c>
      <c r="AD1026" s="12">
        <v>0</v>
      </c>
      <c r="AE1026" s="12">
        <v>0</v>
      </c>
      <c r="AF1026" s="12">
        <v>0</v>
      </c>
      <c r="AG1026" s="12">
        <v>0</v>
      </c>
      <c r="AH1026" s="12">
        <v>0</v>
      </c>
      <c r="AI1026" s="12">
        <v>3</v>
      </c>
      <c r="AJ1026" s="12" t="s">
        <v>64</v>
      </c>
      <c r="AK1026" s="12">
        <v>0</v>
      </c>
      <c r="AL1026" s="12">
        <v>1</v>
      </c>
      <c r="AM1026" s="12">
        <v>17169</v>
      </c>
      <c r="AN1026" s="12">
        <f t="shared" ref="AN1026:AN1089" si="242">IF(AM1026&gt;$CD$8,$CD$8,IF(AM1026&lt;$CD$9,$CD$9,AM1026))</f>
        <v>17169</v>
      </c>
      <c r="AO1026" s="12">
        <v>3</v>
      </c>
      <c r="AP1026" s="12" t="s">
        <v>59</v>
      </c>
      <c r="AQ1026" s="12">
        <v>0</v>
      </c>
      <c r="AR1026" s="12">
        <v>19</v>
      </c>
      <c r="AS1026" s="12">
        <v>3</v>
      </c>
      <c r="AT1026" s="12">
        <v>2</v>
      </c>
      <c r="AU1026" s="12">
        <v>2</v>
      </c>
      <c r="AV1026" s="12">
        <v>26</v>
      </c>
      <c r="AW1026" s="12">
        <f t="shared" ref="AW1026:AW1089" si="243">IF(AV1026&gt;$CD$17,$CD$17,IF(AV1026&lt;$CD$18,$CD$18,AV1026))</f>
        <v>26</v>
      </c>
      <c r="AX1026" s="12">
        <v>2</v>
      </c>
      <c r="AY1026" s="12">
        <v>4</v>
      </c>
      <c r="AZ1026" s="12">
        <v>20</v>
      </c>
      <c r="BA1026" s="12">
        <f t="shared" ref="BA1026:BA1089" si="244">IF(AZ1026&gt; $CD$21,$CD$21,IF(AZ1026&lt;$CD$22,$CD$22,AZ1026))</f>
        <v>20</v>
      </c>
      <c r="BB1026" s="12">
        <v>17</v>
      </c>
      <c r="BC1026" s="12">
        <v>5</v>
      </c>
      <c r="BD1026" s="12">
        <f t="shared" si="238"/>
        <v>5</v>
      </c>
      <c r="BE1026" s="12">
        <v>6</v>
      </c>
      <c r="BF1026" s="12">
        <f t="shared" ref="BF1026:BF1089" si="245">IF(BE1026&gt;$CD$12,$CD$12,IF(BE1026&lt;$CD$13,$CD$13,BE1026))</f>
        <v>6</v>
      </c>
      <c r="BG1026" s="12">
        <f t="shared" si="239"/>
        <v>24</v>
      </c>
      <c r="BH1026" s="67">
        <v>0</v>
      </c>
      <c r="BI1026" s="67">
        <v>1</v>
      </c>
      <c r="BJ1026" s="67">
        <v>0</v>
      </c>
      <c r="BK1026" s="67">
        <v>0</v>
      </c>
      <c r="BL1026" s="67">
        <v>0</v>
      </c>
      <c r="BM1026" s="67">
        <v>0</v>
      </c>
      <c r="BN1026" s="67">
        <v>1</v>
      </c>
      <c r="BO1026" s="67">
        <v>0</v>
      </c>
      <c r="BP1026" s="67">
        <v>0</v>
      </c>
      <c r="BQ1026" s="67">
        <v>6</v>
      </c>
      <c r="BR1026" s="67">
        <v>0</v>
      </c>
      <c r="BS1026" s="67">
        <v>0</v>
      </c>
      <c r="BT1026" s="67">
        <v>26</v>
      </c>
      <c r="BU1026" s="70">
        <v>0</v>
      </c>
      <c r="BV1026" s="29">
        <f t="shared" ref="BV1026:BV1089" si="246">ABS((AM1026-AVERAGE(AM:AM))/_xlfn.STDEV.S(AM:AM))</f>
        <v>2.2655409127320749</v>
      </c>
      <c r="BW1026">
        <f t="shared" ref="BW1026:BW1089" si="247">ABS((BE1026-AVERAGE(BE:BE))/_xlfn.STDEV.S(BE:BE))</f>
        <v>0.52600872973843971</v>
      </c>
      <c r="BX1026">
        <f t="shared" ref="BX1026:BX1089" si="248">ABS((AV1026-AVERAGE(AV:AV))/_xlfn.STDEV.S(AV:AV))</f>
        <v>1.8918932283614016</v>
      </c>
      <c r="BY1026">
        <f t="shared" ref="BY1026:BY1089" si="249">ABS((AZ1026-AVERAGE(AZ:AZ))/_xlfn.STDEV.S(AZ:AZ))</f>
        <v>2.1205881656418071</v>
      </c>
      <c r="BZ1026">
        <f t="shared" ref="BZ1026:BZ1089" si="250">ABS((K1026-AVERAGE(K:K))/_xlfn.STDEV.S(K:K))</f>
        <v>0.88721318382472392</v>
      </c>
      <c r="CA1026">
        <f t="shared" ref="CA1026:CA1089" si="251">ABS((A1026-AVERAGE(A:A))/_xlfn.STDEV.S(A:A))</f>
        <v>1.102986154662698</v>
      </c>
      <c r="CB1026">
        <f t="shared" ref="CB1026:CB1089" si="252">ABS((BC1026-AVERAGE(BC:BC))/_xlfn.STDEV.S(BC:BC))</f>
        <v>0.87270930768174382</v>
      </c>
    </row>
    <row r="1027" spans="1:80" x14ac:dyDescent="0.45">
      <c r="A1027" s="11">
        <v>24</v>
      </c>
      <c r="B1027" s="12">
        <f t="shared" si="240"/>
        <v>24</v>
      </c>
      <c r="C1027" s="12" t="s">
        <v>59</v>
      </c>
      <c r="D1027" s="12">
        <v>0</v>
      </c>
      <c r="E1027" s="12" t="s">
        <v>53</v>
      </c>
      <c r="F1027" s="12">
        <v>0</v>
      </c>
      <c r="G1027" s="12">
        <v>1</v>
      </c>
      <c r="H1027" s="12" t="s">
        <v>54</v>
      </c>
      <c r="I1027" s="12">
        <v>0</v>
      </c>
      <c r="J1027" s="12">
        <v>1</v>
      </c>
      <c r="K1027" s="12">
        <v>4</v>
      </c>
      <c r="L1027" s="12">
        <f t="shared" si="241"/>
        <v>4</v>
      </c>
      <c r="M1027" s="12">
        <v>1</v>
      </c>
      <c r="N1027" s="12" t="s">
        <v>70</v>
      </c>
      <c r="O1027" s="12">
        <v>0</v>
      </c>
      <c r="P1027" s="12">
        <v>0</v>
      </c>
      <c r="Q1027" s="12">
        <v>1</v>
      </c>
      <c r="R1027" s="12">
        <v>0</v>
      </c>
      <c r="S1027" s="12">
        <v>0</v>
      </c>
      <c r="T1027" s="12">
        <v>4</v>
      </c>
      <c r="U1027" s="12" t="s">
        <v>19</v>
      </c>
      <c r="V1027" s="12">
        <v>1</v>
      </c>
      <c r="W1027" s="12">
        <v>42</v>
      </c>
      <c r="X1027" s="12">
        <v>3</v>
      </c>
      <c r="Y1027" s="12">
        <v>2</v>
      </c>
      <c r="Z1027" s="12" t="s">
        <v>56</v>
      </c>
      <c r="AA1027" s="12">
        <v>0</v>
      </c>
      <c r="AB1027" s="12">
        <v>1</v>
      </c>
      <c r="AC1027" s="12">
        <v>0</v>
      </c>
      <c r="AD1027" s="12">
        <v>0</v>
      </c>
      <c r="AE1027" s="12">
        <v>0</v>
      </c>
      <c r="AF1027" s="12">
        <v>0</v>
      </c>
      <c r="AG1027" s="12">
        <v>0</v>
      </c>
      <c r="AH1027" s="12">
        <v>0</v>
      </c>
      <c r="AI1027" s="12">
        <v>3</v>
      </c>
      <c r="AJ1027" s="12" t="s">
        <v>64</v>
      </c>
      <c r="AK1027" s="12">
        <v>0</v>
      </c>
      <c r="AL1027" s="12">
        <v>1</v>
      </c>
      <c r="AM1027" s="12">
        <v>4162</v>
      </c>
      <c r="AN1027" s="12">
        <f t="shared" si="242"/>
        <v>4162</v>
      </c>
      <c r="AO1027" s="12">
        <v>1</v>
      </c>
      <c r="AP1027" s="12" t="s">
        <v>52</v>
      </c>
      <c r="AQ1027" s="12">
        <v>1</v>
      </c>
      <c r="AR1027" s="12">
        <v>12</v>
      </c>
      <c r="AS1027" s="12">
        <v>3</v>
      </c>
      <c r="AT1027" s="12">
        <v>3</v>
      </c>
      <c r="AU1027" s="12">
        <v>2</v>
      </c>
      <c r="AV1027" s="12">
        <v>5</v>
      </c>
      <c r="AW1027" s="12">
        <f t="shared" si="243"/>
        <v>5</v>
      </c>
      <c r="AX1027" s="12">
        <v>3</v>
      </c>
      <c r="AY1027" s="12">
        <v>3</v>
      </c>
      <c r="AZ1027" s="12">
        <v>5</v>
      </c>
      <c r="BA1027" s="12">
        <f t="shared" si="244"/>
        <v>5</v>
      </c>
      <c r="BB1027" s="12">
        <v>4</v>
      </c>
      <c r="BC1027" s="12">
        <v>0</v>
      </c>
      <c r="BD1027" s="12">
        <f t="shared" ref="BD1027:BD1090" si="253">IF(BC1027&gt;$CD$33,$CD$33,BC1027)</f>
        <v>0</v>
      </c>
      <c r="BE1027" s="12">
        <v>3</v>
      </c>
      <c r="BF1027" s="12">
        <f t="shared" si="245"/>
        <v>3</v>
      </c>
      <c r="BG1027" s="12">
        <f t="shared" ref="BG1027:BG1090" si="254">BF1027*Y1027</f>
        <v>6</v>
      </c>
      <c r="BH1027" s="67">
        <v>0</v>
      </c>
      <c r="BI1027" s="67">
        <v>1</v>
      </c>
      <c r="BJ1027" s="67">
        <v>0</v>
      </c>
      <c r="BK1027" s="67">
        <v>0</v>
      </c>
      <c r="BL1027" s="67">
        <v>0</v>
      </c>
      <c r="BM1027" s="67">
        <v>0</v>
      </c>
      <c r="BN1027" s="67">
        <v>0</v>
      </c>
      <c r="BO1027" s="67">
        <v>1</v>
      </c>
      <c r="BP1027" s="67">
        <v>0</v>
      </c>
      <c r="BQ1027" s="67">
        <v>0</v>
      </c>
      <c r="BR1027" s="67">
        <v>3</v>
      </c>
      <c r="BS1027" s="67">
        <v>0</v>
      </c>
      <c r="BT1027" s="67">
        <v>0</v>
      </c>
      <c r="BU1027" s="70">
        <v>5</v>
      </c>
      <c r="BV1027" s="29">
        <f t="shared" si="246"/>
        <v>0.49722871308444666</v>
      </c>
      <c r="BW1027">
        <f t="shared" si="247"/>
        <v>0.31476636926356072</v>
      </c>
      <c r="BX1027">
        <f t="shared" si="248"/>
        <v>0.80706439257840468</v>
      </c>
      <c r="BY1027">
        <f t="shared" si="249"/>
        <v>0.32778177112653761</v>
      </c>
      <c r="BZ1027">
        <f t="shared" si="250"/>
        <v>0.64050867607435136</v>
      </c>
      <c r="CA1027">
        <f t="shared" si="251"/>
        <v>1.4146996331543302</v>
      </c>
      <c r="CB1027">
        <f t="shared" si="252"/>
        <v>0.67891464284095016</v>
      </c>
    </row>
    <row r="1028" spans="1:80" x14ac:dyDescent="0.45">
      <c r="A1028" s="11">
        <v>32</v>
      </c>
      <c r="B1028" s="12">
        <f t="shared" si="240"/>
        <v>32</v>
      </c>
      <c r="C1028" s="12" t="s">
        <v>59</v>
      </c>
      <c r="D1028" s="12">
        <v>0</v>
      </c>
      <c r="E1028" s="12" t="s">
        <v>53</v>
      </c>
      <c r="F1028" s="12">
        <v>0</v>
      </c>
      <c r="G1028" s="12">
        <v>1</v>
      </c>
      <c r="H1028" s="12" t="s">
        <v>54</v>
      </c>
      <c r="I1028" s="12">
        <v>0</v>
      </c>
      <c r="J1028" s="12">
        <v>1</v>
      </c>
      <c r="K1028" s="12">
        <v>7</v>
      </c>
      <c r="L1028" s="12">
        <f t="shared" si="241"/>
        <v>7</v>
      </c>
      <c r="M1028" s="12">
        <v>5</v>
      </c>
      <c r="N1028" s="12" t="s">
        <v>90</v>
      </c>
      <c r="O1028" s="12">
        <v>0</v>
      </c>
      <c r="P1028" s="12">
        <v>0</v>
      </c>
      <c r="Q1028" s="12">
        <v>0</v>
      </c>
      <c r="R1028" s="12">
        <v>1</v>
      </c>
      <c r="S1028" s="12">
        <v>0</v>
      </c>
      <c r="T1028" s="12">
        <v>4</v>
      </c>
      <c r="U1028" s="12" t="s">
        <v>62</v>
      </c>
      <c r="V1028" s="12">
        <v>0</v>
      </c>
      <c r="W1028" s="12">
        <v>97</v>
      </c>
      <c r="X1028" s="12">
        <v>3</v>
      </c>
      <c r="Y1028" s="12">
        <v>2</v>
      </c>
      <c r="Z1028" s="12" t="s">
        <v>56</v>
      </c>
      <c r="AA1028" s="12">
        <v>0</v>
      </c>
      <c r="AB1028" s="12">
        <v>1</v>
      </c>
      <c r="AC1028" s="12">
        <v>0</v>
      </c>
      <c r="AD1028" s="12">
        <v>0</v>
      </c>
      <c r="AE1028" s="12">
        <v>0</v>
      </c>
      <c r="AF1028" s="12">
        <v>0</v>
      </c>
      <c r="AG1028" s="12">
        <v>0</v>
      </c>
      <c r="AH1028" s="12">
        <v>0</v>
      </c>
      <c r="AI1028" s="12">
        <v>4</v>
      </c>
      <c r="AJ1028" s="12" t="s">
        <v>64</v>
      </c>
      <c r="AK1028" s="12">
        <v>0</v>
      </c>
      <c r="AL1028" s="12">
        <v>1</v>
      </c>
      <c r="AM1028" s="12">
        <v>9204</v>
      </c>
      <c r="AN1028" s="12">
        <f t="shared" si="242"/>
        <v>9204</v>
      </c>
      <c r="AO1028" s="12">
        <v>4</v>
      </c>
      <c r="AP1028" s="12" t="s">
        <v>59</v>
      </c>
      <c r="AQ1028" s="12">
        <v>0</v>
      </c>
      <c r="AR1028" s="12">
        <v>12</v>
      </c>
      <c r="AS1028" s="12">
        <v>3</v>
      </c>
      <c r="AT1028" s="12">
        <v>3</v>
      </c>
      <c r="AU1028" s="12">
        <v>1</v>
      </c>
      <c r="AV1028" s="12">
        <v>7</v>
      </c>
      <c r="AW1028" s="12">
        <f t="shared" si="243"/>
        <v>7</v>
      </c>
      <c r="AX1028" s="12">
        <v>3</v>
      </c>
      <c r="AY1028" s="12">
        <v>2</v>
      </c>
      <c r="AZ1028" s="12">
        <v>4</v>
      </c>
      <c r="BA1028" s="12">
        <f t="shared" si="244"/>
        <v>4</v>
      </c>
      <c r="BB1028" s="12">
        <v>3</v>
      </c>
      <c r="BC1028" s="12">
        <v>0</v>
      </c>
      <c r="BD1028" s="12">
        <f t="shared" si="253"/>
        <v>0</v>
      </c>
      <c r="BE1028" s="12">
        <v>3</v>
      </c>
      <c r="BF1028" s="12">
        <f t="shared" si="245"/>
        <v>3</v>
      </c>
      <c r="BG1028" s="12">
        <f t="shared" si="254"/>
        <v>6</v>
      </c>
      <c r="BH1028" s="67">
        <v>0</v>
      </c>
      <c r="BI1028" s="67">
        <v>1</v>
      </c>
      <c r="BJ1028" s="67">
        <v>0</v>
      </c>
      <c r="BK1028" s="67">
        <v>0</v>
      </c>
      <c r="BL1028" s="67">
        <v>0</v>
      </c>
      <c r="BM1028" s="67">
        <v>0</v>
      </c>
      <c r="BN1028" s="67">
        <v>1</v>
      </c>
      <c r="BO1028" s="67">
        <v>0</v>
      </c>
      <c r="BP1028" s="67">
        <v>0</v>
      </c>
      <c r="BQ1028" s="67">
        <v>0</v>
      </c>
      <c r="BR1028" s="67">
        <v>3</v>
      </c>
      <c r="BS1028" s="67">
        <v>0</v>
      </c>
      <c r="BT1028" s="67">
        <v>0</v>
      </c>
      <c r="BU1028" s="70">
        <v>7</v>
      </c>
      <c r="BV1028" s="29">
        <f t="shared" si="246"/>
        <v>0.5737241933018763</v>
      </c>
      <c r="BW1028">
        <f t="shared" si="247"/>
        <v>0.31476636926356072</v>
      </c>
      <c r="BX1028">
        <f t="shared" si="248"/>
        <v>0.55002080963175637</v>
      </c>
      <c r="BY1028">
        <f t="shared" si="249"/>
        <v>0.49100643357776058</v>
      </c>
      <c r="BZ1028">
        <f t="shared" si="250"/>
        <v>0.27045191444879263</v>
      </c>
      <c r="CA1028">
        <f t="shared" si="251"/>
        <v>0.53898283739188557</v>
      </c>
      <c r="CB1028">
        <f t="shared" si="252"/>
        <v>0.67891464284095016</v>
      </c>
    </row>
    <row r="1029" spans="1:80" x14ac:dyDescent="0.45">
      <c r="A1029" s="11">
        <v>34</v>
      </c>
      <c r="B1029" s="12">
        <f t="shared" si="240"/>
        <v>34</v>
      </c>
      <c r="C1029" s="12" t="s">
        <v>59</v>
      </c>
      <c r="D1029" s="12">
        <v>0</v>
      </c>
      <c r="E1029" s="12" t="s">
        <v>53</v>
      </c>
      <c r="F1029" s="12">
        <v>0</v>
      </c>
      <c r="G1029" s="12">
        <v>1</v>
      </c>
      <c r="H1029" s="12" t="s">
        <v>61</v>
      </c>
      <c r="I1029" s="12">
        <v>1</v>
      </c>
      <c r="J1029" s="12">
        <v>0</v>
      </c>
      <c r="K1029" s="12">
        <v>1</v>
      </c>
      <c r="L1029" s="12">
        <f t="shared" si="241"/>
        <v>1</v>
      </c>
      <c r="M1029" s="12">
        <v>3</v>
      </c>
      <c r="N1029" s="12" t="s">
        <v>55</v>
      </c>
      <c r="O1029" s="12">
        <v>1</v>
      </c>
      <c r="P1029" s="12">
        <v>0</v>
      </c>
      <c r="Q1029" s="12">
        <v>0</v>
      </c>
      <c r="R1029" s="12">
        <v>0</v>
      </c>
      <c r="S1029" s="12">
        <v>0</v>
      </c>
      <c r="T1029" s="12">
        <v>4</v>
      </c>
      <c r="U1029" s="12" t="s">
        <v>19</v>
      </c>
      <c r="V1029" s="12">
        <v>1</v>
      </c>
      <c r="W1029" s="12">
        <v>86</v>
      </c>
      <c r="X1029" s="12">
        <v>2</v>
      </c>
      <c r="Y1029" s="12">
        <v>1</v>
      </c>
      <c r="Z1029" s="12" t="s">
        <v>67</v>
      </c>
      <c r="AA1029" s="12">
        <v>0</v>
      </c>
      <c r="AB1029" s="12">
        <v>0</v>
      </c>
      <c r="AC1029" s="12">
        <v>1</v>
      </c>
      <c r="AD1029" s="12">
        <v>0</v>
      </c>
      <c r="AE1029" s="12">
        <v>0</v>
      </c>
      <c r="AF1029" s="12">
        <v>0</v>
      </c>
      <c r="AG1029" s="12">
        <v>0</v>
      </c>
      <c r="AH1029" s="12">
        <v>0</v>
      </c>
      <c r="AI1029" s="12">
        <v>2</v>
      </c>
      <c r="AJ1029" s="12" t="s">
        <v>64</v>
      </c>
      <c r="AK1029" s="12">
        <v>0</v>
      </c>
      <c r="AL1029" s="12">
        <v>1</v>
      </c>
      <c r="AM1029" s="12">
        <v>3294</v>
      </c>
      <c r="AN1029" s="12">
        <f t="shared" si="242"/>
        <v>3294</v>
      </c>
      <c r="AO1029" s="12">
        <v>5</v>
      </c>
      <c r="AP1029" s="12" t="s">
        <v>59</v>
      </c>
      <c r="AQ1029" s="12">
        <v>0</v>
      </c>
      <c r="AR1029" s="12">
        <v>17</v>
      </c>
      <c r="AS1029" s="12">
        <v>3</v>
      </c>
      <c r="AT1029" s="12">
        <v>1</v>
      </c>
      <c r="AU1029" s="12">
        <v>1</v>
      </c>
      <c r="AV1029" s="12">
        <v>7</v>
      </c>
      <c r="AW1029" s="12">
        <f t="shared" si="243"/>
        <v>7</v>
      </c>
      <c r="AX1029" s="12">
        <v>2</v>
      </c>
      <c r="AY1029" s="12">
        <v>2</v>
      </c>
      <c r="AZ1029" s="12">
        <v>5</v>
      </c>
      <c r="BA1029" s="12">
        <f t="shared" si="244"/>
        <v>5</v>
      </c>
      <c r="BB1029" s="12">
        <v>4</v>
      </c>
      <c r="BC1029" s="12">
        <v>0</v>
      </c>
      <c r="BD1029" s="12">
        <f t="shared" si="253"/>
        <v>0</v>
      </c>
      <c r="BE1029" s="12">
        <v>2</v>
      </c>
      <c r="BF1029" s="12">
        <f t="shared" si="245"/>
        <v>2</v>
      </c>
      <c r="BG1029" s="12">
        <f t="shared" si="254"/>
        <v>2</v>
      </c>
      <c r="BH1029" s="67">
        <v>0</v>
      </c>
      <c r="BI1029" s="67">
        <v>1</v>
      </c>
      <c r="BJ1029" s="67">
        <v>0</v>
      </c>
      <c r="BK1029" s="67">
        <v>0</v>
      </c>
      <c r="BL1029" s="67">
        <v>0</v>
      </c>
      <c r="BM1029" s="67">
        <v>0</v>
      </c>
      <c r="BN1029" s="67">
        <v>1</v>
      </c>
      <c r="BO1029" s="67">
        <v>0</v>
      </c>
      <c r="BP1029" s="67">
        <v>0</v>
      </c>
      <c r="BQ1029" s="67">
        <v>2</v>
      </c>
      <c r="BR1029" s="67">
        <v>0</v>
      </c>
      <c r="BS1029" s="67">
        <v>0</v>
      </c>
      <c r="BT1029" s="67">
        <v>7</v>
      </c>
      <c r="BU1029" s="70">
        <v>0</v>
      </c>
      <c r="BV1029" s="29">
        <f t="shared" si="246"/>
        <v>0.68159744032429759</v>
      </c>
      <c r="BW1029">
        <f t="shared" si="247"/>
        <v>0.59502473559756086</v>
      </c>
      <c r="BX1029">
        <f t="shared" si="248"/>
        <v>0.55002080963175637</v>
      </c>
      <c r="BY1029">
        <f t="shared" si="249"/>
        <v>0.32778177112653761</v>
      </c>
      <c r="BZ1029">
        <f t="shared" si="250"/>
        <v>1.01056543769991</v>
      </c>
      <c r="CA1029">
        <f t="shared" si="251"/>
        <v>0.32005363845127444</v>
      </c>
      <c r="CB1029">
        <f t="shared" si="252"/>
        <v>0.67891464284095016</v>
      </c>
    </row>
    <row r="1030" spans="1:80" x14ac:dyDescent="0.45">
      <c r="A1030" s="11">
        <v>41</v>
      </c>
      <c r="B1030" s="12">
        <f t="shared" si="240"/>
        <v>41</v>
      </c>
      <c r="C1030" s="12" t="s">
        <v>59</v>
      </c>
      <c r="D1030" s="12">
        <v>0</v>
      </c>
      <c r="E1030" s="12" t="s">
        <v>53</v>
      </c>
      <c r="F1030" s="12">
        <v>0</v>
      </c>
      <c r="G1030" s="12">
        <v>1</v>
      </c>
      <c r="H1030" s="12" t="s">
        <v>61</v>
      </c>
      <c r="I1030" s="12">
        <v>1</v>
      </c>
      <c r="J1030" s="12">
        <v>0</v>
      </c>
      <c r="K1030" s="12">
        <v>5</v>
      </c>
      <c r="L1030" s="12">
        <f t="shared" si="241"/>
        <v>5</v>
      </c>
      <c r="M1030" s="12">
        <v>5</v>
      </c>
      <c r="N1030" s="12" t="s">
        <v>70</v>
      </c>
      <c r="O1030" s="12">
        <v>0</v>
      </c>
      <c r="P1030" s="12">
        <v>0</v>
      </c>
      <c r="Q1030" s="12">
        <v>1</v>
      </c>
      <c r="R1030" s="12">
        <v>0</v>
      </c>
      <c r="S1030" s="12">
        <v>0</v>
      </c>
      <c r="T1030" s="12">
        <v>2</v>
      </c>
      <c r="U1030" s="12" t="s">
        <v>62</v>
      </c>
      <c r="V1030" s="12">
        <v>0</v>
      </c>
      <c r="W1030" s="12">
        <v>90</v>
      </c>
      <c r="X1030" s="12">
        <v>4</v>
      </c>
      <c r="Y1030" s="12">
        <v>1</v>
      </c>
      <c r="Z1030" s="12" t="s">
        <v>63</v>
      </c>
      <c r="AA1030" s="12">
        <v>0</v>
      </c>
      <c r="AB1030" s="12">
        <v>0</v>
      </c>
      <c r="AC1030" s="12">
        <v>0</v>
      </c>
      <c r="AD1030" s="12">
        <v>0</v>
      </c>
      <c r="AE1030" s="12">
        <v>0</v>
      </c>
      <c r="AF1030" s="12">
        <v>0</v>
      </c>
      <c r="AG1030" s="12">
        <v>0</v>
      </c>
      <c r="AH1030" s="12">
        <v>1</v>
      </c>
      <c r="AI1030" s="12">
        <v>3</v>
      </c>
      <c r="AJ1030" s="12" t="s">
        <v>64</v>
      </c>
      <c r="AK1030" s="12">
        <v>0</v>
      </c>
      <c r="AL1030" s="12">
        <v>1</v>
      </c>
      <c r="AM1030" s="12">
        <v>2127</v>
      </c>
      <c r="AN1030" s="12">
        <f t="shared" si="242"/>
        <v>2127</v>
      </c>
      <c r="AO1030" s="12">
        <v>2</v>
      </c>
      <c r="AP1030" s="12" t="s">
        <v>52</v>
      </c>
      <c r="AQ1030" s="12">
        <v>1</v>
      </c>
      <c r="AR1030" s="12">
        <v>12</v>
      </c>
      <c r="AS1030" s="12">
        <v>3</v>
      </c>
      <c r="AT1030" s="12">
        <v>1</v>
      </c>
      <c r="AU1030" s="12">
        <v>0</v>
      </c>
      <c r="AV1030" s="12">
        <v>7</v>
      </c>
      <c r="AW1030" s="12">
        <f t="shared" si="243"/>
        <v>7</v>
      </c>
      <c r="AX1030" s="12">
        <v>5</v>
      </c>
      <c r="AY1030" s="12">
        <v>2</v>
      </c>
      <c r="AZ1030" s="12">
        <v>4</v>
      </c>
      <c r="BA1030" s="12">
        <f t="shared" si="244"/>
        <v>4</v>
      </c>
      <c r="BB1030" s="12">
        <v>2</v>
      </c>
      <c r="BC1030" s="12">
        <v>0</v>
      </c>
      <c r="BD1030" s="12">
        <f t="shared" si="253"/>
        <v>0</v>
      </c>
      <c r="BE1030" s="12">
        <v>3</v>
      </c>
      <c r="BF1030" s="12">
        <f t="shared" si="245"/>
        <v>3</v>
      </c>
      <c r="BG1030" s="12">
        <f t="shared" si="254"/>
        <v>3</v>
      </c>
      <c r="BH1030" s="67">
        <v>0</v>
      </c>
      <c r="BI1030" s="67">
        <v>1</v>
      </c>
      <c r="BJ1030" s="67">
        <v>0</v>
      </c>
      <c r="BK1030" s="67">
        <v>0</v>
      </c>
      <c r="BL1030" s="67">
        <v>0</v>
      </c>
      <c r="BM1030" s="67">
        <v>0</v>
      </c>
      <c r="BN1030" s="67">
        <v>0</v>
      </c>
      <c r="BO1030" s="67">
        <v>1</v>
      </c>
      <c r="BP1030" s="67">
        <v>0</v>
      </c>
      <c r="BQ1030" s="67">
        <v>3</v>
      </c>
      <c r="BR1030" s="67">
        <v>0</v>
      </c>
      <c r="BS1030" s="67">
        <v>0</v>
      </c>
      <c r="BT1030" s="67">
        <v>7</v>
      </c>
      <c r="BU1030" s="70">
        <v>0</v>
      </c>
      <c r="BV1030" s="29">
        <f t="shared" si="246"/>
        <v>0.9294756715327146</v>
      </c>
      <c r="BW1030">
        <f t="shared" si="247"/>
        <v>0.31476636926356072</v>
      </c>
      <c r="BX1030">
        <f t="shared" si="248"/>
        <v>0.55002080963175637</v>
      </c>
      <c r="BY1030">
        <f t="shared" si="249"/>
        <v>0.49100643357776058</v>
      </c>
      <c r="BZ1030">
        <f t="shared" si="250"/>
        <v>0.51715642219916513</v>
      </c>
      <c r="CA1030">
        <f t="shared" si="251"/>
        <v>0.4461985578408646</v>
      </c>
      <c r="CB1030">
        <f t="shared" si="252"/>
        <v>0.67891464284095016</v>
      </c>
    </row>
    <row r="1031" spans="1:80" x14ac:dyDescent="0.45">
      <c r="A1031" s="11">
        <v>40</v>
      </c>
      <c r="B1031" s="12">
        <f t="shared" si="240"/>
        <v>40</v>
      </c>
      <c r="C1031" s="12" t="s">
        <v>59</v>
      </c>
      <c r="D1031" s="12">
        <v>0</v>
      </c>
      <c r="E1031" s="12" t="s">
        <v>86</v>
      </c>
      <c r="F1031" s="12">
        <v>0</v>
      </c>
      <c r="G1031" s="12">
        <v>0</v>
      </c>
      <c r="H1031" s="12" t="s">
        <v>61</v>
      </c>
      <c r="I1031" s="12">
        <v>1</v>
      </c>
      <c r="J1031" s="12">
        <v>0</v>
      </c>
      <c r="K1031" s="12">
        <v>9</v>
      </c>
      <c r="L1031" s="12">
        <f t="shared" si="241"/>
        <v>9</v>
      </c>
      <c r="M1031" s="12">
        <v>4</v>
      </c>
      <c r="N1031" s="12" t="s">
        <v>66</v>
      </c>
      <c r="O1031" s="12">
        <v>0</v>
      </c>
      <c r="P1031" s="12">
        <v>1</v>
      </c>
      <c r="Q1031" s="12">
        <v>0</v>
      </c>
      <c r="R1031" s="12">
        <v>0</v>
      </c>
      <c r="S1031" s="12">
        <v>0</v>
      </c>
      <c r="T1031" s="12">
        <v>3</v>
      </c>
      <c r="U1031" s="12" t="s">
        <v>62</v>
      </c>
      <c r="V1031" s="12">
        <v>0</v>
      </c>
      <c r="W1031" s="12">
        <v>81</v>
      </c>
      <c r="X1031" s="12">
        <v>3</v>
      </c>
      <c r="Y1031" s="12">
        <v>2</v>
      </c>
      <c r="Z1031" s="12" t="s">
        <v>67</v>
      </c>
      <c r="AA1031" s="12">
        <v>0</v>
      </c>
      <c r="AB1031" s="12">
        <v>0</v>
      </c>
      <c r="AC1031" s="12">
        <v>1</v>
      </c>
      <c r="AD1031" s="12">
        <v>0</v>
      </c>
      <c r="AE1031" s="12">
        <v>0</v>
      </c>
      <c r="AF1031" s="12">
        <v>0</v>
      </c>
      <c r="AG1031" s="12">
        <v>0</v>
      </c>
      <c r="AH1031" s="12">
        <v>0</v>
      </c>
      <c r="AI1031" s="12">
        <v>3</v>
      </c>
      <c r="AJ1031" s="12" t="s">
        <v>78</v>
      </c>
      <c r="AK1031" s="12">
        <v>0</v>
      </c>
      <c r="AL1031" s="12">
        <v>0</v>
      </c>
      <c r="AM1031" s="12">
        <v>3975</v>
      </c>
      <c r="AN1031" s="12">
        <f t="shared" si="242"/>
        <v>3975</v>
      </c>
      <c r="AO1031" s="12">
        <v>3</v>
      </c>
      <c r="AP1031" s="12" t="s">
        <v>59</v>
      </c>
      <c r="AQ1031" s="12">
        <v>0</v>
      </c>
      <c r="AR1031" s="12">
        <v>11</v>
      </c>
      <c r="AS1031" s="12">
        <v>3</v>
      </c>
      <c r="AT1031" s="12">
        <v>3</v>
      </c>
      <c r="AU1031" s="12">
        <v>2</v>
      </c>
      <c r="AV1031" s="12">
        <v>11</v>
      </c>
      <c r="AW1031" s="12">
        <f t="shared" si="243"/>
        <v>11</v>
      </c>
      <c r="AX1031" s="12">
        <v>2</v>
      </c>
      <c r="AY1031" s="12">
        <v>4</v>
      </c>
      <c r="AZ1031" s="12">
        <v>8</v>
      </c>
      <c r="BA1031" s="12">
        <f t="shared" si="244"/>
        <v>8</v>
      </c>
      <c r="BB1031" s="12">
        <v>7</v>
      </c>
      <c r="BC1031" s="12">
        <v>0</v>
      </c>
      <c r="BD1031" s="12">
        <f t="shared" si="253"/>
        <v>0</v>
      </c>
      <c r="BE1031" s="12">
        <v>7</v>
      </c>
      <c r="BF1031" s="12">
        <f t="shared" si="245"/>
        <v>7</v>
      </c>
      <c r="BG1031" s="12">
        <f t="shared" si="254"/>
        <v>14</v>
      </c>
      <c r="BH1031" s="67">
        <v>1</v>
      </c>
      <c r="BI1031" s="67">
        <v>0</v>
      </c>
      <c r="BJ1031" s="67">
        <v>0</v>
      </c>
      <c r="BK1031" s="67">
        <v>0</v>
      </c>
      <c r="BL1031" s="67">
        <v>1</v>
      </c>
      <c r="BM1031" s="67">
        <v>0</v>
      </c>
      <c r="BN1031" s="67">
        <v>0</v>
      </c>
      <c r="BO1031" s="67">
        <v>0</v>
      </c>
      <c r="BP1031" s="67">
        <v>0</v>
      </c>
      <c r="BQ1031" s="67">
        <v>7</v>
      </c>
      <c r="BR1031" s="67">
        <v>0</v>
      </c>
      <c r="BS1031" s="67">
        <v>0</v>
      </c>
      <c r="BT1031" s="67">
        <v>11</v>
      </c>
      <c r="BU1031" s="70">
        <v>0</v>
      </c>
      <c r="BV1031" s="29">
        <f t="shared" si="246"/>
        <v>0.53694870386077398</v>
      </c>
      <c r="BW1031">
        <f t="shared" si="247"/>
        <v>0.80626709607243985</v>
      </c>
      <c r="BX1031">
        <f t="shared" si="248"/>
        <v>3.593364373846001E-2</v>
      </c>
      <c r="BY1031">
        <f t="shared" si="249"/>
        <v>0.16189221622713135</v>
      </c>
      <c r="BZ1031">
        <f t="shared" si="250"/>
        <v>2.3747406698420157E-2</v>
      </c>
      <c r="CA1031">
        <f t="shared" si="251"/>
        <v>0.33673395837055903</v>
      </c>
      <c r="CB1031">
        <f t="shared" si="252"/>
        <v>0.67891464284095016</v>
      </c>
    </row>
    <row r="1032" spans="1:80" x14ac:dyDescent="0.45">
      <c r="A1032" s="11">
        <v>31</v>
      </c>
      <c r="B1032" s="12">
        <f t="shared" si="240"/>
        <v>31</v>
      </c>
      <c r="C1032" s="12" t="s">
        <v>59</v>
      </c>
      <c r="D1032" s="12">
        <v>0</v>
      </c>
      <c r="E1032" s="12" t="s">
        <v>53</v>
      </c>
      <c r="F1032" s="12">
        <v>0</v>
      </c>
      <c r="G1032" s="12">
        <v>1</v>
      </c>
      <c r="H1032" s="12" t="s">
        <v>54</v>
      </c>
      <c r="I1032" s="12">
        <v>0</v>
      </c>
      <c r="J1032" s="12">
        <v>1</v>
      </c>
      <c r="K1032" s="12">
        <v>8</v>
      </c>
      <c r="L1032" s="12">
        <f t="shared" si="241"/>
        <v>8</v>
      </c>
      <c r="M1032" s="12">
        <v>2</v>
      </c>
      <c r="N1032" s="12" t="s">
        <v>55</v>
      </c>
      <c r="O1032" s="12">
        <v>1</v>
      </c>
      <c r="P1032" s="12">
        <v>0</v>
      </c>
      <c r="Q1032" s="12">
        <v>0</v>
      </c>
      <c r="R1032" s="12">
        <v>0</v>
      </c>
      <c r="S1032" s="12">
        <v>0</v>
      </c>
      <c r="T1032" s="12">
        <v>1</v>
      </c>
      <c r="U1032" s="12" t="s">
        <v>62</v>
      </c>
      <c r="V1032" s="12">
        <v>0</v>
      </c>
      <c r="W1032" s="12">
        <v>31</v>
      </c>
      <c r="X1032" s="12">
        <v>3</v>
      </c>
      <c r="Y1032" s="12">
        <v>3</v>
      </c>
      <c r="Z1032" s="12" t="s">
        <v>56</v>
      </c>
      <c r="AA1032" s="12">
        <v>0</v>
      </c>
      <c r="AB1032" s="12">
        <v>1</v>
      </c>
      <c r="AC1032" s="12">
        <v>0</v>
      </c>
      <c r="AD1032" s="12">
        <v>0</v>
      </c>
      <c r="AE1032" s="12">
        <v>0</v>
      </c>
      <c r="AF1032" s="12">
        <v>0</v>
      </c>
      <c r="AG1032" s="12">
        <v>0</v>
      </c>
      <c r="AH1032" s="12">
        <v>0</v>
      </c>
      <c r="AI1032" s="12">
        <v>4</v>
      </c>
      <c r="AJ1032" s="12" t="s">
        <v>78</v>
      </c>
      <c r="AK1032" s="12">
        <v>0</v>
      </c>
      <c r="AL1032" s="12">
        <v>0</v>
      </c>
      <c r="AM1032" s="12">
        <v>10793</v>
      </c>
      <c r="AN1032" s="12">
        <f t="shared" si="242"/>
        <v>10793</v>
      </c>
      <c r="AO1032" s="12">
        <v>1</v>
      </c>
      <c r="AP1032" s="12" t="s">
        <v>59</v>
      </c>
      <c r="AQ1032" s="12">
        <v>0</v>
      </c>
      <c r="AR1032" s="12">
        <v>18</v>
      </c>
      <c r="AS1032" s="12">
        <v>3</v>
      </c>
      <c r="AT1032" s="12">
        <v>1</v>
      </c>
      <c r="AU1032" s="12">
        <v>1</v>
      </c>
      <c r="AV1032" s="12">
        <v>13</v>
      </c>
      <c r="AW1032" s="12">
        <f t="shared" si="243"/>
        <v>13</v>
      </c>
      <c r="AX1032" s="12">
        <v>5</v>
      </c>
      <c r="AY1032" s="12">
        <v>3</v>
      </c>
      <c r="AZ1032" s="12">
        <v>13</v>
      </c>
      <c r="BA1032" s="12">
        <f t="shared" si="244"/>
        <v>13</v>
      </c>
      <c r="BB1032" s="12">
        <v>7</v>
      </c>
      <c r="BC1032" s="12">
        <v>9</v>
      </c>
      <c r="BD1032" s="12">
        <f t="shared" si="253"/>
        <v>9</v>
      </c>
      <c r="BE1032" s="12">
        <v>9</v>
      </c>
      <c r="BF1032" s="12">
        <f t="shared" si="245"/>
        <v>9</v>
      </c>
      <c r="BG1032" s="12">
        <f t="shared" si="254"/>
        <v>27</v>
      </c>
      <c r="BH1032" s="67">
        <v>1</v>
      </c>
      <c r="BI1032" s="67">
        <v>0</v>
      </c>
      <c r="BJ1032" s="67">
        <v>0</v>
      </c>
      <c r="BK1032" s="67">
        <v>0</v>
      </c>
      <c r="BL1032" s="67">
        <v>1</v>
      </c>
      <c r="BM1032" s="67">
        <v>0</v>
      </c>
      <c r="BN1032" s="67">
        <v>0</v>
      </c>
      <c r="BO1032" s="67">
        <v>0</v>
      </c>
      <c r="BP1032" s="67">
        <v>0</v>
      </c>
      <c r="BQ1032" s="67">
        <v>0</v>
      </c>
      <c r="BR1032" s="67">
        <v>9</v>
      </c>
      <c r="BS1032" s="67">
        <v>0</v>
      </c>
      <c r="BT1032" s="67">
        <v>0</v>
      </c>
      <c r="BU1032" s="70">
        <v>13</v>
      </c>
      <c r="BV1032" s="29">
        <f t="shared" si="246"/>
        <v>0.9112379117167646</v>
      </c>
      <c r="BW1032">
        <f t="shared" si="247"/>
        <v>1.3667838287404401</v>
      </c>
      <c r="BX1032">
        <f t="shared" si="248"/>
        <v>0.22110993920818819</v>
      </c>
      <c r="BY1032">
        <f t="shared" si="249"/>
        <v>0.97801552848324624</v>
      </c>
      <c r="BZ1032">
        <f t="shared" si="250"/>
        <v>0.14709966057360641</v>
      </c>
      <c r="CA1032">
        <f t="shared" si="251"/>
        <v>0.6484474368621912</v>
      </c>
      <c r="CB1032">
        <f t="shared" si="252"/>
        <v>2.114008468099899</v>
      </c>
    </row>
    <row r="1033" spans="1:80" x14ac:dyDescent="0.45">
      <c r="A1033" s="11">
        <v>46</v>
      </c>
      <c r="B1033" s="12">
        <f t="shared" si="240"/>
        <v>46</v>
      </c>
      <c r="C1033" s="12" t="s">
        <v>52</v>
      </c>
      <c r="D1033" s="12">
        <v>1</v>
      </c>
      <c r="E1033" s="12" t="s">
        <v>53</v>
      </c>
      <c r="F1033" s="12">
        <v>0</v>
      </c>
      <c r="G1033" s="12">
        <v>1</v>
      </c>
      <c r="H1033" s="12" t="s">
        <v>54</v>
      </c>
      <c r="I1033" s="12">
        <v>0</v>
      </c>
      <c r="J1033" s="12">
        <v>1</v>
      </c>
      <c r="K1033" s="12">
        <v>9</v>
      </c>
      <c r="L1033" s="12">
        <f t="shared" si="241"/>
        <v>9</v>
      </c>
      <c r="M1033" s="12">
        <v>3</v>
      </c>
      <c r="N1033" s="12" t="s">
        <v>90</v>
      </c>
      <c r="O1033" s="12">
        <v>0</v>
      </c>
      <c r="P1033" s="12">
        <v>0</v>
      </c>
      <c r="Q1033" s="12">
        <v>0</v>
      </c>
      <c r="R1033" s="12">
        <v>1</v>
      </c>
      <c r="S1033" s="12">
        <v>0</v>
      </c>
      <c r="T1033" s="12">
        <v>1</v>
      </c>
      <c r="U1033" s="12" t="s">
        <v>62</v>
      </c>
      <c r="V1033" s="12">
        <v>0</v>
      </c>
      <c r="W1033" s="12">
        <v>52</v>
      </c>
      <c r="X1033" s="12">
        <v>3</v>
      </c>
      <c r="Y1033" s="12">
        <v>3</v>
      </c>
      <c r="Z1033" s="12" t="s">
        <v>56</v>
      </c>
      <c r="AA1033" s="12">
        <v>0</v>
      </c>
      <c r="AB1033" s="12">
        <v>1</v>
      </c>
      <c r="AC1033" s="12">
        <v>0</v>
      </c>
      <c r="AD1033" s="12">
        <v>0</v>
      </c>
      <c r="AE1033" s="12">
        <v>0</v>
      </c>
      <c r="AF1033" s="12">
        <v>0</v>
      </c>
      <c r="AG1033" s="12">
        <v>0</v>
      </c>
      <c r="AH1033" s="12">
        <v>0</v>
      </c>
      <c r="AI1033" s="12">
        <v>4</v>
      </c>
      <c r="AJ1033" s="12" t="s">
        <v>78</v>
      </c>
      <c r="AK1033" s="12">
        <v>0</v>
      </c>
      <c r="AL1033" s="12">
        <v>0</v>
      </c>
      <c r="AM1033" s="12">
        <v>10096</v>
      </c>
      <c r="AN1033" s="12">
        <f t="shared" si="242"/>
        <v>10096</v>
      </c>
      <c r="AO1033" s="12">
        <v>4</v>
      </c>
      <c r="AP1033" s="12" t="s">
        <v>59</v>
      </c>
      <c r="AQ1033" s="12">
        <v>0</v>
      </c>
      <c r="AR1033" s="12">
        <v>11</v>
      </c>
      <c r="AS1033" s="12">
        <v>3</v>
      </c>
      <c r="AT1033" s="12">
        <v>1</v>
      </c>
      <c r="AU1033" s="12">
        <v>1</v>
      </c>
      <c r="AV1033" s="12">
        <v>28</v>
      </c>
      <c r="AW1033" s="12">
        <f t="shared" si="243"/>
        <v>28</v>
      </c>
      <c r="AX1033" s="12">
        <v>1</v>
      </c>
      <c r="AY1033" s="12">
        <v>4</v>
      </c>
      <c r="AZ1033" s="12">
        <v>7</v>
      </c>
      <c r="BA1033" s="12">
        <f t="shared" si="244"/>
        <v>7</v>
      </c>
      <c r="BB1033" s="12">
        <v>7</v>
      </c>
      <c r="BC1033" s="12">
        <v>4</v>
      </c>
      <c r="BD1033" s="12">
        <f t="shared" si="253"/>
        <v>4</v>
      </c>
      <c r="BE1033" s="12">
        <v>3</v>
      </c>
      <c r="BF1033" s="12">
        <f t="shared" si="245"/>
        <v>3</v>
      </c>
      <c r="BG1033" s="12">
        <f t="shared" si="254"/>
        <v>9</v>
      </c>
      <c r="BH1033" s="67">
        <v>1</v>
      </c>
      <c r="BI1033" s="67">
        <v>0</v>
      </c>
      <c r="BJ1033" s="67">
        <v>0</v>
      </c>
      <c r="BK1033" s="67">
        <v>0</v>
      </c>
      <c r="BL1033" s="67">
        <v>1</v>
      </c>
      <c r="BM1033" s="67">
        <v>0</v>
      </c>
      <c r="BN1033" s="67">
        <v>0</v>
      </c>
      <c r="BO1033" s="67">
        <v>0</v>
      </c>
      <c r="BP1033" s="67">
        <v>0</v>
      </c>
      <c r="BQ1033" s="67">
        <v>0</v>
      </c>
      <c r="BR1033" s="67">
        <v>3</v>
      </c>
      <c r="BS1033" s="67">
        <v>0</v>
      </c>
      <c r="BT1033" s="67">
        <v>0</v>
      </c>
      <c r="BU1033" s="70">
        <v>28</v>
      </c>
      <c r="BV1033" s="29">
        <f t="shared" si="246"/>
        <v>0.76319067336863544</v>
      </c>
      <c r="BW1033">
        <f t="shared" si="247"/>
        <v>0.31476636926356072</v>
      </c>
      <c r="BX1033">
        <f t="shared" si="248"/>
        <v>2.1489368113080496</v>
      </c>
      <c r="BY1033">
        <f t="shared" si="249"/>
        <v>1.3324462240916321E-3</v>
      </c>
      <c r="BZ1033">
        <f t="shared" si="250"/>
        <v>2.3747406698420157E-2</v>
      </c>
      <c r="CA1033">
        <f t="shared" si="251"/>
        <v>0.99352155519239249</v>
      </c>
      <c r="CB1033">
        <f t="shared" si="252"/>
        <v>0.56238451757720498</v>
      </c>
    </row>
    <row r="1034" spans="1:80" x14ac:dyDescent="0.45">
      <c r="A1034" s="11">
        <v>39</v>
      </c>
      <c r="B1034" s="12">
        <f t="shared" si="240"/>
        <v>39</v>
      </c>
      <c r="C1034" s="12" t="s">
        <v>52</v>
      </c>
      <c r="D1034" s="12">
        <v>1</v>
      </c>
      <c r="E1034" s="12" t="s">
        <v>86</v>
      </c>
      <c r="F1034" s="12">
        <v>0</v>
      </c>
      <c r="G1034" s="12">
        <v>0</v>
      </c>
      <c r="H1034" s="12" t="s">
        <v>61</v>
      </c>
      <c r="I1034" s="12">
        <v>1</v>
      </c>
      <c r="J1034" s="12">
        <v>0</v>
      </c>
      <c r="K1034" s="12">
        <v>2</v>
      </c>
      <c r="L1034" s="12">
        <f t="shared" si="241"/>
        <v>2</v>
      </c>
      <c r="M1034" s="12">
        <v>3</v>
      </c>
      <c r="N1034" s="12" t="s">
        <v>55</v>
      </c>
      <c r="O1034" s="12">
        <v>1</v>
      </c>
      <c r="P1034" s="12">
        <v>0</v>
      </c>
      <c r="Q1034" s="12">
        <v>0</v>
      </c>
      <c r="R1034" s="12">
        <v>0</v>
      </c>
      <c r="S1034" s="12">
        <v>0</v>
      </c>
      <c r="T1034" s="12">
        <v>1</v>
      </c>
      <c r="U1034" s="12" t="s">
        <v>19</v>
      </c>
      <c r="V1034" s="12">
        <v>1</v>
      </c>
      <c r="W1034" s="12">
        <v>54</v>
      </c>
      <c r="X1034" s="12">
        <v>2</v>
      </c>
      <c r="Y1034" s="12">
        <v>1</v>
      </c>
      <c r="Z1034" s="12" t="s">
        <v>67</v>
      </c>
      <c r="AA1034" s="12">
        <v>0</v>
      </c>
      <c r="AB1034" s="12">
        <v>0</v>
      </c>
      <c r="AC1034" s="12">
        <v>1</v>
      </c>
      <c r="AD1034" s="12">
        <v>0</v>
      </c>
      <c r="AE1034" s="12">
        <v>0</v>
      </c>
      <c r="AF1034" s="12">
        <v>0</v>
      </c>
      <c r="AG1034" s="12">
        <v>0</v>
      </c>
      <c r="AH1034" s="12">
        <v>0</v>
      </c>
      <c r="AI1034" s="12">
        <v>1</v>
      </c>
      <c r="AJ1034" s="12" t="s">
        <v>57</v>
      </c>
      <c r="AK1034" s="12">
        <v>1</v>
      </c>
      <c r="AL1034" s="12">
        <v>0</v>
      </c>
      <c r="AM1034" s="12">
        <v>3646</v>
      </c>
      <c r="AN1034" s="12">
        <f t="shared" si="242"/>
        <v>3646</v>
      </c>
      <c r="AO1034" s="12">
        <v>2</v>
      </c>
      <c r="AP1034" s="12" t="s">
        <v>52</v>
      </c>
      <c r="AQ1034" s="12">
        <v>1</v>
      </c>
      <c r="AR1034" s="12">
        <v>23</v>
      </c>
      <c r="AS1034" s="12">
        <v>4</v>
      </c>
      <c r="AT1034" s="12">
        <v>2</v>
      </c>
      <c r="AU1034" s="12">
        <v>0</v>
      </c>
      <c r="AV1034" s="12">
        <v>11</v>
      </c>
      <c r="AW1034" s="12">
        <f t="shared" si="243"/>
        <v>11</v>
      </c>
      <c r="AX1034" s="12">
        <v>2</v>
      </c>
      <c r="AY1034" s="12">
        <v>4</v>
      </c>
      <c r="AZ1034" s="12">
        <v>1</v>
      </c>
      <c r="BA1034" s="12">
        <f t="shared" si="244"/>
        <v>1</v>
      </c>
      <c r="BB1034" s="12">
        <v>0</v>
      </c>
      <c r="BC1034" s="12">
        <v>0</v>
      </c>
      <c r="BD1034" s="12">
        <f t="shared" si="253"/>
        <v>0</v>
      </c>
      <c r="BE1034" s="12">
        <v>0</v>
      </c>
      <c r="BF1034" s="12">
        <f t="shared" si="245"/>
        <v>0</v>
      </c>
      <c r="BG1034" s="12">
        <f t="shared" si="254"/>
        <v>0</v>
      </c>
      <c r="BH1034" s="67">
        <v>1</v>
      </c>
      <c r="BI1034" s="67">
        <v>0</v>
      </c>
      <c r="BJ1034" s="67">
        <v>0</v>
      </c>
      <c r="BK1034" s="67">
        <v>0</v>
      </c>
      <c r="BL1034" s="67">
        <v>0</v>
      </c>
      <c r="BM1034" s="67">
        <v>1</v>
      </c>
      <c r="BN1034" s="67">
        <v>0</v>
      </c>
      <c r="BO1034" s="67">
        <v>0</v>
      </c>
      <c r="BP1034" s="67">
        <v>0</v>
      </c>
      <c r="BQ1034" s="67">
        <v>0</v>
      </c>
      <c r="BR1034" s="67">
        <v>0</v>
      </c>
      <c r="BS1034" s="67">
        <v>0</v>
      </c>
      <c r="BT1034" s="67">
        <v>11</v>
      </c>
      <c r="BU1034" s="70">
        <v>0</v>
      </c>
      <c r="BV1034" s="29">
        <f t="shared" si="246"/>
        <v>0.60683039886297552</v>
      </c>
      <c r="BW1034">
        <f t="shared" si="247"/>
        <v>1.1555414682655611</v>
      </c>
      <c r="BX1034">
        <f t="shared" si="248"/>
        <v>3.593364373846001E-2</v>
      </c>
      <c r="BY1034">
        <f t="shared" si="249"/>
        <v>0.9806804209314296</v>
      </c>
      <c r="BZ1034">
        <f t="shared" si="250"/>
        <v>0.88721318382472392</v>
      </c>
      <c r="CA1034">
        <f t="shared" si="251"/>
        <v>0.22726935890025346</v>
      </c>
      <c r="CB1034">
        <f t="shared" si="252"/>
        <v>0.67891464284095016</v>
      </c>
    </row>
    <row r="1035" spans="1:80" x14ac:dyDescent="0.45">
      <c r="A1035" s="11">
        <v>31</v>
      </c>
      <c r="B1035" s="12">
        <f t="shared" si="240"/>
        <v>31</v>
      </c>
      <c r="C1035" s="12" t="s">
        <v>52</v>
      </c>
      <c r="D1035" s="12">
        <v>1</v>
      </c>
      <c r="E1035" s="12" t="s">
        <v>60</v>
      </c>
      <c r="F1035" s="12">
        <v>1</v>
      </c>
      <c r="G1035" s="12">
        <v>0</v>
      </c>
      <c r="H1035" s="12" t="s">
        <v>61</v>
      </c>
      <c r="I1035" s="12">
        <v>1</v>
      </c>
      <c r="J1035" s="12">
        <v>0</v>
      </c>
      <c r="K1035" s="12">
        <v>1</v>
      </c>
      <c r="L1035" s="12">
        <f t="shared" si="241"/>
        <v>1</v>
      </c>
      <c r="M1035" s="12">
        <v>5</v>
      </c>
      <c r="N1035" s="12" t="s">
        <v>55</v>
      </c>
      <c r="O1035" s="12">
        <v>1</v>
      </c>
      <c r="P1035" s="12">
        <v>0</v>
      </c>
      <c r="Q1035" s="12">
        <v>0</v>
      </c>
      <c r="R1035" s="12">
        <v>0</v>
      </c>
      <c r="S1035" s="12">
        <v>0</v>
      </c>
      <c r="T1035" s="12">
        <v>3</v>
      </c>
      <c r="U1035" s="12" t="s">
        <v>19</v>
      </c>
      <c r="V1035" s="12">
        <v>1</v>
      </c>
      <c r="W1035" s="12">
        <v>100</v>
      </c>
      <c r="X1035" s="12">
        <v>4</v>
      </c>
      <c r="Y1035" s="12">
        <v>3</v>
      </c>
      <c r="Z1035" s="12" t="s">
        <v>83</v>
      </c>
      <c r="AA1035" s="12">
        <v>0</v>
      </c>
      <c r="AB1035" s="12">
        <v>0</v>
      </c>
      <c r="AC1035" s="12">
        <v>0</v>
      </c>
      <c r="AD1035" s="12">
        <v>0</v>
      </c>
      <c r="AE1035" s="12">
        <v>1</v>
      </c>
      <c r="AF1035" s="12">
        <v>1</v>
      </c>
      <c r="AG1035" s="12">
        <v>0</v>
      </c>
      <c r="AH1035" s="12">
        <v>0</v>
      </c>
      <c r="AI1035" s="12">
        <v>2</v>
      </c>
      <c r="AJ1035" s="12" t="s">
        <v>57</v>
      </c>
      <c r="AK1035" s="12">
        <v>1</v>
      </c>
      <c r="AL1035" s="12">
        <v>0</v>
      </c>
      <c r="AM1035" s="12">
        <v>7446</v>
      </c>
      <c r="AN1035" s="12">
        <f t="shared" si="242"/>
        <v>7446</v>
      </c>
      <c r="AO1035" s="12">
        <v>1</v>
      </c>
      <c r="AP1035" s="12" t="s">
        <v>59</v>
      </c>
      <c r="AQ1035" s="12">
        <v>0</v>
      </c>
      <c r="AR1035" s="12">
        <v>11</v>
      </c>
      <c r="AS1035" s="12">
        <v>3</v>
      </c>
      <c r="AT1035" s="12">
        <v>1</v>
      </c>
      <c r="AU1035" s="12">
        <v>0</v>
      </c>
      <c r="AV1035" s="12">
        <v>10</v>
      </c>
      <c r="AW1035" s="12">
        <f t="shared" si="243"/>
        <v>10</v>
      </c>
      <c r="AX1035" s="12">
        <v>2</v>
      </c>
      <c r="AY1035" s="12">
        <v>3</v>
      </c>
      <c r="AZ1035" s="12">
        <v>10</v>
      </c>
      <c r="BA1035" s="12">
        <f t="shared" si="244"/>
        <v>10</v>
      </c>
      <c r="BB1035" s="12">
        <v>8</v>
      </c>
      <c r="BC1035" s="12">
        <v>4</v>
      </c>
      <c r="BD1035" s="12">
        <f t="shared" si="253"/>
        <v>4</v>
      </c>
      <c r="BE1035" s="12">
        <v>7</v>
      </c>
      <c r="BF1035" s="12">
        <f t="shared" si="245"/>
        <v>7</v>
      </c>
      <c r="BG1035" s="12">
        <f t="shared" si="254"/>
        <v>21</v>
      </c>
      <c r="BH1035" s="67">
        <v>0</v>
      </c>
      <c r="BI1035" s="67">
        <v>0</v>
      </c>
      <c r="BJ1035" s="67">
        <v>1</v>
      </c>
      <c r="BK1035" s="67">
        <v>0</v>
      </c>
      <c r="BL1035" s="67">
        <v>1</v>
      </c>
      <c r="BM1035" s="67">
        <v>0</v>
      </c>
      <c r="BN1035" s="67">
        <v>0</v>
      </c>
      <c r="BO1035" s="67">
        <v>0</v>
      </c>
      <c r="BP1035" s="67">
        <v>0</v>
      </c>
      <c r="BQ1035" s="67">
        <v>7</v>
      </c>
      <c r="BR1035" s="67">
        <v>0</v>
      </c>
      <c r="BS1035" s="67">
        <v>0</v>
      </c>
      <c r="BT1035" s="67">
        <v>10</v>
      </c>
      <c r="BU1035" s="70">
        <v>0</v>
      </c>
      <c r="BV1035" s="29">
        <f t="shared" si="246"/>
        <v>0.20031379873084179</v>
      </c>
      <c r="BW1035">
        <f t="shared" si="247"/>
        <v>0.80626709607243985</v>
      </c>
      <c r="BX1035">
        <f t="shared" si="248"/>
        <v>0.1644554352117841</v>
      </c>
      <c r="BY1035">
        <f t="shared" si="249"/>
        <v>0.48834154112957734</v>
      </c>
      <c r="BZ1035">
        <f t="shared" si="250"/>
        <v>1.01056543769991</v>
      </c>
      <c r="CA1035">
        <f t="shared" si="251"/>
        <v>0.6484474368621912</v>
      </c>
      <c r="CB1035">
        <f t="shared" si="252"/>
        <v>0.56238451757720498</v>
      </c>
    </row>
    <row r="1036" spans="1:80" x14ac:dyDescent="0.45">
      <c r="A1036" s="11">
        <v>45</v>
      </c>
      <c r="B1036" s="12">
        <f t="shared" si="240"/>
        <v>45</v>
      </c>
      <c r="C1036" s="12" t="s">
        <v>59</v>
      </c>
      <c r="D1036" s="12">
        <v>0</v>
      </c>
      <c r="E1036" s="12" t="s">
        <v>53</v>
      </c>
      <c r="F1036" s="12">
        <v>0</v>
      </c>
      <c r="G1036" s="12">
        <v>1</v>
      </c>
      <c r="H1036" s="12" t="s">
        <v>61</v>
      </c>
      <c r="I1036" s="12">
        <v>1</v>
      </c>
      <c r="J1036" s="12">
        <v>0</v>
      </c>
      <c r="K1036" s="12">
        <v>20</v>
      </c>
      <c r="L1036" s="12">
        <f t="shared" si="241"/>
        <v>20</v>
      </c>
      <c r="M1036" s="12">
        <v>3</v>
      </c>
      <c r="N1036" s="12" t="s">
        <v>70</v>
      </c>
      <c r="O1036" s="12">
        <v>0</v>
      </c>
      <c r="P1036" s="12">
        <v>0</v>
      </c>
      <c r="Q1036" s="12">
        <v>1</v>
      </c>
      <c r="R1036" s="12">
        <v>0</v>
      </c>
      <c r="S1036" s="12">
        <v>0</v>
      </c>
      <c r="T1036" s="12">
        <v>2</v>
      </c>
      <c r="U1036" s="12" t="s">
        <v>62</v>
      </c>
      <c r="V1036" s="12">
        <v>0</v>
      </c>
      <c r="W1036" s="12">
        <v>95</v>
      </c>
      <c r="X1036" s="12">
        <v>1</v>
      </c>
      <c r="Y1036" s="12">
        <v>3</v>
      </c>
      <c r="Z1036" s="12" t="s">
        <v>85</v>
      </c>
      <c r="AA1036" s="12">
        <v>1</v>
      </c>
      <c r="AB1036" s="12">
        <v>0</v>
      </c>
      <c r="AC1036" s="12">
        <v>0</v>
      </c>
      <c r="AD1036" s="12">
        <v>0</v>
      </c>
      <c r="AE1036" s="12">
        <v>0</v>
      </c>
      <c r="AF1036" s="12">
        <v>0</v>
      </c>
      <c r="AG1036" s="12">
        <v>0</v>
      </c>
      <c r="AH1036" s="12">
        <v>0</v>
      </c>
      <c r="AI1036" s="12">
        <v>1</v>
      </c>
      <c r="AJ1036" s="12" t="s">
        <v>78</v>
      </c>
      <c r="AK1036" s="12">
        <v>0</v>
      </c>
      <c r="AL1036" s="12">
        <v>0</v>
      </c>
      <c r="AM1036" s="12">
        <v>10851</v>
      </c>
      <c r="AN1036" s="12">
        <f t="shared" si="242"/>
        <v>10851</v>
      </c>
      <c r="AO1036" s="12">
        <v>2</v>
      </c>
      <c r="AP1036" s="12" t="s">
        <v>52</v>
      </c>
      <c r="AQ1036" s="12">
        <v>1</v>
      </c>
      <c r="AR1036" s="12">
        <v>18</v>
      </c>
      <c r="AS1036" s="12">
        <v>3</v>
      </c>
      <c r="AT1036" s="12">
        <v>2</v>
      </c>
      <c r="AU1036" s="12">
        <v>1</v>
      </c>
      <c r="AV1036" s="12">
        <v>24</v>
      </c>
      <c r="AW1036" s="12">
        <f t="shared" si="243"/>
        <v>24</v>
      </c>
      <c r="AX1036" s="12">
        <v>2</v>
      </c>
      <c r="AY1036" s="12">
        <v>3</v>
      </c>
      <c r="AZ1036" s="12">
        <v>7</v>
      </c>
      <c r="BA1036" s="12">
        <f t="shared" si="244"/>
        <v>7</v>
      </c>
      <c r="BB1036" s="12">
        <v>7</v>
      </c>
      <c r="BC1036" s="12">
        <v>0</v>
      </c>
      <c r="BD1036" s="12">
        <f t="shared" si="253"/>
        <v>0</v>
      </c>
      <c r="BE1036" s="12">
        <v>7</v>
      </c>
      <c r="BF1036" s="12">
        <f t="shared" si="245"/>
        <v>7</v>
      </c>
      <c r="BG1036" s="12">
        <f t="shared" si="254"/>
        <v>21</v>
      </c>
      <c r="BH1036" s="67">
        <v>1</v>
      </c>
      <c r="BI1036" s="67">
        <v>0</v>
      </c>
      <c r="BJ1036" s="67">
        <v>0</v>
      </c>
      <c r="BK1036" s="67">
        <v>0</v>
      </c>
      <c r="BL1036" s="67">
        <v>0</v>
      </c>
      <c r="BM1036" s="67">
        <v>1</v>
      </c>
      <c r="BN1036" s="67">
        <v>0</v>
      </c>
      <c r="BO1036" s="67">
        <v>0</v>
      </c>
      <c r="BP1036" s="67">
        <v>0</v>
      </c>
      <c r="BQ1036" s="67">
        <v>7</v>
      </c>
      <c r="BR1036" s="67">
        <v>0</v>
      </c>
      <c r="BS1036" s="67">
        <v>0</v>
      </c>
      <c r="BT1036" s="67">
        <v>24</v>
      </c>
      <c r="BU1036" s="70">
        <v>0</v>
      </c>
      <c r="BV1036" s="29">
        <f t="shared" si="246"/>
        <v>0.92355748104845969</v>
      </c>
      <c r="BW1036">
        <f t="shared" si="247"/>
        <v>0.80626709607243985</v>
      </c>
      <c r="BX1036">
        <f t="shared" si="248"/>
        <v>1.6348496454147534</v>
      </c>
      <c r="BY1036">
        <f t="shared" si="249"/>
        <v>1.3324462240916321E-3</v>
      </c>
      <c r="BZ1036">
        <f t="shared" si="250"/>
        <v>1.3331273859286286</v>
      </c>
      <c r="CA1036">
        <f t="shared" si="251"/>
        <v>0.88405695572208698</v>
      </c>
      <c r="CB1036">
        <f t="shared" si="252"/>
        <v>0.67891464284095016</v>
      </c>
    </row>
    <row r="1037" spans="1:80" x14ac:dyDescent="0.45">
      <c r="A1037" s="11">
        <v>31</v>
      </c>
      <c r="B1037" s="12">
        <f t="shared" si="240"/>
        <v>31</v>
      </c>
      <c r="C1037" s="12" t="s">
        <v>59</v>
      </c>
      <c r="D1037" s="12">
        <v>0</v>
      </c>
      <c r="E1037" s="12" t="s">
        <v>53</v>
      </c>
      <c r="F1037" s="12">
        <v>0</v>
      </c>
      <c r="G1037" s="12">
        <v>1</v>
      </c>
      <c r="H1037" s="12" t="s">
        <v>97</v>
      </c>
      <c r="I1037" s="12">
        <v>0</v>
      </c>
      <c r="J1037" s="12">
        <v>0</v>
      </c>
      <c r="K1037" s="12">
        <v>8</v>
      </c>
      <c r="L1037" s="12">
        <f t="shared" si="241"/>
        <v>8</v>
      </c>
      <c r="M1037" s="12">
        <v>2</v>
      </c>
      <c r="N1037" s="12" t="s">
        <v>70</v>
      </c>
      <c r="O1037" s="12">
        <v>0</v>
      </c>
      <c r="P1037" s="12">
        <v>0</v>
      </c>
      <c r="Q1037" s="12">
        <v>1</v>
      </c>
      <c r="R1037" s="12">
        <v>0</v>
      </c>
      <c r="S1037" s="12">
        <v>0</v>
      </c>
      <c r="T1037" s="12">
        <v>4</v>
      </c>
      <c r="U1037" s="12" t="s">
        <v>19</v>
      </c>
      <c r="V1037" s="12">
        <v>1</v>
      </c>
      <c r="W1037" s="12">
        <v>96</v>
      </c>
      <c r="X1037" s="12">
        <v>4</v>
      </c>
      <c r="Y1037" s="12">
        <v>1</v>
      </c>
      <c r="Z1037" s="12" t="s">
        <v>97</v>
      </c>
      <c r="AA1037" s="12">
        <v>0</v>
      </c>
      <c r="AB1037" s="12">
        <v>0</v>
      </c>
      <c r="AC1037" s="12">
        <v>0</v>
      </c>
      <c r="AD1037" s="12">
        <v>0</v>
      </c>
      <c r="AE1037" s="12">
        <v>0</v>
      </c>
      <c r="AF1037" s="12">
        <v>0</v>
      </c>
      <c r="AG1037" s="12">
        <v>0</v>
      </c>
      <c r="AH1037" s="12">
        <v>0</v>
      </c>
      <c r="AI1037" s="12">
        <v>2</v>
      </c>
      <c r="AJ1037" s="12" t="s">
        <v>57</v>
      </c>
      <c r="AK1037" s="12">
        <v>1</v>
      </c>
      <c r="AL1037" s="12">
        <v>0</v>
      </c>
      <c r="AM1037" s="12">
        <v>2109</v>
      </c>
      <c r="AN1037" s="12">
        <f t="shared" si="242"/>
        <v>2109</v>
      </c>
      <c r="AO1037" s="12">
        <v>9</v>
      </c>
      <c r="AP1037" s="12" t="s">
        <v>59</v>
      </c>
      <c r="AQ1037" s="12">
        <v>0</v>
      </c>
      <c r="AR1037" s="12">
        <v>18</v>
      </c>
      <c r="AS1037" s="12">
        <v>3</v>
      </c>
      <c r="AT1037" s="12">
        <v>4</v>
      </c>
      <c r="AU1037" s="12">
        <v>0</v>
      </c>
      <c r="AV1037" s="12">
        <v>8</v>
      </c>
      <c r="AW1037" s="12">
        <f t="shared" si="243"/>
        <v>8</v>
      </c>
      <c r="AX1037" s="12">
        <v>3</v>
      </c>
      <c r="AY1037" s="12">
        <v>3</v>
      </c>
      <c r="AZ1037" s="12">
        <v>3</v>
      </c>
      <c r="BA1037" s="12">
        <f t="shared" si="244"/>
        <v>3</v>
      </c>
      <c r="BB1037" s="12">
        <v>2</v>
      </c>
      <c r="BC1037" s="12">
        <v>0</v>
      </c>
      <c r="BD1037" s="12">
        <f t="shared" si="253"/>
        <v>0</v>
      </c>
      <c r="BE1037" s="12">
        <v>2</v>
      </c>
      <c r="BF1037" s="12">
        <f t="shared" si="245"/>
        <v>2</v>
      </c>
      <c r="BG1037" s="12">
        <f t="shared" si="254"/>
        <v>2</v>
      </c>
      <c r="BH1037" s="67">
        <v>1</v>
      </c>
      <c r="BI1037" s="67">
        <v>0</v>
      </c>
      <c r="BJ1037" s="67">
        <v>0</v>
      </c>
      <c r="BK1037" s="67">
        <v>0</v>
      </c>
      <c r="BL1037" s="67">
        <v>1</v>
      </c>
      <c r="BM1037" s="67">
        <v>0</v>
      </c>
      <c r="BN1037" s="67">
        <v>0</v>
      </c>
      <c r="BO1037" s="67">
        <v>0</v>
      </c>
      <c r="BP1037" s="67">
        <v>2</v>
      </c>
      <c r="BQ1037" s="67">
        <v>0</v>
      </c>
      <c r="BR1037" s="67">
        <v>0</v>
      </c>
      <c r="BS1037" s="67">
        <v>8</v>
      </c>
      <c r="BT1037" s="67">
        <v>0</v>
      </c>
      <c r="BU1037" s="70">
        <v>0</v>
      </c>
      <c r="BV1037" s="29">
        <f t="shared" si="246"/>
        <v>0.93329898615289586</v>
      </c>
      <c r="BW1037">
        <f t="shared" si="247"/>
        <v>0.59502473559756086</v>
      </c>
      <c r="BX1037">
        <f t="shared" si="248"/>
        <v>0.42149901815843233</v>
      </c>
      <c r="BY1037">
        <f t="shared" si="249"/>
        <v>0.65423109602898355</v>
      </c>
      <c r="BZ1037">
        <f t="shared" si="250"/>
        <v>0.14709966057360641</v>
      </c>
      <c r="CA1037">
        <f t="shared" si="251"/>
        <v>0.6484474368621912</v>
      </c>
      <c r="CB1037">
        <f t="shared" si="252"/>
        <v>0.67891464284095016</v>
      </c>
    </row>
    <row r="1038" spans="1:80" x14ac:dyDescent="0.45">
      <c r="A1038" s="11">
        <v>31</v>
      </c>
      <c r="B1038" s="12">
        <f t="shared" si="240"/>
        <v>31</v>
      </c>
      <c r="C1038" s="12" t="s">
        <v>52</v>
      </c>
      <c r="D1038" s="12">
        <v>1</v>
      </c>
      <c r="E1038" s="12" t="s">
        <v>60</v>
      </c>
      <c r="F1038" s="12">
        <v>1</v>
      </c>
      <c r="G1038" s="12">
        <v>0</v>
      </c>
      <c r="H1038" s="12" t="s">
        <v>61</v>
      </c>
      <c r="I1038" s="12">
        <v>1</v>
      </c>
      <c r="J1038" s="12">
        <v>0</v>
      </c>
      <c r="K1038" s="12">
        <v>2</v>
      </c>
      <c r="L1038" s="12">
        <f t="shared" si="241"/>
        <v>2</v>
      </c>
      <c r="M1038" s="12">
        <v>3</v>
      </c>
      <c r="N1038" s="12" t="s">
        <v>55</v>
      </c>
      <c r="O1038" s="12">
        <v>1</v>
      </c>
      <c r="P1038" s="12">
        <v>0</v>
      </c>
      <c r="Q1038" s="12">
        <v>0</v>
      </c>
      <c r="R1038" s="12">
        <v>0</v>
      </c>
      <c r="S1038" s="12">
        <v>0</v>
      </c>
      <c r="T1038" s="12">
        <v>2</v>
      </c>
      <c r="U1038" s="12" t="s">
        <v>62</v>
      </c>
      <c r="V1038" s="12">
        <v>0</v>
      </c>
      <c r="W1038" s="12">
        <v>94</v>
      </c>
      <c r="X1038" s="12">
        <v>3</v>
      </c>
      <c r="Y1038" s="12">
        <v>1</v>
      </c>
      <c r="Z1038" s="12" t="s">
        <v>67</v>
      </c>
      <c r="AA1038" s="12">
        <v>0</v>
      </c>
      <c r="AB1038" s="12">
        <v>0</v>
      </c>
      <c r="AC1038" s="12">
        <v>1</v>
      </c>
      <c r="AD1038" s="12">
        <v>0</v>
      </c>
      <c r="AE1038" s="12">
        <v>0</v>
      </c>
      <c r="AF1038" s="12">
        <v>0</v>
      </c>
      <c r="AG1038" s="12">
        <v>0</v>
      </c>
      <c r="AH1038" s="12">
        <v>0</v>
      </c>
      <c r="AI1038" s="12">
        <v>4</v>
      </c>
      <c r="AJ1038" s="12" t="s">
        <v>64</v>
      </c>
      <c r="AK1038" s="12">
        <v>0</v>
      </c>
      <c r="AL1038" s="12">
        <v>1</v>
      </c>
      <c r="AM1038" s="12">
        <v>3722</v>
      </c>
      <c r="AN1038" s="12">
        <f t="shared" si="242"/>
        <v>3722</v>
      </c>
      <c r="AO1038" s="12">
        <v>6</v>
      </c>
      <c r="AP1038" s="12" t="s">
        <v>52</v>
      </c>
      <c r="AQ1038" s="12">
        <v>1</v>
      </c>
      <c r="AR1038" s="12">
        <v>13</v>
      </c>
      <c r="AS1038" s="12">
        <v>3</v>
      </c>
      <c r="AT1038" s="12">
        <v>3</v>
      </c>
      <c r="AU1038" s="12">
        <v>1</v>
      </c>
      <c r="AV1038" s="12">
        <v>7</v>
      </c>
      <c r="AW1038" s="12">
        <f t="shared" si="243"/>
        <v>7</v>
      </c>
      <c r="AX1038" s="12">
        <v>2</v>
      </c>
      <c r="AY1038" s="12">
        <v>1</v>
      </c>
      <c r="AZ1038" s="12">
        <v>2</v>
      </c>
      <c r="BA1038" s="12">
        <f t="shared" si="244"/>
        <v>2</v>
      </c>
      <c r="BB1038" s="12">
        <v>2</v>
      </c>
      <c r="BC1038" s="12">
        <v>2</v>
      </c>
      <c r="BD1038" s="12">
        <f t="shared" si="253"/>
        <v>2</v>
      </c>
      <c r="BE1038" s="12">
        <v>2</v>
      </c>
      <c r="BF1038" s="12">
        <f t="shared" si="245"/>
        <v>2</v>
      </c>
      <c r="BG1038" s="12">
        <f t="shared" si="254"/>
        <v>2</v>
      </c>
      <c r="BH1038" s="67">
        <v>0</v>
      </c>
      <c r="BI1038" s="67">
        <v>0</v>
      </c>
      <c r="BJ1038" s="67">
        <v>0</v>
      </c>
      <c r="BK1038" s="67">
        <v>1</v>
      </c>
      <c r="BL1038" s="67">
        <v>0</v>
      </c>
      <c r="BM1038" s="67">
        <v>0</v>
      </c>
      <c r="BN1038" s="67">
        <v>0</v>
      </c>
      <c r="BO1038" s="67">
        <v>1</v>
      </c>
      <c r="BP1038" s="67">
        <v>0</v>
      </c>
      <c r="BQ1038" s="67">
        <v>2</v>
      </c>
      <c r="BR1038" s="67">
        <v>0</v>
      </c>
      <c r="BS1038" s="67">
        <v>0</v>
      </c>
      <c r="BT1038" s="67">
        <v>7</v>
      </c>
      <c r="BU1038" s="70">
        <v>0</v>
      </c>
      <c r="BV1038" s="29">
        <f t="shared" si="246"/>
        <v>0.59068751491109917</v>
      </c>
      <c r="BW1038">
        <f t="shared" si="247"/>
        <v>0.59502473559756086</v>
      </c>
      <c r="BX1038">
        <f t="shared" si="248"/>
        <v>0.55002080963175637</v>
      </c>
      <c r="BY1038">
        <f t="shared" si="249"/>
        <v>0.81745575848020657</v>
      </c>
      <c r="BZ1038">
        <f t="shared" si="250"/>
        <v>0.88721318382472392</v>
      </c>
      <c r="CA1038">
        <f t="shared" si="251"/>
        <v>0.6484474368621912</v>
      </c>
      <c r="CB1038">
        <f t="shared" si="252"/>
        <v>5.8265062631872602E-2</v>
      </c>
    </row>
    <row r="1039" spans="1:80" x14ac:dyDescent="0.45">
      <c r="A1039" s="11">
        <v>45</v>
      </c>
      <c r="B1039" s="12">
        <f t="shared" si="240"/>
        <v>45</v>
      </c>
      <c r="C1039" s="12" t="s">
        <v>59</v>
      </c>
      <c r="D1039" s="12">
        <v>0</v>
      </c>
      <c r="E1039" s="12" t="s">
        <v>53</v>
      </c>
      <c r="F1039" s="12">
        <v>0</v>
      </c>
      <c r="G1039" s="12">
        <v>1</v>
      </c>
      <c r="H1039" s="12" t="s">
        <v>61</v>
      </c>
      <c r="I1039" s="12">
        <v>1</v>
      </c>
      <c r="J1039" s="12">
        <v>0</v>
      </c>
      <c r="K1039" s="12">
        <v>29</v>
      </c>
      <c r="L1039" s="12">
        <f t="shared" si="241"/>
        <v>29</v>
      </c>
      <c r="M1039" s="12">
        <v>3</v>
      </c>
      <c r="N1039" s="12" t="s">
        <v>91</v>
      </c>
      <c r="O1039" s="12">
        <v>0</v>
      </c>
      <c r="P1039" s="12">
        <v>0</v>
      </c>
      <c r="Q1039" s="12">
        <v>0</v>
      </c>
      <c r="R1039" s="12">
        <v>0</v>
      </c>
      <c r="S1039" s="12">
        <v>1</v>
      </c>
      <c r="T1039" s="12">
        <v>2</v>
      </c>
      <c r="U1039" s="12" t="s">
        <v>62</v>
      </c>
      <c r="V1039" s="12">
        <v>0</v>
      </c>
      <c r="W1039" s="12">
        <v>55</v>
      </c>
      <c r="X1039" s="12">
        <v>3</v>
      </c>
      <c r="Y1039" s="12">
        <v>3</v>
      </c>
      <c r="Z1039" s="12" t="s">
        <v>83</v>
      </c>
      <c r="AA1039" s="12">
        <v>0</v>
      </c>
      <c r="AB1039" s="12">
        <v>0</v>
      </c>
      <c r="AC1039" s="12">
        <v>0</v>
      </c>
      <c r="AD1039" s="12">
        <v>0</v>
      </c>
      <c r="AE1039" s="12">
        <v>1</v>
      </c>
      <c r="AF1039" s="12">
        <v>1</v>
      </c>
      <c r="AG1039" s="12">
        <v>0</v>
      </c>
      <c r="AH1039" s="12">
        <v>0</v>
      </c>
      <c r="AI1039" s="12">
        <v>4</v>
      </c>
      <c r="AJ1039" s="12" t="s">
        <v>64</v>
      </c>
      <c r="AK1039" s="12">
        <v>0</v>
      </c>
      <c r="AL1039" s="12">
        <v>1</v>
      </c>
      <c r="AM1039" s="12">
        <v>9380</v>
      </c>
      <c r="AN1039" s="12">
        <f t="shared" si="242"/>
        <v>9380</v>
      </c>
      <c r="AO1039" s="12">
        <v>4</v>
      </c>
      <c r="AP1039" s="12" t="s">
        <v>52</v>
      </c>
      <c r="AQ1039" s="12">
        <v>1</v>
      </c>
      <c r="AR1039" s="12">
        <v>18</v>
      </c>
      <c r="AS1039" s="12">
        <v>3</v>
      </c>
      <c r="AT1039" s="12">
        <v>4</v>
      </c>
      <c r="AU1039" s="12">
        <v>2</v>
      </c>
      <c r="AV1039" s="12">
        <v>10</v>
      </c>
      <c r="AW1039" s="12">
        <f t="shared" si="243"/>
        <v>10</v>
      </c>
      <c r="AX1039" s="12">
        <v>4</v>
      </c>
      <c r="AY1039" s="12">
        <v>4</v>
      </c>
      <c r="AZ1039" s="12">
        <v>3</v>
      </c>
      <c r="BA1039" s="12">
        <f t="shared" si="244"/>
        <v>3</v>
      </c>
      <c r="BB1039" s="12">
        <v>1</v>
      </c>
      <c r="BC1039" s="12">
        <v>1</v>
      </c>
      <c r="BD1039" s="12">
        <f t="shared" si="253"/>
        <v>1</v>
      </c>
      <c r="BE1039" s="12">
        <v>2</v>
      </c>
      <c r="BF1039" s="12">
        <f t="shared" si="245"/>
        <v>2</v>
      </c>
      <c r="BG1039" s="12">
        <f t="shared" si="254"/>
        <v>6</v>
      </c>
      <c r="BH1039" s="67">
        <v>0</v>
      </c>
      <c r="BI1039" s="67">
        <v>1</v>
      </c>
      <c r="BJ1039" s="67">
        <v>0</v>
      </c>
      <c r="BK1039" s="67">
        <v>0</v>
      </c>
      <c r="BL1039" s="67">
        <v>0</v>
      </c>
      <c r="BM1039" s="67">
        <v>0</v>
      </c>
      <c r="BN1039" s="67">
        <v>0</v>
      </c>
      <c r="BO1039" s="67">
        <v>1</v>
      </c>
      <c r="BP1039" s="67">
        <v>0</v>
      </c>
      <c r="BQ1039" s="67">
        <v>2</v>
      </c>
      <c r="BR1039" s="67">
        <v>0</v>
      </c>
      <c r="BS1039" s="67">
        <v>0</v>
      </c>
      <c r="BT1039" s="67">
        <v>10</v>
      </c>
      <c r="BU1039" s="70">
        <v>0</v>
      </c>
      <c r="BV1039" s="29">
        <f t="shared" si="246"/>
        <v>0.61110771403253727</v>
      </c>
      <c r="BW1039">
        <f t="shared" si="247"/>
        <v>0.59502473559756086</v>
      </c>
      <c r="BX1039">
        <f t="shared" si="248"/>
        <v>0.1644554352117841</v>
      </c>
      <c r="BY1039">
        <f t="shared" si="249"/>
        <v>0.65423109602898355</v>
      </c>
      <c r="BZ1039">
        <f t="shared" si="250"/>
        <v>2.4432976708053049</v>
      </c>
      <c r="CA1039">
        <f t="shared" si="251"/>
        <v>0.88405695572208698</v>
      </c>
      <c r="CB1039">
        <f t="shared" si="252"/>
        <v>0.36858985273641137</v>
      </c>
    </row>
    <row r="1040" spans="1:80" x14ac:dyDescent="0.45">
      <c r="A1040" s="11">
        <v>48</v>
      </c>
      <c r="B1040" s="12">
        <f t="shared" si="240"/>
        <v>48</v>
      </c>
      <c r="C1040" s="12" t="s">
        <v>59</v>
      </c>
      <c r="D1040" s="12">
        <v>0</v>
      </c>
      <c r="E1040" s="12" t="s">
        <v>53</v>
      </c>
      <c r="F1040" s="12">
        <v>0</v>
      </c>
      <c r="G1040" s="12">
        <v>1</v>
      </c>
      <c r="H1040" s="12" t="s">
        <v>54</v>
      </c>
      <c r="I1040" s="12">
        <v>0</v>
      </c>
      <c r="J1040" s="12">
        <v>1</v>
      </c>
      <c r="K1040" s="12">
        <v>7</v>
      </c>
      <c r="L1040" s="12">
        <f t="shared" si="241"/>
        <v>7</v>
      </c>
      <c r="M1040" s="12">
        <v>3</v>
      </c>
      <c r="N1040" s="12" t="s">
        <v>90</v>
      </c>
      <c r="O1040" s="12">
        <v>0</v>
      </c>
      <c r="P1040" s="12">
        <v>0</v>
      </c>
      <c r="Q1040" s="12">
        <v>0</v>
      </c>
      <c r="R1040" s="12">
        <v>1</v>
      </c>
      <c r="S1040" s="12">
        <v>0</v>
      </c>
      <c r="T1040" s="12">
        <v>3</v>
      </c>
      <c r="U1040" s="12" t="s">
        <v>62</v>
      </c>
      <c r="V1040" s="12">
        <v>0</v>
      </c>
      <c r="W1040" s="12">
        <v>96</v>
      </c>
      <c r="X1040" s="12">
        <v>3</v>
      </c>
      <c r="Y1040" s="12">
        <v>2</v>
      </c>
      <c r="Z1040" s="12" t="s">
        <v>56</v>
      </c>
      <c r="AA1040" s="12">
        <v>0</v>
      </c>
      <c r="AB1040" s="12">
        <v>1</v>
      </c>
      <c r="AC1040" s="12">
        <v>0</v>
      </c>
      <c r="AD1040" s="12">
        <v>0</v>
      </c>
      <c r="AE1040" s="12">
        <v>0</v>
      </c>
      <c r="AF1040" s="12">
        <v>0</v>
      </c>
      <c r="AG1040" s="12">
        <v>0</v>
      </c>
      <c r="AH1040" s="12">
        <v>0</v>
      </c>
      <c r="AI1040" s="12">
        <v>1</v>
      </c>
      <c r="AJ1040" s="12" t="s">
        <v>78</v>
      </c>
      <c r="AK1040" s="12">
        <v>0</v>
      </c>
      <c r="AL1040" s="12">
        <v>0</v>
      </c>
      <c r="AM1040" s="12">
        <v>5486</v>
      </c>
      <c r="AN1040" s="12">
        <f t="shared" si="242"/>
        <v>5486</v>
      </c>
      <c r="AO1040" s="12">
        <v>4</v>
      </c>
      <c r="AP1040" s="12" t="s">
        <v>59</v>
      </c>
      <c r="AQ1040" s="12">
        <v>0</v>
      </c>
      <c r="AR1040" s="12">
        <v>11</v>
      </c>
      <c r="AS1040" s="12">
        <v>3</v>
      </c>
      <c r="AT1040" s="12">
        <v>1</v>
      </c>
      <c r="AU1040" s="12">
        <v>3</v>
      </c>
      <c r="AV1040" s="12">
        <v>15</v>
      </c>
      <c r="AW1040" s="12">
        <f t="shared" si="243"/>
        <v>15</v>
      </c>
      <c r="AX1040" s="12">
        <v>3</v>
      </c>
      <c r="AY1040" s="12">
        <v>3</v>
      </c>
      <c r="AZ1040" s="12">
        <v>2</v>
      </c>
      <c r="BA1040" s="12">
        <f t="shared" si="244"/>
        <v>2</v>
      </c>
      <c r="BB1040" s="12">
        <v>2</v>
      </c>
      <c r="BC1040" s="12">
        <v>2</v>
      </c>
      <c r="BD1040" s="12">
        <f t="shared" si="253"/>
        <v>2</v>
      </c>
      <c r="BE1040" s="12">
        <v>2</v>
      </c>
      <c r="BF1040" s="12">
        <f t="shared" si="245"/>
        <v>2</v>
      </c>
      <c r="BG1040" s="12">
        <f t="shared" si="254"/>
        <v>4</v>
      </c>
      <c r="BH1040" s="67">
        <v>1</v>
      </c>
      <c r="BI1040" s="67">
        <v>0</v>
      </c>
      <c r="BJ1040" s="67">
        <v>0</v>
      </c>
      <c r="BK1040" s="67">
        <v>0</v>
      </c>
      <c r="BL1040" s="67">
        <v>1</v>
      </c>
      <c r="BM1040" s="67">
        <v>0</v>
      </c>
      <c r="BN1040" s="67">
        <v>0</v>
      </c>
      <c r="BO1040" s="67">
        <v>0</v>
      </c>
      <c r="BP1040" s="67">
        <v>0</v>
      </c>
      <c r="BQ1040" s="67">
        <v>0</v>
      </c>
      <c r="BR1040" s="67">
        <v>2</v>
      </c>
      <c r="BS1040" s="67">
        <v>0</v>
      </c>
      <c r="BT1040" s="67">
        <v>0</v>
      </c>
      <c r="BU1040" s="70">
        <v>15</v>
      </c>
      <c r="BV1040" s="29">
        <f t="shared" si="246"/>
        <v>0.21600268213333768</v>
      </c>
      <c r="BW1040">
        <f t="shared" si="247"/>
        <v>0.59502473559756086</v>
      </c>
      <c r="BX1040">
        <f t="shared" si="248"/>
        <v>0.47815352215483642</v>
      </c>
      <c r="BY1040">
        <f t="shared" si="249"/>
        <v>0.81745575848020657</v>
      </c>
      <c r="BZ1040">
        <f t="shared" si="250"/>
        <v>0.27045191444879263</v>
      </c>
      <c r="CA1040">
        <f t="shared" si="251"/>
        <v>1.2124507541330036</v>
      </c>
      <c r="CB1040">
        <f t="shared" si="252"/>
        <v>5.8265062631872602E-2</v>
      </c>
    </row>
    <row r="1041" spans="1:80" x14ac:dyDescent="0.45">
      <c r="A1041" s="11">
        <v>34</v>
      </c>
      <c r="B1041" s="12">
        <f t="shared" si="240"/>
        <v>34</v>
      </c>
      <c r="C1041" s="12" t="s">
        <v>52</v>
      </c>
      <c r="D1041" s="12">
        <v>1</v>
      </c>
      <c r="E1041" s="12" t="s">
        <v>53</v>
      </c>
      <c r="F1041" s="12">
        <v>0</v>
      </c>
      <c r="G1041" s="12">
        <v>1</v>
      </c>
      <c r="H1041" s="12" t="s">
        <v>97</v>
      </c>
      <c r="I1041" s="12">
        <v>0</v>
      </c>
      <c r="J1041" s="12">
        <v>0</v>
      </c>
      <c r="K1041" s="12">
        <v>9</v>
      </c>
      <c r="L1041" s="12">
        <f t="shared" si="241"/>
        <v>9</v>
      </c>
      <c r="M1041" s="12">
        <v>4</v>
      </c>
      <c r="N1041" s="12" t="s">
        <v>91</v>
      </c>
      <c r="O1041" s="12">
        <v>0</v>
      </c>
      <c r="P1041" s="12">
        <v>0</v>
      </c>
      <c r="Q1041" s="12">
        <v>0</v>
      </c>
      <c r="R1041" s="12">
        <v>0</v>
      </c>
      <c r="S1041" s="12">
        <v>1</v>
      </c>
      <c r="T1041" s="12">
        <v>1</v>
      </c>
      <c r="U1041" s="12" t="s">
        <v>19</v>
      </c>
      <c r="V1041" s="12">
        <v>1</v>
      </c>
      <c r="W1041" s="12">
        <v>52</v>
      </c>
      <c r="X1041" s="12">
        <v>3</v>
      </c>
      <c r="Y1041" s="12">
        <v>1</v>
      </c>
      <c r="Z1041" s="12" t="s">
        <v>97</v>
      </c>
      <c r="AA1041" s="12">
        <v>0</v>
      </c>
      <c r="AB1041" s="12">
        <v>0</v>
      </c>
      <c r="AC1041" s="12">
        <v>0</v>
      </c>
      <c r="AD1041" s="12">
        <v>0</v>
      </c>
      <c r="AE1041" s="12">
        <v>0</v>
      </c>
      <c r="AF1041" s="12">
        <v>0</v>
      </c>
      <c r="AG1041" s="12">
        <v>0</v>
      </c>
      <c r="AH1041" s="12">
        <v>0</v>
      </c>
      <c r="AI1041" s="12">
        <v>3</v>
      </c>
      <c r="AJ1041" s="12" t="s">
        <v>64</v>
      </c>
      <c r="AK1041" s="12">
        <v>0</v>
      </c>
      <c r="AL1041" s="12">
        <v>1</v>
      </c>
      <c r="AM1041" s="12">
        <v>2742</v>
      </c>
      <c r="AN1041" s="12">
        <f t="shared" si="242"/>
        <v>2742</v>
      </c>
      <c r="AO1041" s="12">
        <v>1</v>
      </c>
      <c r="AP1041" s="12" t="s">
        <v>59</v>
      </c>
      <c r="AQ1041" s="12">
        <v>0</v>
      </c>
      <c r="AR1041" s="12">
        <v>15</v>
      </c>
      <c r="AS1041" s="12">
        <v>3</v>
      </c>
      <c r="AT1041" s="12">
        <v>4</v>
      </c>
      <c r="AU1041" s="12">
        <v>0</v>
      </c>
      <c r="AV1041" s="12">
        <v>2</v>
      </c>
      <c r="AW1041" s="12">
        <f t="shared" si="243"/>
        <v>2</v>
      </c>
      <c r="AX1041" s="12">
        <v>0</v>
      </c>
      <c r="AY1041" s="12">
        <v>3</v>
      </c>
      <c r="AZ1041" s="12">
        <v>2</v>
      </c>
      <c r="BA1041" s="12">
        <f t="shared" si="244"/>
        <v>2</v>
      </c>
      <c r="BB1041" s="12">
        <v>2</v>
      </c>
      <c r="BC1041" s="12">
        <v>2</v>
      </c>
      <c r="BD1041" s="12">
        <f t="shared" si="253"/>
        <v>2</v>
      </c>
      <c r="BE1041" s="12">
        <v>2</v>
      </c>
      <c r="BF1041" s="12">
        <f t="shared" si="245"/>
        <v>2</v>
      </c>
      <c r="BG1041" s="12">
        <f t="shared" si="254"/>
        <v>2</v>
      </c>
      <c r="BH1041" s="67">
        <v>0</v>
      </c>
      <c r="BI1041" s="67">
        <v>1</v>
      </c>
      <c r="BJ1041" s="67">
        <v>0</v>
      </c>
      <c r="BK1041" s="67">
        <v>0</v>
      </c>
      <c r="BL1041" s="67">
        <v>0</v>
      </c>
      <c r="BM1041" s="67">
        <v>0</v>
      </c>
      <c r="BN1041" s="67">
        <v>1</v>
      </c>
      <c r="BO1041" s="67">
        <v>0</v>
      </c>
      <c r="BP1041" s="67">
        <v>2</v>
      </c>
      <c r="BQ1041" s="67">
        <v>0</v>
      </c>
      <c r="BR1041" s="67">
        <v>0</v>
      </c>
      <c r="BS1041" s="67">
        <v>2</v>
      </c>
      <c r="BT1041" s="67">
        <v>0</v>
      </c>
      <c r="BU1041" s="70">
        <v>0</v>
      </c>
      <c r="BV1041" s="29">
        <f t="shared" si="246"/>
        <v>0.79884575534318891</v>
      </c>
      <c r="BW1041">
        <f t="shared" si="247"/>
        <v>0.59502473559756086</v>
      </c>
      <c r="BX1041">
        <f t="shared" si="248"/>
        <v>1.192629766998377</v>
      </c>
      <c r="BY1041">
        <f t="shared" si="249"/>
        <v>0.81745575848020657</v>
      </c>
      <c r="BZ1041">
        <f t="shared" si="250"/>
        <v>2.3747406698420157E-2</v>
      </c>
      <c r="CA1041">
        <f t="shared" si="251"/>
        <v>0.32005363845127444</v>
      </c>
      <c r="CB1041">
        <f t="shared" si="252"/>
        <v>5.8265062631872602E-2</v>
      </c>
    </row>
    <row r="1042" spans="1:80" x14ac:dyDescent="0.45">
      <c r="A1042" s="11">
        <v>40</v>
      </c>
      <c r="B1042" s="12">
        <f t="shared" si="240"/>
        <v>40</v>
      </c>
      <c r="C1042" s="12" t="s">
        <v>59</v>
      </c>
      <c r="D1042" s="12">
        <v>0</v>
      </c>
      <c r="E1042" s="12" t="s">
        <v>86</v>
      </c>
      <c r="F1042" s="12">
        <v>0</v>
      </c>
      <c r="G1042" s="12">
        <v>0</v>
      </c>
      <c r="H1042" s="12" t="s">
        <v>61</v>
      </c>
      <c r="I1042" s="12">
        <v>1</v>
      </c>
      <c r="J1042" s="12">
        <v>0</v>
      </c>
      <c r="K1042" s="12">
        <v>8</v>
      </c>
      <c r="L1042" s="12">
        <f t="shared" si="241"/>
        <v>8</v>
      </c>
      <c r="M1042" s="12">
        <v>1</v>
      </c>
      <c r="N1042" s="12" t="s">
        <v>70</v>
      </c>
      <c r="O1042" s="12">
        <v>0</v>
      </c>
      <c r="P1042" s="12">
        <v>0</v>
      </c>
      <c r="Q1042" s="12">
        <v>1</v>
      </c>
      <c r="R1042" s="12">
        <v>0</v>
      </c>
      <c r="S1042" s="12">
        <v>0</v>
      </c>
      <c r="T1042" s="12">
        <v>4</v>
      </c>
      <c r="U1042" s="12" t="s">
        <v>62</v>
      </c>
      <c r="V1042" s="12">
        <v>0</v>
      </c>
      <c r="W1042" s="12">
        <v>55</v>
      </c>
      <c r="X1042" s="12">
        <v>2</v>
      </c>
      <c r="Y1042" s="12">
        <v>3</v>
      </c>
      <c r="Z1042" s="12" t="s">
        <v>89</v>
      </c>
      <c r="AA1042" s="12">
        <v>0</v>
      </c>
      <c r="AB1042" s="12">
        <v>0</v>
      </c>
      <c r="AC1042" s="12">
        <v>0</v>
      </c>
      <c r="AD1042" s="12">
        <v>0</v>
      </c>
      <c r="AE1042" s="12">
        <v>0</v>
      </c>
      <c r="AF1042" s="12">
        <v>0</v>
      </c>
      <c r="AG1042" s="12">
        <v>0</v>
      </c>
      <c r="AH1042" s="12">
        <v>0</v>
      </c>
      <c r="AI1042" s="12">
        <v>2</v>
      </c>
      <c r="AJ1042" s="12" t="s">
        <v>78</v>
      </c>
      <c r="AK1042" s="12">
        <v>0</v>
      </c>
      <c r="AL1042" s="12">
        <v>0</v>
      </c>
      <c r="AM1042" s="12">
        <v>13757</v>
      </c>
      <c r="AN1042" s="12">
        <f t="shared" si="242"/>
        <v>13757</v>
      </c>
      <c r="AO1042" s="12">
        <v>2</v>
      </c>
      <c r="AP1042" s="12" t="s">
        <v>59</v>
      </c>
      <c r="AQ1042" s="12">
        <v>0</v>
      </c>
      <c r="AR1042" s="12">
        <v>11</v>
      </c>
      <c r="AS1042" s="12">
        <v>3</v>
      </c>
      <c r="AT1042" s="12">
        <v>3</v>
      </c>
      <c r="AU1042" s="12">
        <v>1</v>
      </c>
      <c r="AV1042" s="12">
        <v>16</v>
      </c>
      <c r="AW1042" s="12">
        <f t="shared" si="243"/>
        <v>16</v>
      </c>
      <c r="AX1042" s="12">
        <v>5</v>
      </c>
      <c r="AY1042" s="12">
        <v>3</v>
      </c>
      <c r="AZ1042" s="12">
        <v>9</v>
      </c>
      <c r="BA1042" s="12">
        <f t="shared" si="244"/>
        <v>9</v>
      </c>
      <c r="BB1042" s="12">
        <v>8</v>
      </c>
      <c r="BC1042" s="12">
        <v>4</v>
      </c>
      <c r="BD1042" s="12">
        <f t="shared" si="253"/>
        <v>4</v>
      </c>
      <c r="BE1042" s="12">
        <v>8</v>
      </c>
      <c r="BF1042" s="12">
        <f t="shared" si="245"/>
        <v>8</v>
      </c>
      <c r="BG1042" s="12">
        <f t="shared" si="254"/>
        <v>24</v>
      </c>
      <c r="BH1042" s="67">
        <v>1</v>
      </c>
      <c r="BI1042" s="67">
        <v>0</v>
      </c>
      <c r="BJ1042" s="67">
        <v>0</v>
      </c>
      <c r="BK1042" s="67">
        <v>0</v>
      </c>
      <c r="BL1042" s="67">
        <v>1</v>
      </c>
      <c r="BM1042" s="67">
        <v>0</v>
      </c>
      <c r="BN1042" s="67">
        <v>0</v>
      </c>
      <c r="BO1042" s="67">
        <v>0</v>
      </c>
      <c r="BP1042" s="67">
        <v>0</v>
      </c>
      <c r="BQ1042" s="67">
        <v>8</v>
      </c>
      <c r="BR1042" s="67">
        <v>0</v>
      </c>
      <c r="BS1042" s="67">
        <v>0</v>
      </c>
      <c r="BT1042" s="67">
        <v>16</v>
      </c>
      <c r="BU1042" s="70">
        <v>0</v>
      </c>
      <c r="BV1042" s="29">
        <f t="shared" si="246"/>
        <v>1.5408103858399422</v>
      </c>
      <c r="BW1042">
        <f t="shared" si="247"/>
        <v>1.08652546240644</v>
      </c>
      <c r="BX1042">
        <f t="shared" si="248"/>
        <v>0.60667531362816052</v>
      </c>
      <c r="BY1042">
        <f t="shared" si="249"/>
        <v>0.32511687867835437</v>
      </c>
      <c r="BZ1042">
        <f t="shared" si="250"/>
        <v>0.14709966057360641</v>
      </c>
      <c r="CA1042">
        <f t="shared" si="251"/>
        <v>0.33673395837055903</v>
      </c>
      <c r="CB1042">
        <f t="shared" si="252"/>
        <v>0.56238451757720498</v>
      </c>
    </row>
    <row r="1043" spans="1:80" x14ac:dyDescent="0.45">
      <c r="A1043" s="11">
        <v>28</v>
      </c>
      <c r="B1043" s="12">
        <f t="shared" si="240"/>
        <v>28</v>
      </c>
      <c r="C1043" s="12" t="s">
        <v>59</v>
      </c>
      <c r="D1043" s="12">
        <v>0</v>
      </c>
      <c r="E1043" s="12" t="s">
        <v>53</v>
      </c>
      <c r="F1043" s="12">
        <v>0</v>
      </c>
      <c r="G1043" s="12">
        <v>1</v>
      </c>
      <c r="H1043" s="12" t="s">
        <v>54</v>
      </c>
      <c r="I1043" s="12">
        <v>0</v>
      </c>
      <c r="J1043" s="12">
        <v>1</v>
      </c>
      <c r="K1043" s="12">
        <v>5</v>
      </c>
      <c r="L1043" s="12">
        <f t="shared" si="241"/>
        <v>5</v>
      </c>
      <c r="M1043" s="12">
        <v>3</v>
      </c>
      <c r="N1043" s="12" t="s">
        <v>70</v>
      </c>
      <c r="O1043" s="12">
        <v>0</v>
      </c>
      <c r="P1043" s="12">
        <v>0</v>
      </c>
      <c r="Q1043" s="12">
        <v>1</v>
      </c>
      <c r="R1043" s="12">
        <v>0</v>
      </c>
      <c r="S1043" s="12">
        <v>0</v>
      </c>
      <c r="T1043" s="12">
        <v>4</v>
      </c>
      <c r="U1043" s="12" t="s">
        <v>62</v>
      </c>
      <c r="V1043" s="12">
        <v>0</v>
      </c>
      <c r="W1043" s="12">
        <v>84</v>
      </c>
      <c r="X1043" s="12">
        <v>3</v>
      </c>
      <c r="Y1043" s="12">
        <v>2</v>
      </c>
      <c r="Z1043" s="12" t="s">
        <v>56</v>
      </c>
      <c r="AA1043" s="12">
        <v>0</v>
      </c>
      <c r="AB1043" s="12">
        <v>1</v>
      </c>
      <c r="AC1043" s="12">
        <v>0</v>
      </c>
      <c r="AD1043" s="12">
        <v>0</v>
      </c>
      <c r="AE1043" s="12">
        <v>0</v>
      </c>
      <c r="AF1043" s="12">
        <v>0</v>
      </c>
      <c r="AG1043" s="12">
        <v>0</v>
      </c>
      <c r="AH1043" s="12">
        <v>0</v>
      </c>
      <c r="AI1043" s="12">
        <v>1</v>
      </c>
      <c r="AJ1043" s="12" t="s">
        <v>57</v>
      </c>
      <c r="AK1043" s="12">
        <v>1</v>
      </c>
      <c r="AL1043" s="12">
        <v>0</v>
      </c>
      <c r="AM1043" s="12">
        <v>8463</v>
      </c>
      <c r="AN1043" s="12">
        <f t="shared" si="242"/>
        <v>8463</v>
      </c>
      <c r="AO1043" s="12">
        <v>0</v>
      </c>
      <c r="AP1043" s="12" t="s">
        <v>59</v>
      </c>
      <c r="AQ1043" s="12">
        <v>0</v>
      </c>
      <c r="AR1043" s="12">
        <v>18</v>
      </c>
      <c r="AS1043" s="12">
        <v>3</v>
      </c>
      <c r="AT1043" s="12">
        <v>4</v>
      </c>
      <c r="AU1043" s="12">
        <v>0</v>
      </c>
      <c r="AV1043" s="12">
        <v>6</v>
      </c>
      <c r="AW1043" s="12">
        <f t="shared" si="243"/>
        <v>6</v>
      </c>
      <c r="AX1043" s="12">
        <v>4</v>
      </c>
      <c r="AY1043" s="12">
        <v>3</v>
      </c>
      <c r="AZ1043" s="12">
        <v>5</v>
      </c>
      <c r="BA1043" s="12">
        <f t="shared" si="244"/>
        <v>5</v>
      </c>
      <c r="BB1043" s="12">
        <v>4</v>
      </c>
      <c r="BC1043" s="12">
        <v>1</v>
      </c>
      <c r="BD1043" s="12">
        <f t="shared" si="253"/>
        <v>1</v>
      </c>
      <c r="BE1043" s="12">
        <v>3</v>
      </c>
      <c r="BF1043" s="12">
        <f t="shared" si="245"/>
        <v>3</v>
      </c>
      <c r="BG1043" s="12">
        <f t="shared" si="254"/>
        <v>6</v>
      </c>
      <c r="BH1043" s="67">
        <v>1</v>
      </c>
      <c r="BI1043" s="67">
        <v>0</v>
      </c>
      <c r="BJ1043" s="67">
        <v>0</v>
      </c>
      <c r="BK1043" s="67">
        <v>0</v>
      </c>
      <c r="BL1043" s="67">
        <v>1</v>
      </c>
      <c r="BM1043" s="67">
        <v>0</v>
      </c>
      <c r="BN1043" s="67">
        <v>0</v>
      </c>
      <c r="BO1043" s="67">
        <v>0</v>
      </c>
      <c r="BP1043" s="67">
        <v>0</v>
      </c>
      <c r="BQ1043" s="67">
        <v>0</v>
      </c>
      <c r="BR1043" s="67">
        <v>3</v>
      </c>
      <c r="BS1043" s="67">
        <v>0</v>
      </c>
      <c r="BT1043" s="67">
        <v>0</v>
      </c>
      <c r="BU1043" s="70">
        <v>6</v>
      </c>
      <c r="BV1043" s="29">
        <f t="shared" si="246"/>
        <v>0.41633107477108183</v>
      </c>
      <c r="BW1043">
        <f t="shared" si="247"/>
        <v>0.31476636926356072</v>
      </c>
      <c r="BX1043">
        <f t="shared" si="248"/>
        <v>0.67854260110508058</v>
      </c>
      <c r="BY1043">
        <f t="shared" si="249"/>
        <v>0.32778177112653761</v>
      </c>
      <c r="BZ1043">
        <f t="shared" si="250"/>
        <v>0.51715642219916513</v>
      </c>
      <c r="CA1043">
        <f t="shared" si="251"/>
        <v>0.97684123527310796</v>
      </c>
      <c r="CB1043">
        <f t="shared" si="252"/>
        <v>0.36858985273641137</v>
      </c>
    </row>
    <row r="1044" spans="1:80" x14ac:dyDescent="0.45">
      <c r="A1044" s="11">
        <v>44</v>
      </c>
      <c r="B1044" s="12">
        <f t="shared" si="240"/>
        <v>44</v>
      </c>
      <c r="C1044" s="12" t="s">
        <v>59</v>
      </c>
      <c r="D1044" s="12">
        <v>0</v>
      </c>
      <c r="E1044" s="12" t="s">
        <v>86</v>
      </c>
      <c r="F1044" s="12">
        <v>0</v>
      </c>
      <c r="G1044" s="12">
        <v>0</v>
      </c>
      <c r="H1044" s="12" t="s">
        <v>61</v>
      </c>
      <c r="I1044" s="12">
        <v>1</v>
      </c>
      <c r="J1044" s="12">
        <v>0</v>
      </c>
      <c r="K1044" s="12">
        <v>5</v>
      </c>
      <c r="L1044" s="12">
        <f t="shared" si="241"/>
        <v>5</v>
      </c>
      <c r="M1044" s="12">
        <v>3</v>
      </c>
      <c r="N1044" s="12" t="s">
        <v>55</v>
      </c>
      <c r="O1044" s="12">
        <v>1</v>
      </c>
      <c r="P1044" s="12">
        <v>0</v>
      </c>
      <c r="Q1044" s="12">
        <v>0</v>
      </c>
      <c r="R1044" s="12">
        <v>0</v>
      </c>
      <c r="S1044" s="12">
        <v>0</v>
      </c>
      <c r="T1044" s="12">
        <v>3</v>
      </c>
      <c r="U1044" s="12" t="s">
        <v>62</v>
      </c>
      <c r="V1044" s="12">
        <v>0</v>
      </c>
      <c r="W1044" s="12">
        <v>90</v>
      </c>
      <c r="X1044" s="12">
        <v>2</v>
      </c>
      <c r="Y1044" s="12">
        <v>1</v>
      </c>
      <c r="Z1044" s="12" t="s">
        <v>67</v>
      </c>
      <c r="AA1044" s="12">
        <v>0</v>
      </c>
      <c r="AB1044" s="12">
        <v>0</v>
      </c>
      <c r="AC1044" s="12">
        <v>1</v>
      </c>
      <c r="AD1044" s="12">
        <v>0</v>
      </c>
      <c r="AE1044" s="12">
        <v>0</v>
      </c>
      <c r="AF1044" s="12">
        <v>0</v>
      </c>
      <c r="AG1044" s="12">
        <v>0</v>
      </c>
      <c r="AH1044" s="12">
        <v>0</v>
      </c>
      <c r="AI1044" s="12">
        <v>3</v>
      </c>
      <c r="AJ1044" s="12" t="s">
        <v>57</v>
      </c>
      <c r="AK1044" s="12">
        <v>1</v>
      </c>
      <c r="AL1044" s="12">
        <v>0</v>
      </c>
      <c r="AM1044" s="12">
        <v>3162</v>
      </c>
      <c r="AN1044" s="12">
        <f t="shared" si="242"/>
        <v>3162</v>
      </c>
      <c r="AO1044" s="12">
        <v>3</v>
      </c>
      <c r="AP1044" s="12" t="s">
        <v>59</v>
      </c>
      <c r="AQ1044" s="12">
        <v>0</v>
      </c>
      <c r="AR1044" s="12">
        <v>14</v>
      </c>
      <c r="AS1044" s="12">
        <v>3</v>
      </c>
      <c r="AT1044" s="12">
        <v>4</v>
      </c>
      <c r="AU1044" s="12">
        <v>0</v>
      </c>
      <c r="AV1044" s="12">
        <v>7</v>
      </c>
      <c r="AW1044" s="12">
        <f t="shared" si="243"/>
        <v>7</v>
      </c>
      <c r="AX1044" s="12">
        <v>5</v>
      </c>
      <c r="AY1044" s="12">
        <v>3</v>
      </c>
      <c r="AZ1044" s="12">
        <v>5</v>
      </c>
      <c r="BA1044" s="12">
        <f t="shared" si="244"/>
        <v>5</v>
      </c>
      <c r="BB1044" s="12">
        <v>2</v>
      </c>
      <c r="BC1044" s="12">
        <v>0</v>
      </c>
      <c r="BD1044" s="12">
        <f t="shared" si="253"/>
        <v>0</v>
      </c>
      <c r="BE1044" s="12">
        <v>3</v>
      </c>
      <c r="BF1044" s="12">
        <f t="shared" si="245"/>
        <v>3</v>
      </c>
      <c r="BG1044" s="12">
        <f t="shared" si="254"/>
        <v>3</v>
      </c>
      <c r="BH1044" s="67">
        <v>1</v>
      </c>
      <c r="BI1044" s="67">
        <v>0</v>
      </c>
      <c r="BJ1044" s="67">
        <v>0</v>
      </c>
      <c r="BK1044" s="67">
        <v>0</v>
      </c>
      <c r="BL1044" s="67">
        <v>1</v>
      </c>
      <c r="BM1044" s="67">
        <v>0</v>
      </c>
      <c r="BN1044" s="67">
        <v>0</v>
      </c>
      <c r="BO1044" s="67">
        <v>0</v>
      </c>
      <c r="BP1044" s="67">
        <v>0</v>
      </c>
      <c r="BQ1044" s="67">
        <v>3</v>
      </c>
      <c r="BR1044" s="67">
        <v>0</v>
      </c>
      <c r="BS1044" s="67">
        <v>0</v>
      </c>
      <c r="BT1044" s="67">
        <v>7</v>
      </c>
      <c r="BU1044" s="70">
        <v>0</v>
      </c>
      <c r="BV1044" s="29">
        <f t="shared" si="246"/>
        <v>0.70963508087229332</v>
      </c>
      <c r="BW1044">
        <f t="shared" si="247"/>
        <v>0.31476636926356072</v>
      </c>
      <c r="BX1044">
        <f t="shared" si="248"/>
        <v>0.55002080963175637</v>
      </c>
      <c r="BY1044">
        <f t="shared" si="249"/>
        <v>0.32778177112653761</v>
      </c>
      <c r="BZ1044">
        <f t="shared" si="250"/>
        <v>0.51715642219916513</v>
      </c>
      <c r="CA1044">
        <f t="shared" si="251"/>
        <v>0.77459235625178136</v>
      </c>
      <c r="CB1044">
        <f t="shared" si="252"/>
        <v>0.67891464284095016</v>
      </c>
    </row>
    <row r="1045" spans="1:80" x14ac:dyDescent="0.45">
      <c r="A1045" s="11">
        <v>53</v>
      </c>
      <c r="B1045" s="12">
        <f t="shared" si="240"/>
        <v>53</v>
      </c>
      <c r="C1045" s="12" t="s">
        <v>59</v>
      </c>
      <c r="D1045" s="12">
        <v>0</v>
      </c>
      <c r="E1045" s="12" t="s">
        <v>53</v>
      </c>
      <c r="F1045" s="12">
        <v>0</v>
      </c>
      <c r="G1045" s="12">
        <v>1</v>
      </c>
      <c r="H1045" s="12" t="s">
        <v>61</v>
      </c>
      <c r="I1045" s="12">
        <v>1</v>
      </c>
      <c r="J1045" s="12">
        <v>0</v>
      </c>
      <c r="K1045" s="12">
        <v>2</v>
      </c>
      <c r="L1045" s="12">
        <f t="shared" si="241"/>
        <v>2</v>
      </c>
      <c r="M1045" s="12">
        <v>3</v>
      </c>
      <c r="N1045" s="12" t="s">
        <v>70</v>
      </c>
      <c r="O1045" s="12">
        <v>0</v>
      </c>
      <c r="P1045" s="12">
        <v>0</v>
      </c>
      <c r="Q1045" s="12">
        <v>1</v>
      </c>
      <c r="R1045" s="12">
        <v>0</v>
      </c>
      <c r="S1045" s="12">
        <v>0</v>
      </c>
      <c r="T1045" s="12">
        <v>4</v>
      </c>
      <c r="U1045" s="12" t="s">
        <v>62</v>
      </c>
      <c r="V1045" s="12">
        <v>0</v>
      </c>
      <c r="W1045" s="12">
        <v>39</v>
      </c>
      <c r="X1045" s="12">
        <v>4</v>
      </c>
      <c r="Y1045" s="12">
        <v>4</v>
      </c>
      <c r="Z1045" s="12" t="s">
        <v>89</v>
      </c>
      <c r="AA1045" s="12">
        <v>0</v>
      </c>
      <c r="AB1045" s="12">
        <v>0</v>
      </c>
      <c r="AC1045" s="12">
        <v>0</v>
      </c>
      <c r="AD1045" s="12">
        <v>0</v>
      </c>
      <c r="AE1045" s="12">
        <v>0</v>
      </c>
      <c r="AF1045" s="12">
        <v>0</v>
      </c>
      <c r="AG1045" s="12">
        <v>0</v>
      </c>
      <c r="AH1045" s="12">
        <v>0</v>
      </c>
      <c r="AI1045" s="12">
        <v>2</v>
      </c>
      <c r="AJ1045" s="12" t="s">
        <v>57</v>
      </c>
      <c r="AK1045" s="12">
        <v>1</v>
      </c>
      <c r="AL1045" s="12">
        <v>0</v>
      </c>
      <c r="AM1045" s="12">
        <v>16598</v>
      </c>
      <c r="AN1045" s="12">
        <f t="shared" si="242"/>
        <v>16598</v>
      </c>
      <c r="AO1045" s="12">
        <v>4</v>
      </c>
      <c r="AP1045" s="12" t="s">
        <v>59</v>
      </c>
      <c r="AQ1045" s="12">
        <v>0</v>
      </c>
      <c r="AR1045" s="12">
        <v>12</v>
      </c>
      <c r="AS1045" s="12">
        <v>3</v>
      </c>
      <c r="AT1045" s="12">
        <v>2</v>
      </c>
      <c r="AU1045" s="12">
        <v>0</v>
      </c>
      <c r="AV1045" s="12">
        <v>35</v>
      </c>
      <c r="AW1045" s="12">
        <f t="shared" si="243"/>
        <v>35</v>
      </c>
      <c r="AX1045" s="12">
        <v>2</v>
      </c>
      <c r="AY1045" s="12">
        <v>2</v>
      </c>
      <c r="AZ1045" s="12">
        <v>9</v>
      </c>
      <c r="BA1045" s="12">
        <f t="shared" si="244"/>
        <v>9</v>
      </c>
      <c r="BB1045" s="12">
        <v>8</v>
      </c>
      <c r="BC1045" s="12">
        <v>8</v>
      </c>
      <c r="BD1045" s="12">
        <f t="shared" si="253"/>
        <v>8</v>
      </c>
      <c r="BE1045" s="12">
        <v>8</v>
      </c>
      <c r="BF1045" s="12">
        <f t="shared" si="245"/>
        <v>8</v>
      </c>
      <c r="BG1045" s="12">
        <f t="shared" si="254"/>
        <v>32</v>
      </c>
      <c r="BH1045" s="67">
        <v>1</v>
      </c>
      <c r="BI1045" s="67">
        <v>0</v>
      </c>
      <c r="BJ1045" s="67">
        <v>0</v>
      </c>
      <c r="BK1045" s="67">
        <v>0</v>
      </c>
      <c r="BL1045" s="67">
        <v>1</v>
      </c>
      <c r="BM1045" s="67">
        <v>0</v>
      </c>
      <c r="BN1045" s="67">
        <v>0</v>
      </c>
      <c r="BO1045" s="67">
        <v>0</v>
      </c>
      <c r="BP1045" s="67">
        <v>0</v>
      </c>
      <c r="BQ1045" s="67">
        <v>8</v>
      </c>
      <c r="BR1045" s="67">
        <v>0</v>
      </c>
      <c r="BS1045" s="67">
        <v>0</v>
      </c>
      <c r="BT1045" s="67">
        <v>35</v>
      </c>
      <c r="BU1045" s="70">
        <v>0</v>
      </c>
      <c r="BV1045" s="29">
        <f t="shared" si="246"/>
        <v>2.1442568767252146</v>
      </c>
      <c r="BW1045">
        <f t="shared" si="247"/>
        <v>1.08652546240644</v>
      </c>
      <c r="BX1045">
        <f t="shared" si="248"/>
        <v>3.0485893516213181</v>
      </c>
      <c r="BY1045">
        <f t="shared" si="249"/>
        <v>0.32511687867835437</v>
      </c>
      <c r="BZ1045">
        <f t="shared" si="250"/>
        <v>0.88721318382472392</v>
      </c>
      <c r="CA1045">
        <f t="shared" si="251"/>
        <v>1.7597737514845315</v>
      </c>
      <c r="CB1045">
        <f t="shared" si="252"/>
        <v>1.8036836779953602</v>
      </c>
    </row>
    <row r="1046" spans="1:80" x14ac:dyDescent="0.45">
      <c r="A1046" s="11">
        <v>49</v>
      </c>
      <c r="B1046" s="12">
        <f t="shared" si="240"/>
        <v>49</v>
      </c>
      <c r="C1046" s="12" t="s">
        <v>59</v>
      </c>
      <c r="D1046" s="12">
        <v>0</v>
      </c>
      <c r="E1046" s="12" t="s">
        <v>53</v>
      </c>
      <c r="F1046" s="12">
        <v>0</v>
      </c>
      <c r="G1046" s="12">
        <v>1</v>
      </c>
      <c r="H1046" s="12" t="s">
        <v>61</v>
      </c>
      <c r="I1046" s="12">
        <v>1</v>
      </c>
      <c r="J1046" s="12">
        <v>0</v>
      </c>
      <c r="K1046" s="12">
        <v>5</v>
      </c>
      <c r="L1046" s="12">
        <f t="shared" si="241"/>
        <v>5</v>
      </c>
      <c r="M1046" s="12">
        <v>4</v>
      </c>
      <c r="N1046" s="12" t="s">
        <v>91</v>
      </c>
      <c r="O1046" s="12">
        <v>0</v>
      </c>
      <c r="P1046" s="12">
        <v>0</v>
      </c>
      <c r="Q1046" s="12">
        <v>0</v>
      </c>
      <c r="R1046" s="12">
        <v>0</v>
      </c>
      <c r="S1046" s="12">
        <v>1</v>
      </c>
      <c r="T1046" s="12">
        <v>1</v>
      </c>
      <c r="U1046" s="12" t="s">
        <v>62</v>
      </c>
      <c r="V1046" s="12">
        <v>0</v>
      </c>
      <c r="W1046" s="12">
        <v>96</v>
      </c>
      <c r="X1046" s="12">
        <v>3</v>
      </c>
      <c r="Y1046" s="12">
        <v>2</v>
      </c>
      <c r="Z1046" s="12" t="s">
        <v>85</v>
      </c>
      <c r="AA1046" s="12">
        <v>1</v>
      </c>
      <c r="AB1046" s="12">
        <v>0</v>
      </c>
      <c r="AC1046" s="12">
        <v>0</v>
      </c>
      <c r="AD1046" s="12">
        <v>0</v>
      </c>
      <c r="AE1046" s="12">
        <v>0</v>
      </c>
      <c r="AF1046" s="12">
        <v>0</v>
      </c>
      <c r="AG1046" s="12">
        <v>0</v>
      </c>
      <c r="AH1046" s="12">
        <v>0</v>
      </c>
      <c r="AI1046" s="12">
        <v>3</v>
      </c>
      <c r="AJ1046" s="12" t="s">
        <v>64</v>
      </c>
      <c r="AK1046" s="12">
        <v>0</v>
      </c>
      <c r="AL1046" s="12">
        <v>1</v>
      </c>
      <c r="AM1046" s="12">
        <v>6651</v>
      </c>
      <c r="AN1046" s="12">
        <f t="shared" si="242"/>
        <v>6651</v>
      </c>
      <c r="AO1046" s="12">
        <v>2</v>
      </c>
      <c r="AP1046" s="12" t="s">
        <v>59</v>
      </c>
      <c r="AQ1046" s="12">
        <v>0</v>
      </c>
      <c r="AR1046" s="12">
        <v>14</v>
      </c>
      <c r="AS1046" s="12">
        <v>3</v>
      </c>
      <c r="AT1046" s="12">
        <v>2</v>
      </c>
      <c r="AU1046" s="12">
        <v>1</v>
      </c>
      <c r="AV1046" s="12">
        <v>20</v>
      </c>
      <c r="AW1046" s="12">
        <f t="shared" si="243"/>
        <v>20</v>
      </c>
      <c r="AX1046" s="12">
        <v>0</v>
      </c>
      <c r="AY1046" s="12">
        <v>2</v>
      </c>
      <c r="AZ1046" s="12">
        <v>3</v>
      </c>
      <c r="BA1046" s="12">
        <f t="shared" si="244"/>
        <v>3</v>
      </c>
      <c r="BB1046" s="12">
        <v>2</v>
      </c>
      <c r="BC1046" s="12">
        <v>1</v>
      </c>
      <c r="BD1046" s="12">
        <f t="shared" si="253"/>
        <v>1</v>
      </c>
      <c r="BE1046" s="12">
        <v>2</v>
      </c>
      <c r="BF1046" s="12">
        <f t="shared" si="245"/>
        <v>2</v>
      </c>
      <c r="BG1046" s="12">
        <f t="shared" si="254"/>
        <v>4</v>
      </c>
      <c r="BH1046" s="67">
        <v>0</v>
      </c>
      <c r="BI1046" s="67">
        <v>1</v>
      </c>
      <c r="BJ1046" s="67">
        <v>0</v>
      </c>
      <c r="BK1046" s="67">
        <v>0</v>
      </c>
      <c r="BL1046" s="67">
        <v>0</v>
      </c>
      <c r="BM1046" s="67">
        <v>0</v>
      </c>
      <c r="BN1046" s="67">
        <v>1</v>
      </c>
      <c r="BO1046" s="67">
        <v>0</v>
      </c>
      <c r="BP1046" s="67">
        <v>0</v>
      </c>
      <c r="BQ1046" s="67">
        <v>2</v>
      </c>
      <c r="BR1046" s="67">
        <v>0</v>
      </c>
      <c r="BS1046" s="67">
        <v>0</v>
      </c>
      <c r="BT1046" s="67">
        <v>20</v>
      </c>
      <c r="BU1046" s="70">
        <v>0</v>
      </c>
      <c r="BV1046" s="29">
        <f t="shared" si="246"/>
        <v>3.1450736339503689E-2</v>
      </c>
      <c r="BW1046">
        <f t="shared" si="247"/>
        <v>0.59502473559756086</v>
      </c>
      <c r="BX1046">
        <f t="shared" si="248"/>
        <v>1.120762479521457</v>
      </c>
      <c r="BY1046">
        <f t="shared" si="249"/>
        <v>0.65423109602898355</v>
      </c>
      <c r="BZ1046">
        <f t="shared" si="250"/>
        <v>0.51715642219916513</v>
      </c>
      <c r="CA1046">
        <f t="shared" si="251"/>
        <v>1.3219153536033093</v>
      </c>
      <c r="CB1046">
        <f t="shared" si="252"/>
        <v>0.36858985273641137</v>
      </c>
    </row>
    <row r="1047" spans="1:80" x14ac:dyDescent="0.45">
      <c r="A1047" s="11">
        <v>40</v>
      </c>
      <c r="B1047" s="12">
        <f t="shared" si="240"/>
        <v>40</v>
      </c>
      <c r="C1047" s="12" t="s">
        <v>59</v>
      </c>
      <c r="D1047" s="12">
        <v>0</v>
      </c>
      <c r="E1047" s="12" t="s">
        <v>53</v>
      </c>
      <c r="F1047" s="12">
        <v>0</v>
      </c>
      <c r="G1047" s="12">
        <v>1</v>
      </c>
      <c r="H1047" s="12" t="s">
        <v>61</v>
      </c>
      <c r="I1047" s="12">
        <v>1</v>
      </c>
      <c r="J1047" s="12">
        <v>0</v>
      </c>
      <c r="K1047" s="12">
        <v>2</v>
      </c>
      <c r="L1047" s="12">
        <f t="shared" si="241"/>
        <v>2</v>
      </c>
      <c r="M1047" s="12">
        <v>3</v>
      </c>
      <c r="N1047" s="12" t="s">
        <v>70</v>
      </c>
      <c r="O1047" s="12">
        <v>0</v>
      </c>
      <c r="P1047" s="12">
        <v>0</v>
      </c>
      <c r="Q1047" s="12">
        <v>1</v>
      </c>
      <c r="R1047" s="12">
        <v>0</v>
      </c>
      <c r="S1047" s="12">
        <v>0</v>
      </c>
      <c r="T1047" s="12">
        <v>3</v>
      </c>
      <c r="U1047" s="12" t="s">
        <v>62</v>
      </c>
      <c r="V1047" s="12">
        <v>0</v>
      </c>
      <c r="W1047" s="12">
        <v>68</v>
      </c>
      <c r="X1047" s="12">
        <v>3</v>
      </c>
      <c r="Y1047" s="12">
        <v>1</v>
      </c>
      <c r="Z1047" s="12" t="s">
        <v>63</v>
      </c>
      <c r="AA1047" s="12">
        <v>0</v>
      </c>
      <c r="AB1047" s="12">
        <v>0</v>
      </c>
      <c r="AC1047" s="12">
        <v>0</v>
      </c>
      <c r="AD1047" s="12">
        <v>0</v>
      </c>
      <c r="AE1047" s="12">
        <v>0</v>
      </c>
      <c r="AF1047" s="12">
        <v>0</v>
      </c>
      <c r="AG1047" s="12">
        <v>0</v>
      </c>
      <c r="AH1047" s="12">
        <v>1</v>
      </c>
      <c r="AI1047" s="12">
        <v>3</v>
      </c>
      <c r="AJ1047" s="12" t="s">
        <v>78</v>
      </c>
      <c r="AK1047" s="12">
        <v>0</v>
      </c>
      <c r="AL1047" s="12">
        <v>0</v>
      </c>
      <c r="AM1047" s="12">
        <v>2345</v>
      </c>
      <c r="AN1047" s="12">
        <f t="shared" si="242"/>
        <v>2345</v>
      </c>
      <c r="AO1047" s="12">
        <v>2</v>
      </c>
      <c r="AP1047" s="12" t="s">
        <v>59</v>
      </c>
      <c r="AQ1047" s="12">
        <v>0</v>
      </c>
      <c r="AR1047" s="12">
        <v>14</v>
      </c>
      <c r="AS1047" s="12">
        <v>3</v>
      </c>
      <c r="AT1047" s="12">
        <v>3</v>
      </c>
      <c r="AU1047" s="12">
        <v>1</v>
      </c>
      <c r="AV1047" s="12">
        <v>8</v>
      </c>
      <c r="AW1047" s="12">
        <f t="shared" si="243"/>
        <v>8</v>
      </c>
      <c r="AX1047" s="12">
        <v>3</v>
      </c>
      <c r="AY1047" s="12">
        <v>4</v>
      </c>
      <c r="AZ1047" s="12">
        <v>3</v>
      </c>
      <c r="BA1047" s="12">
        <f t="shared" si="244"/>
        <v>3</v>
      </c>
      <c r="BB1047" s="12">
        <v>1</v>
      </c>
      <c r="BC1047" s="12">
        <v>1</v>
      </c>
      <c r="BD1047" s="12">
        <f t="shared" si="253"/>
        <v>1</v>
      </c>
      <c r="BE1047" s="12">
        <v>2</v>
      </c>
      <c r="BF1047" s="12">
        <f t="shared" si="245"/>
        <v>2</v>
      </c>
      <c r="BG1047" s="12">
        <f t="shared" si="254"/>
        <v>2</v>
      </c>
      <c r="BH1047" s="67">
        <v>1</v>
      </c>
      <c r="BI1047" s="67">
        <v>0</v>
      </c>
      <c r="BJ1047" s="67">
        <v>0</v>
      </c>
      <c r="BK1047" s="67">
        <v>0</v>
      </c>
      <c r="BL1047" s="67">
        <v>1</v>
      </c>
      <c r="BM1047" s="67">
        <v>0</v>
      </c>
      <c r="BN1047" s="67">
        <v>0</v>
      </c>
      <c r="BO1047" s="67">
        <v>0</v>
      </c>
      <c r="BP1047" s="67">
        <v>0</v>
      </c>
      <c r="BQ1047" s="67">
        <v>2</v>
      </c>
      <c r="BR1047" s="67">
        <v>0</v>
      </c>
      <c r="BS1047" s="67">
        <v>0</v>
      </c>
      <c r="BT1047" s="67">
        <v>8</v>
      </c>
      <c r="BU1047" s="70">
        <v>0</v>
      </c>
      <c r="BV1047" s="29">
        <f t="shared" si="246"/>
        <v>0.88317108335496408</v>
      </c>
      <c r="BW1047">
        <f t="shared" si="247"/>
        <v>0.59502473559756086</v>
      </c>
      <c r="BX1047">
        <f t="shared" si="248"/>
        <v>0.42149901815843233</v>
      </c>
      <c r="BY1047">
        <f t="shared" si="249"/>
        <v>0.65423109602898355</v>
      </c>
      <c r="BZ1047">
        <f t="shared" si="250"/>
        <v>0.88721318382472392</v>
      </c>
      <c r="CA1047">
        <f t="shared" si="251"/>
        <v>0.33673395837055903</v>
      </c>
      <c r="CB1047">
        <f t="shared" si="252"/>
        <v>0.36858985273641137</v>
      </c>
    </row>
    <row r="1048" spans="1:80" x14ac:dyDescent="0.45">
      <c r="A1048" s="11">
        <v>44</v>
      </c>
      <c r="B1048" s="12">
        <f t="shared" si="240"/>
        <v>44</v>
      </c>
      <c r="C1048" s="12" t="s">
        <v>59</v>
      </c>
      <c r="D1048" s="12">
        <v>0</v>
      </c>
      <c r="E1048" s="12" t="s">
        <v>53</v>
      </c>
      <c r="F1048" s="12">
        <v>0</v>
      </c>
      <c r="G1048" s="12">
        <v>1</v>
      </c>
      <c r="H1048" s="12" t="s">
        <v>61</v>
      </c>
      <c r="I1048" s="12">
        <v>1</v>
      </c>
      <c r="J1048" s="12">
        <v>0</v>
      </c>
      <c r="K1048" s="12">
        <v>20</v>
      </c>
      <c r="L1048" s="12">
        <f t="shared" si="241"/>
        <v>20</v>
      </c>
      <c r="M1048" s="12">
        <v>3</v>
      </c>
      <c r="N1048" s="12" t="s">
        <v>55</v>
      </c>
      <c r="O1048" s="12">
        <v>1</v>
      </c>
      <c r="P1048" s="12">
        <v>0</v>
      </c>
      <c r="Q1048" s="12">
        <v>0</v>
      </c>
      <c r="R1048" s="12">
        <v>0</v>
      </c>
      <c r="S1048" s="12">
        <v>0</v>
      </c>
      <c r="T1048" s="12">
        <v>4</v>
      </c>
      <c r="U1048" s="12" t="s">
        <v>62</v>
      </c>
      <c r="V1048" s="12">
        <v>0</v>
      </c>
      <c r="W1048" s="12">
        <v>49</v>
      </c>
      <c r="X1048" s="12">
        <v>3</v>
      </c>
      <c r="Y1048" s="12">
        <v>1</v>
      </c>
      <c r="Z1048" s="12" t="s">
        <v>63</v>
      </c>
      <c r="AA1048" s="12">
        <v>0</v>
      </c>
      <c r="AB1048" s="12">
        <v>0</v>
      </c>
      <c r="AC1048" s="12">
        <v>0</v>
      </c>
      <c r="AD1048" s="12">
        <v>0</v>
      </c>
      <c r="AE1048" s="12">
        <v>0</v>
      </c>
      <c r="AF1048" s="12">
        <v>0</v>
      </c>
      <c r="AG1048" s="12">
        <v>0</v>
      </c>
      <c r="AH1048" s="12">
        <v>1</v>
      </c>
      <c r="AI1048" s="12">
        <v>2</v>
      </c>
      <c r="AJ1048" s="12" t="s">
        <v>57</v>
      </c>
      <c r="AK1048" s="12">
        <v>1</v>
      </c>
      <c r="AL1048" s="12">
        <v>0</v>
      </c>
      <c r="AM1048" s="12">
        <v>3420</v>
      </c>
      <c r="AN1048" s="12">
        <f t="shared" si="242"/>
        <v>3420</v>
      </c>
      <c r="AO1048" s="12">
        <v>1</v>
      </c>
      <c r="AP1048" s="12" t="s">
        <v>59</v>
      </c>
      <c r="AQ1048" s="12">
        <v>0</v>
      </c>
      <c r="AR1048" s="12">
        <v>13</v>
      </c>
      <c r="AS1048" s="12">
        <v>3</v>
      </c>
      <c r="AT1048" s="12">
        <v>3</v>
      </c>
      <c r="AU1048" s="12">
        <v>0</v>
      </c>
      <c r="AV1048" s="12">
        <v>6</v>
      </c>
      <c r="AW1048" s="12">
        <f t="shared" si="243"/>
        <v>6</v>
      </c>
      <c r="AX1048" s="12">
        <v>3</v>
      </c>
      <c r="AY1048" s="12">
        <v>2</v>
      </c>
      <c r="AZ1048" s="12">
        <v>5</v>
      </c>
      <c r="BA1048" s="12">
        <f t="shared" si="244"/>
        <v>5</v>
      </c>
      <c r="BB1048" s="12">
        <v>2</v>
      </c>
      <c r="BC1048" s="12">
        <v>1</v>
      </c>
      <c r="BD1048" s="12">
        <f t="shared" si="253"/>
        <v>1</v>
      </c>
      <c r="BE1048" s="12">
        <v>3</v>
      </c>
      <c r="BF1048" s="12">
        <f t="shared" si="245"/>
        <v>3</v>
      </c>
      <c r="BG1048" s="12">
        <f t="shared" si="254"/>
        <v>3</v>
      </c>
      <c r="BH1048" s="67">
        <v>1</v>
      </c>
      <c r="BI1048" s="67">
        <v>0</v>
      </c>
      <c r="BJ1048" s="67">
        <v>0</v>
      </c>
      <c r="BK1048" s="67">
        <v>0</v>
      </c>
      <c r="BL1048" s="67">
        <v>1</v>
      </c>
      <c r="BM1048" s="67">
        <v>0</v>
      </c>
      <c r="BN1048" s="67">
        <v>0</v>
      </c>
      <c r="BO1048" s="67">
        <v>0</v>
      </c>
      <c r="BP1048" s="67">
        <v>0</v>
      </c>
      <c r="BQ1048" s="67">
        <v>3</v>
      </c>
      <c r="BR1048" s="67">
        <v>0</v>
      </c>
      <c r="BS1048" s="67">
        <v>0</v>
      </c>
      <c r="BT1048" s="67">
        <v>6</v>
      </c>
      <c r="BU1048" s="70">
        <v>0</v>
      </c>
      <c r="BV1048" s="29">
        <f t="shared" si="246"/>
        <v>0.65483423798302887</v>
      </c>
      <c r="BW1048">
        <f t="shared" si="247"/>
        <v>0.31476636926356072</v>
      </c>
      <c r="BX1048">
        <f t="shared" si="248"/>
        <v>0.67854260110508058</v>
      </c>
      <c r="BY1048">
        <f t="shared" si="249"/>
        <v>0.32778177112653761</v>
      </c>
      <c r="BZ1048">
        <f t="shared" si="250"/>
        <v>1.3331273859286286</v>
      </c>
      <c r="CA1048">
        <f t="shared" si="251"/>
        <v>0.77459235625178136</v>
      </c>
      <c r="CB1048">
        <f t="shared" si="252"/>
        <v>0.36858985273641137</v>
      </c>
    </row>
    <row r="1049" spans="1:80" x14ac:dyDescent="0.45">
      <c r="A1049" s="11">
        <v>33</v>
      </c>
      <c r="B1049" s="12">
        <f t="shared" si="240"/>
        <v>33</v>
      </c>
      <c r="C1049" s="12" t="s">
        <v>59</v>
      </c>
      <c r="D1049" s="12">
        <v>0</v>
      </c>
      <c r="E1049" s="12" t="s">
        <v>60</v>
      </c>
      <c r="F1049" s="12">
        <v>1</v>
      </c>
      <c r="G1049" s="12">
        <v>0</v>
      </c>
      <c r="H1049" s="12" t="s">
        <v>54</v>
      </c>
      <c r="I1049" s="12">
        <v>0</v>
      </c>
      <c r="J1049" s="12">
        <v>1</v>
      </c>
      <c r="K1049" s="12">
        <v>7</v>
      </c>
      <c r="L1049" s="12">
        <f t="shared" si="241"/>
        <v>7</v>
      </c>
      <c r="M1049" s="12">
        <v>3</v>
      </c>
      <c r="N1049" s="12" t="s">
        <v>70</v>
      </c>
      <c r="O1049" s="12">
        <v>0</v>
      </c>
      <c r="P1049" s="12">
        <v>0</v>
      </c>
      <c r="Q1049" s="12">
        <v>1</v>
      </c>
      <c r="R1049" s="12">
        <v>0</v>
      </c>
      <c r="S1049" s="12">
        <v>0</v>
      </c>
      <c r="T1049" s="12">
        <v>4</v>
      </c>
      <c r="U1049" s="12" t="s">
        <v>62</v>
      </c>
      <c r="V1049" s="12">
        <v>0</v>
      </c>
      <c r="W1049" s="12">
        <v>54</v>
      </c>
      <c r="X1049" s="12">
        <v>3</v>
      </c>
      <c r="Y1049" s="12">
        <v>2</v>
      </c>
      <c r="Z1049" s="12" t="s">
        <v>56</v>
      </c>
      <c r="AA1049" s="12">
        <v>0</v>
      </c>
      <c r="AB1049" s="12">
        <v>1</v>
      </c>
      <c r="AC1049" s="12">
        <v>0</v>
      </c>
      <c r="AD1049" s="12">
        <v>0</v>
      </c>
      <c r="AE1049" s="12">
        <v>0</v>
      </c>
      <c r="AF1049" s="12">
        <v>0</v>
      </c>
      <c r="AG1049" s="12">
        <v>0</v>
      </c>
      <c r="AH1049" s="12">
        <v>0</v>
      </c>
      <c r="AI1049" s="12">
        <v>1</v>
      </c>
      <c r="AJ1049" s="12" t="s">
        <v>64</v>
      </c>
      <c r="AK1049" s="12">
        <v>0</v>
      </c>
      <c r="AL1049" s="12">
        <v>1</v>
      </c>
      <c r="AM1049" s="12">
        <v>4373</v>
      </c>
      <c r="AN1049" s="12">
        <f t="shared" si="242"/>
        <v>4373</v>
      </c>
      <c r="AO1049" s="12">
        <v>0</v>
      </c>
      <c r="AP1049" s="12" t="s">
        <v>59</v>
      </c>
      <c r="AQ1049" s="12">
        <v>0</v>
      </c>
      <c r="AR1049" s="12">
        <v>14</v>
      </c>
      <c r="AS1049" s="12">
        <v>3</v>
      </c>
      <c r="AT1049" s="12">
        <v>1</v>
      </c>
      <c r="AU1049" s="12">
        <v>2</v>
      </c>
      <c r="AV1049" s="12">
        <v>5</v>
      </c>
      <c r="AW1049" s="12">
        <f t="shared" si="243"/>
        <v>5</v>
      </c>
      <c r="AX1049" s="12">
        <v>2</v>
      </c>
      <c r="AY1049" s="12">
        <v>3</v>
      </c>
      <c r="AZ1049" s="12">
        <v>4</v>
      </c>
      <c r="BA1049" s="12">
        <f t="shared" si="244"/>
        <v>4</v>
      </c>
      <c r="BB1049" s="12">
        <v>3</v>
      </c>
      <c r="BC1049" s="12">
        <v>0</v>
      </c>
      <c r="BD1049" s="12">
        <f t="shared" si="253"/>
        <v>0</v>
      </c>
      <c r="BE1049" s="12">
        <v>3</v>
      </c>
      <c r="BF1049" s="12">
        <f t="shared" si="245"/>
        <v>3</v>
      </c>
      <c r="BG1049" s="12">
        <f t="shared" si="254"/>
        <v>6</v>
      </c>
      <c r="BH1049" s="67">
        <v>0</v>
      </c>
      <c r="BI1049" s="67">
        <v>0</v>
      </c>
      <c r="BJ1049" s="67">
        <v>0</v>
      </c>
      <c r="BK1049" s="67">
        <v>1</v>
      </c>
      <c r="BL1049" s="67">
        <v>0</v>
      </c>
      <c r="BM1049" s="67">
        <v>0</v>
      </c>
      <c r="BN1049" s="67">
        <v>1</v>
      </c>
      <c r="BO1049" s="67">
        <v>0</v>
      </c>
      <c r="BP1049" s="67">
        <v>0</v>
      </c>
      <c r="BQ1049" s="67">
        <v>0</v>
      </c>
      <c r="BR1049" s="67">
        <v>3</v>
      </c>
      <c r="BS1049" s="67">
        <v>0</v>
      </c>
      <c r="BT1049" s="67">
        <v>0</v>
      </c>
      <c r="BU1049" s="70">
        <v>5</v>
      </c>
      <c r="BV1049" s="29">
        <f t="shared" si="246"/>
        <v>0.45241096948121101</v>
      </c>
      <c r="BW1049">
        <f t="shared" si="247"/>
        <v>0.31476636926356072</v>
      </c>
      <c r="BX1049">
        <f t="shared" si="248"/>
        <v>0.80706439257840468</v>
      </c>
      <c r="BY1049">
        <f t="shared" si="249"/>
        <v>0.49100643357776058</v>
      </c>
      <c r="BZ1049">
        <f t="shared" si="250"/>
        <v>0.27045191444879263</v>
      </c>
      <c r="CA1049">
        <f t="shared" si="251"/>
        <v>0.42951823792158</v>
      </c>
      <c r="CB1049">
        <f t="shared" si="252"/>
        <v>0.67891464284095016</v>
      </c>
    </row>
    <row r="1050" spans="1:80" x14ac:dyDescent="0.45">
      <c r="A1050" s="11">
        <v>34</v>
      </c>
      <c r="B1050" s="12">
        <f t="shared" si="240"/>
        <v>34</v>
      </c>
      <c r="C1050" s="12" t="s">
        <v>59</v>
      </c>
      <c r="D1050" s="12">
        <v>0</v>
      </c>
      <c r="E1050" s="12" t="s">
        <v>53</v>
      </c>
      <c r="F1050" s="12">
        <v>0</v>
      </c>
      <c r="G1050" s="12">
        <v>1</v>
      </c>
      <c r="H1050" s="12" t="s">
        <v>54</v>
      </c>
      <c r="I1050" s="12">
        <v>0</v>
      </c>
      <c r="J1050" s="12">
        <v>1</v>
      </c>
      <c r="K1050" s="12">
        <v>3</v>
      </c>
      <c r="L1050" s="12">
        <f t="shared" si="241"/>
        <v>3</v>
      </c>
      <c r="M1050" s="12">
        <v>3</v>
      </c>
      <c r="N1050" s="12" t="s">
        <v>66</v>
      </c>
      <c r="O1050" s="12">
        <v>0</v>
      </c>
      <c r="P1050" s="12">
        <v>1</v>
      </c>
      <c r="Q1050" s="12">
        <v>0</v>
      </c>
      <c r="R1050" s="12">
        <v>0</v>
      </c>
      <c r="S1050" s="12">
        <v>0</v>
      </c>
      <c r="T1050" s="12">
        <v>4</v>
      </c>
      <c r="U1050" s="12" t="s">
        <v>62</v>
      </c>
      <c r="V1050" s="12">
        <v>0</v>
      </c>
      <c r="W1050" s="12">
        <v>81</v>
      </c>
      <c r="X1050" s="12">
        <v>1</v>
      </c>
      <c r="Y1050" s="12">
        <v>2</v>
      </c>
      <c r="Z1050" s="12" t="s">
        <v>56</v>
      </c>
      <c r="AA1050" s="12">
        <v>0</v>
      </c>
      <c r="AB1050" s="12">
        <v>1</v>
      </c>
      <c r="AC1050" s="12">
        <v>0</v>
      </c>
      <c r="AD1050" s="12">
        <v>0</v>
      </c>
      <c r="AE1050" s="12">
        <v>0</v>
      </c>
      <c r="AF1050" s="12">
        <v>0</v>
      </c>
      <c r="AG1050" s="12">
        <v>0</v>
      </c>
      <c r="AH1050" s="12">
        <v>0</v>
      </c>
      <c r="AI1050" s="12">
        <v>1</v>
      </c>
      <c r="AJ1050" s="12" t="s">
        <v>57</v>
      </c>
      <c r="AK1050" s="12">
        <v>1</v>
      </c>
      <c r="AL1050" s="12">
        <v>0</v>
      </c>
      <c r="AM1050" s="12">
        <v>4759</v>
      </c>
      <c r="AN1050" s="12">
        <f t="shared" si="242"/>
        <v>4759</v>
      </c>
      <c r="AO1050" s="12">
        <v>3</v>
      </c>
      <c r="AP1050" s="12" t="s">
        <v>59</v>
      </c>
      <c r="AQ1050" s="12">
        <v>0</v>
      </c>
      <c r="AR1050" s="12">
        <v>18</v>
      </c>
      <c r="AS1050" s="12">
        <v>3</v>
      </c>
      <c r="AT1050" s="12">
        <v>4</v>
      </c>
      <c r="AU1050" s="12">
        <v>0</v>
      </c>
      <c r="AV1050" s="12">
        <v>15</v>
      </c>
      <c r="AW1050" s="12">
        <f t="shared" si="243"/>
        <v>15</v>
      </c>
      <c r="AX1050" s="12">
        <v>2</v>
      </c>
      <c r="AY1050" s="12">
        <v>3</v>
      </c>
      <c r="AZ1050" s="12">
        <v>13</v>
      </c>
      <c r="BA1050" s="12">
        <f t="shared" si="244"/>
        <v>13</v>
      </c>
      <c r="BB1050" s="12">
        <v>9</v>
      </c>
      <c r="BC1050" s="12">
        <v>3</v>
      </c>
      <c r="BD1050" s="12">
        <f t="shared" si="253"/>
        <v>3</v>
      </c>
      <c r="BE1050" s="12">
        <v>12</v>
      </c>
      <c r="BF1050" s="12">
        <f t="shared" si="245"/>
        <v>12</v>
      </c>
      <c r="BG1050" s="12">
        <f t="shared" si="254"/>
        <v>24</v>
      </c>
      <c r="BH1050" s="67">
        <v>1</v>
      </c>
      <c r="BI1050" s="67">
        <v>0</v>
      </c>
      <c r="BJ1050" s="67">
        <v>0</v>
      </c>
      <c r="BK1050" s="67">
        <v>0</v>
      </c>
      <c r="BL1050" s="67">
        <v>1</v>
      </c>
      <c r="BM1050" s="67">
        <v>0</v>
      </c>
      <c r="BN1050" s="67">
        <v>0</v>
      </c>
      <c r="BO1050" s="67">
        <v>0</v>
      </c>
      <c r="BP1050" s="67">
        <v>0</v>
      </c>
      <c r="BQ1050" s="67">
        <v>0</v>
      </c>
      <c r="BR1050" s="67">
        <v>12</v>
      </c>
      <c r="BS1050" s="67">
        <v>0</v>
      </c>
      <c r="BT1050" s="67">
        <v>0</v>
      </c>
      <c r="BU1050" s="70">
        <v>15</v>
      </c>
      <c r="BV1050" s="29">
        <f t="shared" si="246"/>
        <v>0.37042211151510224</v>
      </c>
      <c r="BW1050">
        <f t="shared" si="247"/>
        <v>2.2075589277424408</v>
      </c>
      <c r="BX1050">
        <f t="shared" si="248"/>
        <v>0.47815352215483642</v>
      </c>
      <c r="BY1050">
        <f t="shared" si="249"/>
        <v>0.97801552848324624</v>
      </c>
      <c r="BZ1050">
        <f t="shared" si="250"/>
        <v>0.76386092994953758</v>
      </c>
      <c r="CA1050">
        <f t="shared" si="251"/>
        <v>0.32005363845127444</v>
      </c>
      <c r="CB1050">
        <f t="shared" si="252"/>
        <v>0.2520597274726662</v>
      </c>
    </row>
    <row r="1051" spans="1:80" x14ac:dyDescent="0.45">
      <c r="A1051" s="11">
        <v>30</v>
      </c>
      <c r="B1051" s="12">
        <f t="shared" si="240"/>
        <v>30</v>
      </c>
      <c r="C1051" s="12" t="s">
        <v>59</v>
      </c>
      <c r="D1051" s="12">
        <v>0</v>
      </c>
      <c r="E1051" s="12" t="s">
        <v>53</v>
      </c>
      <c r="F1051" s="12">
        <v>0</v>
      </c>
      <c r="G1051" s="12">
        <v>1</v>
      </c>
      <c r="H1051" s="12" t="s">
        <v>54</v>
      </c>
      <c r="I1051" s="12">
        <v>0</v>
      </c>
      <c r="J1051" s="12">
        <v>1</v>
      </c>
      <c r="K1051" s="12">
        <v>16</v>
      </c>
      <c r="L1051" s="12">
        <f t="shared" si="241"/>
        <v>16</v>
      </c>
      <c r="M1051" s="12">
        <v>1</v>
      </c>
      <c r="N1051" s="12" t="s">
        <v>55</v>
      </c>
      <c r="O1051" s="12">
        <v>1</v>
      </c>
      <c r="P1051" s="12">
        <v>0</v>
      </c>
      <c r="Q1051" s="12">
        <v>0</v>
      </c>
      <c r="R1051" s="12">
        <v>0</v>
      </c>
      <c r="S1051" s="12">
        <v>0</v>
      </c>
      <c r="T1051" s="12">
        <v>4</v>
      </c>
      <c r="U1051" s="12" t="s">
        <v>62</v>
      </c>
      <c r="V1051" s="12">
        <v>0</v>
      </c>
      <c r="W1051" s="12">
        <v>96</v>
      </c>
      <c r="X1051" s="12">
        <v>3</v>
      </c>
      <c r="Y1051" s="12">
        <v>2</v>
      </c>
      <c r="Z1051" s="12" t="s">
        <v>56</v>
      </c>
      <c r="AA1051" s="12">
        <v>0</v>
      </c>
      <c r="AB1051" s="12">
        <v>1</v>
      </c>
      <c r="AC1051" s="12">
        <v>0</v>
      </c>
      <c r="AD1051" s="12">
        <v>0</v>
      </c>
      <c r="AE1051" s="12">
        <v>0</v>
      </c>
      <c r="AF1051" s="12">
        <v>0</v>
      </c>
      <c r="AG1051" s="12">
        <v>0</v>
      </c>
      <c r="AH1051" s="12">
        <v>0</v>
      </c>
      <c r="AI1051" s="12">
        <v>3</v>
      </c>
      <c r="AJ1051" s="12" t="s">
        <v>64</v>
      </c>
      <c r="AK1051" s="12">
        <v>0</v>
      </c>
      <c r="AL1051" s="12">
        <v>1</v>
      </c>
      <c r="AM1051" s="12">
        <v>5301</v>
      </c>
      <c r="AN1051" s="12">
        <f t="shared" si="242"/>
        <v>5301</v>
      </c>
      <c r="AO1051" s="12">
        <v>8</v>
      </c>
      <c r="AP1051" s="12" t="s">
        <v>59</v>
      </c>
      <c r="AQ1051" s="12">
        <v>0</v>
      </c>
      <c r="AR1051" s="12">
        <v>15</v>
      </c>
      <c r="AS1051" s="12">
        <v>3</v>
      </c>
      <c r="AT1051" s="12">
        <v>3</v>
      </c>
      <c r="AU1051" s="12">
        <v>2</v>
      </c>
      <c r="AV1051" s="12">
        <v>4</v>
      </c>
      <c r="AW1051" s="12">
        <f t="shared" si="243"/>
        <v>4</v>
      </c>
      <c r="AX1051" s="12">
        <v>2</v>
      </c>
      <c r="AY1051" s="12">
        <v>2</v>
      </c>
      <c r="AZ1051" s="12">
        <v>2</v>
      </c>
      <c r="BA1051" s="12">
        <f t="shared" si="244"/>
        <v>2</v>
      </c>
      <c r="BB1051" s="12">
        <v>1</v>
      </c>
      <c r="BC1051" s="12">
        <v>2</v>
      </c>
      <c r="BD1051" s="12">
        <f t="shared" si="253"/>
        <v>2</v>
      </c>
      <c r="BE1051" s="12">
        <v>2</v>
      </c>
      <c r="BF1051" s="12">
        <f t="shared" si="245"/>
        <v>2</v>
      </c>
      <c r="BG1051" s="12">
        <f t="shared" si="254"/>
        <v>4</v>
      </c>
      <c r="BH1051" s="67">
        <v>0</v>
      </c>
      <c r="BI1051" s="67">
        <v>1</v>
      </c>
      <c r="BJ1051" s="67">
        <v>0</v>
      </c>
      <c r="BK1051" s="67">
        <v>0</v>
      </c>
      <c r="BL1051" s="67">
        <v>0</v>
      </c>
      <c r="BM1051" s="67">
        <v>0</v>
      </c>
      <c r="BN1051" s="67">
        <v>1</v>
      </c>
      <c r="BO1051" s="67">
        <v>0</v>
      </c>
      <c r="BP1051" s="67">
        <v>0</v>
      </c>
      <c r="BQ1051" s="67">
        <v>0</v>
      </c>
      <c r="BR1051" s="67">
        <v>2</v>
      </c>
      <c r="BS1051" s="67">
        <v>0</v>
      </c>
      <c r="BT1051" s="67">
        <v>0</v>
      </c>
      <c r="BU1051" s="70">
        <v>4</v>
      </c>
      <c r="BV1051" s="29">
        <f t="shared" si="246"/>
        <v>0.25529786017408934</v>
      </c>
      <c r="BW1051">
        <f t="shared" si="247"/>
        <v>0.59502473559756086</v>
      </c>
      <c r="BX1051">
        <f t="shared" si="248"/>
        <v>0.93558618405172878</v>
      </c>
      <c r="BY1051">
        <f t="shared" si="249"/>
        <v>0.81745575848020657</v>
      </c>
      <c r="BZ1051">
        <f t="shared" si="250"/>
        <v>0.83971837042788355</v>
      </c>
      <c r="CA1051">
        <f t="shared" si="251"/>
        <v>0.75791203633249671</v>
      </c>
      <c r="CB1051">
        <f t="shared" si="252"/>
        <v>5.8265062631872602E-2</v>
      </c>
    </row>
    <row r="1052" spans="1:80" x14ac:dyDescent="0.45">
      <c r="A1052" s="11">
        <v>42</v>
      </c>
      <c r="B1052" s="12">
        <f t="shared" si="240"/>
        <v>42</v>
      </c>
      <c r="C1052" s="12" t="s">
        <v>59</v>
      </c>
      <c r="D1052" s="12">
        <v>0</v>
      </c>
      <c r="E1052" s="12" t="s">
        <v>60</v>
      </c>
      <c r="F1052" s="12">
        <v>1</v>
      </c>
      <c r="G1052" s="12">
        <v>0</v>
      </c>
      <c r="H1052" s="12" t="s">
        <v>61</v>
      </c>
      <c r="I1052" s="12">
        <v>1</v>
      </c>
      <c r="J1052" s="12">
        <v>0</v>
      </c>
      <c r="K1052" s="12">
        <v>9</v>
      </c>
      <c r="L1052" s="12">
        <f t="shared" si="241"/>
        <v>9</v>
      </c>
      <c r="M1052" s="12">
        <v>2</v>
      </c>
      <c r="N1052" s="12" t="s">
        <v>70</v>
      </c>
      <c r="O1052" s="12">
        <v>0</v>
      </c>
      <c r="P1052" s="12">
        <v>0</v>
      </c>
      <c r="Q1052" s="12">
        <v>1</v>
      </c>
      <c r="R1052" s="12">
        <v>0</v>
      </c>
      <c r="S1052" s="12">
        <v>0</v>
      </c>
      <c r="T1052" s="12">
        <v>1</v>
      </c>
      <c r="U1052" s="12" t="s">
        <v>19</v>
      </c>
      <c r="V1052" s="12">
        <v>1</v>
      </c>
      <c r="W1052" s="12">
        <v>74</v>
      </c>
      <c r="X1052" s="12">
        <v>3</v>
      </c>
      <c r="Y1052" s="12">
        <v>1</v>
      </c>
      <c r="Z1052" s="12" t="s">
        <v>67</v>
      </c>
      <c r="AA1052" s="12">
        <v>0</v>
      </c>
      <c r="AB1052" s="12">
        <v>0</v>
      </c>
      <c r="AC1052" s="12">
        <v>1</v>
      </c>
      <c r="AD1052" s="12">
        <v>0</v>
      </c>
      <c r="AE1052" s="12">
        <v>0</v>
      </c>
      <c r="AF1052" s="12">
        <v>0</v>
      </c>
      <c r="AG1052" s="12">
        <v>0</v>
      </c>
      <c r="AH1052" s="12">
        <v>0</v>
      </c>
      <c r="AI1052" s="12">
        <v>4</v>
      </c>
      <c r="AJ1052" s="12" t="s">
        <v>57</v>
      </c>
      <c r="AK1052" s="12">
        <v>1</v>
      </c>
      <c r="AL1052" s="12">
        <v>0</v>
      </c>
      <c r="AM1052" s="12">
        <v>3673</v>
      </c>
      <c r="AN1052" s="12">
        <f t="shared" si="242"/>
        <v>3673</v>
      </c>
      <c r="AO1052" s="12">
        <v>1</v>
      </c>
      <c r="AP1052" s="12" t="s">
        <v>59</v>
      </c>
      <c r="AQ1052" s="12">
        <v>0</v>
      </c>
      <c r="AR1052" s="12">
        <v>13</v>
      </c>
      <c r="AS1052" s="12">
        <v>3</v>
      </c>
      <c r="AT1052" s="12">
        <v>3</v>
      </c>
      <c r="AU1052" s="12">
        <v>0</v>
      </c>
      <c r="AV1052" s="12">
        <v>12</v>
      </c>
      <c r="AW1052" s="12">
        <f t="shared" si="243"/>
        <v>12</v>
      </c>
      <c r="AX1052" s="12">
        <v>3</v>
      </c>
      <c r="AY1052" s="12">
        <v>3</v>
      </c>
      <c r="AZ1052" s="12">
        <v>12</v>
      </c>
      <c r="BA1052" s="12">
        <f t="shared" si="244"/>
        <v>12</v>
      </c>
      <c r="BB1052" s="12">
        <v>9</v>
      </c>
      <c r="BC1052" s="12">
        <v>5</v>
      </c>
      <c r="BD1052" s="12">
        <f t="shared" si="253"/>
        <v>5</v>
      </c>
      <c r="BE1052" s="12">
        <v>8</v>
      </c>
      <c r="BF1052" s="12">
        <f t="shared" si="245"/>
        <v>8</v>
      </c>
      <c r="BG1052" s="12">
        <f t="shared" si="254"/>
        <v>8</v>
      </c>
      <c r="BH1052" s="67">
        <v>0</v>
      </c>
      <c r="BI1052" s="67">
        <v>0</v>
      </c>
      <c r="BJ1052" s="67">
        <v>1</v>
      </c>
      <c r="BK1052" s="67">
        <v>0</v>
      </c>
      <c r="BL1052" s="67">
        <v>1</v>
      </c>
      <c r="BM1052" s="67">
        <v>0</v>
      </c>
      <c r="BN1052" s="67">
        <v>0</v>
      </c>
      <c r="BO1052" s="67">
        <v>0</v>
      </c>
      <c r="BP1052" s="67">
        <v>0</v>
      </c>
      <c r="BQ1052" s="67">
        <v>8</v>
      </c>
      <c r="BR1052" s="67">
        <v>0</v>
      </c>
      <c r="BS1052" s="67">
        <v>0</v>
      </c>
      <c r="BT1052" s="67">
        <v>12</v>
      </c>
      <c r="BU1052" s="70">
        <v>0</v>
      </c>
      <c r="BV1052" s="29">
        <f t="shared" si="246"/>
        <v>0.60109542693270368</v>
      </c>
      <c r="BW1052">
        <f t="shared" si="247"/>
        <v>1.08652546240644</v>
      </c>
      <c r="BX1052">
        <f t="shared" si="248"/>
        <v>9.2588147734864096E-2</v>
      </c>
      <c r="BY1052">
        <f t="shared" si="249"/>
        <v>0.81479086603202333</v>
      </c>
      <c r="BZ1052">
        <f t="shared" si="250"/>
        <v>2.3747406698420157E-2</v>
      </c>
      <c r="CA1052">
        <f t="shared" si="251"/>
        <v>0.55566315731117022</v>
      </c>
      <c r="CB1052">
        <f t="shared" si="252"/>
        <v>0.87270930768174382</v>
      </c>
    </row>
    <row r="1053" spans="1:80" x14ac:dyDescent="0.45">
      <c r="A1053" s="11">
        <v>44</v>
      </c>
      <c r="B1053" s="12">
        <f t="shared" si="240"/>
        <v>44</v>
      </c>
      <c r="C1053" s="12" t="s">
        <v>59</v>
      </c>
      <c r="D1053" s="12">
        <v>0</v>
      </c>
      <c r="E1053" s="12" t="s">
        <v>60</v>
      </c>
      <c r="F1053" s="12">
        <v>1</v>
      </c>
      <c r="G1053" s="12">
        <v>0</v>
      </c>
      <c r="H1053" s="12" t="s">
        <v>54</v>
      </c>
      <c r="I1053" s="12">
        <v>0</v>
      </c>
      <c r="J1053" s="12">
        <v>1</v>
      </c>
      <c r="K1053" s="12">
        <v>1</v>
      </c>
      <c r="L1053" s="12">
        <f t="shared" si="241"/>
        <v>1</v>
      </c>
      <c r="M1053" s="12">
        <v>5</v>
      </c>
      <c r="N1053" s="12" t="s">
        <v>90</v>
      </c>
      <c r="O1053" s="12">
        <v>0</v>
      </c>
      <c r="P1053" s="12">
        <v>0</v>
      </c>
      <c r="Q1053" s="12">
        <v>0</v>
      </c>
      <c r="R1053" s="12">
        <v>1</v>
      </c>
      <c r="S1053" s="12">
        <v>0</v>
      </c>
      <c r="T1053" s="12">
        <v>1</v>
      </c>
      <c r="U1053" s="12" t="s">
        <v>19</v>
      </c>
      <c r="V1053" s="12">
        <v>1</v>
      </c>
      <c r="W1053" s="12">
        <v>79</v>
      </c>
      <c r="X1053" s="12">
        <v>3</v>
      </c>
      <c r="Y1053" s="12">
        <v>2</v>
      </c>
      <c r="Z1053" s="12" t="s">
        <v>56</v>
      </c>
      <c r="AA1053" s="12">
        <v>0</v>
      </c>
      <c r="AB1053" s="12">
        <v>1</v>
      </c>
      <c r="AC1053" s="12">
        <v>0</v>
      </c>
      <c r="AD1053" s="12">
        <v>0</v>
      </c>
      <c r="AE1053" s="12">
        <v>0</v>
      </c>
      <c r="AF1053" s="12">
        <v>0</v>
      </c>
      <c r="AG1053" s="12">
        <v>0</v>
      </c>
      <c r="AH1053" s="12">
        <v>0</v>
      </c>
      <c r="AI1053" s="12">
        <v>3</v>
      </c>
      <c r="AJ1053" s="12" t="s">
        <v>64</v>
      </c>
      <c r="AK1053" s="12">
        <v>0</v>
      </c>
      <c r="AL1053" s="12">
        <v>1</v>
      </c>
      <c r="AM1053" s="12">
        <v>4768</v>
      </c>
      <c r="AN1053" s="12">
        <f t="shared" si="242"/>
        <v>4768</v>
      </c>
      <c r="AO1053" s="12">
        <v>7</v>
      </c>
      <c r="AP1053" s="12" t="s">
        <v>59</v>
      </c>
      <c r="AQ1053" s="12">
        <v>0</v>
      </c>
      <c r="AR1053" s="12">
        <v>12</v>
      </c>
      <c r="AS1053" s="12">
        <v>3</v>
      </c>
      <c r="AT1053" s="12">
        <v>3</v>
      </c>
      <c r="AU1053" s="12">
        <v>1</v>
      </c>
      <c r="AV1053" s="12">
        <v>11</v>
      </c>
      <c r="AW1053" s="12">
        <f t="shared" si="243"/>
        <v>11</v>
      </c>
      <c r="AX1053" s="12">
        <v>4</v>
      </c>
      <c r="AY1053" s="12">
        <v>2</v>
      </c>
      <c r="AZ1053" s="12">
        <v>1</v>
      </c>
      <c r="BA1053" s="12">
        <f t="shared" si="244"/>
        <v>1</v>
      </c>
      <c r="BB1053" s="12">
        <v>0</v>
      </c>
      <c r="BC1053" s="12">
        <v>0</v>
      </c>
      <c r="BD1053" s="12">
        <f t="shared" si="253"/>
        <v>0</v>
      </c>
      <c r="BE1053" s="12">
        <v>0</v>
      </c>
      <c r="BF1053" s="12">
        <f t="shared" si="245"/>
        <v>0</v>
      </c>
      <c r="BG1053" s="12">
        <f t="shared" si="254"/>
        <v>0</v>
      </c>
      <c r="BH1053" s="67">
        <v>0</v>
      </c>
      <c r="BI1053" s="67">
        <v>0</v>
      </c>
      <c r="BJ1053" s="67">
        <v>0</v>
      </c>
      <c r="BK1053" s="67">
        <v>1</v>
      </c>
      <c r="BL1053" s="67">
        <v>0</v>
      </c>
      <c r="BM1053" s="67">
        <v>0</v>
      </c>
      <c r="BN1053" s="67">
        <v>1</v>
      </c>
      <c r="BO1053" s="67">
        <v>0</v>
      </c>
      <c r="BP1053" s="67">
        <v>0</v>
      </c>
      <c r="BQ1053" s="67">
        <v>0</v>
      </c>
      <c r="BR1053" s="67">
        <v>0</v>
      </c>
      <c r="BS1053" s="67">
        <v>0</v>
      </c>
      <c r="BT1053" s="67">
        <v>0</v>
      </c>
      <c r="BU1053" s="70">
        <v>11</v>
      </c>
      <c r="BV1053" s="29">
        <f t="shared" si="246"/>
        <v>0.36851045420501161</v>
      </c>
      <c r="BW1053">
        <f t="shared" si="247"/>
        <v>1.1555414682655611</v>
      </c>
      <c r="BX1053">
        <f t="shared" si="248"/>
        <v>3.593364373846001E-2</v>
      </c>
      <c r="BY1053">
        <f t="shared" si="249"/>
        <v>0.9806804209314296</v>
      </c>
      <c r="BZ1053">
        <f t="shared" si="250"/>
        <v>1.01056543769991</v>
      </c>
      <c r="CA1053">
        <f t="shared" si="251"/>
        <v>0.77459235625178136</v>
      </c>
      <c r="CB1053">
        <f t="shared" si="252"/>
        <v>0.67891464284095016</v>
      </c>
    </row>
    <row r="1054" spans="1:80" x14ac:dyDescent="0.45">
      <c r="A1054" s="11">
        <v>30</v>
      </c>
      <c r="B1054" s="12">
        <f t="shared" si="240"/>
        <v>30</v>
      </c>
      <c r="C1054" s="12" t="s">
        <v>59</v>
      </c>
      <c r="D1054" s="12">
        <v>0</v>
      </c>
      <c r="E1054" s="12" t="s">
        <v>86</v>
      </c>
      <c r="F1054" s="12">
        <v>0</v>
      </c>
      <c r="G1054" s="12">
        <v>0</v>
      </c>
      <c r="H1054" s="12" t="s">
        <v>61</v>
      </c>
      <c r="I1054" s="12">
        <v>1</v>
      </c>
      <c r="J1054" s="12">
        <v>0</v>
      </c>
      <c r="K1054" s="12">
        <v>7</v>
      </c>
      <c r="L1054" s="12">
        <f t="shared" si="241"/>
        <v>7</v>
      </c>
      <c r="M1054" s="12">
        <v>3</v>
      </c>
      <c r="N1054" s="12" t="s">
        <v>91</v>
      </c>
      <c r="O1054" s="12">
        <v>0</v>
      </c>
      <c r="P1054" s="12">
        <v>0</v>
      </c>
      <c r="Q1054" s="12">
        <v>0</v>
      </c>
      <c r="R1054" s="12">
        <v>0</v>
      </c>
      <c r="S1054" s="12">
        <v>1</v>
      </c>
      <c r="T1054" s="12">
        <v>3</v>
      </c>
      <c r="U1054" s="12" t="s">
        <v>62</v>
      </c>
      <c r="V1054" s="12">
        <v>0</v>
      </c>
      <c r="W1054" s="12">
        <v>64</v>
      </c>
      <c r="X1054" s="12">
        <v>3</v>
      </c>
      <c r="Y1054" s="12">
        <v>1</v>
      </c>
      <c r="Z1054" s="12" t="s">
        <v>63</v>
      </c>
      <c r="AA1054" s="12">
        <v>0</v>
      </c>
      <c r="AB1054" s="12">
        <v>0</v>
      </c>
      <c r="AC1054" s="12">
        <v>0</v>
      </c>
      <c r="AD1054" s="12">
        <v>0</v>
      </c>
      <c r="AE1054" s="12">
        <v>0</v>
      </c>
      <c r="AF1054" s="12">
        <v>0</v>
      </c>
      <c r="AG1054" s="12">
        <v>0</v>
      </c>
      <c r="AH1054" s="12">
        <v>1</v>
      </c>
      <c r="AI1054" s="12">
        <v>3</v>
      </c>
      <c r="AJ1054" s="12" t="s">
        <v>78</v>
      </c>
      <c r="AK1054" s="12">
        <v>0</v>
      </c>
      <c r="AL1054" s="12">
        <v>0</v>
      </c>
      <c r="AM1054" s="12">
        <v>1274</v>
      </c>
      <c r="AN1054" s="12">
        <f t="shared" si="242"/>
        <v>1382.46</v>
      </c>
      <c r="AO1054" s="12">
        <v>1</v>
      </c>
      <c r="AP1054" s="12" t="s">
        <v>59</v>
      </c>
      <c r="AQ1054" s="12">
        <v>0</v>
      </c>
      <c r="AR1054" s="12">
        <v>13</v>
      </c>
      <c r="AS1054" s="12">
        <v>3</v>
      </c>
      <c r="AT1054" s="12">
        <v>2</v>
      </c>
      <c r="AU1054" s="12">
        <v>2</v>
      </c>
      <c r="AV1054" s="12">
        <v>1</v>
      </c>
      <c r="AW1054" s="12">
        <f t="shared" si="243"/>
        <v>1</v>
      </c>
      <c r="AX1054" s="12">
        <v>2</v>
      </c>
      <c r="AY1054" s="12">
        <v>2</v>
      </c>
      <c r="AZ1054" s="12">
        <v>1</v>
      </c>
      <c r="BA1054" s="12">
        <f t="shared" si="244"/>
        <v>1</v>
      </c>
      <c r="BB1054" s="12">
        <v>0</v>
      </c>
      <c r="BC1054" s="12">
        <v>0</v>
      </c>
      <c r="BD1054" s="12">
        <f t="shared" si="253"/>
        <v>0</v>
      </c>
      <c r="BE1054" s="12">
        <v>0</v>
      </c>
      <c r="BF1054" s="12">
        <f t="shared" si="245"/>
        <v>0</v>
      </c>
      <c r="BG1054" s="12">
        <f t="shared" si="254"/>
        <v>0</v>
      </c>
      <c r="BH1054" s="67">
        <v>1</v>
      </c>
      <c r="BI1054" s="67">
        <v>0</v>
      </c>
      <c r="BJ1054" s="67">
        <v>0</v>
      </c>
      <c r="BK1054" s="67">
        <v>0</v>
      </c>
      <c r="BL1054" s="67">
        <v>1</v>
      </c>
      <c r="BM1054" s="67">
        <v>0</v>
      </c>
      <c r="BN1054" s="67">
        <v>0</v>
      </c>
      <c r="BO1054" s="67">
        <v>0</v>
      </c>
      <c r="BP1054" s="67">
        <v>0</v>
      </c>
      <c r="BQ1054" s="67">
        <v>0</v>
      </c>
      <c r="BR1054" s="67">
        <v>0</v>
      </c>
      <c r="BS1054" s="67">
        <v>0</v>
      </c>
      <c r="BT1054" s="67">
        <v>1</v>
      </c>
      <c r="BU1054" s="70">
        <v>0</v>
      </c>
      <c r="BV1054" s="29">
        <f t="shared" si="246"/>
        <v>1.1106583032557478</v>
      </c>
      <c r="BW1054">
        <f t="shared" si="247"/>
        <v>1.1555414682655611</v>
      </c>
      <c r="BX1054">
        <f t="shared" si="248"/>
        <v>1.3211515584717011</v>
      </c>
      <c r="BY1054">
        <f t="shared" si="249"/>
        <v>0.9806804209314296</v>
      </c>
      <c r="BZ1054">
        <f t="shared" si="250"/>
        <v>0.27045191444879263</v>
      </c>
      <c r="CA1054">
        <f t="shared" si="251"/>
        <v>0.75791203633249671</v>
      </c>
      <c r="CB1054">
        <f t="shared" si="252"/>
        <v>0.67891464284095016</v>
      </c>
    </row>
    <row r="1055" spans="1:80" x14ac:dyDescent="0.45">
      <c r="A1055" s="11">
        <v>57</v>
      </c>
      <c r="B1055" s="12">
        <f t="shared" si="240"/>
        <v>57</v>
      </c>
      <c r="C1055" s="12" t="s">
        <v>59</v>
      </c>
      <c r="D1055" s="12">
        <v>0</v>
      </c>
      <c r="E1055" s="12" t="s">
        <v>53</v>
      </c>
      <c r="F1055" s="12">
        <v>0</v>
      </c>
      <c r="G1055" s="12">
        <v>1</v>
      </c>
      <c r="H1055" s="12" t="s">
        <v>61</v>
      </c>
      <c r="I1055" s="12">
        <v>1</v>
      </c>
      <c r="J1055" s="12">
        <v>0</v>
      </c>
      <c r="K1055" s="12">
        <v>1</v>
      </c>
      <c r="L1055" s="12">
        <f t="shared" si="241"/>
        <v>1</v>
      </c>
      <c r="M1055" s="12">
        <v>2</v>
      </c>
      <c r="N1055" s="12" t="s">
        <v>55</v>
      </c>
      <c r="O1055" s="12">
        <v>1</v>
      </c>
      <c r="P1055" s="12">
        <v>0</v>
      </c>
      <c r="Q1055" s="12">
        <v>0</v>
      </c>
      <c r="R1055" s="12">
        <v>0</v>
      </c>
      <c r="S1055" s="12">
        <v>0</v>
      </c>
      <c r="T1055" s="12">
        <v>2</v>
      </c>
      <c r="U1055" s="12" t="s">
        <v>62</v>
      </c>
      <c r="V1055" s="12">
        <v>0</v>
      </c>
      <c r="W1055" s="12">
        <v>93</v>
      </c>
      <c r="X1055" s="12">
        <v>4</v>
      </c>
      <c r="Y1055" s="12">
        <v>2</v>
      </c>
      <c r="Z1055" s="12" t="s">
        <v>63</v>
      </c>
      <c r="AA1055" s="12">
        <v>0</v>
      </c>
      <c r="AB1055" s="12">
        <v>0</v>
      </c>
      <c r="AC1055" s="12">
        <v>0</v>
      </c>
      <c r="AD1055" s="12">
        <v>0</v>
      </c>
      <c r="AE1055" s="12">
        <v>0</v>
      </c>
      <c r="AF1055" s="12">
        <v>0</v>
      </c>
      <c r="AG1055" s="12">
        <v>0</v>
      </c>
      <c r="AH1055" s="12">
        <v>1</v>
      </c>
      <c r="AI1055" s="12">
        <v>3</v>
      </c>
      <c r="AJ1055" s="12" t="s">
        <v>64</v>
      </c>
      <c r="AK1055" s="12">
        <v>0</v>
      </c>
      <c r="AL1055" s="12">
        <v>1</v>
      </c>
      <c r="AM1055" s="12">
        <v>4900</v>
      </c>
      <c r="AN1055" s="12">
        <f t="shared" si="242"/>
        <v>4900</v>
      </c>
      <c r="AO1055" s="12">
        <v>0</v>
      </c>
      <c r="AP1055" s="12" t="s">
        <v>59</v>
      </c>
      <c r="AQ1055" s="12">
        <v>0</v>
      </c>
      <c r="AR1055" s="12">
        <v>24</v>
      </c>
      <c r="AS1055" s="12">
        <v>4</v>
      </c>
      <c r="AT1055" s="12">
        <v>1</v>
      </c>
      <c r="AU1055" s="12">
        <v>1</v>
      </c>
      <c r="AV1055" s="12">
        <v>13</v>
      </c>
      <c r="AW1055" s="12">
        <f t="shared" si="243"/>
        <v>13</v>
      </c>
      <c r="AX1055" s="12">
        <v>2</v>
      </c>
      <c r="AY1055" s="12">
        <v>2</v>
      </c>
      <c r="AZ1055" s="12">
        <v>12</v>
      </c>
      <c r="BA1055" s="12">
        <f t="shared" si="244"/>
        <v>12</v>
      </c>
      <c r="BB1055" s="12">
        <v>9</v>
      </c>
      <c r="BC1055" s="12">
        <v>2</v>
      </c>
      <c r="BD1055" s="12">
        <f t="shared" si="253"/>
        <v>2</v>
      </c>
      <c r="BE1055" s="12">
        <v>8</v>
      </c>
      <c r="BF1055" s="12">
        <f t="shared" si="245"/>
        <v>8</v>
      </c>
      <c r="BG1055" s="12">
        <f t="shared" si="254"/>
        <v>16</v>
      </c>
      <c r="BH1055" s="67">
        <v>0</v>
      </c>
      <c r="BI1055" s="67">
        <v>1</v>
      </c>
      <c r="BJ1055" s="67">
        <v>0</v>
      </c>
      <c r="BK1055" s="67">
        <v>0</v>
      </c>
      <c r="BL1055" s="67">
        <v>0</v>
      </c>
      <c r="BM1055" s="67">
        <v>0</v>
      </c>
      <c r="BN1055" s="67">
        <v>1</v>
      </c>
      <c r="BO1055" s="67">
        <v>0</v>
      </c>
      <c r="BP1055" s="67">
        <v>0</v>
      </c>
      <c r="BQ1055" s="67">
        <v>8</v>
      </c>
      <c r="BR1055" s="67">
        <v>0</v>
      </c>
      <c r="BS1055" s="67">
        <v>0</v>
      </c>
      <c r="BT1055" s="67">
        <v>13</v>
      </c>
      <c r="BU1055" s="70">
        <v>0</v>
      </c>
      <c r="BV1055" s="29">
        <f t="shared" si="246"/>
        <v>0.34047281365701582</v>
      </c>
      <c r="BW1055">
        <f t="shared" si="247"/>
        <v>1.08652546240644</v>
      </c>
      <c r="BX1055">
        <f t="shared" si="248"/>
        <v>0.22110993920818819</v>
      </c>
      <c r="BY1055">
        <f t="shared" si="249"/>
        <v>0.81479086603202333</v>
      </c>
      <c r="BZ1055">
        <f t="shared" si="250"/>
        <v>1.01056543769991</v>
      </c>
      <c r="CA1055">
        <f t="shared" si="251"/>
        <v>2.197632149365754</v>
      </c>
      <c r="CB1055">
        <f t="shared" si="252"/>
        <v>5.8265062631872602E-2</v>
      </c>
    </row>
    <row r="1056" spans="1:80" x14ac:dyDescent="0.45">
      <c r="A1056" s="11">
        <v>49</v>
      </c>
      <c r="B1056" s="12">
        <f t="shared" si="240"/>
        <v>49</v>
      </c>
      <c r="C1056" s="12" t="s">
        <v>59</v>
      </c>
      <c r="D1056" s="12">
        <v>0</v>
      </c>
      <c r="E1056" s="12" t="s">
        <v>53</v>
      </c>
      <c r="F1056" s="12">
        <v>0</v>
      </c>
      <c r="G1056" s="12">
        <v>1</v>
      </c>
      <c r="H1056" s="12" t="s">
        <v>61</v>
      </c>
      <c r="I1056" s="12">
        <v>1</v>
      </c>
      <c r="J1056" s="12">
        <v>0</v>
      </c>
      <c r="K1056" s="12">
        <v>7</v>
      </c>
      <c r="L1056" s="12">
        <f t="shared" si="241"/>
        <v>7</v>
      </c>
      <c r="M1056" s="12">
        <v>4</v>
      </c>
      <c r="N1056" s="12" t="s">
        <v>55</v>
      </c>
      <c r="O1056" s="12">
        <v>1</v>
      </c>
      <c r="P1056" s="12">
        <v>0</v>
      </c>
      <c r="Q1056" s="12">
        <v>0</v>
      </c>
      <c r="R1056" s="12">
        <v>0</v>
      </c>
      <c r="S1056" s="12">
        <v>0</v>
      </c>
      <c r="T1056" s="12">
        <v>3</v>
      </c>
      <c r="U1056" s="12" t="s">
        <v>62</v>
      </c>
      <c r="V1056" s="12">
        <v>0</v>
      </c>
      <c r="W1056" s="12">
        <v>35</v>
      </c>
      <c r="X1056" s="12">
        <v>3</v>
      </c>
      <c r="Y1056" s="12">
        <v>3</v>
      </c>
      <c r="Z1056" s="12" t="s">
        <v>85</v>
      </c>
      <c r="AA1056" s="12">
        <v>1</v>
      </c>
      <c r="AB1056" s="12">
        <v>0</v>
      </c>
      <c r="AC1056" s="12">
        <v>0</v>
      </c>
      <c r="AD1056" s="12">
        <v>0</v>
      </c>
      <c r="AE1056" s="12">
        <v>0</v>
      </c>
      <c r="AF1056" s="12">
        <v>0</v>
      </c>
      <c r="AG1056" s="12">
        <v>0</v>
      </c>
      <c r="AH1056" s="12">
        <v>0</v>
      </c>
      <c r="AI1056" s="12">
        <v>2</v>
      </c>
      <c r="AJ1056" s="12" t="s">
        <v>78</v>
      </c>
      <c r="AK1056" s="12">
        <v>0</v>
      </c>
      <c r="AL1056" s="12">
        <v>0</v>
      </c>
      <c r="AM1056" s="12">
        <v>10466</v>
      </c>
      <c r="AN1056" s="12">
        <f t="shared" si="242"/>
        <v>10466</v>
      </c>
      <c r="AO1056" s="12">
        <v>3</v>
      </c>
      <c r="AP1056" s="12" t="s">
        <v>59</v>
      </c>
      <c r="AQ1056" s="12">
        <v>0</v>
      </c>
      <c r="AR1056" s="12">
        <v>14</v>
      </c>
      <c r="AS1056" s="12">
        <v>3</v>
      </c>
      <c r="AT1056" s="12">
        <v>2</v>
      </c>
      <c r="AU1056" s="12">
        <v>2</v>
      </c>
      <c r="AV1056" s="12">
        <v>29</v>
      </c>
      <c r="AW1056" s="12">
        <f t="shared" si="243"/>
        <v>29</v>
      </c>
      <c r="AX1056" s="12">
        <v>3</v>
      </c>
      <c r="AY1056" s="12">
        <v>3</v>
      </c>
      <c r="AZ1056" s="12">
        <v>8</v>
      </c>
      <c r="BA1056" s="12">
        <f t="shared" si="244"/>
        <v>8</v>
      </c>
      <c r="BB1056" s="12">
        <v>7</v>
      </c>
      <c r="BC1056" s="12">
        <v>0</v>
      </c>
      <c r="BD1056" s="12">
        <f t="shared" si="253"/>
        <v>0</v>
      </c>
      <c r="BE1056" s="12">
        <v>7</v>
      </c>
      <c r="BF1056" s="12">
        <f t="shared" si="245"/>
        <v>7</v>
      </c>
      <c r="BG1056" s="12">
        <f t="shared" si="254"/>
        <v>21</v>
      </c>
      <c r="BH1056" s="67">
        <v>1</v>
      </c>
      <c r="BI1056" s="67">
        <v>0</v>
      </c>
      <c r="BJ1056" s="67">
        <v>0</v>
      </c>
      <c r="BK1056" s="67">
        <v>0</v>
      </c>
      <c r="BL1056" s="67">
        <v>1</v>
      </c>
      <c r="BM1056" s="67">
        <v>0</v>
      </c>
      <c r="BN1056" s="67">
        <v>0</v>
      </c>
      <c r="BO1056" s="67">
        <v>0</v>
      </c>
      <c r="BP1056" s="67">
        <v>0</v>
      </c>
      <c r="BQ1056" s="67">
        <v>7</v>
      </c>
      <c r="BR1056" s="67">
        <v>0</v>
      </c>
      <c r="BS1056" s="67">
        <v>0</v>
      </c>
      <c r="BT1056" s="67">
        <v>29</v>
      </c>
      <c r="BU1056" s="70">
        <v>0</v>
      </c>
      <c r="BV1056" s="29">
        <f t="shared" si="246"/>
        <v>0.84178102945013877</v>
      </c>
      <c r="BW1056">
        <f t="shared" si="247"/>
        <v>0.80626709607243985</v>
      </c>
      <c r="BX1056">
        <f t="shared" si="248"/>
        <v>2.2774586027813735</v>
      </c>
      <c r="BY1056">
        <f t="shared" si="249"/>
        <v>0.16189221622713135</v>
      </c>
      <c r="BZ1056">
        <f t="shared" si="250"/>
        <v>0.27045191444879263</v>
      </c>
      <c r="CA1056">
        <f t="shared" si="251"/>
        <v>1.3219153536033093</v>
      </c>
      <c r="CB1056">
        <f t="shared" si="252"/>
        <v>0.67891464284095016</v>
      </c>
    </row>
    <row r="1057" spans="1:80" x14ac:dyDescent="0.45">
      <c r="A1057" s="11">
        <v>34</v>
      </c>
      <c r="B1057" s="12">
        <f t="shared" si="240"/>
        <v>34</v>
      </c>
      <c r="C1057" s="12" t="s">
        <v>59</v>
      </c>
      <c r="D1057" s="12">
        <v>0</v>
      </c>
      <c r="E1057" s="12" t="s">
        <v>60</v>
      </c>
      <c r="F1057" s="12">
        <v>1</v>
      </c>
      <c r="G1057" s="12">
        <v>0</v>
      </c>
      <c r="H1057" s="12" t="s">
        <v>61</v>
      </c>
      <c r="I1057" s="12">
        <v>1</v>
      </c>
      <c r="J1057" s="12">
        <v>0</v>
      </c>
      <c r="K1057" s="12">
        <v>15</v>
      </c>
      <c r="L1057" s="12">
        <f t="shared" si="241"/>
        <v>15</v>
      </c>
      <c r="M1057" s="12">
        <v>3</v>
      </c>
      <c r="N1057" s="12" t="s">
        <v>70</v>
      </c>
      <c r="O1057" s="12">
        <v>0</v>
      </c>
      <c r="P1057" s="12">
        <v>0</v>
      </c>
      <c r="Q1057" s="12">
        <v>1</v>
      </c>
      <c r="R1057" s="12">
        <v>0</v>
      </c>
      <c r="S1057" s="12">
        <v>0</v>
      </c>
      <c r="T1057" s="12">
        <v>2</v>
      </c>
      <c r="U1057" s="12" t="s">
        <v>62</v>
      </c>
      <c r="V1057" s="12">
        <v>0</v>
      </c>
      <c r="W1057" s="12">
        <v>71</v>
      </c>
      <c r="X1057" s="12">
        <v>3</v>
      </c>
      <c r="Y1057" s="12">
        <v>4</v>
      </c>
      <c r="Z1057" s="12" t="s">
        <v>89</v>
      </c>
      <c r="AA1057" s="12">
        <v>0</v>
      </c>
      <c r="AB1057" s="12">
        <v>0</v>
      </c>
      <c r="AC1057" s="12">
        <v>0</v>
      </c>
      <c r="AD1057" s="12">
        <v>0</v>
      </c>
      <c r="AE1057" s="12">
        <v>0</v>
      </c>
      <c r="AF1057" s="12">
        <v>0</v>
      </c>
      <c r="AG1057" s="12">
        <v>0</v>
      </c>
      <c r="AH1057" s="12">
        <v>0</v>
      </c>
      <c r="AI1057" s="12">
        <v>1</v>
      </c>
      <c r="AJ1057" s="12" t="s">
        <v>78</v>
      </c>
      <c r="AK1057" s="12">
        <v>0</v>
      </c>
      <c r="AL1057" s="12">
        <v>0</v>
      </c>
      <c r="AM1057" s="12">
        <v>17007</v>
      </c>
      <c r="AN1057" s="12">
        <f t="shared" si="242"/>
        <v>17007</v>
      </c>
      <c r="AO1057" s="12">
        <v>7</v>
      </c>
      <c r="AP1057" s="12" t="s">
        <v>59</v>
      </c>
      <c r="AQ1057" s="12">
        <v>0</v>
      </c>
      <c r="AR1057" s="12">
        <v>14</v>
      </c>
      <c r="AS1057" s="12">
        <v>3</v>
      </c>
      <c r="AT1057" s="12">
        <v>4</v>
      </c>
      <c r="AU1057" s="12">
        <v>2</v>
      </c>
      <c r="AV1057" s="12">
        <v>16</v>
      </c>
      <c r="AW1057" s="12">
        <f t="shared" si="243"/>
        <v>16</v>
      </c>
      <c r="AX1057" s="12">
        <v>3</v>
      </c>
      <c r="AY1057" s="12">
        <v>2</v>
      </c>
      <c r="AZ1057" s="12">
        <v>14</v>
      </c>
      <c r="BA1057" s="12">
        <f t="shared" si="244"/>
        <v>14</v>
      </c>
      <c r="BB1057" s="12">
        <v>8</v>
      </c>
      <c r="BC1057" s="12">
        <v>6</v>
      </c>
      <c r="BD1057" s="12">
        <f t="shared" si="253"/>
        <v>6</v>
      </c>
      <c r="BE1057" s="12">
        <v>9</v>
      </c>
      <c r="BF1057" s="12">
        <f t="shared" si="245"/>
        <v>9</v>
      </c>
      <c r="BG1057" s="12">
        <f t="shared" si="254"/>
        <v>36</v>
      </c>
      <c r="BH1057" s="67">
        <v>0</v>
      </c>
      <c r="BI1057" s="67">
        <v>0</v>
      </c>
      <c r="BJ1057" s="67">
        <v>1</v>
      </c>
      <c r="BK1057" s="67">
        <v>0</v>
      </c>
      <c r="BL1057" s="67">
        <v>1</v>
      </c>
      <c r="BM1057" s="67">
        <v>0</v>
      </c>
      <c r="BN1057" s="67">
        <v>0</v>
      </c>
      <c r="BO1057" s="67">
        <v>0</v>
      </c>
      <c r="BP1057" s="67">
        <v>0</v>
      </c>
      <c r="BQ1057" s="67">
        <v>9</v>
      </c>
      <c r="BR1057" s="67">
        <v>0</v>
      </c>
      <c r="BS1057" s="67">
        <v>0</v>
      </c>
      <c r="BT1057" s="67">
        <v>16</v>
      </c>
      <c r="BU1057" s="70">
        <v>0</v>
      </c>
      <c r="BV1057" s="29">
        <f t="shared" si="246"/>
        <v>2.2311310811504437</v>
      </c>
      <c r="BW1057">
        <f t="shared" si="247"/>
        <v>1.3667838287404401</v>
      </c>
      <c r="BX1057">
        <f t="shared" si="248"/>
        <v>0.60667531362816052</v>
      </c>
      <c r="BY1057">
        <f t="shared" si="249"/>
        <v>1.1412401909344694</v>
      </c>
      <c r="BZ1057">
        <f t="shared" si="250"/>
        <v>0.71636611655269733</v>
      </c>
      <c r="CA1057">
        <f t="shared" si="251"/>
        <v>0.32005363845127444</v>
      </c>
      <c r="CB1057">
        <f t="shared" si="252"/>
        <v>1.1830340977862825</v>
      </c>
    </row>
    <row r="1058" spans="1:80" x14ac:dyDescent="0.45">
      <c r="A1058" s="11">
        <v>28</v>
      </c>
      <c r="B1058" s="12">
        <f t="shared" si="240"/>
        <v>28</v>
      </c>
      <c r="C1058" s="12" t="s">
        <v>52</v>
      </c>
      <c r="D1058" s="12">
        <v>1</v>
      </c>
      <c r="E1058" s="12" t="s">
        <v>60</v>
      </c>
      <c r="F1058" s="12">
        <v>1</v>
      </c>
      <c r="G1058" s="12">
        <v>0</v>
      </c>
      <c r="H1058" s="12" t="s">
        <v>54</v>
      </c>
      <c r="I1058" s="12">
        <v>0</v>
      </c>
      <c r="J1058" s="12">
        <v>1</v>
      </c>
      <c r="K1058" s="12">
        <v>1</v>
      </c>
      <c r="L1058" s="12">
        <f t="shared" si="241"/>
        <v>1</v>
      </c>
      <c r="M1058" s="12">
        <v>3</v>
      </c>
      <c r="N1058" s="12" t="s">
        <v>91</v>
      </c>
      <c r="O1058" s="12">
        <v>0</v>
      </c>
      <c r="P1058" s="12">
        <v>0</v>
      </c>
      <c r="Q1058" s="12">
        <v>0</v>
      </c>
      <c r="R1058" s="12">
        <v>0</v>
      </c>
      <c r="S1058" s="12">
        <v>1</v>
      </c>
      <c r="T1058" s="12">
        <v>1</v>
      </c>
      <c r="U1058" s="12" t="s">
        <v>62</v>
      </c>
      <c r="V1058" s="12">
        <v>0</v>
      </c>
      <c r="W1058" s="12">
        <v>92</v>
      </c>
      <c r="X1058" s="12">
        <v>3</v>
      </c>
      <c r="Y1058" s="12">
        <v>1</v>
      </c>
      <c r="Z1058" s="12" t="s">
        <v>88</v>
      </c>
      <c r="AA1058" s="12">
        <v>0</v>
      </c>
      <c r="AB1058" s="12">
        <v>0</v>
      </c>
      <c r="AC1058" s="12">
        <v>0</v>
      </c>
      <c r="AD1058" s="12">
        <v>0</v>
      </c>
      <c r="AE1058" s="12">
        <v>0</v>
      </c>
      <c r="AF1058" s="12">
        <v>0</v>
      </c>
      <c r="AG1058" s="12">
        <v>1</v>
      </c>
      <c r="AH1058" s="12">
        <v>0</v>
      </c>
      <c r="AI1058" s="12">
        <v>3</v>
      </c>
      <c r="AJ1058" s="12" t="s">
        <v>64</v>
      </c>
      <c r="AK1058" s="12">
        <v>0</v>
      </c>
      <c r="AL1058" s="12">
        <v>1</v>
      </c>
      <c r="AM1058" s="12">
        <v>2909</v>
      </c>
      <c r="AN1058" s="12">
        <f t="shared" si="242"/>
        <v>2909</v>
      </c>
      <c r="AO1058" s="12">
        <v>3</v>
      </c>
      <c r="AP1058" s="12" t="s">
        <v>59</v>
      </c>
      <c r="AQ1058" s="12">
        <v>0</v>
      </c>
      <c r="AR1058" s="12">
        <v>15</v>
      </c>
      <c r="AS1058" s="12">
        <v>3</v>
      </c>
      <c r="AT1058" s="12">
        <v>4</v>
      </c>
      <c r="AU1058" s="12">
        <v>1</v>
      </c>
      <c r="AV1058" s="12">
        <v>5</v>
      </c>
      <c r="AW1058" s="12">
        <f t="shared" si="243"/>
        <v>5</v>
      </c>
      <c r="AX1058" s="12">
        <v>3</v>
      </c>
      <c r="AY1058" s="12">
        <v>4</v>
      </c>
      <c r="AZ1058" s="12">
        <v>3</v>
      </c>
      <c r="BA1058" s="12">
        <f t="shared" si="244"/>
        <v>3</v>
      </c>
      <c r="BB1058" s="12">
        <v>2</v>
      </c>
      <c r="BC1058" s="12">
        <v>1</v>
      </c>
      <c r="BD1058" s="12">
        <f t="shared" si="253"/>
        <v>1</v>
      </c>
      <c r="BE1058" s="12">
        <v>2</v>
      </c>
      <c r="BF1058" s="12">
        <f t="shared" si="245"/>
        <v>2</v>
      </c>
      <c r="BG1058" s="12">
        <f t="shared" si="254"/>
        <v>2</v>
      </c>
      <c r="BH1058" s="67">
        <v>0</v>
      </c>
      <c r="BI1058" s="67">
        <v>0</v>
      </c>
      <c r="BJ1058" s="67">
        <v>0</v>
      </c>
      <c r="BK1058" s="67">
        <v>1</v>
      </c>
      <c r="BL1058" s="67">
        <v>0</v>
      </c>
      <c r="BM1058" s="67">
        <v>0</v>
      </c>
      <c r="BN1058" s="67">
        <v>1</v>
      </c>
      <c r="BO1058" s="67">
        <v>0</v>
      </c>
      <c r="BP1058" s="67">
        <v>0</v>
      </c>
      <c r="BQ1058" s="67">
        <v>0</v>
      </c>
      <c r="BR1058" s="67">
        <v>2</v>
      </c>
      <c r="BS1058" s="67">
        <v>0</v>
      </c>
      <c r="BT1058" s="67">
        <v>0</v>
      </c>
      <c r="BU1058" s="70">
        <v>5</v>
      </c>
      <c r="BV1058" s="29">
        <f t="shared" si="246"/>
        <v>0.76337389192261851</v>
      </c>
      <c r="BW1058">
        <f t="shared" si="247"/>
        <v>0.59502473559756086</v>
      </c>
      <c r="BX1058">
        <f t="shared" si="248"/>
        <v>0.80706439257840468</v>
      </c>
      <c r="BY1058">
        <f t="shared" si="249"/>
        <v>0.65423109602898355</v>
      </c>
      <c r="BZ1058">
        <f t="shared" si="250"/>
        <v>1.01056543769991</v>
      </c>
      <c r="CA1058">
        <f t="shared" si="251"/>
        <v>0.97684123527310796</v>
      </c>
      <c r="CB1058">
        <f t="shared" si="252"/>
        <v>0.36858985273641137</v>
      </c>
    </row>
    <row r="1059" spans="1:80" x14ac:dyDescent="0.45">
      <c r="A1059" s="11">
        <v>29</v>
      </c>
      <c r="B1059" s="12">
        <f t="shared" si="240"/>
        <v>29</v>
      </c>
      <c r="C1059" s="12" t="s">
        <v>52</v>
      </c>
      <c r="D1059" s="12">
        <v>1</v>
      </c>
      <c r="E1059" s="12" t="s">
        <v>60</v>
      </c>
      <c r="F1059" s="12">
        <v>1</v>
      </c>
      <c r="G1059" s="12">
        <v>0</v>
      </c>
      <c r="H1059" s="12" t="s">
        <v>54</v>
      </c>
      <c r="I1059" s="12">
        <v>0</v>
      </c>
      <c r="J1059" s="12">
        <v>1</v>
      </c>
      <c r="K1059" s="12">
        <v>13</v>
      </c>
      <c r="L1059" s="12">
        <f t="shared" si="241"/>
        <v>13</v>
      </c>
      <c r="M1059" s="12">
        <v>3</v>
      </c>
      <c r="N1059" s="12" t="s">
        <v>91</v>
      </c>
      <c r="O1059" s="12">
        <v>0</v>
      </c>
      <c r="P1059" s="12">
        <v>0</v>
      </c>
      <c r="Q1059" s="12">
        <v>0</v>
      </c>
      <c r="R1059" s="12">
        <v>0</v>
      </c>
      <c r="S1059" s="12">
        <v>1</v>
      </c>
      <c r="T1059" s="12">
        <v>1</v>
      </c>
      <c r="U1059" s="12" t="s">
        <v>19</v>
      </c>
      <c r="V1059" s="12">
        <v>1</v>
      </c>
      <c r="W1059" s="12">
        <v>51</v>
      </c>
      <c r="X1059" s="12">
        <v>3</v>
      </c>
      <c r="Y1059" s="12">
        <v>2</v>
      </c>
      <c r="Z1059" s="12" t="s">
        <v>56</v>
      </c>
      <c r="AA1059" s="12">
        <v>0</v>
      </c>
      <c r="AB1059" s="12">
        <v>1</v>
      </c>
      <c r="AC1059" s="12">
        <v>0</v>
      </c>
      <c r="AD1059" s="12">
        <v>0</v>
      </c>
      <c r="AE1059" s="12">
        <v>0</v>
      </c>
      <c r="AF1059" s="12">
        <v>0</v>
      </c>
      <c r="AG1059" s="12">
        <v>0</v>
      </c>
      <c r="AH1059" s="12">
        <v>0</v>
      </c>
      <c r="AI1059" s="12">
        <v>2</v>
      </c>
      <c r="AJ1059" s="12" t="s">
        <v>57</v>
      </c>
      <c r="AK1059" s="12">
        <v>1</v>
      </c>
      <c r="AL1059" s="12">
        <v>0</v>
      </c>
      <c r="AM1059" s="12">
        <v>5765</v>
      </c>
      <c r="AN1059" s="12">
        <f t="shared" si="242"/>
        <v>5765</v>
      </c>
      <c r="AO1059" s="12">
        <v>5</v>
      </c>
      <c r="AP1059" s="12" t="s">
        <v>59</v>
      </c>
      <c r="AQ1059" s="12">
        <v>0</v>
      </c>
      <c r="AR1059" s="12">
        <v>11</v>
      </c>
      <c r="AS1059" s="12">
        <v>3</v>
      </c>
      <c r="AT1059" s="12">
        <v>1</v>
      </c>
      <c r="AU1059" s="12">
        <v>0</v>
      </c>
      <c r="AV1059" s="12">
        <v>7</v>
      </c>
      <c r="AW1059" s="12">
        <f t="shared" si="243"/>
        <v>7</v>
      </c>
      <c r="AX1059" s="12">
        <v>4</v>
      </c>
      <c r="AY1059" s="12">
        <v>1</v>
      </c>
      <c r="AZ1059" s="12">
        <v>5</v>
      </c>
      <c r="BA1059" s="12">
        <f t="shared" si="244"/>
        <v>5</v>
      </c>
      <c r="BB1059" s="12">
        <v>3</v>
      </c>
      <c r="BC1059" s="12">
        <v>0</v>
      </c>
      <c r="BD1059" s="12">
        <f t="shared" si="253"/>
        <v>0</v>
      </c>
      <c r="BE1059" s="12">
        <v>0</v>
      </c>
      <c r="BF1059" s="12">
        <f t="shared" si="245"/>
        <v>0</v>
      </c>
      <c r="BG1059" s="12">
        <f t="shared" si="254"/>
        <v>0</v>
      </c>
      <c r="BH1059" s="67">
        <v>0</v>
      </c>
      <c r="BI1059" s="67">
        <v>0</v>
      </c>
      <c r="BJ1059" s="67">
        <v>1</v>
      </c>
      <c r="BK1059" s="67">
        <v>0</v>
      </c>
      <c r="BL1059" s="67">
        <v>1</v>
      </c>
      <c r="BM1059" s="67">
        <v>0</v>
      </c>
      <c r="BN1059" s="67">
        <v>0</v>
      </c>
      <c r="BO1059" s="67">
        <v>0</v>
      </c>
      <c r="BP1059" s="67">
        <v>0</v>
      </c>
      <c r="BQ1059" s="67">
        <v>0</v>
      </c>
      <c r="BR1059" s="67">
        <v>0</v>
      </c>
      <c r="BS1059" s="67">
        <v>0</v>
      </c>
      <c r="BT1059" s="67">
        <v>0</v>
      </c>
      <c r="BU1059" s="70">
        <v>7</v>
      </c>
      <c r="BV1059" s="29">
        <f t="shared" si="246"/>
        <v>0.15674130552052845</v>
      </c>
      <c r="BW1059">
        <f t="shared" si="247"/>
        <v>1.1555414682655611</v>
      </c>
      <c r="BX1059">
        <f t="shared" si="248"/>
        <v>0.55002080963175637</v>
      </c>
      <c r="BY1059">
        <f t="shared" si="249"/>
        <v>0.32778177112653761</v>
      </c>
      <c r="BZ1059">
        <f t="shared" si="250"/>
        <v>0.46966160880232483</v>
      </c>
      <c r="CA1059">
        <f t="shared" si="251"/>
        <v>0.86737663580280233</v>
      </c>
      <c r="CB1059">
        <f t="shared" si="252"/>
        <v>0.67891464284095016</v>
      </c>
    </row>
    <row r="1060" spans="1:80" x14ac:dyDescent="0.45">
      <c r="A1060" s="11">
        <v>34</v>
      </c>
      <c r="B1060" s="12">
        <f t="shared" si="240"/>
        <v>34</v>
      </c>
      <c r="C1060" s="12" t="s">
        <v>52</v>
      </c>
      <c r="D1060" s="12">
        <v>1</v>
      </c>
      <c r="E1060" s="12" t="s">
        <v>53</v>
      </c>
      <c r="F1060" s="12">
        <v>0</v>
      </c>
      <c r="G1060" s="12">
        <v>1</v>
      </c>
      <c r="H1060" s="12" t="s">
        <v>54</v>
      </c>
      <c r="I1060" s="12">
        <v>0</v>
      </c>
      <c r="J1060" s="12">
        <v>1</v>
      </c>
      <c r="K1060" s="12">
        <v>24</v>
      </c>
      <c r="L1060" s="12">
        <f t="shared" si="241"/>
        <v>24</v>
      </c>
      <c r="M1060" s="12">
        <v>4</v>
      </c>
      <c r="N1060" s="12" t="s">
        <v>70</v>
      </c>
      <c r="O1060" s="12">
        <v>0</v>
      </c>
      <c r="P1060" s="12">
        <v>0</v>
      </c>
      <c r="Q1060" s="12">
        <v>1</v>
      </c>
      <c r="R1060" s="12">
        <v>0</v>
      </c>
      <c r="S1060" s="12">
        <v>0</v>
      </c>
      <c r="T1060" s="12">
        <v>1</v>
      </c>
      <c r="U1060" s="12" t="s">
        <v>19</v>
      </c>
      <c r="V1060" s="12">
        <v>1</v>
      </c>
      <c r="W1060" s="12">
        <v>40</v>
      </c>
      <c r="X1060" s="12">
        <v>2</v>
      </c>
      <c r="Y1060" s="12">
        <v>2</v>
      </c>
      <c r="Z1060" s="12" t="s">
        <v>56</v>
      </c>
      <c r="AA1060" s="12">
        <v>0</v>
      </c>
      <c r="AB1060" s="12">
        <v>1</v>
      </c>
      <c r="AC1060" s="12">
        <v>0</v>
      </c>
      <c r="AD1060" s="12">
        <v>0</v>
      </c>
      <c r="AE1060" s="12">
        <v>0</v>
      </c>
      <c r="AF1060" s="12">
        <v>0</v>
      </c>
      <c r="AG1060" s="12">
        <v>0</v>
      </c>
      <c r="AH1060" s="12">
        <v>0</v>
      </c>
      <c r="AI1060" s="12">
        <v>2</v>
      </c>
      <c r="AJ1060" s="12" t="s">
        <v>57</v>
      </c>
      <c r="AK1060" s="12">
        <v>1</v>
      </c>
      <c r="AL1060" s="12">
        <v>0</v>
      </c>
      <c r="AM1060" s="12">
        <v>4599</v>
      </c>
      <c r="AN1060" s="12">
        <f t="shared" si="242"/>
        <v>4599</v>
      </c>
      <c r="AO1060" s="12">
        <v>0</v>
      </c>
      <c r="AP1060" s="12" t="s">
        <v>52</v>
      </c>
      <c r="AQ1060" s="12">
        <v>1</v>
      </c>
      <c r="AR1060" s="12">
        <v>23</v>
      </c>
      <c r="AS1060" s="12">
        <v>4</v>
      </c>
      <c r="AT1060" s="12">
        <v>3</v>
      </c>
      <c r="AU1060" s="12">
        <v>0</v>
      </c>
      <c r="AV1060" s="12">
        <v>16</v>
      </c>
      <c r="AW1060" s="12">
        <f t="shared" si="243"/>
        <v>16</v>
      </c>
      <c r="AX1060" s="12">
        <v>2</v>
      </c>
      <c r="AY1060" s="12">
        <v>4</v>
      </c>
      <c r="AZ1060" s="12">
        <v>15</v>
      </c>
      <c r="BA1060" s="12">
        <f t="shared" si="244"/>
        <v>15</v>
      </c>
      <c r="BB1060" s="12">
        <v>9</v>
      </c>
      <c r="BC1060" s="12">
        <v>10</v>
      </c>
      <c r="BD1060" s="12">
        <f t="shared" si="253"/>
        <v>10</v>
      </c>
      <c r="BE1060" s="12">
        <v>10</v>
      </c>
      <c r="BF1060" s="12">
        <f t="shared" si="245"/>
        <v>10</v>
      </c>
      <c r="BG1060" s="12">
        <f t="shared" si="254"/>
        <v>20</v>
      </c>
      <c r="BH1060" s="67">
        <v>1</v>
      </c>
      <c r="BI1060" s="67">
        <v>0</v>
      </c>
      <c r="BJ1060" s="67">
        <v>0</v>
      </c>
      <c r="BK1060" s="67">
        <v>0</v>
      </c>
      <c r="BL1060" s="67">
        <v>0</v>
      </c>
      <c r="BM1060" s="67">
        <v>1</v>
      </c>
      <c r="BN1060" s="67">
        <v>0</v>
      </c>
      <c r="BO1060" s="67">
        <v>0</v>
      </c>
      <c r="BP1060" s="67">
        <v>0</v>
      </c>
      <c r="BQ1060" s="67">
        <v>0</v>
      </c>
      <c r="BR1060" s="67">
        <v>10</v>
      </c>
      <c r="BS1060" s="67">
        <v>0</v>
      </c>
      <c r="BT1060" s="67">
        <v>0</v>
      </c>
      <c r="BU1060" s="70">
        <v>16</v>
      </c>
      <c r="BV1060" s="29">
        <f t="shared" si="246"/>
        <v>0.40440713036115766</v>
      </c>
      <c r="BW1060">
        <f t="shared" si="247"/>
        <v>1.6470421950744405</v>
      </c>
      <c r="BX1060">
        <f t="shared" si="248"/>
        <v>0.60667531362816052</v>
      </c>
      <c r="BY1060">
        <f t="shared" si="249"/>
        <v>1.3044648533856922</v>
      </c>
      <c r="BZ1060">
        <f t="shared" si="250"/>
        <v>1.8265364014293735</v>
      </c>
      <c r="CA1060">
        <f t="shared" si="251"/>
        <v>0.32005363845127444</v>
      </c>
      <c r="CB1060">
        <f t="shared" si="252"/>
        <v>2.4243332582044381</v>
      </c>
    </row>
    <row r="1061" spans="1:80" x14ac:dyDescent="0.45">
      <c r="A1061" s="11">
        <v>35</v>
      </c>
      <c r="B1061" s="12">
        <f t="shared" si="240"/>
        <v>35</v>
      </c>
      <c r="C1061" s="12" t="s">
        <v>59</v>
      </c>
      <c r="D1061" s="12">
        <v>0</v>
      </c>
      <c r="E1061" s="12" t="s">
        <v>53</v>
      </c>
      <c r="F1061" s="12">
        <v>0</v>
      </c>
      <c r="G1061" s="12">
        <v>1</v>
      </c>
      <c r="H1061" s="12" t="s">
        <v>54</v>
      </c>
      <c r="I1061" s="12">
        <v>0</v>
      </c>
      <c r="J1061" s="12">
        <v>1</v>
      </c>
      <c r="K1061" s="12">
        <v>7</v>
      </c>
      <c r="L1061" s="12">
        <f t="shared" si="241"/>
        <v>7</v>
      </c>
      <c r="M1061" s="12">
        <v>1</v>
      </c>
      <c r="N1061" s="12" t="s">
        <v>55</v>
      </c>
      <c r="O1061" s="12">
        <v>1</v>
      </c>
      <c r="P1061" s="12">
        <v>0</v>
      </c>
      <c r="Q1061" s="12">
        <v>0</v>
      </c>
      <c r="R1061" s="12">
        <v>0</v>
      </c>
      <c r="S1061" s="12">
        <v>0</v>
      </c>
      <c r="T1061" s="12">
        <v>4</v>
      </c>
      <c r="U1061" s="12" t="s">
        <v>62</v>
      </c>
      <c r="V1061" s="12">
        <v>0</v>
      </c>
      <c r="W1061" s="12">
        <v>76</v>
      </c>
      <c r="X1061" s="12">
        <v>3</v>
      </c>
      <c r="Y1061" s="12">
        <v>1</v>
      </c>
      <c r="Z1061" s="12" t="s">
        <v>88</v>
      </c>
      <c r="AA1061" s="12">
        <v>0</v>
      </c>
      <c r="AB1061" s="12">
        <v>0</v>
      </c>
      <c r="AC1061" s="12">
        <v>0</v>
      </c>
      <c r="AD1061" s="12">
        <v>0</v>
      </c>
      <c r="AE1061" s="12">
        <v>0</v>
      </c>
      <c r="AF1061" s="12">
        <v>0</v>
      </c>
      <c r="AG1061" s="12">
        <v>1</v>
      </c>
      <c r="AH1061" s="12">
        <v>0</v>
      </c>
      <c r="AI1061" s="12">
        <v>3</v>
      </c>
      <c r="AJ1061" s="12" t="s">
        <v>64</v>
      </c>
      <c r="AK1061" s="12">
        <v>0</v>
      </c>
      <c r="AL1061" s="12">
        <v>1</v>
      </c>
      <c r="AM1061" s="12">
        <v>2404</v>
      </c>
      <c r="AN1061" s="12">
        <f t="shared" si="242"/>
        <v>2404</v>
      </c>
      <c r="AO1061" s="12">
        <v>1</v>
      </c>
      <c r="AP1061" s="12" t="s">
        <v>59</v>
      </c>
      <c r="AQ1061" s="12">
        <v>0</v>
      </c>
      <c r="AR1061" s="12">
        <v>13</v>
      </c>
      <c r="AS1061" s="12">
        <v>3</v>
      </c>
      <c r="AT1061" s="12">
        <v>1</v>
      </c>
      <c r="AU1061" s="12">
        <v>1</v>
      </c>
      <c r="AV1061" s="12">
        <v>1</v>
      </c>
      <c r="AW1061" s="12">
        <f t="shared" si="243"/>
        <v>1</v>
      </c>
      <c r="AX1061" s="12">
        <v>3</v>
      </c>
      <c r="AY1061" s="12">
        <v>3</v>
      </c>
      <c r="AZ1061" s="12">
        <v>1</v>
      </c>
      <c r="BA1061" s="12">
        <f t="shared" si="244"/>
        <v>1</v>
      </c>
      <c r="BB1061" s="12">
        <v>0</v>
      </c>
      <c r="BC1061" s="12">
        <v>0</v>
      </c>
      <c r="BD1061" s="12">
        <f t="shared" si="253"/>
        <v>0</v>
      </c>
      <c r="BE1061" s="12">
        <v>0</v>
      </c>
      <c r="BF1061" s="12">
        <f t="shared" si="245"/>
        <v>0</v>
      </c>
      <c r="BG1061" s="12">
        <f t="shared" si="254"/>
        <v>0</v>
      </c>
      <c r="BH1061" s="67">
        <v>0</v>
      </c>
      <c r="BI1061" s="67">
        <v>1</v>
      </c>
      <c r="BJ1061" s="67">
        <v>0</v>
      </c>
      <c r="BK1061" s="67">
        <v>0</v>
      </c>
      <c r="BL1061" s="67">
        <v>0</v>
      </c>
      <c r="BM1061" s="67">
        <v>0</v>
      </c>
      <c r="BN1061" s="67">
        <v>1</v>
      </c>
      <c r="BO1061" s="67">
        <v>0</v>
      </c>
      <c r="BP1061" s="67">
        <v>0</v>
      </c>
      <c r="BQ1061" s="67">
        <v>0</v>
      </c>
      <c r="BR1061" s="67">
        <v>0</v>
      </c>
      <c r="BS1061" s="67">
        <v>0</v>
      </c>
      <c r="BT1061" s="67">
        <v>0</v>
      </c>
      <c r="BU1061" s="70">
        <v>1</v>
      </c>
      <c r="BV1061" s="29">
        <f t="shared" si="246"/>
        <v>0.87063910765548114</v>
      </c>
      <c r="BW1061">
        <f t="shared" si="247"/>
        <v>1.1555414682655611</v>
      </c>
      <c r="BX1061">
        <f t="shared" si="248"/>
        <v>1.3211515584717011</v>
      </c>
      <c r="BY1061">
        <f t="shared" si="249"/>
        <v>0.9806804209314296</v>
      </c>
      <c r="BZ1061">
        <f t="shared" si="250"/>
        <v>0.27045191444879263</v>
      </c>
      <c r="CA1061">
        <f t="shared" si="251"/>
        <v>0.21058903898096887</v>
      </c>
      <c r="CB1061">
        <f t="shared" si="252"/>
        <v>0.67891464284095016</v>
      </c>
    </row>
    <row r="1062" spans="1:80" x14ac:dyDescent="0.45">
      <c r="A1062" s="11">
        <v>24</v>
      </c>
      <c r="B1062" s="12">
        <f t="shared" si="240"/>
        <v>24</v>
      </c>
      <c r="C1062" s="12" t="s">
        <v>52</v>
      </c>
      <c r="D1062" s="12">
        <v>1</v>
      </c>
      <c r="E1062" s="12" t="s">
        <v>60</v>
      </c>
      <c r="F1062" s="12">
        <v>1</v>
      </c>
      <c r="G1062" s="12">
        <v>0</v>
      </c>
      <c r="H1062" s="12" t="s">
        <v>61</v>
      </c>
      <c r="I1062" s="12">
        <v>1</v>
      </c>
      <c r="J1062" s="12">
        <v>0</v>
      </c>
      <c r="K1062" s="12">
        <v>9</v>
      </c>
      <c r="L1062" s="12">
        <f t="shared" si="241"/>
        <v>9</v>
      </c>
      <c r="M1062" s="12">
        <v>3</v>
      </c>
      <c r="N1062" s="12" t="s">
        <v>70</v>
      </c>
      <c r="O1062" s="12">
        <v>0</v>
      </c>
      <c r="P1062" s="12">
        <v>0</v>
      </c>
      <c r="Q1062" s="12">
        <v>1</v>
      </c>
      <c r="R1062" s="12">
        <v>0</v>
      </c>
      <c r="S1062" s="12">
        <v>0</v>
      </c>
      <c r="T1062" s="12">
        <v>2</v>
      </c>
      <c r="U1062" s="12" t="s">
        <v>62</v>
      </c>
      <c r="V1062" s="12">
        <v>0</v>
      </c>
      <c r="W1062" s="12">
        <v>89</v>
      </c>
      <c r="X1062" s="12">
        <v>3</v>
      </c>
      <c r="Y1062" s="12">
        <v>1</v>
      </c>
      <c r="Z1062" s="12" t="s">
        <v>67</v>
      </c>
      <c r="AA1062" s="12">
        <v>0</v>
      </c>
      <c r="AB1062" s="12">
        <v>0</v>
      </c>
      <c r="AC1062" s="12">
        <v>1</v>
      </c>
      <c r="AD1062" s="12">
        <v>0</v>
      </c>
      <c r="AE1062" s="12">
        <v>0</v>
      </c>
      <c r="AF1062" s="12">
        <v>0</v>
      </c>
      <c r="AG1062" s="12">
        <v>0</v>
      </c>
      <c r="AH1062" s="12">
        <v>0</v>
      </c>
      <c r="AI1062" s="12">
        <v>1</v>
      </c>
      <c r="AJ1062" s="12" t="s">
        <v>57</v>
      </c>
      <c r="AK1062" s="12">
        <v>1</v>
      </c>
      <c r="AL1062" s="12">
        <v>0</v>
      </c>
      <c r="AM1062" s="12">
        <v>3172</v>
      </c>
      <c r="AN1062" s="12">
        <f t="shared" si="242"/>
        <v>3172</v>
      </c>
      <c r="AO1062" s="12">
        <v>2</v>
      </c>
      <c r="AP1062" s="12" t="s">
        <v>52</v>
      </c>
      <c r="AQ1062" s="12">
        <v>1</v>
      </c>
      <c r="AR1062" s="12">
        <v>11</v>
      </c>
      <c r="AS1062" s="12">
        <v>3</v>
      </c>
      <c r="AT1062" s="12">
        <v>3</v>
      </c>
      <c r="AU1062" s="12">
        <v>0</v>
      </c>
      <c r="AV1062" s="12">
        <v>4</v>
      </c>
      <c r="AW1062" s="12">
        <f t="shared" si="243"/>
        <v>4</v>
      </c>
      <c r="AX1062" s="12">
        <v>2</v>
      </c>
      <c r="AY1062" s="12">
        <v>2</v>
      </c>
      <c r="AZ1062" s="12">
        <v>0</v>
      </c>
      <c r="BA1062" s="12">
        <f t="shared" si="244"/>
        <v>0</v>
      </c>
      <c r="BB1062" s="12">
        <v>0</v>
      </c>
      <c r="BC1062" s="12">
        <v>0</v>
      </c>
      <c r="BD1062" s="12">
        <f t="shared" si="253"/>
        <v>0</v>
      </c>
      <c r="BE1062" s="12">
        <v>0</v>
      </c>
      <c r="BF1062" s="12">
        <f t="shared" si="245"/>
        <v>0</v>
      </c>
      <c r="BG1062" s="12">
        <f t="shared" si="254"/>
        <v>0</v>
      </c>
      <c r="BH1062" s="67">
        <v>0</v>
      </c>
      <c r="BI1062" s="67">
        <v>0</v>
      </c>
      <c r="BJ1062" s="67">
        <v>1</v>
      </c>
      <c r="BK1062" s="67">
        <v>0</v>
      </c>
      <c r="BL1062" s="67">
        <v>0</v>
      </c>
      <c r="BM1062" s="67">
        <v>1</v>
      </c>
      <c r="BN1062" s="67">
        <v>0</v>
      </c>
      <c r="BO1062" s="67">
        <v>0</v>
      </c>
      <c r="BP1062" s="67">
        <v>0</v>
      </c>
      <c r="BQ1062" s="67">
        <v>0</v>
      </c>
      <c r="BR1062" s="67">
        <v>0</v>
      </c>
      <c r="BS1062" s="67">
        <v>0</v>
      </c>
      <c r="BT1062" s="67">
        <v>4</v>
      </c>
      <c r="BU1062" s="70">
        <v>0</v>
      </c>
      <c r="BV1062" s="29">
        <f t="shared" si="246"/>
        <v>0.70751101719441489</v>
      </c>
      <c r="BW1062">
        <f t="shared" si="247"/>
        <v>1.1555414682655611</v>
      </c>
      <c r="BX1062">
        <f t="shared" si="248"/>
        <v>0.93558618405172878</v>
      </c>
      <c r="BY1062">
        <f t="shared" si="249"/>
        <v>1.1439050833826525</v>
      </c>
      <c r="BZ1062">
        <f t="shared" si="250"/>
        <v>2.3747406698420157E-2</v>
      </c>
      <c r="CA1062">
        <f t="shared" si="251"/>
        <v>1.4146996331543302</v>
      </c>
      <c r="CB1062">
        <f t="shared" si="252"/>
        <v>0.67891464284095016</v>
      </c>
    </row>
    <row r="1063" spans="1:80" x14ac:dyDescent="0.45">
      <c r="A1063" s="11">
        <v>24</v>
      </c>
      <c r="B1063" s="12">
        <f t="shared" si="240"/>
        <v>24</v>
      </c>
      <c r="C1063" s="12" t="s">
        <v>59</v>
      </c>
      <c r="D1063" s="12">
        <v>0</v>
      </c>
      <c r="E1063" s="12" t="s">
        <v>86</v>
      </c>
      <c r="F1063" s="12">
        <v>0</v>
      </c>
      <c r="G1063" s="12">
        <v>0</v>
      </c>
      <c r="H1063" s="12" t="s">
        <v>54</v>
      </c>
      <c r="I1063" s="12">
        <v>0</v>
      </c>
      <c r="J1063" s="12">
        <v>1</v>
      </c>
      <c r="K1063" s="12">
        <v>13</v>
      </c>
      <c r="L1063" s="12">
        <f t="shared" si="241"/>
        <v>13</v>
      </c>
      <c r="M1063" s="12">
        <v>2</v>
      </c>
      <c r="N1063" s="12" t="s">
        <v>55</v>
      </c>
      <c r="O1063" s="12">
        <v>1</v>
      </c>
      <c r="P1063" s="12">
        <v>0</v>
      </c>
      <c r="Q1063" s="12">
        <v>0</v>
      </c>
      <c r="R1063" s="12">
        <v>0</v>
      </c>
      <c r="S1063" s="12">
        <v>0</v>
      </c>
      <c r="T1063" s="12">
        <v>4</v>
      </c>
      <c r="U1063" s="12" t="s">
        <v>19</v>
      </c>
      <c r="V1063" s="12">
        <v>1</v>
      </c>
      <c r="W1063" s="12">
        <v>78</v>
      </c>
      <c r="X1063" s="12">
        <v>3</v>
      </c>
      <c r="Y1063" s="12">
        <v>1</v>
      </c>
      <c r="Z1063" s="12" t="s">
        <v>88</v>
      </c>
      <c r="AA1063" s="12">
        <v>0</v>
      </c>
      <c r="AB1063" s="12">
        <v>0</v>
      </c>
      <c r="AC1063" s="12">
        <v>0</v>
      </c>
      <c r="AD1063" s="12">
        <v>0</v>
      </c>
      <c r="AE1063" s="12">
        <v>0</v>
      </c>
      <c r="AF1063" s="12">
        <v>0</v>
      </c>
      <c r="AG1063" s="12">
        <v>1</v>
      </c>
      <c r="AH1063" s="12">
        <v>0</v>
      </c>
      <c r="AI1063" s="12">
        <v>2</v>
      </c>
      <c r="AJ1063" s="12" t="s">
        <v>64</v>
      </c>
      <c r="AK1063" s="12">
        <v>0</v>
      </c>
      <c r="AL1063" s="12">
        <v>1</v>
      </c>
      <c r="AM1063" s="12">
        <v>2033</v>
      </c>
      <c r="AN1063" s="12">
        <f t="shared" si="242"/>
        <v>2033</v>
      </c>
      <c r="AO1063" s="12">
        <v>1</v>
      </c>
      <c r="AP1063" s="12" t="s">
        <v>59</v>
      </c>
      <c r="AQ1063" s="12">
        <v>0</v>
      </c>
      <c r="AR1063" s="12">
        <v>13</v>
      </c>
      <c r="AS1063" s="12">
        <v>3</v>
      </c>
      <c r="AT1063" s="12">
        <v>3</v>
      </c>
      <c r="AU1063" s="12">
        <v>1</v>
      </c>
      <c r="AV1063" s="12">
        <v>1</v>
      </c>
      <c r="AW1063" s="12">
        <f t="shared" si="243"/>
        <v>1</v>
      </c>
      <c r="AX1063" s="12">
        <v>2</v>
      </c>
      <c r="AY1063" s="12">
        <v>3</v>
      </c>
      <c r="AZ1063" s="12">
        <v>1</v>
      </c>
      <c r="BA1063" s="12">
        <f t="shared" si="244"/>
        <v>1</v>
      </c>
      <c r="BB1063" s="12">
        <v>0</v>
      </c>
      <c r="BC1063" s="12">
        <v>0</v>
      </c>
      <c r="BD1063" s="12">
        <f t="shared" si="253"/>
        <v>0</v>
      </c>
      <c r="BE1063" s="12">
        <v>0</v>
      </c>
      <c r="BF1063" s="12">
        <f t="shared" si="245"/>
        <v>0</v>
      </c>
      <c r="BG1063" s="12">
        <f t="shared" si="254"/>
        <v>0</v>
      </c>
      <c r="BH1063" s="67">
        <v>0</v>
      </c>
      <c r="BI1063" s="67">
        <v>1</v>
      </c>
      <c r="BJ1063" s="67">
        <v>0</v>
      </c>
      <c r="BK1063" s="67">
        <v>0</v>
      </c>
      <c r="BL1063" s="67">
        <v>0</v>
      </c>
      <c r="BM1063" s="67">
        <v>0</v>
      </c>
      <c r="BN1063" s="67">
        <v>1</v>
      </c>
      <c r="BO1063" s="67">
        <v>0</v>
      </c>
      <c r="BP1063" s="67">
        <v>0</v>
      </c>
      <c r="BQ1063" s="67">
        <v>0</v>
      </c>
      <c r="BR1063" s="67">
        <v>0</v>
      </c>
      <c r="BS1063" s="67">
        <v>0</v>
      </c>
      <c r="BT1063" s="67">
        <v>0</v>
      </c>
      <c r="BU1063" s="70">
        <v>1</v>
      </c>
      <c r="BV1063" s="29">
        <f t="shared" si="246"/>
        <v>0.94944187010477221</v>
      </c>
      <c r="BW1063">
        <f t="shared" si="247"/>
        <v>1.1555414682655611</v>
      </c>
      <c r="BX1063">
        <f t="shared" si="248"/>
        <v>1.3211515584717011</v>
      </c>
      <c r="BY1063">
        <f t="shared" si="249"/>
        <v>0.9806804209314296</v>
      </c>
      <c r="BZ1063">
        <f t="shared" si="250"/>
        <v>0.46966160880232483</v>
      </c>
      <c r="CA1063">
        <f t="shared" si="251"/>
        <v>1.4146996331543302</v>
      </c>
      <c r="CB1063">
        <f t="shared" si="252"/>
        <v>0.67891464284095016</v>
      </c>
    </row>
    <row r="1064" spans="1:80" x14ac:dyDescent="0.45">
      <c r="A1064" s="11">
        <v>44</v>
      </c>
      <c r="B1064" s="12">
        <f t="shared" si="240"/>
        <v>44</v>
      </c>
      <c r="C1064" s="12" t="s">
        <v>59</v>
      </c>
      <c r="D1064" s="12">
        <v>0</v>
      </c>
      <c r="E1064" s="12" t="s">
        <v>60</v>
      </c>
      <c r="F1064" s="12">
        <v>1</v>
      </c>
      <c r="G1064" s="12">
        <v>0</v>
      </c>
      <c r="H1064" s="12" t="s">
        <v>61</v>
      </c>
      <c r="I1064" s="12">
        <v>1</v>
      </c>
      <c r="J1064" s="12">
        <v>0</v>
      </c>
      <c r="K1064" s="12">
        <v>2</v>
      </c>
      <c r="L1064" s="12">
        <f t="shared" si="241"/>
        <v>2</v>
      </c>
      <c r="M1064" s="12">
        <v>1</v>
      </c>
      <c r="N1064" s="12" t="s">
        <v>70</v>
      </c>
      <c r="O1064" s="12">
        <v>0</v>
      </c>
      <c r="P1064" s="12">
        <v>0</v>
      </c>
      <c r="Q1064" s="12">
        <v>1</v>
      </c>
      <c r="R1064" s="12">
        <v>0</v>
      </c>
      <c r="S1064" s="12">
        <v>0</v>
      </c>
      <c r="T1064" s="12">
        <v>2</v>
      </c>
      <c r="U1064" s="12" t="s">
        <v>62</v>
      </c>
      <c r="V1064" s="12">
        <v>0</v>
      </c>
      <c r="W1064" s="12">
        <v>86</v>
      </c>
      <c r="X1064" s="12">
        <v>3</v>
      </c>
      <c r="Y1064" s="12">
        <v>3</v>
      </c>
      <c r="Z1064" s="12" t="s">
        <v>83</v>
      </c>
      <c r="AA1064" s="12">
        <v>0</v>
      </c>
      <c r="AB1064" s="12">
        <v>0</v>
      </c>
      <c r="AC1064" s="12">
        <v>0</v>
      </c>
      <c r="AD1064" s="12">
        <v>0</v>
      </c>
      <c r="AE1064" s="12">
        <v>1</v>
      </c>
      <c r="AF1064" s="12">
        <v>1</v>
      </c>
      <c r="AG1064" s="12">
        <v>0</v>
      </c>
      <c r="AH1064" s="12">
        <v>0</v>
      </c>
      <c r="AI1064" s="12">
        <v>3</v>
      </c>
      <c r="AJ1064" s="12" t="s">
        <v>57</v>
      </c>
      <c r="AK1064" s="12">
        <v>1</v>
      </c>
      <c r="AL1064" s="12">
        <v>0</v>
      </c>
      <c r="AM1064" s="12">
        <v>10209</v>
      </c>
      <c r="AN1064" s="12">
        <f t="shared" si="242"/>
        <v>10209</v>
      </c>
      <c r="AO1064" s="12">
        <v>5</v>
      </c>
      <c r="AP1064" s="12" t="s">
        <v>52</v>
      </c>
      <c r="AQ1064" s="12">
        <v>1</v>
      </c>
      <c r="AR1064" s="12">
        <v>18</v>
      </c>
      <c r="AS1064" s="12">
        <v>3</v>
      </c>
      <c r="AT1064" s="12">
        <v>2</v>
      </c>
      <c r="AU1064" s="12">
        <v>0</v>
      </c>
      <c r="AV1064" s="12">
        <v>16</v>
      </c>
      <c r="AW1064" s="12">
        <f t="shared" si="243"/>
        <v>16</v>
      </c>
      <c r="AX1064" s="12">
        <v>2</v>
      </c>
      <c r="AY1064" s="12">
        <v>2</v>
      </c>
      <c r="AZ1064" s="12">
        <v>2</v>
      </c>
      <c r="BA1064" s="12">
        <f t="shared" si="244"/>
        <v>2</v>
      </c>
      <c r="BB1064" s="12">
        <v>2</v>
      </c>
      <c r="BC1064" s="12">
        <v>2</v>
      </c>
      <c r="BD1064" s="12">
        <f t="shared" si="253"/>
        <v>2</v>
      </c>
      <c r="BE1064" s="12">
        <v>2</v>
      </c>
      <c r="BF1064" s="12">
        <f t="shared" si="245"/>
        <v>2</v>
      </c>
      <c r="BG1064" s="12">
        <f t="shared" si="254"/>
        <v>6</v>
      </c>
      <c r="BH1064" s="67">
        <v>0</v>
      </c>
      <c r="BI1064" s="67">
        <v>0</v>
      </c>
      <c r="BJ1064" s="67">
        <v>1</v>
      </c>
      <c r="BK1064" s="67">
        <v>0</v>
      </c>
      <c r="BL1064" s="67">
        <v>0</v>
      </c>
      <c r="BM1064" s="67">
        <v>1</v>
      </c>
      <c r="BN1064" s="67">
        <v>0</v>
      </c>
      <c r="BO1064" s="67">
        <v>0</v>
      </c>
      <c r="BP1064" s="67">
        <v>0</v>
      </c>
      <c r="BQ1064" s="67">
        <v>2</v>
      </c>
      <c r="BR1064" s="67">
        <v>0</v>
      </c>
      <c r="BS1064" s="67">
        <v>0</v>
      </c>
      <c r="BT1064" s="67">
        <v>16</v>
      </c>
      <c r="BU1064" s="70">
        <v>0</v>
      </c>
      <c r="BV1064" s="29">
        <f t="shared" si="246"/>
        <v>0.78719259292866217</v>
      </c>
      <c r="BW1064">
        <f t="shared" si="247"/>
        <v>0.59502473559756086</v>
      </c>
      <c r="BX1064">
        <f t="shared" si="248"/>
        <v>0.60667531362816052</v>
      </c>
      <c r="BY1064">
        <f t="shared" si="249"/>
        <v>0.81745575848020657</v>
      </c>
      <c r="BZ1064">
        <f t="shared" si="250"/>
        <v>0.88721318382472392</v>
      </c>
      <c r="CA1064">
        <f t="shared" si="251"/>
        <v>0.77459235625178136</v>
      </c>
      <c r="CB1064">
        <f t="shared" si="252"/>
        <v>5.8265062631872602E-2</v>
      </c>
    </row>
    <row r="1065" spans="1:80" x14ac:dyDescent="0.45">
      <c r="A1065" s="11">
        <v>29</v>
      </c>
      <c r="B1065" s="12">
        <f t="shared" si="240"/>
        <v>29</v>
      </c>
      <c r="C1065" s="12" t="s">
        <v>59</v>
      </c>
      <c r="D1065" s="12">
        <v>0</v>
      </c>
      <c r="E1065" s="12" t="s">
        <v>53</v>
      </c>
      <c r="F1065" s="12">
        <v>0</v>
      </c>
      <c r="G1065" s="12">
        <v>1</v>
      </c>
      <c r="H1065" s="12" t="s">
        <v>54</v>
      </c>
      <c r="I1065" s="12">
        <v>0</v>
      </c>
      <c r="J1065" s="12">
        <v>1</v>
      </c>
      <c r="K1065" s="12">
        <v>19</v>
      </c>
      <c r="L1065" s="12">
        <f t="shared" si="241"/>
        <v>19</v>
      </c>
      <c r="M1065" s="12">
        <v>3</v>
      </c>
      <c r="N1065" s="12" t="s">
        <v>55</v>
      </c>
      <c r="O1065" s="12">
        <v>1</v>
      </c>
      <c r="P1065" s="12">
        <v>0</v>
      </c>
      <c r="Q1065" s="12">
        <v>0</v>
      </c>
      <c r="R1065" s="12">
        <v>0</v>
      </c>
      <c r="S1065" s="12">
        <v>0</v>
      </c>
      <c r="T1065" s="12">
        <v>3</v>
      </c>
      <c r="U1065" s="12" t="s">
        <v>62</v>
      </c>
      <c r="V1065" s="12">
        <v>0</v>
      </c>
      <c r="W1065" s="12">
        <v>77</v>
      </c>
      <c r="X1065" s="12">
        <v>2</v>
      </c>
      <c r="Y1065" s="12">
        <v>2</v>
      </c>
      <c r="Z1065" s="12" t="s">
        <v>56</v>
      </c>
      <c r="AA1065" s="12">
        <v>0</v>
      </c>
      <c r="AB1065" s="12">
        <v>1</v>
      </c>
      <c r="AC1065" s="12">
        <v>0</v>
      </c>
      <c r="AD1065" s="12">
        <v>0</v>
      </c>
      <c r="AE1065" s="12">
        <v>0</v>
      </c>
      <c r="AF1065" s="12">
        <v>0</v>
      </c>
      <c r="AG1065" s="12">
        <v>0</v>
      </c>
      <c r="AH1065" s="12">
        <v>0</v>
      </c>
      <c r="AI1065" s="12">
        <v>3</v>
      </c>
      <c r="AJ1065" s="12" t="s">
        <v>78</v>
      </c>
      <c r="AK1065" s="12">
        <v>0</v>
      </c>
      <c r="AL1065" s="12">
        <v>0</v>
      </c>
      <c r="AM1065" s="12">
        <v>8620</v>
      </c>
      <c r="AN1065" s="12">
        <f t="shared" si="242"/>
        <v>8620</v>
      </c>
      <c r="AO1065" s="12">
        <v>1</v>
      </c>
      <c r="AP1065" s="12" t="s">
        <v>59</v>
      </c>
      <c r="AQ1065" s="12">
        <v>0</v>
      </c>
      <c r="AR1065" s="12">
        <v>14</v>
      </c>
      <c r="AS1065" s="12">
        <v>3</v>
      </c>
      <c r="AT1065" s="12">
        <v>3</v>
      </c>
      <c r="AU1065" s="12">
        <v>2</v>
      </c>
      <c r="AV1065" s="12">
        <v>10</v>
      </c>
      <c r="AW1065" s="12">
        <f t="shared" si="243"/>
        <v>10</v>
      </c>
      <c r="AX1065" s="12">
        <v>3</v>
      </c>
      <c r="AY1065" s="12">
        <v>3</v>
      </c>
      <c r="AZ1065" s="12">
        <v>10</v>
      </c>
      <c r="BA1065" s="12">
        <f t="shared" si="244"/>
        <v>10</v>
      </c>
      <c r="BB1065" s="12">
        <v>7</v>
      </c>
      <c r="BC1065" s="12">
        <v>0</v>
      </c>
      <c r="BD1065" s="12">
        <f t="shared" si="253"/>
        <v>0</v>
      </c>
      <c r="BE1065" s="12">
        <v>4</v>
      </c>
      <c r="BF1065" s="12">
        <f t="shared" si="245"/>
        <v>4</v>
      </c>
      <c r="BG1065" s="12">
        <f t="shared" si="254"/>
        <v>8</v>
      </c>
      <c r="BH1065" s="67">
        <v>1</v>
      </c>
      <c r="BI1065" s="67">
        <v>0</v>
      </c>
      <c r="BJ1065" s="67">
        <v>0</v>
      </c>
      <c r="BK1065" s="67">
        <v>0</v>
      </c>
      <c r="BL1065" s="67">
        <v>1</v>
      </c>
      <c r="BM1065" s="67">
        <v>0</v>
      </c>
      <c r="BN1065" s="67">
        <v>0</v>
      </c>
      <c r="BO1065" s="67">
        <v>0</v>
      </c>
      <c r="BP1065" s="67">
        <v>0</v>
      </c>
      <c r="BQ1065" s="67">
        <v>0</v>
      </c>
      <c r="BR1065" s="67">
        <v>4</v>
      </c>
      <c r="BS1065" s="67">
        <v>0</v>
      </c>
      <c r="BT1065" s="67">
        <v>0</v>
      </c>
      <c r="BU1065" s="70">
        <v>10</v>
      </c>
      <c r="BV1065" s="29">
        <f t="shared" si="246"/>
        <v>0.44967887451377381</v>
      </c>
      <c r="BW1065">
        <f t="shared" si="247"/>
        <v>3.4508002929560584E-2</v>
      </c>
      <c r="BX1065">
        <f t="shared" si="248"/>
        <v>0.1644554352117841</v>
      </c>
      <c r="BY1065">
        <f t="shared" si="249"/>
        <v>0.48834154112957734</v>
      </c>
      <c r="BZ1065">
        <f t="shared" si="250"/>
        <v>1.2097751320534422</v>
      </c>
      <c r="CA1065">
        <f t="shared" si="251"/>
        <v>0.86737663580280233</v>
      </c>
      <c r="CB1065">
        <f t="shared" si="252"/>
        <v>0.67891464284095016</v>
      </c>
    </row>
    <row r="1066" spans="1:80" x14ac:dyDescent="0.45">
      <c r="A1066" s="11">
        <v>30</v>
      </c>
      <c r="B1066" s="12">
        <f t="shared" si="240"/>
        <v>30</v>
      </c>
      <c r="C1066" s="12" t="s">
        <v>59</v>
      </c>
      <c r="D1066" s="12">
        <v>0</v>
      </c>
      <c r="E1066" s="12" t="s">
        <v>53</v>
      </c>
      <c r="F1066" s="12">
        <v>0</v>
      </c>
      <c r="G1066" s="12">
        <v>1</v>
      </c>
      <c r="H1066" s="12" t="s">
        <v>97</v>
      </c>
      <c r="I1066" s="12">
        <v>0</v>
      </c>
      <c r="J1066" s="12">
        <v>0</v>
      </c>
      <c r="K1066" s="12">
        <v>1</v>
      </c>
      <c r="L1066" s="12">
        <f t="shared" si="241"/>
        <v>1</v>
      </c>
      <c r="M1066" s="12">
        <v>3</v>
      </c>
      <c r="N1066" s="12" t="s">
        <v>55</v>
      </c>
      <c r="O1066" s="12">
        <v>1</v>
      </c>
      <c r="P1066" s="12">
        <v>0</v>
      </c>
      <c r="Q1066" s="12">
        <v>0</v>
      </c>
      <c r="R1066" s="12">
        <v>0</v>
      </c>
      <c r="S1066" s="12">
        <v>0</v>
      </c>
      <c r="T1066" s="12">
        <v>3</v>
      </c>
      <c r="U1066" s="12" t="s">
        <v>62</v>
      </c>
      <c r="V1066" s="12">
        <v>0</v>
      </c>
      <c r="W1066" s="12">
        <v>46</v>
      </c>
      <c r="X1066" s="12">
        <v>3</v>
      </c>
      <c r="Y1066" s="12">
        <v>1</v>
      </c>
      <c r="Z1066" s="12" t="s">
        <v>97</v>
      </c>
      <c r="AA1066" s="12">
        <v>0</v>
      </c>
      <c r="AB1066" s="12">
        <v>0</v>
      </c>
      <c r="AC1066" s="12">
        <v>0</v>
      </c>
      <c r="AD1066" s="12">
        <v>0</v>
      </c>
      <c r="AE1066" s="12">
        <v>0</v>
      </c>
      <c r="AF1066" s="12">
        <v>0</v>
      </c>
      <c r="AG1066" s="12">
        <v>0</v>
      </c>
      <c r="AH1066" s="12">
        <v>0</v>
      </c>
      <c r="AI1066" s="12">
        <v>3</v>
      </c>
      <c r="AJ1066" s="12" t="s">
        <v>78</v>
      </c>
      <c r="AK1066" s="12">
        <v>0</v>
      </c>
      <c r="AL1066" s="12">
        <v>0</v>
      </c>
      <c r="AM1066" s="12">
        <v>2064</v>
      </c>
      <c r="AN1066" s="12">
        <f t="shared" si="242"/>
        <v>2064</v>
      </c>
      <c r="AO1066" s="12">
        <v>0</v>
      </c>
      <c r="AP1066" s="12" t="s">
        <v>59</v>
      </c>
      <c r="AQ1066" s="12">
        <v>0</v>
      </c>
      <c r="AR1066" s="12">
        <v>21</v>
      </c>
      <c r="AS1066" s="12">
        <v>4</v>
      </c>
      <c r="AT1066" s="12">
        <v>1</v>
      </c>
      <c r="AU1066" s="12">
        <v>1</v>
      </c>
      <c r="AV1066" s="12">
        <v>6</v>
      </c>
      <c r="AW1066" s="12">
        <f t="shared" si="243"/>
        <v>6</v>
      </c>
      <c r="AX1066" s="12">
        <v>3</v>
      </c>
      <c r="AY1066" s="12">
        <v>4</v>
      </c>
      <c r="AZ1066" s="12">
        <v>5</v>
      </c>
      <c r="BA1066" s="12">
        <f t="shared" si="244"/>
        <v>5</v>
      </c>
      <c r="BB1066" s="12">
        <v>3</v>
      </c>
      <c r="BC1066" s="12">
        <v>1</v>
      </c>
      <c r="BD1066" s="12">
        <f t="shared" si="253"/>
        <v>1</v>
      </c>
      <c r="BE1066" s="12">
        <v>3</v>
      </c>
      <c r="BF1066" s="12">
        <f t="shared" si="245"/>
        <v>3</v>
      </c>
      <c r="BG1066" s="12">
        <f t="shared" si="254"/>
        <v>3</v>
      </c>
      <c r="BH1066" s="67">
        <v>1</v>
      </c>
      <c r="BI1066" s="67">
        <v>0</v>
      </c>
      <c r="BJ1066" s="67">
        <v>0</v>
      </c>
      <c r="BK1066" s="67">
        <v>0</v>
      </c>
      <c r="BL1066" s="67">
        <v>1</v>
      </c>
      <c r="BM1066" s="67">
        <v>0</v>
      </c>
      <c r="BN1066" s="67">
        <v>0</v>
      </c>
      <c r="BO1066" s="67">
        <v>0</v>
      </c>
      <c r="BP1066" s="67">
        <v>3</v>
      </c>
      <c r="BQ1066" s="67">
        <v>0</v>
      </c>
      <c r="BR1066" s="67">
        <v>0</v>
      </c>
      <c r="BS1066" s="67">
        <v>6</v>
      </c>
      <c r="BT1066" s="67">
        <v>0</v>
      </c>
      <c r="BU1066" s="70">
        <v>0</v>
      </c>
      <c r="BV1066" s="29">
        <f t="shared" si="246"/>
        <v>0.94285727270334896</v>
      </c>
      <c r="BW1066">
        <f t="shared" si="247"/>
        <v>0.31476636926356072</v>
      </c>
      <c r="BX1066">
        <f t="shared" si="248"/>
        <v>0.67854260110508058</v>
      </c>
      <c r="BY1066">
        <f t="shared" si="249"/>
        <v>0.32778177112653761</v>
      </c>
      <c r="BZ1066">
        <f t="shared" si="250"/>
        <v>1.01056543769991</v>
      </c>
      <c r="CA1066">
        <f t="shared" si="251"/>
        <v>0.75791203633249671</v>
      </c>
      <c r="CB1066">
        <f t="shared" si="252"/>
        <v>0.36858985273641137</v>
      </c>
    </row>
    <row r="1067" spans="1:80" x14ac:dyDescent="0.45">
      <c r="A1067" s="11">
        <v>55</v>
      </c>
      <c r="B1067" s="12">
        <f t="shared" si="240"/>
        <v>55</v>
      </c>
      <c r="C1067" s="12" t="s">
        <v>59</v>
      </c>
      <c r="D1067" s="12">
        <v>0</v>
      </c>
      <c r="E1067" s="12" t="s">
        <v>53</v>
      </c>
      <c r="F1067" s="12">
        <v>0</v>
      </c>
      <c r="G1067" s="12">
        <v>1</v>
      </c>
      <c r="H1067" s="12" t="s">
        <v>61</v>
      </c>
      <c r="I1067" s="12">
        <v>1</v>
      </c>
      <c r="J1067" s="12">
        <v>0</v>
      </c>
      <c r="K1067" s="12">
        <v>4</v>
      </c>
      <c r="L1067" s="12">
        <f t="shared" si="241"/>
        <v>4</v>
      </c>
      <c r="M1067" s="12">
        <v>4</v>
      </c>
      <c r="N1067" s="12" t="s">
        <v>55</v>
      </c>
      <c r="O1067" s="12">
        <v>1</v>
      </c>
      <c r="P1067" s="12">
        <v>0</v>
      </c>
      <c r="Q1067" s="12">
        <v>0</v>
      </c>
      <c r="R1067" s="12">
        <v>0</v>
      </c>
      <c r="S1067" s="12">
        <v>0</v>
      </c>
      <c r="T1067" s="12">
        <v>4</v>
      </c>
      <c r="U1067" s="12" t="s">
        <v>62</v>
      </c>
      <c r="V1067" s="12">
        <v>0</v>
      </c>
      <c r="W1067" s="12">
        <v>30</v>
      </c>
      <c r="X1067" s="12">
        <v>3</v>
      </c>
      <c r="Y1067" s="12">
        <v>2</v>
      </c>
      <c r="Z1067" s="12" t="s">
        <v>85</v>
      </c>
      <c r="AA1067" s="12">
        <v>1</v>
      </c>
      <c r="AB1067" s="12">
        <v>0</v>
      </c>
      <c r="AC1067" s="12">
        <v>0</v>
      </c>
      <c r="AD1067" s="12">
        <v>0</v>
      </c>
      <c r="AE1067" s="12">
        <v>0</v>
      </c>
      <c r="AF1067" s="12">
        <v>0</v>
      </c>
      <c r="AG1067" s="12">
        <v>0</v>
      </c>
      <c r="AH1067" s="12">
        <v>0</v>
      </c>
      <c r="AI1067" s="12">
        <v>3</v>
      </c>
      <c r="AJ1067" s="12" t="s">
        <v>64</v>
      </c>
      <c r="AK1067" s="12">
        <v>0</v>
      </c>
      <c r="AL1067" s="12">
        <v>1</v>
      </c>
      <c r="AM1067" s="12">
        <v>4035</v>
      </c>
      <c r="AN1067" s="12">
        <f t="shared" si="242"/>
        <v>4035</v>
      </c>
      <c r="AO1067" s="12">
        <v>0</v>
      </c>
      <c r="AP1067" s="12" t="s">
        <v>52</v>
      </c>
      <c r="AQ1067" s="12">
        <v>1</v>
      </c>
      <c r="AR1067" s="12">
        <v>16</v>
      </c>
      <c r="AS1067" s="12">
        <v>3</v>
      </c>
      <c r="AT1067" s="12">
        <v>2</v>
      </c>
      <c r="AU1067" s="12">
        <v>0</v>
      </c>
      <c r="AV1067" s="12">
        <v>4</v>
      </c>
      <c r="AW1067" s="12">
        <f t="shared" si="243"/>
        <v>4</v>
      </c>
      <c r="AX1067" s="12">
        <v>2</v>
      </c>
      <c r="AY1067" s="12">
        <v>3</v>
      </c>
      <c r="AZ1067" s="12">
        <v>3</v>
      </c>
      <c r="BA1067" s="12">
        <f t="shared" si="244"/>
        <v>3</v>
      </c>
      <c r="BB1067" s="12">
        <v>2</v>
      </c>
      <c r="BC1067" s="12">
        <v>1</v>
      </c>
      <c r="BD1067" s="12">
        <f t="shared" si="253"/>
        <v>1</v>
      </c>
      <c r="BE1067" s="12">
        <v>2</v>
      </c>
      <c r="BF1067" s="12">
        <f t="shared" si="245"/>
        <v>2</v>
      </c>
      <c r="BG1067" s="12">
        <f t="shared" si="254"/>
        <v>4</v>
      </c>
      <c r="BH1067" s="67">
        <v>0</v>
      </c>
      <c r="BI1067" s="67">
        <v>1</v>
      </c>
      <c r="BJ1067" s="67">
        <v>0</v>
      </c>
      <c r="BK1067" s="67">
        <v>0</v>
      </c>
      <c r="BL1067" s="67">
        <v>0</v>
      </c>
      <c r="BM1067" s="67">
        <v>0</v>
      </c>
      <c r="BN1067" s="67">
        <v>0</v>
      </c>
      <c r="BO1067" s="67">
        <v>1</v>
      </c>
      <c r="BP1067" s="67">
        <v>0</v>
      </c>
      <c r="BQ1067" s="67">
        <v>2</v>
      </c>
      <c r="BR1067" s="67">
        <v>0</v>
      </c>
      <c r="BS1067" s="67">
        <v>0</v>
      </c>
      <c r="BT1067" s="67">
        <v>4</v>
      </c>
      <c r="BU1067" s="70">
        <v>0</v>
      </c>
      <c r="BV1067" s="29">
        <f t="shared" si="246"/>
        <v>0.52420432179350318</v>
      </c>
      <c r="BW1067">
        <f t="shared" si="247"/>
        <v>0.59502473559756086</v>
      </c>
      <c r="BX1067">
        <f t="shared" si="248"/>
        <v>0.93558618405172878</v>
      </c>
      <c r="BY1067">
        <f t="shared" si="249"/>
        <v>0.65423109602898355</v>
      </c>
      <c r="BZ1067">
        <f t="shared" si="250"/>
        <v>0.64050867607435136</v>
      </c>
      <c r="CA1067">
        <f t="shared" si="251"/>
        <v>1.9787029504251428</v>
      </c>
      <c r="CB1067">
        <f t="shared" si="252"/>
        <v>0.36858985273641137</v>
      </c>
    </row>
    <row r="1068" spans="1:80" x14ac:dyDescent="0.45">
      <c r="A1068" s="11">
        <v>33</v>
      </c>
      <c r="B1068" s="12">
        <f t="shared" si="240"/>
        <v>33</v>
      </c>
      <c r="C1068" s="12" t="s">
        <v>59</v>
      </c>
      <c r="D1068" s="12">
        <v>0</v>
      </c>
      <c r="E1068" s="12" t="s">
        <v>53</v>
      </c>
      <c r="F1068" s="12">
        <v>0</v>
      </c>
      <c r="G1068" s="12">
        <v>1</v>
      </c>
      <c r="H1068" s="12" t="s">
        <v>61</v>
      </c>
      <c r="I1068" s="12">
        <v>1</v>
      </c>
      <c r="J1068" s="12">
        <v>0</v>
      </c>
      <c r="K1068" s="12">
        <v>4</v>
      </c>
      <c r="L1068" s="12">
        <f t="shared" si="241"/>
        <v>4</v>
      </c>
      <c r="M1068" s="12">
        <v>4</v>
      </c>
      <c r="N1068" s="12" t="s">
        <v>70</v>
      </c>
      <c r="O1068" s="12">
        <v>0</v>
      </c>
      <c r="P1068" s="12">
        <v>0</v>
      </c>
      <c r="Q1068" s="12">
        <v>1</v>
      </c>
      <c r="R1068" s="12">
        <v>0</v>
      </c>
      <c r="S1068" s="12">
        <v>0</v>
      </c>
      <c r="T1068" s="12">
        <v>1</v>
      </c>
      <c r="U1068" s="12" t="s">
        <v>19</v>
      </c>
      <c r="V1068" s="12">
        <v>1</v>
      </c>
      <c r="W1068" s="12">
        <v>82</v>
      </c>
      <c r="X1068" s="12">
        <v>2</v>
      </c>
      <c r="Y1068" s="12">
        <v>1</v>
      </c>
      <c r="Z1068" s="12" t="s">
        <v>67</v>
      </c>
      <c r="AA1068" s="12">
        <v>0</v>
      </c>
      <c r="AB1068" s="12">
        <v>0</v>
      </c>
      <c r="AC1068" s="12">
        <v>1</v>
      </c>
      <c r="AD1068" s="12">
        <v>0</v>
      </c>
      <c r="AE1068" s="12">
        <v>0</v>
      </c>
      <c r="AF1068" s="12">
        <v>0</v>
      </c>
      <c r="AG1068" s="12">
        <v>0</v>
      </c>
      <c r="AH1068" s="12">
        <v>0</v>
      </c>
      <c r="AI1068" s="12">
        <v>2</v>
      </c>
      <c r="AJ1068" s="12" t="s">
        <v>64</v>
      </c>
      <c r="AK1068" s="12">
        <v>0</v>
      </c>
      <c r="AL1068" s="12">
        <v>1</v>
      </c>
      <c r="AM1068" s="12">
        <v>3838</v>
      </c>
      <c r="AN1068" s="12">
        <f t="shared" si="242"/>
        <v>3838</v>
      </c>
      <c r="AO1068" s="12">
        <v>8</v>
      </c>
      <c r="AP1068" s="12" t="s">
        <v>59</v>
      </c>
      <c r="AQ1068" s="12">
        <v>0</v>
      </c>
      <c r="AR1068" s="12">
        <v>11</v>
      </c>
      <c r="AS1068" s="12">
        <v>3</v>
      </c>
      <c r="AT1068" s="12">
        <v>4</v>
      </c>
      <c r="AU1068" s="12">
        <v>0</v>
      </c>
      <c r="AV1068" s="12">
        <v>8</v>
      </c>
      <c r="AW1068" s="12">
        <f t="shared" si="243"/>
        <v>8</v>
      </c>
      <c r="AX1068" s="12">
        <v>5</v>
      </c>
      <c r="AY1068" s="12">
        <v>3</v>
      </c>
      <c r="AZ1068" s="12">
        <v>5</v>
      </c>
      <c r="BA1068" s="12">
        <f t="shared" si="244"/>
        <v>5</v>
      </c>
      <c r="BB1068" s="12">
        <v>4</v>
      </c>
      <c r="BC1068" s="12">
        <v>0</v>
      </c>
      <c r="BD1068" s="12">
        <f t="shared" si="253"/>
        <v>0</v>
      </c>
      <c r="BE1068" s="12">
        <v>2</v>
      </c>
      <c r="BF1068" s="12">
        <f t="shared" si="245"/>
        <v>2</v>
      </c>
      <c r="BG1068" s="12">
        <f t="shared" si="254"/>
        <v>2</v>
      </c>
      <c r="BH1068" s="67">
        <v>0</v>
      </c>
      <c r="BI1068" s="67">
        <v>1</v>
      </c>
      <c r="BJ1068" s="67">
        <v>0</v>
      </c>
      <c r="BK1068" s="67">
        <v>0</v>
      </c>
      <c r="BL1068" s="67">
        <v>0</v>
      </c>
      <c r="BM1068" s="67">
        <v>0</v>
      </c>
      <c r="BN1068" s="67">
        <v>1</v>
      </c>
      <c r="BO1068" s="67">
        <v>0</v>
      </c>
      <c r="BP1068" s="67">
        <v>0</v>
      </c>
      <c r="BQ1068" s="67">
        <v>2</v>
      </c>
      <c r="BR1068" s="67">
        <v>0</v>
      </c>
      <c r="BS1068" s="67">
        <v>0</v>
      </c>
      <c r="BT1068" s="67">
        <v>8</v>
      </c>
      <c r="BU1068" s="70">
        <v>0</v>
      </c>
      <c r="BV1068" s="29">
        <f t="shared" si="246"/>
        <v>0.56604837624770898</v>
      </c>
      <c r="BW1068">
        <f t="shared" si="247"/>
        <v>0.59502473559756086</v>
      </c>
      <c r="BX1068">
        <f t="shared" si="248"/>
        <v>0.42149901815843233</v>
      </c>
      <c r="BY1068">
        <f t="shared" si="249"/>
        <v>0.32778177112653761</v>
      </c>
      <c r="BZ1068">
        <f t="shared" si="250"/>
        <v>0.64050867607435136</v>
      </c>
      <c r="CA1068">
        <f t="shared" si="251"/>
        <v>0.42951823792158</v>
      </c>
      <c r="CB1068">
        <f t="shared" si="252"/>
        <v>0.67891464284095016</v>
      </c>
    </row>
    <row r="1069" spans="1:80" x14ac:dyDescent="0.45">
      <c r="A1069" s="11">
        <v>47</v>
      </c>
      <c r="B1069" s="12">
        <f t="shared" si="240"/>
        <v>47</v>
      </c>
      <c r="C1069" s="12" t="s">
        <v>59</v>
      </c>
      <c r="D1069" s="12">
        <v>0</v>
      </c>
      <c r="E1069" s="12" t="s">
        <v>53</v>
      </c>
      <c r="F1069" s="12">
        <v>0</v>
      </c>
      <c r="G1069" s="12">
        <v>1</v>
      </c>
      <c r="H1069" s="12" t="s">
        <v>54</v>
      </c>
      <c r="I1069" s="12">
        <v>0</v>
      </c>
      <c r="J1069" s="12">
        <v>1</v>
      </c>
      <c r="K1069" s="12">
        <v>14</v>
      </c>
      <c r="L1069" s="12">
        <f t="shared" si="241"/>
        <v>14</v>
      </c>
      <c r="M1069" s="12">
        <v>3</v>
      </c>
      <c r="N1069" s="12" t="s">
        <v>70</v>
      </c>
      <c r="O1069" s="12">
        <v>0</v>
      </c>
      <c r="P1069" s="12">
        <v>0</v>
      </c>
      <c r="Q1069" s="12">
        <v>1</v>
      </c>
      <c r="R1069" s="12">
        <v>0</v>
      </c>
      <c r="S1069" s="12">
        <v>0</v>
      </c>
      <c r="T1069" s="12">
        <v>3</v>
      </c>
      <c r="U1069" s="12" t="s">
        <v>19</v>
      </c>
      <c r="V1069" s="12">
        <v>1</v>
      </c>
      <c r="W1069" s="12">
        <v>78</v>
      </c>
      <c r="X1069" s="12">
        <v>3</v>
      </c>
      <c r="Y1069" s="12">
        <v>2</v>
      </c>
      <c r="Z1069" s="12" t="s">
        <v>56</v>
      </c>
      <c r="AA1069" s="12">
        <v>0</v>
      </c>
      <c r="AB1069" s="12">
        <v>1</v>
      </c>
      <c r="AC1069" s="12">
        <v>0</v>
      </c>
      <c r="AD1069" s="12">
        <v>0</v>
      </c>
      <c r="AE1069" s="12">
        <v>0</v>
      </c>
      <c r="AF1069" s="12">
        <v>0</v>
      </c>
      <c r="AG1069" s="12">
        <v>0</v>
      </c>
      <c r="AH1069" s="12">
        <v>0</v>
      </c>
      <c r="AI1069" s="12">
        <v>3</v>
      </c>
      <c r="AJ1069" s="12" t="s">
        <v>64</v>
      </c>
      <c r="AK1069" s="12">
        <v>0</v>
      </c>
      <c r="AL1069" s="12">
        <v>1</v>
      </c>
      <c r="AM1069" s="12">
        <v>4591</v>
      </c>
      <c r="AN1069" s="12">
        <f t="shared" si="242"/>
        <v>4591</v>
      </c>
      <c r="AO1069" s="12">
        <v>3</v>
      </c>
      <c r="AP1069" s="12" t="s">
        <v>52</v>
      </c>
      <c r="AQ1069" s="12">
        <v>1</v>
      </c>
      <c r="AR1069" s="12">
        <v>17</v>
      </c>
      <c r="AS1069" s="12">
        <v>3</v>
      </c>
      <c r="AT1069" s="12">
        <v>3</v>
      </c>
      <c r="AU1069" s="12">
        <v>1</v>
      </c>
      <c r="AV1069" s="12">
        <v>11</v>
      </c>
      <c r="AW1069" s="12">
        <f t="shared" si="243"/>
        <v>11</v>
      </c>
      <c r="AX1069" s="12">
        <v>4</v>
      </c>
      <c r="AY1069" s="12">
        <v>2</v>
      </c>
      <c r="AZ1069" s="12">
        <v>5</v>
      </c>
      <c r="BA1069" s="12">
        <f t="shared" si="244"/>
        <v>5</v>
      </c>
      <c r="BB1069" s="12">
        <v>4</v>
      </c>
      <c r="BC1069" s="12">
        <v>1</v>
      </c>
      <c r="BD1069" s="12">
        <f t="shared" si="253"/>
        <v>1</v>
      </c>
      <c r="BE1069" s="12">
        <v>2</v>
      </c>
      <c r="BF1069" s="12">
        <f t="shared" si="245"/>
        <v>2</v>
      </c>
      <c r="BG1069" s="12">
        <f t="shared" si="254"/>
        <v>4</v>
      </c>
      <c r="BH1069" s="67">
        <v>0</v>
      </c>
      <c r="BI1069" s="67">
        <v>1</v>
      </c>
      <c r="BJ1069" s="67">
        <v>0</v>
      </c>
      <c r="BK1069" s="67">
        <v>0</v>
      </c>
      <c r="BL1069" s="67">
        <v>0</v>
      </c>
      <c r="BM1069" s="67">
        <v>0</v>
      </c>
      <c r="BN1069" s="67">
        <v>0</v>
      </c>
      <c r="BO1069" s="67">
        <v>1</v>
      </c>
      <c r="BP1069" s="67">
        <v>0</v>
      </c>
      <c r="BQ1069" s="67">
        <v>0</v>
      </c>
      <c r="BR1069" s="67">
        <v>2</v>
      </c>
      <c r="BS1069" s="67">
        <v>0</v>
      </c>
      <c r="BT1069" s="67">
        <v>0</v>
      </c>
      <c r="BU1069" s="70">
        <v>11</v>
      </c>
      <c r="BV1069" s="29">
        <f t="shared" si="246"/>
        <v>0.40610638130346044</v>
      </c>
      <c r="BW1069">
        <f t="shared" si="247"/>
        <v>0.59502473559756086</v>
      </c>
      <c r="BX1069">
        <f t="shared" si="248"/>
        <v>3.593364373846001E-2</v>
      </c>
      <c r="BY1069">
        <f t="shared" si="249"/>
        <v>0.32778177112653761</v>
      </c>
      <c r="BZ1069">
        <f t="shared" si="250"/>
        <v>0.59301386267751111</v>
      </c>
      <c r="CA1069">
        <f t="shared" si="251"/>
        <v>1.102986154662698</v>
      </c>
      <c r="CB1069">
        <f t="shared" si="252"/>
        <v>0.36858985273641137</v>
      </c>
    </row>
    <row r="1070" spans="1:80" x14ac:dyDescent="0.45">
      <c r="A1070" s="11">
        <v>28</v>
      </c>
      <c r="B1070" s="12">
        <f t="shared" si="240"/>
        <v>28</v>
      </c>
      <c r="C1070" s="12" t="s">
        <v>52</v>
      </c>
      <c r="D1070" s="12">
        <v>1</v>
      </c>
      <c r="E1070" s="12" t="s">
        <v>60</v>
      </c>
      <c r="F1070" s="12">
        <v>1</v>
      </c>
      <c r="G1070" s="12">
        <v>0</v>
      </c>
      <c r="H1070" s="12" t="s">
        <v>61</v>
      </c>
      <c r="I1070" s="12">
        <v>1</v>
      </c>
      <c r="J1070" s="12">
        <v>0</v>
      </c>
      <c r="K1070" s="12">
        <v>2</v>
      </c>
      <c r="L1070" s="12">
        <f t="shared" si="241"/>
        <v>2</v>
      </c>
      <c r="M1070" s="12">
        <v>2</v>
      </c>
      <c r="N1070" s="12" t="s">
        <v>70</v>
      </c>
      <c r="O1070" s="12">
        <v>0</v>
      </c>
      <c r="P1070" s="12">
        <v>0</v>
      </c>
      <c r="Q1070" s="12">
        <v>1</v>
      </c>
      <c r="R1070" s="12">
        <v>0</v>
      </c>
      <c r="S1070" s="12">
        <v>0</v>
      </c>
      <c r="T1070" s="12">
        <v>3</v>
      </c>
      <c r="U1070" s="12" t="s">
        <v>62</v>
      </c>
      <c r="V1070" s="12">
        <v>0</v>
      </c>
      <c r="W1070" s="12">
        <v>38</v>
      </c>
      <c r="X1070" s="12">
        <v>2</v>
      </c>
      <c r="Y1070" s="12">
        <v>1</v>
      </c>
      <c r="Z1070" s="12" t="s">
        <v>67</v>
      </c>
      <c r="AA1070" s="12">
        <v>0</v>
      </c>
      <c r="AB1070" s="12">
        <v>0</v>
      </c>
      <c r="AC1070" s="12">
        <v>1</v>
      </c>
      <c r="AD1070" s="12">
        <v>0</v>
      </c>
      <c r="AE1070" s="12">
        <v>0</v>
      </c>
      <c r="AF1070" s="12">
        <v>0</v>
      </c>
      <c r="AG1070" s="12">
        <v>0</v>
      </c>
      <c r="AH1070" s="12">
        <v>0</v>
      </c>
      <c r="AI1070" s="12">
        <v>1</v>
      </c>
      <c r="AJ1070" s="12" t="s">
        <v>57</v>
      </c>
      <c r="AK1070" s="12">
        <v>1</v>
      </c>
      <c r="AL1070" s="12">
        <v>0</v>
      </c>
      <c r="AM1070" s="12">
        <v>2561</v>
      </c>
      <c r="AN1070" s="12">
        <f t="shared" si="242"/>
        <v>2561</v>
      </c>
      <c r="AO1070" s="12">
        <v>7</v>
      </c>
      <c r="AP1070" s="12" t="s">
        <v>59</v>
      </c>
      <c r="AQ1070" s="12">
        <v>0</v>
      </c>
      <c r="AR1070" s="12">
        <v>11</v>
      </c>
      <c r="AS1070" s="12">
        <v>3</v>
      </c>
      <c r="AT1070" s="12">
        <v>3</v>
      </c>
      <c r="AU1070" s="12">
        <v>0</v>
      </c>
      <c r="AV1070" s="12">
        <v>8</v>
      </c>
      <c r="AW1070" s="12">
        <f t="shared" si="243"/>
        <v>8</v>
      </c>
      <c r="AX1070" s="12">
        <v>2</v>
      </c>
      <c r="AY1070" s="12">
        <v>2</v>
      </c>
      <c r="AZ1070" s="12">
        <v>0</v>
      </c>
      <c r="BA1070" s="12">
        <f t="shared" si="244"/>
        <v>0</v>
      </c>
      <c r="BB1070" s="12">
        <v>0</v>
      </c>
      <c r="BC1070" s="12">
        <v>0</v>
      </c>
      <c r="BD1070" s="12">
        <f t="shared" si="253"/>
        <v>0</v>
      </c>
      <c r="BE1070" s="12">
        <v>0</v>
      </c>
      <c r="BF1070" s="12">
        <f t="shared" si="245"/>
        <v>0</v>
      </c>
      <c r="BG1070" s="12">
        <f t="shared" si="254"/>
        <v>0</v>
      </c>
      <c r="BH1070" s="67">
        <v>0</v>
      </c>
      <c r="BI1070" s="67">
        <v>0</v>
      </c>
      <c r="BJ1070" s="67">
        <v>1</v>
      </c>
      <c r="BK1070" s="67">
        <v>0</v>
      </c>
      <c r="BL1070" s="67">
        <v>1</v>
      </c>
      <c r="BM1070" s="67">
        <v>0</v>
      </c>
      <c r="BN1070" s="67">
        <v>0</v>
      </c>
      <c r="BO1070" s="67">
        <v>0</v>
      </c>
      <c r="BP1070" s="67">
        <v>0</v>
      </c>
      <c r="BQ1070" s="67">
        <v>0</v>
      </c>
      <c r="BR1070" s="67">
        <v>0</v>
      </c>
      <c r="BS1070" s="67">
        <v>0</v>
      </c>
      <c r="BT1070" s="67">
        <v>8</v>
      </c>
      <c r="BU1070" s="70">
        <v>0</v>
      </c>
      <c r="BV1070" s="29">
        <f t="shared" si="246"/>
        <v>0.83729130791278916</v>
      </c>
      <c r="BW1070">
        <f t="shared" si="247"/>
        <v>1.1555414682655611</v>
      </c>
      <c r="BX1070">
        <f t="shared" si="248"/>
        <v>0.42149901815843233</v>
      </c>
      <c r="BY1070">
        <f t="shared" si="249"/>
        <v>1.1439050833826525</v>
      </c>
      <c r="BZ1070">
        <f t="shared" si="250"/>
        <v>0.88721318382472392</v>
      </c>
      <c r="CA1070">
        <f t="shared" si="251"/>
        <v>0.97684123527310796</v>
      </c>
      <c r="CB1070">
        <f t="shared" si="252"/>
        <v>0.67891464284095016</v>
      </c>
    </row>
    <row r="1071" spans="1:80" x14ac:dyDescent="0.45">
      <c r="A1071" s="11">
        <v>28</v>
      </c>
      <c r="B1071" s="12">
        <f t="shared" si="240"/>
        <v>28</v>
      </c>
      <c r="C1071" s="12" t="s">
        <v>59</v>
      </c>
      <c r="D1071" s="12">
        <v>0</v>
      </c>
      <c r="E1071" s="12" t="s">
        <v>53</v>
      </c>
      <c r="F1071" s="12">
        <v>0</v>
      </c>
      <c r="G1071" s="12">
        <v>1</v>
      </c>
      <c r="H1071" s="12" t="s">
        <v>61</v>
      </c>
      <c r="I1071" s="12">
        <v>1</v>
      </c>
      <c r="J1071" s="12">
        <v>0</v>
      </c>
      <c r="K1071" s="12">
        <v>1</v>
      </c>
      <c r="L1071" s="12">
        <f t="shared" si="241"/>
        <v>1</v>
      </c>
      <c r="M1071" s="12">
        <v>3</v>
      </c>
      <c r="N1071" s="12" t="s">
        <v>55</v>
      </c>
      <c r="O1071" s="12">
        <v>1</v>
      </c>
      <c r="P1071" s="12">
        <v>0</v>
      </c>
      <c r="Q1071" s="12">
        <v>0</v>
      </c>
      <c r="R1071" s="12">
        <v>0</v>
      </c>
      <c r="S1071" s="12">
        <v>0</v>
      </c>
      <c r="T1071" s="12">
        <v>1</v>
      </c>
      <c r="U1071" s="12" t="s">
        <v>62</v>
      </c>
      <c r="V1071" s="12">
        <v>0</v>
      </c>
      <c r="W1071" s="12">
        <v>72</v>
      </c>
      <c r="X1071" s="12">
        <v>2</v>
      </c>
      <c r="Y1071" s="12">
        <v>1</v>
      </c>
      <c r="Z1071" s="12" t="s">
        <v>63</v>
      </c>
      <c r="AA1071" s="12">
        <v>0</v>
      </c>
      <c r="AB1071" s="12">
        <v>0</v>
      </c>
      <c r="AC1071" s="12">
        <v>0</v>
      </c>
      <c r="AD1071" s="12">
        <v>0</v>
      </c>
      <c r="AE1071" s="12">
        <v>0</v>
      </c>
      <c r="AF1071" s="12">
        <v>0</v>
      </c>
      <c r="AG1071" s="12">
        <v>0</v>
      </c>
      <c r="AH1071" s="12">
        <v>1</v>
      </c>
      <c r="AI1071" s="12">
        <v>3</v>
      </c>
      <c r="AJ1071" s="12" t="s">
        <v>78</v>
      </c>
      <c r="AK1071" s="12">
        <v>0</v>
      </c>
      <c r="AL1071" s="12">
        <v>0</v>
      </c>
      <c r="AM1071" s="12">
        <v>1563</v>
      </c>
      <c r="AN1071" s="12">
        <f t="shared" si="242"/>
        <v>1563</v>
      </c>
      <c r="AO1071" s="12">
        <v>1</v>
      </c>
      <c r="AP1071" s="12" t="s">
        <v>59</v>
      </c>
      <c r="AQ1071" s="12">
        <v>0</v>
      </c>
      <c r="AR1071" s="12">
        <v>14</v>
      </c>
      <c r="AS1071" s="12">
        <v>3</v>
      </c>
      <c r="AT1071" s="12">
        <v>4</v>
      </c>
      <c r="AU1071" s="12">
        <v>1</v>
      </c>
      <c r="AV1071" s="12">
        <v>1</v>
      </c>
      <c r="AW1071" s="12">
        <f t="shared" si="243"/>
        <v>1</v>
      </c>
      <c r="AX1071" s="12">
        <v>2</v>
      </c>
      <c r="AY1071" s="12">
        <v>1</v>
      </c>
      <c r="AZ1071" s="12">
        <v>1</v>
      </c>
      <c r="BA1071" s="12">
        <f t="shared" si="244"/>
        <v>1</v>
      </c>
      <c r="BB1071" s="12">
        <v>0</v>
      </c>
      <c r="BC1071" s="12">
        <v>0</v>
      </c>
      <c r="BD1071" s="12">
        <f t="shared" si="253"/>
        <v>0</v>
      </c>
      <c r="BE1071" s="12">
        <v>0</v>
      </c>
      <c r="BF1071" s="12">
        <f t="shared" si="245"/>
        <v>0</v>
      </c>
      <c r="BG1071" s="12">
        <f t="shared" si="254"/>
        <v>0</v>
      </c>
      <c r="BH1071" s="67">
        <v>1</v>
      </c>
      <c r="BI1071" s="67">
        <v>0</v>
      </c>
      <c r="BJ1071" s="67">
        <v>0</v>
      </c>
      <c r="BK1071" s="67">
        <v>0</v>
      </c>
      <c r="BL1071" s="67">
        <v>1</v>
      </c>
      <c r="BM1071" s="67">
        <v>0</v>
      </c>
      <c r="BN1071" s="67">
        <v>0</v>
      </c>
      <c r="BO1071" s="67">
        <v>0</v>
      </c>
      <c r="BP1071" s="67">
        <v>0</v>
      </c>
      <c r="BQ1071" s="67">
        <v>0</v>
      </c>
      <c r="BR1071" s="67">
        <v>0</v>
      </c>
      <c r="BS1071" s="67">
        <v>0</v>
      </c>
      <c r="BT1071" s="67">
        <v>1</v>
      </c>
      <c r="BU1071" s="70">
        <v>0</v>
      </c>
      <c r="BV1071" s="29">
        <f t="shared" si="246"/>
        <v>1.0492728629650603</v>
      </c>
      <c r="BW1071">
        <f t="shared" si="247"/>
        <v>1.1555414682655611</v>
      </c>
      <c r="BX1071">
        <f t="shared" si="248"/>
        <v>1.3211515584717011</v>
      </c>
      <c r="BY1071">
        <f t="shared" si="249"/>
        <v>0.9806804209314296</v>
      </c>
      <c r="BZ1071">
        <f t="shared" si="250"/>
        <v>1.01056543769991</v>
      </c>
      <c r="CA1071">
        <f t="shared" si="251"/>
        <v>0.97684123527310796</v>
      </c>
      <c r="CB1071">
        <f t="shared" si="252"/>
        <v>0.67891464284095016</v>
      </c>
    </row>
    <row r="1072" spans="1:80" x14ac:dyDescent="0.45">
      <c r="A1072" s="11">
        <v>28</v>
      </c>
      <c r="B1072" s="12">
        <f t="shared" si="240"/>
        <v>28</v>
      </c>
      <c r="C1072" s="12" t="s">
        <v>59</v>
      </c>
      <c r="D1072" s="12">
        <v>0</v>
      </c>
      <c r="E1072" s="12" t="s">
        <v>60</v>
      </c>
      <c r="F1072" s="12">
        <v>1</v>
      </c>
      <c r="G1072" s="12">
        <v>0</v>
      </c>
      <c r="H1072" s="12" t="s">
        <v>54</v>
      </c>
      <c r="I1072" s="12">
        <v>0</v>
      </c>
      <c r="J1072" s="12">
        <v>1</v>
      </c>
      <c r="K1072" s="12">
        <v>7</v>
      </c>
      <c r="L1072" s="12">
        <f t="shared" si="241"/>
        <v>7</v>
      </c>
      <c r="M1072" s="12">
        <v>3</v>
      </c>
      <c r="N1072" s="12" t="s">
        <v>55</v>
      </c>
      <c r="O1072" s="12">
        <v>1</v>
      </c>
      <c r="P1072" s="12">
        <v>0</v>
      </c>
      <c r="Q1072" s="12">
        <v>0</v>
      </c>
      <c r="R1072" s="12">
        <v>0</v>
      </c>
      <c r="S1072" s="12">
        <v>0</v>
      </c>
      <c r="T1072" s="12">
        <v>3</v>
      </c>
      <c r="U1072" s="12" t="s">
        <v>62</v>
      </c>
      <c r="V1072" s="12">
        <v>0</v>
      </c>
      <c r="W1072" s="12">
        <v>55</v>
      </c>
      <c r="X1072" s="12">
        <v>3</v>
      </c>
      <c r="Y1072" s="12">
        <v>2</v>
      </c>
      <c r="Z1072" s="12" t="s">
        <v>56</v>
      </c>
      <c r="AA1072" s="12">
        <v>0</v>
      </c>
      <c r="AB1072" s="12">
        <v>1</v>
      </c>
      <c r="AC1072" s="12">
        <v>0</v>
      </c>
      <c r="AD1072" s="12">
        <v>0</v>
      </c>
      <c r="AE1072" s="12">
        <v>0</v>
      </c>
      <c r="AF1072" s="12">
        <v>0</v>
      </c>
      <c r="AG1072" s="12">
        <v>0</v>
      </c>
      <c r="AH1072" s="12">
        <v>0</v>
      </c>
      <c r="AI1072" s="12">
        <v>1</v>
      </c>
      <c r="AJ1072" s="12" t="s">
        <v>57</v>
      </c>
      <c r="AK1072" s="12">
        <v>1</v>
      </c>
      <c r="AL1072" s="12">
        <v>0</v>
      </c>
      <c r="AM1072" s="12">
        <v>4898</v>
      </c>
      <c r="AN1072" s="12">
        <f t="shared" si="242"/>
        <v>4898</v>
      </c>
      <c r="AO1072" s="12">
        <v>0</v>
      </c>
      <c r="AP1072" s="12" t="s">
        <v>59</v>
      </c>
      <c r="AQ1072" s="12">
        <v>0</v>
      </c>
      <c r="AR1072" s="12">
        <v>14</v>
      </c>
      <c r="AS1072" s="12">
        <v>3</v>
      </c>
      <c r="AT1072" s="12">
        <v>4</v>
      </c>
      <c r="AU1072" s="12">
        <v>0</v>
      </c>
      <c r="AV1072" s="12">
        <v>5</v>
      </c>
      <c r="AW1072" s="12">
        <f t="shared" si="243"/>
        <v>5</v>
      </c>
      <c r="AX1072" s="12">
        <v>5</v>
      </c>
      <c r="AY1072" s="12">
        <v>3</v>
      </c>
      <c r="AZ1072" s="12">
        <v>4</v>
      </c>
      <c r="BA1072" s="12">
        <f t="shared" si="244"/>
        <v>4</v>
      </c>
      <c r="BB1072" s="12">
        <v>2</v>
      </c>
      <c r="BC1072" s="12">
        <v>1</v>
      </c>
      <c r="BD1072" s="12">
        <f t="shared" si="253"/>
        <v>1</v>
      </c>
      <c r="BE1072" s="12">
        <v>3</v>
      </c>
      <c r="BF1072" s="12">
        <f t="shared" si="245"/>
        <v>3</v>
      </c>
      <c r="BG1072" s="12">
        <f t="shared" si="254"/>
        <v>6</v>
      </c>
      <c r="BH1072" s="67">
        <v>0</v>
      </c>
      <c r="BI1072" s="67">
        <v>0</v>
      </c>
      <c r="BJ1072" s="67">
        <v>1</v>
      </c>
      <c r="BK1072" s="67">
        <v>0</v>
      </c>
      <c r="BL1072" s="67">
        <v>1</v>
      </c>
      <c r="BM1072" s="67">
        <v>0</v>
      </c>
      <c r="BN1072" s="67">
        <v>0</v>
      </c>
      <c r="BO1072" s="67">
        <v>0</v>
      </c>
      <c r="BP1072" s="67">
        <v>0</v>
      </c>
      <c r="BQ1072" s="67">
        <v>0</v>
      </c>
      <c r="BR1072" s="67">
        <v>3</v>
      </c>
      <c r="BS1072" s="67">
        <v>0</v>
      </c>
      <c r="BT1072" s="67">
        <v>0</v>
      </c>
      <c r="BU1072" s="70">
        <v>5</v>
      </c>
      <c r="BV1072" s="29">
        <f t="shared" si="246"/>
        <v>0.34089762639259152</v>
      </c>
      <c r="BW1072">
        <f t="shared" si="247"/>
        <v>0.31476636926356072</v>
      </c>
      <c r="BX1072">
        <f t="shared" si="248"/>
        <v>0.80706439257840468</v>
      </c>
      <c r="BY1072">
        <f t="shared" si="249"/>
        <v>0.49100643357776058</v>
      </c>
      <c r="BZ1072">
        <f t="shared" si="250"/>
        <v>0.27045191444879263</v>
      </c>
      <c r="CA1072">
        <f t="shared" si="251"/>
        <v>0.97684123527310796</v>
      </c>
      <c r="CB1072">
        <f t="shared" si="252"/>
        <v>0.36858985273641137</v>
      </c>
    </row>
    <row r="1073" spans="1:80" x14ac:dyDescent="0.45">
      <c r="A1073" s="11">
        <v>49</v>
      </c>
      <c r="B1073" s="12">
        <f t="shared" si="240"/>
        <v>49</v>
      </c>
      <c r="C1073" s="12" t="s">
        <v>59</v>
      </c>
      <c r="D1073" s="12">
        <v>0</v>
      </c>
      <c r="E1073" s="12" t="s">
        <v>53</v>
      </c>
      <c r="F1073" s="12">
        <v>0</v>
      </c>
      <c r="G1073" s="12">
        <v>1</v>
      </c>
      <c r="H1073" s="12" t="s">
        <v>61</v>
      </c>
      <c r="I1073" s="12">
        <v>1</v>
      </c>
      <c r="J1073" s="12">
        <v>0</v>
      </c>
      <c r="K1073" s="12">
        <v>3</v>
      </c>
      <c r="L1073" s="12">
        <f t="shared" si="241"/>
        <v>3</v>
      </c>
      <c r="M1073" s="12">
        <v>2</v>
      </c>
      <c r="N1073" s="12" t="s">
        <v>70</v>
      </c>
      <c r="O1073" s="12">
        <v>0</v>
      </c>
      <c r="P1073" s="12">
        <v>0</v>
      </c>
      <c r="Q1073" s="12">
        <v>1</v>
      </c>
      <c r="R1073" s="12">
        <v>0</v>
      </c>
      <c r="S1073" s="12">
        <v>0</v>
      </c>
      <c r="T1073" s="12">
        <v>3</v>
      </c>
      <c r="U1073" s="12" t="s">
        <v>19</v>
      </c>
      <c r="V1073" s="12">
        <v>1</v>
      </c>
      <c r="W1073" s="12">
        <v>43</v>
      </c>
      <c r="X1073" s="12">
        <v>2</v>
      </c>
      <c r="Y1073" s="12">
        <v>2</v>
      </c>
      <c r="Z1073" s="12" t="s">
        <v>67</v>
      </c>
      <c r="AA1073" s="12">
        <v>0</v>
      </c>
      <c r="AB1073" s="12">
        <v>0</v>
      </c>
      <c r="AC1073" s="12">
        <v>1</v>
      </c>
      <c r="AD1073" s="12">
        <v>0</v>
      </c>
      <c r="AE1073" s="12">
        <v>0</v>
      </c>
      <c r="AF1073" s="12">
        <v>0</v>
      </c>
      <c r="AG1073" s="12">
        <v>0</v>
      </c>
      <c r="AH1073" s="12">
        <v>0</v>
      </c>
      <c r="AI1073" s="12">
        <v>1</v>
      </c>
      <c r="AJ1073" s="12" t="s">
        <v>64</v>
      </c>
      <c r="AK1073" s="12">
        <v>0</v>
      </c>
      <c r="AL1073" s="12">
        <v>1</v>
      </c>
      <c r="AM1073" s="12">
        <v>4789</v>
      </c>
      <c r="AN1073" s="12">
        <f t="shared" si="242"/>
        <v>4789</v>
      </c>
      <c r="AO1073" s="12">
        <v>4</v>
      </c>
      <c r="AP1073" s="12" t="s">
        <v>59</v>
      </c>
      <c r="AQ1073" s="12">
        <v>0</v>
      </c>
      <c r="AR1073" s="12">
        <v>25</v>
      </c>
      <c r="AS1073" s="12">
        <v>4</v>
      </c>
      <c r="AT1073" s="12">
        <v>1</v>
      </c>
      <c r="AU1073" s="12">
        <v>1</v>
      </c>
      <c r="AV1073" s="12">
        <v>10</v>
      </c>
      <c r="AW1073" s="12">
        <f t="shared" si="243"/>
        <v>10</v>
      </c>
      <c r="AX1073" s="12">
        <v>3</v>
      </c>
      <c r="AY1073" s="12">
        <v>3</v>
      </c>
      <c r="AZ1073" s="12">
        <v>3</v>
      </c>
      <c r="BA1073" s="12">
        <f t="shared" si="244"/>
        <v>3</v>
      </c>
      <c r="BB1073" s="12">
        <v>2</v>
      </c>
      <c r="BC1073" s="12">
        <v>1</v>
      </c>
      <c r="BD1073" s="12">
        <f t="shared" si="253"/>
        <v>1</v>
      </c>
      <c r="BE1073" s="12">
        <v>2</v>
      </c>
      <c r="BF1073" s="12">
        <f t="shared" si="245"/>
        <v>2</v>
      </c>
      <c r="BG1073" s="12">
        <f t="shared" si="254"/>
        <v>4</v>
      </c>
      <c r="BH1073" s="67">
        <v>0</v>
      </c>
      <c r="BI1073" s="67">
        <v>1</v>
      </c>
      <c r="BJ1073" s="67">
        <v>0</v>
      </c>
      <c r="BK1073" s="67">
        <v>0</v>
      </c>
      <c r="BL1073" s="67">
        <v>0</v>
      </c>
      <c r="BM1073" s="67">
        <v>0</v>
      </c>
      <c r="BN1073" s="67">
        <v>1</v>
      </c>
      <c r="BO1073" s="67">
        <v>0</v>
      </c>
      <c r="BP1073" s="67">
        <v>0</v>
      </c>
      <c r="BQ1073" s="67">
        <v>2</v>
      </c>
      <c r="BR1073" s="67">
        <v>0</v>
      </c>
      <c r="BS1073" s="67">
        <v>0</v>
      </c>
      <c r="BT1073" s="67">
        <v>10</v>
      </c>
      <c r="BU1073" s="70">
        <v>0</v>
      </c>
      <c r="BV1073" s="29">
        <f t="shared" si="246"/>
        <v>0.36404992048146684</v>
      </c>
      <c r="BW1073">
        <f t="shared" si="247"/>
        <v>0.59502473559756086</v>
      </c>
      <c r="BX1073">
        <f t="shared" si="248"/>
        <v>0.1644554352117841</v>
      </c>
      <c r="BY1073">
        <f t="shared" si="249"/>
        <v>0.65423109602898355</v>
      </c>
      <c r="BZ1073">
        <f t="shared" si="250"/>
        <v>0.76386092994953758</v>
      </c>
      <c r="CA1073">
        <f t="shared" si="251"/>
        <v>1.3219153536033093</v>
      </c>
      <c r="CB1073">
        <f t="shared" si="252"/>
        <v>0.36858985273641137</v>
      </c>
    </row>
    <row r="1074" spans="1:80" x14ac:dyDescent="0.45">
      <c r="A1074" s="11">
        <v>29</v>
      </c>
      <c r="B1074" s="12">
        <f t="shared" si="240"/>
        <v>29</v>
      </c>
      <c r="C1074" s="12" t="s">
        <v>59</v>
      </c>
      <c r="D1074" s="12">
        <v>0</v>
      </c>
      <c r="E1074" s="12" t="s">
        <v>60</v>
      </c>
      <c r="F1074" s="12">
        <v>1</v>
      </c>
      <c r="G1074" s="12">
        <v>0</v>
      </c>
      <c r="H1074" s="12" t="s">
        <v>61</v>
      </c>
      <c r="I1074" s="12">
        <v>1</v>
      </c>
      <c r="J1074" s="12">
        <v>0</v>
      </c>
      <c r="K1074" s="12">
        <v>2</v>
      </c>
      <c r="L1074" s="12">
        <f t="shared" si="241"/>
        <v>2</v>
      </c>
      <c r="M1074" s="12">
        <v>1</v>
      </c>
      <c r="N1074" s="12" t="s">
        <v>55</v>
      </c>
      <c r="O1074" s="12">
        <v>1</v>
      </c>
      <c r="P1074" s="12">
        <v>0</v>
      </c>
      <c r="Q1074" s="12">
        <v>0</v>
      </c>
      <c r="R1074" s="12">
        <v>0</v>
      </c>
      <c r="S1074" s="12">
        <v>0</v>
      </c>
      <c r="T1074" s="12">
        <v>4</v>
      </c>
      <c r="U1074" s="12" t="s">
        <v>19</v>
      </c>
      <c r="V1074" s="12">
        <v>1</v>
      </c>
      <c r="W1074" s="12">
        <v>97</v>
      </c>
      <c r="X1074" s="12">
        <v>3</v>
      </c>
      <c r="Y1074" s="12">
        <v>1</v>
      </c>
      <c r="Z1074" s="12" t="s">
        <v>67</v>
      </c>
      <c r="AA1074" s="12">
        <v>0</v>
      </c>
      <c r="AB1074" s="12">
        <v>0</v>
      </c>
      <c r="AC1074" s="12">
        <v>1</v>
      </c>
      <c r="AD1074" s="12">
        <v>0</v>
      </c>
      <c r="AE1074" s="12">
        <v>0</v>
      </c>
      <c r="AF1074" s="12">
        <v>0</v>
      </c>
      <c r="AG1074" s="12">
        <v>0</v>
      </c>
      <c r="AH1074" s="12">
        <v>0</v>
      </c>
      <c r="AI1074" s="12">
        <v>2</v>
      </c>
      <c r="AJ1074" s="12" t="s">
        <v>64</v>
      </c>
      <c r="AK1074" s="12">
        <v>0</v>
      </c>
      <c r="AL1074" s="12">
        <v>1</v>
      </c>
      <c r="AM1074" s="12">
        <v>3180</v>
      </c>
      <c r="AN1074" s="12">
        <f t="shared" si="242"/>
        <v>3180</v>
      </c>
      <c r="AO1074" s="12">
        <v>0</v>
      </c>
      <c r="AP1074" s="12" t="s">
        <v>59</v>
      </c>
      <c r="AQ1074" s="12">
        <v>0</v>
      </c>
      <c r="AR1074" s="12">
        <v>13</v>
      </c>
      <c r="AS1074" s="12">
        <v>3</v>
      </c>
      <c r="AT1074" s="12">
        <v>3</v>
      </c>
      <c r="AU1074" s="12">
        <v>3</v>
      </c>
      <c r="AV1074" s="12">
        <v>4</v>
      </c>
      <c r="AW1074" s="12">
        <f t="shared" si="243"/>
        <v>4</v>
      </c>
      <c r="AX1074" s="12">
        <v>3</v>
      </c>
      <c r="AY1074" s="12">
        <v>3</v>
      </c>
      <c r="AZ1074" s="12">
        <v>3</v>
      </c>
      <c r="BA1074" s="12">
        <f t="shared" si="244"/>
        <v>3</v>
      </c>
      <c r="BB1074" s="12">
        <v>2</v>
      </c>
      <c r="BC1074" s="12">
        <v>0</v>
      </c>
      <c r="BD1074" s="12">
        <f t="shared" si="253"/>
        <v>0</v>
      </c>
      <c r="BE1074" s="12">
        <v>2</v>
      </c>
      <c r="BF1074" s="12">
        <f t="shared" si="245"/>
        <v>2</v>
      </c>
      <c r="BG1074" s="12">
        <f t="shared" si="254"/>
        <v>2</v>
      </c>
      <c r="BH1074" s="67">
        <v>0</v>
      </c>
      <c r="BI1074" s="67">
        <v>0</v>
      </c>
      <c r="BJ1074" s="67">
        <v>0</v>
      </c>
      <c r="BK1074" s="67">
        <v>1</v>
      </c>
      <c r="BL1074" s="67">
        <v>0</v>
      </c>
      <c r="BM1074" s="67">
        <v>0</v>
      </c>
      <c r="BN1074" s="67">
        <v>1</v>
      </c>
      <c r="BO1074" s="67">
        <v>0</v>
      </c>
      <c r="BP1074" s="67">
        <v>0</v>
      </c>
      <c r="BQ1074" s="67">
        <v>2</v>
      </c>
      <c r="BR1074" s="67">
        <v>0</v>
      </c>
      <c r="BS1074" s="67">
        <v>0</v>
      </c>
      <c r="BT1074" s="67">
        <v>4</v>
      </c>
      <c r="BU1074" s="70">
        <v>0</v>
      </c>
      <c r="BV1074" s="29">
        <f t="shared" si="246"/>
        <v>0.70581176625211206</v>
      </c>
      <c r="BW1074">
        <f t="shared" si="247"/>
        <v>0.59502473559756086</v>
      </c>
      <c r="BX1074">
        <f t="shared" si="248"/>
        <v>0.93558618405172878</v>
      </c>
      <c r="BY1074">
        <f t="shared" si="249"/>
        <v>0.65423109602898355</v>
      </c>
      <c r="BZ1074">
        <f t="shared" si="250"/>
        <v>0.88721318382472392</v>
      </c>
      <c r="CA1074">
        <f t="shared" si="251"/>
        <v>0.86737663580280233</v>
      </c>
      <c r="CB1074">
        <f t="shared" si="252"/>
        <v>0.67891464284095016</v>
      </c>
    </row>
    <row r="1075" spans="1:80" x14ac:dyDescent="0.45">
      <c r="A1075" s="11">
        <v>28</v>
      </c>
      <c r="B1075" s="12">
        <f t="shared" si="240"/>
        <v>28</v>
      </c>
      <c r="C1075" s="12" t="s">
        <v>59</v>
      </c>
      <c r="D1075" s="12">
        <v>0</v>
      </c>
      <c r="E1075" s="12" t="s">
        <v>53</v>
      </c>
      <c r="F1075" s="12">
        <v>0</v>
      </c>
      <c r="G1075" s="12">
        <v>1</v>
      </c>
      <c r="H1075" s="12" t="s">
        <v>61</v>
      </c>
      <c r="I1075" s="12">
        <v>1</v>
      </c>
      <c r="J1075" s="12">
        <v>0</v>
      </c>
      <c r="K1075" s="12">
        <v>29</v>
      </c>
      <c r="L1075" s="12">
        <f t="shared" si="241"/>
        <v>29</v>
      </c>
      <c r="M1075" s="12">
        <v>1</v>
      </c>
      <c r="N1075" s="12" t="s">
        <v>55</v>
      </c>
      <c r="O1075" s="12">
        <v>1</v>
      </c>
      <c r="P1075" s="12">
        <v>0</v>
      </c>
      <c r="Q1075" s="12">
        <v>0</v>
      </c>
      <c r="R1075" s="12">
        <v>0</v>
      </c>
      <c r="S1075" s="12">
        <v>0</v>
      </c>
      <c r="T1075" s="12">
        <v>3</v>
      </c>
      <c r="U1075" s="12" t="s">
        <v>62</v>
      </c>
      <c r="V1075" s="12">
        <v>0</v>
      </c>
      <c r="W1075" s="12">
        <v>96</v>
      </c>
      <c r="X1075" s="12">
        <v>1</v>
      </c>
      <c r="Y1075" s="12">
        <v>2</v>
      </c>
      <c r="Z1075" s="12" t="s">
        <v>83</v>
      </c>
      <c r="AA1075" s="12">
        <v>0</v>
      </c>
      <c r="AB1075" s="12">
        <v>0</v>
      </c>
      <c r="AC1075" s="12">
        <v>0</v>
      </c>
      <c r="AD1075" s="12">
        <v>0</v>
      </c>
      <c r="AE1075" s="12">
        <v>1</v>
      </c>
      <c r="AF1075" s="12">
        <v>1</v>
      </c>
      <c r="AG1075" s="12">
        <v>0</v>
      </c>
      <c r="AH1075" s="12">
        <v>0</v>
      </c>
      <c r="AI1075" s="12">
        <v>2</v>
      </c>
      <c r="AJ1075" s="12" t="s">
        <v>64</v>
      </c>
      <c r="AK1075" s="12">
        <v>0</v>
      </c>
      <c r="AL1075" s="12">
        <v>1</v>
      </c>
      <c r="AM1075" s="12">
        <v>6549</v>
      </c>
      <c r="AN1075" s="12">
        <f t="shared" si="242"/>
        <v>6549</v>
      </c>
      <c r="AO1075" s="12">
        <v>1</v>
      </c>
      <c r="AP1075" s="12" t="s">
        <v>59</v>
      </c>
      <c r="AQ1075" s="12">
        <v>0</v>
      </c>
      <c r="AR1075" s="12">
        <v>14</v>
      </c>
      <c r="AS1075" s="12">
        <v>3</v>
      </c>
      <c r="AT1075" s="12">
        <v>2</v>
      </c>
      <c r="AU1075" s="12">
        <v>2</v>
      </c>
      <c r="AV1075" s="12">
        <v>8</v>
      </c>
      <c r="AW1075" s="12">
        <f t="shared" si="243"/>
        <v>8</v>
      </c>
      <c r="AX1075" s="12">
        <v>2</v>
      </c>
      <c r="AY1075" s="12">
        <v>2</v>
      </c>
      <c r="AZ1075" s="12">
        <v>8</v>
      </c>
      <c r="BA1075" s="12">
        <f t="shared" si="244"/>
        <v>8</v>
      </c>
      <c r="BB1075" s="12">
        <v>6</v>
      </c>
      <c r="BC1075" s="12">
        <v>1</v>
      </c>
      <c r="BD1075" s="12">
        <f t="shared" si="253"/>
        <v>1</v>
      </c>
      <c r="BE1075" s="12">
        <v>7</v>
      </c>
      <c r="BF1075" s="12">
        <f t="shared" si="245"/>
        <v>7</v>
      </c>
      <c r="BG1075" s="12">
        <f t="shared" si="254"/>
        <v>14</v>
      </c>
      <c r="BH1075" s="67">
        <v>0</v>
      </c>
      <c r="BI1075" s="67">
        <v>1</v>
      </c>
      <c r="BJ1075" s="67">
        <v>0</v>
      </c>
      <c r="BK1075" s="67">
        <v>0</v>
      </c>
      <c r="BL1075" s="67">
        <v>0</v>
      </c>
      <c r="BM1075" s="67">
        <v>0</v>
      </c>
      <c r="BN1075" s="67">
        <v>1</v>
      </c>
      <c r="BO1075" s="67">
        <v>0</v>
      </c>
      <c r="BP1075" s="67">
        <v>0</v>
      </c>
      <c r="BQ1075" s="67">
        <v>7</v>
      </c>
      <c r="BR1075" s="67">
        <v>0</v>
      </c>
      <c r="BS1075" s="67">
        <v>0</v>
      </c>
      <c r="BT1075" s="67">
        <v>8</v>
      </c>
      <c r="BU1075" s="70">
        <v>0</v>
      </c>
      <c r="BV1075" s="29">
        <f t="shared" si="246"/>
        <v>9.7852868251433311E-3</v>
      </c>
      <c r="BW1075">
        <f t="shared" si="247"/>
        <v>0.80626709607243985</v>
      </c>
      <c r="BX1075">
        <f t="shared" si="248"/>
        <v>0.42149901815843233</v>
      </c>
      <c r="BY1075">
        <f t="shared" si="249"/>
        <v>0.16189221622713135</v>
      </c>
      <c r="BZ1075">
        <f t="shared" si="250"/>
        <v>2.4432976708053049</v>
      </c>
      <c r="CA1075">
        <f t="shared" si="251"/>
        <v>0.97684123527310796</v>
      </c>
      <c r="CB1075">
        <f t="shared" si="252"/>
        <v>0.36858985273641137</v>
      </c>
    </row>
    <row r="1076" spans="1:80" x14ac:dyDescent="0.45">
      <c r="A1076" s="11">
        <v>33</v>
      </c>
      <c r="B1076" s="12">
        <f t="shared" si="240"/>
        <v>33</v>
      </c>
      <c r="C1076" s="12" t="s">
        <v>59</v>
      </c>
      <c r="D1076" s="12">
        <v>0</v>
      </c>
      <c r="E1076" s="12" t="s">
        <v>53</v>
      </c>
      <c r="F1076" s="12">
        <v>0</v>
      </c>
      <c r="G1076" s="12">
        <v>1</v>
      </c>
      <c r="H1076" s="12" t="s">
        <v>61</v>
      </c>
      <c r="I1076" s="12">
        <v>1</v>
      </c>
      <c r="J1076" s="12">
        <v>0</v>
      </c>
      <c r="K1076" s="12">
        <v>8</v>
      </c>
      <c r="L1076" s="12">
        <f t="shared" si="241"/>
        <v>8</v>
      </c>
      <c r="M1076" s="12">
        <v>5</v>
      </c>
      <c r="N1076" s="12" t="s">
        <v>55</v>
      </c>
      <c r="O1076" s="12">
        <v>1</v>
      </c>
      <c r="P1076" s="12">
        <v>0</v>
      </c>
      <c r="Q1076" s="12">
        <v>0</v>
      </c>
      <c r="R1076" s="12">
        <v>0</v>
      </c>
      <c r="S1076" s="12">
        <v>0</v>
      </c>
      <c r="T1076" s="12">
        <v>4</v>
      </c>
      <c r="U1076" s="12" t="s">
        <v>62</v>
      </c>
      <c r="V1076" s="12">
        <v>0</v>
      </c>
      <c r="W1076" s="12">
        <v>69</v>
      </c>
      <c r="X1076" s="12">
        <v>3</v>
      </c>
      <c r="Y1076" s="12">
        <v>2</v>
      </c>
      <c r="Z1076" s="12" t="s">
        <v>85</v>
      </c>
      <c r="AA1076" s="12">
        <v>1</v>
      </c>
      <c r="AB1076" s="12">
        <v>0</v>
      </c>
      <c r="AC1076" s="12">
        <v>0</v>
      </c>
      <c r="AD1076" s="12">
        <v>0</v>
      </c>
      <c r="AE1076" s="12">
        <v>0</v>
      </c>
      <c r="AF1076" s="12">
        <v>0</v>
      </c>
      <c r="AG1076" s="12">
        <v>0</v>
      </c>
      <c r="AH1076" s="12">
        <v>0</v>
      </c>
      <c r="AI1076" s="12">
        <v>3</v>
      </c>
      <c r="AJ1076" s="12" t="s">
        <v>57</v>
      </c>
      <c r="AK1076" s="12">
        <v>1</v>
      </c>
      <c r="AL1076" s="12">
        <v>0</v>
      </c>
      <c r="AM1076" s="12">
        <v>6388</v>
      </c>
      <c r="AN1076" s="12">
        <f t="shared" si="242"/>
        <v>6388</v>
      </c>
      <c r="AO1076" s="12">
        <v>2</v>
      </c>
      <c r="AP1076" s="12" t="s">
        <v>52</v>
      </c>
      <c r="AQ1076" s="12">
        <v>1</v>
      </c>
      <c r="AR1076" s="12">
        <v>17</v>
      </c>
      <c r="AS1076" s="12">
        <v>3</v>
      </c>
      <c r="AT1076" s="12">
        <v>1</v>
      </c>
      <c r="AU1076" s="12">
        <v>0</v>
      </c>
      <c r="AV1076" s="12">
        <v>14</v>
      </c>
      <c r="AW1076" s="12">
        <f t="shared" si="243"/>
        <v>14</v>
      </c>
      <c r="AX1076" s="12">
        <v>6</v>
      </c>
      <c r="AY1076" s="12">
        <v>3</v>
      </c>
      <c r="AZ1076" s="12">
        <v>0</v>
      </c>
      <c r="BA1076" s="12">
        <f t="shared" si="244"/>
        <v>0</v>
      </c>
      <c r="BB1076" s="12">
        <v>0</v>
      </c>
      <c r="BC1076" s="12">
        <v>0</v>
      </c>
      <c r="BD1076" s="12">
        <f t="shared" si="253"/>
        <v>0</v>
      </c>
      <c r="BE1076" s="12">
        <v>0</v>
      </c>
      <c r="BF1076" s="12">
        <f t="shared" si="245"/>
        <v>0</v>
      </c>
      <c r="BG1076" s="12">
        <f t="shared" si="254"/>
        <v>0</v>
      </c>
      <c r="BH1076" s="67">
        <v>1</v>
      </c>
      <c r="BI1076" s="67">
        <v>0</v>
      </c>
      <c r="BJ1076" s="67">
        <v>0</v>
      </c>
      <c r="BK1076" s="67">
        <v>0</v>
      </c>
      <c r="BL1076" s="67">
        <v>0</v>
      </c>
      <c r="BM1076" s="67">
        <v>1</v>
      </c>
      <c r="BN1076" s="67">
        <v>0</v>
      </c>
      <c r="BO1076" s="67">
        <v>0</v>
      </c>
      <c r="BP1076" s="67">
        <v>0</v>
      </c>
      <c r="BQ1076" s="67">
        <v>0</v>
      </c>
      <c r="BR1076" s="67">
        <v>0</v>
      </c>
      <c r="BS1076" s="67">
        <v>0</v>
      </c>
      <c r="BT1076" s="67">
        <v>14</v>
      </c>
      <c r="BU1076" s="70">
        <v>0</v>
      </c>
      <c r="BV1076" s="29">
        <f t="shared" si="246"/>
        <v>2.4412138388699985E-2</v>
      </c>
      <c r="BW1076">
        <f t="shared" si="247"/>
        <v>1.1555414682655611</v>
      </c>
      <c r="BX1076">
        <f t="shared" si="248"/>
        <v>0.34963173068151232</v>
      </c>
      <c r="BY1076">
        <f t="shared" si="249"/>
        <v>1.1439050833826525</v>
      </c>
      <c r="BZ1076">
        <f t="shared" si="250"/>
        <v>0.14709966057360641</v>
      </c>
      <c r="CA1076">
        <f t="shared" si="251"/>
        <v>0.42951823792158</v>
      </c>
      <c r="CB1076">
        <f t="shared" si="252"/>
        <v>0.67891464284095016</v>
      </c>
    </row>
    <row r="1077" spans="1:80" x14ac:dyDescent="0.45">
      <c r="A1077" s="11">
        <v>32</v>
      </c>
      <c r="B1077" s="12">
        <f t="shared" si="240"/>
        <v>32</v>
      </c>
      <c r="C1077" s="12" t="s">
        <v>59</v>
      </c>
      <c r="D1077" s="12">
        <v>0</v>
      </c>
      <c r="E1077" s="12" t="s">
        <v>53</v>
      </c>
      <c r="F1077" s="12">
        <v>0</v>
      </c>
      <c r="G1077" s="12">
        <v>1</v>
      </c>
      <c r="H1077" s="12" t="s">
        <v>61</v>
      </c>
      <c r="I1077" s="12">
        <v>1</v>
      </c>
      <c r="J1077" s="12">
        <v>0</v>
      </c>
      <c r="K1077" s="12">
        <v>10</v>
      </c>
      <c r="L1077" s="12">
        <f t="shared" si="241"/>
        <v>10</v>
      </c>
      <c r="M1077" s="12">
        <v>3</v>
      </c>
      <c r="N1077" s="12" t="s">
        <v>70</v>
      </c>
      <c r="O1077" s="12">
        <v>0</v>
      </c>
      <c r="P1077" s="12">
        <v>0</v>
      </c>
      <c r="Q1077" s="12">
        <v>1</v>
      </c>
      <c r="R1077" s="12">
        <v>0</v>
      </c>
      <c r="S1077" s="12">
        <v>0</v>
      </c>
      <c r="T1077" s="12">
        <v>3</v>
      </c>
      <c r="U1077" s="12" t="s">
        <v>62</v>
      </c>
      <c r="V1077" s="12">
        <v>0</v>
      </c>
      <c r="W1077" s="12">
        <v>64</v>
      </c>
      <c r="X1077" s="12">
        <v>3</v>
      </c>
      <c r="Y1077" s="12">
        <v>3</v>
      </c>
      <c r="Z1077" s="12" t="s">
        <v>87</v>
      </c>
      <c r="AA1077" s="12">
        <v>0</v>
      </c>
      <c r="AB1077" s="12">
        <v>0</v>
      </c>
      <c r="AC1077" s="12">
        <v>0</v>
      </c>
      <c r="AD1077" s="12">
        <v>1</v>
      </c>
      <c r="AE1077" s="12">
        <v>0</v>
      </c>
      <c r="AF1077" s="12">
        <v>0</v>
      </c>
      <c r="AG1077" s="12">
        <v>0</v>
      </c>
      <c r="AH1077" s="12">
        <v>0</v>
      </c>
      <c r="AI1077" s="12">
        <v>4</v>
      </c>
      <c r="AJ1077" s="12" t="s">
        <v>57</v>
      </c>
      <c r="AK1077" s="12">
        <v>1</v>
      </c>
      <c r="AL1077" s="12">
        <v>0</v>
      </c>
      <c r="AM1077" s="12">
        <v>11244</v>
      </c>
      <c r="AN1077" s="12">
        <f t="shared" si="242"/>
        <v>11244</v>
      </c>
      <c r="AO1077" s="12">
        <v>2</v>
      </c>
      <c r="AP1077" s="12" t="s">
        <v>59</v>
      </c>
      <c r="AQ1077" s="12">
        <v>0</v>
      </c>
      <c r="AR1077" s="12">
        <v>25</v>
      </c>
      <c r="AS1077" s="12">
        <v>4</v>
      </c>
      <c r="AT1077" s="12">
        <v>2</v>
      </c>
      <c r="AU1077" s="12">
        <v>0</v>
      </c>
      <c r="AV1077" s="12">
        <v>10</v>
      </c>
      <c r="AW1077" s="12">
        <f t="shared" si="243"/>
        <v>10</v>
      </c>
      <c r="AX1077" s="12">
        <v>5</v>
      </c>
      <c r="AY1077" s="12">
        <v>4</v>
      </c>
      <c r="AZ1077" s="12">
        <v>5</v>
      </c>
      <c r="BA1077" s="12">
        <f t="shared" si="244"/>
        <v>5</v>
      </c>
      <c r="BB1077" s="12">
        <v>2</v>
      </c>
      <c r="BC1077" s="12">
        <v>0</v>
      </c>
      <c r="BD1077" s="12">
        <f t="shared" si="253"/>
        <v>0</v>
      </c>
      <c r="BE1077" s="12">
        <v>0</v>
      </c>
      <c r="BF1077" s="12">
        <f t="shared" si="245"/>
        <v>0</v>
      </c>
      <c r="BG1077" s="12">
        <f t="shared" si="254"/>
        <v>0</v>
      </c>
      <c r="BH1077" s="67">
        <v>1</v>
      </c>
      <c r="BI1077" s="67">
        <v>0</v>
      </c>
      <c r="BJ1077" s="67">
        <v>0</v>
      </c>
      <c r="BK1077" s="67">
        <v>0</v>
      </c>
      <c r="BL1077" s="67">
        <v>1</v>
      </c>
      <c r="BM1077" s="67">
        <v>0</v>
      </c>
      <c r="BN1077" s="67">
        <v>0</v>
      </c>
      <c r="BO1077" s="67">
        <v>0</v>
      </c>
      <c r="BP1077" s="67">
        <v>0</v>
      </c>
      <c r="BQ1077" s="67">
        <v>0</v>
      </c>
      <c r="BR1077" s="67">
        <v>0</v>
      </c>
      <c r="BS1077" s="67">
        <v>0</v>
      </c>
      <c r="BT1077" s="67">
        <v>10</v>
      </c>
      <c r="BU1077" s="70">
        <v>0</v>
      </c>
      <c r="BV1077" s="29">
        <f t="shared" si="246"/>
        <v>1.0070331835890836</v>
      </c>
      <c r="BW1077">
        <f t="shared" si="247"/>
        <v>1.1555414682655611</v>
      </c>
      <c r="BX1077">
        <f t="shared" si="248"/>
        <v>0.1644554352117841</v>
      </c>
      <c r="BY1077">
        <f t="shared" si="249"/>
        <v>0.32778177112653761</v>
      </c>
      <c r="BZ1077">
        <f t="shared" si="250"/>
        <v>9.9604847176766084E-2</v>
      </c>
      <c r="CA1077">
        <f t="shared" si="251"/>
        <v>0.53898283739188557</v>
      </c>
      <c r="CB1077">
        <f t="shared" si="252"/>
        <v>0.67891464284095016</v>
      </c>
    </row>
    <row r="1078" spans="1:80" x14ac:dyDescent="0.45">
      <c r="A1078" s="11">
        <v>54</v>
      </c>
      <c r="B1078" s="12">
        <f t="shared" si="240"/>
        <v>54</v>
      </c>
      <c r="C1078" s="12" t="s">
        <v>59</v>
      </c>
      <c r="D1078" s="12">
        <v>0</v>
      </c>
      <c r="E1078" s="12" t="s">
        <v>60</v>
      </c>
      <c r="F1078" s="12">
        <v>1</v>
      </c>
      <c r="G1078" s="12">
        <v>0</v>
      </c>
      <c r="H1078" s="12" t="s">
        <v>61</v>
      </c>
      <c r="I1078" s="12">
        <v>1</v>
      </c>
      <c r="J1078" s="12">
        <v>0</v>
      </c>
      <c r="K1078" s="12">
        <v>11</v>
      </c>
      <c r="L1078" s="12">
        <f t="shared" si="241"/>
        <v>11</v>
      </c>
      <c r="M1078" s="12">
        <v>4</v>
      </c>
      <c r="N1078" s="12" t="s">
        <v>70</v>
      </c>
      <c r="O1078" s="12">
        <v>0</v>
      </c>
      <c r="P1078" s="12">
        <v>0</v>
      </c>
      <c r="Q1078" s="12">
        <v>1</v>
      </c>
      <c r="R1078" s="12">
        <v>0</v>
      </c>
      <c r="S1078" s="12">
        <v>0</v>
      </c>
      <c r="T1078" s="12">
        <v>2</v>
      </c>
      <c r="U1078" s="12" t="s">
        <v>19</v>
      </c>
      <c r="V1078" s="12">
        <v>1</v>
      </c>
      <c r="W1078" s="12">
        <v>87</v>
      </c>
      <c r="X1078" s="12">
        <v>3</v>
      </c>
      <c r="Y1078" s="12">
        <v>4</v>
      </c>
      <c r="Z1078" s="12" t="s">
        <v>87</v>
      </c>
      <c r="AA1078" s="12">
        <v>0</v>
      </c>
      <c r="AB1078" s="12">
        <v>0</v>
      </c>
      <c r="AC1078" s="12">
        <v>0</v>
      </c>
      <c r="AD1078" s="12">
        <v>1</v>
      </c>
      <c r="AE1078" s="12">
        <v>0</v>
      </c>
      <c r="AF1078" s="12">
        <v>0</v>
      </c>
      <c r="AG1078" s="12">
        <v>0</v>
      </c>
      <c r="AH1078" s="12">
        <v>0</v>
      </c>
      <c r="AI1078" s="12">
        <v>4</v>
      </c>
      <c r="AJ1078" s="12" t="s">
        <v>78</v>
      </c>
      <c r="AK1078" s="12">
        <v>0</v>
      </c>
      <c r="AL1078" s="12">
        <v>0</v>
      </c>
      <c r="AM1078" s="12">
        <v>16032</v>
      </c>
      <c r="AN1078" s="12">
        <f t="shared" si="242"/>
        <v>16032</v>
      </c>
      <c r="AO1078" s="12">
        <v>3</v>
      </c>
      <c r="AP1078" s="12" t="s">
        <v>59</v>
      </c>
      <c r="AQ1078" s="12">
        <v>0</v>
      </c>
      <c r="AR1078" s="12">
        <v>20</v>
      </c>
      <c r="AS1078" s="12">
        <v>4</v>
      </c>
      <c r="AT1078" s="12">
        <v>1</v>
      </c>
      <c r="AU1078" s="12">
        <v>1</v>
      </c>
      <c r="AV1078" s="12">
        <v>26</v>
      </c>
      <c r="AW1078" s="12">
        <f t="shared" si="243"/>
        <v>26</v>
      </c>
      <c r="AX1078" s="12">
        <v>2</v>
      </c>
      <c r="AY1078" s="12">
        <v>3</v>
      </c>
      <c r="AZ1078" s="12">
        <v>14</v>
      </c>
      <c r="BA1078" s="12">
        <f t="shared" si="244"/>
        <v>14</v>
      </c>
      <c r="BB1078" s="12">
        <v>9</v>
      </c>
      <c r="BC1078" s="12">
        <v>1</v>
      </c>
      <c r="BD1078" s="12">
        <f t="shared" si="253"/>
        <v>1</v>
      </c>
      <c r="BE1078" s="12">
        <v>12</v>
      </c>
      <c r="BF1078" s="12">
        <f t="shared" si="245"/>
        <v>12</v>
      </c>
      <c r="BG1078" s="12">
        <f t="shared" si="254"/>
        <v>48</v>
      </c>
      <c r="BH1078" s="67">
        <v>0</v>
      </c>
      <c r="BI1078" s="67">
        <v>0</v>
      </c>
      <c r="BJ1078" s="67">
        <v>1</v>
      </c>
      <c r="BK1078" s="67">
        <v>0</v>
      </c>
      <c r="BL1078" s="67">
        <v>1</v>
      </c>
      <c r="BM1078" s="67">
        <v>0</v>
      </c>
      <c r="BN1078" s="67">
        <v>0</v>
      </c>
      <c r="BO1078" s="67">
        <v>0</v>
      </c>
      <c r="BP1078" s="67">
        <v>0</v>
      </c>
      <c r="BQ1078" s="67">
        <v>12</v>
      </c>
      <c r="BR1078" s="67">
        <v>0</v>
      </c>
      <c r="BS1078" s="67">
        <v>0</v>
      </c>
      <c r="BT1078" s="67">
        <v>26</v>
      </c>
      <c r="BU1078" s="70">
        <v>0</v>
      </c>
      <c r="BV1078" s="29">
        <f t="shared" si="246"/>
        <v>2.0240348725572934</v>
      </c>
      <c r="BW1078">
        <f t="shared" si="247"/>
        <v>2.2075589277424408</v>
      </c>
      <c r="BX1078">
        <f t="shared" si="248"/>
        <v>1.8918932283614016</v>
      </c>
      <c r="BY1078">
        <f t="shared" si="249"/>
        <v>1.1412401909344694</v>
      </c>
      <c r="BZ1078">
        <f t="shared" si="250"/>
        <v>0.22295710105195232</v>
      </c>
      <c r="CA1078">
        <f t="shared" si="251"/>
        <v>1.8692383509548371</v>
      </c>
      <c r="CB1078">
        <f t="shared" si="252"/>
        <v>0.36858985273641137</v>
      </c>
    </row>
    <row r="1079" spans="1:80" x14ac:dyDescent="0.45">
      <c r="A1079" s="11">
        <v>29</v>
      </c>
      <c r="B1079" s="12">
        <f t="shared" si="240"/>
        <v>29</v>
      </c>
      <c r="C1079" s="12" t="s">
        <v>52</v>
      </c>
      <c r="D1079" s="12">
        <v>1</v>
      </c>
      <c r="E1079" s="12" t="s">
        <v>53</v>
      </c>
      <c r="F1079" s="12">
        <v>0</v>
      </c>
      <c r="G1079" s="12">
        <v>1</v>
      </c>
      <c r="H1079" s="12" t="s">
        <v>61</v>
      </c>
      <c r="I1079" s="12">
        <v>1</v>
      </c>
      <c r="J1079" s="12">
        <v>0</v>
      </c>
      <c r="K1079" s="12">
        <v>1</v>
      </c>
      <c r="L1079" s="12">
        <f t="shared" si="241"/>
        <v>1</v>
      </c>
      <c r="M1079" s="12">
        <v>4</v>
      </c>
      <c r="N1079" s="12" t="s">
        <v>91</v>
      </c>
      <c r="O1079" s="12">
        <v>0</v>
      </c>
      <c r="P1079" s="12">
        <v>0</v>
      </c>
      <c r="Q1079" s="12">
        <v>0</v>
      </c>
      <c r="R1079" s="12">
        <v>0</v>
      </c>
      <c r="S1079" s="12">
        <v>1</v>
      </c>
      <c r="T1079" s="12">
        <v>1</v>
      </c>
      <c r="U1079" s="12" t="s">
        <v>62</v>
      </c>
      <c r="V1079" s="12">
        <v>0</v>
      </c>
      <c r="W1079" s="12">
        <v>100</v>
      </c>
      <c r="X1079" s="12">
        <v>2</v>
      </c>
      <c r="Y1079" s="12">
        <v>1</v>
      </c>
      <c r="Z1079" s="12" t="s">
        <v>63</v>
      </c>
      <c r="AA1079" s="12">
        <v>0</v>
      </c>
      <c r="AB1079" s="12">
        <v>0</v>
      </c>
      <c r="AC1079" s="12">
        <v>0</v>
      </c>
      <c r="AD1079" s="12">
        <v>0</v>
      </c>
      <c r="AE1079" s="12">
        <v>0</v>
      </c>
      <c r="AF1079" s="12">
        <v>0</v>
      </c>
      <c r="AG1079" s="12">
        <v>0</v>
      </c>
      <c r="AH1079" s="12">
        <v>1</v>
      </c>
      <c r="AI1079" s="12">
        <v>1</v>
      </c>
      <c r="AJ1079" s="12" t="s">
        <v>57</v>
      </c>
      <c r="AK1079" s="12">
        <v>1</v>
      </c>
      <c r="AL1079" s="12">
        <v>0</v>
      </c>
      <c r="AM1079" s="12">
        <v>2362</v>
      </c>
      <c r="AN1079" s="12">
        <f t="shared" si="242"/>
        <v>2362</v>
      </c>
      <c r="AO1079" s="12">
        <v>6</v>
      </c>
      <c r="AP1079" s="12" t="s">
        <v>59</v>
      </c>
      <c r="AQ1079" s="12">
        <v>0</v>
      </c>
      <c r="AR1079" s="12">
        <v>13</v>
      </c>
      <c r="AS1079" s="12">
        <v>3</v>
      </c>
      <c r="AT1079" s="12">
        <v>3</v>
      </c>
      <c r="AU1079" s="12">
        <v>0</v>
      </c>
      <c r="AV1079" s="12">
        <v>11</v>
      </c>
      <c r="AW1079" s="12">
        <f t="shared" si="243"/>
        <v>11</v>
      </c>
      <c r="AX1079" s="12">
        <v>2</v>
      </c>
      <c r="AY1079" s="12">
        <v>1</v>
      </c>
      <c r="AZ1079" s="12">
        <v>9</v>
      </c>
      <c r="BA1079" s="12">
        <f t="shared" si="244"/>
        <v>9</v>
      </c>
      <c r="BB1079" s="12">
        <v>7</v>
      </c>
      <c r="BC1079" s="12">
        <v>0</v>
      </c>
      <c r="BD1079" s="12">
        <f t="shared" si="253"/>
        <v>0</v>
      </c>
      <c r="BE1079" s="12">
        <v>7</v>
      </c>
      <c r="BF1079" s="12">
        <f t="shared" si="245"/>
        <v>7</v>
      </c>
      <c r="BG1079" s="12">
        <f t="shared" si="254"/>
        <v>7</v>
      </c>
      <c r="BH1079" s="67">
        <v>1</v>
      </c>
      <c r="BI1079" s="67">
        <v>0</v>
      </c>
      <c r="BJ1079" s="67">
        <v>0</v>
      </c>
      <c r="BK1079" s="67">
        <v>0</v>
      </c>
      <c r="BL1079" s="67">
        <v>1</v>
      </c>
      <c r="BM1079" s="67">
        <v>0</v>
      </c>
      <c r="BN1079" s="67">
        <v>0</v>
      </c>
      <c r="BO1079" s="67">
        <v>0</v>
      </c>
      <c r="BP1079" s="67">
        <v>0</v>
      </c>
      <c r="BQ1079" s="67">
        <v>7</v>
      </c>
      <c r="BR1079" s="67">
        <v>0</v>
      </c>
      <c r="BS1079" s="67">
        <v>0</v>
      </c>
      <c r="BT1079" s="67">
        <v>11</v>
      </c>
      <c r="BU1079" s="70">
        <v>0</v>
      </c>
      <c r="BV1079" s="29">
        <f t="shared" si="246"/>
        <v>0.87956017510257067</v>
      </c>
      <c r="BW1079">
        <f t="shared" si="247"/>
        <v>0.80626709607243985</v>
      </c>
      <c r="BX1079">
        <f t="shared" si="248"/>
        <v>3.593364373846001E-2</v>
      </c>
      <c r="BY1079">
        <f t="shared" si="249"/>
        <v>0.32511687867835437</v>
      </c>
      <c r="BZ1079">
        <f t="shared" si="250"/>
        <v>1.01056543769991</v>
      </c>
      <c r="CA1079">
        <f t="shared" si="251"/>
        <v>0.86737663580280233</v>
      </c>
      <c r="CB1079">
        <f t="shared" si="252"/>
        <v>0.67891464284095016</v>
      </c>
    </row>
    <row r="1080" spans="1:80" x14ac:dyDescent="0.45">
      <c r="A1080" s="11">
        <v>44</v>
      </c>
      <c r="B1080" s="12">
        <f t="shared" si="240"/>
        <v>44</v>
      </c>
      <c r="C1080" s="12" t="s">
        <v>59</v>
      </c>
      <c r="D1080" s="12">
        <v>0</v>
      </c>
      <c r="E1080" s="12" t="s">
        <v>53</v>
      </c>
      <c r="F1080" s="12">
        <v>0</v>
      </c>
      <c r="G1080" s="12">
        <v>1</v>
      </c>
      <c r="H1080" s="12" t="s">
        <v>61</v>
      </c>
      <c r="I1080" s="12">
        <v>1</v>
      </c>
      <c r="J1080" s="12">
        <v>0</v>
      </c>
      <c r="K1080" s="12">
        <v>28</v>
      </c>
      <c r="L1080" s="12">
        <f t="shared" si="241"/>
        <v>28</v>
      </c>
      <c r="M1080" s="12">
        <v>3</v>
      </c>
      <c r="N1080" s="12" t="s">
        <v>55</v>
      </c>
      <c r="O1080" s="12">
        <v>1</v>
      </c>
      <c r="P1080" s="12">
        <v>0</v>
      </c>
      <c r="Q1080" s="12">
        <v>0</v>
      </c>
      <c r="R1080" s="12">
        <v>0</v>
      </c>
      <c r="S1080" s="12">
        <v>0</v>
      </c>
      <c r="T1080" s="12">
        <v>4</v>
      </c>
      <c r="U1080" s="12" t="s">
        <v>62</v>
      </c>
      <c r="V1080" s="12">
        <v>0</v>
      </c>
      <c r="W1080" s="12">
        <v>32</v>
      </c>
      <c r="X1080" s="12">
        <v>3</v>
      </c>
      <c r="Y1080" s="12">
        <v>4</v>
      </c>
      <c r="Z1080" s="12" t="s">
        <v>89</v>
      </c>
      <c r="AA1080" s="12">
        <v>0</v>
      </c>
      <c r="AB1080" s="12">
        <v>0</v>
      </c>
      <c r="AC1080" s="12">
        <v>0</v>
      </c>
      <c r="AD1080" s="12">
        <v>0</v>
      </c>
      <c r="AE1080" s="12">
        <v>0</v>
      </c>
      <c r="AF1080" s="12">
        <v>0</v>
      </c>
      <c r="AG1080" s="12">
        <v>0</v>
      </c>
      <c r="AH1080" s="12">
        <v>0</v>
      </c>
      <c r="AI1080" s="12">
        <v>1</v>
      </c>
      <c r="AJ1080" s="12" t="s">
        <v>64</v>
      </c>
      <c r="AK1080" s="12">
        <v>0</v>
      </c>
      <c r="AL1080" s="12">
        <v>1</v>
      </c>
      <c r="AM1080" s="12">
        <v>16328</v>
      </c>
      <c r="AN1080" s="12">
        <f t="shared" si="242"/>
        <v>16328</v>
      </c>
      <c r="AO1080" s="12">
        <v>3</v>
      </c>
      <c r="AP1080" s="12" t="s">
        <v>59</v>
      </c>
      <c r="AQ1080" s="12">
        <v>0</v>
      </c>
      <c r="AR1080" s="12">
        <v>13</v>
      </c>
      <c r="AS1080" s="12">
        <v>3</v>
      </c>
      <c r="AT1080" s="12">
        <v>3</v>
      </c>
      <c r="AU1080" s="12">
        <v>1</v>
      </c>
      <c r="AV1080" s="12">
        <v>24</v>
      </c>
      <c r="AW1080" s="12">
        <f t="shared" si="243"/>
        <v>24</v>
      </c>
      <c r="AX1080" s="12">
        <v>1</v>
      </c>
      <c r="AY1080" s="12">
        <v>4</v>
      </c>
      <c r="AZ1080" s="12">
        <v>20</v>
      </c>
      <c r="BA1080" s="12">
        <f t="shared" si="244"/>
        <v>20</v>
      </c>
      <c r="BB1080" s="12">
        <v>6</v>
      </c>
      <c r="BC1080" s="12">
        <v>14</v>
      </c>
      <c r="BD1080" s="12">
        <f t="shared" si="253"/>
        <v>14</v>
      </c>
      <c r="BE1080" s="12">
        <v>17</v>
      </c>
      <c r="BF1080" s="12">
        <f t="shared" si="245"/>
        <v>14</v>
      </c>
      <c r="BG1080" s="12">
        <f t="shared" si="254"/>
        <v>56</v>
      </c>
      <c r="BH1080" s="67">
        <v>0</v>
      </c>
      <c r="BI1080" s="67">
        <v>1</v>
      </c>
      <c r="BJ1080" s="67">
        <v>0</v>
      </c>
      <c r="BK1080" s="67">
        <v>0</v>
      </c>
      <c r="BL1080" s="67">
        <v>0</v>
      </c>
      <c r="BM1080" s="67">
        <v>0</v>
      </c>
      <c r="BN1080" s="67">
        <v>1</v>
      </c>
      <c r="BO1080" s="67">
        <v>0</v>
      </c>
      <c r="BP1080" s="67">
        <v>0</v>
      </c>
      <c r="BQ1080" s="67">
        <v>14</v>
      </c>
      <c r="BR1080" s="67">
        <v>0</v>
      </c>
      <c r="BS1080" s="67">
        <v>0</v>
      </c>
      <c r="BT1080" s="67">
        <v>24</v>
      </c>
      <c r="BU1080" s="70">
        <v>0</v>
      </c>
      <c r="BV1080" s="29">
        <f t="shared" si="246"/>
        <v>2.086907157422496</v>
      </c>
      <c r="BW1080">
        <f t="shared" si="247"/>
        <v>3.6088507594124417</v>
      </c>
      <c r="BX1080">
        <f t="shared" si="248"/>
        <v>1.6348496454147534</v>
      </c>
      <c r="BY1080">
        <f t="shared" si="249"/>
        <v>2.1205881656418071</v>
      </c>
      <c r="BZ1080">
        <f t="shared" si="250"/>
        <v>2.3199454169301186</v>
      </c>
      <c r="CA1080">
        <f t="shared" si="251"/>
        <v>0.77459235625178136</v>
      </c>
      <c r="CB1080">
        <f t="shared" si="252"/>
        <v>3.665632418622593</v>
      </c>
    </row>
    <row r="1081" spans="1:80" x14ac:dyDescent="0.45">
      <c r="A1081" s="11">
        <v>39</v>
      </c>
      <c r="B1081" s="12">
        <f t="shared" si="240"/>
        <v>39</v>
      </c>
      <c r="C1081" s="12" t="s">
        <v>59</v>
      </c>
      <c r="D1081" s="12">
        <v>0</v>
      </c>
      <c r="E1081" s="12" t="s">
        <v>53</v>
      </c>
      <c r="F1081" s="12">
        <v>0</v>
      </c>
      <c r="G1081" s="12">
        <v>1</v>
      </c>
      <c r="H1081" s="12" t="s">
        <v>61</v>
      </c>
      <c r="I1081" s="12">
        <v>1</v>
      </c>
      <c r="J1081" s="12">
        <v>0</v>
      </c>
      <c r="K1081" s="12">
        <v>6</v>
      </c>
      <c r="L1081" s="12">
        <f t="shared" si="241"/>
        <v>6</v>
      </c>
      <c r="M1081" s="12">
        <v>3</v>
      </c>
      <c r="N1081" s="12" t="s">
        <v>55</v>
      </c>
      <c r="O1081" s="12">
        <v>1</v>
      </c>
      <c r="P1081" s="12">
        <v>0</v>
      </c>
      <c r="Q1081" s="12">
        <v>0</v>
      </c>
      <c r="R1081" s="12">
        <v>0</v>
      </c>
      <c r="S1081" s="12">
        <v>0</v>
      </c>
      <c r="T1081" s="12">
        <v>2</v>
      </c>
      <c r="U1081" s="12" t="s">
        <v>19</v>
      </c>
      <c r="V1081" s="12">
        <v>1</v>
      </c>
      <c r="W1081" s="12">
        <v>32</v>
      </c>
      <c r="X1081" s="12">
        <v>3</v>
      </c>
      <c r="Y1081" s="12">
        <v>3</v>
      </c>
      <c r="Z1081" s="12" t="s">
        <v>83</v>
      </c>
      <c r="AA1081" s="12">
        <v>0</v>
      </c>
      <c r="AB1081" s="12">
        <v>0</v>
      </c>
      <c r="AC1081" s="12">
        <v>0</v>
      </c>
      <c r="AD1081" s="12">
        <v>0</v>
      </c>
      <c r="AE1081" s="12">
        <v>1</v>
      </c>
      <c r="AF1081" s="12">
        <v>1</v>
      </c>
      <c r="AG1081" s="12">
        <v>0</v>
      </c>
      <c r="AH1081" s="12">
        <v>0</v>
      </c>
      <c r="AI1081" s="12">
        <v>2</v>
      </c>
      <c r="AJ1081" s="12" t="s">
        <v>57</v>
      </c>
      <c r="AK1081" s="12">
        <v>1</v>
      </c>
      <c r="AL1081" s="12">
        <v>0</v>
      </c>
      <c r="AM1081" s="12">
        <v>8376</v>
      </c>
      <c r="AN1081" s="12">
        <f t="shared" si="242"/>
        <v>8376</v>
      </c>
      <c r="AO1081" s="12">
        <v>4</v>
      </c>
      <c r="AP1081" s="12" t="s">
        <v>59</v>
      </c>
      <c r="AQ1081" s="12">
        <v>0</v>
      </c>
      <c r="AR1081" s="12">
        <v>18</v>
      </c>
      <c r="AS1081" s="12">
        <v>3</v>
      </c>
      <c r="AT1081" s="12">
        <v>4</v>
      </c>
      <c r="AU1081" s="12">
        <v>0</v>
      </c>
      <c r="AV1081" s="12">
        <v>9</v>
      </c>
      <c r="AW1081" s="12">
        <f t="shared" si="243"/>
        <v>9</v>
      </c>
      <c r="AX1081" s="12">
        <v>3</v>
      </c>
      <c r="AY1081" s="12">
        <v>3</v>
      </c>
      <c r="AZ1081" s="12">
        <v>2</v>
      </c>
      <c r="BA1081" s="12">
        <f t="shared" si="244"/>
        <v>2</v>
      </c>
      <c r="BB1081" s="12">
        <v>0</v>
      </c>
      <c r="BC1081" s="12">
        <v>2</v>
      </c>
      <c r="BD1081" s="12">
        <f t="shared" si="253"/>
        <v>2</v>
      </c>
      <c r="BE1081" s="12">
        <v>2</v>
      </c>
      <c r="BF1081" s="12">
        <f t="shared" si="245"/>
        <v>2</v>
      </c>
      <c r="BG1081" s="12">
        <f t="shared" si="254"/>
        <v>6</v>
      </c>
      <c r="BH1081" s="67">
        <v>1</v>
      </c>
      <c r="BI1081" s="67">
        <v>0</v>
      </c>
      <c r="BJ1081" s="67">
        <v>0</v>
      </c>
      <c r="BK1081" s="67">
        <v>0</v>
      </c>
      <c r="BL1081" s="67">
        <v>1</v>
      </c>
      <c r="BM1081" s="67">
        <v>0</v>
      </c>
      <c r="BN1081" s="67">
        <v>0</v>
      </c>
      <c r="BO1081" s="67">
        <v>0</v>
      </c>
      <c r="BP1081" s="67">
        <v>0</v>
      </c>
      <c r="BQ1081" s="67">
        <v>2</v>
      </c>
      <c r="BR1081" s="67">
        <v>0</v>
      </c>
      <c r="BS1081" s="67">
        <v>0</v>
      </c>
      <c r="BT1081" s="67">
        <v>9</v>
      </c>
      <c r="BU1081" s="70">
        <v>0</v>
      </c>
      <c r="BV1081" s="29">
        <f t="shared" si="246"/>
        <v>0.3978517207735392</v>
      </c>
      <c r="BW1081">
        <f t="shared" si="247"/>
        <v>0.59502473559756086</v>
      </c>
      <c r="BX1081">
        <f t="shared" si="248"/>
        <v>0.29297722668510823</v>
      </c>
      <c r="BY1081">
        <f t="shared" si="249"/>
        <v>0.81745575848020657</v>
      </c>
      <c r="BZ1081">
        <f t="shared" si="250"/>
        <v>0.39380416832397891</v>
      </c>
      <c r="CA1081">
        <f t="shared" si="251"/>
        <v>0.22726935890025346</v>
      </c>
      <c r="CB1081">
        <f t="shared" si="252"/>
        <v>5.8265062631872602E-2</v>
      </c>
    </row>
    <row r="1082" spans="1:80" x14ac:dyDescent="0.45">
      <c r="A1082" s="11">
        <v>46</v>
      </c>
      <c r="B1082" s="12">
        <f t="shared" si="240"/>
        <v>46</v>
      </c>
      <c r="C1082" s="12" t="s">
        <v>59</v>
      </c>
      <c r="D1082" s="12">
        <v>0</v>
      </c>
      <c r="E1082" s="12" t="s">
        <v>53</v>
      </c>
      <c r="F1082" s="12">
        <v>0</v>
      </c>
      <c r="G1082" s="12">
        <v>1</v>
      </c>
      <c r="H1082" s="12" t="s">
        <v>54</v>
      </c>
      <c r="I1082" s="12">
        <v>0</v>
      </c>
      <c r="J1082" s="12">
        <v>1</v>
      </c>
      <c r="K1082" s="12">
        <v>3</v>
      </c>
      <c r="L1082" s="12">
        <f t="shared" si="241"/>
        <v>3</v>
      </c>
      <c r="M1082" s="12">
        <v>3</v>
      </c>
      <c r="N1082" s="12" t="s">
        <v>55</v>
      </c>
      <c r="O1082" s="12">
        <v>1</v>
      </c>
      <c r="P1082" s="12">
        <v>0</v>
      </c>
      <c r="Q1082" s="12">
        <v>0</v>
      </c>
      <c r="R1082" s="12">
        <v>0</v>
      </c>
      <c r="S1082" s="12">
        <v>0</v>
      </c>
      <c r="T1082" s="12">
        <v>3</v>
      </c>
      <c r="U1082" s="12" t="s">
        <v>19</v>
      </c>
      <c r="V1082" s="12">
        <v>1</v>
      </c>
      <c r="W1082" s="12">
        <v>51</v>
      </c>
      <c r="X1082" s="12">
        <v>3</v>
      </c>
      <c r="Y1082" s="12">
        <v>4</v>
      </c>
      <c r="Z1082" s="12" t="s">
        <v>87</v>
      </c>
      <c r="AA1082" s="12">
        <v>0</v>
      </c>
      <c r="AB1082" s="12">
        <v>0</v>
      </c>
      <c r="AC1082" s="12">
        <v>0</v>
      </c>
      <c r="AD1082" s="12">
        <v>1</v>
      </c>
      <c r="AE1082" s="12">
        <v>0</v>
      </c>
      <c r="AF1082" s="12">
        <v>0</v>
      </c>
      <c r="AG1082" s="12">
        <v>0</v>
      </c>
      <c r="AH1082" s="12">
        <v>0</v>
      </c>
      <c r="AI1082" s="12">
        <v>2</v>
      </c>
      <c r="AJ1082" s="12" t="s">
        <v>64</v>
      </c>
      <c r="AK1082" s="12">
        <v>0</v>
      </c>
      <c r="AL1082" s="12">
        <v>1</v>
      </c>
      <c r="AM1082" s="12">
        <v>16606</v>
      </c>
      <c r="AN1082" s="12">
        <f t="shared" si="242"/>
        <v>16606</v>
      </c>
      <c r="AO1082" s="12">
        <v>8</v>
      </c>
      <c r="AP1082" s="12" t="s">
        <v>59</v>
      </c>
      <c r="AQ1082" s="12">
        <v>0</v>
      </c>
      <c r="AR1082" s="12">
        <v>12</v>
      </c>
      <c r="AS1082" s="12">
        <v>3</v>
      </c>
      <c r="AT1082" s="12">
        <v>4</v>
      </c>
      <c r="AU1082" s="12">
        <v>1</v>
      </c>
      <c r="AV1082" s="12">
        <v>23</v>
      </c>
      <c r="AW1082" s="12">
        <f t="shared" si="243"/>
        <v>23</v>
      </c>
      <c r="AX1082" s="12">
        <v>2</v>
      </c>
      <c r="AY1082" s="12">
        <v>4</v>
      </c>
      <c r="AZ1082" s="12">
        <v>13</v>
      </c>
      <c r="BA1082" s="12">
        <f t="shared" si="244"/>
        <v>13</v>
      </c>
      <c r="BB1082" s="12">
        <v>12</v>
      </c>
      <c r="BC1082" s="12">
        <v>5</v>
      </c>
      <c r="BD1082" s="12">
        <f t="shared" si="253"/>
        <v>5</v>
      </c>
      <c r="BE1082" s="12">
        <v>1</v>
      </c>
      <c r="BF1082" s="12">
        <f t="shared" si="245"/>
        <v>1</v>
      </c>
      <c r="BG1082" s="12">
        <f t="shared" si="254"/>
        <v>4</v>
      </c>
      <c r="BH1082" s="67">
        <v>0</v>
      </c>
      <c r="BI1082" s="67">
        <v>1</v>
      </c>
      <c r="BJ1082" s="67">
        <v>0</v>
      </c>
      <c r="BK1082" s="67">
        <v>0</v>
      </c>
      <c r="BL1082" s="67">
        <v>0</v>
      </c>
      <c r="BM1082" s="67">
        <v>0</v>
      </c>
      <c r="BN1082" s="67">
        <v>1</v>
      </c>
      <c r="BO1082" s="67">
        <v>0</v>
      </c>
      <c r="BP1082" s="67">
        <v>0</v>
      </c>
      <c r="BQ1082" s="67">
        <v>0</v>
      </c>
      <c r="BR1082" s="67">
        <v>1</v>
      </c>
      <c r="BS1082" s="67">
        <v>0</v>
      </c>
      <c r="BT1082" s="67">
        <v>0</v>
      </c>
      <c r="BU1082" s="70">
        <v>23</v>
      </c>
      <c r="BV1082" s="29">
        <f t="shared" si="246"/>
        <v>2.1459561276675174</v>
      </c>
      <c r="BW1082">
        <f t="shared" si="247"/>
        <v>0.87528310193156111</v>
      </c>
      <c r="BX1082">
        <f t="shared" si="248"/>
        <v>1.5063278539414293</v>
      </c>
      <c r="BY1082">
        <f t="shared" si="249"/>
        <v>0.97801552848324624</v>
      </c>
      <c r="BZ1082">
        <f t="shared" si="250"/>
        <v>0.76386092994953758</v>
      </c>
      <c r="CA1082">
        <f t="shared" si="251"/>
        <v>0.99352155519239249</v>
      </c>
      <c r="CB1082">
        <f t="shared" si="252"/>
        <v>0.87270930768174382</v>
      </c>
    </row>
    <row r="1083" spans="1:80" x14ac:dyDescent="0.45">
      <c r="A1083" s="11">
        <v>35</v>
      </c>
      <c r="B1083" s="12">
        <f t="shared" si="240"/>
        <v>35</v>
      </c>
      <c r="C1083" s="12" t="s">
        <v>59</v>
      </c>
      <c r="D1083" s="12">
        <v>0</v>
      </c>
      <c r="E1083" s="12" t="s">
        <v>53</v>
      </c>
      <c r="F1083" s="12">
        <v>0</v>
      </c>
      <c r="G1083" s="12">
        <v>1</v>
      </c>
      <c r="H1083" s="12" t="s">
        <v>61</v>
      </c>
      <c r="I1083" s="12">
        <v>1</v>
      </c>
      <c r="J1083" s="12">
        <v>0</v>
      </c>
      <c r="K1083" s="12">
        <v>16</v>
      </c>
      <c r="L1083" s="12">
        <f t="shared" si="241"/>
        <v>16</v>
      </c>
      <c r="M1083" s="12">
        <v>3</v>
      </c>
      <c r="N1083" s="12" t="s">
        <v>55</v>
      </c>
      <c r="O1083" s="12">
        <v>1</v>
      </c>
      <c r="P1083" s="12">
        <v>0</v>
      </c>
      <c r="Q1083" s="12">
        <v>0</v>
      </c>
      <c r="R1083" s="12">
        <v>0</v>
      </c>
      <c r="S1083" s="12">
        <v>0</v>
      </c>
      <c r="T1083" s="12">
        <v>4</v>
      </c>
      <c r="U1083" s="12" t="s">
        <v>19</v>
      </c>
      <c r="V1083" s="12">
        <v>1</v>
      </c>
      <c r="W1083" s="12">
        <v>91</v>
      </c>
      <c r="X1083" s="12">
        <v>2</v>
      </c>
      <c r="Y1083" s="12">
        <v>3</v>
      </c>
      <c r="Z1083" s="12" t="s">
        <v>85</v>
      </c>
      <c r="AA1083" s="12">
        <v>1</v>
      </c>
      <c r="AB1083" s="12">
        <v>0</v>
      </c>
      <c r="AC1083" s="12">
        <v>0</v>
      </c>
      <c r="AD1083" s="12">
        <v>0</v>
      </c>
      <c r="AE1083" s="12">
        <v>0</v>
      </c>
      <c r="AF1083" s="12">
        <v>0</v>
      </c>
      <c r="AG1083" s="12">
        <v>0</v>
      </c>
      <c r="AH1083" s="12">
        <v>0</v>
      </c>
      <c r="AI1083" s="12">
        <v>2</v>
      </c>
      <c r="AJ1083" s="12" t="s">
        <v>57</v>
      </c>
      <c r="AK1083" s="12">
        <v>1</v>
      </c>
      <c r="AL1083" s="12">
        <v>0</v>
      </c>
      <c r="AM1083" s="12">
        <v>8606</v>
      </c>
      <c r="AN1083" s="12">
        <f t="shared" si="242"/>
        <v>8606</v>
      </c>
      <c r="AO1083" s="12">
        <v>1</v>
      </c>
      <c r="AP1083" s="12" t="s">
        <v>59</v>
      </c>
      <c r="AQ1083" s="12">
        <v>0</v>
      </c>
      <c r="AR1083" s="12">
        <v>19</v>
      </c>
      <c r="AS1083" s="12">
        <v>3</v>
      </c>
      <c r="AT1083" s="12">
        <v>4</v>
      </c>
      <c r="AU1083" s="12">
        <v>0</v>
      </c>
      <c r="AV1083" s="12">
        <v>11</v>
      </c>
      <c r="AW1083" s="12">
        <f t="shared" si="243"/>
        <v>11</v>
      </c>
      <c r="AX1083" s="12">
        <v>3</v>
      </c>
      <c r="AY1083" s="12">
        <v>1</v>
      </c>
      <c r="AZ1083" s="12">
        <v>11</v>
      </c>
      <c r="BA1083" s="12">
        <f t="shared" si="244"/>
        <v>11</v>
      </c>
      <c r="BB1083" s="12">
        <v>8</v>
      </c>
      <c r="BC1083" s="12">
        <v>3</v>
      </c>
      <c r="BD1083" s="12">
        <f t="shared" si="253"/>
        <v>3</v>
      </c>
      <c r="BE1083" s="12">
        <v>3</v>
      </c>
      <c r="BF1083" s="12">
        <f t="shared" si="245"/>
        <v>3</v>
      </c>
      <c r="BG1083" s="12">
        <f t="shared" si="254"/>
        <v>9</v>
      </c>
      <c r="BH1083" s="67">
        <v>1</v>
      </c>
      <c r="BI1083" s="67">
        <v>0</v>
      </c>
      <c r="BJ1083" s="67">
        <v>0</v>
      </c>
      <c r="BK1083" s="67">
        <v>0</v>
      </c>
      <c r="BL1083" s="67">
        <v>1</v>
      </c>
      <c r="BM1083" s="67">
        <v>0</v>
      </c>
      <c r="BN1083" s="67">
        <v>0</v>
      </c>
      <c r="BO1083" s="67">
        <v>0</v>
      </c>
      <c r="BP1083" s="67">
        <v>0</v>
      </c>
      <c r="BQ1083" s="67">
        <v>3</v>
      </c>
      <c r="BR1083" s="67">
        <v>0</v>
      </c>
      <c r="BS1083" s="67">
        <v>0</v>
      </c>
      <c r="BT1083" s="67">
        <v>11</v>
      </c>
      <c r="BU1083" s="70">
        <v>0</v>
      </c>
      <c r="BV1083" s="29">
        <f t="shared" si="246"/>
        <v>0.44670518536474391</v>
      </c>
      <c r="BW1083">
        <f t="shared" si="247"/>
        <v>0.31476636926356072</v>
      </c>
      <c r="BX1083">
        <f t="shared" si="248"/>
        <v>3.593364373846001E-2</v>
      </c>
      <c r="BY1083">
        <f t="shared" si="249"/>
        <v>0.65156620358080031</v>
      </c>
      <c r="BZ1083">
        <f t="shared" si="250"/>
        <v>0.83971837042788355</v>
      </c>
      <c r="CA1083">
        <f t="shared" si="251"/>
        <v>0.21058903898096887</v>
      </c>
      <c r="CB1083">
        <f t="shared" si="252"/>
        <v>0.2520597274726662</v>
      </c>
    </row>
    <row r="1084" spans="1:80" x14ac:dyDescent="0.45">
      <c r="A1084" s="11">
        <v>23</v>
      </c>
      <c r="B1084" s="12">
        <f t="shared" si="240"/>
        <v>23</v>
      </c>
      <c r="C1084" s="12" t="s">
        <v>59</v>
      </c>
      <c r="D1084" s="12">
        <v>0</v>
      </c>
      <c r="E1084" s="12" t="s">
        <v>53</v>
      </c>
      <c r="F1084" s="12">
        <v>0</v>
      </c>
      <c r="G1084" s="12">
        <v>1</v>
      </c>
      <c r="H1084" s="12" t="s">
        <v>61</v>
      </c>
      <c r="I1084" s="12">
        <v>1</v>
      </c>
      <c r="J1084" s="12">
        <v>0</v>
      </c>
      <c r="K1084" s="12">
        <v>20</v>
      </c>
      <c r="L1084" s="12">
        <f t="shared" si="241"/>
        <v>20</v>
      </c>
      <c r="M1084" s="12">
        <v>1</v>
      </c>
      <c r="N1084" s="12" t="s">
        <v>55</v>
      </c>
      <c r="O1084" s="12">
        <v>1</v>
      </c>
      <c r="P1084" s="12">
        <v>0</v>
      </c>
      <c r="Q1084" s="12">
        <v>0</v>
      </c>
      <c r="R1084" s="12">
        <v>0</v>
      </c>
      <c r="S1084" s="12">
        <v>0</v>
      </c>
      <c r="T1084" s="12">
        <v>1</v>
      </c>
      <c r="U1084" s="12" t="s">
        <v>62</v>
      </c>
      <c r="V1084" s="12">
        <v>0</v>
      </c>
      <c r="W1084" s="12">
        <v>97</v>
      </c>
      <c r="X1084" s="12">
        <v>3</v>
      </c>
      <c r="Y1084" s="12">
        <v>2</v>
      </c>
      <c r="Z1084" s="12" t="s">
        <v>67</v>
      </c>
      <c r="AA1084" s="12">
        <v>0</v>
      </c>
      <c r="AB1084" s="12">
        <v>0</v>
      </c>
      <c r="AC1084" s="12">
        <v>1</v>
      </c>
      <c r="AD1084" s="12">
        <v>0</v>
      </c>
      <c r="AE1084" s="12">
        <v>0</v>
      </c>
      <c r="AF1084" s="12">
        <v>0</v>
      </c>
      <c r="AG1084" s="12">
        <v>0</v>
      </c>
      <c r="AH1084" s="12">
        <v>0</v>
      </c>
      <c r="AI1084" s="12">
        <v>3</v>
      </c>
      <c r="AJ1084" s="12" t="s">
        <v>57</v>
      </c>
      <c r="AK1084" s="12">
        <v>1</v>
      </c>
      <c r="AL1084" s="12">
        <v>0</v>
      </c>
      <c r="AM1084" s="12">
        <v>2272</v>
      </c>
      <c r="AN1084" s="12">
        <f t="shared" si="242"/>
        <v>2272</v>
      </c>
      <c r="AO1084" s="12">
        <v>0</v>
      </c>
      <c r="AP1084" s="12" t="s">
        <v>59</v>
      </c>
      <c r="AQ1084" s="12">
        <v>0</v>
      </c>
      <c r="AR1084" s="12">
        <v>14</v>
      </c>
      <c r="AS1084" s="12">
        <v>3</v>
      </c>
      <c r="AT1084" s="12">
        <v>2</v>
      </c>
      <c r="AU1084" s="12">
        <v>0</v>
      </c>
      <c r="AV1084" s="12">
        <v>5</v>
      </c>
      <c r="AW1084" s="12">
        <f t="shared" si="243"/>
        <v>5</v>
      </c>
      <c r="AX1084" s="12">
        <v>2</v>
      </c>
      <c r="AY1084" s="12">
        <v>3</v>
      </c>
      <c r="AZ1084" s="12">
        <v>4</v>
      </c>
      <c r="BA1084" s="12">
        <f t="shared" si="244"/>
        <v>4</v>
      </c>
      <c r="BB1084" s="12">
        <v>3</v>
      </c>
      <c r="BC1084" s="12">
        <v>1</v>
      </c>
      <c r="BD1084" s="12">
        <f t="shared" si="253"/>
        <v>1</v>
      </c>
      <c r="BE1084" s="12">
        <v>2</v>
      </c>
      <c r="BF1084" s="12">
        <f t="shared" si="245"/>
        <v>2</v>
      </c>
      <c r="BG1084" s="12">
        <f t="shared" si="254"/>
        <v>4</v>
      </c>
      <c r="BH1084" s="67">
        <v>1</v>
      </c>
      <c r="BI1084" s="67">
        <v>0</v>
      </c>
      <c r="BJ1084" s="67">
        <v>0</v>
      </c>
      <c r="BK1084" s="67">
        <v>0</v>
      </c>
      <c r="BL1084" s="67">
        <v>1</v>
      </c>
      <c r="BM1084" s="67">
        <v>0</v>
      </c>
      <c r="BN1084" s="67">
        <v>0</v>
      </c>
      <c r="BO1084" s="67">
        <v>0</v>
      </c>
      <c r="BP1084" s="67">
        <v>0</v>
      </c>
      <c r="BQ1084" s="67">
        <v>2</v>
      </c>
      <c r="BR1084" s="67">
        <v>0</v>
      </c>
      <c r="BS1084" s="67">
        <v>0</v>
      </c>
      <c r="BT1084" s="67">
        <v>5</v>
      </c>
      <c r="BU1084" s="70">
        <v>0</v>
      </c>
      <c r="BV1084" s="29">
        <f t="shared" si="246"/>
        <v>0.89867674820347687</v>
      </c>
      <c r="BW1084">
        <f t="shared" si="247"/>
        <v>0.59502473559756086</v>
      </c>
      <c r="BX1084">
        <f t="shared" si="248"/>
        <v>0.80706439257840468</v>
      </c>
      <c r="BY1084">
        <f t="shared" si="249"/>
        <v>0.49100643357776058</v>
      </c>
      <c r="BZ1084">
        <f t="shared" si="250"/>
        <v>1.3331273859286286</v>
      </c>
      <c r="CA1084">
        <f t="shared" si="251"/>
        <v>1.5241642326246359</v>
      </c>
      <c r="CB1084">
        <f t="shared" si="252"/>
        <v>0.36858985273641137</v>
      </c>
    </row>
    <row r="1085" spans="1:80" x14ac:dyDescent="0.45">
      <c r="A1085" s="11">
        <v>40</v>
      </c>
      <c r="B1085" s="12">
        <f t="shared" si="240"/>
        <v>40</v>
      </c>
      <c r="C1085" s="12" t="s">
        <v>52</v>
      </c>
      <c r="D1085" s="12">
        <v>1</v>
      </c>
      <c r="E1085" s="12" t="s">
        <v>53</v>
      </c>
      <c r="F1085" s="12">
        <v>0</v>
      </c>
      <c r="G1085" s="12">
        <v>1</v>
      </c>
      <c r="H1085" s="12" t="s">
        <v>61</v>
      </c>
      <c r="I1085" s="12">
        <v>1</v>
      </c>
      <c r="J1085" s="12">
        <v>0</v>
      </c>
      <c r="K1085" s="12">
        <v>9</v>
      </c>
      <c r="L1085" s="12">
        <f t="shared" si="241"/>
        <v>9</v>
      </c>
      <c r="M1085" s="12">
        <v>4</v>
      </c>
      <c r="N1085" s="12" t="s">
        <v>55</v>
      </c>
      <c r="O1085" s="12">
        <v>1</v>
      </c>
      <c r="P1085" s="12">
        <v>0</v>
      </c>
      <c r="Q1085" s="12">
        <v>0</v>
      </c>
      <c r="R1085" s="12">
        <v>0</v>
      </c>
      <c r="S1085" s="12">
        <v>0</v>
      </c>
      <c r="T1085" s="12">
        <v>4</v>
      </c>
      <c r="U1085" s="12" t="s">
        <v>62</v>
      </c>
      <c r="V1085" s="12">
        <v>0</v>
      </c>
      <c r="W1085" s="12">
        <v>86</v>
      </c>
      <c r="X1085" s="12">
        <v>3</v>
      </c>
      <c r="Y1085" s="12">
        <v>1</v>
      </c>
      <c r="Z1085" s="12" t="s">
        <v>67</v>
      </c>
      <c r="AA1085" s="12">
        <v>0</v>
      </c>
      <c r="AB1085" s="12">
        <v>0</v>
      </c>
      <c r="AC1085" s="12">
        <v>1</v>
      </c>
      <c r="AD1085" s="12">
        <v>0</v>
      </c>
      <c r="AE1085" s="12">
        <v>0</v>
      </c>
      <c r="AF1085" s="12">
        <v>0</v>
      </c>
      <c r="AG1085" s="12">
        <v>0</v>
      </c>
      <c r="AH1085" s="12">
        <v>0</v>
      </c>
      <c r="AI1085" s="12">
        <v>1</v>
      </c>
      <c r="AJ1085" s="12" t="s">
        <v>57</v>
      </c>
      <c r="AK1085" s="12">
        <v>1</v>
      </c>
      <c r="AL1085" s="12">
        <v>0</v>
      </c>
      <c r="AM1085" s="12">
        <v>2018</v>
      </c>
      <c r="AN1085" s="12">
        <f t="shared" si="242"/>
        <v>2018</v>
      </c>
      <c r="AO1085" s="12">
        <v>3</v>
      </c>
      <c r="AP1085" s="12" t="s">
        <v>59</v>
      </c>
      <c r="AQ1085" s="12">
        <v>0</v>
      </c>
      <c r="AR1085" s="12">
        <v>14</v>
      </c>
      <c r="AS1085" s="12">
        <v>3</v>
      </c>
      <c r="AT1085" s="12">
        <v>2</v>
      </c>
      <c r="AU1085" s="12">
        <v>0</v>
      </c>
      <c r="AV1085" s="12">
        <v>15</v>
      </c>
      <c r="AW1085" s="12">
        <f t="shared" si="243"/>
        <v>15</v>
      </c>
      <c r="AX1085" s="12">
        <v>3</v>
      </c>
      <c r="AY1085" s="12">
        <v>1</v>
      </c>
      <c r="AZ1085" s="12">
        <v>5</v>
      </c>
      <c r="BA1085" s="12">
        <f t="shared" si="244"/>
        <v>5</v>
      </c>
      <c r="BB1085" s="12">
        <v>4</v>
      </c>
      <c r="BC1085" s="12">
        <v>1</v>
      </c>
      <c r="BD1085" s="12">
        <f t="shared" si="253"/>
        <v>1</v>
      </c>
      <c r="BE1085" s="12">
        <v>0</v>
      </c>
      <c r="BF1085" s="12">
        <f t="shared" si="245"/>
        <v>0</v>
      </c>
      <c r="BG1085" s="12">
        <f t="shared" si="254"/>
        <v>0</v>
      </c>
      <c r="BH1085" s="67">
        <v>1</v>
      </c>
      <c r="BI1085" s="67">
        <v>0</v>
      </c>
      <c r="BJ1085" s="67">
        <v>0</v>
      </c>
      <c r="BK1085" s="67">
        <v>0</v>
      </c>
      <c r="BL1085" s="67">
        <v>1</v>
      </c>
      <c r="BM1085" s="67">
        <v>0</v>
      </c>
      <c r="BN1085" s="67">
        <v>0</v>
      </c>
      <c r="BO1085" s="67">
        <v>0</v>
      </c>
      <c r="BP1085" s="67">
        <v>0</v>
      </c>
      <c r="BQ1085" s="67">
        <v>0</v>
      </c>
      <c r="BR1085" s="67">
        <v>0</v>
      </c>
      <c r="BS1085" s="67">
        <v>0</v>
      </c>
      <c r="BT1085" s="67">
        <v>15</v>
      </c>
      <c r="BU1085" s="70">
        <v>0</v>
      </c>
      <c r="BV1085" s="29">
        <f t="shared" si="246"/>
        <v>0.95262796562158991</v>
      </c>
      <c r="BW1085">
        <f t="shared" si="247"/>
        <v>1.1555414682655611</v>
      </c>
      <c r="BX1085">
        <f t="shared" si="248"/>
        <v>0.47815352215483642</v>
      </c>
      <c r="BY1085">
        <f t="shared" si="249"/>
        <v>0.32778177112653761</v>
      </c>
      <c r="BZ1085">
        <f t="shared" si="250"/>
        <v>2.3747406698420157E-2</v>
      </c>
      <c r="CA1085">
        <f t="shared" si="251"/>
        <v>0.33673395837055903</v>
      </c>
      <c r="CB1085">
        <f t="shared" si="252"/>
        <v>0.36858985273641137</v>
      </c>
    </row>
    <row r="1086" spans="1:80" x14ac:dyDescent="0.45">
      <c r="A1086" s="11">
        <v>34</v>
      </c>
      <c r="B1086" s="12">
        <f t="shared" si="240"/>
        <v>34</v>
      </c>
      <c r="C1086" s="12" t="s">
        <v>59</v>
      </c>
      <c r="D1086" s="12">
        <v>0</v>
      </c>
      <c r="E1086" s="12" t="s">
        <v>53</v>
      </c>
      <c r="F1086" s="12">
        <v>0</v>
      </c>
      <c r="G1086" s="12">
        <v>1</v>
      </c>
      <c r="H1086" s="12" t="s">
        <v>54</v>
      </c>
      <c r="I1086" s="12">
        <v>0</v>
      </c>
      <c r="J1086" s="12">
        <v>1</v>
      </c>
      <c r="K1086" s="12">
        <v>1</v>
      </c>
      <c r="L1086" s="12">
        <f t="shared" si="241"/>
        <v>1</v>
      </c>
      <c r="M1086" s="12">
        <v>3</v>
      </c>
      <c r="N1086" s="12" t="s">
        <v>91</v>
      </c>
      <c r="O1086" s="12">
        <v>0</v>
      </c>
      <c r="P1086" s="12">
        <v>0</v>
      </c>
      <c r="Q1086" s="12">
        <v>0</v>
      </c>
      <c r="R1086" s="12">
        <v>0</v>
      </c>
      <c r="S1086" s="12">
        <v>1</v>
      </c>
      <c r="T1086" s="12">
        <v>4</v>
      </c>
      <c r="U1086" s="12" t="s">
        <v>62</v>
      </c>
      <c r="V1086" s="12">
        <v>0</v>
      </c>
      <c r="W1086" s="12">
        <v>64</v>
      </c>
      <c r="X1086" s="12">
        <v>2</v>
      </c>
      <c r="Y1086" s="12">
        <v>3</v>
      </c>
      <c r="Z1086" s="12" t="s">
        <v>56</v>
      </c>
      <c r="AA1086" s="12">
        <v>0</v>
      </c>
      <c r="AB1086" s="12">
        <v>1</v>
      </c>
      <c r="AC1086" s="12">
        <v>0</v>
      </c>
      <c r="AD1086" s="12">
        <v>0</v>
      </c>
      <c r="AE1086" s="12">
        <v>0</v>
      </c>
      <c r="AF1086" s="12">
        <v>0</v>
      </c>
      <c r="AG1086" s="12">
        <v>0</v>
      </c>
      <c r="AH1086" s="12">
        <v>0</v>
      </c>
      <c r="AI1086" s="12">
        <v>3</v>
      </c>
      <c r="AJ1086" s="12" t="s">
        <v>64</v>
      </c>
      <c r="AK1086" s="12">
        <v>0</v>
      </c>
      <c r="AL1086" s="12">
        <v>1</v>
      </c>
      <c r="AM1086" s="12">
        <v>7083</v>
      </c>
      <c r="AN1086" s="12">
        <f t="shared" si="242"/>
        <v>7083</v>
      </c>
      <c r="AO1086" s="12">
        <v>1</v>
      </c>
      <c r="AP1086" s="12" t="s">
        <v>52</v>
      </c>
      <c r="AQ1086" s="12">
        <v>1</v>
      </c>
      <c r="AR1086" s="12">
        <v>14</v>
      </c>
      <c r="AS1086" s="12">
        <v>3</v>
      </c>
      <c r="AT1086" s="12">
        <v>4</v>
      </c>
      <c r="AU1086" s="12">
        <v>0</v>
      </c>
      <c r="AV1086" s="12">
        <v>10</v>
      </c>
      <c r="AW1086" s="12">
        <f t="shared" si="243"/>
        <v>10</v>
      </c>
      <c r="AX1086" s="12">
        <v>3</v>
      </c>
      <c r="AY1086" s="12">
        <v>3</v>
      </c>
      <c r="AZ1086" s="12">
        <v>10</v>
      </c>
      <c r="BA1086" s="12">
        <f t="shared" si="244"/>
        <v>10</v>
      </c>
      <c r="BB1086" s="12">
        <v>9</v>
      </c>
      <c r="BC1086" s="12">
        <v>8</v>
      </c>
      <c r="BD1086" s="12">
        <f t="shared" si="253"/>
        <v>8</v>
      </c>
      <c r="BE1086" s="12">
        <v>6</v>
      </c>
      <c r="BF1086" s="12">
        <f t="shared" si="245"/>
        <v>6</v>
      </c>
      <c r="BG1086" s="12">
        <f t="shared" si="254"/>
        <v>18</v>
      </c>
      <c r="BH1086" s="67">
        <v>0</v>
      </c>
      <c r="BI1086" s="67">
        <v>1</v>
      </c>
      <c r="BJ1086" s="67">
        <v>0</v>
      </c>
      <c r="BK1086" s="67">
        <v>0</v>
      </c>
      <c r="BL1086" s="67">
        <v>0</v>
      </c>
      <c r="BM1086" s="67">
        <v>0</v>
      </c>
      <c r="BN1086" s="67">
        <v>0</v>
      </c>
      <c r="BO1086" s="67">
        <v>1</v>
      </c>
      <c r="BP1086" s="67">
        <v>0</v>
      </c>
      <c r="BQ1086" s="67">
        <v>0</v>
      </c>
      <c r="BR1086" s="67">
        <v>6</v>
      </c>
      <c r="BS1086" s="67">
        <v>0</v>
      </c>
      <c r="BT1086" s="67">
        <v>0</v>
      </c>
      <c r="BU1086" s="70">
        <v>10</v>
      </c>
      <c r="BV1086" s="29">
        <f t="shared" si="246"/>
        <v>0.12321028722385345</v>
      </c>
      <c r="BW1086">
        <f t="shared" si="247"/>
        <v>0.52600872973843971</v>
      </c>
      <c r="BX1086">
        <f t="shared" si="248"/>
        <v>0.1644554352117841</v>
      </c>
      <c r="BY1086">
        <f t="shared" si="249"/>
        <v>0.48834154112957734</v>
      </c>
      <c r="BZ1086">
        <f t="shared" si="250"/>
        <v>1.01056543769991</v>
      </c>
      <c r="CA1086">
        <f t="shared" si="251"/>
        <v>0.32005363845127444</v>
      </c>
      <c r="CB1086">
        <f t="shared" si="252"/>
        <v>1.8036836779953602</v>
      </c>
    </row>
    <row r="1087" spans="1:80" x14ac:dyDescent="0.45">
      <c r="A1087" s="11">
        <v>31</v>
      </c>
      <c r="B1087" s="12">
        <f t="shared" si="240"/>
        <v>31</v>
      </c>
      <c r="C1087" s="12" t="s">
        <v>52</v>
      </c>
      <c r="D1087" s="12">
        <v>1</v>
      </c>
      <c r="E1087" s="12" t="s">
        <v>60</v>
      </c>
      <c r="F1087" s="12">
        <v>1</v>
      </c>
      <c r="G1087" s="12">
        <v>0</v>
      </c>
      <c r="H1087" s="12" t="s">
        <v>61</v>
      </c>
      <c r="I1087" s="12">
        <v>1</v>
      </c>
      <c r="J1087" s="12">
        <v>0</v>
      </c>
      <c r="K1087" s="12">
        <v>3</v>
      </c>
      <c r="L1087" s="12">
        <f t="shared" si="241"/>
        <v>3</v>
      </c>
      <c r="M1087" s="12">
        <v>3</v>
      </c>
      <c r="N1087" s="12" t="s">
        <v>55</v>
      </c>
      <c r="O1087" s="12">
        <v>1</v>
      </c>
      <c r="P1087" s="12">
        <v>0</v>
      </c>
      <c r="Q1087" s="12">
        <v>0</v>
      </c>
      <c r="R1087" s="12">
        <v>0</v>
      </c>
      <c r="S1087" s="12">
        <v>0</v>
      </c>
      <c r="T1087" s="12">
        <v>4</v>
      </c>
      <c r="U1087" s="12" t="s">
        <v>19</v>
      </c>
      <c r="V1087" s="12">
        <v>1</v>
      </c>
      <c r="W1087" s="12">
        <v>33</v>
      </c>
      <c r="X1087" s="12">
        <v>3</v>
      </c>
      <c r="Y1087" s="12">
        <v>1</v>
      </c>
      <c r="Z1087" s="12" t="s">
        <v>63</v>
      </c>
      <c r="AA1087" s="12">
        <v>0</v>
      </c>
      <c r="AB1087" s="12">
        <v>0</v>
      </c>
      <c r="AC1087" s="12">
        <v>0</v>
      </c>
      <c r="AD1087" s="12">
        <v>0</v>
      </c>
      <c r="AE1087" s="12">
        <v>0</v>
      </c>
      <c r="AF1087" s="12">
        <v>0</v>
      </c>
      <c r="AG1087" s="12">
        <v>0</v>
      </c>
      <c r="AH1087" s="12">
        <v>1</v>
      </c>
      <c r="AI1087" s="12">
        <v>3</v>
      </c>
      <c r="AJ1087" s="12" t="s">
        <v>57</v>
      </c>
      <c r="AK1087" s="12">
        <v>1</v>
      </c>
      <c r="AL1087" s="12">
        <v>0</v>
      </c>
      <c r="AM1087" s="12">
        <v>4084</v>
      </c>
      <c r="AN1087" s="12">
        <f t="shared" si="242"/>
        <v>4084</v>
      </c>
      <c r="AO1087" s="12">
        <v>1</v>
      </c>
      <c r="AP1087" s="12" t="s">
        <v>59</v>
      </c>
      <c r="AQ1087" s="12">
        <v>0</v>
      </c>
      <c r="AR1087" s="12">
        <v>12</v>
      </c>
      <c r="AS1087" s="12">
        <v>3</v>
      </c>
      <c r="AT1087" s="12">
        <v>1</v>
      </c>
      <c r="AU1087" s="12">
        <v>0</v>
      </c>
      <c r="AV1087" s="12">
        <v>7</v>
      </c>
      <c r="AW1087" s="12">
        <f t="shared" si="243"/>
        <v>7</v>
      </c>
      <c r="AX1087" s="12">
        <v>2</v>
      </c>
      <c r="AY1087" s="12">
        <v>1</v>
      </c>
      <c r="AZ1087" s="12">
        <v>7</v>
      </c>
      <c r="BA1087" s="12">
        <f t="shared" si="244"/>
        <v>7</v>
      </c>
      <c r="BB1087" s="12">
        <v>2</v>
      </c>
      <c r="BC1087" s="12">
        <v>7</v>
      </c>
      <c r="BD1087" s="12">
        <f t="shared" si="253"/>
        <v>7</v>
      </c>
      <c r="BE1087" s="12">
        <v>7</v>
      </c>
      <c r="BF1087" s="12">
        <f t="shared" si="245"/>
        <v>7</v>
      </c>
      <c r="BG1087" s="12">
        <f t="shared" si="254"/>
        <v>7</v>
      </c>
      <c r="BH1087" s="67">
        <v>0</v>
      </c>
      <c r="BI1087" s="67">
        <v>0</v>
      </c>
      <c r="BJ1087" s="67">
        <v>1</v>
      </c>
      <c r="BK1087" s="67">
        <v>0</v>
      </c>
      <c r="BL1087" s="67">
        <v>1</v>
      </c>
      <c r="BM1087" s="67">
        <v>0</v>
      </c>
      <c r="BN1087" s="67">
        <v>0</v>
      </c>
      <c r="BO1087" s="67">
        <v>0</v>
      </c>
      <c r="BP1087" s="67">
        <v>0</v>
      </c>
      <c r="BQ1087" s="67">
        <v>7</v>
      </c>
      <c r="BR1087" s="67">
        <v>0</v>
      </c>
      <c r="BS1087" s="67">
        <v>0</v>
      </c>
      <c r="BT1087" s="67">
        <v>7</v>
      </c>
      <c r="BU1087" s="70">
        <v>0</v>
      </c>
      <c r="BV1087" s="29">
        <f t="shared" si="246"/>
        <v>0.51379640977189867</v>
      </c>
      <c r="BW1087">
        <f t="shared" si="247"/>
        <v>0.80626709607243985</v>
      </c>
      <c r="BX1087">
        <f t="shared" si="248"/>
        <v>0.55002080963175637</v>
      </c>
      <c r="BY1087">
        <f t="shared" si="249"/>
        <v>1.3324462240916321E-3</v>
      </c>
      <c r="BZ1087">
        <f t="shared" si="250"/>
        <v>0.76386092994953758</v>
      </c>
      <c r="CA1087">
        <f t="shared" si="251"/>
        <v>0.6484474368621912</v>
      </c>
      <c r="CB1087">
        <f t="shared" si="252"/>
        <v>1.4933588878908215</v>
      </c>
    </row>
    <row r="1088" spans="1:80" x14ac:dyDescent="0.45">
      <c r="A1088" s="11">
        <v>50</v>
      </c>
      <c r="B1088" s="12">
        <f t="shared" si="240"/>
        <v>50</v>
      </c>
      <c r="C1088" s="12" t="s">
        <v>59</v>
      </c>
      <c r="D1088" s="12">
        <v>0</v>
      </c>
      <c r="E1088" s="12" t="s">
        <v>60</v>
      </c>
      <c r="F1088" s="12">
        <v>1</v>
      </c>
      <c r="G1088" s="12">
        <v>0</v>
      </c>
      <c r="H1088" s="12" t="s">
        <v>61</v>
      </c>
      <c r="I1088" s="12">
        <v>1</v>
      </c>
      <c r="J1088" s="12">
        <v>0</v>
      </c>
      <c r="K1088" s="12">
        <v>22</v>
      </c>
      <c r="L1088" s="12">
        <f t="shared" si="241"/>
        <v>22</v>
      </c>
      <c r="M1088" s="12">
        <v>5</v>
      </c>
      <c r="N1088" s="12" t="s">
        <v>70</v>
      </c>
      <c r="O1088" s="12">
        <v>0</v>
      </c>
      <c r="P1088" s="12">
        <v>0</v>
      </c>
      <c r="Q1088" s="12">
        <v>1</v>
      </c>
      <c r="R1088" s="12">
        <v>0</v>
      </c>
      <c r="S1088" s="12">
        <v>0</v>
      </c>
      <c r="T1088" s="12">
        <v>3</v>
      </c>
      <c r="U1088" s="12" t="s">
        <v>62</v>
      </c>
      <c r="V1088" s="12">
        <v>0</v>
      </c>
      <c r="W1088" s="12">
        <v>88</v>
      </c>
      <c r="X1088" s="12">
        <v>1</v>
      </c>
      <c r="Y1088" s="12">
        <v>4</v>
      </c>
      <c r="Z1088" s="12" t="s">
        <v>89</v>
      </c>
      <c r="AA1088" s="12">
        <v>0</v>
      </c>
      <c r="AB1088" s="12">
        <v>0</v>
      </c>
      <c r="AC1088" s="12">
        <v>0</v>
      </c>
      <c r="AD1088" s="12">
        <v>0</v>
      </c>
      <c r="AE1088" s="12">
        <v>0</v>
      </c>
      <c r="AF1088" s="12">
        <v>0</v>
      </c>
      <c r="AG1088" s="12">
        <v>0</v>
      </c>
      <c r="AH1088" s="12">
        <v>0</v>
      </c>
      <c r="AI1088" s="12">
        <v>4</v>
      </c>
      <c r="AJ1088" s="12" t="s">
        <v>57</v>
      </c>
      <c r="AK1088" s="12">
        <v>1</v>
      </c>
      <c r="AL1088" s="12">
        <v>0</v>
      </c>
      <c r="AM1088" s="12">
        <v>14411</v>
      </c>
      <c r="AN1088" s="12">
        <f t="shared" si="242"/>
        <v>14411</v>
      </c>
      <c r="AO1088" s="12">
        <v>1</v>
      </c>
      <c r="AP1088" s="12" t="s">
        <v>52</v>
      </c>
      <c r="AQ1088" s="12">
        <v>1</v>
      </c>
      <c r="AR1088" s="12">
        <v>13</v>
      </c>
      <c r="AS1088" s="12">
        <v>3</v>
      </c>
      <c r="AT1088" s="12">
        <v>4</v>
      </c>
      <c r="AU1088" s="12">
        <v>0</v>
      </c>
      <c r="AV1088" s="12">
        <v>32</v>
      </c>
      <c r="AW1088" s="12">
        <f t="shared" si="243"/>
        <v>32</v>
      </c>
      <c r="AX1088" s="12">
        <v>2</v>
      </c>
      <c r="AY1088" s="12">
        <v>3</v>
      </c>
      <c r="AZ1088" s="12">
        <v>32</v>
      </c>
      <c r="BA1088" s="12">
        <f t="shared" si="244"/>
        <v>31</v>
      </c>
      <c r="BB1088" s="12">
        <v>6</v>
      </c>
      <c r="BC1088" s="12">
        <v>13</v>
      </c>
      <c r="BD1088" s="12">
        <f t="shared" si="253"/>
        <v>13</v>
      </c>
      <c r="BE1088" s="12">
        <v>9</v>
      </c>
      <c r="BF1088" s="12">
        <f t="shared" si="245"/>
        <v>9</v>
      </c>
      <c r="BG1088" s="12">
        <f t="shared" si="254"/>
        <v>36</v>
      </c>
      <c r="BH1088" s="67">
        <v>0</v>
      </c>
      <c r="BI1088" s="67">
        <v>0</v>
      </c>
      <c r="BJ1088" s="67">
        <v>1</v>
      </c>
      <c r="BK1088" s="67">
        <v>0</v>
      </c>
      <c r="BL1088" s="67">
        <v>0</v>
      </c>
      <c r="BM1088" s="67">
        <v>1</v>
      </c>
      <c r="BN1088" s="67">
        <v>0</v>
      </c>
      <c r="BO1088" s="67">
        <v>0</v>
      </c>
      <c r="BP1088" s="67">
        <v>0</v>
      </c>
      <c r="BQ1088" s="67">
        <v>9</v>
      </c>
      <c r="BR1088" s="67">
        <v>0</v>
      </c>
      <c r="BS1088" s="67">
        <v>0</v>
      </c>
      <c r="BT1088" s="67">
        <v>32</v>
      </c>
      <c r="BU1088" s="70">
        <v>0</v>
      </c>
      <c r="BV1088" s="29">
        <f t="shared" si="246"/>
        <v>1.6797241503731939</v>
      </c>
      <c r="BW1088">
        <f t="shared" si="247"/>
        <v>1.3667838287404401</v>
      </c>
      <c r="BX1088">
        <f t="shared" si="248"/>
        <v>2.663023977201346</v>
      </c>
      <c r="BY1088">
        <f t="shared" si="249"/>
        <v>4.0792841150564829</v>
      </c>
      <c r="BZ1088">
        <f t="shared" si="250"/>
        <v>1.579831893679001</v>
      </c>
      <c r="CA1088">
        <f t="shared" si="251"/>
        <v>1.4313799530736149</v>
      </c>
      <c r="CB1088">
        <f t="shared" si="252"/>
        <v>3.3553076285180543</v>
      </c>
    </row>
    <row r="1089" spans="1:80" x14ac:dyDescent="0.45">
      <c r="A1089" s="11">
        <v>34</v>
      </c>
      <c r="B1089" s="12">
        <f t="shared" si="240"/>
        <v>34</v>
      </c>
      <c r="C1089" s="12" t="s">
        <v>59</v>
      </c>
      <c r="D1089" s="12">
        <v>0</v>
      </c>
      <c r="E1089" s="12" t="s">
        <v>53</v>
      </c>
      <c r="F1089" s="12">
        <v>0</v>
      </c>
      <c r="G1089" s="12">
        <v>1</v>
      </c>
      <c r="H1089" s="12" t="s">
        <v>54</v>
      </c>
      <c r="I1089" s="12">
        <v>0</v>
      </c>
      <c r="J1089" s="12">
        <v>1</v>
      </c>
      <c r="K1089" s="12">
        <v>7</v>
      </c>
      <c r="L1089" s="12">
        <f t="shared" si="241"/>
        <v>7</v>
      </c>
      <c r="M1089" s="12">
        <v>2</v>
      </c>
      <c r="N1089" s="12" t="s">
        <v>91</v>
      </c>
      <c r="O1089" s="12">
        <v>0</v>
      </c>
      <c r="P1089" s="12">
        <v>0</v>
      </c>
      <c r="Q1089" s="12">
        <v>0</v>
      </c>
      <c r="R1089" s="12">
        <v>0</v>
      </c>
      <c r="S1089" s="12">
        <v>1</v>
      </c>
      <c r="T1089" s="12">
        <v>2</v>
      </c>
      <c r="U1089" s="12" t="s">
        <v>62</v>
      </c>
      <c r="V1089" s="12">
        <v>0</v>
      </c>
      <c r="W1089" s="12">
        <v>55</v>
      </c>
      <c r="X1089" s="12">
        <v>3</v>
      </c>
      <c r="Y1089" s="12">
        <v>1</v>
      </c>
      <c r="Z1089" s="12" t="s">
        <v>88</v>
      </c>
      <c r="AA1089" s="12">
        <v>0</v>
      </c>
      <c r="AB1089" s="12">
        <v>0</v>
      </c>
      <c r="AC1089" s="12">
        <v>0</v>
      </c>
      <c r="AD1089" s="12">
        <v>0</v>
      </c>
      <c r="AE1089" s="12">
        <v>0</v>
      </c>
      <c r="AF1089" s="12">
        <v>0</v>
      </c>
      <c r="AG1089" s="12">
        <v>1</v>
      </c>
      <c r="AH1089" s="12">
        <v>0</v>
      </c>
      <c r="AI1089" s="12">
        <v>3</v>
      </c>
      <c r="AJ1089" s="12" t="s">
        <v>64</v>
      </c>
      <c r="AK1089" s="12">
        <v>0</v>
      </c>
      <c r="AL1089" s="12">
        <v>1</v>
      </c>
      <c r="AM1089" s="12">
        <v>2308</v>
      </c>
      <c r="AN1089" s="12">
        <f t="shared" si="242"/>
        <v>2308</v>
      </c>
      <c r="AO1089" s="12">
        <v>0</v>
      </c>
      <c r="AP1089" s="12" t="s">
        <v>52</v>
      </c>
      <c r="AQ1089" s="12">
        <v>1</v>
      </c>
      <c r="AR1089" s="12">
        <v>25</v>
      </c>
      <c r="AS1089" s="12">
        <v>4</v>
      </c>
      <c r="AT1089" s="12">
        <v>2</v>
      </c>
      <c r="AU1089" s="12">
        <v>1</v>
      </c>
      <c r="AV1089" s="12">
        <v>12</v>
      </c>
      <c r="AW1089" s="12">
        <f t="shared" si="243"/>
        <v>12</v>
      </c>
      <c r="AX1089" s="12">
        <v>4</v>
      </c>
      <c r="AY1089" s="12">
        <v>3</v>
      </c>
      <c r="AZ1089" s="12">
        <v>11</v>
      </c>
      <c r="BA1089" s="12">
        <f t="shared" si="244"/>
        <v>11</v>
      </c>
      <c r="BB1089" s="12">
        <v>10</v>
      </c>
      <c r="BC1089" s="12">
        <v>5</v>
      </c>
      <c r="BD1089" s="12">
        <f t="shared" si="253"/>
        <v>5</v>
      </c>
      <c r="BE1089" s="12">
        <v>7</v>
      </c>
      <c r="BF1089" s="12">
        <f t="shared" si="245"/>
        <v>7</v>
      </c>
      <c r="BG1089" s="12">
        <f t="shared" si="254"/>
        <v>7</v>
      </c>
      <c r="BH1089" s="67">
        <v>0</v>
      </c>
      <c r="BI1089" s="67">
        <v>1</v>
      </c>
      <c r="BJ1089" s="67">
        <v>0</v>
      </c>
      <c r="BK1089" s="67">
        <v>0</v>
      </c>
      <c r="BL1089" s="67">
        <v>0</v>
      </c>
      <c r="BM1089" s="67">
        <v>0</v>
      </c>
      <c r="BN1089" s="67">
        <v>0</v>
      </c>
      <c r="BO1089" s="67">
        <v>1</v>
      </c>
      <c r="BP1089" s="67">
        <v>0</v>
      </c>
      <c r="BQ1089" s="67">
        <v>0</v>
      </c>
      <c r="BR1089" s="67">
        <v>7</v>
      </c>
      <c r="BS1089" s="67">
        <v>0</v>
      </c>
      <c r="BT1089" s="67">
        <v>0</v>
      </c>
      <c r="BU1089" s="70">
        <v>12</v>
      </c>
      <c r="BV1089" s="29">
        <f t="shared" si="246"/>
        <v>0.89103011896311435</v>
      </c>
      <c r="BW1089">
        <f t="shared" si="247"/>
        <v>0.80626709607243985</v>
      </c>
      <c r="BX1089">
        <f t="shared" si="248"/>
        <v>9.2588147734864096E-2</v>
      </c>
      <c r="BY1089">
        <f t="shared" si="249"/>
        <v>0.65156620358080031</v>
      </c>
      <c r="BZ1089">
        <f t="shared" si="250"/>
        <v>0.27045191444879263</v>
      </c>
      <c r="CA1089">
        <f t="shared" si="251"/>
        <v>0.32005363845127444</v>
      </c>
      <c r="CB1089">
        <f t="shared" si="252"/>
        <v>0.87270930768174382</v>
      </c>
    </row>
    <row r="1090" spans="1:80" x14ac:dyDescent="0.45">
      <c r="A1090" s="11">
        <v>42</v>
      </c>
      <c r="B1090" s="12">
        <f t="shared" ref="B1090:B1153" si="255">IF(A1090&gt;$CD$29,$CD$29,IF(A1090&lt;$CD$30,$CD$30,A1090))</f>
        <v>42</v>
      </c>
      <c r="C1090" s="12" t="s">
        <v>59</v>
      </c>
      <c r="D1090" s="12">
        <v>0</v>
      </c>
      <c r="E1090" s="12" t="s">
        <v>53</v>
      </c>
      <c r="F1090" s="12">
        <v>0</v>
      </c>
      <c r="G1090" s="12">
        <v>1</v>
      </c>
      <c r="H1090" s="12" t="s">
        <v>61</v>
      </c>
      <c r="I1090" s="12">
        <v>1</v>
      </c>
      <c r="J1090" s="12">
        <v>0</v>
      </c>
      <c r="K1090" s="12">
        <v>2</v>
      </c>
      <c r="L1090" s="12">
        <f t="shared" ref="L1090:L1153" si="256">IF(K1090&gt;$CD$25,$CD$25,IF(K1090&lt;$CD$26,$CD$26,K1090))</f>
        <v>2</v>
      </c>
      <c r="M1090" s="12">
        <v>3</v>
      </c>
      <c r="N1090" s="12" t="s">
        <v>70</v>
      </c>
      <c r="O1090" s="12">
        <v>0</v>
      </c>
      <c r="P1090" s="12">
        <v>0</v>
      </c>
      <c r="Q1090" s="12">
        <v>1</v>
      </c>
      <c r="R1090" s="12">
        <v>0</v>
      </c>
      <c r="S1090" s="12">
        <v>0</v>
      </c>
      <c r="T1090" s="12">
        <v>3</v>
      </c>
      <c r="U1090" s="12" t="s">
        <v>62</v>
      </c>
      <c r="V1090" s="12">
        <v>0</v>
      </c>
      <c r="W1090" s="12">
        <v>68</v>
      </c>
      <c r="X1090" s="12">
        <v>2</v>
      </c>
      <c r="Y1090" s="12">
        <v>1</v>
      </c>
      <c r="Z1090" s="12" t="s">
        <v>67</v>
      </c>
      <c r="AA1090" s="12">
        <v>0</v>
      </c>
      <c r="AB1090" s="12">
        <v>0</v>
      </c>
      <c r="AC1090" s="12">
        <v>1</v>
      </c>
      <c r="AD1090" s="12">
        <v>0</v>
      </c>
      <c r="AE1090" s="12">
        <v>0</v>
      </c>
      <c r="AF1090" s="12">
        <v>0</v>
      </c>
      <c r="AG1090" s="12">
        <v>0</v>
      </c>
      <c r="AH1090" s="12">
        <v>0</v>
      </c>
      <c r="AI1090" s="12">
        <v>2</v>
      </c>
      <c r="AJ1090" s="12" t="s">
        <v>64</v>
      </c>
      <c r="AK1090" s="12">
        <v>0</v>
      </c>
      <c r="AL1090" s="12">
        <v>1</v>
      </c>
      <c r="AM1090" s="12">
        <v>4841</v>
      </c>
      <c r="AN1090" s="12">
        <f t="shared" ref="AN1090:AN1153" si="257">IF(AM1090&gt;$CD$8,$CD$8,IF(AM1090&lt;$CD$9,$CD$9,AM1090))</f>
        <v>4841</v>
      </c>
      <c r="AO1090" s="12">
        <v>4</v>
      </c>
      <c r="AP1090" s="12" t="s">
        <v>59</v>
      </c>
      <c r="AQ1090" s="12">
        <v>0</v>
      </c>
      <c r="AR1090" s="12">
        <v>14</v>
      </c>
      <c r="AS1090" s="12">
        <v>3</v>
      </c>
      <c r="AT1090" s="12">
        <v>2</v>
      </c>
      <c r="AU1090" s="12">
        <v>1</v>
      </c>
      <c r="AV1090" s="12">
        <v>4</v>
      </c>
      <c r="AW1090" s="12">
        <f t="shared" ref="AW1090:AW1153" si="258">IF(AV1090&gt;$CD$17,$CD$17,IF(AV1090&lt;$CD$18,$CD$18,AV1090))</f>
        <v>4</v>
      </c>
      <c r="AX1090" s="12">
        <v>3</v>
      </c>
      <c r="AY1090" s="12">
        <v>3</v>
      </c>
      <c r="AZ1090" s="12">
        <v>1</v>
      </c>
      <c r="BA1090" s="12">
        <f t="shared" ref="BA1090:BA1153" si="259">IF(AZ1090&gt; $CD$21,$CD$21,IF(AZ1090&lt;$CD$22,$CD$22,AZ1090))</f>
        <v>1</v>
      </c>
      <c r="BB1090" s="12">
        <v>0</v>
      </c>
      <c r="BC1090" s="12">
        <v>0</v>
      </c>
      <c r="BD1090" s="12">
        <f t="shared" si="253"/>
        <v>0</v>
      </c>
      <c r="BE1090" s="12">
        <v>0</v>
      </c>
      <c r="BF1090" s="12">
        <f t="shared" ref="BF1090:BF1153" si="260">IF(BE1090&gt;$CD$12,$CD$12,IF(BE1090&lt;$CD$13,$CD$13,BE1090))</f>
        <v>0</v>
      </c>
      <c r="BG1090" s="12">
        <f t="shared" si="254"/>
        <v>0</v>
      </c>
      <c r="BH1090" s="67">
        <v>0</v>
      </c>
      <c r="BI1090" s="67">
        <v>1</v>
      </c>
      <c r="BJ1090" s="67">
        <v>0</v>
      </c>
      <c r="BK1090" s="67">
        <v>0</v>
      </c>
      <c r="BL1090" s="67">
        <v>0</v>
      </c>
      <c r="BM1090" s="67">
        <v>0</v>
      </c>
      <c r="BN1090" s="67">
        <v>1</v>
      </c>
      <c r="BO1090" s="67">
        <v>0</v>
      </c>
      <c r="BP1090" s="67">
        <v>0</v>
      </c>
      <c r="BQ1090" s="67">
        <v>0</v>
      </c>
      <c r="BR1090" s="67">
        <v>0</v>
      </c>
      <c r="BS1090" s="67">
        <v>0</v>
      </c>
      <c r="BT1090" s="67">
        <v>4</v>
      </c>
      <c r="BU1090" s="70">
        <v>0</v>
      </c>
      <c r="BV1090" s="29">
        <f t="shared" ref="BV1090:BV1153" si="261">ABS((AM1090-AVERAGE(AM:AM))/_xlfn.STDEV.S(AM:AM))</f>
        <v>0.35300478935649876</v>
      </c>
      <c r="BW1090">
        <f t="shared" ref="BW1090:BW1153" si="262">ABS((BE1090-AVERAGE(BE:BE))/_xlfn.STDEV.S(BE:BE))</f>
        <v>1.1555414682655611</v>
      </c>
      <c r="BX1090">
        <f t="shared" ref="BX1090:BX1153" si="263">ABS((AV1090-AVERAGE(AV:AV))/_xlfn.STDEV.S(AV:AV))</f>
        <v>0.93558618405172878</v>
      </c>
      <c r="BY1090">
        <f t="shared" ref="BY1090:BY1153" si="264">ABS((AZ1090-AVERAGE(AZ:AZ))/_xlfn.STDEV.S(AZ:AZ))</f>
        <v>0.9806804209314296</v>
      </c>
      <c r="BZ1090">
        <f t="shared" ref="BZ1090:BZ1153" si="265">ABS((K1090-AVERAGE(K:K))/_xlfn.STDEV.S(K:K))</f>
        <v>0.88721318382472392</v>
      </c>
      <c r="CA1090">
        <f t="shared" ref="CA1090:CA1153" si="266">ABS((A1090-AVERAGE(A:A))/_xlfn.STDEV.S(A:A))</f>
        <v>0.55566315731117022</v>
      </c>
      <c r="CB1090">
        <f t="shared" ref="CB1090:CB1153" si="267">ABS((BC1090-AVERAGE(BC:BC))/_xlfn.STDEV.S(BC:BC))</f>
        <v>0.67891464284095016</v>
      </c>
    </row>
    <row r="1091" spans="1:80" x14ac:dyDescent="0.45">
      <c r="A1091" s="11">
        <v>37</v>
      </c>
      <c r="B1091" s="12">
        <f t="shared" si="255"/>
        <v>37</v>
      </c>
      <c r="C1091" s="12" t="s">
        <v>59</v>
      </c>
      <c r="D1091" s="12">
        <v>0</v>
      </c>
      <c r="E1091" s="12" t="s">
        <v>53</v>
      </c>
      <c r="F1091" s="12">
        <v>0</v>
      </c>
      <c r="G1091" s="12">
        <v>1</v>
      </c>
      <c r="H1091" s="12" t="s">
        <v>61</v>
      </c>
      <c r="I1091" s="12">
        <v>1</v>
      </c>
      <c r="J1091" s="12">
        <v>0</v>
      </c>
      <c r="K1091" s="12">
        <v>13</v>
      </c>
      <c r="L1091" s="12">
        <f t="shared" si="256"/>
        <v>13</v>
      </c>
      <c r="M1091" s="12">
        <v>3</v>
      </c>
      <c r="N1091" s="12" t="s">
        <v>70</v>
      </c>
      <c r="O1091" s="12">
        <v>0</v>
      </c>
      <c r="P1091" s="12">
        <v>0</v>
      </c>
      <c r="Q1091" s="12">
        <v>1</v>
      </c>
      <c r="R1091" s="12">
        <v>0</v>
      </c>
      <c r="S1091" s="12">
        <v>0</v>
      </c>
      <c r="T1091" s="12">
        <v>1</v>
      </c>
      <c r="U1091" s="12" t="s">
        <v>62</v>
      </c>
      <c r="V1091" s="12">
        <v>0</v>
      </c>
      <c r="W1091" s="12">
        <v>47</v>
      </c>
      <c r="X1091" s="12">
        <v>3</v>
      </c>
      <c r="Y1091" s="12">
        <v>2</v>
      </c>
      <c r="Z1091" s="12" t="s">
        <v>63</v>
      </c>
      <c r="AA1091" s="12">
        <v>0</v>
      </c>
      <c r="AB1091" s="12">
        <v>0</v>
      </c>
      <c r="AC1091" s="12">
        <v>0</v>
      </c>
      <c r="AD1091" s="12">
        <v>0</v>
      </c>
      <c r="AE1091" s="12">
        <v>0</v>
      </c>
      <c r="AF1091" s="12">
        <v>0</v>
      </c>
      <c r="AG1091" s="12">
        <v>0</v>
      </c>
      <c r="AH1091" s="12">
        <v>1</v>
      </c>
      <c r="AI1091" s="12">
        <v>4</v>
      </c>
      <c r="AJ1091" s="12" t="s">
        <v>64</v>
      </c>
      <c r="AK1091" s="12">
        <v>0</v>
      </c>
      <c r="AL1091" s="12">
        <v>1</v>
      </c>
      <c r="AM1091" s="12">
        <v>4285</v>
      </c>
      <c r="AN1091" s="12">
        <f t="shared" si="257"/>
        <v>4285</v>
      </c>
      <c r="AO1091" s="12">
        <v>1</v>
      </c>
      <c r="AP1091" s="12" t="s">
        <v>59</v>
      </c>
      <c r="AQ1091" s="12">
        <v>0</v>
      </c>
      <c r="AR1091" s="12">
        <v>17</v>
      </c>
      <c r="AS1091" s="12">
        <v>3</v>
      </c>
      <c r="AT1091" s="12">
        <v>1</v>
      </c>
      <c r="AU1091" s="12">
        <v>0</v>
      </c>
      <c r="AV1091" s="12">
        <v>10</v>
      </c>
      <c r="AW1091" s="12">
        <f t="shared" si="258"/>
        <v>10</v>
      </c>
      <c r="AX1091" s="12">
        <v>2</v>
      </c>
      <c r="AY1091" s="12">
        <v>3</v>
      </c>
      <c r="AZ1091" s="12">
        <v>10</v>
      </c>
      <c r="BA1091" s="12">
        <f t="shared" si="259"/>
        <v>10</v>
      </c>
      <c r="BB1091" s="12">
        <v>8</v>
      </c>
      <c r="BC1091" s="12">
        <v>3</v>
      </c>
      <c r="BD1091" s="12">
        <f t="shared" ref="BD1091:BD1154" si="268">IF(BC1091&gt;$CD$33,$CD$33,BC1091)</f>
        <v>3</v>
      </c>
      <c r="BE1091" s="12">
        <v>7</v>
      </c>
      <c r="BF1091" s="12">
        <f t="shared" si="260"/>
        <v>7</v>
      </c>
      <c r="BG1091" s="12">
        <f t="shared" ref="BG1091:BG1154" si="269">BF1091*Y1091</f>
        <v>14</v>
      </c>
      <c r="BH1091" s="67">
        <v>0</v>
      </c>
      <c r="BI1091" s="67">
        <v>1</v>
      </c>
      <c r="BJ1091" s="67">
        <v>0</v>
      </c>
      <c r="BK1091" s="67">
        <v>0</v>
      </c>
      <c r="BL1091" s="67">
        <v>0</v>
      </c>
      <c r="BM1091" s="67">
        <v>0</v>
      </c>
      <c r="BN1091" s="67">
        <v>1</v>
      </c>
      <c r="BO1091" s="67">
        <v>0</v>
      </c>
      <c r="BP1091" s="67">
        <v>0</v>
      </c>
      <c r="BQ1091" s="67">
        <v>7</v>
      </c>
      <c r="BR1091" s="67">
        <v>0</v>
      </c>
      <c r="BS1091" s="67">
        <v>0</v>
      </c>
      <c r="BT1091" s="67">
        <v>10</v>
      </c>
      <c r="BU1091" s="70">
        <v>0</v>
      </c>
      <c r="BV1091" s="29">
        <f t="shared" si="261"/>
        <v>0.47110272984654156</v>
      </c>
      <c r="BW1091">
        <f t="shared" si="262"/>
        <v>0.80626709607243985</v>
      </c>
      <c r="BX1091">
        <f t="shared" si="263"/>
        <v>0.1644554352117841</v>
      </c>
      <c r="BY1091">
        <f t="shared" si="264"/>
        <v>0.48834154112957734</v>
      </c>
      <c r="BZ1091">
        <f t="shared" si="265"/>
        <v>0.46966160880232483</v>
      </c>
      <c r="CA1091">
        <f t="shared" si="266"/>
        <v>8.3401599596422994E-3</v>
      </c>
      <c r="CB1091">
        <f t="shared" si="267"/>
        <v>0.2520597274726662</v>
      </c>
    </row>
    <row r="1092" spans="1:80" x14ac:dyDescent="0.45">
      <c r="A1092" s="11">
        <v>29</v>
      </c>
      <c r="B1092" s="12">
        <f t="shared" si="255"/>
        <v>29</v>
      </c>
      <c r="C1092" s="12" t="s">
        <v>59</v>
      </c>
      <c r="D1092" s="12">
        <v>0</v>
      </c>
      <c r="E1092" s="12" t="s">
        <v>53</v>
      </c>
      <c r="F1092" s="12">
        <v>0</v>
      </c>
      <c r="G1092" s="12">
        <v>1</v>
      </c>
      <c r="H1092" s="12" t="s">
        <v>61</v>
      </c>
      <c r="I1092" s="12">
        <v>1</v>
      </c>
      <c r="J1092" s="12">
        <v>0</v>
      </c>
      <c r="K1092" s="12">
        <v>8</v>
      </c>
      <c r="L1092" s="12">
        <f t="shared" si="256"/>
        <v>8</v>
      </c>
      <c r="M1092" s="12">
        <v>1</v>
      </c>
      <c r="N1092" s="12" t="s">
        <v>66</v>
      </c>
      <c r="O1092" s="12">
        <v>0</v>
      </c>
      <c r="P1092" s="12">
        <v>1</v>
      </c>
      <c r="Q1092" s="12">
        <v>0</v>
      </c>
      <c r="R1092" s="12">
        <v>0</v>
      </c>
      <c r="S1092" s="12">
        <v>0</v>
      </c>
      <c r="T1092" s="12">
        <v>3</v>
      </c>
      <c r="U1092" s="12" t="s">
        <v>19</v>
      </c>
      <c r="V1092" s="12">
        <v>1</v>
      </c>
      <c r="W1092" s="12">
        <v>39</v>
      </c>
      <c r="X1092" s="12">
        <v>1</v>
      </c>
      <c r="Y1092" s="12">
        <v>2</v>
      </c>
      <c r="Z1092" s="12" t="s">
        <v>85</v>
      </c>
      <c r="AA1092" s="12">
        <v>1</v>
      </c>
      <c r="AB1092" s="12">
        <v>0</v>
      </c>
      <c r="AC1092" s="12">
        <v>0</v>
      </c>
      <c r="AD1092" s="12">
        <v>0</v>
      </c>
      <c r="AE1092" s="12">
        <v>0</v>
      </c>
      <c r="AF1092" s="12">
        <v>0</v>
      </c>
      <c r="AG1092" s="12">
        <v>0</v>
      </c>
      <c r="AH1092" s="12">
        <v>0</v>
      </c>
      <c r="AI1092" s="12">
        <v>1</v>
      </c>
      <c r="AJ1092" s="12" t="s">
        <v>64</v>
      </c>
      <c r="AK1092" s="12">
        <v>0</v>
      </c>
      <c r="AL1092" s="12">
        <v>1</v>
      </c>
      <c r="AM1092" s="12">
        <v>9715</v>
      </c>
      <c r="AN1092" s="12">
        <f t="shared" si="257"/>
        <v>9715</v>
      </c>
      <c r="AO1092" s="12">
        <v>3</v>
      </c>
      <c r="AP1092" s="12" t="s">
        <v>59</v>
      </c>
      <c r="AQ1092" s="12">
        <v>0</v>
      </c>
      <c r="AR1092" s="12">
        <v>13</v>
      </c>
      <c r="AS1092" s="12">
        <v>3</v>
      </c>
      <c r="AT1092" s="12">
        <v>3</v>
      </c>
      <c r="AU1092" s="12">
        <v>1</v>
      </c>
      <c r="AV1092" s="12">
        <v>9</v>
      </c>
      <c r="AW1092" s="12">
        <f t="shared" si="258"/>
        <v>9</v>
      </c>
      <c r="AX1092" s="12">
        <v>3</v>
      </c>
      <c r="AY1092" s="12">
        <v>3</v>
      </c>
      <c r="AZ1092" s="12">
        <v>7</v>
      </c>
      <c r="BA1092" s="12">
        <f t="shared" si="259"/>
        <v>7</v>
      </c>
      <c r="BB1092" s="12">
        <v>7</v>
      </c>
      <c r="BC1092" s="12">
        <v>0</v>
      </c>
      <c r="BD1092" s="12">
        <f t="shared" si="268"/>
        <v>0</v>
      </c>
      <c r="BE1092" s="12">
        <v>7</v>
      </c>
      <c r="BF1092" s="12">
        <f t="shared" si="260"/>
        <v>7</v>
      </c>
      <c r="BG1092" s="12">
        <f t="shared" si="269"/>
        <v>14</v>
      </c>
      <c r="BH1092" s="67">
        <v>0</v>
      </c>
      <c r="BI1092" s="67">
        <v>1</v>
      </c>
      <c r="BJ1092" s="67">
        <v>0</v>
      </c>
      <c r="BK1092" s="67">
        <v>0</v>
      </c>
      <c r="BL1092" s="67">
        <v>0</v>
      </c>
      <c r="BM1092" s="67">
        <v>0</v>
      </c>
      <c r="BN1092" s="67">
        <v>1</v>
      </c>
      <c r="BO1092" s="67">
        <v>0</v>
      </c>
      <c r="BP1092" s="67">
        <v>0</v>
      </c>
      <c r="BQ1092" s="67">
        <v>7</v>
      </c>
      <c r="BR1092" s="67">
        <v>0</v>
      </c>
      <c r="BS1092" s="67">
        <v>0</v>
      </c>
      <c r="BT1092" s="67">
        <v>9</v>
      </c>
      <c r="BU1092" s="70">
        <v>0</v>
      </c>
      <c r="BV1092" s="29">
        <f t="shared" si="261"/>
        <v>0.68226384724146594</v>
      </c>
      <c r="BW1092">
        <f t="shared" si="262"/>
        <v>0.80626709607243985</v>
      </c>
      <c r="BX1092">
        <f t="shared" si="263"/>
        <v>0.29297722668510823</v>
      </c>
      <c r="BY1092">
        <f t="shared" si="264"/>
        <v>1.3324462240916321E-3</v>
      </c>
      <c r="BZ1092">
        <f t="shared" si="265"/>
        <v>0.14709966057360641</v>
      </c>
      <c r="CA1092">
        <f t="shared" si="266"/>
        <v>0.86737663580280233</v>
      </c>
      <c r="CB1092">
        <f t="shared" si="267"/>
        <v>0.67891464284095016</v>
      </c>
    </row>
    <row r="1093" spans="1:80" x14ac:dyDescent="0.45">
      <c r="A1093" s="11">
        <v>33</v>
      </c>
      <c r="B1093" s="12">
        <f t="shared" si="255"/>
        <v>33</v>
      </c>
      <c r="C1093" s="12" t="s">
        <v>59</v>
      </c>
      <c r="D1093" s="12">
        <v>0</v>
      </c>
      <c r="E1093" s="12" t="s">
        <v>53</v>
      </c>
      <c r="F1093" s="12">
        <v>0</v>
      </c>
      <c r="G1093" s="12">
        <v>1</v>
      </c>
      <c r="H1093" s="12" t="s">
        <v>61</v>
      </c>
      <c r="I1093" s="12">
        <v>1</v>
      </c>
      <c r="J1093" s="12">
        <v>0</v>
      </c>
      <c r="K1093" s="12">
        <v>25</v>
      </c>
      <c r="L1093" s="12">
        <f t="shared" si="256"/>
        <v>25</v>
      </c>
      <c r="M1093" s="12">
        <v>3</v>
      </c>
      <c r="N1093" s="12" t="s">
        <v>55</v>
      </c>
      <c r="O1093" s="12">
        <v>1</v>
      </c>
      <c r="P1093" s="12">
        <v>0</v>
      </c>
      <c r="Q1093" s="12">
        <v>0</v>
      </c>
      <c r="R1093" s="12">
        <v>0</v>
      </c>
      <c r="S1093" s="12">
        <v>0</v>
      </c>
      <c r="T1093" s="12">
        <v>4</v>
      </c>
      <c r="U1093" s="12" t="s">
        <v>62</v>
      </c>
      <c r="V1093" s="12">
        <v>0</v>
      </c>
      <c r="W1093" s="12">
        <v>44</v>
      </c>
      <c r="X1093" s="12">
        <v>2</v>
      </c>
      <c r="Y1093" s="12">
        <v>2</v>
      </c>
      <c r="Z1093" s="12" t="s">
        <v>83</v>
      </c>
      <c r="AA1093" s="12">
        <v>0</v>
      </c>
      <c r="AB1093" s="12">
        <v>0</v>
      </c>
      <c r="AC1093" s="12">
        <v>0</v>
      </c>
      <c r="AD1093" s="12">
        <v>0</v>
      </c>
      <c r="AE1093" s="12">
        <v>1</v>
      </c>
      <c r="AF1093" s="12">
        <v>1</v>
      </c>
      <c r="AG1093" s="12">
        <v>0</v>
      </c>
      <c r="AH1093" s="12">
        <v>0</v>
      </c>
      <c r="AI1093" s="12">
        <v>2</v>
      </c>
      <c r="AJ1093" s="12" t="s">
        <v>57</v>
      </c>
      <c r="AK1093" s="12">
        <v>1</v>
      </c>
      <c r="AL1093" s="12">
        <v>0</v>
      </c>
      <c r="AM1093" s="12">
        <v>4320</v>
      </c>
      <c r="AN1093" s="12">
        <f t="shared" si="257"/>
        <v>4320</v>
      </c>
      <c r="AO1093" s="12">
        <v>1</v>
      </c>
      <c r="AP1093" s="12" t="s">
        <v>59</v>
      </c>
      <c r="AQ1093" s="12">
        <v>0</v>
      </c>
      <c r="AR1093" s="12">
        <v>13</v>
      </c>
      <c r="AS1093" s="12">
        <v>3</v>
      </c>
      <c r="AT1093" s="12">
        <v>4</v>
      </c>
      <c r="AU1093" s="12">
        <v>0</v>
      </c>
      <c r="AV1093" s="12">
        <v>5</v>
      </c>
      <c r="AW1093" s="12">
        <f t="shared" si="258"/>
        <v>5</v>
      </c>
      <c r="AX1093" s="12">
        <v>2</v>
      </c>
      <c r="AY1093" s="12">
        <v>3</v>
      </c>
      <c r="AZ1093" s="12">
        <v>5</v>
      </c>
      <c r="BA1093" s="12">
        <f t="shared" si="259"/>
        <v>5</v>
      </c>
      <c r="BB1093" s="12">
        <v>3</v>
      </c>
      <c r="BC1093" s="12">
        <v>0</v>
      </c>
      <c r="BD1093" s="12">
        <f t="shared" si="268"/>
        <v>0</v>
      </c>
      <c r="BE1093" s="12">
        <v>2</v>
      </c>
      <c r="BF1093" s="12">
        <f t="shared" si="260"/>
        <v>2</v>
      </c>
      <c r="BG1093" s="12">
        <f t="shared" si="269"/>
        <v>4</v>
      </c>
      <c r="BH1093" s="67">
        <v>1</v>
      </c>
      <c r="BI1093" s="67">
        <v>0</v>
      </c>
      <c r="BJ1093" s="67">
        <v>0</v>
      </c>
      <c r="BK1093" s="67">
        <v>0</v>
      </c>
      <c r="BL1093" s="67">
        <v>1</v>
      </c>
      <c r="BM1093" s="67">
        <v>0</v>
      </c>
      <c r="BN1093" s="67">
        <v>0</v>
      </c>
      <c r="BO1093" s="67">
        <v>0</v>
      </c>
      <c r="BP1093" s="67">
        <v>0</v>
      </c>
      <c r="BQ1093" s="67">
        <v>2</v>
      </c>
      <c r="BR1093" s="67">
        <v>0</v>
      </c>
      <c r="BS1093" s="67">
        <v>0</v>
      </c>
      <c r="BT1093" s="67">
        <v>5</v>
      </c>
      <c r="BU1093" s="70">
        <v>0</v>
      </c>
      <c r="BV1093" s="29">
        <f t="shared" si="261"/>
        <v>0.46366850697396689</v>
      </c>
      <c r="BW1093">
        <f t="shared" si="262"/>
        <v>0.59502473559756086</v>
      </c>
      <c r="BX1093">
        <f t="shared" si="263"/>
        <v>0.80706439257840468</v>
      </c>
      <c r="BY1093">
        <f t="shared" si="264"/>
        <v>0.32778177112653761</v>
      </c>
      <c r="BZ1093">
        <f t="shared" si="265"/>
        <v>1.9498886553045598</v>
      </c>
      <c r="CA1093">
        <f t="shared" si="266"/>
        <v>0.42951823792158</v>
      </c>
      <c r="CB1093">
        <f t="shared" si="267"/>
        <v>0.67891464284095016</v>
      </c>
    </row>
    <row r="1094" spans="1:80" x14ac:dyDescent="0.45">
      <c r="A1094" s="11">
        <v>45</v>
      </c>
      <c r="B1094" s="12">
        <f t="shared" si="255"/>
        <v>45</v>
      </c>
      <c r="C1094" s="12" t="s">
        <v>59</v>
      </c>
      <c r="D1094" s="12">
        <v>0</v>
      </c>
      <c r="E1094" s="12" t="s">
        <v>53</v>
      </c>
      <c r="F1094" s="12">
        <v>0</v>
      </c>
      <c r="G1094" s="12">
        <v>1</v>
      </c>
      <c r="H1094" s="12" t="s">
        <v>61</v>
      </c>
      <c r="I1094" s="12">
        <v>1</v>
      </c>
      <c r="J1094" s="12">
        <v>0</v>
      </c>
      <c r="K1094" s="12">
        <v>28</v>
      </c>
      <c r="L1094" s="12">
        <f t="shared" si="256"/>
        <v>28</v>
      </c>
      <c r="M1094" s="12">
        <v>3</v>
      </c>
      <c r="N1094" s="12" t="s">
        <v>91</v>
      </c>
      <c r="O1094" s="12">
        <v>0</v>
      </c>
      <c r="P1094" s="12">
        <v>0</v>
      </c>
      <c r="Q1094" s="12">
        <v>0</v>
      </c>
      <c r="R1094" s="12">
        <v>0</v>
      </c>
      <c r="S1094" s="12">
        <v>1</v>
      </c>
      <c r="T1094" s="12">
        <v>4</v>
      </c>
      <c r="U1094" s="12" t="s">
        <v>62</v>
      </c>
      <c r="V1094" s="12">
        <v>0</v>
      </c>
      <c r="W1094" s="12">
        <v>97</v>
      </c>
      <c r="X1094" s="12">
        <v>3</v>
      </c>
      <c r="Y1094" s="12">
        <v>1</v>
      </c>
      <c r="Z1094" s="12" t="s">
        <v>63</v>
      </c>
      <c r="AA1094" s="12">
        <v>0</v>
      </c>
      <c r="AB1094" s="12">
        <v>0</v>
      </c>
      <c r="AC1094" s="12">
        <v>0</v>
      </c>
      <c r="AD1094" s="12">
        <v>0</v>
      </c>
      <c r="AE1094" s="12">
        <v>0</v>
      </c>
      <c r="AF1094" s="12">
        <v>0</v>
      </c>
      <c r="AG1094" s="12">
        <v>0</v>
      </c>
      <c r="AH1094" s="12">
        <v>1</v>
      </c>
      <c r="AI1094" s="12">
        <v>4</v>
      </c>
      <c r="AJ1094" s="12" t="s">
        <v>64</v>
      </c>
      <c r="AK1094" s="12">
        <v>0</v>
      </c>
      <c r="AL1094" s="12">
        <v>1</v>
      </c>
      <c r="AM1094" s="12">
        <v>2132</v>
      </c>
      <c r="AN1094" s="12">
        <f t="shared" si="257"/>
        <v>2132</v>
      </c>
      <c r="AO1094" s="12">
        <v>4</v>
      </c>
      <c r="AP1094" s="12" t="s">
        <v>59</v>
      </c>
      <c r="AQ1094" s="12">
        <v>0</v>
      </c>
      <c r="AR1094" s="12">
        <v>20</v>
      </c>
      <c r="AS1094" s="12">
        <v>4</v>
      </c>
      <c r="AT1094" s="12">
        <v>4</v>
      </c>
      <c r="AU1094" s="12">
        <v>1</v>
      </c>
      <c r="AV1094" s="12">
        <v>8</v>
      </c>
      <c r="AW1094" s="12">
        <f t="shared" si="258"/>
        <v>8</v>
      </c>
      <c r="AX1094" s="12">
        <v>3</v>
      </c>
      <c r="AY1094" s="12">
        <v>3</v>
      </c>
      <c r="AZ1094" s="12">
        <v>5</v>
      </c>
      <c r="BA1094" s="12">
        <f t="shared" si="259"/>
        <v>5</v>
      </c>
      <c r="BB1094" s="12">
        <v>4</v>
      </c>
      <c r="BC1094" s="12">
        <v>0</v>
      </c>
      <c r="BD1094" s="12">
        <f t="shared" si="268"/>
        <v>0</v>
      </c>
      <c r="BE1094" s="12">
        <v>3</v>
      </c>
      <c r="BF1094" s="12">
        <f t="shared" si="260"/>
        <v>3</v>
      </c>
      <c r="BG1094" s="12">
        <f t="shared" si="269"/>
        <v>3</v>
      </c>
      <c r="BH1094" s="67">
        <v>0</v>
      </c>
      <c r="BI1094" s="67">
        <v>1</v>
      </c>
      <c r="BJ1094" s="67">
        <v>0</v>
      </c>
      <c r="BK1094" s="67">
        <v>0</v>
      </c>
      <c r="BL1094" s="67">
        <v>0</v>
      </c>
      <c r="BM1094" s="67">
        <v>0</v>
      </c>
      <c r="BN1094" s="67">
        <v>1</v>
      </c>
      <c r="BO1094" s="67">
        <v>0</v>
      </c>
      <c r="BP1094" s="67">
        <v>0</v>
      </c>
      <c r="BQ1094" s="67">
        <v>3</v>
      </c>
      <c r="BR1094" s="67">
        <v>0</v>
      </c>
      <c r="BS1094" s="67">
        <v>0</v>
      </c>
      <c r="BT1094" s="67">
        <v>8</v>
      </c>
      <c r="BU1094" s="70">
        <v>0</v>
      </c>
      <c r="BV1094" s="29">
        <f t="shared" si="261"/>
        <v>0.92841363969377544</v>
      </c>
      <c r="BW1094">
        <f t="shared" si="262"/>
        <v>0.31476636926356072</v>
      </c>
      <c r="BX1094">
        <f t="shared" si="263"/>
        <v>0.42149901815843233</v>
      </c>
      <c r="BY1094">
        <f t="shared" si="264"/>
        <v>0.32778177112653761</v>
      </c>
      <c r="BZ1094">
        <f t="shared" si="265"/>
        <v>2.3199454169301186</v>
      </c>
      <c r="CA1094">
        <f t="shared" si="266"/>
        <v>0.88405695572208698</v>
      </c>
      <c r="CB1094">
        <f t="shared" si="267"/>
        <v>0.67891464284095016</v>
      </c>
    </row>
    <row r="1095" spans="1:80" x14ac:dyDescent="0.45">
      <c r="A1095" s="11">
        <v>42</v>
      </c>
      <c r="B1095" s="12">
        <f t="shared" si="255"/>
        <v>42</v>
      </c>
      <c r="C1095" s="12" t="s">
        <v>59</v>
      </c>
      <c r="D1095" s="12">
        <v>0</v>
      </c>
      <c r="E1095" s="12" t="s">
        <v>60</v>
      </c>
      <c r="F1095" s="12">
        <v>1</v>
      </c>
      <c r="G1095" s="12">
        <v>0</v>
      </c>
      <c r="H1095" s="12" t="s">
        <v>61</v>
      </c>
      <c r="I1095" s="12">
        <v>1</v>
      </c>
      <c r="J1095" s="12">
        <v>0</v>
      </c>
      <c r="K1095" s="12">
        <v>2</v>
      </c>
      <c r="L1095" s="12">
        <f t="shared" si="256"/>
        <v>2</v>
      </c>
      <c r="M1095" s="12">
        <v>3</v>
      </c>
      <c r="N1095" s="12" t="s">
        <v>55</v>
      </c>
      <c r="O1095" s="12">
        <v>1</v>
      </c>
      <c r="P1095" s="12">
        <v>0</v>
      </c>
      <c r="Q1095" s="12">
        <v>0</v>
      </c>
      <c r="R1095" s="12">
        <v>0</v>
      </c>
      <c r="S1095" s="12">
        <v>0</v>
      </c>
      <c r="T1095" s="12">
        <v>4</v>
      </c>
      <c r="U1095" s="12" t="s">
        <v>62</v>
      </c>
      <c r="V1095" s="12">
        <v>0</v>
      </c>
      <c r="W1095" s="12">
        <v>40</v>
      </c>
      <c r="X1095" s="12">
        <v>3</v>
      </c>
      <c r="Y1095" s="12">
        <v>3</v>
      </c>
      <c r="Z1095" s="12" t="s">
        <v>85</v>
      </c>
      <c r="AA1095" s="12">
        <v>1</v>
      </c>
      <c r="AB1095" s="12">
        <v>0</v>
      </c>
      <c r="AC1095" s="12">
        <v>0</v>
      </c>
      <c r="AD1095" s="12">
        <v>0</v>
      </c>
      <c r="AE1095" s="12">
        <v>0</v>
      </c>
      <c r="AF1095" s="12">
        <v>0</v>
      </c>
      <c r="AG1095" s="12">
        <v>0</v>
      </c>
      <c r="AH1095" s="12">
        <v>0</v>
      </c>
      <c r="AI1095" s="12">
        <v>4</v>
      </c>
      <c r="AJ1095" s="12" t="s">
        <v>64</v>
      </c>
      <c r="AK1095" s="12">
        <v>0</v>
      </c>
      <c r="AL1095" s="12">
        <v>1</v>
      </c>
      <c r="AM1095" s="12">
        <v>10124</v>
      </c>
      <c r="AN1095" s="12">
        <f t="shared" si="257"/>
        <v>10124</v>
      </c>
      <c r="AO1095" s="12">
        <v>2</v>
      </c>
      <c r="AP1095" s="12" t="s">
        <v>52</v>
      </c>
      <c r="AQ1095" s="12">
        <v>1</v>
      </c>
      <c r="AR1095" s="12">
        <v>14</v>
      </c>
      <c r="AS1095" s="12">
        <v>3</v>
      </c>
      <c r="AT1095" s="12">
        <v>3</v>
      </c>
      <c r="AU1095" s="12">
        <v>1</v>
      </c>
      <c r="AV1095" s="12">
        <v>24</v>
      </c>
      <c r="AW1095" s="12">
        <f t="shared" si="258"/>
        <v>24</v>
      </c>
      <c r="AX1095" s="12">
        <v>3</v>
      </c>
      <c r="AY1095" s="12">
        <v>1</v>
      </c>
      <c r="AZ1095" s="12">
        <v>20</v>
      </c>
      <c r="BA1095" s="12">
        <f t="shared" si="259"/>
        <v>20</v>
      </c>
      <c r="BB1095" s="12">
        <v>8</v>
      </c>
      <c r="BC1095" s="12">
        <v>13</v>
      </c>
      <c r="BD1095" s="12">
        <f t="shared" si="268"/>
        <v>13</v>
      </c>
      <c r="BE1095" s="12">
        <v>9</v>
      </c>
      <c r="BF1095" s="12">
        <f t="shared" si="260"/>
        <v>9</v>
      </c>
      <c r="BG1095" s="12">
        <f t="shared" si="269"/>
        <v>27</v>
      </c>
      <c r="BH1095" s="67">
        <v>0</v>
      </c>
      <c r="BI1095" s="67">
        <v>0</v>
      </c>
      <c r="BJ1095" s="67">
        <v>0</v>
      </c>
      <c r="BK1095" s="67">
        <v>1</v>
      </c>
      <c r="BL1095" s="67">
        <v>0</v>
      </c>
      <c r="BM1095" s="67">
        <v>0</v>
      </c>
      <c r="BN1095" s="67">
        <v>0</v>
      </c>
      <c r="BO1095" s="67">
        <v>1</v>
      </c>
      <c r="BP1095" s="67">
        <v>0</v>
      </c>
      <c r="BQ1095" s="67">
        <v>9</v>
      </c>
      <c r="BR1095" s="67">
        <v>0</v>
      </c>
      <c r="BS1095" s="67">
        <v>0</v>
      </c>
      <c r="BT1095" s="67">
        <v>24</v>
      </c>
      <c r="BU1095" s="70">
        <v>0</v>
      </c>
      <c r="BV1095" s="29">
        <f t="shared" si="261"/>
        <v>0.76913805166669513</v>
      </c>
      <c r="BW1095">
        <f t="shared" si="262"/>
        <v>1.3667838287404401</v>
      </c>
      <c r="BX1095">
        <f t="shared" si="263"/>
        <v>1.6348496454147534</v>
      </c>
      <c r="BY1095">
        <f t="shared" si="264"/>
        <v>2.1205881656418071</v>
      </c>
      <c r="BZ1095">
        <f t="shared" si="265"/>
        <v>0.88721318382472392</v>
      </c>
      <c r="CA1095">
        <f t="shared" si="266"/>
        <v>0.55566315731117022</v>
      </c>
      <c r="CB1095">
        <f t="shared" si="267"/>
        <v>3.3553076285180543</v>
      </c>
    </row>
    <row r="1096" spans="1:80" x14ac:dyDescent="0.45">
      <c r="A1096" s="11">
        <v>40</v>
      </c>
      <c r="B1096" s="12">
        <f t="shared" si="255"/>
        <v>40</v>
      </c>
      <c r="C1096" s="12" t="s">
        <v>59</v>
      </c>
      <c r="D1096" s="12">
        <v>0</v>
      </c>
      <c r="E1096" s="12" t="s">
        <v>53</v>
      </c>
      <c r="F1096" s="12">
        <v>0</v>
      </c>
      <c r="G1096" s="12">
        <v>1</v>
      </c>
      <c r="H1096" s="12" t="s">
        <v>54</v>
      </c>
      <c r="I1096" s="12">
        <v>0</v>
      </c>
      <c r="J1096" s="12">
        <v>1</v>
      </c>
      <c r="K1096" s="12">
        <v>9</v>
      </c>
      <c r="L1096" s="12">
        <f t="shared" si="256"/>
        <v>9</v>
      </c>
      <c r="M1096" s="12">
        <v>2</v>
      </c>
      <c r="N1096" s="12" t="s">
        <v>70</v>
      </c>
      <c r="O1096" s="12">
        <v>0</v>
      </c>
      <c r="P1096" s="12">
        <v>0</v>
      </c>
      <c r="Q1096" s="12">
        <v>1</v>
      </c>
      <c r="R1096" s="12">
        <v>0</v>
      </c>
      <c r="S1096" s="12">
        <v>0</v>
      </c>
      <c r="T1096" s="12">
        <v>1</v>
      </c>
      <c r="U1096" s="12" t="s">
        <v>62</v>
      </c>
      <c r="V1096" s="12">
        <v>0</v>
      </c>
      <c r="W1096" s="12">
        <v>47</v>
      </c>
      <c r="X1096" s="12">
        <v>3</v>
      </c>
      <c r="Y1096" s="12">
        <v>2</v>
      </c>
      <c r="Z1096" s="12" t="s">
        <v>56</v>
      </c>
      <c r="AA1096" s="12">
        <v>0</v>
      </c>
      <c r="AB1096" s="12">
        <v>1</v>
      </c>
      <c r="AC1096" s="12">
        <v>0</v>
      </c>
      <c r="AD1096" s="12">
        <v>0</v>
      </c>
      <c r="AE1096" s="12">
        <v>0</v>
      </c>
      <c r="AF1096" s="12">
        <v>0</v>
      </c>
      <c r="AG1096" s="12">
        <v>0</v>
      </c>
      <c r="AH1096" s="12">
        <v>0</v>
      </c>
      <c r="AI1096" s="12">
        <v>1</v>
      </c>
      <c r="AJ1096" s="12" t="s">
        <v>64</v>
      </c>
      <c r="AK1096" s="12">
        <v>0</v>
      </c>
      <c r="AL1096" s="12">
        <v>1</v>
      </c>
      <c r="AM1096" s="12">
        <v>5473</v>
      </c>
      <c r="AN1096" s="12">
        <f t="shared" si="257"/>
        <v>5473</v>
      </c>
      <c r="AO1096" s="12">
        <v>0</v>
      </c>
      <c r="AP1096" s="12" t="s">
        <v>59</v>
      </c>
      <c r="AQ1096" s="12">
        <v>0</v>
      </c>
      <c r="AR1096" s="12">
        <v>12</v>
      </c>
      <c r="AS1096" s="12">
        <v>3</v>
      </c>
      <c r="AT1096" s="12">
        <v>4</v>
      </c>
      <c r="AU1096" s="12">
        <v>0</v>
      </c>
      <c r="AV1096" s="12">
        <v>9</v>
      </c>
      <c r="AW1096" s="12">
        <f t="shared" si="258"/>
        <v>9</v>
      </c>
      <c r="AX1096" s="12">
        <v>5</v>
      </c>
      <c r="AY1096" s="12">
        <v>4</v>
      </c>
      <c r="AZ1096" s="12">
        <v>8</v>
      </c>
      <c r="BA1096" s="12">
        <f t="shared" si="259"/>
        <v>8</v>
      </c>
      <c r="BB1096" s="12">
        <v>4</v>
      </c>
      <c r="BC1096" s="12">
        <v>7</v>
      </c>
      <c r="BD1096" s="12">
        <f t="shared" si="268"/>
        <v>7</v>
      </c>
      <c r="BE1096" s="12">
        <v>1</v>
      </c>
      <c r="BF1096" s="12">
        <f t="shared" si="260"/>
        <v>1</v>
      </c>
      <c r="BG1096" s="12">
        <f t="shared" si="269"/>
        <v>2</v>
      </c>
      <c r="BH1096" s="67">
        <v>0</v>
      </c>
      <c r="BI1096" s="67">
        <v>1</v>
      </c>
      <c r="BJ1096" s="67">
        <v>0</v>
      </c>
      <c r="BK1096" s="67">
        <v>0</v>
      </c>
      <c r="BL1096" s="67">
        <v>0</v>
      </c>
      <c r="BM1096" s="67">
        <v>0</v>
      </c>
      <c r="BN1096" s="67">
        <v>1</v>
      </c>
      <c r="BO1096" s="67">
        <v>0</v>
      </c>
      <c r="BP1096" s="67">
        <v>0</v>
      </c>
      <c r="BQ1096" s="67">
        <v>0</v>
      </c>
      <c r="BR1096" s="67">
        <v>1</v>
      </c>
      <c r="BS1096" s="67">
        <v>0</v>
      </c>
      <c r="BT1096" s="67">
        <v>0</v>
      </c>
      <c r="BU1096" s="70">
        <v>9</v>
      </c>
      <c r="BV1096" s="29">
        <f t="shared" si="261"/>
        <v>0.21876396491457969</v>
      </c>
      <c r="BW1096">
        <f t="shared" si="262"/>
        <v>0.87528310193156111</v>
      </c>
      <c r="BX1096">
        <f t="shared" si="263"/>
        <v>0.29297722668510823</v>
      </c>
      <c r="BY1096">
        <f t="shared" si="264"/>
        <v>0.16189221622713135</v>
      </c>
      <c r="BZ1096">
        <f t="shared" si="265"/>
        <v>2.3747406698420157E-2</v>
      </c>
      <c r="CA1096">
        <f t="shared" si="266"/>
        <v>0.33673395837055903</v>
      </c>
      <c r="CB1096">
        <f t="shared" si="267"/>
        <v>1.4933588878908215</v>
      </c>
    </row>
    <row r="1097" spans="1:80" x14ac:dyDescent="0.45">
      <c r="A1097" s="11">
        <v>33</v>
      </c>
      <c r="B1097" s="12">
        <f t="shared" si="255"/>
        <v>33</v>
      </c>
      <c r="C1097" s="12" t="s">
        <v>59</v>
      </c>
      <c r="D1097" s="12">
        <v>0</v>
      </c>
      <c r="E1097" s="12" t="s">
        <v>53</v>
      </c>
      <c r="F1097" s="12">
        <v>0</v>
      </c>
      <c r="G1097" s="12">
        <v>1</v>
      </c>
      <c r="H1097" s="12" t="s">
        <v>61</v>
      </c>
      <c r="I1097" s="12">
        <v>1</v>
      </c>
      <c r="J1097" s="12">
        <v>0</v>
      </c>
      <c r="K1097" s="12">
        <v>28</v>
      </c>
      <c r="L1097" s="12">
        <f t="shared" si="256"/>
        <v>28</v>
      </c>
      <c r="M1097" s="12">
        <v>4</v>
      </c>
      <c r="N1097" s="12" t="s">
        <v>55</v>
      </c>
      <c r="O1097" s="12">
        <v>1</v>
      </c>
      <c r="P1097" s="12">
        <v>0</v>
      </c>
      <c r="Q1097" s="12">
        <v>0</v>
      </c>
      <c r="R1097" s="12">
        <v>0</v>
      </c>
      <c r="S1097" s="12">
        <v>0</v>
      </c>
      <c r="T1097" s="12">
        <v>2</v>
      </c>
      <c r="U1097" s="12" t="s">
        <v>62</v>
      </c>
      <c r="V1097" s="12">
        <v>0</v>
      </c>
      <c r="W1097" s="12">
        <v>79</v>
      </c>
      <c r="X1097" s="12">
        <v>3</v>
      </c>
      <c r="Y1097" s="12">
        <v>2</v>
      </c>
      <c r="Z1097" s="12" t="s">
        <v>67</v>
      </c>
      <c r="AA1097" s="12">
        <v>0</v>
      </c>
      <c r="AB1097" s="12">
        <v>0</v>
      </c>
      <c r="AC1097" s="12">
        <v>1</v>
      </c>
      <c r="AD1097" s="12">
        <v>0</v>
      </c>
      <c r="AE1097" s="12">
        <v>0</v>
      </c>
      <c r="AF1097" s="12">
        <v>0</v>
      </c>
      <c r="AG1097" s="12">
        <v>0</v>
      </c>
      <c r="AH1097" s="12">
        <v>0</v>
      </c>
      <c r="AI1097" s="12">
        <v>3</v>
      </c>
      <c r="AJ1097" s="12" t="s">
        <v>64</v>
      </c>
      <c r="AK1097" s="12">
        <v>0</v>
      </c>
      <c r="AL1097" s="12">
        <v>1</v>
      </c>
      <c r="AM1097" s="12">
        <v>5207</v>
      </c>
      <c r="AN1097" s="12">
        <f t="shared" si="257"/>
        <v>5207</v>
      </c>
      <c r="AO1097" s="12">
        <v>1</v>
      </c>
      <c r="AP1097" s="12" t="s">
        <v>52</v>
      </c>
      <c r="AQ1097" s="12">
        <v>1</v>
      </c>
      <c r="AR1097" s="12">
        <v>12</v>
      </c>
      <c r="AS1097" s="12">
        <v>3</v>
      </c>
      <c r="AT1097" s="12">
        <v>2</v>
      </c>
      <c r="AU1097" s="12">
        <v>1</v>
      </c>
      <c r="AV1097" s="12">
        <v>15</v>
      </c>
      <c r="AW1097" s="12">
        <f t="shared" si="258"/>
        <v>15</v>
      </c>
      <c r="AX1097" s="12">
        <v>3</v>
      </c>
      <c r="AY1097" s="12">
        <v>3</v>
      </c>
      <c r="AZ1097" s="12">
        <v>15</v>
      </c>
      <c r="BA1097" s="12">
        <f t="shared" si="259"/>
        <v>15</v>
      </c>
      <c r="BB1097" s="12">
        <v>14</v>
      </c>
      <c r="BC1097" s="12">
        <v>5</v>
      </c>
      <c r="BD1097" s="12">
        <f t="shared" si="268"/>
        <v>5</v>
      </c>
      <c r="BE1097" s="12">
        <v>7</v>
      </c>
      <c r="BF1097" s="12">
        <f t="shared" si="260"/>
        <v>7</v>
      </c>
      <c r="BG1097" s="12">
        <f t="shared" si="269"/>
        <v>14</v>
      </c>
      <c r="BH1097" s="67">
        <v>0</v>
      </c>
      <c r="BI1097" s="67">
        <v>1</v>
      </c>
      <c r="BJ1097" s="67">
        <v>0</v>
      </c>
      <c r="BK1097" s="67">
        <v>0</v>
      </c>
      <c r="BL1097" s="67">
        <v>0</v>
      </c>
      <c r="BM1097" s="67">
        <v>0</v>
      </c>
      <c r="BN1097" s="67">
        <v>0</v>
      </c>
      <c r="BO1097" s="67">
        <v>1</v>
      </c>
      <c r="BP1097" s="67">
        <v>0</v>
      </c>
      <c r="BQ1097" s="67">
        <v>7</v>
      </c>
      <c r="BR1097" s="67">
        <v>0</v>
      </c>
      <c r="BS1097" s="67">
        <v>0</v>
      </c>
      <c r="BT1097" s="67">
        <v>15</v>
      </c>
      <c r="BU1097" s="70">
        <v>0</v>
      </c>
      <c r="BV1097" s="29">
        <f t="shared" si="261"/>
        <v>0.2752640587461469</v>
      </c>
      <c r="BW1097">
        <f t="shared" si="262"/>
        <v>0.80626709607243985</v>
      </c>
      <c r="BX1097">
        <f t="shared" si="263"/>
        <v>0.47815352215483642</v>
      </c>
      <c r="BY1097">
        <f t="shared" si="264"/>
        <v>1.3044648533856922</v>
      </c>
      <c r="BZ1097">
        <f t="shared" si="265"/>
        <v>2.3199454169301186</v>
      </c>
      <c r="CA1097">
        <f t="shared" si="266"/>
        <v>0.42951823792158</v>
      </c>
      <c r="CB1097">
        <f t="shared" si="267"/>
        <v>0.87270930768174382</v>
      </c>
    </row>
    <row r="1098" spans="1:80" x14ac:dyDescent="0.45">
      <c r="A1098" s="11">
        <v>40</v>
      </c>
      <c r="B1098" s="12">
        <f t="shared" si="255"/>
        <v>40</v>
      </c>
      <c r="C1098" s="12" t="s">
        <v>59</v>
      </c>
      <c r="D1098" s="12">
        <v>0</v>
      </c>
      <c r="E1098" s="12" t="s">
        <v>53</v>
      </c>
      <c r="F1098" s="12">
        <v>0</v>
      </c>
      <c r="G1098" s="12">
        <v>1</v>
      </c>
      <c r="H1098" s="12" t="s">
        <v>97</v>
      </c>
      <c r="I1098" s="12">
        <v>0</v>
      </c>
      <c r="J1098" s="12">
        <v>0</v>
      </c>
      <c r="K1098" s="12">
        <v>6</v>
      </c>
      <c r="L1098" s="12">
        <f t="shared" si="256"/>
        <v>6</v>
      </c>
      <c r="M1098" s="12">
        <v>2</v>
      </c>
      <c r="N1098" s="12" t="s">
        <v>70</v>
      </c>
      <c r="O1098" s="12">
        <v>0</v>
      </c>
      <c r="P1098" s="12">
        <v>0</v>
      </c>
      <c r="Q1098" s="12">
        <v>1</v>
      </c>
      <c r="R1098" s="12">
        <v>0</v>
      </c>
      <c r="S1098" s="12">
        <v>0</v>
      </c>
      <c r="T1098" s="12">
        <v>3</v>
      </c>
      <c r="U1098" s="12" t="s">
        <v>62</v>
      </c>
      <c r="V1098" s="12">
        <v>0</v>
      </c>
      <c r="W1098" s="12">
        <v>38</v>
      </c>
      <c r="X1098" s="12">
        <v>3</v>
      </c>
      <c r="Y1098" s="12">
        <v>4</v>
      </c>
      <c r="Z1098" s="12" t="s">
        <v>87</v>
      </c>
      <c r="AA1098" s="12">
        <v>0</v>
      </c>
      <c r="AB1098" s="12">
        <v>0</v>
      </c>
      <c r="AC1098" s="12">
        <v>0</v>
      </c>
      <c r="AD1098" s="12">
        <v>1</v>
      </c>
      <c r="AE1098" s="12">
        <v>0</v>
      </c>
      <c r="AF1098" s="12">
        <v>0</v>
      </c>
      <c r="AG1098" s="12">
        <v>0</v>
      </c>
      <c r="AH1098" s="12">
        <v>0</v>
      </c>
      <c r="AI1098" s="12">
        <v>4</v>
      </c>
      <c r="AJ1098" s="12" t="s">
        <v>57</v>
      </c>
      <c r="AK1098" s="12">
        <v>1</v>
      </c>
      <c r="AL1098" s="12">
        <v>0</v>
      </c>
      <c r="AM1098" s="12">
        <v>16437</v>
      </c>
      <c r="AN1098" s="12">
        <f t="shared" si="257"/>
        <v>16437</v>
      </c>
      <c r="AO1098" s="12">
        <v>1</v>
      </c>
      <c r="AP1098" s="12" t="s">
        <v>52</v>
      </c>
      <c r="AQ1098" s="12">
        <v>1</v>
      </c>
      <c r="AR1098" s="12">
        <v>21</v>
      </c>
      <c r="AS1098" s="12">
        <v>4</v>
      </c>
      <c r="AT1098" s="12">
        <v>4</v>
      </c>
      <c r="AU1098" s="12">
        <v>0</v>
      </c>
      <c r="AV1098" s="12">
        <v>21</v>
      </c>
      <c r="AW1098" s="12">
        <f t="shared" si="258"/>
        <v>21</v>
      </c>
      <c r="AX1098" s="12">
        <v>2</v>
      </c>
      <c r="AY1098" s="12">
        <v>3</v>
      </c>
      <c r="AZ1098" s="12">
        <v>21</v>
      </c>
      <c r="BA1098" s="12">
        <f t="shared" si="259"/>
        <v>21</v>
      </c>
      <c r="BB1098" s="12">
        <v>7</v>
      </c>
      <c r="BC1098" s="12">
        <v>7</v>
      </c>
      <c r="BD1098" s="12">
        <f t="shared" si="268"/>
        <v>7</v>
      </c>
      <c r="BE1098" s="12">
        <v>7</v>
      </c>
      <c r="BF1098" s="12">
        <f t="shared" si="260"/>
        <v>7</v>
      </c>
      <c r="BG1098" s="12">
        <f t="shared" si="269"/>
        <v>28</v>
      </c>
      <c r="BH1098" s="67">
        <v>1</v>
      </c>
      <c r="BI1098" s="67">
        <v>0</v>
      </c>
      <c r="BJ1098" s="67">
        <v>0</v>
      </c>
      <c r="BK1098" s="67">
        <v>0</v>
      </c>
      <c r="BL1098" s="67">
        <v>0</v>
      </c>
      <c r="BM1098" s="67">
        <v>1</v>
      </c>
      <c r="BN1098" s="67">
        <v>0</v>
      </c>
      <c r="BO1098" s="67">
        <v>0</v>
      </c>
      <c r="BP1098" s="67">
        <v>7</v>
      </c>
      <c r="BQ1098" s="67">
        <v>0</v>
      </c>
      <c r="BR1098" s="67">
        <v>0</v>
      </c>
      <c r="BS1098" s="67">
        <v>21</v>
      </c>
      <c r="BT1098" s="67">
        <v>0</v>
      </c>
      <c r="BU1098" s="70">
        <v>0</v>
      </c>
      <c r="BV1098" s="29">
        <f t="shared" si="261"/>
        <v>2.1100594515113711</v>
      </c>
      <c r="BW1098">
        <f t="shared" si="262"/>
        <v>0.80626709607243985</v>
      </c>
      <c r="BX1098">
        <f t="shared" si="263"/>
        <v>1.2492842709947811</v>
      </c>
      <c r="BY1098">
        <f t="shared" si="264"/>
        <v>2.2838128280930299</v>
      </c>
      <c r="BZ1098">
        <f t="shared" si="265"/>
        <v>0.39380416832397891</v>
      </c>
      <c r="CA1098">
        <f t="shared" si="266"/>
        <v>0.33673395837055903</v>
      </c>
      <c r="CB1098">
        <f t="shared" si="267"/>
        <v>1.4933588878908215</v>
      </c>
    </row>
    <row r="1099" spans="1:80" x14ac:dyDescent="0.45">
      <c r="A1099" s="11">
        <v>24</v>
      </c>
      <c r="B1099" s="12">
        <f t="shared" si="255"/>
        <v>24</v>
      </c>
      <c r="C1099" s="12" t="s">
        <v>59</v>
      </c>
      <c r="D1099" s="12">
        <v>0</v>
      </c>
      <c r="E1099" s="12" t="s">
        <v>53</v>
      </c>
      <c r="F1099" s="12">
        <v>0</v>
      </c>
      <c r="G1099" s="12">
        <v>1</v>
      </c>
      <c r="H1099" s="12" t="s">
        <v>61</v>
      </c>
      <c r="I1099" s="12">
        <v>1</v>
      </c>
      <c r="J1099" s="12">
        <v>0</v>
      </c>
      <c r="K1099" s="12">
        <v>21</v>
      </c>
      <c r="L1099" s="12">
        <f t="shared" si="256"/>
        <v>21</v>
      </c>
      <c r="M1099" s="12">
        <v>2</v>
      </c>
      <c r="N1099" s="12" t="s">
        <v>91</v>
      </c>
      <c r="O1099" s="12">
        <v>0</v>
      </c>
      <c r="P1099" s="12">
        <v>0</v>
      </c>
      <c r="Q1099" s="12">
        <v>0</v>
      </c>
      <c r="R1099" s="12">
        <v>0</v>
      </c>
      <c r="S1099" s="12">
        <v>1</v>
      </c>
      <c r="T1099" s="12">
        <v>3</v>
      </c>
      <c r="U1099" s="12" t="s">
        <v>62</v>
      </c>
      <c r="V1099" s="12">
        <v>0</v>
      </c>
      <c r="W1099" s="12">
        <v>57</v>
      </c>
      <c r="X1099" s="12">
        <v>2</v>
      </c>
      <c r="Y1099" s="12">
        <v>1</v>
      </c>
      <c r="Z1099" s="12" t="s">
        <v>67</v>
      </c>
      <c r="AA1099" s="12">
        <v>0</v>
      </c>
      <c r="AB1099" s="12">
        <v>0</v>
      </c>
      <c r="AC1099" s="12">
        <v>1</v>
      </c>
      <c r="AD1099" s="12">
        <v>0</v>
      </c>
      <c r="AE1099" s="12">
        <v>0</v>
      </c>
      <c r="AF1099" s="12">
        <v>0</v>
      </c>
      <c r="AG1099" s="12">
        <v>0</v>
      </c>
      <c r="AH1099" s="12">
        <v>0</v>
      </c>
      <c r="AI1099" s="12">
        <v>1</v>
      </c>
      <c r="AJ1099" s="12" t="s">
        <v>78</v>
      </c>
      <c r="AK1099" s="12">
        <v>0</v>
      </c>
      <c r="AL1099" s="12">
        <v>0</v>
      </c>
      <c r="AM1099" s="12">
        <v>2296</v>
      </c>
      <c r="AN1099" s="12">
        <f t="shared" si="257"/>
        <v>2296</v>
      </c>
      <c r="AO1099" s="12">
        <v>0</v>
      </c>
      <c r="AP1099" s="12" t="s">
        <v>59</v>
      </c>
      <c r="AQ1099" s="12">
        <v>0</v>
      </c>
      <c r="AR1099" s="12">
        <v>14</v>
      </c>
      <c r="AS1099" s="12">
        <v>3</v>
      </c>
      <c r="AT1099" s="12">
        <v>2</v>
      </c>
      <c r="AU1099" s="12">
        <v>3</v>
      </c>
      <c r="AV1099" s="12">
        <v>2</v>
      </c>
      <c r="AW1099" s="12">
        <f t="shared" si="258"/>
        <v>2</v>
      </c>
      <c r="AX1099" s="12">
        <v>3</v>
      </c>
      <c r="AY1099" s="12">
        <v>3</v>
      </c>
      <c r="AZ1099" s="12">
        <v>1</v>
      </c>
      <c r="BA1099" s="12">
        <f t="shared" si="259"/>
        <v>1</v>
      </c>
      <c r="BB1099" s="12">
        <v>1</v>
      </c>
      <c r="BC1099" s="12">
        <v>0</v>
      </c>
      <c r="BD1099" s="12">
        <f t="shared" si="268"/>
        <v>0</v>
      </c>
      <c r="BE1099" s="12">
        <v>0</v>
      </c>
      <c r="BF1099" s="12">
        <f t="shared" si="260"/>
        <v>0</v>
      </c>
      <c r="BG1099" s="12">
        <f t="shared" si="269"/>
        <v>0</v>
      </c>
      <c r="BH1099" s="67">
        <v>1</v>
      </c>
      <c r="BI1099" s="67">
        <v>0</v>
      </c>
      <c r="BJ1099" s="67">
        <v>0</v>
      </c>
      <c r="BK1099" s="67">
        <v>0</v>
      </c>
      <c r="BL1099" s="67">
        <v>1</v>
      </c>
      <c r="BM1099" s="67">
        <v>0</v>
      </c>
      <c r="BN1099" s="67">
        <v>0</v>
      </c>
      <c r="BO1099" s="67">
        <v>0</v>
      </c>
      <c r="BP1099" s="67">
        <v>0</v>
      </c>
      <c r="BQ1099" s="67">
        <v>0</v>
      </c>
      <c r="BR1099" s="67">
        <v>0</v>
      </c>
      <c r="BS1099" s="67">
        <v>0</v>
      </c>
      <c r="BT1099" s="67">
        <v>2</v>
      </c>
      <c r="BU1099" s="70">
        <v>0</v>
      </c>
      <c r="BV1099" s="29">
        <f t="shared" si="261"/>
        <v>0.8935789953765686</v>
      </c>
      <c r="BW1099">
        <f t="shared" si="262"/>
        <v>1.1555414682655611</v>
      </c>
      <c r="BX1099">
        <f t="shared" si="263"/>
        <v>1.192629766998377</v>
      </c>
      <c r="BY1099">
        <f t="shared" si="264"/>
        <v>0.9806804209314296</v>
      </c>
      <c r="BZ1099">
        <f t="shared" si="265"/>
        <v>1.4564796398038149</v>
      </c>
      <c r="CA1099">
        <f t="shared" si="266"/>
        <v>1.4146996331543302</v>
      </c>
      <c r="CB1099">
        <f t="shared" si="267"/>
        <v>0.67891464284095016</v>
      </c>
    </row>
    <row r="1100" spans="1:80" x14ac:dyDescent="0.45">
      <c r="A1100" s="11">
        <v>40</v>
      </c>
      <c r="B1100" s="12">
        <f t="shared" si="255"/>
        <v>40</v>
      </c>
      <c r="C1100" s="12" t="s">
        <v>59</v>
      </c>
      <c r="D1100" s="12">
        <v>0</v>
      </c>
      <c r="E1100" s="12" t="s">
        <v>86</v>
      </c>
      <c r="F1100" s="12">
        <v>0</v>
      </c>
      <c r="G1100" s="12">
        <v>0</v>
      </c>
      <c r="H1100" s="12" t="s">
        <v>61</v>
      </c>
      <c r="I1100" s="12">
        <v>1</v>
      </c>
      <c r="J1100" s="12">
        <v>0</v>
      </c>
      <c r="K1100" s="12">
        <v>8</v>
      </c>
      <c r="L1100" s="12">
        <f t="shared" si="256"/>
        <v>8</v>
      </c>
      <c r="M1100" s="12">
        <v>2</v>
      </c>
      <c r="N1100" s="12" t="s">
        <v>55</v>
      </c>
      <c r="O1100" s="12">
        <v>1</v>
      </c>
      <c r="P1100" s="12">
        <v>0</v>
      </c>
      <c r="Q1100" s="12">
        <v>0</v>
      </c>
      <c r="R1100" s="12">
        <v>0</v>
      </c>
      <c r="S1100" s="12">
        <v>0</v>
      </c>
      <c r="T1100" s="12">
        <v>4</v>
      </c>
      <c r="U1100" s="12" t="s">
        <v>62</v>
      </c>
      <c r="V1100" s="12">
        <v>0</v>
      </c>
      <c r="W1100" s="12">
        <v>72</v>
      </c>
      <c r="X1100" s="12">
        <v>3</v>
      </c>
      <c r="Y1100" s="12">
        <v>2</v>
      </c>
      <c r="Z1100" s="12" t="s">
        <v>85</v>
      </c>
      <c r="AA1100" s="12">
        <v>1</v>
      </c>
      <c r="AB1100" s="12">
        <v>0</v>
      </c>
      <c r="AC1100" s="12">
        <v>0</v>
      </c>
      <c r="AD1100" s="12">
        <v>0</v>
      </c>
      <c r="AE1100" s="12">
        <v>0</v>
      </c>
      <c r="AF1100" s="12">
        <v>0</v>
      </c>
      <c r="AG1100" s="12">
        <v>0</v>
      </c>
      <c r="AH1100" s="12">
        <v>0</v>
      </c>
      <c r="AI1100" s="12">
        <v>4</v>
      </c>
      <c r="AJ1100" s="12" t="s">
        <v>78</v>
      </c>
      <c r="AK1100" s="12">
        <v>0</v>
      </c>
      <c r="AL1100" s="12">
        <v>0</v>
      </c>
      <c r="AM1100" s="12">
        <v>4069</v>
      </c>
      <c r="AN1100" s="12">
        <f t="shared" si="257"/>
        <v>4069</v>
      </c>
      <c r="AO1100" s="12">
        <v>3</v>
      </c>
      <c r="AP1100" s="12" t="s">
        <v>52</v>
      </c>
      <c r="AQ1100" s="12">
        <v>1</v>
      </c>
      <c r="AR1100" s="12">
        <v>18</v>
      </c>
      <c r="AS1100" s="12">
        <v>3</v>
      </c>
      <c r="AT1100" s="12">
        <v>3</v>
      </c>
      <c r="AU1100" s="12">
        <v>0</v>
      </c>
      <c r="AV1100" s="12">
        <v>8</v>
      </c>
      <c r="AW1100" s="12">
        <f t="shared" si="258"/>
        <v>8</v>
      </c>
      <c r="AX1100" s="12">
        <v>2</v>
      </c>
      <c r="AY1100" s="12">
        <v>3</v>
      </c>
      <c r="AZ1100" s="12">
        <v>2</v>
      </c>
      <c r="BA1100" s="12">
        <f t="shared" si="259"/>
        <v>2</v>
      </c>
      <c r="BB1100" s="12">
        <v>2</v>
      </c>
      <c r="BC1100" s="12">
        <v>2</v>
      </c>
      <c r="BD1100" s="12">
        <f t="shared" si="268"/>
        <v>2</v>
      </c>
      <c r="BE1100" s="12">
        <v>2</v>
      </c>
      <c r="BF1100" s="12">
        <f t="shared" si="260"/>
        <v>2</v>
      </c>
      <c r="BG1100" s="12">
        <f t="shared" si="269"/>
        <v>4</v>
      </c>
      <c r="BH1100" s="67">
        <v>1</v>
      </c>
      <c r="BI1100" s="67">
        <v>0</v>
      </c>
      <c r="BJ1100" s="67">
        <v>0</v>
      </c>
      <c r="BK1100" s="67">
        <v>0</v>
      </c>
      <c r="BL1100" s="67">
        <v>0</v>
      </c>
      <c r="BM1100" s="67">
        <v>1</v>
      </c>
      <c r="BN1100" s="67">
        <v>0</v>
      </c>
      <c r="BO1100" s="67">
        <v>0</v>
      </c>
      <c r="BP1100" s="67">
        <v>0</v>
      </c>
      <c r="BQ1100" s="67">
        <v>2</v>
      </c>
      <c r="BR1100" s="67">
        <v>0</v>
      </c>
      <c r="BS1100" s="67">
        <v>0</v>
      </c>
      <c r="BT1100" s="67">
        <v>8</v>
      </c>
      <c r="BU1100" s="70">
        <v>0</v>
      </c>
      <c r="BV1100" s="29">
        <f t="shared" si="261"/>
        <v>0.51698250528871637</v>
      </c>
      <c r="BW1100">
        <f t="shared" si="262"/>
        <v>0.59502473559756086</v>
      </c>
      <c r="BX1100">
        <f t="shared" si="263"/>
        <v>0.42149901815843233</v>
      </c>
      <c r="BY1100">
        <f t="shared" si="264"/>
        <v>0.81745575848020657</v>
      </c>
      <c r="BZ1100">
        <f t="shared" si="265"/>
        <v>0.14709966057360641</v>
      </c>
      <c r="CA1100">
        <f t="shared" si="266"/>
        <v>0.33673395837055903</v>
      </c>
      <c r="CB1100">
        <f t="shared" si="267"/>
        <v>5.8265062631872602E-2</v>
      </c>
    </row>
    <row r="1101" spans="1:80" x14ac:dyDescent="0.45">
      <c r="A1101" s="11">
        <v>45</v>
      </c>
      <c r="B1101" s="12">
        <f t="shared" si="255"/>
        <v>45</v>
      </c>
      <c r="C1101" s="12" t="s">
        <v>59</v>
      </c>
      <c r="D1101" s="12">
        <v>0</v>
      </c>
      <c r="E1101" s="12" t="s">
        <v>53</v>
      </c>
      <c r="F1101" s="12">
        <v>0</v>
      </c>
      <c r="G1101" s="12">
        <v>1</v>
      </c>
      <c r="H1101" s="12" t="s">
        <v>61</v>
      </c>
      <c r="I1101" s="12">
        <v>1</v>
      </c>
      <c r="J1101" s="12">
        <v>0</v>
      </c>
      <c r="K1101" s="12">
        <v>1</v>
      </c>
      <c r="L1101" s="12">
        <f t="shared" si="256"/>
        <v>1</v>
      </c>
      <c r="M1101" s="12">
        <v>4</v>
      </c>
      <c r="N1101" s="12" t="s">
        <v>91</v>
      </c>
      <c r="O1101" s="12">
        <v>0</v>
      </c>
      <c r="P1101" s="12">
        <v>0</v>
      </c>
      <c r="Q1101" s="12">
        <v>0</v>
      </c>
      <c r="R1101" s="12">
        <v>0</v>
      </c>
      <c r="S1101" s="12">
        <v>1</v>
      </c>
      <c r="T1101" s="12">
        <v>1</v>
      </c>
      <c r="U1101" s="12" t="s">
        <v>62</v>
      </c>
      <c r="V1101" s="12">
        <v>0</v>
      </c>
      <c r="W1101" s="12">
        <v>66</v>
      </c>
      <c r="X1101" s="12">
        <v>3</v>
      </c>
      <c r="Y1101" s="12">
        <v>3</v>
      </c>
      <c r="Z1101" s="12" t="s">
        <v>85</v>
      </c>
      <c r="AA1101" s="12">
        <v>1</v>
      </c>
      <c r="AB1101" s="12">
        <v>0</v>
      </c>
      <c r="AC1101" s="12">
        <v>0</v>
      </c>
      <c r="AD1101" s="12">
        <v>0</v>
      </c>
      <c r="AE1101" s="12">
        <v>0</v>
      </c>
      <c r="AF1101" s="12">
        <v>0</v>
      </c>
      <c r="AG1101" s="12">
        <v>0</v>
      </c>
      <c r="AH1101" s="12">
        <v>0</v>
      </c>
      <c r="AI1101" s="12">
        <v>2</v>
      </c>
      <c r="AJ1101" s="12" t="s">
        <v>78</v>
      </c>
      <c r="AK1101" s="12">
        <v>0</v>
      </c>
      <c r="AL1101" s="12">
        <v>0</v>
      </c>
      <c r="AM1101" s="12">
        <v>7441</v>
      </c>
      <c r="AN1101" s="12">
        <f t="shared" si="257"/>
        <v>7441</v>
      </c>
      <c r="AO1101" s="12">
        <v>1</v>
      </c>
      <c r="AP1101" s="12" t="s">
        <v>59</v>
      </c>
      <c r="AQ1101" s="12">
        <v>0</v>
      </c>
      <c r="AR1101" s="12">
        <v>12</v>
      </c>
      <c r="AS1101" s="12">
        <v>3</v>
      </c>
      <c r="AT1101" s="12">
        <v>1</v>
      </c>
      <c r="AU1101" s="12">
        <v>3</v>
      </c>
      <c r="AV1101" s="12">
        <v>10</v>
      </c>
      <c r="AW1101" s="12">
        <f t="shared" si="258"/>
        <v>10</v>
      </c>
      <c r="AX1101" s="12">
        <v>4</v>
      </c>
      <c r="AY1101" s="12">
        <v>3</v>
      </c>
      <c r="AZ1101" s="12">
        <v>10</v>
      </c>
      <c r="BA1101" s="12">
        <f t="shared" si="259"/>
        <v>10</v>
      </c>
      <c r="BB1101" s="12">
        <v>8</v>
      </c>
      <c r="BC1101" s="12">
        <v>7</v>
      </c>
      <c r="BD1101" s="12">
        <f t="shared" si="268"/>
        <v>7</v>
      </c>
      <c r="BE1101" s="12">
        <v>7</v>
      </c>
      <c r="BF1101" s="12">
        <f t="shared" si="260"/>
        <v>7</v>
      </c>
      <c r="BG1101" s="12">
        <f t="shared" si="269"/>
        <v>21</v>
      </c>
      <c r="BH1101" s="67">
        <v>1</v>
      </c>
      <c r="BI1101" s="67">
        <v>0</v>
      </c>
      <c r="BJ1101" s="67">
        <v>0</v>
      </c>
      <c r="BK1101" s="67">
        <v>0</v>
      </c>
      <c r="BL1101" s="67">
        <v>1</v>
      </c>
      <c r="BM1101" s="67">
        <v>0</v>
      </c>
      <c r="BN1101" s="67">
        <v>0</v>
      </c>
      <c r="BO1101" s="67">
        <v>0</v>
      </c>
      <c r="BP1101" s="67">
        <v>0</v>
      </c>
      <c r="BQ1101" s="67">
        <v>7</v>
      </c>
      <c r="BR1101" s="67">
        <v>0</v>
      </c>
      <c r="BS1101" s="67">
        <v>0</v>
      </c>
      <c r="BT1101" s="67">
        <v>10</v>
      </c>
      <c r="BU1101" s="70">
        <v>0</v>
      </c>
      <c r="BV1101" s="29">
        <f t="shared" si="261"/>
        <v>0.19925176689190255</v>
      </c>
      <c r="BW1101">
        <f t="shared" si="262"/>
        <v>0.80626709607243985</v>
      </c>
      <c r="BX1101">
        <f t="shared" si="263"/>
        <v>0.1644554352117841</v>
      </c>
      <c r="BY1101">
        <f t="shared" si="264"/>
        <v>0.48834154112957734</v>
      </c>
      <c r="BZ1101">
        <f t="shared" si="265"/>
        <v>1.01056543769991</v>
      </c>
      <c r="CA1101">
        <f t="shared" si="266"/>
        <v>0.88405695572208698</v>
      </c>
      <c r="CB1101">
        <f t="shared" si="267"/>
        <v>1.4933588878908215</v>
      </c>
    </row>
    <row r="1102" spans="1:80" x14ac:dyDescent="0.45">
      <c r="A1102" s="11">
        <v>35</v>
      </c>
      <c r="B1102" s="12">
        <f t="shared" si="255"/>
        <v>35</v>
      </c>
      <c r="C1102" s="12" t="s">
        <v>59</v>
      </c>
      <c r="D1102" s="12">
        <v>0</v>
      </c>
      <c r="E1102" s="12" t="s">
        <v>53</v>
      </c>
      <c r="F1102" s="12">
        <v>0</v>
      </c>
      <c r="G1102" s="12">
        <v>1</v>
      </c>
      <c r="H1102" s="12" t="s">
        <v>54</v>
      </c>
      <c r="I1102" s="12">
        <v>0</v>
      </c>
      <c r="J1102" s="12">
        <v>1</v>
      </c>
      <c r="K1102" s="12">
        <v>28</v>
      </c>
      <c r="L1102" s="12">
        <f t="shared" si="256"/>
        <v>28</v>
      </c>
      <c r="M1102" s="12">
        <v>4</v>
      </c>
      <c r="N1102" s="12" t="s">
        <v>55</v>
      </c>
      <c r="O1102" s="12">
        <v>1</v>
      </c>
      <c r="P1102" s="12">
        <v>0</v>
      </c>
      <c r="Q1102" s="12">
        <v>0</v>
      </c>
      <c r="R1102" s="12">
        <v>0</v>
      </c>
      <c r="S1102" s="12">
        <v>0</v>
      </c>
      <c r="T1102" s="12">
        <v>2</v>
      </c>
      <c r="U1102" s="12" t="s">
        <v>19</v>
      </c>
      <c r="V1102" s="12">
        <v>1</v>
      </c>
      <c r="W1102" s="12">
        <v>98</v>
      </c>
      <c r="X1102" s="12">
        <v>2</v>
      </c>
      <c r="Y1102" s="12">
        <v>1</v>
      </c>
      <c r="Z1102" s="12" t="s">
        <v>88</v>
      </c>
      <c r="AA1102" s="12">
        <v>0</v>
      </c>
      <c r="AB1102" s="12">
        <v>0</v>
      </c>
      <c r="AC1102" s="12">
        <v>0</v>
      </c>
      <c r="AD1102" s="12">
        <v>0</v>
      </c>
      <c r="AE1102" s="12">
        <v>0</v>
      </c>
      <c r="AF1102" s="12">
        <v>0</v>
      </c>
      <c r="AG1102" s="12">
        <v>1</v>
      </c>
      <c r="AH1102" s="12">
        <v>0</v>
      </c>
      <c r="AI1102" s="12">
        <v>3</v>
      </c>
      <c r="AJ1102" s="12" t="s">
        <v>64</v>
      </c>
      <c r="AK1102" s="12">
        <v>0</v>
      </c>
      <c r="AL1102" s="12">
        <v>1</v>
      </c>
      <c r="AM1102" s="12">
        <v>2430</v>
      </c>
      <c r="AN1102" s="12">
        <f t="shared" si="257"/>
        <v>2430</v>
      </c>
      <c r="AO1102" s="12">
        <v>0</v>
      </c>
      <c r="AP1102" s="12" t="s">
        <v>59</v>
      </c>
      <c r="AQ1102" s="12">
        <v>0</v>
      </c>
      <c r="AR1102" s="12">
        <v>23</v>
      </c>
      <c r="AS1102" s="12">
        <v>4</v>
      </c>
      <c r="AT1102" s="12">
        <v>1</v>
      </c>
      <c r="AU1102" s="12">
        <v>2</v>
      </c>
      <c r="AV1102" s="12">
        <v>6</v>
      </c>
      <c r="AW1102" s="12">
        <f t="shared" si="258"/>
        <v>6</v>
      </c>
      <c r="AX1102" s="12">
        <v>5</v>
      </c>
      <c r="AY1102" s="12">
        <v>3</v>
      </c>
      <c r="AZ1102" s="12">
        <v>5</v>
      </c>
      <c r="BA1102" s="12">
        <f t="shared" si="259"/>
        <v>5</v>
      </c>
      <c r="BB1102" s="12">
        <v>3</v>
      </c>
      <c r="BC1102" s="12">
        <v>4</v>
      </c>
      <c r="BD1102" s="12">
        <f t="shared" si="268"/>
        <v>4</v>
      </c>
      <c r="BE1102" s="12">
        <v>2</v>
      </c>
      <c r="BF1102" s="12">
        <f t="shared" si="260"/>
        <v>2</v>
      </c>
      <c r="BG1102" s="12">
        <f t="shared" si="269"/>
        <v>2</v>
      </c>
      <c r="BH1102" s="67">
        <v>0</v>
      </c>
      <c r="BI1102" s="67">
        <v>1</v>
      </c>
      <c r="BJ1102" s="67">
        <v>0</v>
      </c>
      <c r="BK1102" s="67">
        <v>0</v>
      </c>
      <c r="BL1102" s="67">
        <v>0</v>
      </c>
      <c r="BM1102" s="67">
        <v>0</v>
      </c>
      <c r="BN1102" s="67">
        <v>1</v>
      </c>
      <c r="BO1102" s="67">
        <v>0</v>
      </c>
      <c r="BP1102" s="67">
        <v>0</v>
      </c>
      <c r="BQ1102" s="67">
        <v>0</v>
      </c>
      <c r="BR1102" s="67">
        <v>2</v>
      </c>
      <c r="BS1102" s="67">
        <v>0</v>
      </c>
      <c r="BT1102" s="67">
        <v>0</v>
      </c>
      <c r="BU1102" s="70">
        <v>6</v>
      </c>
      <c r="BV1102" s="29">
        <f t="shared" si="261"/>
        <v>0.86511654209299715</v>
      </c>
      <c r="BW1102">
        <f t="shared" si="262"/>
        <v>0.59502473559756086</v>
      </c>
      <c r="BX1102">
        <f t="shared" si="263"/>
        <v>0.67854260110508058</v>
      </c>
      <c r="BY1102">
        <f t="shared" si="264"/>
        <v>0.32778177112653761</v>
      </c>
      <c r="BZ1102">
        <f t="shared" si="265"/>
        <v>2.3199454169301186</v>
      </c>
      <c r="CA1102">
        <f t="shared" si="266"/>
        <v>0.21058903898096887</v>
      </c>
      <c r="CB1102">
        <f t="shared" si="267"/>
        <v>0.56238451757720498</v>
      </c>
    </row>
    <row r="1103" spans="1:80" x14ac:dyDescent="0.45">
      <c r="A1103" s="11">
        <v>32</v>
      </c>
      <c r="B1103" s="12">
        <f t="shared" si="255"/>
        <v>32</v>
      </c>
      <c r="C1103" s="12" t="s">
        <v>59</v>
      </c>
      <c r="D1103" s="12">
        <v>0</v>
      </c>
      <c r="E1103" s="12" t="s">
        <v>53</v>
      </c>
      <c r="F1103" s="12">
        <v>0</v>
      </c>
      <c r="G1103" s="12">
        <v>1</v>
      </c>
      <c r="H1103" s="12" t="s">
        <v>61</v>
      </c>
      <c r="I1103" s="12">
        <v>1</v>
      </c>
      <c r="J1103" s="12">
        <v>0</v>
      </c>
      <c r="K1103" s="12">
        <v>5</v>
      </c>
      <c r="L1103" s="12">
        <f t="shared" si="256"/>
        <v>5</v>
      </c>
      <c r="M1103" s="12">
        <v>2</v>
      </c>
      <c r="N1103" s="12" t="s">
        <v>55</v>
      </c>
      <c r="O1103" s="12">
        <v>1</v>
      </c>
      <c r="P1103" s="12">
        <v>0</v>
      </c>
      <c r="Q1103" s="12">
        <v>0</v>
      </c>
      <c r="R1103" s="12">
        <v>0</v>
      </c>
      <c r="S1103" s="12">
        <v>0</v>
      </c>
      <c r="T1103" s="12">
        <v>4</v>
      </c>
      <c r="U1103" s="12" t="s">
        <v>19</v>
      </c>
      <c r="V1103" s="12">
        <v>1</v>
      </c>
      <c r="W1103" s="12">
        <v>67</v>
      </c>
      <c r="X1103" s="12">
        <v>2</v>
      </c>
      <c r="Y1103" s="12">
        <v>2</v>
      </c>
      <c r="Z1103" s="12" t="s">
        <v>63</v>
      </c>
      <c r="AA1103" s="12">
        <v>0</v>
      </c>
      <c r="AB1103" s="12">
        <v>0</v>
      </c>
      <c r="AC1103" s="12">
        <v>0</v>
      </c>
      <c r="AD1103" s="12">
        <v>0</v>
      </c>
      <c r="AE1103" s="12">
        <v>0</v>
      </c>
      <c r="AF1103" s="12">
        <v>0</v>
      </c>
      <c r="AG1103" s="12">
        <v>0</v>
      </c>
      <c r="AH1103" s="12">
        <v>1</v>
      </c>
      <c r="AI1103" s="12">
        <v>2</v>
      </c>
      <c r="AJ1103" s="12" t="s">
        <v>64</v>
      </c>
      <c r="AK1103" s="12">
        <v>0</v>
      </c>
      <c r="AL1103" s="12">
        <v>1</v>
      </c>
      <c r="AM1103" s="12">
        <v>5878</v>
      </c>
      <c r="AN1103" s="12">
        <f t="shared" si="257"/>
        <v>5878</v>
      </c>
      <c r="AO1103" s="12">
        <v>3</v>
      </c>
      <c r="AP1103" s="12" t="s">
        <v>59</v>
      </c>
      <c r="AQ1103" s="12">
        <v>0</v>
      </c>
      <c r="AR1103" s="12">
        <v>12</v>
      </c>
      <c r="AS1103" s="12">
        <v>3</v>
      </c>
      <c r="AT1103" s="12">
        <v>1</v>
      </c>
      <c r="AU1103" s="12">
        <v>1</v>
      </c>
      <c r="AV1103" s="12">
        <v>12</v>
      </c>
      <c r="AW1103" s="12">
        <f t="shared" si="258"/>
        <v>12</v>
      </c>
      <c r="AX1103" s="12">
        <v>2</v>
      </c>
      <c r="AY1103" s="12">
        <v>3</v>
      </c>
      <c r="AZ1103" s="12">
        <v>7</v>
      </c>
      <c r="BA1103" s="12">
        <f t="shared" si="259"/>
        <v>7</v>
      </c>
      <c r="BB1103" s="12">
        <v>1</v>
      </c>
      <c r="BC1103" s="12">
        <v>2</v>
      </c>
      <c r="BD1103" s="12">
        <f t="shared" si="268"/>
        <v>2</v>
      </c>
      <c r="BE1103" s="12">
        <v>5</v>
      </c>
      <c r="BF1103" s="12">
        <f t="shared" si="260"/>
        <v>5</v>
      </c>
      <c r="BG1103" s="12">
        <f t="shared" si="269"/>
        <v>10</v>
      </c>
      <c r="BH1103" s="67">
        <v>0</v>
      </c>
      <c r="BI1103" s="67">
        <v>1</v>
      </c>
      <c r="BJ1103" s="67">
        <v>0</v>
      </c>
      <c r="BK1103" s="67">
        <v>0</v>
      </c>
      <c r="BL1103" s="67">
        <v>0</v>
      </c>
      <c r="BM1103" s="67">
        <v>0</v>
      </c>
      <c r="BN1103" s="67">
        <v>1</v>
      </c>
      <c r="BO1103" s="67">
        <v>0</v>
      </c>
      <c r="BP1103" s="67">
        <v>0</v>
      </c>
      <c r="BQ1103" s="67">
        <v>5</v>
      </c>
      <c r="BR1103" s="67">
        <v>0</v>
      </c>
      <c r="BS1103" s="67">
        <v>0</v>
      </c>
      <c r="BT1103" s="67">
        <v>12</v>
      </c>
      <c r="BU1103" s="70">
        <v>0</v>
      </c>
      <c r="BV1103" s="29">
        <f t="shared" si="261"/>
        <v>0.13273938596050178</v>
      </c>
      <c r="BW1103">
        <f t="shared" si="262"/>
        <v>0.24575036340443959</v>
      </c>
      <c r="BX1103">
        <f t="shared" si="263"/>
        <v>9.2588147734864096E-2</v>
      </c>
      <c r="BY1103">
        <f t="shared" si="264"/>
        <v>1.3324462240916321E-3</v>
      </c>
      <c r="BZ1103">
        <f t="shared" si="265"/>
        <v>0.51715642219916513</v>
      </c>
      <c r="CA1103">
        <f t="shared" si="266"/>
        <v>0.53898283739188557</v>
      </c>
      <c r="CB1103">
        <f t="shared" si="267"/>
        <v>5.8265062631872602E-2</v>
      </c>
    </row>
    <row r="1104" spans="1:80" x14ac:dyDescent="0.45">
      <c r="A1104" s="11">
        <v>36</v>
      </c>
      <c r="B1104" s="12">
        <f t="shared" si="255"/>
        <v>36</v>
      </c>
      <c r="C1104" s="12" t="s">
        <v>59</v>
      </c>
      <c r="D1104" s="12">
        <v>0</v>
      </c>
      <c r="E1104" s="12" t="s">
        <v>53</v>
      </c>
      <c r="F1104" s="12">
        <v>0</v>
      </c>
      <c r="G1104" s="12">
        <v>1</v>
      </c>
      <c r="H1104" s="12" t="s">
        <v>54</v>
      </c>
      <c r="I1104" s="12">
        <v>0</v>
      </c>
      <c r="J1104" s="12">
        <v>1</v>
      </c>
      <c r="K1104" s="12">
        <v>2</v>
      </c>
      <c r="L1104" s="12">
        <f t="shared" si="256"/>
        <v>2</v>
      </c>
      <c r="M1104" s="12">
        <v>4</v>
      </c>
      <c r="N1104" s="12" t="s">
        <v>55</v>
      </c>
      <c r="O1104" s="12">
        <v>1</v>
      </c>
      <c r="P1104" s="12">
        <v>0</v>
      </c>
      <c r="Q1104" s="12">
        <v>0</v>
      </c>
      <c r="R1104" s="12">
        <v>0</v>
      </c>
      <c r="S1104" s="12">
        <v>0</v>
      </c>
      <c r="T1104" s="12">
        <v>3</v>
      </c>
      <c r="U1104" s="12" t="s">
        <v>62</v>
      </c>
      <c r="V1104" s="12">
        <v>0</v>
      </c>
      <c r="W1104" s="12">
        <v>70</v>
      </c>
      <c r="X1104" s="12">
        <v>3</v>
      </c>
      <c r="Y1104" s="12">
        <v>1</v>
      </c>
      <c r="Z1104" s="12" t="s">
        <v>88</v>
      </c>
      <c r="AA1104" s="12">
        <v>0</v>
      </c>
      <c r="AB1104" s="12">
        <v>0</v>
      </c>
      <c r="AC1104" s="12">
        <v>0</v>
      </c>
      <c r="AD1104" s="12">
        <v>0</v>
      </c>
      <c r="AE1104" s="12">
        <v>0</v>
      </c>
      <c r="AF1104" s="12">
        <v>0</v>
      </c>
      <c r="AG1104" s="12">
        <v>1</v>
      </c>
      <c r="AH1104" s="12">
        <v>0</v>
      </c>
      <c r="AI1104" s="12">
        <v>4</v>
      </c>
      <c r="AJ1104" s="12" t="s">
        <v>57</v>
      </c>
      <c r="AK1104" s="12">
        <v>1</v>
      </c>
      <c r="AL1104" s="12">
        <v>0</v>
      </c>
      <c r="AM1104" s="12">
        <v>2644</v>
      </c>
      <c r="AN1104" s="12">
        <f t="shared" si="257"/>
        <v>2644</v>
      </c>
      <c r="AO1104" s="12">
        <v>3</v>
      </c>
      <c r="AP1104" s="12" t="s">
        <v>52</v>
      </c>
      <c r="AQ1104" s="12">
        <v>1</v>
      </c>
      <c r="AR1104" s="12">
        <v>21</v>
      </c>
      <c r="AS1104" s="12">
        <v>4</v>
      </c>
      <c r="AT1104" s="12">
        <v>4</v>
      </c>
      <c r="AU1104" s="12">
        <v>0</v>
      </c>
      <c r="AV1104" s="12">
        <v>7</v>
      </c>
      <c r="AW1104" s="12">
        <f t="shared" si="258"/>
        <v>7</v>
      </c>
      <c r="AX1104" s="12">
        <v>3</v>
      </c>
      <c r="AY1104" s="12">
        <v>2</v>
      </c>
      <c r="AZ1104" s="12">
        <v>3</v>
      </c>
      <c r="BA1104" s="12">
        <f t="shared" si="259"/>
        <v>3</v>
      </c>
      <c r="BB1104" s="12">
        <v>2</v>
      </c>
      <c r="BC1104" s="12">
        <v>1</v>
      </c>
      <c r="BD1104" s="12">
        <f t="shared" si="268"/>
        <v>1</v>
      </c>
      <c r="BE1104" s="12">
        <v>2</v>
      </c>
      <c r="BF1104" s="12">
        <f t="shared" si="260"/>
        <v>2</v>
      </c>
      <c r="BG1104" s="12">
        <f t="shared" si="269"/>
        <v>2</v>
      </c>
      <c r="BH1104" s="67">
        <v>1</v>
      </c>
      <c r="BI1104" s="67">
        <v>0</v>
      </c>
      <c r="BJ1104" s="67">
        <v>0</v>
      </c>
      <c r="BK1104" s="67">
        <v>0</v>
      </c>
      <c r="BL1104" s="67">
        <v>0</v>
      </c>
      <c r="BM1104" s="67">
        <v>1</v>
      </c>
      <c r="BN1104" s="67">
        <v>0</v>
      </c>
      <c r="BO1104" s="67">
        <v>0</v>
      </c>
      <c r="BP1104" s="67">
        <v>0</v>
      </c>
      <c r="BQ1104" s="67">
        <v>0</v>
      </c>
      <c r="BR1104" s="67">
        <v>2</v>
      </c>
      <c r="BS1104" s="67">
        <v>0</v>
      </c>
      <c r="BT1104" s="67">
        <v>0</v>
      </c>
      <c r="BU1104" s="70">
        <v>7</v>
      </c>
      <c r="BV1104" s="29">
        <f t="shared" si="261"/>
        <v>0.81966157938639794</v>
      </c>
      <c r="BW1104">
        <f t="shared" si="262"/>
        <v>0.59502473559756086</v>
      </c>
      <c r="BX1104">
        <f t="shared" si="263"/>
        <v>0.55002080963175637</v>
      </c>
      <c r="BY1104">
        <f t="shared" si="264"/>
        <v>0.65423109602898355</v>
      </c>
      <c r="BZ1104">
        <f t="shared" si="265"/>
        <v>0.88721318382472392</v>
      </c>
      <c r="CA1104">
        <f t="shared" si="266"/>
        <v>0.10112443951066327</v>
      </c>
      <c r="CB1104">
        <f t="shared" si="267"/>
        <v>0.36858985273641137</v>
      </c>
    </row>
    <row r="1105" spans="1:80" x14ac:dyDescent="0.45">
      <c r="A1105" s="11">
        <v>48</v>
      </c>
      <c r="B1105" s="12">
        <f t="shared" si="255"/>
        <v>48</v>
      </c>
      <c r="C1105" s="12" t="s">
        <v>59</v>
      </c>
      <c r="D1105" s="12">
        <v>0</v>
      </c>
      <c r="E1105" s="12" t="s">
        <v>53</v>
      </c>
      <c r="F1105" s="12">
        <v>0</v>
      </c>
      <c r="G1105" s="12">
        <v>1</v>
      </c>
      <c r="H1105" s="12" t="s">
        <v>54</v>
      </c>
      <c r="I1105" s="12">
        <v>0</v>
      </c>
      <c r="J1105" s="12">
        <v>1</v>
      </c>
      <c r="K1105" s="12">
        <v>16</v>
      </c>
      <c r="L1105" s="12">
        <f t="shared" si="256"/>
        <v>16</v>
      </c>
      <c r="M1105" s="12">
        <v>4</v>
      </c>
      <c r="N1105" s="12" t="s">
        <v>55</v>
      </c>
      <c r="O1105" s="12">
        <v>1</v>
      </c>
      <c r="P1105" s="12">
        <v>0</v>
      </c>
      <c r="Q1105" s="12">
        <v>0</v>
      </c>
      <c r="R1105" s="12">
        <v>0</v>
      </c>
      <c r="S1105" s="12">
        <v>0</v>
      </c>
      <c r="T1105" s="12">
        <v>3</v>
      </c>
      <c r="U1105" s="12" t="s">
        <v>19</v>
      </c>
      <c r="V1105" s="12">
        <v>1</v>
      </c>
      <c r="W1105" s="12">
        <v>96</v>
      </c>
      <c r="X1105" s="12">
        <v>3</v>
      </c>
      <c r="Y1105" s="12">
        <v>2</v>
      </c>
      <c r="Z1105" s="12" t="s">
        <v>56</v>
      </c>
      <c r="AA1105" s="12">
        <v>0</v>
      </c>
      <c r="AB1105" s="12">
        <v>1</v>
      </c>
      <c r="AC1105" s="12">
        <v>0</v>
      </c>
      <c r="AD1105" s="12">
        <v>0</v>
      </c>
      <c r="AE1105" s="12">
        <v>0</v>
      </c>
      <c r="AF1105" s="12">
        <v>0</v>
      </c>
      <c r="AG1105" s="12">
        <v>0</v>
      </c>
      <c r="AH1105" s="12">
        <v>0</v>
      </c>
      <c r="AI1105" s="12">
        <v>3</v>
      </c>
      <c r="AJ1105" s="12" t="s">
        <v>78</v>
      </c>
      <c r="AK1105" s="12">
        <v>0</v>
      </c>
      <c r="AL1105" s="12">
        <v>0</v>
      </c>
      <c r="AM1105" s="12">
        <v>6439</v>
      </c>
      <c r="AN1105" s="12">
        <f t="shared" si="257"/>
        <v>6439</v>
      </c>
      <c r="AO1105" s="12">
        <v>8</v>
      </c>
      <c r="AP1105" s="12" t="s">
        <v>59</v>
      </c>
      <c r="AQ1105" s="12">
        <v>0</v>
      </c>
      <c r="AR1105" s="12">
        <v>14</v>
      </c>
      <c r="AS1105" s="12">
        <v>3</v>
      </c>
      <c r="AT1105" s="12">
        <v>3</v>
      </c>
      <c r="AU1105" s="12">
        <v>1</v>
      </c>
      <c r="AV1105" s="12">
        <v>18</v>
      </c>
      <c r="AW1105" s="12">
        <f t="shared" si="258"/>
        <v>18</v>
      </c>
      <c r="AX1105" s="12">
        <v>2</v>
      </c>
      <c r="AY1105" s="12">
        <v>3</v>
      </c>
      <c r="AZ1105" s="12">
        <v>8</v>
      </c>
      <c r="BA1105" s="12">
        <f t="shared" si="259"/>
        <v>8</v>
      </c>
      <c r="BB1105" s="12">
        <v>7</v>
      </c>
      <c r="BC1105" s="12">
        <v>7</v>
      </c>
      <c r="BD1105" s="12">
        <f t="shared" si="268"/>
        <v>7</v>
      </c>
      <c r="BE1105" s="12">
        <v>7</v>
      </c>
      <c r="BF1105" s="12">
        <f t="shared" si="260"/>
        <v>7</v>
      </c>
      <c r="BG1105" s="12">
        <f t="shared" si="269"/>
        <v>14</v>
      </c>
      <c r="BH1105" s="67">
        <v>1</v>
      </c>
      <c r="BI1105" s="67">
        <v>0</v>
      </c>
      <c r="BJ1105" s="67">
        <v>0</v>
      </c>
      <c r="BK1105" s="67">
        <v>0</v>
      </c>
      <c r="BL1105" s="67">
        <v>1</v>
      </c>
      <c r="BM1105" s="67">
        <v>0</v>
      </c>
      <c r="BN1105" s="67">
        <v>0</v>
      </c>
      <c r="BO1105" s="67">
        <v>0</v>
      </c>
      <c r="BP1105" s="67">
        <v>0</v>
      </c>
      <c r="BQ1105" s="67">
        <v>0</v>
      </c>
      <c r="BR1105" s="67">
        <v>7</v>
      </c>
      <c r="BS1105" s="67">
        <v>0</v>
      </c>
      <c r="BT1105" s="67">
        <v>0</v>
      </c>
      <c r="BU1105" s="70">
        <v>18</v>
      </c>
      <c r="BV1105" s="29">
        <f t="shared" si="261"/>
        <v>1.3579413631519804E-2</v>
      </c>
      <c r="BW1105">
        <f t="shared" si="262"/>
        <v>0.80626709607243985</v>
      </c>
      <c r="BX1105">
        <f t="shared" si="263"/>
        <v>0.86371889657480871</v>
      </c>
      <c r="BY1105">
        <f t="shared" si="264"/>
        <v>0.16189221622713135</v>
      </c>
      <c r="BZ1105">
        <f t="shared" si="265"/>
        <v>0.83971837042788355</v>
      </c>
      <c r="CA1105">
        <f t="shared" si="266"/>
        <v>1.2124507541330036</v>
      </c>
      <c r="CB1105">
        <f t="shared" si="267"/>
        <v>1.4933588878908215</v>
      </c>
    </row>
    <row r="1106" spans="1:80" x14ac:dyDescent="0.45">
      <c r="A1106" s="11">
        <v>29</v>
      </c>
      <c r="B1106" s="12">
        <f t="shared" si="255"/>
        <v>29</v>
      </c>
      <c r="C1106" s="12" t="s">
        <v>59</v>
      </c>
      <c r="D1106" s="12">
        <v>0</v>
      </c>
      <c r="E1106" s="12" t="s">
        <v>53</v>
      </c>
      <c r="F1106" s="12">
        <v>0</v>
      </c>
      <c r="G1106" s="12">
        <v>1</v>
      </c>
      <c r="H1106" s="12" t="s">
        <v>61</v>
      </c>
      <c r="I1106" s="12">
        <v>1</v>
      </c>
      <c r="J1106" s="12">
        <v>0</v>
      </c>
      <c r="K1106" s="12">
        <v>9</v>
      </c>
      <c r="L1106" s="12">
        <f t="shared" si="256"/>
        <v>9</v>
      </c>
      <c r="M1106" s="12">
        <v>3</v>
      </c>
      <c r="N1106" s="12" t="s">
        <v>55</v>
      </c>
      <c r="O1106" s="12">
        <v>1</v>
      </c>
      <c r="P1106" s="12">
        <v>0</v>
      </c>
      <c r="Q1106" s="12">
        <v>0</v>
      </c>
      <c r="R1106" s="12">
        <v>0</v>
      </c>
      <c r="S1106" s="12">
        <v>0</v>
      </c>
      <c r="T1106" s="12">
        <v>3</v>
      </c>
      <c r="U1106" s="12" t="s">
        <v>62</v>
      </c>
      <c r="V1106" s="12">
        <v>0</v>
      </c>
      <c r="W1106" s="12">
        <v>91</v>
      </c>
      <c r="X1106" s="12">
        <v>4</v>
      </c>
      <c r="Y1106" s="12">
        <v>1</v>
      </c>
      <c r="Z1106" s="12" t="s">
        <v>63</v>
      </c>
      <c r="AA1106" s="12">
        <v>0</v>
      </c>
      <c r="AB1106" s="12">
        <v>0</v>
      </c>
      <c r="AC1106" s="12">
        <v>0</v>
      </c>
      <c r="AD1106" s="12">
        <v>0</v>
      </c>
      <c r="AE1106" s="12">
        <v>0</v>
      </c>
      <c r="AF1106" s="12">
        <v>0</v>
      </c>
      <c r="AG1106" s="12">
        <v>0</v>
      </c>
      <c r="AH1106" s="12">
        <v>1</v>
      </c>
      <c r="AI1106" s="12">
        <v>3</v>
      </c>
      <c r="AJ1106" s="12" t="s">
        <v>64</v>
      </c>
      <c r="AK1106" s="12">
        <v>0</v>
      </c>
      <c r="AL1106" s="12">
        <v>1</v>
      </c>
      <c r="AM1106" s="12">
        <v>2451</v>
      </c>
      <c r="AN1106" s="12">
        <f t="shared" si="257"/>
        <v>2451</v>
      </c>
      <c r="AO1106" s="12">
        <v>6</v>
      </c>
      <c r="AP1106" s="12" t="s">
        <v>59</v>
      </c>
      <c r="AQ1106" s="12">
        <v>0</v>
      </c>
      <c r="AR1106" s="12">
        <v>18</v>
      </c>
      <c r="AS1106" s="12">
        <v>3</v>
      </c>
      <c r="AT1106" s="12">
        <v>1</v>
      </c>
      <c r="AU1106" s="12">
        <v>2</v>
      </c>
      <c r="AV1106" s="12">
        <v>5</v>
      </c>
      <c r="AW1106" s="12">
        <f t="shared" si="258"/>
        <v>5</v>
      </c>
      <c r="AX1106" s="12">
        <v>2</v>
      </c>
      <c r="AY1106" s="12">
        <v>2</v>
      </c>
      <c r="AZ1106" s="12">
        <v>1</v>
      </c>
      <c r="BA1106" s="12">
        <f t="shared" si="259"/>
        <v>1</v>
      </c>
      <c r="BB1106" s="12">
        <v>0</v>
      </c>
      <c r="BC1106" s="12">
        <v>0</v>
      </c>
      <c r="BD1106" s="12">
        <f t="shared" si="268"/>
        <v>0</v>
      </c>
      <c r="BE1106" s="12">
        <v>0</v>
      </c>
      <c r="BF1106" s="12">
        <f t="shared" si="260"/>
        <v>0</v>
      </c>
      <c r="BG1106" s="12">
        <f t="shared" si="269"/>
        <v>0</v>
      </c>
      <c r="BH1106" s="67">
        <v>0</v>
      </c>
      <c r="BI1106" s="67">
        <v>1</v>
      </c>
      <c r="BJ1106" s="67">
        <v>0</v>
      </c>
      <c r="BK1106" s="67">
        <v>0</v>
      </c>
      <c r="BL1106" s="67">
        <v>0</v>
      </c>
      <c r="BM1106" s="67">
        <v>0</v>
      </c>
      <c r="BN1106" s="67">
        <v>1</v>
      </c>
      <c r="BO1106" s="67">
        <v>0</v>
      </c>
      <c r="BP1106" s="67">
        <v>0</v>
      </c>
      <c r="BQ1106" s="67">
        <v>0</v>
      </c>
      <c r="BR1106" s="67">
        <v>0</v>
      </c>
      <c r="BS1106" s="67">
        <v>0</v>
      </c>
      <c r="BT1106" s="67">
        <v>5</v>
      </c>
      <c r="BU1106" s="70">
        <v>0</v>
      </c>
      <c r="BV1106" s="29">
        <f t="shared" si="261"/>
        <v>0.86065600836945233</v>
      </c>
      <c r="BW1106">
        <f t="shared" si="262"/>
        <v>1.1555414682655611</v>
      </c>
      <c r="BX1106">
        <f t="shared" si="263"/>
        <v>0.80706439257840468</v>
      </c>
      <c r="BY1106">
        <f t="shared" si="264"/>
        <v>0.9806804209314296</v>
      </c>
      <c r="BZ1106">
        <f t="shared" si="265"/>
        <v>2.3747406698420157E-2</v>
      </c>
      <c r="CA1106">
        <f t="shared" si="266"/>
        <v>0.86737663580280233</v>
      </c>
      <c r="CB1106">
        <f t="shared" si="267"/>
        <v>0.67891464284095016</v>
      </c>
    </row>
    <row r="1107" spans="1:80" x14ac:dyDescent="0.45">
      <c r="A1107" s="11">
        <v>33</v>
      </c>
      <c r="B1107" s="12">
        <f t="shared" si="255"/>
        <v>33</v>
      </c>
      <c r="C1107" s="12" t="s">
        <v>59</v>
      </c>
      <c r="D1107" s="12">
        <v>0</v>
      </c>
      <c r="E1107" s="12" t="s">
        <v>53</v>
      </c>
      <c r="F1107" s="12">
        <v>0</v>
      </c>
      <c r="G1107" s="12">
        <v>1</v>
      </c>
      <c r="H1107" s="12" t="s">
        <v>54</v>
      </c>
      <c r="I1107" s="12">
        <v>0</v>
      </c>
      <c r="J1107" s="12">
        <v>1</v>
      </c>
      <c r="K1107" s="12">
        <v>8</v>
      </c>
      <c r="L1107" s="12">
        <f t="shared" si="256"/>
        <v>8</v>
      </c>
      <c r="M1107" s="12">
        <v>4</v>
      </c>
      <c r="N1107" s="12" t="s">
        <v>55</v>
      </c>
      <c r="O1107" s="12">
        <v>1</v>
      </c>
      <c r="P1107" s="12">
        <v>0</v>
      </c>
      <c r="Q1107" s="12">
        <v>0</v>
      </c>
      <c r="R1107" s="12">
        <v>0</v>
      </c>
      <c r="S1107" s="12">
        <v>0</v>
      </c>
      <c r="T1107" s="12">
        <v>1</v>
      </c>
      <c r="U1107" s="12" t="s">
        <v>62</v>
      </c>
      <c r="V1107" s="12">
        <v>0</v>
      </c>
      <c r="W1107" s="12">
        <v>46</v>
      </c>
      <c r="X1107" s="12">
        <v>3</v>
      </c>
      <c r="Y1107" s="12">
        <v>2</v>
      </c>
      <c r="Z1107" s="12" t="s">
        <v>56</v>
      </c>
      <c r="AA1107" s="12">
        <v>0</v>
      </c>
      <c r="AB1107" s="12">
        <v>1</v>
      </c>
      <c r="AC1107" s="12">
        <v>0</v>
      </c>
      <c r="AD1107" s="12">
        <v>0</v>
      </c>
      <c r="AE1107" s="12">
        <v>0</v>
      </c>
      <c r="AF1107" s="12">
        <v>0</v>
      </c>
      <c r="AG1107" s="12">
        <v>0</v>
      </c>
      <c r="AH1107" s="12">
        <v>0</v>
      </c>
      <c r="AI1107" s="12">
        <v>1</v>
      </c>
      <c r="AJ1107" s="12" t="s">
        <v>64</v>
      </c>
      <c r="AK1107" s="12">
        <v>0</v>
      </c>
      <c r="AL1107" s="12">
        <v>1</v>
      </c>
      <c r="AM1107" s="12">
        <v>6392</v>
      </c>
      <c r="AN1107" s="12">
        <f t="shared" si="257"/>
        <v>6392</v>
      </c>
      <c r="AO1107" s="12">
        <v>2</v>
      </c>
      <c r="AP1107" s="12" t="s">
        <v>59</v>
      </c>
      <c r="AQ1107" s="12">
        <v>0</v>
      </c>
      <c r="AR1107" s="12">
        <v>13</v>
      </c>
      <c r="AS1107" s="12">
        <v>3</v>
      </c>
      <c r="AT1107" s="12">
        <v>4</v>
      </c>
      <c r="AU1107" s="12">
        <v>1</v>
      </c>
      <c r="AV1107" s="12">
        <v>8</v>
      </c>
      <c r="AW1107" s="12">
        <f t="shared" si="258"/>
        <v>8</v>
      </c>
      <c r="AX1107" s="12">
        <v>6</v>
      </c>
      <c r="AY1107" s="12">
        <v>1</v>
      </c>
      <c r="AZ1107" s="12">
        <v>2</v>
      </c>
      <c r="BA1107" s="12">
        <f t="shared" si="259"/>
        <v>2</v>
      </c>
      <c r="BB1107" s="12">
        <v>2</v>
      </c>
      <c r="BC1107" s="12">
        <v>2</v>
      </c>
      <c r="BD1107" s="12">
        <f t="shared" si="268"/>
        <v>2</v>
      </c>
      <c r="BE1107" s="12">
        <v>2</v>
      </c>
      <c r="BF1107" s="12">
        <f t="shared" si="260"/>
        <v>2</v>
      </c>
      <c r="BG1107" s="12">
        <f t="shared" si="269"/>
        <v>4</v>
      </c>
      <c r="BH1107" s="67">
        <v>0</v>
      </c>
      <c r="BI1107" s="67">
        <v>1</v>
      </c>
      <c r="BJ1107" s="67">
        <v>0</v>
      </c>
      <c r="BK1107" s="67">
        <v>0</v>
      </c>
      <c r="BL1107" s="67">
        <v>0</v>
      </c>
      <c r="BM1107" s="67">
        <v>0</v>
      </c>
      <c r="BN1107" s="67">
        <v>1</v>
      </c>
      <c r="BO1107" s="67">
        <v>0</v>
      </c>
      <c r="BP1107" s="67">
        <v>0</v>
      </c>
      <c r="BQ1107" s="67">
        <v>0</v>
      </c>
      <c r="BR1107" s="67">
        <v>2</v>
      </c>
      <c r="BS1107" s="67">
        <v>0</v>
      </c>
      <c r="BT1107" s="67">
        <v>0</v>
      </c>
      <c r="BU1107" s="70">
        <v>8</v>
      </c>
      <c r="BV1107" s="29">
        <f t="shared" si="261"/>
        <v>2.3562512917548597E-2</v>
      </c>
      <c r="BW1107">
        <f t="shared" si="262"/>
        <v>0.59502473559756086</v>
      </c>
      <c r="BX1107">
        <f t="shared" si="263"/>
        <v>0.42149901815843233</v>
      </c>
      <c r="BY1107">
        <f t="shared" si="264"/>
        <v>0.81745575848020657</v>
      </c>
      <c r="BZ1107">
        <f t="shared" si="265"/>
        <v>0.14709966057360641</v>
      </c>
      <c r="CA1107">
        <f t="shared" si="266"/>
        <v>0.42951823792158</v>
      </c>
      <c r="CB1107">
        <f t="shared" si="267"/>
        <v>5.8265062631872602E-2</v>
      </c>
    </row>
    <row r="1108" spans="1:80" x14ac:dyDescent="0.45">
      <c r="A1108" s="11">
        <v>30</v>
      </c>
      <c r="B1108" s="12">
        <f t="shared" si="255"/>
        <v>30</v>
      </c>
      <c r="C1108" s="12" t="s">
        <v>52</v>
      </c>
      <c r="D1108" s="12">
        <v>1</v>
      </c>
      <c r="E1108" s="12" t="s">
        <v>53</v>
      </c>
      <c r="F1108" s="12">
        <v>0</v>
      </c>
      <c r="G1108" s="12">
        <v>1</v>
      </c>
      <c r="H1108" s="12" t="s">
        <v>54</v>
      </c>
      <c r="I1108" s="12">
        <v>0</v>
      </c>
      <c r="J1108" s="12">
        <v>1</v>
      </c>
      <c r="K1108" s="12">
        <v>1</v>
      </c>
      <c r="L1108" s="12">
        <f t="shared" si="256"/>
        <v>1</v>
      </c>
      <c r="M1108" s="12">
        <v>3</v>
      </c>
      <c r="N1108" s="12" t="s">
        <v>55</v>
      </c>
      <c r="O1108" s="12">
        <v>1</v>
      </c>
      <c r="P1108" s="12">
        <v>0</v>
      </c>
      <c r="Q1108" s="12">
        <v>0</v>
      </c>
      <c r="R1108" s="12">
        <v>0</v>
      </c>
      <c r="S1108" s="12">
        <v>0</v>
      </c>
      <c r="T1108" s="12">
        <v>2</v>
      </c>
      <c r="U1108" s="12" t="s">
        <v>62</v>
      </c>
      <c r="V1108" s="12">
        <v>0</v>
      </c>
      <c r="W1108" s="12">
        <v>64</v>
      </c>
      <c r="X1108" s="12">
        <v>2</v>
      </c>
      <c r="Y1108" s="12">
        <v>2</v>
      </c>
      <c r="Z1108" s="12" t="s">
        <v>56</v>
      </c>
      <c r="AA1108" s="12">
        <v>0</v>
      </c>
      <c r="AB1108" s="12">
        <v>1</v>
      </c>
      <c r="AC1108" s="12">
        <v>0</v>
      </c>
      <c r="AD1108" s="12">
        <v>0</v>
      </c>
      <c r="AE1108" s="12">
        <v>0</v>
      </c>
      <c r="AF1108" s="12">
        <v>0</v>
      </c>
      <c r="AG1108" s="12">
        <v>0</v>
      </c>
      <c r="AH1108" s="12">
        <v>0</v>
      </c>
      <c r="AI1108" s="12">
        <v>1</v>
      </c>
      <c r="AJ1108" s="12" t="s">
        <v>64</v>
      </c>
      <c r="AK1108" s="12">
        <v>0</v>
      </c>
      <c r="AL1108" s="12">
        <v>1</v>
      </c>
      <c r="AM1108" s="12">
        <v>9714</v>
      </c>
      <c r="AN1108" s="12">
        <f t="shared" si="257"/>
        <v>9714</v>
      </c>
      <c r="AO1108" s="12">
        <v>1</v>
      </c>
      <c r="AP1108" s="12" t="s">
        <v>59</v>
      </c>
      <c r="AQ1108" s="12">
        <v>0</v>
      </c>
      <c r="AR1108" s="12">
        <v>11</v>
      </c>
      <c r="AS1108" s="12">
        <v>3</v>
      </c>
      <c r="AT1108" s="12">
        <v>4</v>
      </c>
      <c r="AU1108" s="12">
        <v>1</v>
      </c>
      <c r="AV1108" s="12">
        <v>10</v>
      </c>
      <c r="AW1108" s="12">
        <f t="shared" si="258"/>
        <v>10</v>
      </c>
      <c r="AX1108" s="12">
        <v>4</v>
      </c>
      <c r="AY1108" s="12">
        <v>3</v>
      </c>
      <c r="AZ1108" s="12">
        <v>10</v>
      </c>
      <c r="BA1108" s="12">
        <f t="shared" si="259"/>
        <v>10</v>
      </c>
      <c r="BB1108" s="12">
        <v>8</v>
      </c>
      <c r="BC1108" s="12">
        <v>6</v>
      </c>
      <c r="BD1108" s="12">
        <f t="shared" si="268"/>
        <v>6</v>
      </c>
      <c r="BE1108" s="12">
        <v>7</v>
      </c>
      <c r="BF1108" s="12">
        <f t="shared" si="260"/>
        <v>7</v>
      </c>
      <c r="BG1108" s="12">
        <f t="shared" si="269"/>
        <v>14</v>
      </c>
      <c r="BH1108" s="67">
        <v>0</v>
      </c>
      <c r="BI1108" s="67">
        <v>1</v>
      </c>
      <c r="BJ1108" s="67">
        <v>0</v>
      </c>
      <c r="BK1108" s="67">
        <v>0</v>
      </c>
      <c r="BL1108" s="67">
        <v>0</v>
      </c>
      <c r="BM1108" s="67">
        <v>0</v>
      </c>
      <c r="BN1108" s="67">
        <v>1</v>
      </c>
      <c r="BO1108" s="67">
        <v>0</v>
      </c>
      <c r="BP1108" s="67">
        <v>0</v>
      </c>
      <c r="BQ1108" s="67">
        <v>0</v>
      </c>
      <c r="BR1108" s="67">
        <v>7</v>
      </c>
      <c r="BS1108" s="67">
        <v>0</v>
      </c>
      <c r="BT1108" s="67">
        <v>0</v>
      </c>
      <c r="BU1108" s="70">
        <v>10</v>
      </c>
      <c r="BV1108" s="29">
        <f t="shared" si="261"/>
        <v>0.68205144087367808</v>
      </c>
      <c r="BW1108">
        <f t="shared" si="262"/>
        <v>0.80626709607243985</v>
      </c>
      <c r="BX1108">
        <f t="shared" si="263"/>
        <v>0.1644554352117841</v>
      </c>
      <c r="BY1108">
        <f t="shared" si="264"/>
        <v>0.48834154112957734</v>
      </c>
      <c r="BZ1108">
        <f t="shared" si="265"/>
        <v>1.01056543769991</v>
      </c>
      <c r="CA1108">
        <f t="shared" si="266"/>
        <v>0.75791203633249671</v>
      </c>
      <c r="CB1108">
        <f t="shared" si="267"/>
        <v>1.1830340977862825</v>
      </c>
    </row>
    <row r="1109" spans="1:80" x14ac:dyDescent="0.45">
      <c r="A1109" s="11">
        <v>38</v>
      </c>
      <c r="B1109" s="12">
        <f t="shared" si="255"/>
        <v>38</v>
      </c>
      <c r="C1109" s="12" t="s">
        <v>59</v>
      </c>
      <c r="D1109" s="12">
        <v>0</v>
      </c>
      <c r="E1109" s="12" t="s">
        <v>60</v>
      </c>
      <c r="F1109" s="12">
        <v>1</v>
      </c>
      <c r="G1109" s="12">
        <v>0</v>
      </c>
      <c r="H1109" s="12" t="s">
        <v>97</v>
      </c>
      <c r="I1109" s="12">
        <v>0</v>
      </c>
      <c r="J1109" s="12">
        <v>0</v>
      </c>
      <c r="K1109" s="12">
        <v>10</v>
      </c>
      <c r="L1109" s="12">
        <f t="shared" si="256"/>
        <v>10</v>
      </c>
      <c r="M1109" s="12">
        <v>4</v>
      </c>
      <c r="N1109" s="12" t="s">
        <v>97</v>
      </c>
      <c r="O1109" s="12">
        <v>0</v>
      </c>
      <c r="P1109" s="12">
        <v>0</v>
      </c>
      <c r="Q1109" s="12">
        <v>0</v>
      </c>
      <c r="R1109" s="12">
        <v>0</v>
      </c>
      <c r="S1109" s="12">
        <v>0</v>
      </c>
      <c r="T1109" s="12">
        <v>3</v>
      </c>
      <c r="U1109" s="12" t="s">
        <v>62</v>
      </c>
      <c r="V1109" s="12">
        <v>0</v>
      </c>
      <c r="W1109" s="12">
        <v>71</v>
      </c>
      <c r="X1109" s="12">
        <v>3</v>
      </c>
      <c r="Y1109" s="12">
        <v>2</v>
      </c>
      <c r="Z1109" s="12" t="s">
        <v>97</v>
      </c>
      <c r="AA1109" s="12">
        <v>0</v>
      </c>
      <c r="AB1109" s="12">
        <v>0</v>
      </c>
      <c r="AC1109" s="12">
        <v>0</v>
      </c>
      <c r="AD1109" s="12">
        <v>0</v>
      </c>
      <c r="AE1109" s="12">
        <v>0</v>
      </c>
      <c r="AF1109" s="12">
        <v>0</v>
      </c>
      <c r="AG1109" s="12">
        <v>0</v>
      </c>
      <c r="AH1109" s="12">
        <v>0</v>
      </c>
      <c r="AI1109" s="12">
        <v>3</v>
      </c>
      <c r="AJ1109" s="12" t="s">
        <v>64</v>
      </c>
      <c r="AK1109" s="12">
        <v>0</v>
      </c>
      <c r="AL1109" s="12">
        <v>1</v>
      </c>
      <c r="AM1109" s="12">
        <v>6077</v>
      </c>
      <c r="AN1109" s="12">
        <f t="shared" si="257"/>
        <v>6077</v>
      </c>
      <c r="AO1109" s="12">
        <v>3</v>
      </c>
      <c r="AP1109" s="12" t="s">
        <v>59</v>
      </c>
      <c r="AQ1109" s="12">
        <v>0</v>
      </c>
      <c r="AR1109" s="12">
        <v>11</v>
      </c>
      <c r="AS1109" s="12">
        <v>3</v>
      </c>
      <c r="AT1109" s="12">
        <v>3</v>
      </c>
      <c r="AU1109" s="12">
        <v>0</v>
      </c>
      <c r="AV1109" s="12">
        <v>10</v>
      </c>
      <c r="AW1109" s="12">
        <f t="shared" si="258"/>
        <v>10</v>
      </c>
      <c r="AX1109" s="12">
        <v>2</v>
      </c>
      <c r="AY1109" s="12">
        <v>3</v>
      </c>
      <c r="AZ1109" s="12">
        <v>6</v>
      </c>
      <c r="BA1109" s="12">
        <f t="shared" si="259"/>
        <v>6</v>
      </c>
      <c r="BB1109" s="12">
        <v>3</v>
      </c>
      <c r="BC1109" s="12">
        <v>1</v>
      </c>
      <c r="BD1109" s="12">
        <f t="shared" si="268"/>
        <v>1</v>
      </c>
      <c r="BE1109" s="12">
        <v>2</v>
      </c>
      <c r="BF1109" s="12">
        <f t="shared" si="260"/>
        <v>2</v>
      </c>
      <c r="BG1109" s="12">
        <f t="shared" si="269"/>
        <v>4</v>
      </c>
      <c r="BH1109" s="67">
        <v>0</v>
      </c>
      <c r="BI1109" s="67">
        <v>0</v>
      </c>
      <c r="BJ1109" s="67">
        <v>0</v>
      </c>
      <c r="BK1109" s="67">
        <v>1</v>
      </c>
      <c r="BL1109" s="67">
        <v>0</v>
      </c>
      <c r="BM1109" s="67">
        <v>0</v>
      </c>
      <c r="BN1109" s="67">
        <v>1</v>
      </c>
      <c r="BO1109" s="67">
        <v>0</v>
      </c>
      <c r="BP1109" s="67">
        <v>2</v>
      </c>
      <c r="BQ1109" s="67">
        <v>0</v>
      </c>
      <c r="BR1109" s="67">
        <v>0</v>
      </c>
      <c r="BS1109" s="67">
        <v>10</v>
      </c>
      <c r="BT1109" s="67">
        <v>0</v>
      </c>
      <c r="BU1109" s="70">
        <v>0</v>
      </c>
      <c r="BV1109" s="29">
        <f t="shared" si="261"/>
        <v>9.0470518770720293E-2</v>
      </c>
      <c r="BW1109">
        <f t="shared" si="262"/>
        <v>0.59502473559756086</v>
      </c>
      <c r="BX1109">
        <f t="shared" si="263"/>
        <v>0.1644554352117841</v>
      </c>
      <c r="BY1109">
        <f t="shared" si="264"/>
        <v>0.16455710867531462</v>
      </c>
      <c r="BZ1109">
        <f t="shared" si="265"/>
        <v>9.9604847176766084E-2</v>
      </c>
      <c r="CA1109">
        <f t="shared" si="266"/>
        <v>0.11780475942994788</v>
      </c>
      <c r="CB1109">
        <f t="shared" si="267"/>
        <v>0.36858985273641137</v>
      </c>
    </row>
    <row r="1110" spans="1:80" x14ac:dyDescent="0.45">
      <c r="A1110" s="11">
        <v>35</v>
      </c>
      <c r="B1110" s="12">
        <f t="shared" si="255"/>
        <v>35</v>
      </c>
      <c r="C1110" s="12" t="s">
        <v>59</v>
      </c>
      <c r="D1110" s="12">
        <v>0</v>
      </c>
      <c r="E1110" s="12" t="s">
        <v>53</v>
      </c>
      <c r="F1110" s="12">
        <v>0</v>
      </c>
      <c r="G1110" s="12">
        <v>1</v>
      </c>
      <c r="H1110" s="12" t="s">
        <v>61</v>
      </c>
      <c r="I1110" s="12">
        <v>1</v>
      </c>
      <c r="J1110" s="12">
        <v>0</v>
      </c>
      <c r="K1110" s="12">
        <v>1</v>
      </c>
      <c r="L1110" s="12">
        <f t="shared" si="256"/>
        <v>1</v>
      </c>
      <c r="M1110" s="12">
        <v>3</v>
      </c>
      <c r="N1110" s="12" t="s">
        <v>70</v>
      </c>
      <c r="O1110" s="12">
        <v>0</v>
      </c>
      <c r="P1110" s="12">
        <v>0</v>
      </c>
      <c r="Q1110" s="12">
        <v>1</v>
      </c>
      <c r="R1110" s="12">
        <v>0</v>
      </c>
      <c r="S1110" s="12">
        <v>0</v>
      </c>
      <c r="T1110" s="12">
        <v>4</v>
      </c>
      <c r="U1110" s="12" t="s">
        <v>62</v>
      </c>
      <c r="V1110" s="12">
        <v>0</v>
      </c>
      <c r="W1110" s="12">
        <v>68</v>
      </c>
      <c r="X1110" s="12">
        <v>2</v>
      </c>
      <c r="Y1110" s="12">
        <v>1</v>
      </c>
      <c r="Z1110" s="12" t="s">
        <v>67</v>
      </c>
      <c r="AA1110" s="12">
        <v>0</v>
      </c>
      <c r="AB1110" s="12">
        <v>0</v>
      </c>
      <c r="AC1110" s="12">
        <v>1</v>
      </c>
      <c r="AD1110" s="12">
        <v>0</v>
      </c>
      <c r="AE1110" s="12">
        <v>0</v>
      </c>
      <c r="AF1110" s="12">
        <v>0</v>
      </c>
      <c r="AG1110" s="12">
        <v>0</v>
      </c>
      <c r="AH1110" s="12">
        <v>0</v>
      </c>
      <c r="AI1110" s="12">
        <v>1</v>
      </c>
      <c r="AJ1110" s="12" t="s">
        <v>57</v>
      </c>
      <c r="AK1110" s="12">
        <v>1</v>
      </c>
      <c r="AL1110" s="12">
        <v>0</v>
      </c>
      <c r="AM1110" s="12">
        <v>2450</v>
      </c>
      <c r="AN1110" s="12">
        <f t="shared" si="257"/>
        <v>2450</v>
      </c>
      <c r="AO1110" s="12">
        <v>1</v>
      </c>
      <c r="AP1110" s="12" t="s">
        <v>59</v>
      </c>
      <c r="AQ1110" s="12">
        <v>0</v>
      </c>
      <c r="AR1110" s="12">
        <v>19</v>
      </c>
      <c r="AS1110" s="12">
        <v>3</v>
      </c>
      <c r="AT1110" s="12">
        <v>2</v>
      </c>
      <c r="AU1110" s="12">
        <v>0</v>
      </c>
      <c r="AV1110" s="12">
        <v>3</v>
      </c>
      <c r="AW1110" s="12">
        <f t="shared" si="258"/>
        <v>3</v>
      </c>
      <c r="AX1110" s="12">
        <v>3</v>
      </c>
      <c r="AY1110" s="12">
        <v>3</v>
      </c>
      <c r="AZ1110" s="12">
        <v>3</v>
      </c>
      <c r="BA1110" s="12">
        <f t="shared" si="259"/>
        <v>3</v>
      </c>
      <c r="BB1110" s="12">
        <v>0</v>
      </c>
      <c r="BC1110" s="12">
        <v>1</v>
      </c>
      <c r="BD1110" s="12">
        <f t="shared" si="268"/>
        <v>1</v>
      </c>
      <c r="BE1110" s="12">
        <v>2</v>
      </c>
      <c r="BF1110" s="12">
        <f t="shared" si="260"/>
        <v>2</v>
      </c>
      <c r="BG1110" s="12">
        <f t="shared" si="269"/>
        <v>2</v>
      </c>
      <c r="BH1110" s="67">
        <v>1</v>
      </c>
      <c r="BI1110" s="67">
        <v>0</v>
      </c>
      <c r="BJ1110" s="67">
        <v>0</v>
      </c>
      <c r="BK1110" s="67">
        <v>0</v>
      </c>
      <c r="BL1110" s="67">
        <v>1</v>
      </c>
      <c r="BM1110" s="67">
        <v>0</v>
      </c>
      <c r="BN1110" s="67">
        <v>0</v>
      </c>
      <c r="BO1110" s="67">
        <v>0</v>
      </c>
      <c r="BP1110" s="67">
        <v>0</v>
      </c>
      <c r="BQ1110" s="67">
        <v>2</v>
      </c>
      <c r="BR1110" s="67">
        <v>0</v>
      </c>
      <c r="BS1110" s="67">
        <v>0</v>
      </c>
      <c r="BT1110" s="67">
        <v>3</v>
      </c>
      <c r="BU1110" s="70">
        <v>0</v>
      </c>
      <c r="BV1110" s="29">
        <f t="shared" si="261"/>
        <v>0.86086841473724018</v>
      </c>
      <c r="BW1110">
        <f t="shared" si="262"/>
        <v>0.59502473559756086</v>
      </c>
      <c r="BX1110">
        <f t="shared" si="263"/>
        <v>1.0641079755250529</v>
      </c>
      <c r="BY1110">
        <f t="shared" si="264"/>
        <v>0.65423109602898355</v>
      </c>
      <c r="BZ1110">
        <f t="shared" si="265"/>
        <v>1.01056543769991</v>
      </c>
      <c r="CA1110">
        <f t="shared" si="266"/>
        <v>0.21058903898096887</v>
      </c>
      <c r="CB1110">
        <f t="shared" si="267"/>
        <v>0.36858985273641137</v>
      </c>
    </row>
    <row r="1111" spans="1:80" x14ac:dyDescent="0.45">
      <c r="A1111" s="11">
        <v>30</v>
      </c>
      <c r="B1111" s="12">
        <f t="shared" si="255"/>
        <v>30</v>
      </c>
      <c r="C1111" s="12" t="s">
        <v>59</v>
      </c>
      <c r="D1111" s="12">
        <v>0</v>
      </c>
      <c r="E1111" s="12" t="s">
        <v>53</v>
      </c>
      <c r="F1111" s="12">
        <v>0</v>
      </c>
      <c r="G1111" s="12">
        <v>1</v>
      </c>
      <c r="H1111" s="12" t="s">
        <v>54</v>
      </c>
      <c r="I1111" s="12">
        <v>0</v>
      </c>
      <c r="J1111" s="12">
        <v>1</v>
      </c>
      <c r="K1111" s="12">
        <v>29</v>
      </c>
      <c r="L1111" s="12">
        <f t="shared" si="256"/>
        <v>29</v>
      </c>
      <c r="M1111" s="12">
        <v>4</v>
      </c>
      <c r="N1111" s="12" t="s">
        <v>91</v>
      </c>
      <c r="O1111" s="12">
        <v>0</v>
      </c>
      <c r="P1111" s="12">
        <v>0</v>
      </c>
      <c r="Q1111" s="12">
        <v>0</v>
      </c>
      <c r="R1111" s="12">
        <v>0</v>
      </c>
      <c r="S1111" s="12">
        <v>1</v>
      </c>
      <c r="T1111" s="12">
        <v>3</v>
      </c>
      <c r="U1111" s="12" t="s">
        <v>62</v>
      </c>
      <c r="V1111" s="12">
        <v>0</v>
      </c>
      <c r="W1111" s="12">
        <v>33</v>
      </c>
      <c r="X1111" s="12">
        <v>3</v>
      </c>
      <c r="Y1111" s="12">
        <v>3</v>
      </c>
      <c r="Z1111" s="12" t="s">
        <v>56</v>
      </c>
      <c r="AA1111" s="12">
        <v>0</v>
      </c>
      <c r="AB1111" s="12">
        <v>1</v>
      </c>
      <c r="AC1111" s="12">
        <v>0</v>
      </c>
      <c r="AD1111" s="12">
        <v>0</v>
      </c>
      <c r="AE1111" s="12">
        <v>0</v>
      </c>
      <c r="AF1111" s="12">
        <v>0</v>
      </c>
      <c r="AG1111" s="12">
        <v>0</v>
      </c>
      <c r="AH1111" s="12">
        <v>0</v>
      </c>
      <c r="AI1111" s="12">
        <v>2</v>
      </c>
      <c r="AJ1111" s="12" t="s">
        <v>64</v>
      </c>
      <c r="AK1111" s="12">
        <v>0</v>
      </c>
      <c r="AL1111" s="12">
        <v>1</v>
      </c>
      <c r="AM1111" s="12">
        <v>9250</v>
      </c>
      <c r="AN1111" s="12">
        <f t="shared" si="257"/>
        <v>9250</v>
      </c>
      <c r="AO1111" s="12">
        <v>3</v>
      </c>
      <c r="AP1111" s="12" t="s">
        <v>59</v>
      </c>
      <c r="AQ1111" s="12">
        <v>0</v>
      </c>
      <c r="AR1111" s="12">
        <v>12</v>
      </c>
      <c r="AS1111" s="12">
        <v>3</v>
      </c>
      <c r="AT1111" s="12">
        <v>2</v>
      </c>
      <c r="AU1111" s="12">
        <v>1</v>
      </c>
      <c r="AV1111" s="12">
        <v>9</v>
      </c>
      <c r="AW1111" s="12">
        <f t="shared" si="258"/>
        <v>9</v>
      </c>
      <c r="AX1111" s="12">
        <v>3</v>
      </c>
      <c r="AY1111" s="12">
        <v>3</v>
      </c>
      <c r="AZ1111" s="12">
        <v>4</v>
      </c>
      <c r="BA1111" s="12">
        <f t="shared" si="259"/>
        <v>4</v>
      </c>
      <c r="BB1111" s="12">
        <v>2</v>
      </c>
      <c r="BC1111" s="12">
        <v>1</v>
      </c>
      <c r="BD1111" s="12">
        <f t="shared" si="268"/>
        <v>1</v>
      </c>
      <c r="BE1111" s="12">
        <v>3</v>
      </c>
      <c r="BF1111" s="12">
        <f t="shared" si="260"/>
        <v>3</v>
      </c>
      <c r="BG1111" s="12">
        <f t="shared" si="269"/>
        <v>9</v>
      </c>
      <c r="BH1111" s="67">
        <v>0</v>
      </c>
      <c r="BI1111" s="67">
        <v>1</v>
      </c>
      <c r="BJ1111" s="67">
        <v>0</v>
      </c>
      <c r="BK1111" s="67">
        <v>0</v>
      </c>
      <c r="BL1111" s="67">
        <v>0</v>
      </c>
      <c r="BM1111" s="67">
        <v>0</v>
      </c>
      <c r="BN1111" s="67">
        <v>1</v>
      </c>
      <c r="BO1111" s="67">
        <v>0</v>
      </c>
      <c r="BP1111" s="67">
        <v>0</v>
      </c>
      <c r="BQ1111" s="67">
        <v>0</v>
      </c>
      <c r="BR1111" s="67">
        <v>3</v>
      </c>
      <c r="BS1111" s="67">
        <v>0</v>
      </c>
      <c r="BT1111" s="67">
        <v>0</v>
      </c>
      <c r="BU1111" s="70">
        <v>9</v>
      </c>
      <c r="BV1111" s="29">
        <f t="shared" si="261"/>
        <v>0.58349488622011714</v>
      </c>
      <c r="BW1111">
        <f t="shared" si="262"/>
        <v>0.31476636926356072</v>
      </c>
      <c r="BX1111">
        <f t="shared" si="263"/>
        <v>0.29297722668510823</v>
      </c>
      <c r="BY1111">
        <f t="shared" si="264"/>
        <v>0.49100643357776058</v>
      </c>
      <c r="BZ1111">
        <f t="shared" si="265"/>
        <v>2.4432976708053049</v>
      </c>
      <c r="CA1111">
        <f t="shared" si="266"/>
        <v>0.75791203633249671</v>
      </c>
      <c r="CB1111">
        <f t="shared" si="267"/>
        <v>0.36858985273641137</v>
      </c>
    </row>
    <row r="1112" spans="1:80" x14ac:dyDescent="0.45">
      <c r="A1112" s="11">
        <v>35</v>
      </c>
      <c r="B1112" s="12">
        <f t="shared" si="255"/>
        <v>35</v>
      </c>
      <c r="C1112" s="12" t="s">
        <v>52</v>
      </c>
      <c r="D1112" s="12">
        <v>1</v>
      </c>
      <c r="E1112" s="12" t="s">
        <v>53</v>
      </c>
      <c r="F1112" s="12">
        <v>0</v>
      </c>
      <c r="G1112" s="12">
        <v>1</v>
      </c>
      <c r="H1112" s="12" t="s">
        <v>61</v>
      </c>
      <c r="I1112" s="12">
        <v>1</v>
      </c>
      <c r="J1112" s="12">
        <v>0</v>
      </c>
      <c r="K1112" s="12">
        <v>2</v>
      </c>
      <c r="L1112" s="12">
        <f t="shared" si="256"/>
        <v>2</v>
      </c>
      <c r="M1112" s="12">
        <v>3</v>
      </c>
      <c r="N1112" s="12" t="s">
        <v>55</v>
      </c>
      <c r="O1112" s="12">
        <v>1</v>
      </c>
      <c r="P1112" s="12">
        <v>0</v>
      </c>
      <c r="Q1112" s="12">
        <v>0</v>
      </c>
      <c r="R1112" s="12">
        <v>0</v>
      </c>
      <c r="S1112" s="12">
        <v>0</v>
      </c>
      <c r="T1112" s="12">
        <v>1</v>
      </c>
      <c r="U1112" s="12" t="s">
        <v>19</v>
      </c>
      <c r="V1112" s="12">
        <v>1</v>
      </c>
      <c r="W1112" s="12">
        <v>69</v>
      </c>
      <c r="X1112" s="12">
        <v>3</v>
      </c>
      <c r="Y1112" s="12">
        <v>1</v>
      </c>
      <c r="Z1112" s="12" t="s">
        <v>67</v>
      </c>
      <c r="AA1112" s="12">
        <v>0</v>
      </c>
      <c r="AB1112" s="12">
        <v>0</v>
      </c>
      <c r="AC1112" s="12">
        <v>1</v>
      </c>
      <c r="AD1112" s="12">
        <v>0</v>
      </c>
      <c r="AE1112" s="12">
        <v>0</v>
      </c>
      <c r="AF1112" s="12">
        <v>0</v>
      </c>
      <c r="AG1112" s="12">
        <v>0</v>
      </c>
      <c r="AH1112" s="12">
        <v>0</v>
      </c>
      <c r="AI1112" s="12">
        <v>1</v>
      </c>
      <c r="AJ1112" s="12" t="s">
        <v>78</v>
      </c>
      <c r="AK1112" s="12">
        <v>0</v>
      </c>
      <c r="AL1112" s="12">
        <v>0</v>
      </c>
      <c r="AM1112" s="12">
        <v>2074</v>
      </c>
      <c r="AN1112" s="12">
        <f t="shared" si="257"/>
        <v>2074</v>
      </c>
      <c r="AO1112" s="12">
        <v>1</v>
      </c>
      <c r="AP1112" s="12" t="s">
        <v>52</v>
      </c>
      <c r="AQ1112" s="12">
        <v>1</v>
      </c>
      <c r="AR1112" s="12">
        <v>12</v>
      </c>
      <c r="AS1112" s="12">
        <v>3</v>
      </c>
      <c r="AT1112" s="12">
        <v>4</v>
      </c>
      <c r="AU1112" s="12">
        <v>1</v>
      </c>
      <c r="AV1112" s="12">
        <v>1</v>
      </c>
      <c r="AW1112" s="12">
        <f t="shared" si="258"/>
        <v>1</v>
      </c>
      <c r="AX1112" s="12">
        <v>2</v>
      </c>
      <c r="AY1112" s="12">
        <v>3</v>
      </c>
      <c r="AZ1112" s="12">
        <v>1</v>
      </c>
      <c r="BA1112" s="12">
        <f t="shared" si="259"/>
        <v>1</v>
      </c>
      <c r="BB1112" s="12">
        <v>0</v>
      </c>
      <c r="BC1112" s="12">
        <v>0</v>
      </c>
      <c r="BD1112" s="12">
        <f t="shared" si="268"/>
        <v>0</v>
      </c>
      <c r="BE1112" s="12">
        <v>0</v>
      </c>
      <c r="BF1112" s="12">
        <f t="shared" si="260"/>
        <v>0</v>
      </c>
      <c r="BG1112" s="12">
        <f t="shared" si="269"/>
        <v>0</v>
      </c>
      <c r="BH1112" s="67">
        <v>1</v>
      </c>
      <c r="BI1112" s="67">
        <v>0</v>
      </c>
      <c r="BJ1112" s="67">
        <v>0</v>
      </c>
      <c r="BK1112" s="67">
        <v>0</v>
      </c>
      <c r="BL1112" s="67">
        <v>0</v>
      </c>
      <c r="BM1112" s="67">
        <v>1</v>
      </c>
      <c r="BN1112" s="67">
        <v>0</v>
      </c>
      <c r="BO1112" s="67">
        <v>0</v>
      </c>
      <c r="BP1112" s="67">
        <v>0</v>
      </c>
      <c r="BQ1112" s="67">
        <v>0</v>
      </c>
      <c r="BR1112" s="67">
        <v>0</v>
      </c>
      <c r="BS1112" s="67">
        <v>0</v>
      </c>
      <c r="BT1112" s="67">
        <v>1</v>
      </c>
      <c r="BU1112" s="70">
        <v>0</v>
      </c>
      <c r="BV1112" s="29">
        <f t="shared" si="261"/>
        <v>0.94073320902547053</v>
      </c>
      <c r="BW1112">
        <f t="shared" si="262"/>
        <v>1.1555414682655611</v>
      </c>
      <c r="BX1112">
        <f t="shared" si="263"/>
        <v>1.3211515584717011</v>
      </c>
      <c r="BY1112">
        <f t="shared" si="264"/>
        <v>0.9806804209314296</v>
      </c>
      <c r="BZ1112">
        <f t="shared" si="265"/>
        <v>0.88721318382472392</v>
      </c>
      <c r="CA1112">
        <f t="shared" si="266"/>
        <v>0.21058903898096887</v>
      </c>
      <c r="CB1112">
        <f t="shared" si="267"/>
        <v>0.67891464284095016</v>
      </c>
    </row>
    <row r="1113" spans="1:80" x14ac:dyDescent="0.45">
      <c r="A1113" s="11">
        <v>53</v>
      </c>
      <c r="B1113" s="12">
        <f t="shared" si="255"/>
        <v>53</v>
      </c>
      <c r="C1113" s="12" t="s">
        <v>52</v>
      </c>
      <c r="D1113" s="12">
        <v>1</v>
      </c>
      <c r="E1113" s="12" t="s">
        <v>53</v>
      </c>
      <c r="F1113" s="12">
        <v>0</v>
      </c>
      <c r="G1113" s="12">
        <v>1</v>
      </c>
      <c r="H1113" s="12" t="s">
        <v>61</v>
      </c>
      <c r="I1113" s="12">
        <v>1</v>
      </c>
      <c r="J1113" s="12">
        <v>0</v>
      </c>
      <c r="K1113" s="12">
        <v>2</v>
      </c>
      <c r="L1113" s="12">
        <f t="shared" si="256"/>
        <v>2</v>
      </c>
      <c r="M1113" s="12">
        <v>5</v>
      </c>
      <c r="N1113" s="12" t="s">
        <v>91</v>
      </c>
      <c r="O1113" s="12">
        <v>0</v>
      </c>
      <c r="P1113" s="12">
        <v>0</v>
      </c>
      <c r="Q1113" s="12">
        <v>0</v>
      </c>
      <c r="R1113" s="12">
        <v>0</v>
      </c>
      <c r="S1113" s="12">
        <v>1</v>
      </c>
      <c r="T1113" s="12">
        <v>3</v>
      </c>
      <c r="U1113" s="12" t="s">
        <v>19</v>
      </c>
      <c r="V1113" s="12">
        <v>1</v>
      </c>
      <c r="W1113" s="12">
        <v>78</v>
      </c>
      <c r="X1113" s="12">
        <v>2</v>
      </c>
      <c r="Y1113" s="12">
        <v>3</v>
      </c>
      <c r="Z1113" s="12" t="s">
        <v>83</v>
      </c>
      <c r="AA1113" s="12">
        <v>0</v>
      </c>
      <c r="AB1113" s="12">
        <v>0</v>
      </c>
      <c r="AC1113" s="12">
        <v>0</v>
      </c>
      <c r="AD1113" s="12">
        <v>0</v>
      </c>
      <c r="AE1113" s="12">
        <v>1</v>
      </c>
      <c r="AF1113" s="12">
        <v>1</v>
      </c>
      <c r="AG1113" s="12">
        <v>0</v>
      </c>
      <c r="AH1113" s="12">
        <v>0</v>
      </c>
      <c r="AI1113" s="12">
        <v>4</v>
      </c>
      <c r="AJ1113" s="12" t="s">
        <v>64</v>
      </c>
      <c r="AK1113" s="12">
        <v>0</v>
      </c>
      <c r="AL1113" s="12">
        <v>1</v>
      </c>
      <c r="AM1113" s="12">
        <v>10169</v>
      </c>
      <c r="AN1113" s="12">
        <f t="shared" si="257"/>
        <v>10169</v>
      </c>
      <c r="AO1113" s="12">
        <v>0</v>
      </c>
      <c r="AP1113" s="12" t="s">
        <v>59</v>
      </c>
      <c r="AQ1113" s="12">
        <v>0</v>
      </c>
      <c r="AR1113" s="12">
        <v>16</v>
      </c>
      <c r="AS1113" s="12">
        <v>3</v>
      </c>
      <c r="AT1113" s="12">
        <v>2</v>
      </c>
      <c r="AU1113" s="12">
        <v>1</v>
      </c>
      <c r="AV1113" s="12">
        <v>34</v>
      </c>
      <c r="AW1113" s="12">
        <f t="shared" si="258"/>
        <v>34</v>
      </c>
      <c r="AX1113" s="12">
        <v>4</v>
      </c>
      <c r="AY1113" s="12">
        <v>3</v>
      </c>
      <c r="AZ1113" s="12">
        <v>33</v>
      </c>
      <c r="BA1113" s="12">
        <f t="shared" si="259"/>
        <v>31</v>
      </c>
      <c r="BB1113" s="12">
        <v>7</v>
      </c>
      <c r="BC1113" s="12">
        <v>1</v>
      </c>
      <c r="BD1113" s="12">
        <f t="shared" si="268"/>
        <v>1</v>
      </c>
      <c r="BE1113" s="12">
        <v>9</v>
      </c>
      <c r="BF1113" s="12">
        <f t="shared" si="260"/>
        <v>9</v>
      </c>
      <c r="BG1113" s="12">
        <f t="shared" si="269"/>
        <v>27</v>
      </c>
      <c r="BH1113" s="67">
        <v>0</v>
      </c>
      <c r="BI1113" s="67">
        <v>1</v>
      </c>
      <c r="BJ1113" s="67">
        <v>0</v>
      </c>
      <c r="BK1113" s="67">
        <v>0</v>
      </c>
      <c r="BL1113" s="67">
        <v>0</v>
      </c>
      <c r="BM1113" s="67">
        <v>0</v>
      </c>
      <c r="BN1113" s="67">
        <v>1</v>
      </c>
      <c r="BO1113" s="67">
        <v>0</v>
      </c>
      <c r="BP1113" s="67">
        <v>0</v>
      </c>
      <c r="BQ1113" s="67">
        <v>9</v>
      </c>
      <c r="BR1113" s="67">
        <v>0</v>
      </c>
      <c r="BS1113" s="67">
        <v>0</v>
      </c>
      <c r="BT1113" s="67">
        <v>34</v>
      </c>
      <c r="BU1113" s="70">
        <v>0</v>
      </c>
      <c r="BV1113" s="29">
        <f t="shared" si="261"/>
        <v>0.77869633821714823</v>
      </c>
      <c r="BW1113">
        <f t="shared" si="262"/>
        <v>1.3667838287404401</v>
      </c>
      <c r="BX1113">
        <f t="shared" si="263"/>
        <v>2.9200675601479942</v>
      </c>
      <c r="BY1113">
        <f t="shared" si="264"/>
        <v>4.2425087775077062</v>
      </c>
      <c r="BZ1113">
        <f t="shared" si="265"/>
        <v>0.88721318382472392</v>
      </c>
      <c r="CA1113">
        <f t="shared" si="266"/>
        <v>1.7597737514845315</v>
      </c>
      <c r="CB1113">
        <f t="shared" si="267"/>
        <v>0.36858985273641137</v>
      </c>
    </row>
    <row r="1114" spans="1:80" x14ac:dyDescent="0.45">
      <c r="A1114" s="11">
        <v>38</v>
      </c>
      <c r="B1114" s="12">
        <f t="shared" si="255"/>
        <v>38</v>
      </c>
      <c r="C1114" s="12" t="s">
        <v>52</v>
      </c>
      <c r="D1114" s="12">
        <v>1</v>
      </c>
      <c r="E1114" s="12" t="s">
        <v>53</v>
      </c>
      <c r="F1114" s="12">
        <v>0</v>
      </c>
      <c r="G1114" s="12">
        <v>1</v>
      </c>
      <c r="H1114" s="12" t="s">
        <v>61</v>
      </c>
      <c r="I1114" s="12">
        <v>1</v>
      </c>
      <c r="J1114" s="12">
        <v>0</v>
      </c>
      <c r="K1114" s="12">
        <v>2</v>
      </c>
      <c r="L1114" s="12">
        <f t="shared" si="256"/>
        <v>2</v>
      </c>
      <c r="M1114" s="12">
        <v>3</v>
      </c>
      <c r="N1114" s="12" t="s">
        <v>70</v>
      </c>
      <c r="O1114" s="12">
        <v>0</v>
      </c>
      <c r="P1114" s="12">
        <v>0</v>
      </c>
      <c r="Q1114" s="12">
        <v>1</v>
      </c>
      <c r="R1114" s="12">
        <v>0</v>
      </c>
      <c r="S1114" s="12">
        <v>0</v>
      </c>
      <c r="T1114" s="12">
        <v>3</v>
      </c>
      <c r="U1114" s="12" t="s">
        <v>62</v>
      </c>
      <c r="V1114" s="12">
        <v>0</v>
      </c>
      <c r="W1114" s="12">
        <v>81</v>
      </c>
      <c r="X1114" s="12">
        <v>3</v>
      </c>
      <c r="Y1114" s="12">
        <v>2</v>
      </c>
      <c r="Z1114" s="12" t="s">
        <v>83</v>
      </c>
      <c r="AA1114" s="12">
        <v>0</v>
      </c>
      <c r="AB1114" s="12">
        <v>0</v>
      </c>
      <c r="AC1114" s="12">
        <v>0</v>
      </c>
      <c r="AD1114" s="12">
        <v>0</v>
      </c>
      <c r="AE1114" s="12">
        <v>1</v>
      </c>
      <c r="AF1114" s="12">
        <v>1</v>
      </c>
      <c r="AG1114" s="12">
        <v>0</v>
      </c>
      <c r="AH1114" s="12">
        <v>0</v>
      </c>
      <c r="AI1114" s="12">
        <v>2</v>
      </c>
      <c r="AJ1114" s="12" t="s">
        <v>64</v>
      </c>
      <c r="AK1114" s="12">
        <v>0</v>
      </c>
      <c r="AL1114" s="12">
        <v>1</v>
      </c>
      <c r="AM1114" s="12">
        <v>4855</v>
      </c>
      <c r="AN1114" s="12">
        <f t="shared" si="257"/>
        <v>4855</v>
      </c>
      <c r="AO1114" s="12">
        <v>4</v>
      </c>
      <c r="AP1114" s="12" t="s">
        <v>59</v>
      </c>
      <c r="AQ1114" s="12">
        <v>0</v>
      </c>
      <c r="AR1114" s="12">
        <v>11</v>
      </c>
      <c r="AS1114" s="12">
        <v>3</v>
      </c>
      <c r="AT1114" s="12">
        <v>1</v>
      </c>
      <c r="AU1114" s="12">
        <v>2</v>
      </c>
      <c r="AV1114" s="12">
        <v>7</v>
      </c>
      <c r="AW1114" s="12">
        <f t="shared" si="258"/>
        <v>7</v>
      </c>
      <c r="AX1114" s="12">
        <v>2</v>
      </c>
      <c r="AY1114" s="12">
        <v>3</v>
      </c>
      <c r="AZ1114" s="12">
        <v>5</v>
      </c>
      <c r="BA1114" s="12">
        <f t="shared" si="259"/>
        <v>5</v>
      </c>
      <c r="BB1114" s="12">
        <v>2</v>
      </c>
      <c r="BC1114" s="12">
        <v>1</v>
      </c>
      <c r="BD1114" s="12">
        <f t="shared" si="268"/>
        <v>1</v>
      </c>
      <c r="BE1114" s="12">
        <v>4</v>
      </c>
      <c r="BF1114" s="12">
        <f t="shared" si="260"/>
        <v>4</v>
      </c>
      <c r="BG1114" s="12">
        <f t="shared" si="269"/>
        <v>8</v>
      </c>
      <c r="BH1114" s="67">
        <v>0</v>
      </c>
      <c r="BI1114" s="67">
        <v>1</v>
      </c>
      <c r="BJ1114" s="67">
        <v>0</v>
      </c>
      <c r="BK1114" s="67">
        <v>0</v>
      </c>
      <c r="BL1114" s="67">
        <v>0</v>
      </c>
      <c r="BM1114" s="67">
        <v>0</v>
      </c>
      <c r="BN1114" s="67">
        <v>1</v>
      </c>
      <c r="BO1114" s="67">
        <v>0</v>
      </c>
      <c r="BP1114" s="67">
        <v>0</v>
      </c>
      <c r="BQ1114" s="67">
        <v>4</v>
      </c>
      <c r="BR1114" s="67">
        <v>0</v>
      </c>
      <c r="BS1114" s="67">
        <v>0</v>
      </c>
      <c r="BT1114" s="67">
        <v>7</v>
      </c>
      <c r="BU1114" s="70">
        <v>0</v>
      </c>
      <c r="BV1114" s="29">
        <f t="shared" si="261"/>
        <v>0.35003110020746891</v>
      </c>
      <c r="BW1114">
        <f t="shared" si="262"/>
        <v>3.4508002929560584E-2</v>
      </c>
      <c r="BX1114">
        <f t="shared" si="263"/>
        <v>0.55002080963175637</v>
      </c>
      <c r="BY1114">
        <f t="shared" si="264"/>
        <v>0.32778177112653761</v>
      </c>
      <c r="BZ1114">
        <f t="shared" si="265"/>
        <v>0.88721318382472392</v>
      </c>
      <c r="CA1114">
        <f t="shared" si="266"/>
        <v>0.11780475942994788</v>
      </c>
      <c r="CB1114">
        <f t="shared" si="267"/>
        <v>0.36858985273641137</v>
      </c>
    </row>
    <row r="1115" spans="1:80" x14ac:dyDescent="0.45">
      <c r="A1115" s="11">
        <v>32</v>
      </c>
      <c r="B1115" s="12">
        <f t="shared" si="255"/>
        <v>32</v>
      </c>
      <c r="C1115" s="12" t="s">
        <v>59</v>
      </c>
      <c r="D1115" s="12">
        <v>0</v>
      </c>
      <c r="E1115" s="12" t="s">
        <v>86</v>
      </c>
      <c r="F1115" s="12">
        <v>0</v>
      </c>
      <c r="G1115" s="12">
        <v>0</v>
      </c>
      <c r="H1115" s="12" t="s">
        <v>61</v>
      </c>
      <c r="I1115" s="12">
        <v>1</v>
      </c>
      <c r="J1115" s="12">
        <v>0</v>
      </c>
      <c r="K1115" s="12">
        <v>1</v>
      </c>
      <c r="L1115" s="12">
        <f t="shared" si="256"/>
        <v>1</v>
      </c>
      <c r="M1115" s="12">
        <v>4</v>
      </c>
      <c r="N1115" s="12" t="s">
        <v>91</v>
      </c>
      <c r="O1115" s="12">
        <v>0</v>
      </c>
      <c r="P1115" s="12">
        <v>0</v>
      </c>
      <c r="Q1115" s="12">
        <v>0</v>
      </c>
      <c r="R1115" s="12">
        <v>0</v>
      </c>
      <c r="S1115" s="12">
        <v>1</v>
      </c>
      <c r="T1115" s="12">
        <v>4</v>
      </c>
      <c r="U1115" s="12" t="s">
        <v>62</v>
      </c>
      <c r="V1115" s="12">
        <v>0</v>
      </c>
      <c r="W1115" s="12">
        <v>62</v>
      </c>
      <c r="X1115" s="12">
        <v>3</v>
      </c>
      <c r="Y1115" s="12">
        <v>2</v>
      </c>
      <c r="Z1115" s="12" t="s">
        <v>63</v>
      </c>
      <c r="AA1115" s="12">
        <v>0</v>
      </c>
      <c r="AB1115" s="12">
        <v>0</v>
      </c>
      <c r="AC1115" s="12">
        <v>0</v>
      </c>
      <c r="AD1115" s="12">
        <v>0</v>
      </c>
      <c r="AE1115" s="12">
        <v>0</v>
      </c>
      <c r="AF1115" s="12">
        <v>0</v>
      </c>
      <c r="AG1115" s="12">
        <v>0</v>
      </c>
      <c r="AH1115" s="12">
        <v>1</v>
      </c>
      <c r="AI1115" s="12">
        <v>1</v>
      </c>
      <c r="AJ1115" s="12" t="s">
        <v>64</v>
      </c>
      <c r="AK1115" s="12">
        <v>0</v>
      </c>
      <c r="AL1115" s="12">
        <v>1</v>
      </c>
      <c r="AM1115" s="12">
        <v>4087</v>
      </c>
      <c r="AN1115" s="12">
        <f t="shared" si="257"/>
        <v>4087</v>
      </c>
      <c r="AO1115" s="12">
        <v>4</v>
      </c>
      <c r="AP1115" s="12" t="s">
        <v>59</v>
      </c>
      <c r="AQ1115" s="12">
        <v>0</v>
      </c>
      <c r="AR1115" s="12">
        <v>14</v>
      </c>
      <c r="AS1115" s="12">
        <v>3</v>
      </c>
      <c r="AT1115" s="12">
        <v>2</v>
      </c>
      <c r="AU1115" s="12">
        <v>1</v>
      </c>
      <c r="AV1115" s="12">
        <v>9</v>
      </c>
      <c r="AW1115" s="12">
        <f t="shared" si="258"/>
        <v>9</v>
      </c>
      <c r="AX1115" s="12">
        <v>3</v>
      </c>
      <c r="AY1115" s="12">
        <v>2</v>
      </c>
      <c r="AZ1115" s="12">
        <v>6</v>
      </c>
      <c r="BA1115" s="12">
        <f t="shared" si="259"/>
        <v>6</v>
      </c>
      <c r="BB1115" s="12">
        <v>5</v>
      </c>
      <c r="BC1115" s="12">
        <v>1</v>
      </c>
      <c r="BD1115" s="12">
        <f t="shared" si="268"/>
        <v>1</v>
      </c>
      <c r="BE1115" s="12">
        <v>2</v>
      </c>
      <c r="BF1115" s="12">
        <f t="shared" si="260"/>
        <v>2</v>
      </c>
      <c r="BG1115" s="12">
        <f t="shared" si="269"/>
        <v>4</v>
      </c>
      <c r="BH1115" s="67">
        <v>0</v>
      </c>
      <c r="BI1115" s="67">
        <v>1</v>
      </c>
      <c r="BJ1115" s="67">
        <v>0</v>
      </c>
      <c r="BK1115" s="67">
        <v>0</v>
      </c>
      <c r="BL1115" s="67">
        <v>0</v>
      </c>
      <c r="BM1115" s="67">
        <v>0</v>
      </c>
      <c r="BN1115" s="67">
        <v>1</v>
      </c>
      <c r="BO1115" s="67">
        <v>0</v>
      </c>
      <c r="BP1115" s="67">
        <v>0</v>
      </c>
      <c r="BQ1115" s="67">
        <v>2</v>
      </c>
      <c r="BR1115" s="67">
        <v>0</v>
      </c>
      <c r="BS1115" s="67">
        <v>0</v>
      </c>
      <c r="BT1115" s="67">
        <v>9</v>
      </c>
      <c r="BU1115" s="70">
        <v>0</v>
      </c>
      <c r="BV1115" s="29">
        <f t="shared" si="261"/>
        <v>0.51315919066853521</v>
      </c>
      <c r="BW1115">
        <f t="shared" si="262"/>
        <v>0.59502473559756086</v>
      </c>
      <c r="BX1115">
        <f t="shared" si="263"/>
        <v>0.29297722668510823</v>
      </c>
      <c r="BY1115">
        <f t="shared" si="264"/>
        <v>0.16455710867531462</v>
      </c>
      <c r="BZ1115">
        <f t="shared" si="265"/>
        <v>1.01056543769991</v>
      </c>
      <c r="CA1115">
        <f t="shared" si="266"/>
        <v>0.53898283739188557</v>
      </c>
      <c r="CB1115">
        <f t="shared" si="267"/>
        <v>0.36858985273641137</v>
      </c>
    </row>
    <row r="1116" spans="1:80" x14ac:dyDescent="0.45">
      <c r="A1116" s="11">
        <v>48</v>
      </c>
      <c r="B1116" s="12">
        <f t="shared" si="255"/>
        <v>48</v>
      </c>
      <c r="C1116" s="12" t="s">
        <v>59</v>
      </c>
      <c r="D1116" s="12">
        <v>0</v>
      </c>
      <c r="E1116" s="12" t="s">
        <v>53</v>
      </c>
      <c r="F1116" s="12">
        <v>0</v>
      </c>
      <c r="G1116" s="12">
        <v>1</v>
      </c>
      <c r="H1116" s="12" t="s">
        <v>61</v>
      </c>
      <c r="I1116" s="12">
        <v>1</v>
      </c>
      <c r="J1116" s="12">
        <v>0</v>
      </c>
      <c r="K1116" s="12">
        <v>15</v>
      </c>
      <c r="L1116" s="12">
        <f t="shared" si="256"/>
        <v>15</v>
      </c>
      <c r="M1116" s="12">
        <v>4</v>
      </c>
      <c r="N1116" s="12" t="s">
        <v>66</v>
      </c>
      <c r="O1116" s="12">
        <v>0</v>
      </c>
      <c r="P1116" s="12">
        <v>1</v>
      </c>
      <c r="Q1116" s="12">
        <v>0</v>
      </c>
      <c r="R1116" s="12">
        <v>0</v>
      </c>
      <c r="S1116" s="12">
        <v>0</v>
      </c>
      <c r="T1116" s="12">
        <v>3</v>
      </c>
      <c r="U1116" s="12" t="s">
        <v>19</v>
      </c>
      <c r="V1116" s="12">
        <v>1</v>
      </c>
      <c r="W1116" s="12">
        <v>65</v>
      </c>
      <c r="X1116" s="12">
        <v>3</v>
      </c>
      <c r="Y1116" s="12">
        <v>1</v>
      </c>
      <c r="Z1116" s="12" t="s">
        <v>63</v>
      </c>
      <c r="AA1116" s="12">
        <v>0</v>
      </c>
      <c r="AB1116" s="12">
        <v>0</v>
      </c>
      <c r="AC1116" s="12">
        <v>0</v>
      </c>
      <c r="AD1116" s="12">
        <v>0</v>
      </c>
      <c r="AE1116" s="12">
        <v>0</v>
      </c>
      <c r="AF1116" s="12">
        <v>0</v>
      </c>
      <c r="AG1116" s="12">
        <v>0</v>
      </c>
      <c r="AH1116" s="12">
        <v>1</v>
      </c>
      <c r="AI1116" s="12">
        <v>1</v>
      </c>
      <c r="AJ1116" s="12" t="s">
        <v>64</v>
      </c>
      <c r="AK1116" s="12">
        <v>0</v>
      </c>
      <c r="AL1116" s="12">
        <v>1</v>
      </c>
      <c r="AM1116" s="12">
        <v>2367</v>
      </c>
      <c r="AN1116" s="12">
        <f t="shared" si="257"/>
        <v>2367</v>
      </c>
      <c r="AO1116" s="12">
        <v>8</v>
      </c>
      <c r="AP1116" s="12" t="s">
        <v>59</v>
      </c>
      <c r="AQ1116" s="12">
        <v>0</v>
      </c>
      <c r="AR1116" s="12">
        <v>12</v>
      </c>
      <c r="AS1116" s="12">
        <v>3</v>
      </c>
      <c r="AT1116" s="12">
        <v>4</v>
      </c>
      <c r="AU1116" s="12">
        <v>1</v>
      </c>
      <c r="AV1116" s="12">
        <v>10</v>
      </c>
      <c r="AW1116" s="12">
        <f t="shared" si="258"/>
        <v>10</v>
      </c>
      <c r="AX1116" s="12">
        <v>3</v>
      </c>
      <c r="AY1116" s="12">
        <v>2</v>
      </c>
      <c r="AZ1116" s="12">
        <v>8</v>
      </c>
      <c r="BA1116" s="12">
        <f t="shared" si="259"/>
        <v>8</v>
      </c>
      <c r="BB1116" s="12">
        <v>2</v>
      </c>
      <c r="BC1116" s="12">
        <v>7</v>
      </c>
      <c r="BD1116" s="12">
        <f t="shared" si="268"/>
        <v>7</v>
      </c>
      <c r="BE1116" s="12">
        <v>6</v>
      </c>
      <c r="BF1116" s="12">
        <f t="shared" si="260"/>
        <v>6</v>
      </c>
      <c r="BG1116" s="12">
        <f t="shared" si="269"/>
        <v>6</v>
      </c>
      <c r="BH1116" s="67">
        <v>0</v>
      </c>
      <c r="BI1116" s="67">
        <v>1</v>
      </c>
      <c r="BJ1116" s="67">
        <v>0</v>
      </c>
      <c r="BK1116" s="67">
        <v>0</v>
      </c>
      <c r="BL1116" s="67">
        <v>0</v>
      </c>
      <c r="BM1116" s="67">
        <v>0</v>
      </c>
      <c r="BN1116" s="67">
        <v>1</v>
      </c>
      <c r="BO1116" s="67">
        <v>0</v>
      </c>
      <c r="BP1116" s="67">
        <v>0</v>
      </c>
      <c r="BQ1116" s="67">
        <v>6</v>
      </c>
      <c r="BR1116" s="67">
        <v>0</v>
      </c>
      <c r="BS1116" s="67">
        <v>0</v>
      </c>
      <c r="BT1116" s="67">
        <v>10</v>
      </c>
      <c r="BU1116" s="70">
        <v>0</v>
      </c>
      <c r="BV1116" s="29">
        <f t="shared" si="261"/>
        <v>0.8784981432636314</v>
      </c>
      <c r="BW1116">
        <f t="shared" si="262"/>
        <v>0.52600872973843971</v>
      </c>
      <c r="BX1116">
        <f t="shared" si="263"/>
        <v>0.1644554352117841</v>
      </c>
      <c r="BY1116">
        <f t="shared" si="264"/>
        <v>0.16189221622713135</v>
      </c>
      <c r="BZ1116">
        <f t="shared" si="265"/>
        <v>0.71636611655269733</v>
      </c>
      <c r="CA1116">
        <f t="shared" si="266"/>
        <v>1.2124507541330036</v>
      </c>
      <c r="CB1116">
        <f t="shared" si="267"/>
        <v>1.4933588878908215</v>
      </c>
    </row>
    <row r="1117" spans="1:80" x14ac:dyDescent="0.45">
      <c r="A1117" s="11">
        <v>34</v>
      </c>
      <c r="B1117" s="12">
        <f t="shared" si="255"/>
        <v>34</v>
      </c>
      <c r="C1117" s="12" t="s">
        <v>59</v>
      </c>
      <c r="D1117" s="12">
        <v>0</v>
      </c>
      <c r="E1117" s="12" t="s">
        <v>53</v>
      </c>
      <c r="F1117" s="12">
        <v>0</v>
      </c>
      <c r="G1117" s="12">
        <v>1</v>
      </c>
      <c r="H1117" s="12" t="s">
        <v>61</v>
      </c>
      <c r="I1117" s="12">
        <v>1</v>
      </c>
      <c r="J1117" s="12">
        <v>0</v>
      </c>
      <c r="K1117" s="12">
        <v>7</v>
      </c>
      <c r="L1117" s="12">
        <f t="shared" si="256"/>
        <v>7</v>
      </c>
      <c r="M1117" s="12">
        <v>4</v>
      </c>
      <c r="N1117" s="12" t="s">
        <v>70</v>
      </c>
      <c r="O1117" s="12">
        <v>0</v>
      </c>
      <c r="P1117" s="12">
        <v>0</v>
      </c>
      <c r="Q1117" s="12">
        <v>1</v>
      </c>
      <c r="R1117" s="12">
        <v>0</v>
      </c>
      <c r="S1117" s="12">
        <v>0</v>
      </c>
      <c r="T1117" s="12">
        <v>1</v>
      </c>
      <c r="U1117" s="12" t="s">
        <v>62</v>
      </c>
      <c r="V1117" s="12">
        <v>0</v>
      </c>
      <c r="W1117" s="12">
        <v>35</v>
      </c>
      <c r="X1117" s="12">
        <v>3</v>
      </c>
      <c r="Y1117" s="12">
        <v>1</v>
      </c>
      <c r="Z1117" s="12" t="s">
        <v>63</v>
      </c>
      <c r="AA1117" s="12">
        <v>0</v>
      </c>
      <c r="AB1117" s="12">
        <v>0</v>
      </c>
      <c r="AC1117" s="12">
        <v>0</v>
      </c>
      <c r="AD1117" s="12">
        <v>0</v>
      </c>
      <c r="AE1117" s="12">
        <v>0</v>
      </c>
      <c r="AF1117" s="12">
        <v>0</v>
      </c>
      <c r="AG1117" s="12">
        <v>0</v>
      </c>
      <c r="AH1117" s="12">
        <v>1</v>
      </c>
      <c r="AI1117" s="12">
        <v>4</v>
      </c>
      <c r="AJ1117" s="12" t="s">
        <v>57</v>
      </c>
      <c r="AK1117" s="12">
        <v>1</v>
      </c>
      <c r="AL1117" s="12">
        <v>0</v>
      </c>
      <c r="AM1117" s="12">
        <v>2972</v>
      </c>
      <c r="AN1117" s="12">
        <f t="shared" si="257"/>
        <v>2972</v>
      </c>
      <c r="AO1117" s="12">
        <v>1</v>
      </c>
      <c r="AP1117" s="12" t="s">
        <v>59</v>
      </c>
      <c r="AQ1117" s="12">
        <v>0</v>
      </c>
      <c r="AR1117" s="12">
        <v>13</v>
      </c>
      <c r="AS1117" s="12">
        <v>3</v>
      </c>
      <c r="AT1117" s="12">
        <v>3</v>
      </c>
      <c r="AU1117" s="12">
        <v>0</v>
      </c>
      <c r="AV1117" s="12">
        <v>1</v>
      </c>
      <c r="AW1117" s="12">
        <f t="shared" si="258"/>
        <v>1</v>
      </c>
      <c r="AX1117" s="12">
        <v>4</v>
      </c>
      <c r="AY1117" s="12">
        <v>1</v>
      </c>
      <c r="AZ1117" s="12">
        <v>1</v>
      </c>
      <c r="BA1117" s="12">
        <f t="shared" si="259"/>
        <v>1</v>
      </c>
      <c r="BB1117" s="12">
        <v>0</v>
      </c>
      <c r="BC1117" s="12">
        <v>0</v>
      </c>
      <c r="BD1117" s="12">
        <f t="shared" si="268"/>
        <v>0</v>
      </c>
      <c r="BE1117" s="12">
        <v>0</v>
      </c>
      <c r="BF1117" s="12">
        <f t="shared" si="260"/>
        <v>0</v>
      </c>
      <c r="BG1117" s="12">
        <f t="shared" si="269"/>
        <v>0</v>
      </c>
      <c r="BH1117" s="67">
        <v>1</v>
      </c>
      <c r="BI1117" s="67">
        <v>0</v>
      </c>
      <c r="BJ1117" s="67">
        <v>0</v>
      </c>
      <c r="BK1117" s="67">
        <v>0</v>
      </c>
      <c r="BL1117" s="67">
        <v>1</v>
      </c>
      <c r="BM1117" s="67">
        <v>0</v>
      </c>
      <c r="BN1117" s="67">
        <v>0</v>
      </c>
      <c r="BO1117" s="67">
        <v>0</v>
      </c>
      <c r="BP1117" s="67">
        <v>0</v>
      </c>
      <c r="BQ1117" s="67">
        <v>0</v>
      </c>
      <c r="BR1117" s="67">
        <v>0</v>
      </c>
      <c r="BS1117" s="67">
        <v>0</v>
      </c>
      <c r="BT1117" s="67">
        <v>1</v>
      </c>
      <c r="BU1117" s="70">
        <v>0</v>
      </c>
      <c r="BV1117" s="29">
        <f t="shared" si="261"/>
        <v>0.74999229075198426</v>
      </c>
      <c r="BW1117">
        <f t="shared" si="262"/>
        <v>1.1555414682655611</v>
      </c>
      <c r="BX1117">
        <f t="shared" si="263"/>
        <v>1.3211515584717011</v>
      </c>
      <c r="BY1117">
        <f t="shared" si="264"/>
        <v>0.9806804209314296</v>
      </c>
      <c r="BZ1117">
        <f t="shared" si="265"/>
        <v>0.27045191444879263</v>
      </c>
      <c r="CA1117">
        <f t="shared" si="266"/>
        <v>0.32005363845127444</v>
      </c>
      <c r="CB1117">
        <f t="shared" si="267"/>
        <v>0.67891464284095016</v>
      </c>
    </row>
    <row r="1118" spans="1:80" x14ac:dyDescent="0.45">
      <c r="A1118" s="11">
        <v>55</v>
      </c>
      <c r="B1118" s="12">
        <f t="shared" si="255"/>
        <v>55</v>
      </c>
      <c r="C1118" s="12" t="s">
        <v>59</v>
      </c>
      <c r="D1118" s="12">
        <v>0</v>
      </c>
      <c r="E1118" s="12" t="s">
        <v>53</v>
      </c>
      <c r="F1118" s="12">
        <v>0</v>
      </c>
      <c r="G1118" s="12">
        <v>1</v>
      </c>
      <c r="H1118" s="12" t="s">
        <v>54</v>
      </c>
      <c r="I1118" s="12">
        <v>0</v>
      </c>
      <c r="J1118" s="12">
        <v>1</v>
      </c>
      <c r="K1118" s="12">
        <v>26</v>
      </c>
      <c r="L1118" s="12">
        <f t="shared" si="256"/>
        <v>26</v>
      </c>
      <c r="M1118" s="12">
        <v>5</v>
      </c>
      <c r="N1118" s="12" t="s">
        <v>90</v>
      </c>
      <c r="O1118" s="12">
        <v>0</v>
      </c>
      <c r="P1118" s="12">
        <v>0</v>
      </c>
      <c r="Q1118" s="12">
        <v>0</v>
      </c>
      <c r="R1118" s="12">
        <v>1</v>
      </c>
      <c r="S1118" s="12">
        <v>0</v>
      </c>
      <c r="T1118" s="12">
        <v>3</v>
      </c>
      <c r="U1118" s="12" t="s">
        <v>62</v>
      </c>
      <c r="V1118" s="12">
        <v>0</v>
      </c>
      <c r="W1118" s="12">
        <v>60</v>
      </c>
      <c r="X1118" s="12">
        <v>2</v>
      </c>
      <c r="Y1118" s="12">
        <v>5</v>
      </c>
      <c r="Z1118" s="12" t="s">
        <v>87</v>
      </c>
      <c r="AA1118" s="12">
        <v>0</v>
      </c>
      <c r="AB1118" s="12">
        <v>0</v>
      </c>
      <c r="AC1118" s="12">
        <v>0</v>
      </c>
      <c r="AD1118" s="12">
        <v>1</v>
      </c>
      <c r="AE1118" s="12">
        <v>0</v>
      </c>
      <c r="AF1118" s="12">
        <v>0</v>
      </c>
      <c r="AG1118" s="12">
        <v>0</v>
      </c>
      <c r="AH1118" s="12">
        <v>0</v>
      </c>
      <c r="AI1118" s="12">
        <v>4</v>
      </c>
      <c r="AJ1118" s="12" t="s">
        <v>64</v>
      </c>
      <c r="AK1118" s="12">
        <v>0</v>
      </c>
      <c r="AL1118" s="12">
        <v>1</v>
      </c>
      <c r="AM1118" s="12">
        <v>19586</v>
      </c>
      <c r="AN1118" s="12">
        <f t="shared" si="257"/>
        <v>19586</v>
      </c>
      <c r="AO1118" s="12">
        <v>1</v>
      </c>
      <c r="AP1118" s="12" t="s">
        <v>59</v>
      </c>
      <c r="AQ1118" s="12">
        <v>0</v>
      </c>
      <c r="AR1118" s="12">
        <v>21</v>
      </c>
      <c r="AS1118" s="12">
        <v>4</v>
      </c>
      <c r="AT1118" s="12">
        <v>3</v>
      </c>
      <c r="AU1118" s="12">
        <v>1</v>
      </c>
      <c r="AV1118" s="12">
        <v>36</v>
      </c>
      <c r="AW1118" s="12">
        <f t="shared" si="258"/>
        <v>35</v>
      </c>
      <c r="AX1118" s="12">
        <v>3</v>
      </c>
      <c r="AY1118" s="12">
        <v>3</v>
      </c>
      <c r="AZ1118" s="12">
        <v>36</v>
      </c>
      <c r="BA1118" s="12">
        <f t="shared" si="259"/>
        <v>31</v>
      </c>
      <c r="BB1118" s="12">
        <v>6</v>
      </c>
      <c r="BC1118" s="12">
        <v>2</v>
      </c>
      <c r="BD1118" s="12">
        <f t="shared" si="268"/>
        <v>2</v>
      </c>
      <c r="BE1118" s="12">
        <v>13</v>
      </c>
      <c r="BF1118" s="12">
        <f t="shared" si="260"/>
        <v>13</v>
      </c>
      <c r="BG1118" s="12">
        <f t="shared" si="269"/>
        <v>65</v>
      </c>
      <c r="BH1118" s="67">
        <v>0</v>
      </c>
      <c r="BI1118" s="67">
        <v>1</v>
      </c>
      <c r="BJ1118" s="67">
        <v>0</v>
      </c>
      <c r="BK1118" s="67">
        <v>0</v>
      </c>
      <c r="BL1118" s="67">
        <v>0</v>
      </c>
      <c r="BM1118" s="67">
        <v>0</v>
      </c>
      <c r="BN1118" s="67">
        <v>1</v>
      </c>
      <c r="BO1118" s="67">
        <v>0</v>
      </c>
      <c r="BP1118" s="67">
        <v>0</v>
      </c>
      <c r="BQ1118" s="67">
        <v>0</v>
      </c>
      <c r="BR1118" s="67">
        <v>13</v>
      </c>
      <c r="BS1118" s="67">
        <v>0</v>
      </c>
      <c r="BT1118" s="67">
        <v>0</v>
      </c>
      <c r="BU1118" s="70">
        <v>35</v>
      </c>
      <c r="BV1118" s="29">
        <f t="shared" si="261"/>
        <v>2.7789271036753003</v>
      </c>
      <c r="BW1118">
        <f t="shared" si="262"/>
        <v>2.4878172940764407</v>
      </c>
      <c r="BX1118">
        <f t="shared" si="263"/>
        <v>3.1771111430946424</v>
      </c>
      <c r="BY1118">
        <f t="shared" si="264"/>
        <v>4.732182764861375</v>
      </c>
      <c r="BZ1118">
        <f t="shared" si="265"/>
        <v>2.0732409091797459</v>
      </c>
      <c r="CA1118">
        <f t="shared" si="266"/>
        <v>1.9787029504251428</v>
      </c>
      <c r="CB1118">
        <f t="shared" si="267"/>
        <v>5.8265062631872602E-2</v>
      </c>
    </row>
    <row r="1119" spans="1:80" x14ac:dyDescent="0.45">
      <c r="A1119" s="11">
        <v>34</v>
      </c>
      <c r="B1119" s="12">
        <f t="shared" si="255"/>
        <v>34</v>
      </c>
      <c r="C1119" s="12" t="s">
        <v>59</v>
      </c>
      <c r="D1119" s="12">
        <v>0</v>
      </c>
      <c r="E1119" s="12" t="s">
        <v>53</v>
      </c>
      <c r="F1119" s="12">
        <v>0</v>
      </c>
      <c r="G1119" s="12">
        <v>1</v>
      </c>
      <c r="H1119" s="12" t="s">
        <v>61</v>
      </c>
      <c r="I1119" s="12">
        <v>1</v>
      </c>
      <c r="J1119" s="12">
        <v>0</v>
      </c>
      <c r="K1119" s="12">
        <v>1</v>
      </c>
      <c r="L1119" s="12">
        <f t="shared" si="256"/>
        <v>1</v>
      </c>
      <c r="M1119" s="12">
        <v>4</v>
      </c>
      <c r="N1119" s="12" t="s">
        <v>55</v>
      </c>
      <c r="O1119" s="12">
        <v>1</v>
      </c>
      <c r="P1119" s="12">
        <v>0</v>
      </c>
      <c r="Q1119" s="12">
        <v>0</v>
      </c>
      <c r="R1119" s="12">
        <v>0</v>
      </c>
      <c r="S1119" s="12">
        <v>0</v>
      </c>
      <c r="T1119" s="12">
        <v>2</v>
      </c>
      <c r="U1119" s="12" t="s">
        <v>62</v>
      </c>
      <c r="V1119" s="12">
        <v>0</v>
      </c>
      <c r="W1119" s="12">
        <v>45</v>
      </c>
      <c r="X1119" s="12">
        <v>3</v>
      </c>
      <c r="Y1119" s="12">
        <v>2</v>
      </c>
      <c r="Z1119" s="12" t="s">
        <v>63</v>
      </c>
      <c r="AA1119" s="12">
        <v>0</v>
      </c>
      <c r="AB1119" s="12">
        <v>0</v>
      </c>
      <c r="AC1119" s="12">
        <v>0</v>
      </c>
      <c r="AD1119" s="12">
        <v>0</v>
      </c>
      <c r="AE1119" s="12">
        <v>0</v>
      </c>
      <c r="AF1119" s="12">
        <v>0</v>
      </c>
      <c r="AG1119" s="12">
        <v>0</v>
      </c>
      <c r="AH1119" s="12">
        <v>1</v>
      </c>
      <c r="AI1119" s="12">
        <v>4</v>
      </c>
      <c r="AJ1119" s="12" t="s">
        <v>64</v>
      </c>
      <c r="AK1119" s="12">
        <v>0</v>
      </c>
      <c r="AL1119" s="12">
        <v>1</v>
      </c>
      <c r="AM1119" s="12">
        <v>5484</v>
      </c>
      <c r="AN1119" s="12">
        <f t="shared" si="257"/>
        <v>5484</v>
      </c>
      <c r="AO1119" s="12">
        <v>9</v>
      </c>
      <c r="AP1119" s="12" t="s">
        <v>59</v>
      </c>
      <c r="AQ1119" s="12">
        <v>0</v>
      </c>
      <c r="AR1119" s="12">
        <v>17</v>
      </c>
      <c r="AS1119" s="12">
        <v>3</v>
      </c>
      <c r="AT1119" s="12">
        <v>2</v>
      </c>
      <c r="AU1119" s="12">
        <v>1</v>
      </c>
      <c r="AV1119" s="12">
        <v>9</v>
      </c>
      <c r="AW1119" s="12">
        <f t="shared" si="258"/>
        <v>9</v>
      </c>
      <c r="AX1119" s="12">
        <v>3</v>
      </c>
      <c r="AY1119" s="12">
        <v>2</v>
      </c>
      <c r="AZ1119" s="12">
        <v>2</v>
      </c>
      <c r="BA1119" s="12">
        <f t="shared" si="259"/>
        <v>2</v>
      </c>
      <c r="BB1119" s="12">
        <v>2</v>
      </c>
      <c r="BC1119" s="12">
        <v>2</v>
      </c>
      <c r="BD1119" s="12">
        <f t="shared" si="268"/>
        <v>2</v>
      </c>
      <c r="BE1119" s="12">
        <v>1</v>
      </c>
      <c r="BF1119" s="12">
        <f t="shared" si="260"/>
        <v>1</v>
      </c>
      <c r="BG1119" s="12">
        <f t="shared" si="269"/>
        <v>2</v>
      </c>
      <c r="BH1119" s="67">
        <v>0</v>
      </c>
      <c r="BI1119" s="67">
        <v>1</v>
      </c>
      <c r="BJ1119" s="67">
        <v>0</v>
      </c>
      <c r="BK1119" s="67">
        <v>0</v>
      </c>
      <c r="BL1119" s="67">
        <v>0</v>
      </c>
      <c r="BM1119" s="67">
        <v>0</v>
      </c>
      <c r="BN1119" s="67">
        <v>1</v>
      </c>
      <c r="BO1119" s="67">
        <v>0</v>
      </c>
      <c r="BP1119" s="67">
        <v>0</v>
      </c>
      <c r="BQ1119" s="67">
        <v>1</v>
      </c>
      <c r="BR1119" s="67">
        <v>0</v>
      </c>
      <c r="BS1119" s="67">
        <v>0</v>
      </c>
      <c r="BT1119" s="67">
        <v>9</v>
      </c>
      <c r="BU1119" s="70">
        <v>0</v>
      </c>
      <c r="BV1119" s="29">
        <f t="shared" si="261"/>
        <v>0.21642749486891338</v>
      </c>
      <c r="BW1119">
        <f t="shared" si="262"/>
        <v>0.87528310193156111</v>
      </c>
      <c r="BX1119">
        <f t="shared" si="263"/>
        <v>0.29297722668510823</v>
      </c>
      <c r="BY1119">
        <f t="shared" si="264"/>
        <v>0.81745575848020657</v>
      </c>
      <c r="BZ1119">
        <f t="shared" si="265"/>
        <v>1.01056543769991</v>
      </c>
      <c r="CA1119">
        <f t="shared" si="266"/>
        <v>0.32005363845127444</v>
      </c>
      <c r="CB1119">
        <f t="shared" si="267"/>
        <v>5.8265062631872602E-2</v>
      </c>
    </row>
    <row r="1120" spans="1:80" x14ac:dyDescent="0.45">
      <c r="A1120" s="11">
        <v>26</v>
      </c>
      <c r="B1120" s="12">
        <f t="shared" si="255"/>
        <v>26</v>
      </c>
      <c r="C1120" s="12" t="s">
        <v>59</v>
      </c>
      <c r="D1120" s="12">
        <v>0</v>
      </c>
      <c r="E1120" s="12" t="s">
        <v>53</v>
      </c>
      <c r="F1120" s="12">
        <v>0</v>
      </c>
      <c r="G1120" s="12">
        <v>1</v>
      </c>
      <c r="H1120" s="12" t="s">
        <v>61</v>
      </c>
      <c r="I1120" s="12">
        <v>1</v>
      </c>
      <c r="J1120" s="12">
        <v>0</v>
      </c>
      <c r="K1120" s="12">
        <v>3</v>
      </c>
      <c r="L1120" s="12">
        <f t="shared" si="256"/>
        <v>3</v>
      </c>
      <c r="M1120" s="12">
        <v>3</v>
      </c>
      <c r="N1120" s="12" t="s">
        <v>55</v>
      </c>
      <c r="O1120" s="12">
        <v>1</v>
      </c>
      <c r="P1120" s="12">
        <v>0</v>
      </c>
      <c r="Q1120" s="12">
        <v>0</v>
      </c>
      <c r="R1120" s="12">
        <v>0</v>
      </c>
      <c r="S1120" s="12">
        <v>0</v>
      </c>
      <c r="T1120" s="12">
        <v>1</v>
      </c>
      <c r="U1120" s="12" t="s">
        <v>19</v>
      </c>
      <c r="V1120" s="12">
        <v>1</v>
      </c>
      <c r="W1120" s="12">
        <v>89</v>
      </c>
      <c r="X1120" s="12">
        <v>3</v>
      </c>
      <c r="Y1120" s="12">
        <v>1</v>
      </c>
      <c r="Z1120" s="12" t="s">
        <v>63</v>
      </c>
      <c r="AA1120" s="12">
        <v>0</v>
      </c>
      <c r="AB1120" s="12">
        <v>0</v>
      </c>
      <c r="AC1120" s="12">
        <v>0</v>
      </c>
      <c r="AD1120" s="12">
        <v>0</v>
      </c>
      <c r="AE1120" s="12">
        <v>0</v>
      </c>
      <c r="AF1120" s="12">
        <v>0</v>
      </c>
      <c r="AG1120" s="12">
        <v>0</v>
      </c>
      <c r="AH1120" s="12">
        <v>1</v>
      </c>
      <c r="AI1120" s="12">
        <v>4</v>
      </c>
      <c r="AJ1120" s="12" t="s">
        <v>64</v>
      </c>
      <c r="AK1120" s="12">
        <v>0</v>
      </c>
      <c r="AL1120" s="12">
        <v>1</v>
      </c>
      <c r="AM1120" s="12">
        <v>2061</v>
      </c>
      <c r="AN1120" s="12">
        <f t="shared" si="257"/>
        <v>2061</v>
      </c>
      <c r="AO1120" s="12">
        <v>1</v>
      </c>
      <c r="AP1120" s="12" t="s">
        <v>59</v>
      </c>
      <c r="AQ1120" s="12">
        <v>0</v>
      </c>
      <c r="AR1120" s="12">
        <v>21</v>
      </c>
      <c r="AS1120" s="12">
        <v>4</v>
      </c>
      <c r="AT1120" s="12">
        <v>1</v>
      </c>
      <c r="AU1120" s="12">
        <v>0</v>
      </c>
      <c r="AV1120" s="12">
        <v>1</v>
      </c>
      <c r="AW1120" s="12">
        <f t="shared" si="258"/>
        <v>1</v>
      </c>
      <c r="AX1120" s="12">
        <v>5</v>
      </c>
      <c r="AY1120" s="12">
        <v>3</v>
      </c>
      <c r="AZ1120" s="12">
        <v>1</v>
      </c>
      <c r="BA1120" s="12">
        <f t="shared" si="259"/>
        <v>1</v>
      </c>
      <c r="BB1120" s="12">
        <v>0</v>
      </c>
      <c r="BC1120" s="12">
        <v>0</v>
      </c>
      <c r="BD1120" s="12">
        <f t="shared" si="268"/>
        <v>0</v>
      </c>
      <c r="BE1120" s="12">
        <v>0</v>
      </c>
      <c r="BF1120" s="12">
        <f t="shared" si="260"/>
        <v>0</v>
      </c>
      <c r="BG1120" s="12">
        <f t="shared" si="269"/>
        <v>0</v>
      </c>
      <c r="BH1120" s="67">
        <v>0</v>
      </c>
      <c r="BI1120" s="67">
        <v>1</v>
      </c>
      <c r="BJ1120" s="67">
        <v>0</v>
      </c>
      <c r="BK1120" s="67">
        <v>0</v>
      </c>
      <c r="BL1120" s="67">
        <v>0</v>
      </c>
      <c r="BM1120" s="67">
        <v>0</v>
      </c>
      <c r="BN1120" s="67">
        <v>1</v>
      </c>
      <c r="BO1120" s="67">
        <v>0</v>
      </c>
      <c r="BP1120" s="67">
        <v>0</v>
      </c>
      <c r="BQ1120" s="67">
        <v>0</v>
      </c>
      <c r="BR1120" s="67">
        <v>0</v>
      </c>
      <c r="BS1120" s="67">
        <v>0</v>
      </c>
      <c r="BT1120" s="67">
        <v>1</v>
      </c>
      <c r="BU1120" s="70">
        <v>0</v>
      </c>
      <c r="BV1120" s="29">
        <f t="shared" si="261"/>
        <v>0.94349449180671252</v>
      </c>
      <c r="BW1120">
        <f t="shared" si="262"/>
        <v>1.1555414682655611</v>
      </c>
      <c r="BX1120">
        <f t="shared" si="263"/>
        <v>1.3211515584717011</v>
      </c>
      <c r="BY1120">
        <f t="shared" si="264"/>
        <v>0.9806804209314296</v>
      </c>
      <c r="BZ1120">
        <f t="shared" si="265"/>
        <v>0.76386092994953758</v>
      </c>
      <c r="CA1120">
        <f t="shared" si="266"/>
        <v>1.195770434213719</v>
      </c>
      <c r="CB1120">
        <f t="shared" si="267"/>
        <v>0.67891464284095016</v>
      </c>
    </row>
    <row r="1121" spans="1:80" x14ac:dyDescent="0.45">
      <c r="A1121" s="11">
        <v>38</v>
      </c>
      <c r="B1121" s="12">
        <f t="shared" si="255"/>
        <v>38</v>
      </c>
      <c r="C1121" s="12" t="s">
        <v>59</v>
      </c>
      <c r="D1121" s="12">
        <v>0</v>
      </c>
      <c r="E1121" s="12" t="s">
        <v>53</v>
      </c>
      <c r="F1121" s="12">
        <v>0</v>
      </c>
      <c r="G1121" s="12">
        <v>1</v>
      </c>
      <c r="H1121" s="12" t="s">
        <v>54</v>
      </c>
      <c r="I1121" s="12">
        <v>0</v>
      </c>
      <c r="J1121" s="12">
        <v>1</v>
      </c>
      <c r="K1121" s="12">
        <v>14</v>
      </c>
      <c r="L1121" s="12">
        <f t="shared" si="256"/>
        <v>14</v>
      </c>
      <c r="M1121" s="12">
        <v>3</v>
      </c>
      <c r="N1121" s="12" t="s">
        <v>55</v>
      </c>
      <c r="O1121" s="12">
        <v>1</v>
      </c>
      <c r="P1121" s="12">
        <v>0</v>
      </c>
      <c r="Q1121" s="12">
        <v>0</v>
      </c>
      <c r="R1121" s="12">
        <v>0</v>
      </c>
      <c r="S1121" s="12">
        <v>0</v>
      </c>
      <c r="T1121" s="12">
        <v>3</v>
      </c>
      <c r="U1121" s="12" t="s">
        <v>62</v>
      </c>
      <c r="V1121" s="12">
        <v>0</v>
      </c>
      <c r="W1121" s="12">
        <v>80</v>
      </c>
      <c r="X1121" s="12">
        <v>3</v>
      </c>
      <c r="Y1121" s="12">
        <v>2</v>
      </c>
      <c r="Z1121" s="12" t="s">
        <v>56</v>
      </c>
      <c r="AA1121" s="12">
        <v>0</v>
      </c>
      <c r="AB1121" s="12">
        <v>1</v>
      </c>
      <c r="AC1121" s="12">
        <v>0</v>
      </c>
      <c r="AD1121" s="12">
        <v>0</v>
      </c>
      <c r="AE1121" s="12">
        <v>0</v>
      </c>
      <c r="AF1121" s="12">
        <v>0</v>
      </c>
      <c r="AG1121" s="12">
        <v>0</v>
      </c>
      <c r="AH1121" s="12">
        <v>0</v>
      </c>
      <c r="AI1121" s="12">
        <v>2</v>
      </c>
      <c r="AJ1121" s="12" t="s">
        <v>64</v>
      </c>
      <c r="AK1121" s="12">
        <v>0</v>
      </c>
      <c r="AL1121" s="12">
        <v>1</v>
      </c>
      <c r="AM1121" s="12">
        <v>9924</v>
      </c>
      <c r="AN1121" s="12">
        <f t="shared" si="257"/>
        <v>9924</v>
      </c>
      <c r="AO1121" s="12">
        <v>0</v>
      </c>
      <c r="AP1121" s="12" t="s">
        <v>59</v>
      </c>
      <c r="AQ1121" s="12">
        <v>0</v>
      </c>
      <c r="AR1121" s="12">
        <v>11</v>
      </c>
      <c r="AS1121" s="12">
        <v>3</v>
      </c>
      <c r="AT1121" s="12">
        <v>4</v>
      </c>
      <c r="AU1121" s="12">
        <v>1</v>
      </c>
      <c r="AV1121" s="12">
        <v>10</v>
      </c>
      <c r="AW1121" s="12">
        <f t="shared" si="258"/>
        <v>10</v>
      </c>
      <c r="AX1121" s="12">
        <v>3</v>
      </c>
      <c r="AY1121" s="12">
        <v>3</v>
      </c>
      <c r="AZ1121" s="12">
        <v>9</v>
      </c>
      <c r="BA1121" s="12">
        <f t="shared" si="259"/>
        <v>9</v>
      </c>
      <c r="BB1121" s="12">
        <v>8</v>
      </c>
      <c r="BC1121" s="12">
        <v>7</v>
      </c>
      <c r="BD1121" s="12">
        <f t="shared" si="268"/>
        <v>7</v>
      </c>
      <c r="BE1121" s="12">
        <v>7</v>
      </c>
      <c r="BF1121" s="12">
        <f t="shared" si="260"/>
        <v>7</v>
      </c>
      <c r="BG1121" s="12">
        <f t="shared" si="269"/>
        <v>14</v>
      </c>
      <c r="BH1121" s="67">
        <v>0</v>
      </c>
      <c r="BI1121" s="67">
        <v>1</v>
      </c>
      <c r="BJ1121" s="67">
        <v>0</v>
      </c>
      <c r="BK1121" s="67">
        <v>0</v>
      </c>
      <c r="BL1121" s="67">
        <v>0</v>
      </c>
      <c r="BM1121" s="67">
        <v>0</v>
      </c>
      <c r="BN1121" s="67">
        <v>1</v>
      </c>
      <c r="BO1121" s="67">
        <v>0</v>
      </c>
      <c r="BP1121" s="67">
        <v>0</v>
      </c>
      <c r="BQ1121" s="67">
        <v>0</v>
      </c>
      <c r="BR1121" s="67">
        <v>7</v>
      </c>
      <c r="BS1121" s="67">
        <v>0</v>
      </c>
      <c r="BT1121" s="67">
        <v>0</v>
      </c>
      <c r="BU1121" s="70">
        <v>10</v>
      </c>
      <c r="BV1121" s="29">
        <f t="shared" si="261"/>
        <v>0.72665677810912588</v>
      </c>
      <c r="BW1121">
        <f t="shared" si="262"/>
        <v>0.80626709607243985</v>
      </c>
      <c r="BX1121">
        <f t="shared" si="263"/>
        <v>0.1644554352117841</v>
      </c>
      <c r="BY1121">
        <f t="shared" si="264"/>
        <v>0.32511687867835437</v>
      </c>
      <c r="BZ1121">
        <f t="shared" si="265"/>
        <v>0.59301386267751111</v>
      </c>
      <c r="CA1121">
        <f t="shared" si="266"/>
        <v>0.11780475942994788</v>
      </c>
      <c r="CB1121">
        <f t="shared" si="267"/>
        <v>1.4933588878908215</v>
      </c>
    </row>
    <row r="1122" spans="1:80" x14ac:dyDescent="0.45">
      <c r="A1122" s="11">
        <v>38</v>
      </c>
      <c r="B1122" s="12">
        <f t="shared" si="255"/>
        <v>38</v>
      </c>
      <c r="C1122" s="12" t="s">
        <v>59</v>
      </c>
      <c r="D1122" s="12">
        <v>0</v>
      </c>
      <c r="E1122" s="12" t="s">
        <v>53</v>
      </c>
      <c r="F1122" s="12">
        <v>0</v>
      </c>
      <c r="G1122" s="12">
        <v>1</v>
      </c>
      <c r="H1122" s="12" t="s">
        <v>54</v>
      </c>
      <c r="I1122" s="12">
        <v>0</v>
      </c>
      <c r="J1122" s="12">
        <v>1</v>
      </c>
      <c r="K1122" s="12">
        <v>16</v>
      </c>
      <c r="L1122" s="12">
        <f t="shared" si="256"/>
        <v>16</v>
      </c>
      <c r="M1122" s="12">
        <v>3</v>
      </c>
      <c r="N1122" s="12" t="s">
        <v>55</v>
      </c>
      <c r="O1122" s="12">
        <v>1</v>
      </c>
      <c r="P1122" s="12">
        <v>0</v>
      </c>
      <c r="Q1122" s="12">
        <v>0</v>
      </c>
      <c r="R1122" s="12">
        <v>0</v>
      </c>
      <c r="S1122" s="12">
        <v>0</v>
      </c>
      <c r="T1122" s="12">
        <v>2</v>
      </c>
      <c r="U1122" s="12" t="s">
        <v>19</v>
      </c>
      <c r="V1122" s="12">
        <v>1</v>
      </c>
      <c r="W1122" s="12">
        <v>90</v>
      </c>
      <c r="X1122" s="12">
        <v>3</v>
      </c>
      <c r="Y1122" s="12">
        <v>2</v>
      </c>
      <c r="Z1122" s="12" t="s">
        <v>56</v>
      </c>
      <c r="AA1122" s="12">
        <v>0</v>
      </c>
      <c r="AB1122" s="12">
        <v>1</v>
      </c>
      <c r="AC1122" s="12">
        <v>0</v>
      </c>
      <c r="AD1122" s="12">
        <v>0</v>
      </c>
      <c r="AE1122" s="12">
        <v>0</v>
      </c>
      <c r="AF1122" s="12">
        <v>0</v>
      </c>
      <c r="AG1122" s="12">
        <v>0</v>
      </c>
      <c r="AH1122" s="12">
        <v>0</v>
      </c>
      <c r="AI1122" s="12">
        <v>2</v>
      </c>
      <c r="AJ1122" s="12" t="s">
        <v>57</v>
      </c>
      <c r="AK1122" s="12">
        <v>1</v>
      </c>
      <c r="AL1122" s="12">
        <v>0</v>
      </c>
      <c r="AM1122" s="12">
        <v>4198</v>
      </c>
      <c r="AN1122" s="12">
        <f t="shared" si="257"/>
        <v>4198</v>
      </c>
      <c r="AO1122" s="12">
        <v>2</v>
      </c>
      <c r="AP1122" s="12" t="s">
        <v>59</v>
      </c>
      <c r="AQ1122" s="12">
        <v>0</v>
      </c>
      <c r="AR1122" s="12">
        <v>12</v>
      </c>
      <c r="AS1122" s="12">
        <v>3</v>
      </c>
      <c r="AT1122" s="12">
        <v>2</v>
      </c>
      <c r="AU1122" s="12">
        <v>0</v>
      </c>
      <c r="AV1122" s="12">
        <v>8</v>
      </c>
      <c r="AW1122" s="12">
        <f t="shared" si="258"/>
        <v>8</v>
      </c>
      <c r="AX1122" s="12">
        <v>5</v>
      </c>
      <c r="AY1122" s="12">
        <v>4</v>
      </c>
      <c r="AZ1122" s="12">
        <v>3</v>
      </c>
      <c r="BA1122" s="12">
        <f t="shared" si="259"/>
        <v>3</v>
      </c>
      <c r="BB1122" s="12">
        <v>2</v>
      </c>
      <c r="BC1122" s="12">
        <v>1</v>
      </c>
      <c r="BD1122" s="12">
        <f t="shared" si="268"/>
        <v>1</v>
      </c>
      <c r="BE1122" s="12">
        <v>2</v>
      </c>
      <c r="BF1122" s="12">
        <f t="shared" si="260"/>
        <v>2</v>
      </c>
      <c r="BG1122" s="12">
        <f t="shared" si="269"/>
        <v>4</v>
      </c>
      <c r="BH1122" s="67">
        <v>1</v>
      </c>
      <c r="BI1122" s="67">
        <v>0</v>
      </c>
      <c r="BJ1122" s="67">
        <v>0</v>
      </c>
      <c r="BK1122" s="67">
        <v>0</v>
      </c>
      <c r="BL1122" s="67">
        <v>1</v>
      </c>
      <c r="BM1122" s="67">
        <v>0</v>
      </c>
      <c r="BN1122" s="67">
        <v>0</v>
      </c>
      <c r="BO1122" s="67">
        <v>0</v>
      </c>
      <c r="BP1122" s="67">
        <v>0</v>
      </c>
      <c r="BQ1122" s="67">
        <v>0</v>
      </c>
      <c r="BR1122" s="67">
        <v>2</v>
      </c>
      <c r="BS1122" s="67">
        <v>0</v>
      </c>
      <c r="BT1122" s="67">
        <v>0</v>
      </c>
      <c r="BU1122" s="70">
        <v>8</v>
      </c>
      <c r="BV1122" s="29">
        <f t="shared" si="261"/>
        <v>0.48958208384408419</v>
      </c>
      <c r="BW1122">
        <f t="shared" si="262"/>
        <v>0.59502473559756086</v>
      </c>
      <c r="BX1122">
        <f t="shared" si="263"/>
        <v>0.42149901815843233</v>
      </c>
      <c r="BY1122">
        <f t="shared" si="264"/>
        <v>0.65423109602898355</v>
      </c>
      <c r="BZ1122">
        <f t="shared" si="265"/>
        <v>0.83971837042788355</v>
      </c>
      <c r="CA1122">
        <f t="shared" si="266"/>
        <v>0.11780475942994788</v>
      </c>
      <c r="CB1122">
        <f t="shared" si="267"/>
        <v>0.36858985273641137</v>
      </c>
    </row>
    <row r="1123" spans="1:80" x14ac:dyDescent="0.45">
      <c r="A1123" s="11">
        <v>36</v>
      </c>
      <c r="B1123" s="12">
        <f t="shared" si="255"/>
        <v>36</v>
      </c>
      <c r="C1123" s="12" t="s">
        <v>59</v>
      </c>
      <c r="D1123" s="12">
        <v>0</v>
      </c>
      <c r="E1123" s="12" t="s">
        <v>53</v>
      </c>
      <c r="F1123" s="12">
        <v>0</v>
      </c>
      <c r="G1123" s="12">
        <v>1</v>
      </c>
      <c r="H1123" s="12" t="s">
        <v>54</v>
      </c>
      <c r="I1123" s="12">
        <v>0</v>
      </c>
      <c r="J1123" s="12">
        <v>1</v>
      </c>
      <c r="K1123" s="12">
        <v>1</v>
      </c>
      <c r="L1123" s="12">
        <f t="shared" si="256"/>
        <v>1</v>
      </c>
      <c r="M1123" s="12">
        <v>4</v>
      </c>
      <c r="N1123" s="12" t="s">
        <v>55</v>
      </c>
      <c r="O1123" s="12">
        <v>1</v>
      </c>
      <c r="P1123" s="12">
        <v>0</v>
      </c>
      <c r="Q1123" s="12">
        <v>0</v>
      </c>
      <c r="R1123" s="12">
        <v>0</v>
      </c>
      <c r="S1123" s="12">
        <v>0</v>
      </c>
      <c r="T1123" s="12">
        <v>2</v>
      </c>
      <c r="U1123" s="12" t="s">
        <v>19</v>
      </c>
      <c r="V1123" s="12">
        <v>1</v>
      </c>
      <c r="W1123" s="12">
        <v>73</v>
      </c>
      <c r="X1123" s="12">
        <v>3</v>
      </c>
      <c r="Y1123" s="12">
        <v>2</v>
      </c>
      <c r="Z1123" s="12" t="s">
        <v>56</v>
      </c>
      <c r="AA1123" s="12">
        <v>0</v>
      </c>
      <c r="AB1123" s="12">
        <v>1</v>
      </c>
      <c r="AC1123" s="12">
        <v>0</v>
      </c>
      <c r="AD1123" s="12">
        <v>0</v>
      </c>
      <c r="AE1123" s="12">
        <v>0</v>
      </c>
      <c r="AF1123" s="12">
        <v>0</v>
      </c>
      <c r="AG1123" s="12">
        <v>0</v>
      </c>
      <c r="AH1123" s="12">
        <v>0</v>
      </c>
      <c r="AI1123" s="12">
        <v>3</v>
      </c>
      <c r="AJ1123" s="12" t="s">
        <v>57</v>
      </c>
      <c r="AK1123" s="12">
        <v>1</v>
      </c>
      <c r="AL1123" s="12">
        <v>0</v>
      </c>
      <c r="AM1123" s="12">
        <v>6815</v>
      </c>
      <c r="AN1123" s="12">
        <f t="shared" si="257"/>
        <v>6815</v>
      </c>
      <c r="AO1123" s="12">
        <v>6</v>
      </c>
      <c r="AP1123" s="12" t="s">
        <v>59</v>
      </c>
      <c r="AQ1123" s="12">
        <v>0</v>
      </c>
      <c r="AR1123" s="12">
        <v>13</v>
      </c>
      <c r="AS1123" s="12">
        <v>3</v>
      </c>
      <c r="AT1123" s="12">
        <v>1</v>
      </c>
      <c r="AU1123" s="12">
        <v>0</v>
      </c>
      <c r="AV1123" s="12">
        <v>15</v>
      </c>
      <c r="AW1123" s="12">
        <f t="shared" si="258"/>
        <v>15</v>
      </c>
      <c r="AX1123" s="12">
        <v>5</v>
      </c>
      <c r="AY1123" s="12">
        <v>3</v>
      </c>
      <c r="AZ1123" s="12">
        <v>1</v>
      </c>
      <c r="BA1123" s="12">
        <f t="shared" si="259"/>
        <v>1</v>
      </c>
      <c r="BB1123" s="12">
        <v>0</v>
      </c>
      <c r="BC1123" s="12">
        <v>0</v>
      </c>
      <c r="BD1123" s="12">
        <f t="shared" si="268"/>
        <v>0</v>
      </c>
      <c r="BE1123" s="12">
        <v>0</v>
      </c>
      <c r="BF1123" s="12">
        <f t="shared" si="260"/>
        <v>0</v>
      </c>
      <c r="BG1123" s="12">
        <f t="shared" si="269"/>
        <v>0</v>
      </c>
      <c r="BH1123" s="67">
        <v>1</v>
      </c>
      <c r="BI1123" s="67">
        <v>0</v>
      </c>
      <c r="BJ1123" s="67">
        <v>0</v>
      </c>
      <c r="BK1123" s="67">
        <v>0</v>
      </c>
      <c r="BL1123" s="67">
        <v>1</v>
      </c>
      <c r="BM1123" s="67">
        <v>0</v>
      </c>
      <c r="BN1123" s="67">
        <v>0</v>
      </c>
      <c r="BO1123" s="67">
        <v>0</v>
      </c>
      <c r="BP1123" s="67">
        <v>0</v>
      </c>
      <c r="BQ1123" s="67">
        <v>0</v>
      </c>
      <c r="BR1123" s="67">
        <v>0</v>
      </c>
      <c r="BS1123" s="67">
        <v>0</v>
      </c>
      <c r="BT1123" s="67">
        <v>0</v>
      </c>
      <c r="BU1123" s="70">
        <v>15</v>
      </c>
      <c r="BV1123" s="29">
        <f t="shared" si="261"/>
        <v>6.6285380656710538E-2</v>
      </c>
      <c r="BW1123">
        <f t="shared" si="262"/>
        <v>1.1555414682655611</v>
      </c>
      <c r="BX1123">
        <f t="shared" si="263"/>
        <v>0.47815352215483642</v>
      </c>
      <c r="BY1123">
        <f t="shared" si="264"/>
        <v>0.9806804209314296</v>
      </c>
      <c r="BZ1123">
        <f t="shared" si="265"/>
        <v>1.01056543769991</v>
      </c>
      <c r="CA1123">
        <f t="shared" si="266"/>
        <v>0.10112443951066327</v>
      </c>
      <c r="CB1123">
        <f t="shared" si="267"/>
        <v>0.67891464284095016</v>
      </c>
    </row>
    <row r="1124" spans="1:80" x14ac:dyDescent="0.45">
      <c r="A1124" s="11">
        <v>29</v>
      </c>
      <c r="B1124" s="12">
        <f t="shared" si="255"/>
        <v>29</v>
      </c>
      <c r="C1124" s="12" t="s">
        <v>59</v>
      </c>
      <c r="D1124" s="12">
        <v>0</v>
      </c>
      <c r="E1124" s="12" t="s">
        <v>53</v>
      </c>
      <c r="F1124" s="12">
        <v>0</v>
      </c>
      <c r="G1124" s="12">
        <v>1</v>
      </c>
      <c r="H1124" s="12" t="s">
        <v>61</v>
      </c>
      <c r="I1124" s="12">
        <v>1</v>
      </c>
      <c r="J1124" s="12">
        <v>0</v>
      </c>
      <c r="K1124" s="12">
        <v>3</v>
      </c>
      <c r="L1124" s="12">
        <f t="shared" si="256"/>
        <v>3</v>
      </c>
      <c r="M1124" s="12">
        <v>1</v>
      </c>
      <c r="N1124" s="12" t="s">
        <v>70</v>
      </c>
      <c r="O1124" s="12">
        <v>0</v>
      </c>
      <c r="P1124" s="12">
        <v>0</v>
      </c>
      <c r="Q1124" s="12">
        <v>1</v>
      </c>
      <c r="R1124" s="12">
        <v>0</v>
      </c>
      <c r="S1124" s="12">
        <v>0</v>
      </c>
      <c r="T1124" s="12">
        <v>2</v>
      </c>
      <c r="U1124" s="12" t="s">
        <v>62</v>
      </c>
      <c r="V1124" s="12">
        <v>0</v>
      </c>
      <c r="W1124" s="12">
        <v>87</v>
      </c>
      <c r="X1124" s="12">
        <v>3</v>
      </c>
      <c r="Y1124" s="12">
        <v>1</v>
      </c>
      <c r="Z1124" s="12" t="s">
        <v>67</v>
      </c>
      <c r="AA1124" s="12">
        <v>0</v>
      </c>
      <c r="AB1124" s="12">
        <v>0</v>
      </c>
      <c r="AC1124" s="12">
        <v>1</v>
      </c>
      <c r="AD1124" s="12">
        <v>0</v>
      </c>
      <c r="AE1124" s="12">
        <v>0</v>
      </c>
      <c r="AF1124" s="12">
        <v>0</v>
      </c>
      <c r="AG1124" s="12">
        <v>0</v>
      </c>
      <c r="AH1124" s="12">
        <v>0</v>
      </c>
      <c r="AI1124" s="12">
        <v>1</v>
      </c>
      <c r="AJ1124" s="12" t="s">
        <v>57</v>
      </c>
      <c r="AK1124" s="12">
        <v>1</v>
      </c>
      <c r="AL1124" s="12">
        <v>0</v>
      </c>
      <c r="AM1124" s="12">
        <v>4723</v>
      </c>
      <c r="AN1124" s="12">
        <f t="shared" si="257"/>
        <v>4723</v>
      </c>
      <c r="AO1124" s="12">
        <v>1</v>
      </c>
      <c r="AP1124" s="12" t="s">
        <v>52</v>
      </c>
      <c r="AQ1124" s="12">
        <v>1</v>
      </c>
      <c r="AR1124" s="12">
        <v>18</v>
      </c>
      <c r="AS1124" s="12">
        <v>3</v>
      </c>
      <c r="AT1124" s="12">
        <v>4</v>
      </c>
      <c r="AU1124" s="12">
        <v>0</v>
      </c>
      <c r="AV1124" s="12">
        <v>10</v>
      </c>
      <c r="AW1124" s="12">
        <f t="shared" si="258"/>
        <v>10</v>
      </c>
      <c r="AX1124" s="12">
        <v>3</v>
      </c>
      <c r="AY1124" s="12">
        <v>3</v>
      </c>
      <c r="AZ1124" s="12">
        <v>10</v>
      </c>
      <c r="BA1124" s="12">
        <f t="shared" si="259"/>
        <v>10</v>
      </c>
      <c r="BB1124" s="12">
        <v>9</v>
      </c>
      <c r="BC1124" s="12">
        <v>1</v>
      </c>
      <c r="BD1124" s="12">
        <f t="shared" si="268"/>
        <v>1</v>
      </c>
      <c r="BE1124" s="12">
        <v>5</v>
      </c>
      <c r="BF1124" s="12">
        <f t="shared" si="260"/>
        <v>5</v>
      </c>
      <c r="BG1124" s="12">
        <f t="shared" si="269"/>
        <v>5</v>
      </c>
      <c r="BH1124" s="67">
        <v>1</v>
      </c>
      <c r="BI1124" s="67">
        <v>0</v>
      </c>
      <c r="BJ1124" s="67">
        <v>0</v>
      </c>
      <c r="BK1124" s="67">
        <v>0</v>
      </c>
      <c r="BL1124" s="67">
        <v>0</v>
      </c>
      <c r="BM1124" s="67">
        <v>1</v>
      </c>
      <c r="BN1124" s="67">
        <v>0</v>
      </c>
      <c r="BO1124" s="67">
        <v>0</v>
      </c>
      <c r="BP1124" s="67">
        <v>0</v>
      </c>
      <c r="BQ1124" s="67">
        <v>5</v>
      </c>
      <c r="BR1124" s="67">
        <v>0</v>
      </c>
      <c r="BS1124" s="67">
        <v>0</v>
      </c>
      <c r="BT1124" s="67">
        <v>10</v>
      </c>
      <c r="BU1124" s="70">
        <v>0</v>
      </c>
      <c r="BV1124" s="29">
        <f t="shared" si="261"/>
        <v>0.37806874075546471</v>
      </c>
      <c r="BW1124">
        <f t="shared" si="262"/>
        <v>0.24575036340443959</v>
      </c>
      <c r="BX1124">
        <f t="shared" si="263"/>
        <v>0.1644554352117841</v>
      </c>
      <c r="BY1124">
        <f t="shared" si="264"/>
        <v>0.48834154112957734</v>
      </c>
      <c r="BZ1124">
        <f t="shared" si="265"/>
        <v>0.76386092994953758</v>
      </c>
      <c r="CA1124">
        <f t="shared" si="266"/>
        <v>0.86737663580280233</v>
      </c>
      <c r="CB1124">
        <f t="shared" si="267"/>
        <v>0.36858985273641137</v>
      </c>
    </row>
    <row r="1125" spans="1:80" x14ac:dyDescent="0.45">
      <c r="A1125" s="11">
        <v>35</v>
      </c>
      <c r="B1125" s="12">
        <f t="shared" si="255"/>
        <v>35</v>
      </c>
      <c r="C1125" s="12" t="s">
        <v>59</v>
      </c>
      <c r="D1125" s="12">
        <v>0</v>
      </c>
      <c r="E1125" s="12" t="s">
        <v>53</v>
      </c>
      <c r="F1125" s="12">
        <v>0</v>
      </c>
      <c r="G1125" s="12">
        <v>1</v>
      </c>
      <c r="H1125" s="12" t="s">
        <v>61</v>
      </c>
      <c r="I1125" s="12">
        <v>1</v>
      </c>
      <c r="J1125" s="12">
        <v>0</v>
      </c>
      <c r="K1125" s="12">
        <v>10</v>
      </c>
      <c r="L1125" s="12">
        <f t="shared" si="256"/>
        <v>10</v>
      </c>
      <c r="M1125" s="12">
        <v>4</v>
      </c>
      <c r="N1125" s="12" t="s">
        <v>70</v>
      </c>
      <c r="O1125" s="12">
        <v>0</v>
      </c>
      <c r="P1125" s="12">
        <v>0</v>
      </c>
      <c r="Q1125" s="12">
        <v>1</v>
      </c>
      <c r="R1125" s="12">
        <v>0</v>
      </c>
      <c r="S1125" s="12">
        <v>0</v>
      </c>
      <c r="T1125" s="12">
        <v>1</v>
      </c>
      <c r="U1125" s="12" t="s">
        <v>19</v>
      </c>
      <c r="V1125" s="12">
        <v>1</v>
      </c>
      <c r="W1125" s="12">
        <v>51</v>
      </c>
      <c r="X1125" s="12">
        <v>3</v>
      </c>
      <c r="Y1125" s="12">
        <v>2</v>
      </c>
      <c r="Z1125" s="12" t="s">
        <v>85</v>
      </c>
      <c r="AA1125" s="12">
        <v>1</v>
      </c>
      <c r="AB1125" s="12">
        <v>0</v>
      </c>
      <c r="AC1125" s="12">
        <v>0</v>
      </c>
      <c r="AD1125" s="12">
        <v>0</v>
      </c>
      <c r="AE1125" s="12">
        <v>0</v>
      </c>
      <c r="AF1125" s="12">
        <v>0</v>
      </c>
      <c r="AG1125" s="12">
        <v>0</v>
      </c>
      <c r="AH1125" s="12">
        <v>0</v>
      </c>
      <c r="AI1125" s="12">
        <v>3</v>
      </c>
      <c r="AJ1125" s="12" t="s">
        <v>57</v>
      </c>
      <c r="AK1125" s="12">
        <v>1</v>
      </c>
      <c r="AL1125" s="12">
        <v>0</v>
      </c>
      <c r="AM1125" s="12">
        <v>6142</v>
      </c>
      <c r="AN1125" s="12">
        <f t="shared" si="257"/>
        <v>6142</v>
      </c>
      <c r="AO1125" s="12">
        <v>3</v>
      </c>
      <c r="AP1125" s="12" t="s">
        <v>52</v>
      </c>
      <c r="AQ1125" s="12">
        <v>1</v>
      </c>
      <c r="AR1125" s="12">
        <v>16</v>
      </c>
      <c r="AS1125" s="12">
        <v>3</v>
      </c>
      <c r="AT1125" s="12">
        <v>3</v>
      </c>
      <c r="AU1125" s="12">
        <v>0</v>
      </c>
      <c r="AV1125" s="12">
        <v>10</v>
      </c>
      <c r="AW1125" s="12">
        <f t="shared" si="258"/>
        <v>10</v>
      </c>
      <c r="AX1125" s="12">
        <v>4</v>
      </c>
      <c r="AY1125" s="12">
        <v>3</v>
      </c>
      <c r="AZ1125" s="12">
        <v>5</v>
      </c>
      <c r="BA1125" s="12">
        <f t="shared" si="259"/>
        <v>5</v>
      </c>
      <c r="BB1125" s="12">
        <v>2</v>
      </c>
      <c r="BC1125" s="12">
        <v>0</v>
      </c>
      <c r="BD1125" s="12">
        <f t="shared" si="268"/>
        <v>0</v>
      </c>
      <c r="BE1125" s="12">
        <v>4</v>
      </c>
      <c r="BF1125" s="12">
        <f t="shared" si="260"/>
        <v>4</v>
      </c>
      <c r="BG1125" s="12">
        <f t="shared" si="269"/>
        <v>8</v>
      </c>
      <c r="BH1125" s="67">
        <v>1</v>
      </c>
      <c r="BI1125" s="67">
        <v>0</v>
      </c>
      <c r="BJ1125" s="67">
        <v>0</v>
      </c>
      <c r="BK1125" s="67">
        <v>0</v>
      </c>
      <c r="BL1125" s="67">
        <v>0</v>
      </c>
      <c r="BM1125" s="67">
        <v>1</v>
      </c>
      <c r="BN1125" s="67">
        <v>0</v>
      </c>
      <c r="BO1125" s="67">
        <v>0</v>
      </c>
      <c r="BP1125" s="67">
        <v>0</v>
      </c>
      <c r="BQ1125" s="67">
        <v>4</v>
      </c>
      <c r="BR1125" s="67">
        <v>0</v>
      </c>
      <c r="BS1125" s="67">
        <v>0</v>
      </c>
      <c r="BT1125" s="67">
        <v>10</v>
      </c>
      <c r="BU1125" s="70">
        <v>0</v>
      </c>
      <c r="BV1125" s="29">
        <f t="shared" si="261"/>
        <v>7.6664104864510266E-2</v>
      </c>
      <c r="BW1125">
        <f t="shared" si="262"/>
        <v>3.4508002929560584E-2</v>
      </c>
      <c r="BX1125">
        <f t="shared" si="263"/>
        <v>0.1644554352117841</v>
      </c>
      <c r="BY1125">
        <f t="shared" si="264"/>
        <v>0.32778177112653761</v>
      </c>
      <c r="BZ1125">
        <f t="shared" si="265"/>
        <v>9.9604847176766084E-2</v>
      </c>
      <c r="CA1125">
        <f t="shared" si="266"/>
        <v>0.21058903898096887</v>
      </c>
      <c r="CB1125">
        <f t="shared" si="267"/>
        <v>0.67891464284095016</v>
      </c>
    </row>
    <row r="1126" spans="1:80" x14ac:dyDescent="0.45">
      <c r="A1126" s="11">
        <v>39</v>
      </c>
      <c r="B1126" s="12">
        <f t="shared" si="255"/>
        <v>39</v>
      </c>
      <c r="C1126" s="12" t="s">
        <v>59</v>
      </c>
      <c r="D1126" s="12">
        <v>0</v>
      </c>
      <c r="E1126" s="12" t="s">
        <v>53</v>
      </c>
      <c r="F1126" s="12">
        <v>0</v>
      </c>
      <c r="G1126" s="12">
        <v>1</v>
      </c>
      <c r="H1126" s="12" t="s">
        <v>54</v>
      </c>
      <c r="I1126" s="12">
        <v>0</v>
      </c>
      <c r="J1126" s="12">
        <v>1</v>
      </c>
      <c r="K1126" s="12">
        <v>6</v>
      </c>
      <c r="L1126" s="12">
        <f t="shared" si="256"/>
        <v>6</v>
      </c>
      <c r="M1126" s="12">
        <v>3</v>
      </c>
      <c r="N1126" s="12" t="s">
        <v>70</v>
      </c>
      <c r="O1126" s="12">
        <v>0</v>
      </c>
      <c r="P1126" s="12">
        <v>0</v>
      </c>
      <c r="Q1126" s="12">
        <v>1</v>
      </c>
      <c r="R1126" s="12">
        <v>0</v>
      </c>
      <c r="S1126" s="12">
        <v>0</v>
      </c>
      <c r="T1126" s="12">
        <v>4</v>
      </c>
      <c r="U1126" s="12" t="s">
        <v>62</v>
      </c>
      <c r="V1126" s="12">
        <v>0</v>
      </c>
      <c r="W1126" s="12">
        <v>38</v>
      </c>
      <c r="X1126" s="12">
        <v>4</v>
      </c>
      <c r="Y1126" s="12">
        <v>3</v>
      </c>
      <c r="Z1126" s="12" t="s">
        <v>56</v>
      </c>
      <c r="AA1126" s="12">
        <v>0</v>
      </c>
      <c r="AB1126" s="12">
        <v>1</v>
      </c>
      <c r="AC1126" s="12">
        <v>0</v>
      </c>
      <c r="AD1126" s="12">
        <v>0</v>
      </c>
      <c r="AE1126" s="12">
        <v>0</v>
      </c>
      <c r="AF1126" s="12">
        <v>0</v>
      </c>
      <c r="AG1126" s="12">
        <v>0</v>
      </c>
      <c r="AH1126" s="12">
        <v>0</v>
      </c>
      <c r="AI1126" s="12">
        <v>3</v>
      </c>
      <c r="AJ1126" s="12" t="s">
        <v>64</v>
      </c>
      <c r="AK1126" s="12">
        <v>0</v>
      </c>
      <c r="AL1126" s="12">
        <v>1</v>
      </c>
      <c r="AM1126" s="12">
        <v>8237</v>
      </c>
      <c r="AN1126" s="12">
        <f t="shared" si="257"/>
        <v>8237</v>
      </c>
      <c r="AO1126" s="12">
        <v>2</v>
      </c>
      <c r="AP1126" s="12" t="s">
        <v>59</v>
      </c>
      <c r="AQ1126" s="12">
        <v>0</v>
      </c>
      <c r="AR1126" s="12">
        <v>11</v>
      </c>
      <c r="AS1126" s="12">
        <v>3</v>
      </c>
      <c r="AT1126" s="12">
        <v>1</v>
      </c>
      <c r="AU1126" s="12">
        <v>1</v>
      </c>
      <c r="AV1126" s="12">
        <v>11</v>
      </c>
      <c r="AW1126" s="12">
        <f t="shared" si="258"/>
        <v>11</v>
      </c>
      <c r="AX1126" s="12">
        <v>3</v>
      </c>
      <c r="AY1126" s="12">
        <v>3</v>
      </c>
      <c r="AZ1126" s="12">
        <v>7</v>
      </c>
      <c r="BA1126" s="12">
        <f t="shared" si="259"/>
        <v>7</v>
      </c>
      <c r="BB1126" s="12">
        <v>6</v>
      </c>
      <c r="BC1126" s="12">
        <v>7</v>
      </c>
      <c r="BD1126" s="12">
        <f t="shared" si="268"/>
        <v>7</v>
      </c>
      <c r="BE1126" s="12">
        <v>6</v>
      </c>
      <c r="BF1126" s="12">
        <f t="shared" si="260"/>
        <v>6</v>
      </c>
      <c r="BG1126" s="12">
        <f t="shared" si="269"/>
        <v>18</v>
      </c>
      <c r="BH1126" s="67">
        <v>0</v>
      </c>
      <c r="BI1126" s="67">
        <v>1</v>
      </c>
      <c r="BJ1126" s="67">
        <v>0</v>
      </c>
      <c r="BK1126" s="67">
        <v>0</v>
      </c>
      <c r="BL1126" s="67">
        <v>0</v>
      </c>
      <c r="BM1126" s="67">
        <v>0</v>
      </c>
      <c r="BN1126" s="67">
        <v>1</v>
      </c>
      <c r="BO1126" s="67">
        <v>0</v>
      </c>
      <c r="BP1126" s="67">
        <v>0</v>
      </c>
      <c r="BQ1126" s="67">
        <v>0</v>
      </c>
      <c r="BR1126" s="67">
        <v>6</v>
      </c>
      <c r="BS1126" s="67">
        <v>0</v>
      </c>
      <c r="BT1126" s="67">
        <v>0</v>
      </c>
      <c r="BU1126" s="70">
        <v>11</v>
      </c>
      <c r="BV1126" s="29">
        <f t="shared" si="261"/>
        <v>0.36832723565102848</v>
      </c>
      <c r="BW1126">
        <f t="shared" si="262"/>
        <v>0.52600872973843971</v>
      </c>
      <c r="BX1126">
        <f t="shared" si="263"/>
        <v>3.593364373846001E-2</v>
      </c>
      <c r="BY1126">
        <f t="shared" si="264"/>
        <v>1.3324462240916321E-3</v>
      </c>
      <c r="BZ1126">
        <f t="shared" si="265"/>
        <v>0.39380416832397891</v>
      </c>
      <c r="CA1126">
        <f t="shared" si="266"/>
        <v>0.22726935890025346</v>
      </c>
      <c r="CB1126">
        <f t="shared" si="267"/>
        <v>1.4933588878908215</v>
      </c>
    </row>
    <row r="1127" spans="1:80" x14ac:dyDescent="0.45">
      <c r="A1127" s="11">
        <v>29</v>
      </c>
      <c r="B1127" s="12">
        <f t="shared" si="255"/>
        <v>29</v>
      </c>
      <c r="C1127" s="12" t="s">
        <v>59</v>
      </c>
      <c r="D1127" s="12">
        <v>0</v>
      </c>
      <c r="E1127" s="12" t="s">
        <v>60</v>
      </c>
      <c r="F1127" s="12">
        <v>1</v>
      </c>
      <c r="G1127" s="12">
        <v>0</v>
      </c>
      <c r="H1127" s="12" t="s">
        <v>61</v>
      </c>
      <c r="I1127" s="12">
        <v>1</v>
      </c>
      <c r="J1127" s="12">
        <v>0</v>
      </c>
      <c r="K1127" s="12">
        <v>2</v>
      </c>
      <c r="L1127" s="12">
        <f t="shared" si="256"/>
        <v>2</v>
      </c>
      <c r="M1127" s="12">
        <v>1</v>
      </c>
      <c r="N1127" s="12" t="s">
        <v>55</v>
      </c>
      <c r="O1127" s="12">
        <v>1</v>
      </c>
      <c r="P1127" s="12">
        <v>0</v>
      </c>
      <c r="Q1127" s="12">
        <v>0</v>
      </c>
      <c r="R1127" s="12">
        <v>0</v>
      </c>
      <c r="S1127" s="12">
        <v>0</v>
      </c>
      <c r="T1127" s="12">
        <v>1</v>
      </c>
      <c r="U1127" s="12" t="s">
        <v>62</v>
      </c>
      <c r="V1127" s="12">
        <v>0</v>
      </c>
      <c r="W1127" s="12">
        <v>87</v>
      </c>
      <c r="X1127" s="12">
        <v>3</v>
      </c>
      <c r="Y1127" s="12">
        <v>2</v>
      </c>
      <c r="Z1127" s="12" t="s">
        <v>85</v>
      </c>
      <c r="AA1127" s="12">
        <v>1</v>
      </c>
      <c r="AB1127" s="12">
        <v>0</v>
      </c>
      <c r="AC1127" s="12">
        <v>0</v>
      </c>
      <c r="AD1127" s="12">
        <v>0</v>
      </c>
      <c r="AE1127" s="12">
        <v>0</v>
      </c>
      <c r="AF1127" s="12">
        <v>0</v>
      </c>
      <c r="AG1127" s="12">
        <v>0</v>
      </c>
      <c r="AH1127" s="12">
        <v>0</v>
      </c>
      <c r="AI1127" s="12">
        <v>4</v>
      </c>
      <c r="AJ1127" s="12" t="s">
        <v>78</v>
      </c>
      <c r="AK1127" s="12">
        <v>0</v>
      </c>
      <c r="AL1127" s="12">
        <v>0</v>
      </c>
      <c r="AM1127" s="12">
        <v>8853</v>
      </c>
      <c r="AN1127" s="12">
        <f t="shared" si="257"/>
        <v>8853</v>
      </c>
      <c r="AO1127" s="12">
        <v>1</v>
      </c>
      <c r="AP1127" s="12" t="s">
        <v>59</v>
      </c>
      <c r="AQ1127" s="12">
        <v>0</v>
      </c>
      <c r="AR1127" s="12">
        <v>19</v>
      </c>
      <c r="AS1127" s="12">
        <v>3</v>
      </c>
      <c r="AT1127" s="12">
        <v>4</v>
      </c>
      <c r="AU1127" s="12">
        <v>1</v>
      </c>
      <c r="AV1127" s="12">
        <v>6</v>
      </c>
      <c r="AW1127" s="12">
        <f t="shared" si="258"/>
        <v>6</v>
      </c>
      <c r="AX1127" s="12">
        <v>0</v>
      </c>
      <c r="AY1127" s="12">
        <v>4</v>
      </c>
      <c r="AZ1127" s="12">
        <v>6</v>
      </c>
      <c r="BA1127" s="12">
        <f t="shared" si="259"/>
        <v>6</v>
      </c>
      <c r="BB1127" s="12">
        <v>4</v>
      </c>
      <c r="BC1127" s="12">
        <v>1</v>
      </c>
      <c r="BD1127" s="12">
        <f t="shared" si="268"/>
        <v>1</v>
      </c>
      <c r="BE1127" s="12">
        <v>3</v>
      </c>
      <c r="BF1127" s="12">
        <f t="shared" si="260"/>
        <v>3</v>
      </c>
      <c r="BG1127" s="12">
        <f t="shared" si="269"/>
        <v>6</v>
      </c>
      <c r="BH1127" s="67">
        <v>0</v>
      </c>
      <c r="BI1127" s="67">
        <v>0</v>
      </c>
      <c r="BJ1127" s="67">
        <v>1</v>
      </c>
      <c r="BK1127" s="67">
        <v>0</v>
      </c>
      <c r="BL1127" s="67">
        <v>1</v>
      </c>
      <c r="BM1127" s="67">
        <v>0</v>
      </c>
      <c r="BN1127" s="67">
        <v>0</v>
      </c>
      <c r="BO1127" s="67">
        <v>0</v>
      </c>
      <c r="BP1127" s="67">
        <v>0</v>
      </c>
      <c r="BQ1127" s="67">
        <v>3</v>
      </c>
      <c r="BR1127" s="67">
        <v>0</v>
      </c>
      <c r="BS1127" s="67">
        <v>0</v>
      </c>
      <c r="BT1127" s="67">
        <v>6</v>
      </c>
      <c r="BU1127" s="70">
        <v>0</v>
      </c>
      <c r="BV1127" s="29">
        <f t="shared" si="261"/>
        <v>0.49916955820834208</v>
      </c>
      <c r="BW1127">
        <f t="shared" si="262"/>
        <v>0.31476636926356072</v>
      </c>
      <c r="BX1127">
        <f t="shared" si="263"/>
        <v>0.67854260110508058</v>
      </c>
      <c r="BY1127">
        <f t="shared" si="264"/>
        <v>0.16455710867531462</v>
      </c>
      <c r="BZ1127">
        <f t="shared" si="265"/>
        <v>0.88721318382472392</v>
      </c>
      <c r="CA1127">
        <f t="shared" si="266"/>
        <v>0.86737663580280233</v>
      </c>
      <c r="CB1127">
        <f t="shared" si="267"/>
        <v>0.36858985273641137</v>
      </c>
    </row>
    <row r="1128" spans="1:80" x14ac:dyDescent="0.45">
      <c r="A1128" s="11">
        <v>50</v>
      </c>
      <c r="B1128" s="12">
        <f t="shared" si="255"/>
        <v>50</v>
      </c>
      <c r="C1128" s="12" t="s">
        <v>59</v>
      </c>
      <c r="D1128" s="12">
        <v>0</v>
      </c>
      <c r="E1128" s="12" t="s">
        <v>53</v>
      </c>
      <c r="F1128" s="12">
        <v>0</v>
      </c>
      <c r="G1128" s="12">
        <v>1</v>
      </c>
      <c r="H1128" s="12" t="s">
        <v>54</v>
      </c>
      <c r="I1128" s="12">
        <v>0</v>
      </c>
      <c r="J1128" s="12">
        <v>1</v>
      </c>
      <c r="K1128" s="12">
        <v>9</v>
      </c>
      <c r="L1128" s="12">
        <f t="shared" si="256"/>
        <v>9</v>
      </c>
      <c r="M1128" s="12">
        <v>3</v>
      </c>
      <c r="N1128" s="12" t="s">
        <v>90</v>
      </c>
      <c r="O1128" s="12">
        <v>0</v>
      </c>
      <c r="P1128" s="12">
        <v>0</v>
      </c>
      <c r="Q1128" s="12">
        <v>0</v>
      </c>
      <c r="R1128" s="12">
        <v>1</v>
      </c>
      <c r="S1128" s="12">
        <v>0</v>
      </c>
      <c r="T1128" s="12">
        <v>3</v>
      </c>
      <c r="U1128" s="12" t="s">
        <v>62</v>
      </c>
      <c r="V1128" s="12">
        <v>0</v>
      </c>
      <c r="W1128" s="12">
        <v>59</v>
      </c>
      <c r="X1128" s="12">
        <v>3</v>
      </c>
      <c r="Y1128" s="12">
        <v>5</v>
      </c>
      <c r="Z1128" s="12" t="s">
        <v>87</v>
      </c>
      <c r="AA1128" s="12">
        <v>0</v>
      </c>
      <c r="AB1128" s="12">
        <v>0</v>
      </c>
      <c r="AC1128" s="12">
        <v>0</v>
      </c>
      <c r="AD1128" s="12">
        <v>1</v>
      </c>
      <c r="AE1128" s="12">
        <v>0</v>
      </c>
      <c r="AF1128" s="12">
        <v>0</v>
      </c>
      <c r="AG1128" s="12">
        <v>0</v>
      </c>
      <c r="AH1128" s="12">
        <v>0</v>
      </c>
      <c r="AI1128" s="12">
        <v>3</v>
      </c>
      <c r="AJ1128" s="12" t="s">
        <v>64</v>
      </c>
      <c r="AK1128" s="12">
        <v>0</v>
      </c>
      <c r="AL1128" s="12">
        <v>1</v>
      </c>
      <c r="AM1128" s="12">
        <v>19331</v>
      </c>
      <c r="AN1128" s="12">
        <f t="shared" si="257"/>
        <v>19331</v>
      </c>
      <c r="AO1128" s="12">
        <v>4</v>
      </c>
      <c r="AP1128" s="12" t="s">
        <v>52</v>
      </c>
      <c r="AQ1128" s="12">
        <v>1</v>
      </c>
      <c r="AR1128" s="12">
        <v>16</v>
      </c>
      <c r="AS1128" s="12">
        <v>3</v>
      </c>
      <c r="AT1128" s="12">
        <v>3</v>
      </c>
      <c r="AU1128" s="12">
        <v>1</v>
      </c>
      <c r="AV1128" s="12">
        <v>27</v>
      </c>
      <c r="AW1128" s="12">
        <f t="shared" si="258"/>
        <v>27</v>
      </c>
      <c r="AX1128" s="12">
        <v>2</v>
      </c>
      <c r="AY1128" s="12">
        <v>3</v>
      </c>
      <c r="AZ1128" s="12">
        <v>1</v>
      </c>
      <c r="BA1128" s="12">
        <f t="shared" si="259"/>
        <v>1</v>
      </c>
      <c r="BB1128" s="12">
        <v>0</v>
      </c>
      <c r="BC1128" s="12">
        <v>0</v>
      </c>
      <c r="BD1128" s="12">
        <f t="shared" si="268"/>
        <v>0</v>
      </c>
      <c r="BE1128" s="12">
        <v>0</v>
      </c>
      <c r="BF1128" s="12">
        <f t="shared" si="260"/>
        <v>0</v>
      </c>
      <c r="BG1128" s="12">
        <f t="shared" si="269"/>
        <v>0</v>
      </c>
      <c r="BH1128" s="67">
        <v>0</v>
      </c>
      <c r="BI1128" s="67">
        <v>1</v>
      </c>
      <c r="BJ1128" s="67">
        <v>0</v>
      </c>
      <c r="BK1128" s="67">
        <v>0</v>
      </c>
      <c r="BL1128" s="67">
        <v>0</v>
      </c>
      <c r="BM1128" s="67">
        <v>0</v>
      </c>
      <c r="BN1128" s="67">
        <v>0</v>
      </c>
      <c r="BO1128" s="67">
        <v>1</v>
      </c>
      <c r="BP1128" s="67">
        <v>0</v>
      </c>
      <c r="BQ1128" s="67">
        <v>0</v>
      </c>
      <c r="BR1128" s="67">
        <v>0</v>
      </c>
      <c r="BS1128" s="67">
        <v>0</v>
      </c>
      <c r="BT1128" s="67">
        <v>0</v>
      </c>
      <c r="BU1128" s="70">
        <v>27</v>
      </c>
      <c r="BV1128" s="29">
        <f t="shared" si="261"/>
        <v>2.7247634798893996</v>
      </c>
      <c r="BW1128">
        <f t="shared" si="262"/>
        <v>1.1555414682655611</v>
      </c>
      <c r="BX1128">
        <f t="shared" si="263"/>
        <v>2.0204150198347257</v>
      </c>
      <c r="BY1128">
        <f t="shared" si="264"/>
        <v>0.9806804209314296</v>
      </c>
      <c r="BZ1128">
        <f t="shared" si="265"/>
        <v>2.3747406698420157E-2</v>
      </c>
      <c r="CA1128">
        <f t="shared" si="266"/>
        <v>1.4313799530736149</v>
      </c>
      <c r="CB1128">
        <f t="shared" si="267"/>
        <v>0.67891464284095016</v>
      </c>
    </row>
    <row r="1129" spans="1:80" x14ac:dyDescent="0.45">
      <c r="A1129" s="11">
        <v>23</v>
      </c>
      <c r="B1129" s="12">
        <f t="shared" si="255"/>
        <v>23</v>
      </c>
      <c r="C1129" s="12" t="s">
        <v>59</v>
      </c>
      <c r="D1129" s="12">
        <v>0</v>
      </c>
      <c r="E1129" s="12" t="s">
        <v>53</v>
      </c>
      <c r="F1129" s="12">
        <v>0</v>
      </c>
      <c r="G1129" s="12">
        <v>1</v>
      </c>
      <c r="H1129" s="12" t="s">
        <v>61</v>
      </c>
      <c r="I1129" s="12">
        <v>1</v>
      </c>
      <c r="J1129" s="12">
        <v>0</v>
      </c>
      <c r="K1129" s="12">
        <v>10</v>
      </c>
      <c r="L1129" s="12">
        <f t="shared" si="256"/>
        <v>10</v>
      </c>
      <c r="M1129" s="12">
        <v>3</v>
      </c>
      <c r="N1129" s="12" t="s">
        <v>91</v>
      </c>
      <c r="O1129" s="12">
        <v>0</v>
      </c>
      <c r="P1129" s="12">
        <v>0</v>
      </c>
      <c r="Q1129" s="12">
        <v>0</v>
      </c>
      <c r="R1129" s="12">
        <v>0</v>
      </c>
      <c r="S1129" s="12">
        <v>1</v>
      </c>
      <c r="T1129" s="12">
        <v>4</v>
      </c>
      <c r="U1129" s="12" t="s">
        <v>62</v>
      </c>
      <c r="V1129" s="12">
        <v>0</v>
      </c>
      <c r="W1129" s="12">
        <v>45</v>
      </c>
      <c r="X1129" s="12">
        <v>4</v>
      </c>
      <c r="Y1129" s="12">
        <v>1</v>
      </c>
      <c r="Z1129" s="12" t="s">
        <v>63</v>
      </c>
      <c r="AA1129" s="12">
        <v>0</v>
      </c>
      <c r="AB1129" s="12">
        <v>0</v>
      </c>
      <c r="AC1129" s="12">
        <v>0</v>
      </c>
      <c r="AD1129" s="12">
        <v>0</v>
      </c>
      <c r="AE1129" s="12">
        <v>0</v>
      </c>
      <c r="AF1129" s="12">
        <v>0</v>
      </c>
      <c r="AG1129" s="12">
        <v>0</v>
      </c>
      <c r="AH1129" s="12">
        <v>1</v>
      </c>
      <c r="AI1129" s="12">
        <v>3</v>
      </c>
      <c r="AJ1129" s="12" t="s">
        <v>64</v>
      </c>
      <c r="AK1129" s="12">
        <v>0</v>
      </c>
      <c r="AL1129" s="12">
        <v>1</v>
      </c>
      <c r="AM1129" s="12">
        <v>2073</v>
      </c>
      <c r="AN1129" s="12">
        <f t="shared" si="257"/>
        <v>2073</v>
      </c>
      <c r="AO1129" s="12">
        <v>2</v>
      </c>
      <c r="AP1129" s="12" t="s">
        <v>59</v>
      </c>
      <c r="AQ1129" s="12">
        <v>0</v>
      </c>
      <c r="AR1129" s="12">
        <v>16</v>
      </c>
      <c r="AS1129" s="12">
        <v>3</v>
      </c>
      <c r="AT1129" s="12">
        <v>4</v>
      </c>
      <c r="AU1129" s="12">
        <v>1</v>
      </c>
      <c r="AV1129" s="12">
        <v>4</v>
      </c>
      <c r="AW1129" s="12">
        <f t="shared" si="258"/>
        <v>4</v>
      </c>
      <c r="AX1129" s="12">
        <v>2</v>
      </c>
      <c r="AY1129" s="12">
        <v>3</v>
      </c>
      <c r="AZ1129" s="12">
        <v>2</v>
      </c>
      <c r="BA1129" s="12">
        <f t="shared" si="259"/>
        <v>2</v>
      </c>
      <c r="BB1129" s="12">
        <v>2</v>
      </c>
      <c r="BC1129" s="12">
        <v>2</v>
      </c>
      <c r="BD1129" s="12">
        <f t="shared" si="268"/>
        <v>2</v>
      </c>
      <c r="BE1129" s="12">
        <v>2</v>
      </c>
      <c r="BF1129" s="12">
        <f t="shared" si="260"/>
        <v>2</v>
      </c>
      <c r="BG1129" s="12">
        <f t="shared" si="269"/>
        <v>2</v>
      </c>
      <c r="BH1129" s="67">
        <v>0</v>
      </c>
      <c r="BI1129" s="67">
        <v>1</v>
      </c>
      <c r="BJ1129" s="67">
        <v>0</v>
      </c>
      <c r="BK1129" s="67">
        <v>0</v>
      </c>
      <c r="BL1129" s="67">
        <v>0</v>
      </c>
      <c r="BM1129" s="67">
        <v>0</v>
      </c>
      <c r="BN1129" s="67">
        <v>1</v>
      </c>
      <c r="BO1129" s="67">
        <v>0</v>
      </c>
      <c r="BP1129" s="67">
        <v>0</v>
      </c>
      <c r="BQ1129" s="67">
        <v>2</v>
      </c>
      <c r="BR1129" s="67">
        <v>0</v>
      </c>
      <c r="BS1129" s="67">
        <v>0</v>
      </c>
      <c r="BT1129" s="67">
        <v>4</v>
      </c>
      <c r="BU1129" s="70">
        <v>0</v>
      </c>
      <c r="BV1129" s="29">
        <f t="shared" si="261"/>
        <v>0.94094561539325838</v>
      </c>
      <c r="BW1129">
        <f t="shared" si="262"/>
        <v>0.59502473559756086</v>
      </c>
      <c r="BX1129">
        <f t="shared" si="263"/>
        <v>0.93558618405172878</v>
      </c>
      <c r="BY1129">
        <f t="shared" si="264"/>
        <v>0.81745575848020657</v>
      </c>
      <c r="BZ1129">
        <f t="shared" si="265"/>
        <v>9.9604847176766084E-2</v>
      </c>
      <c r="CA1129">
        <f t="shared" si="266"/>
        <v>1.5241642326246359</v>
      </c>
      <c r="CB1129">
        <f t="shared" si="267"/>
        <v>5.8265062631872602E-2</v>
      </c>
    </row>
    <row r="1130" spans="1:80" x14ac:dyDescent="0.45">
      <c r="A1130" s="11">
        <v>36</v>
      </c>
      <c r="B1130" s="12">
        <f t="shared" si="255"/>
        <v>36</v>
      </c>
      <c r="C1130" s="12" t="s">
        <v>59</v>
      </c>
      <c r="D1130" s="12">
        <v>0</v>
      </c>
      <c r="E1130" s="12" t="s">
        <v>60</v>
      </c>
      <c r="F1130" s="12">
        <v>1</v>
      </c>
      <c r="G1130" s="12">
        <v>0</v>
      </c>
      <c r="H1130" s="12" t="s">
        <v>61</v>
      </c>
      <c r="I1130" s="12">
        <v>1</v>
      </c>
      <c r="J1130" s="12">
        <v>0</v>
      </c>
      <c r="K1130" s="12">
        <v>6</v>
      </c>
      <c r="L1130" s="12">
        <f t="shared" si="256"/>
        <v>6</v>
      </c>
      <c r="M1130" s="12">
        <v>4</v>
      </c>
      <c r="N1130" s="12" t="s">
        <v>55</v>
      </c>
      <c r="O1130" s="12">
        <v>1</v>
      </c>
      <c r="P1130" s="12">
        <v>0</v>
      </c>
      <c r="Q1130" s="12">
        <v>0</v>
      </c>
      <c r="R1130" s="12">
        <v>0</v>
      </c>
      <c r="S1130" s="12">
        <v>0</v>
      </c>
      <c r="T1130" s="12">
        <v>1</v>
      </c>
      <c r="U1130" s="12" t="s">
        <v>62</v>
      </c>
      <c r="V1130" s="12">
        <v>0</v>
      </c>
      <c r="W1130" s="12">
        <v>80</v>
      </c>
      <c r="X1130" s="12">
        <v>4</v>
      </c>
      <c r="Y1130" s="12">
        <v>2</v>
      </c>
      <c r="Z1130" s="12" t="s">
        <v>67</v>
      </c>
      <c r="AA1130" s="12">
        <v>0</v>
      </c>
      <c r="AB1130" s="12">
        <v>0</v>
      </c>
      <c r="AC1130" s="12">
        <v>1</v>
      </c>
      <c r="AD1130" s="12">
        <v>0</v>
      </c>
      <c r="AE1130" s="12">
        <v>0</v>
      </c>
      <c r="AF1130" s="12">
        <v>0</v>
      </c>
      <c r="AG1130" s="12">
        <v>0</v>
      </c>
      <c r="AH1130" s="12">
        <v>0</v>
      </c>
      <c r="AI1130" s="12">
        <v>1</v>
      </c>
      <c r="AJ1130" s="12" t="s">
        <v>64</v>
      </c>
      <c r="AK1130" s="12">
        <v>0</v>
      </c>
      <c r="AL1130" s="12">
        <v>1</v>
      </c>
      <c r="AM1130" s="12">
        <v>5562</v>
      </c>
      <c r="AN1130" s="12">
        <f t="shared" si="257"/>
        <v>5562</v>
      </c>
      <c r="AO1130" s="12">
        <v>3</v>
      </c>
      <c r="AP1130" s="12" t="s">
        <v>52</v>
      </c>
      <c r="AQ1130" s="12">
        <v>1</v>
      </c>
      <c r="AR1130" s="12">
        <v>13</v>
      </c>
      <c r="AS1130" s="12">
        <v>3</v>
      </c>
      <c r="AT1130" s="12">
        <v>4</v>
      </c>
      <c r="AU1130" s="12">
        <v>1</v>
      </c>
      <c r="AV1130" s="12">
        <v>9</v>
      </c>
      <c r="AW1130" s="12">
        <f t="shared" si="258"/>
        <v>9</v>
      </c>
      <c r="AX1130" s="12">
        <v>3</v>
      </c>
      <c r="AY1130" s="12">
        <v>3</v>
      </c>
      <c r="AZ1130" s="12">
        <v>3</v>
      </c>
      <c r="BA1130" s="12">
        <f t="shared" si="259"/>
        <v>3</v>
      </c>
      <c r="BB1130" s="12">
        <v>2</v>
      </c>
      <c r="BC1130" s="12">
        <v>0</v>
      </c>
      <c r="BD1130" s="12">
        <f t="shared" si="268"/>
        <v>0</v>
      </c>
      <c r="BE1130" s="12">
        <v>2</v>
      </c>
      <c r="BF1130" s="12">
        <f t="shared" si="260"/>
        <v>2</v>
      </c>
      <c r="BG1130" s="12">
        <f t="shared" si="269"/>
        <v>4</v>
      </c>
      <c r="BH1130" s="67">
        <v>0</v>
      </c>
      <c r="BI1130" s="67">
        <v>0</v>
      </c>
      <c r="BJ1130" s="67">
        <v>0</v>
      </c>
      <c r="BK1130" s="67">
        <v>1</v>
      </c>
      <c r="BL1130" s="67">
        <v>0</v>
      </c>
      <c r="BM1130" s="67">
        <v>0</v>
      </c>
      <c r="BN1130" s="67">
        <v>0</v>
      </c>
      <c r="BO1130" s="67">
        <v>1</v>
      </c>
      <c r="BP1130" s="67">
        <v>0</v>
      </c>
      <c r="BQ1130" s="67">
        <v>2</v>
      </c>
      <c r="BR1130" s="67">
        <v>0</v>
      </c>
      <c r="BS1130" s="67">
        <v>0</v>
      </c>
      <c r="BT1130" s="67">
        <v>9</v>
      </c>
      <c r="BU1130" s="70">
        <v>0</v>
      </c>
      <c r="BV1130" s="29">
        <f t="shared" si="261"/>
        <v>0.19985979818146132</v>
      </c>
      <c r="BW1130">
        <f t="shared" si="262"/>
        <v>0.59502473559756086</v>
      </c>
      <c r="BX1130">
        <f t="shared" si="263"/>
        <v>0.29297722668510823</v>
      </c>
      <c r="BY1130">
        <f t="shared" si="264"/>
        <v>0.65423109602898355</v>
      </c>
      <c r="BZ1130">
        <f t="shared" si="265"/>
        <v>0.39380416832397891</v>
      </c>
      <c r="CA1130">
        <f t="shared" si="266"/>
        <v>0.10112443951066327</v>
      </c>
      <c r="CB1130">
        <f t="shared" si="267"/>
        <v>0.67891464284095016</v>
      </c>
    </row>
    <row r="1131" spans="1:80" x14ac:dyDescent="0.45">
      <c r="A1131" s="11">
        <v>42</v>
      </c>
      <c r="B1131" s="12">
        <f t="shared" si="255"/>
        <v>42</v>
      </c>
      <c r="C1131" s="12" t="s">
        <v>59</v>
      </c>
      <c r="D1131" s="12">
        <v>0</v>
      </c>
      <c r="E1131" s="12" t="s">
        <v>53</v>
      </c>
      <c r="F1131" s="12">
        <v>0</v>
      </c>
      <c r="G1131" s="12">
        <v>1</v>
      </c>
      <c r="H1131" s="12" t="s">
        <v>61</v>
      </c>
      <c r="I1131" s="12">
        <v>1</v>
      </c>
      <c r="J1131" s="12">
        <v>0</v>
      </c>
      <c r="K1131" s="12">
        <v>9</v>
      </c>
      <c r="L1131" s="12">
        <f t="shared" si="256"/>
        <v>9</v>
      </c>
      <c r="M1131" s="12">
        <v>2</v>
      </c>
      <c r="N1131" s="12" t="s">
        <v>66</v>
      </c>
      <c r="O1131" s="12">
        <v>0</v>
      </c>
      <c r="P1131" s="12">
        <v>1</v>
      </c>
      <c r="Q1131" s="12">
        <v>0</v>
      </c>
      <c r="R1131" s="12">
        <v>0</v>
      </c>
      <c r="S1131" s="12">
        <v>0</v>
      </c>
      <c r="T1131" s="12">
        <v>4</v>
      </c>
      <c r="U1131" s="12" t="s">
        <v>62</v>
      </c>
      <c r="V1131" s="12">
        <v>0</v>
      </c>
      <c r="W1131" s="12">
        <v>93</v>
      </c>
      <c r="X1131" s="12">
        <v>2</v>
      </c>
      <c r="Y1131" s="12">
        <v>5</v>
      </c>
      <c r="Z1131" s="12" t="s">
        <v>87</v>
      </c>
      <c r="AA1131" s="12">
        <v>0</v>
      </c>
      <c r="AB1131" s="12">
        <v>0</v>
      </c>
      <c r="AC1131" s="12">
        <v>0</v>
      </c>
      <c r="AD1131" s="12">
        <v>1</v>
      </c>
      <c r="AE1131" s="12">
        <v>0</v>
      </c>
      <c r="AF1131" s="12">
        <v>0</v>
      </c>
      <c r="AG1131" s="12">
        <v>0</v>
      </c>
      <c r="AH1131" s="12">
        <v>0</v>
      </c>
      <c r="AI1131" s="12">
        <v>4</v>
      </c>
      <c r="AJ1131" s="12" t="s">
        <v>57</v>
      </c>
      <c r="AK1131" s="12">
        <v>1</v>
      </c>
      <c r="AL1131" s="12">
        <v>0</v>
      </c>
      <c r="AM1131" s="12">
        <v>19613</v>
      </c>
      <c r="AN1131" s="12">
        <f t="shared" si="257"/>
        <v>19613</v>
      </c>
      <c r="AO1131" s="12">
        <v>8</v>
      </c>
      <c r="AP1131" s="12" t="s">
        <v>59</v>
      </c>
      <c r="AQ1131" s="12">
        <v>0</v>
      </c>
      <c r="AR1131" s="12">
        <v>22</v>
      </c>
      <c r="AS1131" s="12">
        <v>4</v>
      </c>
      <c r="AT1131" s="12">
        <v>4</v>
      </c>
      <c r="AU1131" s="12">
        <v>0</v>
      </c>
      <c r="AV1131" s="12">
        <v>24</v>
      </c>
      <c r="AW1131" s="12">
        <f t="shared" si="258"/>
        <v>24</v>
      </c>
      <c r="AX1131" s="12">
        <v>2</v>
      </c>
      <c r="AY1131" s="12">
        <v>3</v>
      </c>
      <c r="AZ1131" s="12">
        <v>1</v>
      </c>
      <c r="BA1131" s="12">
        <f t="shared" si="259"/>
        <v>1</v>
      </c>
      <c r="BB1131" s="12">
        <v>0</v>
      </c>
      <c r="BC1131" s="12">
        <v>0</v>
      </c>
      <c r="BD1131" s="12">
        <f t="shared" si="268"/>
        <v>0</v>
      </c>
      <c r="BE1131" s="12">
        <v>1</v>
      </c>
      <c r="BF1131" s="12">
        <f t="shared" si="260"/>
        <v>1</v>
      </c>
      <c r="BG1131" s="12">
        <f t="shared" si="269"/>
        <v>5</v>
      </c>
      <c r="BH1131" s="67">
        <v>1</v>
      </c>
      <c r="BI1131" s="67">
        <v>0</v>
      </c>
      <c r="BJ1131" s="67">
        <v>0</v>
      </c>
      <c r="BK1131" s="67">
        <v>0</v>
      </c>
      <c r="BL1131" s="67">
        <v>1</v>
      </c>
      <c r="BM1131" s="67">
        <v>0</v>
      </c>
      <c r="BN1131" s="67">
        <v>0</v>
      </c>
      <c r="BO1131" s="67">
        <v>0</v>
      </c>
      <c r="BP1131" s="67">
        <v>0</v>
      </c>
      <c r="BQ1131" s="67">
        <v>1</v>
      </c>
      <c r="BR1131" s="67">
        <v>0</v>
      </c>
      <c r="BS1131" s="67">
        <v>0</v>
      </c>
      <c r="BT1131" s="67">
        <v>24</v>
      </c>
      <c r="BU1131" s="70">
        <v>0</v>
      </c>
      <c r="BV1131" s="29">
        <f t="shared" si="261"/>
        <v>2.7846620756055724</v>
      </c>
      <c r="BW1131">
        <f t="shared" si="262"/>
        <v>0.87528310193156111</v>
      </c>
      <c r="BX1131">
        <f t="shared" si="263"/>
        <v>1.6348496454147534</v>
      </c>
      <c r="BY1131">
        <f t="shared" si="264"/>
        <v>0.9806804209314296</v>
      </c>
      <c r="BZ1131">
        <f t="shared" si="265"/>
        <v>2.3747406698420157E-2</v>
      </c>
      <c r="CA1131">
        <f t="shared" si="266"/>
        <v>0.55566315731117022</v>
      </c>
      <c r="CB1131">
        <f t="shared" si="267"/>
        <v>0.67891464284095016</v>
      </c>
    </row>
    <row r="1132" spans="1:80" x14ac:dyDescent="0.45">
      <c r="A1132" s="11">
        <v>35</v>
      </c>
      <c r="B1132" s="12">
        <f t="shared" si="255"/>
        <v>35</v>
      </c>
      <c r="C1132" s="12" t="s">
        <v>59</v>
      </c>
      <c r="D1132" s="12">
        <v>0</v>
      </c>
      <c r="E1132" s="12" t="s">
        <v>53</v>
      </c>
      <c r="F1132" s="12">
        <v>0</v>
      </c>
      <c r="G1132" s="12">
        <v>1</v>
      </c>
      <c r="H1132" s="12" t="s">
        <v>61</v>
      </c>
      <c r="I1132" s="12">
        <v>1</v>
      </c>
      <c r="J1132" s="12">
        <v>0</v>
      </c>
      <c r="K1132" s="12">
        <v>28</v>
      </c>
      <c r="L1132" s="12">
        <f t="shared" si="256"/>
        <v>28</v>
      </c>
      <c r="M1132" s="12">
        <v>3</v>
      </c>
      <c r="N1132" s="12" t="s">
        <v>55</v>
      </c>
      <c r="O1132" s="12">
        <v>1</v>
      </c>
      <c r="P1132" s="12">
        <v>0</v>
      </c>
      <c r="Q1132" s="12">
        <v>0</v>
      </c>
      <c r="R1132" s="12">
        <v>0</v>
      </c>
      <c r="S1132" s="12">
        <v>0</v>
      </c>
      <c r="T1132" s="12">
        <v>2</v>
      </c>
      <c r="U1132" s="12" t="s">
        <v>62</v>
      </c>
      <c r="V1132" s="12">
        <v>0</v>
      </c>
      <c r="W1132" s="12">
        <v>46</v>
      </c>
      <c r="X1132" s="12">
        <v>4</v>
      </c>
      <c r="Y1132" s="12">
        <v>2</v>
      </c>
      <c r="Z1132" s="12" t="s">
        <v>67</v>
      </c>
      <c r="AA1132" s="12">
        <v>0</v>
      </c>
      <c r="AB1132" s="12">
        <v>0</v>
      </c>
      <c r="AC1132" s="12">
        <v>1</v>
      </c>
      <c r="AD1132" s="12">
        <v>0</v>
      </c>
      <c r="AE1132" s="12">
        <v>0</v>
      </c>
      <c r="AF1132" s="12">
        <v>0</v>
      </c>
      <c r="AG1132" s="12">
        <v>0</v>
      </c>
      <c r="AH1132" s="12">
        <v>0</v>
      </c>
      <c r="AI1132" s="12">
        <v>3</v>
      </c>
      <c r="AJ1132" s="12" t="s">
        <v>64</v>
      </c>
      <c r="AK1132" s="12">
        <v>0</v>
      </c>
      <c r="AL1132" s="12">
        <v>1</v>
      </c>
      <c r="AM1132" s="12">
        <v>3407</v>
      </c>
      <c r="AN1132" s="12">
        <f t="shared" si="257"/>
        <v>3407</v>
      </c>
      <c r="AO1132" s="12">
        <v>1</v>
      </c>
      <c r="AP1132" s="12" t="s">
        <v>59</v>
      </c>
      <c r="AQ1132" s="12">
        <v>0</v>
      </c>
      <c r="AR1132" s="12">
        <v>17</v>
      </c>
      <c r="AS1132" s="12">
        <v>3</v>
      </c>
      <c r="AT1132" s="12">
        <v>4</v>
      </c>
      <c r="AU1132" s="12">
        <v>2</v>
      </c>
      <c r="AV1132" s="12">
        <v>10</v>
      </c>
      <c r="AW1132" s="12">
        <f t="shared" si="258"/>
        <v>10</v>
      </c>
      <c r="AX1132" s="12">
        <v>3</v>
      </c>
      <c r="AY1132" s="12">
        <v>2</v>
      </c>
      <c r="AZ1132" s="12">
        <v>10</v>
      </c>
      <c r="BA1132" s="12">
        <f t="shared" si="259"/>
        <v>10</v>
      </c>
      <c r="BB1132" s="12">
        <v>9</v>
      </c>
      <c r="BC1132" s="12">
        <v>6</v>
      </c>
      <c r="BD1132" s="12">
        <f t="shared" si="268"/>
        <v>6</v>
      </c>
      <c r="BE1132" s="12">
        <v>8</v>
      </c>
      <c r="BF1132" s="12">
        <f t="shared" si="260"/>
        <v>8</v>
      </c>
      <c r="BG1132" s="12">
        <f t="shared" si="269"/>
        <v>16</v>
      </c>
      <c r="BH1132" s="67">
        <v>0</v>
      </c>
      <c r="BI1132" s="67">
        <v>1</v>
      </c>
      <c r="BJ1132" s="67">
        <v>0</v>
      </c>
      <c r="BK1132" s="67">
        <v>0</v>
      </c>
      <c r="BL1132" s="67">
        <v>0</v>
      </c>
      <c r="BM1132" s="67">
        <v>0</v>
      </c>
      <c r="BN1132" s="67">
        <v>1</v>
      </c>
      <c r="BO1132" s="67">
        <v>0</v>
      </c>
      <c r="BP1132" s="67">
        <v>0</v>
      </c>
      <c r="BQ1132" s="67">
        <v>8</v>
      </c>
      <c r="BR1132" s="67">
        <v>0</v>
      </c>
      <c r="BS1132" s="67">
        <v>0</v>
      </c>
      <c r="BT1132" s="67">
        <v>10</v>
      </c>
      <c r="BU1132" s="70">
        <v>0</v>
      </c>
      <c r="BV1132" s="29">
        <f t="shared" si="261"/>
        <v>0.65759552076427086</v>
      </c>
      <c r="BW1132">
        <f t="shared" si="262"/>
        <v>1.08652546240644</v>
      </c>
      <c r="BX1132">
        <f t="shared" si="263"/>
        <v>0.1644554352117841</v>
      </c>
      <c r="BY1132">
        <f t="shared" si="264"/>
        <v>0.48834154112957734</v>
      </c>
      <c r="BZ1132">
        <f t="shared" si="265"/>
        <v>2.3199454169301186</v>
      </c>
      <c r="CA1132">
        <f t="shared" si="266"/>
        <v>0.21058903898096887</v>
      </c>
      <c r="CB1132">
        <f t="shared" si="267"/>
        <v>1.1830340977862825</v>
      </c>
    </row>
    <row r="1133" spans="1:80" x14ac:dyDescent="0.45">
      <c r="A1133" s="11">
        <v>34</v>
      </c>
      <c r="B1133" s="12">
        <f t="shared" si="255"/>
        <v>34</v>
      </c>
      <c r="C1133" s="12" t="s">
        <v>59</v>
      </c>
      <c r="D1133" s="12">
        <v>0</v>
      </c>
      <c r="E1133" s="12" t="s">
        <v>60</v>
      </c>
      <c r="F1133" s="12">
        <v>1</v>
      </c>
      <c r="G1133" s="12">
        <v>0</v>
      </c>
      <c r="H1133" s="12" t="s">
        <v>61</v>
      </c>
      <c r="I1133" s="12">
        <v>1</v>
      </c>
      <c r="J1133" s="12">
        <v>0</v>
      </c>
      <c r="K1133" s="12">
        <v>10</v>
      </c>
      <c r="L1133" s="12">
        <f t="shared" si="256"/>
        <v>10</v>
      </c>
      <c r="M1133" s="12">
        <v>4</v>
      </c>
      <c r="N1133" s="12" t="s">
        <v>91</v>
      </c>
      <c r="O1133" s="12">
        <v>0</v>
      </c>
      <c r="P1133" s="12">
        <v>0</v>
      </c>
      <c r="Q1133" s="12">
        <v>0</v>
      </c>
      <c r="R1133" s="12">
        <v>0</v>
      </c>
      <c r="S1133" s="12">
        <v>1</v>
      </c>
      <c r="T1133" s="12">
        <v>4</v>
      </c>
      <c r="U1133" s="12" t="s">
        <v>62</v>
      </c>
      <c r="V1133" s="12">
        <v>0</v>
      </c>
      <c r="W1133" s="12">
        <v>92</v>
      </c>
      <c r="X1133" s="12">
        <v>2</v>
      </c>
      <c r="Y1133" s="12">
        <v>2</v>
      </c>
      <c r="Z1133" s="12" t="s">
        <v>85</v>
      </c>
      <c r="AA1133" s="12">
        <v>1</v>
      </c>
      <c r="AB1133" s="12">
        <v>0</v>
      </c>
      <c r="AC1133" s="12">
        <v>0</v>
      </c>
      <c r="AD1133" s="12">
        <v>0</v>
      </c>
      <c r="AE1133" s="12">
        <v>0</v>
      </c>
      <c r="AF1133" s="12">
        <v>0</v>
      </c>
      <c r="AG1133" s="12">
        <v>0</v>
      </c>
      <c r="AH1133" s="12">
        <v>0</v>
      </c>
      <c r="AI1133" s="12">
        <v>3</v>
      </c>
      <c r="AJ1133" s="12" t="s">
        <v>64</v>
      </c>
      <c r="AK1133" s="12">
        <v>0</v>
      </c>
      <c r="AL1133" s="12">
        <v>1</v>
      </c>
      <c r="AM1133" s="12">
        <v>5063</v>
      </c>
      <c r="AN1133" s="12">
        <f t="shared" si="257"/>
        <v>5063</v>
      </c>
      <c r="AO1133" s="12">
        <v>1</v>
      </c>
      <c r="AP1133" s="12" t="s">
        <v>59</v>
      </c>
      <c r="AQ1133" s="12">
        <v>0</v>
      </c>
      <c r="AR1133" s="12">
        <v>14</v>
      </c>
      <c r="AS1133" s="12">
        <v>3</v>
      </c>
      <c r="AT1133" s="12">
        <v>2</v>
      </c>
      <c r="AU1133" s="12">
        <v>1</v>
      </c>
      <c r="AV1133" s="12">
        <v>8</v>
      </c>
      <c r="AW1133" s="12">
        <f t="shared" si="258"/>
        <v>8</v>
      </c>
      <c r="AX1133" s="12">
        <v>3</v>
      </c>
      <c r="AY1133" s="12">
        <v>2</v>
      </c>
      <c r="AZ1133" s="12">
        <v>8</v>
      </c>
      <c r="BA1133" s="12">
        <f t="shared" si="259"/>
        <v>8</v>
      </c>
      <c r="BB1133" s="12">
        <v>2</v>
      </c>
      <c r="BC1133" s="12">
        <v>7</v>
      </c>
      <c r="BD1133" s="12">
        <f t="shared" si="268"/>
        <v>7</v>
      </c>
      <c r="BE1133" s="12">
        <v>7</v>
      </c>
      <c r="BF1133" s="12">
        <f t="shared" si="260"/>
        <v>7</v>
      </c>
      <c r="BG1133" s="12">
        <f t="shared" si="269"/>
        <v>14</v>
      </c>
      <c r="BH1133" s="67">
        <v>0</v>
      </c>
      <c r="BI1133" s="67">
        <v>0</v>
      </c>
      <c r="BJ1133" s="67">
        <v>0</v>
      </c>
      <c r="BK1133" s="67">
        <v>1</v>
      </c>
      <c r="BL1133" s="67">
        <v>0</v>
      </c>
      <c r="BM1133" s="67">
        <v>0</v>
      </c>
      <c r="BN1133" s="67">
        <v>1</v>
      </c>
      <c r="BO1133" s="67">
        <v>0</v>
      </c>
      <c r="BP1133" s="67">
        <v>0</v>
      </c>
      <c r="BQ1133" s="67">
        <v>7</v>
      </c>
      <c r="BR1133" s="67">
        <v>0</v>
      </c>
      <c r="BS1133" s="67">
        <v>0</v>
      </c>
      <c r="BT1133" s="67">
        <v>8</v>
      </c>
      <c r="BU1133" s="70">
        <v>0</v>
      </c>
      <c r="BV1133" s="29">
        <f t="shared" si="261"/>
        <v>0.30585057570759683</v>
      </c>
      <c r="BW1133">
        <f t="shared" si="262"/>
        <v>0.80626709607243985</v>
      </c>
      <c r="BX1133">
        <f t="shared" si="263"/>
        <v>0.42149901815843233</v>
      </c>
      <c r="BY1133">
        <f t="shared" si="264"/>
        <v>0.16189221622713135</v>
      </c>
      <c r="BZ1133">
        <f t="shared" si="265"/>
        <v>9.9604847176766084E-2</v>
      </c>
      <c r="CA1133">
        <f t="shared" si="266"/>
        <v>0.32005363845127444</v>
      </c>
      <c r="CB1133">
        <f t="shared" si="267"/>
        <v>1.4933588878908215</v>
      </c>
    </row>
    <row r="1134" spans="1:80" x14ac:dyDescent="0.45">
      <c r="A1134" s="11">
        <v>40</v>
      </c>
      <c r="B1134" s="12">
        <f t="shared" si="255"/>
        <v>40</v>
      </c>
      <c r="C1134" s="12" t="s">
        <v>59</v>
      </c>
      <c r="D1134" s="12">
        <v>0</v>
      </c>
      <c r="E1134" s="12" t="s">
        <v>53</v>
      </c>
      <c r="F1134" s="12">
        <v>0</v>
      </c>
      <c r="G1134" s="12">
        <v>1</v>
      </c>
      <c r="H1134" s="12" t="s">
        <v>54</v>
      </c>
      <c r="I1134" s="12">
        <v>0</v>
      </c>
      <c r="J1134" s="12">
        <v>1</v>
      </c>
      <c r="K1134" s="12">
        <v>14</v>
      </c>
      <c r="L1134" s="12">
        <f t="shared" si="256"/>
        <v>14</v>
      </c>
      <c r="M1134" s="12">
        <v>2</v>
      </c>
      <c r="N1134" s="12" t="s">
        <v>55</v>
      </c>
      <c r="O1134" s="12">
        <v>1</v>
      </c>
      <c r="P1134" s="12">
        <v>0</v>
      </c>
      <c r="Q1134" s="12">
        <v>0</v>
      </c>
      <c r="R1134" s="12">
        <v>0</v>
      </c>
      <c r="S1134" s="12">
        <v>0</v>
      </c>
      <c r="T1134" s="12">
        <v>4</v>
      </c>
      <c r="U1134" s="12" t="s">
        <v>19</v>
      </c>
      <c r="V1134" s="12">
        <v>1</v>
      </c>
      <c r="W1134" s="12">
        <v>84</v>
      </c>
      <c r="X1134" s="12">
        <v>3</v>
      </c>
      <c r="Y1134" s="12">
        <v>2</v>
      </c>
      <c r="Z1134" s="12" t="s">
        <v>56</v>
      </c>
      <c r="AA1134" s="12">
        <v>0</v>
      </c>
      <c r="AB1134" s="12">
        <v>1</v>
      </c>
      <c r="AC1134" s="12">
        <v>0</v>
      </c>
      <c r="AD1134" s="12">
        <v>0</v>
      </c>
      <c r="AE1134" s="12">
        <v>0</v>
      </c>
      <c r="AF1134" s="12">
        <v>0</v>
      </c>
      <c r="AG1134" s="12">
        <v>0</v>
      </c>
      <c r="AH1134" s="12">
        <v>0</v>
      </c>
      <c r="AI1134" s="12">
        <v>1</v>
      </c>
      <c r="AJ1134" s="12" t="s">
        <v>64</v>
      </c>
      <c r="AK1134" s="12">
        <v>0</v>
      </c>
      <c r="AL1134" s="12">
        <v>1</v>
      </c>
      <c r="AM1134" s="12">
        <v>4639</v>
      </c>
      <c r="AN1134" s="12">
        <f t="shared" si="257"/>
        <v>4639</v>
      </c>
      <c r="AO1134" s="12">
        <v>1</v>
      </c>
      <c r="AP1134" s="12" t="s">
        <v>59</v>
      </c>
      <c r="AQ1134" s="12">
        <v>0</v>
      </c>
      <c r="AR1134" s="12">
        <v>15</v>
      </c>
      <c r="AS1134" s="12">
        <v>3</v>
      </c>
      <c r="AT1134" s="12">
        <v>3</v>
      </c>
      <c r="AU1134" s="12">
        <v>1</v>
      </c>
      <c r="AV1134" s="12">
        <v>5</v>
      </c>
      <c r="AW1134" s="12">
        <f t="shared" si="258"/>
        <v>5</v>
      </c>
      <c r="AX1134" s="12">
        <v>2</v>
      </c>
      <c r="AY1134" s="12">
        <v>3</v>
      </c>
      <c r="AZ1134" s="12">
        <v>5</v>
      </c>
      <c r="BA1134" s="12">
        <f t="shared" si="259"/>
        <v>5</v>
      </c>
      <c r="BB1134" s="12">
        <v>4</v>
      </c>
      <c r="BC1134" s="12">
        <v>1</v>
      </c>
      <c r="BD1134" s="12">
        <f t="shared" si="268"/>
        <v>1</v>
      </c>
      <c r="BE1134" s="12">
        <v>2</v>
      </c>
      <c r="BF1134" s="12">
        <f t="shared" si="260"/>
        <v>2</v>
      </c>
      <c r="BG1134" s="12">
        <f t="shared" si="269"/>
        <v>4</v>
      </c>
      <c r="BH1134" s="67">
        <v>0</v>
      </c>
      <c r="BI1134" s="67">
        <v>1</v>
      </c>
      <c r="BJ1134" s="67">
        <v>0</v>
      </c>
      <c r="BK1134" s="67">
        <v>0</v>
      </c>
      <c r="BL1134" s="67">
        <v>0</v>
      </c>
      <c r="BM1134" s="67">
        <v>0</v>
      </c>
      <c r="BN1134" s="67">
        <v>1</v>
      </c>
      <c r="BO1134" s="67">
        <v>0</v>
      </c>
      <c r="BP1134" s="67">
        <v>0</v>
      </c>
      <c r="BQ1134" s="67">
        <v>0</v>
      </c>
      <c r="BR1134" s="67">
        <v>2</v>
      </c>
      <c r="BS1134" s="67">
        <v>0</v>
      </c>
      <c r="BT1134" s="67">
        <v>0</v>
      </c>
      <c r="BU1134" s="70">
        <v>5</v>
      </c>
      <c r="BV1134" s="29">
        <f t="shared" si="261"/>
        <v>0.39591087564964383</v>
      </c>
      <c r="BW1134">
        <f t="shared" si="262"/>
        <v>0.59502473559756086</v>
      </c>
      <c r="BX1134">
        <f t="shared" si="263"/>
        <v>0.80706439257840468</v>
      </c>
      <c r="BY1134">
        <f t="shared" si="264"/>
        <v>0.32778177112653761</v>
      </c>
      <c r="BZ1134">
        <f t="shared" si="265"/>
        <v>0.59301386267751111</v>
      </c>
      <c r="CA1134">
        <f t="shared" si="266"/>
        <v>0.33673395837055903</v>
      </c>
      <c r="CB1134">
        <f t="shared" si="267"/>
        <v>0.36858985273641137</v>
      </c>
    </row>
    <row r="1135" spans="1:80" x14ac:dyDescent="0.45">
      <c r="A1135" s="11">
        <v>43</v>
      </c>
      <c r="B1135" s="12">
        <f t="shared" si="255"/>
        <v>43</v>
      </c>
      <c r="C1135" s="12" t="s">
        <v>59</v>
      </c>
      <c r="D1135" s="12">
        <v>0</v>
      </c>
      <c r="E1135" s="12" t="s">
        <v>53</v>
      </c>
      <c r="F1135" s="12">
        <v>0</v>
      </c>
      <c r="G1135" s="12">
        <v>1</v>
      </c>
      <c r="H1135" s="12" t="s">
        <v>61</v>
      </c>
      <c r="I1135" s="12">
        <v>1</v>
      </c>
      <c r="J1135" s="12">
        <v>0</v>
      </c>
      <c r="K1135" s="12">
        <v>27</v>
      </c>
      <c r="L1135" s="12">
        <f t="shared" si="256"/>
        <v>27</v>
      </c>
      <c r="M1135" s="12">
        <v>3</v>
      </c>
      <c r="N1135" s="12" t="s">
        <v>91</v>
      </c>
      <c r="O1135" s="12">
        <v>0</v>
      </c>
      <c r="P1135" s="12">
        <v>0</v>
      </c>
      <c r="Q1135" s="12">
        <v>0</v>
      </c>
      <c r="R1135" s="12">
        <v>0</v>
      </c>
      <c r="S1135" s="12">
        <v>1</v>
      </c>
      <c r="T1135" s="12">
        <v>4</v>
      </c>
      <c r="U1135" s="12" t="s">
        <v>62</v>
      </c>
      <c r="V1135" s="12">
        <v>0</v>
      </c>
      <c r="W1135" s="12">
        <v>87</v>
      </c>
      <c r="X1135" s="12">
        <v>4</v>
      </c>
      <c r="Y1135" s="12">
        <v>1</v>
      </c>
      <c r="Z1135" s="12" t="s">
        <v>67</v>
      </c>
      <c r="AA1135" s="12">
        <v>0</v>
      </c>
      <c r="AB1135" s="12">
        <v>0</v>
      </c>
      <c r="AC1135" s="12">
        <v>1</v>
      </c>
      <c r="AD1135" s="12">
        <v>0</v>
      </c>
      <c r="AE1135" s="12">
        <v>0</v>
      </c>
      <c r="AF1135" s="12">
        <v>0</v>
      </c>
      <c r="AG1135" s="12">
        <v>0</v>
      </c>
      <c r="AH1135" s="12">
        <v>0</v>
      </c>
      <c r="AI1135" s="12">
        <v>2</v>
      </c>
      <c r="AJ1135" s="12" t="s">
        <v>78</v>
      </c>
      <c r="AK1135" s="12">
        <v>0</v>
      </c>
      <c r="AL1135" s="12">
        <v>0</v>
      </c>
      <c r="AM1135" s="12">
        <v>4876</v>
      </c>
      <c r="AN1135" s="12">
        <f t="shared" si="257"/>
        <v>4876</v>
      </c>
      <c r="AO1135" s="12">
        <v>5</v>
      </c>
      <c r="AP1135" s="12" t="s">
        <v>59</v>
      </c>
      <c r="AQ1135" s="12">
        <v>0</v>
      </c>
      <c r="AR1135" s="12">
        <v>12</v>
      </c>
      <c r="AS1135" s="12">
        <v>3</v>
      </c>
      <c r="AT1135" s="12">
        <v>3</v>
      </c>
      <c r="AU1135" s="12">
        <v>1</v>
      </c>
      <c r="AV1135" s="12">
        <v>8</v>
      </c>
      <c r="AW1135" s="12">
        <f t="shared" si="258"/>
        <v>8</v>
      </c>
      <c r="AX1135" s="12">
        <v>0</v>
      </c>
      <c r="AY1135" s="12">
        <v>3</v>
      </c>
      <c r="AZ1135" s="12">
        <v>6</v>
      </c>
      <c r="BA1135" s="12">
        <f t="shared" si="259"/>
        <v>6</v>
      </c>
      <c r="BB1135" s="12">
        <v>4</v>
      </c>
      <c r="BC1135" s="12">
        <v>0</v>
      </c>
      <c r="BD1135" s="12">
        <f t="shared" si="268"/>
        <v>0</v>
      </c>
      <c r="BE1135" s="12">
        <v>2</v>
      </c>
      <c r="BF1135" s="12">
        <f t="shared" si="260"/>
        <v>2</v>
      </c>
      <c r="BG1135" s="12">
        <f t="shared" si="269"/>
        <v>2</v>
      </c>
      <c r="BH1135" s="67">
        <v>1</v>
      </c>
      <c r="BI1135" s="67">
        <v>0</v>
      </c>
      <c r="BJ1135" s="67">
        <v>0</v>
      </c>
      <c r="BK1135" s="67">
        <v>0</v>
      </c>
      <c r="BL1135" s="67">
        <v>1</v>
      </c>
      <c r="BM1135" s="67">
        <v>0</v>
      </c>
      <c r="BN1135" s="67">
        <v>0</v>
      </c>
      <c r="BO1135" s="67">
        <v>0</v>
      </c>
      <c r="BP1135" s="67">
        <v>0</v>
      </c>
      <c r="BQ1135" s="67">
        <v>2</v>
      </c>
      <c r="BR1135" s="67">
        <v>0</v>
      </c>
      <c r="BS1135" s="67">
        <v>0</v>
      </c>
      <c r="BT1135" s="67">
        <v>8</v>
      </c>
      <c r="BU1135" s="70">
        <v>0</v>
      </c>
      <c r="BV1135" s="29">
        <f t="shared" si="261"/>
        <v>0.34557056648392415</v>
      </c>
      <c r="BW1135">
        <f t="shared" si="262"/>
        <v>0.59502473559756086</v>
      </c>
      <c r="BX1135">
        <f t="shared" si="263"/>
        <v>0.42149901815843233</v>
      </c>
      <c r="BY1135">
        <f t="shared" si="264"/>
        <v>0.16455710867531462</v>
      </c>
      <c r="BZ1135">
        <f t="shared" si="265"/>
        <v>2.1965931630549322</v>
      </c>
      <c r="CA1135">
        <f t="shared" si="266"/>
        <v>0.66512775678147573</v>
      </c>
      <c r="CB1135">
        <f t="shared" si="267"/>
        <v>0.67891464284095016</v>
      </c>
    </row>
    <row r="1136" spans="1:80" x14ac:dyDescent="0.45">
      <c r="A1136" s="11">
        <v>35</v>
      </c>
      <c r="B1136" s="12">
        <f t="shared" si="255"/>
        <v>35</v>
      </c>
      <c r="C1136" s="12" t="s">
        <v>59</v>
      </c>
      <c r="D1136" s="12">
        <v>0</v>
      </c>
      <c r="E1136" s="12" t="s">
        <v>53</v>
      </c>
      <c r="F1136" s="12">
        <v>0</v>
      </c>
      <c r="G1136" s="12">
        <v>1</v>
      </c>
      <c r="H1136" s="12" t="s">
        <v>61</v>
      </c>
      <c r="I1136" s="12">
        <v>1</v>
      </c>
      <c r="J1136" s="12">
        <v>0</v>
      </c>
      <c r="K1136" s="12">
        <v>7</v>
      </c>
      <c r="L1136" s="12">
        <f t="shared" si="256"/>
        <v>7</v>
      </c>
      <c r="M1136" s="12">
        <v>2</v>
      </c>
      <c r="N1136" s="12" t="s">
        <v>55</v>
      </c>
      <c r="O1136" s="12">
        <v>1</v>
      </c>
      <c r="P1136" s="12">
        <v>0</v>
      </c>
      <c r="Q1136" s="12">
        <v>0</v>
      </c>
      <c r="R1136" s="12">
        <v>0</v>
      </c>
      <c r="S1136" s="12">
        <v>0</v>
      </c>
      <c r="T1136" s="12">
        <v>3</v>
      </c>
      <c r="U1136" s="12" t="s">
        <v>62</v>
      </c>
      <c r="V1136" s="12">
        <v>0</v>
      </c>
      <c r="W1136" s="12">
        <v>63</v>
      </c>
      <c r="X1136" s="12">
        <v>2</v>
      </c>
      <c r="Y1136" s="12">
        <v>1</v>
      </c>
      <c r="Z1136" s="12" t="s">
        <v>67</v>
      </c>
      <c r="AA1136" s="12">
        <v>0</v>
      </c>
      <c r="AB1136" s="12">
        <v>0</v>
      </c>
      <c r="AC1136" s="12">
        <v>1</v>
      </c>
      <c r="AD1136" s="12">
        <v>0</v>
      </c>
      <c r="AE1136" s="12">
        <v>0</v>
      </c>
      <c r="AF1136" s="12">
        <v>0</v>
      </c>
      <c r="AG1136" s="12">
        <v>0</v>
      </c>
      <c r="AH1136" s="12">
        <v>0</v>
      </c>
      <c r="AI1136" s="12">
        <v>4</v>
      </c>
      <c r="AJ1136" s="12" t="s">
        <v>64</v>
      </c>
      <c r="AK1136" s="12">
        <v>0</v>
      </c>
      <c r="AL1136" s="12">
        <v>1</v>
      </c>
      <c r="AM1136" s="12">
        <v>2690</v>
      </c>
      <c r="AN1136" s="12">
        <f t="shared" si="257"/>
        <v>2690</v>
      </c>
      <c r="AO1136" s="12">
        <v>1</v>
      </c>
      <c r="AP1136" s="12" t="s">
        <v>59</v>
      </c>
      <c r="AQ1136" s="12">
        <v>0</v>
      </c>
      <c r="AR1136" s="12">
        <v>18</v>
      </c>
      <c r="AS1136" s="12">
        <v>3</v>
      </c>
      <c r="AT1136" s="12">
        <v>4</v>
      </c>
      <c r="AU1136" s="12">
        <v>1</v>
      </c>
      <c r="AV1136" s="12">
        <v>1</v>
      </c>
      <c r="AW1136" s="12">
        <f t="shared" si="258"/>
        <v>1</v>
      </c>
      <c r="AX1136" s="12">
        <v>5</v>
      </c>
      <c r="AY1136" s="12">
        <v>2</v>
      </c>
      <c r="AZ1136" s="12">
        <v>1</v>
      </c>
      <c r="BA1136" s="12">
        <f t="shared" si="259"/>
        <v>1</v>
      </c>
      <c r="BB1136" s="12">
        <v>0</v>
      </c>
      <c r="BC1136" s="12">
        <v>0</v>
      </c>
      <c r="BD1136" s="12">
        <f t="shared" si="268"/>
        <v>0</v>
      </c>
      <c r="BE1136" s="12">
        <v>1</v>
      </c>
      <c r="BF1136" s="12">
        <f t="shared" si="260"/>
        <v>1</v>
      </c>
      <c r="BG1136" s="12">
        <f t="shared" si="269"/>
        <v>1</v>
      </c>
      <c r="BH1136" s="67">
        <v>0</v>
      </c>
      <c r="BI1136" s="67">
        <v>1</v>
      </c>
      <c r="BJ1136" s="67">
        <v>0</v>
      </c>
      <c r="BK1136" s="67">
        <v>0</v>
      </c>
      <c r="BL1136" s="67">
        <v>0</v>
      </c>
      <c r="BM1136" s="67">
        <v>0</v>
      </c>
      <c r="BN1136" s="67">
        <v>1</v>
      </c>
      <c r="BO1136" s="67">
        <v>0</v>
      </c>
      <c r="BP1136" s="67">
        <v>0</v>
      </c>
      <c r="BQ1136" s="67">
        <v>1</v>
      </c>
      <c r="BR1136" s="67">
        <v>0</v>
      </c>
      <c r="BS1136" s="67">
        <v>0</v>
      </c>
      <c r="BT1136" s="67">
        <v>1</v>
      </c>
      <c r="BU1136" s="70">
        <v>0</v>
      </c>
      <c r="BV1136" s="29">
        <f t="shared" si="261"/>
        <v>0.80989088646815699</v>
      </c>
      <c r="BW1136">
        <f t="shared" si="262"/>
        <v>0.87528310193156111</v>
      </c>
      <c r="BX1136">
        <f t="shared" si="263"/>
        <v>1.3211515584717011</v>
      </c>
      <c r="BY1136">
        <f t="shared" si="264"/>
        <v>0.9806804209314296</v>
      </c>
      <c r="BZ1136">
        <f t="shared" si="265"/>
        <v>0.27045191444879263</v>
      </c>
      <c r="CA1136">
        <f t="shared" si="266"/>
        <v>0.21058903898096887</v>
      </c>
      <c r="CB1136">
        <f t="shared" si="267"/>
        <v>0.67891464284095016</v>
      </c>
    </row>
    <row r="1137" spans="1:80" x14ac:dyDescent="0.45">
      <c r="A1137" s="11">
        <v>46</v>
      </c>
      <c r="B1137" s="12">
        <f t="shared" si="255"/>
        <v>46</v>
      </c>
      <c r="C1137" s="12" t="s">
        <v>59</v>
      </c>
      <c r="D1137" s="12">
        <v>0</v>
      </c>
      <c r="E1137" s="12" t="s">
        <v>53</v>
      </c>
      <c r="F1137" s="12">
        <v>0</v>
      </c>
      <c r="G1137" s="12">
        <v>1</v>
      </c>
      <c r="H1137" s="12" t="s">
        <v>54</v>
      </c>
      <c r="I1137" s="12">
        <v>0</v>
      </c>
      <c r="J1137" s="12">
        <v>1</v>
      </c>
      <c r="K1137" s="12">
        <v>1</v>
      </c>
      <c r="L1137" s="12">
        <f t="shared" si="256"/>
        <v>1</v>
      </c>
      <c r="M1137" s="12">
        <v>4</v>
      </c>
      <c r="N1137" s="12" t="s">
        <v>55</v>
      </c>
      <c r="O1137" s="12">
        <v>1</v>
      </c>
      <c r="P1137" s="12">
        <v>0</v>
      </c>
      <c r="Q1137" s="12">
        <v>0</v>
      </c>
      <c r="R1137" s="12">
        <v>0</v>
      </c>
      <c r="S1137" s="12">
        <v>0</v>
      </c>
      <c r="T1137" s="12">
        <v>4</v>
      </c>
      <c r="U1137" s="12" t="s">
        <v>62</v>
      </c>
      <c r="V1137" s="12">
        <v>0</v>
      </c>
      <c r="W1137" s="12">
        <v>56</v>
      </c>
      <c r="X1137" s="12">
        <v>4</v>
      </c>
      <c r="Y1137" s="12">
        <v>4</v>
      </c>
      <c r="Z1137" s="12" t="s">
        <v>87</v>
      </c>
      <c r="AA1137" s="12">
        <v>0</v>
      </c>
      <c r="AB1137" s="12">
        <v>0</v>
      </c>
      <c r="AC1137" s="12">
        <v>0</v>
      </c>
      <c r="AD1137" s="12">
        <v>1</v>
      </c>
      <c r="AE1137" s="12">
        <v>0</v>
      </c>
      <c r="AF1137" s="12">
        <v>0</v>
      </c>
      <c r="AG1137" s="12">
        <v>0</v>
      </c>
      <c r="AH1137" s="12">
        <v>0</v>
      </c>
      <c r="AI1137" s="12">
        <v>1</v>
      </c>
      <c r="AJ1137" s="12" t="s">
        <v>57</v>
      </c>
      <c r="AK1137" s="12">
        <v>1</v>
      </c>
      <c r="AL1137" s="12">
        <v>0</v>
      </c>
      <c r="AM1137" s="12">
        <v>17567</v>
      </c>
      <c r="AN1137" s="12">
        <f t="shared" si="257"/>
        <v>17567</v>
      </c>
      <c r="AO1137" s="12">
        <v>1</v>
      </c>
      <c r="AP1137" s="12" t="s">
        <v>59</v>
      </c>
      <c r="AQ1137" s="12">
        <v>0</v>
      </c>
      <c r="AR1137" s="12">
        <v>15</v>
      </c>
      <c r="AS1137" s="12">
        <v>3</v>
      </c>
      <c r="AT1137" s="12">
        <v>2</v>
      </c>
      <c r="AU1137" s="12">
        <v>0</v>
      </c>
      <c r="AV1137" s="12">
        <v>27</v>
      </c>
      <c r="AW1137" s="12">
        <f t="shared" si="258"/>
        <v>27</v>
      </c>
      <c r="AX1137" s="12">
        <v>5</v>
      </c>
      <c r="AY1137" s="12">
        <v>1</v>
      </c>
      <c r="AZ1137" s="12">
        <v>26</v>
      </c>
      <c r="BA1137" s="12">
        <f t="shared" si="259"/>
        <v>26</v>
      </c>
      <c r="BB1137" s="12">
        <v>0</v>
      </c>
      <c r="BC1137" s="12">
        <v>0</v>
      </c>
      <c r="BD1137" s="12">
        <f t="shared" si="268"/>
        <v>0</v>
      </c>
      <c r="BE1137" s="12">
        <v>12</v>
      </c>
      <c r="BF1137" s="12">
        <f t="shared" si="260"/>
        <v>12</v>
      </c>
      <c r="BG1137" s="12">
        <f t="shared" si="269"/>
        <v>48</v>
      </c>
      <c r="BH1137" s="67">
        <v>1</v>
      </c>
      <c r="BI1137" s="67">
        <v>0</v>
      </c>
      <c r="BJ1137" s="67">
        <v>0</v>
      </c>
      <c r="BK1137" s="67">
        <v>0</v>
      </c>
      <c r="BL1137" s="67">
        <v>1</v>
      </c>
      <c r="BM1137" s="67">
        <v>0</v>
      </c>
      <c r="BN1137" s="67">
        <v>0</v>
      </c>
      <c r="BO1137" s="67">
        <v>0</v>
      </c>
      <c r="BP1137" s="67">
        <v>0</v>
      </c>
      <c r="BQ1137" s="67">
        <v>0</v>
      </c>
      <c r="BR1137" s="67">
        <v>12</v>
      </c>
      <c r="BS1137" s="67">
        <v>0</v>
      </c>
      <c r="BT1137" s="67">
        <v>0</v>
      </c>
      <c r="BU1137" s="70">
        <v>27</v>
      </c>
      <c r="BV1137" s="29">
        <f t="shared" si="261"/>
        <v>2.3500786471116379</v>
      </c>
      <c r="BW1137">
        <f t="shared" si="262"/>
        <v>2.2075589277424408</v>
      </c>
      <c r="BX1137">
        <f t="shared" si="263"/>
        <v>2.0204150198347257</v>
      </c>
      <c r="BY1137">
        <f t="shared" si="264"/>
        <v>3.0999361403491448</v>
      </c>
      <c r="BZ1137">
        <f t="shared" si="265"/>
        <v>1.01056543769991</v>
      </c>
      <c r="CA1137">
        <f t="shared" si="266"/>
        <v>0.99352155519239249</v>
      </c>
      <c r="CB1137">
        <f t="shared" si="267"/>
        <v>0.67891464284095016</v>
      </c>
    </row>
    <row r="1138" spans="1:80" x14ac:dyDescent="0.45">
      <c r="A1138" s="11">
        <v>28</v>
      </c>
      <c r="B1138" s="12">
        <f t="shared" si="255"/>
        <v>28</v>
      </c>
      <c r="C1138" s="12" t="s">
        <v>52</v>
      </c>
      <c r="D1138" s="12">
        <v>1</v>
      </c>
      <c r="E1138" s="12" t="s">
        <v>53</v>
      </c>
      <c r="F1138" s="12">
        <v>0</v>
      </c>
      <c r="G1138" s="12">
        <v>1</v>
      </c>
      <c r="H1138" s="12" t="s">
        <v>61</v>
      </c>
      <c r="I1138" s="12">
        <v>1</v>
      </c>
      <c r="J1138" s="12">
        <v>0</v>
      </c>
      <c r="K1138" s="12">
        <v>24</v>
      </c>
      <c r="L1138" s="12">
        <f t="shared" si="256"/>
        <v>24</v>
      </c>
      <c r="M1138" s="12">
        <v>3</v>
      </c>
      <c r="N1138" s="12" t="s">
        <v>70</v>
      </c>
      <c r="O1138" s="12">
        <v>0</v>
      </c>
      <c r="P1138" s="12">
        <v>0</v>
      </c>
      <c r="Q1138" s="12">
        <v>1</v>
      </c>
      <c r="R1138" s="12">
        <v>0</v>
      </c>
      <c r="S1138" s="12">
        <v>0</v>
      </c>
      <c r="T1138" s="12">
        <v>3</v>
      </c>
      <c r="U1138" s="12" t="s">
        <v>62</v>
      </c>
      <c r="V1138" s="12">
        <v>0</v>
      </c>
      <c r="W1138" s="12">
        <v>51</v>
      </c>
      <c r="X1138" s="12">
        <v>3</v>
      </c>
      <c r="Y1138" s="12">
        <v>1</v>
      </c>
      <c r="Z1138" s="12" t="s">
        <v>67</v>
      </c>
      <c r="AA1138" s="12">
        <v>0</v>
      </c>
      <c r="AB1138" s="12">
        <v>0</v>
      </c>
      <c r="AC1138" s="12">
        <v>1</v>
      </c>
      <c r="AD1138" s="12">
        <v>0</v>
      </c>
      <c r="AE1138" s="12">
        <v>0</v>
      </c>
      <c r="AF1138" s="12">
        <v>0</v>
      </c>
      <c r="AG1138" s="12">
        <v>0</v>
      </c>
      <c r="AH1138" s="12">
        <v>0</v>
      </c>
      <c r="AI1138" s="12">
        <v>2</v>
      </c>
      <c r="AJ1138" s="12" t="s">
        <v>64</v>
      </c>
      <c r="AK1138" s="12">
        <v>0</v>
      </c>
      <c r="AL1138" s="12">
        <v>1</v>
      </c>
      <c r="AM1138" s="12">
        <v>2408</v>
      </c>
      <c r="AN1138" s="12">
        <f t="shared" si="257"/>
        <v>2408</v>
      </c>
      <c r="AO1138" s="12">
        <v>1</v>
      </c>
      <c r="AP1138" s="12" t="s">
        <v>52</v>
      </c>
      <c r="AQ1138" s="12">
        <v>1</v>
      </c>
      <c r="AR1138" s="12">
        <v>17</v>
      </c>
      <c r="AS1138" s="12">
        <v>3</v>
      </c>
      <c r="AT1138" s="12">
        <v>3</v>
      </c>
      <c r="AU1138" s="12">
        <v>3</v>
      </c>
      <c r="AV1138" s="12">
        <v>1</v>
      </c>
      <c r="AW1138" s="12">
        <f t="shared" si="258"/>
        <v>1</v>
      </c>
      <c r="AX1138" s="12">
        <v>3</v>
      </c>
      <c r="AY1138" s="12">
        <v>3</v>
      </c>
      <c r="AZ1138" s="12">
        <v>1</v>
      </c>
      <c r="BA1138" s="12">
        <f t="shared" si="259"/>
        <v>1</v>
      </c>
      <c r="BB1138" s="12">
        <v>1</v>
      </c>
      <c r="BC1138" s="12">
        <v>0</v>
      </c>
      <c r="BD1138" s="12">
        <f t="shared" si="268"/>
        <v>0</v>
      </c>
      <c r="BE1138" s="12">
        <v>0</v>
      </c>
      <c r="BF1138" s="12">
        <f t="shared" si="260"/>
        <v>0</v>
      </c>
      <c r="BG1138" s="12">
        <f t="shared" si="269"/>
        <v>0</v>
      </c>
      <c r="BH1138" s="67">
        <v>0</v>
      </c>
      <c r="BI1138" s="67">
        <v>1</v>
      </c>
      <c r="BJ1138" s="67">
        <v>0</v>
      </c>
      <c r="BK1138" s="67">
        <v>0</v>
      </c>
      <c r="BL1138" s="67">
        <v>0</v>
      </c>
      <c r="BM1138" s="67">
        <v>0</v>
      </c>
      <c r="BN1138" s="67">
        <v>0</v>
      </c>
      <c r="BO1138" s="67">
        <v>1</v>
      </c>
      <c r="BP1138" s="67">
        <v>0</v>
      </c>
      <c r="BQ1138" s="67">
        <v>0</v>
      </c>
      <c r="BR1138" s="67">
        <v>0</v>
      </c>
      <c r="BS1138" s="67">
        <v>0</v>
      </c>
      <c r="BT1138" s="67">
        <v>1</v>
      </c>
      <c r="BU1138" s="70">
        <v>0</v>
      </c>
      <c r="BV1138" s="29">
        <f t="shared" si="261"/>
        <v>0.86978948218432972</v>
      </c>
      <c r="BW1138">
        <f t="shared" si="262"/>
        <v>1.1555414682655611</v>
      </c>
      <c r="BX1138">
        <f t="shared" si="263"/>
        <v>1.3211515584717011</v>
      </c>
      <c r="BY1138">
        <f t="shared" si="264"/>
        <v>0.9806804209314296</v>
      </c>
      <c r="BZ1138">
        <f t="shared" si="265"/>
        <v>1.8265364014293735</v>
      </c>
      <c r="CA1138">
        <f t="shared" si="266"/>
        <v>0.97684123527310796</v>
      </c>
      <c r="CB1138">
        <f t="shared" si="267"/>
        <v>0.67891464284095016</v>
      </c>
    </row>
    <row r="1139" spans="1:80" x14ac:dyDescent="0.45">
      <c r="A1139" s="11">
        <v>22</v>
      </c>
      <c r="B1139" s="12">
        <f t="shared" si="255"/>
        <v>22</v>
      </c>
      <c r="C1139" s="12" t="s">
        <v>59</v>
      </c>
      <c r="D1139" s="12">
        <v>0</v>
      </c>
      <c r="E1139" s="12" t="s">
        <v>86</v>
      </c>
      <c r="F1139" s="12">
        <v>0</v>
      </c>
      <c r="G1139" s="12">
        <v>0</v>
      </c>
      <c r="H1139" s="12" t="s">
        <v>61</v>
      </c>
      <c r="I1139" s="12">
        <v>1</v>
      </c>
      <c r="J1139" s="12">
        <v>0</v>
      </c>
      <c r="K1139" s="12">
        <v>26</v>
      </c>
      <c r="L1139" s="12">
        <f t="shared" si="256"/>
        <v>26</v>
      </c>
      <c r="M1139" s="12">
        <v>2</v>
      </c>
      <c r="N1139" s="12" t="s">
        <v>66</v>
      </c>
      <c r="O1139" s="12">
        <v>0</v>
      </c>
      <c r="P1139" s="12">
        <v>1</v>
      </c>
      <c r="Q1139" s="12">
        <v>0</v>
      </c>
      <c r="R1139" s="12">
        <v>0</v>
      </c>
      <c r="S1139" s="12">
        <v>0</v>
      </c>
      <c r="T1139" s="12">
        <v>2</v>
      </c>
      <c r="U1139" s="12" t="s">
        <v>19</v>
      </c>
      <c r="V1139" s="12">
        <v>1</v>
      </c>
      <c r="W1139" s="12">
        <v>85</v>
      </c>
      <c r="X1139" s="12">
        <v>2</v>
      </c>
      <c r="Y1139" s="12">
        <v>1</v>
      </c>
      <c r="Z1139" s="12" t="s">
        <v>63</v>
      </c>
      <c r="AA1139" s="12">
        <v>0</v>
      </c>
      <c r="AB1139" s="12">
        <v>0</v>
      </c>
      <c r="AC1139" s="12">
        <v>0</v>
      </c>
      <c r="AD1139" s="12">
        <v>0</v>
      </c>
      <c r="AE1139" s="12">
        <v>0</v>
      </c>
      <c r="AF1139" s="12">
        <v>0</v>
      </c>
      <c r="AG1139" s="12">
        <v>0</v>
      </c>
      <c r="AH1139" s="12">
        <v>1</v>
      </c>
      <c r="AI1139" s="12">
        <v>3</v>
      </c>
      <c r="AJ1139" s="12" t="s">
        <v>64</v>
      </c>
      <c r="AK1139" s="12">
        <v>0</v>
      </c>
      <c r="AL1139" s="12">
        <v>1</v>
      </c>
      <c r="AM1139" s="12">
        <v>2814</v>
      </c>
      <c r="AN1139" s="12">
        <f t="shared" si="257"/>
        <v>2814</v>
      </c>
      <c r="AO1139" s="12">
        <v>1</v>
      </c>
      <c r="AP1139" s="12" t="s">
        <v>52</v>
      </c>
      <c r="AQ1139" s="12">
        <v>1</v>
      </c>
      <c r="AR1139" s="12">
        <v>14</v>
      </c>
      <c r="AS1139" s="12">
        <v>3</v>
      </c>
      <c r="AT1139" s="12">
        <v>2</v>
      </c>
      <c r="AU1139" s="12">
        <v>0</v>
      </c>
      <c r="AV1139" s="12">
        <v>4</v>
      </c>
      <c r="AW1139" s="12">
        <f t="shared" si="258"/>
        <v>4</v>
      </c>
      <c r="AX1139" s="12">
        <v>2</v>
      </c>
      <c r="AY1139" s="12">
        <v>2</v>
      </c>
      <c r="AZ1139" s="12">
        <v>4</v>
      </c>
      <c r="BA1139" s="12">
        <f t="shared" si="259"/>
        <v>4</v>
      </c>
      <c r="BB1139" s="12">
        <v>2</v>
      </c>
      <c r="BC1139" s="12">
        <v>1</v>
      </c>
      <c r="BD1139" s="12">
        <f t="shared" si="268"/>
        <v>1</v>
      </c>
      <c r="BE1139" s="12">
        <v>3</v>
      </c>
      <c r="BF1139" s="12">
        <f t="shared" si="260"/>
        <v>3</v>
      </c>
      <c r="BG1139" s="12">
        <f t="shared" si="269"/>
        <v>3</v>
      </c>
      <c r="BH1139" s="67">
        <v>0</v>
      </c>
      <c r="BI1139" s="67">
        <v>1</v>
      </c>
      <c r="BJ1139" s="67">
        <v>0</v>
      </c>
      <c r="BK1139" s="67">
        <v>0</v>
      </c>
      <c r="BL1139" s="67">
        <v>0</v>
      </c>
      <c r="BM1139" s="67">
        <v>0</v>
      </c>
      <c r="BN1139" s="67">
        <v>0</v>
      </c>
      <c r="BO1139" s="67">
        <v>1</v>
      </c>
      <c r="BP1139" s="67">
        <v>0</v>
      </c>
      <c r="BQ1139" s="67">
        <v>3</v>
      </c>
      <c r="BR1139" s="67">
        <v>0</v>
      </c>
      <c r="BS1139" s="67">
        <v>0</v>
      </c>
      <c r="BT1139" s="67">
        <v>4</v>
      </c>
      <c r="BU1139" s="70">
        <v>0</v>
      </c>
      <c r="BV1139" s="29">
        <f t="shared" si="261"/>
        <v>0.78355249686246398</v>
      </c>
      <c r="BW1139">
        <f t="shared" si="262"/>
        <v>0.31476636926356072</v>
      </c>
      <c r="BX1139">
        <f t="shared" si="263"/>
        <v>0.93558618405172878</v>
      </c>
      <c r="BY1139">
        <f t="shared" si="264"/>
        <v>0.49100643357776058</v>
      </c>
      <c r="BZ1139">
        <f t="shared" si="265"/>
        <v>2.0732409091797459</v>
      </c>
      <c r="CA1139">
        <f t="shared" si="266"/>
        <v>1.6336288320949415</v>
      </c>
      <c r="CB1139">
        <f t="shared" si="267"/>
        <v>0.36858985273641137</v>
      </c>
    </row>
    <row r="1140" spans="1:80" x14ac:dyDescent="0.45">
      <c r="A1140" s="11">
        <v>50</v>
      </c>
      <c r="B1140" s="12">
        <f t="shared" si="255"/>
        <v>50</v>
      </c>
      <c r="C1140" s="12" t="s">
        <v>59</v>
      </c>
      <c r="D1140" s="12">
        <v>0</v>
      </c>
      <c r="E1140" s="12" t="s">
        <v>60</v>
      </c>
      <c r="F1140" s="12">
        <v>1</v>
      </c>
      <c r="G1140" s="12">
        <v>0</v>
      </c>
      <c r="H1140" s="12" t="s">
        <v>61</v>
      </c>
      <c r="I1140" s="12">
        <v>1</v>
      </c>
      <c r="J1140" s="12">
        <v>0</v>
      </c>
      <c r="K1140" s="12">
        <v>20</v>
      </c>
      <c r="L1140" s="12">
        <f t="shared" si="256"/>
        <v>20</v>
      </c>
      <c r="M1140" s="12">
        <v>5</v>
      </c>
      <c r="N1140" s="12" t="s">
        <v>70</v>
      </c>
      <c r="O1140" s="12">
        <v>0</v>
      </c>
      <c r="P1140" s="12">
        <v>0</v>
      </c>
      <c r="Q1140" s="12">
        <v>1</v>
      </c>
      <c r="R1140" s="12">
        <v>0</v>
      </c>
      <c r="S1140" s="12">
        <v>0</v>
      </c>
      <c r="T1140" s="12">
        <v>2</v>
      </c>
      <c r="U1140" s="12" t="s">
        <v>62</v>
      </c>
      <c r="V1140" s="12">
        <v>0</v>
      </c>
      <c r="W1140" s="12">
        <v>41</v>
      </c>
      <c r="X1140" s="12">
        <v>3</v>
      </c>
      <c r="Y1140" s="12">
        <v>4</v>
      </c>
      <c r="Z1140" s="12" t="s">
        <v>85</v>
      </c>
      <c r="AA1140" s="12">
        <v>1</v>
      </c>
      <c r="AB1140" s="12">
        <v>0</v>
      </c>
      <c r="AC1140" s="12">
        <v>0</v>
      </c>
      <c r="AD1140" s="12">
        <v>0</v>
      </c>
      <c r="AE1140" s="12">
        <v>0</v>
      </c>
      <c r="AF1140" s="12">
        <v>0</v>
      </c>
      <c r="AG1140" s="12">
        <v>0</v>
      </c>
      <c r="AH1140" s="12">
        <v>0</v>
      </c>
      <c r="AI1140" s="12">
        <v>3</v>
      </c>
      <c r="AJ1140" s="12" t="s">
        <v>64</v>
      </c>
      <c r="AK1140" s="12">
        <v>0</v>
      </c>
      <c r="AL1140" s="12">
        <v>1</v>
      </c>
      <c r="AM1140" s="12">
        <v>11245</v>
      </c>
      <c r="AN1140" s="12">
        <f t="shared" si="257"/>
        <v>11245</v>
      </c>
      <c r="AO1140" s="12">
        <v>2</v>
      </c>
      <c r="AP1140" s="12" t="s">
        <v>52</v>
      </c>
      <c r="AQ1140" s="12">
        <v>1</v>
      </c>
      <c r="AR1140" s="12">
        <v>15</v>
      </c>
      <c r="AS1140" s="12">
        <v>3</v>
      </c>
      <c r="AT1140" s="12">
        <v>3</v>
      </c>
      <c r="AU1140" s="12">
        <v>1</v>
      </c>
      <c r="AV1140" s="12">
        <v>32</v>
      </c>
      <c r="AW1140" s="12">
        <f t="shared" si="258"/>
        <v>32</v>
      </c>
      <c r="AX1140" s="12">
        <v>3</v>
      </c>
      <c r="AY1140" s="12">
        <v>3</v>
      </c>
      <c r="AZ1140" s="12">
        <v>30</v>
      </c>
      <c r="BA1140" s="12">
        <f t="shared" si="259"/>
        <v>30</v>
      </c>
      <c r="BB1140" s="12">
        <v>8</v>
      </c>
      <c r="BC1140" s="12">
        <v>12</v>
      </c>
      <c r="BD1140" s="12">
        <f t="shared" si="268"/>
        <v>12</v>
      </c>
      <c r="BE1140" s="12">
        <v>13</v>
      </c>
      <c r="BF1140" s="12">
        <f t="shared" si="260"/>
        <v>13</v>
      </c>
      <c r="BG1140" s="12">
        <f t="shared" si="269"/>
        <v>52</v>
      </c>
      <c r="BH1140" s="67">
        <v>0</v>
      </c>
      <c r="BI1140" s="67">
        <v>0</v>
      </c>
      <c r="BJ1140" s="67">
        <v>0</v>
      </c>
      <c r="BK1140" s="67">
        <v>1</v>
      </c>
      <c r="BL1140" s="67">
        <v>0</v>
      </c>
      <c r="BM1140" s="67">
        <v>0</v>
      </c>
      <c r="BN1140" s="67">
        <v>0</v>
      </c>
      <c r="BO1140" s="67">
        <v>1</v>
      </c>
      <c r="BP1140" s="67">
        <v>0</v>
      </c>
      <c r="BQ1140" s="67">
        <v>13</v>
      </c>
      <c r="BR1140" s="67">
        <v>0</v>
      </c>
      <c r="BS1140" s="67">
        <v>0</v>
      </c>
      <c r="BT1140" s="67">
        <v>32</v>
      </c>
      <c r="BU1140" s="70">
        <v>0</v>
      </c>
      <c r="BV1140" s="29">
        <f t="shared" si="261"/>
        <v>1.0072455899568713</v>
      </c>
      <c r="BW1140">
        <f t="shared" si="262"/>
        <v>2.4878172940764407</v>
      </c>
      <c r="BX1140">
        <f t="shared" si="263"/>
        <v>2.663023977201346</v>
      </c>
      <c r="BY1140">
        <f t="shared" si="264"/>
        <v>3.7528347901540369</v>
      </c>
      <c r="BZ1140">
        <f t="shared" si="265"/>
        <v>1.3331273859286286</v>
      </c>
      <c r="CA1140">
        <f t="shared" si="266"/>
        <v>1.4313799530736149</v>
      </c>
      <c r="CB1140">
        <f t="shared" si="267"/>
        <v>3.0449828384135156</v>
      </c>
    </row>
    <row r="1141" spans="1:80" x14ac:dyDescent="0.45">
      <c r="A1141" s="11">
        <v>32</v>
      </c>
      <c r="B1141" s="12">
        <f t="shared" si="255"/>
        <v>32</v>
      </c>
      <c r="C1141" s="12" t="s">
        <v>59</v>
      </c>
      <c r="D1141" s="12">
        <v>0</v>
      </c>
      <c r="E1141" s="12" t="s">
        <v>53</v>
      </c>
      <c r="F1141" s="12">
        <v>0</v>
      </c>
      <c r="G1141" s="12">
        <v>1</v>
      </c>
      <c r="H1141" s="12" t="s">
        <v>61</v>
      </c>
      <c r="I1141" s="12">
        <v>1</v>
      </c>
      <c r="J1141" s="12">
        <v>0</v>
      </c>
      <c r="K1141" s="12">
        <v>5</v>
      </c>
      <c r="L1141" s="12">
        <f t="shared" si="256"/>
        <v>5</v>
      </c>
      <c r="M1141" s="12">
        <v>4</v>
      </c>
      <c r="N1141" s="12" t="s">
        <v>66</v>
      </c>
      <c r="O1141" s="12">
        <v>0</v>
      </c>
      <c r="P1141" s="12">
        <v>1</v>
      </c>
      <c r="Q1141" s="12">
        <v>0</v>
      </c>
      <c r="R1141" s="12">
        <v>0</v>
      </c>
      <c r="S1141" s="12">
        <v>0</v>
      </c>
      <c r="T1141" s="12">
        <v>2</v>
      </c>
      <c r="U1141" s="12" t="s">
        <v>19</v>
      </c>
      <c r="V1141" s="12">
        <v>1</v>
      </c>
      <c r="W1141" s="12">
        <v>35</v>
      </c>
      <c r="X1141" s="12">
        <v>4</v>
      </c>
      <c r="Y1141" s="12">
        <v>1</v>
      </c>
      <c r="Z1141" s="12" t="s">
        <v>63</v>
      </c>
      <c r="AA1141" s="12">
        <v>0</v>
      </c>
      <c r="AB1141" s="12">
        <v>0</v>
      </c>
      <c r="AC1141" s="12">
        <v>0</v>
      </c>
      <c r="AD1141" s="12">
        <v>0</v>
      </c>
      <c r="AE1141" s="12">
        <v>0</v>
      </c>
      <c r="AF1141" s="12">
        <v>0</v>
      </c>
      <c r="AG1141" s="12">
        <v>0</v>
      </c>
      <c r="AH1141" s="12">
        <v>1</v>
      </c>
      <c r="AI1141" s="12">
        <v>4</v>
      </c>
      <c r="AJ1141" s="12" t="s">
        <v>64</v>
      </c>
      <c r="AK1141" s="12">
        <v>0</v>
      </c>
      <c r="AL1141" s="12">
        <v>1</v>
      </c>
      <c r="AM1141" s="12">
        <v>3312</v>
      </c>
      <c r="AN1141" s="12">
        <f t="shared" si="257"/>
        <v>3312</v>
      </c>
      <c r="AO1141" s="12">
        <v>3</v>
      </c>
      <c r="AP1141" s="12" t="s">
        <v>59</v>
      </c>
      <c r="AQ1141" s="12">
        <v>0</v>
      </c>
      <c r="AR1141" s="12">
        <v>17</v>
      </c>
      <c r="AS1141" s="12">
        <v>3</v>
      </c>
      <c r="AT1141" s="12">
        <v>4</v>
      </c>
      <c r="AU1141" s="12">
        <v>2</v>
      </c>
      <c r="AV1141" s="12">
        <v>6</v>
      </c>
      <c r="AW1141" s="12">
        <f t="shared" si="258"/>
        <v>6</v>
      </c>
      <c r="AX1141" s="12">
        <v>3</v>
      </c>
      <c r="AY1141" s="12">
        <v>3</v>
      </c>
      <c r="AZ1141" s="12">
        <v>3</v>
      </c>
      <c r="BA1141" s="12">
        <f t="shared" si="259"/>
        <v>3</v>
      </c>
      <c r="BB1141" s="12">
        <v>2</v>
      </c>
      <c r="BC1141" s="12">
        <v>0</v>
      </c>
      <c r="BD1141" s="12">
        <f t="shared" si="268"/>
        <v>0</v>
      </c>
      <c r="BE1141" s="12">
        <v>2</v>
      </c>
      <c r="BF1141" s="12">
        <f t="shared" si="260"/>
        <v>2</v>
      </c>
      <c r="BG1141" s="12">
        <f t="shared" si="269"/>
        <v>2</v>
      </c>
      <c r="BH1141" s="67">
        <v>0</v>
      </c>
      <c r="BI1141" s="67">
        <v>1</v>
      </c>
      <c r="BJ1141" s="67">
        <v>0</v>
      </c>
      <c r="BK1141" s="67">
        <v>0</v>
      </c>
      <c r="BL1141" s="67">
        <v>0</v>
      </c>
      <c r="BM1141" s="67">
        <v>0</v>
      </c>
      <c r="BN1141" s="67">
        <v>1</v>
      </c>
      <c r="BO1141" s="67">
        <v>0</v>
      </c>
      <c r="BP1141" s="67">
        <v>0</v>
      </c>
      <c r="BQ1141" s="67">
        <v>2</v>
      </c>
      <c r="BR1141" s="67">
        <v>0</v>
      </c>
      <c r="BS1141" s="67">
        <v>0</v>
      </c>
      <c r="BT1141" s="67">
        <v>6</v>
      </c>
      <c r="BU1141" s="70">
        <v>0</v>
      </c>
      <c r="BV1141" s="29">
        <f t="shared" si="261"/>
        <v>0.67777412570411633</v>
      </c>
      <c r="BW1141">
        <f t="shared" si="262"/>
        <v>0.59502473559756086</v>
      </c>
      <c r="BX1141">
        <f t="shared" si="263"/>
        <v>0.67854260110508058</v>
      </c>
      <c r="BY1141">
        <f t="shared" si="264"/>
        <v>0.65423109602898355</v>
      </c>
      <c r="BZ1141">
        <f t="shared" si="265"/>
        <v>0.51715642219916513</v>
      </c>
      <c r="CA1141">
        <f t="shared" si="266"/>
        <v>0.53898283739188557</v>
      </c>
      <c r="CB1141">
        <f t="shared" si="267"/>
        <v>0.67891464284095016</v>
      </c>
    </row>
    <row r="1142" spans="1:80" x14ac:dyDescent="0.45">
      <c r="A1142" s="11">
        <v>44</v>
      </c>
      <c r="B1142" s="12">
        <f t="shared" si="255"/>
        <v>44</v>
      </c>
      <c r="C1142" s="12" t="s">
        <v>59</v>
      </c>
      <c r="D1142" s="12">
        <v>0</v>
      </c>
      <c r="E1142" s="12" t="s">
        <v>53</v>
      </c>
      <c r="F1142" s="12">
        <v>0</v>
      </c>
      <c r="G1142" s="12">
        <v>1</v>
      </c>
      <c r="H1142" s="12" t="s">
        <v>61</v>
      </c>
      <c r="I1142" s="12">
        <v>1</v>
      </c>
      <c r="J1142" s="12">
        <v>0</v>
      </c>
      <c r="K1142" s="12">
        <v>7</v>
      </c>
      <c r="L1142" s="12">
        <f t="shared" si="256"/>
        <v>7</v>
      </c>
      <c r="M1142" s="12">
        <v>3</v>
      </c>
      <c r="N1142" s="12" t="s">
        <v>70</v>
      </c>
      <c r="O1142" s="12">
        <v>0</v>
      </c>
      <c r="P1142" s="12">
        <v>0</v>
      </c>
      <c r="Q1142" s="12">
        <v>1</v>
      </c>
      <c r="R1142" s="12">
        <v>0</v>
      </c>
      <c r="S1142" s="12">
        <v>0</v>
      </c>
      <c r="T1142" s="12">
        <v>2</v>
      </c>
      <c r="U1142" s="12" t="s">
        <v>19</v>
      </c>
      <c r="V1142" s="12">
        <v>1</v>
      </c>
      <c r="W1142" s="12">
        <v>31</v>
      </c>
      <c r="X1142" s="12">
        <v>3</v>
      </c>
      <c r="Y1142" s="12">
        <v>5</v>
      </c>
      <c r="Z1142" s="12" t="s">
        <v>89</v>
      </c>
      <c r="AA1142" s="12">
        <v>0</v>
      </c>
      <c r="AB1142" s="12">
        <v>0</v>
      </c>
      <c r="AC1142" s="12">
        <v>0</v>
      </c>
      <c r="AD1142" s="12">
        <v>0</v>
      </c>
      <c r="AE1142" s="12">
        <v>0</v>
      </c>
      <c r="AF1142" s="12">
        <v>0</v>
      </c>
      <c r="AG1142" s="12">
        <v>0</v>
      </c>
      <c r="AH1142" s="12">
        <v>0</v>
      </c>
      <c r="AI1142" s="12">
        <v>4</v>
      </c>
      <c r="AJ1142" s="12" t="s">
        <v>78</v>
      </c>
      <c r="AK1142" s="12">
        <v>0</v>
      </c>
      <c r="AL1142" s="12">
        <v>0</v>
      </c>
      <c r="AM1142" s="12">
        <v>19049</v>
      </c>
      <c r="AN1142" s="12">
        <f t="shared" si="257"/>
        <v>19049</v>
      </c>
      <c r="AO1142" s="12">
        <v>0</v>
      </c>
      <c r="AP1142" s="12" t="s">
        <v>52</v>
      </c>
      <c r="AQ1142" s="12">
        <v>1</v>
      </c>
      <c r="AR1142" s="12">
        <v>14</v>
      </c>
      <c r="AS1142" s="12">
        <v>3</v>
      </c>
      <c r="AT1142" s="12">
        <v>4</v>
      </c>
      <c r="AU1142" s="12">
        <v>1</v>
      </c>
      <c r="AV1142" s="12">
        <v>23</v>
      </c>
      <c r="AW1142" s="12">
        <f t="shared" si="258"/>
        <v>23</v>
      </c>
      <c r="AX1142" s="12">
        <v>4</v>
      </c>
      <c r="AY1142" s="12">
        <v>2</v>
      </c>
      <c r="AZ1142" s="12">
        <v>22</v>
      </c>
      <c r="BA1142" s="12">
        <f t="shared" si="259"/>
        <v>22</v>
      </c>
      <c r="BB1142" s="12">
        <v>7</v>
      </c>
      <c r="BC1142" s="12">
        <v>1</v>
      </c>
      <c r="BD1142" s="12">
        <f t="shared" si="268"/>
        <v>1</v>
      </c>
      <c r="BE1142" s="12">
        <v>10</v>
      </c>
      <c r="BF1142" s="12">
        <f t="shared" si="260"/>
        <v>10</v>
      </c>
      <c r="BG1142" s="12">
        <f t="shared" si="269"/>
        <v>50</v>
      </c>
      <c r="BH1142" s="67">
        <v>1</v>
      </c>
      <c r="BI1142" s="67">
        <v>0</v>
      </c>
      <c r="BJ1142" s="67">
        <v>0</v>
      </c>
      <c r="BK1142" s="67">
        <v>0</v>
      </c>
      <c r="BL1142" s="67">
        <v>0</v>
      </c>
      <c r="BM1142" s="67">
        <v>1</v>
      </c>
      <c r="BN1142" s="67">
        <v>0</v>
      </c>
      <c r="BO1142" s="67">
        <v>0</v>
      </c>
      <c r="BP1142" s="67">
        <v>0</v>
      </c>
      <c r="BQ1142" s="67">
        <v>10</v>
      </c>
      <c r="BR1142" s="67">
        <v>0</v>
      </c>
      <c r="BS1142" s="67">
        <v>0</v>
      </c>
      <c r="BT1142" s="67">
        <v>23</v>
      </c>
      <c r="BU1142" s="70">
        <v>0</v>
      </c>
      <c r="BV1142" s="29">
        <f t="shared" si="261"/>
        <v>2.6648648841732268</v>
      </c>
      <c r="BW1142">
        <f t="shared" si="262"/>
        <v>1.6470421950744405</v>
      </c>
      <c r="BX1142">
        <f t="shared" si="263"/>
        <v>1.5063278539414293</v>
      </c>
      <c r="BY1142">
        <f t="shared" si="264"/>
        <v>2.4470374905442531</v>
      </c>
      <c r="BZ1142">
        <f t="shared" si="265"/>
        <v>0.27045191444879263</v>
      </c>
      <c r="CA1142">
        <f t="shared" si="266"/>
        <v>0.77459235625178136</v>
      </c>
      <c r="CB1142">
        <f t="shared" si="267"/>
        <v>0.36858985273641137</v>
      </c>
    </row>
    <row r="1143" spans="1:80" x14ac:dyDescent="0.45">
      <c r="A1143" s="11">
        <v>30</v>
      </c>
      <c r="B1143" s="12">
        <f t="shared" si="255"/>
        <v>30</v>
      </c>
      <c r="C1143" s="12" t="s">
        <v>59</v>
      </c>
      <c r="D1143" s="12">
        <v>0</v>
      </c>
      <c r="E1143" s="12" t="s">
        <v>53</v>
      </c>
      <c r="F1143" s="12">
        <v>0</v>
      </c>
      <c r="G1143" s="12">
        <v>1</v>
      </c>
      <c r="H1143" s="12" t="s">
        <v>61</v>
      </c>
      <c r="I1143" s="12">
        <v>1</v>
      </c>
      <c r="J1143" s="12">
        <v>0</v>
      </c>
      <c r="K1143" s="12">
        <v>7</v>
      </c>
      <c r="L1143" s="12">
        <f t="shared" si="256"/>
        <v>7</v>
      </c>
      <c r="M1143" s="12">
        <v>3</v>
      </c>
      <c r="N1143" s="12" t="s">
        <v>70</v>
      </c>
      <c r="O1143" s="12">
        <v>0</v>
      </c>
      <c r="P1143" s="12">
        <v>0</v>
      </c>
      <c r="Q1143" s="12">
        <v>1</v>
      </c>
      <c r="R1143" s="12">
        <v>0</v>
      </c>
      <c r="S1143" s="12">
        <v>0</v>
      </c>
      <c r="T1143" s="12">
        <v>2</v>
      </c>
      <c r="U1143" s="12" t="s">
        <v>62</v>
      </c>
      <c r="V1143" s="12">
        <v>0</v>
      </c>
      <c r="W1143" s="12">
        <v>48</v>
      </c>
      <c r="X1143" s="12">
        <v>2</v>
      </c>
      <c r="Y1143" s="12">
        <v>1</v>
      </c>
      <c r="Z1143" s="12" t="s">
        <v>63</v>
      </c>
      <c r="AA1143" s="12">
        <v>0</v>
      </c>
      <c r="AB1143" s="12">
        <v>0</v>
      </c>
      <c r="AC1143" s="12">
        <v>0</v>
      </c>
      <c r="AD1143" s="12">
        <v>0</v>
      </c>
      <c r="AE1143" s="12">
        <v>0</v>
      </c>
      <c r="AF1143" s="12">
        <v>0</v>
      </c>
      <c r="AG1143" s="12">
        <v>0</v>
      </c>
      <c r="AH1143" s="12">
        <v>1</v>
      </c>
      <c r="AI1143" s="12">
        <v>2</v>
      </c>
      <c r="AJ1143" s="12" t="s">
        <v>64</v>
      </c>
      <c r="AK1143" s="12">
        <v>0</v>
      </c>
      <c r="AL1143" s="12">
        <v>1</v>
      </c>
      <c r="AM1143" s="12">
        <v>2141</v>
      </c>
      <c r="AN1143" s="12">
        <f t="shared" si="257"/>
        <v>2141</v>
      </c>
      <c r="AO1143" s="12">
        <v>1</v>
      </c>
      <c r="AP1143" s="12" t="s">
        <v>59</v>
      </c>
      <c r="AQ1143" s="12">
        <v>0</v>
      </c>
      <c r="AR1143" s="12">
        <v>12</v>
      </c>
      <c r="AS1143" s="12">
        <v>3</v>
      </c>
      <c r="AT1143" s="12">
        <v>2</v>
      </c>
      <c r="AU1143" s="12">
        <v>1</v>
      </c>
      <c r="AV1143" s="12">
        <v>6</v>
      </c>
      <c r="AW1143" s="12">
        <f t="shared" si="258"/>
        <v>6</v>
      </c>
      <c r="AX1143" s="12">
        <v>3</v>
      </c>
      <c r="AY1143" s="12">
        <v>2</v>
      </c>
      <c r="AZ1143" s="12">
        <v>6</v>
      </c>
      <c r="BA1143" s="12">
        <f t="shared" si="259"/>
        <v>6</v>
      </c>
      <c r="BB1143" s="12">
        <v>4</v>
      </c>
      <c r="BC1143" s="12">
        <v>1</v>
      </c>
      <c r="BD1143" s="12">
        <f t="shared" si="268"/>
        <v>1</v>
      </c>
      <c r="BE1143" s="12">
        <v>1</v>
      </c>
      <c r="BF1143" s="12">
        <f t="shared" si="260"/>
        <v>1</v>
      </c>
      <c r="BG1143" s="12">
        <f t="shared" si="269"/>
        <v>1</v>
      </c>
      <c r="BH1143" s="67">
        <v>0</v>
      </c>
      <c r="BI1143" s="67">
        <v>1</v>
      </c>
      <c r="BJ1143" s="67">
        <v>0</v>
      </c>
      <c r="BK1143" s="67">
        <v>0</v>
      </c>
      <c r="BL1143" s="67">
        <v>0</v>
      </c>
      <c r="BM1143" s="67">
        <v>0</v>
      </c>
      <c r="BN1143" s="67">
        <v>1</v>
      </c>
      <c r="BO1143" s="67">
        <v>0</v>
      </c>
      <c r="BP1143" s="67">
        <v>0</v>
      </c>
      <c r="BQ1143" s="67">
        <v>1</v>
      </c>
      <c r="BR1143" s="67">
        <v>0</v>
      </c>
      <c r="BS1143" s="67">
        <v>0</v>
      </c>
      <c r="BT1143" s="67">
        <v>6</v>
      </c>
      <c r="BU1143" s="70">
        <v>0</v>
      </c>
      <c r="BV1143" s="29">
        <f t="shared" si="261"/>
        <v>0.92650198238368475</v>
      </c>
      <c r="BW1143">
        <f t="shared" si="262"/>
        <v>0.87528310193156111</v>
      </c>
      <c r="BX1143">
        <f t="shared" si="263"/>
        <v>0.67854260110508058</v>
      </c>
      <c r="BY1143">
        <f t="shared" si="264"/>
        <v>0.16455710867531462</v>
      </c>
      <c r="BZ1143">
        <f t="shared" si="265"/>
        <v>0.27045191444879263</v>
      </c>
      <c r="CA1143">
        <f t="shared" si="266"/>
        <v>0.75791203633249671</v>
      </c>
      <c r="CB1143">
        <f t="shared" si="267"/>
        <v>0.36858985273641137</v>
      </c>
    </row>
    <row r="1144" spans="1:80" x14ac:dyDescent="0.45">
      <c r="A1144" s="11">
        <v>45</v>
      </c>
      <c r="B1144" s="12">
        <f t="shared" si="255"/>
        <v>45</v>
      </c>
      <c r="C1144" s="12" t="s">
        <v>59</v>
      </c>
      <c r="D1144" s="12">
        <v>0</v>
      </c>
      <c r="E1144" s="12" t="s">
        <v>53</v>
      </c>
      <c r="F1144" s="12">
        <v>0</v>
      </c>
      <c r="G1144" s="12">
        <v>1</v>
      </c>
      <c r="H1144" s="12" t="s">
        <v>61</v>
      </c>
      <c r="I1144" s="12">
        <v>1</v>
      </c>
      <c r="J1144" s="12">
        <v>0</v>
      </c>
      <c r="K1144" s="12">
        <v>5</v>
      </c>
      <c r="L1144" s="12">
        <f t="shared" si="256"/>
        <v>5</v>
      </c>
      <c r="M1144" s="12">
        <v>5</v>
      </c>
      <c r="N1144" s="12" t="s">
        <v>70</v>
      </c>
      <c r="O1144" s="12">
        <v>0</v>
      </c>
      <c r="P1144" s="12">
        <v>0</v>
      </c>
      <c r="Q1144" s="12">
        <v>1</v>
      </c>
      <c r="R1144" s="12">
        <v>0</v>
      </c>
      <c r="S1144" s="12">
        <v>0</v>
      </c>
      <c r="T1144" s="12">
        <v>3</v>
      </c>
      <c r="U1144" s="12" t="s">
        <v>19</v>
      </c>
      <c r="V1144" s="12">
        <v>1</v>
      </c>
      <c r="W1144" s="12">
        <v>50</v>
      </c>
      <c r="X1144" s="12">
        <v>1</v>
      </c>
      <c r="Y1144" s="12">
        <v>2</v>
      </c>
      <c r="Z1144" s="12" t="s">
        <v>67</v>
      </c>
      <c r="AA1144" s="12">
        <v>0</v>
      </c>
      <c r="AB1144" s="12">
        <v>0</v>
      </c>
      <c r="AC1144" s="12">
        <v>1</v>
      </c>
      <c r="AD1144" s="12">
        <v>0</v>
      </c>
      <c r="AE1144" s="12">
        <v>0</v>
      </c>
      <c r="AF1144" s="12">
        <v>0</v>
      </c>
      <c r="AG1144" s="12">
        <v>0</v>
      </c>
      <c r="AH1144" s="12">
        <v>0</v>
      </c>
      <c r="AI1144" s="12">
        <v>1</v>
      </c>
      <c r="AJ1144" s="12" t="s">
        <v>57</v>
      </c>
      <c r="AK1144" s="12">
        <v>1</v>
      </c>
      <c r="AL1144" s="12">
        <v>0</v>
      </c>
      <c r="AM1144" s="12">
        <v>5769</v>
      </c>
      <c r="AN1144" s="12">
        <f t="shared" si="257"/>
        <v>5769</v>
      </c>
      <c r="AO1144" s="12">
        <v>1</v>
      </c>
      <c r="AP1144" s="12" t="s">
        <v>52</v>
      </c>
      <c r="AQ1144" s="12">
        <v>1</v>
      </c>
      <c r="AR1144" s="12">
        <v>14</v>
      </c>
      <c r="AS1144" s="12">
        <v>3</v>
      </c>
      <c r="AT1144" s="12">
        <v>1</v>
      </c>
      <c r="AU1144" s="12">
        <v>0</v>
      </c>
      <c r="AV1144" s="12">
        <v>10</v>
      </c>
      <c r="AW1144" s="12">
        <f t="shared" si="258"/>
        <v>10</v>
      </c>
      <c r="AX1144" s="12">
        <v>3</v>
      </c>
      <c r="AY1144" s="12">
        <v>3</v>
      </c>
      <c r="AZ1144" s="12">
        <v>10</v>
      </c>
      <c r="BA1144" s="12">
        <f t="shared" si="259"/>
        <v>10</v>
      </c>
      <c r="BB1144" s="12">
        <v>7</v>
      </c>
      <c r="BC1144" s="12">
        <v>1</v>
      </c>
      <c r="BD1144" s="12">
        <f t="shared" si="268"/>
        <v>1</v>
      </c>
      <c r="BE1144" s="12">
        <v>4</v>
      </c>
      <c r="BF1144" s="12">
        <f t="shared" si="260"/>
        <v>4</v>
      </c>
      <c r="BG1144" s="12">
        <f t="shared" si="269"/>
        <v>8</v>
      </c>
      <c r="BH1144" s="67">
        <v>1</v>
      </c>
      <c r="BI1144" s="67">
        <v>0</v>
      </c>
      <c r="BJ1144" s="67">
        <v>0</v>
      </c>
      <c r="BK1144" s="67">
        <v>0</v>
      </c>
      <c r="BL1144" s="67">
        <v>0</v>
      </c>
      <c r="BM1144" s="67">
        <v>1</v>
      </c>
      <c r="BN1144" s="67">
        <v>0</v>
      </c>
      <c r="BO1144" s="67">
        <v>0</v>
      </c>
      <c r="BP1144" s="67">
        <v>0</v>
      </c>
      <c r="BQ1144" s="67">
        <v>4</v>
      </c>
      <c r="BR1144" s="67">
        <v>0</v>
      </c>
      <c r="BS1144" s="67">
        <v>0</v>
      </c>
      <c r="BT1144" s="67">
        <v>10</v>
      </c>
      <c r="BU1144" s="70">
        <v>0</v>
      </c>
      <c r="BV1144" s="29">
        <f t="shared" si="261"/>
        <v>0.15589168004937706</v>
      </c>
      <c r="BW1144">
        <f t="shared" si="262"/>
        <v>3.4508002929560584E-2</v>
      </c>
      <c r="BX1144">
        <f t="shared" si="263"/>
        <v>0.1644554352117841</v>
      </c>
      <c r="BY1144">
        <f t="shared" si="264"/>
        <v>0.48834154112957734</v>
      </c>
      <c r="BZ1144">
        <f t="shared" si="265"/>
        <v>0.51715642219916513</v>
      </c>
      <c r="CA1144">
        <f t="shared" si="266"/>
        <v>0.88405695572208698</v>
      </c>
      <c r="CB1144">
        <f t="shared" si="267"/>
        <v>0.36858985273641137</v>
      </c>
    </row>
    <row r="1145" spans="1:80" x14ac:dyDescent="0.45">
      <c r="A1145" s="11">
        <v>45</v>
      </c>
      <c r="B1145" s="12">
        <f t="shared" si="255"/>
        <v>45</v>
      </c>
      <c r="C1145" s="12" t="s">
        <v>59</v>
      </c>
      <c r="D1145" s="12">
        <v>0</v>
      </c>
      <c r="E1145" s="12" t="s">
        <v>86</v>
      </c>
      <c r="F1145" s="12">
        <v>0</v>
      </c>
      <c r="G1145" s="12">
        <v>0</v>
      </c>
      <c r="H1145" s="12" t="s">
        <v>54</v>
      </c>
      <c r="I1145" s="12">
        <v>0</v>
      </c>
      <c r="J1145" s="12">
        <v>1</v>
      </c>
      <c r="K1145" s="12">
        <v>26</v>
      </c>
      <c r="L1145" s="12">
        <f t="shared" si="256"/>
        <v>26</v>
      </c>
      <c r="M1145" s="12">
        <v>3</v>
      </c>
      <c r="N1145" s="12" t="s">
        <v>90</v>
      </c>
      <c r="O1145" s="12">
        <v>0</v>
      </c>
      <c r="P1145" s="12">
        <v>0</v>
      </c>
      <c r="Q1145" s="12">
        <v>0</v>
      </c>
      <c r="R1145" s="12">
        <v>1</v>
      </c>
      <c r="S1145" s="12">
        <v>0</v>
      </c>
      <c r="T1145" s="12">
        <v>1</v>
      </c>
      <c r="U1145" s="12" t="s">
        <v>62</v>
      </c>
      <c r="V1145" s="12">
        <v>0</v>
      </c>
      <c r="W1145" s="12">
        <v>52</v>
      </c>
      <c r="X1145" s="12">
        <v>2</v>
      </c>
      <c r="Y1145" s="12">
        <v>2</v>
      </c>
      <c r="Z1145" s="12" t="s">
        <v>56</v>
      </c>
      <c r="AA1145" s="12">
        <v>0</v>
      </c>
      <c r="AB1145" s="12">
        <v>1</v>
      </c>
      <c r="AC1145" s="12">
        <v>0</v>
      </c>
      <c r="AD1145" s="12">
        <v>0</v>
      </c>
      <c r="AE1145" s="12">
        <v>0</v>
      </c>
      <c r="AF1145" s="12">
        <v>0</v>
      </c>
      <c r="AG1145" s="12">
        <v>0</v>
      </c>
      <c r="AH1145" s="12">
        <v>0</v>
      </c>
      <c r="AI1145" s="12">
        <v>1</v>
      </c>
      <c r="AJ1145" s="12" t="s">
        <v>64</v>
      </c>
      <c r="AK1145" s="12">
        <v>0</v>
      </c>
      <c r="AL1145" s="12">
        <v>1</v>
      </c>
      <c r="AM1145" s="12">
        <v>4385</v>
      </c>
      <c r="AN1145" s="12">
        <f t="shared" si="257"/>
        <v>4385</v>
      </c>
      <c r="AO1145" s="12">
        <v>1</v>
      </c>
      <c r="AP1145" s="12" t="s">
        <v>59</v>
      </c>
      <c r="AQ1145" s="12">
        <v>0</v>
      </c>
      <c r="AR1145" s="12">
        <v>15</v>
      </c>
      <c r="AS1145" s="12">
        <v>3</v>
      </c>
      <c r="AT1145" s="12">
        <v>1</v>
      </c>
      <c r="AU1145" s="12">
        <v>1</v>
      </c>
      <c r="AV1145" s="12">
        <v>10</v>
      </c>
      <c r="AW1145" s="12">
        <f t="shared" si="258"/>
        <v>10</v>
      </c>
      <c r="AX1145" s="12">
        <v>2</v>
      </c>
      <c r="AY1145" s="12">
        <v>3</v>
      </c>
      <c r="AZ1145" s="12">
        <v>10</v>
      </c>
      <c r="BA1145" s="12">
        <f t="shared" si="259"/>
        <v>10</v>
      </c>
      <c r="BB1145" s="12">
        <v>7</v>
      </c>
      <c r="BC1145" s="12">
        <v>4</v>
      </c>
      <c r="BD1145" s="12">
        <f t="shared" si="268"/>
        <v>4</v>
      </c>
      <c r="BE1145" s="12">
        <v>5</v>
      </c>
      <c r="BF1145" s="12">
        <f t="shared" si="260"/>
        <v>5</v>
      </c>
      <c r="BG1145" s="12">
        <f t="shared" si="269"/>
        <v>10</v>
      </c>
      <c r="BH1145" s="67">
        <v>0</v>
      </c>
      <c r="BI1145" s="67">
        <v>1</v>
      </c>
      <c r="BJ1145" s="67">
        <v>0</v>
      </c>
      <c r="BK1145" s="67">
        <v>0</v>
      </c>
      <c r="BL1145" s="67">
        <v>0</v>
      </c>
      <c r="BM1145" s="67">
        <v>0</v>
      </c>
      <c r="BN1145" s="67">
        <v>1</v>
      </c>
      <c r="BO1145" s="67">
        <v>0</v>
      </c>
      <c r="BP1145" s="67">
        <v>0</v>
      </c>
      <c r="BQ1145" s="67">
        <v>0</v>
      </c>
      <c r="BR1145" s="67">
        <v>5</v>
      </c>
      <c r="BS1145" s="67">
        <v>0</v>
      </c>
      <c r="BT1145" s="67">
        <v>0</v>
      </c>
      <c r="BU1145" s="70">
        <v>10</v>
      </c>
      <c r="BV1145" s="29">
        <f t="shared" si="261"/>
        <v>0.44986209306775687</v>
      </c>
      <c r="BW1145">
        <f t="shared" si="262"/>
        <v>0.24575036340443959</v>
      </c>
      <c r="BX1145">
        <f t="shared" si="263"/>
        <v>0.1644554352117841</v>
      </c>
      <c r="BY1145">
        <f t="shared" si="264"/>
        <v>0.48834154112957734</v>
      </c>
      <c r="BZ1145">
        <f t="shared" si="265"/>
        <v>2.0732409091797459</v>
      </c>
      <c r="CA1145">
        <f t="shared" si="266"/>
        <v>0.88405695572208698</v>
      </c>
      <c r="CB1145">
        <f t="shared" si="267"/>
        <v>0.56238451757720498</v>
      </c>
    </row>
    <row r="1146" spans="1:80" x14ac:dyDescent="0.45">
      <c r="A1146" s="11">
        <v>31</v>
      </c>
      <c r="B1146" s="12">
        <f t="shared" si="255"/>
        <v>31</v>
      </c>
      <c r="C1146" s="12" t="s">
        <v>59</v>
      </c>
      <c r="D1146" s="12">
        <v>0</v>
      </c>
      <c r="E1146" s="12" t="s">
        <v>60</v>
      </c>
      <c r="F1146" s="12">
        <v>1</v>
      </c>
      <c r="G1146" s="12">
        <v>0</v>
      </c>
      <c r="H1146" s="12" t="s">
        <v>54</v>
      </c>
      <c r="I1146" s="12">
        <v>0</v>
      </c>
      <c r="J1146" s="12">
        <v>1</v>
      </c>
      <c r="K1146" s="12">
        <v>2</v>
      </c>
      <c r="L1146" s="12">
        <f t="shared" si="256"/>
        <v>2</v>
      </c>
      <c r="M1146" s="12">
        <v>4</v>
      </c>
      <c r="N1146" s="12" t="s">
        <v>66</v>
      </c>
      <c r="O1146" s="12">
        <v>0</v>
      </c>
      <c r="P1146" s="12">
        <v>1</v>
      </c>
      <c r="Q1146" s="12">
        <v>0</v>
      </c>
      <c r="R1146" s="12">
        <v>0</v>
      </c>
      <c r="S1146" s="12">
        <v>0</v>
      </c>
      <c r="T1146" s="12">
        <v>4</v>
      </c>
      <c r="U1146" s="12" t="s">
        <v>62</v>
      </c>
      <c r="V1146" s="12">
        <v>0</v>
      </c>
      <c r="W1146" s="12">
        <v>54</v>
      </c>
      <c r="X1146" s="12">
        <v>3</v>
      </c>
      <c r="Y1146" s="12">
        <v>2</v>
      </c>
      <c r="Z1146" s="12" t="s">
        <v>56</v>
      </c>
      <c r="AA1146" s="12">
        <v>0</v>
      </c>
      <c r="AB1146" s="12">
        <v>1</v>
      </c>
      <c r="AC1146" s="12">
        <v>0</v>
      </c>
      <c r="AD1146" s="12">
        <v>0</v>
      </c>
      <c r="AE1146" s="12">
        <v>0</v>
      </c>
      <c r="AF1146" s="12">
        <v>0</v>
      </c>
      <c r="AG1146" s="12">
        <v>0</v>
      </c>
      <c r="AH1146" s="12">
        <v>0</v>
      </c>
      <c r="AI1146" s="12">
        <v>1</v>
      </c>
      <c r="AJ1146" s="12" t="s">
        <v>57</v>
      </c>
      <c r="AK1146" s="12">
        <v>1</v>
      </c>
      <c r="AL1146" s="12">
        <v>0</v>
      </c>
      <c r="AM1146" s="12">
        <v>5332</v>
      </c>
      <c r="AN1146" s="12">
        <f t="shared" si="257"/>
        <v>5332</v>
      </c>
      <c r="AO1146" s="12">
        <v>7</v>
      </c>
      <c r="AP1146" s="12" t="s">
        <v>59</v>
      </c>
      <c r="AQ1146" s="12">
        <v>0</v>
      </c>
      <c r="AR1146" s="12">
        <v>13</v>
      </c>
      <c r="AS1146" s="12">
        <v>3</v>
      </c>
      <c r="AT1146" s="12">
        <v>4</v>
      </c>
      <c r="AU1146" s="12">
        <v>0</v>
      </c>
      <c r="AV1146" s="12">
        <v>10</v>
      </c>
      <c r="AW1146" s="12">
        <f t="shared" si="258"/>
        <v>10</v>
      </c>
      <c r="AX1146" s="12">
        <v>3</v>
      </c>
      <c r="AY1146" s="12">
        <v>3</v>
      </c>
      <c r="AZ1146" s="12">
        <v>5</v>
      </c>
      <c r="BA1146" s="12">
        <f t="shared" si="259"/>
        <v>5</v>
      </c>
      <c r="BB1146" s="12">
        <v>2</v>
      </c>
      <c r="BC1146" s="12">
        <v>0</v>
      </c>
      <c r="BD1146" s="12">
        <f t="shared" si="268"/>
        <v>0</v>
      </c>
      <c r="BE1146" s="12">
        <v>3</v>
      </c>
      <c r="BF1146" s="12">
        <f t="shared" si="260"/>
        <v>3</v>
      </c>
      <c r="BG1146" s="12">
        <f t="shared" si="269"/>
        <v>6</v>
      </c>
      <c r="BH1146" s="67">
        <v>0</v>
      </c>
      <c r="BI1146" s="67">
        <v>0</v>
      </c>
      <c r="BJ1146" s="67">
        <v>1</v>
      </c>
      <c r="BK1146" s="67">
        <v>0</v>
      </c>
      <c r="BL1146" s="67">
        <v>1</v>
      </c>
      <c r="BM1146" s="67">
        <v>0</v>
      </c>
      <c r="BN1146" s="67">
        <v>0</v>
      </c>
      <c r="BO1146" s="67">
        <v>0</v>
      </c>
      <c r="BP1146" s="67">
        <v>0</v>
      </c>
      <c r="BQ1146" s="67">
        <v>0</v>
      </c>
      <c r="BR1146" s="67">
        <v>3</v>
      </c>
      <c r="BS1146" s="67">
        <v>0</v>
      </c>
      <c r="BT1146" s="67">
        <v>0</v>
      </c>
      <c r="BU1146" s="70">
        <v>10</v>
      </c>
      <c r="BV1146" s="29">
        <f t="shared" si="261"/>
        <v>0.24871326277266606</v>
      </c>
      <c r="BW1146">
        <f t="shared" si="262"/>
        <v>0.31476636926356072</v>
      </c>
      <c r="BX1146">
        <f t="shared" si="263"/>
        <v>0.1644554352117841</v>
      </c>
      <c r="BY1146">
        <f t="shared" si="264"/>
        <v>0.32778177112653761</v>
      </c>
      <c r="BZ1146">
        <f t="shared" si="265"/>
        <v>0.88721318382472392</v>
      </c>
      <c r="CA1146">
        <f t="shared" si="266"/>
        <v>0.6484474368621912</v>
      </c>
      <c r="CB1146">
        <f t="shared" si="267"/>
        <v>0.67891464284095016</v>
      </c>
    </row>
    <row r="1147" spans="1:80" x14ac:dyDescent="0.45">
      <c r="A1147" s="11">
        <v>36</v>
      </c>
      <c r="B1147" s="12">
        <f t="shared" si="255"/>
        <v>36</v>
      </c>
      <c r="C1147" s="12" t="s">
        <v>59</v>
      </c>
      <c r="D1147" s="12">
        <v>0</v>
      </c>
      <c r="E1147" s="12" t="s">
        <v>53</v>
      </c>
      <c r="F1147" s="12">
        <v>0</v>
      </c>
      <c r="G1147" s="12">
        <v>1</v>
      </c>
      <c r="H1147" s="12" t="s">
        <v>61</v>
      </c>
      <c r="I1147" s="12">
        <v>1</v>
      </c>
      <c r="J1147" s="12">
        <v>0</v>
      </c>
      <c r="K1147" s="12">
        <v>12</v>
      </c>
      <c r="L1147" s="12">
        <f t="shared" si="256"/>
        <v>12</v>
      </c>
      <c r="M1147" s="12">
        <v>4</v>
      </c>
      <c r="N1147" s="12" t="s">
        <v>55</v>
      </c>
      <c r="O1147" s="12">
        <v>1</v>
      </c>
      <c r="P1147" s="12">
        <v>0</v>
      </c>
      <c r="Q1147" s="12">
        <v>0</v>
      </c>
      <c r="R1147" s="12">
        <v>0</v>
      </c>
      <c r="S1147" s="12">
        <v>0</v>
      </c>
      <c r="T1147" s="12">
        <v>3</v>
      </c>
      <c r="U1147" s="12" t="s">
        <v>19</v>
      </c>
      <c r="V1147" s="12">
        <v>1</v>
      </c>
      <c r="W1147" s="12">
        <v>76</v>
      </c>
      <c r="X1147" s="12">
        <v>3</v>
      </c>
      <c r="Y1147" s="12">
        <v>2</v>
      </c>
      <c r="Z1147" s="12" t="s">
        <v>83</v>
      </c>
      <c r="AA1147" s="12">
        <v>0</v>
      </c>
      <c r="AB1147" s="12">
        <v>0</v>
      </c>
      <c r="AC1147" s="12">
        <v>0</v>
      </c>
      <c r="AD1147" s="12">
        <v>0</v>
      </c>
      <c r="AE1147" s="12">
        <v>1</v>
      </c>
      <c r="AF1147" s="12">
        <v>1</v>
      </c>
      <c r="AG1147" s="12">
        <v>0</v>
      </c>
      <c r="AH1147" s="12">
        <v>0</v>
      </c>
      <c r="AI1147" s="12">
        <v>3</v>
      </c>
      <c r="AJ1147" s="12" t="s">
        <v>64</v>
      </c>
      <c r="AK1147" s="12">
        <v>0</v>
      </c>
      <c r="AL1147" s="12">
        <v>1</v>
      </c>
      <c r="AM1147" s="12">
        <v>4663</v>
      </c>
      <c r="AN1147" s="12">
        <f t="shared" si="257"/>
        <v>4663</v>
      </c>
      <c r="AO1147" s="12">
        <v>9</v>
      </c>
      <c r="AP1147" s="12" t="s">
        <v>52</v>
      </c>
      <c r="AQ1147" s="12">
        <v>1</v>
      </c>
      <c r="AR1147" s="12">
        <v>12</v>
      </c>
      <c r="AS1147" s="12">
        <v>3</v>
      </c>
      <c r="AT1147" s="12">
        <v>2</v>
      </c>
      <c r="AU1147" s="12">
        <v>2</v>
      </c>
      <c r="AV1147" s="12">
        <v>7</v>
      </c>
      <c r="AW1147" s="12">
        <f t="shared" si="258"/>
        <v>7</v>
      </c>
      <c r="AX1147" s="12">
        <v>2</v>
      </c>
      <c r="AY1147" s="12">
        <v>3</v>
      </c>
      <c r="AZ1147" s="12">
        <v>3</v>
      </c>
      <c r="BA1147" s="12">
        <f t="shared" si="259"/>
        <v>3</v>
      </c>
      <c r="BB1147" s="12">
        <v>2</v>
      </c>
      <c r="BC1147" s="12">
        <v>1</v>
      </c>
      <c r="BD1147" s="12">
        <f t="shared" si="268"/>
        <v>1</v>
      </c>
      <c r="BE1147" s="12">
        <v>1</v>
      </c>
      <c r="BF1147" s="12">
        <f t="shared" si="260"/>
        <v>1</v>
      </c>
      <c r="BG1147" s="12">
        <f t="shared" si="269"/>
        <v>2</v>
      </c>
      <c r="BH1147" s="67">
        <v>0</v>
      </c>
      <c r="BI1147" s="67">
        <v>1</v>
      </c>
      <c r="BJ1147" s="67">
        <v>0</v>
      </c>
      <c r="BK1147" s="67">
        <v>0</v>
      </c>
      <c r="BL1147" s="67">
        <v>0</v>
      </c>
      <c r="BM1147" s="67">
        <v>0</v>
      </c>
      <c r="BN1147" s="67">
        <v>0</v>
      </c>
      <c r="BO1147" s="67">
        <v>1</v>
      </c>
      <c r="BP1147" s="67">
        <v>0</v>
      </c>
      <c r="BQ1147" s="67">
        <v>1</v>
      </c>
      <c r="BR1147" s="67">
        <v>0</v>
      </c>
      <c r="BS1147" s="67">
        <v>0</v>
      </c>
      <c r="BT1147" s="67">
        <v>7</v>
      </c>
      <c r="BU1147" s="70">
        <v>0</v>
      </c>
      <c r="BV1147" s="29">
        <f t="shared" si="261"/>
        <v>0.3908131228227355</v>
      </c>
      <c r="BW1147">
        <f t="shared" si="262"/>
        <v>0.87528310193156111</v>
      </c>
      <c r="BX1147">
        <f t="shared" si="263"/>
        <v>0.55002080963175637</v>
      </c>
      <c r="BY1147">
        <f t="shared" si="264"/>
        <v>0.65423109602898355</v>
      </c>
      <c r="BZ1147">
        <f t="shared" si="265"/>
        <v>0.3463093549271386</v>
      </c>
      <c r="CA1147">
        <f t="shared" si="266"/>
        <v>0.10112443951066327</v>
      </c>
      <c r="CB1147">
        <f t="shared" si="267"/>
        <v>0.36858985273641137</v>
      </c>
    </row>
    <row r="1148" spans="1:80" x14ac:dyDescent="0.45">
      <c r="A1148" s="11">
        <v>34</v>
      </c>
      <c r="B1148" s="12">
        <f t="shared" si="255"/>
        <v>34</v>
      </c>
      <c r="C1148" s="12" t="s">
        <v>59</v>
      </c>
      <c r="D1148" s="12">
        <v>0</v>
      </c>
      <c r="E1148" s="12" t="s">
        <v>60</v>
      </c>
      <c r="F1148" s="12">
        <v>1</v>
      </c>
      <c r="G1148" s="12">
        <v>0</v>
      </c>
      <c r="H1148" s="12" t="s">
        <v>61</v>
      </c>
      <c r="I1148" s="12">
        <v>1</v>
      </c>
      <c r="J1148" s="12">
        <v>0</v>
      </c>
      <c r="K1148" s="12">
        <v>10</v>
      </c>
      <c r="L1148" s="12">
        <f t="shared" si="256"/>
        <v>10</v>
      </c>
      <c r="M1148" s="12">
        <v>4</v>
      </c>
      <c r="N1148" s="12" t="s">
        <v>55</v>
      </c>
      <c r="O1148" s="12">
        <v>1</v>
      </c>
      <c r="P1148" s="12">
        <v>0</v>
      </c>
      <c r="Q1148" s="12">
        <v>0</v>
      </c>
      <c r="R1148" s="12">
        <v>0</v>
      </c>
      <c r="S1148" s="12">
        <v>0</v>
      </c>
      <c r="T1148" s="12">
        <v>3</v>
      </c>
      <c r="U1148" s="12" t="s">
        <v>62</v>
      </c>
      <c r="V1148" s="12">
        <v>0</v>
      </c>
      <c r="W1148" s="12">
        <v>42</v>
      </c>
      <c r="X1148" s="12">
        <v>4</v>
      </c>
      <c r="Y1148" s="12">
        <v>2</v>
      </c>
      <c r="Z1148" s="12" t="s">
        <v>83</v>
      </c>
      <c r="AA1148" s="12">
        <v>0</v>
      </c>
      <c r="AB1148" s="12">
        <v>0</v>
      </c>
      <c r="AC1148" s="12">
        <v>0</v>
      </c>
      <c r="AD1148" s="12">
        <v>0</v>
      </c>
      <c r="AE1148" s="12">
        <v>1</v>
      </c>
      <c r="AF1148" s="12">
        <v>1</v>
      </c>
      <c r="AG1148" s="12">
        <v>0</v>
      </c>
      <c r="AH1148" s="12">
        <v>0</v>
      </c>
      <c r="AI1148" s="12">
        <v>4</v>
      </c>
      <c r="AJ1148" s="12" t="s">
        <v>78</v>
      </c>
      <c r="AK1148" s="12">
        <v>0</v>
      </c>
      <c r="AL1148" s="12">
        <v>0</v>
      </c>
      <c r="AM1148" s="12">
        <v>4724</v>
      </c>
      <c r="AN1148" s="12">
        <f t="shared" si="257"/>
        <v>4724</v>
      </c>
      <c r="AO1148" s="12">
        <v>1</v>
      </c>
      <c r="AP1148" s="12" t="s">
        <v>59</v>
      </c>
      <c r="AQ1148" s="12">
        <v>0</v>
      </c>
      <c r="AR1148" s="12">
        <v>13</v>
      </c>
      <c r="AS1148" s="12">
        <v>3</v>
      </c>
      <c r="AT1148" s="12">
        <v>1</v>
      </c>
      <c r="AU1148" s="12">
        <v>1</v>
      </c>
      <c r="AV1148" s="12">
        <v>9</v>
      </c>
      <c r="AW1148" s="12">
        <f t="shared" si="258"/>
        <v>9</v>
      </c>
      <c r="AX1148" s="12">
        <v>3</v>
      </c>
      <c r="AY1148" s="12">
        <v>3</v>
      </c>
      <c r="AZ1148" s="12">
        <v>9</v>
      </c>
      <c r="BA1148" s="12">
        <f t="shared" si="259"/>
        <v>9</v>
      </c>
      <c r="BB1148" s="12">
        <v>7</v>
      </c>
      <c r="BC1148" s="12">
        <v>7</v>
      </c>
      <c r="BD1148" s="12">
        <f t="shared" si="268"/>
        <v>7</v>
      </c>
      <c r="BE1148" s="12">
        <v>2</v>
      </c>
      <c r="BF1148" s="12">
        <f t="shared" si="260"/>
        <v>2</v>
      </c>
      <c r="BG1148" s="12">
        <f t="shared" si="269"/>
        <v>4</v>
      </c>
      <c r="BH1148" s="67">
        <v>0</v>
      </c>
      <c r="BI1148" s="67">
        <v>0</v>
      </c>
      <c r="BJ1148" s="67">
        <v>1</v>
      </c>
      <c r="BK1148" s="67">
        <v>0</v>
      </c>
      <c r="BL1148" s="67">
        <v>1</v>
      </c>
      <c r="BM1148" s="67">
        <v>0</v>
      </c>
      <c r="BN1148" s="67">
        <v>0</v>
      </c>
      <c r="BO1148" s="67">
        <v>0</v>
      </c>
      <c r="BP1148" s="67">
        <v>0</v>
      </c>
      <c r="BQ1148" s="67">
        <v>2</v>
      </c>
      <c r="BR1148" s="67">
        <v>0</v>
      </c>
      <c r="BS1148" s="67">
        <v>0</v>
      </c>
      <c r="BT1148" s="67">
        <v>9</v>
      </c>
      <c r="BU1148" s="70">
        <v>0</v>
      </c>
      <c r="BV1148" s="29">
        <f t="shared" si="261"/>
        <v>0.37785633438767685</v>
      </c>
      <c r="BW1148">
        <f t="shared" si="262"/>
        <v>0.59502473559756086</v>
      </c>
      <c r="BX1148">
        <f t="shared" si="263"/>
        <v>0.29297722668510823</v>
      </c>
      <c r="BY1148">
        <f t="shared" si="264"/>
        <v>0.32511687867835437</v>
      </c>
      <c r="BZ1148">
        <f t="shared" si="265"/>
        <v>9.9604847176766084E-2</v>
      </c>
      <c r="CA1148">
        <f t="shared" si="266"/>
        <v>0.32005363845127444</v>
      </c>
      <c r="CB1148">
        <f t="shared" si="267"/>
        <v>1.4933588878908215</v>
      </c>
    </row>
    <row r="1149" spans="1:80" x14ac:dyDescent="0.45">
      <c r="A1149" s="11">
        <v>49</v>
      </c>
      <c r="B1149" s="12">
        <f t="shared" si="255"/>
        <v>49</v>
      </c>
      <c r="C1149" s="12" t="s">
        <v>59</v>
      </c>
      <c r="D1149" s="12">
        <v>0</v>
      </c>
      <c r="E1149" s="12" t="s">
        <v>53</v>
      </c>
      <c r="F1149" s="12">
        <v>0</v>
      </c>
      <c r="G1149" s="12">
        <v>1</v>
      </c>
      <c r="H1149" s="12" t="s">
        <v>61</v>
      </c>
      <c r="I1149" s="12">
        <v>1</v>
      </c>
      <c r="J1149" s="12">
        <v>0</v>
      </c>
      <c r="K1149" s="12">
        <v>25</v>
      </c>
      <c r="L1149" s="12">
        <f t="shared" si="256"/>
        <v>25</v>
      </c>
      <c r="M1149" s="12">
        <v>4</v>
      </c>
      <c r="N1149" s="12" t="s">
        <v>55</v>
      </c>
      <c r="O1149" s="12">
        <v>1</v>
      </c>
      <c r="P1149" s="12">
        <v>0</v>
      </c>
      <c r="Q1149" s="12">
        <v>0</v>
      </c>
      <c r="R1149" s="12">
        <v>0</v>
      </c>
      <c r="S1149" s="12">
        <v>0</v>
      </c>
      <c r="T1149" s="12">
        <v>3</v>
      </c>
      <c r="U1149" s="12" t="s">
        <v>19</v>
      </c>
      <c r="V1149" s="12">
        <v>1</v>
      </c>
      <c r="W1149" s="12">
        <v>84</v>
      </c>
      <c r="X1149" s="12">
        <v>3</v>
      </c>
      <c r="Y1149" s="12">
        <v>1</v>
      </c>
      <c r="Z1149" s="12" t="s">
        <v>67</v>
      </c>
      <c r="AA1149" s="12">
        <v>0</v>
      </c>
      <c r="AB1149" s="12">
        <v>0</v>
      </c>
      <c r="AC1149" s="12">
        <v>1</v>
      </c>
      <c r="AD1149" s="12">
        <v>0</v>
      </c>
      <c r="AE1149" s="12">
        <v>0</v>
      </c>
      <c r="AF1149" s="12">
        <v>0</v>
      </c>
      <c r="AG1149" s="12">
        <v>0</v>
      </c>
      <c r="AH1149" s="12">
        <v>0</v>
      </c>
      <c r="AI1149" s="12">
        <v>1</v>
      </c>
      <c r="AJ1149" s="12" t="s">
        <v>64</v>
      </c>
      <c r="AK1149" s="12">
        <v>0</v>
      </c>
      <c r="AL1149" s="12">
        <v>1</v>
      </c>
      <c r="AM1149" s="12">
        <v>3211</v>
      </c>
      <c r="AN1149" s="12">
        <f t="shared" si="257"/>
        <v>3211</v>
      </c>
      <c r="AO1149" s="12">
        <v>1</v>
      </c>
      <c r="AP1149" s="12" t="s">
        <v>59</v>
      </c>
      <c r="AQ1149" s="12">
        <v>0</v>
      </c>
      <c r="AR1149" s="12">
        <v>14</v>
      </c>
      <c r="AS1149" s="12">
        <v>3</v>
      </c>
      <c r="AT1149" s="12">
        <v>4</v>
      </c>
      <c r="AU1149" s="12">
        <v>1</v>
      </c>
      <c r="AV1149" s="12">
        <v>10</v>
      </c>
      <c r="AW1149" s="12">
        <f t="shared" si="258"/>
        <v>10</v>
      </c>
      <c r="AX1149" s="12">
        <v>3</v>
      </c>
      <c r="AY1149" s="12">
        <v>2</v>
      </c>
      <c r="AZ1149" s="12">
        <v>9</v>
      </c>
      <c r="BA1149" s="12">
        <f t="shared" si="259"/>
        <v>9</v>
      </c>
      <c r="BB1149" s="12">
        <v>6</v>
      </c>
      <c r="BC1149" s="12">
        <v>1</v>
      </c>
      <c r="BD1149" s="12">
        <f t="shared" si="268"/>
        <v>1</v>
      </c>
      <c r="BE1149" s="12">
        <v>4</v>
      </c>
      <c r="BF1149" s="12">
        <f t="shared" si="260"/>
        <v>4</v>
      </c>
      <c r="BG1149" s="12">
        <f t="shared" si="269"/>
        <v>4</v>
      </c>
      <c r="BH1149" s="67">
        <v>0</v>
      </c>
      <c r="BI1149" s="67">
        <v>1</v>
      </c>
      <c r="BJ1149" s="67">
        <v>0</v>
      </c>
      <c r="BK1149" s="67">
        <v>0</v>
      </c>
      <c r="BL1149" s="67">
        <v>0</v>
      </c>
      <c r="BM1149" s="67">
        <v>0</v>
      </c>
      <c r="BN1149" s="67">
        <v>1</v>
      </c>
      <c r="BO1149" s="67">
        <v>0</v>
      </c>
      <c r="BP1149" s="67">
        <v>0</v>
      </c>
      <c r="BQ1149" s="67">
        <v>4</v>
      </c>
      <c r="BR1149" s="67">
        <v>0</v>
      </c>
      <c r="BS1149" s="67">
        <v>0</v>
      </c>
      <c r="BT1149" s="67">
        <v>10</v>
      </c>
      <c r="BU1149" s="70">
        <v>0</v>
      </c>
      <c r="BV1149" s="29">
        <f t="shared" si="261"/>
        <v>0.69922716885068881</v>
      </c>
      <c r="BW1149">
        <f t="shared" si="262"/>
        <v>3.4508002929560584E-2</v>
      </c>
      <c r="BX1149">
        <f t="shared" si="263"/>
        <v>0.1644554352117841</v>
      </c>
      <c r="BY1149">
        <f t="shared" si="264"/>
        <v>0.32511687867835437</v>
      </c>
      <c r="BZ1149">
        <f t="shared" si="265"/>
        <v>1.9498886553045598</v>
      </c>
      <c r="CA1149">
        <f t="shared" si="266"/>
        <v>1.3219153536033093</v>
      </c>
      <c r="CB1149">
        <f t="shared" si="267"/>
        <v>0.36858985273641137</v>
      </c>
    </row>
    <row r="1150" spans="1:80" x14ac:dyDescent="0.45">
      <c r="A1150" s="11">
        <v>39</v>
      </c>
      <c r="B1150" s="12">
        <f t="shared" si="255"/>
        <v>39</v>
      </c>
      <c r="C1150" s="12" t="s">
        <v>59</v>
      </c>
      <c r="D1150" s="12">
        <v>0</v>
      </c>
      <c r="E1150" s="12" t="s">
        <v>53</v>
      </c>
      <c r="F1150" s="12">
        <v>0</v>
      </c>
      <c r="G1150" s="12">
        <v>1</v>
      </c>
      <c r="H1150" s="12" t="s">
        <v>61</v>
      </c>
      <c r="I1150" s="12">
        <v>1</v>
      </c>
      <c r="J1150" s="12">
        <v>0</v>
      </c>
      <c r="K1150" s="12">
        <v>10</v>
      </c>
      <c r="L1150" s="12">
        <f t="shared" si="256"/>
        <v>10</v>
      </c>
      <c r="M1150" s="12">
        <v>5</v>
      </c>
      <c r="N1150" s="12" t="s">
        <v>70</v>
      </c>
      <c r="O1150" s="12">
        <v>0</v>
      </c>
      <c r="P1150" s="12">
        <v>0</v>
      </c>
      <c r="Q1150" s="12">
        <v>1</v>
      </c>
      <c r="R1150" s="12">
        <v>0</v>
      </c>
      <c r="S1150" s="12">
        <v>0</v>
      </c>
      <c r="T1150" s="12">
        <v>2</v>
      </c>
      <c r="U1150" s="12" t="s">
        <v>62</v>
      </c>
      <c r="V1150" s="12">
        <v>0</v>
      </c>
      <c r="W1150" s="12">
        <v>76</v>
      </c>
      <c r="X1150" s="12">
        <v>3</v>
      </c>
      <c r="Y1150" s="12">
        <v>2</v>
      </c>
      <c r="Z1150" s="12" t="s">
        <v>83</v>
      </c>
      <c r="AA1150" s="12">
        <v>0</v>
      </c>
      <c r="AB1150" s="12">
        <v>0</v>
      </c>
      <c r="AC1150" s="12">
        <v>0</v>
      </c>
      <c r="AD1150" s="12">
        <v>0</v>
      </c>
      <c r="AE1150" s="12">
        <v>1</v>
      </c>
      <c r="AF1150" s="12">
        <v>1</v>
      </c>
      <c r="AG1150" s="12">
        <v>0</v>
      </c>
      <c r="AH1150" s="12">
        <v>0</v>
      </c>
      <c r="AI1150" s="12">
        <v>1</v>
      </c>
      <c r="AJ1150" s="12" t="s">
        <v>64</v>
      </c>
      <c r="AK1150" s="12">
        <v>0</v>
      </c>
      <c r="AL1150" s="12">
        <v>1</v>
      </c>
      <c r="AM1150" s="12">
        <v>5377</v>
      </c>
      <c r="AN1150" s="12">
        <f t="shared" si="257"/>
        <v>5377</v>
      </c>
      <c r="AO1150" s="12">
        <v>2</v>
      </c>
      <c r="AP1150" s="12" t="s">
        <v>59</v>
      </c>
      <c r="AQ1150" s="12">
        <v>0</v>
      </c>
      <c r="AR1150" s="12">
        <v>13</v>
      </c>
      <c r="AS1150" s="12">
        <v>3</v>
      </c>
      <c r="AT1150" s="12">
        <v>4</v>
      </c>
      <c r="AU1150" s="12">
        <v>3</v>
      </c>
      <c r="AV1150" s="12">
        <v>10</v>
      </c>
      <c r="AW1150" s="12">
        <f t="shared" si="258"/>
        <v>10</v>
      </c>
      <c r="AX1150" s="12">
        <v>3</v>
      </c>
      <c r="AY1150" s="12">
        <v>3</v>
      </c>
      <c r="AZ1150" s="12">
        <v>7</v>
      </c>
      <c r="BA1150" s="12">
        <f t="shared" si="259"/>
        <v>7</v>
      </c>
      <c r="BB1150" s="12">
        <v>7</v>
      </c>
      <c r="BC1150" s="12">
        <v>7</v>
      </c>
      <c r="BD1150" s="12">
        <f t="shared" si="268"/>
        <v>7</v>
      </c>
      <c r="BE1150" s="12">
        <v>7</v>
      </c>
      <c r="BF1150" s="12">
        <f t="shared" si="260"/>
        <v>7</v>
      </c>
      <c r="BG1150" s="12">
        <f t="shared" si="269"/>
        <v>14</v>
      </c>
      <c r="BH1150" s="67">
        <v>0</v>
      </c>
      <c r="BI1150" s="67">
        <v>1</v>
      </c>
      <c r="BJ1150" s="67">
        <v>0</v>
      </c>
      <c r="BK1150" s="67">
        <v>0</v>
      </c>
      <c r="BL1150" s="67">
        <v>0</v>
      </c>
      <c r="BM1150" s="67">
        <v>0</v>
      </c>
      <c r="BN1150" s="67">
        <v>1</v>
      </c>
      <c r="BO1150" s="67">
        <v>0</v>
      </c>
      <c r="BP1150" s="67">
        <v>0</v>
      </c>
      <c r="BQ1150" s="67">
        <v>7</v>
      </c>
      <c r="BR1150" s="67">
        <v>0</v>
      </c>
      <c r="BS1150" s="67">
        <v>0</v>
      </c>
      <c r="BT1150" s="67">
        <v>10</v>
      </c>
      <c r="BU1150" s="70">
        <v>0</v>
      </c>
      <c r="BV1150" s="29">
        <f t="shared" si="261"/>
        <v>0.23915497622221296</v>
      </c>
      <c r="BW1150">
        <f t="shared" si="262"/>
        <v>0.80626709607243985</v>
      </c>
      <c r="BX1150">
        <f t="shared" si="263"/>
        <v>0.1644554352117841</v>
      </c>
      <c r="BY1150">
        <f t="shared" si="264"/>
        <v>1.3324462240916321E-3</v>
      </c>
      <c r="BZ1150">
        <f t="shared" si="265"/>
        <v>9.9604847176766084E-2</v>
      </c>
      <c r="CA1150">
        <f t="shared" si="266"/>
        <v>0.22726935890025346</v>
      </c>
      <c r="CB1150">
        <f t="shared" si="267"/>
        <v>1.4933588878908215</v>
      </c>
    </row>
    <row r="1151" spans="1:80" x14ac:dyDescent="0.45">
      <c r="A1151" s="11">
        <v>27</v>
      </c>
      <c r="B1151" s="12">
        <f t="shared" si="255"/>
        <v>27</v>
      </c>
      <c r="C1151" s="12" t="s">
        <v>59</v>
      </c>
      <c r="D1151" s="12">
        <v>0</v>
      </c>
      <c r="E1151" s="12" t="s">
        <v>53</v>
      </c>
      <c r="F1151" s="12">
        <v>0</v>
      </c>
      <c r="G1151" s="12">
        <v>1</v>
      </c>
      <c r="H1151" s="12" t="s">
        <v>61</v>
      </c>
      <c r="I1151" s="12">
        <v>1</v>
      </c>
      <c r="J1151" s="12">
        <v>0</v>
      </c>
      <c r="K1151" s="12">
        <v>19</v>
      </c>
      <c r="L1151" s="12">
        <f t="shared" si="256"/>
        <v>19</v>
      </c>
      <c r="M1151" s="12">
        <v>3</v>
      </c>
      <c r="N1151" s="12" t="s">
        <v>66</v>
      </c>
      <c r="O1151" s="12">
        <v>0</v>
      </c>
      <c r="P1151" s="12">
        <v>1</v>
      </c>
      <c r="Q1151" s="12">
        <v>0</v>
      </c>
      <c r="R1151" s="12">
        <v>0</v>
      </c>
      <c r="S1151" s="12">
        <v>0</v>
      </c>
      <c r="T1151" s="12">
        <v>4</v>
      </c>
      <c r="U1151" s="12" t="s">
        <v>62</v>
      </c>
      <c r="V1151" s="12">
        <v>0</v>
      </c>
      <c r="W1151" s="12">
        <v>67</v>
      </c>
      <c r="X1151" s="12">
        <v>2</v>
      </c>
      <c r="Y1151" s="12">
        <v>1</v>
      </c>
      <c r="Z1151" s="12" t="s">
        <v>67</v>
      </c>
      <c r="AA1151" s="12">
        <v>0</v>
      </c>
      <c r="AB1151" s="12">
        <v>0</v>
      </c>
      <c r="AC1151" s="12">
        <v>1</v>
      </c>
      <c r="AD1151" s="12">
        <v>0</v>
      </c>
      <c r="AE1151" s="12">
        <v>0</v>
      </c>
      <c r="AF1151" s="12">
        <v>0</v>
      </c>
      <c r="AG1151" s="12">
        <v>0</v>
      </c>
      <c r="AH1151" s="12">
        <v>0</v>
      </c>
      <c r="AI1151" s="12">
        <v>1</v>
      </c>
      <c r="AJ1151" s="12" t="s">
        <v>78</v>
      </c>
      <c r="AK1151" s="12">
        <v>0</v>
      </c>
      <c r="AL1151" s="12">
        <v>0</v>
      </c>
      <c r="AM1151" s="12">
        <v>4066</v>
      </c>
      <c r="AN1151" s="12">
        <f t="shared" si="257"/>
        <v>4066</v>
      </c>
      <c r="AO1151" s="12">
        <v>1</v>
      </c>
      <c r="AP1151" s="12" t="s">
        <v>59</v>
      </c>
      <c r="AQ1151" s="12">
        <v>0</v>
      </c>
      <c r="AR1151" s="12">
        <v>11</v>
      </c>
      <c r="AS1151" s="12">
        <v>3</v>
      </c>
      <c r="AT1151" s="12">
        <v>1</v>
      </c>
      <c r="AU1151" s="12">
        <v>2</v>
      </c>
      <c r="AV1151" s="12">
        <v>7</v>
      </c>
      <c r="AW1151" s="12">
        <f t="shared" si="258"/>
        <v>7</v>
      </c>
      <c r="AX1151" s="12">
        <v>3</v>
      </c>
      <c r="AY1151" s="12">
        <v>3</v>
      </c>
      <c r="AZ1151" s="12">
        <v>7</v>
      </c>
      <c r="BA1151" s="12">
        <f t="shared" si="259"/>
        <v>7</v>
      </c>
      <c r="BB1151" s="12">
        <v>7</v>
      </c>
      <c r="BC1151" s="12">
        <v>0</v>
      </c>
      <c r="BD1151" s="12">
        <f t="shared" si="268"/>
        <v>0</v>
      </c>
      <c r="BE1151" s="12">
        <v>7</v>
      </c>
      <c r="BF1151" s="12">
        <f t="shared" si="260"/>
        <v>7</v>
      </c>
      <c r="BG1151" s="12">
        <f t="shared" si="269"/>
        <v>7</v>
      </c>
      <c r="BH1151" s="67">
        <v>1</v>
      </c>
      <c r="BI1151" s="67">
        <v>0</v>
      </c>
      <c r="BJ1151" s="67">
        <v>0</v>
      </c>
      <c r="BK1151" s="67">
        <v>0</v>
      </c>
      <c r="BL1151" s="67">
        <v>1</v>
      </c>
      <c r="BM1151" s="67">
        <v>0</v>
      </c>
      <c r="BN1151" s="67">
        <v>0</v>
      </c>
      <c r="BO1151" s="67">
        <v>0</v>
      </c>
      <c r="BP1151" s="67">
        <v>0</v>
      </c>
      <c r="BQ1151" s="67">
        <v>7</v>
      </c>
      <c r="BR1151" s="67">
        <v>0</v>
      </c>
      <c r="BS1151" s="67">
        <v>0</v>
      </c>
      <c r="BT1151" s="67">
        <v>7</v>
      </c>
      <c r="BU1151" s="70">
        <v>0</v>
      </c>
      <c r="BV1151" s="29">
        <f t="shared" si="261"/>
        <v>0.51761972439207993</v>
      </c>
      <c r="BW1151">
        <f t="shared" si="262"/>
        <v>0.80626709607243985</v>
      </c>
      <c r="BX1151">
        <f t="shared" si="263"/>
        <v>0.55002080963175637</v>
      </c>
      <c r="BY1151">
        <f t="shared" si="264"/>
        <v>1.3324462240916321E-3</v>
      </c>
      <c r="BZ1151">
        <f t="shared" si="265"/>
        <v>1.2097751320534422</v>
      </c>
      <c r="CA1151">
        <f t="shared" si="266"/>
        <v>1.0863058347434136</v>
      </c>
      <c r="CB1151">
        <f t="shared" si="267"/>
        <v>0.67891464284095016</v>
      </c>
    </row>
    <row r="1152" spans="1:80" x14ac:dyDescent="0.45">
      <c r="A1152" s="11">
        <v>35</v>
      </c>
      <c r="B1152" s="12">
        <f t="shared" si="255"/>
        <v>35</v>
      </c>
      <c r="C1152" s="12" t="s">
        <v>59</v>
      </c>
      <c r="D1152" s="12">
        <v>0</v>
      </c>
      <c r="E1152" s="12" t="s">
        <v>53</v>
      </c>
      <c r="F1152" s="12">
        <v>0</v>
      </c>
      <c r="G1152" s="12">
        <v>1</v>
      </c>
      <c r="H1152" s="12" t="s">
        <v>61</v>
      </c>
      <c r="I1152" s="12">
        <v>1</v>
      </c>
      <c r="J1152" s="12">
        <v>0</v>
      </c>
      <c r="K1152" s="12">
        <v>18</v>
      </c>
      <c r="L1152" s="12">
        <f t="shared" si="256"/>
        <v>18</v>
      </c>
      <c r="M1152" s="12">
        <v>5</v>
      </c>
      <c r="N1152" s="12" t="s">
        <v>55</v>
      </c>
      <c r="O1152" s="12">
        <v>1</v>
      </c>
      <c r="P1152" s="12">
        <v>0</v>
      </c>
      <c r="Q1152" s="12">
        <v>0</v>
      </c>
      <c r="R1152" s="12">
        <v>0</v>
      </c>
      <c r="S1152" s="12">
        <v>0</v>
      </c>
      <c r="T1152" s="12">
        <v>2</v>
      </c>
      <c r="U1152" s="12" t="s">
        <v>62</v>
      </c>
      <c r="V1152" s="12">
        <v>0</v>
      </c>
      <c r="W1152" s="12">
        <v>48</v>
      </c>
      <c r="X1152" s="12">
        <v>4</v>
      </c>
      <c r="Y1152" s="12">
        <v>2</v>
      </c>
      <c r="Z1152" s="12" t="s">
        <v>63</v>
      </c>
      <c r="AA1152" s="12">
        <v>0</v>
      </c>
      <c r="AB1152" s="12">
        <v>0</v>
      </c>
      <c r="AC1152" s="12">
        <v>0</v>
      </c>
      <c r="AD1152" s="12">
        <v>0</v>
      </c>
      <c r="AE1152" s="12">
        <v>0</v>
      </c>
      <c r="AF1152" s="12">
        <v>0</v>
      </c>
      <c r="AG1152" s="12">
        <v>0</v>
      </c>
      <c r="AH1152" s="12">
        <v>1</v>
      </c>
      <c r="AI1152" s="12">
        <v>1</v>
      </c>
      <c r="AJ1152" s="12" t="s">
        <v>64</v>
      </c>
      <c r="AK1152" s="12">
        <v>0</v>
      </c>
      <c r="AL1152" s="12">
        <v>1</v>
      </c>
      <c r="AM1152" s="12">
        <v>5208</v>
      </c>
      <c r="AN1152" s="12">
        <f t="shared" si="257"/>
        <v>5208</v>
      </c>
      <c r="AO1152" s="12">
        <v>1</v>
      </c>
      <c r="AP1152" s="12" t="s">
        <v>59</v>
      </c>
      <c r="AQ1152" s="12">
        <v>0</v>
      </c>
      <c r="AR1152" s="12">
        <v>11</v>
      </c>
      <c r="AS1152" s="12">
        <v>3</v>
      </c>
      <c r="AT1152" s="12">
        <v>4</v>
      </c>
      <c r="AU1152" s="12">
        <v>0</v>
      </c>
      <c r="AV1152" s="12">
        <v>16</v>
      </c>
      <c r="AW1152" s="12">
        <f t="shared" si="258"/>
        <v>16</v>
      </c>
      <c r="AX1152" s="12">
        <v>2</v>
      </c>
      <c r="AY1152" s="12">
        <v>3</v>
      </c>
      <c r="AZ1152" s="12">
        <v>16</v>
      </c>
      <c r="BA1152" s="12">
        <f t="shared" si="259"/>
        <v>16</v>
      </c>
      <c r="BB1152" s="12">
        <v>15</v>
      </c>
      <c r="BC1152" s="12">
        <v>1</v>
      </c>
      <c r="BD1152" s="12">
        <f t="shared" si="268"/>
        <v>1</v>
      </c>
      <c r="BE1152" s="12">
        <v>10</v>
      </c>
      <c r="BF1152" s="12">
        <f t="shared" si="260"/>
        <v>10</v>
      </c>
      <c r="BG1152" s="12">
        <f t="shared" si="269"/>
        <v>20</v>
      </c>
      <c r="BH1152" s="67">
        <v>0</v>
      </c>
      <c r="BI1152" s="67">
        <v>1</v>
      </c>
      <c r="BJ1152" s="67">
        <v>0</v>
      </c>
      <c r="BK1152" s="67">
        <v>0</v>
      </c>
      <c r="BL1152" s="67">
        <v>0</v>
      </c>
      <c r="BM1152" s="67">
        <v>0</v>
      </c>
      <c r="BN1152" s="67">
        <v>1</v>
      </c>
      <c r="BO1152" s="67">
        <v>0</v>
      </c>
      <c r="BP1152" s="67">
        <v>0</v>
      </c>
      <c r="BQ1152" s="67">
        <v>10</v>
      </c>
      <c r="BR1152" s="67">
        <v>0</v>
      </c>
      <c r="BS1152" s="67">
        <v>0</v>
      </c>
      <c r="BT1152" s="67">
        <v>16</v>
      </c>
      <c r="BU1152" s="70">
        <v>0</v>
      </c>
      <c r="BV1152" s="29">
        <f t="shared" si="261"/>
        <v>0.27505165237835905</v>
      </c>
      <c r="BW1152">
        <f t="shared" si="262"/>
        <v>1.6470421950744405</v>
      </c>
      <c r="BX1152">
        <f t="shared" si="263"/>
        <v>0.60667531362816052</v>
      </c>
      <c r="BY1152">
        <f t="shared" si="264"/>
        <v>1.4676895158369152</v>
      </c>
      <c r="BZ1152">
        <f t="shared" si="265"/>
        <v>1.0864228781782561</v>
      </c>
      <c r="CA1152">
        <f t="shared" si="266"/>
        <v>0.21058903898096887</v>
      </c>
      <c r="CB1152">
        <f t="shared" si="267"/>
        <v>0.36858985273641137</v>
      </c>
    </row>
    <row r="1153" spans="1:80" x14ac:dyDescent="0.45">
      <c r="A1153" s="11">
        <v>28</v>
      </c>
      <c r="B1153" s="12">
        <f t="shared" si="255"/>
        <v>28</v>
      </c>
      <c r="C1153" s="12" t="s">
        <v>59</v>
      </c>
      <c r="D1153" s="12">
        <v>0</v>
      </c>
      <c r="E1153" s="12" t="s">
        <v>53</v>
      </c>
      <c r="F1153" s="12">
        <v>0</v>
      </c>
      <c r="G1153" s="12">
        <v>1</v>
      </c>
      <c r="H1153" s="12" t="s">
        <v>61</v>
      </c>
      <c r="I1153" s="12">
        <v>1</v>
      </c>
      <c r="J1153" s="12">
        <v>0</v>
      </c>
      <c r="K1153" s="12">
        <v>27</v>
      </c>
      <c r="L1153" s="12">
        <f t="shared" si="256"/>
        <v>27</v>
      </c>
      <c r="M1153" s="12">
        <v>3</v>
      </c>
      <c r="N1153" s="12" t="s">
        <v>70</v>
      </c>
      <c r="O1153" s="12">
        <v>0</v>
      </c>
      <c r="P1153" s="12">
        <v>0</v>
      </c>
      <c r="Q1153" s="12">
        <v>1</v>
      </c>
      <c r="R1153" s="12">
        <v>0</v>
      </c>
      <c r="S1153" s="12">
        <v>0</v>
      </c>
      <c r="T1153" s="12">
        <v>2</v>
      </c>
      <c r="U1153" s="12" t="s">
        <v>19</v>
      </c>
      <c r="V1153" s="12">
        <v>1</v>
      </c>
      <c r="W1153" s="12">
        <v>39</v>
      </c>
      <c r="X1153" s="12">
        <v>1</v>
      </c>
      <c r="Y1153" s="12">
        <v>2</v>
      </c>
      <c r="Z1153" s="12" t="s">
        <v>83</v>
      </c>
      <c r="AA1153" s="12">
        <v>0</v>
      </c>
      <c r="AB1153" s="12">
        <v>0</v>
      </c>
      <c r="AC1153" s="12">
        <v>0</v>
      </c>
      <c r="AD1153" s="12">
        <v>0</v>
      </c>
      <c r="AE1153" s="12">
        <v>1</v>
      </c>
      <c r="AF1153" s="12">
        <v>1</v>
      </c>
      <c r="AG1153" s="12">
        <v>0</v>
      </c>
      <c r="AH1153" s="12">
        <v>0</v>
      </c>
      <c r="AI1153" s="12">
        <v>1</v>
      </c>
      <c r="AJ1153" s="12" t="s">
        <v>78</v>
      </c>
      <c r="AK1153" s="12">
        <v>0</v>
      </c>
      <c r="AL1153" s="12">
        <v>0</v>
      </c>
      <c r="AM1153" s="12">
        <v>4877</v>
      </c>
      <c r="AN1153" s="12">
        <f t="shared" si="257"/>
        <v>4877</v>
      </c>
      <c r="AO1153" s="12">
        <v>0</v>
      </c>
      <c r="AP1153" s="12" t="s">
        <v>59</v>
      </c>
      <c r="AQ1153" s="12">
        <v>0</v>
      </c>
      <c r="AR1153" s="12">
        <v>21</v>
      </c>
      <c r="AS1153" s="12">
        <v>4</v>
      </c>
      <c r="AT1153" s="12">
        <v>2</v>
      </c>
      <c r="AU1153" s="12">
        <v>1</v>
      </c>
      <c r="AV1153" s="12">
        <v>6</v>
      </c>
      <c r="AW1153" s="12">
        <f t="shared" si="258"/>
        <v>6</v>
      </c>
      <c r="AX1153" s="12">
        <v>5</v>
      </c>
      <c r="AY1153" s="12">
        <v>2</v>
      </c>
      <c r="AZ1153" s="12">
        <v>5</v>
      </c>
      <c r="BA1153" s="12">
        <f t="shared" si="259"/>
        <v>5</v>
      </c>
      <c r="BB1153" s="12">
        <v>3</v>
      </c>
      <c r="BC1153" s="12">
        <v>0</v>
      </c>
      <c r="BD1153" s="12">
        <f t="shared" si="268"/>
        <v>0</v>
      </c>
      <c r="BE1153" s="12">
        <v>0</v>
      </c>
      <c r="BF1153" s="12">
        <f t="shared" si="260"/>
        <v>0</v>
      </c>
      <c r="BG1153" s="12">
        <f t="shared" si="269"/>
        <v>0</v>
      </c>
      <c r="BH1153" s="67">
        <v>1</v>
      </c>
      <c r="BI1153" s="67">
        <v>0</v>
      </c>
      <c r="BJ1153" s="67">
        <v>0</v>
      </c>
      <c r="BK1153" s="67">
        <v>0</v>
      </c>
      <c r="BL1153" s="67">
        <v>1</v>
      </c>
      <c r="BM1153" s="67">
        <v>0</v>
      </c>
      <c r="BN1153" s="67">
        <v>0</v>
      </c>
      <c r="BO1153" s="67">
        <v>0</v>
      </c>
      <c r="BP1153" s="67">
        <v>0</v>
      </c>
      <c r="BQ1153" s="67">
        <v>0</v>
      </c>
      <c r="BR1153" s="67">
        <v>0</v>
      </c>
      <c r="BS1153" s="67">
        <v>0</v>
      </c>
      <c r="BT1153" s="67">
        <v>6</v>
      </c>
      <c r="BU1153" s="70">
        <v>0</v>
      </c>
      <c r="BV1153" s="29">
        <f t="shared" si="261"/>
        <v>0.34535816011613629</v>
      </c>
      <c r="BW1153">
        <f t="shared" si="262"/>
        <v>1.1555414682655611</v>
      </c>
      <c r="BX1153">
        <f t="shared" si="263"/>
        <v>0.67854260110508058</v>
      </c>
      <c r="BY1153">
        <f t="shared" si="264"/>
        <v>0.32778177112653761</v>
      </c>
      <c r="BZ1153">
        <f t="shared" si="265"/>
        <v>2.1965931630549322</v>
      </c>
      <c r="CA1153">
        <f t="shared" si="266"/>
        <v>0.97684123527310796</v>
      </c>
      <c r="CB1153">
        <f t="shared" si="267"/>
        <v>0.67891464284095016</v>
      </c>
    </row>
    <row r="1154" spans="1:80" x14ac:dyDescent="0.45">
      <c r="A1154" s="11">
        <v>21</v>
      </c>
      <c r="B1154" s="12">
        <f t="shared" ref="B1154:B1217" si="270">IF(A1154&gt;$CD$29,$CD$29,IF(A1154&lt;$CD$30,$CD$30,A1154))</f>
        <v>21</v>
      </c>
      <c r="C1154" s="12" t="s">
        <v>59</v>
      </c>
      <c r="D1154" s="12">
        <v>0</v>
      </c>
      <c r="E1154" s="12" t="s">
        <v>53</v>
      </c>
      <c r="F1154" s="12">
        <v>0</v>
      </c>
      <c r="G1154" s="12">
        <v>1</v>
      </c>
      <c r="H1154" s="12" t="s">
        <v>61</v>
      </c>
      <c r="I1154" s="12">
        <v>1</v>
      </c>
      <c r="J1154" s="12">
        <v>0</v>
      </c>
      <c r="K1154" s="12">
        <v>5</v>
      </c>
      <c r="L1154" s="12">
        <f t="shared" ref="L1154:L1217" si="271">IF(K1154&gt;$CD$25,$CD$25,IF(K1154&lt;$CD$26,$CD$26,K1154))</f>
        <v>5</v>
      </c>
      <c r="M1154" s="12">
        <v>1</v>
      </c>
      <c r="N1154" s="12" t="s">
        <v>70</v>
      </c>
      <c r="O1154" s="12">
        <v>0</v>
      </c>
      <c r="P1154" s="12">
        <v>0</v>
      </c>
      <c r="Q1154" s="12">
        <v>1</v>
      </c>
      <c r="R1154" s="12">
        <v>0</v>
      </c>
      <c r="S1154" s="12">
        <v>0</v>
      </c>
      <c r="T1154" s="12">
        <v>3</v>
      </c>
      <c r="U1154" s="12" t="s">
        <v>62</v>
      </c>
      <c r="V1154" s="12">
        <v>0</v>
      </c>
      <c r="W1154" s="12">
        <v>97</v>
      </c>
      <c r="X1154" s="12">
        <v>3</v>
      </c>
      <c r="Y1154" s="12">
        <v>1</v>
      </c>
      <c r="Z1154" s="12" t="s">
        <v>63</v>
      </c>
      <c r="AA1154" s="12">
        <v>0</v>
      </c>
      <c r="AB1154" s="12">
        <v>0</v>
      </c>
      <c r="AC1154" s="12">
        <v>0</v>
      </c>
      <c r="AD1154" s="12">
        <v>0</v>
      </c>
      <c r="AE1154" s="12">
        <v>0</v>
      </c>
      <c r="AF1154" s="12">
        <v>0</v>
      </c>
      <c r="AG1154" s="12">
        <v>0</v>
      </c>
      <c r="AH1154" s="12">
        <v>1</v>
      </c>
      <c r="AI1154" s="12">
        <v>4</v>
      </c>
      <c r="AJ1154" s="12" t="s">
        <v>57</v>
      </c>
      <c r="AK1154" s="12">
        <v>1</v>
      </c>
      <c r="AL1154" s="12">
        <v>0</v>
      </c>
      <c r="AM1154" s="12">
        <v>3117</v>
      </c>
      <c r="AN1154" s="12">
        <f t="shared" ref="AN1154:AN1217" si="272">IF(AM1154&gt;$CD$8,$CD$8,IF(AM1154&lt;$CD$9,$CD$9,AM1154))</f>
        <v>3117</v>
      </c>
      <c r="AO1154" s="12">
        <v>1</v>
      </c>
      <c r="AP1154" s="12" t="s">
        <v>59</v>
      </c>
      <c r="AQ1154" s="12">
        <v>0</v>
      </c>
      <c r="AR1154" s="12">
        <v>18</v>
      </c>
      <c r="AS1154" s="12">
        <v>3</v>
      </c>
      <c r="AT1154" s="12">
        <v>3</v>
      </c>
      <c r="AU1154" s="12">
        <v>0</v>
      </c>
      <c r="AV1154" s="12">
        <v>3</v>
      </c>
      <c r="AW1154" s="12">
        <f t="shared" ref="AW1154:AW1217" si="273">IF(AV1154&gt;$CD$17,$CD$17,IF(AV1154&lt;$CD$18,$CD$18,AV1154))</f>
        <v>3</v>
      </c>
      <c r="AX1154" s="12">
        <v>2</v>
      </c>
      <c r="AY1154" s="12">
        <v>3</v>
      </c>
      <c r="AZ1154" s="12">
        <v>2</v>
      </c>
      <c r="BA1154" s="12">
        <f t="shared" ref="BA1154:BA1217" si="274">IF(AZ1154&gt; $CD$21,$CD$21,IF(AZ1154&lt;$CD$22,$CD$22,AZ1154))</f>
        <v>2</v>
      </c>
      <c r="BB1154" s="12">
        <v>2</v>
      </c>
      <c r="BC1154" s="12">
        <v>2</v>
      </c>
      <c r="BD1154" s="12">
        <f t="shared" si="268"/>
        <v>2</v>
      </c>
      <c r="BE1154" s="12">
        <v>2</v>
      </c>
      <c r="BF1154" s="12">
        <f t="shared" ref="BF1154:BF1217" si="275">IF(BE1154&gt;$CD$12,$CD$12,IF(BE1154&lt;$CD$13,$CD$13,BE1154))</f>
        <v>2</v>
      </c>
      <c r="BG1154" s="12">
        <f t="shared" si="269"/>
        <v>2</v>
      </c>
      <c r="BH1154" s="67">
        <v>1</v>
      </c>
      <c r="BI1154" s="67">
        <v>0</v>
      </c>
      <c r="BJ1154" s="67">
        <v>0</v>
      </c>
      <c r="BK1154" s="67">
        <v>0</v>
      </c>
      <c r="BL1154" s="67">
        <v>1</v>
      </c>
      <c r="BM1154" s="67">
        <v>0</v>
      </c>
      <c r="BN1154" s="67">
        <v>0</v>
      </c>
      <c r="BO1154" s="67">
        <v>0</v>
      </c>
      <c r="BP1154" s="67">
        <v>0</v>
      </c>
      <c r="BQ1154" s="67">
        <v>2</v>
      </c>
      <c r="BR1154" s="67">
        <v>0</v>
      </c>
      <c r="BS1154" s="67">
        <v>0</v>
      </c>
      <c r="BT1154" s="67">
        <v>3</v>
      </c>
      <c r="BU1154" s="70">
        <v>0</v>
      </c>
      <c r="BV1154" s="29">
        <f t="shared" ref="BV1154:BV1217" si="276">ABS((AM1154-AVERAGE(AM:AM))/_xlfn.STDEV.S(AM:AM))</f>
        <v>0.71919336742274642</v>
      </c>
      <c r="BW1154">
        <f t="shared" ref="BW1154:BW1217" si="277">ABS((BE1154-AVERAGE(BE:BE))/_xlfn.STDEV.S(BE:BE))</f>
        <v>0.59502473559756086</v>
      </c>
      <c r="BX1154">
        <f t="shared" ref="BX1154:BX1217" si="278">ABS((AV1154-AVERAGE(AV:AV))/_xlfn.STDEV.S(AV:AV))</f>
        <v>1.0641079755250529</v>
      </c>
      <c r="BY1154">
        <f t="shared" ref="BY1154:BY1217" si="279">ABS((AZ1154-AVERAGE(AZ:AZ))/_xlfn.STDEV.S(AZ:AZ))</f>
        <v>0.81745575848020657</v>
      </c>
      <c r="BZ1154">
        <f t="shared" ref="BZ1154:BZ1217" si="280">ABS((K1154-AVERAGE(K:K))/_xlfn.STDEV.S(K:K))</f>
        <v>0.51715642219916513</v>
      </c>
      <c r="CA1154">
        <f t="shared" ref="CA1154:CA1217" si="281">ABS((A1154-AVERAGE(A:A))/_xlfn.STDEV.S(A:A))</f>
        <v>1.7430934315652469</v>
      </c>
      <c r="CB1154">
        <f t="shared" ref="CB1154:CB1217" si="282">ABS((BC1154-AVERAGE(BC:BC))/_xlfn.STDEV.S(BC:BC))</f>
        <v>5.8265062631872602E-2</v>
      </c>
    </row>
    <row r="1155" spans="1:80" x14ac:dyDescent="0.45">
      <c r="A1155" s="11">
        <v>18</v>
      </c>
      <c r="B1155" s="12">
        <f t="shared" si="270"/>
        <v>19</v>
      </c>
      <c r="C1155" s="12" t="s">
        <v>52</v>
      </c>
      <c r="D1155" s="12">
        <v>1</v>
      </c>
      <c r="E1155" s="12" t="s">
        <v>60</v>
      </c>
      <c r="F1155" s="12">
        <v>1</v>
      </c>
      <c r="G1155" s="12">
        <v>0</v>
      </c>
      <c r="H1155" s="12" t="s">
        <v>54</v>
      </c>
      <c r="I1155" s="12">
        <v>0</v>
      </c>
      <c r="J1155" s="12">
        <v>1</v>
      </c>
      <c r="K1155" s="12">
        <v>3</v>
      </c>
      <c r="L1155" s="12">
        <f t="shared" si="271"/>
        <v>3</v>
      </c>
      <c r="M1155" s="12">
        <v>2</v>
      </c>
      <c r="N1155" s="12" t="s">
        <v>70</v>
      </c>
      <c r="O1155" s="12">
        <v>0</v>
      </c>
      <c r="P1155" s="12">
        <v>0</v>
      </c>
      <c r="Q1155" s="12">
        <v>1</v>
      </c>
      <c r="R1155" s="12">
        <v>0</v>
      </c>
      <c r="S1155" s="12">
        <v>0</v>
      </c>
      <c r="T1155" s="12">
        <v>2</v>
      </c>
      <c r="U1155" s="12" t="s">
        <v>19</v>
      </c>
      <c r="V1155" s="12">
        <v>1</v>
      </c>
      <c r="W1155" s="12">
        <v>70</v>
      </c>
      <c r="X1155" s="12">
        <v>3</v>
      </c>
      <c r="Y1155" s="12">
        <v>1</v>
      </c>
      <c r="Z1155" s="12" t="s">
        <v>88</v>
      </c>
      <c r="AA1155" s="12">
        <v>0</v>
      </c>
      <c r="AB1155" s="12">
        <v>0</v>
      </c>
      <c r="AC1155" s="12">
        <v>0</v>
      </c>
      <c r="AD1155" s="12">
        <v>0</v>
      </c>
      <c r="AE1155" s="12">
        <v>0</v>
      </c>
      <c r="AF1155" s="12">
        <v>0</v>
      </c>
      <c r="AG1155" s="12">
        <v>1</v>
      </c>
      <c r="AH1155" s="12">
        <v>0</v>
      </c>
      <c r="AI1155" s="12">
        <v>4</v>
      </c>
      <c r="AJ1155" s="12" t="s">
        <v>57</v>
      </c>
      <c r="AK1155" s="12">
        <v>1</v>
      </c>
      <c r="AL1155" s="12">
        <v>0</v>
      </c>
      <c r="AM1155" s="12">
        <v>1569</v>
      </c>
      <c r="AN1155" s="12">
        <f t="shared" si="272"/>
        <v>1569</v>
      </c>
      <c r="AO1155" s="12">
        <v>1</v>
      </c>
      <c r="AP1155" s="12" t="s">
        <v>52</v>
      </c>
      <c r="AQ1155" s="12">
        <v>1</v>
      </c>
      <c r="AR1155" s="12">
        <v>12</v>
      </c>
      <c r="AS1155" s="12">
        <v>3</v>
      </c>
      <c r="AT1155" s="12">
        <v>3</v>
      </c>
      <c r="AU1155" s="12">
        <v>0</v>
      </c>
      <c r="AV1155" s="12">
        <v>0</v>
      </c>
      <c r="AW1155" s="12">
        <f t="shared" si="273"/>
        <v>1</v>
      </c>
      <c r="AX1155" s="12">
        <v>2</v>
      </c>
      <c r="AY1155" s="12">
        <v>4</v>
      </c>
      <c r="AZ1155" s="12">
        <v>0</v>
      </c>
      <c r="BA1155" s="12">
        <f t="shared" si="274"/>
        <v>0</v>
      </c>
      <c r="BB1155" s="12">
        <v>0</v>
      </c>
      <c r="BC1155" s="12">
        <v>0</v>
      </c>
      <c r="BD1155" s="12">
        <f t="shared" ref="BD1155:BD1218" si="283">IF(BC1155&gt;$CD$33,$CD$33,BC1155)</f>
        <v>0</v>
      </c>
      <c r="BE1155" s="12">
        <v>0</v>
      </c>
      <c r="BF1155" s="12">
        <f t="shared" si="275"/>
        <v>0</v>
      </c>
      <c r="BG1155" s="12">
        <f t="shared" ref="BG1155:BG1218" si="284">BF1155*Y1155</f>
        <v>0</v>
      </c>
      <c r="BH1155" s="67">
        <v>0</v>
      </c>
      <c r="BI1155" s="67">
        <v>0</v>
      </c>
      <c r="BJ1155" s="67">
        <v>1</v>
      </c>
      <c r="BK1155" s="67">
        <v>0</v>
      </c>
      <c r="BL1155" s="67">
        <v>0</v>
      </c>
      <c r="BM1155" s="67">
        <v>1</v>
      </c>
      <c r="BN1155" s="67">
        <v>0</v>
      </c>
      <c r="BO1155" s="67">
        <v>0</v>
      </c>
      <c r="BP1155" s="67">
        <v>0</v>
      </c>
      <c r="BQ1155" s="67">
        <v>0</v>
      </c>
      <c r="BR1155" s="67">
        <v>0</v>
      </c>
      <c r="BS1155" s="67">
        <v>0</v>
      </c>
      <c r="BT1155" s="67">
        <v>0</v>
      </c>
      <c r="BU1155" s="70">
        <v>1</v>
      </c>
      <c r="BV1155" s="29">
        <f t="shared" si="276"/>
        <v>1.0479984247583332</v>
      </c>
      <c r="BW1155">
        <f t="shared" si="277"/>
        <v>1.1555414682655611</v>
      </c>
      <c r="BX1155">
        <f t="shared" si="278"/>
        <v>1.4496733499450252</v>
      </c>
      <c r="BY1155">
        <f t="shared" si="279"/>
        <v>1.1439050833826525</v>
      </c>
      <c r="BZ1155">
        <f t="shared" si="280"/>
        <v>0.76386092994953758</v>
      </c>
      <c r="CA1155">
        <f t="shared" si="281"/>
        <v>2.0714872299761637</v>
      </c>
      <c r="CB1155">
        <f t="shared" si="282"/>
        <v>0.67891464284095016</v>
      </c>
    </row>
    <row r="1156" spans="1:80" x14ac:dyDescent="0.45">
      <c r="A1156" s="11">
        <v>47</v>
      </c>
      <c r="B1156" s="12">
        <f t="shared" si="270"/>
        <v>47</v>
      </c>
      <c r="C1156" s="12" t="s">
        <v>59</v>
      </c>
      <c r="D1156" s="12">
        <v>0</v>
      </c>
      <c r="E1156" s="12" t="s">
        <v>53</v>
      </c>
      <c r="F1156" s="12">
        <v>0</v>
      </c>
      <c r="G1156" s="12">
        <v>1</v>
      </c>
      <c r="H1156" s="12" t="s">
        <v>97</v>
      </c>
      <c r="I1156" s="12">
        <v>0</v>
      </c>
      <c r="J1156" s="12">
        <v>0</v>
      </c>
      <c r="K1156" s="12">
        <v>26</v>
      </c>
      <c r="L1156" s="12">
        <f t="shared" si="271"/>
        <v>26</v>
      </c>
      <c r="M1156" s="12">
        <v>4</v>
      </c>
      <c r="N1156" s="12" t="s">
        <v>55</v>
      </c>
      <c r="O1156" s="12">
        <v>1</v>
      </c>
      <c r="P1156" s="12">
        <v>0</v>
      </c>
      <c r="Q1156" s="12">
        <v>0</v>
      </c>
      <c r="R1156" s="12">
        <v>0</v>
      </c>
      <c r="S1156" s="12">
        <v>0</v>
      </c>
      <c r="T1156" s="12">
        <v>4</v>
      </c>
      <c r="U1156" s="12" t="s">
        <v>19</v>
      </c>
      <c r="V1156" s="12">
        <v>1</v>
      </c>
      <c r="W1156" s="12">
        <v>98</v>
      </c>
      <c r="X1156" s="12">
        <v>3</v>
      </c>
      <c r="Y1156" s="12">
        <v>5</v>
      </c>
      <c r="Z1156" s="12" t="s">
        <v>87</v>
      </c>
      <c r="AA1156" s="12">
        <v>0</v>
      </c>
      <c r="AB1156" s="12">
        <v>0</v>
      </c>
      <c r="AC1156" s="12">
        <v>0</v>
      </c>
      <c r="AD1156" s="12">
        <v>1</v>
      </c>
      <c r="AE1156" s="12">
        <v>0</v>
      </c>
      <c r="AF1156" s="12">
        <v>0</v>
      </c>
      <c r="AG1156" s="12">
        <v>0</v>
      </c>
      <c r="AH1156" s="12">
        <v>0</v>
      </c>
      <c r="AI1156" s="12">
        <v>3</v>
      </c>
      <c r="AJ1156" s="12" t="s">
        <v>64</v>
      </c>
      <c r="AK1156" s="12">
        <v>0</v>
      </c>
      <c r="AL1156" s="12">
        <v>1</v>
      </c>
      <c r="AM1156" s="12">
        <v>19658</v>
      </c>
      <c r="AN1156" s="12">
        <f t="shared" si="272"/>
        <v>19626.310000000001</v>
      </c>
      <c r="AO1156" s="12">
        <v>3</v>
      </c>
      <c r="AP1156" s="12" t="s">
        <v>59</v>
      </c>
      <c r="AQ1156" s="12">
        <v>0</v>
      </c>
      <c r="AR1156" s="12">
        <v>11</v>
      </c>
      <c r="AS1156" s="12">
        <v>3</v>
      </c>
      <c r="AT1156" s="12">
        <v>3</v>
      </c>
      <c r="AU1156" s="12">
        <v>1</v>
      </c>
      <c r="AV1156" s="12">
        <v>27</v>
      </c>
      <c r="AW1156" s="12">
        <f t="shared" si="273"/>
        <v>27</v>
      </c>
      <c r="AX1156" s="12">
        <v>2</v>
      </c>
      <c r="AY1156" s="12">
        <v>3</v>
      </c>
      <c r="AZ1156" s="12">
        <v>5</v>
      </c>
      <c r="BA1156" s="12">
        <f t="shared" si="274"/>
        <v>5</v>
      </c>
      <c r="BB1156" s="12">
        <v>2</v>
      </c>
      <c r="BC1156" s="12">
        <v>1</v>
      </c>
      <c r="BD1156" s="12">
        <f t="shared" si="283"/>
        <v>1</v>
      </c>
      <c r="BE1156" s="12">
        <v>0</v>
      </c>
      <c r="BF1156" s="12">
        <f t="shared" si="275"/>
        <v>0</v>
      </c>
      <c r="BG1156" s="12">
        <f t="shared" si="284"/>
        <v>0</v>
      </c>
      <c r="BH1156" s="67">
        <v>0</v>
      </c>
      <c r="BI1156" s="67">
        <v>1</v>
      </c>
      <c r="BJ1156" s="67">
        <v>0</v>
      </c>
      <c r="BK1156" s="67">
        <v>0</v>
      </c>
      <c r="BL1156" s="67">
        <v>0</v>
      </c>
      <c r="BM1156" s="67">
        <v>0</v>
      </c>
      <c r="BN1156" s="67">
        <v>1</v>
      </c>
      <c r="BO1156" s="67">
        <v>0</v>
      </c>
      <c r="BP1156" s="67">
        <v>0</v>
      </c>
      <c r="BQ1156" s="67">
        <v>0</v>
      </c>
      <c r="BR1156" s="67">
        <v>0</v>
      </c>
      <c r="BS1156" s="67">
        <v>27</v>
      </c>
      <c r="BT1156" s="67">
        <v>0</v>
      </c>
      <c r="BU1156" s="70">
        <v>0</v>
      </c>
      <c r="BV1156" s="29">
        <f t="shared" si="276"/>
        <v>2.7942203621560253</v>
      </c>
      <c r="BW1156">
        <f t="shared" si="277"/>
        <v>1.1555414682655611</v>
      </c>
      <c r="BX1156">
        <f t="shared" si="278"/>
        <v>2.0204150198347257</v>
      </c>
      <c r="BY1156">
        <f t="shared" si="279"/>
        <v>0.32778177112653761</v>
      </c>
      <c r="BZ1156">
        <f t="shared" si="280"/>
        <v>2.0732409091797459</v>
      </c>
      <c r="CA1156">
        <f t="shared" si="281"/>
        <v>1.102986154662698</v>
      </c>
      <c r="CB1156">
        <f t="shared" si="282"/>
        <v>0.36858985273641137</v>
      </c>
    </row>
    <row r="1157" spans="1:80" x14ac:dyDescent="0.45">
      <c r="A1157" s="11">
        <v>39</v>
      </c>
      <c r="B1157" s="12">
        <f t="shared" si="270"/>
        <v>39</v>
      </c>
      <c r="C1157" s="12" t="s">
        <v>59</v>
      </c>
      <c r="D1157" s="12">
        <v>0</v>
      </c>
      <c r="E1157" s="12" t="s">
        <v>53</v>
      </c>
      <c r="F1157" s="12">
        <v>0</v>
      </c>
      <c r="G1157" s="12">
        <v>1</v>
      </c>
      <c r="H1157" s="12" t="s">
        <v>61</v>
      </c>
      <c r="I1157" s="12">
        <v>1</v>
      </c>
      <c r="J1157" s="12">
        <v>0</v>
      </c>
      <c r="K1157" s="12">
        <v>3</v>
      </c>
      <c r="L1157" s="12">
        <f t="shared" si="271"/>
        <v>3</v>
      </c>
      <c r="M1157" s="12">
        <v>2</v>
      </c>
      <c r="N1157" s="12" t="s">
        <v>70</v>
      </c>
      <c r="O1157" s="12">
        <v>0</v>
      </c>
      <c r="P1157" s="12">
        <v>0</v>
      </c>
      <c r="Q1157" s="12">
        <v>1</v>
      </c>
      <c r="R1157" s="12">
        <v>0</v>
      </c>
      <c r="S1157" s="12">
        <v>0</v>
      </c>
      <c r="T1157" s="12">
        <v>3</v>
      </c>
      <c r="U1157" s="12" t="s">
        <v>62</v>
      </c>
      <c r="V1157" s="12">
        <v>0</v>
      </c>
      <c r="W1157" s="12">
        <v>76</v>
      </c>
      <c r="X1157" s="12">
        <v>2</v>
      </c>
      <c r="Y1157" s="12">
        <v>2</v>
      </c>
      <c r="Z1157" s="12" t="s">
        <v>67</v>
      </c>
      <c r="AA1157" s="12">
        <v>0</v>
      </c>
      <c r="AB1157" s="12">
        <v>0</v>
      </c>
      <c r="AC1157" s="12">
        <v>1</v>
      </c>
      <c r="AD1157" s="12">
        <v>0</v>
      </c>
      <c r="AE1157" s="12">
        <v>0</v>
      </c>
      <c r="AF1157" s="12">
        <v>0</v>
      </c>
      <c r="AG1157" s="12">
        <v>0</v>
      </c>
      <c r="AH1157" s="12">
        <v>0</v>
      </c>
      <c r="AI1157" s="12">
        <v>3</v>
      </c>
      <c r="AJ1157" s="12" t="s">
        <v>78</v>
      </c>
      <c r="AK1157" s="12">
        <v>0</v>
      </c>
      <c r="AL1157" s="12">
        <v>0</v>
      </c>
      <c r="AM1157" s="12">
        <v>3069</v>
      </c>
      <c r="AN1157" s="12">
        <f t="shared" si="272"/>
        <v>3069</v>
      </c>
      <c r="AO1157" s="12">
        <v>0</v>
      </c>
      <c r="AP1157" s="12" t="s">
        <v>59</v>
      </c>
      <c r="AQ1157" s="12">
        <v>0</v>
      </c>
      <c r="AR1157" s="12">
        <v>15</v>
      </c>
      <c r="AS1157" s="12">
        <v>3</v>
      </c>
      <c r="AT1157" s="12">
        <v>4</v>
      </c>
      <c r="AU1157" s="12">
        <v>1</v>
      </c>
      <c r="AV1157" s="12">
        <v>11</v>
      </c>
      <c r="AW1157" s="12">
        <f t="shared" si="273"/>
        <v>11</v>
      </c>
      <c r="AX1157" s="12">
        <v>3</v>
      </c>
      <c r="AY1157" s="12">
        <v>3</v>
      </c>
      <c r="AZ1157" s="12">
        <v>10</v>
      </c>
      <c r="BA1157" s="12">
        <f t="shared" si="274"/>
        <v>10</v>
      </c>
      <c r="BB1157" s="12">
        <v>8</v>
      </c>
      <c r="BC1157" s="12">
        <v>0</v>
      </c>
      <c r="BD1157" s="12">
        <f t="shared" si="283"/>
        <v>0</v>
      </c>
      <c r="BE1157" s="12">
        <v>7</v>
      </c>
      <c r="BF1157" s="12">
        <f t="shared" si="275"/>
        <v>7</v>
      </c>
      <c r="BG1157" s="12">
        <f t="shared" si="284"/>
        <v>14</v>
      </c>
      <c r="BH1157" s="67">
        <v>1</v>
      </c>
      <c r="BI1157" s="67">
        <v>0</v>
      </c>
      <c r="BJ1157" s="67">
        <v>0</v>
      </c>
      <c r="BK1157" s="67">
        <v>0</v>
      </c>
      <c r="BL1157" s="67">
        <v>1</v>
      </c>
      <c r="BM1157" s="67">
        <v>0</v>
      </c>
      <c r="BN1157" s="67">
        <v>0</v>
      </c>
      <c r="BO1157" s="67">
        <v>0</v>
      </c>
      <c r="BP1157" s="67">
        <v>0</v>
      </c>
      <c r="BQ1157" s="67">
        <v>7</v>
      </c>
      <c r="BR1157" s="67">
        <v>0</v>
      </c>
      <c r="BS1157" s="67">
        <v>0</v>
      </c>
      <c r="BT1157" s="67">
        <v>11</v>
      </c>
      <c r="BU1157" s="70">
        <v>0</v>
      </c>
      <c r="BV1157" s="29">
        <f t="shared" si="276"/>
        <v>0.72938887307656308</v>
      </c>
      <c r="BW1157">
        <f t="shared" si="277"/>
        <v>0.80626709607243985</v>
      </c>
      <c r="BX1157">
        <f t="shared" si="278"/>
        <v>3.593364373846001E-2</v>
      </c>
      <c r="BY1157">
        <f t="shared" si="279"/>
        <v>0.48834154112957734</v>
      </c>
      <c r="BZ1157">
        <f t="shared" si="280"/>
        <v>0.76386092994953758</v>
      </c>
      <c r="CA1157">
        <f t="shared" si="281"/>
        <v>0.22726935890025346</v>
      </c>
      <c r="CB1157">
        <f t="shared" si="282"/>
        <v>0.67891464284095016</v>
      </c>
    </row>
    <row r="1158" spans="1:80" x14ac:dyDescent="0.45">
      <c r="A1158" s="11">
        <v>40</v>
      </c>
      <c r="B1158" s="12">
        <f t="shared" si="270"/>
        <v>40</v>
      </c>
      <c r="C1158" s="12" t="s">
        <v>59</v>
      </c>
      <c r="D1158" s="12">
        <v>0</v>
      </c>
      <c r="E1158" s="12" t="s">
        <v>53</v>
      </c>
      <c r="F1158" s="12">
        <v>0</v>
      </c>
      <c r="G1158" s="12">
        <v>1</v>
      </c>
      <c r="H1158" s="12" t="s">
        <v>61</v>
      </c>
      <c r="I1158" s="12">
        <v>1</v>
      </c>
      <c r="J1158" s="12">
        <v>0</v>
      </c>
      <c r="K1158" s="12">
        <v>15</v>
      </c>
      <c r="L1158" s="12">
        <f t="shared" si="271"/>
        <v>15</v>
      </c>
      <c r="M1158" s="12">
        <v>3</v>
      </c>
      <c r="N1158" s="12" t="s">
        <v>55</v>
      </c>
      <c r="O1158" s="12">
        <v>1</v>
      </c>
      <c r="P1158" s="12">
        <v>0</v>
      </c>
      <c r="Q1158" s="12">
        <v>0</v>
      </c>
      <c r="R1158" s="12">
        <v>0</v>
      </c>
      <c r="S1158" s="12">
        <v>0</v>
      </c>
      <c r="T1158" s="12">
        <v>1</v>
      </c>
      <c r="U1158" s="12" t="s">
        <v>19</v>
      </c>
      <c r="V1158" s="12">
        <v>1</v>
      </c>
      <c r="W1158" s="12">
        <v>80</v>
      </c>
      <c r="X1158" s="12">
        <v>2</v>
      </c>
      <c r="Y1158" s="12">
        <v>3</v>
      </c>
      <c r="Z1158" s="12" t="s">
        <v>83</v>
      </c>
      <c r="AA1158" s="12">
        <v>0</v>
      </c>
      <c r="AB1158" s="12">
        <v>0</v>
      </c>
      <c r="AC1158" s="12">
        <v>0</v>
      </c>
      <c r="AD1158" s="12">
        <v>0</v>
      </c>
      <c r="AE1158" s="12">
        <v>1</v>
      </c>
      <c r="AF1158" s="12">
        <v>1</v>
      </c>
      <c r="AG1158" s="12">
        <v>0</v>
      </c>
      <c r="AH1158" s="12">
        <v>0</v>
      </c>
      <c r="AI1158" s="12">
        <v>3</v>
      </c>
      <c r="AJ1158" s="12" t="s">
        <v>64</v>
      </c>
      <c r="AK1158" s="12">
        <v>0</v>
      </c>
      <c r="AL1158" s="12">
        <v>1</v>
      </c>
      <c r="AM1158" s="12">
        <v>10435</v>
      </c>
      <c r="AN1158" s="12">
        <f t="shared" si="272"/>
        <v>10435</v>
      </c>
      <c r="AO1158" s="12">
        <v>1</v>
      </c>
      <c r="AP1158" s="12" t="s">
        <v>59</v>
      </c>
      <c r="AQ1158" s="12">
        <v>0</v>
      </c>
      <c r="AR1158" s="12">
        <v>13</v>
      </c>
      <c r="AS1158" s="12">
        <v>3</v>
      </c>
      <c r="AT1158" s="12">
        <v>4</v>
      </c>
      <c r="AU1158" s="12">
        <v>2</v>
      </c>
      <c r="AV1158" s="12">
        <v>18</v>
      </c>
      <c r="AW1158" s="12">
        <f t="shared" si="273"/>
        <v>18</v>
      </c>
      <c r="AX1158" s="12">
        <v>2</v>
      </c>
      <c r="AY1158" s="12">
        <v>3</v>
      </c>
      <c r="AZ1158" s="12">
        <v>18</v>
      </c>
      <c r="BA1158" s="12">
        <f t="shared" si="274"/>
        <v>18</v>
      </c>
      <c r="BB1158" s="12">
        <v>15</v>
      </c>
      <c r="BC1158" s="12">
        <v>14</v>
      </c>
      <c r="BD1158" s="12">
        <f t="shared" si="283"/>
        <v>14</v>
      </c>
      <c r="BE1158" s="12">
        <v>12</v>
      </c>
      <c r="BF1158" s="12">
        <f t="shared" si="275"/>
        <v>12</v>
      </c>
      <c r="BG1158" s="12">
        <f t="shared" si="284"/>
        <v>36</v>
      </c>
      <c r="BH1158" s="67">
        <v>0</v>
      </c>
      <c r="BI1158" s="67">
        <v>1</v>
      </c>
      <c r="BJ1158" s="67">
        <v>0</v>
      </c>
      <c r="BK1158" s="67">
        <v>0</v>
      </c>
      <c r="BL1158" s="67">
        <v>0</v>
      </c>
      <c r="BM1158" s="67">
        <v>0</v>
      </c>
      <c r="BN1158" s="67">
        <v>1</v>
      </c>
      <c r="BO1158" s="67">
        <v>0</v>
      </c>
      <c r="BP1158" s="67">
        <v>0</v>
      </c>
      <c r="BQ1158" s="67">
        <v>12</v>
      </c>
      <c r="BR1158" s="67">
        <v>0</v>
      </c>
      <c r="BS1158" s="67">
        <v>0</v>
      </c>
      <c r="BT1158" s="67">
        <v>18</v>
      </c>
      <c r="BU1158" s="70">
        <v>0</v>
      </c>
      <c r="BV1158" s="29">
        <f t="shared" si="276"/>
        <v>0.83519643204871552</v>
      </c>
      <c r="BW1158">
        <f t="shared" si="277"/>
        <v>2.2075589277424408</v>
      </c>
      <c r="BX1158">
        <f t="shared" si="278"/>
        <v>0.86371889657480871</v>
      </c>
      <c r="BY1158">
        <f t="shared" si="279"/>
        <v>1.794138840739361</v>
      </c>
      <c r="BZ1158">
        <f t="shared" si="280"/>
        <v>0.71636611655269733</v>
      </c>
      <c r="CA1158">
        <f t="shared" si="281"/>
        <v>0.33673395837055903</v>
      </c>
      <c r="CB1158">
        <f t="shared" si="282"/>
        <v>3.665632418622593</v>
      </c>
    </row>
    <row r="1159" spans="1:80" x14ac:dyDescent="0.45">
      <c r="A1159" s="11">
        <v>35</v>
      </c>
      <c r="B1159" s="12">
        <f t="shared" si="270"/>
        <v>35</v>
      </c>
      <c r="C1159" s="12" t="s">
        <v>59</v>
      </c>
      <c r="D1159" s="12">
        <v>0</v>
      </c>
      <c r="E1159" s="12" t="s">
        <v>86</v>
      </c>
      <c r="F1159" s="12">
        <v>0</v>
      </c>
      <c r="G1159" s="12">
        <v>0</v>
      </c>
      <c r="H1159" s="12" t="s">
        <v>61</v>
      </c>
      <c r="I1159" s="12">
        <v>1</v>
      </c>
      <c r="J1159" s="12">
        <v>0</v>
      </c>
      <c r="K1159" s="12">
        <v>8</v>
      </c>
      <c r="L1159" s="12">
        <f t="shared" si="271"/>
        <v>8</v>
      </c>
      <c r="M1159" s="12">
        <v>4</v>
      </c>
      <c r="N1159" s="12" t="s">
        <v>55</v>
      </c>
      <c r="O1159" s="12">
        <v>1</v>
      </c>
      <c r="P1159" s="12">
        <v>0</v>
      </c>
      <c r="Q1159" s="12">
        <v>0</v>
      </c>
      <c r="R1159" s="12">
        <v>0</v>
      </c>
      <c r="S1159" s="12">
        <v>0</v>
      </c>
      <c r="T1159" s="12">
        <v>3</v>
      </c>
      <c r="U1159" s="12" t="s">
        <v>19</v>
      </c>
      <c r="V1159" s="12">
        <v>1</v>
      </c>
      <c r="W1159" s="12">
        <v>52</v>
      </c>
      <c r="X1159" s="12">
        <v>3</v>
      </c>
      <c r="Y1159" s="12">
        <v>2</v>
      </c>
      <c r="Z1159" s="12" t="s">
        <v>85</v>
      </c>
      <c r="AA1159" s="12">
        <v>1</v>
      </c>
      <c r="AB1159" s="12">
        <v>0</v>
      </c>
      <c r="AC1159" s="12">
        <v>0</v>
      </c>
      <c r="AD1159" s="12">
        <v>0</v>
      </c>
      <c r="AE1159" s="12">
        <v>0</v>
      </c>
      <c r="AF1159" s="12">
        <v>0</v>
      </c>
      <c r="AG1159" s="12">
        <v>0</v>
      </c>
      <c r="AH1159" s="12">
        <v>0</v>
      </c>
      <c r="AI1159" s="12">
        <v>3</v>
      </c>
      <c r="AJ1159" s="12" t="s">
        <v>64</v>
      </c>
      <c r="AK1159" s="12">
        <v>0</v>
      </c>
      <c r="AL1159" s="12">
        <v>1</v>
      </c>
      <c r="AM1159" s="12">
        <v>4148</v>
      </c>
      <c r="AN1159" s="12">
        <f t="shared" si="272"/>
        <v>4148</v>
      </c>
      <c r="AO1159" s="12">
        <v>1</v>
      </c>
      <c r="AP1159" s="12" t="s">
        <v>59</v>
      </c>
      <c r="AQ1159" s="12">
        <v>0</v>
      </c>
      <c r="AR1159" s="12">
        <v>12</v>
      </c>
      <c r="AS1159" s="12">
        <v>3</v>
      </c>
      <c r="AT1159" s="12">
        <v>4</v>
      </c>
      <c r="AU1159" s="12">
        <v>1</v>
      </c>
      <c r="AV1159" s="12">
        <v>15</v>
      </c>
      <c r="AW1159" s="12">
        <f t="shared" si="273"/>
        <v>15</v>
      </c>
      <c r="AX1159" s="12">
        <v>5</v>
      </c>
      <c r="AY1159" s="12">
        <v>3</v>
      </c>
      <c r="AZ1159" s="12">
        <v>14</v>
      </c>
      <c r="BA1159" s="12">
        <f t="shared" si="274"/>
        <v>14</v>
      </c>
      <c r="BB1159" s="12">
        <v>11</v>
      </c>
      <c r="BC1159" s="12">
        <v>2</v>
      </c>
      <c r="BD1159" s="12">
        <f t="shared" si="283"/>
        <v>2</v>
      </c>
      <c r="BE1159" s="12">
        <v>9</v>
      </c>
      <c r="BF1159" s="12">
        <f t="shared" si="275"/>
        <v>9</v>
      </c>
      <c r="BG1159" s="12">
        <f t="shared" si="284"/>
        <v>18</v>
      </c>
      <c r="BH1159" s="67">
        <v>0</v>
      </c>
      <c r="BI1159" s="67">
        <v>1</v>
      </c>
      <c r="BJ1159" s="67">
        <v>0</v>
      </c>
      <c r="BK1159" s="67">
        <v>0</v>
      </c>
      <c r="BL1159" s="67">
        <v>0</v>
      </c>
      <c r="BM1159" s="67">
        <v>0</v>
      </c>
      <c r="BN1159" s="67">
        <v>1</v>
      </c>
      <c r="BO1159" s="67">
        <v>0</v>
      </c>
      <c r="BP1159" s="67">
        <v>0</v>
      </c>
      <c r="BQ1159" s="67">
        <v>9</v>
      </c>
      <c r="BR1159" s="67">
        <v>0</v>
      </c>
      <c r="BS1159" s="67">
        <v>0</v>
      </c>
      <c r="BT1159" s="67">
        <v>15</v>
      </c>
      <c r="BU1159" s="70">
        <v>0</v>
      </c>
      <c r="BV1159" s="29">
        <f t="shared" si="276"/>
        <v>0.50020240223347656</v>
      </c>
      <c r="BW1159">
        <f t="shared" si="277"/>
        <v>1.3667838287404401</v>
      </c>
      <c r="BX1159">
        <f t="shared" si="278"/>
        <v>0.47815352215483642</v>
      </c>
      <c r="BY1159">
        <f t="shared" si="279"/>
        <v>1.1412401909344694</v>
      </c>
      <c r="BZ1159">
        <f t="shared" si="280"/>
        <v>0.14709966057360641</v>
      </c>
      <c r="CA1159">
        <f t="shared" si="281"/>
        <v>0.21058903898096887</v>
      </c>
      <c r="CB1159">
        <f t="shared" si="282"/>
        <v>5.8265062631872602E-2</v>
      </c>
    </row>
    <row r="1160" spans="1:80" x14ac:dyDescent="0.45">
      <c r="A1160" s="11">
        <v>37</v>
      </c>
      <c r="B1160" s="12">
        <f t="shared" si="270"/>
        <v>37</v>
      </c>
      <c r="C1160" s="12" t="s">
        <v>59</v>
      </c>
      <c r="D1160" s="12">
        <v>0</v>
      </c>
      <c r="E1160" s="12" t="s">
        <v>53</v>
      </c>
      <c r="F1160" s="12">
        <v>0</v>
      </c>
      <c r="G1160" s="12">
        <v>1</v>
      </c>
      <c r="H1160" s="12" t="s">
        <v>61</v>
      </c>
      <c r="I1160" s="12">
        <v>1</v>
      </c>
      <c r="J1160" s="12">
        <v>0</v>
      </c>
      <c r="K1160" s="12">
        <v>19</v>
      </c>
      <c r="L1160" s="12">
        <f t="shared" si="271"/>
        <v>19</v>
      </c>
      <c r="M1160" s="12">
        <v>3</v>
      </c>
      <c r="N1160" s="12" t="s">
        <v>55</v>
      </c>
      <c r="O1160" s="12">
        <v>1</v>
      </c>
      <c r="P1160" s="12">
        <v>0</v>
      </c>
      <c r="Q1160" s="12">
        <v>0</v>
      </c>
      <c r="R1160" s="12">
        <v>0</v>
      </c>
      <c r="S1160" s="12">
        <v>0</v>
      </c>
      <c r="T1160" s="12">
        <v>3</v>
      </c>
      <c r="U1160" s="12" t="s">
        <v>62</v>
      </c>
      <c r="V1160" s="12">
        <v>0</v>
      </c>
      <c r="W1160" s="12">
        <v>85</v>
      </c>
      <c r="X1160" s="12">
        <v>3</v>
      </c>
      <c r="Y1160" s="12">
        <v>2</v>
      </c>
      <c r="Z1160" s="12" t="s">
        <v>83</v>
      </c>
      <c r="AA1160" s="12">
        <v>0</v>
      </c>
      <c r="AB1160" s="12">
        <v>0</v>
      </c>
      <c r="AC1160" s="12">
        <v>0</v>
      </c>
      <c r="AD1160" s="12">
        <v>0</v>
      </c>
      <c r="AE1160" s="12">
        <v>1</v>
      </c>
      <c r="AF1160" s="12">
        <v>1</v>
      </c>
      <c r="AG1160" s="12">
        <v>0</v>
      </c>
      <c r="AH1160" s="12">
        <v>0</v>
      </c>
      <c r="AI1160" s="12">
        <v>3</v>
      </c>
      <c r="AJ1160" s="12" t="s">
        <v>64</v>
      </c>
      <c r="AK1160" s="12">
        <v>0</v>
      </c>
      <c r="AL1160" s="12">
        <v>1</v>
      </c>
      <c r="AM1160" s="12">
        <v>5768</v>
      </c>
      <c r="AN1160" s="12">
        <f t="shared" si="272"/>
        <v>5768</v>
      </c>
      <c r="AO1160" s="12">
        <v>3</v>
      </c>
      <c r="AP1160" s="12" t="s">
        <v>59</v>
      </c>
      <c r="AQ1160" s="12">
        <v>0</v>
      </c>
      <c r="AR1160" s="12">
        <v>17</v>
      </c>
      <c r="AS1160" s="12">
        <v>3</v>
      </c>
      <c r="AT1160" s="12">
        <v>1</v>
      </c>
      <c r="AU1160" s="12">
        <v>3</v>
      </c>
      <c r="AV1160" s="12">
        <v>9</v>
      </c>
      <c r="AW1160" s="12">
        <f t="shared" si="273"/>
        <v>9</v>
      </c>
      <c r="AX1160" s="12">
        <v>2</v>
      </c>
      <c r="AY1160" s="12">
        <v>2</v>
      </c>
      <c r="AZ1160" s="12">
        <v>4</v>
      </c>
      <c r="BA1160" s="12">
        <f t="shared" si="274"/>
        <v>4</v>
      </c>
      <c r="BB1160" s="12">
        <v>3</v>
      </c>
      <c r="BC1160" s="12">
        <v>0</v>
      </c>
      <c r="BD1160" s="12">
        <f t="shared" si="283"/>
        <v>0</v>
      </c>
      <c r="BE1160" s="12">
        <v>2</v>
      </c>
      <c r="BF1160" s="12">
        <f t="shared" si="275"/>
        <v>2</v>
      </c>
      <c r="BG1160" s="12">
        <f t="shared" si="284"/>
        <v>4</v>
      </c>
      <c r="BH1160" s="67">
        <v>0</v>
      </c>
      <c r="BI1160" s="67">
        <v>1</v>
      </c>
      <c r="BJ1160" s="67">
        <v>0</v>
      </c>
      <c r="BK1160" s="67">
        <v>0</v>
      </c>
      <c r="BL1160" s="67">
        <v>0</v>
      </c>
      <c r="BM1160" s="67">
        <v>0</v>
      </c>
      <c r="BN1160" s="67">
        <v>1</v>
      </c>
      <c r="BO1160" s="67">
        <v>0</v>
      </c>
      <c r="BP1160" s="67">
        <v>0</v>
      </c>
      <c r="BQ1160" s="67">
        <v>2</v>
      </c>
      <c r="BR1160" s="67">
        <v>0</v>
      </c>
      <c r="BS1160" s="67">
        <v>0</v>
      </c>
      <c r="BT1160" s="67">
        <v>9</v>
      </c>
      <c r="BU1160" s="70">
        <v>0</v>
      </c>
      <c r="BV1160" s="29">
        <f t="shared" si="276"/>
        <v>0.15610408641716492</v>
      </c>
      <c r="BW1160">
        <f t="shared" si="277"/>
        <v>0.59502473559756086</v>
      </c>
      <c r="BX1160">
        <f t="shared" si="278"/>
        <v>0.29297722668510823</v>
      </c>
      <c r="BY1160">
        <f t="shared" si="279"/>
        <v>0.49100643357776058</v>
      </c>
      <c r="BZ1160">
        <f t="shared" si="280"/>
        <v>1.2097751320534422</v>
      </c>
      <c r="CA1160">
        <f t="shared" si="281"/>
        <v>8.3401599596422994E-3</v>
      </c>
      <c r="CB1160">
        <f t="shared" si="282"/>
        <v>0.67891464284095016</v>
      </c>
    </row>
    <row r="1161" spans="1:80" x14ac:dyDescent="0.45">
      <c r="A1161" s="11">
        <v>39</v>
      </c>
      <c r="B1161" s="12">
        <f t="shared" si="270"/>
        <v>39</v>
      </c>
      <c r="C1161" s="12" t="s">
        <v>59</v>
      </c>
      <c r="D1161" s="12">
        <v>0</v>
      </c>
      <c r="E1161" s="12" t="s">
        <v>60</v>
      </c>
      <c r="F1161" s="12">
        <v>1</v>
      </c>
      <c r="G1161" s="12">
        <v>0</v>
      </c>
      <c r="H1161" s="12" t="s">
        <v>61</v>
      </c>
      <c r="I1161" s="12">
        <v>1</v>
      </c>
      <c r="J1161" s="12">
        <v>0</v>
      </c>
      <c r="K1161" s="12">
        <v>4</v>
      </c>
      <c r="L1161" s="12">
        <f t="shared" si="271"/>
        <v>4</v>
      </c>
      <c r="M1161" s="12">
        <v>3</v>
      </c>
      <c r="N1161" s="12" t="s">
        <v>70</v>
      </c>
      <c r="O1161" s="12">
        <v>0</v>
      </c>
      <c r="P1161" s="12">
        <v>0</v>
      </c>
      <c r="Q1161" s="12">
        <v>1</v>
      </c>
      <c r="R1161" s="12">
        <v>0</v>
      </c>
      <c r="S1161" s="12">
        <v>0</v>
      </c>
      <c r="T1161" s="12">
        <v>1</v>
      </c>
      <c r="U1161" s="12" t="s">
        <v>19</v>
      </c>
      <c r="V1161" s="12">
        <v>1</v>
      </c>
      <c r="W1161" s="12">
        <v>81</v>
      </c>
      <c r="X1161" s="12">
        <v>3</v>
      </c>
      <c r="Y1161" s="12">
        <v>2</v>
      </c>
      <c r="Z1161" s="12" t="s">
        <v>83</v>
      </c>
      <c r="AA1161" s="12">
        <v>0</v>
      </c>
      <c r="AB1161" s="12">
        <v>0</v>
      </c>
      <c r="AC1161" s="12">
        <v>0</v>
      </c>
      <c r="AD1161" s="12">
        <v>0</v>
      </c>
      <c r="AE1161" s="12">
        <v>1</v>
      </c>
      <c r="AF1161" s="12">
        <v>1</v>
      </c>
      <c r="AG1161" s="12">
        <v>0</v>
      </c>
      <c r="AH1161" s="12">
        <v>0</v>
      </c>
      <c r="AI1161" s="12">
        <v>3</v>
      </c>
      <c r="AJ1161" s="12" t="s">
        <v>57</v>
      </c>
      <c r="AK1161" s="12">
        <v>1</v>
      </c>
      <c r="AL1161" s="12">
        <v>0</v>
      </c>
      <c r="AM1161" s="12">
        <v>5042</v>
      </c>
      <c r="AN1161" s="12">
        <f t="shared" si="272"/>
        <v>5042</v>
      </c>
      <c r="AO1161" s="12">
        <v>0</v>
      </c>
      <c r="AP1161" s="12" t="s">
        <v>59</v>
      </c>
      <c r="AQ1161" s="12">
        <v>0</v>
      </c>
      <c r="AR1161" s="12">
        <v>13</v>
      </c>
      <c r="AS1161" s="12">
        <v>3</v>
      </c>
      <c r="AT1161" s="12">
        <v>4</v>
      </c>
      <c r="AU1161" s="12">
        <v>0</v>
      </c>
      <c r="AV1161" s="12">
        <v>10</v>
      </c>
      <c r="AW1161" s="12">
        <f t="shared" si="273"/>
        <v>10</v>
      </c>
      <c r="AX1161" s="12">
        <v>2</v>
      </c>
      <c r="AY1161" s="12">
        <v>1</v>
      </c>
      <c r="AZ1161" s="12">
        <v>9</v>
      </c>
      <c r="BA1161" s="12">
        <f t="shared" si="274"/>
        <v>9</v>
      </c>
      <c r="BB1161" s="12">
        <v>2</v>
      </c>
      <c r="BC1161" s="12">
        <v>3</v>
      </c>
      <c r="BD1161" s="12">
        <f t="shared" si="283"/>
        <v>3</v>
      </c>
      <c r="BE1161" s="12">
        <v>8</v>
      </c>
      <c r="BF1161" s="12">
        <f t="shared" si="275"/>
        <v>8</v>
      </c>
      <c r="BG1161" s="12">
        <f t="shared" si="284"/>
        <v>16</v>
      </c>
      <c r="BH1161" s="67">
        <v>0</v>
      </c>
      <c r="BI1161" s="67">
        <v>0</v>
      </c>
      <c r="BJ1161" s="67">
        <v>1</v>
      </c>
      <c r="BK1161" s="67">
        <v>0</v>
      </c>
      <c r="BL1161" s="67">
        <v>1</v>
      </c>
      <c r="BM1161" s="67">
        <v>0</v>
      </c>
      <c r="BN1161" s="67">
        <v>0</v>
      </c>
      <c r="BO1161" s="67">
        <v>0</v>
      </c>
      <c r="BP1161" s="67">
        <v>0</v>
      </c>
      <c r="BQ1161" s="67">
        <v>8</v>
      </c>
      <c r="BR1161" s="67">
        <v>0</v>
      </c>
      <c r="BS1161" s="67">
        <v>0</v>
      </c>
      <c r="BT1161" s="67">
        <v>10</v>
      </c>
      <c r="BU1161" s="70">
        <v>0</v>
      </c>
      <c r="BV1161" s="29">
        <f t="shared" si="276"/>
        <v>0.3103111094311416</v>
      </c>
      <c r="BW1161">
        <f t="shared" si="277"/>
        <v>1.08652546240644</v>
      </c>
      <c r="BX1161">
        <f t="shared" si="278"/>
        <v>0.1644554352117841</v>
      </c>
      <c r="BY1161">
        <f t="shared" si="279"/>
        <v>0.32511687867835437</v>
      </c>
      <c r="BZ1161">
        <f t="shared" si="280"/>
        <v>0.64050867607435136</v>
      </c>
      <c r="CA1161">
        <f t="shared" si="281"/>
        <v>0.22726935890025346</v>
      </c>
      <c r="CB1161">
        <f t="shared" si="282"/>
        <v>0.2520597274726662</v>
      </c>
    </row>
    <row r="1162" spans="1:80" x14ac:dyDescent="0.45">
      <c r="A1162" s="11">
        <v>45</v>
      </c>
      <c r="B1162" s="12">
        <f t="shared" si="270"/>
        <v>45</v>
      </c>
      <c r="C1162" s="12" t="s">
        <v>59</v>
      </c>
      <c r="D1162" s="12">
        <v>0</v>
      </c>
      <c r="E1162" s="12" t="s">
        <v>53</v>
      </c>
      <c r="F1162" s="12">
        <v>0</v>
      </c>
      <c r="G1162" s="12">
        <v>1</v>
      </c>
      <c r="H1162" s="12" t="s">
        <v>61</v>
      </c>
      <c r="I1162" s="12">
        <v>1</v>
      </c>
      <c r="J1162" s="12">
        <v>0</v>
      </c>
      <c r="K1162" s="12">
        <v>2</v>
      </c>
      <c r="L1162" s="12">
        <f t="shared" si="271"/>
        <v>2</v>
      </c>
      <c r="M1162" s="12">
        <v>2</v>
      </c>
      <c r="N1162" s="12" t="s">
        <v>66</v>
      </c>
      <c r="O1162" s="12">
        <v>0</v>
      </c>
      <c r="P1162" s="12">
        <v>1</v>
      </c>
      <c r="Q1162" s="12">
        <v>0</v>
      </c>
      <c r="R1162" s="12">
        <v>0</v>
      </c>
      <c r="S1162" s="12">
        <v>0</v>
      </c>
      <c r="T1162" s="12">
        <v>4</v>
      </c>
      <c r="U1162" s="12" t="s">
        <v>19</v>
      </c>
      <c r="V1162" s="12">
        <v>1</v>
      </c>
      <c r="W1162" s="12">
        <v>59</v>
      </c>
      <c r="X1162" s="12">
        <v>2</v>
      </c>
      <c r="Y1162" s="12">
        <v>2</v>
      </c>
      <c r="Z1162" s="12" t="s">
        <v>83</v>
      </c>
      <c r="AA1162" s="12">
        <v>0</v>
      </c>
      <c r="AB1162" s="12">
        <v>0</v>
      </c>
      <c r="AC1162" s="12">
        <v>0</v>
      </c>
      <c r="AD1162" s="12">
        <v>0</v>
      </c>
      <c r="AE1162" s="12">
        <v>1</v>
      </c>
      <c r="AF1162" s="12">
        <v>1</v>
      </c>
      <c r="AG1162" s="12">
        <v>0</v>
      </c>
      <c r="AH1162" s="12">
        <v>0</v>
      </c>
      <c r="AI1162" s="12">
        <v>4</v>
      </c>
      <c r="AJ1162" s="12" t="s">
        <v>78</v>
      </c>
      <c r="AK1162" s="12">
        <v>0</v>
      </c>
      <c r="AL1162" s="12">
        <v>0</v>
      </c>
      <c r="AM1162" s="12">
        <v>5770</v>
      </c>
      <c r="AN1162" s="12">
        <f t="shared" si="272"/>
        <v>5770</v>
      </c>
      <c r="AO1162" s="12">
        <v>1</v>
      </c>
      <c r="AP1162" s="12" t="s">
        <v>59</v>
      </c>
      <c r="AQ1162" s="12">
        <v>0</v>
      </c>
      <c r="AR1162" s="12">
        <v>19</v>
      </c>
      <c r="AS1162" s="12">
        <v>3</v>
      </c>
      <c r="AT1162" s="12">
        <v>1</v>
      </c>
      <c r="AU1162" s="12">
        <v>2</v>
      </c>
      <c r="AV1162" s="12">
        <v>10</v>
      </c>
      <c r="AW1162" s="12">
        <f t="shared" si="273"/>
        <v>10</v>
      </c>
      <c r="AX1162" s="12">
        <v>3</v>
      </c>
      <c r="AY1162" s="12">
        <v>3</v>
      </c>
      <c r="AZ1162" s="12">
        <v>10</v>
      </c>
      <c r="BA1162" s="12">
        <f t="shared" si="274"/>
        <v>10</v>
      </c>
      <c r="BB1162" s="12">
        <v>7</v>
      </c>
      <c r="BC1162" s="12">
        <v>3</v>
      </c>
      <c r="BD1162" s="12">
        <f t="shared" si="283"/>
        <v>3</v>
      </c>
      <c r="BE1162" s="12">
        <v>9</v>
      </c>
      <c r="BF1162" s="12">
        <f t="shared" si="275"/>
        <v>9</v>
      </c>
      <c r="BG1162" s="12">
        <f t="shared" si="284"/>
        <v>18</v>
      </c>
      <c r="BH1162" s="67">
        <v>1</v>
      </c>
      <c r="BI1162" s="67">
        <v>0</v>
      </c>
      <c r="BJ1162" s="67">
        <v>0</v>
      </c>
      <c r="BK1162" s="67">
        <v>0</v>
      </c>
      <c r="BL1162" s="67">
        <v>1</v>
      </c>
      <c r="BM1162" s="67">
        <v>0</v>
      </c>
      <c r="BN1162" s="67">
        <v>0</v>
      </c>
      <c r="BO1162" s="67">
        <v>0</v>
      </c>
      <c r="BP1162" s="67">
        <v>0</v>
      </c>
      <c r="BQ1162" s="67">
        <v>9</v>
      </c>
      <c r="BR1162" s="67">
        <v>0</v>
      </c>
      <c r="BS1162" s="67">
        <v>0</v>
      </c>
      <c r="BT1162" s="67">
        <v>10</v>
      </c>
      <c r="BU1162" s="70">
        <v>0</v>
      </c>
      <c r="BV1162" s="29">
        <f t="shared" si="276"/>
        <v>0.15567927368158924</v>
      </c>
      <c r="BW1162">
        <f t="shared" si="277"/>
        <v>1.3667838287404401</v>
      </c>
      <c r="BX1162">
        <f t="shared" si="278"/>
        <v>0.1644554352117841</v>
      </c>
      <c r="BY1162">
        <f t="shared" si="279"/>
        <v>0.48834154112957734</v>
      </c>
      <c r="BZ1162">
        <f t="shared" si="280"/>
        <v>0.88721318382472392</v>
      </c>
      <c r="CA1162">
        <f t="shared" si="281"/>
        <v>0.88405695572208698</v>
      </c>
      <c r="CB1162">
        <f t="shared" si="282"/>
        <v>0.2520597274726662</v>
      </c>
    </row>
    <row r="1163" spans="1:80" x14ac:dyDescent="0.45">
      <c r="A1163" s="11">
        <v>38</v>
      </c>
      <c r="B1163" s="12">
        <f t="shared" si="270"/>
        <v>38</v>
      </c>
      <c r="C1163" s="12" t="s">
        <v>59</v>
      </c>
      <c r="D1163" s="12">
        <v>0</v>
      </c>
      <c r="E1163" s="12" t="s">
        <v>53</v>
      </c>
      <c r="F1163" s="12">
        <v>0</v>
      </c>
      <c r="G1163" s="12">
        <v>1</v>
      </c>
      <c r="H1163" s="12" t="s">
        <v>61</v>
      </c>
      <c r="I1163" s="12">
        <v>1</v>
      </c>
      <c r="J1163" s="12">
        <v>0</v>
      </c>
      <c r="K1163" s="12">
        <v>2</v>
      </c>
      <c r="L1163" s="12">
        <f t="shared" si="271"/>
        <v>2</v>
      </c>
      <c r="M1163" s="12">
        <v>2</v>
      </c>
      <c r="N1163" s="12" t="s">
        <v>70</v>
      </c>
      <c r="O1163" s="12">
        <v>0</v>
      </c>
      <c r="P1163" s="12">
        <v>0</v>
      </c>
      <c r="Q1163" s="12">
        <v>1</v>
      </c>
      <c r="R1163" s="12">
        <v>0</v>
      </c>
      <c r="S1163" s="12">
        <v>0</v>
      </c>
      <c r="T1163" s="12">
        <v>4</v>
      </c>
      <c r="U1163" s="12" t="s">
        <v>19</v>
      </c>
      <c r="V1163" s="12">
        <v>1</v>
      </c>
      <c r="W1163" s="12">
        <v>54</v>
      </c>
      <c r="X1163" s="12">
        <v>2</v>
      </c>
      <c r="Y1163" s="12">
        <v>3</v>
      </c>
      <c r="Z1163" s="12" t="s">
        <v>83</v>
      </c>
      <c r="AA1163" s="12">
        <v>0</v>
      </c>
      <c r="AB1163" s="12">
        <v>0</v>
      </c>
      <c r="AC1163" s="12">
        <v>0</v>
      </c>
      <c r="AD1163" s="12">
        <v>0</v>
      </c>
      <c r="AE1163" s="12">
        <v>1</v>
      </c>
      <c r="AF1163" s="12">
        <v>1</v>
      </c>
      <c r="AG1163" s="12">
        <v>0</v>
      </c>
      <c r="AH1163" s="12">
        <v>0</v>
      </c>
      <c r="AI1163" s="12">
        <v>3</v>
      </c>
      <c r="AJ1163" s="12" t="s">
        <v>64</v>
      </c>
      <c r="AK1163" s="12">
        <v>0</v>
      </c>
      <c r="AL1163" s="12">
        <v>1</v>
      </c>
      <c r="AM1163" s="12">
        <v>7756</v>
      </c>
      <c r="AN1163" s="12">
        <f t="shared" si="272"/>
        <v>7756</v>
      </c>
      <c r="AO1163" s="12">
        <v>3</v>
      </c>
      <c r="AP1163" s="12" t="s">
        <v>52</v>
      </c>
      <c r="AQ1163" s="12">
        <v>1</v>
      </c>
      <c r="AR1163" s="12">
        <v>19</v>
      </c>
      <c r="AS1163" s="12">
        <v>3</v>
      </c>
      <c r="AT1163" s="12">
        <v>4</v>
      </c>
      <c r="AU1163" s="12">
        <v>1</v>
      </c>
      <c r="AV1163" s="12">
        <v>10</v>
      </c>
      <c r="AW1163" s="12">
        <f t="shared" si="273"/>
        <v>10</v>
      </c>
      <c r="AX1163" s="12">
        <v>6</v>
      </c>
      <c r="AY1163" s="12">
        <v>4</v>
      </c>
      <c r="AZ1163" s="12">
        <v>5</v>
      </c>
      <c r="BA1163" s="12">
        <f t="shared" si="274"/>
        <v>5</v>
      </c>
      <c r="BB1163" s="12">
        <v>4</v>
      </c>
      <c r="BC1163" s="12">
        <v>0</v>
      </c>
      <c r="BD1163" s="12">
        <f t="shared" si="283"/>
        <v>0</v>
      </c>
      <c r="BE1163" s="12">
        <v>2</v>
      </c>
      <c r="BF1163" s="12">
        <f t="shared" si="275"/>
        <v>2</v>
      </c>
      <c r="BG1163" s="12">
        <f t="shared" si="284"/>
        <v>6</v>
      </c>
      <c r="BH1163" s="67">
        <v>0</v>
      </c>
      <c r="BI1163" s="67">
        <v>1</v>
      </c>
      <c r="BJ1163" s="67">
        <v>0</v>
      </c>
      <c r="BK1163" s="67">
        <v>0</v>
      </c>
      <c r="BL1163" s="67">
        <v>0</v>
      </c>
      <c r="BM1163" s="67">
        <v>0</v>
      </c>
      <c r="BN1163" s="67">
        <v>0</v>
      </c>
      <c r="BO1163" s="67">
        <v>1</v>
      </c>
      <c r="BP1163" s="67">
        <v>0</v>
      </c>
      <c r="BQ1163" s="67">
        <v>2</v>
      </c>
      <c r="BR1163" s="67">
        <v>0</v>
      </c>
      <c r="BS1163" s="67">
        <v>0</v>
      </c>
      <c r="BT1163" s="67">
        <v>10</v>
      </c>
      <c r="BU1163" s="70">
        <v>0</v>
      </c>
      <c r="BV1163" s="29">
        <f t="shared" si="276"/>
        <v>0.26615977274507424</v>
      </c>
      <c r="BW1163">
        <f t="shared" si="277"/>
        <v>0.59502473559756086</v>
      </c>
      <c r="BX1163">
        <f t="shared" si="278"/>
        <v>0.1644554352117841</v>
      </c>
      <c r="BY1163">
        <f t="shared" si="279"/>
        <v>0.32778177112653761</v>
      </c>
      <c r="BZ1163">
        <f t="shared" si="280"/>
        <v>0.88721318382472392</v>
      </c>
      <c r="CA1163">
        <f t="shared" si="281"/>
        <v>0.11780475942994788</v>
      </c>
      <c r="CB1163">
        <f t="shared" si="282"/>
        <v>0.67891464284095016</v>
      </c>
    </row>
    <row r="1164" spans="1:80" x14ac:dyDescent="0.45">
      <c r="A1164" s="11">
        <v>35</v>
      </c>
      <c r="B1164" s="12">
        <f t="shared" si="270"/>
        <v>35</v>
      </c>
      <c r="C1164" s="12" t="s">
        <v>52</v>
      </c>
      <c r="D1164" s="12">
        <v>1</v>
      </c>
      <c r="E1164" s="12" t="s">
        <v>53</v>
      </c>
      <c r="F1164" s="12">
        <v>0</v>
      </c>
      <c r="G1164" s="12">
        <v>1</v>
      </c>
      <c r="H1164" s="12" t="s">
        <v>54</v>
      </c>
      <c r="I1164" s="12">
        <v>0</v>
      </c>
      <c r="J1164" s="12">
        <v>1</v>
      </c>
      <c r="K1164" s="12">
        <v>10</v>
      </c>
      <c r="L1164" s="12">
        <f t="shared" si="271"/>
        <v>10</v>
      </c>
      <c r="M1164" s="12">
        <v>3</v>
      </c>
      <c r="N1164" s="12" t="s">
        <v>70</v>
      </c>
      <c r="O1164" s="12">
        <v>0</v>
      </c>
      <c r="P1164" s="12">
        <v>0</v>
      </c>
      <c r="Q1164" s="12">
        <v>1</v>
      </c>
      <c r="R1164" s="12">
        <v>0</v>
      </c>
      <c r="S1164" s="12">
        <v>0</v>
      </c>
      <c r="T1164" s="12">
        <v>4</v>
      </c>
      <c r="U1164" s="12" t="s">
        <v>62</v>
      </c>
      <c r="V1164" s="12">
        <v>0</v>
      </c>
      <c r="W1164" s="12">
        <v>55</v>
      </c>
      <c r="X1164" s="12">
        <v>2</v>
      </c>
      <c r="Y1164" s="12">
        <v>3</v>
      </c>
      <c r="Z1164" s="12" t="s">
        <v>56</v>
      </c>
      <c r="AA1164" s="12">
        <v>0</v>
      </c>
      <c r="AB1164" s="12">
        <v>1</v>
      </c>
      <c r="AC1164" s="12">
        <v>0</v>
      </c>
      <c r="AD1164" s="12">
        <v>0</v>
      </c>
      <c r="AE1164" s="12">
        <v>0</v>
      </c>
      <c r="AF1164" s="12">
        <v>0</v>
      </c>
      <c r="AG1164" s="12">
        <v>0</v>
      </c>
      <c r="AH1164" s="12">
        <v>0</v>
      </c>
      <c r="AI1164" s="12">
        <v>1</v>
      </c>
      <c r="AJ1164" s="12" t="s">
        <v>64</v>
      </c>
      <c r="AK1164" s="12">
        <v>0</v>
      </c>
      <c r="AL1164" s="12">
        <v>1</v>
      </c>
      <c r="AM1164" s="12">
        <v>10306</v>
      </c>
      <c r="AN1164" s="12">
        <f t="shared" si="272"/>
        <v>10306</v>
      </c>
      <c r="AO1164" s="12">
        <v>9</v>
      </c>
      <c r="AP1164" s="12" t="s">
        <v>59</v>
      </c>
      <c r="AQ1164" s="12">
        <v>0</v>
      </c>
      <c r="AR1164" s="12">
        <v>17</v>
      </c>
      <c r="AS1164" s="12">
        <v>3</v>
      </c>
      <c r="AT1164" s="12">
        <v>3</v>
      </c>
      <c r="AU1164" s="12">
        <v>0</v>
      </c>
      <c r="AV1164" s="12">
        <v>15</v>
      </c>
      <c r="AW1164" s="12">
        <f t="shared" si="273"/>
        <v>15</v>
      </c>
      <c r="AX1164" s="12">
        <v>3</v>
      </c>
      <c r="AY1164" s="12">
        <v>3</v>
      </c>
      <c r="AZ1164" s="12">
        <v>13</v>
      </c>
      <c r="BA1164" s="12">
        <f t="shared" si="274"/>
        <v>13</v>
      </c>
      <c r="BB1164" s="12">
        <v>12</v>
      </c>
      <c r="BC1164" s="12">
        <v>6</v>
      </c>
      <c r="BD1164" s="12">
        <f t="shared" si="283"/>
        <v>6</v>
      </c>
      <c r="BE1164" s="12">
        <v>0</v>
      </c>
      <c r="BF1164" s="12">
        <f t="shared" si="275"/>
        <v>0</v>
      </c>
      <c r="BG1164" s="12">
        <f t="shared" si="284"/>
        <v>0</v>
      </c>
      <c r="BH1164" s="67">
        <v>0</v>
      </c>
      <c r="BI1164" s="67">
        <v>1</v>
      </c>
      <c r="BJ1164" s="67">
        <v>0</v>
      </c>
      <c r="BK1164" s="67">
        <v>0</v>
      </c>
      <c r="BL1164" s="67">
        <v>0</v>
      </c>
      <c r="BM1164" s="67">
        <v>0</v>
      </c>
      <c r="BN1164" s="67">
        <v>1</v>
      </c>
      <c r="BO1164" s="67">
        <v>0</v>
      </c>
      <c r="BP1164" s="67">
        <v>0</v>
      </c>
      <c r="BQ1164" s="67">
        <v>0</v>
      </c>
      <c r="BR1164" s="67">
        <v>0</v>
      </c>
      <c r="BS1164" s="67">
        <v>0</v>
      </c>
      <c r="BT1164" s="67">
        <v>0</v>
      </c>
      <c r="BU1164" s="70">
        <v>15</v>
      </c>
      <c r="BV1164" s="29">
        <f t="shared" si="276"/>
        <v>0.80779601060408324</v>
      </c>
      <c r="BW1164">
        <f t="shared" si="277"/>
        <v>1.1555414682655611</v>
      </c>
      <c r="BX1164">
        <f t="shared" si="278"/>
        <v>0.47815352215483642</v>
      </c>
      <c r="BY1164">
        <f t="shared" si="279"/>
        <v>0.97801552848324624</v>
      </c>
      <c r="BZ1164">
        <f t="shared" si="280"/>
        <v>9.9604847176766084E-2</v>
      </c>
      <c r="CA1164">
        <f t="shared" si="281"/>
        <v>0.21058903898096887</v>
      </c>
      <c r="CB1164">
        <f t="shared" si="282"/>
        <v>1.1830340977862825</v>
      </c>
    </row>
    <row r="1165" spans="1:80" x14ac:dyDescent="0.45">
      <c r="A1165" s="11">
        <v>37</v>
      </c>
      <c r="B1165" s="12">
        <f t="shared" si="270"/>
        <v>37</v>
      </c>
      <c r="C1165" s="12" t="s">
        <v>59</v>
      </c>
      <c r="D1165" s="12">
        <v>0</v>
      </c>
      <c r="E1165" s="12" t="s">
        <v>53</v>
      </c>
      <c r="F1165" s="12">
        <v>0</v>
      </c>
      <c r="G1165" s="12">
        <v>1</v>
      </c>
      <c r="H1165" s="12" t="s">
        <v>61</v>
      </c>
      <c r="I1165" s="12">
        <v>1</v>
      </c>
      <c r="J1165" s="12">
        <v>0</v>
      </c>
      <c r="K1165" s="12">
        <v>10</v>
      </c>
      <c r="L1165" s="12">
        <f t="shared" si="271"/>
        <v>10</v>
      </c>
      <c r="M1165" s="12">
        <v>3</v>
      </c>
      <c r="N1165" s="12" t="s">
        <v>70</v>
      </c>
      <c r="O1165" s="12">
        <v>0</v>
      </c>
      <c r="P1165" s="12">
        <v>0</v>
      </c>
      <c r="Q1165" s="12">
        <v>1</v>
      </c>
      <c r="R1165" s="12">
        <v>0</v>
      </c>
      <c r="S1165" s="12">
        <v>0</v>
      </c>
      <c r="T1165" s="12">
        <v>2</v>
      </c>
      <c r="U1165" s="12" t="s">
        <v>19</v>
      </c>
      <c r="V1165" s="12">
        <v>1</v>
      </c>
      <c r="W1165" s="12">
        <v>71</v>
      </c>
      <c r="X1165" s="12">
        <v>3</v>
      </c>
      <c r="Y1165" s="12">
        <v>1</v>
      </c>
      <c r="Z1165" s="12" t="s">
        <v>63</v>
      </c>
      <c r="AA1165" s="12">
        <v>0</v>
      </c>
      <c r="AB1165" s="12">
        <v>0</v>
      </c>
      <c r="AC1165" s="12">
        <v>0</v>
      </c>
      <c r="AD1165" s="12">
        <v>0</v>
      </c>
      <c r="AE1165" s="12">
        <v>0</v>
      </c>
      <c r="AF1165" s="12">
        <v>0</v>
      </c>
      <c r="AG1165" s="12">
        <v>0</v>
      </c>
      <c r="AH1165" s="12">
        <v>1</v>
      </c>
      <c r="AI1165" s="12">
        <v>2</v>
      </c>
      <c r="AJ1165" s="12" t="s">
        <v>64</v>
      </c>
      <c r="AK1165" s="12">
        <v>0</v>
      </c>
      <c r="AL1165" s="12">
        <v>1</v>
      </c>
      <c r="AM1165" s="12">
        <v>3936</v>
      </c>
      <c r="AN1165" s="12">
        <f t="shared" si="272"/>
        <v>3936</v>
      </c>
      <c r="AO1165" s="12">
        <v>1</v>
      </c>
      <c r="AP1165" s="12" t="s">
        <v>59</v>
      </c>
      <c r="AQ1165" s="12">
        <v>0</v>
      </c>
      <c r="AR1165" s="12">
        <v>11</v>
      </c>
      <c r="AS1165" s="12">
        <v>3</v>
      </c>
      <c r="AT1165" s="12">
        <v>1</v>
      </c>
      <c r="AU1165" s="12">
        <v>1</v>
      </c>
      <c r="AV1165" s="12">
        <v>8</v>
      </c>
      <c r="AW1165" s="12">
        <f t="shared" si="273"/>
        <v>8</v>
      </c>
      <c r="AX1165" s="12">
        <v>2</v>
      </c>
      <c r="AY1165" s="12">
        <v>1</v>
      </c>
      <c r="AZ1165" s="12">
        <v>8</v>
      </c>
      <c r="BA1165" s="12">
        <f t="shared" si="274"/>
        <v>8</v>
      </c>
      <c r="BB1165" s="12">
        <v>4</v>
      </c>
      <c r="BC1165" s="12">
        <v>7</v>
      </c>
      <c r="BD1165" s="12">
        <f t="shared" si="283"/>
        <v>7</v>
      </c>
      <c r="BE1165" s="12">
        <v>7</v>
      </c>
      <c r="BF1165" s="12">
        <f t="shared" si="275"/>
        <v>7</v>
      </c>
      <c r="BG1165" s="12">
        <f t="shared" si="284"/>
        <v>7</v>
      </c>
      <c r="BH1165" s="67">
        <v>0</v>
      </c>
      <c r="BI1165" s="67">
        <v>1</v>
      </c>
      <c r="BJ1165" s="67">
        <v>0</v>
      </c>
      <c r="BK1165" s="67">
        <v>0</v>
      </c>
      <c r="BL1165" s="67">
        <v>0</v>
      </c>
      <c r="BM1165" s="67">
        <v>0</v>
      </c>
      <c r="BN1165" s="67">
        <v>1</v>
      </c>
      <c r="BO1165" s="67">
        <v>0</v>
      </c>
      <c r="BP1165" s="67">
        <v>0</v>
      </c>
      <c r="BQ1165" s="67">
        <v>7</v>
      </c>
      <c r="BR1165" s="67">
        <v>0</v>
      </c>
      <c r="BS1165" s="67">
        <v>0</v>
      </c>
      <c r="BT1165" s="67">
        <v>8</v>
      </c>
      <c r="BU1165" s="70">
        <v>0</v>
      </c>
      <c r="BV1165" s="29">
        <f t="shared" si="276"/>
        <v>0.54523255220450006</v>
      </c>
      <c r="BW1165">
        <f t="shared" si="277"/>
        <v>0.80626709607243985</v>
      </c>
      <c r="BX1165">
        <f t="shared" si="278"/>
        <v>0.42149901815843233</v>
      </c>
      <c r="BY1165">
        <f t="shared" si="279"/>
        <v>0.16189221622713135</v>
      </c>
      <c r="BZ1165">
        <f t="shared" si="280"/>
        <v>9.9604847176766084E-2</v>
      </c>
      <c r="CA1165">
        <f t="shared" si="281"/>
        <v>8.3401599596422994E-3</v>
      </c>
      <c r="CB1165">
        <f t="shared" si="282"/>
        <v>1.4933588878908215</v>
      </c>
    </row>
    <row r="1166" spans="1:80" x14ac:dyDescent="0.45">
      <c r="A1166" s="11">
        <v>40</v>
      </c>
      <c r="B1166" s="12">
        <f t="shared" si="270"/>
        <v>40</v>
      </c>
      <c r="C1166" s="12" t="s">
        <v>59</v>
      </c>
      <c r="D1166" s="12">
        <v>0</v>
      </c>
      <c r="E1166" s="12" t="s">
        <v>53</v>
      </c>
      <c r="F1166" s="12">
        <v>0</v>
      </c>
      <c r="G1166" s="12">
        <v>1</v>
      </c>
      <c r="H1166" s="12" t="s">
        <v>61</v>
      </c>
      <c r="I1166" s="12">
        <v>1</v>
      </c>
      <c r="J1166" s="12">
        <v>0</v>
      </c>
      <c r="K1166" s="12">
        <v>16</v>
      </c>
      <c r="L1166" s="12">
        <f t="shared" si="271"/>
        <v>16</v>
      </c>
      <c r="M1166" s="12">
        <v>3</v>
      </c>
      <c r="N1166" s="12" t="s">
        <v>55</v>
      </c>
      <c r="O1166" s="12">
        <v>1</v>
      </c>
      <c r="P1166" s="12">
        <v>0</v>
      </c>
      <c r="Q1166" s="12">
        <v>0</v>
      </c>
      <c r="R1166" s="12">
        <v>0</v>
      </c>
      <c r="S1166" s="12">
        <v>0</v>
      </c>
      <c r="T1166" s="12">
        <v>3</v>
      </c>
      <c r="U1166" s="12" t="s">
        <v>19</v>
      </c>
      <c r="V1166" s="12">
        <v>1</v>
      </c>
      <c r="W1166" s="12">
        <v>84</v>
      </c>
      <c r="X1166" s="12">
        <v>3</v>
      </c>
      <c r="Y1166" s="12">
        <v>3</v>
      </c>
      <c r="Z1166" s="12" t="s">
        <v>83</v>
      </c>
      <c r="AA1166" s="12">
        <v>0</v>
      </c>
      <c r="AB1166" s="12">
        <v>0</v>
      </c>
      <c r="AC1166" s="12">
        <v>0</v>
      </c>
      <c r="AD1166" s="12">
        <v>0</v>
      </c>
      <c r="AE1166" s="12">
        <v>1</v>
      </c>
      <c r="AF1166" s="12">
        <v>1</v>
      </c>
      <c r="AG1166" s="12">
        <v>0</v>
      </c>
      <c r="AH1166" s="12">
        <v>0</v>
      </c>
      <c r="AI1166" s="12">
        <v>4</v>
      </c>
      <c r="AJ1166" s="12" t="s">
        <v>57</v>
      </c>
      <c r="AK1166" s="12">
        <v>1</v>
      </c>
      <c r="AL1166" s="12">
        <v>0</v>
      </c>
      <c r="AM1166" s="12">
        <v>7945</v>
      </c>
      <c r="AN1166" s="12">
        <f t="shared" si="272"/>
        <v>7945</v>
      </c>
      <c r="AO1166" s="12">
        <v>6</v>
      </c>
      <c r="AP1166" s="12" t="s">
        <v>52</v>
      </c>
      <c r="AQ1166" s="12">
        <v>1</v>
      </c>
      <c r="AR1166" s="12">
        <v>15</v>
      </c>
      <c r="AS1166" s="12">
        <v>3</v>
      </c>
      <c r="AT1166" s="12">
        <v>4</v>
      </c>
      <c r="AU1166" s="12">
        <v>0</v>
      </c>
      <c r="AV1166" s="12">
        <v>18</v>
      </c>
      <c r="AW1166" s="12">
        <f t="shared" si="273"/>
        <v>18</v>
      </c>
      <c r="AX1166" s="12">
        <v>2</v>
      </c>
      <c r="AY1166" s="12">
        <v>2</v>
      </c>
      <c r="AZ1166" s="12">
        <v>4</v>
      </c>
      <c r="BA1166" s="12">
        <f t="shared" si="274"/>
        <v>4</v>
      </c>
      <c r="BB1166" s="12">
        <v>2</v>
      </c>
      <c r="BC1166" s="12">
        <v>3</v>
      </c>
      <c r="BD1166" s="12">
        <f t="shared" si="283"/>
        <v>3</v>
      </c>
      <c r="BE1166" s="12">
        <v>3</v>
      </c>
      <c r="BF1166" s="12">
        <f t="shared" si="275"/>
        <v>3</v>
      </c>
      <c r="BG1166" s="12">
        <f t="shared" si="284"/>
        <v>9</v>
      </c>
      <c r="BH1166" s="67">
        <v>1</v>
      </c>
      <c r="BI1166" s="67">
        <v>0</v>
      </c>
      <c r="BJ1166" s="67">
        <v>0</v>
      </c>
      <c r="BK1166" s="67">
        <v>0</v>
      </c>
      <c r="BL1166" s="67">
        <v>0</v>
      </c>
      <c r="BM1166" s="67">
        <v>1</v>
      </c>
      <c r="BN1166" s="67">
        <v>0</v>
      </c>
      <c r="BO1166" s="67">
        <v>0</v>
      </c>
      <c r="BP1166" s="67">
        <v>0</v>
      </c>
      <c r="BQ1166" s="67">
        <v>3</v>
      </c>
      <c r="BR1166" s="67">
        <v>0</v>
      </c>
      <c r="BS1166" s="67">
        <v>0</v>
      </c>
      <c r="BT1166" s="67">
        <v>18</v>
      </c>
      <c r="BU1166" s="70">
        <v>0</v>
      </c>
      <c r="BV1166" s="29">
        <f t="shared" si="276"/>
        <v>0.30630457625697727</v>
      </c>
      <c r="BW1166">
        <f t="shared" si="277"/>
        <v>0.31476636926356072</v>
      </c>
      <c r="BX1166">
        <f t="shared" si="278"/>
        <v>0.86371889657480871</v>
      </c>
      <c r="BY1166">
        <f t="shared" si="279"/>
        <v>0.49100643357776058</v>
      </c>
      <c r="BZ1166">
        <f t="shared" si="280"/>
        <v>0.83971837042788355</v>
      </c>
      <c r="CA1166">
        <f t="shared" si="281"/>
        <v>0.33673395837055903</v>
      </c>
      <c r="CB1166">
        <f t="shared" si="282"/>
        <v>0.2520597274726662</v>
      </c>
    </row>
    <row r="1167" spans="1:80" x14ac:dyDescent="0.45">
      <c r="A1167" s="11">
        <v>44</v>
      </c>
      <c r="B1167" s="12">
        <f t="shared" si="270"/>
        <v>44</v>
      </c>
      <c r="C1167" s="12" t="s">
        <v>59</v>
      </c>
      <c r="D1167" s="12">
        <v>0</v>
      </c>
      <c r="E1167" s="12" t="s">
        <v>60</v>
      </c>
      <c r="F1167" s="12">
        <v>1</v>
      </c>
      <c r="G1167" s="12">
        <v>0</v>
      </c>
      <c r="H1167" s="12" t="s">
        <v>97</v>
      </c>
      <c r="I1167" s="12">
        <v>0</v>
      </c>
      <c r="J1167" s="12">
        <v>0</v>
      </c>
      <c r="K1167" s="12">
        <v>1</v>
      </c>
      <c r="L1167" s="12">
        <f t="shared" si="271"/>
        <v>1</v>
      </c>
      <c r="M1167" s="12">
        <v>5</v>
      </c>
      <c r="N1167" s="12" t="s">
        <v>97</v>
      </c>
      <c r="O1167" s="12">
        <v>0</v>
      </c>
      <c r="P1167" s="12">
        <v>0</v>
      </c>
      <c r="Q1167" s="12">
        <v>0</v>
      </c>
      <c r="R1167" s="12">
        <v>0</v>
      </c>
      <c r="S1167" s="12">
        <v>0</v>
      </c>
      <c r="T1167" s="12">
        <v>1</v>
      </c>
      <c r="U1167" s="12" t="s">
        <v>62</v>
      </c>
      <c r="V1167" s="12">
        <v>0</v>
      </c>
      <c r="W1167" s="12">
        <v>37</v>
      </c>
      <c r="X1167" s="12">
        <v>3</v>
      </c>
      <c r="Y1167" s="12">
        <v>2</v>
      </c>
      <c r="Z1167" s="12" t="s">
        <v>97</v>
      </c>
      <c r="AA1167" s="12">
        <v>0</v>
      </c>
      <c r="AB1167" s="12">
        <v>0</v>
      </c>
      <c r="AC1167" s="12">
        <v>0</v>
      </c>
      <c r="AD1167" s="12">
        <v>0</v>
      </c>
      <c r="AE1167" s="12">
        <v>0</v>
      </c>
      <c r="AF1167" s="12">
        <v>0</v>
      </c>
      <c r="AG1167" s="12">
        <v>0</v>
      </c>
      <c r="AH1167" s="12">
        <v>0</v>
      </c>
      <c r="AI1167" s="12">
        <v>4</v>
      </c>
      <c r="AJ1167" s="12" t="s">
        <v>64</v>
      </c>
      <c r="AK1167" s="12">
        <v>0</v>
      </c>
      <c r="AL1167" s="12">
        <v>1</v>
      </c>
      <c r="AM1167" s="12">
        <v>5743</v>
      </c>
      <c r="AN1167" s="12">
        <f t="shared" si="272"/>
        <v>5743</v>
      </c>
      <c r="AO1167" s="12">
        <v>4</v>
      </c>
      <c r="AP1167" s="12" t="s">
        <v>52</v>
      </c>
      <c r="AQ1167" s="12">
        <v>1</v>
      </c>
      <c r="AR1167" s="12">
        <v>11</v>
      </c>
      <c r="AS1167" s="12">
        <v>3</v>
      </c>
      <c r="AT1167" s="12">
        <v>3</v>
      </c>
      <c r="AU1167" s="12">
        <v>0</v>
      </c>
      <c r="AV1167" s="12">
        <v>14</v>
      </c>
      <c r="AW1167" s="12">
        <f t="shared" si="273"/>
        <v>14</v>
      </c>
      <c r="AX1167" s="12">
        <v>3</v>
      </c>
      <c r="AY1167" s="12">
        <v>3</v>
      </c>
      <c r="AZ1167" s="12">
        <v>10</v>
      </c>
      <c r="BA1167" s="12">
        <f t="shared" si="274"/>
        <v>10</v>
      </c>
      <c r="BB1167" s="12">
        <v>7</v>
      </c>
      <c r="BC1167" s="12">
        <v>0</v>
      </c>
      <c r="BD1167" s="12">
        <f t="shared" si="283"/>
        <v>0</v>
      </c>
      <c r="BE1167" s="12">
        <v>2</v>
      </c>
      <c r="BF1167" s="12">
        <f t="shared" si="275"/>
        <v>2</v>
      </c>
      <c r="BG1167" s="12">
        <f t="shared" si="284"/>
        <v>4</v>
      </c>
      <c r="BH1167" s="67">
        <v>0</v>
      </c>
      <c r="BI1167" s="67">
        <v>0</v>
      </c>
      <c r="BJ1167" s="67">
        <v>0</v>
      </c>
      <c r="BK1167" s="67">
        <v>1</v>
      </c>
      <c r="BL1167" s="67">
        <v>0</v>
      </c>
      <c r="BM1167" s="67">
        <v>0</v>
      </c>
      <c r="BN1167" s="67">
        <v>0</v>
      </c>
      <c r="BO1167" s="67">
        <v>1</v>
      </c>
      <c r="BP1167" s="67">
        <v>2</v>
      </c>
      <c r="BQ1167" s="67">
        <v>0</v>
      </c>
      <c r="BR1167" s="67">
        <v>0</v>
      </c>
      <c r="BS1167" s="67">
        <v>14</v>
      </c>
      <c r="BT1167" s="67">
        <v>0</v>
      </c>
      <c r="BU1167" s="70">
        <v>0</v>
      </c>
      <c r="BV1167" s="29">
        <f t="shared" si="276"/>
        <v>0.16141424561186107</v>
      </c>
      <c r="BW1167">
        <f t="shared" si="277"/>
        <v>0.59502473559756086</v>
      </c>
      <c r="BX1167">
        <f t="shared" si="278"/>
        <v>0.34963173068151232</v>
      </c>
      <c r="BY1167">
        <f t="shared" si="279"/>
        <v>0.48834154112957734</v>
      </c>
      <c r="BZ1167">
        <f t="shared" si="280"/>
        <v>1.01056543769991</v>
      </c>
      <c r="CA1167">
        <f t="shared" si="281"/>
        <v>0.77459235625178136</v>
      </c>
      <c r="CB1167">
        <f t="shared" si="282"/>
        <v>0.67891464284095016</v>
      </c>
    </row>
    <row r="1168" spans="1:80" x14ac:dyDescent="0.45">
      <c r="A1168" s="11">
        <v>48</v>
      </c>
      <c r="B1168" s="12">
        <f t="shared" si="270"/>
        <v>48</v>
      </c>
      <c r="C1168" s="12" t="s">
        <v>59</v>
      </c>
      <c r="D1168" s="12">
        <v>0</v>
      </c>
      <c r="E1168" s="12" t="s">
        <v>60</v>
      </c>
      <c r="F1168" s="12">
        <v>1</v>
      </c>
      <c r="G1168" s="12">
        <v>0</v>
      </c>
      <c r="H1168" s="12" t="s">
        <v>61</v>
      </c>
      <c r="I1168" s="12">
        <v>1</v>
      </c>
      <c r="J1168" s="12">
        <v>0</v>
      </c>
      <c r="K1168" s="12">
        <v>4</v>
      </c>
      <c r="L1168" s="12">
        <f t="shared" si="271"/>
        <v>4</v>
      </c>
      <c r="M1168" s="12">
        <v>5</v>
      </c>
      <c r="N1168" s="12" t="s">
        <v>70</v>
      </c>
      <c r="O1168" s="12">
        <v>0</v>
      </c>
      <c r="P1168" s="12">
        <v>0</v>
      </c>
      <c r="Q1168" s="12">
        <v>1</v>
      </c>
      <c r="R1168" s="12">
        <v>0</v>
      </c>
      <c r="S1168" s="12">
        <v>0</v>
      </c>
      <c r="T1168" s="12">
        <v>3</v>
      </c>
      <c r="U1168" s="12" t="s">
        <v>62</v>
      </c>
      <c r="V1168" s="12">
        <v>0</v>
      </c>
      <c r="W1168" s="12">
        <v>89</v>
      </c>
      <c r="X1168" s="12">
        <v>2</v>
      </c>
      <c r="Y1168" s="12">
        <v>4</v>
      </c>
      <c r="Z1168" s="12" t="s">
        <v>87</v>
      </c>
      <c r="AA1168" s="12">
        <v>0</v>
      </c>
      <c r="AB1168" s="12">
        <v>0</v>
      </c>
      <c r="AC1168" s="12">
        <v>0</v>
      </c>
      <c r="AD1168" s="12">
        <v>1</v>
      </c>
      <c r="AE1168" s="12">
        <v>0</v>
      </c>
      <c r="AF1168" s="12">
        <v>0</v>
      </c>
      <c r="AG1168" s="12">
        <v>0</v>
      </c>
      <c r="AH1168" s="12">
        <v>0</v>
      </c>
      <c r="AI1168" s="12">
        <v>4</v>
      </c>
      <c r="AJ1168" s="12" t="s">
        <v>64</v>
      </c>
      <c r="AK1168" s="12">
        <v>0</v>
      </c>
      <c r="AL1168" s="12">
        <v>1</v>
      </c>
      <c r="AM1168" s="12">
        <v>15202</v>
      </c>
      <c r="AN1168" s="12">
        <f t="shared" si="272"/>
        <v>15202</v>
      </c>
      <c r="AO1168" s="12">
        <v>2</v>
      </c>
      <c r="AP1168" s="12" t="s">
        <v>59</v>
      </c>
      <c r="AQ1168" s="12">
        <v>0</v>
      </c>
      <c r="AR1168" s="12">
        <v>25</v>
      </c>
      <c r="AS1168" s="12">
        <v>4</v>
      </c>
      <c r="AT1168" s="12">
        <v>2</v>
      </c>
      <c r="AU1168" s="12">
        <v>1</v>
      </c>
      <c r="AV1168" s="12">
        <v>23</v>
      </c>
      <c r="AW1168" s="12">
        <f t="shared" si="273"/>
        <v>23</v>
      </c>
      <c r="AX1168" s="12">
        <v>3</v>
      </c>
      <c r="AY1168" s="12">
        <v>3</v>
      </c>
      <c r="AZ1168" s="12">
        <v>2</v>
      </c>
      <c r="BA1168" s="12">
        <f t="shared" si="274"/>
        <v>2</v>
      </c>
      <c r="BB1168" s="12">
        <v>2</v>
      </c>
      <c r="BC1168" s="12">
        <v>2</v>
      </c>
      <c r="BD1168" s="12">
        <f t="shared" si="283"/>
        <v>2</v>
      </c>
      <c r="BE1168" s="12">
        <v>2</v>
      </c>
      <c r="BF1168" s="12">
        <f t="shared" si="275"/>
        <v>2</v>
      </c>
      <c r="BG1168" s="12">
        <f t="shared" si="284"/>
        <v>8</v>
      </c>
      <c r="BH1168" s="67">
        <v>0</v>
      </c>
      <c r="BI1168" s="67">
        <v>0</v>
      </c>
      <c r="BJ1168" s="67">
        <v>0</v>
      </c>
      <c r="BK1168" s="67">
        <v>1</v>
      </c>
      <c r="BL1168" s="67">
        <v>0</v>
      </c>
      <c r="BM1168" s="67">
        <v>0</v>
      </c>
      <c r="BN1168" s="67">
        <v>1</v>
      </c>
      <c r="BO1168" s="67">
        <v>0</v>
      </c>
      <c r="BP1168" s="67">
        <v>0</v>
      </c>
      <c r="BQ1168" s="67">
        <v>2</v>
      </c>
      <c r="BR1168" s="67">
        <v>0</v>
      </c>
      <c r="BS1168" s="67">
        <v>0</v>
      </c>
      <c r="BT1168" s="67">
        <v>23</v>
      </c>
      <c r="BU1168" s="70">
        <v>0</v>
      </c>
      <c r="BV1168" s="29">
        <f t="shared" si="276"/>
        <v>1.8477375872933806</v>
      </c>
      <c r="BW1168">
        <f t="shared" si="277"/>
        <v>0.59502473559756086</v>
      </c>
      <c r="BX1168">
        <f t="shared" si="278"/>
        <v>1.5063278539414293</v>
      </c>
      <c r="BY1168">
        <f t="shared" si="279"/>
        <v>0.81745575848020657</v>
      </c>
      <c r="BZ1168">
        <f t="shared" si="280"/>
        <v>0.64050867607435136</v>
      </c>
      <c r="CA1168">
        <f t="shared" si="281"/>
        <v>1.2124507541330036</v>
      </c>
      <c r="CB1168">
        <f t="shared" si="282"/>
        <v>5.8265062631872602E-2</v>
      </c>
    </row>
    <row r="1169" spans="1:80" x14ac:dyDescent="0.45">
      <c r="A1169" s="11">
        <v>35</v>
      </c>
      <c r="B1169" s="12">
        <f t="shared" si="270"/>
        <v>35</v>
      </c>
      <c r="C1169" s="12" t="s">
        <v>52</v>
      </c>
      <c r="D1169" s="12">
        <v>1</v>
      </c>
      <c r="E1169" s="12" t="s">
        <v>53</v>
      </c>
      <c r="F1169" s="12">
        <v>0</v>
      </c>
      <c r="G1169" s="12">
        <v>1</v>
      </c>
      <c r="H1169" s="12" t="s">
        <v>54</v>
      </c>
      <c r="I1169" s="12">
        <v>0</v>
      </c>
      <c r="J1169" s="12">
        <v>1</v>
      </c>
      <c r="K1169" s="12">
        <v>15</v>
      </c>
      <c r="L1169" s="12">
        <f t="shared" si="271"/>
        <v>15</v>
      </c>
      <c r="M1169" s="12">
        <v>2</v>
      </c>
      <c r="N1169" s="12" t="s">
        <v>70</v>
      </c>
      <c r="O1169" s="12">
        <v>0</v>
      </c>
      <c r="P1169" s="12">
        <v>0</v>
      </c>
      <c r="Q1169" s="12">
        <v>1</v>
      </c>
      <c r="R1169" s="12">
        <v>0</v>
      </c>
      <c r="S1169" s="12">
        <v>0</v>
      </c>
      <c r="T1169" s="12">
        <v>1</v>
      </c>
      <c r="U1169" s="12" t="s">
        <v>62</v>
      </c>
      <c r="V1169" s="12">
        <v>0</v>
      </c>
      <c r="W1169" s="12">
        <v>59</v>
      </c>
      <c r="X1169" s="12">
        <v>1</v>
      </c>
      <c r="Y1169" s="12">
        <v>2</v>
      </c>
      <c r="Z1169" s="12" t="s">
        <v>56</v>
      </c>
      <c r="AA1169" s="12">
        <v>0</v>
      </c>
      <c r="AB1169" s="12">
        <v>1</v>
      </c>
      <c r="AC1169" s="12">
        <v>0</v>
      </c>
      <c r="AD1169" s="12">
        <v>0</v>
      </c>
      <c r="AE1169" s="12">
        <v>0</v>
      </c>
      <c r="AF1169" s="12">
        <v>0</v>
      </c>
      <c r="AG1169" s="12">
        <v>0</v>
      </c>
      <c r="AH1169" s="12">
        <v>0</v>
      </c>
      <c r="AI1169" s="12">
        <v>4</v>
      </c>
      <c r="AJ1169" s="12" t="s">
        <v>78</v>
      </c>
      <c r="AK1169" s="12">
        <v>0</v>
      </c>
      <c r="AL1169" s="12">
        <v>0</v>
      </c>
      <c r="AM1169" s="12">
        <v>5440</v>
      </c>
      <c r="AN1169" s="12">
        <f t="shared" si="272"/>
        <v>5440</v>
      </c>
      <c r="AO1169" s="12">
        <v>6</v>
      </c>
      <c r="AP1169" s="12" t="s">
        <v>52</v>
      </c>
      <c r="AQ1169" s="12">
        <v>1</v>
      </c>
      <c r="AR1169" s="12">
        <v>14</v>
      </c>
      <c r="AS1169" s="12">
        <v>3</v>
      </c>
      <c r="AT1169" s="12">
        <v>4</v>
      </c>
      <c r="AU1169" s="12">
        <v>2</v>
      </c>
      <c r="AV1169" s="12">
        <v>7</v>
      </c>
      <c r="AW1169" s="12">
        <f t="shared" si="273"/>
        <v>7</v>
      </c>
      <c r="AX1169" s="12">
        <v>2</v>
      </c>
      <c r="AY1169" s="12">
        <v>2</v>
      </c>
      <c r="AZ1169" s="12">
        <v>2</v>
      </c>
      <c r="BA1169" s="12">
        <f t="shared" si="274"/>
        <v>2</v>
      </c>
      <c r="BB1169" s="12">
        <v>2</v>
      </c>
      <c r="BC1169" s="12">
        <v>2</v>
      </c>
      <c r="BD1169" s="12">
        <f t="shared" si="283"/>
        <v>2</v>
      </c>
      <c r="BE1169" s="12">
        <v>2</v>
      </c>
      <c r="BF1169" s="12">
        <f t="shared" si="275"/>
        <v>2</v>
      </c>
      <c r="BG1169" s="12">
        <f t="shared" si="284"/>
        <v>4</v>
      </c>
      <c r="BH1169" s="67">
        <v>1</v>
      </c>
      <c r="BI1169" s="67">
        <v>0</v>
      </c>
      <c r="BJ1169" s="67">
        <v>0</v>
      </c>
      <c r="BK1169" s="67">
        <v>0</v>
      </c>
      <c r="BL1169" s="67">
        <v>0</v>
      </c>
      <c r="BM1169" s="67">
        <v>1</v>
      </c>
      <c r="BN1169" s="67">
        <v>0</v>
      </c>
      <c r="BO1169" s="67">
        <v>0</v>
      </c>
      <c r="BP1169" s="67">
        <v>0</v>
      </c>
      <c r="BQ1169" s="67">
        <v>0</v>
      </c>
      <c r="BR1169" s="67">
        <v>2</v>
      </c>
      <c r="BS1169" s="67">
        <v>0</v>
      </c>
      <c r="BT1169" s="67">
        <v>0</v>
      </c>
      <c r="BU1169" s="70">
        <v>7</v>
      </c>
      <c r="BV1169" s="29">
        <f t="shared" si="276"/>
        <v>0.22577337505157863</v>
      </c>
      <c r="BW1169">
        <f t="shared" si="277"/>
        <v>0.59502473559756086</v>
      </c>
      <c r="BX1169">
        <f t="shared" si="278"/>
        <v>0.55002080963175637</v>
      </c>
      <c r="BY1169">
        <f t="shared" si="279"/>
        <v>0.81745575848020657</v>
      </c>
      <c r="BZ1169">
        <f t="shared" si="280"/>
        <v>0.71636611655269733</v>
      </c>
      <c r="CA1169">
        <f t="shared" si="281"/>
        <v>0.21058903898096887</v>
      </c>
      <c r="CB1169">
        <f t="shared" si="282"/>
        <v>5.8265062631872602E-2</v>
      </c>
    </row>
    <row r="1170" spans="1:80" x14ac:dyDescent="0.45">
      <c r="A1170" s="11">
        <v>24</v>
      </c>
      <c r="B1170" s="12">
        <f t="shared" si="270"/>
        <v>24</v>
      </c>
      <c r="C1170" s="12" t="s">
        <v>59</v>
      </c>
      <c r="D1170" s="12">
        <v>0</v>
      </c>
      <c r="E1170" s="12" t="s">
        <v>60</v>
      </c>
      <c r="F1170" s="12">
        <v>1</v>
      </c>
      <c r="G1170" s="12">
        <v>0</v>
      </c>
      <c r="H1170" s="12" t="s">
        <v>61</v>
      </c>
      <c r="I1170" s="12">
        <v>1</v>
      </c>
      <c r="J1170" s="12">
        <v>0</v>
      </c>
      <c r="K1170" s="12">
        <v>2</v>
      </c>
      <c r="L1170" s="12">
        <f t="shared" si="271"/>
        <v>2</v>
      </c>
      <c r="M1170" s="12">
        <v>1</v>
      </c>
      <c r="N1170" s="12" t="s">
        <v>91</v>
      </c>
      <c r="O1170" s="12">
        <v>0</v>
      </c>
      <c r="P1170" s="12">
        <v>0</v>
      </c>
      <c r="Q1170" s="12">
        <v>0</v>
      </c>
      <c r="R1170" s="12">
        <v>0</v>
      </c>
      <c r="S1170" s="12">
        <v>1</v>
      </c>
      <c r="T1170" s="12">
        <v>1</v>
      </c>
      <c r="U1170" s="12" t="s">
        <v>19</v>
      </c>
      <c r="V1170" s="12">
        <v>1</v>
      </c>
      <c r="W1170" s="12">
        <v>32</v>
      </c>
      <c r="X1170" s="12">
        <v>3</v>
      </c>
      <c r="Y1170" s="12">
        <v>1</v>
      </c>
      <c r="Z1170" s="12" t="s">
        <v>63</v>
      </c>
      <c r="AA1170" s="12">
        <v>0</v>
      </c>
      <c r="AB1170" s="12">
        <v>0</v>
      </c>
      <c r="AC1170" s="12">
        <v>0</v>
      </c>
      <c r="AD1170" s="12">
        <v>0</v>
      </c>
      <c r="AE1170" s="12">
        <v>0</v>
      </c>
      <c r="AF1170" s="12">
        <v>0</v>
      </c>
      <c r="AG1170" s="12">
        <v>0</v>
      </c>
      <c r="AH1170" s="12">
        <v>1</v>
      </c>
      <c r="AI1170" s="12">
        <v>4</v>
      </c>
      <c r="AJ1170" s="12" t="s">
        <v>57</v>
      </c>
      <c r="AK1170" s="12">
        <v>1</v>
      </c>
      <c r="AL1170" s="12">
        <v>0</v>
      </c>
      <c r="AM1170" s="12">
        <v>3760</v>
      </c>
      <c r="AN1170" s="12">
        <f t="shared" si="272"/>
        <v>3760</v>
      </c>
      <c r="AO1170" s="12">
        <v>1</v>
      </c>
      <c r="AP1170" s="12" t="s">
        <v>52</v>
      </c>
      <c r="AQ1170" s="12">
        <v>1</v>
      </c>
      <c r="AR1170" s="12">
        <v>13</v>
      </c>
      <c r="AS1170" s="12">
        <v>3</v>
      </c>
      <c r="AT1170" s="12">
        <v>3</v>
      </c>
      <c r="AU1170" s="12">
        <v>0</v>
      </c>
      <c r="AV1170" s="12">
        <v>6</v>
      </c>
      <c r="AW1170" s="12">
        <f t="shared" si="273"/>
        <v>6</v>
      </c>
      <c r="AX1170" s="12">
        <v>2</v>
      </c>
      <c r="AY1170" s="12">
        <v>3</v>
      </c>
      <c r="AZ1170" s="12">
        <v>6</v>
      </c>
      <c r="BA1170" s="12">
        <f t="shared" si="274"/>
        <v>6</v>
      </c>
      <c r="BB1170" s="12">
        <v>3</v>
      </c>
      <c r="BC1170" s="12">
        <v>1</v>
      </c>
      <c r="BD1170" s="12">
        <f t="shared" si="283"/>
        <v>1</v>
      </c>
      <c r="BE1170" s="12">
        <v>3</v>
      </c>
      <c r="BF1170" s="12">
        <f t="shared" si="275"/>
        <v>3</v>
      </c>
      <c r="BG1170" s="12">
        <f t="shared" si="284"/>
        <v>3</v>
      </c>
      <c r="BH1170" s="67">
        <v>0</v>
      </c>
      <c r="BI1170" s="67">
        <v>0</v>
      </c>
      <c r="BJ1170" s="67">
        <v>1</v>
      </c>
      <c r="BK1170" s="67">
        <v>0</v>
      </c>
      <c r="BL1170" s="67">
        <v>0</v>
      </c>
      <c r="BM1170" s="67">
        <v>1</v>
      </c>
      <c r="BN1170" s="67">
        <v>0</v>
      </c>
      <c r="BO1170" s="67">
        <v>0</v>
      </c>
      <c r="BP1170" s="67">
        <v>0</v>
      </c>
      <c r="BQ1170" s="67">
        <v>3</v>
      </c>
      <c r="BR1170" s="67">
        <v>0</v>
      </c>
      <c r="BS1170" s="67">
        <v>0</v>
      </c>
      <c r="BT1170" s="67">
        <v>6</v>
      </c>
      <c r="BU1170" s="70">
        <v>0</v>
      </c>
      <c r="BV1170" s="29">
        <f t="shared" si="276"/>
        <v>0.58261607293516104</v>
      </c>
      <c r="BW1170">
        <f t="shared" si="277"/>
        <v>0.31476636926356072</v>
      </c>
      <c r="BX1170">
        <f t="shared" si="278"/>
        <v>0.67854260110508058</v>
      </c>
      <c r="BY1170">
        <f t="shared" si="279"/>
        <v>0.16455710867531462</v>
      </c>
      <c r="BZ1170">
        <f t="shared" si="280"/>
        <v>0.88721318382472392</v>
      </c>
      <c r="CA1170">
        <f t="shared" si="281"/>
        <v>1.4146996331543302</v>
      </c>
      <c r="CB1170">
        <f t="shared" si="282"/>
        <v>0.36858985273641137</v>
      </c>
    </row>
    <row r="1171" spans="1:80" x14ac:dyDescent="0.45">
      <c r="A1171" s="11">
        <v>27</v>
      </c>
      <c r="B1171" s="12">
        <f t="shared" si="270"/>
        <v>27</v>
      </c>
      <c r="C1171" s="12" t="s">
        <v>59</v>
      </c>
      <c r="D1171" s="12">
        <v>0</v>
      </c>
      <c r="E1171" s="12" t="s">
        <v>53</v>
      </c>
      <c r="F1171" s="12">
        <v>0</v>
      </c>
      <c r="G1171" s="12">
        <v>1</v>
      </c>
      <c r="H1171" s="12" t="s">
        <v>61</v>
      </c>
      <c r="I1171" s="12">
        <v>1</v>
      </c>
      <c r="J1171" s="12">
        <v>0</v>
      </c>
      <c r="K1171" s="12">
        <v>8</v>
      </c>
      <c r="L1171" s="12">
        <f t="shared" si="271"/>
        <v>8</v>
      </c>
      <c r="M1171" s="12">
        <v>3</v>
      </c>
      <c r="N1171" s="12" t="s">
        <v>70</v>
      </c>
      <c r="O1171" s="12">
        <v>0</v>
      </c>
      <c r="P1171" s="12">
        <v>0</v>
      </c>
      <c r="Q1171" s="12">
        <v>1</v>
      </c>
      <c r="R1171" s="12">
        <v>0</v>
      </c>
      <c r="S1171" s="12">
        <v>0</v>
      </c>
      <c r="T1171" s="12">
        <v>2</v>
      </c>
      <c r="U1171" s="12" t="s">
        <v>19</v>
      </c>
      <c r="V1171" s="12">
        <v>1</v>
      </c>
      <c r="W1171" s="12">
        <v>86</v>
      </c>
      <c r="X1171" s="12">
        <v>4</v>
      </c>
      <c r="Y1171" s="12">
        <v>1</v>
      </c>
      <c r="Z1171" s="12" t="s">
        <v>63</v>
      </c>
      <c r="AA1171" s="12">
        <v>0</v>
      </c>
      <c r="AB1171" s="12">
        <v>0</v>
      </c>
      <c r="AC1171" s="12">
        <v>0</v>
      </c>
      <c r="AD1171" s="12">
        <v>0</v>
      </c>
      <c r="AE1171" s="12">
        <v>0</v>
      </c>
      <c r="AF1171" s="12">
        <v>0</v>
      </c>
      <c r="AG1171" s="12">
        <v>0</v>
      </c>
      <c r="AH1171" s="12">
        <v>1</v>
      </c>
      <c r="AI1171" s="12">
        <v>3</v>
      </c>
      <c r="AJ1171" s="12" t="s">
        <v>64</v>
      </c>
      <c r="AK1171" s="12">
        <v>0</v>
      </c>
      <c r="AL1171" s="12">
        <v>1</v>
      </c>
      <c r="AM1171" s="12">
        <v>3517</v>
      </c>
      <c r="AN1171" s="12">
        <f t="shared" si="272"/>
        <v>3517</v>
      </c>
      <c r="AO1171" s="12">
        <v>7</v>
      </c>
      <c r="AP1171" s="12" t="s">
        <v>59</v>
      </c>
      <c r="AQ1171" s="12">
        <v>0</v>
      </c>
      <c r="AR1171" s="12">
        <v>17</v>
      </c>
      <c r="AS1171" s="12">
        <v>3</v>
      </c>
      <c r="AT1171" s="12">
        <v>1</v>
      </c>
      <c r="AU1171" s="12">
        <v>0</v>
      </c>
      <c r="AV1171" s="12">
        <v>5</v>
      </c>
      <c r="AW1171" s="12">
        <f t="shared" si="273"/>
        <v>5</v>
      </c>
      <c r="AX1171" s="12">
        <v>0</v>
      </c>
      <c r="AY1171" s="12">
        <v>3</v>
      </c>
      <c r="AZ1171" s="12">
        <v>3</v>
      </c>
      <c r="BA1171" s="12">
        <f t="shared" si="274"/>
        <v>3</v>
      </c>
      <c r="BB1171" s="12">
        <v>2</v>
      </c>
      <c r="BC1171" s="12">
        <v>0</v>
      </c>
      <c r="BD1171" s="12">
        <f t="shared" si="283"/>
        <v>0</v>
      </c>
      <c r="BE1171" s="12">
        <v>2</v>
      </c>
      <c r="BF1171" s="12">
        <f t="shared" si="275"/>
        <v>2</v>
      </c>
      <c r="BG1171" s="12">
        <f t="shared" si="284"/>
        <v>2</v>
      </c>
      <c r="BH1171" s="67">
        <v>0</v>
      </c>
      <c r="BI1171" s="67">
        <v>1</v>
      </c>
      <c r="BJ1171" s="67">
        <v>0</v>
      </c>
      <c r="BK1171" s="67">
        <v>0</v>
      </c>
      <c r="BL1171" s="67">
        <v>0</v>
      </c>
      <c r="BM1171" s="67">
        <v>0</v>
      </c>
      <c r="BN1171" s="67">
        <v>1</v>
      </c>
      <c r="BO1171" s="67">
        <v>0</v>
      </c>
      <c r="BP1171" s="67">
        <v>0</v>
      </c>
      <c r="BQ1171" s="67">
        <v>2</v>
      </c>
      <c r="BR1171" s="67">
        <v>0</v>
      </c>
      <c r="BS1171" s="67">
        <v>0</v>
      </c>
      <c r="BT1171" s="67">
        <v>5</v>
      </c>
      <c r="BU1171" s="70">
        <v>0</v>
      </c>
      <c r="BV1171" s="29">
        <f t="shared" si="276"/>
        <v>0.6342308203076078</v>
      </c>
      <c r="BW1171">
        <f t="shared" si="277"/>
        <v>0.59502473559756086</v>
      </c>
      <c r="BX1171">
        <f t="shared" si="278"/>
        <v>0.80706439257840468</v>
      </c>
      <c r="BY1171">
        <f t="shared" si="279"/>
        <v>0.65423109602898355</v>
      </c>
      <c r="BZ1171">
        <f t="shared" si="280"/>
        <v>0.14709966057360641</v>
      </c>
      <c r="CA1171">
        <f t="shared" si="281"/>
        <v>1.0863058347434136</v>
      </c>
      <c r="CB1171">
        <f t="shared" si="282"/>
        <v>0.67891464284095016</v>
      </c>
    </row>
    <row r="1172" spans="1:80" x14ac:dyDescent="0.45">
      <c r="A1172" s="11">
        <v>27</v>
      </c>
      <c r="B1172" s="12">
        <f t="shared" si="270"/>
        <v>27</v>
      </c>
      <c r="C1172" s="12" t="s">
        <v>59</v>
      </c>
      <c r="D1172" s="12">
        <v>0</v>
      </c>
      <c r="E1172" s="12" t="s">
        <v>60</v>
      </c>
      <c r="F1172" s="12">
        <v>1</v>
      </c>
      <c r="G1172" s="12">
        <v>0</v>
      </c>
      <c r="H1172" s="12" t="s">
        <v>61</v>
      </c>
      <c r="I1172" s="12">
        <v>1</v>
      </c>
      <c r="J1172" s="12">
        <v>0</v>
      </c>
      <c r="K1172" s="12">
        <v>2</v>
      </c>
      <c r="L1172" s="12">
        <f t="shared" si="271"/>
        <v>2</v>
      </c>
      <c r="M1172" s="12">
        <v>3</v>
      </c>
      <c r="N1172" s="12" t="s">
        <v>70</v>
      </c>
      <c r="O1172" s="12">
        <v>0</v>
      </c>
      <c r="P1172" s="12">
        <v>0</v>
      </c>
      <c r="Q1172" s="12">
        <v>1</v>
      </c>
      <c r="R1172" s="12">
        <v>0</v>
      </c>
      <c r="S1172" s="12">
        <v>0</v>
      </c>
      <c r="T1172" s="12">
        <v>4</v>
      </c>
      <c r="U1172" s="12" t="s">
        <v>62</v>
      </c>
      <c r="V1172" s="12">
        <v>0</v>
      </c>
      <c r="W1172" s="12">
        <v>87</v>
      </c>
      <c r="X1172" s="12">
        <v>3</v>
      </c>
      <c r="Y1172" s="12">
        <v>1</v>
      </c>
      <c r="Z1172" s="12" t="s">
        <v>63</v>
      </c>
      <c r="AA1172" s="12">
        <v>0</v>
      </c>
      <c r="AB1172" s="12">
        <v>0</v>
      </c>
      <c r="AC1172" s="12">
        <v>0</v>
      </c>
      <c r="AD1172" s="12">
        <v>0</v>
      </c>
      <c r="AE1172" s="12">
        <v>0</v>
      </c>
      <c r="AF1172" s="12">
        <v>0</v>
      </c>
      <c r="AG1172" s="12">
        <v>0</v>
      </c>
      <c r="AH1172" s="12">
        <v>1</v>
      </c>
      <c r="AI1172" s="12">
        <v>4</v>
      </c>
      <c r="AJ1172" s="12" t="s">
        <v>57</v>
      </c>
      <c r="AK1172" s="12">
        <v>1</v>
      </c>
      <c r="AL1172" s="12">
        <v>0</v>
      </c>
      <c r="AM1172" s="12">
        <v>2580</v>
      </c>
      <c r="AN1172" s="12">
        <f t="shared" si="272"/>
        <v>2580</v>
      </c>
      <c r="AO1172" s="12">
        <v>2</v>
      </c>
      <c r="AP1172" s="12" t="s">
        <v>59</v>
      </c>
      <c r="AQ1172" s="12">
        <v>0</v>
      </c>
      <c r="AR1172" s="12">
        <v>13</v>
      </c>
      <c r="AS1172" s="12">
        <v>3</v>
      </c>
      <c r="AT1172" s="12">
        <v>3</v>
      </c>
      <c r="AU1172" s="12">
        <v>0</v>
      </c>
      <c r="AV1172" s="12">
        <v>6</v>
      </c>
      <c r="AW1172" s="12">
        <f t="shared" si="273"/>
        <v>6</v>
      </c>
      <c r="AX1172" s="12">
        <v>0</v>
      </c>
      <c r="AY1172" s="12">
        <v>2</v>
      </c>
      <c r="AZ1172" s="12">
        <v>4</v>
      </c>
      <c r="BA1172" s="12">
        <f t="shared" si="274"/>
        <v>4</v>
      </c>
      <c r="BB1172" s="12">
        <v>2</v>
      </c>
      <c r="BC1172" s="12">
        <v>1</v>
      </c>
      <c r="BD1172" s="12">
        <f t="shared" si="283"/>
        <v>1</v>
      </c>
      <c r="BE1172" s="12">
        <v>2</v>
      </c>
      <c r="BF1172" s="12">
        <f t="shared" si="275"/>
        <v>2</v>
      </c>
      <c r="BG1172" s="12">
        <f t="shared" si="284"/>
        <v>2</v>
      </c>
      <c r="BH1172" s="67">
        <v>0</v>
      </c>
      <c r="BI1172" s="67">
        <v>0</v>
      </c>
      <c r="BJ1172" s="67">
        <v>1</v>
      </c>
      <c r="BK1172" s="67">
        <v>0</v>
      </c>
      <c r="BL1172" s="67">
        <v>1</v>
      </c>
      <c r="BM1172" s="67">
        <v>0</v>
      </c>
      <c r="BN1172" s="67">
        <v>0</v>
      </c>
      <c r="BO1172" s="67">
        <v>0</v>
      </c>
      <c r="BP1172" s="67">
        <v>0</v>
      </c>
      <c r="BQ1172" s="67">
        <v>2</v>
      </c>
      <c r="BR1172" s="67">
        <v>0</v>
      </c>
      <c r="BS1172" s="67">
        <v>0</v>
      </c>
      <c r="BT1172" s="67">
        <v>6</v>
      </c>
      <c r="BU1172" s="70">
        <v>0</v>
      </c>
      <c r="BV1172" s="29">
        <f t="shared" si="276"/>
        <v>0.83325558692482016</v>
      </c>
      <c r="BW1172">
        <f t="shared" si="277"/>
        <v>0.59502473559756086</v>
      </c>
      <c r="BX1172">
        <f t="shared" si="278"/>
        <v>0.67854260110508058</v>
      </c>
      <c r="BY1172">
        <f t="shared" si="279"/>
        <v>0.49100643357776058</v>
      </c>
      <c r="BZ1172">
        <f t="shared" si="280"/>
        <v>0.88721318382472392</v>
      </c>
      <c r="CA1172">
        <f t="shared" si="281"/>
        <v>1.0863058347434136</v>
      </c>
      <c r="CB1172">
        <f t="shared" si="282"/>
        <v>0.36858985273641137</v>
      </c>
    </row>
    <row r="1173" spans="1:80" x14ac:dyDescent="0.45">
      <c r="A1173" s="11">
        <v>40</v>
      </c>
      <c r="B1173" s="12">
        <f t="shared" si="270"/>
        <v>40</v>
      </c>
      <c r="C1173" s="12" t="s">
        <v>52</v>
      </c>
      <c r="D1173" s="12">
        <v>1</v>
      </c>
      <c r="E1173" s="12" t="s">
        <v>53</v>
      </c>
      <c r="F1173" s="12">
        <v>0</v>
      </c>
      <c r="G1173" s="12">
        <v>1</v>
      </c>
      <c r="H1173" s="12" t="s">
        <v>61</v>
      </c>
      <c r="I1173" s="12">
        <v>1</v>
      </c>
      <c r="J1173" s="12">
        <v>0</v>
      </c>
      <c r="K1173" s="12">
        <v>7</v>
      </c>
      <c r="L1173" s="12">
        <f t="shared" si="271"/>
        <v>7</v>
      </c>
      <c r="M1173" s="12">
        <v>3</v>
      </c>
      <c r="N1173" s="12" t="s">
        <v>55</v>
      </c>
      <c r="O1173" s="12">
        <v>1</v>
      </c>
      <c r="P1173" s="12">
        <v>0</v>
      </c>
      <c r="Q1173" s="12">
        <v>0</v>
      </c>
      <c r="R1173" s="12">
        <v>0</v>
      </c>
      <c r="S1173" s="12">
        <v>0</v>
      </c>
      <c r="T1173" s="12">
        <v>1</v>
      </c>
      <c r="U1173" s="12" t="s">
        <v>62</v>
      </c>
      <c r="V1173" s="12">
        <v>0</v>
      </c>
      <c r="W1173" s="12">
        <v>73</v>
      </c>
      <c r="X1173" s="12">
        <v>3</v>
      </c>
      <c r="Y1173" s="12">
        <v>1</v>
      </c>
      <c r="Z1173" s="12" t="s">
        <v>67</v>
      </c>
      <c r="AA1173" s="12">
        <v>0</v>
      </c>
      <c r="AB1173" s="12">
        <v>0</v>
      </c>
      <c r="AC1173" s="12">
        <v>1</v>
      </c>
      <c r="AD1173" s="12">
        <v>0</v>
      </c>
      <c r="AE1173" s="12">
        <v>0</v>
      </c>
      <c r="AF1173" s="12">
        <v>0</v>
      </c>
      <c r="AG1173" s="12">
        <v>0</v>
      </c>
      <c r="AH1173" s="12">
        <v>0</v>
      </c>
      <c r="AI1173" s="12">
        <v>1</v>
      </c>
      <c r="AJ1173" s="12" t="s">
        <v>57</v>
      </c>
      <c r="AK1173" s="12">
        <v>1</v>
      </c>
      <c r="AL1173" s="12">
        <v>0</v>
      </c>
      <c r="AM1173" s="12">
        <v>2166</v>
      </c>
      <c r="AN1173" s="12">
        <f t="shared" si="272"/>
        <v>2166</v>
      </c>
      <c r="AO1173" s="12">
        <v>3</v>
      </c>
      <c r="AP1173" s="12" t="s">
        <v>52</v>
      </c>
      <c r="AQ1173" s="12">
        <v>1</v>
      </c>
      <c r="AR1173" s="12">
        <v>14</v>
      </c>
      <c r="AS1173" s="12">
        <v>3</v>
      </c>
      <c r="AT1173" s="12">
        <v>2</v>
      </c>
      <c r="AU1173" s="12">
        <v>0</v>
      </c>
      <c r="AV1173" s="12">
        <v>10</v>
      </c>
      <c r="AW1173" s="12">
        <f t="shared" si="273"/>
        <v>10</v>
      </c>
      <c r="AX1173" s="12">
        <v>3</v>
      </c>
      <c r="AY1173" s="12">
        <v>1</v>
      </c>
      <c r="AZ1173" s="12">
        <v>4</v>
      </c>
      <c r="BA1173" s="12">
        <f t="shared" si="274"/>
        <v>4</v>
      </c>
      <c r="BB1173" s="12">
        <v>2</v>
      </c>
      <c r="BC1173" s="12">
        <v>0</v>
      </c>
      <c r="BD1173" s="12">
        <f t="shared" si="283"/>
        <v>0</v>
      </c>
      <c r="BE1173" s="12">
        <v>3</v>
      </c>
      <c r="BF1173" s="12">
        <f t="shared" si="275"/>
        <v>3</v>
      </c>
      <c r="BG1173" s="12">
        <f t="shared" si="284"/>
        <v>3</v>
      </c>
      <c r="BH1173" s="67">
        <v>1</v>
      </c>
      <c r="BI1173" s="67">
        <v>0</v>
      </c>
      <c r="BJ1173" s="67">
        <v>0</v>
      </c>
      <c r="BK1173" s="67">
        <v>0</v>
      </c>
      <c r="BL1173" s="67">
        <v>0</v>
      </c>
      <c r="BM1173" s="67">
        <v>1</v>
      </c>
      <c r="BN1173" s="67">
        <v>0</v>
      </c>
      <c r="BO1173" s="67">
        <v>0</v>
      </c>
      <c r="BP1173" s="67">
        <v>0</v>
      </c>
      <c r="BQ1173" s="67">
        <v>3</v>
      </c>
      <c r="BR1173" s="67">
        <v>0</v>
      </c>
      <c r="BS1173" s="67">
        <v>0</v>
      </c>
      <c r="BT1173" s="67">
        <v>10</v>
      </c>
      <c r="BU1173" s="70">
        <v>0</v>
      </c>
      <c r="BV1173" s="29">
        <f t="shared" si="276"/>
        <v>0.92119182318898862</v>
      </c>
      <c r="BW1173">
        <f t="shared" si="277"/>
        <v>0.31476636926356072</v>
      </c>
      <c r="BX1173">
        <f t="shared" si="278"/>
        <v>0.1644554352117841</v>
      </c>
      <c r="BY1173">
        <f t="shared" si="279"/>
        <v>0.49100643357776058</v>
      </c>
      <c r="BZ1173">
        <f t="shared" si="280"/>
        <v>0.27045191444879263</v>
      </c>
      <c r="CA1173">
        <f t="shared" si="281"/>
        <v>0.33673395837055903</v>
      </c>
      <c r="CB1173">
        <f t="shared" si="282"/>
        <v>0.67891464284095016</v>
      </c>
    </row>
    <row r="1174" spans="1:80" x14ac:dyDescent="0.45">
      <c r="A1174" s="11">
        <v>29</v>
      </c>
      <c r="B1174" s="12">
        <f t="shared" si="270"/>
        <v>29</v>
      </c>
      <c r="C1174" s="12" t="s">
        <v>59</v>
      </c>
      <c r="D1174" s="12">
        <v>0</v>
      </c>
      <c r="E1174" s="12" t="s">
        <v>53</v>
      </c>
      <c r="F1174" s="12">
        <v>0</v>
      </c>
      <c r="G1174" s="12">
        <v>1</v>
      </c>
      <c r="H1174" s="12" t="s">
        <v>54</v>
      </c>
      <c r="I1174" s="12">
        <v>0</v>
      </c>
      <c r="J1174" s="12">
        <v>1</v>
      </c>
      <c r="K1174" s="12">
        <v>10</v>
      </c>
      <c r="L1174" s="12">
        <f t="shared" si="271"/>
        <v>10</v>
      </c>
      <c r="M1174" s="12">
        <v>3</v>
      </c>
      <c r="N1174" s="12" t="s">
        <v>70</v>
      </c>
      <c r="O1174" s="12">
        <v>0</v>
      </c>
      <c r="P1174" s="12">
        <v>0</v>
      </c>
      <c r="Q1174" s="12">
        <v>1</v>
      </c>
      <c r="R1174" s="12">
        <v>0</v>
      </c>
      <c r="S1174" s="12">
        <v>0</v>
      </c>
      <c r="T1174" s="12">
        <v>3</v>
      </c>
      <c r="U1174" s="12" t="s">
        <v>62</v>
      </c>
      <c r="V1174" s="12">
        <v>0</v>
      </c>
      <c r="W1174" s="12">
        <v>42</v>
      </c>
      <c r="X1174" s="12">
        <v>2</v>
      </c>
      <c r="Y1174" s="12">
        <v>2</v>
      </c>
      <c r="Z1174" s="12" t="s">
        <v>56</v>
      </c>
      <c r="AA1174" s="12">
        <v>0</v>
      </c>
      <c r="AB1174" s="12">
        <v>1</v>
      </c>
      <c r="AC1174" s="12">
        <v>0</v>
      </c>
      <c r="AD1174" s="12">
        <v>0</v>
      </c>
      <c r="AE1174" s="12">
        <v>0</v>
      </c>
      <c r="AF1174" s="12">
        <v>0</v>
      </c>
      <c r="AG1174" s="12">
        <v>0</v>
      </c>
      <c r="AH1174" s="12">
        <v>0</v>
      </c>
      <c r="AI1174" s="12">
        <v>3</v>
      </c>
      <c r="AJ1174" s="12" t="s">
        <v>57</v>
      </c>
      <c r="AK1174" s="12">
        <v>1</v>
      </c>
      <c r="AL1174" s="12">
        <v>0</v>
      </c>
      <c r="AM1174" s="12">
        <v>5869</v>
      </c>
      <c r="AN1174" s="12">
        <f t="shared" si="272"/>
        <v>5869</v>
      </c>
      <c r="AO1174" s="12">
        <v>9</v>
      </c>
      <c r="AP1174" s="12" t="s">
        <v>59</v>
      </c>
      <c r="AQ1174" s="12">
        <v>0</v>
      </c>
      <c r="AR1174" s="12">
        <v>11</v>
      </c>
      <c r="AS1174" s="12">
        <v>3</v>
      </c>
      <c r="AT1174" s="12">
        <v>3</v>
      </c>
      <c r="AU1174" s="12">
        <v>0</v>
      </c>
      <c r="AV1174" s="12">
        <v>8</v>
      </c>
      <c r="AW1174" s="12">
        <f t="shared" si="273"/>
        <v>8</v>
      </c>
      <c r="AX1174" s="12">
        <v>2</v>
      </c>
      <c r="AY1174" s="12">
        <v>3</v>
      </c>
      <c r="AZ1174" s="12">
        <v>5</v>
      </c>
      <c r="BA1174" s="12">
        <f t="shared" si="274"/>
        <v>5</v>
      </c>
      <c r="BB1174" s="12">
        <v>2</v>
      </c>
      <c r="BC1174" s="12">
        <v>1</v>
      </c>
      <c r="BD1174" s="12">
        <f t="shared" si="283"/>
        <v>1</v>
      </c>
      <c r="BE1174" s="12">
        <v>4</v>
      </c>
      <c r="BF1174" s="12">
        <f t="shared" si="275"/>
        <v>4</v>
      </c>
      <c r="BG1174" s="12">
        <f t="shared" si="284"/>
        <v>8</v>
      </c>
      <c r="BH1174" s="67">
        <v>1</v>
      </c>
      <c r="BI1174" s="67">
        <v>0</v>
      </c>
      <c r="BJ1174" s="67">
        <v>0</v>
      </c>
      <c r="BK1174" s="67">
        <v>0</v>
      </c>
      <c r="BL1174" s="67">
        <v>1</v>
      </c>
      <c r="BM1174" s="67">
        <v>0</v>
      </c>
      <c r="BN1174" s="67">
        <v>0</v>
      </c>
      <c r="BO1174" s="67">
        <v>0</v>
      </c>
      <c r="BP1174" s="67">
        <v>0</v>
      </c>
      <c r="BQ1174" s="67">
        <v>0</v>
      </c>
      <c r="BR1174" s="67">
        <v>4</v>
      </c>
      <c r="BS1174" s="67">
        <v>0</v>
      </c>
      <c r="BT1174" s="67">
        <v>0</v>
      </c>
      <c r="BU1174" s="70">
        <v>8</v>
      </c>
      <c r="BV1174" s="29">
        <f t="shared" si="276"/>
        <v>0.13465104327059241</v>
      </c>
      <c r="BW1174">
        <f t="shared" si="277"/>
        <v>3.4508002929560584E-2</v>
      </c>
      <c r="BX1174">
        <f t="shared" si="278"/>
        <v>0.42149901815843233</v>
      </c>
      <c r="BY1174">
        <f t="shared" si="279"/>
        <v>0.32778177112653761</v>
      </c>
      <c r="BZ1174">
        <f t="shared" si="280"/>
        <v>9.9604847176766084E-2</v>
      </c>
      <c r="CA1174">
        <f t="shared" si="281"/>
        <v>0.86737663580280233</v>
      </c>
      <c r="CB1174">
        <f t="shared" si="282"/>
        <v>0.36858985273641137</v>
      </c>
    </row>
    <row r="1175" spans="1:80" x14ac:dyDescent="0.45">
      <c r="A1175" s="11">
        <v>36</v>
      </c>
      <c r="B1175" s="12">
        <f t="shared" si="270"/>
        <v>36</v>
      </c>
      <c r="C1175" s="12" t="s">
        <v>59</v>
      </c>
      <c r="D1175" s="12">
        <v>0</v>
      </c>
      <c r="E1175" s="12" t="s">
        <v>53</v>
      </c>
      <c r="F1175" s="12">
        <v>0</v>
      </c>
      <c r="G1175" s="12">
        <v>1</v>
      </c>
      <c r="H1175" s="12" t="s">
        <v>61</v>
      </c>
      <c r="I1175" s="12">
        <v>1</v>
      </c>
      <c r="J1175" s="12">
        <v>0</v>
      </c>
      <c r="K1175" s="12">
        <v>5</v>
      </c>
      <c r="L1175" s="12">
        <f t="shared" si="271"/>
        <v>5</v>
      </c>
      <c r="M1175" s="12">
        <v>4</v>
      </c>
      <c r="N1175" s="12" t="s">
        <v>55</v>
      </c>
      <c r="O1175" s="12">
        <v>1</v>
      </c>
      <c r="P1175" s="12">
        <v>0</v>
      </c>
      <c r="Q1175" s="12">
        <v>0</v>
      </c>
      <c r="R1175" s="12">
        <v>0</v>
      </c>
      <c r="S1175" s="12">
        <v>0</v>
      </c>
      <c r="T1175" s="12">
        <v>2</v>
      </c>
      <c r="U1175" s="12" t="s">
        <v>19</v>
      </c>
      <c r="V1175" s="12">
        <v>1</v>
      </c>
      <c r="W1175" s="12">
        <v>42</v>
      </c>
      <c r="X1175" s="12">
        <v>3</v>
      </c>
      <c r="Y1175" s="12">
        <v>3</v>
      </c>
      <c r="Z1175" s="12" t="s">
        <v>85</v>
      </c>
      <c r="AA1175" s="12">
        <v>1</v>
      </c>
      <c r="AB1175" s="12">
        <v>0</v>
      </c>
      <c r="AC1175" s="12">
        <v>0</v>
      </c>
      <c r="AD1175" s="12">
        <v>0</v>
      </c>
      <c r="AE1175" s="12">
        <v>0</v>
      </c>
      <c r="AF1175" s="12">
        <v>0</v>
      </c>
      <c r="AG1175" s="12">
        <v>0</v>
      </c>
      <c r="AH1175" s="12">
        <v>0</v>
      </c>
      <c r="AI1175" s="12">
        <v>1</v>
      </c>
      <c r="AJ1175" s="12" t="s">
        <v>64</v>
      </c>
      <c r="AK1175" s="12">
        <v>0</v>
      </c>
      <c r="AL1175" s="12">
        <v>1</v>
      </c>
      <c r="AM1175" s="12">
        <v>8008</v>
      </c>
      <c r="AN1175" s="12">
        <f t="shared" si="272"/>
        <v>8008</v>
      </c>
      <c r="AO1175" s="12">
        <v>4</v>
      </c>
      <c r="AP1175" s="12" t="s">
        <v>59</v>
      </c>
      <c r="AQ1175" s="12">
        <v>0</v>
      </c>
      <c r="AR1175" s="12">
        <v>12</v>
      </c>
      <c r="AS1175" s="12">
        <v>3</v>
      </c>
      <c r="AT1175" s="12">
        <v>3</v>
      </c>
      <c r="AU1175" s="12">
        <v>2</v>
      </c>
      <c r="AV1175" s="12">
        <v>9</v>
      </c>
      <c r="AW1175" s="12">
        <f t="shared" si="273"/>
        <v>9</v>
      </c>
      <c r="AX1175" s="12">
        <v>6</v>
      </c>
      <c r="AY1175" s="12">
        <v>3</v>
      </c>
      <c r="AZ1175" s="12">
        <v>3</v>
      </c>
      <c r="BA1175" s="12">
        <f t="shared" si="274"/>
        <v>3</v>
      </c>
      <c r="BB1175" s="12">
        <v>2</v>
      </c>
      <c r="BC1175" s="12">
        <v>0</v>
      </c>
      <c r="BD1175" s="12">
        <f t="shared" si="283"/>
        <v>0</v>
      </c>
      <c r="BE1175" s="12">
        <v>2</v>
      </c>
      <c r="BF1175" s="12">
        <f t="shared" si="275"/>
        <v>2</v>
      </c>
      <c r="BG1175" s="12">
        <f t="shared" si="284"/>
        <v>6</v>
      </c>
      <c r="BH1175" s="67">
        <v>0</v>
      </c>
      <c r="BI1175" s="67">
        <v>1</v>
      </c>
      <c r="BJ1175" s="67">
        <v>0</v>
      </c>
      <c r="BK1175" s="67">
        <v>0</v>
      </c>
      <c r="BL1175" s="67">
        <v>0</v>
      </c>
      <c r="BM1175" s="67">
        <v>0</v>
      </c>
      <c r="BN1175" s="67">
        <v>1</v>
      </c>
      <c r="BO1175" s="67">
        <v>0</v>
      </c>
      <c r="BP1175" s="67">
        <v>0</v>
      </c>
      <c r="BQ1175" s="67">
        <v>2</v>
      </c>
      <c r="BR1175" s="67">
        <v>0</v>
      </c>
      <c r="BS1175" s="67">
        <v>0</v>
      </c>
      <c r="BT1175" s="67">
        <v>9</v>
      </c>
      <c r="BU1175" s="70">
        <v>0</v>
      </c>
      <c r="BV1175" s="29">
        <f t="shared" si="276"/>
        <v>0.31968617742761163</v>
      </c>
      <c r="BW1175">
        <f t="shared" si="277"/>
        <v>0.59502473559756086</v>
      </c>
      <c r="BX1175">
        <f t="shared" si="278"/>
        <v>0.29297722668510823</v>
      </c>
      <c r="BY1175">
        <f t="shared" si="279"/>
        <v>0.65423109602898355</v>
      </c>
      <c r="BZ1175">
        <f t="shared" si="280"/>
        <v>0.51715642219916513</v>
      </c>
      <c r="CA1175">
        <f t="shared" si="281"/>
        <v>0.10112443951066327</v>
      </c>
      <c r="CB1175">
        <f t="shared" si="282"/>
        <v>0.67891464284095016</v>
      </c>
    </row>
    <row r="1176" spans="1:80" x14ac:dyDescent="0.45">
      <c r="A1176" s="11">
        <v>25</v>
      </c>
      <c r="B1176" s="12">
        <f t="shared" si="270"/>
        <v>25</v>
      </c>
      <c r="C1176" s="12" t="s">
        <v>59</v>
      </c>
      <c r="D1176" s="12">
        <v>0</v>
      </c>
      <c r="E1176" s="12" t="s">
        <v>60</v>
      </c>
      <c r="F1176" s="12">
        <v>1</v>
      </c>
      <c r="G1176" s="12">
        <v>0</v>
      </c>
      <c r="H1176" s="12" t="s">
        <v>61</v>
      </c>
      <c r="I1176" s="12">
        <v>1</v>
      </c>
      <c r="J1176" s="12">
        <v>0</v>
      </c>
      <c r="K1176" s="12">
        <v>2</v>
      </c>
      <c r="L1176" s="12">
        <f t="shared" si="271"/>
        <v>2</v>
      </c>
      <c r="M1176" s="12">
        <v>1</v>
      </c>
      <c r="N1176" s="12" t="s">
        <v>55</v>
      </c>
      <c r="O1176" s="12">
        <v>1</v>
      </c>
      <c r="P1176" s="12">
        <v>0</v>
      </c>
      <c r="Q1176" s="12">
        <v>0</v>
      </c>
      <c r="R1176" s="12">
        <v>0</v>
      </c>
      <c r="S1176" s="12">
        <v>0</v>
      </c>
      <c r="T1176" s="12">
        <v>4</v>
      </c>
      <c r="U1176" s="12" t="s">
        <v>62</v>
      </c>
      <c r="V1176" s="12">
        <v>0</v>
      </c>
      <c r="W1176" s="12">
        <v>77</v>
      </c>
      <c r="X1176" s="12">
        <v>4</v>
      </c>
      <c r="Y1176" s="12">
        <v>2</v>
      </c>
      <c r="Z1176" s="12" t="s">
        <v>83</v>
      </c>
      <c r="AA1176" s="12">
        <v>0</v>
      </c>
      <c r="AB1176" s="12">
        <v>0</v>
      </c>
      <c r="AC1176" s="12">
        <v>0</v>
      </c>
      <c r="AD1176" s="12">
        <v>0</v>
      </c>
      <c r="AE1176" s="12">
        <v>1</v>
      </c>
      <c r="AF1176" s="12">
        <v>1</v>
      </c>
      <c r="AG1176" s="12">
        <v>0</v>
      </c>
      <c r="AH1176" s="12">
        <v>0</v>
      </c>
      <c r="AI1176" s="12">
        <v>3</v>
      </c>
      <c r="AJ1176" s="12" t="s">
        <v>78</v>
      </c>
      <c r="AK1176" s="12">
        <v>0</v>
      </c>
      <c r="AL1176" s="12">
        <v>0</v>
      </c>
      <c r="AM1176" s="12">
        <v>5206</v>
      </c>
      <c r="AN1176" s="12">
        <f t="shared" si="272"/>
        <v>5206</v>
      </c>
      <c r="AO1176" s="12">
        <v>1</v>
      </c>
      <c r="AP1176" s="12" t="s">
        <v>59</v>
      </c>
      <c r="AQ1176" s="12">
        <v>0</v>
      </c>
      <c r="AR1176" s="12">
        <v>17</v>
      </c>
      <c r="AS1176" s="12">
        <v>3</v>
      </c>
      <c r="AT1176" s="12">
        <v>3</v>
      </c>
      <c r="AU1176" s="12">
        <v>2</v>
      </c>
      <c r="AV1176" s="12">
        <v>7</v>
      </c>
      <c r="AW1176" s="12">
        <f t="shared" si="273"/>
        <v>7</v>
      </c>
      <c r="AX1176" s="12">
        <v>6</v>
      </c>
      <c r="AY1176" s="12">
        <v>3</v>
      </c>
      <c r="AZ1176" s="12">
        <v>7</v>
      </c>
      <c r="BA1176" s="12">
        <f t="shared" si="274"/>
        <v>7</v>
      </c>
      <c r="BB1176" s="12">
        <v>7</v>
      </c>
      <c r="BC1176" s="12">
        <v>0</v>
      </c>
      <c r="BD1176" s="12">
        <f t="shared" si="283"/>
        <v>0</v>
      </c>
      <c r="BE1176" s="12">
        <v>7</v>
      </c>
      <c r="BF1176" s="12">
        <f t="shared" si="275"/>
        <v>7</v>
      </c>
      <c r="BG1176" s="12">
        <f t="shared" si="284"/>
        <v>14</v>
      </c>
      <c r="BH1176" s="67">
        <v>0</v>
      </c>
      <c r="BI1176" s="67">
        <v>0</v>
      </c>
      <c r="BJ1176" s="67">
        <v>1</v>
      </c>
      <c r="BK1176" s="67">
        <v>0</v>
      </c>
      <c r="BL1176" s="67">
        <v>1</v>
      </c>
      <c r="BM1176" s="67">
        <v>0</v>
      </c>
      <c r="BN1176" s="67">
        <v>0</v>
      </c>
      <c r="BO1176" s="67">
        <v>0</v>
      </c>
      <c r="BP1176" s="67">
        <v>0</v>
      </c>
      <c r="BQ1176" s="67">
        <v>7</v>
      </c>
      <c r="BR1176" s="67">
        <v>0</v>
      </c>
      <c r="BS1176" s="67">
        <v>0</v>
      </c>
      <c r="BT1176" s="67">
        <v>7</v>
      </c>
      <c r="BU1176" s="70">
        <v>0</v>
      </c>
      <c r="BV1176" s="29">
        <f t="shared" si="276"/>
        <v>0.27547646511393475</v>
      </c>
      <c r="BW1176">
        <f t="shared" si="277"/>
        <v>0.80626709607243985</v>
      </c>
      <c r="BX1176">
        <f t="shared" si="278"/>
        <v>0.55002080963175637</v>
      </c>
      <c r="BY1176">
        <f t="shared" si="279"/>
        <v>1.3324462240916321E-3</v>
      </c>
      <c r="BZ1176">
        <f t="shared" si="280"/>
        <v>0.88721318382472392</v>
      </c>
      <c r="CA1176">
        <f t="shared" si="281"/>
        <v>1.3052350336840246</v>
      </c>
      <c r="CB1176">
        <f t="shared" si="282"/>
        <v>0.67891464284095016</v>
      </c>
    </row>
    <row r="1177" spans="1:80" x14ac:dyDescent="0.45">
      <c r="A1177" s="11">
        <v>39</v>
      </c>
      <c r="B1177" s="12">
        <f t="shared" si="270"/>
        <v>39</v>
      </c>
      <c r="C1177" s="12" t="s">
        <v>59</v>
      </c>
      <c r="D1177" s="12">
        <v>0</v>
      </c>
      <c r="E1177" s="12" t="s">
        <v>53</v>
      </c>
      <c r="F1177" s="12">
        <v>0</v>
      </c>
      <c r="G1177" s="12">
        <v>1</v>
      </c>
      <c r="H1177" s="12" t="s">
        <v>61</v>
      </c>
      <c r="I1177" s="12">
        <v>1</v>
      </c>
      <c r="J1177" s="12">
        <v>0</v>
      </c>
      <c r="K1177" s="12">
        <v>12</v>
      </c>
      <c r="L1177" s="12">
        <f t="shared" si="271"/>
        <v>12</v>
      </c>
      <c r="M1177" s="12">
        <v>3</v>
      </c>
      <c r="N1177" s="12" t="s">
        <v>70</v>
      </c>
      <c r="O1177" s="12">
        <v>0</v>
      </c>
      <c r="P1177" s="12">
        <v>0</v>
      </c>
      <c r="Q1177" s="12">
        <v>1</v>
      </c>
      <c r="R1177" s="12">
        <v>0</v>
      </c>
      <c r="S1177" s="12">
        <v>0</v>
      </c>
      <c r="T1177" s="12">
        <v>4</v>
      </c>
      <c r="U1177" s="12" t="s">
        <v>62</v>
      </c>
      <c r="V1177" s="12">
        <v>0</v>
      </c>
      <c r="W1177" s="12">
        <v>66</v>
      </c>
      <c r="X1177" s="12">
        <v>3</v>
      </c>
      <c r="Y1177" s="12">
        <v>2</v>
      </c>
      <c r="Z1177" s="12" t="s">
        <v>83</v>
      </c>
      <c r="AA1177" s="12">
        <v>0</v>
      </c>
      <c r="AB1177" s="12">
        <v>0</v>
      </c>
      <c r="AC1177" s="12">
        <v>0</v>
      </c>
      <c r="AD1177" s="12">
        <v>0</v>
      </c>
      <c r="AE1177" s="12">
        <v>1</v>
      </c>
      <c r="AF1177" s="12">
        <v>1</v>
      </c>
      <c r="AG1177" s="12">
        <v>0</v>
      </c>
      <c r="AH1177" s="12">
        <v>0</v>
      </c>
      <c r="AI1177" s="12">
        <v>2</v>
      </c>
      <c r="AJ1177" s="12" t="s">
        <v>64</v>
      </c>
      <c r="AK1177" s="12">
        <v>0</v>
      </c>
      <c r="AL1177" s="12">
        <v>1</v>
      </c>
      <c r="AM1177" s="12">
        <v>5295</v>
      </c>
      <c r="AN1177" s="12">
        <f t="shared" si="272"/>
        <v>5295</v>
      </c>
      <c r="AO1177" s="12">
        <v>4</v>
      </c>
      <c r="AP1177" s="12" t="s">
        <v>59</v>
      </c>
      <c r="AQ1177" s="12">
        <v>0</v>
      </c>
      <c r="AR1177" s="12">
        <v>21</v>
      </c>
      <c r="AS1177" s="12">
        <v>4</v>
      </c>
      <c r="AT1177" s="12">
        <v>3</v>
      </c>
      <c r="AU1177" s="12">
        <v>0</v>
      </c>
      <c r="AV1177" s="12">
        <v>7</v>
      </c>
      <c r="AW1177" s="12">
        <f t="shared" si="273"/>
        <v>7</v>
      </c>
      <c r="AX1177" s="12">
        <v>3</v>
      </c>
      <c r="AY1177" s="12">
        <v>3</v>
      </c>
      <c r="AZ1177" s="12">
        <v>5</v>
      </c>
      <c r="BA1177" s="12">
        <f t="shared" si="274"/>
        <v>5</v>
      </c>
      <c r="BB1177" s="12">
        <v>4</v>
      </c>
      <c r="BC1177" s="12">
        <v>1</v>
      </c>
      <c r="BD1177" s="12">
        <f t="shared" si="283"/>
        <v>1</v>
      </c>
      <c r="BE1177" s="12">
        <v>0</v>
      </c>
      <c r="BF1177" s="12">
        <f t="shared" si="275"/>
        <v>0</v>
      </c>
      <c r="BG1177" s="12">
        <f t="shared" si="284"/>
        <v>0</v>
      </c>
      <c r="BH1177" s="67">
        <v>0</v>
      </c>
      <c r="BI1177" s="67">
        <v>1</v>
      </c>
      <c r="BJ1177" s="67">
        <v>0</v>
      </c>
      <c r="BK1177" s="67">
        <v>0</v>
      </c>
      <c r="BL1177" s="67">
        <v>0</v>
      </c>
      <c r="BM1177" s="67">
        <v>0</v>
      </c>
      <c r="BN1177" s="67">
        <v>1</v>
      </c>
      <c r="BO1177" s="67">
        <v>0</v>
      </c>
      <c r="BP1177" s="67">
        <v>0</v>
      </c>
      <c r="BQ1177" s="67">
        <v>0</v>
      </c>
      <c r="BR1177" s="67">
        <v>0</v>
      </c>
      <c r="BS1177" s="67">
        <v>0</v>
      </c>
      <c r="BT1177" s="67">
        <v>7</v>
      </c>
      <c r="BU1177" s="70">
        <v>0</v>
      </c>
      <c r="BV1177" s="29">
        <f t="shared" si="276"/>
        <v>0.25657229838081641</v>
      </c>
      <c r="BW1177">
        <f t="shared" si="277"/>
        <v>1.1555414682655611</v>
      </c>
      <c r="BX1177">
        <f t="shared" si="278"/>
        <v>0.55002080963175637</v>
      </c>
      <c r="BY1177">
        <f t="shared" si="279"/>
        <v>0.32778177112653761</v>
      </c>
      <c r="BZ1177">
        <f t="shared" si="280"/>
        <v>0.3463093549271386</v>
      </c>
      <c r="CA1177">
        <f t="shared" si="281"/>
        <v>0.22726935890025346</v>
      </c>
      <c r="CB1177">
        <f t="shared" si="282"/>
        <v>0.36858985273641137</v>
      </c>
    </row>
    <row r="1178" spans="1:80" x14ac:dyDescent="0.45">
      <c r="A1178" s="11">
        <v>49</v>
      </c>
      <c r="B1178" s="12">
        <f t="shared" si="270"/>
        <v>49</v>
      </c>
      <c r="C1178" s="12" t="s">
        <v>59</v>
      </c>
      <c r="D1178" s="12">
        <v>0</v>
      </c>
      <c r="E1178" s="12" t="s">
        <v>53</v>
      </c>
      <c r="F1178" s="12">
        <v>0</v>
      </c>
      <c r="G1178" s="12">
        <v>1</v>
      </c>
      <c r="H1178" s="12" t="s">
        <v>61</v>
      </c>
      <c r="I1178" s="12">
        <v>1</v>
      </c>
      <c r="J1178" s="12">
        <v>0</v>
      </c>
      <c r="K1178" s="12">
        <v>22</v>
      </c>
      <c r="L1178" s="12">
        <f t="shared" si="271"/>
        <v>22</v>
      </c>
      <c r="M1178" s="12">
        <v>4</v>
      </c>
      <c r="N1178" s="12" t="s">
        <v>66</v>
      </c>
      <c r="O1178" s="12">
        <v>0</v>
      </c>
      <c r="P1178" s="12">
        <v>1</v>
      </c>
      <c r="Q1178" s="12">
        <v>0</v>
      </c>
      <c r="R1178" s="12">
        <v>0</v>
      </c>
      <c r="S1178" s="12">
        <v>0</v>
      </c>
      <c r="T1178" s="12">
        <v>1</v>
      </c>
      <c r="U1178" s="12" t="s">
        <v>19</v>
      </c>
      <c r="V1178" s="12">
        <v>1</v>
      </c>
      <c r="W1178" s="12">
        <v>72</v>
      </c>
      <c r="X1178" s="12">
        <v>3</v>
      </c>
      <c r="Y1178" s="12">
        <v>4</v>
      </c>
      <c r="Z1178" s="12" t="s">
        <v>89</v>
      </c>
      <c r="AA1178" s="12">
        <v>0</v>
      </c>
      <c r="AB1178" s="12">
        <v>0</v>
      </c>
      <c r="AC1178" s="12">
        <v>0</v>
      </c>
      <c r="AD1178" s="12">
        <v>0</v>
      </c>
      <c r="AE1178" s="12">
        <v>0</v>
      </c>
      <c r="AF1178" s="12">
        <v>0</v>
      </c>
      <c r="AG1178" s="12">
        <v>0</v>
      </c>
      <c r="AH1178" s="12">
        <v>0</v>
      </c>
      <c r="AI1178" s="12">
        <v>2</v>
      </c>
      <c r="AJ1178" s="12" t="s">
        <v>64</v>
      </c>
      <c r="AK1178" s="12">
        <v>0</v>
      </c>
      <c r="AL1178" s="12">
        <v>1</v>
      </c>
      <c r="AM1178" s="12">
        <v>16413</v>
      </c>
      <c r="AN1178" s="12">
        <f t="shared" si="272"/>
        <v>16413</v>
      </c>
      <c r="AO1178" s="12">
        <v>3</v>
      </c>
      <c r="AP1178" s="12" t="s">
        <v>59</v>
      </c>
      <c r="AQ1178" s="12">
        <v>0</v>
      </c>
      <c r="AR1178" s="12">
        <v>16</v>
      </c>
      <c r="AS1178" s="12">
        <v>3</v>
      </c>
      <c r="AT1178" s="12">
        <v>2</v>
      </c>
      <c r="AU1178" s="12">
        <v>2</v>
      </c>
      <c r="AV1178" s="12">
        <v>27</v>
      </c>
      <c r="AW1178" s="12">
        <f t="shared" si="273"/>
        <v>27</v>
      </c>
      <c r="AX1178" s="12">
        <v>2</v>
      </c>
      <c r="AY1178" s="12">
        <v>3</v>
      </c>
      <c r="AZ1178" s="12">
        <v>4</v>
      </c>
      <c r="BA1178" s="12">
        <f t="shared" si="274"/>
        <v>4</v>
      </c>
      <c r="BB1178" s="12">
        <v>2</v>
      </c>
      <c r="BC1178" s="12">
        <v>1</v>
      </c>
      <c r="BD1178" s="12">
        <f t="shared" si="283"/>
        <v>1</v>
      </c>
      <c r="BE1178" s="12">
        <v>2</v>
      </c>
      <c r="BF1178" s="12">
        <f t="shared" si="275"/>
        <v>2</v>
      </c>
      <c r="BG1178" s="12">
        <f t="shared" si="284"/>
        <v>8</v>
      </c>
      <c r="BH1178" s="67">
        <v>0</v>
      </c>
      <c r="BI1178" s="67">
        <v>1</v>
      </c>
      <c r="BJ1178" s="67">
        <v>0</v>
      </c>
      <c r="BK1178" s="67">
        <v>0</v>
      </c>
      <c r="BL1178" s="67">
        <v>0</v>
      </c>
      <c r="BM1178" s="67">
        <v>0</v>
      </c>
      <c r="BN1178" s="67">
        <v>1</v>
      </c>
      <c r="BO1178" s="67">
        <v>0</v>
      </c>
      <c r="BP1178" s="67">
        <v>0</v>
      </c>
      <c r="BQ1178" s="67">
        <v>2</v>
      </c>
      <c r="BR1178" s="67">
        <v>0</v>
      </c>
      <c r="BS1178" s="67">
        <v>0</v>
      </c>
      <c r="BT1178" s="67">
        <v>27</v>
      </c>
      <c r="BU1178" s="70">
        <v>0</v>
      </c>
      <c r="BV1178" s="29">
        <f t="shared" si="276"/>
        <v>2.104961698684463</v>
      </c>
      <c r="BW1178">
        <f t="shared" si="277"/>
        <v>0.59502473559756086</v>
      </c>
      <c r="BX1178">
        <f t="shared" si="278"/>
        <v>2.0204150198347257</v>
      </c>
      <c r="BY1178">
        <f t="shared" si="279"/>
        <v>0.49100643357776058</v>
      </c>
      <c r="BZ1178">
        <f t="shared" si="280"/>
        <v>1.579831893679001</v>
      </c>
      <c r="CA1178">
        <f t="shared" si="281"/>
        <v>1.3219153536033093</v>
      </c>
      <c r="CB1178">
        <f t="shared" si="282"/>
        <v>0.36858985273641137</v>
      </c>
    </row>
    <row r="1179" spans="1:80" x14ac:dyDescent="0.45">
      <c r="A1179" s="11">
        <v>50</v>
      </c>
      <c r="B1179" s="12">
        <f t="shared" si="270"/>
        <v>50</v>
      </c>
      <c r="C1179" s="12" t="s">
        <v>59</v>
      </c>
      <c r="D1179" s="12">
        <v>0</v>
      </c>
      <c r="E1179" s="12" t="s">
        <v>53</v>
      </c>
      <c r="F1179" s="12">
        <v>0</v>
      </c>
      <c r="G1179" s="12">
        <v>1</v>
      </c>
      <c r="H1179" s="12" t="s">
        <v>61</v>
      </c>
      <c r="I1179" s="12">
        <v>1</v>
      </c>
      <c r="J1179" s="12">
        <v>0</v>
      </c>
      <c r="K1179" s="12">
        <v>17</v>
      </c>
      <c r="L1179" s="12">
        <f t="shared" si="271"/>
        <v>17</v>
      </c>
      <c r="M1179" s="12">
        <v>5</v>
      </c>
      <c r="N1179" s="12" t="s">
        <v>55</v>
      </c>
      <c r="O1179" s="12">
        <v>1</v>
      </c>
      <c r="P1179" s="12">
        <v>0</v>
      </c>
      <c r="Q1179" s="12">
        <v>0</v>
      </c>
      <c r="R1179" s="12">
        <v>0</v>
      </c>
      <c r="S1179" s="12">
        <v>0</v>
      </c>
      <c r="T1179" s="12">
        <v>4</v>
      </c>
      <c r="U1179" s="12" t="s">
        <v>19</v>
      </c>
      <c r="V1179" s="12">
        <v>1</v>
      </c>
      <c r="W1179" s="12">
        <v>50</v>
      </c>
      <c r="X1179" s="12">
        <v>2</v>
      </c>
      <c r="Y1179" s="12">
        <v>3</v>
      </c>
      <c r="Z1179" s="12" t="s">
        <v>89</v>
      </c>
      <c r="AA1179" s="12">
        <v>0</v>
      </c>
      <c r="AB1179" s="12">
        <v>0</v>
      </c>
      <c r="AC1179" s="12">
        <v>0</v>
      </c>
      <c r="AD1179" s="12">
        <v>0</v>
      </c>
      <c r="AE1179" s="12">
        <v>0</v>
      </c>
      <c r="AF1179" s="12">
        <v>0</v>
      </c>
      <c r="AG1179" s="12">
        <v>0</v>
      </c>
      <c r="AH1179" s="12">
        <v>0</v>
      </c>
      <c r="AI1179" s="12">
        <v>1</v>
      </c>
      <c r="AJ1179" s="12" t="s">
        <v>78</v>
      </c>
      <c r="AK1179" s="12">
        <v>0</v>
      </c>
      <c r="AL1179" s="12">
        <v>0</v>
      </c>
      <c r="AM1179" s="12">
        <v>13269</v>
      </c>
      <c r="AN1179" s="12">
        <f t="shared" si="272"/>
        <v>13269</v>
      </c>
      <c r="AO1179" s="12">
        <v>5</v>
      </c>
      <c r="AP1179" s="12" t="s">
        <v>59</v>
      </c>
      <c r="AQ1179" s="12">
        <v>0</v>
      </c>
      <c r="AR1179" s="12">
        <v>15</v>
      </c>
      <c r="AS1179" s="12">
        <v>3</v>
      </c>
      <c r="AT1179" s="12">
        <v>3</v>
      </c>
      <c r="AU1179" s="12">
        <v>3</v>
      </c>
      <c r="AV1179" s="12">
        <v>19</v>
      </c>
      <c r="AW1179" s="12">
        <f t="shared" si="273"/>
        <v>19</v>
      </c>
      <c r="AX1179" s="12">
        <v>3</v>
      </c>
      <c r="AY1179" s="12">
        <v>3</v>
      </c>
      <c r="AZ1179" s="12">
        <v>14</v>
      </c>
      <c r="BA1179" s="12">
        <f t="shared" si="274"/>
        <v>14</v>
      </c>
      <c r="BB1179" s="12">
        <v>11</v>
      </c>
      <c r="BC1179" s="12">
        <v>1</v>
      </c>
      <c r="BD1179" s="12">
        <f t="shared" si="283"/>
        <v>1</v>
      </c>
      <c r="BE1179" s="12">
        <v>11</v>
      </c>
      <c r="BF1179" s="12">
        <f t="shared" si="275"/>
        <v>11</v>
      </c>
      <c r="BG1179" s="12">
        <f t="shared" si="284"/>
        <v>33</v>
      </c>
      <c r="BH1179" s="67">
        <v>1</v>
      </c>
      <c r="BI1179" s="67">
        <v>0</v>
      </c>
      <c r="BJ1179" s="67">
        <v>0</v>
      </c>
      <c r="BK1179" s="67">
        <v>0</v>
      </c>
      <c r="BL1179" s="67">
        <v>1</v>
      </c>
      <c r="BM1179" s="67">
        <v>0</v>
      </c>
      <c r="BN1179" s="67">
        <v>0</v>
      </c>
      <c r="BO1179" s="67">
        <v>0</v>
      </c>
      <c r="BP1179" s="67">
        <v>0</v>
      </c>
      <c r="BQ1179" s="67">
        <v>11</v>
      </c>
      <c r="BR1179" s="67">
        <v>0</v>
      </c>
      <c r="BS1179" s="67">
        <v>0</v>
      </c>
      <c r="BT1179" s="67">
        <v>19</v>
      </c>
      <c r="BU1179" s="70">
        <v>0</v>
      </c>
      <c r="BV1179" s="29">
        <f t="shared" si="276"/>
        <v>1.437156078359473</v>
      </c>
      <c r="BW1179">
        <f t="shared" si="277"/>
        <v>1.9273005614084406</v>
      </c>
      <c r="BX1179">
        <f t="shared" si="278"/>
        <v>0.99224068804813281</v>
      </c>
      <c r="BY1179">
        <f t="shared" si="279"/>
        <v>1.1412401909344694</v>
      </c>
      <c r="BZ1179">
        <f t="shared" si="280"/>
        <v>0.96307062430306978</v>
      </c>
      <c r="CA1179">
        <f t="shared" si="281"/>
        <v>1.4313799530736149</v>
      </c>
      <c r="CB1179">
        <f t="shared" si="282"/>
        <v>0.36858985273641137</v>
      </c>
    </row>
    <row r="1180" spans="1:80" x14ac:dyDescent="0.45">
      <c r="A1180" s="11">
        <v>20</v>
      </c>
      <c r="B1180" s="12">
        <f t="shared" si="270"/>
        <v>20</v>
      </c>
      <c r="C1180" s="12" t="s">
        <v>59</v>
      </c>
      <c r="D1180" s="12">
        <v>0</v>
      </c>
      <c r="E1180" s="12" t="s">
        <v>53</v>
      </c>
      <c r="F1180" s="12">
        <v>0</v>
      </c>
      <c r="G1180" s="12">
        <v>1</v>
      </c>
      <c r="H1180" s="12" t="s">
        <v>54</v>
      </c>
      <c r="I1180" s="12">
        <v>0</v>
      </c>
      <c r="J1180" s="12">
        <v>1</v>
      </c>
      <c r="K1180" s="12">
        <v>2</v>
      </c>
      <c r="L1180" s="12">
        <f t="shared" si="271"/>
        <v>2</v>
      </c>
      <c r="M1180" s="12">
        <v>3</v>
      </c>
      <c r="N1180" s="12" t="s">
        <v>70</v>
      </c>
      <c r="O1180" s="12">
        <v>0</v>
      </c>
      <c r="P1180" s="12">
        <v>0</v>
      </c>
      <c r="Q1180" s="12">
        <v>1</v>
      </c>
      <c r="R1180" s="12">
        <v>0</v>
      </c>
      <c r="S1180" s="12">
        <v>0</v>
      </c>
      <c r="T1180" s="12">
        <v>3</v>
      </c>
      <c r="U1180" s="12" t="s">
        <v>19</v>
      </c>
      <c r="V1180" s="12">
        <v>1</v>
      </c>
      <c r="W1180" s="12">
        <v>31</v>
      </c>
      <c r="X1180" s="12">
        <v>3</v>
      </c>
      <c r="Y1180" s="12">
        <v>1</v>
      </c>
      <c r="Z1180" s="12" t="s">
        <v>88</v>
      </c>
      <c r="AA1180" s="12">
        <v>0</v>
      </c>
      <c r="AB1180" s="12">
        <v>0</v>
      </c>
      <c r="AC1180" s="12">
        <v>0</v>
      </c>
      <c r="AD1180" s="12">
        <v>0</v>
      </c>
      <c r="AE1180" s="12">
        <v>0</v>
      </c>
      <c r="AF1180" s="12">
        <v>0</v>
      </c>
      <c r="AG1180" s="12">
        <v>1</v>
      </c>
      <c r="AH1180" s="12">
        <v>0</v>
      </c>
      <c r="AI1180" s="12">
        <v>3</v>
      </c>
      <c r="AJ1180" s="12" t="s">
        <v>57</v>
      </c>
      <c r="AK1180" s="12">
        <v>1</v>
      </c>
      <c r="AL1180" s="12">
        <v>0</v>
      </c>
      <c r="AM1180" s="12">
        <v>2783</v>
      </c>
      <c r="AN1180" s="12">
        <f t="shared" si="272"/>
        <v>2783</v>
      </c>
      <c r="AO1180" s="12">
        <v>1</v>
      </c>
      <c r="AP1180" s="12" t="s">
        <v>59</v>
      </c>
      <c r="AQ1180" s="12">
        <v>0</v>
      </c>
      <c r="AR1180" s="12">
        <v>19</v>
      </c>
      <c r="AS1180" s="12">
        <v>3</v>
      </c>
      <c r="AT1180" s="12">
        <v>1</v>
      </c>
      <c r="AU1180" s="12">
        <v>0</v>
      </c>
      <c r="AV1180" s="12">
        <v>2</v>
      </c>
      <c r="AW1180" s="12">
        <f t="shared" si="273"/>
        <v>2</v>
      </c>
      <c r="AX1180" s="12">
        <v>3</v>
      </c>
      <c r="AY1180" s="12">
        <v>3</v>
      </c>
      <c r="AZ1180" s="12">
        <v>2</v>
      </c>
      <c r="BA1180" s="12">
        <f t="shared" si="274"/>
        <v>2</v>
      </c>
      <c r="BB1180" s="12">
        <v>2</v>
      </c>
      <c r="BC1180" s="12">
        <v>2</v>
      </c>
      <c r="BD1180" s="12">
        <f t="shared" si="283"/>
        <v>2</v>
      </c>
      <c r="BE1180" s="12">
        <v>2</v>
      </c>
      <c r="BF1180" s="12">
        <f t="shared" si="275"/>
        <v>2</v>
      </c>
      <c r="BG1180" s="12">
        <f t="shared" si="284"/>
        <v>2</v>
      </c>
      <c r="BH1180" s="67">
        <v>1</v>
      </c>
      <c r="BI1180" s="67">
        <v>0</v>
      </c>
      <c r="BJ1180" s="67">
        <v>0</v>
      </c>
      <c r="BK1180" s="67">
        <v>0</v>
      </c>
      <c r="BL1180" s="67">
        <v>1</v>
      </c>
      <c r="BM1180" s="67">
        <v>0</v>
      </c>
      <c r="BN1180" s="67">
        <v>0</v>
      </c>
      <c r="BO1180" s="67">
        <v>0</v>
      </c>
      <c r="BP1180" s="67">
        <v>0</v>
      </c>
      <c r="BQ1180" s="67">
        <v>0</v>
      </c>
      <c r="BR1180" s="67">
        <v>2</v>
      </c>
      <c r="BS1180" s="67">
        <v>0</v>
      </c>
      <c r="BT1180" s="67">
        <v>0</v>
      </c>
      <c r="BU1180" s="70">
        <v>2</v>
      </c>
      <c r="BV1180" s="29">
        <f t="shared" si="276"/>
        <v>0.79013709426388723</v>
      </c>
      <c r="BW1180">
        <f t="shared" si="277"/>
        <v>0.59502473559756086</v>
      </c>
      <c r="BX1180">
        <f t="shared" si="278"/>
        <v>1.192629766998377</v>
      </c>
      <c r="BY1180">
        <f t="shared" si="279"/>
        <v>0.81745575848020657</v>
      </c>
      <c r="BZ1180">
        <f t="shared" si="280"/>
        <v>0.88721318382472392</v>
      </c>
      <c r="CA1180">
        <f t="shared" si="281"/>
        <v>1.8525580310355525</v>
      </c>
      <c r="CB1180">
        <f t="shared" si="282"/>
        <v>5.8265062631872602E-2</v>
      </c>
    </row>
    <row r="1181" spans="1:80" x14ac:dyDescent="0.45">
      <c r="A1181" s="11">
        <v>34</v>
      </c>
      <c r="B1181" s="12">
        <f t="shared" si="270"/>
        <v>34</v>
      </c>
      <c r="C1181" s="12" t="s">
        <v>59</v>
      </c>
      <c r="D1181" s="12">
        <v>0</v>
      </c>
      <c r="E1181" s="12" t="s">
        <v>53</v>
      </c>
      <c r="F1181" s="12">
        <v>0</v>
      </c>
      <c r="G1181" s="12">
        <v>1</v>
      </c>
      <c r="H1181" s="12" t="s">
        <v>61</v>
      </c>
      <c r="I1181" s="12">
        <v>1</v>
      </c>
      <c r="J1181" s="12">
        <v>0</v>
      </c>
      <c r="K1181" s="12">
        <v>3</v>
      </c>
      <c r="L1181" s="12">
        <f t="shared" si="271"/>
        <v>3</v>
      </c>
      <c r="M1181" s="12">
        <v>3</v>
      </c>
      <c r="N1181" s="12" t="s">
        <v>55</v>
      </c>
      <c r="O1181" s="12">
        <v>1</v>
      </c>
      <c r="P1181" s="12">
        <v>0</v>
      </c>
      <c r="Q1181" s="12">
        <v>0</v>
      </c>
      <c r="R1181" s="12">
        <v>0</v>
      </c>
      <c r="S1181" s="12">
        <v>0</v>
      </c>
      <c r="T1181" s="12">
        <v>4</v>
      </c>
      <c r="U1181" s="12" t="s">
        <v>19</v>
      </c>
      <c r="V1181" s="12">
        <v>1</v>
      </c>
      <c r="W1181" s="12">
        <v>66</v>
      </c>
      <c r="X1181" s="12">
        <v>3</v>
      </c>
      <c r="Y1181" s="12">
        <v>2</v>
      </c>
      <c r="Z1181" s="12" t="s">
        <v>63</v>
      </c>
      <c r="AA1181" s="12">
        <v>0</v>
      </c>
      <c r="AB1181" s="12">
        <v>0</v>
      </c>
      <c r="AC1181" s="12">
        <v>0</v>
      </c>
      <c r="AD1181" s="12">
        <v>0</v>
      </c>
      <c r="AE1181" s="12">
        <v>0</v>
      </c>
      <c r="AF1181" s="12">
        <v>0</v>
      </c>
      <c r="AG1181" s="12">
        <v>0</v>
      </c>
      <c r="AH1181" s="12">
        <v>1</v>
      </c>
      <c r="AI1181" s="12">
        <v>2</v>
      </c>
      <c r="AJ1181" s="12" t="s">
        <v>78</v>
      </c>
      <c r="AK1181" s="12">
        <v>0</v>
      </c>
      <c r="AL1181" s="12">
        <v>0</v>
      </c>
      <c r="AM1181" s="12">
        <v>5433</v>
      </c>
      <c r="AN1181" s="12">
        <f t="shared" si="272"/>
        <v>5433</v>
      </c>
      <c r="AO1181" s="12">
        <v>1</v>
      </c>
      <c r="AP1181" s="12" t="s">
        <v>59</v>
      </c>
      <c r="AQ1181" s="12">
        <v>0</v>
      </c>
      <c r="AR1181" s="12">
        <v>12</v>
      </c>
      <c r="AS1181" s="12">
        <v>3</v>
      </c>
      <c r="AT1181" s="12">
        <v>3</v>
      </c>
      <c r="AU1181" s="12">
        <v>1</v>
      </c>
      <c r="AV1181" s="12">
        <v>11</v>
      </c>
      <c r="AW1181" s="12">
        <f t="shared" si="273"/>
        <v>11</v>
      </c>
      <c r="AX1181" s="12">
        <v>2</v>
      </c>
      <c r="AY1181" s="12">
        <v>3</v>
      </c>
      <c r="AZ1181" s="12">
        <v>11</v>
      </c>
      <c r="BA1181" s="12">
        <f t="shared" si="274"/>
        <v>11</v>
      </c>
      <c r="BB1181" s="12">
        <v>8</v>
      </c>
      <c r="BC1181" s="12">
        <v>7</v>
      </c>
      <c r="BD1181" s="12">
        <f t="shared" si="283"/>
        <v>7</v>
      </c>
      <c r="BE1181" s="12">
        <v>9</v>
      </c>
      <c r="BF1181" s="12">
        <f t="shared" si="275"/>
        <v>9</v>
      </c>
      <c r="BG1181" s="12">
        <f t="shared" si="284"/>
        <v>18</v>
      </c>
      <c r="BH1181" s="67">
        <v>1</v>
      </c>
      <c r="BI1181" s="67">
        <v>0</v>
      </c>
      <c r="BJ1181" s="67">
        <v>0</v>
      </c>
      <c r="BK1181" s="67">
        <v>0</v>
      </c>
      <c r="BL1181" s="67">
        <v>1</v>
      </c>
      <c r="BM1181" s="67">
        <v>0</v>
      </c>
      <c r="BN1181" s="67">
        <v>0</v>
      </c>
      <c r="BO1181" s="67">
        <v>0</v>
      </c>
      <c r="BP1181" s="67">
        <v>0</v>
      </c>
      <c r="BQ1181" s="67">
        <v>9</v>
      </c>
      <c r="BR1181" s="67">
        <v>0</v>
      </c>
      <c r="BS1181" s="67">
        <v>0</v>
      </c>
      <c r="BT1181" s="67">
        <v>11</v>
      </c>
      <c r="BU1181" s="70">
        <v>0</v>
      </c>
      <c r="BV1181" s="29">
        <f t="shared" si="276"/>
        <v>0.22726021962609355</v>
      </c>
      <c r="BW1181">
        <f t="shared" si="277"/>
        <v>1.3667838287404401</v>
      </c>
      <c r="BX1181">
        <f t="shared" si="278"/>
        <v>3.593364373846001E-2</v>
      </c>
      <c r="BY1181">
        <f t="shared" si="279"/>
        <v>0.65156620358080031</v>
      </c>
      <c r="BZ1181">
        <f t="shared" si="280"/>
        <v>0.76386092994953758</v>
      </c>
      <c r="CA1181">
        <f t="shared" si="281"/>
        <v>0.32005363845127444</v>
      </c>
      <c r="CB1181">
        <f t="shared" si="282"/>
        <v>1.4933588878908215</v>
      </c>
    </row>
    <row r="1182" spans="1:80" x14ac:dyDescent="0.45">
      <c r="A1182" s="11">
        <v>36</v>
      </c>
      <c r="B1182" s="12">
        <f t="shared" si="270"/>
        <v>36</v>
      </c>
      <c r="C1182" s="12" t="s">
        <v>59</v>
      </c>
      <c r="D1182" s="12">
        <v>0</v>
      </c>
      <c r="E1182" s="12" t="s">
        <v>53</v>
      </c>
      <c r="F1182" s="12">
        <v>0</v>
      </c>
      <c r="G1182" s="12">
        <v>1</v>
      </c>
      <c r="H1182" s="12" t="s">
        <v>61</v>
      </c>
      <c r="I1182" s="12">
        <v>1</v>
      </c>
      <c r="J1182" s="12">
        <v>0</v>
      </c>
      <c r="K1182" s="12">
        <v>7</v>
      </c>
      <c r="L1182" s="12">
        <f t="shared" si="271"/>
        <v>7</v>
      </c>
      <c r="M1182" s="12">
        <v>3</v>
      </c>
      <c r="N1182" s="12" t="s">
        <v>55</v>
      </c>
      <c r="O1182" s="12">
        <v>1</v>
      </c>
      <c r="P1182" s="12">
        <v>0</v>
      </c>
      <c r="Q1182" s="12">
        <v>0</v>
      </c>
      <c r="R1182" s="12">
        <v>0</v>
      </c>
      <c r="S1182" s="12">
        <v>0</v>
      </c>
      <c r="T1182" s="12">
        <v>1</v>
      </c>
      <c r="U1182" s="12" t="s">
        <v>62</v>
      </c>
      <c r="V1182" s="12">
        <v>0</v>
      </c>
      <c r="W1182" s="12">
        <v>77</v>
      </c>
      <c r="X1182" s="12">
        <v>3</v>
      </c>
      <c r="Y1182" s="12">
        <v>1</v>
      </c>
      <c r="Z1182" s="12" t="s">
        <v>67</v>
      </c>
      <c r="AA1182" s="12">
        <v>0</v>
      </c>
      <c r="AB1182" s="12">
        <v>0</v>
      </c>
      <c r="AC1182" s="12">
        <v>1</v>
      </c>
      <c r="AD1182" s="12">
        <v>0</v>
      </c>
      <c r="AE1182" s="12">
        <v>0</v>
      </c>
      <c r="AF1182" s="12">
        <v>0</v>
      </c>
      <c r="AG1182" s="12">
        <v>0</v>
      </c>
      <c r="AH1182" s="12">
        <v>0</v>
      </c>
      <c r="AI1182" s="12">
        <v>2</v>
      </c>
      <c r="AJ1182" s="12" t="s">
        <v>57</v>
      </c>
      <c r="AK1182" s="12">
        <v>1</v>
      </c>
      <c r="AL1182" s="12">
        <v>0</v>
      </c>
      <c r="AM1182" s="12">
        <v>2013</v>
      </c>
      <c r="AN1182" s="12">
        <f t="shared" si="272"/>
        <v>2013</v>
      </c>
      <c r="AO1182" s="12">
        <v>2</v>
      </c>
      <c r="AP1182" s="12" t="s">
        <v>59</v>
      </c>
      <c r="AQ1182" s="12">
        <v>0</v>
      </c>
      <c r="AR1182" s="12">
        <v>11</v>
      </c>
      <c r="AS1182" s="12">
        <v>3</v>
      </c>
      <c r="AT1182" s="12">
        <v>3</v>
      </c>
      <c r="AU1182" s="12">
        <v>0</v>
      </c>
      <c r="AV1182" s="12">
        <v>15</v>
      </c>
      <c r="AW1182" s="12">
        <f t="shared" si="273"/>
        <v>15</v>
      </c>
      <c r="AX1182" s="12">
        <v>4</v>
      </c>
      <c r="AY1182" s="12">
        <v>3</v>
      </c>
      <c r="AZ1182" s="12">
        <v>4</v>
      </c>
      <c r="BA1182" s="12">
        <f t="shared" si="274"/>
        <v>4</v>
      </c>
      <c r="BB1182" s="12">
        <v>3</v>
      </c>
      <c r="BC1182" s="12">
        <v>1</v>
      </c>
      <c r="BD1182" s="12">
        <f t="shared" si="283"/>
        <v>1</v>
      </c>
      <c r="BE1182" s="12">
        <v>3</v>
      </c>
      <c r="BF1182" s="12">
        <f t="shared" si="275"/>
        <v>3</v>
      </c>
      <c r="BG1182" s="12">
        <f t="shared" si="284"/>
        <v>3</v>
      </c>
      <c r="BH1182" s="67">
        <v>1</v>
      </c>
      <c r="BI1182" s="67">
        <v>0</v>
      </c>
      <c r="BJ1182" s="67">
        <v>0</v>
      </c>
      <c r="BK1182" s="67">
        <v>0</v>
      </c>
      <c r="BL1182" s="67">
        <v>1</v>
      </c>
      <c r="BM1182" s="67">
        <v>0</v>
      </c>
      <c r="BN1182" s="67">
        <v>0</v>
      </c>
      <c r="BO1182" s="67">
        <v>0</v>
      </c>
      <c r="BP1182" s="67">
        <v>0</v>
      </c>
      <c r="BQ1182" s="67">
        <v>3</v>
      </c>
      <c r="BR1182" s="67">
        <v>0</v>
      </c>
      <c r="BS1182" s="67">
        <v>0</v>
      </c>
      <c r="BT1182" s="67">
        <v>15</v>
      </c>
      <c r="BU1182" s="70">
        <v>0</v>
      </c>
      <c r="BV1182" s="29">
        <f t="shared" si="276"/>
        <v>0.95368999746052918</v>
      </c>
      <c r="BW1182">
        <f t="shared" si="277"/>
        <v>0.31476636926356072</v>
      </c>
      <c r="BX1182">
        <f t="shared" si="278"/>
        <v>0.47815352215483642</v>
      </c>
      <c r="BY1182">
        <f t="shared" si="279"/>
        <v>0.49100643357776058</v>
      </c>
      <c r="BZ1182">
        <f t="shared" si="280"/>
        <v>0.27045191444879263</v>
      </c>
      <c r="CA1182">
        <f t="shared" si="281"/>
        <v>0.10112443951066327</v>
      </c>
      <c r="CB1182">
        <f t="shared" si="282"/>
        <v>0.36858985273641137</v>
      </c>
    </row>
    <row r="1183" spans="1:80" x14ac:dyDescent="0.45">
      <c r="A1183" s="11">
        <v>49</v>
      </c>
      <c r="B1183" s="12">
        <f t="shared" si="270"/>
        <v>49</v>
      </c>
      <c r="C1183" s="12" t="s">
        <v>59</v>
      </c>
      <c r="D1183" s="12">
        <v>0</v>
      </c>
      <c r="E1183" s="12" t="s">
        <v>53</v>
      </c>
      <c r="F1183" s="12">
        <v>0</v>
      </c>
      <c r="G1183" s="12">
        <v>1</v>
      </c>
      <c r="H1183" s="12" t="s">
        <v>61</v>
      </c>
      <c r="I1183" s="12">
        <v>1</v>
      </c>
      <c r="J1183" s="12">
        <v>0</v>
      </c>
      <c r="K1183" s="12">
        <v>6</v>
      </c>
      <c r="L1183" s="12">
        <f t="shared" si="271"/>
        <v>6</v>
      </c>
      <c r="M1183" s="12">
        <v>1</v>
      </c>
      <c r="N1183" s="12" t="s">
        <v>55</v>
      </c>
      <c r="O1183" s="12">
        <v>1</v>
      </c>
      <c r="P1183" s="12">
        <v>0</v>
      </c>
      <c r="Q1183" s="12">
        <v>0</v>
      </c>
      <c r="R1183" s="12">
        <v>0</v>
      </c>
      <c r="S1183" s="12">
        <v>0</v>
      </c>
      <c r="T1183" s="12">
        <v>3</v>
      </c>
      <c r="U1183" s="12" t="s">
        <v>19</v>
      </c>
      <c r="V1183" s="12">
        <v>1</v>
      </c>
      <c r="W1183" s="12">
        <v>41</v>
      </c>
      <c r="X1183" s="12">
        <v>2</v>
      </c>
      <c r="Y1183" s="12">
        <v>4</v>
      </c>
      <c r="Z1183" s="12" t="s">
        <v>85</v>
      </c>
      <c r="AA1183" s="12">
        <v>1</v>
      </c>
      <c r="AB1183" s="12">
        <v>0</v>
      </c>
      <c r="AC1183" s="12">
        <v>0</v>
      </c>
      <c r="AD1183" s="12">
        <v>0</v>
      </c>
      <c r="AE1183" s="12">
        <v>0</v>
      </c>
      <c r="AF1183" s="12">
        <v>0</v>
      </c>
      <c r="AG1183" s="12">
        <v>0</v>
      </c>
      <c r="AH1183" s="12">
        <v>0</v>
      </c>
      <c r="AI1183" s="12">
        <v>3</v>
      </c>
      <c r="AJ1183" s="12" t="s">
        <v>64</v>
      </c>
      <c r="AK1183" s="12">
        <v>0</v>
      </c>
      <c r="AL1183" s="12">
        <v>1</v>
      </c>
      <c r="AM1183" s="12">
        <v>13966</v>
      </c>
      <c r="AN1183" s="12">
        <f t="shared" si="272"/>
        <v>13966</v>
      </c>
      <c r="AO1183" s="12">
        <v>2</v>
      </c>
      <c r="AP1183" s="12" t="s">
        <v>52</v>
      </c>
      <c r="AQ1183" s="12">
        <v>1</v>
      </c>
      <c r="AR1183" s="12">
        <v>19</v>
      </c>
      <c r="AS1183" s="12">
        <v>3</v>
      </c>
      <c r="AT1183" s="12">
        <v>2</v>
      </c>
      <c r="AU1183" s="12">
        <v>1</v>
      </c>
      <c r="AV1183" s="12">
        <v>30</v>
      </c>
      <c r="AW1183" s="12">
        <f t="shared" si="273"/>
        <v>30</v>
      </c>
      <c r="AX1183" s="12">
        <v>3</v>
      </c>
      <c r="AY1183" s="12">
        <v>3</v>
      </c>
      <c r="AZ1183" s="12">
        <v>15</v>
      </c>
      <c r="BA1183" s="12">
        <f t="shared" si="274"/>
        <v>15</v>
      </c>
      <c r="BB1183" s="12">
        <v>11</v>
      </c>
      <c r="BC1183" s="12">
        <v>2</v>
      </c>
      <c r="BD1183" s="12">
        <f t="shared" si="283"/>
        <v>2</v>
      </c>
      <c r="BE1183" s="12">
        <v>12</v>
      </c>
      <c r="BF1183" s="12">
        <f t="shared" si="275"/>
        <v>12</v>
      </c>
      <c r="BG1183" s="12">
        <f t="shared" si="284"/>
        <v>48</v>
      </c>
      <c r="BH1183" s="67">
        <v>0</v>
      </c>
      <c r="BI1183" s="67">
        <v>1</v>
      </c>
      <c r="BJ1183" s="67">
        <v>0</v>
      </c>
      <c r="BK1183" s="67">
        <v>0</v>
      </c>
      <c r="BL1183" s="67">
        <v>0</v>
      </c>
      <c r="BM1183" s="67">
        <v>0</v>
      </c>
      <c r="BN1183" s="67">
        <v>0</v>
      </c>
      <c r="BO1183" s="67">
        <v>1</v>
      </c>
      <c r="BP1183" s="67">
        <v>0</v>
      </c>
      <c r="BQ1183" s="67">
        <v>12</v>
      </c>
      <c r="BR1183" s="67">
        <v>0</v>
      </c>
      <c r="BS1183" s="67">
        <v>0</v>
      </c>
      <c r="BT1183" s="67">
        <v>30</v>
      </c>
      <c r="BU1183" s="70">
        <v>0</v>
      </c>
      <c r="BV1183" s="29">
        <f t="shared" si="276"/>
        <v>1.5852033167076021</v>
      </c>
      <c r="BW1183">
        <f t="shared" si="277"/>
        <v>2.2075589277424408</v>
      </c>
      <c r="BX1183">
        <f t="shared" si="278"/>
        <v>2.4059803942546978</v>
      </c>
      <c r="BY1183">
        <f t="shared" si="279"/>
        <v>1.3044648533856922</v>
      </c>
      <c r="BZ1183">
        <f t="shared" si="280"/>
        <v>0.39380416832397891</v>
      </c>
      <c r="CA1183">
        <f t="shared" si="281"/>
        <v>1.3219153536033093</v>
      </c>
      <c r="CB1183">
        <f t="shared" si="282"/>
        <v>5.8265062631872602E-2</v>
      </c>
    </row>
    <row r="1184" spans="1:80" x14ac:dyDescent="0.45">
      <c r="A1184" s="11">
        <v>36</v>
      </c>
      <c r="B1184" s="12">
        <f t="shared" si="270"/>
        <v>36</v>
      </c>
      <c r="C1184" s="12" t="s">
        <v>59</v>
      </c>
      <c r="D1184" s="12">
        <v>0</v>
      </c>
      <c r="E1184" s="12" t="s">
        <v>86</v>
      </c>
      <c r="F1184" s="12">
        <v>0</v>
      </c>
      <c r="G1184" s="12">
        <v>0</v>
      </c>
      <c r="H1184" s="12" t="s">
        <v>61</v>
      </c>
      <c r="I1184" s="12">
        <v>1</v>
      </c>
      <c r="J1184" s="12">
        <v>0</v>
      </c>
      <c r="K1184" s="12">
        <v>1</v>
      </c>
      <c r="L1184" s="12">
        <f t="shared" si="271"/>
        <v>1</v>
      </c>
      <c r="M1184" s="12">
        <v>4</v>
      </c>
      <c r="N1184" s="12" t="s">
        <v>70</v>
      </c>
      <c r="O1184" s="12">
        <v>0</v>
      </c>
      <c r="P1184" s="12">
        <v>0</v>
      </c>
      <c r="Q1184" s="12">
        <v>1</v>
      </c>
      <c r="R1184" s="12">
        <v>0</v>
      </c>
      <c r="S1184" s="12">
        <v>0</v>
      </c>
      <c r="T1184" s="12">
        <v>4</v>
      </c>
      <c r="U1184" s="12" t="s">
        <v>19</v>
      </c>
      <c r="V1184" s="12">
        <v>1</v>
      </c>
      <c r="W1184" s="12">
        <v>33</v>
      </c>
      <c r="X1184" s="12">
        <v>2</v>
      </c>
      <c r="Y1184" s="12">
        <v>2</v>
      </c>
      <c r="Z1184" s="12" t="s">
        <v>83</v>
      </c>
      <c r="AA1184" s="12">
        <v>0</v>
      </c>
      <c r="AB1184" s="12">
        <v>0</v>
      </c>
      <c r="AC1184" s="12">
        <v>0</v>
      </c>
      <c r="AD1184" s="12">
        <v>0</v>
      </c>
      <c r="AE1184" s="12">
        <v>1</v>
      </c>
      <c r="AF1184" s="12">
        <v>1</v>
      </c>
      <c r="AG1184" s="12">
        <v>0</v>
      </c>
      <c r="AH1184" s="12">
        <v>0</v>
      </c>
      <c r="AI1184" s="12">
        <v>3</v>
      </c>
      <c r="AJ1184" s="12" t="s">
        <v>64</v>
      </c>
      <c r="AK1184" s="12">
        <v>0</v>
      </c>
      <c r="AL1184" s="12">
        <v>1</v>
      </c>
      <c r="AM1184" s="12">
        <v>4374</v>
      </c>
      <c r="AN1184" s="12">
        <f t="shared" si="272"/>
        <v>4374</v>
      </c>
      <c r="AO1184" s="12">
        <v>0</v>
      </c>
      <c r="AP1184" s="12" t="s">
        <v>59</v>
      </c>
      <c r="AQ1184" s="12">
        <v>0</v>
      </c>
      <c r="AR1184" s="12">
        <v>15</v>
      </c>
      <c r="AS1184" s="12">
        <v>3</v>
      </c>
      <c r="AT1184" s="12">
        <v>3</v>
      </c>
      <c r="AU1184" s="12">
        <v>0</v>
      </c>
      <c r="AV1184" s="12">
        <v>4</v>
      </c>
      <c r="AW1184" s="12">
        <f t="shared" si="273"/>
        <v>4</v>
      </c>
      <c r="AX1184" s="12">
        <v>6</v>
      </c>
      <c r="AY1184" s="12">
        <v>3</v>
      </c>
      <c r="AZ1184" s="12">
        <v>3</v>
      </c>
      <c r="BA1184" s="12">
        <f t="shared" si="274"/>
        <v>3</v>
      </c>
      <c r="BB1184" s="12">
        <v>2</v>
      </c>
      <c r="BC1184" s="12">
        <v>1</v>
      </c>
      <c r="BD1184" s="12">
        <f t="shared" si="283"/>
        <v>1</v>
      </c>
      <c r="BE1184" s="12">
        <v>2</v>
      </c>
      <c r="BF1184" s="12">
        <f t="shared" si="275"/>
        <v>2</v>
      </c>
      <c r="BG1184" s="12">
        <f t="shared" si="284"/>
        <v>4</v>
      </c>
      <c r="BH1184" s="67">
        <v>0</v>
      </c>
      <c r="BI1184" s="67">
        <v>1</v>
      </c>
      <c r="BJ1184" s="67">
        <v>0</v>
      </c>
      <c r="BK1184" s="67">
        <v>0</v>
      </c>
      <c r="BL1184" s="67">
        <v>0</v>
      </c>
      <c r="BM1184" s="67">
        <v>0</v>
      </c>
      <c r="BN1184" s="67">
        <v>1</v>
      </c>
      <c r="BO1184" s="67">
        <v>0</v>
      </c>
      <c r="BP1184" s="67">
        <v>0</v>
      </c>
      <c r="BQ1184" s="67">
        <v>2</v>
      </c>
      <c r="BR1184" s="67">
        <v>0</v>
      </c>
      <c r="BS1184" s="67">
        <v>0</v>
      </c>
      <c r="BT1184" s="67">
        <v>4</v>
      </c>
      <c r="BU1184" s="70">
        <v>0</v>
      </c>
      <c r="BV1184" s="29">
        <f t="shared" si="276"/>
        <v>0.45219856311342316</v>
      </c>
      <c r="BW1184">
        <f t="shared" si="277"/>
        <v>0.59502473559756086</v>
      </c>
      <c r="BX1184">
        <f t="shared" si="278"/>
        <v>0.93558618405172878</v>
      </c>
      <c r="BY1184">
        <f t="shared" si="279"/>
        <v>0.65423109602898355</v>
      </c>
      <c r="BZ1184">
        <f t="shared" si="280"/>
        <v>1.01056543769991</v>
      </c>
      <c r="CA1184">
        <f t="shared" si="281"/>
        <v>0.10112443951066327</v>
      </c>
      <c r="CB1184">
        <f t="shared" si="282"/>
        <v>0.36858985273641137</v>
      </c>
    </row>
    <row r="1185" spans="1:80" x14ac:dyDescent="0.45">
      <c r="A1185" s="11">
        <v>36</v>
      </c>
      <c r="B1185" s="12">
        <f t="shared" si="270"/>
        <v>36</v>
      </c>
      <c r="C1185" s="12" t="s">
        <v>59</v>
      </c>
      <c r="D1185" s="12">
        <v>0</v>
      </c>
      <c r="E1185" s="12" t="s">
        <v>53</v>
      </c>
      <c r="F1185" s="12">
        <v>0</v>
      </c>
      <c r="G1185" s="12">
        <v>1</v>
      </c>
      <c r="H1185" s="12" t="s">
        <v>61</v>
      </c>
      <c r="I1185" s="12">
        <v>1</v>
      </c>
      <c r="J1185" s="12">
        <v>0</v>
      </c>
      <c r="K1185" s="12">
        <v>3</v>
      </c>
      <c r="L1185" s="12">
        <f t="shared" si="271"/>
        <v>3</v>
      </c>
      <c r="M1185" s="12">
        <v>2</v>
      </c>
      <c r="N1185" s="12" t="s">
        <v>55</v>
      </c>
      <c r="O1185" s="12">
        <v>1</v>
      </c>
      <c r="P1185" s="12">
        <v>0</v>
      </c>
      <c r="Q1185" s="12">
        <v>0</v>
      </c>
      <c r="R1185" s="12">
        <v>0</v>
      </c>
      <c r="S1185" s="12">
        <v>0</v>
      </c>
      <c r="T1185" s="12">
        <v>4</v>
      </c>
      <c r="U1185" s="12" t="s">
        <v>62</v>
      </c>
      <c r="V1185" s="12">
        <v>0</v>
      </c>
      <c r="W1185" s="12">
        <v>79</v>
      </c>
      <c r="X1185" s="12">
        <v>4</v>
      </c>
      <c r="Y1185" s="12">
        <v>2</v>
      </c>
      <c r="Z1185" s="12" t="s">
        <v>85</v>
      </c>
      <c r="AA1185" s="12">
        <v>1</v>
      </c>
      <c r="AB1185" s="12">
        <v>0</v>
      </c>
      <c r="AC1185" s="12">
        <v>0</v>
      </c>
      <c r="AD1185" s="12">
        <v>0</v>
      </c>
      <c r="AE1185" s="12">
        <v>0</v>
      </c>
      <c r="AF1185" s="12">
        <v>0</v>
      </c>
      <c r="AG1185" s="12">
        <v>0</v>
      </c>
      <c r="AH1185" s="12">
        <v>0</v>
      </c>
      <c r="AI1185" s="12">
        <v>1</v>
      </c>
      <c r="AJ1185" s="12" t="s">
        <v>78</v>
      </c>
      <c r="AK1185" s="12">
        <v>0</v>
      </c>
      <c r="AL1185" s="12">
        <v>0</v>
      </c>
      <c r="AM1185" s="12">
        <v>6842</v>
      </c>
      <c r="AN1185" s="12">
        <f t="shared" si="272"/>
        <v>6842</v>
      </c>
      <c r="AO1185" s="12">
        <v>6</v>
      </c>
      <c r="AP1185" s="12" t="s">
        <v>59</v>
      </c>
      <c r="AQ1185" s="12">
        <v>0</v>
      </c>
      <c r="AR1185" s="12">
        <v>20</v>
      </c>
      <c r="AS1185" s="12">
        <v>4</v>
      </c>
      <c r="AT1185" s="12">
        <v>1</v>
      </c>
      <c r="AU1185" s="12">
        <v>1</v>
      </c>
      <c r="AV1185" s="12">
        <v>13</v>
      </c>
      <c r="AW1185" s="12">
        <f t="shared" si="273"/>
        <v>13</v>
      </c>
      <c r="AX1185" s="12">
        <v>3</v>
      </c>
      <c r="AY1185" s="12">
        <v>3</v>
      </c>
      <c r="AZ1185" s="12">
        <v>5</v>
      </c>
      <c r="BA1185" s="12">
        <f t="shared" si="274"/>
        <v>5</v>
      </c>
      <c r="BB1185" s="12">
        <v>4</v>
      </c>
      <c r="BC1185" s="12">
        <v>0</v>
      </c>
      <c r="BD1185" s="12">
        <f t="shared" si="283"/>
        <v>0</v>
      </c>
      <c r="BE1185" s="12">
        <v>4</v>
      </c>
      <c r="BF1185" s="12">
        <f t="shared" si="275"/>
        <v>4</v>
      </c>
      <c r="BG1185" s="12">
        <f t="shared" si="284"/>
        <v>8</v>
      </c>
      <c r="BH1185" s="67">
        <v>1</v>
      </c>
      <c r="BI1185" s="67">
        <v>0</v>
      </c>
      <c r="BJ1185" s="67">
        <v>0</v>
      </c>
      <c r="BK1185" s="67">
        <v>0</v>
      </c>
      <c r="BL1185" s="67">
        <v>1</v>
      </c>
      <c r="BM1185" s="67">
        <v>0</v>
      </c>
      <c r="BN1185" s="67">
        <v>0</v>
      </c>
      <c r="BO1185" s="67">
        <v>0</v>
      </c>
      <c r="BP1185" s="67">
        <v>0</v>
      </c>
      <c r="BQ1185" s="67">
        <v>4</v>
      </c>
      <c r="BR1185" s="67">
        <v>0</v>
      </c>
      <c r="BS1185" s="67">
        <v>0</v>
      </c>
      <c r="BT1185" s="67">
        <v>13</v>
      </c>
      <c r="BU1185" s="70">
        <v>0</v>
      </c>
      <c r="BV1185" s="29">
        <f t="shared" si="276"/>
        <v>7.2020352586982403E-2</v>
      </c>
      <c r="BW1185">
        <f t="shared" si="277"/>
        <v>3.4508002929560584E-2</v>
      </c>
      <c r="BX1185">
        <f t="shared" si="278"/>
        <v>0.22110993920818819</v>
      </c>
      <c r="BY1185">
        <f t="shared" si="279"/>
        <v>0.32778177112653761</v>
      </c>
      <c r="BZ1185">
        <f t="shared" si="280"/>
        <v>0.76386092994953758</v>
      </c>
      <c r="CA1185">
        <f t="shared" si="281"/>
        <v>0.10112443951066327</v>
      </c>
      <c r="CB1185">
        <f t="shared" si="282"/>
        <v>0.67891464284095016</v>
      </c>
    </row>
    <row r="1186" spans="1:80" x14ac:dyDescent="0.45">
      <c r="A1186" s="11">
        <v>54</v>
      </c>
      <c r="B1186" s="12">
        <f t="shared" si="270"/>
        <v>54</v>
      </c>
      <c r="C1186" s="12" t="s">
        <v>59</v>
      </c>
      <c r="D1186" s="12">
        <v>0</v>
      </c>
      <c r="E1186" s="12" t="s">
        <v>53</v>
      </c>
      <c r="F1186" s="12">
        <v>0</v>
      </c>
      <c r="G1186" s="12">
        <v>1</v>
      </c>
      <c r="H1186" s="12" t="s">
        <v>61</v>
      </c>
      <c r="I1186" s="12">
        <v>1</v>
      </c>
      <c r="J1186" s="12">
        <v>0</v>
      </c>
      <c r="K1186" s="12">
        <v>22</v>
      </c>
      <c r="L1186" s="12">
        <f t="shared" si="271"/>
        <v>22</v>
      </c>
      <c r="M1186" s="12">
        <v>5</v>
      </c>
      <c r="N1186" s="12" t="s">
        <v>70</v>
      </c>
      <c r="O1186" s="12">
        <v>0</v>
      </c>
      <c r="P1186" s="12">
        <v>0</v>
      </c>
      <c r="Q1186" s="12">
        <v>1</v>
      </c>
      <c r="R1186" s="12">
        <v>0</v>
      </c>
      <c r="S1186" s="12">
        <v>0</v>
      </c>
      <c r="T1186" s="12">
        <v>2</v>
      </c>
      <c r="U1186" s="12" t="s">
        <v>19</v>
      </c>
      <c r="V1186" s="12">
        <v>1</v>
      </c>
      <c r="W1186" s="12">
        <v>91</v>
      </c>
      <c r="X1186" s="12">
        <v>3</v>
      </c>
      <c r="Y1186" s="12">
        <v>4</v>
      </c>
      <c r="Z1186" s="12" t="s">
        <v>87</v>
      </c>
      <c r="AA1186" s="12">
        <v>0</v>
      </c>
      <c r="AB1186" s="12">
        <v>0</v>
      </c>
      <c r="AC1186" s="12">
        <v>0</v>
      </c>
      <c r="AD1186" s="12">
        <v>1</v>
      </c>
      <c r="AE1186" s="12">
        <v>0</v>
      </c>
      <c r="AF1186" s="12">
        <v>0</v>
      </c>
      <c r="AG1186" s="12">
        <v>0</v>
      </c>
      <c r="AH1186" s="12">
        <v>0</v>
      </c>
      <c r="AI1186" s="12">
        <v>3</v>
      </c>
      <c r="AJ1186" s="12" t="s">
        <v>64</v>
      </c>
      <c r="AK1186" s="12">
        <v>0</v>
      </c>
      <c r="AL1186" s="12">
        <v>1</v>
      </c>
      <c r="AM1186" s="12">
        <v>17426</v>
      </c>
      <c r="AN1186" s="12">
        <f t="shared" si="272"/>
        <v>17426</v>
      </c>
      <c r="AO1186" s="12">
        <v>3</v>
      </c>
      <c r="AP1186" s="12" t="s">
        <v>59</v>
      </c>
      <c r="AQ1186" s="12">
        <v>0</v>
      </c>
      <c r="AR1186" s="12">
        <v>25</v>
      </c>
      <c r="AS1186" s="12">
        <v>4</v>
      </c>
      <c r="AT1186" s="12">
        <v>3</v>
      </c>
      <c r="AU1186" s="12">
        <v>1</v>
      </c>
      <c r="AV1186" s="12">
        <v>36</v>
      </c>
      <c r="AW1186" s="12">
        <f t="shared" si="273"/>
        <v>35</v>
      </c>
      <c r="AX1186" s="12">
        <v>6</v>
      </c>
      <c r="AY1186" s="12">
        <v>3</v>
      </c>
      <c r="AZ1186" s="12">
        <v>10</v>
      </c>
      <c r="BA1186" s="12">
        <f t="shared" si="274"/>
        <v>10</v>
      </c>
      <c r="BB1186" s="12">
        <v>8</v>
      </c>
      <c r="BC1186" s="12">
        <v>4</v>
      </c>
      <c r="BD1186" s="12">
        <f t="shared" si="283"/>
        <v>4</v>
      </c>
      <c r="BE1186" s="12">
        <v>7</v>
      </c>
      <c r="BF1186" s="12">
        <f t="shared" si="275"/>
        <v>7</v>
      </c>
      <c r="BG1186" s="12">
        <f t="shared" si="284"/>
        <v>28</v>
      </c>
      <c r="BH1186" s="67">
        <v>0</v>
      </c>
      <c r="BI1186" s="67">
        <v>1</v>
      </c>
      <c r="BJ1186" s="67">
        <v>0</v>
      </c>
      <c r="BK1186" s="67">
        <v>0</v>
      </c>
      <c r="BL1186" s="67">
        <v>0</v>
      </c>
      <c r="BM1186" s="67">
        <v>0</v>
      </c>
      <c r="BN1186" s="67">
        <v>1</v>
      </c>
      <c r="BO1186" s="67">
        <v>0</v>
      </c>
      <c r="BP1186" s="67">
        <v>0</v>
      </c>
      <c r="BQ1186" s="67">
        <v>7</v>
      </c>
      <c r="BR1186" s="67">
        <v>0</v>
      </c>
      <c r="BS1186" s="67">
        <v>0</v>
      </c>
      <c r="BT1186" s="67">
        <v>35</v>
      </c>
      <c r="BU1186" s="70">
        <v>0</v>
      </c>
      <c r="BV1186" s="29">
        <f t="shared" si="276"/>
        <v>2.3201293492535515</v>
      </c>
      <c r="BW1186">
        <f t="shared" si="277"/>
        <v>0.80626709607243985</v>
      </c>
      <c r="BX1186">
        <f t="shared" si="278"/>
        <v>3.1771111430946424</v>
      </c>
      <c r="BY1186">
        <f t="shared" si="279"/>
        <v>0.48834154112957734</v>
      </c>
      <c r="BZ1186">
        <f t="shared" si="280"/>
        <v>1.579831893679001</v>
      </c>
      <c r="CA1186">
        <f t="shared" si="281"/>
        <v>1.8692383509548371</v>
      </c>
      <c r="CB1186">
        <f t="shared" si="282"/>
        <v>0.56238451757720498</v>
      </c>
    </row>
    <row r="1187" spans="1:80" x14ac:dyDescent="0.45">
      <c r="A1187" s="11">
        <v>43</v>
      </c>
      <c r="B1187" s="12">
        <f t="shared" si="270"/>
        <v>43</v>
      </c>
      <c r="C1187" s="12" t="s">
        <v>59</v>
      </c>
      <c r="D1187" s="12">
        <v>0</v>
      </c>
      <c r="E1187" s="12" t="s">
        <v>53</v>
      </c>
      <c r="F1187" s="12">
        <v>0</v>
      </c>
      <c r="G1187" s="12">
        <v>1</v>
      </c>
      <c r="H1187" s="12" t="s">
        <v>61</v>
      </c>
      <c r="I1187" s="12">
        <v>1</v>
      </c>
      <c r="J1187" s="12">
        <v>0</v>
      </c>
      <c r="K1187" s="12">
        <v>15</v>
      </c>
      <c r="L1187" s="12">
        <f t="shared" si="271"/>
        <v>15</v>
      </c>
      <c r="M1187" s="12">
        <v>2</v>
      </c>
      <c r="N1187" s="12" t="s">
        <v>55</v>
      </c>
      <c r="O1187" s="12">
        <v>1</v>
      </c>
      <c r="P1187" s="12">
        <v>0</v>
      </c>
      <c r="Q1187" s="12">
        <v>0</v>
      </c>
      <c r="R1187" s="12">
        <v>0</v>
      </c>
      <c r="S1187" s="12">
        <v>0</v>
      </c>
      <c r="T1187" s="12">
        <v>3</v>
      </c>
      <c r="U1187" s="12" t="s">
        <v>62</v>
      </c>
      <c r="V1187" s="12">
        <v>0</v>
      </c>
      <c r="W1187" s="12">
        <v>65</v>
      </c>
      <c r="X1187" s="12">
        <v>2</v>
      </c>
      <c r="Y1187" s="12">
        <v>4</v>
      </c>
      <c r="Z1187" s="12" t="s">
        <v>89</v>
      </c>
      <c r="AA1187" s="12">
        <v>0</v>
      </c>
      <c r="AB1187" s="12">
        <v>0</v>
      </c>
      <c r="AC1187" s="12">
        <v>0</v>
      </c>
      <c r="AD1187" s="12">
        <v>0</v>
      </c>
      <c r="AE1187" s="12">
        <v>0</v>
      </c>
      <c r="AF1187" s="12">
        <v>0</v>
      </c>
      <c r="AG1187" s="12">
        <v>0</v>
      </c>
      <c r="AH1187" s="12">
        <v>0</v>
      </c>
      <c r="AI1187" s="12">
        <v>3</v>
      </c>
      <c r="AJ1187" s="12" t="s">
        <v>64</v>
      </c>
      <c r="AK1187" s="12">
        <v>0</v>
      </c>
      <c r="AL1187" s="12">
        <v>1</v>
      </c>
      <c r="AM1187" s="12">
        <v>17603</v>
      </c>
      <c r="AN1187" s="12">
        <f t="shared" si="272"/>
        <v>17603</v>
      </c>
      <c r="AO1187" s="12">
        <v>1</v>
      </c>
      <c r="AP1187" s="12" t="s">
        <v>59</v>
      </c>
      <c r="AQ1187" s="12">
        <v>0</v>
      </c>
      <c r="AR1187" s="12">
        <v>24</v>
      </c>
      <c r="AS1187" s="12">
        <v>4</v>
      </c>
      <c r="AT1187" s="12">
        <v>1</v>
      </c>
      <c r="AU1187" s="12">
        <v>1</v>
      </c>
      <c r="AV1187" s="12">
        <v>14</v>
      </c>
      <c r="AW1187" s="12">
        <f t="shared" si="273"/>
        <v>14</v>
      </c>
      <c r="AX1187" s="12">
        <v>3</v>
      </c>
      <c r="AY1187" s="12">
        <v>3</v>
      </c>
      <c r="AZ1187" s="12">
        <v>14</v>
      </c>
      <c r="BA1187" s="12">
        <f t="shared" si="274"/>
        <v>14</v>
      </c>
      <c r="BB1187" s="12">
        <v>10</v>
      </c>
      <c r="BC1187" s="12">
        <v>6</v>
      </c>
      <c r="BD1187" s="12">
        <f t="shared" si="283"/>
        <v>6</v>
      </c>
      <c r="BE1187" s="12">
        <v>11</v>
      </c>
      <c r="BF1187" s="12">
        <f t="shared" si="275"/>
        <v>11</v>
      </c>
      <c r="BG1187" s="12">
        <f t="shared" si="284"/>
        <v>44</v>
      </c>
      <c r="BH1187" s="67">
        <v>0</v>
      </c>
      <c r="BI1187" s="67">
        <v>1</v>
      </c>
      <c r="BJ1187" s="67">
        <v>0</v>
      </c>
      <c r="BK1187" s="67">
        <v>0</v>
      </c>
      <c r="BL1187" s="67">
        <v>0</v>
      </c>
      <c r="BM1187" s="67">
        <v>0</v>
      </c>
      <c r="BN1187" s="67">
        <v>1</v>
      </c>
      <c r="BO1187" s="67">
        <v>0</v>
      </c>
      <c r="BP1187" s="67">
        <v>0</v>
      </c>
      <c r="BQ1187" s="67">
        <v>11</v>
      </c>
      <c r="BR1187" s="67">
        <v>0</v>
      </c>
      <c r="BS1187" s="67">
        <v>0</v>
      </c>
      <c r="BT1187" s="67">
        <v>14</v>
      </c>
      <c r="BU1187" s="70">
        <v>0</v>
      </c>
      <c r="BV1187" s="29">
        <f t="shared" si="276"/>
        <v>2.3577252763520002</v>
      </c>
      <c r="BW1187">
        <f t="shared" si="277"/>
        <v>1.9273005614084406</v>
      </c>
      <c r="BX1187">
        <f t="shared" si="278"/>
        <v>0.34963173068151232</v>
      </c>
      <c r="BY1187">
        <f t="shared" si="279"/>
        <v>1.1412401909344694</v>
      </c>
      <c r="BZ1187">
        <f t="shared" si="280"/>
        <v>0.71636611655269733</v>
      </c>
      <c r="CA1187">
        <f t="shared" si="281"/>
        <v>0.66512775678147573</v>
      </c>
      <c r="CB1187">
        <f t="shared" si="282"/>
        <v>1.1830340977862825</v>
      </c>
    </row>
    <row r="1188" spans="1:80" x14ac:dyDescent="0.45">
      <c r="A1188" s="11">
        <v>35</v>
      </c>
      <c r="B1188" s="12">
        <f t="shared" si="270"/>
        <v>35</v>
      </c>
      <c r="C1188" s="12" t="s">
        <v>52</v>
      </c>
      <c r="D1188" s="12">
        <v>1</v>
      </c>
      <c r="E1188" s="12" t="s">
        <v>60</v>
      </c>
      <c r="F1188" s="12">
        <v>1</v>
      </c>
      <c r="G1188" s="12">
        <v>0</v>
      </c>
      <c r="H1188" s="12" t="s">
        <v>54</v>
      </c>
      <c r="I1188" s="12">
        <v>0</v>
      </c>
      <c r="J1188" s="12">
        <v>1</v>
      </c>
      <c r="K1188" s="12">
        <v>12</v>
      </c>
      <c r="L1188" s="12">
        <f t="shared" si="271"/>
        <v>12</v>
      </c>
      <c r="M1188" s="12">
        <v>4</v>
      </c>
      <c r="N1188" s="12" t="s">
        <v>66</v>
      </c>
      <c r="O1188" s="12">
        <v>0</v>
      </c>
      <c r="P1188" s="12">
        <v>1</v>
      </c>
      <c r="Q1188" s="12">
        <v>0</v>
      </c>
      <c r="R1188" s="12">
        <v>0</v>
      </c>
      <c r="S1188" s="12">
        <v>0</v>
      </c>
      <c r="T1188" s="12">
        <v>4</v>
      </c>
      <c r="U1188" s="12" t="s">
        <v>62</v>
      </c>
      <c r="V1188" s="12">
        <v>0</v>
      </c>
      <c r="W1188" s="12">
        <v>36</v>
      </c>
      <c r="X1188" s="12">
        <v>3</v>
      </c>
      <c r="Y1188" s="12">
        <v>2</v>
      </c>
      <c r="Z1188" s="12" t="s">
        <v>56</v>
      </c>
      <c r="AA1188" s="12">
        <v>0</v>
      </c>
      <c r="AB1188" s="12">
        <v>1</v>
      </c>
      <c r="AC1188" s="12">
        <v>0</v>
      </c>
      <c r="AD1188" s="12">
        <v>0</v>
      </c>
      <c r="AE1188" s="12">
        <v>0</v>
      </c>
      <c r="AF1188" s="12">
        <v>0</v>
      </c>
      <c r="AG1188" s="12">
        <v>0</v>
      </c>
      <c r="AH1188" s="12">
        <v>0</v>
      </c>
      <c r="AI1188" s="12">
        <v>4</v>
      </c>
      <c r="AJ1188" s="12" t="s">
        <v>57</v>
      </c>
      <c r="AK1188" s="12">
        <v>1</v>
      </c>
      <c r="AL1188" s="12">
        <v>0</v>
      </c>
      <c r="AM1188" s="12">
        <v>4581</v>
      </c>
      <c r="AN1188" s="12">
        <f t="shared" si="272"/>
        <v>4581</v>
      </c>
      <c r="AO1188" s="12">
        <v>3</v>
      </c>
      <c r="AP1188" s="12" t="s">
        <v>52</v>
      </c>
      <c r="AQ1188" s="12">
        <v>1</v>
      </c>
      <c r="AR1188" s="12">
        <v>24</v>
      </c>
      <c r="AS1188" s="12">
        <v>4</v>
      </c>
      <c r="AT1188" s="12">
        <v>1</v>
      </c>
      <c r="AU1188" s="12">
        <v>0</v>
      </c>
      <c r="AV1188" s="12">
        <v>13</v>
      </c>
      <c r="AW1188" s="12">
        <f t="shared" si="273"/>
        <v>13</v>
      </c>
      <c r="AX1188" s="12">
        <v>2</v>
      </c>
      <c r="AY1188" s="12">
        <v>4</v>
      </c>
      <c r="AZ1188" s="12">
        <v>11</v>
      </c>
      <c r="BA1188" s="12">
        <f t="shared" si="274"/>
        <v>11</v>
      </c>
      <c r="BB1188" s="12">
        <v>9</v>
      </c>
      <c r="BC1188" s="12">
        <v>6</v>
      </c>
      <c r="BD1188" s="12">
        <f t="shared" si="283"/>
        <v>6</v>
      </c>
      <c r="BE1188" s="12">
        <v>7</v>
      </c>
      <c r="BF1188" s="12">
        <f t="shared" si="275"/>
        <v>7</v>
      </c>
      <c r="BG1188" s="12">
        <f t="shared" si="284"/>
        <v>14</v>
      </c>
      <c r="BH1188" s="67">
        <v>0</v>
      </c>
      <c r="BI1188" s="67">
        <v>0</v>
      </c>
      <c r="BJ1188" s="67">
        <v>1</v>
      </c>
      <c r="BK1188" s="67">
        <v>0</v>
      </c>
      <c r="BL1188" s="67">
        <v>0</v>
      </c>
      <c r="BM1188" s="67">
        <v>1</v>
      </c>
      <c r="BN1188" s="67">
        <v>0</v>
      </c>
      <c r="BO1188" s="67">
        <v>0</v>
      </c>
      <c r="BP1188" s="67">
        <v>0</v>
      </c>
      <c r="BQ1188" s="67">
        <v>0</v>
      </c>
      <c r="BR1188" s="67">
        <v>7</v>
      </c>
      <c r="BS1188" s="67">
        <v>0</v>
      </c>
      <c r="BT1188" s="67">
        <v>0</v>
      </c>
      <c r="BU1188" s="70">
        <v>13</v>
      </c>
      <c r="BV1188" s="29">
        <f t="shared" si="276"/>
        <v>0.40823044498133892</v>
      </c>
      <c r="BW1188">
        <f t="shared" si="277"/>
        <v>0.80626709607243985</v>
      </c>
      <c r="BX1188">
        <f t="shared" si="278"/>
        <v>0.22110993920818819</v>
      </c>
      <c r="BY1188">
        <f t="shared" si="279"/>
        <v>0.65156620358080031</v>
      </c>
      <c r="BZ1188">
        <f t="shared" si="280"/>
        <v>0.3463093549271386</v>
      </c>
      <c r="CA1188">
        <f t="shared" si="281"/>
        <v>0.21058903898096887</v>
      </c>
      <c r="CB1188">
        <f t="shared" si="282"/>
        <v>1.1830340977862825</v>
      </c>
    </row>
    <row r="1189" spans="1:80" x14ac:dyDescent="0.45">
      <c r="A1189" s="11">
        <v>38</v>
      </c>
      <c r="B1189" s="12">
        <f t="shared" si="270"/>
        <v>38</v>
      </c>
      <c r="C1189" s="12" t="s">
        <v>59</v>
      </c>
      <c r="D1189" s="12">
        <v>0</v>
      </c>
      <c r="E1189" s="12" t="s">
        <v>60</v>
      </c>
      <c r="F1189" s="12">
        <v>1</v>
      </c>
      <c r="G1189" s="12">
        <v>0</v>
      </c>
      <c r="H1189" s="12" t="s">
        <v>61</v>
      </c>
      <c r="I1189" s="12">
        <v>1</v>
      </c>
      <c r="J1189" s="12">
        <v>0</v>
      </c>
      <c r="K1189" s="12">
        <v>1</v>
      </c>
      <c r="L1189" s="12">
        <f t="shared" si="271"/>
        <v>1</v>
      </c>
      <c r="M1189" s="12">
        <v>3</v>
      </c>
      <c r="N1189" s="12" t="s">
        <v>55</v>
      </c>
      <c r="O1189" s="12">
        <v>1</v>
      </c>
      <c r="P1189" s="12">
        <v>0</v>
      </c>
      <c r="Q1189" s="12">
        <v>0</v>
      </c>
      <c r="R1189" s="12">
        <v>0</v>
      </c>
      <c r="S1189" s="12">
        <v>0</v>
      </c>
      <c r="T1189" s="12">
        <v>4</v>
      </c>
      <c r="U1189" s="12" t="s">
        <v>62</v>
      </c>
      <c r="V1189" s="12">
        <v>0</v>
      </c>
      <c r="W1189" s="12">
        <v>90</v>
      </c>
      <c r="X1189" s="12">
        <v>3</v>
      </c>
      <c r="Y1189" s="12">
        <v>2</v>
      </c>
      <c r="Z1189" s="12" t="s">
        <v>63</v>
      </c>
      <c r="AA1189" s="12">
        <v>0</v>
      </c>
      <c r="AB1189" s="12">
        <v>0</v>
      </c>
      <c r="AC1189" s="12">
        <v>0</v>
      </c>
      <c r="AD1189" s="12">
        <v>0</v>
      </c>
      <c r="AE1189" s="12">
        <v>0</v>
      </c>
      <c r="AF1189" s="12">
        <v>0</v>
      </c>
      <c r="AG1189" s="12">
        <v>0</v>
      </c>
      <c r="AH1189" s="12">
        <v>1</v>
      </c>
      <c r="AI1189" s="12">
        <v>4</v>
      </c>
      <c r="AJ1189" s="12" t="s">
        <v>64</v>
      </c>
      <c r="AK1189" s="12">
        <v>0</v>
      </c>
      <c r="AL1189" s="12">
        <v>1</v>
      </c>
      <c r="AM1189" s="12">
        <v>4735</v>
      </c>
      <c r="AN1189" s="12">
        <f t="shared" si="272"/>
        <v>4735</v>
      </c>
      <c r="AO1189" s="12">
        <v>7</v>
      </c>
      <c r="AP1189" s="12" t="s">
        <v>59</v>
      </c>
      <c r="AQ1189" s="12">
        <v>0</v>
      </c>
      <c r="AR1189" s="12">
        <v>15</v>
      </c>
      <c r="AS1189" s="12">
        <v>3</v>
      </c>
      <c r="AT1189" s="12">
        <v>4</v>
      </c>
      <c r="AU1189" s="12">
        <v>2</v>
      </c>
      <c r="AV1189" s="12">
        <v>19</v>
      </c>
      <c r="AW1189" s="12">
        <f t="shared" si="273"/>
        <v>19</v>
      </c>
      <c r="AX1189" s="12">
        <v>4</v>
      </c>
      <c r="AY1189" s="12">
        <v>4</v>
      </c>
      <c r="AZ1189" s="12">
        <v>13</v>
      </c>
      <c r="BA1189" s="12">
        <f t="shared" si="274"/>
        <v>13</v>
      </c>
      <c r="BB1189" s="12">
        <v>11</v>
      </c>
      <c r="BC1189" s="12">
        <v>2</v>
      </c>
      <c r="BD1189" s="12">
        <f t="shared" si="283"/>
        <v>2</v>
      </c>
      <c r="BE1189" s="12">
        <v>9</v>
      </c>
      <c r="BF1189" s="12">
        <f t="shared" si="275"/>
        <v>9</v>
      </c>
      <c r="BG1189" s="12">
        <f t="shared" si="284"/>
        <v>18</v>
      </c>
      <c r="BH1189" s="67">
        <v>0</v>
      </c>
      <c r="BI1189" s="67">
        <v>0</v>
      </c>
      <c r="BJ1189" s="67">
        <v>0</v>
      </c>
      <c r="BK1189" s="67">
        <v>1</v>
      </c>
      <c r="BL1189" s="67">
        <v>0</v>
      </c>
      <c r="BM1189" s="67">
        <v>0</v>
      </c>
      <c r="BN1189" s="67">
        <v>1</v>
      </c>
      <c r="BO1189" s="67">
        <v>0</v>
      </c>
      <c r="BP1189" s="67">
        <v>0</v>
      </c>
      <c r="BQ1189" s="67">
        <v>9</v>
      </c>
      <c r="BR1189" s="67">
        <v>0</v>
      </c>
      <c r="BS1189" s="67">
        <v>0</v>
      </c>
      <c r="BT1189" s="67">
        <v>19</v>
      </c>
      <c r="BU1189" s="70">
        <v>0</v>
      </c>
      <c r="BV1189" s="29">
        <f t="shared" si="276"/>
        <v>0.37551986434201051</v>
      </c>
      <c r="BW1189">
        <f t="shared" si="277"/>
        <v>1.3667838287404401</v>
      </c>
      <c r="BX1189">
        <f t="shared" si="278"/>
        <v>0.99224068804813281</v>
      </c>
      <c r="BY1189">
        <f t="shared" si="279"/>
        <v>0.97801552848324624</v>
      </c>
      <c r="BZ1189">
        <f t="shared" si="280"/>
        <v>1.01056543769991</v>
      </c>
      <c r="CA1189">
        <f t="shared" si="281"/>
        <v>0.11780475942994788</v>
      </c>
      <c r="CB1189">
        <f t="shared" si="282"/>
        <v>5.8265062631872602E-2</v>
      </c>
    </row>
    <row r="1190" spans="1:80" x14ac:dyDescent="0.45">
      <c r="A1190" s="11">
        <v>29</v>
      </c>
      <c r="B1190" s="12">
        <f t="shared" si="270"/>
        <v>29</v>
      </c>
      <c r="C1190" s="12" t="s">
        <v>59</v>
      </c>
      <c r="D1190" s="12">
        <v>0</v>
      </c>
      <c r="E1190" s="12" t="s">
        <v>53</v>
      </c>
      <c r="F1190" s="12">
        <v>0</v>
      </c>
      <c r="G1190" s="12">
        <v>1</v>
      </c>
      <c r="H1190" s="12" t="s">
        <v>54</v>
      </c>
      <c r="I1190" s="12">
        <v>0</v>
      </c>
      <c r="J1190" s="12">
        <v>1</v>
      </c>
      <c r="K1190" s="12">
        <v>5</v>
      </c>
      <c r="L1190" s="12">
        <f t="shared" si="271"/>
        <v>5</v>
      </c>
      <c r="M1190" s="12">
        <v>3</v>
      </c>
      <c r="N1190" s="12" t="s">
        <v>70</v>
      </c>
      <c r="O1190" s="12">
        <v>0</v>
      </c>
      <c r="P1190" s="12">
        <v>0</v>
      </c>
      <c r="Q1190" s="12">
        <v>1</v>
      </c>
      <c r="R1190" s="12">
        <v>0</v>
      </c>
      <c r="S1190" s="12">
        <v>0</v>
      </c>
      <c r="T1190" s="12">
        <v>1</v>
      </c>
      <c r="U1190" s="12" t="s">
        <v>62</v>
      </c>
      <c r="V1190" s="12">
        <v>0</v>
      </c>
      <c r="W1190" s="12">
        <v>43</v>
      </c>
      <c r="X1190" s="12">
        <v>2</v>
      </c>
      <c r="Y1190" s="12">
        <v>2</v>
      </c>
      <c r="Z1190" s="12" t="s">
        <v>56</v>
      </c>
      <c r="AA1190" s="12">
        <v>0</v>
      </c>
      <c r="AB1190" s="12">
        <v>1</v>
      </c>
      <c r="AC1190" s="12">
        <v>0</v>
      </c>
      <c r="AD1190" s="12">
        <v>0</v>
      </c>
      <c r="AE1190" s="12">
        <v>0</v>
      </c>
      <c r="AF1190" s="12">
        <v>0</v>
      </c>
      <c r="AG1190" s="12">
        <v>0</v>
      </c>
      <c r="AH1190" s="12">
        <v>0</v>
      </c>
      <c r="AI1190" s="12">
        <v>2</v>
      </c>
      <c r="AJ1190" s="12" t="s">
        <v>78</v>
      </c>
      <c r="AK1190" s="12">
        <v>0</v>
      </c>
      <c r="AL1190" s="12">
        <v>0</v>
      </c>
      <c r="AM1190" s="12">
        <v>4187</v>
      </c>
      <c r="AN1190" s="12">
        <f t="shared" si="272"/>
        <v>4187</v>
      </c>
      <c r="AO1190" s="12">
        <v>1</v>
      </c>
      <c r="AP1190" s="12" t="s">
        <v>52</v>
      </c>
      <c r="AQ1190" s="12">
        <v>1</v>
      </c>
      <c r="AR1190" s="12">
        <v>13</v>
      </c>
      <c r="AS1190" s="12">
        <v>3</v>
      </c>
      <c r="AT1190" s="12">
        <v>2</v>
      </c>
      <c r="AU1190" s="12">
        <v>1</v>
      </c>
      <c r="AV1190" s="12">
        <v>10</v>
      </c>
      <c r="AW1190" s="12">
        <f t="shared" si="273"/>
        <v>10</v>
      </c>
      <c r="AX1190" s="12">
        <v>3</v>
      </c>
      <c r="AY1190" s="12">
        <v>2</v>
      </c>
      <c r="AZ1190" s="12">
        <v>10</v>
      </c>
      <c r="BA1190" s="12">
        <f t="shared" si="274"/>
        <v>10</v>
      </c>
      <c r="BB1190" s="12">
        <v>0</v>
      </c>
      <c r="BC1190" s="12">
        <v>0</v>
      </c>
      <c r="BD1190" s="12">
        <f t="shared" si="283"/>
        <v>0</v>
      </c>
      <c r="BE1190" s="12">
        <v>9</v>
      </c>
      <c r="BF1190" s="12">
        <f t="shared" si="275"/>
        <v>9</v>
      </c>
      <c r="BG1190" s="12">
        <f t="shared" si="284"/>
        <v>18</v>
      </c>
      <c r="BH1190" s="67">
        <v>1</v>
      </c>
      <c r="BI1190" s="67">
        <v>0</v>
      </c>
      <c r="BJ1190" s="67">
        <v>0</v>
      </c>
      <c r="BK1190" s="67">
        <v>0</v>
      </c>
      <c r="BL1190" s="67">
        <v>0</v>
      </c>
      <c r="BM1190" s="67">
        <v>1</v>
      </c>
      <c r="BN1190" s="67">
        <v>0</v>
      </c>
      <c r="BO1190" s="67">
        <v>0</v>
      </c>
      <c r="BP1190" s="67">
        <v>0</v>
      </c>
      <c r="BQ1190" s="67">
        <v>0</v>
      </c>
      <c r="BR1190" s="67">
        <v>9</v>
      </c>
      <c r="BS1190" s="67">
        <v>0</v>
      </c>
      <c r="BT1190" s="67">
        <v>0</v>
      </c>
      <c r="BU1190" s="70">
        <v>10</v>
      </c>
      <c r="BV1190" s="29">
        <f t="shared" si="276"/>
        <v>0.49191855388975053</v>
      </c>
      <c r="BW1190">
        <f t="shared" si="277"/>
        <v>1.3667838287404401</v>
      </c>
      <c r="BX1190">
        <f t="shared" si="278"/>
        <v>0.1644554352117841</v>
      </c>
      <c r="BY1190">
        <f t="shared" si="279"/>
        <v>0.48834154112957734</v>
      </c>
      <c r="BZ1190">
        <f t="shared" si="280"/>
        <v>0.51715642219916513</v>
      </c>
      <c r="CA1190">
        <f t="shared" si="281"/>
        <v>0.86737663580280233</v>
      </c>
      <c r="CB1190">
        <f t="shared" si="282"/>
        <v>0.67891464284095016</v>
      </c>
    </row>
    <row r="1191" spans="1:80" x14ac:dyDescent="0.45">
      <c r="A1191" s="11">
        <v>33</v>
      </c>
      <c r="B1191" s="12">
        <f t="shared" si="270"/>
        <v>33</v>
      </c>
      <c r="C1191" s="12" t="s">
        <v>59</v>
      </c>
      <c r="D1191" s="12">
        <v>0</v>
      </c>
      <c r="E1191" s="12" t="s">
        <v>53</v>
      </c>
      <c r="F1191" s="12">
        <v>0</v>
      </c>
      <c r="G1191" s="12">
        <v>1</v>
      </c>
      <c r="H1191" s="12" t="s">
        <v>54</v>
      </c>
      <c r="I1191" s="12">
        <v>0</v>
      </c>
      <c r="J1191" s="12">
        <v>1</v>
      </c>
      <c r="K1191" s="12">
        <v>2</v>
      </c>
      <c r="L1191" s="12">
        <f t="shared" si="271"/>
        <v>2</v>
      </c>
      <c r="M1191" s="12">
        <v>4</v>
      </c>
      <c r="N1191" s="12" t="s">
        <v>70</v>
      </c>
      <c r="O1191" s="12">
        <v>0</v>
      </c>
      <c r="P1191" s="12">
        <v>0</v>
      </c>
      <c r="Q1191" s="12">
        <v>1</v>
      </c>
      <c r="R1191" s="12">
        <v>0</v>
      </c>
      <c r="S1191" s="12">
        <v>0</v>
      </c>
      <c r="T1191" s="12">
        <v>4</v>
      </c>
      <c r="U1191" s="12" t="s">
        <v>62</v>
      </c>
      <c r="V1191" s="12">
        <v>0</v>
      </c>
      <c r="W1191" s="12">
        <v>93</v>
      </c>
      <c r="X1191" s="12">
        <v>3</v>
      </c>
      <c r="Y1191" s="12">
        <v>2</v>
      </c>
      <c r="Z1191" s="12" t="s">
        <v>56</v>
      </c>
      <c r="AA1191" s="12">
        <v>0</v>
      </c>
      <c r="AB1191" s="12">
        <v>1</v>
      </c>
      <c r="AC1191" s="12">
        <v>0</v>
      </c>
      <c r="AD1191" s="12">
        <v>0</v>
      </c>
      <c r="AE1191" s="12">
        <v>0</v>
      </c>
      <c r="AF1191" s="12">
        <v>0</v>
      </c>
      <c r="AG1191" s="12">
        <v>0</v>
      </c>
      <c r="AH1191" s="12">
        <v>0</v>
      </c>
      <c r="AI1191" s="12">
        <v>4</v>
      </c>
      <c r="AJ1191" s="12" t="s">
        <v>78</v>
      </c>
      <c r="AK1191" s="12">
        <v>0</v>
      </c>
      <c r="AL1191" s="12">
        <v>0</v>
      </c>
      <c r="AM1191" s="12">
        <v>5505</v>
      </c>
      <c r="AN1191" s="12">
        <f t="shared" si="272"/>
        <v>5505</v>
      </c>
      <c r="AO1191" s="12">
        <v>1</v>
      </c>
      <c r="AP1191" s="12" t="s">
        <v>59</v>
      </c>
      <c r="AQ1191" s="12">
        <v>0</v>
      </c>
      <c r="AR1191" s="12">
        <v>14</v>
      </c>
      <c r="AS1191" s="12">
        <v>3</v>
      </c>
      <c r="AT1191" s="12">
        <v>3</v>
      </c>
      <c r="AU1191" s="12">
        <v>2</v>
      </c>
      <c r="AV1191" s="12">
        <v>6</v>
      </c>
      <c r="AW1191" s="12">
        <f t="shared" si="273"/>
        <v>6</v>
      </c>
      <c r="AX1191" s="12">
        <v>5</v>
      </c>
      <c r="AY1191" s="12">
        <v>3</v>
      </c>
      <c r="AZ1191" s="12">
        <v>6</v>
      </c>
      <c r="BA1191" s="12">
        <f t="shared" si="274"/>
        <v>6</v>
      </c>
      <c r="BB1191" s="12">
        <v>2</v>
      </c>
      <c r="BC1191" s="12">
        <v>0</v>
      </c>
      <c r="BD1191" s="12">
        <f t="shared" si="283"/>
        <v>0</v>
      </c>
      <c r="BE1191" s="12">
        <v>4</v>
      </c>
      <c r="BF1191" s="12">
        <f t="shared" si="275"/>
        <v>4</v>
      </c>
      <c r="BG1191" s="12">
        <f t="shared" si="284"/>
        <v>8</v>
      </c>
      <c r="BH1191" s="67">
        <v>1</v>
      </c>
      <c r="BI1191" s="67">
        <v>0</v>
      </c>
      <c r="BJ1191" s="67">
        <v>0</v>
      </c>
      <c r="BK1191" s="67">
        <v>0</v>
      </c>
      <c r="BL1191" s="67">
        <v>1</v>
      </c>
      <c r="BM1191" s="67">
        <v>0</v>
      </c>
      <c r="BN1191" s="67">
        <v>0</v>
      </c>
      <c r="BO1191" s="67">
        <v>0</v>
      </c>
      <c r="BP1191" s="67">
        <v>0</v>
      </c>
      <c r="BQ1191" s="67">
        <v>0</v>
      </c>
      <c r="BR1191" s="67">
        <v>4</v>
      </c>
      <c r="BS1191" s="67">
        <v>0</v>
      </c>
      <c r="BT1191" s="67">
        <v>0</v>
      </c>
      <c r="BU1191" s="70">
        <v>6</v>
      </c>
      <c r="BV1191" s="29">
        <f t="shared" si="276"/>
        <v>0.21196696114536859</v>
      </c>
      <c r="BW1191">
        <f t="shared" si="277"/>
        <v>3.4508002929560584E-2</v>
      </c>
      <c r="BX1191">
        <f t="shared" si="278"/>
        <v>0.67854260110508058</v>
      </c>
      <c r="BY1191">
        <f t="shared" si="279"/>
        <v>0.16455710867531462</v>
      </c>
      <c r="BZ1191">
        <f t="shared" si="280"/>
        <v>0.88721318382472392</v>
      </c>
      <c r="CA1191">
        <f t="shared" si="281"/>
        <v>0.42951823792158</v>
      </c>
      <c r="CB1191">
        <f t="shared" si="282"/>
        <v>0.67891464284095016</v>
      </c>
    </row>
    <row r="1192" spans="1:80" x14ac:dyDescent="0.45">
      <c r="A1192" s="11">
        <v>32</v>
      </c>
      <c r="B1192" s="12">
        <f t="shared" si="270"/>
        <v>32</v>
      </c>
      <c r="C1192" s="12" t="s">
        <v>59</v>
      </c>
      <c r="D1192" s="12">
        <v>0</v>
      </c>
      <c r="E1192" s="12" t="s">
        <v>53</v>
      </c>
      <c r="F1192" s="12">
        <v>0</v>
      </c>
      <c r="G1192" s="12">
        <v>1</v>
      </c>
      <c r="H1192" s="12" t="s">
        <v>61</v>
      </c>
      <c r="I1192" s="12">
        <v>1</v>
      </c>
      <c r="J1192" s="12">
        <v>0</v>
      </c>
      <c r="K1192" s="12">
        <v>2</v>
      </c>
      <c r="L1192" s="12">
        <f t="shared" si="271"/>
        <v>2</v>
      </c>
      <c r="M1192" s="12">
        <v>3</v>
      </c>
      <c r="N1192" s="12" t="s">
        <v>70</v>
      </c>
      <c r="O1192" s="12">
        <v>0</v>
      </c>
      <c r="P1192" s="12">
        <v>0</v>
      </c>
      <c r="Q1192" s="12">
        <v>1</v>
      </c>
      <c r="R1192" s="12">
        <v>0</v>
      </c>
      <c r="S1192" s="12">
        <v>0</v>
      </c>
      <c r="T1192" s="12">
        <v>4</v>
      </c>
      <c r="U1192" s="12" t="s">
        <v>62</v>
      </c>
      <c r="V1192" s="12">
        <v>0</v>
      </c>
      <c r="W1192" s="12">
        <v>45</v>
      </c>
      <c r="X1192" s="12">
        <v>3</v>
      </c>
      <c r="Y1192" s="12">
        <v>2</v>
      </c>
      <c r="Z1192" s="12" t="s">
        <v>63</v>
      </c>
      <c r="AA1192" s="12">
        <v>0</v>
      </c>
      <c r="AB1192" s="12">
        <v>0</v>
      </c>
      <c r="AC1192" s="12">
        <v>0</v>
      </c>
      <c r="AD1192" s="12">
        <v>0</v>
      </c>
      <c r="AE1192" s="12">
        <v>0</v>
      </c>
      <c r="AF1192" s="12">
        <v>0</v>
      </c>
      <c r="AG1192" s="12">
        <v>0</v>
      </c>
      <c r="AH1192" s="12">
        <v>1</v>
      </c>
      <c r="AI1192" s="12">
        <v>2</v>
      </c>
      <c r="AJ1192" s="12" t="s">
        <v>78</v>
      </c>
      <c r="AK1192" s="12">
        <v>0</v>
      </c>
      <c r="AL1192" s="12">
        <v>0</v>
      </c>
      <c r="AM1192" s="12">
        <v>5470</v>
      </c>
      <c r="AN1192" s="12">
        <f t="shared" si="272"/>
        <v>5470</v>
      </c>
      <c r="AO1192" s="12">
        <v>0</v>
      </c>
      <c r="AP1192" s="12" t="s">
        <v>59</v>
      </c>
      <c r="AQ1192" s="12">
        <v>0</v>
      </c>
      <c r="AR1192" s="12">
        <v>13</v>
      </c>
      <c r="AS1192" s="12">
        <v>3</v>
      </c>
      <c r="AT1192" s="12">
        <v>3</v>
      </c>
      <c r="AU1192" s="12">
        <v>2</v>
      </c>
      <c r="AV1192" s="12">
        <v>10</v>
      </c>
      <c r="AW1192" s="12">
        <f t="shared" si="273"/>
        <v>10</v>
      </c>
      <c r="AX1192" s="12">
        <v>4</v>
      </c>
      <c r="AY1192" s="12">
        <v>2</v>
      </c>
      <c r="AZ1192" s="12">
        <v>9</v>
      </c>
      <c r="BA1192" s="12">
        <f t="shared" si="274"/>
        <v>9</v>
      </c>
      <c r="BB1192" s="12">
        <v>5</v>
      </c>
      <c r="BC1192" s="12">
        <v>1</v>
      </c>
      <c r="BD1192" s="12">
        <f t="shared" si="283"/>
        <v>1</v>
      </c>
      <c r="BE1192" s="12">
        <v>6</v>
      </c>
      <c r="BF1192" s="12">
        <f t="shared" si="275"/>
        <v>6</v>
      </c>
      <c r="BG1192" s="12">
        <f t="shared" si="284"/>
        <v>12</v>
      </c>
      <c r="BH1192" s="67">
        <v>1</v>
      </c>
      <c r="BI1192" s="67">
        <v>0</v>
      </c>
      <c r="BJ1192" s="67">
        <v>0</v>
      </c>
      <c r="BK1192" s="67">
        <v>0</v>
      </c>
      <c r="BL1192" s="67">
        <v>1</v>
      </c>
      <c r="BM1192" s="67">
        <v>0</v>
      </c>
      <c r="BN1192" s="67">
        <v>0</v>
      </c>
      <c r="BO1192" s="67">
        <v>0</v>
      </c>
      <c r="BP1192" s="67">
        <v>0</v>
      </c>
      <c r="BQ1192" s="67">
        <v>6</v>
      </c>
      <c r="BR1192" s="67">
        <v>0</v>
      </c>
      <c r="BS1192" s="67">
        <v>0</v>
      </c>
      <c r="BT1192" s="67">
        <v>10</v>
      </c>
      <c r="BU1192" s="70">
        <v>0</v>
      </c>
      <c r="BV1192" s="29">
        <f t="shared" si="276"/>
        <v>0.21940118401794323</v>
      </c>
      <c r="BW1192">
        <f t="shared" si="277"/>
        <v>0.52600872973843971</v>
      </c>
      <c r="BX1192">
        <f t="shared" si="278"/>
        <v>0.1644554352117841</v>
      </c>
      <c r="BY1192">
        <f t="shared" si="279"/>
        <v>0.32511687867835437</v>
      </c>
      <c r="BZ1192">
        <f t="shared" si="280"/>
        <v>0.88721318382472392</v>
      </c>
      <c r="CA1192">
        <f t="shared" si="281"/>
        <v>0.53898283739188557</v>
      </c>
      <c r="CB1192">
        <f t="shared" si="282"/>
        <v>0.36858985273641137</v>
      </c>
    </row>
    <row r="1193" spans="1:80" x14ac:dyDescent="0.45">
      <c r="A1193" s="11">
        <v>31</v>
      </c>
      <c r="B1193" s="12">
        <f t="shared" si="270"/>
        <v>31</v>
      </c>
      <c r="C1193" s="12" t="s">
        <v>59</v>
      </c>
      <c r="D1193" s="12">
        <v>0</v>
      </c>
      <c r="E1193" s="12" t="s">
        <v>53</v>
      </c>
      <c r="F1193" s="12">
        <v>0</v>
      </c>
      <c r="G1193" s="12">
        <v>1</v>
      </c>
      <c r="H1193" s="12" t="s">
        <v>54</v>
      </c>
      <c r="I1193" s="12">
        <v>0</v>
      </c>
      <c r="J1193" s="12">
        <v>1</v>
      </c>
      <c r="K1193" s="12">
        <v>5</v>
      </c>
      <c r="L1193" s="12">
        <f t="shared" si="271"/>
        <v>5</v>
      </c>
      <c r="M1193" s="12">
        <v>4</v>
      </c>
      <c r="N1193" s="12" t="s">
        <v>55</v>
      </c>
      <c r="O1193" s="12">
        <v>1</v>
      </c>
      <c r="P1193" s="12">
        <v>0</v>
      </c>
      <c r="Q1193" s="12">
        <v>0</v>
      </c>
      <c r="R1193" s="12">
        <v>0</v>
      </c>
      <c r="S1193" s="12">
        <v>0</v>
      </c>
      <c r="T1193" s="12">
        <v>1</v>
      </c>
      <c r="U1193" s="12" t="s">
        <v>19</v>
      </c>
      <c r="V1193" s="12">
        <v>1</v>
      </c>
      <c r="W1193" s="12">
        <v>67</v>
      </c>
      <c r="X1193" s="12">
        <v>3</v>
      </c>
      <c r="Y1193" s="12">
        <v>2</v>
      </c>
      <c r="Z1193" s="12" t="s">
        <v>56</v>
      </c>
      <c r="AA1193" s="12">
        <v>0</v>
      </c>
      <c r="AB1193" s="12">
        <v>1</v>
      </c>
      <c r="AC1193" s="12">
        <v>0</v>
      </c>
      <c r="AD1193" s="12">
        <v>0</v>
      </c>
      <c r="AE1193" s="12">
        <v>0</v>
      </c>
      <c r="AF1193" s="12">
        <v>0</v>
      </c>
      <c r="AG1193" s="12">
        <v>0</v>
      </c>
      <c r="AH1193" s="12">
        <v>0</v>
      </c>
      <c r="AI1193" s="12">
        <v>4</v>
      </c>
      <c r="AJ1193" s="12" t="s">
        <v>64</v>
      </c>
      <c r="AK1193" s="12">
        <v>0</v>
      </c>
      <c r="AL1193" s="12">
        <v>1</v>
      </c>
      <c r="AM1193" s="12">
        <v>5476</v>
      </c>
      <c r="AN1193" s="12">
        <f t="shared" si="272"/>
        <v>5476</v>
      </c>
      <c r="AO1193" s="12">
        <v>1</v>
      </c>
      <c r="AP1193" s="12" t="s">
        <v>59</v>
      </c>
      <c r="AQ1193" s="12">
        <v>0</v>
      </c>
      <c r="AR1193" s="12">
        <v>11</v>
      </c>
      <c r="AS1193" s="12">
        <v>3</v>
      </c>
      <c r="AT1193" s="12">
        <v>1</v>
      </c>
      <c r="AU1193" s="12">
        <v>2</v>
      </c>
      <c r="AV1193" s="12">
        <v>10</v>
      </c>
      <c r="AW1193" s="12">
        <f t="shared" si="273"/>
        <v>10</v>
      </c>
      <c r="AX1193" s="12">
        <v>2</v>
      </c>
      <c r="AY1193" s="12">
        <v>3</v>
      </c>
      <c r="AZ1193" s="12">
        <v>10</v>
      </c>
      <c r="BA1193" s="12">
        <f t="shared" si="274"/>
        <v>10</v>
      </c>
      <c r="BB1193" s="12">
        <v>0</v>
      </c>
      <c r="BC1193" s="12">
        <v>0</v>
      </c>
      <c r="BD1193" s="12">
        <f t="shared" si="283"/>
        <v>0</v>
      </c>
      <c r="BE1193" s="12">
        <v>2</v>
      </c>
      <c r="BF1193" s="12">
        <f t="shared" si="275"/>
        <v>2</v>
      </c>
      <c r="BG1193" s="12">
        <f t="shared" si="284"/>
        <v>4</v>
      </c>
      <c r="BH1193" s="67">
        <v>0</v>
      </c>
      <c r="BI1193" s="67">
        <v>1</v>
      </c>
      <c r="BJ1193" s="67">
        <v>0</v>
      </c>
      <c r="BK1193" s="67">
        <v>0</v>
      </c>
      <c r="BL1193" s="67">
        <v>0</v>
      </c>
      <c r="BM1193" s="67">
        <v>0</v>
      </c>
      <c r="BN1193" s="67">
        <v>1</v>
      </c>
      <c r="BO1193" s="67">
        <v>0</v>
      </c>
      <c r="BP1193" s="67">
        <v>0</v>
      </c>
      <c r="BQ1193" s="67">
        <v>0</v>
      </c>
      <c r="BR1193" s="67">
        <v>2</v>
      </c>
      <c r="BS1193" s="67">
        <v>0</v>
      </c>
      <c r="BT1193" s="67">
        <v>0</v>
      </c>
      <c r="BU1193" s="70">
        <v>10</v>
      </c>
      <c r="BV1193" s="29">
        <f t="shared" si="276"/>
        <v>0.21812674581121616</v>
      </c>
      <c r="BW1193">
        <f t="shared" si="277"/>
        <v>0.59502473559756086</v>
      </c>
      <c r="BX1193">
        <f t="shared" si="278"/>
        <v>0.1644554352117841</v>
      </c>
      <c r="BY1193">
        <f t="shared" si="279"/>
        <v>0.48834154112957734</v>
      </c>
      <c r="BZ1193">
        <f t="shared" si="280"/>
        <v>0.51715642219916513</v>
      </c>
      <c r="CA1193">
        <f t="shared" si="281"/>
        <v>0.6484474368621912</v>
      </c>
      <c r="CB1193">
        <f t="shared" si="282"/>
        <v>0.67891464284095016</v>
      </c>
    </row>
    <row r="1194" spans="1:80" x14ac:dyDescent="0.45">
      <c r="A1194" s="11">
        <v>49</v>
      </c>
      <c r="B1194" s="12">
        <f t="shared" si="270"/>
        <v>49</v>
      </c>
      <c r="C1194" s="12" t="s">
        <v>59</v>
      </c>
      <c r="D1194" s="12">
        <v>0</v>
      </c>
      <c r="E1194" s="12" t="s">
        <v>53</v>
      </c>
      <c r="F1194" s="12">
        <v>0</v>
      </c>
      <c r="G1194" s="12">
        <v>1</v>
      </c>
      <c r="H1194" s="12" t="s">
        <v>61</v>
      </c>
      <c r="I1194" s="12">
        <v>1</v>
      </c>
      <c r="J1194" s="12">
        <v>0</v>
      </c>
      <c r="K1194" s="12">
        <v>16</v>
      </c>
      <c r="L1194" s="12">
        <f t="shared" si="271"/>
        <v>16</v>
      </c>
      <c r="M1194" s="12">
        <v>3</v>
      </c>
      <c r="N1194" s="12" t="s">
        <v>70</v>
      </c>
      <c r="O1194" s="12">
        <v>0</v>
      </c>
      <c r="P1194" s="12">
        <v>0</v>
      </c>
      <c r="Q1194" s="12">
        <v>1</v>
      </c>
      <c r="R1194" s="12">
        <v>0</v>
      </c>
      <c r="S1194" s="12">
        <v>0</v>
      </c>
      <c r="T1194" s="12">
        <v>4</v>
      </c>
      <c r="U1194" s="12" t="s">
        <v>19</v>
      </c>
      <c r="V1194" s="12">
        <v>1</v>
      </c>
      <c r="W1194" s="12">
        <v>74</v>
      </c>
      <c r="X1194" s="12">
        <v>3</v>
      </c>
      <c r="Y1194" s="12">
        <v>1</v>
      </c>
      <c r="Z1194" s="12" t="s">
        <v>67</v>
      </c>
      <c r="AA1194" s="12">
        <v>0</v>
      </c>
      <c r="AB1194" s="12">
        <v>0</v>
      </c>
      <c r="AC1194" s="12">
        <v>1</v>
      </c>
      <c r="AD1194" s="12">
        <v>0</v>
      </c>
      <c r="AE1194" s="12">
        <v>0</v>
      </c>
      <c r="AF1194" s="12">
        <v>0</v>
      </c>
      <c r="AG1194" s="12">
        <v>0</v>
      </c>
      <c r="AH1194" s="12">
        <v>0</v>
      </c>
      <c r="AI1194" s="12">
        <v>1</v>
      </c>
      <c r="AJ1194" s="12" t="s">
        <v>78</v>
      </c>
      <c r="AK1194" s="12">
        <v>0</v>
      </c>
      <c r="AL1194" s="12">
        <v>0</v>
      </c>
      <c r="AM1194" s="12">
        <v>2587</v>
      </c>
      <c r="AN1194" s="12">
        <f t="shared" si="272"/>
        <v>2587</v>
      </c>
      <c r="AO1194" s="12">
        <v>4</v>
      </c>
      <c r="AP1194" s="12" t="s">
        <v>52</v>
      </c>
      <c r="AQ1194" s="12">
        <v>1</v>
      </c>
      <c r="AR1194" s="12">
        <v>16</v>
      </c>
      <c r="AS1194" s="12">
        <v>3</v>
      </c>
      <c r="AT1194" s="12">
        <v>2</v>
      </c>
      <c r="AU1194" s="12">
        <v>1</v>
      </c>
      <c r="AV1194" s="12">
        <v>17</v>
      </c>
      <c r="AW1194" s="12">
        <f t="shared" si="273"/>
        <v>17</v>
      </c>
      <c r="AX1194" s="12">
        <v>2</v>
      </c>
      <c r="AY1194" s="12">
        <v>2</v>
      </c>
      <c r="AZ1194" s="12">
        <v>2</v>
      </c>
      <c r="BA1194" s="12">
        <f t="shared" si="274"/>
        <v>2</v>
      </c>
      <c r="BB1194" s="12">
        <v>2</v>
      </c>
      <c r="BC1194" s="12">
        <v>2</v>
      </c>
      <c r="BD1194" s="12">
        <f t="shared" si="283"/>
        <v>2</v>
      </c>
      <c r="BE1194" s="12">
        <v>2</v>
      </c>
      <c r="BF1194" s="12">
        <f t="shared" si="275"/>
        <v>2</v>
      </c>
      <c r="BG1194" s="12">
        <f t="shared" si="284"/>
        <v>2</v>
      </c>
      <c r="BH1194" s="67">
        <v>1</v>
      </c>
      <c r="BI1194" s="67">
        <v>0</v>
      </c>
      <c r="BJ1194" s="67">
        <v>0</v>
      </c>
      <c r="BK1194" s="67">
        <v>0</v>
      </c>
      <c r="BL1194" s="67">
        <v>0</v>
      </c>
      <c r="BM1194" s="67">
        <v>1</v>
      </c>
      <c r="BN1194" s="67">
        <v>0</v>
      </c>
      <c r="BO1194" s="67">
        <v>0</v>
      </c>
      <c r="BP1194" s="67">
        <v>0</v>
      </c>
      <c r="BQ1194" s="67">
        <v>2</v>
      </c>
      <c r="BR1194" s="67">
        <v>0</v>
      </c>
      <c r="BS1194" s="67">
        <v>0</v>
      </c>
      <c r="BT1194" s="67">
        <v>17</v>
      </c>
      <c r="BU1194" s="70">
        <v>0</v>
      </c>
      <c r="BV1194" s="29">
        <f t="shared" si="276"/>
        <v>0.83176874235030518</v>
      </c>
      <c r="BW1194">
        <f t="shared" si="277"/>
        <v>0.59502473559756086</v>
      </c>
      <c r="BX1194">
        <f t="shared" si="278"/>
        <v>0.73519710510148462</v>
      </c>
      <c r="BY1194">
        <f t="shared" si="279"/>
        <v>0.81745575848020657</v>
      </c>
      <c r="BZ1194">
        <f t="shared" si="280"/>
        <v>0.83971837042788355</v>
      </c>
      <c r="CA1194">
        <f t="shared" si="281"/>
        <v>1.3219153536033093</v>
      </c>
      <c r="CB1194">
        <f t="shared" si="282"/>
        <v>5.8265062631872602E-2</v>
      </c>
    </row>
    <row r="1195" spans="1:80" x14ac:dyDescent="0.45">
      <c r="A1195" s="11">
        <v>38</v>
      </c>
      <c r="B1195" s="12">
        <f t="shared" si="270"/>
        <v>38</v>
      </c>
      <c r="C1195" s="12" t="s">
        <v>59</v>
      </c>
      <c r="D1195" s="12">
        <v>0</v>
      </c>
      <c r="E1195" s="12" t="s">
        <v>60</v>
      </c>
      <c r="F1195" s="12">
        <v>1</v>
      </c>
      <c r="G1195" s="12">
        <v>0</v>
      </c>
      <c r="H1195" s="12" t="s">
        <v>61</v>
      </c>
      <c r="I1195" s="12">
        <v>1</v>
      </c>
      <c r="J1195" s="12">
        <v>0</v>
      </c>
      <c r="K1195" s="12">
        <v>2</v>
      </c>
      <c r="L1195" s="12">
        <f t="shared" si="271"/>
        <v>2</v>
      </c>
      <c r="M1195" s="12">
        <v>3</v>
      </c>
      <c r="N1195" s="12" t="s">
        <v>70</v>
      </c>
      <c r="O1195" s="12">
        <v>0</v>
      </c>
      <c r="P1195" s="12">
        <v>0</v>
      </c>
      <c r="Q1195" s="12">
        <v>1</v>
      </c>
      <c r="R1195" s="12">
        <v>0</v>
      </c>
      <c r="S1195" s="12">
        <v>0</v>
      </c>
      <c r="T1195" s="12">
        <v>4</v>
      </c>
      <c r="U1195" s="12" t="s">
        <v>19</v>
      </c>
      <c r="V1195" s="12">
        <v>1</v>
      </c>
      <c r="W1195" s="12">
        <v>42</v>
      </c>
      <c r="X1195" s="12">
        <v>2</v>
      </c>
      <c r="Y1195" s="12">
        <v>1</v>
      </c>
      <c r="Z1195" s="12" t="s">
        <v>67</v>
      </c>
      <c r="AA1195" s="12">
        <v>0</v>
      </c>
      <c r="AB1195" s="12">
        <v>0</v>
      </c>
      <c r="AC1195" s="12">
        <v>1</v>
      </c>
      <c r="AD1195" s="12">
        <v>0</v>
      </c>
      <c r="AE1195" s="12">
        <v>0</v>
      </c>
      <c r="AF1195" s="12">
        <v>0</v>
      </c>
      <c r="AG1195" s="12">
        <v>0</v>
      </c>
      <c r="AH1195" s="12">
        <v>0</v>
      </c>
      <c r="AI1195" s="12">
        <v>2</v>
      </c>
      <c r="AJ1195" s="12" t="s">
        <v>57</v>
      </c>
      <c r="AK1195" s="12">
        <v>1</v>
      </c>
      <c r="AL1195" s="12">
        <v>0</v>
      </c>
      <c r="AM1195" s="12">
        <v>2440</v>
      </c>
      <c r="AN1195" s="12">
        <f t="shared" si="272"/>
        <v>2440</v>
      </c>
      <c r="AO1195" s="12">
        <v>1</v>
      </c>
      <c r="AP1195" s="12" t="s">
        <v>59</v>
      </c>
      <c r="AQ1195" s="12">
        <v>0</v>
      </c>
      <c r="AR1195" s="12">
        <v>22</v>
      </c>
      <c r="AS1195" s="12">
        <v>4</v>
      </c>
      <c r="AT1195" s="12">
        <v>2</v>
      </c>
      <c r="AU1195" s="12">
        <v>0</v>
      </c>
      <c r="AV1195" s="12">
        <v>4</v>
      </c>
      <c r="AW1195" s="12">
        <f t="shared" si="273"/>
        <v>4</v>
      </c>
      <c r="AX1195" s="12">
        <v>3</v>
      </c>
      <c r="AY1195" s="12">
        <v>3</v>
      </c>
      <c r="AZ1195" s="12">
        <v>4</v>
      </c>
      <c r="BA1195" s="12">
        <f t="shared" si="274"/>
        <v>4</v>
      </c>
      <c r="BB1195" s="12">
        <v>3</v>
      </c>
      <c r="BC1195" s="12">
        <v>3</v>
      </c>
      <c r="BD1195" s="12">
        <f t="shared" si="283"/>
        <v>3</v>
      </c>
      <c r="BE1195" s="12">
        <v>3</v>
      </c>
      <c r="BF1195" s="12">
        <f t="shared" si="275"/>
        <v>3</v>
      </c>
      <c r="BG1195" s="12">
        <f t="shared" si="284"/>
        <v>3</v>
      </c>
      <c r="BH1195" s="67">
        <v>0</v>
      </c>
      <c r="BI1195" s="67">
        <v>0</v>
      </c>
      <c r="BJ1195" s="67">
        <v>1</v>
      </c>
      <c r="BK1195" s="67">
        <v>0</v>
      </c>
      <c r="BL1195" s="67">
        <v>1</v>
      </c>
      <c r="BM1195" s="67">
        <v>0</v>
      </c>
      <c r="BN1195" s="67">
        <v>0</v>
      </c>
      <c r="BO1195" s="67">
        <v>0</v>
      </c>
      <c r="BP1195" s="67">
        <v>0</v>
      </c>
      <c r="BQ1195" s="67">
        <v>3</v>
      </c>
      <c r="BR1195" s="67">
        <v>0</v>
      </c>
      <c r="BS1195" s="67">
        <v>0</v>
      </c>
      <c r="BT1195" s="67">
        <v>4</v>
      </c>
      <c r="BU1195" s="70">
        <v>0</v>
      </c>
      <c r="BV1195" s="29">
        <f t="shared" si="276"/>
        <v>0.86299247841511861</v>
      </c>
      <c r="BW1195">
        <f t="shared" si="277"/>
        <v>0.31476636926356072</v>
      </c>
      <c r="BX1195">
        <f t="shared" si="278"/>
        <v>0.93558618405172878</v>
      </c>
      <c r="BY1195">
        <f t="shared" si="279"/>
        <v>0.49100643357776058</v>
      </c>
      <c r="BZ1195">
        <f t="shared" si="280"/>
        <v>0.88721318382472392</v>
      </c>
      <c r="CA1195">
        <f t="shared" si="281"/>
        <v>0.11780475942994788</v>
      </c>
      <c r="CB1195">
        <f t="shared" si="282"/>
        <v>0.2520597274726662</v>
      </c>
    </row>
    <row r="1196" spans="1:80" x14ac:dyDescent="0.45">
      <c r="A1196" s="11">
        <v>47</v>
      </c>
      <c r="B1196" s="12">
        <f t="shared" si="270"/>
        <v>47</v>
      </c>
      <c r="C1196" s="12" t="s">
        <v>59</v>
      </c>
      <c r="D1196" s="12">
        <v>0</v>
      </c>
      <c r="E1196" s="12" t="s">
        <v>53</v>
      </c>
      <c r="F1196" s="12">
        <v>0</v>
      </c>
      <c r="G1196" s="12">
        <v>1</v>
      </c>
      <c r="H1196" s="12" t="s">
        <v>54</v>
      </c>
      <c r="I1196" s="12">
        <v>0</v>
      </c>
      <c r="J1196" s="12">
        <v>1</v>
      </c>
      <c r="K1196" s="12">
        <v>2</v>
      </c>
      <c r="L1196" s="12">
        <f t="shared" si="271"/>
        <v>2</v>
      </c>
      <c r="M1196" s="12">
        <v>4</v>
      </c>
      <c r="N1196" s="12" t="s">
        <v>55</v>
      </c>
      <c r="O1196" s="12">
        <v>1</v>
      </c>
      <c r="P1196" s="12">
        <v>0</v>
      </c>
      <c r="Q1196" s="12">
        <v>0</v>
      </c>
      <c r="R1196" s="12">
        <v>0</v>
      </c>
      <c r="S1196" s="12">
        <v>0</v>
      </c>
      <c r="T1196" s="12">
        <v>2</v>
      </c>
      <c r="U1196" s="12" t="s">
        <v>19</v>
      </c>
      <c r="V1196" s="12">
        <v>1</v>
      </c>
      <c r="W1196" s="12">
        <v>47</v>
      </c>
      <c r="X1196" s="12">
        <v>4</v>
      </c>
      <c r="Y1196" s="12">
        <v>4</v>
      </c>
      <c r="Z1196" s="12" t="s">
        <v>87</v>
      </c>
      <c r="AA1196" s="12">
        <v>0</v>
      </c>
      <c r="AB1196" s="12">
        <v>0</v>
      </c>
      <c r="AC1196" s="12">
        <v>0</v>
      </c>
      <c r="AD1196" s="12">
        <v>1</v>
      </c>
      <c r="AE1196" s="12">
        <v>0</v>
      </c>
      <c r="AF1196" s="12">
        <v>0</v>
      </c>
      <c r="AG1196" s="12">
        <v>0</v>
      </c>
      <c r="AH1196" s="12">
        <v>0</v>
      </c>
      <c r="AI1196" s="12">
        <v>2</v>
      </c>
      <c r="AJ1196" s="12" t="s">
        <v>78</v>
      </c>
      <c r="AK1196" s="12">
        <v>0</v>
      </c>
      <c r="AL1196" s="12">
        <v>0</v>
      </c>
      <c r="AM1196" s="12">
        <v>15972</v>
      </c>
      <c r="AN1196" s="12">
        <f t="shared" si="272"/>
        <v>15972</v>
      </c>
      <c r="AO1196" s="12">
        <v>6</v>
      </c>
      <c r="AP1196" s="12" t="s">
        <v>59</v>
      </c>
      <c r="AQ1196" s="12">
        <v>0</v>
      </c>
      <c r="AR1196" s="12">
        <v>14</v>
      </c>
      <c r="AS1196" s="12">
        <v>3</v>
      </c>
      <c r="AT1196" s="12">
        <v>3</v>
      </c>
      <c r="AU1196" s="12">
        <v>3</v>
      </c>
      <c r="AV1196" s="12">
        <v>29</v>
      </c>
      <c r="AW1196" s="12">
        <f t="shared" si="273"/>
        <v>29</v>
      </c>
      <c r="AX1196" s="12">
        <v>2</v>
      </c>
      <c r="AY1196" s="12">
        <v>3</v>
      </c>
      <c r="AZ1196" s="12">
        <v>3</v>
      </c>
      <c r="BA1196" s="12">
        <f t="shared" si="274"/>
        <v>3</v>
      </c>
      <c r="BB1196" s="12">
        <v>2</v>
      </c>
      <c r="BC1196" s="12">
        <v>1</v>
      </c>
      <c r="BD1196" s="12">
        <f t="shared" si="283"/>
        <v>1</v>
      </c>
      <c r="BE1196" s="12">
        <v>2</v>
      </c>
      <c r="BF1196" s="12">
        <f t="shared" si="275"/>
        <v>2</v>
      </c>
      <c r="BG1196" s="12">
        <f t="shared" si="284"/>
        <v>8</v>
      </c>
      <c r="BH1196" s="67">
        <v>1</v>
      </c>
      <c r="BI1196" s="67">
        <v>0</v>
      </c>
      <c r="BJ1196" s="67">
        <v>0</v>
      </c>
      <c r="BK1196" s="67">
        <v>0</v>
      </c>
      <c r="BL1196" s="67">
        <v>1</v>
      </c>
      <c r="BM1196" s="67">
        <v>0</v>
      </c>
      <c r="BN1196" s="67">
        <v>0</v>
      </c>
      <c r="BO1196" s="67">
        <v>0</v>
      </c>
      <c r="BP1196" s="67">
        <v>0</v>
      </c>
      <c r="BQ1196" s="67">
        <v>0</v>
      </c>
      <c r="BR1196" s="67">
        <v>2</v>
      </c>
      <c r="BS1196" s="67">
        <v>0</v>
      </c>
      <c r="BT1196" s="67">
        <v>0</v>
      </c>
      <c r="BU1196" s="70">
        <v>29</v>
      </c>
      <c r="BV1196" s="29">
        <f t="shared" si="276"/>
        <v>2.0112904904900226</v>
      </c>
      <c r="BW1196">
        <f t="shared" si="277"/>
        <v>0.59502473559756086</v>
      </c>
      <c r="BX1196">
        <f t="shared" si="278"/>
        <v>2.2774586027813735</v>
      </c>
      <c r="BY1196">
        <f t="shared" si="279"/>
        <v>0.65423109602898355</v>
      </c>
      <c r="BZ1196">
        <f t="shared" si="280"/>
        <v>0.88721318382472392</v>
      </c>
      <c r="CA1196">
        <f t="shared" si="281"/>
        <v>1.102986154662698</v>
      </c>
      <c r="CB1196">
        <f t="shared" si="282"/>
        <v>0.36858985273641137</v>
      </c>
    </row>
    <row r="1197" spans="1:80" x14ac:dyDescent="0.45">
      <c r="A1197" s="11">
        <v>49</v>
      </c>
      <c r="B1197" s="12">
        <f t="shared" si="270"/>
        <v>49</v>
      </c>
      <c r="C1197" s="12" t="s">
        <v>59</v>
      </c>
      <c r="D1197" s="12">
        <v>0</v>
      </c>
      <c r="E1197" s="12" t="s">
        <v>53</v>
      </c>
      <c r="F1197" s="12">
        <v>0</v>
      </c>
      <c r="G1197" s="12">
        <v>1</v>
      </c>
      <c r="H1197" s="12" t="s">
        <v>61</v>
      </c>
      <c r="I1197" s="12">
        <v>1</v>
      </c>
      <c r="J1197" s="12">
        <v>0</v>
      </c>
      <c r="K1197" s="12">
        <v>1</v>
      </c>
      <c r="L1197" s="12">
        <f t="shared" si="271"/>
        <v>1</v>
      </c>
      <c r="M1197" s="12">
        <v>3</v>
      </c>
      <c r="N1197" s="12" t="s">
        <v>55</v>
      </c>
      <c r="O1197" s="12">
        <v>1</v>
      </c>
      <c r="P1197" s="12">
        <v>0</v>
      </c>
      <c r="Q1197" s="12">
        <v>0</v>
      </c>
      <c r="R1197" s="12">
        <v>0</v>
      </c>
      <c r="S1197" s="12">
        <v>0</v>
      </c>
      <c r="T1197" s="12">
        <v>3</v>
      </c>
      <c r="U1197" s="12" t="s">
        <v>62</v>
      </c>
      <c r="V1197" s="12">
        <v>0</v>
      </c>
      <c r="W1197" s="12">
        <v>36</v>
      </c>
      <c r="X1197" s="12">
        <v>3</v>
      </c>
      <c r="Y1197" s="12">
        <v>4</v>
      </c>
      <c r="Z1197" s="12" t="s">
        <v>87</v>
      </c>
      <c r="AA1197" s="12">
        <v>0</v>
      </c>
      <c r="AB1197" s="12">
        <v>0</v>
      </c>
      <c r="AC1197" s="12">
        <v>0</v>
      </c>
      <c r="AD1197" s="12">
        <v>1</v>
      </c>
      <c r="AE1197" s="12">
        <v>0</v>
      </c>
      <c r="AF1197" s="12">
        <v>0</v>
      </c>
      <c r="AG1197" s="12">
        <v>0</v>
      </c>
      <c r="AH1197" s="12">
        <v>0</v>
      </c>
      <c r="AI1197" s="12">
        <v>3</v>
      </c>
      <c r="AJ1197" s="12" t="s">
        <v>57</v>
      </c>
      <c r="AK1197" s="12">
        <v>1</v>
      </c>
      <c r="AL1197" s="12">
        <v>0</v>
      </c>
      <c r="AM1197" s="12">
        <v>15379</v>
      </c>
      <c r="AN1197" s="12">
        <f t="shared" si="272"/>
        <v>15379</v>
      </c>
      <c r="AO1197" s="12">
        <v>4</v>
      </c>
      <c r="AP1197" s="12" t="s">
        <v>59</v>
      </c>
      <c r="AQ1197" s="12">
        <v>0</v>
      </c>
      <c r="AR1197" s="12">
        <v>14</v>
      </c>
      <c r="AS1197" s="12">
        <v>3</v>
      </c>
      <c r="AT1197" s="12">
        <v>1</v>
      </c>
      <c r="AU1197" s="12">
        <v>0</v>
      </c>
      <c r="AV1197" s="12">
        <v>23</v>
      </c>
      <c r="AW1197" s="12">
        <f t="shared" si="273"/>
        <v>23</v>
      </c>
      <c r="AX1197" s="12">
        <v>2</v>
      </c>
      <c r="AY1197" s="12">
        <v>3</v>
      </c>
      <c r="AZ1197" s="12">
        <v>8</v>
      </c>
      <c r="BA1197" s="12">
        <f t="shared" si="274"/>
        <v>8</v>
      </c>
      <c r="BB1197" s="12">
        <v>7</v>
      </c>
      <c r="BC1197" s="12">
        <v>0</v>
      </c>
      <c r="BD1197" s="12">
        <f t="shared" si="283"/>
        <v>0</v>
      </c>
      <c r="BE1197" s="12">
        <v>0</v>
      </c>
      <c r="BF1197" s="12">
        <f t="shared" si="275"/>
        <v>0</v>
      </c>
      <c r="BG1197" s="12">
        <f t="shared" si="284"/>
        <v>0</v>
      </c>
      <c r="BH1197" s="67">
        <v>1</v>
      </c>
      <c r="BI1197" s="67">
        <v>0</v>
      </c>
      <c r="BJ1197" s="67">
        <v>0</v>
      </c>
      <c r="BK1197" s="67">
        <v>0</v>
      </c>
      <c r="BL1197" s="67">
        <v>1</v>
      </c>
      <c r="BM1197" s="67">
        <v>0</v>
      </c>
      <c r="BN1197" s="67">
        <v>0</v>
      </c>
      <c r="BO1197" s="67">
        <v>0</v>
      </c>
      <c r="BP1197" s="67">
        <v>0</v>
      </c>
      <c r="BQ1197" s="67">
        <v>0</v>
      </c>
      <c r="BR1197" s="67">
        <v>0</v>
      </c>
      <c r="BS1197" s="67">
        <v>0</v>
      </c>
      <c r="BT1197" s="67">
        <v>23</v>
      </c>
      <c r="BU1197" s="70">
        <v>0</v>
      </c>
      <c r="BV1197" s="29">
        <f t="shared" si="276"/>
        <v>1.8853335143918295</v>
      </c>
      <c r="BW1197">
        <f t="shared" si="277"/>
        <v>1.1555414682655611</v>
      </c>
      <c r="BX1197">
        <f t="shared" si="278"/>
        <v>1.5063278539414293</v>
      </c>
      <c r="BY1197">
        <f t="shared" si="279"/>
        <v>0.16189221622713135</v>
      </c>
      <c r="BZ1197">
        <f t="shared" si="280"/>
        <v>1.01056543769991</v>
      </c>
      <c r="CA1197">
        <f t="shared" si="281"/>
        <v>1.3219153536033093</v>
      </c>
      <c r="CB1197">
        <f t="shared" si="282"/>
        <v>0.67891464284095016</v>
      </c>
    </row>
    <row r="1198" spans="1:80" x14ac:dyDescent="0.45">
      <c r="A1198" s="11">
        <v>41</v>
      </c>
      <c r="B1198" s="12">
        <f t="shared" si="270"/>
        <v>41</v>
      </c>
      <c r="C1198" s="12" t="s">
        <v>59</v>
      </c>
      <c r="D1198" s="12">
        <v>0</v>
      </c>
      <c r="E1198" s="12" t="s">
        <v>53</v>
      </c>
      <c r="F1198" s="12">
        <v>0</v>
      </c>
      <c r="G1198" s="12">
        <v>1</v>
      </c>
      <c r="H1198" s="12" t="s">
        <v>54</v>
      </c>
      <c r="I1198" s="12">
        <v>0</v>
      </c>
      <c r="J1198" s="12">
        <v>1</v>
      </c>
      <c r="K1198" s="12">
        <v>23</v>
      </c>
      <c r="L1198" s="12">
        <f t="shared" si="271"/>
        <v>23</v>
      </c>
      <c r="M1198" s="12">
        <v>2</v>
      </c>
      <c r="N1198" s="12" t="s">
        <v>55</v>
      </c>
      <c r="O1198" s="12">
        <v>1</v>
      </c>
      <c r="P1198" s="12">
        <v>0</v>
      </c>
      <c r="Q1198" s="12">
        <v>0</v>
      </c>
      <c r="R1198" s="12">
        <v>0</v>
      </c>
      <c r="S1198" s="12">
        <v>0</v>
      </c>
      <c r="T1198" s="12">
        <v>4</v>
      </c>
      <c r="U1198" s="12" t="s">
        <v>62</v>
      </c>
      <c r="V1198" s="12">
        <v>0</v>
      </c>
      <c r="W1198" s="12">
        <v>80</v>
      </c>
      <c r="X1198" s="12">
        <v>3</v>
      </c>
      <c r="Y1198" s="12">
        <v>3</v>
      </c>
      <c r="Z1198" s="12" t="s">
        <v>56</v>
      </c>
      <c r="AA1198" s="12">
        <v>0</v>
      </c>
      <c r="AB1198" s="12">
        <v>1</v>
      </c>
      <c r="AC1198" s="12">
        <v>0</v>
      </c>
      <c r="AD1198" s="12">
        <v>0</v>
      </c>
      <c r="AE1198" s="12">
        <v>0</v>
      </c>
      <c r="AF1198" s="12">
        <v>0</v>
      </c>
      <c r="AG1198" s="12">
        <v>0</v>
      </c>
      <c r="AH1198" s="12">
        <v>0</v>
      </c>
      <c r="AI1198" s="12">
        <v>3</v>
      </c>
      <c r="AJ1198" s="12" t="s">
        <v>57</v>
      </c>
      <c r="AK1198" s="12">
        <v>1</v>
      </c>
      <c r="AL1198" s="12">
        <v>0</v>
      </c>
      <c r="AM1198" s="12">
        <v>7082</v>
      </c>
      <c r="AN1198" s="12">
        <f t="shared" si="272"/>
        <v>7082</v>
      </c>
      <c r="AO1198" s="12">
        <v>3</v>
      </c>
      <c r="AP1198" s="12" t="s">
        <v>52</v>
      </c>
      <c r="AQ1198" s="12">
        <v>1</v>
      </c>
      <c r="AR1198" s="12">
        <v>16</v>
      </c>
      <c r="AS1198" s="12">
        <v>3</v>
      </c>
      <c r="AT1198" s="12">
        <v>4</v>
      </c>
      <c r="AU1198" s="12">
        <v>0</v>
      </c>
      <c r="AV1198" s="12">
        <v>21</v>
      </c>
      <c r="AW1198" s="12">
        <f t="shared" si="273"/>
        <v>21</v>
      </c>
      <c r="AX1198" s="12">
        <v>2</v>
      </c>
      <c r="AY1198" s="12">
        <v>3</v>
      </c>
      <c r="AZ1198" s="12">
        <v>2</v>
      </c>
      <c r="BA1198" s="12">
        <f t="shared" si="274"/>
        <v>2</v>
      </c>
      <c r="BB1198" s="12">
        <v>0</v>
      </c>
      <c r="BC1198" s="12">
        <v>0</v>
      </c>
      <c r="BD1198" s="12">
        <f t="shared" si="283"/>
        <v>0</v>
      </c>
      <c r="BE1198" s="12">
        <v>2</v>
      </c>
      <c r="BF1198" s="12">
        <f t="shared" si="275"/>
        <v>2</v>
      </c>
      <c r="BG1198" s="12">
        <f t="shared" si="284"/>
        <v>6</v>
      </c>
      <c r="BH1198" s="67">
        <v>1</v>
      </c>
      <c r="BI1198" s="67">
        <v>0</v>
      </c>
      <c r="BJ1198" s="67">
        <v>0</v>
      </c>
      <c r="BK1198" s="67">
        <v>0</v>
      </c>
      <c r="BL1198" s="67">
        <v>0</v>
      </c>
      <c r="BM1198" s="67">
        <v>1</v>
      </c>
      <c r="BN1198" s="67">
        <v>0</v>
      </c>
      <c r="BO1198" s="67">
        <v>0</v>
      </c>
      <c r="BP1198" s="67">
        <v>0</v>
      </c>
      <c r="BQ1198" s="67">
        <v>0</v>
      </c>
      <c r="BR1198" s="67">
        <v>2</v>
      </c>
      <c r="BS1198" s="67">
        <v>0</v>
      </c>
      <c r="BT1198" s="67">
        <v>0</v>
      </c>
      <c r="BU1198" s="70">
        <v>21</v>
      </c>
      <c r="BV1198" s="29">
        <f t="shared" si="276"/>
        <v>0.12299788085606561</v>
      </c>
      <c r="BW1198">
        <f t="shared" si="277"/>
        <v>0.59502473559756086</v>
      </c>
      <c r="BX1198">
        <f t="shared" si="278"/>
        <v>1.2492842709947811</v>
      </c>
      <c r="BY1198">
        <f t="shared" si="279"/>
        <v>0.81745575848020657</v>
      </c>
      <c r="BZ1198">
        <f t="shared" si="280"/>
        <v>1.7031841475541873</v>
      </c>
      <c r="CA1198">
        <f t="shared" si="281"/>
        <v>0.4461985578408646</v>
      </c>
      <c r="CB1198">
        <f t="shared" si="282"/>
        <v>0.67891464284095016</v>
      </c>
    </row>
    <row r="1199" spans="1:80" x14ac:dyDescent="0.45">
      <c r="A1199" s="11">
        <v>20</v>
      </c>
      <c r="B1199" s="12">
        <f t="shared" si="270"/>
        <v>20</v>
      </c>
      <c r="C1199" s="12" t="s">
        <v>59</v>
      </c>
      <c r="D1199" s="12">
        <v>0</v>
      </c>
      <c r="E1199" s="12" t="s">
        <v>53</v>
      </c>
      <c r="F1199" s="12">
        <v>0</v>
      </c>
      <c r="G1199" s="12">
        <v>1</v>
      </c>
      <c r="H1199" s="12" t="s">
        <v>54</v>
      </c>
      <c r="I1199" s="12">
        <v>0</v>
      </c>
      <c r="J1199" s="12">
        <v>1</v>
      </c>
      <c r="K1199" s="12">
        <v>9</v>
      </c>
      <c r="L1199" s="12">
        <f t="shared" si="271"/>
        <v>9</v>
      </c>
      <c r="M1199" s="12">
        <v>1</v>
      </c>
      <c r="N1199" s="12" t="s">
        <v>55</v>
      </c>
      <c r="O1199" s="12">
        <v>1</v>
      </c>
      <c r="P1199" s="12">
        <v>0</v>
      </c>
      <c r="Q1199" s="12">
        <v>0</v>
      </c>
      <c r="R1199" s="12">
        <v>0</v>
      </c>
      <c r="S1199" s="12">
        <v>0</v>
      </c>
      <c r="T1199" s="12">
        <v>4</v>
      </c>
      <c r="U1199" s="12" t="s">
        <v>62</v>
      </c>
      <c r="V1199" s="12">
        <v>0</v>
      </c>
      <c r="W1199" s="12">
        <v>54</v>
      </c>
      <c r="X1199" s="12">
        <v>3</v>
      </c>
      <c r="Y1199" s="12">
        <v>1</v>
      </c>
      <c r="Z1199" s="12" t="s">
        <v>88</v>
      </c>
      <c r="AA1199" s="12">
        <v>0</v>
      </c>
      <c r="AB1199" s="12">
        <v>0</v>
      </c>
      <c r="AC1199" s="12">
        <v>0</v>
      </c>
      <c r="AD1199" s="12">
        <v>0</v>
      </c>
      <c r="AE1199" s="12">
        <v>0</v>
      </c>
      <c r="AF1199" s="12">
        <v>0</v>
      </c>
      <c r="AG1199" s="12">
        <v>1</v>
      </c>
      <c r="AH1199" s="12">
        <v>0</v>
      </c>
      <c r="AI1199" s="12">
        <v>1</v>
      </c>
      <c r="AJ1199" s="12" t="s">
        <v>57</v>
      </c>
      <c r="AK1199" s="12">
        <v>1</v>
      </c>
      <c r="AL1199" s="12">
        <v>0</v>
      </c>
      <c r="AM1199" s="12">
        <v>2728</v>
      </c>
      <c r="AN1199" s="12">
        <f t="shared" si="272"/>
        <v>2728</v>
      </c>
      <c r="AO1199" s="12">
        <v>1</v>
      </c>
      <c r="AP1199" s="12" t="s">
        <v>59</v>
      </c>
      <c r="AQ1199" s="12">
        <v>0</v>
      </c>
      <c r="AR1199" s="12">
        <v>11</v>
      </c>
      <c r="AS1199" s="12">
        <v>3</v>
      </c>
      <c r="AT1199" s="12">
        <v>1</v>
      </c>
      <c r="AU1199" s="12">
        <v>0</v>
      </c>
      <c r="AV1199" s="12">
        <v>2</v>
      </c>
      <c r="AW1199" s="12">
        <f t="shared" si="273"/>
        <v>2</v>
      </c>
      <c r="AX1199" s="12">
        <v>3</v>
      </c>
      <c r="AY1199" s="12">
        <v>3</v>
      </c>
      <c r="AZ1199" s="12">
        <v>2</v>
      </c>
      <c r="BA1199" s="12">
        <f t="shared" si="274"/>
        <v>2</v>
      </c>
      <c r="BB1199" s="12">
        <v>2</v>
      </c>
      <c r="BC1199" s="12">
        <v>0</v>
      </c>
      <c r="BD1199" s="12">
        <f t="shared" si="283"/>
        <v>0</v>
      </c>
      <c r="BE1199" s="12">
        <v>2</v>
      </c>
      <c r="BF1199" s="12">
        <f t="shared" si="275"/>
        <v>2</v>
      </c>
      <c r="BG1199" s="12">
        <f t="shared" si="284"/>
        <v>2</v>
      </c>
      <c r="BH1199" s="67">
        <v>1</v>
      </c>
      <c r="BI1199" s="67">
        <v>0</v>
      </c>
      <c r="BJ1199" s="67">
        <v>0</v>
      </c>
      <c r="BK1199" s="67">
        <v>0</v>
      </c>
      <c r="BL1199" s="67">
        <v>1</v>
      </c>
      <c r="BM1199" s="67">
        <v>0</v>
      </c>
      <c r="BN1199" s="67">
        <v>0</v>
      </c>
      <c r="BO1199" s="67">
        <v>0</v>
      </c>
      <c r="BP1199" s="67">
        <v>0</v>
      </c>
      <c r="BQ1199" s="67">
        <v>0</v>
      </c>
      <c r="BR1199" s="67">
        <v>2</v>
      </c>
      <c r="BS1199" s="67">
        <v>0</v>
      </c>
      <c r="BT1199" s="67">
        <v>0</v>
      </c>
      <c r="BU1199" s="70">
        <v>2</v>
      </c>
      <c r="BV1199" s="29">
        <f t="shared" si="276"/>
        <v>0.80181944449221876</v>
      </c>
      <c r="BW1199">
        <f t="shared" si="277"/>
        <v>0.59502473559756086</v>
      </c>
      <c r="BX1199">
        <f t="shared" si="278"/>
        <v>1.192629766998377</v>
      </c>
      <c r="BY1199">
        <f t="shared" si="279"/>
        <v>0.81745575848020657</v>
      </c>
      <c r="BZ1199">
        <f t="shared" si="280"/>
        <v>2.3747406698420157E-2</v>
      </c>
      <c r="CA1199">
        <f t="shared" si="281"/>
        <v>1.8525580310355525</v>
      </c>
      <c r="CB1199">
        <f t="shared" si="282"/>
        <v>0.67891464284095016</v>
      </c>
    </row>
    <row r="1200" spans="1:80" x14ac:dyDescent="0.45">
      <c r="A1200" s="11">
        <v>33</v>
      </c>
      <c r="B1200" s="12">
        <f t="shared" si="270"/>
        <v>33</v>
      </c>
      <c r="C1200" s="12" t="s">
        <v>59</v>
      </c>
      <c r="D1200" s="12">
        <v>0</v>
      </c>
      <c r="E1200" s="12" t="s">
        <v>86</v>
      </c>
      <c r="F1200" s="12">
        <v>0</v>
      </c>
      <c r="G1200" s="12">
        <v>0</v>
      </c>
      <c r="H1200" s="12" t="s">
        <v>54</v>
      </c>
      <c r="I1200" s="12">
        <v>0</v>
      </c>
      <c r="J1200" s="12">
        <v>1</v>
      </c>
      <c r="K1200" s="12">
        <v>16</v>
      </c>
      <c r="L1200" s="12">
        <f t="shared" si="271"/>
        <v>16</v>
      </c>
      <c r="M1200" s="12">
        <v>3</v>
      </c>
      <c r="N1200" s="12" t="s">
        <v>55</v>
      </c>
      <c r="O1200" s="12">
        <v>1</v>
      </c>
      <c r="P1200" s="12">
        <v>0</v>
      </c>
      <c r="Q1200" s="12">
        <v>0</v>
      </c>
      <c r="R1200" s="12">
        <v>0</v>
      </c>
      <c r="S1200" s="12">
        <v>0</v>
      </c>
      <c r="T1200" s="12">
        <v>3</v>
      </c>
      <c r="U1200" s="12" t="s">
        <v>19</v>
      </c>
      <c r="V1200" s="12">
        <v>1</v>
      </c>
      <c r="W1200" s="12">
        <v>36</v>
      </c>
      <c r="X1200" s="12">
        <v>3</v>
      </c>
      <c r="Y1200" s="12">
        <v>2</v>
      </c>
      <c r="Z1200" s="12" t="s">
        <v>56</v>
      </c>
      <c r="AA1200" s="12">
        <v>0</v>
      </c>
      <c r="AB1200" s="12">
        <v>1</v>
      </c>
      <c r="AC1200" s="12">
        <v>0</v>
      </c>
      <c r="AD1200" s="12">
        <v>0</v>
      </c>
      <c r="AE1200" s="12">
        <v>0</v>
      </c>
      <c r="AF1200" s="12">
        <v>0</v>
      </c>
      <c r="AG1200" s="12">
        <v>0</v>
      </c>
      <c r="AH1200" s="12">
        <v>0</v>
      </c>
      <c r="AI1200" s="12">
        <v>4</v>
      </c>
      <c r="AJ1200" s="12" t="s">
        <v>78</v>
      </c>
      <c r="AK1200" s="12">
        <v>0</v>
      </c>
      <c r="AL1200" s="12">
        <v>0</v>
      </c>
      <c r="AM1200" s="12">
        <v>5368</v>
      </c>
      <c r="AN1200" s="12">
        <f t="shared" si="272"/>
        <v>5368</v>
      </c>
      <c r="AO1200" s="12">
        <v>1</v>
      </c>
      <c r="AP1200" s="12" t="s">
        <v>52</v>
      </c>
      <c r="AQ1200" s="12">
        <v>1</v>
      </c>
      <c r="AR1200" s="12">
        <v>25</v>
      </c>
      <c r="AS1200" s="12">
        <v>4</v>
      </c>
      <c r="AT1200" s="12">
        <v>3</v>
      </c>
      <c r="AU1200" s="12">
        <v>1</v>
      </c>
      <c r="AV1200" s="12">
        <v>7</v>
      </c>
      <c r="AW1200" s="12">
        <f t="shared" si="273"/>
        <v>7</v>
      </c>
      <c r="AX1200" s="12">
        <v>2</v>
      </c>
      <c r="AY1200" s="12">
        <v>3</v>
      </c>
      <c r="AZ1200" s="12">
        <v>6</v>
      </c>
      <c r="BA1200" s="12">
        <f t="shared" si="274"/>
        <v>6</v>
      </c>
      <c r="BB1200" s="12">
        <v>5</v>
      </c>
      <c r="BC1200" s="12">
        <v>1</v>
      </c>
      <c r="BD1200" s="12">
        <f t="shared" si="283"/>
        <v>1</v>
      </c>
      <c r="BE1200" s="12">
        <v>2</v>
      </c>
      <c r="BF1200" s="12">
        <f t="shared" si="275"/>
        <v>2</v>
      </c>
      <c r="BG1200" s="12">
        <f t="shared" si="284"/>
        <v>4</v>
      </c>
      <c r="BH1200" s="67">
        <v>1</v>
      </c>
      <c r="BI1200" s="67">
        <v>0</v>
      </c>
      <c r="BJ1200" s="67">
        <v>0</v>
      </c>
      <c r="BK1200" s="67">
        <v>0</v>
      </c>
      <c r="BL1200" s="67">
        <v>0</v>
      </c>
      <c r="BM1200" s="67">
        <v>1</v>
      </c>
      <c r="BN1200" s="67">
        <v>0</v>
      </c>
      <c r="BO1200" s="67">
        <v>0</v>
      </c>
      <c r="BP1200" s="67">
        <v>0</v>
      </c>
      <c r="BQ1200" s="67">
        <v>0</v>
      </c>
      <c r="BR1200" s="67">
        <v>2</v>
      </c>
      <c r="BS1200" s="67">
        <v>0</v>
      </c>
      <c r="BT1200" s="67">
        <v>0</v>
      </c>
      <c r="BU1200" s="70">
        <v>7</v>
      </c>
      <c r="BV1200" s="29">
        <f t="shared" si="276"/>
        <v>0.24106663353230359</v>
      </c>
      <c r="BW1200">
        <f t="shared" si="277"/>
        <v>0.59502473559756086</v>
      </c>
      <c r="BX1200">
        <f t="shared" si="278"/>
        <v>0.55002080963175637</v>
      </c>
      <c r="BY1200">
        <f t="shared" si="279"/>
        <v>0.16455710867531462</v>
      </c>
      <c r="BZ1200">
        <f t="shared" si="280"/>
        <v>0.83971837042788355</v>
      </c>
      <c r="CA1200">
        <f t="shared" si="281"/>
        <v>0.42951823792158</v>
      </c>
      <c r="CB1200">
        <f t="shared" si="282"/>
        <v>0.36858985273641137</v>
      </c>
    </row>
    <row r="1201" spans="1:80" x14ac:dyDescent="0.45">
      <c r="A1201" s="11">
        <v>36</v>
      </c>
      <c r="B1201" s="12">
        <f t="shared" si="270"/>
        <v>36</v>
      </c>
      <c r="C1201" s="12" t="s">
        <v>59</v>
      </c>
      <c r="D1201" s="12">
        <v>0</v>
      </c>
      <c r="E1201" s="12" t="s">
        <v>53</v>
      </c>
      <c r="F1201" s="12">
        <v>0</v>
      </c>
      <c r="G1201" s="12">
        <v>1</v>
      </c>
      <c r="H1201" s="12" t="s">
        <v>61</v>
      </c>
      <c r="I1201" s="12">
        <v>1</v>
      </c>
      <c r="J1201" s="12">
        <v>0</v>
      </c>
      <c r="K1201" s="12">
        <v>26</v>
      </c>
      <c r="L1201" s="12">
        <f t="shared" si="271"/>
        <v>26</v>
      </c>
      <c r="M1201" s="12">
        <v>4</v>
      </c>
      <c r="N1201" s="12" t="s">
        <v>55</v>
      </c>
      <c r="O1201" s="12">
        <v>1</v>
      </c>
      <c r="P1201" s="12">
        <v>0</v>
      </c>
      <c r="Q1201" s="12">
        <v>0</v>
      </c>
      <c r="R1201" s="12">
        <v>0</v>
      </c>
      <c r="S1201" s="12">
        <v>0</v>
      </c>
      <c r="T1201" s="12">
        <v>1</v>
      </c>
      <c r="U1201" s="12" t="s">
        <v>62</v>
      </c>
      <c r="V1201" s="12">
        <v>0</v>
      </c>
      <c r="W1201" s="12">
        <v>80</v>
      </c>
      <c r="X1201" s="12">
        <v>3</v>
      </c>
      <c r="Y1201" s="12">
        <v>2</v>
      </c>
      <c r="Z1201" s="12" t="s">
        <v>85</v>
      </c>
      <c r="AA1201" s="12">
        <v>1</v>
      </c>
      <c r="AB1201" s="12">
        <v>0</v>
      </c>
      <c r="AC1201" s="12">
        <v>0</v>
      </c>
      <c r="AD1201" s="12">
        <v>0</v>
      </c>
      <c r="AE1201" s="12">
        <v>0</v>
      </c>
      <c r="AF1201" s="12">
        <v>0</v>
      </c>
      <c r="AG1201" s="12">
        <v>0</v>
      </c>
      <c r="AH1201" s="12">
        <v>0</v>
      </c>
      <c r="AI1201" s="12">
        <v>3</v>
      </c>
      <c r="AJ1201" s="12" t="s">
        <v>64</v>
      </c>
      <c r="AK1201" s="12">
        <v>0</v>
      </c>
      <c r="AL1201" s="12">
        <v>1</v>
      </c>
      <c r="AM1201" s="12">
        <v>5347</v>
      </c>
      <c r="AN1201" s="12">
        <f t="shared" si="272"/>
        <v>5347</v>
      </c>
      <c r="AO1201" s="12">
        <v>6</v>
      </c>
      <c r="AP1201" s="12" t="s">
        <v>59</v>
      </c>
      <c r="AQ1201" s="12">
        <v>0</v>
      </c>
      <c r="AR1201" s="12">
        <v>14</v>
      </c>
      <c r="AS1201" s="12">
        <v>3</v>
      </c>
      <c r="AT1201" s="12">
        <v>2</v>
      </c>
      <c r="AU1201" s="12">
        <v>2</v>
      </c>
      <c r="AV1201" s="12">
        <v>10</v>
      </c>
      <c r="AW1201" s="12">
        <f t="shared" si="273"/>
        <v>10</v>
      </c>
      <c r="AX1201" s="12">
        <v>2</v>
      </c>
      <c r="AY1201" s="12">
        <v>2</v>
      </c>
      <c r="AZ1201" s="12">
        <v>3</v>
      </c>
      <c r="BA1201" s="12">
        <f t="shared" si="274"/>
        <v>3</v>
      </c>
      <c r="BB1201" s="12">
        <v>2</v>
      </c>
      <c r="BC1201" s="12">
        <v>0</v>
      </c>
      <c r="BD1201" s="12">
        <f t="shared" si="283"/>
        <v>0</v>
      </c>
      <c r="BE1201" s="12">
        <v>2</v>
      </c>
      <c r="BF1201" s="12">
        <f t="shared" si="275"/>
        <v>2</v>
      </c>
      <c r="BG1201" s="12">
        <f t="shared" si="284"/>
        <v>4</v>
      </c>
      <c r="BH1201" s="67">
        <v>0</v>
      </c>
      <c r="BI1201" s="67">
        <v>1</v>
      </c>
      <c r="BJ1201" s="67">
        <v>0</v>
      </c>
      <c r="BK1201" s="67">
        <v>0</v>
      </c>
      <c r="BL1201" s="67">
        <v>0</v>
      </c>
      <c r="BM1201" s="67">
        <v>0</v>
      </c>
      <c r="BN1201" s="67">
        <v>1</v>
      </c>
      <c r="BO1201" s="67">
        <v>0</v>
      </c>
      <c r="BP1201" s="67">
        <v>0</v>
      </c>
      <c r="BQ1201" s="67">
        <v>2</v>
      </c>
      <c r="BR1201" s="67">
        <v>0</v>
      </c>
      <c r="BS1201" s="67">
        <v>0</v>
      </c>
      <c r="BT1201" s="67">
        <v>10</v>
      </c>
      <c r="BU1201" s="70">
        <v>0</v>
      </c>
      <c r="BV1201" s="29">
        <f t="shared" si="276"/>
        <v>0.24552716725584836</v>
      </c>
      <c r="BW1201">
        <f t="shared" si="277"/>
        <v>0.59502473559756086</v>
      </c>
      <c r="BX1201">
        <f t="shared" si="278"/>
        <v>0.1644554352117841</v>
      </c>
      <c r="BY1201">
        <f t="shared" si="279"/>
        <v>0.65423109602898355</v>
      </c>
      <c r="BZ1201">
        <f t="shared" si="280"/>
        <v>2.0732409091797459</v>
      </c>
      <c r="CA1201">
        <f t="shared" si="281"/>
        <v>0.10112443951066327</v>
      </c>
      <c r="CB1201">
        <f t="shared" si="282"/>
        <v>0.67891464284095016</v>
      </c>
    </row>
    <row r="1202" spans="1:80" x14ac:dyDescent="0.45">
      <c r="A1202" s="11">
        <v>44</v>
      </c>
      <c r="B1202" s="12">
        <f t="shared" si="270"/>
        <v>44</v>
      </c>
      <c r="C1202" s="12" t="s">
        <v>59</v>
      </c>
      <c r="D1202" s="12">
        <v>0</v>
      </c>
      <c r="E1202" s="12" t="s">
        <v>53</v>
      </c>
      <c r="F1202" s="12">
        <v>0</v>
      </c>
      <c r="G1202" s="12">
        <v>1</v>
      </c>
      <c r="H1202" s="12" t="s">
        <v>97</v>
      </c>
      <c r="I1202" s="12">
        <v>0</v>
      </c>
      <c r="J1202" s="12">
        <v>0</v>
      </c>
      <c r="K1202" s="12">
        <v>1</v>
      </c>
      <c r="L1202" s="12">
        <f t="shared" si="271"/>
        <v>1</v>
      </c>
      <c r="M1202" s="12">
        <v>3</v>
      </c>
      <c r="N1202" s="12" t="s">
        <v>55</v>
      </c>
      <c r="O1202" s="12">
        <v>1</v>
      </c>
      <c r="P1202" s="12">
        <v>0</v>
      </c>
      <c r="Q1202" s="12">
        <v>0</v>
      </c>
      <c r="R1202" s="12">
        <v>0</v>
      </c>
      <c r="S1202" s="12">
        <v>0</v>
      </c>
      <c r="T1202" s="12">
        <v>3</v>
      </c>
      <c r="U1202" s="12" t="s">
        <v>19</v>
      </c>
      <c r="V1202" s="12">
        <v>1</v>
      </c>
      <c r="W1202" s="12">
        <v>44</v>
      </c>
      <c r="X1202" s="12">
        <v>3</v>
      </c>
      <c r="Y1202" s="12">
        <v>1</v>
      </c>
      <c r="Z1202" s="12" t="s">
        <v>97</v>
      </c>
      <c r="AA1202" s="12">
        <v>0</v>
      </c>
      <c r="AB1202" s="12">
        <v>0</v>
      </c>
      <c r="AC1202" s="12">
        <v>0</v>
      </c>
      <c r="AD1202" s="12">
        <v>0</v>
      </c>
      <c r="AE1202" s="12">
        <v>0</v>
      </c>
      <c r="AF1202" s="12">
        <v>0</v>
      </c>
      <c r="AG1202" s="12">
        <v>0</v>
      </c>
      <c r="AH1202" s="12">
        <v>0</v>
      </c>
      <c r="AI1202" s="12">
        <v>4</v>
      </c>
      <c r="AJ1202" s="12" t="s">
        <v>78</v>
      </c>
      <c r="AK1202" s="12">
        <v>0</v>
      </c>
      <c r="AL1202" s="12">
        <v>0</v>
      </c>
      <c r="AM1202" s="12">
        <v>3195</v>
      </c>
      <c r="AN1202" s="12">
        <f t="shared" si="272"/>
        <v>3195</v>
      </c>
      <c r="AO1202" s="12">
        <v>4</v>
      </c>
      <c r="AP1202" s="12" t="s">
        <v>52</v>
      </c>
      <c r="AQ1202" s="12">
        <v>1</v>
      </c>
      <c r="AR1202" s="12">
        <v>18</v>
      </c>
      <c r="AS1202" s="12">
        <v>3</v>
      </c>
      <c r="AT1202" s="12">
        <v>1</v>
      </c>
      <c r="AU1202" s="12">
        <v>3</v>
      </c>
      <c r="AV1202" s="12">
        <v>8</v>
      </c>
      <c r="AW1202" s="12">
        <f t="shared" si="273"/>
        <v>8</v>
      </c>
      <c r="AX1202" s="12">
        <v>2</v>
      </c>
      <c r="AY1202" s="12">
        <v>3</v>
      </c>
      <c r="AZ1202" s="12">
        <v>2</v>
      </c>
      <c r="BA1202" s="12">
        <f t="shared" si="274"/>
        <v>2</v>
      </c>
      <c r="BB1202" s="12">
        <v>2</v>
      </c>
      <c r="BC1202" s="12">
        <v>2</v>
      </c>
      <c r="BD1202" s="12">
        <f t="shared" si="283"/>
        <v>2</v>
      </c>
      <c r="BE1202" s="12">
        <v>2</v>
      </c>
      <c r="BF1202" s="12">
        <f t="shared" si="275"/>
        <v>2</v>
      </c>
      <c r="BG1202" s="12">
        <f t="shared" si="284"/>
        <v>2</v>
      </c>
      <c r="BH1202" s="67">
        <v>1</v>
      </c>
      <c r="BI1202" s="67">
        <v>0</v>
      </c>
      <c r="BJ1202" s="67">
        <v>0</v>
      </c>
      <c r="BK1202" s="67">
        <v>0</v>
      </c>
      <c r="BL1202" s="67">
        <v>0</v>
      </c>
      <c r="BM1202" s="67">
        <v>1</v>
      </c>
      <c r="BN1202" s="67">
        <v>0</v>
      </c>
      <c r="BO1202" s="67">
        <v>0</v>
      </c>
      <c r="BP1202" s="67">
        <v>2</v>
      </c>
      <c r="BQ1202" s="67">
        <v>0</v>
      </c>
      <c r="BR1202" s="67">
        <v>0</v>
      </c>
      <c r="BS1202" s="67">
        <v>8</v>
      </c>
      <c r="BT1202" s="67">
        <v>0</v>
      </c>
      <c r="BU1202" s="70">
        <v>0</v>
      </c>
      <c r="BV1202" s="29">
        <f t="shared" si="276"/>
        <v>0.70262567073529436</v>
      </c>
      <c r="BW1202">
        <f t="shared" si="277"/>
        <v>0.59502473559756086</v>
      </c>
      <c r="BX1202">
        <f t="shared" si="278"/>
        <v>0.42149901815843233</v>
      </c>
      <c r="BY1202">
        <f t="shared" si="279"/>
        <v>0.81745575848020657</v>
      </c>
      <c r="BZ1202">
        <f t="shared" si="280"/>
        <v>1.01056543769991</v>
      </c>
      <c r="CA1202">
        <f t="shared" si="281"/>
        <v>0.77459235625178136</v>
      </c>
      <c r="CB1202">
        <f t="shared" si="282"/>
        <v>5.8265062631872602E-2</v>
      </c>
    </row>
    <row r="1203" spans="1:80" x14ac:dyDescent="0.45">
      <c r="A1203" s="11">
        <v>23</v>
      </c>
      <c r="B1203" s="12">
        <f t="shared" si="270"/>
        <v>23</v>
      </c>
      <c r="C1203" s="12" t="s">
        <v>52</v>
      </c>
      <c r="D1203" s="12">
        <v>1</v>
      </c>
      <c r="E1203" s="12" t="s">
        <v>53</v>
      </c>
      <c r="F1203" s="12">
        <v>0</v>
      </c>
      <c r="G1203" s="12">
        <v>1</v>
      </c>
      <c r="H1203" s="12" t="s">
        <v>61</v>
      </c>
      <c r="I1203" s="12">
        <v>1</v>
      </c>
      <c r="J1203" s="12">
        <v>0</v>
      </c>
      <c r="K1203" s="12">
        <v>8</v>
      </c>
      <c r="L1203" s="12">
        <f t="shared" si="271"/>
        <v>8</v>
      </c>
      <c r="M1203" s="12">
        <v>1</v>
      </c>
      <c r="N1203" s="12" t="s">
        <v>70</v>
      </c>
      <c r="O1203" s="12">
        <v>0</v>
      </c>
      <c r="P1203" s="12">
        <v>0</v>
      </c>
      <c r="Q1203" s="12">
        <v>1</v>
      </c>
      <c r="R1203" s="12">
        <v>0</v>
      </c>
      <c r="S1203" s="12">
        <v>0</v>
      </c>
      <c r="T1203" s="12">
        <v>4</v>
      </c>
      <c r="U1203" s="12" t="s">
        <v>62</v>
      </c>
      <c r="V1203" s="12">
        <v>0</v>
      </c>
      <c r="W1203" s="12">
        <v>93</v>
      </c>
      <c r="X1203" s="12">
        <v>2</v>
      </c>
      <c r="Y1203" s="12">
        <v>1</v>
      </c>
      <c r="Z1203" s="12" t="s">
        <v>67</v>
      </c>
      <c r="AA1203" s="12">
        <v>0</v>
      </c>
      <c r="AB1203" s="12">
        <v>0</v>
      </c>
      <c r="AC1203" s="12">
        <v>1</v>
      </c>
      <c r="AD1203" s="12">
        <v>0</v>
      </c>
      <c r="AE1203" s="12">
        <v>0</v>
      </c>
      <c r="AF1203" s="12">
        <v>0</v>
      </c>
      <c r="AG1203" s="12">
        <v>0</v>
      </c>
      <c r="AH1203" s="12">
        <v>0</v>
      </c>
      <c r="AI1203" s="12">
        <v>3</v>
      </c>
      <c r="AJ1203" s="12" t="s">
        <v>57</v>
      </c>
      <c r="AK1203" s="12">
        <v>1</v>
      </c>
      <c r="AL1203" s="12">
        <v>0</v>
      </c>
      <c r="AM1203" s="12">
        <v>3989</v>
      </c>
      <c r="AN1203" s="12">
        <f t="shared" si="272"/>
        <v>3989</v>
      </c>
      <c r="AO1203" s="12">
        <v>1</v>
      </c>
      <c r="AP1203" s="12" t="s">
        <v>52</v>
      </c>
      <c r="AQ1203" s="12">
        <v>1</v>
      </c>
      <c r="AR1203" s="12">
        <v>11</v>
      </c>
      <c r="AS1203" s="12">
        <v>3</v>
      </c>
      <c r="AT1203" s="12">
        <v>1</v>
      </c>
      <c r="AU1203" s="12">
        <v>0</v>
      </c>
      <c r="AV1203" s="12">
        <v>5</v>
      </c>
      <c r="AW1203" s="12">
        <f t="shared" si="273"/>
        <v>5</v>
      </c>
      <c r="AX1203" s="12">
        <v>2</v>
      </c>
      <c r="AY1203" s="12">
        <v>3</v>
      </c>
      <c r="AZ1203" s="12">
        <v>5</v>
      </c>
      <c r="BA1203" s="12">
        <f t="shared" si="274"/>
        <v>5</v>
      </c>
      <c r="BB1203" s="12">
        <v>4</v>
      </c>
      <c r="BC1203" s="12">
        <v>1</v>
      </c>
      <c r="BD1203" s="12">
        <f t="shared" si="283"/>
        <v>1</v>
      </c>
      <c r="BE1203" s="12">
        <v>2</v>
      </c>
      <c r="BF1203" s="12">
        <f t="shared" si="275"/>
        <v>2</v>
      </c>
      <c r="BG1203" s="12">
        <f t="shared" si="284"/>
        <v>2</v>
      </c>
      <c r="BH1203" s="67">
        <v>1</v>
      </c>
      <c r="BI1203" s="67">
        <v>0</v>
      </c>
      <c r="BJ1203" s="67">
        <v>0</v>
      </c>
      <c r="BK1203" s="67">
        <v>0</v>
      </c>
      <c r="BL1203" s="67">
        <v>0</v>
      </c>
      <c r="BM1203" s="67">
        <v>1</v>
      </c>
      <c r="BN1203" s="67">
        <v>0</v>
      </c>
      <c r="BO1203" s="67">
        <v>0</v>
      </c>
      <c r="BP1203" s="67">
        <v>0</v>
      </c>
      <c r="BQ1203" s="67">
        <v>2</v>
      </c>
      <c r="BR1203" s="67">
        <v>0</v>
      </c>
      <c r="BS1203" s="67">
        <v>0</v>
      </c>
      <c r="BT1203" s="67">
        <v>5</v>
      </c>
      <c r="BU1203" s="70">
        <v>0</v>
      </c>
      <c r="BV1203" s="29">
        <f t="shared" si="276"/>
        <v>0.53397501471174413</v>
      </c>
      <c r="BW1203">
        <f t="shared" si="277"/>
        <v>0.59502473559756086</v>
      </c>
      <c r="BX1203">
        <f t="shared" si="278"/>
        <v>0.80706439257840468</v>
      </c>
      <c r="BY1203">
        <f t="shared" si="279"/>
        <v>0.32778177112653761</v>
      </c>
      <c r="BZ1203">
        <f t="shared" si="280"/>
        <v>0.14709966057360641</v>
      </c>
      <c r="CA1203">
        <f t="shared" si="281"/>
        <v>1.5241642326246359</v>
      </c>
      <c r="CB1203">
        <f t="shared" si="282"/>
        <v>0.36858985273641137</v>
      </c>
    </row>
    <row r="1204" spans="1:80" x14ac:dyDescent="0.45">
      <c r="A1204" s="11">
        <v>38</v>
      </c>
      <c r="B1204" s="12">
        <f t="shared" si="270"/>
        <v>38</v>
      </c>
      <c r="C1204" s="12" t="s">
        <v>59</v>
      </c>
      <c r="D1204" s="12">
        <v>0</v>
      </c>
      <c r="E1204" s="12" t="s">
        <v>53</v>
      </c>
      <c r="F1204" s="12">
        <v>0</v>
      </c>
      <c r="G1204" s="12">
        <v>1</v>
      </c>
      <c r="H1204" s="12" t="s">
        <v>61</v>
      </c>
      <c r="I1204" s="12">
        <v>1</v>
      </c>
      <c r="J1204" s="12">
        <v>0</v>
      </c>
      <c r="K1204" s="12">
        <v>4</v>
      </c>
      <c r="L1204" s="12">
        <f t="shared" si="271"/>
        <v>4</v>
      </c>
      <c r="M1204" s="12">
        <v>2</v>
      </c>
      <c r="N1204" s="12" t="s">
        <v>70</v>
      </c>
      <c r="O1204" s="12">
        <v>0</v>
      </c>
      <c r="P1204" s="12">
        <v>0</v>
      </c>
      <c r="Q1204" s="12">
        <v>1</v>
      </c>
      <c r="R1204" s="12">
        <v>0</v>
      </c>
      <c r="S1204" s="12">
        <v>0</v>
      </c>
      <c r="T1204" s="12">
        <v>4</v>
      </c>
      <c r="U1204" s="12" t="s">
        <v>19</v>
      </c>
      <c r="V1204" s="12">
        <v>1</v>
      </c>
      <c r="W1204" s="12">
        <v>87</v>
      </c>
      <c r="X1204" s="12">
        <v>3</v>
      </c>
      <c r="Y1204" s="12">
        <v>1</v>
      </c>
      <c r="Z1204" s="12" t="s">
        <v>67</v>
      </c>
      <c r="AA1204" s="12">
        <v>0</v>
      </c>
      <c r="AB1204" s="12">
        <v>0</v>
      </c>
      <c r="AC1204" s="12">
        <v>1</v>
      </c>
      <c r="AD1204" s="12">
        <v>0</v>
      </c>
      <c r="AE1204" s="12">
        <v>0</v>
      </c>
      <c r="AF1204" s="12">
        <v>0</v>
      </c>
      <c r="AG1204" s="12">
        <v>0</v>
      </c>
      <c r="AH1204" s="12">
        <v>0</v>
      </c>
      <c r="AI1204" s="12">
        <v>3</v>
      </c>
      <c r="AJ1204" s="12" t="s">
        <v>64</v>
      </c>
      <c r="AK1204" s="12">
        <v>0</v>
      </c>
      <c r="AL1204" s="12">
        <v>1</v>
      </c>
      <c r="AM1204" s="12">
        <v>3306</v>
      </c>
      <c r="AN1204" s="12">
        <f t="shared" si="272"/>
        <v>3306</v>
      </c>
      <c r="AO1204" s="12">
        <v>7</v>
      </c>
      <c r="AP1204" s="12" t="s">
        <v>59</v>
      </c>
      <c r="AQ1204" s="12">
        <v>0</v>
      </c>
      <c r="AR1204" s="12">
        <v>19</v>
      </c>
      <c r="AS1204" s="12">
        <v>3</v>
      </c>
      <c r="AT1204" s="12">
        <v>4</v>
      </c>
      <c r="AU1204" s="12">
        <v>1</v>
      </c>
      <c r="AV1204" s="12">
        <v>7</v>
      </c>
      <c r="AW1204" s="12">
        <f t="shared" si="273"/>
        <v>7</v>
      </c>
      <c r="AX1204" s="12">
        <v>5</v>
      </c>
      <c r="AY1204" s="12">
        <v>2</v>
      </c>
      <c r="AZ1204" s="12">
        <v>0</v>
      </c>
      <c r="BA1204" s="12">
        <f t="shared" si="274"/>
        <v>0</v>
      </c>
      <c r="BB1204" s="12">
        <v>0</v>
      </c>
      <c r="BC1204" s="12">
        <v>0</v>
      </c>
      <c r="BD1204" s="12">
        <f t="shared" si="283"/>
        <v>0</v>
      </c>
      <c r="BE1204" s="12">
        <v>0</v>
      </c>
      <c r="BF1204" s="12">
        <f t="shared" si="275"/>
        <v>0</v>
      </c>
      <c r="BG1204" s="12">
        <f t="shared" si="284"/>
        <v>0</v>
      </c>
      <c r="BH1204" s="67">
        <v>0</v>
      </c>
      <c r="BI1204" s="67">
        <v>1</v>
      </c>
      <c r="BJ1204" s="67">
        <v>0</v>
      </c>
      <c r="BK1204" s="67">
        <v>0</v>
      </c>
      <c r="BL1204" s="67">
        <v>0</v>
      </c>
      <c r="BM1204" s="67">
        <v>0</v>
      </c>
      <c r="BN1204" s="67">
        <v>1</v>
      </c>
      <c r="BO1204" s="67">
        <v>0</v>
      </c>
      <c r="BP1204" s="67">
        <v>0</v>
      </c>
      <c r="BQ1204" s="67">
        <v>0</v>
      </c>
      <c r="BR1204" s="67">
        <v>0</v>
      </c>
      <c r="BS1204" s="67">
        <v>0</v>
      </c>
      <c r="BT1204" s="67">
        <v>7</v>
      </c>
      <c r="BU1204" s="70">
        <v>0</v>
      </c>
      <c r="BV1204" s="29">
        <f t="shared" si="276"/>
        <v>0.67904856391084345</v>
      </c>
      <c r="BW1204">
        <f t="shared" si="277"/>
        <v>1.1555414682655611</v>
      </c>
      <c r="BX1204">
        <f t="shared" si="278"/>
        <v>0.55002080963175637</v>
      </c>
      <c r="BY1204">
        <f t="shared" si="279"/>
        <v>1.1439050833826525</v>
      </c>
      <c r="BZ1204">
        <f t="shared" si="280"/>
        <v>0.64050867607435136</v>
      </c>
      <c r="CA1204">
        <f t="shared" si="281"/>
        <v>0.11780475942994788</v>
      </c>
      <c r="CB1204">
        <f t="shared" si="282"/>
        <v>0.67891464284095016</v>
      </c>
    </row>
    <row r="1205" spans="1:80" x14ac:dyDescent="0.45">
      <c r="A1205" s="11">
        <v>53</v>
      </c>
      <c r="B1205" s="12">
        <f t="shared" si="270"/>
        <v>53</v>
      </c>
      <c r="C1205" s="12" t="s">
        <v>59</v>
      </c>
      <c r="D1205" s="12">
        <v>0</v>
      </c>
      <c r="E1205" s="12" t="s">
        <v>53</v>
      </c>
      <c r="F1205" s="12">
        <v>0</v>
      </c>
      <c r="G1205" s="12">
        <v>1</v>
      </c>
      <c r="H1205" s="12" t="s">
        <v>61</v>
      </c>
      <c r="I1205" s="12">
        <v>1</v>
      </c>
      <c r="J1205" s="12">
        <v>0</v>
      </c>
      <c r="K1205" s="12">
        <v>24</v>
      </c>
      <c r="L1205" s="12">
        <f t="shared" si="271"/>
        <v>24</v>
      </c>
      <c r="M1205" s="12">
        <v>4</v>
      </c>
      <c r="N1205" s="12" t="s">
        <v>70</v>
      </c>
      <c r="O1205" s="12">
        <v>0</v>
      </c>
      <c r="P1205" s="12">
        <v>0</v>
      </c>
      <c r="Q1205" s="12">
        <v>1</v>
      </c>
      <c r="R1205" s="12">
        <v>0</v>
      </c>
      <c r="S1205" s="12">
        <v>0</v>
      </c>
      <c r="T1205" s="12">
        <v>2</v>
      </c>
      <c r="U1205" s="12" t="s">
        <v>62</v>
      </c>
      <c r="V1205" s="12">
        <v>0</v>
      </c>
      <c r="W1205" s="12">
        <v>48</v>
      </c>
      <c r="X1205" s="12">
        <v>4</v>
      </c>
      <c r="Y1205" s="12">
        <v>3</v>
      </c>
      <c r="Z1205" s="12" t="s">
        <v>85</v>
      </c>
      <c r="AA1205" s="12">
        <v>1</v>
      </c>
      <c r="AB1205" s="12">
        <v>0</v>
      </c>
      <c r="AC1205" s="12">
        <v>0</v>
      </c>
      <c r="AD1205" s="12">
        <v>0</v>
      </c>
      <c r="AE1205" s="12">
        <v>0</v>
      </c>
      <c r="AF1205" s="12">
        <v>0</v>
      </c>
      <c r="AG1205" s="12">
        <v>0</v>
      </c>
      <c r="AH1205" s="12">
        <v>0</v>
      </c>
      <c r="AI1205" s="12">
        <v>4</v>
      </c>
      <c r="AJ1205" s="12" t="s">
        <v>64</v>
      </c>
      <c r="AK1205" s="12">
        <v>0</v>
      </c>
      <c r="AL1205" s="12">
        <v>1</v>
      </c>
      <c r="AM1205" s="12">
        <v>7005</v>
      </c>
      <c r="AN1205" s="12">
        <f t="shared" si="272"/>
        <v>7005</v>
      </c>
      <c r="AO1205" s="12">
        <v>3</v>
      </c>
      <c r="AP1205" s="12" t="s">
        <v>59</v>
      </c>
      <c r="AQ1205" s="12">
        <v>0</v>
      </c>
      <c r="AR1205" s="12">
        <v>15</v>
      </c>
      <c r="AS1205" s="12">
        <v>3</v>
      </c>
      <c r="AT1205" s="12">
        <v>3</v>
      </c>
      <c r="AU1205" s="12">
        <v>0</v>
      </c>
      <c r="AV1205" s="12">
        <v>11</v>
      </c>
      <c r="AW1205" s="12">
        <f t="shared" si="273"/>
        <v>11</v>
      </c>
      <c r="AX1205" s="12">
        <v>2</v>
      </c>
      <c r="AY1205" s="12">
        <v>3</v>
      </c>
      <c r="AZ1205" s="12">
        <v>4</v>
      </c>
      <c r="BA1205" s="12">
        <f t="shared" si="274"/>
        <v>4</v>
      </c>
      <c r="BB1205" s="12">
        <v>3</v>
      </c>
      <c r="BC1205" s="12">
        <v>1</v>
      </c>
      <c r="BD1205" s="12">
        <f t="shared" si="283"/>
        <v>1</v>
      </c>
      <c r="BE1205" s="12">
        <v>2</v>
      </c>
      <c r="BF1205" s="12">
        <f t="shared" si="275"/>
        <v>2</v>
      </c>
      <c r="BG1205" s="12">
        <f t="shared" si="284"/>
        <v>6</v>
      </c>
      <c r="BH1205" s="67">
        <v>0</v>
      </c>
      <c r="BI1205" s="67">
        <v>1</v>
      </c>
      <c r="BJ1205" s="67">
        <v>0</v>
      </c>
      <c r="BK1205" s="67">
        <v>0</v>
      </c>
      <c r="BL1205" s="67">
        <v>0</v>
      </c>
      <c r="BM1205" s="67">
        <v>0</v>
      </c>
      <c r="BN1205" s="67">
        <v>1</v>
      </c>
      <c r="BO1205" s="67">
        <v>0</v>
      </c>
      <c r="BP1205" s="67">
        <v>0</v>
      </c>
      <c r="BQ1205" s="67">
        <v>2</v>
      </c>
      <c r="BR1205" s="67">
        <v>0</v>
      </c>
      <c r="BS1205" s="67">
        <v>0</v>
      </c>
      <c r="BT1205" s="67">
        <v>11</v>
      </c>
      <c r="BU1205" s="70">
        <v>0</v>
      </c>
      <c r="BV1205" s="29">
        <f t="shared" si="276"/>
        <v>0.10664259053640142</v>
      </c>
      <c r="BW1205">
        <f t="shared" si="277"/>
        <v>0.59502473559756086</v>
      </c>
      <c r="BX1205">
        <f t="shared" si="278"/>
        <v>3.593364373846001E-2</v>
      </c>
      <c r="BY1205">
        <f t="shared" si="279"/>
        <v>0.49100643357776058</v>
      </c>
      <c r="BZ1205">
        <f t="shared" si="280"/>
        <v>1.8265364014293735</v>
      </c>
      <c r="CA1205">
        <f t="shared" si="281"/>
        <v>1.7597737514845315</v>
      </c>
      <c r="CB1205">
        <f t="shared" si="282"/>
        <v>0.36858985273641137</v>
      </c>
    </row>
    <row r="1206" spans="1:80" x14ac:dyDescent="0.45">
      <c r="A1206" s="11">
        <v>48</v>
      </c>
      <c r="B1206" s="12">
        <f t="shared" si="270"/>
        <v>48</v>
      </c>
      <c r="C1206" s="12" t="s">
        <v>52</v>
      </c>
      <c r="D1206" s="12">
        <v>1</v>
      </c>
      <c r="E1206" s="12" t="s">
        <v>60</v>
      </c>
      <c r="F1206" s="12">
        <v>1</v>
      </c>
      <c r="G1206" s="12">
        <v>0</v>
      </c>
      <c r="H1206" s="12" t="s">
        <v>54</v>
      </c>
      <c r="I1206" s="12">
        <v>0</v>
      </c>
      <c r="J1206" s="12">
        <v>1</v>
      </c>
      <c r="K1206" s="12">
        <v>7</v>
      </c>
      <c r="L1206" s="12">
        <f t="shared" si="271"/>
        <v>7</v>
      </c>
      <c r="M1206" s="12">
        <v>2</v>
      </c>
      <c r="N1206" s="12" t="s">
        <v>70</v>
      </c>
      <c r="O1206" s="12">
        <v>0</v>
      </c>
      <c r="P1206" s="12">
        <v>0</v>
      </c>
      <c r="Q1206" s="12">
        <v>1</v>
      </c>
      <c r="R1206" s="12">
        <v>0</v>
      </c>
      <c r="S1206" s="12">
        <v>0</v>
      </c>
      <c r="T1206" s="12">
        <v>4</v>
      </c>
      <c r="U1206" s="12" t="s">
        <v>19</v>
      </c>
      <c r="V1206" s="12">
        <v>1</v>
      </c>
      <c r="W1206" s="12">
        <v>95</v>
      </c>
      <c r="X1206" s="12">
        <v>3</v>
      </c>
      <c r="Y1206" s="12">
        <v>1</v>
      </c>
      <c r="Z1206" s="12" t="s">
        <v>88</v>
      </c>
      <c r="AA1206" s="12">
        <v>0</v>
      </c>
      <c r="AB1206" s="12">
        <v>0</v>
      </c>
      <c r="AC1206" s="12">
        <v>0</v>
      </c>
      <c r="AD1206" s="12">
        <v>0</v>
      </c>
      <c r="AE1206" s="12">
        <v>0</v>
      </c>
      <c r="AF1206" s="12">
        <v>0</v>
      </c>
      <c r="AG1206" s="12">
        <v>1</v>
      </c>
      <c r="AH1206" s="12">
        <v>0</v>
      </c>
      <c r="AI1206" s="12">
        <v>3</v>
      </c>
      <c r="AJ1206" s="12" t="s">
        <v>64</v>
      </c>
      <c r="AK1206" s="12">
        <v>0</v>
      </c>
      <c r="AL1206" s="12">
        <v>1</v>
      </c>
      <c r="AM1206" s="12">
        <v>2655</v>
      </c>
      <c r="AN1206" s="12">
        <f t="shared" si="272"/>
        <v>2655</v>
      </c>
      <c r="AO1206" s="12">
        <v>2</v>
      </c>
      <c r="AP1206" s="12" t="s">
        <v>52</v>
      </c>
      <c r="AQ1206" s="12">
        <v>1</v>
      </c>
      <c r="AR1206" s="12">
        <v>11</v>
      </c>
      <c r="AS1206" s="12">
        <v>3</v>
      </c>
      <c r="AT1206" s="12">
        <v>3</v>
      </c>
      <c r="AU1206" s="12">
        <v>2</v>
      </c>
      <c r="AV1206" s="12">
        <v>19</v>
      </c>
      <c r="AW1206" s="12">
        <f t="shared" si="273"/>
        <v>19</v>
      </c>
      <c r="AX1206" s="12">
        <v>3</v>
      </c>
      <c r="AY1206" s="12">
        <v>3</v>
      </c>
      <c r="AZ1206" s="12">
        <v>9</v>
      </c>
      <c r="BA1206" s="12">
        <f t="shared" si="274"/>
        <v>9</v>
      </c>
      <c r="BB1206" s="12">
        <v>7</v>
      </c>
      <c r="BC1206" s="12">
        <v>7</v>
      </c>
      <c r="BD1206" s="12">
        <f t="shared" si="283"/>
        <v>7</v>
      </c>
      <c r="BE1206" s="12">
        <v>7</v>
      </c>
      <c r="BF1206" s="12">
        <f t="shared" si="275"/>
        <v>7</v>
      </c>
      <c r="BG1206" s="12">
        <f t="shared" si="284"/>
        <v>7</v>
      </c>
      <c r="BH1206" s="67">
        <v>0</v>
      </c>
      <c r="BI1206" s="67">
        <v>0</v>
      </c>
      <c r="BJ1206" s="67">
        <v>0</v>
      </c>
      <c r="BK1206" s="67">
        <v>1</v>
      </c>
      <c r="BL1206" s="67">
        <v>0</v>
      </c>
      <c r="BM1206" s="67">
        <v>0</v>
      </c>
      <c r="BN1206" s="67">
        <v>0</v>
      </c>
      <c r="BO1206" s="67">
        <v>1</v>
      </c>
      <c r="BP1206" s="67">
        <v>0</v>
      </c>
      <c r="BQ1206" s="67">
        <v>0</v>
      </c>
      <c r="BR1206" s="67">
        <v>7</v>
      </c>
      <c r="BS1206" s="67">
        <v>0</v>
      </c>
      <c r="BT1206" s="67">
        <v>0</v>
      </c>
      <c r="BU1206" s="70">
        <v>19</v>
      </c>
      <c r="BV1206" s="29">
        <f t="shared" si="276"/>
        <v>0.81732510934073166</v>
      </c>
      <c r="BW1206">
        <f t="shared" si="277"/>
        <v>0.80626709607243985</v>
      </c>
      <c r="BX1206">
        <f t="shared" si="278"/>
        <v>0.99224068804813281</v>
      </c>
      <c r="BY1206">
        <f t="shared" si="279"/>
        <v>0.32511687867835437</v>
      </c>
      <c r="BZ1206">
        <f t="shared" si="280"/>
        <v>0.27045191444879263</v>
      </c>
      <c r="CA1206">
        <f t="shared" si="281"/>
        <v>1.2124507541330036</v>
      </c>
      <c r="CB1206">
        <f t="shared" si="282"/>
        <v>1.4933588878908215</v>
      </c>
    </row>
    <row r="1207" spans="1:80" x14ac:dyDescent="0.45">
      <c r="A1207" s="11">
        <v>32</v>
      </c>
      <c r="B1207" s="12">
        <f t="shared" si="270"/>
        <v>32</v>
      </c>
      <c r="C1207" s="12" t="s">
        <v>52</v>
      </c>
      <c r="D1207" s="12">
        <v>1</v>
      </c>
      <c r="E1207" s="12" t="s">
        <v>53</v>
      </c>
      <c r="F1207" s="12">
        <v>0</v>
      </c>
      <c r="G1207" s="12">
        <v>1</v>
      </c>
      <c r="H1207" s="12" t="s">
        <v>61</v>
      </c>
      <c r="I1207" s="12">
        <v>1</v>
      </c>
      <c r="J1207" s="12">
        <v>0</v>
      </c>
      <c r="K1207" s="12">
        <v>2</v>
      </c>
      <c r="L1207" s="12">
        <f t="shared" si="271"/>
        <v>2</v>
      </c>
      <c r="M1207" s="12">
        <v>4</v>
      </c>
      <c r="N1207" s="12" t="s">
        <v>55</v>
      </c>
      <c r="O1207" s="12">
        <v>1</v>
      </c>
      <c r="P1207" s="12">
        <v>0</v>
      </c>
      <c r="Q1207" s="12">
        <v>0</v>
      </c>
      <c r="R1207" s="12">
        <v>0</v>
      </c>
      <c r="S1207" s="12">
        <v>0</v>
      </c>
      <c r="T1207" s="12">
        <v>4</v>
      </c>
      <c r="U1207" s="12" t="s">
        <v>62</v>
      </c>
      <c r="V1207" s="12">
        <v>0</v>
      </c>
      <c r="W1207" s="12">
        <v>95</v>
      </c>
      <c r="X1207" s="12">
        <v>3</v>
      </c>
      <c r="Y1207" s="12">
        <v>1</v>
      </c>
      <c r="Z1207" s="12" t="s">
        <v>67</v>
      </c>
      <c r="AA1207" s="12">
        <v>0</v>
      </c>
      <c r="AB1207" s="12">
        <v>0</v>
      </c>
      <c r="AC1207" s="12">
        <v>1</v>
      </c>
      <c r="AD1207" s="12">
        <v>0</v>
      </c>
      <c r="AE1207" s="12">
        <v>0</v>
      </c>
      <c r="AF1207" s="12">
        <v>0</v>
      </c>
      <c r="AG1207" s="12">
        <v>0</v>
      </c>
      <c r="AH1207" s="12">
        <v>0</v>
      </c>
      <c r="AI1207" s="12">
        <v>2</v>
      </c>
      <c r="AJ1207" s="12" t="s">
        <v>57</v>
      </c>
      <c r="AK1207" s="12">
        <v>1</v>
      </c>
      <c r="AL1207" s="12">
        <v>0</v>
      </c>
      <c r="AM1207" s="12">
        <v>1393</v>
      </c>
      <c r="AN1207" s="12">
        <f t="shared" si="272"/>
        <v>1393</v>
      </c>
      <c r="AO1207" s="12">
        <v>1</v>
      </c>
      <c r="AP1207" s="12" t="s">
        <v>59</v>
      </c>
      <c r="AQ1207" s="12">
        <v>0</v>
      </c>
      <c r="AR1207" s="12">
        <v>12</v>
      </c>
      <c r="AS1207" s="12">
        <v>3</v>
      </c>
      <c r="AT1207" s="12">
        <v>1</v>
      </c>
      <c r="AU1207" s="12">
        <v>0</v>
      </c>
      <c r="AV1207" s="12">
        <v>1</v>
      </c>
      <c r="AW1207" s="12">
        <f t="shared" si="273"/>
        <v>1</v>
      </c>
      <c r="AX1207" s="12">
        <v>2</v>
      </c>
      <c r="AY1207" s="12">
        <v>3</v>
      </c>
      <c r="AZ1207" s="12">
        <v>1</v>
      </c>
      <c r="BA1207" s="12">
        <f t="shared" si="274"/>
        <v>1</v>
      </c>
      <c r="BB1207" s="12">
        <v>0</v>
      </c>
      <c r="BC1207" s="12">
        <v>0</v>
      </c>
      <c r="BD1207" s="12">
        <f t="shared" si="283"/>
        <v>0</v>
      </c>
      <c r="BE1207" s="12">
        <v>0</v>
      </c>
      <c r="BF1207" s="12">
        <f t="shared" si="275"/>
        <v>0</v>
      </c>
      <c r="BG1207" s="12">
        <f t="shared" si="284"/>
        <v>0</v>
      </c>
      <c r="BH1207" s="67">
        <v>1</v>
      </c>
      <c r="BI1207" s="67">
        <v>0</v>
      </c>
      <c r="BJ1207" s="67">
        <v>0</v>
      </c>
      <c r="BK1207" s="67">
        <v>0</v>
      </c>
      <c r="BL1207" s="67">
        <v>1</v>
      </c>
      <c r="BM1207" s="67">
        <v>0</v>
      </c>
      <c r="BN1207" s="67">
        <v>0</v>
      </c>
      <c r="BO1207" s="67">
        <v>0</v>
      </c>
      <c r="BP1207" s="67">
        <v>0</v>
      </c>
      <c r="BQ1207" s="67">
        <v>0</v>
      </c>
      <c r="BR1207" s="67">
        <v>0</v>
      </c>
      <c r="BS1207" s="67">
        <v>0</v>
      </c>
      <c r="BT1207" s="67">
        <v>1</v>
      </c>
      <c r="BU1207" s="70">
        <v>0</v>
      </c>
      <c r="BV1207" s="29">
        <f t="shared" si="276"/>
        <v>1.0853819454889941</v>
      </c>
      <c r="BW1207">
        <f t="shared" si="277"/>
        <v>1.1555414682655611</v>
      </c>
      <c r="BX1207">
        <f t="shared" si="278"/>
        <v>1.3211515584717011</v>
      </c>
      <c r="BY1207">
        <f t="shared" si="279"/>
        <v>0.9806804209314296</v>
      </c>
      <c r="BZ1207">
        <f t="shared" si="280"/>
        <v>0.88721318382472392</v>
      </c>
      <c r="CA1207">
        <f t="shared" si="281"/>
        <v>0.53898283739188557</v>
      </c>
      <c r="CB1207">
        <f t="shared" si="282"/>
        <v>0.67891464284095016</v>
      </c>
    </row>
    <row r="1208" spans="1:80" x14ac:dyDescent="0.45">
      <c r="A1208" s="11">
        <v>26</v>
      </c>
      <c r="B1208" s="12">
        <f t="shared" si="270"/>
        <v>26</v>
      </c>
      <c r="C1208" s="12" t="s">
        <v>59</v>
      </c>
      <c r="D1208" s="12">
        <v>0</v>
      </c>
      <c r="E1208" s="12" t="s">
        <v>86</v>
      </c>
      <c r="F1208" s="12">
        <v>0</v>
      </c>
      <c r="G1208" s="12">
        <v>0</v>
      </c>
      <c r="H1208" s="12" t="s">
        <v>61</v>
      </c>
      <c r="I1208" s="12">
        <v>1</v>
      </c>
      <c r="J1208" s="12">
        <v>0</v>
      </c>
      <c r="K1208" s="12">
        <v>7</v>
      </c>
      <c r="L1208" s="12">
        <f t="shared" si="271"/>
        <v>7</v>
      </c>
      <c r="M1208" s="12">
        <v>3</v>
      </c>
      <c r="N1208" s="12" t="s">
        <v>70</v>
      </c>
      <c r="O1208" s="12">
        <v>0</v>
      </c>
      <c r="P1208" s="12">
        <v>0</v>
      </c>
      <c r="Q1208" s="12">
        <v>1</v>
      </c>
      <c r="R1208" s="12">
        <v>0</v>
      </c>
      <c r="S1208" s="12">
        <v>0</v>
      </c>
      <c r="T1208" s="12">
        <v>4</v>
      </c>
      <c r="U1208" s="12" t="s">
        <v>62</v>
      </c>
      <c r="V1208" s="12">
        <v>0</v>
      </c>
      <c r="W1208" s="12">
        <v>76</v>
      </c>
      <c r="X1208" s="12">
        <v>3</v>
      </c>
      <c r="Y1208" s="12">
        <v>1</v>
      </c>
      <c r="Z1208" s="12" t="s">
        <v>67</v>
      </c>
      <c r="AA1208" s="12">
        <v>0</v>
      </c>
      <c r="AB1208" s="12">
        <v>0</v>
      </c>
      <c r="AC1208" s="12">
        <v>1</v>
      </c>
      <c r="AD1208" s="12">
        <v>0</v>
      </c>
      <c r="AE1208" s="12">
        <v>0</v>
      </c>
      <c r="AF1208" s="12">
        <v>0</v>
      </c>
      <c r="AG1208" s="12">
        <v>0</v>
      </c>
      <c r="AH1208" s="12">
        <v>0</v>
      </c>
      <c r="AI1208" s="12">
        <v>4</v>
      </c>
      <c r="AJ1208" s="12" t="s">
        <v>57</v>
      </c>
      <c r="AK1208" s="12">
        <v>1</v>
      </c>
      <c r="AL1208" s="12">
        <v>0</v>
      </c>
      <c r="AM1208" s="12">
        <v>2570</v>
      </c>
      <c r="AN1208" s="12">
        <f t="shared" si="272"/>
        <v>2570</v>
      </c>
      <c r="AO1208" s="12">
        <v>1</v>
      </c>
      <c r="AP1208" s="12" t="s">
        <v>59</v>
      </c>
      <c r="AQ1208" s="12">
        <v>0</v>
      </c>
      <c r="AR1208" s="12">
        <v>20</v>
      </c>
      <c r="AS1208" s="12">
        <v>4</v>
      </c>
      <c r="AT1208" s="12">
        <v>3</v>
      </c>
      <c r="AU1208" s="12">
        <v>0</v>
      </c>
      <c r="AV1208" s="12">
        <v>7</v>
      </c>
      <c r="AW1208" s="12">
        <f t="shared" si="273"/>
        <v>7</v>
      </c>
      <c r="AX1208" s="12">
        <v>5</v>
      </c>
      <c r="AY1208" s="12">
        <v>3</v>
      </c>
      <c r="AZ1208" s="12">
        <v>7</v>
      </c>
      <c r="BA1208" s="12">
        <f t="shared" si="274"/>
        <v>7</v>
      </c>
      <c r="BB1208" s="12">
        <v>7</v>
      </c>
      <c r="BC1208" s="12">
        <v>5</v>
      </c>
      <c r="BD1208" s="12">
        <f t="shared" si="283"/>
        <v>5</v>
      </c>
      <c r="BE1208" s="12">
        <v>7</v>
      </c>
      <c r="BF1208" s="12">
        <f t="shared" si="275"/>
        <v>7</v>
      </c>
      <c r="BG1208" s="12">
        <f t="shared" si="284"/>
        <v>7</v>
      </c>
      <c r="BH1208" s="67">
        <v>1</v>
      </c>
      <c r="BI1208" s="67">
        <v>0</v>
      </c>
      <c r="BJ1208" s="67">
        <v>0</v>
      </c>
      <c r="BK1208" s="67">
        <v>0</v>
      </c>
      <c r="BL1208" s="67">
        <v>1</v>
      </c>
      <c r="BM1208" s="67">
        <v>0</v>
      </c>
      <c r="BN1208" s="67">
        <v>0</v>
      </c>
      <c r="BO1208" s="67">
        <v>0</v>
      </c>
      <c r="BP1208" s="67">
        <v>0</v>
      </c>
      <c r="BQ1208" s="67">
        <v>7</v>
      </c>
      <c r="BR1208" s="67">
        <v>0</v>
      </c>
      <c r="BS1208" s="67">
        <v>0</v>
      </c>
      <c r="BT1208" s="67">
        <v>7</v>
      </c>
      <c r="BU1208" s="70">
        <v>0</v>
      </c>
      <c r="BV1208" s="29">
        <f t="shared" si="276"/>
        <v>0.83537965060269859</v>
      </c>
      <c r="BW1208">
        <f t="shared" si="277"/>
        <v>0.80626709607243985</v>
      </c>
      <c r="BX1208">
        <f t="shared" si="278"/>
        <v>0.55002080963175637</v>
      </c>
      <c r="BY1208">
        <f t="shared" si="279"/>
        <v>1.3324462240916321E-3</v>
      </c>
      <c r="BZ1208">
        <f t="shared" si="280"/>
        <v>0.27045191444879263</v>
      </c>
      <c r="CA1208">
        <f t="shared" si="281"/>
        <v>1.195770434213719</v>
      </c>
      <c r="CB1208">
        <f t="shared" si="282"/>
        <v>0.87270930768174382</v>
      </c>
    </row>
    <row r="1209" spans="1:80" x14ac:dyDescent="0.45">
      <c r="A1209" s="11">
        <v>55</v>
      </c>
      <c r="B1209" s="12">
        <f t="shared" si="270"/>
        <v>55</v>
      </c>
      <c r="C1209" s="12" t="s">
        <v>59</v>
      </c>
      <c r="D1209" s="12">
        <v>0</v>
      </c>
      <c r="E1209" s="12" t="s">
        <v>53</v>
      </c>
      <c r="F1209" s="12">
        <v>0</v>
      </c>
      <c r="G1209" s="12">
        <v>1</v>
      </c>
      <c r="H1209" s="12" t="s">
        <v>61</v>
      </c>
      <c r="I1209" s="12">
        <v>1</v>
      </c>
      <c r="J1209" s="12">
        <v>0</v>
      </c>
      <c r="K1209" s="12">
        <v>22</v>
      </c>
      <c r="L1209" s="12">
        <f t="shared" si="271"/>
        <v>22</v>
      </c>
      <c r="M1209" s="12">
        <v>3</v>
      </c>
      <c r="N1209" s="12" t="s">
        <v>91</v>
      </c>
      <c r="O1209" s="12">
        <v>0</v>
      </c>
      <c r="P1209" s="12">
        <v>0</v>
      </c>
      <c r="Q1209" s="12">
        <v>0</v>
      </c>
      <c r="R1209" s="12">
        <v>0</v>
      </c>
      <c r="S1209" s="12">
        <v>1</v>
      </c>
      <c r="T1209" s="12">
        <v>1</v>
      </c>
      <c r="U1209" s="12" t="s">
        <v>62</v>
      </c>
      <c r="V1209" s="12">
        <v>0</v>
      </c>
      <c r="W1209" s="12">
        <v>94</v>
      </c>
      <c r="X1209" s="12">
        <v>2</v>
      </c>
      <c r="Y1209" s="12">
        <v>1</v>
      </c>
      <c r="Z1209" s="12" t="s">
        <v>63</v>
      </c>
      <c r="AA1209" s="12">
        <v>0</v>
      </c>
      <c r="AB1209" s="12">
        <v>0</v>
      </c>
      <c r="AC1209" s="12">
        <v>0</v>
      </c>
      <c r="AD1209" s="12">
        <v>0</v>
      </c>
      <c r="AE1209" s="12">
        <v>0</v>
      </c>
      <c r="AF1209" s="12">
        <v>0</v>
      </c>
      <c r="AG1209" s="12">
        <v>0</v>
      </c>
      <c r="AH1209" s="12">
        <v>1</v>
      </c>
      <c r="AI1209" s="12">
        <v>2</v>
      </c>
      <c r="AJ1209" s="12" t="s">
        <v>78</v>
      </c>
      <c r="AK1209" s="12">
        <v>0</v>
      </c>
      <c r="AL1209" s="12">
        <v>0</v>
      </c>
      <c r="AM1209" s="12">
        <v>3537</v>
      </c>
      <c r="AN1209" s="12">
        <f t="shared" si="272"/>
        <v>3537</v>
      </c>
      <c r="AO1209" s="12">
        <v>5</v>
      </c>
      <c r="AP1209" s="12" t="s">
        <v>59</v>
      </c>
      <c r="AQ1209" s="12">
        <v>0</v>
      </c>
      <c r="AR1209" s="12">
        <v>12</v>
      </c>
      <c r="AS1209" s="12">
        <v>3</v>
      </c>
      <c r="AT1209" s="12">
        <v>4</v>
      </c>
      <c r="AU1209" s="12">
        <v>1</v>
      </c>
      <c r="AV1209" s="12">
        <v>8</v>
      </c>
      <c r="AW1209" s="12">
        <f t="shared" si="273"/>
        <v>8</v>
      </c>
      <c r="AX1209" s="12">
        <v>1</v>
      </c>
      <c r="AY1209" s="12">
        <v>3</v>
      </c>
      <c r="AZ1209" s="12">
        <v>4</v>
      </c>
      <c r="BA1209" s="12">
        <f t="shared" si="274"/>
        <v>4</v>
      </c>
      <c r="BB1209" s="12">
        <v>2</v>
      </c>
      <c r="BC1209" s="12">
        <v>1</v>
      </c>
      <c r="BD1209" s="12">
        <f t="shared" si="283"/>
        <v>1</v>
      </c>
      <c r="BE1209" s="12">
        <v>2</v>
      </c>
      <c r="BF1209" s="12">
        <f t="shared" si="275"/>
        <v>2</v>
      </c>
      <c r="BG1209" s="12">
        <f t="shared" si="284"/>
        <v>2</v>
      </c>
      <c r="BH1209" s="67">
        <v>1</v>
      </c>
      <c r="BI1209" s="67">
        <v>0</v>
      </c>
      <c r="BJ1209" s="67">
        <v>0</v>
      </c>
      <c r="BK1209" s="67">
        <v>0</v>
      </c>
      <c r="BL1209" s="67">
        <v>1</v>
      </c>
      <c r="BM1209" s="67">
        <v>0</v>
      </c>
      <c r="BN1209" s="67">
        <v>0</v>
      </c>
      <c r="BO1209" s="67">
        <v>0</v>
      </c>
      <c r="BP1209" s="67">
        <v>0</v>
      </c>
      <c r="BQ1209" s="67">
        <v>2</v>
      </c>
      <c r="BR1209" s="67">
        <v>0</v>
      </c>
      <c r="BS1209" s="67">
        <v>0</v>
      </c>
      <c r="BT1209" s="67">
        <v>8</v>
      </c>
      <c r="BU1209" s="70">
        <v>0</v>
      </c>
      <c r="BV1209" s="29">
        <f t="shared" si="276"/>
        <v>0.62998269295185083</v>
      </c>
      <c r="BW1209">
        <f t="shared" si="277"/>
        <v>0.59502473559756086</v>
      </c>
      <c r="BX1209">
        <f t="shared" si="278"/>
        <v>0.42149901815843233</v>
      </c>
      <c r="BY1209">
        <f t="shared" si="279"/>
        <v>0.49100643357776058</v>
      </c>
      <c r="BZ1209">
        <f t="shared" si="280"/>
        <v>1.579831893679001</v>
      </c>
      <c r="CA1209">
        <f t="shared" si="281"/>
        <v>1.9787029504251428</v>
      </c>
      <c r="CB1209">
        <f t="shared" si="282"/>
        <v>0.36858985273641137</v>
      </c>
    </row>
    <row r="1210" spans="1:80" x14ac:dyDescent="0.45">
      <c r="A1210" s="11">
        <v>34</v>
      </c>
      <c r="B1210" s="12">
        <f t="shared" si="270"/>
        <v>34</v>
      </c>
      <c r="C1210" s="12" t="s">
        <v>59</v>
      </c>
      <c r="D1210" s="12">
        <v>0</v>
      </c>
      <c r="E1210" s="12" t="s">
        <v>53</v>
      </c>
      <c r="F1210" s="12">
        <v>0</v>
      </c>
      <c r="G1210" s="12">
        <v>1</v>
      </c>
      <c r="H1210" s="12" t="s">
        <v>61</v>
      </c>
      <c r="I1210" s="12">
        <v>1</v>
      </c>
      <c r="J1210" s="12">
        <v>0</v>
      </c>
      <c r="K1210" s="12">
        <v>5</v>
      </c>
      <c r="L1210" s="12">
        <f t="shared" si="271"/>
        <v>5</v>
      </c>
      <c r="M1210" s="12">
        <v>2</v>
      </c>
      <c r="N1210" s="12" t="s">
        <v>70</v>
      </c>
      <c r="O1210" s="12">
        <v>0</v>
      </c>
      <c r="P1210" s="12">
        <v>0</v>
      </c>
      <c r="Q1210" s="12">
        <v>1</v>
      </c>
      <c r="R1210" s="12">
        <v>0</v>
      </c>
      <c r="S1210" s="12">
        <v>0</v>
      </c>
      <c r="T1210" s="12">
        <v>2</v>
      </c>
      <c r="U1210" s="12" t="s">
        <v>62</v>
      </c>
      <c r="V1210" s="12">
        <v>0</v>
      </c>
      <c r="W1210" s="12">
        <v>57</v>
      </c>
      <c r="X1210" s="12">
        <v>2</v>
      </c>
      <c r="Y1210" s="12">
        <v>2</v>
      </c>
      <c r="Z1210" s="12" t="s">
        <v>67</v>
      </c>
      <c r="AA1210" s="12">
        <v>0</v>
      </c>
      <c r="AB1210" s="12">
        <v>0</v>
      </c>
      <c r="AC1210" s="12">
        <v>1</v>
      </c>
      <c r="AD1210" s="12">
        <v>0</v>
      </c>
      <c r="AE1210" s="12">
        <v>0</v>
      </c>
      <c r="AF1210" s="12">
        <v>0</v>
      </c>
      <c r="AG1210" s="12">
        <v>0</v>
      </c>
      <c r="AH1210" s="12">
        <v>0</v>
      </c>
      <c r="AI1210" s="12">
        <v>4</v>
      </c>
      <c r="AJ1210" s="12" t="s">
        <v>64</v>
      </c>
      <c r="AK1210" s="12">
        <v>0</v>
      </c>
      <c r="AL1210" s="12">
        <v>1</v>
      </c>
      <c r="AM1210" s="12">
        <v>3986</v>
      </c>
      <c r="AN1210" s="12">
        <f t="shared" si="272"/>
        <v>3986</v>
      </c>
      <c r="AO1210" s="12">
        <v>1</v>
      </c>
      <c r="AP1210" s="12" t="s">
        <v>59</v>
      </c>
      <c r="AQ1210" s="12">
        <v>0</v>
      </c>
      <c r="AR1210" s="12">
        <v>14</v>
      </c>
      <c r="AS1210" s="12">
        <v>3</v>
      </c>
      <c r="AT1210" s="12">
        <v>3</v>
      </c>
      <c r="AU1210" s="12">
        <v>1</v>
      </c>
      <c r="AV1210" s="12">
        <v>15</v>
      </c>
      <c r="AW1210" s="12">
        <f t="shared" si="273"/>
        <v>15</v>
      </c>
      <c r="AX1210" s="12">
        <v>3</v>
      </c>
      <c r="AY1210" s="12">
        <v>4</v>
      </c>
      <c r="AZ1210" s="12">
        <v>15</v>
      </c>
      <c r="BA1210" s="12">
        <f t="shared" si="274"/>
        <v>15</v>
      </c>
      <c r="BB1210" s="12">
        <v>10</v>
      </c>
      <c r="BC1210" s="12">
        <v>4</v>
      </c>
      <c r="BD1210" s="12">
        <f t="shared" si="283"/>
        <v>4</v>
      </c>
      <c r="BE1210" s="12">
        <v>13</v>
      </c>
      <c r="BF1210" s="12">
        <f t="shared" si="275"/>
        <v>13</v>
      </c>
      <c r="BG1210" s="12">
        <f t="shared" si="284"/>
        <v>26</v>
      </c>
      <c r="BH1210" s="67">
        <v>0</v>
      </c>
      <c r="BI1210" s="67">
        <v>1</v>
      </c>
      <c r="BJ1210" s="67">
        <v>0</v>
      </c>
      <c r="BK1210" s="67">
        <v>0</v>
      </c>
      <c r="BL1210" s="67">
        <v>0</v>
      </c>
      <c r="BM1210" s="67">
        <v>0</v>
      </c>
      <c r="BN1210" s="67">
        <v>1</v>
      </c>
      <c r="BO1210" s="67">
        <v>0</v>
      </c>
      <c r="BP1210" s="67">
        <v>0</v>
      </c>
      <c r="BQ1210" s="67">
        <v>13</v>
      </c>
      <c r="BR1210" s="67">
        <v>0</v>
      </c>
      <c r="BS1210" s="67">
        <v>0</v>
      </c>
      <c r="BT1210" s="67">
        <v>15</v>
      </c>
      <c r="BU1210" s="70">
        <v>0</v>
      </c>
      <c r="BV1210" s="29">
        <f t="shared" si="276"/>
        <v>0.5346122338151077</v>
      </c>
      <c r="BW1210">
        <f t="shared" si="277"/>
        <v>2.4878172940764407</v>
      </c>
      <c r="BX1210">
        <f t="shared" si="278"/>
        <v>0.47815352215483642</v>
      </c>
      <c r="BY1210">
        <f t="shared" si="279"/>
        <v>1.3044648533856922</v>
      </c>
      <c r="BZ1210">
        <f t="shared" si="280"/>
        <v>0.51715642219916513</v>
      </c>
      <c r="CA1210">
        <f t="shared" si="281"/>
        <v>0.32005363845127444</v>
      </c>
      <c r="CB1210">
        <f t="shared" si="282"/>
        <v>0.56238451757720498</v>
      </c>
    </row>
    <row r="1211" spans="1:80" x14ac:dyDescent="0.45">
      <c r="A1211" s="11">
        <v>60</v>
      </c>
      <c r="B1211" s="12">
        <f t="shared" si="270"/>
        <v>58.309999999999945</v>
      </c>
      <c r="C1211" s="12" t="s">
        <v>59</v>
      </c>
      <c r="D1211" s="12">
        <v>0</v>
      </c>
      <c r="E1211" s="12" t="s">
        <v>53</v>
      </c>
      <c r="F1211" s="12">
        <v>0</v>
      </c>
      <c r="G1211" s="12">
        <v>1</v>
      </c>
      <c r="H1211" s="12" t="s">
        <v>61</v>
      </c>
      <c r="I1211" s="12">
        <v>1</v>
      </c>
      <c r="J1211" s="12">
        <v>0</v>
      </c>
      <c r="K1211" s="12">
        <v>1</v>
      </c>
      <c r="L1211" s="12">
        <f t="shared" si="271"/>
        <v>1</v>
      </c>
      <c r="M1211" s="12">
        <v>4</v>
      </c>
      <c r="N1211" s="12" t="s">
        <v>70</v>
      </c>
      <c r="O1211" s="12">
        <v>0</v>
      </c>
      <c r="P1211" s="12">
        <v>0</v>
      </c>
      <c r="Q1211" s="12">
        <v>1</v>
      </c>
      <c r="R1211" s="12">
        <v>0</v>
      </c>
      <c r="S1211" s="12">
        <v>0</v>
      </c>
      <c r="T1211" s="12">
        <v>3</v>
      </c>
      <c r="U1211" s="12" t="s">
        <v>62</v>
      </c>
      <c r="V1211" s="12">
        <v>0</v>
      </c>
      <c r="W1211" s="12">
        <v>92</v>
      </c>
      <c r="X1211" s="12">
        <v>1</v>
      </c>
      <c r="Y1211" s="12">
        <v>3</v>
      </c>
      <c r="Z1211" s="12" t="s">
        <v>85</v>
      </c>
      <c r="AA1211" s="12">
        <v>1</v>
      </c>
      <c r="AB1211" s="12">
        <v>0</v>
      </c>
      <c r="AC1211" s="12">
        <v>0</v>
      </c>
      <c r="AD1211" s="12">
        <v>0</v>
      </c>
      <c r="AE1211" s="12">
        <v>0</v>
      </c>
      <c r="AF1211" s="12">
        <v>0</v>
      </c>
      <c r="AG1211" s="12">
        <v>0</v>
      </c>
      <c r="AH1211" s="12">
        <v>0</v>
      </c>
      <c r="AI1211" s="12">
        <v>4</v>
      </c>
      <c r="AJ1211" s="12" t="s">
        <v>78</v>
      </c>
      <c r="AK1211" s="12">
        <v>0</v>
      </c>
      <c r="AL1211" s="12">
        <v>0</v>
      </c>
      <c r="AM1211" s="12">
        <v>10883</v>
      </c>
      <c r="AN1211" s="12">
        <f t="shared" si="272"/>
        <v>10883</v>
      </c>
      <c r="AO1211" s="12">
        <v>3</v>
      </c>
      <c r="AP1211" s="12" t="s">
        <v>59</v>
      </c>
      <c r="AQ1211" s="12">
        <v>0</v>
      </c>
      <c r="AR1211" s="12">
        <v>20</v>
      </c>
      <c r="AS1211" s="12">
        <v>4</v>
      </c>
      <c r="AT1211" s="12">
        <v>3</v>
      </c>
      <c r="AU1211" s="12">
        <v>1</v>
      </c>
      <c r="AV1211" s="12">
        <v>19</v>
      </c>
      <c r="AW1211" s="12">
        <f t="shared" si="273"/>
        <v>19</v>
      </c>
      <c r="AX1211" s="12">
        <v>2</v>
      </c>
      <c r="AY1211" s="12">
        <v>4</v>
      </c>
      <c r="AZ1211" s="12">
        <v>1</v>
      </c>
      <c r="BA1211" s="12">
        <f t="shared" si="274"/>
        <v>1</v>
      </c>
      <c r="BB1211" s="12">
        <v>0</v>
      </c>
      <c r="BC1211" s="12">
        <v>0</v>
      </c>
      <c r="BD1211" s="12">
        <f t="shared" si="283"/>
        <v>0</v>
      </c>
      <c r="BE1211" s="12">
        <v>0</v>
      </c>
      <c r="BF1211" s="12">
        <f t="shared" si="275"/>
        <v>0</v>
      </c>
      <c r="BG1211" s="12">
        <f t="shared" si="284"/>
        <v>0</v>
      </c>
      <c r="BH1211" s="67">
        <v>1</v>
      </c>
      <c r="BI1211" s="67">
        <v>0</v>
      </c>
      <c r="BJ1211" s="67">
        <v>0</v>
      </c>
      <c r="BK1211" s="67">
        <v>0</v>
      </c>
      <c r="BL1211" s="67">
        <v>1</v>
      </c>
      <c r="BM1211" s="67">
        <v>0</v>
      </c>
      <c r="BN1211" s="67">
        <v>0</v>
      </c>
      <c r="BO1211" s="67">
        <v>0</v>
      </c>
      <c r="BP1211" s="67">
        <v>0</v>
      </c>
      <c r="BQ1211" s="67">
        <v>0</v>
      </c>
      <c r="BR1211" s="67">
        <v>0</v>
      </c>
      <c r="BS1211" s="67">
        <v>0</v>
      </c>
      <c r="BT1211" s="67">
        <v>19</v>
      </c>
      <c r="BU1211" s="70">
        <v>0</v>
      </c>
      <c r="BV1211" s="29">
        <f t="shared" si="276"/>
        <v>0.9303544848176708</v>
      </c>
      <c r="BW1211">
        <f t="shared" si="277"/>
        <v>1.1555414682655611</v>
      </c>
      <c r="BX1211">
        <f t="shared" si="278"/>
        <v>0.99224068804813281</v>
      </c>
      <c r="BY1211">
        <f t="shared" si="279"/>
        <v>0.9806804209314296</v>
      </c>
      <c r="BZ1211">
        <f t="shared" si="280"/>
        <v>1.01056543769991</v>
      </c>
      <c r="CA1211">
        <f t="shared" si="281"/>
        <v>2.5260259477766707</v>
      </c>
      <c r="CB1211">
        <f t="shared" si="282"/>
        <v>0.67891464284095016</v>
      </c>
    </row>
    <row r="1212" spans="1:80" x14ac:dyDescent="0.45">
      <c r="A1212" s="11">
        <v>33</v>
      </c>
      <c r="B1212" s="12">
        <f t="shared" si="270"/>
        <v>33</v>
      </c>
      <c r="C1212" s="12" t="s">
        <v>59</v>
      </c>
      <c r="D1212" s="12">
        <v>0</v>
      </c>
      <c r="E1212" s="12" t="s">
        <v>53</v>
      </c>
      <c r="F1212" s="12">
        <v>0</v>
      </c>
      <c r="G1212" s="12">
        <v>1</v>
      </c>
      <c r="H1212" s="12" t="s">
        <v>61</v>
      </c>
      <c r="I1212" s="12">
        <v>1</v>
      </c>
      <c r="J1212" s="12">
        <v>0</v>
      </c>
      <c r="K1212" s="12">
        <v>21</v>
      </c>
      <c r="L1212" s="12">
        <f t="shared" si="271"/>
        <v>21</v>
      </c>
      <c r="M1212" s="12">
        <v>3</v>
      </c>
      <c r="N1212" s="12" t="s">
        <v>70</v>
      </c>
      <c r="O1212" s="12">
        <v>0</v>
      </c>
      <c r="P1212" s="12">
        <v>0</v>
      </c>
      <c r="Q1212" s="12">
        <v>1</v>
      </c>
      <c r="R1212" s="12">
        <v>0</v>
      </c>
      <c r="S1212" s="12">
        <v>0</v>
      </c>
      <c r="T1212" s="12">
        <v>2</v>
      </c>
      <c r="U1212" s="12" t="s">
        <v>62</v>
      </c>
      <c r="V1212" s="12">
        <v>0</v>
      </c>
      <c r="W1212" s="12">
        <v>79</v>
      </c>
      <c r="X1212" s="12">
        <v>4</v>
      </c>
      <c r="Y1212" s="12">
        <v>1</v>
      </c>
      <c r="Z1212" s="12" t="s">
        <v>67</v>
      </c>
      <c r="AA1212" s="12">
        <v>0</v>
      </c>
      <c r="AB1212" s="12">
        <v>0</v>
      </c>
      <c r="AC1212" s="12">
        <v>1</v>
      </c>
      <c r="AD1212" s="12">
        <v>0</v>
      </c>
      <c r="AE1212" s="12">
        <v>0</v>
      </c>
      <c r="AF1212" s="12">
        <v>0</v>
      </c>
      <c r="AG1212" s="12">
        <v>0</v>
      </c>
      <c r="AH1212" s="12">
        <v>0</v>
      </c>
      <c r="AI1212" s="12">
        <v>2</v>
      </c>
      <c r="AJ1212" s="12" t="s">
        <v>64</v>
      </c>
      <c r="AK1212" s="12">
        <v>0</v>
      </c>
      <c r="AL1212" s="12">
        <v>1</v>
      </c>
      <c r="AM1212" s="12">
        <v>2028</v>
      </c>
      <c r="AN1212" s="12">
        <f t="shared" si="272"/>
        <v>2028</v>
      </c>
      <c r="AO1212" s="12">
        <v>1</v>
      </c>
      <c r="AP1212" s="12" t="s">
        <v>59</v>
      </c>
      <c r="AQ1212" s="12">
        <v>0</v>
      </c>
      <c r="AR1212" s="12">
        <v>18</v>
      </c>
      <c r="AS1212" s="12">
        <v>3</v>
      </c>
      <c r="AT1212" s="12">
        <v>4</v>
      </c>
      <c r="AU1212" s="12">
        <v>3</v>
      </c>
      <c r="AV1212" s="12">
        <v>14</v>
      </c>
      <c r="AW1212" s="12">
        <f t="shared" si="273"/>
        <v>14</v>
      </c>
      <c r="AX1212" s="12">
        <v>6</v>
      </c>
      <c r="AY1212" s="12">
        <v>3</v>
      </c>
      <c r="AZ1212" s="12">
        <v>14</v>
      </c>
      <c r="BA1212" s="12">
        <f t="shared" si="274"/>
        <v>14</v>
      </c>
      <c r="BB1212" s="12">
        <v>11</v>
      </c>
      <c r="BC1212" s="12">
        <v>2</v>
      </c>
      <c r="BD1212" s="12">
        <f t="shared" si="283"/>
        <v>2</v>
      </c>
      <c r="BE1212" s="12">
        <v>13</v>
      </c>
      <c r="BF1212" s="12">
        <f t="shared" si="275"/>
        <v>13</v>
      </c>
      <c r="BG1212" s="12">
        <f t="shared" si="284"/>
        <v>13</v>
      </c>
      <c r="BH1212" s="67">
        <v>0</v>
      </c>
      <c r="BI1212" s="67">
        <v>1</v>
      </c>
      <c r="BJ1212" s="67">
        <v>0</v>
      </c>
      <c r="BK1212" s="67">
        <v>0</v>
      </c>
      <c r="BL1212" s="67">
        <v>0</v>
      </c>
      <c r="BM1212" s="67">
        <v>0</v>
      </c>
      <c r="BN1212" s="67">
        <v>1</v>
      </c>
      <c r="BO1212" s="67">
        <v>0</v>
      </c>
      <c r="BP1212" s="67">
        <v>0</v>
      </c>
      <c r="BQ1212" s="67">
        <v>13</v>
      </c>
      <c r="BR1212" s="67">
        <v>0</v>
      </c>
      <c r="BS1212" s="67">
        <v>0</v>
      </c>
      <c r="BT1212" s="67">
        <v>14</v>
      </c>
      <c r="BU1212" s="70">
        <v>0</v>
      </c>
      <c r="BV1212" s="29">
        <f t="shared" si="276"/>
        <v>0.95050390194371148</v>
      </c>
      <c r="BW1212">
        <f t="shared" si="277"/>
        <v>2.4878172940764407</v>
      </c>
      <c r="BX1212">
        <f t="shared" si="278"/>
        <v>0.34963173068151232</v>
      </c>
      <c r="BY1212">
        <f t="shared" si="279"/>
        <v>1.1412401909344694</v>
      </c>
      <c r="BZ1212">
        <f t="shared" si="280"/>
        <v>1.4564796398038149</v>
      </c>
      <c r="CA1212">
        <f t="shared" si="281"/>
        <v>0.42951823792158</v>
      </c>
      <c r="CB1212">
        <f t="shared" si="282"/>
        <v>5.8265062631872602E-2</v>
      </c>
    </row>
    <row r="1213" spans="1:80" x14ac:dyDescent="0.45">
      <c r="A1213" s="11">
        <v>37</v>
      </c>
      <c r="B1213" s="12">
        <f t="shared" si="270"/>
        <v>37</v>
      </c>
      <c r="C1213" s="12" t="s">
        <v>59</v>
      </c>
      <c r="D1213" s="12">
        <v>0</v>
      </c>
      <c r="E1213" s="12" t="s">
        <v>60</v>
      </c>
      <c r="F1213" s="12">
        <v>1</v>
      </c>
      <c r="G1213" s="12">
        <v>0</v>
      </c>
      <c r="H1213" s="12" t="s">
        <v>54</v>
      </c>
      <c r="I1213" s="12">
        <v>0</v>
      </c>
      <c r="J1213" s="12">
        <v>1</v>
      </c>
      <c r="K1213" s="12">
        <v>1</v>
      </c>
      <c r="L1213" s="12">
        <f t="shared" si="271"/>
        <v>1</v>
      </c>
      <c r="M1213" s="12">
        <v>4</v>
      </c>
      <c r="N1213" s="12" t="s">
        <v>70</v>
      </c>
      <c r="O1213" s="12">
        <v>0</v>
      </c>
      <c r="P1213" s="12">
        <v>0</v>
      </c>
      <c r="Q1213" s="12">
        <v>1</v>
      </c>
      <c r="R1213" s="12">
        <v>0</v>
      </c>
      <c r="S1213" s="12">
        <v>0</v>
      </c>
      <c r="T1213" s="12">
        <v>3</v>
      </c>
      <c r="U1213" s="12" t="s">
        <v>62</v>
      </c>
      <c r="V1213" s="12">
        <v>0</v>
      </c>
      <c r="W1213" s="12">
        <v>31</v>
      </c>
      <c r="X1213" s="12">
        <v>1</v>
      </c>
      <c r="Y1213" s="12">
        <v>2</v>
      </c>
      <c r="Z1213" s="12" t="s">
        <v>56</v>
      </c>
      <c r="AA1213" s="12">
        <v>0</v>
      </c>
      <c r="AB1213" s="12">
        <v>1</v>
      </c>
      <c r="AC1213" s="12">
        <v>0</v>
      </c>
      <c r="AD1213" s="12">
        <v>0</v>
      </c>
      <c r="AE1213" s="12">
        <v>0</v>
      </c>
      <c r="AF1213" s="12">
        <v>0</v>
      </c>
      <c r="AG1213" s="12">
        <v>0</v>
      </c>
      <c r="AH1213" s="12">
        <v>0</v>
      </c>
      <c r="AI1213" s="12">
        <v>4</v>
      </c>
      <c r="AJ1213" s="12" t="s">
        <v>78</v>
      </c>
      <c r="AK1213" s="12">
        <v>0</v>
      </c>
      <c r="AL1213" s="12">
        <v>0</v>
      </c>
      <c r="AM1213" s="12">
        <v>9525</v>
      </c>
      <c r="AN1213" s="12">
        <f t="shared" si="272"/>
        <v>9525</v>
      </c>
      <c r="AO1213" s="12">
        <v>1</v>
      </c>
      <c r="AP1213" s="12" t="s">
        <v>59</v>
      </c>
      <c r="AQ1213" s="12">
        <v>0</v>
      </c>
      <c r="AR1213" s="12">
        <v>14</v>
      </c>
      <c r="AS1213" s="12">
        <v>3</v>
      </c>
      <c r="AT1213" s="12">
        <v>3</v>
      </c>
      <c r="AU1213" s="12">
        <v>2</v>
      </c>
      <c r="AV1213" s="12">
        <v>6</v>
      </c>
      <c r="AW1213" s="12">
        <f t="shared" si="273"/>
        <v>6</v>
      </c>
      <c r="AX1213" s="12">
        <v>2</v>
      </c>
      <c r="AY1213" s="12">
        <v>2</v>
      </c>
      <c r="AZ1213" s="12">
        <v>6</v>
      </c>
      <c r="BA1213" s="12">
        <f t="shared" si="274"/>
        <v>6</v>
      </c>
      <c r="BB1213" s="12">
        <v>3</v>
      </c>
      <c r="BC1213" s="12">
        <v>1</v>
      </c>
      <c r="BD1213" s="12">
        <f t="shared" si="283"/>
        <v>1</v>
      </c>
      <c r="BE1213" s="12">
        <v>3</v>
      </c>
      <c r="BF1213" s="12">
        <f t="shared" si="275"/>
        <v>3</v>
      </c>
      <c r="BG1213" s="12">
        <f t="shared" si="284"/>
        <v>6</v>
      </c>
      <c r="BH1213" s="67">
        <v>0</v>
      </c>
      <c r="BI1213" s="67">
        <v>0</v>
      </c>
      <c r="BJ1213" s="67">
        <v>1</v>
      </c>
      <c r="BK1213" s="67">
        <v>0</v>
      </c>
      <c r="BL1213" s="67">
        <v>1</v>
      </c>
      <c r="BM1213" s="67">
        <v>0</v>
      </c>
      <c r="BN1213" s="67">
        <v>0</v>
      </c>
      <c r="BO1213" s="67">
        <v>0</v>
      </c>
      <c r="BP1213" s="67">
        <v>0</v>
      </c>
      <c r="BQ1213" s="67">
        <v>0</v>
      </c>
      <c r="BR1213" s="67">
        <v>3</v>
      </c>
      <c r="BS1213" s="67">
        <v>0</v>
      </c>
      <c r="BT1213" s="67">
        <v>0</v>
      </c>
      <c r="BU1213" s="70">
        <v>6</v>
      </c>
      <c r="BV1213" s="29">
        <f t="shared" si="276"/>
        <v>0.641906637361775</v>
      </c>
      <c r="BW1213">
        <f t="shared" si="277"/>
        <v>0.31476636926356072</v>
      </c>
      <c r="BX1213">
        <f t="shared" si="278"/>
        <v>0.67854260110508058</v>
      </c>
      <c r="BY1213">
        <f t="shared" si="279"/>
        <v>0.16455710867531462</v>
      </c>
      <c r="BZ1213">
        <f t="shared" si="280"/>
        <v>1.01056543769991</v>
      </c>
      <c r="CA1213">
        <f t="shared" si="281"/>
        <v>8.3401599596422994E-3</v>
      </c>
      <c r="CB1213">
        <f t="shared" si="282"/>
        <v>0.36858985273641137</v>
      </c>
    </row>
    <row r="1214" spans="1:80" x14ac:dyDescent="0.45">
      <c r="A1214" s="11">
        <v>34</v>
      </c>
      <c r="B1214" s="12">
        <f t="shared" si="270"/>
        <v>34</v>
      </c>
      <c r="C1214" s="12" t="s">
        <v>59</v>
      </c>
      <c r="D1214" s="12">
        <v>0</v>
      </c>
      <c r="E1214" s="12" t="s">
        <v>53</v>
      </c>
      <c r="F1214" s="12">
        <v>0</v>
      </c>
      <c r="G1214" s="12">
        <v>1</v>
      </c>
      <c r="H1214" s="12" t="s">
        <v>61</v>
      </c>
      <c r="I1214" s="12">
        <v>1</v>
      </c>
      <c r="J1214" s="12">
        <v>0</v>
      </c>
      <c r="K1214" s="12">
        <v>19</v>
      </c>
      <c r="L1214" s="12">
        <f t="shared" si="271"/>
        <v>19</v>
      </c>
      <c r="M1214" s="12">
        <v>3</v>
      </c>
      <c r="N1214" s="12" t="s">
        <v>55</v>
      </c>
      <c r="O1214" s="12">
        <v>1</v>
      </c>
      <c r="P1214" s="12">
        <v>0</v>
      </c>
      <c r="Q1214" s="12">
        <v>0</v>
      </c>
      <c r="R1214" s="12">
        <v>0</v>
      </c>
      <c r="S1214" s="12">
        <v>0</v>
      </c>
      <c r="T1214" s="12">
        <v>2</v>
      </c>
      <c r="U1214" s="12" t="s">
        <v>19</v>
      </c>
      <c r="V1214" s="12">
        <v>1</v>
      </c>
      <c r="W1214" s="12">
        <v>35</v>
      </c>
      <c r="X1214" s="12">
        <v>2</v>
      </c>
      <c r="Y1214" s="12">
        <v>1</v>
      </c>
      <c r="Z1214" s="12" t="s">
        <v>63</v>
      </c>
      <c r="AA1214" s="12">
        <v>0</v>
      </c>
      <c r="AB1214" s="12">
        <v>0</v>
      </c>
      <c r="AC1214" s="12">
        <v>0</v>
      </c>
      <c r="AD1214" s="12">
        <v>0</v>
      </c>
      <c r="AE1214" s="12">
        <v>0</v>
      </c>
      <c r="AF1214" s="12">
        <v>0</v>
      </c>
      <c r="AG1214" s="12">
        <v>0</v>
      </c>
      <c r="AH1214" s="12">
        <v>1</v>
      </c>
      <c r="AI1214" s="12">
        <v>4</v>
      </c>
      <c r="AJ1214" s="12" t="s">
        <v>64</v>
      </c>
      <c r="AK1214" s="12">
        <v>0</v>
      </c>
      <c r="AL1214" s="12">
        <v>1</v>
      </c>
      <c r="AM1214" s="12">
        <v>2929</v>
      </c>
      <c r="AN1214" s="12">
        <f t="shared" si="272"/>
        <v>2929</v>
      </c>
      <c r="AO1214" s="12">
        <v>1</v>
      </c>
      <c r="AP1214" s="12" t="s">
        <v>59</v>
      </c>
      <c r="AQ1214" s="12">
        <v>0</v>
      </c>
      <c r="AR1214" s="12">
        <v>12</v>
      </c>
      <c r="AS1214" s="12">
        <v>3</v>
      </c>
      <c r="AT1214" s="12">
        <v>2</v>
      </c>
      <c r="AU1214" s="12">
        <v>0</v>
      </c>
      <c r="AV1214" s="12">
        <v>10</v>
      </c>
      <c r="AW1214" s="12">
        <f t="shared" si="273"/>
        <v>10</v>
      </c>
      <c r="AX1214" s="12">
        <v>3</v>
      </c>
      <c r="AY1214" s="12">
        <v>3</v>
      </c>
      <c r="AZ1214" s="12">
        <v>10</v>
      </c>
      <c r="BA1214" s="12">
        <f t="shared" si="274"/>
        <v>10</v>
      </c>
      <c r="BB1214" s="12">
        <v>9</v>
      </c>
      <c r="BC1214" s="12">
        <v>8</v>
      </c>
      <c r="BD1214" s="12">
        <f t="shared" si="283"/>
        <v>8</v>
      </c>
      <c r="BE1214" s="12">
        <v>7</v>
      </c>
      <c r="BF1214" s="12">
        <f t="shared" si="275"/>
        <v>7</v>
      </c>
      <c r="BG1214" s="12">
        <f t="shared" si="284"/>
        <v>7</v>
      </c>
      <c r="BH1214" s="67">
        <v>0</v>
      </c>
      <c r="BI1214" s="67">
        <v>1</v>
      </c>
      <c r="BJ1214" s="67">
        <v>0</v>
      </c>
      <c r="BK1214" s="67">
        <v>0</v>
      </c>
      <c r="BL1214" s="67">
        <v>0</v>
      </c>
      <c r="BM1214" s="67">
        <v>0</v>
      </c>
      <c r="BN1214" s="67">
        <v>1</v>
      </c>
      <c r="BO1214" s="67">
        <v>0</v>
      </c>
      <c r="BP1214" s="67">
        <v>0</v>
      </c>
      <c r="BQ1214" s="67">
        <v>7</v>
      </c>
      <c r="BR1214" s="67">
        <v>0</v>
      </c>
      <c r="BS1214" s="67">
        <v>0</v>
      </c>
      <c r="BT1214" s="67">
        <v>10</v>
      </c>
      <c r="BU1214" s="70">
        <v>0</v>
      </c>
      <c r="BV1214" s="29">
        <f t="shared" si="276"/>
        <v>0.75912576456686165</v>
      </c>
      <c r="BW1214">
        <f t="shared" si="277"/>
        <v>0.80626709607243985</v>
      </c>
      <c r="BX1214">
        <f t="shared" si="278"/>
        <v>0.1644554352117841</v>
      </c>
      <c r="BY1214">
        <f t="shared" si="279"/>
        <v>0.48834154112957734</v>
      </c>
      <c r="BZ1214">
        <f t="shared" si="280"/>
        <v>1.2097751320534422</v>
      </c>
      <c r="CA1214">
        <f t="shared" si="281"/>
        <v>0.32005363845127444</v>
      </c>
      <c r="CB1214">
        <f t="shared" si="282"/>
        <v>1.8036836779953602</v>
      </c>
    </row>
    <row r="1215" spans="1:80" x14ac:dyDescent="0.45">
      <c r="A1215" s="11">
        <v>23</v>
      </c>
      <c r="B1215" s="12">
        <f t="shared" si="270"/>
        <v>23</v>
      </c>
      <c r="C1215" s="12" t="s">
        <v>52</v>
      </c>
      <c r="D1215" s="12">
        <v>1</v>
      </c>
      <c r="E1215" s="12" t="s">
        <v>53</v>
      </c>
      <c r="F1215" s="12">
        <v>0</v>
      </c>
      <c r="G1215" s="12">
        <v>1</v>
      </c>
      <c r="H1215" s="12" t="s">
        <v>54</v>
      </c>
      <c r="I1215" s="12">
        <v>0</v>
      </c>
      <c r="J1215" s="12">
        <v>1</v>
      </c>
      <c r="K1215" s="12">
        <v>7</v>
      </c>
      <c r="L1215" s="12">
        <f t="shared" si="271"/>
        <v>7</v>
      </c>
      <c r="M1215" s="12">
        <v>3</v>
      </c>
      <c r="N1215" s="12" t="s">
        <v>55</v>
      </c>
      <c r="O1215" s="12">
        <v>1</v>
      </c>
      <c r="P1215" s="12">
        <v>0</v>
      </c>
      <c r="Q1215" s="12">
        <v>0</v>
      </c>
      <c r="R1215" s="12">
        <v>0</v>
      </c>
      <c r="S1215" s="12">
        <v>0</v>
      </c>
      <c r="T1215" s="12">
        <v>3</v>
      </c>
      <c r="U1215" s="12" t="s">
        <v>62</v>
      </c>
      <c r="V1215" s="12">
        <v>0</v>
      </c>
      <c r="W1215" s="12">
        <v>99</v>
      </c>
      <c r="X1215" s="12">
        <v>3</v>
      </c>
      <c r="Y1215" s="12">
        <v>1</v>
      </c>
      <c r="Z1215" s="12" t="s">
        <v>88</v>
      </c>
      <c r="AA1215" s="12">
        <v>0</v>
      </c>
      <c r="AB1215" s="12">
        <v>0</v>
      </c>
      <c r="AC1215" s="12">
        <v>0</v>
      </c>
      <c r="AD1215" s="12">
        <v>0</v>
      </c>
      <c r="AE1215" s="12">
        <v>0</v>
      </c>
      <c r="AF1215" s="12">
        <v>0</v>
      </c>
      <c r="AG1215" s="12">
        <v>1</v>
      </c>
      <c r="AH1215" s="12">
        <v>0</v>
      </c>
      <c r="AI1215" s="12">
        <v>4</v>
      </c>
      <c r="AJ1215" s="12" t="s">
        <v>78</v>
      </c>
      <c r="AK1215" s="12">
        <v>0</v>
      </c>
      <c r="AL1215" s="12">
        <v>0</v>
      </c>
      <c r="AM1215" s="12">
        <v>2275</v>
      </c>
      <c r="AN1215" s="12">
        <f t="shared" si="272"/>
        <v>2275</v>
      </c>
      <c r="AO1215" s="12">
        <v>1</v>
      </c>
      <c r="AP1215" s="12" t="s">
        <v>52</v>
      </c>
      <c r="AQ1215" s="12">
        <v>1</v>
      </c>
      <c r="AR1215" s="12">
        <v>21</v>
      </c>
      <c r="AS1215" s="12">
        <v>4</v>
      </c>
      <c r="AT1215" s="12">
        <v>2</v>
      </c>
      <c r="AU1215" s="12">
        <v>1</v>
      </c>
      <c r="AV1215" s="12">
        <v>3</v>
      </c>
      <c r="AW1215" s="12">
        <f t="shared" si="273"/>
        <v>3</v>
      </c>
      <c r="AX1215" s="12">
        <v>2</v>
      </c>
      <c r="AY1215" s="12">
        <v>3</v>
      </c>
      <c r="AZ1215" s="12">
        <v>3</v>
      </c>
      <c r="BA1215" s="12">
        <f t="shared" si="274"/>
        <v>3</v>
      </c>
      <c r="BB1215" s="12">
        <v>2</v>
      </c>
      <c r="BC1215" s="12">
        <v>0</v>
      </c>
      <c r="BD1215" s="12">
        <f t="shared" si="283"/>
        <v>0</v>
      </c>
      <c r="BE1215" s="12">
        <v>2</v>
      </c>
      <c r="BF1215" s="12">
        <f t="shared" si="275"/>
        <v>2</v>
      </c>
      <c r="BG1215" s="12">
        <f t="shared" si="284"/>
        <v>2</v>
      </c>
      <c r="BH1215" s="67">
        <v>1</v>
      </c>
      <c r="BI1215" s="67">
        <v>0</v>
      </c>
      <c r="BJ1215" s="67">
        <v>0</v>
      </c>
      <c r="BK1215" s="67">
        <v>0</v>
      </c>
      <c r="BL1215" s="67">
        <v>0</v>
      </c>
      <c r="BM1215" s="67">
        <v>1</v>
      </c>
      <c r="BN1215" s="67">
        <v>0</v>
      </c>
      <c r="BO1215" s="67">
        <v>0</v>
      </c>
      <c r="BP1215" s="67">
        <v>0</v>
      </c>
      <c r="BQ1215" s="67">
        <v>0</v>
      </c>
      <c r="BR1215" s="67">
        <v>2</v>
      </c>
      <c r="BS1215" s="67">
        <v>0</v>
      </c>
      <c r="BT1215" s="67">
        <v>0</v>
      </c>
      <c r="BU1215" s="70">
        <v>3</v>
      </c>
      <c r="BV1215" s="29">
        <f t="shared" si="276"/>
        <v>0.89803952910011331</v>
      </c>
      <c r="BW1215">
        <f t="shared" si="277"/>
        <v>0.59502473559756086</v>
      </c>
      <c r="BX1215">
        <f t="shared" si="278"/>
        <v>1.0641079755250529</v>
      </c>
      <c r="BY1215">
        <f t="shared" si="279"/>
        <v>0.65423109602898355</v>
      </c>
      <c r="BZ1215">
        <f t="shared" si="280"/>
        <v>0.27045191444879263</v>
      </c>
      <c r="CA1215">
        <f t="shared" si="281"/>
        <v>1.5241642326246359</v>
      </c>
      <c r="CB1215">
        <f t="shared" si="282"/>
        <v>0.67891464284095016</v>
      </c>
    </row>
    <row r="1216" spans="1:80" x14ac:dyDescent="0.45">
      <c r="A1216" s="11">
        <v>44</v>
      </c>
      <c r="B1216" s="12">
        <f t="shared" si="270"/>
        <v>44</v>
      </c>
      <c r="C1216" s="12" t="s">
        <v>59</v>
      </c>
      <c r="D1216" s="12">
        <v>0</v>
      </c>
      <c r="E1216" s="12" t="s">
        <v>53</v>
      </c>
      <c r="F1216" s="12">
        <v>0</v>
      </c>
      <c r="G1216" s="12">
        <v>1</v>
      </c>
      <c r="H1216" s="12" t="s">
        <v>61</v>
      </c>
      <c r="I1216" s="12">
        <v>1</v>
      </c>
      <c r="J1216" s="12">
        <v>0</v>
      </c>
      <c r="K1216" s="12">
        <v>2</v>
      </c>
      <c r="L1216" s="12">
        <f t="shared" si="271"/>
        <v>2</v>
      </c>
      <c r="M1216" s="12">
        <v>3</v>
      </c>
      <c r="N1216" s="12" t="s">
        <v>55</v>
      </c>
      <c r="O1216" s="12">
        <v>1</v>
      </c>
      <c r="P1216" s="12">
        <v>0</v>
      </c>
      <c r="Q1216" s="12">
        <v>0</v>
      </c>
      <c r="R1216" s="12">
        <v>0</v>
      </c>
      <c r="S1216" s="12">
        <v>0</v>
      </c>
      <c r="T1216" s="12">
        <v>3</v>
      </c>
      <c r="U1216" s="12" t="s">
        <v>19</v>
      </c>
      <c r="V1216" s="12">
        <v>1</v>
      </c>
      <c r="W1216" s="12">
        <v>96</v>
      </c>
      <c r="X1216" s="12">
        <v>4</v>
      </c>
      <c r="Y1216" s="12">
        <v>3</v>
      </c>
      <c r="Z1216" s="12" t="s">
        <v>85</v>
      </c>
      <c r="AA1216" s="12">
        <v>1</v>
      </c>
      <c r="AB1216" s="12">
        <v>0</v>
      </c>
      <c r="AC1216" s="12">
        <v>0</v>
      </c>
      <c r="AD1216" s="12">
        <v>0</v>
      </c>
      <c r="AE1216" s="12">
        <v>0</v>
      </c>
      <c r="AF1216" s="12">
        <v>0</v>
      </c>
      <c r="AG1216" s="12">
        <v>0</v>
      </c>
      <c r="AH1216" s="12">
        <v>0</v>
      </c>
      <c r="AI1216" s="12">
        <v>4</v>
      </c>
      <c r="AJ1216" s="12" t="s">
        <v>64</v>
      </c>
      <c r="AK1216" s="12">
        <v>0</v>
      </c>
      <c r="AL1216" s="12">
        <v>1</v>
      </c>
      <c r="AM1216" s="12">
        <v>7879</v>
      </c>
      <c r="AN1216" s="12">
        <f t="shared" si="272"/>
        <v>7879</v>
      </c>
      <c r="AO1216" s="12">
        <v>1</v>
      </c>
      <c r="AP1216" s="12" t="s">
        <v>52</v>
      </c>
      <c r="AQ1216" s="12">
        <v>1</v>
      </c>
      <c r="AR1216" s="12">
        <v>19</v>
      </c>
      <c r="AS1216" s="12">
        <v>3</v>
      </c>
      <c r="AT1216" s="12">
        <v>2</v>
      </c>
      <c r="AU1216" s="12">
        <v>1</v>
      </c>
      <c r="AV1216" s="12">
        <v>9</v>
      </c>
      <c r="AW1216" s="12">
        <f t="shared" si="273"/>
        <v>9</v>
      </c>
      <c r="AX1216" s="12">
        <v>2</v>
      </c>
      <c r="AY1216" s="12">
        <v>3</v>
      </c>
      <c r="AZ1216" s="12">
        <v>8</v>
      </c>
      <c r="BA1216" s="12">
        <f t="shared" si="274"/>
        <v>8</v>
      </c>
      <c r="BB1216" s="12">
        <v>7</v>
      </c>
      <c r="BC1216" s="12">
        <v>6</v>
      </c>
      <c r="BD1216" s="12">
        <f t="shared" si="283"/>
        <v>6</v>
      </c>
      <c r="BE1216" s="12">
        <v>7</v>
      </c>
      <c r="BF1216" s="12">
        <f t="shared" si="275"/>
        <v>7</v>
      </c>
      <c r="BG1216" s="12">
        <f t="shared" si="284"/>
        <v>21</v>
      </c>
      <c r="BH1216" s="67">
        <v>0</v>
      </c>
      <c r="BI1216" s="67">
        <v>1</v>
      </c>
      <c r="BJ1216" s="67">
        <v>0</v>
      </c>
      <c r="BK1216" s="67">
        <v>0</v>
      </c>
      <c r="BL1216" s="67">
        <v>0</v>
      </c>
      <c r="BM1216" s="67">
        <v>0</v>
      </c>
      <c r="BN1216" s="67">
        <v>0</v>
      </c>
      <c r="BO1216" s="67">
        <v>1</v>
      </c>
      <c r="BP1216" s="67">
        <v>0</v>
      </c>
      <c r="BQ1216" s="67">
        <v>7</v>
      </c>
      <c r="BR1216" s="67">
        <v>0</v>
      </c>
      <c r="BS1216" s="67">
        <v>0</v>
      </c>
      <c r="BT1216" s="67">
        <v>9</v>
      </c>
      <c r="BU1216" s="70">
        <v>0</v>
      </c>
      <c r="BV1216" s="29">
        <f t="shared" si="276"/>
        <v>0.2922857559829794</v>
      </c>
      <c r="BW1216">
        <f t="shared" si="277"/>
        <v>0.80626709607243985</v>
      </c>
      <c r="BX1216">
        <f t="shared" si="278"/>
        <v>0.29297722668510823</v>
      </c>
      <c r="BY1216">
        <f t="shared" si="279"/>
        <v>0.16189221622713135</v>
      </c>
      <c r="BZ1216">
        <f t="shared" si="280"/>
        <v>0.88721318382472392</v>
      </c>
      <c r="CA1216">
        <f t="shared" si="281"/>
        <v>0.77459235625178136</v>
      </c>
      <c r="CB1216">
        <f t="shared" si="282"/>
        <v>1.1830340977862825</v>
      </c>
    </row>
    <row r="1217" spans="1:80" x14ac:dyDescent="0.45">
      <c r="A1217" s="11">
        <v>35</v>
      </c>
      <c r="B1217" s="12">
        <f t="shared" si="270"/>
        <v>35</v>
      </c>
      <c r="C1217" s="12" t="s">
        <v>59</v>
      </c>
      <c r="D1217" s="12">
        <v>0</v>
      </c>
      <c r="E1217" s="12" t="s">
        <v>60</v>
      </c>
      <c r="F1217" s="12">
        <v>1</v>
      </c>
      <c r="G1217" s="12">
        <v>0</v>
      </c>
      <c r="H1217" s="12" t="s">
        <v>61</v>
      </c>
      <c r="I1217" s="12">
        <v>1</v>
      </c>
      <c r="J1217" s="12">
        <v>0</v>
      </c>
      <c r="K1217" s="12">
        <v>2</v>
      </c>
      <c r="L1217" s="12">
        <f t="shared" si="271"/>
        <v>2</v>
      </c>
      <c r="M1217" s="12">
        <v>4</v>
      </c>
      <c r="N1217" s="12" t="s">
        <v>70</v>
      </c>
      <c r="O1217" s="12">
        <v>0</v>
      </c>
      <c r="P1217" s="12">
        <v>0</v>
      </c>
      <c r="Q1217" s="12">
        <v>1</v>
      </c>
      <c r="R1217" s="12">
        <v>0</v>
      </c>
      <c r="S1217" s="12">
        <v>0</v>
      </c>
      <c r="T1217" s="12">
        <v>1</v>
      </c>
      <c r="U1217" s="12" t="s">
        <v>62</v>
      </c>
      <c r="V1217" s="12">
        <v>0</v>
      </c>
      <c r="W1217" s="12">
        <v>79</v>
      </c>
      <c r="X1217" s="12">
        <v>2</v>
      </c>
      <c r="Y1217" s="12">
        <v>1</v>
      </c>
      <c r="Z1217" s="12" t="s">
        <v>63</v>
      </c>
      <c r="AA1217" s="12">
        <v>0</v>
      </c>
      <c r="AB1217" s="12">
        <v>0</v>
      </c>
      <c r="AC1217" s="12">
        <v>0</v>
      </c>
      <c r="AD1217" s="12">
        <v>0</v>
      </c>
      <c r="AE1217" s="12">
        <v>0</v>
      </c>
      <c r="AF1217" s="12">
        <v>0</v>
      </c>
      <c r="AG1217" s="12">
        <v>0</v>
      </c>
      <c r="AH1217" s="12">
        <v>1</v>
      </c>
      <c r="AI1217" s="12">
        <v>4</v>
      </c>
      <c r="AJ1217" s="12" t="s">
        <v>57</v>
      </c>
      <c r="AK1217" s="12">
        <v>1</v>
      </c>
      <c r="AL1217" s="12">
        <v>0</v>
      </c>
      <c r="AM1217" s="12">
        <v>4930</v>
      </c>
      <c r="AN1217" s="12">
        <f t="shared" si="272"/>
        <v>4930</v>
      </c>
      <c r="AO1217" s="12">
        <v>0</v>
      </c>
      <c r="AP1217" s="12" t="s">
        <v>52</v>
      </c>
      <c r="AQ1217" s="12">
        <v>1</v>
      </c>
      <c r="AR1217" s="12">
        <v>14</v>
      </c>
      <c r="AS1217" s="12">
        <v>3</v>
      </c>
      <c r="AT1217" s="12">
        <v>3</v>
      </c>
      <c r="AU1217" s="12">
        <v>0</v>
      </c>
      <c r="AV1217" s="12">
        <v>6</v>
      </c>
      <c r="AW1217" s="12">
        <f t="shared" si="273"/>
        <v>6</v>
      </c>
      <c r="AX1217" s="12">
        <v>2</v>
      </c>
      <c r="AY1217" s="12">
        <v>4</v>
      </c>
      <c r="AZ1217" s="12">
        <v>5</v>
      </c>
      <c r="BA1217" s="12">
        <f t="shared" si="274"/>
        <v>5</v>
      </c>
      <c r="BB1217" s="12">
        <v>4</v>
      </c>
      <c r="BC1217" s="12">
        <v>1</v>
      </c>
      <c r="BD1217" s="12">
        <f t="shared" si="283"/>
        <v>1</v>
      </c>
      <c r="BE1217" s="12">
        <v>4</v>
      </c>
      <c r="BF1217" s="12">
        <f t="shared" si="275"/>
        <v>4</v>
      </c>
      <c r="BG1217" s="12">
        <f t="shared" si="284"/>
        <v>4</v>
      </c>
      <c r="BH1217" s="67">
        <v>0</v>
      </c>
      <c r="BI1217" s="67">
        <v>0</v>
      </c>
      <c r="BJ1217" s="67">
        <v>1</v>
      </c>
      <c r="BK1217" s="67">
        <v>0</v>
      </c>
      <c r="BL1217" s="67">
        <v>0</v>
      </c>
      <c r="BM1217" s="67">
        <v>1</v>
      </c>
      <c r="BN1217" s="67">
        <v>0</v>
      </c>
      <c r="BO1217" s="67">
        <v>0</v>
      </c>
      <c r="BP1217" s="67">
        <v>0</v>
      </c>
      <c r="BQ1217" s="67">
        <v>4</v>
      </c>
      <c r="BR1217" s="67">
        <v>0</v>
      </c>
      <c r="BS1217" s="67">
        <v>0</v>
      </c>
      <c r="BT1217" s="67">
        <v>6</v>
      </c>
      <c r="BU1217" s="70">
        <v>0</v>
      </c>
      <c r="BV1217" s="29">
        <f t="shared" si="276"/>
        <v>0.33410062262338042</v>
      </c>
      <c r="BW1217">
        <f t="shared" si="277"/>
        <v>3.4508002929560584E-2</v>
      </c>
      <c r="BX1217">
        <f t="shared" si="278"/>
        <v>0.67854260110508058</v>
      </c>
      <c r="BY1217">
        <f t="shared" si="279"/>
        <v>0.32778177112653761</v>
      </c>
      <c r="BZ1217">
        <f t="shared" si="280"/>
        <v>0.88721318382472392</v>
      </c>
      <c r="CA1217">
        <f t="shared" si="281"/>
        <v>0.21058903898096887</v>
      </c>
      <c r="CB1217">
        <f t="shared" si="282"/>
        <v>0.36858985273641137</v>
      </c>
    </row>
    <row r="1218" spans="1:80" x14ac:dyDescent="0.45">
      <c r="A1218" s="11">
        <v>43</v>
      </c>
      <c r="B1218" s="12">
        <f t="shared" ref="B1218:B1281" si="285">IF(A1218&gt;$CD$29,$CD$29,IF(A1218&lt;$CD$30,$CD$30,A1218))</f>
        <v>43</v>
      </c>
      <c r="C1218" s="12" t="s">
        <v>59</v>
      </c>
      <c r="D1218" s="12">
        <v>0</v>
      </c>
      <c r="E1218" s="12" t="s">
        <v>53</v>
      </c>
      <c r="F1218" s="12">
        <v>0</v>
      </c>
      <c r="G1218" s="12">
        <v>1</v>
      </c>
      <c r="H1218" s="12" t="s">
        <v>54</v>
      </c>
      <c r="I1218" s="12">
        <v>0</v>
      </c>
      <c r="J1218" s="12">
        <v>1</v>
      </c>
      <c r="K1218" s="12">
        <v>2</v>
      </c>
      <c r="L1218" s="12">
        <f t="shared" ref="L1218:L1281" si="286">IF(K1218&gt;$CD$25,$CD$25,IF(K1218&lt;$CD$26,$CD$26,K1218))</f>
        <v>2</v>
      </c>
      <c r="M1218" s="12">
        <v>3</v>
      </c>
      <c r="N1218" s="12" t="s">
        <v>70</v>
      </c>
      <c r="O1218" s="12">
        <v>0</v>
      </c>
      <c r="P1218" s="12">
        <v>0</v>
      </c>
      <c r="Q1218" s="12">
        <v>1</v>
      </c>
      <c r="R1218" s="12">
        <v>0</v>
      </c>
      <c r="S1218" s="12">
        <v>0</v>
      </c>
      <c r="T1218" s="12">
        <v>4</v>
      </c>
      <c r="U1218" s="12" t="s">
        <v>62</v>
      </c>
      <c r="V1218" s="12">
        <v>0</v>
      </c>
      <c r="W1218" s="12">
        <v>73</v>
      </c>
      <c r="X1218" s="12">
        <v>3</v>
      </c>
      <c r="Y1218" s="12">
        <v>2</v>
      </c>
      <c r="Z1218" s="12" t="s">
        <v>56</v>
      </c>
      <c r="AA1218" s="12">
        <v>0</v>
      </c>
      <c r="AB1218" s="12">
        <v>1</v>
      </c>
      <c r="AC1218" s="12">
        <v>0</v>
      </c>
      <c r="AD1218" s="12">
        <v>0</v>
      </c>
      <c r="AE1218" s="12">
        <v>0</v>
      </c>
      <c r="AF1218" s="12">
        <v>0</v>
      </c>
      <c r="AG1218" s="12">
        <v>0</v>
      </c>
      <c r="AH1218" s="12">
        <v>0</v>
      </c>
      <c r="AI1218" s="12">
        <v>4</v>
      </c>
      <c r="AJ1218" s="12" t="s">
        <v>64</v>
      </c>
      <c r="AK1218" s="12">
        <v>0</v>
      </c>
      <c r="AL1218" s="12">
        <v>1</v>
      </c>
      <c r="AM1218" s="12">
        <v>7847</v>
      </c>
      <c r="AN1218" s="12">
        <f t="shared" ref="AN1218:AN1281" si="287">IF(AM1218&gt;$CD$8,$CD$8,IF(AM1218&lt;$CD$9,$CD$9,AM1218))</f>
        <v>7847</v>
      </c>
      <c r="AO1218" s="12">
        <v>1</v>
      </c>
      <c r="AP1218" s="12" t="s">
        <v>52</v>
      </c>
      <c r="AQ1218" s="12">
        <v>1</v>
      </c>
      <c r="AR1218" s="12">
        <v>17</v>
      </c>
      <c r="AS1218" s="12">
        <v>3</v>
      </c>
      <c r="AT1218" s="12">
        <v>1</v>
      </c>
      <c r="AU1218" s="12">
        <v>1</v>
      </c>
      <c r="AV1218" s="12">
        <v>10</v>
      </c>
      <c r="AW1218" s="12">
        <f t="shared" ref="AW1218:AW1281" si="288">IF(AV1218&gt;$CD$17,$CD$17,IF(AV1218&lt;$CD$18,$CD$18,AV1218))</f>
        <v>10</v>
      </c>
      <c r="AX1218" s="12">
        <v>3</v>
      </c>
      <c r="AY1218" s="12">
        <v>3</v>
      </c>
      <c r="AZ1218" s="12">
        <v>10</v>
      </c>
      <c r="BA1218" s="12">
        <f t="shared" ref="BA1218:BA1281" si="289">IF(AZ1218&gt; $CD$21,$CD$21,IF(AZ1218&lt;$CD$22,$CD$22,AZ1218))</f>
        <v>10</v>
      </c>
      <c r="BB1218" s="12">
        <v>9</v>
      </c>
      <c r="BC1218" s="12">
        <v>8</v>
      </c>
      <c r="BD1218" s="12">
        <f t="shared" si="283"/>
        <v>8</v>
      </c>
      <c r="BE1218" s="12">
        <v>8</v>
      </c>
      <c r="BF1218" s="12">
        <f t="shared" ref="BF1218:BF1281" si="290">IF(BE1218&gt;$CD$12,$CD$12,IF(BE1218&lt;$CD$13,$CD$13,BE1218))</f>
        <v>8</v>
      </c>
      <c r="BG1218" s="12">
        <f t="shared" si="284"/>
        <v>16</v>
      </c>
      <c r="BH1218" s="67">
        <v>0</v>
      </c>
      <c r="BI1218" s="67">
        <v>1</v>
      </c>
      <c r="BJ1218" s="67">
        <v>0</v>
      </c>
      <c r="BK1218" s="67">
        <v>0</v>
      </c>
      <c r="BL1218" s="67">
        <v>0</v>
      </c>
      <c r="BM1218" s="67">
        <v>0</v>
      </c>
      <c r="BN1218" s="67">
        <v>0</v>
      </c>
      <c r="BO1218" s="67">
        <v>1</v>
      </c>
      <c r="BP1218" s="67">
        <v>0</v>
      </c>
      <c r="BQ1218" s="67">
        <v>0</v>
      </c>
      <c r="BR1218" s="67">
        <v>8</v>
      </c>
      <c r="BS1218" s="67">
        <v>0</v>
      </c>
      <c r="BT1218" s="67">
        <v>0</v>
      </c>
      <c r="BU1218" s="70">
        <v>10</v>
      </c>
      <c r="BV1218" s="29">
        <f t="shared" ref="BV1218:BV1281" si="291">ABS((AM1218-AVERAGE(AM:AM))/_xlfn.STDEV.S(AM:AM))</f>
        <v>0.28548875221376829</v>
      </c>
      <c r="BW1218">
        <f t="shared" ref="BW1218:BW1281" si="292">ABS((BE1218-AVERAGE(BE:BE))/_xlfn.STDEV.S(BE:BE))</f>
        <v>1.08652546240644</v>
      </c>
      <c r="BX1218">
        <f t="shared" ref="BX1218:BX1281" si="293">ABS((AV1218-AVERAGE(AV:AV))/_xlfn.STDEV.S(AV:AV))</f>
        <v>0.1644554352117841</v>
      </c>
      <c r="BY1218">
        <f t="shared" ref="BY1218:BY1281" si="294">ABS((AZ1218-AVERAGE(AZ:AZ))/_xlfn.STDEV.S(AZ:AZ))</f>
        <v>0.48834154112957734</v>
      </c>
      <c r="BZ1218">
        <f t="shared" ref="BZ1218:BZ1281" si="295">ABS((K1218-AVERAGE(K:K))/_xlfn.STDEV.S(K:K))</f>
        <v>0.88721318382472392</v>
      </c>
      <c r="CA1218">
        <f t="shared" ref="CA1218:CA1281" si="296">ABS((A1218-AVERAGE(A:A))/_xlfn.STDEV.S(A:A))</f>
        <v>0.66512775678147573</v>
      </c>
      <c r="CB1218">
        <f t="shared" ref="CB1218:CB1281" si="297">ABS((BC1218-AVERAGE(BC:BC))/_xlfn.STDEV.S(BC:BC))</f>
        <v>1.8036836779953602</v>
      </c>
    </row>
    <row r="1219" spans="1:80" x14ac:dyDescent="0.45">
      <c r="A1219" s="11">
        <v>24</v>
      </c>
      <c r="B1219" s="12">
        <f t="shared" si="285"/>
        <v>24</v>
      </c>
      <c r="C1219" s="12" t="s">
        <v>59</v>
      </c>
      <c r="D1219" s="12">
        <v>0</v>
      </c>
      <c r="E1219" s="12" t="s">
        <v>53</v>
      </c>
      <c r="F1219" s="12">
        <v>0</v>
      </c>
      <c r="G1219" s="12">
        <v>1</v>
      </c>
      <c r="H1219" s="12" t="s">
        <v>61</v>
      </c>
      <c r="I1219" s="12">
        <v>1</v>
      </c>
      <c r="J1219" s="12">
        <v>0</v>
      </c>
      <c r="K1219" s="12">
        <v>9</v>
      </c>
      <c r="L1219" s="12">
        <f t="shared" si="286"/>
        <v>9</v>
      </c>
      <c r="M1219" s="12">
        <v>3</v>
      </c>
      <c r="N1219" s="12" t="s">
        <v>70</v>
      </c>
      <c r="O1219" s="12">
        <v>0</v>
      </c>
      <c r="P1219" s="12">
        <v>0</v>
      </c>
      <c r="Q1219" s="12">
        <v>1</v>
      </c>
      <c r="R1219" s="12">
        <v>0</v>
      </c>
      <c r="S1219" s="12">
        <v>0</v>
      </c>
      <c r="T1219" s="12">
        <v>3</v>
      </c>
      <c r="U1219" s="12" t="s">
        <v>62</v>
      </c>
      <c r="V1219" s="12">
        <v>0</v>
      </c>
      <c r="W1219" s="12">
        <v>62</v>
      </c>
      <c r="X1219" s="12">
        <v>4</v>
      </c>
      <c r="Y1219" s="12">
        <v>1</v>
      </c>
      <c r="Z1219" s="12" t="s">
        <v>63</v>
      </c>
      <c r="AA1219" s="12">
        <v>0</v>
      </c>
      <c r="AB1219" s="12">
        <v>0</v>
      </c>
      <c r="AC1219" s="12">
        <v>0</v>
      </c>
      <c r="AD1219" s="12">
        <v>0</v>
      </c>
      <c r="AE1219" s="12">
        <v>0</v>
      </c>
      <c r="AF1219" s="12">
        <v>0</v>
      </c>
      <c r="AG1219" s="12">
        <v>0</v>
      </c>
      <c r="AH1219" s="12">
        <v>1</v>
      </c>
      <c r="AI1219" s="12">
        <v>3</v>
      </c>
      <c r="AJ1219" s="12" t="s">
        <v>64</v>
      </c>
      <c r="AK1219" s="12">
        <v>0</v>
      </c>
      <c r="AL1219" s="12">
        <v>1</v>
      </c>
      <c r="AM1219" s="12">
        <v>4401</v>
      </c>
      <c r="AN1219" s="12">
        <f t="shared" si="287"/>
        <v>4401</v>
      </c>
      <c r="AO1219" s="12">
        <v>1</v>
      </c>
      <c r="AP1219" s="12" t="s">
        <v>59</v>
      </c>
      <c r="AQ1219" s="12">
        <v>0</v>
      </c>
      <c r="AR1219" s="12">
        <v>16</v>
      </c>
      <c r="AS1219" s="12">
        <v>3</v>
      </c>
      <c r="AT1219" s="12">
        <v>4</v>
      </c>
      <c r="AU1219" s="12">
        <v>1</v>
      </c>
      <c r="AV1219" s="12">
        <v>5</v>
      </c>
      <c r="AW1219" s="12">
        <f t="shared" si="288"/>
        <v>5</v>
      </c>
      <c r="AX1219" s="12">
        <v>1</v>
      </c>
      <c r="AY1219" s="12">
        <v>3</v>
      </c>
      <c r="AZ1219" s="12">
        <v>5</v>
      </c>
      <c r="BA1219" s="12">
        <f t="shared" si="289"/>
        <v>5</v>
      </c>
      <c r="BB1219" s="12">
        <v>3</v>
      </c>
      <c r="BC1219" s="12">
        <v>0</v>
      </c>
      <c r="BD1219" s="12">
        <f t="shared" ref="BD1219:BD1282" si="298">IF(BC1219&gt;$CD$33,$CD$33,BC1219)</f>
        <v>0</v>
      </c>
      <c r="BE1219" s="12">
        <v>4</v>
      </c>
      <c r="BF1219" s="12">
        <f t="shared" si="290"/>
        <v>4</v>
      </c>
      <c r="BG1219" s="12">
        <f t="shared" ref="BG1219:BG1282" si="299">BF1219*Y1219</f>
        <v>4</v>
      </c>
      <c r="BH1219" s="67">
        <v>0</v>
      </c>
      <c r="BI1219" s="67">
        <v>1</v>
      </c>
      <c r="BJ1219" s="67">
        <v>0</v>
      </c>
      <c r="BK1219" s="67">
        <v>0</v>
      </c>
      <c r="BL1219" s="67">
        <v>0</v>
      </c>
      <c r="BM1219" s="67">
        <v>0</v>
      </c>
      <c r="BN1219" s="67">
        <v>1</v>
      </c>
      <c r="BO1219" s="67">
        <v>0</v>
      </c>
      <c r="BP1219" s="67">
        <v>0</v>
      </c>
      <c r="BQ1219" s="67">
        <v>4</v>
      </c>
      <c r="BR1219" s="67">
        <v>0</v>
      </c>
      <c r="BS1219" s="67">
        <v>0</v>
      </c>
      <c r="BT1219" s="67">
        <v>5</v>
      </c>
      <c r="BU1219" s="70">
        <v>0</v>
      </c>
      <c r="BV1219" s="29">
        <f t="shared" si="291"/>
        <v>0.44646359118315132</v>
      </c>
      <c r="BW1219">
        <f t="shared" si="292"/>
        <v>3.4508002929560584E-2</v>
      </c>
      <c r="BX1219">
        <f t="shared" si="293"/>
        <v>0.80706439257840468</v>
      </c>
      <c r="BY1219">
        <f t="shared" si="294"/>
        <v>0.32778177112653761</v>
      </c>
      <c r="BZ1219">
        <f t="shared" si="295"/>
        <v>2.3747406698420157E-2</v>
      </c>
      <c r="CA1219">
        <f t="shared" si="296"/>
        <v>1.4146996331543302</v>
      </c>
      <c r="CB1219">
        <f t="shared" si="297"/>
        <v>0.67891464284095016</v>
      </c>
    </row>
    <row r="1220" spans="1:80" x14ac:dyDescent="0.45">
      <c r="A1220" s="11">
        <v>41</v>
      </c>
      <c r="B1220" s="12">
        <f t="shared" si="285"/>
        <v>41</v>
      </c>
      <c r="C1220" s="12" t="s">
        <v>59</v>
      </c>
      <c r="D1220" s="12">
        <v>0</v>
      </c>
      <c r="E1220" s="12" t="s">
        <v>53</v>
      </c>
      <c r="F1220" s="12">
        <v>0</v>
      </c>
      <c r="G1220" s="12">
        <v>1</v>
      </c>
      <c r="H1220" s="12" t="s">
        <v>54</v>
      </c>
      <c r="I1220" s="12">
        <v>0</v>
      </c>
      <c r="J1220" s="12">
        <v>1</v>
      </c>
      <c r="K1220" s="12">
        <v>6</v>
      </c>
      <c r="L1220" s="12">
        <f t="shared" si="286"/>
        <v>6</v>
      </c>
      <c r="M1220" s="12">
        <v>3</v>
      </c>
      <c r="N1220" s="12" t="s">
        <v>90</v>
      </c>
      <c r="O1220" s="12">
        <v>0</v>
      </c>
      <c r="P1220" s="12">
        <v>0</v>
      </c>
      <c r="Q1220" s="12">
        <v>0</v>
      </c>
      <c r="R1220" s="12">
        <v>1</v>
      </c>
      <c r="S1220" s="12">
        <v>0</v>
      </c>
      <c r="T1220" s="12">
        <v>4</v>
      </c>
      <c r="U1220" s="12" t="s">
        <v>62</v>
      </c>
      <c r="V1220" s="12">
        <v>0</v>
      </c>
      <c r="W1220" s="12">
        <v>35</v>
      </c>
      <c r="X1220" s="12">
        <v>3</v>
      </c>
      <c r="Y1220" s="12">
        <v>3</v>
      </c>
      <c r="Z1220" s="12" t="s">
        <v>56</v>
      </c>
      <c r="AA1220" s="12">
        <v>0</v>
      </c>
      <c r="AB1220" s="12">
        <v>1</v>
      </c>
      <c r="AC1220" s="12">
        <v>0</v>
      </c>
      <c r="AD1220" s="12">
        <v>0</v>
      </c>
      <c r="AE1220" s="12">
        <v>0</v>
      </c>
      <c r="AF1220" s="12">
        <v>0</v>
      </c>
      <c r="AG1220" s="12">
        <v>0</v>
      </c>
      <c r="AH1220" s="12">
        <v>0</v>
      </c>
      <c r="AI1220" s="12">
        <v>3</v>
      </c>
      <c r="AJ1220" s="12" t="s">
        <v>57</v>
      </c>
      <c r="AK1220" s="12">
        <v>1</v>
      </c>
      <c r="AL1220" s="12">
        <v>0</v>
      </c>
      <c r="AM1220" s="12">
        <v>9241</v>
      </c>
      <c r="AN1220" s="12">
        <f t="shared" si="287"/>
        <v>9241</v>
      </c>
      <c r="AO1220" s="12">
        <v>1</v>
      </c>
      <c r="AP1220" s="12" t="s">
        <v>59</v>
      </c>
      <c r="AQ1220" s="12">
        <v>0</v>
      </c>
      <c r="AR1220" s="12">
        <v>12</v>
      </c>
      <c r="AS1220" s="12">
        <v>3</v>
      </c>
      <c r="AT1220" s="12">
        <v>2</v>
      </c>
      <c r="AU1220" s="12">
        <v>0</v>
      </c>
      <c r="AV1220" s="12">
        <v>10</v>
      </c>
      <c r="AW1220" s="12">
        <f t="shared" si="288"/>
        <v>10</v>
      </c>
      <c r="AX1220" s="12">
        <v>3</v>
      </c>
      <c r="AY1220" s="12">
        <v>3</v>
      </c>
      <c r="AZ1220" s="12">
        <v>10</v>
      </c>
      <c r="BA1220" s="12">
        <f t="shared" si="289"/>
        <v>10</v>
      </c>
      <c r="BB1220" s="12">
        <v>8</v>
      </c>
      <c r="BC1220" s="12">
        <v>8</v>
      </c>
      <c r="BD1220" s="12">
        <f t="shared" si="298"/>
        <v>8</v>
      </c>
      <c r="BE1220" s="12">
        <v>7</v>
      </c>
      <c r="BF1220" s="12">
        <f t="shared" si="290"/>
        <v>7</v>
      </c>
      <c r="BG1220" s="12">
        <f t="shared" si="299"/>
        <v>21</v>
      </c>
      <c r="BH1220" s="67">
        <v>1</v>
      </c>
      <c r="BI1220" s="67">
        <v>0</v>
      </c>
      <c r="BJ1220" s="67">
        <v>0</v>
      </c>
      <c r="BK1220" s="67">
        <v>0</v>
      </c>
      <c r="BL1220" s="67">
        <v>1</v>
      </c>
      <c r="BM1220" s="67">
        <v>0</v>
      </c>
      <c r="BN1220" s="67">
        <v>0</v>
      </c>
      <c r="BO1220" s="67">
        <v>0</v>
      </c>
      <c r="BP1220" s="67">
        <v>0</v>
      </c>
      <c r="BQ1220" s="67">
        <v>0</v>
      </c>
      <c r="BR1220" s="67">
        <v>7</v>
      </c>
      <c r="BS1220" s="67">
        <v>0</v>
      </c>
      <c r="BT1220" s="67">
        <v>0</v>
      </c>
      <c r="BU1220" s="70">
        <v>10</v>
      </c>
      <c r="BV1220" s="29">
        <f t="shared" si="291"/>
        <v>0.58158322891002656</v>
      </c>
      <c r="BW1220">
        <f t="shared" si="292"/>
        <v>0.80626709607243985</v>
      </c>
      <c r="BX1220">
        <f t="shared" si="293"/>
        <v>0.1644554352117841</v>
      </c>
      <c r="BY1220">
        <f t="shared" si="294"/>
        <v>0.48834154112957734</v>
      </c>
      <c r="BZ1220">
        <f t="shared" si="295"/>
        <v>0.39380416832397891</v>
      </c>
      <c r="CA1220">
        <f t="shared" si="296"/>
        <v>0.4461985578408646</v>
      </c>
      <c r="CB1220">
        <f t="shared" si="297"/>
        <v>1.8036836779953602</v>
      </c>
    </row>
    <row r="1221" spans="1:80" x14ac:dyDescent="0.45">
      <c r="A1221" s="11">
        <v>29</v>
      </c>
      <c r="B1221" s="12">
        <f t="shared" si="285"/>
        <v>29</v>
      </c>
      <c r="C1221" s="12" t="s">
        <v>59</v>
      </c>
      <c r="D1221" s="12">
        <v>0</v>
      </c>
      <c r="E1221" s="12" t="s">
        <v>53</v>
      </c>
      <c r="F1221" s="12">
        <v>0</v>
      </c>
      <c r="G1221" s="12">
        <v>1</v>
      </c>
      <c r="H1221" s="12" t="s">
        <v>61</v>
      </c>
      <c r="I1221" s="12">
        <v>1</v>
      </c>
      <c r="J1221" s="12">
        <v>0</v>
      </c>
      <c r="K1221" s="12">
        <v>9</v>
      </c>
      <c r="L1221" s="12">
        <f t="shared" si="286"/>
        <v>9</v>
      </c>
      <c r="M1221" s="12">
        <v>4</v>
      </c>
      <c r="N1221" s="12" t="s">
        <v>70</v>
      </c>
      <c r="O1221" s="12">
        <v>0</v>
      </c>
      <c r="P1221" s="12">
        <v>0</v>
      </c>
      <c r="Q1221" s="12">
        <v>1</v>
      </c>
      <c r="R1221" s="12">
        <v>0</v>
      </c>
      <c r="S1221" s="12">
        <v>0</v>
      </c>
      <c r="T1221" s="12">
        <v>4</v>
      </c>
      <c r="U1221" s="12" t="s">
        <v>19</v>
      </c>
      <c r="V1221" s="12">
        <v>1</v>
      </c>
      <c r="W1221" s="12">
        <v>43</v>
      </c>
      <c r="X1221" s="12">
        <v>3</v>
      </c>
      <c r="Y1221" s="12">
        <v>1</v>
      </c>
      <c r="Z1221" s="12" t="s">
        <v>67</v>
      </c>
      <c r="AA1221" s="12">
        <v>0</v>
      </c>
      <c r="AB1221" s="12">
        <v>0</v>
      </c>
      <c r="AC1221" s="12">
        <v>1</v>
      </c>
      <c r="AD1221" s="12">
        <v>0</v>
      </c>
      <c r="AE1221" s="12">
        <v>0</v>
      </c>
      <c r="AF1221" s="12">
        <v>0</v>
      </c>
      <c r="AG1221" s="12">
        <v>0</v>
      </c>
      <c r="AH1221" s="12">
        <v>0</v>
      </c>
      <c r="AI1221" s="12">
        <v>3</v>
      </c>
      <c r="AJ1221" s="12" t="s">
        <v>64</v>
      </c>
      <c r="AK1221" s="12">
        <v>0</v>
      </c>
      <c r="AL1221" s="12">
        <v>1</v>
      </c>
      <c r="AM1221" s="12">
        <v>2974</v>
      </c>
      <c r="AN1221" s="12">
        <f t="shared" si="287"/>
        <v>2974</v>
      </c>
      <c r="AO1221" s="12">
        <v>9</v>
      </c>
      <c r="AP1221" s="12" t="s">
        <v>59</v>
      </c>
      <c r="AQ1221" s="12">
        <v>0</v>
      </c>
      <c r="AR1221" s="12">
        <v>17</v>
      </c>
      <c r="AS1221" s="12">
        <v>3</v>
      </c>
      <c r="AT1221" s="12">
        <v>3</v>
      </c>
      <c r="AU1221" s="12">
        <v>1</v>
      </c>
      <c r="AV1221" s="12">
        <v>9</v>
      </c>
      <c r="AW1221" s="12">
        <f t="shared" si="288"/>
        <v>9</v>
      </c>
      <c r="AX1221" s="12">
        <v>2</v>
      </c>
      <c r="AY1221" s="12">
        <v>3</v>
      </c>
      <c r="AZ1221" s="12">
        <v>5</v>
      </c>
      <c r="BA1221" s="12">
        <f t="shared" si="289"/>
        <v>5</v>
      </c>
      <c r="BB1221" s="12">
        <v>3</v>
      </c>
      <c r="BC1221" s="12">
        <v>1</v>
      </c>
      <c r="BD1221" s="12">
        <f t="shared" si="298"/>
        <v>1</v>
      </c>
      <c r="BE1221" s="12">
        <v>2</v>
      </c>
      <c r="BF1221" s="12">
        <f t="shared" si="290"/>
        <v>2</v>
      </c>
      <c r="BG1221" s="12">
        <f t="shared" si="299"/>
        <v>2</v>
      </c>
      <c r="BH1221" s="67">
        <v>0</v>
      </c>
      <c r="BI1221" s="67">
        <v>1</v>
      </c>
      <c r="BJ1221" s="67">
        <v>0</v>
      </c>
      <c r="BK1221" s="67">
        <v>0</v>
      </c>
      <c r="BL1221" s="67">
        <v>0</v>
      </c>
      <c r="BM1221" s="67">
        <v>0</v>
      </c>
      <c r="BN1221" s="67">
        <v>1</v>
      </c>
      <c r="BO1221" s="67">
        <v>0</v>
      </c>
      <c r="BP1221" s="67">
        <v>0</v>
      </c>
      <c r="BQ1221" s="67">
        <v>2</v>
      </c>
      <c r="BR1221" s="67">
        <v>0</v>
      </c>
      <c r="BS1221" s="67">
        <v>0</v>
      </c>
      <c r="BT1221" s="67">
        <v>9</v>
      </c>
      <c r="BU1221" s="70">
        <v>0</v>
      </c>
      <c r="BV1221" s="29">
        <f t="shared" si="291"/>
        <v>0.74956747801640855</v>
      </c>
      <c r="BW1221">
        <f t="shared" si="292"/>
        <v>0.59502473559756086</v>
      </c>
      <c r="BX1221">
        <f t="shared" si="293"/>
        <v>0.29297722668510823</v>
      </c>
      <c r="BY1221">
        <f t="shared" si="294"/>
        <v>0.32778177112653761</v>
      </c>
      <c r="BZ1221">
        <f t="shared" si="295"/>
        <v>2.3747406698420157E-2</v>
      </c>
      <c r="CA1221">
        <f t="shared" si="296"/>
        <v>0.86737663580280233</v>
      </c>
      <c r="CB1221">
        <f t="shared" si="297"/>
        <v>0.36858985273641137</v>
      </c>
    </row>
    <row r="1222" spans="1:80" x14ac:dyDescent="0.45">
      <c r="A1222" s="11">
        <v>36</v>
      </c>
      <c r="B1222" s="12">
        <f t="shared" si="285"/>
        <v>36</v>
      </c>
      <c r="C1222" s="12" t="s">
        <v>59</v>
      </c>
      <c r="D1222" s="12">
        <v>0</v>
      </c>
      <c r="E1222" s="12" t="s">
        <v>53</v>
      </c>
      <c r="F1222" s="12">
        <v>0</v>
      </c>
      <c r="G1222" s="12">
        <v>1</v>
      </c>
      <c r="H1222" s="12" t="s">
        <v>54</v>
      </c>
      <c r="I1222" s="12">
        <v>0</v>
      </c>
      <c r="J1222" s="12">
        <v>1</v>
      </c>
      <c r="K1222" s="12">
        <v>2</v>
      </c>
      <c r="L1222" s="12">
        <f t="shared" si="286"/>
        <v>2</v>
      </c>
      <c r="M1222" s="12">
        <v>4</v>
      </c>
      <c r="N1222" s="12" t="s">
        <v>55</v>
      </c>
      <c r="O1222" s="12">
        <v>1</v>
      </c>
      <c r="P1222" s="12">
        <v>0</v>
      </c>
      <c r="Q1222" s="12">
        <v>0</v>
      </c>
      <c r="R1222" s="12">
        <v>0</v>
      </c>
      <c r="S1222" s="12">
        <v>0</v>
      </c>
      <c r="T1222" s="12">
        <v>3</v>
      </c>
      <c r="U1222" s="12" t="s">
        <v>19</v>
      </c>
      <c r="V1222" s="12">
        <v>1</v>
      </c>
      <c r="W1222" s="12">
        <v>51</v>
      </c>
      <c r="X1222" s="12">
        <v>3</v>
      </c>
      <c r="Y1222" s="12">
        <v>2</v>
      </c>
      <c r="Z1222" s="12" t="s">
        <v>88</v>
      </c>
      <c r="AA1222" s="12">
        <v>0</v>
      </c>
      <c r="AB1222" s="12">
        <v>0</v>
      </c>
      <c r="AC1222" s="12">
        <v>0</v>
      </c>
      <c r="AD1222" s="12">
        <v>0</v>
      </c>
      <c r="AE1222" s="12">
        <v>0</v>
      </c>
      <c r="AF1222" s="12">
        <v>0</v>
      </c>
      <c r="AG1222" s="12">
        <v>1</v>
      </c>
      <c r="AH1222" s="12">
        <v>0</v>
      </c>
      <c r="AI1222" s="12">
        <v>4</v>
      </c>
      <c r="AJ1222" s="12" t="s">
        <v>57</v>
      </c>
      <c r="AK1222" s="12">
        <v>1</v>
      </c>
      <c r="AL1222" s="12">
        <v>0</v>
      </c>
      <c r="AM1222" s="12">
        <v>4502</v>
      </c>
      <c r="AN1222" s="12">
        <f t="shared" si="287"/>
        <v>4502</v>
      </c>
      <c r="AO1222" s="12">
        <v>3</v>
      </c>
      <c r="AP1222" s="12" t="s">
        <v>59</v>
      </c>
      <c r="AQ1222" s="12">
        <v>0</v>
      </c>
      <c r="AR1222" s="12">
        <v>15</v>
      </c>
      <c r="AS1222" s="12">
        <v>3</v>
      </c>
      <c r="AT1222" s="12">
        <v>3</v>
      </c>
      <c r="AU1222" s="12">
        <v>0</v>
      </c>
      <c r="AV1222" s="12">
        <v>17</v>
      </c>
      <c r="AW1222" s="12">
        <f t="shared" si="288"/>
        <v>17</v>
      </c>
      <c r="AX1222" s="12">
        <v>2</v>
      </c>
      <c r="AY1222" s="12">
        <v>2</v>
      </c>
      <c r="AZ1222" s="12">
        <v>13</v>
      </c>
      <c r="BA1222" s="12">
        <f t="shared" si="289"/>
        <v>13</v>
      </c>
      <c r="BB1222" s="12">
        <v>7</v>
      </c>
      <c r="BC1222" s="12">
        <v>6</v>
      </c>
      <c r="BD1222" s="12">
        <f t="shared" si="298"/>
        <v>6</v>
      </c>
      <c r="BE1222" s="12">
        <v>7</v>
      </c>
      <c r="BF1222" s="12">
        <f t="shared" si="290"/>
        <v>7</v>
      </c>
      <c r="BG1222" s="12">
        <f t="shared" si="299"/>
        <v>14</v>
      </c>
      <c r="BH1222" s="67">
        <v>1</v>
      </c>
      <c r="BI1222" s="67">
        <v>0</v>
      </c>
      <c r="BJ1222" s="67">
        <v>0</v>
      </c>
      <c r="BK1222" s="67">
        <v>0</v>
      </c>
      <c r="BL1222" s="67">
        <v>1</v>
      </c>
      <c r="BM1222" s="67">
        <v>0</v>
      </c>
      <c r="BN1222" s="67">
        <v>0</v>
      </c>
      <c r="BO1222" s="67">
        <v>0</v>
      </c>
      <c r="BP1222" s="67">
        <v>0</v>
      </c>
      <c r="BQ1222" s="67">
        <v>0</v>
      </c>
      <c r="BR1222" s="67">
        <v>7</v>
      </c>
      <c r="BS1222" s="67">
        <v>0</v>
      </c>
      <c r="BT1222" s="67">
        <v>0</v>
      </c>
      <c r="BU1222" s="70">
        <v>17</v>
      </c>
      <c r="BV1222" s="29">
        <f t="shared" si="291"/>
        <v>0.42501054803657878</v>
      </c>
      <c r="BW1222">
        <f t="shared" si="292"/>
        <v>0.80626709607243985</v>
      </c>
      <c r="BX1222">
        <f t="shared" si="293"/>
        <v>0.73519710510148462</v>
      </c>
      <c r="BY1222">
        <f t="shared" si="294"/>
        <v>0.97801552848324624</v>
      </c>
      <c r="BZ1222">
        <f t="shared" si="295"/>
        <v>0.88721318382472392</v>
      </c>
      <c r="CA1222">
        <f t="shared" si="296"/>
        <v>0.10112443951066327</v>
      </c>
      <c r="CB1222">
        <f t="shared" si="297"/>
        <v>1.1830340977862825</v>
      </c>
    </row>
    <row r="1223" spans="1:80" x14ac:dyDescent="0.45">
      <c r="A1223" s="11">
        <v>45</v>
      </c>
      <c r="B1223" s="12">
        <f t="shared" si="285"/>
        <v>45</v>
      </c>
      <c r="C1223" s="12" t="s">
        <v>59</v>
      </c>
      <c r="D1223" s="12">
        <v>0</v>
      </c>
      <c r="E1223" s="12" t="s">
        <v>86</v>
      </c>
      <c r="F1223" s="12">
        <v>0</v>
      </c>
      <c r="G1223" s="12">
        <v>0</v>
      </c>
      <c r="H1223" s="12" t="s">
        <v>61</v>
      </c>
      <c r="I1223" s="12">
        <v>1</v>
      </c>
      <c r="J1223" s="12">
        <v>0</v>
      </c>
      <c r="K1223" s="12">
        <v>1</v>
      </c>
      <c r="L1223" s="12">
        <f t="shared" si="286"/>
        <v>1</v>
      </c>
      <c r="M1223" s="12">
        <v>1</v>
      </c>
      <c r="N1223" s="12" t="s">
        <v>55</v>
      </c>
      <c r="O1223" s="12">
        <v>1</v>
      </c>
      <c r="P1223" s="12">
        <v>0</v>
      </c>
      <c r="Q1223" s="12">
        <v>0</v>
      </c>
      <c r="R1223" s="12">
        <v>0</v>
      </c>
      <c r="S1223" s="12">
        <v>0</v>
      </c>
      <c r="T1223" s="12">
        <v>3</v>
      </c>
      <c r="U1223" s="12" t="s">
        <v>62</v>
      </c>
      <c r="V1223" s="12">
        <v>0</v>
      </c>
      <c r="W1223" s="12">
        <v>74</v>
      </c>
      <c r="X1223" s="12">
        <v>2</v>
      </c>
      <c r="Y1223" s="12">
        <v>3</v>
      </c>
      <c r="Z1223" s="12" t="s">
        <v>85</v>
      </c>
      <c r="AA1223" s="12">
        <v>1</v>
      </c>
      <c r="AB1223" s="12">
        <v>0</v>
      </c>
      <c r="AC1223" s="12">
        <v>0</v>
      </c>
      <c r="AD1223" s="12">
        <v>0</v>
      </c>
      <c r="AE1223" s="12">
        <v>0</v>
      </c>
      <c r="AF1223" s="12">
        <v>0</v>
      </c>
      <c r="AG1223" s="12">
        <v>0</v>
      </c>
      <c r="AH1223" s="12">
        <v>0</v>
      </c>
      <c r="AI1223" s="12">
        <v>3</v>
      </c>
      <c r="AJ1223" s="12" t="s">
        <v>64</v>
      </c>
      <c r="AK1223" s="12">
        <v>0</v>
      </c>
      <c r="AL1223" s="12">
        <v>1</v>
      </c>
      <c r="AM1223" s="12">
        <v>10748</v>
      </c>
      <c r="AN1223" s="12">
        <f t="shared" si="287"/>
        <v>10748</v>
      </c>
      <c r="AO1223" s="12">
        <v>3</v>
      </c>
      <c r="AP1223" s="12" t="s">
        <v>59</v>
      </c>
      <c r="AQ1223" s="12">
        <v>0</v>
      </c>
      <c r="AR1223" s="12">
        <v>23</v>
      </c>
      <c r="AS1223" s="12">
        <v>4</v>
      </c>
      <c r="AT1223" s="12">
        <v>4</v>
      </c>
      <c r="AU1223" s="12">
        <v>1</v>
      </c>
      <c r="AV1223" s="12">
        <v>25</v>
      </c>
      <c r="AW1223" s="12">
        <f t="shared" si="288"/>
        <v>25</v>
      </c>
      <c r="AX1223" s="12">
        <v>3</v>
      </c>
      <c r="AY1223" s="12">
        <v>2</v>
      </c>
      <c r="AZ1223" s="12">
        <v>23</v>
      </c>
      <c r="BA1223" s="12">
        <f t="shared" si="289"/>
        <v>23</v>
      </c>
      <c r="BB1223" s="12">
        <v>15</v>
      </c>
      <c r="BC1223" s="12">
        <v>14</v>
      </c>
      <c r="BD1223" s="12">
        <f t="shared" si="298"/>
        <v>14</v>
      </c>
      <c r="BE1223" s="12">
        <v>4</v>
      </c>
      <c r="BF1223" s="12">
        <f t="shared" si="290"/>
        <v>4</v>
      </c>
      <c r="BG1223" s="12">
        <f t="shared" si="299"/>
        <v>12</v>
      </c>
      <c r="BH1223" s="67">
        <v>0</v>
      </c>
      <c r="BI1223" s="67">
        <v>1</v>
      </c>
      <c r="BJ1223" s="67">
        <v>0</v>
      </c>
      <c r="BK1223" s="67">
        <v>0</v>
      </c>
      <c r="BL1223" s="67">
        <v>0</v>
      </c>
      <c r="BM1223" s="67">
        <v>0</v>
      </c>
      <c r="BN1223" s="67">
        <v>1</v>
      </c>
      <c r="BO1223" s="67">
        <v>0</v>
      </c>
      <c r="BP1223" s="67">
        <v>0</v>
      </c>
      <c r="BQ1223" s="67">
        <v>4</v>
      </c>
      <c r="BR1223" s="67">
        <v>0</v>
      </c>
      <c r="BS1223" s="67">
        <v>0</v>
      </c>
      <c r="BT1223" s="67">
        <v>25</v>
      </c>
      <c r="BU1223" s="70">
        <v>0</v>
      </c>
      <c r="BV1223" s="29">
        <f t="shared" si="291"/>
        <v>0.9016796251663115</v>
      </c>
      <c r="BW1223">
        <f t="shared" si="292"/>
        <v>3.4508002929560584E-2</v>
      </c>
      <c r="BX1223">
        <f t="shared" si="293"/>
        <v>1.7633714368880775</v>
      </c>
      <c r="BY1223">
        <f t="shared" si="294"/>
        <v>2.6102621529954759</v>
      </c>
      <c r="BZ1223">
        <f t="shared" si="295"/>
        <v>1.01056543769991</v>
      </c>
      <c r="CA1223">
        <f t="shared" si="296"/>
        <v>0.88405695572208698</v>
      </c>
      <c r="CB1223">
        <f t="shared" si="297"/>
        <v>3.665632418622593</v>
      </c>
    </row>
    <row r="1224" spans="1:80" x14ac:dyDescent="0.45">
      <c r="A1224" s="11">
        <v>24</v>
      </c>
      <c r="B1224" s="12">
        <f t="shared" si="285"/>
        <v>24</v>
      </c>
      <c r="C1224" s="12" t="s">
        <v>52</v>
      </c>
      <c r="D1224" s="12">
        <v>1</v>
      </c>
      <c r="E1224" s="12" t="s">
        <v>53</v>
      </c>
      <c r="F1224" s="12">
        <v>0</v>
      </c>
      <c r="G1224" s="12">
        <v>1</v>
      </c>
      <c r="H1224" s="12" t="s">
        <v>97</v>
      </c>
      <c r="I1224" s="12">
        <v>0</v>
      </c>
      <c r="J1224" s="12">
        <v>0</v>
      </c>
      <c r="K1224" s="12">
        <v>22</v>
      </c>
      <c r="L1224" s="12">
        <f t="shared" si="286"/>
        <v>22</v>
      </c>
      <c r="M1224" s="12">
        <v>1</v>
      </c>
      <c r="N1224" s="12" t="s">
        <v>97</v>
      </c>
      <c r="O1224" s="12">
        <v>0</v>
      </c>
      <c r="P1224" s="12">
        <v>0</v>
      </c>
      <c r="Q1224" s="12">
        <v>0</v>
      </c>
      <c r="R1224" s="12">
        <v>0</v>
      </c>
      <c r="S1224" s="12">
        <v>0</v>
      </c>
      <c r="T1224" s="12">
        <v>4</v>
      </c>
      <c r="U1224" s="12" t="s">
        <v>62</v>
      </c>
      <c r="V1224" s="12">
        <v>0</v>
      </c>
      <c r="W1224" s="12">
        <v>58</v>
      </c>
      <c r="X1224" s="12">
        <v>1</v>
      </c>
      <c r="Y1224" s="12">
        <v>1</v>
      </c>
      <c r="Z1224" s="12" t="s">
        <v>97</v>
      </c>
      <c r="AA1224" s="12">
        <v>0</v>
      </c>
      <c r="AB1224" s="12">
        <v>0</v>
      </c>
      <c r="AC1224" s="12">
        <v>0</v>
      </c>
      <c r="AD1224" s="12">
        <v>0</v>
      </c>
      <c r="AE1224" s="12">
        <v>0</v>
      </c>
      <c r="AF1224" s="12">
        <v>0</v>
      </c>
      <c r="AG1224" s="12">
        <v>0</v>
      </c>
      <c r="AH1224" s="12">
        <v>0</v>
      </c>
      <c r="AI1224" s="12">
        <v>3</v>
      </c>
      <c r="AJ1224" s="12" t="s">
        <v>64</v>
      </c>
      <c r="AK1224" s="12">
        <v>0</v>
      </c>
      <c r="AL1224" s="12">
        <v>1</v>
      </c>
      <c r="AM1224" s="12">
        <v>1555</v>
      </c>
      <c r="AN1224" s="12">
        <f t="shared" si="287"/>
        <v>1555</v>
      </c>
      <c r="AO1224" s="12">
        <v>1</v>
      </c>
      <c r="AP1224" s="12" t="s">
        <v>59</v>
      </c>
      <c r="AQ1224" s="12">
        <v>0</v>
      </c>
      <c r="AR1224" s="12">
        <v>11</v>
      </c>
      <c r="AS1224" s="12">
        <v>3</v>
      </c>
      <c r="AT1224" s="12">
        <v>3</v>
      </c>
      <c r="AU1224" s="12">
        <v>1</v>
      </c>
      <c r="AV1224" s="12">
        <v>1</v>
      </c>
      <c r="AW1224" s="12">
        <f t="shared" si="288"/>
        <v>1</v>
      </c>
      <c r="AX1224" s="12">
        <v>2</v>
      </c>
      <c r="AY1224" s="12">
        <v>3</v>
      </c>
      <c r="AZ1224" s="12">
        <v>1</v>
      </c>
      <c r="BA1224" s="12">
        <f t="shared" si="289"/>
        <v>1</v>
      </c>
      <c r="BB1224" s="12">
        <v>0</v>
      </c>
      <c r="BC1224" s="12">
        <v>0</v>
      </c>
      <c r="BD1224" s="12">
        <f t="shared" si="298"/>
        <v>0</v>
      </c>
      <c r="BE1224" s="12">
        <v>0</v>
      </c>
      <c r="BF1224" s="12">
        <f t="shared" si="290"/>
        <v>0</v>
      </c>
      <c r="BG1224" s="12">
        <f t="shared" si="299"/>
        <v>0</v>
      </c>
      <c r="BH1224" s="67">
        <v>0</v>
      </c>
      <c r="BI1224" s="67">
        <v>1</v>
      </c>
      <c r="BJ1224" s="67">
        <v>0</v>
      </c>
      <c r="BK1224" s="67">
        <v>0</v>
      </c>
      <c r="BL1224" s="67">
        <v>0</v>
      </c>
      <c r="BM1224" s="67">
        <v>0</v>
      </c>
      <c r="BN1224" s="67">
        <v>1</v>
      </c>
      <c r="BO1224" s="67">
        <v>0</v>
      </c>
      <c r="BP1224" s="67">
        <v>0</v>
      </c>
      <c r="BQ1224" s="67">
        <v>0</v>
      </c>
      <c r="BR1224" s="67">
        <v>0</v>
      </c>
      <c r="BS1224" s="67">
        <v>1</v>
      </c>
      <c r="BT1224" s="67">
        <v>0</v>
      </c>
      <c r="BU1224" s="70">
        <v>0</v>
      </c>
      <c r="BV1224" s="29">
        <f t="shared" si="291"/>
        <v>1.0509721139073629</v>
      </c>
      <c r="BW1224">
        <f t="shared" si="292"/>
        <v>1.1555414682655611</v>
      </c>
      <c r="BX1224">
        <f t="shared" si="293"/>
        <v>1.3211515584717011</v>
      </c>
      <c r="BY1224">
        <f t="shared" si="294"/>
        <v>0.9806804209314296</v>
      </c>
      <c r="BZ1224">
        <f t="shared" si="295"/>
        <v>1.579831893679001</v>
      </c>
      <c r="CA1224">
        <f t="shared" si="296"/>
        <v>1.4146996331543302</v>
      </c>
      <c r="CB1224">
        <f t="shared" si="297"/>
        <v>0.67891464284095016</v>
      </c>
    </row>
    <row r="1225" spans="1:80" x14ac:dyDescent="0.45">
      <c r="A1225" s="11">
        <v>47</v>
      </c>
      <c r="B1225" s="12">
        <f t="shared" si="285"/>
        <v>47</v>
      </c>
      <c r="C1225" s="12" t="s">
        <v>52</v>
      </c>
      <c r="D1225" s="12">
        <v>1</v>
      </c>
      <c r="E1225" s="12" t="s">
        <v>60</v>
      </c>
      <c r="F1225" s="12">
        <v>1</v>
      </c>
      <c r="G1225" s="12">
        <v>0</v>
      </c>
      <c r="H1225" s="12" t="s">
        <v>54</v>
      </c>
      <c r="I1225" s="12">
        <v>0</v>
      </c>
      <c r="J1225" s="12">
        <v>1</v>
      </c>
      <c r="K1225" s="12">
        <v>9</v>
      </c>
      <c r="L1225" s="12">
        <f t="shared" si="286"/>
        <v>9</v>
      </c>
      <c r="M1225" s="12">
        <v>3</v>
      </c>
      <c r="N1225" s="12" t="s">
        <v>55</v>
      </c>
      <c r="O1225" s="12">
        <v>1</v>
      </c>
      <c r="P1225" s="12">
        <v>0</v>
      </c>
      <c r="Q1225" s="12">
        <v>0</v>
      </c>
      <c r="R1225" s="12">
        <v>0</v>
      </c>
      <c r="S1225" s="12">
        <v>0</v>
      </c>
      <c r="T1225" s="12">
        <v>3</v>
      </c>
      <c r="U1225" s="12" t="s">
        <v>62</v>
      </c>
      <c r="V1225" s="12">
        <v>0</v>
      </c>
      <c r="W1225" s="12">
        <v>82</v>
      </c>
      <c r="X1225" s="12">
        <v>1</v>
      </c>
      <c r="Y1225" s="12">
        <v>4</v>
      </c>
      <c r="Z1225" s="12" t="s">
        <v>56</v>
      </c>
      <c r="AA1225" s="12">
        <v>0</v>
      </c>
      <c r="AB1225" s="12">
        <v>1</v>
      </c>
      <c r="AC1225" s="12">
        <v>0</v>
      </c>
      <c r="AD1225" s="12">
        <v>0</v>
      </c>
      <c r="AE1225" s="12">
        <v>0</v>
      </c>
      <c r="AF1225" s="12">
        <v>0</v>
      </c>
      <c r="AG1225" s="12">
        <v>0</v>
      </c>
      <c r="AH1225" s="12">
        <v>0</v>
      </c>
      <c r="AI1225" s="12">
        <v>3</v>
      </c>
      <c r="AJ1225" s="12" t="s">
        <v>64</v>
      </c>
      <c r="AK1225" s="12">
        <v>0</v>
      </c>
      <c r="AL1225" s="12">
        <v>1</v>
      </c>
      <c r="AM1225" s="12">
        <v>12936</v>
      </c>
      <c r="AN1225" s="12">
        <f t="shared" si="287"/>
        <v>12936</v>
      </c>
      <c r="AO1225" s="12">
        <v>7</v>
      </c>
      <c r="AP1225" s="12" t="s">
        <v>59</v>
      </c>
      <c r="AQ1225" s="12">
        <v>0</v>
      </c>
      <c r="AR1225" s="12">
        <v>11</v>
      </c>
      <c r="AS1225" s="12">
        <v>3</v>
      </c>
      <c r="AT1225" s="12">
        <v>3</v>
      </c>
      <c r="AU1225" s="12">
        <v>0</v>
      </c>
      <c r="AV1225" s="12">
        <v>25</v>
      </c>
      <c r="AW1225" s="12">
        <f t="shared" si="288"/>
        <v>25</v>
      </c>
      <c r="AX1225" s="12">
        <v>3</v>
      </c>
      <c r="AY1225" s="12">
        <v>1</v>
      </c>
      <c r="AZ1225" s="12">
        <v>23</v>
      </c>
      <c r="BA1225" s="12">
        <f t="shared" si="289"/>
        <v>23</v>
      </c>
      <c r="BB1225" s="12">
        <v>5</v>
      </c>
      <c r="BC1225" s="12">
        <v>14</v>
      </c>
      <c r="BD1225" s="12">
        <f t="shared" si="298"/>
        <v>14</v>
      </c>
      <c r="BE1225" s="12">
        <v>10</v>
      </c>
      <c r="BF1225" s="12">
        <f t="shared" si="290"/>
        <v>10</v>
      </c>
      <c r="BG1225" s="12">
        <f t="shared" si="299"/>
        <v>40</v>
      </c>
      <c r="BH1225" s="67">
        <v>0</v>
      </c>
      <c r="BI1225" s="67">
        <v>0</v>
      </c>
      <c r="BJ1225" s="67">
        <v>0</v>
      </c>
      <c r="BK1225" s="67">
        <v>1</v>
      </c>
      <c r="BL1225" s="67">
        <v>0</v>
      </c>
      <c r="BM1225" s="67">
        <v>0</v>
      </c>
      <c r="BN1225" s="67">
        <v>1</v>
      </c>
      <c r="BO1225" s="67">
        <v>0</v>
      </c>
      <c r="BP1225" s="67">
        <v>0</v>
      </c>
      <c r="BQ1225" s="67">
        <v>0</v>
      </c>
      <c r="BR1225" s="67">
        <v>10</v>
      </c>
      <c r="BS1225" s="67">
        <v>0</v>
      </c>
      <c r="BT1225" s="67">
        <v>0</v>
      </c>
      <c r="BU1225" s="70">
        <v>25</v>
      </c>
      <c r="BV1225" s="29">
        <f t="shared" si="291"/>
        <v>1.3664247578861199</v>
      </c>
      <c r="BW1225">
        <f t="shared" si="292"/>
        <v>1.6470421950744405</v>
      </c>
      <c r="BX1225">
        <f t="shared" si="293"/>
        <v>1.7633714368880775</v>
      </c>
      <c r="BY1225">
        <f t="shared" si="294"/>
        <v>2.6102621529954759</v>
      </c>
      <c r="BZ1225">
        <f t="shared" si="295"/>
        <v>2.3747406698420157E-2</v>
      </c>
      <c r="CA1225">
        <f t="shared" si="296"/>
        <v>1.102986154662698</v>
      </c>
      <c r="CB1225">
        <f t="shared" si="297"/>
        <v>3.665632418622593</v>
      </c>
    </row>
    <row r="1226" spans="1:80" x14ac:dyDescent="0.45">
      <c r="A1226" s="11">
        <v>26</v>
      </c>
      <c r="B1226" s="12">
        <f t="shared" si="285"/>
        <v>26</v>
      </c>
      <c r="C1226" s="12" t="s">
        <v>59</v>
      </c>
      <c r="D1226" s="12">
        <v>0</v>
      </c>
      <c r="E1226" s="12" t="s">
        <v>53</v>
      </c>
      <c r="F1226" s="12">
        <v>0</v>
      </c>
      <c r="G1226" s="12">
        <v>1</v>
      </c>
      <c r="H1226" s="12" t="s">
        <v>61</v>
      </c>
      <c r="I1226" s="12">
        <v>1</v>
      </c>
      <c r="J1226" s="12">
        <v>0</v>
      </c>
      <c r="K1226" s="12">
        <v>17</v>
      </c>
      <c r="L1226" s="12">
        <f t="shared" si="286"/>
        <v>17</v>
      </c>
      <c r="M1226" s="12">
        <v>4</v>
      </c>
      <c r="N1226" s="12" t="s">
        <v>70</v>
      </c>
      <c r="O1226" s="12">
        <v>0</v>
      </c>
      <c r="P1226" s="12">
        <v>0</v>
      </c>
      <c r="Q1226" s="12">
        <v>1</v>
      </c>
      <c r="R1226" s="12">
        <v>0</v>
      </c>
      <c r="S1226" s="12">
        <v>0</v>
      </c>
      <c r="T1226" s="12">
        <v>4</v>
      </c>
      <c r="U1226" s="12" t="s">
        <v>62</v>
      </c>
      <c r="V1226" s="12">
        <v>0</v>
      </c>
      <c r="W1226" s="12">
        <v>62</v>
      </c>
      <c r="X1226" s="12">
        <v>1</v>
      </c>
      <c r="Y1226" s="12">
        <v>1</v>
      </c>
      <c r="Z1226" s="12" t="s">
        <v>67</v>
      </c>
      <c r="AA1226" s="12">
        <v>0</v>
      </c>
      <c r="AB1226" s="12">
        <v>0</v>
      </c>
      <c r="AC1226" s="12">
        <v>1</v>
      </c>
      <c r="AD1226" s="12">
        <v>0</v>
      </c>
      <c r="AE1226" s="12">
        <v>0</v>
      </c>
      <c r="AF1226" s="12">
        <v>0</v>
      </c>
      <c r="AG1226" s="12">
        <v>0</v>
      </c>
      <c r="AH1226" s="12">
        <v>0</v>
      </c>
      <c r="AI1226" s="12">
        <v>3</v>
      </c>
      <c r="AJ1226" s="12" t="s">
        <v>64</v>
      </c>
      <c r="AK1226" s="12">
        <v>0</v>
      </c>
      <c r="AL1226" s="12">
        <v>1</v>
      </c>
      <c r="AM1226" s="12">
        <v>2305</v>
      </c>
      <c r="AN1226" s="12">
        <f t="shared" si="287"/>
        <v>2305</v>
      </c>
      <c r="AO1226" s="12">
        <v>1</v>
      </c>
      <c r="AP1226" s="12" t="s">
        <v>59</v>
      </c>
      <c r="AQ1226" s="12">
        <v>0</v>
      </c>
      <c r="AR1226" s="12">
        <v>15</v>
      </c>
      <c r="AS1226" s="12">
        <v>3</v>
      </c>
      <c r="AT1226" s="12">
        <v>3</v>
      </c>
      <c r="AU1226" s="12">
        <v>3</v>
      </c>
      <c r="AV1226" s="12">
        <v>3</v>
      </c>
      <c r="AW1226" s="12">
        <f t="shared" si="288"/>
        <v>3</v>
      </c>
      <c r="AX1226" s="12">
        <v>3</v>
      </c>
      <c r="AY1226" s="12">
        <v>4</v>
      </c>
      <c r="AZ1226" s="12">
        <v>3</v>
      </c>
      <c r="BA1226" s="12">
        <f t="shared" si="289"/>
        <v>3</v>
      </c>
      <c r="BB1226" s="12">
        <v>2</v>
      </c>
      <c r="BC1226" s="12">
        <v>0</v>
      </c>
      <c r="BD1226" s="12">
        <f t="shared" si="298"/>
        <v>0</v>
      </c>
      <c r="BE1226" s="12">
        <v>2</v>
      </c>
      <c r="BF1226" s="12">
        <f t="shared" si="290"/>
        <v>2</v>
      </c>
      <c r="BG1226" s="12">
        <f t="shared" si="299"/>
        <v>2</v>
      </c>
      <c r="BH1226" s="67">
        <v>0</v>
      </c>
      <c r="BI1226" s="67">
        <v>1</v>
      </c>
      <c r="BJ1226" s="67">
        <v>0</v>
      </c>
      <c r="BK1226" s="67">
        <v>0</v>
      </c>
      <c r="BL1226" s="67">
        <v>0</v>
      </c>
      <c r="BM1226" s="67">
        <v>0</v>
      </c>
      <c r="BN1226" s="67">
        <v>1</v>
      </c>
      <c r="BO1226" s="67">
        <v>0</v>
      </c>
      <c r="BP1226" s="67">
        <v>0</v>
      </c>
      <c r="BQ1226" s="67">
        <v>2</v>
      </c>
      <c r="BR1226" s="67">
        <v>0</v>
      </c>
      <c r="BS1226" s="67">
        <v>0</v>
      </c>
      <c r="BT1226" s="67">
        <v>3</v>
      </c>
      <c r="BU1226" s="70">
        <v>0</v>
      </c>
      <c r="BV1226" s="29">
        <f t="shared" si="291"/>
        <v>0.89166733806647791</v>
      </c>
      <c r="BW1226">
        <f t="shared" si="292"/>
        <v>0.59502473559756086</v>
      </c>
      <c r="BX1226">
        <f t="shared" si="293"/>
        <v>1.0641079755250529</v>
      </c>
      <c r="BY1226">
        <f t="shared" si="294"/>
        <v>0.65423109602898355</v>
      </c>
      <c r="BZ1226">
        <f t="shared" si="295"/>
        <v>0.96307062430306978</v>
      </c>
      <c r="CA1226">
        <f t="shared" si="296"/>
        <v>1.195770434213719</v>
      </c>
      <c r="CB1226">
        <f t="shared" si="297"/>
        <v>0.67891464284095016</v>
      </c>
    </row>
    <row r="1227" spans="1:80" x14ac:dyDescent="0.45">
      <c r="A1227" s="11">
        <v>45</v>
      </c>
      <c r="B1227" s="12">
        <f t="shared" si="285"/>
        <v>45</v>
      </c>
      <c r="C1227" s="12" t="s">
        <v>59</v>
      </c>
      <c r="D1227" s="12">
        <v>0</v>
      </c>
      <c r="E1227" s="12" t="s">
        <v>53</v>
      </c>
      <c r="F1227" s="12">
        <v>0</v>
      </c>
      <c r="G1227" s="12">
        <v>1</v>
      </c>
      <c r="H1227" s="12" t="s">
        <v>61</v>
      </c>
      <c r="I1227" s="12">
        <v>1</v>
      </c>
      <c r="J1227" s="12">
        <v>0</v>
      </c>
      <c r="K1227" s="12">
        <v>28</v>
      </c>
      <c r="L1227" s="12">
        <f t="shared" si="286"/>
        <v>28</v>
      </c>
      <c r="M1227" s="12">
        <v>2</v>
      </c>
      <c r="N1227" s="12" t="s">
        <v>91</v>
      </c>
      <c r="O1227" s="12">
        <v>0</v>
      </c>
      <c r="P1227" s="12">
        <v>0</v>
      </c>
      <c r="Q1227" s="12">
        <v>0</v>
      </c>
      <c r="R1227" s="12">
        <v>0</v>
      </c>
      <c r="S1227" s="12">
        <v>1</v>
      </c>
      <c r="T1227" s="12">
        <v>4</v>
      </c>
      <c r="U1227" s="12" t="s">
        <v>19</v>
      </c>
      <c r="V1227" s="12">
        <v>1</v>
      </c>
      <c r="W1227" s="12">
        <v>48</v>
      </c>
      <c r="X1227" s="12">
        <v>2</v>
      </c>
      <c r="Y1227" s="12">
        <v>4</v>
      </c>
      <c r="Z1227" s="12" t="s">
        <v>89</v>
      </c>
      <c r="AA1227" s="12">
        <v>0</v>
      </c>
      <c r="AB1227" s="12">
        <v>0</v>
      </c>
      <c r="AC1227" s="12">
        <v>0</v>
      </c>
      <c r="AD1227" s="12">
        <v>0</v>
      </c>
      <c r="AE1227" s="12">
        <v>0</v>
      </c>
      <c r="AF1227" s="12">
        <v>0</v>
      </c>
      <c r="AG1227" s="12">
        <v>0</v>
      </c>
      <c r="AH1227" s="12">
        <v>0</v>
      </c>
      <c r="AI1227" s="12">
        <v>2</v>
      </c>
      <c r="AJ1227" s="12" t="s">
        <v>57</v>
      </c>
      <c r="AK1227" s="12">
        <v>1</v>
      </c>
      <c r="AL1227" s="12">
        <v>0</v>
      </c>
      <c r="AM1227" s="12">
        <v>16704</v>
      </c>
      <c r="AN1227" s="12">
        <f t="shared" si="287"/>
        <v>16704</v>
      </c>
      <c r="AO1227" s="12">
        <v>1</v>
      </c>
      <c r="AP1227" s="12" t="s">
        <v>59</v>
      </c>
      <c r="AQ1227" s="12">
        <v>0</v>
      </c>
      <c r="AR1227" s="12">
        <v>11</v>
      </c>
      <c r="AS1227" s="12">
        <v>3</v>
      </c>
      <c r="AT1227" s="12">
        <v>3</v>
      </c>
      <c r="AU1227" s="12">
        <v>0</v>
      </c>
      <c r="AV1227" s="12">
        <v>21</v>
      </c>
      <c r="AW1227" s="12">
        <f t="shared" si="288"/>
        <v>21</v>
      </c>
      <c r="AX1227" s="12">
        <v>2</v>
      </c>
      <c r="AY1227" s="12">
        <v>3</v>
      </c>
      <c r="AZ1227" s="12">
        <v>21</v>
      </c>
      <c r="BA1227" s="12">
        <f t="shared" si="289"/>
        <v>21</v>
      </c>
      <c r="BB1227" s="12">
        <v>6</v>
      </c>
      <c r="BC1227" s="12">
        <v>8</v>
      </c>
      <c r="BD1227" s="12">
        <f t="shared" si="298"/>
        <v>8</v>
      </c>
      <c r="BE1227" s="12">
        <v>6</v>
      </c>
      <c r="BF1227" s="12">
        <f t="shared" si="290"/>
        <v>6</v>
      </c>
      <c r="BG1227" s="12">
        <f t="shared" si="299"/>
        <v>24</v>
      </c>
      <c r="BH1227" s="67">
        <v>1</v>
      </c>
      <c r="BI1227" s="67">
        <v>0</v>
      </c>
      <c r="BJ1227" s="67">
        <v>0</v>
      </c>
      <c r="BK1227" s="67">
        <v>0</v>
      </c>
      <c r="BL1227" s="67">
        <v>1</v>
      </c>
      <c r="BM1227" s="67">
        <v>0</v>
      </c>
      <c r="BN1227" s="67">
        <v>0</v>
      </c>
      <c r="BO1227" s="67">
        <v>0</v>
      </c>
      <c r="BP1227" s="67">
        <v>0</v>
      </c>
      <c r="BQ1227" s="67">
        <v>6</v>
      </c>
      <c r="BR1227" s="67">
        <v>0</v>
      </c>
      <c r="BS1227" s="67">
        <v>0</v>
      </c>
      <c r="BT1227" s="67">
        <v>21</v>
      </c>
      <c r="BU1227" s="70">
        <v>0</v>
      </c>
      <c r="BV1227" s="29">
        <f t="shared" si="291"/>
        <v>2.1667719517107265</v>
      </c>
      <c r="BW1227">
        <f t="shared" si="292"/>
        <v>0.52600872973843971</v>
      </c>
      <c r="BX1227">
        <f t="shared" si="293"/>
        <v>1.2492842709947811</v>
      </c>
      <c r="BY1227">
        <f t="shared" si="294"/>
        <v>2.2838128280930299</v>
      </c>
      <c r="BZ1227">
        <f t="shared" si="295"/>
        <v>2.3199454169301186</v>
      </c>
      <c r="CA1227">
        <f t="shared" si="296"/>
        <v>0.88405695572208698</v>
      </c>
      <c r="CB1227">
        <f t="shared" si="297"/>
        <v>1.8036836779953602</v>
      </c>
    </row>
    <row r="1228" spans="1:80" x14ac:dyDescent="0.45">
      <c r="A1228" s="11">
        <v>32</v>
      </c>
      <c r="B1228" s="12">
        <f t="shared" si="285"/>
        <v>32</v>
      </c>
      <c r="C1228" s="12" t="s">
        <v>59</v>
      </c>
      <c r="D1228" s="12">
        <v>0</v>
      </c>
      <c r="E1228" s="12" t="s">
        <v>60</v>
      </c>
      <c r="F1228" s="12">
        <v>1</v>
      </c>
      <c r="G1228" s="12">
        <v>0</v>
      </c>
      <c r="H1228" s="12" t="s">
        <v>61</v>
      </c>
      <c r="I1228" s="12">
        <v>1</v>
      </c>
      <c r="J1228" s="12">
        <v>0</v>
      </c>
      <c r="K1228" s="12">
        <v>10</v>
      </c>
      <c r="L1228" s="12">
        <f t="shared" si="286"/>
        <v>10</v>
      </c>
      <c r="M1228" s="12">
        <v>3</v>
      </c>
      <c r="N1228" s="12" t="s">
        <v>55</v>
      </c>
      <c r="O1228" s="12">
        <v>1</v>
      </c>
      <c r="P1228" s="12">
        <v>0</v>
      </c>
      <c r="Q1228" s="12">
        <v>0</v>
      </c>
      <c r="R1228" s="12">
        <v>0</v>
      </c>
      <c r="S1228" s="12">
        <v>0</v>
      </c>
      <c r="T1228" s="12">
        <v>1</v>
      </c>
      <c r="U1228" s="12" t="s">
        <v>62</v>
      </c>
      <c r="V1228" s="12">
        <v>0</v>
      </c>
      <c r="W1228" s="12">
        <v>56</v>
      </c>
      <c r="X1228" s="12">
        <v>3</v>
      </c>
      <c r="Y1228" s="12">
        <v>1</v>
      </c>
      <c r="Z1228" s="12" t="s">
        <v>63</v>
      </c>
      <c r="AA1228" s="12">
        <v>0</v>
      </c>
      <c r="AB1228" s="12">
        <v>0</v>
      </c>
      <c r="AC1228" s="12">
        <v>0</v>
      </c>
      <c r="AD1228" s="12">
        <v>0</v>
      </c>
      <c r="AE1228" s="12">
        <v>0</v>
      </c>
      <c r="AF1228" s="12">
        <v>0</v>
      </c>
      <c r="AG1228" s="12">
        <v>0</v>
      </c>
      <c r="AH1228" s="12">
        <v>1</v>
      </c>
      <c r="AI1228" s="12">
        <v>3</v>
      </c>
      <c r="AJ1228" s="12" t="s">
        <v>64</v>
      </c>
      <c r="AK1228" s="12">
        <v>0</v>
      </c>
      <c r="AL1228" s="12">
        <v>1</v>
      </c>
      <c r="AM1228" s="12">
        <v>3433</v>
      </c>
      <c r="AN1228" s="12">
        <f t="shared" si="287"/>
        <v>3433</v>
      </c>
      <c r="AO1228" s="12">
        <v>6</v>
      </c>
      <c r="AP1228" s="12" t="s">
        <v>59</v>
      </c>
      <c r="AQ1228" s="12">
        <v>0</v>
      </c>
      <c r="AR1228" s="12">
        <v>13</v>
      </c>
      <c r="AS1228" s="12">
        <v>3</v>
      </c>
      <c r="AT1228" s="12">
        <v>1</v>
      </c>
      <c r="AU1228" s="12">
        <v>1</v>
      </c>
      <c r="AV1228" s="12">
        <v>10</v>
      </c>
      <c r="AW1228" s="12">
        <f t="shared" si="288"/>
        <v>10</v>
      </c>
      <c r="AX1228" s="12">
        <v>3</v>
      </c>
      <c r="AY1228" s="12">
        <v>2</v>
      </c>
      <c r="AZ1228" s="12">
        <v>5</v>
      </c>
      <c r="BA1228" s="12">
        <f t="shared" si="289"/>
        <v>5</v>
      </c>
      <c r="BB1228" s="12">
        <v>2</v>
      </c>
      <c r="BC1228" s="12">
        <v>1</v>
      </c>
      <c r="BD1228" s="12">
        <f t="shared" si="298"/>
        <v>1</v>
      </c>
      <c r="BE1228" s="12">
        <v>3</v>
      </c>
      <c r="BF1228" s="12">
        <f t="shared" si="290"/>
        <v>3</v>
      </c>
      <c r="BG1228" s="12">
        <f t="shared" si="299"/>
        <v>3</v>
      </c>
      <c r="BH1228" s="67">
        <v>0</v>
      </c>
      <c r="BI1228" s="67">
        <v>0</v>
      </c>
      <c r="BJ1228" s="67">
        <v>0</v>
      </c>
      <c r="BK1228" s="67">
        <v>1</v>
      </c>
      <c r="BL1228" s="67">
        <v>0</v>
      </c>
      <c r="BM1228" s="67">
        <v>0</v>
      </c>
      <c r="BN1228" s="67">
        <v>1</v>
      </c>
      <c r="BO1228" s="67">
        <v>0</v>
      </c>
      <c r="BP1228" s="67">
        <v>0</v>
      </c>
      <c r="BQ1228" s="67">
        <v>3</v>
      </c>
      <c r="BR1228" s="67">
        <v>0</v>
      </c>
      <c r="BS1228" s="67">
        <v>0</v>
      </c>
      <c r="BT1228" s="67">
        <v>10</v>
      </c>
      <c r="BU1228" s="70">
        <v>0</v>
      </c>
      <c r="BV1228" s="29">
        <f t="shared" si="291"/>
        <v>0.65207295520178687</v>
      </c>
      <c r="BW1228">
        <f t="shared" si="292"/>
        <v>0.31476636926356072</v>
      </c>
      <c r="BX1228">
        <f t="shared" si="293"/>
        <v>0.1644554352117841</v>
      </c>
      <c r="BY1228">
        <f t="shared" si="294"/>
        <v>0.32778177112653761</v>
      </c>
      <c r="BZ1228">
        <f t="shared" si="295"/>
        <v>9.9604847176766084E-2</v>
      </c>
      <c r="CA1228">
        <f t="shared" si="296"/>
        <v>0.53898283739188557</v>
      </c>
      <c r="CB1228">
        <f t="shared" si="297"/>
        <v>0.36858985273641137</v>
      </c>
    </row>
    <row r="1229" spans="1:80" x14ac:dyDescent="0.45">
      <c r="A1229" s="11">
        <v>31</v>
      </c>
      <c r="B1229" s="12">
        <f t="shared" si="285"/>
        <v>31</v>
      </c>
      <c r="C1229" s="12" t="s">
        <v>59</v>
      </c>
      <c r="D1229" s="12">
        <v>0</v>
      </c>
      <c r="E1229" s="12" t="s">
        <v>53</v>
      </c>
      <c r="F1229" s="12">
        <v>0</v>
      </c>
      <c r="G1229" s="12">
        <v>1</v>
      </c>
      <c r="H1229" s="12" t="s">
        <v>61</v>
      </c>
      <c r="I1229" s="12">
        <v>1</v>
      </c>
      <c r="J1229" s="12">
        <v>0</v>
      </c>
      <c r="K1229" s="12">
        <v>2</v>
      </c>
      <c r="L1229" s="12">
        <f t="shared" si="286"/>
        <v>2</v>
      </c>
      <c r="M1229" s="12">
        <v>4</v>
      </c>
      <c r="N1229" s="12" t="s">
        <v>55</v>
      </c>
      <c r="O1229" s="12">
        <v>1</v>
      </c>
      <c r="P1229" s="12">
        <v>0</v>
      </c>
      <c r="Q1229" s="12">
        <v>0</v>
      </c>
      <c r="R1229" s="12">
        <v>0</v>
      </c>
      <c r="S1229" s="12">
        <v>0</v>
      </c>
      <c r="T1229" s="12">
        <v>2</v>
      </c>
      <c r="U1229" s="12" t="s">
        <v>62</v>
      </c>
      <c r="V1229" s="12">
        <v>0</v>
      </c>
      <c r="W1229" s="12">
        <v>69</v>
      </c>
      <c r="X1229" s="12">
        <v>3</v>
      </c>
      <c r="Y1229" s="12">
        <v>1</v>
      </c>
      <c r="Z1229" s="12" t="s">
        <v>67</v>
      </c>
      <c r="AA1229" s="12">
        <v>0</v>
      </c>
      <c r="AB1229" s="12">
        <v>0</v>
      </c>
      <c r="AC1229" s="12">
        <v>1</v>
      </c>
      <c r="AD1229" s="12">
        <v>0</v>
      </c>
      <c r="AE1229" s="12">
        <v>0</v>
      </c>
      <c r="AF1229" s="12">
        <v>0</v>
      </c>
      <c r="AG1229" s="12">
        <v>0</v>
      </c>
      <c r="AH1229" s="12">
        <v>0</v>
      </c>
      <c r="AI1229" s="12">
        <v>3</v>
      </c>
      <c r="AJ1229" s="12" t="s">
        <v>64</v>
      </c>
      <c r="AK1229" s="12">
        <v>0</v>
      </c>
      <c r="AL1229" s="12">
        <v>1</v>
      </c>
      <c r="AM1229" s="12">
        <v>3477</v>
      </c>
      <c r="AN1229" s="12">
        <f t="shared" si="287"/>
        <v>3477</v>
      </c>
      <c r="AO1229" s="12">
        <v>1</v>
      </c>
      <c r="AP1229" s="12" t="s">
        <v>59</v>
      </c>
      <c r="AQ1229" s="12">
        <v>0</v>
      </c>
      <c r="AR1229" s="12">
        <v>14</v>
      </c>
      <c r="AS1229" s="12">
        <v>3</v>
      </c>
      <c r="AT1229" s="12">
        <v>4</v>
      </c>
      <c r="AU1229" s="12">
        <v>1</v>
      </c>
      <c r="AV1229" s="12">
        <v>6</v>
      </c>
      <c r="AW1229" s="12">
        <f t="shared" si="288"/>
        <v>6</v>
      </c>
      <c r="AX1229" s="12">
        <v>2</v>
      </c>
      <c r="AY1229" s="12">
        <v>4</v>
      </c>
      <c r="AZ1229" s="12">
        <v>5</v>
      </c>
      <c r="BA1229" s="12">
        <f t="shared" si="289"/>
        <v>5</v>
      </c>
      <c r="BB1229" s="12">
        <v>2</v>
      </c>
      <c r="BC1229" s="12">
        <v>0</v>
      </c>
      <c r="BD1229" s="12">
        <f t="shared" si="298"/>
        <v>0</v>
      </c>
      <c r="BE1229" s="12">
        <v>3</v>
      </c>
      <c r="BF1229" s="12">
        <f t="shared" si="290"/>
        <v>3</v>
      </c>
      <c r="BG1229" s="12">
        <f t="shared" si="299"/>
        <v>3</v>
      </c>
      <c r="BH1229" s="67">
        <v>0</v>
      </c>
      <c r="BI1229" s="67">
        <v>1</v>
      </c>
      <c r="BJ1229" s="67">
        <v>0</v>
      </c>
      <c r="BK1229" s="67">
        <v>0</v>
      </c>
      <c r="BL1229" s="67">
        <v>0</v>
      </c>
      <c r="BM1229" s="67">
        <v>0</v>
      </c>
      <c r="BN1229" s="67">
        <v>1</v>
      </c>
      <c r="BO1229" s="67">
        <v>0</v>
      </c>
      <c r="BP1229" s="67">
        <v>0</v>
      </c>
      <c r="BQ1229" s="67">
        <v>3</v>
      </c>
      <c r="BR1229" s="67">
        <v>0</v>
      </c>
      <c r="BS1229" s="67">
        <v>0</v>
      </c>
      <c r="BT1229" s="67">
        <v>6</v>
      </c>
      <c r="BU1229" s="70">
        <v>0</v>
      </c>
      <c r="BV1229" s="29">
        <f t="shared" si="291"/>
        <v>0.64272707501912163</v>
      </c>
      <c r="BW1229">
        <f t="shared" si="292"/>
        <v>0.31476636926356072</v>
      </c>
      <c r="BX1229">
        <f t="shared" si="293"/>
        <v>0.67854260110508058</v>
      </c>
      <c r="BY1229">
        <f t="shared" si="294"/>
        <v>0.32778177112653761</v>
      </c>
      <c r="BZ1229">
        <f t="shared" si="295"/>
        <v>0.88721318382472392</v>
      </c>
      <c r="CA1229">
        <f t="shared" si="296"/>
        <v>0.6484474368621912</v>
      </c>
      <c r="CB1229">
        <f t="shared" si="297"/>
        <v>0.67891464284095016</v>
      </c>
    </row>
    <row r="1230" spans="1:80" x14ac:dyDescent="0.45">
      <c r="A1230" s="11">
        <v>41</v>
      </c>
      <c r="B1230" s="12">
        <f t="shared" si="285"/>
        <v>41</v>
      </c>
      <c r="C1230" s="12" t="s">
        <v>59</v>
      </c>
      <c r="D1230" s="12">
        <v>0</v>
      </c>
      <c r="E1230" s="12" t="s">
        <v>86</v>
      </c>
      <c r="F1230" s="12">
        <v>0</v>
      </c>
      <c r="G1230" s="12">
        <v>0</v>
      </c>
      <c r="H1230" s="12" t="s">
        <v>97</v>
      </c>
      <c r="I1230" s="12">
        <v>0</v>
      </c>
      <c r="J1230" s="12">
        <v>0</v>
      </c>
      <c r="K1230" s="12">
        <v>4</v>
      </c>
      <c r="L1230" s="12">
        <f t="shared" si="286"/>
        <v>4</v>
      </c>
      <c r="M1230" s="12">
        <v>3</v>
      </c>
      <c r="N1230" s="12" t="s">
        <v>97</v>
      </c>
      <c r="O1230" s="12">
        <v>0</v>
      </c>
      <c r="P1230" s="12">
        <v>0</v>
      </c>
      <c r="Q1230" s="12">
        <v>0</v>
      </c>
      <c r="R1230" s="12">
        <v>0</v>
      </c>
      <c r="S1230" s="12">
        <v>0</v>
      </c>
      <c r="T1230" s="12">
        <v>3</v>
      </c>
      <c r="U1230" s="12" t="s">
        <v>62</v>
      </c>
      <c r="V1230" s="12">
        <v>0</v>
      </c>
      <c r="W1230" s="12">
        <v>60</v>
      </c>
      <c r="X1230" s="12">
        <v>1</v>
      </c>
      <c r="Y1230" s="12">
        <v>2</v>
      </c>
      <c r="Z1230" s="12" t="s">
        <v>97</v>
      </c>
      <c r="AA1230" s="12">
        <v>0</v>
      </c>
      <c r="AB1230" s="12">
        <v>0</v>
      </c>
      <c r="AC1230" s="12">
        <v>0</v>
      </c>
      <c r="AD1230" s="12">
        <v>0</v>
      </c>
      <c r="AE1230" s="12">
        <v>0</v>
      </c>
      <c r="AF1230" s="12">
        <v>0</v>
      </c>
      <c r="AG1230" s="12">
        <v>0</v>
      </c>
      <c r="AH1230" s="12">
        <v>0</v>
      </c>
      <c r="AI1230" s="12">
        <v>2</v>
      </c>
      <c r="AJ1230" s="12" t="s">
        <v>64</v>
      </c>
      <c r="AK1230" s="12">
        <v>0</v>
      </c>
      <c r="AL1230" s="12">
        <v>1</v>
      </c>
      <c r="AM1230" s="12">
        <v>6430</v>
      </c>
      <c r="AN1230" s="12">
        <f t="shared" si="287"/>
        <v>6430</v>
      </c>
      <c r="AO1230" s="12">
        <v>6</v>
      </c>
      <c r="AP1230" s="12" t="s">
        <v>59</v>
      </c>
      <c r="AQ1230" s="12">
        <v>0</v>
      </c>
      <c r="AR1230" s="12">
        <v>19</v>
      </c>
      <c r="AS1230" s="12">
        <v>3</v>
      </c>
      <c r="AT1230" s="12">
        <v>2</v>
      </c>
      <c r="AU1230" s="12">
        <v>1</v>
      </c>
      <c r="AV1230" s="12">
        <v>10</v>
      </c>
      <c r="AW1230" s="12">
        <f t="shared" si="288"/>
        <v>10</v>
      </c>
      <c r="AX1230" s="12">
        <v>4</v>
      </c>
      <c r="AY1230" s="12">
        <v>3</v>
      </c>
      <c r="AZ1230" s="12">
        <v>3</v>
      </c>
      <c r="BA1230" s="12">
        <f t="shared" si="289"/>
        <v>3</v>
      </c>
      <c r="BB1230" s="12">
        <v>2</v>
      </c>
      <c r="BC1230" s="12">
        <v>1</v>
      </c>
      <c r="BD1230" s="12">
        <f t="shared" si="298"/>
        <v>1</v>
      </c>
      <c r="BE1230" s="12">
        <v>2</v>
      </c>
      <c r="BF1230" s="12">
        <f t="shared" si="290"/>
        <v>2</v>
      </c>
      <c r="BG1230" s="12">
        <f t="shared" si="299"/>
        <v>4</v>
      </c>
      <c r="BH1230" s="67">
        <v>0</v>
      </c>
      <c r="BI1230" s="67">
        <v>1</v>
      </c>
      <c r="BJ1230" s="67">
        <v>0</v>
      </c>
      <c r="BK1230" s="67">
        <v>0</v>
      </c>
      <c r="BL1230" s="67">
        <v>0</v>
      </c>
      <c r="BM1230" s="67">
        <v>0</v>
      </c>
      <c r="BN1230" s="67">
        <v>1</v>
      </c>
      <c r="BO1230" s="67">
        <v>0</v>
      </c>
      <c r="BP1230" s="67">
        <v>2</v>
      </c>
      <c r="BQ1230" s="67">
        <v>0</v>
      </c>
      <c r="BR1230" s="67">
        <v>0</v>
      </c>
      <c r="BS1230" s="67">
        <v>10</v>
      </c>
      <c r="BT1230" s="67">
        <v>0</v>
      </c>
      <c r="BU1230" s="70">
        <v>0</v>
      </c>
      <c r="BV1230" s="29">
        <f t="shared" si="291"/>
        <v>1.5491070941610424E-2</v>
      </c>
      <c r="BW1230">
        <f t="shared" si="292"/>
        <v>0.59502473559756086</v>
      </c>
      <c r="BX1230">
        <f t="shared" si="293"/>
        <v>0.1644554352117841</v>
      </c>
      <c r="BY1230">
        <f t="shared" si="294"/>
        <v>0.65423109602898355</v>
      </c>
      <c r="BZ1230">
        <f t="shared" si="295"/>
        <v>0.64050867607435136</v>
      </c>
      <c r="CA1230">
        <f t="shared" si="296"/>
        <v>0.4461985578408646</v>
      </c>
      <c r="CB1230">
        <f t="shared" si="297"/>
        <v>0.36858985273641137</v>
      </c>
    </row>
    <row r="1231" spans="1:80" x14ac:dyDescent="0.45">
      <c r="A1231" s="11">
        <v>40</v>
      </c>
      <c r="B1231" s="12">
        <f t="shared" si="285"/>
        <v>40</v>
      </c>
      <c r="C1231" s="12" t="s">
        <v>59</v>
      </c>
      <c r="D1231" s="12">
        <v>0</v>
      </c>
      <c r="E1231" s="12" t="s">
        <v>53</v>
      </c>
      <c r="F1231" s="12">
        <v>0</v>
      </c>
      <c r="G1231" s="12">
        <v>1</v>
      </c>
      <c r="H1231" s="12" t="s">
        <v>61</v>
      </c>
      <c r="I1231" s="12">
        <v>1</v>
      </c>
      <c r="J1231" s="12">
        <v>0</v>
      </c>
      <c r="K1231" s="12">
        <v>8</v>
      </c>
      <c r="L1231" s="12">
        <f t="shared" si="286"/>
        <v>8</v>
      </c>
      <c r="M1231" s="12">
        <v>2</v>
      </c>
      <c r="N1231" s="12" t="s">
        <v>55</v>
      </c>
      <c r="O1231" s="12">
        <v>1</v>
      </c>
      <c r="P1231" s="12">
        <v>0</v>
      </c>
      <c r="Q1231" s="12">
        <v>0</v>
      </c>
      <c r="R1231" s="12">
        <v>0</v>
      </c>
      <c r="S1231" s="12">
        <v>0</v>
      </c>
      <c r="T1231" s="12">
        <v>2</v>
      </c>
      <c r="U1231" s="12" t="s">
        <v>19</v>
      </c>
      <c r="V1231" s="12">
        <v>1</v>
      </c>
      <c r="W1231" s="12">
        <v>92</v>
      </c>
      <c r="X1231" s="12">
        <v>3</v>
      </c>
      <c r="Y1231" s="12">
        <v>2</v>
      </c>
      <c r="Z1231" s="12" t="s">
        <v>83</v>
      </c>
      <c r="AA1231" s="12">
        <v>0</v>
      </c>
      <c r="AB1231" s="12">
        <v>0</v>
      </c>
      <c r="AC1231" s="12">
        <v>0</v>
      </c>
      <c r="AD1231" s="12">
        <v>0</v>
      </c>
      <c r="AE1231" s="12">
        <v>1</v>
      </c>
      <c r="AF1231" s="12">
        <v>1</v>
      </c>
      <c r="AG1231" s="12">
        <v>0</v>
      </c>
      <c r="AH1231" s="12">
        <v>0</v>
      </c>
      <c r="AI1231" s="12">
        <v>1</v>
      </c>
      <c r="AJ1231" s="12" t="s">
        <v>64</v>
      </c>
      <c r="AK1231" s="12">
        <v>0</v>
      </c>
      <c r="AL1231" s="12">
        <v>1</v>
      </c>
      <c r="AM1231" s="12">
        <v>6516</v>
      </c>
      <c r="AN1231" s="12">
        <f t="shared" si="287"/>
        <v>6516</v>
      </c>
      <c r="AO1231" s="12">
        <v>2</v>
      </c>
      <c r="AP1231" s="12" t="s">
        <v>52</v>
      </c>
      <c r="AQ1231" s="12">
        <v>1</v>
      </c>
      <c r="AR1231" s="12">
        <v>16</v>
      </c>
      <c r="AS1231" s="12">
        <v>3</v>
      </c>
      <c r="AT1231" s="12">
        <v>2</v>
      </c>
      <c r="AU1231" s="12">
        <v>1</v>
      </c>
      <c r="AV1231" s="12">
        <v>18</v>
      </c>
      <c r="AW1231" s="12">
        <f t="shared" si="288"/>
        <v>18</v>
      </c>
      <c r="AX1231" s="12">
        <v>3</v>
      </c>
      <c r="AY1231" s="12">
        <v>3</v>
      </c>
      <c r="AZ1231" s="12">
        <v>1</v>
      </c>
      <c r="BA1231" s="12">
        <f t="shared" si="289"/>
        <v>1</v>
      </c>
      <c r="BB1231" s="12">
        <v>0</v>
      </c>
      <c r="BC1231" s="12">
        <v>0</v>
      </c>
      <c r="BD1231" s="12">
        <f t="shared" si="298"/>
        <v>0</v>
      </c>
      <c r="BE1231" s="12">
        <v>0</v>
      </c>
      <c r="BF1231" s="12">
        <f t="shared" si="290"/>
        <v>0</v>
      </c>
      <c r="BG1231" s="12">
        <f t="shared" si="299"/>
        <v>0</v>
      </c>
      <c r="BH1231" s="67">
        <v>0</v>
      </c>
      <c r="BI1231" s="67">
        <v>1</v>
      </c>
      <c r="BJ1231" s="67">
        <v>0</v>
      </c>
      <c r="BK1231" s="67">
        <v>0</v>
      </c>
      <c r="BL1231" s="67">
        <v>0</v>
      </c>
      <c r="BM1231" s="67">
        <v>0</v>
      </c>
      <c r="BN1231" s="67">
        <v>0</v>
      </c>
      <c r="BO1231" s="67">
        <v>1</v>
      </c>
      <c r="BP1231" s="67">
        <v>0</v>
      </c>
      <c r="BQ1231" s="67">
        <v>0</v>
      </c>
      <c r="BR1231" s="67">
        <v>0</v>
      </c>
      <c r="BS1231" s="67">
        <v>0</v>
      </c>
      <c r="BT1231" s="67">
        <v>18</v>
      </c>
      <c r="BU1231" s="70">
        <v>0</v>
      </c>
      <c r="BV1231" s="29">
        <f t="shared" si="291"/>
        <v>2.77587668814439E-3</v>
      </c>
      <c r="BW1231">
        <f t="shared" si="292"/>
        <v>1.1555414682655611</v>
      </c>
      <c r="BX1231">
        <f t="shared" si="293"/>
        <v>0.86371889657480871</v>
      </c>
      <c r="BY1231">
        <f t="shared" si="294"/>
        <v>0.9806804209314296</v>
      </c>
      <c r="BZ1231">
        <f t="shared" si="295"/>
        <v>0.14709966057360641</v>
      </c>
      <c r="CA1231">
        <f t="shared" si="296"/>
        <v>0.33673395837055903</v>
      </c>
      <c r="CB1231">
        <f t="shared" si="297"/>
        <v>0.67891464284095016</v>
      </c>
    </row>
    <row r="1232" spans="1:80" x14ac:dyDescent="0.45">
      <c r="A1232" s="11">
        <v>24</v>
      </c>
      <c r="B1232" s="12">
        <f t="shared" si="285"/>
        <v>24</v>
      </c>
      <c r="C1232" s="12" t="s">
        <v>59</v>
      </c>
      <c r="D1232" s="12">
        <v>0</v>
      </c>
      <c r="E1232" s="12" t="s">
        <v>53</v>
      </c>
      <c r="F1232" s="12">
        <v>0</v>
      </c>
      <c r="G1232" s="12">
        <v>1</v>
      </c>
      <c r="H1232" s="12" t="s">
        <v>61</v>
      </c>
      <c r="I1232" s="12">
        <v>1</v>
      </c>
      <c r="J1232" s="12">
        <v>0</v>
      </c>
      <c r="K1232" s="12">
        <v>29</v>
      </c>
      <c r="L1232" s="12">
        <f t="shared" si="286"/>
        <v>29</v>
      </c>
      <c r="M1232" s="12">
        <v>1</v>
      </c>
      <c r="N1232" s="12" t="s">
        <v>70</v>
      </c>
      <c r="O1232" s="12">
        <v>0</v>
      </c>
      <c r="P1232" s="12">
        <v>0</v>
      </c>
      <c r="Q1232" s="12">
        <v>1</v>
      </c>
      <c r="R1232" s="12">
        <v>0</v>
      </c>
      <c r="S1232" s="12">
        <v>0</v>
      </c>
      <c r="T1232" s="12">
        <v>2</v>
      </c>
      <c r="U1232" s="12" t="s">
        <v>62</v>
      </c>
      <c r="V1232" s="12">
        <v>0</v>
      </c>
      <c r="W1232" s="12">
        <v>91</v>
      </c>
      <c r="X1232" s="12">
        <v>3</v>
      </c>
      <c r="Y1232" s="12">
        <v>1</v>
      </c>
      <c r="Z1232" s="12" t="s">
        <v>67</v>
      </c>
      <c r="AA1232" s="12">
        <v>0</v>
      </c>
      <c r="AB1232" s="12">
        <v>0</v>
      </c>
      <c r="AC1232" s="12">
        <v>1</v>
      </c>
      <c r="AD1232" s="12">
        <v>0</v>
      </c>
      <c r="AE1232" s="12">
        <v>0</v>
      </c>
      <c r="AF1232" s="12">
        <v>0</v>
      </c>
      <c r="AG1232" s="12">
        <v>0</v>
      </c>
      <c r="AH1232" s="12">
        <v>0</v>
      </c>
      <c r="AI1232" s="12">
        <v>1</v>
      </c>
      <c r="AJ1232" s="12" t="s">
        <v>78</v>
      </c>
      <c r="AK1232" s="12">
        <v>0</v>
      </c>
      <c r="AL1232" s="12">
        <v>0</v>
      </c>
      <c r="AM1232" s="12">
        <v>3907</v>
      </c>
      <c r="AN1232" s="12">
        <f t="shared" si="287"/>
        <v>3907</v>
      </c>
      <c r="AO1232" s="12">
        <v>1</v>
      </c>
      <c r="AP1232" s="12" t="s">
        <v>59</v>
      </c>
      <c r="AQ1232" s="12">
        <v>0</v>
      </c>
      <c r="AR1232" s="12">
        <v>13</v>
      </c>
      <c r="AS1232" s="12">
        <v>3</v>
      </c>
      <c r="AT1232" s="12">
        <v>2</v>
      </c>
      <c r="AU1232" s="12">
        <v>3</v>
      </c>
      <c r="AV1232" s="12">
        <v>6</v>
      </c>
      <c r="AW1232" s="12">
        <f t="shared" si="288"/>
        <v>6</v>
      </c>
      <c r="AX1232" s="12">
        <v>2</v>
      </c>
      <c r="AY1232" s="12">
        <v>4</v>
      </c>
      <c r="AZ1232" s="12">
        <v>6</v>
      </c>
      <c r="BA1232" s="12">
        <f t="shared" si="289"/>
        <v>6</v>
      </c>
      <c r="BB1232" s="12">
        <v>2</v>
      </c>
      <c r="BC1232" s="12">
        <v>1</v>
      </c>
      <c r="BD1232" s="12">
        <f t="shared" si="298"/>
        <v>1</v>
      </c>
      <c r="BE1232" s="12">
        <v>2</v>
      </c>
      <c r="BF1232" s="12">
        <f t="shared" si="290"/>
        <v>2</v>
      </c>
      <c r="BG1232" s="12">
        <f t="shared" si="299"/>
        <v>2</v>
      </c>
      <c r="BH1232" s="67">
        <v>1</v>
      </c>
      <c r="BI1232" s="67">
        <v>0</v>
      </c>
      <c r="BJ1232" s="67">
        <v>0</v>
      </c>
      <c r="BK1232" s="67">
        <v>0</v>
      </c>
      <c r="BL1232" s="67">
        <v>1</v>
      </c>
      <c r="BM1232" s="67">
        <v>0</v>
      </c>
      <c r="BN1232" s="67">
        <v>0</v>
      </c>
      <c r="BO1232" s="67">
        <v>0</v>
      </c>
      <c r="BP1232" s="67">
        <v>0</v>
      </c>
      <c r="BQ1232" s="67">
        <v>2</v>
      </c>
      <c r="BR1232" s="67">
        <v>0</v>
      </c>
      <c r="BS1232" s="67">
        <v>0</v>
      </c>
      <c r="BT1232" s="67">
        <v>6</v>
      </c>
      <c r="BU1232" s="70">
        <v>0</v>
      </c>
      <c r="BV1232" s="29">
        <f t="shared" si="291"/>
        <v>0.55139233687034761</v>
      </c>
      <c r="BW1232">
        <f t="shared" si="292"/>
        <v>0.59502473559756086</v>
      </c>
      <c r="BX1232">
        <f t="shared" si="293"/>
        <v>0.67854260110508058</v>
      </c>
      <c r="BY1232">
        <f t="shared" si="294"/>
        <v>0.16455710867531462</v>
      </c>
      <c r="BZ1232">
        <f t="shared" si="295"/>
        <v>2.4432976708053049</v>
      </c>
      <c r="CA1232">
        <f t="shared" si="296"/>
        <v>1.4146996331543302</v>
      </c>
      <c r="CB1232">
        <f t="shared" si="297"/>
        <v>0.36858985273641137</v>
      </c>
    </row>
    <row r="1233" spans="1:80" x14ac:dyDescent="0.45">
      <c r="A1233" s="11">
        <v>46</v>
      </c>
      <c r="B1233" s="12">
        <f t="shared" si="285"/>
        <v>46</v>
      </c>
      <c r="C1233" s="12" t="s">
        <v>59</v>
      </c>
      <c r="D1233" s="12">
        <v>0</v>
      </c>
      <c r="E1233" s="12" t="s">
        <v>53</v>
      </c>
      <c r="F1233" s="12">
        <v>0</v>
      </c>
      <c r="G1233" s="12">
        <v>1</v>
      </c>
      <c r="H1233" s="12" t="s">
        <v>61</v>
      </c>
      <c r="I1233" s="12">
        <v>1</v>
      </c>
      <c r="J1233" s="12">
        <v>0</v>
      </c>
      <c r="K1233" s="12">
        <v>13</v>
      </c>
      <c r="L1233" s="12">
        <f t="shared" si="286"/>
        <v>13</v>
      </c>
      <c r="M1233" s="12">
        <v>4</v>
      </c>
      <c r="N1233" s="12" t="s">
        <v>55</v>
      </c>
      <c r="O1233" s="12">
        <v>1</v>
      </c>
      <c r="P1233" s="12">
        <v>0</v>
      </c>
      <c r="Q1233" s="12">
        <v>0</v>
      </c>
      <c r="R1233" s="12">
        <v>0</v>
      </c>
      <c r="S1233" s="12">
        <v>0</v>
      </c>
      <c r="T1233" s="12">
        <v>3</v>
      </c>
      <c r="U1233" s="12" t="s">
        <v>62</v>
      </c>
      <c r="V1233" s="12">
        <v>0</v>
      </c>
      <c r="W1233" s="12">
        <v>34</v>
      </c>
      <c r="X1233" s="12">
        <v>3</v>
      </c>
      <c r="Y1233" s="12">
        <v>2</v>
      </c>
      <c r="Z1233" s="12" t="s">
        <v>85</v>
      </c>
      <c r="AA1233" s="12">
        <v>1</v>
      </c>
      <c r="AB1233" s="12">
        <v>0</v>
      </c>
      <c r="AC1233" s="12">
        <v>0</v>
      </c>
      <c r="AD1233" s="12">
        <v>0</v>
      </c>
      <c r="AE1233" s="12">
        <v>0</v>
      </c>
      <c r="AF1233" s="12">
        <v>0</v>
      </c>
      <c r="AG1233" s="12">
        <v>0</v>
      </c>
      <c r="AH1233" s="12">
        <v>0</v>
      </c>
      <c r="AI1233" s="12">
        <v>2</v>
      </c>
      <c r="AJ1233" s="12" t="s">
        <v>57</v>
      </c>
      <c r="AK1233" s="12">
        <v>1</v>
      </c>
      <c r="AL1233" s="12">
        <v>0</v>
      </c>
      <c r="AM1233" s="12">
        <v>5562</v>
      </c>
      <c r="AN1233" s="12">
        <f t="shared" si="287"/>
        <v>5562</v>
      </c>
      <c r="AO1233" s="12">
        <v>6</v>
      </c>
      <c r="AP1233" s="12" t="s">
        <v>59</v>
      </c>
      <c r="AQ1233" s="12">
        <v>0</v>
      </c>
      <c r="AR1233" s="12">
        <v>14</v>
      </c>
      <c r="AS1233" s="12">
        <v>3</v>
      </c>
      <c r="AT1233" s="12">
        <v>4</v>
      </c>
      <c r="AU1233" s="12">
        <v>0</v>
      </c>
      <c r="AV1233" s="12">
        <v>19</v>
      </c>
      <c r="AW1233" s="12">
        <f t="shared" si="288"/>
        <v>19</v>
      </c>
      <c r="AX1233" s="12">
        <v>3</v>
      </c>
      <c r="AY1233" s="12">
        <v>3</v>
      </c>
      <c r="AZ1233" s="12">
        <v>10</v>
      </c>
      <c r="BA1233" s="12">
        <f t="shared" si="289"/>
        <v>10</v>
      </c>
      <c r="BB1233" s="12">
        <v>7</v>
      </c>
      <c r="BC1233" s="12">
        <v>0</v>
      </c>
      <c r="BD1233" s="12">
        <f t="shared" si="298"/>
        <v>0</v>
      </c>
      <c r="BE1233" s="12">
        <v>9</v>
      </c>
      <c r="BF1233" s="12">
        <f t="shared" si="290"/>
        <v>9</v>
      </c>
      <c r="BG1233" s="12">
        <f t="shared" si="299"/>
        <v>18</v>
      </c>
      <c r="BH1233" s="67">
        <v>1</v>
      </c>
      <c r="BI1233" s="67">
        <v>0</v>
      </c>
      <c r="BJ1233" s="67">
        <v>0</v>
      </c>
      <c r="BK1233" s="67">
        <v>0</v>
      </c>
      <c r="BL1233" s="67">
        <v>1</v>
      </c>
      <c r="BM1233" s="67">
        <v>0</v>
      </c>
      <c r="BN1233" s="67">
        <v>0</v>
      </c>
      <c r="BO1233" s="67">
        <v>0</v>
      </c>
      <c r="BP1233" s="67">
        <v>0</v>
      </c>
      <c r="BQ1233" s="67">
        <v>9</v>
      </c>
      <c r="BR1233" s="67">
        <v>0</v>
      </c>
      <c r="BS1233" s="67">
        <v>0</v>
      </c>
      <c r="BT1233" s="67">
        <v>19</v>
      </c>
      <c r="BU1233" s="70">
        <v>0</v>
      </c>
      <c r="BV1233" s="29">
        <f t="shared" si="291"/>
        <v>0.19985979818146132</v>
      </c>
      <c r="BW1233">
        <f t="shared" si="292"/>
        <v>1.3667838287404401</v>
      </c>
      <c r="BX1233">
        <f t="shared" si="293"/>
        <v>0.99224068804813281</v>
      </c>
      <c r="BY1233">
        <f t="shared" si="294"/>
        <v>0.48834154112957734</v>
      </c>
      <c r="BZ1233">
        <f t="shared" si="295"/>
        <v>0.46966160880232483</v>
      </c>
      <c r="CA1233">
        <f t="shared" si="296"/>
        <v>0.99352155519239249</v>
      </c>
      <c r="CB1233">
        <f t="shared" si="297"/>
        <v>0.67891464284095016</v>
      </c>
    </row>
    <row r="1234" spans="1:80" x14ac:dyDescent="0.45">
      <c r="A1234" s="11">
        <v>35</v>
      </c>
      <c r="B1234" s="12">
        <f t="shared" si="285"/>
        <v>35</v>
      </c>
      <c r="C1234" s="12" t="s">
        <v>59</v>
      </c>
      <c r="D1234" s="12">
        <v>0</v>
      </c>
      <c r="E1234" s="12" t="s">
        <v>53</v>
      </c>
      <c r="F1234" s="12">
        <v>0</v>
      </c>
      <c r="G1234" s="12">
        <v>1</v>
      </c>
      <c r="H1234" s="12" t="s">
        <v>61</v>
      </c>
      <c r="I1234" s="12">
        <v>1</v>
      </c>
      <c r="J1234" s="12">
        <v>0</v>
      </c>
      <c r="K1234" s="12">
        <v>27</v>
      </c>
      <c r="L1234" s="12">
        <f t="shared" si="286"/>
        <v>27</v>
      </c>
      <c r="M1234" s="12">
        <v>4</v>
      </c>
      <c r="N1234" s="12" t="s">
        <v>55</v>
      </c>
      <c r="O1234" s="12">
        <v>1</v>
      </c>
      <c r="P1234" s="12">
        <v>0</v>
      </c>
      <c r="Q1234" s="12">
        <v>0</v>
      </c>
      <c r="R1234" s="12">
        <v>0</v>
      </c>
      <c r="S1234" s="12">
        <v>0</v>
      </c>
      <c r="T1234" s="12">
        <v>4</v>
      </c>
      <c r="U1234" s="12" t="s">
        <v>62</v>
      </c>
      <c r="V1234" s="12">
        <v>0</v>
      </c>
      <c r="W1234" s="12">
        <v>49</v>
      </c>
      <c r="X1234" s="12">
        <v>3</v>
      </c>
      <c r="Y1234" s="12">
        <v>2</v>
      </c>
      <c r="Z1234" s="12" t="s">
        <v>83</v>
      </c>
      <c r="AA1234" s="12">
        <v>0</v>
      </c>
      <c r="AB1234" s="12">
        <v>0</v>
      </c>
      <c r="AC1234" s="12">
        <v>0</v>
      </c>
      <c r="AD1234" s="12">
        <v>0</v>
      </c>
      <c r="AE1234" s="12">
        <v>1</v>
      </c>
      <c r="AF1234" s="12">
        <v>1</v>
      </c>
      <c r="AG1234" s="12">
        <v>0</v>
      </c>
      <c r="AH1234" s="12">
        <v>0</v>
      </c>
      <c r="AI1234" s="12">
        <v>3</v>
      </c>
      <c r="AJ1234" s="12" t="s">
        <v>64</v>
      </c>
      <c r="AK1234" s="12">
        <v>0</v>
      </c>
      <c r="AL1234" s="12">
        <v>1</v>
      </c>
      <c r="AM1234" s="12">
        <v>6883</v>
      </c>
      <c r="AN1234" s="12">
        <f t="shared" si="287"/>
        <v>6883</v>
      </c>
      <c r="AO1234" s="12">
        <v>2</v>
      </c>
      <c r="AP1234" s="12" t="s">
        <v>59</v>
      </c>
      <c r="AQ1234" s="12">
        <v>0</v>
      </c>
      <c r="AR1234" s="12">
        <v>16</v>
      </c>
      <c r="AS1234" s="12">
        <v>3</v>
      </c>
      <c r="AT1234" s="12">
        <v>2</v>
      </c>
      <c r="AU1234" s="12">
        <v>1</v>
      </c>
      <c r="AV1234" s="12">
        <v>17</v>
      </c>
      <c r="AW1234" s="12">
        <f t="shared" si="288"/>
        <v>17</v>
      </c>
      <c r="AX1234" s="12">
        <v>3</v>
      </c>
      <c r="AY1234" s="12">
        <v>3</v>
      </c>
      <c r="AZ1234" s="12">
        <v>7</v>
      </c>
      <c r="BA1234" s="12">
        <f t="shared" si="289"/>
        <v>7</v>
      </c>
      <c r="BB1234" s="12">
        <v>7</v>
      </c>
      <c r="BC1234" s="12">
        <v>0</v>
      </c>
      <c r="BD1234" s="12">
        <f t="shared" si="298"/>
        <v>0</v>
      </c>
      <c r="BE1234" s="12">
        <v>7</v>
      </c>
      <c r="BF1234" s="12">
        <f t="shared" si="290"/>
        <v>7</v>
      </c>
      <c r="BG1234" s="12">
        <f t="shared" si="299"/>
        <v>14</v>
      </c>
      <c r="BH1234" s="67">
        <v>0</v>
      </c>
      <c r="BI1234" s="67">
        <v>1</v>
      </c>
      <c r="BJ1234" s="67">
        <v>0</v>
      </c>
      <c r="BK1234" s="67">
        <v>0</v>
      </c>
      <c r="BL1234" s="67">
        <v>0</v>
      </c>
      <c r="BM1234" s="67">
        <v>0</v>
      </c>
      <c r="BN1234" s="67">
        <v>1</v>
      </c>
      <c r="BO1234" s="67">
        <v>0</v>
      </c>
      <c r="BP1234" s="67">
        <v>0</v>
      </c>
      <c r="BQ1234" s="67">
        <v>7</v>
      </c>
      <c r="BR1234" s="67">
        <v>0</v>
      </c>
      <c r="BS1234" s="67">
        <v>0</v>
      </c>
      <c r="BT1234" s="67">
        <v>17</v>
      </c>
      <c r="BU1234" s="70">
        <v>0</v>
      </c>
      <c r="BV1234" s="29">
        <f t="shared" si="291"/>
        <v>8.0729013666284113E-2</v>
      </c>
      <c r="BW1234">
        <f t="shared" si="292"/>
        <v>0.80626709607243985</v>
      </c>
      <c r="BX1234">
        <f t="shared" si="293"/>
        <v>0.73519710510148462</v>
      </c>
      <c r="BY1234">
        <f t="shared" si="294"/>
        <v>1.3324462240916321E-3</v>
      </c>
      <c r="BZ1234">
        <f t="shared" si="295"/>
        <v>2.1965931630549322</v>
      </c>
      <c r="CA1234">
        <f t="shared" si="296"/>
        <v>0.21058903898096887</v>
      </c>
      <c r="CB1234">
        <f t="shared" si="297"/>
        <v>0.67891464284095016</v>
      </c>
    </row>
    <row r="1235" spans="1:80" x14ac:dyDescent="0.45">
      <c r="A1235" s="11">
        <v>30</v>
      </c>
      <c r="B1235" s="12">
        <f t="shared" si="285"/>
        <v>30</v>
      </c>
      <c r="C1235" s="12" t="s">
        <v>59</v>
      </c>
      <c r="D1235" s="12">
        <v>0</v>
      </c>
      <c r="E1235" s="12" t="s">
        <v>53</v>
      </c>
      <c r="F1235" s="12">
        <v>0</v>
      </c>
      <c r="G1235" s="12">
        <v>1</v>
      </c>
      <c r="H1235" s="12" t="s">
        <v>61</v>
      </c>
      <c r="I1235" s="12">
        <v>1</v>
      </c>
      <c r="J1235" s="12">
        <v>0</v>
      </c>
      <c r="K1235" s="12">
        <v>16</v>
      </c>
      <c r="L1235" s="12">
        <f t="shared" si="286"/>
        <v>16</v>
      </c>
      <c r="M1235" s="12">
        <v>1</v>
      </c>
      <c r="N1235" s="12" t="s">
        <v>55</v>
      </c>
      <c r="O1235" s="12">
        <v>1</v>
      </c>
      <c r="P1235" s="12">
        <v>0</v>
      </c>
      <c r="Q1235" s="12">
        <v>0</v>
      </c>
      <c r="R1235" s="12">
        <v>0</v>
      </c>
      <c r="S1235" s="12">
        <v>0</v>
      </c>
      <c r="T1235" s="12">
        <v>2</v>
      </c>
      <c r="U1235" s="12" t="s">
        <v>62</v>
      </c>
      <c r="V1235" s="12">
        <v>0</v>
      </c>
      <c r="W1235" s="12">
        <v>33</v>
      </c>
      <c r="X1235" s="12">
        <v>3</v>
      </c>
      <c r="Y1235" s="12">
        <v>1</v>
      </c>
      <c r="Z1235" s="12" t="s">
        <v>63</v>
      </c>
      <c r="AA1235" s="12">
        <v>0</v>
      </c>
      <c r="AB1235" s="12">
        <v>0</v>
      </c>
      <c r="AC1235" s="12">
        <v>0</v>
      </c>
      <c r="AD1235" s="12">
        <v>0</v>
      </c>
      <c r="AE1235" s="12">
        <v>0</v>
      </c>
      <c r="AF1235" s="12">
        <v>0</v>
      </c>
      <c r="AG1235" s="12">
        <v>0</v>
      </c>
      <c r="AH1235" s="12">
        <v>1</v>
      </c>
      <c r="AI1235" s="12">
        <v>4</v>
      </c>
      <c r="AJ1235" s="12" t="s">
        <v>64</v>
      </c>
      <c r="AK1235" s="12">
        <v>0</v>
      </c>
      <c r="AL1235" s="12">
        <v>1</v>
      </c>
      <c r="AM1235" s="12">
        <v>2862</v>
      </c>
      <c r="AN1235" s="12">
        <f t="shared" si="287"/>
        <v>2862</v>
      </c>
      <c r="AO1235" s="12">
        <v>1</v>
      </c>
      <c r="AP1235" s="12" t="s">
        <v>59</v>
      </c>
      <c r="AQ1235" s="12">
        <v>0</v>
      </c>
      <c r="AR1235" s="12">
        <v>12</v>
      </c>
      <c r="AS1235" s="12">
        <v>3</v>
      </c>
      <c r="AT1235" s="12">
        <v>2</v>
      </c>
      <c r="AU1235" s="12">
        <v>1</v>
      </c>
      <c r="AV1235" s="12">
        <v>10</v>
      </c>
      <c r="AW1235" s="12">
        <f t="shared" si="288"/>
        <v>10</v>
      </c>
      <c r="AX1235" s="12">
        <v>2</v>
      </c>
      <c r="AY1235" s="12">
        <v>2</v>
      </c>
      <c r="AZ1235" s="12">
        <v>10</v>
      </c>
      <c r="BA1235" s="12">
        <f t="shared" si="289"/>
        <v>10</v>
      </c>
      <c r="BB1235" s="12">
        <v>0</v>
      </c>
      <c r="BC1235" s="12">
        <v>0</v>
      </c>
      <c r="BD1235" s="12">
        <f t="shared" si="298"/>
        <v>0</v>
      </c>
      <c r="BE1235" s="12">
        <v>8</v>
      </c>
      <c r="BF1235" s="12">
        <f t="shared" si="290"/>
        <v>8</v>
      </c>
      <c r="BG1235" s="12">
        <f t="shared" si="299"/>
        <v>8</v>
      </c>
      <c r="BH1235" s="67">
        <v>0</v>
      </c>
      <c r="BI1235" s="67">
        <v>1</v>
      </c>
      <c r="BJ1235" s="67">
        <v>0</v>
      </c>
      <c r="BK1235" s="67">
        <v>0</v>
      </c>
      <c r="BL1235" s="67">
        <v>0</v>
      </c>
      <c r="BM1235" s="67">
        <v>0</v>
      </c>
      <c r="BN1235" s="67">
        <v>1</v>
      </c>
      <c r="BO1235" s="67">
        <v>0</v>
      </c>
      <c r="BP1235" s="67">
        <v>0</v>
      </c>
      <c r="BQ1235" s="67">
        <v>8</v>
      </c>
      <c r="BR1235" s="67">
        <v>0</v>
      </c>
      <c r="BS1235" s="67">
        <v>0</v>
      </c>
      <c r="BT1235" s="67">
        <v>10</v>
      </c>
      <c r="BU1235" s="70">
        <v>0</v>
      </c>
      <c r="BV1235" s="29">
        <f t="shared" si="291"/>
        <v>0.77335699120864732</v>
      </c>
      <c r="BW1235">
        <f t="shared" si="292"/>
        <v>1.08652546240644</v>
      </c>
      <c r="BX1235">
        <f t="shared" si="293"/>
        <v>0.1644554352117841</v>
      </c>
      <c r="BY1235">
        <f t="shared" si="294"/>
        <v>0.48834154112957734</v>
      </c>
      <c r="BZ1235">
        <f t="shared" si="295"/>
        <v>0.83971837042788355</v>
      </c>
      <c r="CA1235">
        <f t="shared" si="296"/>
        <v>0.75791203633249671</v>
      </c>
      <c r="CB1235">
        <f t="shared" si="297"/>
        <v>0.67891464284095016</v>
      </c>
    </row>
    <row r="1236" spans="1:80" x14ac:dyDescent="0.45">
      <c r="A1236" s="11">
        <v>47</v>
      </c>
      <c r="B1236" s="12">
        <f t="shared" si="285"/>
        <v>47</v>
      </c>
      <c r="C1236" s="12" t="s">
        <v>59</v>
      </c>
      <c r="D1236" s="12">
        <v>0</v>
      </c>
      <c r="E1236" s="12" t="s">
        <v>86</v>
      </c>
      <c r="F1236" s="12">
        <v>0</v>
      </c>
      <c r="G1236" s="12">
        <v>0</v>
      </c>
      <c r="H1236" s="12" t="s">
        <v>54</v>
      </c>
      <c r="I1236" s="12">
        <v>0</v>
      </c>
      <c r="J1236" s="12">
        <v>1</v>
      </c>
      <c r="K1236" s="12">
        <v>2</v>
      </c>
      <c r="L1236" s="12">
        <f t="shared" si="286"/>
        <v>2</v>
      </c>
      <c r="M1236" s="12">
        <v>4</v>
      </c>
      <c r="N1236" s="12" t="s">
        <v>90</v>
      </c>
      <c r="O1236" s="12">
        <v>0</v>
      </c>
      <c r="P1236" s="12">
        <v>0</v>
      </c>
      <c r="Q1236" s="12">
        <v>0</v>
      </c>
      <c r="R1236" s="12">
        <v>1</v>
      </c>
      <c r="S1236" s="12">
        <v>0</v>
      </c>
      <c r="T1236" s="12">
        <v>3</v>
      </c>
      <c r="U1236" s="12" t="s">
        <v>62</v>
      </c>
      <c r="V1236" s="12">
        <v>0</v>
      </c>
      <c r="W1236" s="12">
        <v>87</v>
      </c>
      <c r="X1236" s="12">
        <v>3</v>
      </c>
      <c r="Y1236" s="12">
        <v>2</v>
      </c>
      <c r="Z1236" s="12" t="s">
        <v>56</v>
      </c>
      <c r="AA1236" s="12">
        <v>0</v>
      </c>
      <c r="AB1236" s="12">
        <v>1</v>
      </c>
      <c r="AC1236" s="12">
        <v>0</v>
      </c>
      <c r="AD1236" s="12">
        <v>0</v>
      </c>
      <c r="AE1236" s="12">
        <v>0</v>
      </c>
      <c r="AF1236" s="12">
        <v>0</v>
      </c>
      <c r="AG1236" s="12">
        <v>0</v>
      </c>
      <c r="AH1236" s="12">
        <v>0</v>
      </c>
      <c r="AI1236" s="12">
        <v>2</v>
      </c>
      <c r="AJ1236" s="12" t="s">
        <v>64</v>
      </c>
      <c r="AK1236" s="12">
        <v>0</v>
      </c>
      <c r="AL1236" s="12">
        <v>1</v>
      </c>
      <c r="AM1236" s="12">
        <v>4978</v>
      </c>
      <c r="AN1236" s="12">
        <f t="shared" si="287"/>
        <v>4978</v>
      </c>
      <c r="AO1236" s="12">
        <v>7</v>
      </c>
      <c r="AP1236" s="12" t="s">
        <v>59</v>
      </c>
      <c r="AQ1236" s="12">
        <v>0</v>
      </c>
      <c r="AR1236" s="12">
        <v>11</v>
      </c>
      <c r="AS1236" s="12">
        <v>3</v>
      </c>
      <c r="AT1236" s="12">
        <v>4</v>
      </c>
      <c r="AU1236" s="12">
        <v>1</v>
      </c>
      <c r="AV1236" s="12">
        <v>4</v>
      </c>
      <c r="AW1236" s="12">
        <f t="shared" si="288"/>
        <v>4</v>
      </c>
      <c r="AX1236" s="12">
        <v>3</v>
      </c>
      <c r="AY1236" s="12">
        <v>1</v>
      </c>
      <c r="AZ1236" s="12">
        <v>1</v>
      </c>
      <c r="BA1236" s="12">
        <f t="shared" si="289"/>
        <v>1</v>
      </c>
      <c r="BB1236" s="12">
        <v>0</v>
      </c>
      <c r="BC1236" s="12">
        <v>0</v>
      </c>
      <c r="BD1236" s="12">
        <f t="shared" si="298"/>
        <v>0</v>
      </c>
      <c r="BE1236" s="12">
        <v>0</v>
      </c>
      <c r="BF1236" s="12">
        <f t="shared" si="290"/>
        <v>0</v>
      </c>
      <c r="BG1236" s="12">
        <f t="shared" si="299"/>
        <v>0</v>
      </c>
      <c r="BH1236" s="67">
        <v>0</v>
      </c>
      <c r="BI1236" s="67">
        <v>1</v>
      </c>
      <c r="BJ1236" s="67">
        <v>0</v>
      </c>
      <c r="BK1236" s="67">
        <v>0</v>
      </c>
      <c r="BL1236" s="67">
        <v>0</v>
      </c>
      <c r="BM1236" s="67">
        <v>0</v>
      </c>
      <c r="BN1236" s="67">
        <v>1</v>
      </c>
      <c r="BO1236" s="67">
        <v>0</v>
      </c>
      <c r="BP1236" s="67">
        <v>0</v>
      </c>
      <c r="BQ1236" s="67">
        <v>0</v>
      </c>
      <c r="BR1236" s="67">
        <v>0</v>
      </c>
      <c r="BS1236" s="67">
        <v>0</v>
      </c>
      <c r="BT1236" s="67">
        <v>0</v>
      </c>
      <c r="BU1236" s="70">
        <v>4</v>
      </c>
      <c r="BV1236" s="29">
        <f t="shared" si="291"/>
        <v>0.32390511696956381</v>
      </c>
      <c r="BW1236">
        <f t="shared" si="292"/>
        <v>1.1555414682655611</v>
      </c>
      <c r="BX1236">
        <f t="shared" si="293"/>
        <v>0.93558618405172878</v>
      </c>
      <c r="BY1236">
        <f t="shared" si="294"/>
        <v>0.9806804209314296</v>
      </c>
      <c r="BZ1236">
        <f t="shared" si="295"/>
        <v>0.88721318382472392</v>
      </c>
      <c r="CA1236">
        <f t="shared" si="296"/>
        <v>1.102986154662698</v>
      </c>
      <c r="CB1236">
        <f t="shared" si="297"/>
        <v>0.67891464284095016</v>
      </c>
    </row>
    <row r="1237" spans="1:80" x14ac:dyDescent="0.45">
      <c r="A1237" s="11">
        <v>46</v>
      </c>
      <c r="B1237" s="12">
        <f t="shared" si="285"/>
        <v>46</v>
      </c>
      <c r="C1237" s="12" t="s">
        <v>59</v>
      </c>
      <c r="D1237" s="12">
        <v>0</v>
      </c>
      <c r="E1237" s="12" t="s">
        <v>53</v>
      </c>
      <c r="F1237" s="12">
        <v>0</v>
      </c>
      <c r="G1237" s="12">
        <v>1</v>
      </c>
      <c r="H1237" s="12" t="s">
        <v>54</v>
      </c>
      <c r="I1237" s="12">
        <v>0</v>
      </c>
      <c r="J1237" s="12">
        <v>1</v>
      </c>
      <c r="K1237" s="12">
        <v>2</v>
      </c>
      <c r="L1237" s="12">
        <f t="shared" si="286"/>
        <v>2</v>
      </c>
      <c r="M1237" s="12">
        <v>3</v>
      </c>
      <c r="N1237" s="12" t="s">
        <v>55</v>
      </c>
      <c r="O1237" s="12">
        <v>1</v>
      </c>
      <c r="P1237" s="12">
        <v>0</v>
      </c>
      <c r="Q1237" s="12">
        <v>0</v>
      </c>
      <c r="R1237" s="12">
        <v>0</v>
      </c>
      <c r="S1237" s="12">
        <v>0</v>
      </c>
      <c r="T1237" s="12">
        <v>3</v>
      </c>
      <c r="U1237" s="12" t="s">
        <v>62</v>
      </c>
      <c r="V1237" s="12">
        <v>0</v>
      </c>
      <c r="W1237" s="12">
        <v>74</v>
      </c>
      <c r="X1237" s="12">
        <v>3</v>
      </c>
      <c r="Y1237" s="12">
        <v>3</v>
      </c>
      <c r="Z1237" s="12" t="s">
        <v>56</v>
      </c>
      <c r="AA1237" s="12">
        <v>0</v>
      </c>
      <c r="AB1237" s="12">
        <v>1</v>
      </c>
      <c r="AC1237" s="12">
        <v>0</v>
      </c>
      <c r="AD1237" s="12">
        <v>0</v>
      </c>
      <c r="AE1237" s="12">
        <v>0</v>
      </c>
      <c r="AF1237" s="12">
        <v>0</v>
      </c>
      <c r="AG1237" s="12">
        <v>0</v>
      </c>
      <c r="AH1237" s="12">
        <v>0</v>
      </c>
      <c r="AI1237" s="12">
        <v>4</v>
      </c>
      <c r="AJ1237" s="12" t="s">
        <v>78</v>
      </c>
      <c r="AK1237" s="12">
        <v>0</v>
      </c>
      <c r="AL1237" s="12">
        <v>0</v>
      </c>
      <c r="AM1237" s="12">
        <v>10368</v>
      </c>
      <c r="AN1237" s="12">
        <f t="shared" si="287"/>
        <v>10368</v>
      </c>
      <c r="AO1237" s="12">
        <v>4</v>
      </c>
      <c r="AP1237" s="12" t="s">
        <v>52</v>
      </c>
      <c r="AQ1237" s="12">
        <v>1</v>
      </c>
      <c r="AR1237" s="12">
        <v>12</v>
      </c>
      <c r="AS1237" s="12">
        <v>3</v>
      </c>
      <c r="AT1237" s="12">
        <v>2</v>
      </c>
      <c r="AU1237" s="12">
        <v>1</v>
      </c>
      <c r="AV1237" s="12">
        <v>13</v>
      </c>
      <c r="AW1237" s="12">
        <f t="shared" si="288"/>
        <v>13</v>
      </c>
      <c r="AX1237" s="12">
        <v>5</v>
      </c>
      <c r="AY1237" s="12">
        <v>2</v>
      </c>
      <c r="AZ1237" s="12">
        <v>10</v>
      </c>
      <c r="BA1237" s="12">
        <f t="shared" si="289"/>
        <v>10</v>
      </c>
      <c r="BB1237" s="12">
        <v>6</v>
      </c>
      <c r="BC1237" s="12">
        <v>0</v>
      </c>
      <c r="BD1237" s="12">
        <f t="shared" si="298"/>
        <v>0</v>
      </c>
      <c r="BE1237" s="12">
        <v>3</v>
      </c>
      <c r="BF1237" s="12">
        <f t="shared" si="290"/>
        <v>3</v>
      </c>
      <c r="BG1237" s="12">
        <f t="shared" si="299"/>
        <v>9</v>
      </c>
      <c r="BH1237" s="67">
        <v>1</v>
      </c>
      <c r="BI1237" s="67">
        <v>0</v>
      </c>
      <c r="BJ1237" s="67">
        <v>0</v>
      </c>
      <c r="BK1237" s="67">
        <v>0</v>
      </c>
      <c r="BL1237" s="67">
        <v>0</v>
      </c>
      <c r="BM1237" s="67">
        <v>1</v>
      </c>
      <c r="BN1237" s="67">
        <v>0</v>
      </c>
      <c r="BO1237" s="67">
        <v>0</v>
      </c>
      <c r="BP1237" s="67">
        <v>0</v>
      </c>
      <c r="BQ1237" s="67">
        <v>0</v>
      </c>
      <c r="BR1237" s="67">
        <v>3</v>
      </c>
      <c r="BS1237" s="67">
        <v>0</v>
      </c>
      <c r="BT1237" s="67">
        <v>0</v>
      </c>
      <c r="BU1237" s="70">
        <v>13</v>
      </c>
      <c r="BV1237" s="29">
        <f t="shared" si="291"/>
        <v>0.82096520540692974</v>
      </c>
      <c r="BW1237">
        <f t="shared" si="292"/>
        <v>0.31476636926356072</v>
      </c>
      <c r="BX1237">
        <f t="shared" si="293"/>
        <v>0.22110993920818819</v>
      </c>
      <c r="BY1237">
        <f t="shared" si="294"/>
        <v>0.48834154112957734</v>
      </c>
      <c r="BZ1237">
        <f t="shared" si="295"/>
        <v>0.88721318382472392</v>
      </c>
      <c r="CA1237">
        <f t="shared" si="296"/>
        <v>0.99352155519239249</v>
      </c>
      <c r="CB1237">
        <f t="shared" si="297"/>
        <v>0.67891464284095016</v>
      </c>
    </row>
    <row r="1238" spans="1:80" x14ac:dyDescent="0.45">
      <c r="A1238" s="11">
        <v>36</v>
      </c>
      <c r="B1238" s="12">
        <f t="shared" si="285"/>
        <v>36</v>
      </c>
      <c r="C1238" s="12" t="s">
        <v>52</v>
      </c>
      <c r="D1238" s="12">
        <v>1</v>
      </c>
      <c r="E1238" s="12" t="s">
        <v>53</v>
      </c>
      <c r="F1238" s="12">
        <v>0</v>
      </c>
      <c r="G1238" s="12">
        <v>1</v>
      </c>
      <c r="H1238" s="12" t="s">
        <v>54</v>
      </c>
      <c r="I1238" s="12">
        <v>0</v>
      </c>
      <c r="J1238" s="12">
        <v>1</v>
      </c>
      <c r="K1238" s="12">
        <v>13</v>
      </c>
      <c r="L1238" s="12">
        <f t="shared" si="286"/>
        <v>13</v>
      </c>
      <c r="M1238" s="12">
        <v>5</v>
      </c>
      <c r="N1238" s="12" t="s">
        <v>90</v>
      </c>
      <c r="O1238" s="12">
        <v>0</v>
      </c>
      <c r="P1238" s="12">
        <v>0</v>
      </c>
      <c r="Q1238" s="12">
        <v>0</v>
      </c>
      <c r="R1238" s="12">
        <v>1</v>
      </c>
      <c r="S1238" s="12">
        <v>0</v>
      </c>
      <c r="T1238" s="12">
        <v>2</v>
      </c>
      <c r="U1238" s="12" t="s">
        <v>62</v>
      </c>
      <c r="V1238" s="12">
        <v>0</v>
      </c>
      <c r="W1238" s="12">
        <v>96</v>
      </c>
      <c r="X1238" s="12">
        <v>2</v>
      </c>
      <c r="Y1238" s="12">
        <v>2</v>
      </c>
      <c r="Z1238" s="12" t="s">
        <v>56</v>
      </c>
      <c r="AA1238" s="12">
        <v>0</v>
      </c>
      <c r="AB1238" s="12">
        <v>1</v>
      </c>
      <c r="AC1238" s="12">
        <v>0</v>
      </c>
      <c r="AD1238" s="12">
        <v>0</v>
      </c>
      <c r="AE1238" s="12">
        <v>0</v>
      </c>
      <c r="AF1238" s="12">
        <v>0</v>
      </c>
      <c r="AG1238" s="12">
        <v>0</v>
      </c>
      <c r="AH1238" s="12">
        <v>0</v>
      </c>
      <c r="AI1238" s="12">
        <v>1</v>
      </c>
      <c r="AJ1238" s="12" t="s">
        <v>78</v>
      </c>
      <c r="AK1238" s="12">
        <v>0</v>
      </c>
      <c r="AL1238" s="12">
        <v>0</v>
      </c>
      <c r="AM1238" s="12">
        <v>6134</v>
      </c>
      <c r="AN1238" s="12">
        <f t="shared" si="287"/>
        <v>6134</v>
      </c>
      <c r="AO1238" s="12">
        <v>5</v>
      </c>
      <c r="AP1238" s="12" t="s">
        <v>52</v>
      </c>
      <c r="AQ1238" s="12">
        <v>1</v>
      </c>
      <c r="AR1238" s="12">
        <v>13</v>
      </c>
      <c r="AS1238" s="12">
        <v>3</v>
      </c>
      <c r="AT1238" s="12">
        <v>2</v>
      </c>
      <c r="AU1238" s="12">
        <v>3</v>
      </c>
      <c r="AV1238" s="12">
        <v>16</v>
      </c>
      <c r="AW1238" s="12">
        <f t="shared" si="288"/>
        <v>16</v>
      </c>
      <c r="AX1238" s="12">
        <v>3</v>
      </c>
      <c r="AY1238" s="12">
        <v>3</v>
      </c>
      <c r="AZ1238" s="12">
        <v>2</v>
      </c>
      <c r="BA1238" s="12">
        <f t="shared" si="289"/>
        <v>2</v>
      </c>
      <c r="BB1238" s="12">
        <v>2</v>
      </c>
      <c r="BC1238" s="12">
        <v>2</v>
      </c>
      <c r="BD1238" s="12">
        <f t="shared" si="298"/>
        <v>2</v>
      </c>
      <c r="BE1238" s="12">
        <v>2</v>
      </c>
      <c r="BF1238" s="12">
        <f t="shared" si="290"/>
        <v>2</v>
      </c>
      <c r="BG1238" s="12">
        <f t="shared" si="299"/>
        <v>4</v>
      </c>
      <c r="BH1238" s="67">
        <v>1</v>
      </c>
      <c r="BI1238" s="67">
        <v>0</v>
      </c>
      <c r="BJ1238" s="67">
        <v>0</v>
      </c>
      <c r="BK1238" s="67">
        <v>0</v>
      </c>
      <c r="BL1238" s="67">
        <v>0</v>
      </c>
      <c r="BM1238" s="67">
        <v>1</v>
      </c>
      <c r="BN1238" s="67">
        <v>0</v>
      </c>
      <c r="BO1238" s="67">
        <v>0</v>
      </c>
      <c r="BP1238" s="67">
        <v>0</v>
      </c>
      <c r="BQ1238" s="67">
        <v>0</v>
      </c>
      <c r="BR1238" s="67">
        <v>2</v>
      </c>
      <c r="BS1238" s="67">
        <v>0</v>
      </c>
      <c r="BT1238" s="67">
        <v>0</v>
      </c>
      <c r="BU1238" s="70">
        <v>16</v>
      </c>
      <c r="BV1238" s="29">
        <f t="shared" si="291"/>
        <v>7.8363355806813043E-2</v>
      </c>
      <c r="BW1238">
        <f t="shared" si="292"/>
        <v>0.59502473559756086</v>
      </c>
      <c r="BX1238">
        <f t="shared" si="293"/>
        <v>0.60667531362816052</v>
      </c>
      <c r="BY1238">
        <f t="shared" si="294"/>
        <v>0.81745575848020657</v>
      </c>
      <c r="BZ1238">
        <f t="shared" si="295"/>
        <v>0.46966160880232483</v>
      </c>
      <c r="CA1238">
        <f t="shared" si="296"/>
        <v>0.10112443951066327</v>
      </c>
      <c r="CB1238">
        <f t="shared" si="297"/>
        <v>5.8265062631872602E-2</v>
      </c>
    </row>
    <row r="1239" spans="1:80" x14ac:dyDescent="0.45">
      <c r="A1239" s="11">
        <v>32</v>
      </c>
      <c r="B1239" s="12">
        <f t="shared" si="285"/>
        <v>32</v>
      </c>
      <c r="C1239" s="12" t="s">
        <v>52</v>
      </c>
      <c r="D1239" s="12">
        <v>1</v>
      </c>
      <c r="E1239" s="12" t="s">
        <v>53</v>
      </c>
      <c r="F1239" s="12">
        <v>0</v>
      </c>
      <c r="G1239" s="12">
        <v>1</v>
      </c>
      <c r="H1239" s="12" t="s">
        <v>54</v>
      </c>
      <c r="I1239" s="12">
        <v>0</v>
      </c>
      <c r="J1239" s="12">
        <v>1</v>
      </c>
      <c r="K1239" s="12">
        <v>1</v>
      </c>
      <c r="L1239" s="12">
        <f t="shared" si="286"/>
        <v>1</v>
      </c>
      <c r="M1239" s="12">
        <v>2</v>
      </c>
      <c r="N1239" s="12" t="s">
        <v>55</v>
      </c>
      <c r="O1239" s="12">
        <v>1</v>
      </c>
      <c r="P1239" s="12">
        <v>0</v>
      </c>
      <c r="Q1239" s="12">
        <v>0</v>
      </c>
      <c r="R1239" s="12">
        <v>0</v>
      </c>
      <c r="S1239" s="12">
        <v>0</v>
      </c>
      <c r="T1239" s="12">
        <v>1</v>
      </c>
      <c r="U1239" s="12" t="s">
        <v>62</v>
      </c>
      <c r="V1239" s="12">
        <v>0</v>
      </c>
      <c r="W1239" s="12">
        <v>34</v>
      </c>
      <c r="X1239" s="12">
        <v>1</v>
      </c>
      <c r="Y1239" s="12">
        <v>2</v>
      </c>
      <c r="Z1239" s="12" t="s">
        <v>56</v>
      </c>
      <c r="AA1239" s="12">
        <v>0</v>
      </c>
      <c r="AB1239" s="12">
        <v>1</v>
      </c>
      <c r="AC1239" s="12">
        <v>0</v>
      </c>
      <c r="AD1239" s="12">
        <v>0</v>
      </c>
      <c r="AE1239" s="12">
        <v>0</v>
      </c>
      <c r="AF1239" s="12">
        <v>0</v>
      </c>
      <c r="AG1239" s="12">
        <v>0</v>
      </c>
      <c r="AH1239" s="12">
        <v>0</v>
      </c>
      <c r="AI1239" s="12">
        <v>2</v>
      </c>
      <c r="AJ1239" s="12" t="s">
        <v>57</v>
      </c>
      <c r="AK1239" s="12">
        <v>1</v>
      </c>
      <c r="AL1239" s="12">
        <v>0</v>
      </c>
      <c r="AM1239" s="12">
        <v>6735</v>
      </c>
      <c r="AN1239" s="12">
        <f t="shared" si="287"/>
        <v>6735</v>
      </c>
      <c r="AO1239" s="12">
        <v>6</v>
      </c>
      <c r="AP1239" s="12" t="s">
        <v>59</v>
      </c>
      <c r="AQ1239" s="12">
        <v>0</v>
      </c>
      <c r="AR1239" s="12">
        <v>15</v>
      </c>
      <c r="AS1239" s="12">
        <v>3</v>
      </c>
      <c r="AT1239" s="12">
        <v>2</v>
      </c>
      <c r="AU1239" s="12">
        <v>0</v>
      </c>
      <c r="AV1239" s="12">
        <v>10</v>
      </c>
      <c r="AW1239" s="12">
        <f t="shared" si="288"/>
        <v>10</v>
      </c>
      <c r="AX1239" s="12">
        <v>2</v>
      </c>
      <c r="AY1239" s="12">
        <v>3</v>
      </c>
      <c r="AZ1239" s="12">
        <v>0</v>
      </c>
      <c r="BA1239" s="12">
        <f t="shared" si="289"/>
        <v>0</v>
      </c>
      <c r="BB1239" s="12">
        <v>0</v>
      </c>
      <c r="BC1239" s="12">
        <v>0</v>
      </c>
      <c r="BD1239" s="12">
        <f t="shared" si="298"/>
        <v>0</v>
      </c>
      <c r="BE1239" s="12">
        <v>0</v>
      </c>
      <c r="BF1239" s="12">
        <f t="shared" si="290"/>
        <v>0</v>
      </c>
      <c r="BG1239" s="12">
        <f t="shared" si="299"/>
        <v>0</v>
      </c>
      <c r="BH1239" s="67">
        <v>1</v>
      </c>
      <c r="BI1239" s="67">
        <v>0</v>
      </c>
      <c r="BJ1239" s="67">
        <v>0</v>
      </c>
      <c r="BK1239" s="67">
        <v>0</v>
      </c>
      <c r="BL1239" s="67">
        <v>1</v>
      </c>
      <c r="BM1239" s="67">
        <v>0</v>
      </c>
      <c r="BN1239" s="67">
        <v>0</v>
      </c>
      <c r="BO1239" s="67">
        <v>0</v>
      </c>
      <c r="BP1239" s="67">
        <v>0</v>
      </c>
      <c r="BQ1239" s="67">
        <v>0</v>
      </c>
      <c r="BR1239" s="67">
        <v>0</v>
      </c>
      <c r="BS1239" s="67">
        <v>0</v>
      </c>
      <c r="BT1239" s="67">
        <v>0</v>
      </c>
      <c r="BU1239" s="70">
        <v>10</v>
      </c>
      <c r="BV1239" s="29">
        <f t="shared" si="291"/>
        <v>4.9292871233682811E-2</v>
      </c>
      <c r="BW1239">
        <f t="shared" si="292"/>
        <v>1.1555414682655611</v>
      </c>
      <c r="BX1239">
        <f t="shared" si="293"/>
        <v>0.1644554352117841</v>
      </c>
      <c r="BY1239">
        <f t="shared" si="294"/>
        <v>1.1439050833826525</v>
      </c>
      <c r="BZ1239">
        <f t="shared" si="295"/>
        <v>1.01056543769991</v>
      </c>
      <c r="CA1239">
        <f t="shared" si="296"/>
        <v>0.53898283739188557</v>
      </c>
      <c r="CB1239">
        <f t="shared" si="297"/>
        <v>0.67891464284095016</v>
      </c>
    </row>
    <row r="1240" spans="1:80" x14ac:dyDescent="0.45">
      <c r="A1240" s="11">
        <v>23</v>
      </c>
      <c r="B1240" s="12">
        <f t="shared" si="285"/>
        <v>23</v>
      </c>
      <c r="C1240" s="12" t="s">
        <v>59</v>
      </c>
      <c r="D1240" s="12">
        <v>0</v>
      </c>
      <c r="E1240" s="12" t="s">
        <v>53</v>
      </c>
      <c r="F1240" s="12">
        <v>0</v>
      </c>
      <c r="G1240" s="12">
        <v>1</v>
      </c>
      <c r="H1240" s="12" t="s">
        <v>61</v>
      </c>
      <c r="I1240" s="12">
        <v>1</v>
      </c>
      <c r="J1240" s="12">
        <v>0</v>
      </c>
      <c r="K1240" s="12">
        <v>4</v>
      </c>
      <c r="L1240" s="12">
        <f t="shared" si="286"/>
        <v>4</v>
      </c>
      <c r="M1240" s="12">
        <v>1</v>
      </c>
      <c r="N1240" s="12" t="s">
        <v>70</v>
      </c>
      <c r="O1240" s="12">
        <v>0</v>
      </c>
      <c r="P1240" s="12">
        <v>0</v>
      </c>
      <c r="Q1240" s="12">
        <v>1</v>
      </c>
      <c r="R1240" s="12">
        <v>0</v>
      </c>
      <c r="S1240" s="12">
        <v>0</v>
      </c>
      <c r="T1240" s="12">
        <v>3</v>
      </c>
      <c r="U1240" s="12" t="s">
        <v>19</v>
      </c>
      <c r="V1240" s="12">
        <v>1</v>
      </c>
      <c r="W1240" s="12">
        <v>51</v>
      </c>
      <c r="X1240" s="12">
        <v>3</v>
      </c>
      <c r="Y1240" s="12">
        <v>1</v>
      </c>
      <c r="Z1240" s="12" t="s">
        <v>67</v>
      </c>
      <c r="AA1240" s="12">
        <v>0</v>
      </c>
      <c r="AB1240" s="12">
        <v>0</v>
      </c>
      <c r="AC1240" s="12">
        <v>1</v>
      </c>
      <c r="AD1240" s="12">
        <v>0</v>
      </c>
      <c r="AE1240" s="12">
        <v>0</v>
      </c>
      <c r="AF1240" s="12">
        <v>0</v>
      </c>
      <c r="AG1240" s="12">
        <v>0</v>
      </c>
      <c r="AH1240" s="12">
        <v>0</v>
      </c>
      <c r="AI1240" s="12">
        <v>2</v>
      </c>
      <c r="AJ1240" s="12" t="s">
        <v>57</v>
      </c>
      <c r="AK1240" s="12">
        <v>1</v>
      </c>
      <c r="AL1240" s="12">
        <v>0</v>
      </c>
      <c r="AM1240" s="12">
        <v>3295</v>
      </c>
      <c r="AN1240" s="12">
        <f t="shared" si="287"/>
        <v>3295</v>
      </c>
      <c r="AO1240" s="12">
        <v>1</v>
      </c>
      <c r="AP1240" s="12" t="s">
        <v>59</v>
      </c>
      <c r="AQ1240" s="12">
        <v>0</v>
      </c>
      <c r="AR1240" s="12">
        <v>13</v>
      </c>
      <c r="AS1240" s="12">
        <v>3</v>
      </c>
      <c r="AT1240" s="12">
        <v>3</v>
      </c>
      <c r="AU1240" s="12">
        <v>0</v>
      </c>
      <c r="AV1240" s="12">
        <v>3</v>
      </c>
      <c r="AW1240" s="12">
        <f t="shared" si="288"/>
        <v>3</v>
      </c>
      <c r="AX1240" s="12">
        <v>3</v>
      </c>
      <c r="AY1240" s="12">
        <v>1</v>
      </c>
      <c r="AZ1240" s="12">
        <v>3</v>
      </c>
      <c r="BA1240" s="12">
        <f t="shared" si="289"/>
        <v>3</v>
      </c>
      <c r="BB1240" s="12">
        <v>2</v>
      </c>
      <c r="BC1240" s="12">
        <v>1</v>
      </c>
      <c r="BD1240" s="12">
        <f t="shared" si="298"/>
        <v>1</v>
      </c>
      <c r="BE1240" s="12">
        <v>2</v>
      </c>
      <c r="BF1240" s="12">
        <f t="shared" si="290"/>
        <v>2</v>
      </c>
      <c r="BG1240" s="12">
        <f t="shared" si="299"/>
        <v>2</v>
      </c>
      <c r="BH1240" s="67">
        <v>1</v>
      </c>
      <c r="BI1240" s="67">
        <v>0</v>
      </c>
      <c r="BJ1240" s="67">
        <v>0</v>
      </c>
      <c r="BK1240" s="67">
        <v>0</v>
      </c>
      <c r="BL1240" s="67">
        <v>1</v>
      </c>
      <c r="BM1240" s="67">
        <v>0</v>
      </c>
      <c r="BN1240" s="67">
        <v>0</v>
      </c>
      <c r="BO1240" s="67">
        <v>0</v>
      </c>
      <c r="BP1240" s="67">
        <v>0</v>
      </c>
      <c r="BQ1240" s="67">
        <v>2</v>
      </c>
      <c r="BR1240" s="67">
        <v>0</v>
      </c>
      <c r="BS1240" s="67">
        <v>0</v>
      </c>
      <c r="BT1240" s="67">
        <v>3</v>
      </c>
      <c r="BU1240" s="70">
        <v>0</v>
      </c>
      <c r="BV1240" s="29">
        <f t="shared" si="291"/>
        <v>0.68138503395650973</v>
      </c>
      <c r="BW1240">
        <f t="shared" si="292"/>
        <v>0.59502473559756086</v>
      </c>
      <c r="BX1240">
        <f t="shared" si="293"/>
        <v>1.0641079755250529</v>
      </c>
      <c r="BY1240">
        <f t="shared" si="294"/>
        <v>0.65423109602898355</v>
      </c>
      <c r="BZ1240">
        <f t="shared" si="295"/>
        <v>0.64050867607435136</v>
      </c>
      <c r="CA1240">
        <f t="shared" si="296"/>
        <v>1.5241642326246359</v>
      </c>
      <c r="CB1240">
        <f t="shared" si="297"/>
        <v>0.36858985273641137</v>
      </c>
    </row>
    <row r="1241" spans="1:80" x14ac:dyDescent="0.45">
      <c r="A1241" s="11">
        <v>31</v>
      </c>
      <c r="B1241" s="12">
        <f t="shared" si="285"/>
        <v>31</v>
      </c>
      <c r="C1241" s="12" t="s">
        <v>59</v>
      </c>
      <c r="D1241" s="12">
        <v>0</v>
      </c>
      <c r="E1241" s="12" t="s">
        <v>60</v>
      </c>
      <c r="F1241" s="12">
        <v>1</v>
      </c>
      <c r="G1241" s="12">
        <v>0</v>
      </c>
      <c r="H1241" s="12" t="s">
        <v>61</v>
      </c>
      <c r="I1241" s="12">
        <v>1</v>
      </c>
      <c r="J1241" s="12">
        <v>0</v>
      </c>
      <c r="K1241" s="12">
        <v>24</v>
      </c>
      <c r="L1241" s="12">
        <f t="shared" si="286"/>
        <v>24</v>
      </c>
      <c r="M1241" s="12">
        <v>1</v>
      </c>
      <c r="N1241" s="12" t="s">
        <v>91</v>
      </c>
      <c r="O1241" s="12">
        <v>0</v>
      </c>
      <c r="P1241" s="12">
        <v>0</v>
      </c>
      <c r="Q1241" s="12">
        <v>0</v>
      </c>
      <c r="R1241" s="12">
        <v>0</v>
      </c>
      <c r="S1241" s="12">
        <v>1</v>
      </c>
      <c r="T1241" s="12">
        <v>4</v>
      </c>
      <c r="U1241" s="12" t="s">
        <v>19</v>
      </c>
      <c r="V1241" s="12">
        <v>1</v>
      </c>
      <c r="W1241" s="12">
        <v>30</v>
      </c>
      <c r="X1241" s="12">
        <v>3</v>
      </c>
      <c r="Y1241" s="12">
        <v>2</v>
      </c>
      <c r="Z1241" s="12" t="s">
        <v>83</v>
      </c>
      <c r="AA1241" s="12">
        <v>0</v>
      </c>
      <c r="AB1241" s="12">
        <v>0</v>
      </c>
      <c r="AC1241" s="12">
        <v>0</v>
      </c>
      <c r="AD1241" s="12">
        <v>0</v>
      </c>
      <c r="AE1241" s="12">
        <v>1</v>
      </c>
      <c r="AF1241" s="12">
        <v>1</v>
      </c>
      <c r="AG1241" s="12">
        <v>0</v>
      </c>
      <c r="AH1241" s="12">
        <v>0</v>
      </c>
      <c r="AI1241" s="12">
        <v>4</v>
      </c>
      <c r="AJ1241" s="12" t="s">
        <v>57</v>
      </c>
      <c r="AK1241" s="12">
        <v>1</v>
      </c>
      <c r="AL1241" s="12">
        <v>0</v>
      </c>
      <c r="AM1241" s="12">
        <v>5238</v>
      </c>
      <c r="AN1241" s="12">
        <f t="shared" si="287"/>
        <v>5238</v>
      </c>
      <c r="AO1241" s="12">
        <v>2</v>
      </c>
      <c r="AP1241" s="12" t="s">
        <v>59</v>
      </c>
      <c r="AQ1241" s="12">
        <v>0</v>
      </c>
      <c r="AR1241" s="12">
        <v>20</v>
      </c>
      <c r="AS1241" s="12">
        <v>4</v>
      </c>
      <c r="AT1241" s="12">
        <v>4</v>
      </c>
      <c r="AU1241" s="12">
        <v>0</v>
      </c>
      <c r="AV1241" s="12">
        <v>9</v>
      </c>
      <c r="AW1241" s="12">
        <f t="shared" si="288"/>
        <v>9</v>
      </c>
      <c r="AX1241" s="12">
        <v>3</v>
      </c>
      <c r="AY1241" s="12">
        <v>2</v>
      </c>
      <c r="AZ1241" s="12">
        <v>5</v>
      </c>
      <c r="BA1241" s="12">
        <f t="shared" si="289"/>
        <v>5</v>
      </c>
      <c r="BB1241" s="12">
        <v>4</v>
      </c>
      <c r="BC1241" s="12">
        <v>1</v>
      </c>
      <c r="BD1241" s="12">
        <f t="shared" si="298"/>
        <v>1</v>
      </c>
      <c r="BE1241" s="12">
        <v>4</v>
      </c>
      <c r="BF1241" s="12">
        <f t="shared" si="290"/>
        <v>4</v>
      </c>
      <c r="BG1241" s="12">
        <f t="shared" si="299"/>
        <v>8</v>
      </c>
      <c r="BH1241" s="67">
        <v>0</v>
      </c>
      <c r="BI1241" s="67">
        <v>0</v>
      </c>
      <c r="BJ1241" s="67">
        <v>1</v>
      </c>
      <c r="BK1241" s="67">
        <v>0</v>
      </c>
      <c r="BL1241" s="67">
        <v>1</v>
      </c>
      <c r="BM1241" s="67">
        <v>0</v>
      </c>
      <c r="BN1241" s="67">
        <v>0</v>
      </c>
      <c r="BO1241" s="67">
        <v>0</v>
      </c>
      <c r="BP1241" s="67">
        <v>0</v>
      </c>
      <c r="BQ1241" s="67">
        <v>4</v>
      </c>
      <c r="BR1241" s="67">
        <v>0</v>
      </c>
      <c r="BS1241" s="67">
        <v>0</v>
      </c>
      <c r="BT1241" s="67">
        <v>9</v>
      </c>
      <c r="BU1241" s="70">
        <v>0</v>
      </c>
      <c r="BV1241" s="29">
        <f t="shared" si="291"/>
        <v>0.26867946134472365</v>
      </c>
      <c r="BW1241">
        <f t="shared" si="292"/>
        <v>3.4508002929560584E-2</v>
      </c>
      <c r="BX1241">
        <f t="shared" si="293"/>
        <v>0.29297722668510823</v>
      </c>
      <c r="BY1241">
        <f t="shared" si="294"/>
        <v>0.32778177112653761</v>
      </c>
      <c r="BZ1241">
        <f t="shared" si="295"/>
        <v>1.8265364014293735</v>
      </c>
      <c r="CA1241">
        <f t="shared" si="296"/>
        <v>0.6484474368621912</v>
      </c>
      <c r="CB1241">
        <f t="shared" si="297"/>
        <v>0.36858985273641137</v>
      </c>
    </row>
    <row r="1242" spans="1:80" x14ac:dyDescent="0.45">
      <c r="A1242" s="11">
        <v>39</v>
      </c>
      <c r="B1242" s="12">
        <f t="shared" si="285"/>
        <v>39</v>
      </c>
      <c r="C1242" s="12" t="s">
        <v>59</v>
      </c>
      <c r="D1242" s="12">
        <v>0</v>
      </c>
      <c r="E1242" s="12" t="s">
        <v>86</v>
      </c>
      <c r="F1242" s="12">
        <v>0</v>
      </c>
      <c r="G1242" s="12">
        <v>0</v>
      </c>
      <c r="H1242" s="12" t="s">
        <v>61</v>
      </c>
      <c r="I1242" s="12">
        <v>1</v>
      </c>
      <c r="J1242" s="12">
        <v>0</v>
      </c>
      <c r="K1242" s="12">
        <v>1</v>
      </c>
      <c r="L1242" s="12">
        <f t="shared" si="286"/>
        <v>1</v>
      </c>
      <c r="M1242" s="12">
        <v>3</v>
      </c>
      <c r="N1242" s="12" t="s">
        <v>55</v>
      </c>
      <c r="O1242" s="12">
        <v>1</v>
      </c>
      <c r="P1242" s="12">
        <v>0</v>
      </c>
      <c r="Q1242" s="12">
        <v>0</v>
      </c>
      <c r="R1242" s="12">
        <v>0</v>
      </c>
      <c r="S1242" s="12">
        <v>0</v>
      </c>
      <c r="T1242" s="12">
        <v>4</v>
      </c>
      <c r="U1242" s="12" t="s">
        <v>62</v>
      </c>
      <c r="V1242" s="12">
        <v>0</v>
      </c>
      <c r="W1242" s="12">
        <v>77</v>
      </c>
      <c r="X1242" s="12">
        <v>3</v>
      </c>
      <c r="Y1242" s="12">
        <v>2</v>
      </c>
      <c r="Z1242" s="12" t="s">
        <v>67</v>
      </c>
      <c r="AA1242" s="12">
        <v>0</v>
      </c>
      <c r="AB1242" s="12">
        <v>0</v>
      </c>
      <c r="AC1242" s="12">
        <v>1</v>
      </c>
      <c r="AD1242" s="12">
        <v>0</v>
      </c>
      <c r="AE1242" s="12">
        <v>0</v>
      </c>
      <c r="AF1242" s="12">
        <v>0</v>
      </c>
      <c r="AG1242" s="12">
        <v>0</v>
      </c>
      <c r="AH1242" s="12">
        <v>0</v>
      </c>
      <c r="AI1242" s="12">
        <v>4</v>
      </c>
      <c r="AJ1242" s="12" t="s">
        <v>64</v>
      </c>
      <c r="AK1242" s="12">
        <v>0</v>
      </c>
      <c r="AL1242" s="12">
        <v>1</v>
      </c>
      <c r="AM1242" s="12">
        <v>6472</v>
      </c>
      <c r="AN1242" s="12">
        <f t="shared" si="287"/>
        <v>6472</v>
      </c>
      <c r="AO1242" s="12">
        <v>1</v>
      </c>
      <c r="AP1242" s="12" t="s">
        <v>52</v>
      </c>
      <c r="AQ1242" s="12">
        <v>1</v>
      </c>
      <c r="AR1242" s="12">
        <v>15</v>
      </c>
      <c r="AS1242" s="12">
        <v>3</v>
      </c>
      <c r="AT1242" s="12">
        <v>4</v>
      </c>
      <c r="AU1242" s="12">
        <v>1</v>
      </c>
      <c r="AV1242" s="12">
        <v>9</v>
      </c>
      <c r="AW1242" s="12">
        <f t="shared" si="288"/>
        <v>9</v>
      </c>
      <c r="AX1242" s="12">
        <v>2</v>
      </c>
      <c r="AY1242" s="12">
        <v>3</v>
      </c>
      <c r="AZ1242" s="12">
        <v>9</v>
      </c>
      <c r="BA1242" s="12">
        <f t="shared" si="289"/>
        <v>9</v>
      </c>
      <c r="BB1242" s="12">
        <v>8</v>
      </c>
      <c r="BC1242" s="12">
        <v>5</v>
      </c>
      <c r="BD1242" s="12">
        <f t="shared" si="298"/>
        <v>5</v>
      </c>
      <c r="BE1242" s="12">
        <v>8</v>
      </c>
      <c r="BF1242" s="12">
        <f t="shared" si="290"/>
        <v>8</v>
      </c>
      <c r="BG1242" s="12">
        <f t="shared" si="299"/>
        <v>16</v>
      </c>
      <c r="BH1242" s="67">
        <v>0</v>
      </c>
      <c r="BI1242" s="67">
        <v>1</v>
      </c>
      <c r="BJ1242" s="67">
        <v>0</v>
      </c>
      <c r="BK1242" s="67">
        <v>0</v>
      </c>
      <c r="BL1242" s="67">
        <v>0</v>
      </c>
      <c r="BM1242" s="67">
        <v>0</v>
      </c>
      <c r="BN1242" s="67">
        <v>0</v>
      </c>
      <c r="BO1242" s="67">
        <v>1</v>
      </c>
      <c r="BP1242" s="67">
        <v>0</v>
      </c>
      <c r="BQ1242" s="67">
        <v>8</v>
      </c>
      <c r="BR1242" s="67">
        <v>0</v>
      </c>
      <c r="BS1242" s="67">
        <v>0</v>
      </c>
      <c r="BT1242" s="67">
        <v>9</v>
      </c>
      <c r="BU1242" s="70">
        <v>0</v>
      </c>
      <c r="BV1242" s="29">
        <f t="shared" si="291"/>
        <v>6.5700034945208631E-3</v>
      </c>
      <c r="BW1242">
        <f t="shared" si="292"/>
        <v>1.08652546240644</v>
      </c>
      <c r="BX1242">
        <f t="shared" si="293"/>
        <v>0.29297722668510823</v>
      </c>
      <c r="BY1242">
        <f t="shared" si="294"/>
        <v>0.32511687867835437</v>
      </c>
      <c r="BZ1242">
        <f t="shared" si="295"/>
        <v>1.01056543769991</v>
      </c>
      <c r="CA1242">
        <f t="shared" si="296"/>
        <v>0.22726935890025346</v>
      </c>
      <c r="CB1242">
        <f t="shared" si="297"/>
        <v>0.87270930768174382</v>
      </c>
    </row>
    <row r="1243" spans="1:80" x14ac:dyDescent="0.45">
      <c r="A1243" s="11">
        <v>32</v>
      </c>
      <c r="B1243" s="12">
        <f t="shared" si="285"/>
        <v>32</v>
      </c>
      <c r="C1243" s="12" t="s">
        <v>59</v>
      </c>
      <c r="D1243" s="12">
        <v>0</v>
      </c>
      <c r="E1243" s="12" t="s">
        <v>53</v>
      </c>
      <c r="F1243" s="12">
        <v>0</v>
      </c>
      <c r="G1243" s="12">
        <v>1</v>
      </c>
      <c r="H1243" s="12" t="s">
        <v>54</v>
      </c>
      <c r="I1243" s="12">
        <v>0</v>
      </c>
      <c r="J1243" s="12">
        <v>1</v>
      </c>
      <c r="K1243" s="12">
        <v>19</v>
      </c>
      <c r="L1243" s="12">
        <f t="shared" si="286"/>
        <v>19</v>
      </c>
      <c r="M1243" s="12">
        <v>3</v>
      </c>
      <c r="N1243" s="12" t="s">
        <v>55</v>
      </c>
      <c r="O1243" s="12">
        <v>1</v>
      </c>
      <c r="P1243" s="12">
        <v>0</v>
      </c>
      <c r="Q1243" s="12">
        <v>0</v>
      </c>
      <c r="R1243" s="12">
        <v>0</v>
      </c>
      <c r="S1243" s="12">
        <v>0</v>
      </c>
      <c r="T1243" s="12">
        <v>4</v>
      </c>
      <c r="U1243" s="12" t="s">
        <v>62</v>
      </c>
      <c r="V1243" s="12">
        <v>0</v>
      </c>
      <c r="W1243" s="12">
        <v>80</v>
      </c>
      <c r="X1243" s="12">
        <v>1</v>
      </c>
      <c r="Y1243" s="12">
        <v>3</v>
      </c>
      <c r="Z1243" s="12" t="s">
        <v>56</v>
      </c>
      <c r="AA1243" s="12">
        <v>0</v>
      </c>
      <c r="AB1243" s="12">
        <v>1</v>
      </c>
      <c r="AC1243" s="12">
        <v>0</v>
      </c>
      <c r="AD1243" s="12">
        <v>0</v>
      </c>
      <c r="AE1243" s="12">
        <v>0</v>
      </c>
      <c r="AF1243" s="12">
        <v>0</v>
      </c>
      <c r="AG1243" s="12">
        <v>0</v>
      </c>
      <c r="AH1243" s="12">
        <v>0</v>
      </c>
      <c r="AI1243" s="12">
        <v>3</v>
      </c>
      <c r="AJ1243" s="12" t="s">
        <v>64</v>
      </c>
      <c r="AK1243" s="12">
        <v>0</v>
      </c>
      <c r="AL1243" s="12">
        <v>1</v>
      </c>
      <c r="AM1243" s="12">
        <v>9610</v>
      </c>
      <c r="AN1243" s="12">
        <f t="shared" si="287"/>
        <v>9610</v>
      </c>
      <c r="AO1243" s="12">
        <v>3</v>
      </c>
      <c r="AP1243" s="12" t="s">
        <v>59</v>
      </c>
      <c r="AQ1243" s="12">
        <v>0</v>
      </c>
      <c r="AR1243" s="12">
        <v>13</v>
      </c>
      <c r="AS1243" s="12">
        <v>3</v>
      </c>
      <c r="AT1243" s="12">
        <v>3</v>
      </c>
      <c r="AU1243" s="12">
        <v>1</v>
      </c>
      <c r="AV1243" s="12">
        <v>10</v>
      </c>
      <c r="AW1243" s="12">
        <f t="shared" si="288"/>
        <v>10</v>
      </c>
      <c r="AX1243" s="12">
        <v>2</v>
      </c>
      <c r="AY1243" s="12">
        <v>1</v>
      </c>
      <c r="AZ1243" s="12">
        <v>4</v>
      </c>
      <c r="BA1243" s="12">
        <f t="shared" si="289"/>
        <v>4</v>
      </c>
      <c r="BB1243" s="12">
        <v>3</v>
      </c>
      <c r="BC1243" s="12">
        <v>0</v>
      </c>
      <c r="BD1243" s="12">
        <f t="shared" si="298"/>
        <v>0</v>
      </c>
      <c r="BE1243" s="12">
        <v>2</v>
      </c>
      <c r="BF1243" s="12">
        <f t="shared" si="290"/>
        <v>2</v>
      </c>
      <c r="BG1243" s="12">
        <f t="shared" si="299"/>
        <v>6</v>
      </c>
      <c r="BH1243" s="67">
        <v>0</v>
      </c>
      <c r="BI1243" s="67">
        <v>1</v>
      </c>
      <c r="BJ1243" s="67">
        <v>0</v>
      </c>
      <c r="BK1243" s="67">
        <v>0</v>
      </c>
      <c r="BL1243" s="67">
        <v>0</v>
      </c>
      <c r="BM1243" s="67">
        <v>0</v>
      </c>
      <c r="BN1243" s="67">
        <v>1</v>
      </c>
      <c r="BO1243" s="67">
        <v>0</v>
      </c>
      <c r="BP1243" s="67">
        <v>0</v>
      </c>
      <c r="BQ1243" s="67">
        <v>0</v>
      </c>
      <c r="BR1243" s="67">
        <v>2</v>
      </c>
      <c r="BS1243" s="67">
        <v>0</v>
      </c>
      <c r="BT1243" s="67">
        <v>0</v>
      </c>
      <c r="BU1243" s="70">
        <v>10</v>
      </c>
      <c r="BV1243" s="29">
        <f t="shared" si="291"/>
        <v>0.65996117862374204</v>
      </c>
      <c r="BW1243">
        <f t="shared" si="292"/>
        <v>0.59502473559756086</v>
      </c>
      <c r="BX1243">
        <f t="shared" si="293"/>
        <v>0.1644554352117841</v>
      </c>
      <c r="BY1243">
        <f t="shared" si="294"/>
        <v>0.49100643357776058</v>
      </c>
      <c r="BZ1243">
        <f t="shared" si="295"/>
        <v>1.2097751320534422</v>
      </c>
      <c r="CA1243">
        <f t="shared" si="296"/>
        <v>0.53898283739188557</v>
      </c>
      <c r="CB1243">
        <f t="shared" si="297"/>
        <v>0.67891464284095016</v>
      </c>
    </row>
    <row r="1244" spans="1:80" x14ac:dyDescent="0.45">
      <c r="A1244" s="11">
        <v>40</v>
      </c>
      <c r="B1244" s="12">
        <f t="shared" si="285"/>
        <v>40</v>
      </c>
      <c r="C1244" s="12" t="s">
        <v>59</v>
      </c>
      <c r="D1244" s="12">
        <v>0</v>
      </c>
      <c r="E1244" s="12" t="s">
        <v>53</v>
      </c>
      <c r="F1244" s="12">
        <v>0</v>
      </c>
      <c r="G1244" s="12">
        <v>1</v>
      </c>
      <c r="H1244" s="12" t="s">
        <v>54</v>
      </c>
      <c r="I1244" s="12">
        <v>0</v>
      </c>
      <c r="J1244" s="12">
        <v>1</v>
      </c>
      <c r="K1244" s="12">
        <v>7</v>
      </c>
      <c r="L1244" s="12">
        <f t="shared" si="286"/>
        <v>7</v>
      </c>
      <c r="M1244" s="12">
        <v>4</v>
      </c>
      <c r="N1244" s="12" t="s">
        <v>70</v>
      </c>
      <c r="O1244" s="12">
        <v>0</v>
      </c>
      <c r="P1244" s="12">
        <v>0</v>
      </c>
      <c r="Q1244" s="12">
        <v>1</v>
      </c>
      <c r="R1244" s="12">
        <v>0</v>
      </c>
      <c r="S1244" s="12">
        <v>0</v>
      </c>
      <c r="T1244" s="12">
        <v>2</v>
      </c>
      <c r="U1244" s="12" t="s">
        <v>62</v>
      </c>
      <c r="V1244" s="12">
        <v>0</v>
      </c>
      <c r="W1244" s="12">
        <v>88</v>
      </c>
      <c r="X1244" s="12">
        <v>3</v>
      </c>
      <c r="Y1244" s="12">
        <v>5</v>
      </c>
      <c r="Z1244" s="12" t="s">
        <v>87</v>
      </c>
      <c r="AA1244" s="12">
        <v>0</v>
      </c>
      <c r="AB1244" s="12">
        <v>0</v>
      </c>
      <c r="AC1244" s="12">
        <v>0</v>
      </c>
      <c r="AD1244" s="12">
        <v>1</v>
      </c>
      <c r="AE1244" s="12">
        <v>0</v>
      </c>
      <c r="AF1244" s="12">
        <v>0</v>
      </c>
      <c r="AG1244" s="12">
        <v>0</v>
      </c>
      <c r="AH1244" s="12">
        <v>0</v>
      </c>
      <c r="AI1244" s="12">
        <v>2</v>
      </c>
      <c r="AJ1244" s="12" t="s">
        <v>57</v>
      </c>
      <c r="AK1244" s="12">
        <v>1</v>
      </c>
      <c r="AL1244" s="12">
        <v>0</v>
      </c>
      <c r="AM1244" s="12">
        <v>19833</v>
      </c>
      <c r="AN1244" s="12">
        <f t="shared" si="287"/>
        <v>19626.310000000001</v>
      </c>
      <c r="AO1244" s="12">
        <v>1</v>
      </c>
      <c r="AP1244" s="12" t="s">
        <v>59</v>
      </c>
      <c r="AQ1244" s="12">
        <v>0</v>
      </c>
      <c r="AR1244" s="12">
        <v>14</v>
      </c>
      <c r="AS1244" s="12">
        <v>3</v>
      </c>
      <c r="AT1244" s="12">
        <v>2</v>
      </c>
      <c r="AU1244" s="12">
        <v>0</v>
      </c>
      <c r="AV1244" s="12">
        <v>21</v>
      </c>
      <c r="AW1244" s="12">
        <f t="shared" si="288"/>
        <v>21</v>
      </c>
      <c r="AX1244" s="12">
        <v>3</v>
      </c>
      <c r="AY1244" s="12">
        <v>2</v>
      </c>
      <c r="AZ1244" s="12">
        <v>21</v>
      </c>
      <c r="BA1244" s="12">
        <f t="shared" si="289"/>
        <v>21</v>
      </c>
      <c r="BB1244" s="12">
        <v>8</v>
      </c>
      <c r="BC1244" s="12">
        <v>12</v>
      </c>
      <c r="BD1244" s="12">
        <f t="shared" si="298"/>
        <v>12</v>
      </c>
      <c r="BE1244" s="12">
        <v>8</v>
      </c>
      <c r="BF1244" s="12">
        <f t="shared" si="290"/>
        <v>8</v>
      </c>
      <c r="BG1244" s="12">
        <f t="shared" si="299"/>
        <v>40</v>
      </c>
      <c r="BH1244" s="67">
        <v>1</v>
      </c>
      <c r="BI1244" s="67">
        <v>0</v>
      </c>
      <c r="BJ1244" s="67">
        <v>0</v>
      </c>
      <c r="BK1244" s="67">
        <v>0</v>
      </c>
      <c r="BL1244" s="67">
        <v>1</v>
      </c>
      <c r="BM1244" s="67">
        <v>0</v>
      </c>
      <c r="BN1244" s="67">
        <v>0</v>
      </c>
      <c r="BO1244" s="67">
        <v>0</v>
      </c>
      <c r="BP1244" s="67">
        <v>0</v>
      </c>
      <c r="BQ1244" s="67">
        <v>0</v>
      </c>
      <c r="BR1244" s="67">
        <v>8</v>
      </c>
      <c r="BS1244" s="67">
        <v>0</v>
      </c>
      <c r="BT1244" s="67">
        <v>0</v>
      </c>
      <c r="BU1244" s="70">
        <v>21</v>
      </c>
      <c r="BV1244" s="29">
        <f t="shared" si="291"/>
        <v>2.8313914765188986</v>
      </c>
      <c r="BW1244">
        <f t="shared" si="292"/>
        <v>1.08652546240644</v>
      </c>
      <c r="BX1244">
        <f t="shared" si="293"/>
        <v>1.2492842709947811</v>
      </c>
      <c r="BY1244">
        <f t="shared" si="294"/>
        <v>2.2838128280930299</v>
      </c>
      <c r="BZ1244">
        <f t="shared" si="295"/>
        <v>0.27045191444879263</v>
      </c>
      <c r="CA1244">
        <f t="shared" si="296"/>
        <v>0.33673395837055903</v>
      </c>
      <c r="CB1244">
        <f t="shared" si="297"/>
        <v>3.0449828384135156</v>
      </c>
    </row>
    <row r="1245" spans="1:80" x14ac:dyDescent="0.45">
      <c r="A1245" s="11">
        <v>45</v>
      </c>
      <c r="B1245" s="12">
        <f t="shared" si="285"/>
        <v>45</v>
      </c>
      <c r="C1245" s="12" t="s">
        <v>59</v>
      </c>
      <c r="D1245" s="12">
        <v>0</v>
      </c>
      <c r="E1245" s="12" t="s">
        <v>53</v>
      </c>
      <c r="F1245" s="12">
        <v>0</v>
      </c>
      <c r="G1245" s="12">
        <v>1</v>
      </c>
      <c r="H1245" s="12" t="s">
        <v>97</v>
      </c>
      <c r="I1245" s="12">
        <v>0</v>
      </c>
      <c r="J1245" s="12">
        <v>0</v>
      </c>
      <c r="K1245" s="12">
        <v>4</v>
      </c>
      <c r="L1245" s="12">
        <f t="shared" si="286"/>
        <v>4</v>
      </c>
      <c r="M1245" s="12">
        <v>3</v>
      </c>
      <c r="N1245" s="12" t="s">
        <v>55</v>
      </c>
      <c r="O1245" s="12">
        <v>1</v>
      </c>
      <c r="P1245" s="12">
        <v>0</v>
      </c>
      <c r="Q1245" s="12">
        <v>0</v>
      </c>
      <c r="R1245" s="12">
        <v>0</v>
      </c>
      <c r="S1245" s="12">
        <v>0</v>
      </c>
      <c r="T1245" s="12">
        <v>3</v>
      </c>
      <c r="U1245" s="12" t="s">
        <v>19</v>
      </c>
      <c r="V1245" s="12">
        <v>1</v>
      </c>
      <c r="W1245" s="12">
        <v>56</v>
      </c>
      <c r="X1245" s="12">
        <v>1</v>
      </c>
      <c r="Y1245" s="12">
        <v>3</v>
      </c>
      <c r="Z1245" s="12" t="s">
        <v>97</v>
      </c>
      <c r="AA1245" s="12">
        <v>0</v>
      </c>
      <c r="AB1245" s="12">
        <v>0</v>
      </c>
      <c r="AC1245" s="12">
        <v>0</v>
      </c>
      <c r="AD1245" s="12">
        <v>0</v>
      </c>
      <c r="AE1245" s="12">
        <v>0</v>
      </c>
      <c r="AF1245" s="12">
        <v>0</v>
      </c>
      <c r="AG1245" s="12">
        <v>0</v>
      </c>
      <c r="AH1245" s="12">
        <v>0</v>
      </c>
      <c r="AI1245" s="12">
        <v>3</v>
      </c>
      <c r="AJ1245" s="12" t="s">
        <v>64</v>
      </c>
      <c r="AK1245" s="12">
        <v>0</v>
      </c>
      <c r="AL1245" s="12">
        <v>1</v>
      </c>
      <c r="AM1245" s="12">
        <v>9756</v>
      </c>
      <c r="AN1245" s="12">
        <f t="shared" si="287"/>
        <v>9756</v>
      </c>
      <c r="AO1245" s="12">
        <v>4</v>
      </c>
      <c r="AP1245" s="12" t="s">
        <v>59</v>
      </c>
      <c r="AQ1245" s="12">
        <v>0</v>
      </c>
      <c r="AR1245" s="12">
        <v>21</v>
      </c>
      <c r="AS1245" s="12">
        <v>4</v>
      </c>
      <c r="AT1245" s="12">
        <v>3</v>
      </c>
      <c r="AU1245" s="12">
        <v>2</v>
      </c>
      <c r="AV1245" s="12">
        <v>9</v>
      </c>
      <c r="AW1245" s="12">
        <f t="shared" si="288"/>
        <v>9</v>
      </c>
      <c r="AX1245" s="12">
        <v>2</v>
      </c>
      <c r="AY1245" s="12">
        <v>4</v>
      </c>
      <c r="AZ1245" s="12">
        <v>5</v>
      </c>
      <c r="BA1245" s="12">
        <f t="shared" si="289"/>
        <v>5</v>
      </c>
      <c r="BB1245" s="12">
        <v>0</v>
      </c>
      <c r="BC1245" s="12">
        <v>0</v>
      </c>
      <c r="BD1245" s="12">
        <f t="shared" si="298"/>
        <v>0</v>
      </c>
      <c r="BE1245" s="12">
        <v>3</v>
      </c>
      <c r="BF1245" s="12">
        <f t="shared" si="290"/>
        <v>3</v>
      </c>
      <c r="BG1245" s="12">
        <f t="shared" si="299"/>
        <v>9</v>
      </c>
      <c r="BH1245" s="67">
        <v>0</v>
      </c>
      <c r="BI1245" s="67">
        <v>1</v>
      </c>
      <c r="BJ1245" s="67">
        <v>0</v>
      </c>
      <c r="BK1245" s="67">
        <v>0</v>
      </c>
      <c r="BL1245" s="67">
        <v>0</v>
      </c>
      <c r="BM1245" s="67">
        <v>0</v>
      </c>
      <c r="BN1245" s="67">
        <v>1</v>
      </c>
      <c r="BO1245" s="67">
        <v>0</v>
      </c>
      <c r="BP1245" s="67">
        <v>3</v>
      </c>
      <c r="BQ1245" s="67">
        <v>0</v>
      </c>
      <c r="BR1245" s="67">
        <v>0</v>
      </c>
      <c r="BS1245" s="67">
        <v>9</v>
      </c>
      <c r="BT1245" s="67">
        <v>0</v>
      </c>
      <c r="BU1245" s="70">
        <v>0</v>
      </c>
      <c r="BV1245" s="29">
        <f t="shared" si="291"/>
        <v>0.69097250832076762</v>
      </c>
      <c r="BW1245">
        <f t="shared" si="292"/>
        <v>0.31476636926356072</v>
      </c>
      <c r="BX1245">
        <f t="shared" si="293"/>
        <v>0.29297722668510823</v>
      </c>
      <c r="BY1245">
        <f t="shared" si="294"/>
        <v>0.32778177112653761</v>
      </c>
      <c r="BZ1245">
        <f t="shared" si="295"/>
        <v>0.64050867607435136</v>
      </c>
      <c r="CA1245">
        <f t="shared" si="296"/>
        <v>0.88405695572208698</v>
      </c>
      <c r="CB1245">
        <f t="shared" si="297"/>
        <v>0.67891464284095016</v>
      </c>
    </row>
    <row r="1246" spans="1:80" x14ac:dyDescent="0.45">
      <c r="A1246" s="11">
        <v>30</v>
      </c>
      <c r="B1246" s="12">
        <f t="shared" si="285"/>
        <v>30</v>
      </c>
      <c r="C1246" s="12" t="s">
        <v>59</v>
      </c>
      <c r="D1246" s="12">
        <v>0</v>
      </c>
      <c r="E1246" s="12" t="s">
        <v>60</v>
      </c>
      <c r="F1246" s="12">
        <v>1</v>
      </c>
      <c r="G1246" s="12">
        <v>0</v>
      </c>
      <c r="H1246" s="12" t="s">
        <v>61</v>
      </c>
      <c r="I1246" s="12">
        <v>1</v>
      </c>
      <c r="J1246" s="12">
        <v>0</v>
      </c>
      <c r="K1246" s="12">
        <v>2</v>
      </c>
      <c r="L1246" s="12">
        <f t="shared" si="286"/>
        <v>2</v>
      </c>
      <c r="M1246" s="12">
        <v>4</v>
      </c>
      <c r="N1246" s="12" t="s">
        <v>91</v>
      </c>
      <c r="O1246" s="12">
        <v>0</v>
      </c>
      <c r="P1246" s="12">
        <v>0</v>
      </c>
      <c r="Q1246" s="12">
        <v>0</v>
      </c>
      <c r="R1246" s="12">
        <v>0</v>
      </c>
      <c r="S1246" s="12">
        <v>1</v>
      </c>
      <c r="T1246" s="12">
        <v>4</v>
      </c>
      <c r="U1246" s="12" t="s">
        <v>19</v>
      </c>
      <c r="V1246" s="12">
        <v>1</v>
      </c>
      <c r="W1246" s="12">
        <v>78</v>
      </c>
      <c r="X1246" s="12">
        <v>2</v>
      </c>
      <c r="Y1246" s="12">
        <v>1</v>
      </c>
      <c r="Z1246" s="12" t="s">
        <v>63</v>
      </c>
      <c r="AA1246" s="12">
        <v>0</v>
      </c>
      <c r="AB1246" s="12">
        <v>0</v>
      </c>
      <c r="AC1246" s="12">
        <v>0</v>
      </c>
      <c r="AD1246" s="12">
        <v>0</v>
      </c>
      <c r="AE1246" s="12">
        <v>0</v>
      </c>
      <c r="AF1246" s="12">
        <v>0</v>
      </c>
      <c r="AG1246" s="12">
        <v>0</v>
      </c>
      <c r="AH1246" s="12">
        <v>1</v>
      </c>
      <c r="AI1246" s="12">
        <v>1</v>
      </c>
      <c r="AJ1246" s="12" t="s">
        <v>57</v>
      </c>
      <c r="AK1246" s="12">
        <v>1</v>
      </c>
      <c r="AL1246" s="12">
        <v>0</v>
      </c>
      <c r="AM1246" s="12">
        <v>4968</v>
      </c>
      <c r="AN1246" s="12">
        <f t="shared" si="287"/>
        <v>4968</v>
      </c>
      <c r="AO1246" s="12">
        <v>0</v>
      </c>
      <c r="AP1246" s="12" t="s">
        <v>59</v>
      </c>
      <c r="AQ1246" s="12">
        <v>0</v>
      </c>
      <c r="AR1246" s="12">
        <v>16</v>
      </c>
      <c r="AS1246" s="12">
        <v>3</v>
      </c>
      <c r="AT1246" s="12">
        <v>4</v>
      </c>
      <c r="AU1246" s="12">
        <v>0</v>
      </c>
      <c r="AV1246" s="12">
        <v>10</v>
      </c>
      <c r="AW1246" s="12">
        <f t="shared" si="288"/>
        <v>10</v>
      </c>
      <c r="AX1246" s="12">
        <v>2</v>
      </c>
      <c r="AY1246" s="12">
        <v>3</v>
      </c>
      <c r="AZ1246" s="12">
        <v>9</v>
      </c>
      <c r="BA1246" s="12">
        <f t="shared" si="289"/>
        <v>9</v>
      </c>
      <c r="BB1246" s="12">
        <v>7</v>
      </c>
      <c r="BC1246" s="12">
        <v>0</v>
      </c>
      <c r="BD1246" s="12">
        <f t="shared" si="298"/>
        <v>0</v>
      </c>
      <c r="BE1246" s="12">
        <v>7</v>
      </c>
      <c r="BF1246" s="12">
        <f t="shared" si="290"/>
        <v>7</v>
      </c>
      <c r="BG1246" s="12">
        <f t="shared" si="299"/>
        <v>7</v>
      </c>
      <c r="BH1246" s="67">
        <v>0</v>
      </c>
      <c r="BI1246" s="67">
        <v>0</v>
      </c>
      <c r="BJ1246" s="67">
        <v>1</v>
      </c>
      <c r="BK1246" s="67">
        <v>0</v>
      </c>
      <c r="BL1246" s="67">
        <v>1</v>
      </c>
      <c r="BM1246" s="67">
        <v>0</v>
      </c>
      <c r="BN1246" s="67">
        <v>0</v>
      </c>
      <c r="BO1246" s="67">
        <v>0</v>
      </c>
      <c r="BP1246" s="67">
        <v>0</v>
      </c>
      <c r="BQ1246" s="67">
        <v>7</v>
      </c>
      <c r="BR1246" s="67">
        <v>0</v>
      </c>
      <c r="BS1246" s="67">
        <v>0</v>
      </c>
      <c r="BT1246" s="67">
        <v>10</v>
      </c>
      <c r="BU1246" s="70">
        <v>0</v>
      </c>
      <c r="BV1246" s="29">
        <f t="shared" si="291"/>
        <v>0.32602918064744224</v>
      </c>
      <c r="BW1246">
        <f t="shared" si="292"/>
        <v>0.80626709607243985</v>
      </c>
      <c r="BX1246">
        <f t="shared" si="293"/>
        <v>0.1644554352117841</v>
      </c>
      <c r="BY1246">
        <f t="shared" si="294"/>
        <v>0.32511687867835437</v>
      </c>
      <c r="BZ1246">
        <f t="shared" si="295"/>
        <v>0.88721318382472392</v>
      </c>
      <c r="CA1246">
        <f t="shared" si="296"/>
        <v>0.75791203633249671</v>
      </c>
      <c r="CB1246">
        <f t="shared" si="297"/>
        <v>0.67891464284095016</v>
      </c>
    </row>
    <row r="1247" spans="1:80" x14ac:dyDescent="0.45">
      <c r="A1247" s="11">
        <v>24</v>
      </c>
      <c r="B1247" s="12">
        <f t="shared" si="285"/>
        <v>24</v>
      </c>
      <c r="C1247" s="12" t="s">
        <v>59</v>
      </c>
      <c r="D1247" s="12">
        <v>0</v>
      </c>
      <c r="E1247" s="12" t="s">
        <v>60</v>
      </c>
      <c r="F1247" s="12">
        <v>1</v>
      </c>
      <c r="G1247" s="12">
        <v>0</v>
      </c>
      <c r="H1247" s="12" t="s">
        <v>97</v>
      </c>
      <c r="I1247" s="12">
        <v>0</v>
      </c>
      <c r="J1247" s="12">
        <v>0</v>
      </c>
      <c r="K1247" s="12">
        <v>10</v>
      </c>
      <c r="L1247" s="12">
        <f t="shared" si="286"/>
        <v>10</v>
      </c>
      <c r="M1247" s="12">
        <v>3</v>
      </c>
      <c r="N1247" s="12" t="s">
        <v>70</v>
      </c>
      <c r="O1247" s="12">
        <v>0</v>
      </c>
      <c r="P1247" s="12">
        <v>0</v>
      </c>
      <c r="Q1247" s="12">
        <v>1</v>
      </c>
      <c r="R1247" s="12">
        <v>0</v>
      </c>
      <c r="S1247" s="12">
        <v>0</v>
      </c>
      <c r="T1247" s="12">
        <v>1</v>
      </c>
      <c r="U1247" s="12" t="s">
        <v>62</v>
      </c>
      <c r="V1247" s="12">
        <v>0</v>
      </c>
      <c r="W1247" s="12">
        <v>59</v>
      </c>
      <c r="X1247" s="12">
        <v>3</v>
      </c>
      <c r="Y1247" s="12">
        <v>1</v>
      </c>
      <c r="Z1247" s="12" t="s">
        <v>97</v>
      </c>
      <c r="AA1247" s="12">
        <v>0</v>
      </c>
      <c r="AB1247" s="12">
        <v>0</v>
      </c>
      <c r="AC1247" s="12">
        <v>0</v>
      </c>
      <c r="AD1247" s="12">
        <v>0</v>
      </c>
      <c r="AE1247" s="12">
        <v>0</v>
      </c>
      <c r="AF1247" s="12">
        <v>0</v>
      </c>
      <c r="AG1247" s="12">
        <v>0</v>
      </c>
      <c r="AH1247" s="12">
        <v>0</v>
      </c>
      <c r="AI1247" s="12">
        <v>4</v>
      </c>
      <c r="AJ1247" s="12" t="s">
        <v>64</v>
      </c>
      <c r="AK1247" s="12">
        <v>0</v>
      </c>
      <c r="AL1247" s="12">
        <v>1</v>
      </c>
      <c r="AM1247" s="12">
        <v>2145</v>
      </c>
      <c r="AN1247" s="12">
        <f t="shared" si="287"/>
        <v>2145</v>
      </c>
      <c r="AO1247" s="12">
        <v>0</v>
      </c>
      <c r="AP1247" s="12" t="s">
        <v>59</v>
      </c>
      <c r="AQ1247" s="12">
        <v>0</v>
      </c>
      <c r="AR1247" s="12">
        <v>14</v>
      </c>
      <c r="AS1247" s="12">
        <v>3</v>
      </c>
      <c r="AT1247" s="12">
        <v>4</v>
      </c>
      <c r="AU1247" s="12">
        <v>1</v>
      </c>
      <c r="AV1247" s="12">
        <v>3</v>
      </c>
      <c r="AW1247" s="12">
        <f t="shared" si="288"/>
        <v>3</v>
      </c>
      <c r="AX1247" s="12">
        <v>2</v>
      </c>
      <c r="AY1247" s="12">
        <v>3</v>
      </c>
      <c r="AZ1247" s="12">
        <v>2</v>
      </c>
      <c r="BA1247" s="12">
        <f t="shared" si="289"/>
        <v>2</v>
      </c>
      <c r="BB1247" s="12">
        <v>2</v>
      </c>
      <c r="BC1247" s="12">
        <v>2</v>
      </c>
      <c r="BD1247" s="12">
        <f t="shared" si="298"/>
        <v>2</v>
      </c>
      <c r="BE1247" s="12">
        <v>1</v>
      </c>
      <c r="BF1247" s="12">
        <f t="shared" si="290"/>
        <v>1</v>
      </c>
      <c r="BG1247" s="12">
        <f t="shared" si="299"/>
        <v>1</v>
      </c>
      <c r="BH1247" s="67">
        <v>0</v>
      </c>
      <c r="BI1247" s="67">
        <v>0</v>
      </c>
      <c r="BJ1247" s="67">
        <v>0</v>
      </c>
      <c r="BK1247" s="67">
        <v>1</v>
      </c>
      <c r="BL1247" s="67">
        <v>0</v>
      </c>
      <c r="BM1247" s="67">
        <v>0</v>
      </c>
      <c r="BN1247" s="67">
        <v>1</v>
      </c>
      <c r="BO1247" s="67">
        <v>0</v>
      </c>
      <c r="BP1247" s="67">
        <v>1</v>
      </c>
      <c r="BQ1247" s="67">
        <v>0</v>
      </c>
      <c r="BR1247" s="67">
        <v>0</v>
      </c>
      <c r="BS1247" s="67">
        <v>3</v>
      </c>
      <c r="BT1247" s="67">
        <v>0</v>
      </c>
      <c r="BU1247" s="70">
        <v>0</v>
      </c>
      <c r="BV1247" s="29">
        <f t="shared" si="291"/>
        <v>0.92565235691253345</v>
      </c>
      <c r="BW1247">
        <f t="shared" si="292"/>
        <v>0.87528310193156111</v>
      </c>
      <c r="BX1247">
        <f t="shared" si="293"/>
        <v>1.0641079755250529</v>
      </c>
      <c r="BY1247">
        <f t="shared" si="294"/>
        <v>0.81745575848020657</v>
      </c>
      <c r="BZ1247">
        <f t="shared" si="295"/>
        <v>9.9604847176766084E-2</v>
      </c>
      <c r="CA1247">
        <f t="shared" si="296"/>
        <v>1.4146996331543302</v>
      </c>
      <c r="CB1247">
        <f t="shared" si="297"/>
        <v>5.8265062631872602E-2</v>
      </c>
    </row>
    <row r="1248" spans="1:80" x14ac:dyDescent="0.45">
      <c r="A1248" s="11">
        <v>30</v>
      </c>
      <c r="B1248" s="12">
        <f t="shared" si="285"/>
        <v>30</v>
      </c>
      <c r="C1248" s="12" t="s">
        <v>52</v>
      </c>
      <c r="D1248" s="12">
        <v>1</v>
      </c>
      <c r="E1248" s="12" t="s">
        <v>60</v>
      </c>
      <c r="F1248" s="12">
        <v>1</v>
      </c>
      <c r="G1248" s="12">
        <v>0</v>
      </c>
      <c r="H1248" s="12" t="s">
        <v>97</v>
      </c>
      <c r="I1248" s="12">
        <v>0</v>
      </c>
      <c r="J1248" s="12">
        <v>0</v>
      </c>
      <c r="K1248" s="12">
        <v>8</v>
      </c>
      <c r="L1248" s="12">
        <f t="shared" si="286"/>
        <v>8</v>
      </c>
      <c r="M1248" s="12">
        <v>3</v>
      </c>
      <c r="N1248" s="12" t="s">
        <v>97</v>
      </c>
      <c r="O1248" s="12">
        <v>0</v>
      </c>
      <c r="P1248" s="12">
        <v>0</v>
      </c>
      <c r="Q1248" s="12">
        <v>0</v>
      </c>
      <c r="R1248" s="12">
        <v>0</v>
      </c>
      <c r="S1248" s="12">
        <v>0</v>
      </c>
      <c r="T1248" s="12">
        <v>3</v>
      </c>
      <c r="U1248" s="12" t="s">
        <v>19</v>
      </c>
      <c r="V1248" s="12">
        <v>1</v>
      </c>
      <c r="W1248" s="12">
        <v>66</v>
      </c>
      <c r="X1248" s="12">
        <v>2</v>
      </c>
      <c r="Y1248" s="12">
        <v>1</v>
      </c>
      <c r="Z1248" s="12" t="s">
        <v>97</v>
      </c>
      <c r="AA1248" s="12">
        <v>0</v>
      </c>
      <c r="AB1248" s="12">
        <v>0</v>
      </c>
      <c r="AC1248" s="12">
        <v>0</v>
      </c>
      <c r="AD1248" s="12">
        <v>0</v>
      </c>
      <c r="AE1248" s="12">
        <v>0</v>
      </c>
      <c r="AF1248" s="12">
        <v>0</v>
      </c>
      <c r="AG1248" s="12">
        <v>0</v>
      </c>
      <c r="AH1248" s="12">
        <v>0</v>
      </c>
      <c r="AI1248" s="12">
        <v>4</v>
      </c>
      <c r="AJ1248" s="12" t="s">
        <v>78</v>
      </c>
      <c r="AK1248" s="12">
        <v>0</v>
      </c>
      <c r="AL1248" s="12">
        <v>0</v>
      </c>
      <c r="AM1248" s="12">
        <v>2180</v>
      </c>
      <c r="AN1248" s="12">
        <f t="shared" si="287"/>
        <v>2180</v>
      </c>
      <c r="AO1248" s="12">
        <v>6</v>
      </c>
      <c r="AP1248" s="12" t="s">
        <v>59</v>
      </c>
      <c r="AQ1248" s="12">
        <v>0</v>
      </c>
      <c r="AR1248" s="12">
        <v>11</v>
      </c>
      <c r="AS1248" s="12">
        <v>3</v>
      </c>
      <c r="AT1248" s="12">
        <v>3</v>
      </c>
      <c r="AU1248" s="12">
        <v>1</v>
      </c>
      <c r="AV1248" s="12">
        <v>6</v>
      </c>
      <c r="AW1248" s="12">
        <f t="shared" si="288"/>
        <v>6</v>
      </c>
      <c r="AX1248" s="12">
        <v>0</v>
      </c>
      <c r="AY1248" s="12">
        <v>2</v>
      </c>
      <c r="AZ1248" s="12">
        <v>4</v>
      </c>
      <c r="BA1248" s="12">
        <f t="shared" si="289"/>
        <v>4</v>
      </c>
      <c r="BB1248" s="12">
        <v>2</v>
      </c>
      <c r="BC1248" s="12">
        <v>1</v>
      </c>
      <c r="BD1248" s="12">
        <f t="shared" si="298"/>
        <v>1</v>
      </c>
      <c r="BE1248" s="12">
        <v>2</v>
      </c>
      <c r="BF1248" s="12">
        <f t="shared" si="290"/>
        <v>2</v>
      </c>
      <c r="BG1248" s="12">
        <f t="shared" si="299"/>
        <v>2</v>
      </c>
      <c r="BH1248" s="67">
        <v>0</v>
      </c>
      <c r="BI1248" s="67">
        <v>0</v>
      </c>
      <c r="BJ1248" s="67">
        <v>1</v>
      </c>
      <c r="BK1248" s="67">
        <v>0</v>
      </c>
      <c r="BL1248" s="67">
        <v>1</v>
      </c>
      <c r="BM1248" s="67">
        <v>0</v>
      </c>
      <c r="BN1248" s="67">
        <v>0</v>
      </c>
      <c r="BO1248" s="67">
        <v>0</v>
      </c>
      <c r="BP1248" s="67">
        <v>2</v>
      </c>
      <c r="BQ1248" s="67">
        <v>0</v>
      </c>
      <c r="BR1248" s="67">
        <v>0</v>
      </c>
      <c r="BS1248" s="67">
        <v>6</v>
      </c>
      <c r="BT1248" s="67">
        <v>0</v>
      </c>
      <c r="BU1248" s="70">
        <v>0</v>
      </c>
      <c r="BV1248" s="29">
        <f t="shared" si="291"/>
        <v>0.91821813403995878</v>
      </c>
      <c r="BW1248">
        <f t="shared" si="292"/>
        <v>0.59502473559756086</v>
      </c>
      <c r="BX1248">
        <f t="shared" si="293"/>
        <v>0.67854260110508058</v>
      </c>
      <c r="BY1248">
        <f t="shared" si="294"/>
        <v>0.49100643357776058</v>
      </c>
      <c r="BZ1248">
        <f t="shared" si="295"/>
        <v>0.14709966057360641</v>
      </c>
      <c r="CA1248">
        <f t="shared" si="296"/>
        <v>0.75791203633249671</v>
      </c>
      <c r="CB1248">
        <f t="shared" si="297"/>
        <v>0.36858985273641137</v>
      </c>
    </row>
    <row r="1249" spans="1:80" x14ac:dyDescent="0.45">
      <c r="A1249" s="11">
        <v>31</v>
      </c>
      <c r="B1249" s="12">
        <f t="shared" si="285"/>
        <v>31</v>
      </c>
      <c r="C1249" s="12" t="s">
        <v>59</v>
      </c>
      <c r="D1249" s="12">
        <v>0</v>
      </c>
      <c r="E1249" s="12" t="s">
        <v>53</v>
      </c>
      <c r="F1249" s="12">
        <v>0</v>
      </c>
      <c r="G1249" s="12">
        <v>1</v>
      </c>
      <c r="H1249" s="12" t="s">
        <v>54</v>
      </c>
      <c r="I1249" s="12">
        <v>0</v>
      </c>
      <c r="J1249" s="12">
        <v>1</v>
      </c>
      <c r="K1249" s="12">
        <v>5</v>
      </c>
      <c r="L1249" s="12">
        <f t="shared" si="286"/>
        <v>5</v>
      </c>
      <c r="M1249" s="12">
        <v>3</v>
      </c>
      <c r="N1249" s="12" t="s">
        <v>91</v>
      </c>
      <c r="O1249" s="12">
        <v>0</v>
      </c>
      <c r="P1249" s="12">
        <v>0</v>
      </c>
      <c r="Q1249" s="12">
        <v>0</v>
      </c>
      <c r="R1249" s="12">
        <v>0</v>
      </c>
      <c r="S1249" s="12">
        <v>1</v>
      </c>
      <c r="T1249" s="12">
        <v>1</v>
      </c>
      <c r="U1249" s="12" t="s">
        <v>62</v>
      </c>
      <c r="V1249" s="12">
        <v>0</v>
      </c>
      <c r="W1249" s="12">
        <v>51</v>
      </c>
      <c r="X1249" s="12">
        <v>3</v>
      </c>
      <c r="Y1249" s="12">
        <v>2</v>
      </c>
      <c r="Z1249" s="12" t="s">
        <v>56</v>
      </c>
      <c r="AA1249" s="12">
        <v>0</v>
      </c>
      <c r="AB1249" s="12">
        <v>1</v>
      </c>
      <c r="AC1249" s="12">
        <v>0</v>
      </c>
      <c r="AD1249" s="12">
        <v>0</v>
      </c>
      <c r="AE1249" s="12">
        <v>0</v>
      </c>
      <c r="AF1249" s="12">
        <v>0</v>
      </c>
      <c r="AG1249" s="12">
        <v>0</v>
      </c>
      <c r="AH1249" s="12">
        <v>0</v>
      </c>
      <c r="AI1249" s="12">
        <v>3</v>
      </c>
      <c r="AJ1249" s="12" t="s">
        <v>64</v>
      </c>
      <c r="AK1249" s="12">
        <v>0</v>
      </c>
      <c r="AL1249" s="12">
        <v>1</v>
      </c>
      <c r="AM1249" s="12">
        <v>8346</v>
      </c>
      <c r="AN1249" s="12">
        <f t="shared" si="287"/>
        <v>8346</v>
      </c>
      <c r="AO1249" s="12">
        <v>1</v>
      </c>
      <c r="AP1249" s="12" t="s">
        <v>59</v>
      </c>
      <c r="AQ1249" s="12">
        <v>0</v>
      </c>
      <c r="AR1249" s="12">
        <v>19</v>
      </c>
      <c r="AS1249" s="12">
        <v>3</v>
      </c>
      <c r="AT1249" s="12">
        <v>3</v>
      </c>
      <c r="AU1249" s="12">
        <v>1</v>
      </c>
      <c r="AV1249" s="12">
        <v>6</v>
      </c>
      <c r="AW1249" s="12">
        <f t="shared" si="288"/>
        <v>6</v>
      </c>
      <c r="AX1249" s="12">
        <v>3</v>
      </c>
      <c r="AY1249" s="12">
        <v>3</v>
      </c>
      <c r="AZ1249" s="12">
        <v>5</v>
      </c>
      <c r="BA1249" s="12">
        <f t="shared" si="289"/>
        <v>5</v>
      </c>
      <c r="BB1249" s="12">
        <v>2</v>
      </c>
      <c r="BC1249" s="12">
        <v>0</v>
      </c>
      <c r="BD1249" s="12">
        <f t="shared" si="298"/>
        <v>0</v>
      </c>
      <c r="BE1249" s="12">
        <v>2</v>
      </c>
      <c r="BF1249" s="12">
        <f t="shared" si="290"/>
        <v>2</v>
      </c>
      <c r="BG1249" s="12">
        <f t="shared" si="299"/>
        <v>4</v>
      </c>
      <c r="BH1249" s="67">
        <v>0</v>
      </c>
      <c r="BI1249" s="67">
        <v>1</v>
      </c>
      <c r="BJ1249" s="67">
        <v>0</v>
      </c>
      <c r="BK1249" s="67">
        <v>0</v>
      </c>
      <c r="BL1249" s="67">
        <v>0</v>
      </c>
      <c r="BM1249" s="67">
        <v>0</v>
      </c>
      <c r="BN1249" s="67">
        <v>1</v>
      </c>
      <c r="BO1249" s="67">
        <v>0</v>
      </c>
      <c r="BP1249" s="67">
        <v>0</v>
      </c>
      <c r="BQ1249" s="67">
        <v>0</v>
      </c>
      <c r="BR1249" s="67">
        <v>2</v>
      </c>
      <c r="BS1249" s="67">
        <v>0</v>
      </c>
      <c r="BT1249" s="67">
        <v>0</v>
      </c>
      <c r="BU1249" s="70">
        <v>6</v>
      </c>
      <c r="BV1249" s="29">
        <f t="shared" si="291"/>
        <v>0.3914795297399038</v>
      </c>
      <c r="BW1249">
        <f t="shared" si="292"/>
        <v>0.59502473559756086</v>
      </c>
      <c r="BX1249">
        <f t="shared" si="293"/>
        <v>0.67854260110508058</v>
      </c>
      <c r="BY1249">
        <f t="shared" si="294"/>
        <v>0.32778177112653761</v>
      </c>
      <c r="BZ1249">
        <f t="shared" si="295"/>
        <v>0.51715642219916513</v>
      </c>
      <c r="CA1249">
        <f t="shared" si="296"/>
        <v>0.6484474368621912</v>
      </c>
      <c r="CB1249">
        <f t="shared" si="297"/>
        <v>0.67891464284095016</v>
      </c>
    </row>
    <row r="1250" spans="1:80" x14ac:dyDescent="0.45">
      <c r="A1250" s="11">
        <v>27</v>
      </c>
      <c r="B1250" s="12">
        <f t="shared" si="285"/>
        <v>27</v>
      </c>
      <c r="C1250" s="12" t="s">
        <v>59</v>
      </c>
      <c r="D1250" s="12">
        <v>0</v>
      </c>
      <c r="E1250" s="12" t="s">
        <v>53</v>
      </c>
      <c r="F1250" s="12">
        <v>0</v>
      </c>
      <c r="G1250" s="12">
        <v>1</v>
      </c>
      <c r="H1250" s="12" t="s">
        <v>61</v>
      </c>
      <c r="I1250" s="12">
        <v>1</v>
      </c>
      <c r="J1250" s="12">
        <v>0</v>
      </c>
      <c r="K1250" s="12">
        <v>8</v>
      </c>
      <c r="L1250" s="12">
        <f t="shared" si="286"/>
        <v>8</v>
      </c>
      <c r="M1250" s="12">
        <v>3</v>
      </c>
      <c r="N1250" s="12" t="s">
        <v>70</v>
      </c>
      <c r="O1250" s="12">
        <v>0</v>
      </c>
      <c r="P1250" s="12">
        <v>0</v>
      </c>
      <c r="Q1250" s="12">
        <v>1</v>
      </c>
      <c r="R1250" s="12">
        <v>0</v>
      </c>
      <c r="S1250" s="12">
        <v>0</v>
      </c>
      <c r="T1250" s="12">
        <v>3</v>
      </c>
      <c r="U1250" s="12" t="s">
        <v>19</v>
      </c>
      <c r="V1250" s="12">
        <v>1</v>
      </c>
      <c r="W1250" s="12">
        <v>67</v>
      </c>
      <c r="X1250" s="12">
        <v>3</v>
      </c>
      <c r="Y1250" s="12">
        <v>1</v>
      </c>
      <c r="Z1250" s="12" t="s">
        <v>63</v>
      </c>
      <c r="AA1250" s="12">
        <v>0</v>
      </c>
      <c r="AB1250" s="12">
        <v>0</v>
      </c>
      <c r="AC1250" s="12">
        <v>0</v>
      </c>
      <c r="AD1250" s="12">
        <v>0</v>
      </c>
      <c r="AE1250" s="12">
        <v>0</v>
      </c>
      <c r="AF1250" s="12">
        <v>0</v>
      </c>
      <c r="AG1250" s="12">
        <v>0</v>
      </c>
      <c r="AH1250" s="12">
        <v>1</v>
      </c>
      <c r="AI1250" s="12">
        <v>4</v>
      </c>
      <c r="AJ1250" s="12" t="s">
        <v>57</v>
      </c>
      <c r="AK1250" s="12">
        <v>1</v>
      </c>
      <c r="AL1250" s="12">
        <v>0</v>
      </c>
      <c r="AM1250" s="12">
        <v>3445</v>
      </c>
      <c r="AN1250" s="12">
        <f t="shared" si="287"/>
        <v>3445</v>
      </c>
      <c r="AO1250" s="12">
        <v>1</v>
      </c>
      <c r="AP1250" s="12" t="s">
        <v>59</v>
      </c>
      <c r="AQ1250" s="12">
        <v>0</v>
      </c>
      <c r="AR1250" s="12">
        <v>11</v>
      </c>
      <c r="AS1250" s="12">
        <v>3</v>
      </c>
      <c r="AT1250" s="12">
        <v>3</v>
      </c>
      <c r="AU1250" s="12">
        <v>0</v>
      </c>
      <c r="AV1250" s="12">
        <v>6</v>
      </c>
      <c r="AW1250" s="12">
        <f t="shared" si="288"/>
        <v>6</v>
      </c>
      <c r="AX1250" s="12">
        <v>5</v>
      </c>
      <c r="AY1250" s="12">
        <v>2</v>
      </c>
      <c r="AZ1250" s="12">
        <v>6</v>
      </c>
      <c r="BA1250" s="12">
        <f t="shared" si="289"/>
        <v>6</v>
      </c>
      <c r="BB1250" s="12">
        <v>2</v>
      </c>
      <c r="BC1250" s="12">
        <v>1</v>
      </c>
      <c r="BD1250" s="12">
        <f t="shared" si="298"/>
        <v>1</v>
      </c>
      <c r="BE1250" s="12">
        <v>4</v>
      </c>
      <c r="BF1250" s="12">
        <f t="shared" si="290"/>
        <v>4</v>
      </c>
      <c r="BG1250" s="12">
        <f t="shared" si="299"/>
        <v>4</v>
      </c>
      <c r="BH1250" s="67">
        <v>1</v>
      </c>
      <c r="BI1250" s="67">
        <v>0</v>
      </c>
      <c r="BJ1250" s="67">
        <v>0</v>
      </c>
      <c r="BK1250" s="67">
        <v>0</v>
      </c>
      <c r="BL1250" s="67">
        <v>1</v>
      </c>
      <c r="BM1250" s="67">
        <v>0</v>
      </c>
      <c r="BN1250" s="67">
        <v>0</v>
      </c>
      <c r="BO1250" s="67">
        <v>0</v>
      </c>
      <c r="BP1250" s="67">
        <v>0</v>
      </c>
      <c r="BQ1250" s="67">
        <v>4</v>
      </c>
      <c r="BR1250" s="67">
        <v>0</v>
      </c>
      <c r="BS1250" s="67">
        <v>0</v>
      </c>
      <c r="BT1250" s="67">
        <v>6</v>
      </c>
      <c r="BU1250" s="70">
        <v>0</v>
      </c>
      <c r="BV1250" s="29">
        <f t="shared" si="291"/>
        <v>0.64952407878833274</v>
      </c>
      <c r="BW1250">
        <f t="shared" si="292"/>
        <v>3.4508002929560584E-2</v>
      </c>
      <c r="BX1250">
        <f t="shared" si="293"/>
        <v>0.67854260110508058</v>
      </c>
      <c r="BY1250">
        <f t="shared" si="294"/>
        <v>0.16455710867531462</v>
      </c>
      <c r="BZ1250">
        <f t="shared" si="295"/>
        <v>0.14709966057360641</v>
      </c>
      <c r="CA1250">
        <f t="shared" si="296"/>
        <v>1.0863058347434136</v>
      </c>
      <c r="CB1250">
        <f t="shared" si="297"/>
        <v>0.36858985273641137</v>
      </c>
    </row>
    <row r="1251" spans="1:80" x14ac:dyDescent="0.45">
      <c r="A1251" s="11">
        <v>29</v>
      </c>
      <c r="B1251" s="12">
        <f t="shared" si="285"/>
        <v>29</v>
      </c>
      <c r="C1251" s="12" t="s">
        <v>52</v>
      </c>
      <c r="D1251" s="12">
        <v>1</v>
      </c>
      <c r="E1251" s="12" t="s">
        <v>53</v>
      </c>
      <c r="F1251" s="12">
        <v>0</v>
      </c>
      <c r="G1251" s="12">
        <v>1</v>
      </c>
      <c r="H1251" s="12" t="s">
        <v>54</v>
      </c>
      <c r="I1251" s="12">
        <v>0</v>
      </c>
      <c r="J1251" s="12">
        <v>1</v>
      </c>
      <c r="K1251" s="12">
        <v>9</v>
      </c>
      <c r="L1251" s="12">
        <f t="shared" si="286"/>
        <v>9</v>
      </c>
      <c r="M1251" s="12">
        <v>3</v>
      </c>
      <c r="N1251" s="12" t="s">
        <v>90</v>
      </c>
      <c r="O1251" s="12">
        <v>0</v>
      </c>
      <c r="P1251" s="12">
        <v>0</v>
      </c>
      <c r="Q1251" s="12">
        <v>0</v>
      </c>
      <c r="R1251" s="12">
        <v>1</v>
      </c>
      <c r="S1251" s="12">
        <v>0</v>
      </c>
      <c r="T1251" s="12">
        <v>2</v>
      </c>
      <c r="U1251" s="12" t="s">
        <v>19</v>
      </c>
      <c r="V1251" s="12">
        <v>1</v>
      </c>
      <c r="W1251" s="12">
        <v>52</v>
      </c>
      <c r="X1251" s="12">
        <v>1</v>
      </c>
      <c r="Y1251" s="12">
        <v>1</v>
      </c>
      <c r="Z1251" s="12" t="s">
        <v>88</v>
      </c>
      <c r="AA1251" s="12">
        <v>0</v>
      </c>
      <c r="AB1251" s="12">
        <v>0</v>
      </c>
      <c r="AC1251" s="12">
        <v>0</v>
      </c>
      <c r="AD1251" s="12">
        <v>0</v>
      </c>
      <c r="AE1251" s="12">
        <v>0</v>
      </c>
      <c r="AF1251" s="12">
        <v>0</v>
      </c>
      <c r="AG1251" s="12">
        <v>1</v>
      </c>
      <c r="AH1251" s="12">
        <v>0</v>
      </c>
      <c r="AI1251" s="12">
        <v>2</v>
      </c>
      <c r="AJ1251" s="12" t="s">
        <v>57</v>
      </c>
      <c r="AK1251" s="12">
        <v>1</v>
      </c>
      <c r="AL1251" s="12">
        <v>0</v>
      </c>
      <c r="AM1251" s="12">
        <v>2760</v>
      </c>
      <c r="AN1251" s="12">
        <f t="shared" si="287"/>
        <v>2760</v>
      </c>
      <c r="AO1251" s="12">
        <v>1</v>
      </c>
      <c r="AP1251" s="12" t="s">
        <v>59</v>
      </c>
      <c r="AQ1251" s="12">
        <v>0</v>
      </c>
      <c r="AR1251" s="12">
        <v>13</v>
      </c>
      <c r="AS1251" s="12">
        <v>3</v>
      </c>
      <c r="AT1251" s="12">
        <v>3</v>
      </c>
      <c r="AU1251" s="12">
        <v>0</v>
      </c>
      <c r="AV1251" s="12">
        <v>2</v>
      </c>
      <c r="AW1251" s="12">
        <f t="shared" si="288"/>
        <v>2</v>
      </c>
      <c r="AX1251" s="12">
        <v>3</v>
      </c>
      <c r="AY1251" s="12">
        <v>3</v>
      </c>
      <c r="AZ1251" s="12">
        <v>2</v>
      </c>
      <c r="BA1251" s="12">
        <f t="shared" si="289"/>
        <v>2</v>
      </c>
      <c r="BB1251" s="12">
        <v>2</v>
      </c>
      <c r="BC1251" s="12">
        <v>2</v>
      </c>
      <c r="BD1251" s="12">
        <f t="shared" si="298"/>
        <v>2</v>
      </c>
      <c r="BE1251" s="12">
        <v>2</v>
      </c>
      <c r="BF1251" s="12">
        <f t="shared" si="290"/>
        <v>2</v>
      </c>
      <c r="BG1251" s="12">
        <f t="shared" si="299"/>
        <v>2</v>
      </c>
      <c r="BH1251" s="67">
        <v>1</v>
      </c>
      <c r="BI1251" s="67">
        <v>0</v>
      </c>
      <c r="BJ1251" s="67">
        <v>0</v>
      </c>
      <c r="BK1251" s="67">
        <v>0</v>
      </c>
      <c r="BL1251" s="67">
        <v>1</v>
      </c>
      <c r="BM1251" s="67">
        <v>0</v>
      </c>
      <c r="BN1251" s="67">
        <v>0</v>
      </c>
      <c r="BO1251" s="67">
        <v>0</v>
      </c>
      <c r="BP1251" s="67">
        <v>0</v>
      </c>
      <c r="BQ1251" s="67">
        <v>0</v>
      </c>
      <c r="BR1251" s="67">
        <v>2</v>
      </c>
      <c r="BS1251" s="67">
        <v>0</v>
      </c>
      <c r="BT1251" s="67">
        <v>0</v>
      </c>
      <c r="BU1251" s="70">
        <v>2</v>
      </c>
      <c r="BV1251" s="29">
        <f t="shared" si="291"/>
        <v>0.79502244072300776</v>
      </c>
      <c r="BW1251">
        <f t="shared" si="292"/>
        <v>0.59502473559756086</v>
      </c>
      <c r="BX1251">
        <f t="shared" si="293"/>
        <v>1.192629766998377</v>
      </c>
      <c r="BY1251">
        <f t="shared" si="294"/>
        <v>0.81745575848020657</v>
      </c>
      <c r="BZ1251">
        <f t="shared" si="295"/>
        <v>2.3747406698420157E-2</v>
      </c>
      <c r="CA1251">
        <f t="shared" si="296"/>
        <v>0.86737663580280233</v>
      </c>
      <c r="CB1251">
        <f t="shared" si="297"/>
        <v>5.8265062631872602E-2</v>
      </c>
    </row>
    <row r="1252" spans="1:80" x14ac:dyDescent="0.45">
      <c r="A1252" s="11">
        <v>29</v>
      </c>
      <c r="B1252" s="12">
        <f t="shared" si="285"/>
        <v>29</v>
      </c>
      <c r="C1252" s="12" t="s">
        <v>59</v>
      </c>
      <c r="D1252" s="12">
        <v>0</v>
      </c>
      <c r="E1252" s="12" t="s">
        <v>60</v>
      </c>
      <c r="F1252" s="12">
        <v>1</v>
      </c>
      <c r="G1252" s="12">
        <v>0</v>
      </c>
      <c r="H1252" s="12" t="s">
        <v>61</v>
      </c>
      <c r="I1252" s="12">
        <v>1</v>
      </c>
      <c r="J1252" s="12">
        <v>0</v>
      </c>
      <c r="K1252" s="12">
        <v>1</v>
      </c>
      <c r="L1252" s="12">
        <f t="shared" si="286"/>
        <v>1</v>
      </c>
      <c r="M1252" s="12">
        <v>3</v>
      </c>
      <c r="N1252" s="12" t="s">
        <v>55</v>
      </c>
      <c r="O1252" s="12">
        <v>1</v>
      </c>
      <c r="P1252" s="12">
        <v>0</v>
      </c>
      <c r="Q1252" s="12">
        <v>0</v>
      </c>
      <c r="R1252" s="12">
        <v>0</v>
      </c>
      <c r="S1252" s="12">
        <v>0</v>
      </c>
      <c r="T1252" s="12">
        <v>4</v>
      </c>
      <c r="U1252" s="12" t="s">
        <v>62</v>
      </c>
      <c r="V1252" s="12">
        <v>0</v>
      </c>
      <c r="W1252" s="12">
        <v>70</v>
      </c>
      <c r="X1252" s="12">
        <v>4</v>
      </c>
      <c r="Y1252" s="12">
        <v>2</v>
      </c>
      <c r="Z1252" s="12" t="s">
        <v>85</v>
      </c>
      <c r="AA1252" s="12">
        <v>1</v>
      </c>
      <c r="AB1252" s="12">
        <v>0</v>
      </c>
      <c r="AC1252" s="12">
        <v>0</v>
      </c>
      <c r="AD1252" s="12">
        <v>0</v>
      </c>
      <c r="AE1252" s="12">
        <v>0</v>
      </c>
      <c r="AF1252" s="12">
        <v>0</v>
      </c>
      <c r="AG1252" s="12">
        <v>0</v>
      </c>
      <c r="AH1252" s="12">
        <v>0</v>
      </c>
      <c r="AI1252" s="12">
        <v>3</v>
      </c>
      <c r="AJ1252" s="12" t="s">
        <v>57</v>
      </c>
      <c r="AK1252" s="12">
        <v>1</v>
      </c>
      <c r="AL1252" s="12">
        <v>0</v>
      </c>
      <c r="AM1252" s="12">
        <v>6294</v>
      </c>
      <c r="AN1252" s="12">
        <f t="shared" si="287"/>
        <v>6294</v>
      </c>
      <c r="AO1252" s="12">
        <v>8</v>
      </c>
      <c r="AP1252" s="12" t="s">
        <v>52</v>
      </c>
      <c r="AQ1252" s="12">
        <v>1</v>
      </c>
      <c r="AR1252" s="12">
        <v>12</v>
      </c>
      <c r="AS1252" s="12">
        <v>3</v>
      </c>
      <c r="AT1252" s="12">
        <v>4</v>
      </c>
      <c r="AU1252" s="12">
        <v>0</v>
      </c>
      <c r="AV1252" s="12">
        <v>10</v>
      </c>
      <c r="AW1252" s="12">
        <f t="shared" si="288"/>
        <v>10</v>
      </c>
      <c r="AX1252" s="12">
        <v>5</v>
      </c>
      <c r="AY1252" s="12">
        <v>4</v>
      </c>
      <c r="AZ1252" s="12">
        <v>3</v>
      </c>
      <c r="BA1252" s="12">
        <f t="shared" si="289"/>
        <v>3</v>
      </c>
      <c r="BB1252" s="12">
        <v>2</v>
      </c>
      <c r="BC1252" s="12">
        <v>0</v>
      </c>
      <c r="BD1252" s="12">
        <f t="shared" si="298"/>
        <v>0</v>
      </c>
      <c r="BE1252" s="12">
        <v>2</v>
      </c>
      <c r="BF1252" s="12">
        <f t="shared" si="290"/>
        <v>2</v>
      </c>
      <c r="BG1252" s="12">
        <f t="shared" si="299"/>
        <v>4</v>
      </c>
      <c r="BH1252" s="67">
        <v>0</v>
      </c>
      <c r="BI1252" s="67">
        <v>0</v>
      </c>
      <c r="BJ1252" s="67">
        <v>1</v>
      </c>
      <c r="BK1252" s="67">
        <v>0</v>
      </c>
      <c r="BL1252" s="67">
        <v>0</v>
      </c>
      <c r="BM1252" s="67">
        <v>1</v>
      </c>
      <c r="BN1252" s="67">
        <v>0</v>
      </c>
      <c r="BO1252" s="67">
        <v>0</v>
      </c>
      <c r="BP1252" s="67">
        <v>0</v>
      </c>
      <c r="BQ1252" s="67">
        <v>2</v>
      </c>
      <c r="BR1252" s="67">
        <v>0</v>
      </c>
      <c r="BS1252" s="67">
        <v>0</v>
      </c>
      <c r="BT1252" s="67">
        <v>10</v>
      </c>
      <c r="BU1252" s="70">
        <v>0</v>
      </c>
      <c r="BV1252" s="29">
        <f t="shared" si="291"/>
        <v>4.4378336960757568E-2</v>
      </c>
      <c r="BW1252">
        <f t="shared" si="292"/>
        <v>0.59502473559756086</v>
      </c>
      <c r="BX1252">
        <f t="shared" si="293"/>
        <v>0.1644554352117841</v>
      </c>
      <c r="BY1252">
        <f t="shared" si="294"/>
        <v>0.65423109602898355</v>
      </c>
      <c r="BZ1252">
        <f t="shared" si="295"/>
        <v>1.01056543769991</v>
      </c>
      <c r="CA1252">
        <f t="shared" si="296"/>
        <v>0.86737663580280233</v>
      </c>
      <c r="CB1252">
        <f t="shared" si="297"/>
        <v>0.67891464284095016</v>
      </c>
    </row>
    <row r="1253" spans="1:80" x14ac:dyDescent="0.45">
      <c r="A1253" s="11">
        <v>30</v>
      </c>
      <c r="B1253" s="12">
        <f t="shared" si="285"/>
        <v>30</v>
      </c>
      <c r="C1253" s="12" t="s">
        <v>59</v>
      </c>
      <c r="D1253" s="12">
        <v>0</v>
      </c>
      <c r="E1253" s="12" t="s">
        <v>53</v>
      </c>
      <c r="F1253" s="12">
        <v>0</v>
      </c>
      <c r="G1253" s="12">
        <v>1</v>
      </c>
      <c r="H1253" s="12" t="s">
        <v>54</v>
      </c>
      <c r="I1253" s="12">
        <v>0</v>
      </c>
      <c r="J1253" s="12">
        <v>1</v>
      </c>
      <c r="K1253" s="12">
        <v>15</v>
      </c>
      <c r="L1253" s="12">
        <f t="shared" si="286"/>
        <v>15</v>
      </c>
      <c r="M1253" s="12">
        <v>2</v>
      </c>
      <c r="N1253" s="12" t="s">
        <v>90</v>
      </c>
      <c r="O1253" s="12">
        <v>0</v>
      </c>
      <c r="P1253" s="12">
        <v>0</v>
      </c>
      <c r="Q1253" s="12">
        <v>0</v>
      </c>
      <c r="R1253" s="12">
        <v>1</v>
      </c>
      <c r="S1253" s="12">
        <v>0</v>
      </c>
      <c r="T1253" s="12">
        <v>3</v>
      </c>
      <c r="U1253" s="12" t="s">
        <v>62</v>
      </c>
      <c r="V1253" s="12">
        <v>0</v>
      </c>
      <c r="W1253" s="12">
        <v>94</v>
      </c>
      <c r="X1253" s="12">
        <v>2</v>
      </c>
      <c r="Y1253" s="12">
        <v>3</v>
      </c>
      <c r="Z1253" s="12" t="s">
        <v>56</v>
      </c>
      <c r="AA1253" s="12">
        <v>0</v>
      </c>
      <c r="AB1253" s="12">
        <v>1</v>
      </c>
      <c r="AC1253" s="12">
        <v>0</v>
      </c>
      <c r="AD1253" s="12">
        <v>0</v>
      </c>
      <c r="AE1253" s="12">
        <v>0</v>
      </c>
      <c r="AF1253" s="12">
        <v>0</v>
      </c>
      <c r="AG1253" s="12">
        <v>0</v>
      </c>
      <c r="AH1253" s="12">
        <v>0</v>
      </c>
      <c r="AI1253" s="12">
        <v>1</v>
      </c>
      <c r="AJ1253" s="12" t="s">
        <v>78</v>
      </c>
      <c r="AK1253" s="12">
        <v>0</v>
      </c>
      <c r="AL1253" s="12">
        <v>0</v>
      </c>
      <c r="AM1253" s="12">
        <v>7140</v>
      </c>
      <c r="AN1253" s="12">
        <f t="shared" si="287"/>
        <v>7140</v>
      </c>
      <c r="AO1253" s="12">
        <v>2</v>
      </c>
      <c r="AP1253" s="12" t="s">
        <v>59</v>
      </c>
      <c r="AQ1253" s="12">
        <v>0</v>
      </c>
      <c r="AR1253" s="12">
        <v>11</v>
      </c>
      <c r="AS1253" s="12">
        <v>3</v>
      </c>
      <c r="AT1253" s="12">
        <v>1</v>
      </c>
      <c r="AU1253" s="12">
        <v>1</v>
      </c>
      <c r="AV1253" s="12">
        <v>12</v>
      </c>
      <c r="AW1253" s="12">
        <f t="shared" si="288"/>
        <v>12</v>
      </c>
      <c r="AX1253" s="12">
        <v>2</v>
      </c>
      <c r="AY1253" s="12">
        <v>3</v>
      </c>
      <c r="AZ1253" s="12">
        <v>7</v>
      </c>
      <c r="BA1253" s="12">
        <f t="shared" si="289"/>
        <v>7</v>
      </c>
      <c r="BB1253" s="12">
        <v>7</v>
      </c>
      <c r="BC1253" s="12">
        <v>1</v>
      </c>
      <c r="BD1253" s="12">
        <f t="shared" si="298"/>
        <v>1</v>
      </c>
      <c r="BE1253" s="12">
        <v>7</v>
      </c>
      <c r="BF1253" s="12">
        <f t="shared" si="290"/>
        <v>7</v>
      </c>
      <c r="BG1253" s="12">
        <f t="shared" si="299"/>
        <v>21</v>
      </c>
      <c r="BH1253" s="67">
        <v>1</v>
      </c>
      <c r="BI1253" s="67">
        <v>0</v>
      </c>
      <c r="BJ1253" s="67">
        <v>0</v>
      </c>
      <c r="BK1253" s="67">
        <v>0</v>
      </c>
      <c r="BL1253" s="67">
        <v>1</v>
      </c>
      <c r="BM1253" s="67">
        <v>0</v>
      </c>
      <c r="BN1253" s="67">
        <v>0</v>
      </c>
      <c r="BO1253" s="67">
        <v>0</v>
      </c>
      <c r="BP1253" s="67">
        <v>0</v>
      </c>
      <c r="BQ1253" s="67">
        <v>0</v>
      </c>
      <c r="BR1253" s="67">
        <v>7</v>
      </c>
      <c r="BS1253" s="67">
        <v>0</v>
      </c>
      <c r="BT1253" s="67">
        <v>0</v>
      </c>
      <c r="BU1253" s="70">
        <v>12</v>
      </c>
      <c r="BV1253" s="29">
        <f t="shared" si="291"/>
        <v>0.1353174501877607</v>
      </c>
      <c r="BW1253">
        <f t="shared" si="292"/>
        <v>0.80626709607243985</v>
      </c>
      <c r="BX1253">
        <f t="shared" si="293"/>
        <v>9.2588147734864096E-2</v>
      </c>
      <c r="BY1253">
        <f t="shared" si="294"/>
        <v>1.3324462240916321E-3</v>
      </c>
      <c r="BZ1253">
        <f t="shared" si="295"/>
        <v>0.71636611655269733</v>
      </c>
      <c r="CA1253">
        <f t="shared" si="296"/>
        <v>0.75791203633249671</v>
      </c>
      <c r="CB1253">
        <f t="shared" si="297"/>
        <v>0.36858985273641137</v>
      </c>
    </row>
    <row r="1254" spans="1:80" x14ac:dyDescent="0.45">
      <c r="A1254" s="11">
        <v>34</v>
      </c>
      <c r="B1254" s="12">
        <f t="shared" si="285"/>
        <v>34</v>
      </c>
      <c r="C1254" s="12" t="s">
        <v>59</v>
      </c>
      <c r="D1254" s="12">
        <v>0</v>
      </c>
      <c r="E1254" s="12" t="s">
        <v>53</v>
      </c>
      <c r="F1254" s="12">
        <v>0</v>
      </c>
      <c r="G1254" s="12">
        <v>1</v>
      </c>
      <c r="H1254" s="12" t="s">
        <v>61</v>
      </c>
      <c r="I1254" s="12">
        <v>1</v>
      </c>
      <c r="J1254" s="12">
        <v>0</v>
      </c>
      <c r="K1254" s="12">
        <v>2</v>
      </c>
      <c r="L1254" s="12">
        <f t="shared" si="286"/>
        <v>2</v>
      </c>
      <c r="M1254" s="12">
        <v>4</v>
      </c>
      <c r="N1254" s="12" t="s">
        <v>70</v>
      </c>
      <c r="O1254" s="12">
        <v>0</v>
      </c>
      <c r="P1254" s="12">
        <v>0</v>
      </c>
      <c r="Q1254" s="12">
        <v>1</v>
      </c>
      <c r="R1254" s="12">
        <v>0</v>
      </c>
      <c r="S1254" s="12">
        <v>0</v>
      </c>
      <c r="T1254" s="12">
        <v>4</v>
      </c>
      <c r="U1254" s="12" t="s">
        <v>62</v>
      </c>
      <c r="V1254" s="12">
        <v>0</v>
      </c>
      <c r="W1254" s="12">
        <v>97</v>
      </c>
      <c r="X1254" s="12">
        <v>4</v>
      </c>
      <c r="Y1254" s="12">
        <v>1</v>
      </c>
      <c r="Z1254" s="12" t="s">
        <v>63</v>
      </c>
      <c r="AA1254" s="12">
        <v>0</v>
      </c>
      <c r="AB1254" s="12">
        <v>0</v>
      </c>
      <c r="AC1254" s="12">
        <v>0</v>
      </c>
      <c r="AD1254" s="12">
        <v>0</v>
      </c>
      <c r="AE1254" s="12">
        <v>0</v>
      </c>
      <c r="AF1254" s="12">
        <v>0</v>
      </c>
      <c r="AG1254" s="12">
        <v>0</v>
      </c>
      <c r="AH1254" s="12">
        <v>1</v>
      </c>
      <c r="AI1254" s="12">
        <v>4</v>
      </c>
      <c r="AJ1254" s="12" t="s">
        <v>64</v>
      </c>
      <c r="AK1254" s="12">
        <v>0</v>
      </c>
      <c r="AL1254" s="12">
        <v>1</v>
      </c>
      <c r="AM1254" s="12">
        <v>2932</v>
      </c>
      <c r="AN1254" s="12">
        <f t="shared" si="287"/>
        <v>2932</v>
      </c>
      <c r="AO1254" s="12">
        <v>0</v>
      </c>
      <c r="AP1254" s="12" t="s">
        <v>52</v>
      </c>
      <c r="AQ1254" s="12">
        <v>1</v>
      </c>
      <c r="AR1254" s="12">
        <v>14</v>
      </c>
      <c r="AS1254" s="12">
        <v>3</v>
      </c>
      <c r="AT1254" s="12">
        <v>1</v>
      </c>
      <c r="AU1254" s="12">
        <v>3</v>
      </c>
      <c r="AV1254" s="12">
        <v>6</v>
      </c>
      <c r="AW1254" s="12">
        <f t="shared" si="288"/>
        <v>6</v>
      </c>
      <c r="AX1254" s="12">
        <v>3</v>
      </c>
      <c r="AY1254" s="12">
        <v>3</v>
      </c>
      <c r="AZ1254" s="12">
        <v>5</v>
      </c>
      <c r="BA1254" s="12">
        <f t="shared" si="289"/>
        <v>5</v>
      </c>
      <c r="BB1254" s="12">
        <v>0</v>
      </c>
      <c r="BC1254" s="12">
        <v>1</v>
      </c>
      <c r="BD1254" s="12">
        <f t="shared" si="298"/>
        <v>1</v>
      </c>
      <c r="BE1254" s="12">
        <v>2</v>
      </c>
      <c r="BF1254" s="12">
        <f t="shared" si="290"/>
        <v>2</v>
      </c>
      <c r="BG1254" s="12">
        <f t="shared" si="299"/>
        <v>2</v>
      </c>
      <c r="BH1254" s="67">
        <v>0</v>
      </c>
      <c r="BI1254" s="67">
        <v>1</v>
      </c>
      <c r="BJ1254" s="67">
        <v>0</v>
      </c>
      <c r="BK1254" s="67">
        <v>0</v>
      </c>
      <c r="BL1254" s="67">
        <v>0</v>
      </c>
      <c r="BM1254" s="67">
        <v>0</v>
      </c>
      <c r="BN1254" s="67">
        <v>0</v>
      </c>
      <c r="BO1254" s="67">
        <v>1</v>
      </c>
      <c r="BP1254" s="67">
        <v>0</v>
      </c>
      <c r="BQ1254" s="67">
        <v>2</v>
      </c>
      <c r="BR1254" s="67">
        <v>0</v>
      </c>
      <c r="BS1254" s="67">
        <v>0</v>
      </c>
      <c r="BT1254" s="67">
        <v>6</v>
      </c>
      <c r="BU1254" s="70">
        <v>0</v>
      </c>
      <c r="BV1254" s="29">
        <f t="shared" si="291"/>
        <v>0.75848854546349809</v>
      </c>
      <c r="BW1254">
        <f t="shared" si="292"/>
        <v>0.59502473559756086</v>
      </c>
      <c r="BX1254">
        <f t="shared" si="293"/>
        <v>0.67854260110508058</v>
      </c>
      <c r="BY1254">
        <f t="shared" si="294"/>
        <v>0.32778177112653761</v>
      </c>
      <c r="BZ1254">
        <f t="shared" si="295"/>
        <v>0.88721318382472392</v>
      </c>
      <c r="CA1254">
        <f t="shared" si="296"/>
        <v>0.32005363845127444</v>
      </c>
      <c r="CB1254">
        <f t="shared" si="297"/>
        <v>0.36858985273641137</v>
      </c>
    </row>
    <row r="1255" spans="1:80" x14ac:dyDescent="0.45">
      <c r="A1255" s="11">
        <v>33</v>
      </c>
      <c r="B1255" s="12">
        <f t="shared" si="285"/>
        <v>33</v>
      </c>
      <c r="C1255" s="12" t="s">
        <v>59</v>
      </c>
      <c r="D1255" s="12">
        <v>0</v>
      </c>
      <c r="E1255" s="12" t="s">
        <v>86</v>
      </c>
      <c r="F1255" s="12">
        <v>0</v>
      </c>
      <c r="G1255" s="12">
        <v>0</v>
      </c>
      <c r="H1255" s="12" t="s">
        <v>54</v>
      </c>
      <c r="I1255" s="12">
        <v>0</v>
      </c>
      <c r="J1255" s="12">
        <v>1</v>
      </c>
      <c r="K1255" s="12">
        <v>2</v>
      </c>
      <c r="L1255" s="12">
        <f t="shared" si="286"/>
        <v>2</v>
      </c>
      <c r="M1255" s="12">
        <v>3</v>
      </c>
      <c r="N1255" s="12" t="s">
        <v>90</v>
      </c>
      <c r="O1255" s="12">
        <v>0</v>
      </c>
      <c r="P1255" s="12">
        <v>0</v>
      </c>
      <c r="Q1255" s="12">
        <v>0</v>
      </c>
      <c r="R1255" s="12">
        <v>1</v>
      </c>
      <c r="S1255" s="12">
        <v>0</v>
      </c>
      <c r="T1255" s="12">
        <v>4</v>
      </c>
      <c r="U1255" s="12" t="s">
        <v>19</v>
      </c>
      <c r="V1255" s="12">
        <v>1</v>
      </c>
      <c r="W1255" s="12">
        <v>62</v>
      </c>
      <c r="X1255" s="12">
        <v>3</v>
      </c>
      <c r="Y1255" s="12">
        <v>2</v>
      </c>
      <c r="Z1255" s="12" t="s">
        <v>56</v>
      </c>
      <c r="AA1255" s="12">
        <v>0</v>
      </c>
      <c r="AB1255" s="12">
        <v>1</v>
      </c>
      <c r="AC1255" s="12">
        <v>0</v>
      </c>
      <c r="AD1255" s="12">
        <v>0</v>
      </c>
      <c r="AE1255" s="12">
        <v>0</v>
      </c>
      <c r="AF1255" s="12">
        <v>0</v>
      </c>
      <c r="AG1255" s="12">
        <v>0</v>
      </c>
      <c r="AH1255" s="12">
        <v>0</v>
      </c>
      <c r="AI1255" s="12">
        <v>2</v>
      </c>
      <c r="AJ1255" s="12" t="s">
        <v>57</v>
      </c>
      <c r="AK1255" s="12">
        <v>1</v>
      </c>
      <c r="AL1255" s="12">
        <v>0</v>
      </c>
      <c r="AM1255" s="12">
        <v>5147</v>
      </c>
      <c r="AN1255" s="12">
        <f t="shared" si="287"/>
        <v>5147</v>
      </c>
      <c r="AO1255" s="12">
        <v>8</v>
      </c>
      <c r="AP1255" s="12" t="s">
        <v>59</v>
      </c>
      <c r="AQ1255" s="12">
        <v>0</v>
      </c>
      <c r="AR1255" s="12">
        <v>15</v>
      </c>
      <c r="AS1255" s="12">
        <v>3</v>
      </c>
      <c r="AT1255" s="12">
        <v>4</v>
      </c>
      <c r="AU1255" s="12">
        <v>0</v>
      </c>
      <c r="AV1255" s="12">
        <v>13</v>
      </c>
      <c r="AW1255" s="12">
        <f t="shared" si="288"/>
        <v>13</v>
      </c>
      <c r="AX1255" s="12">
        <v>2</v>
      </c>
      <c r="AY1255" s="12">
        <v>2</v>
      </c>
      <c r="AZ1255" s="12">
        <v>11</v>
      </c>
      <c r="BA1255" s="12">
        <f t="shared" si="289"/>
        <v>11</v>
      </c>
      <c r="BB1255" s="12">
        <v>7</v>
      </c>
      <c r="BC1255" s="12">
        <v>1</v>
      </c>
      <c r="BD1255" s="12">
        <f t="shared" si="298"/>
        <v>1</v>
      </c>
      <c r="BE1255" s="12">
        <v>7</v>
      </c>
      <c r="BF1255" s="12">
        <f t="shared" si="290"/>
        <v>7</v>
      </c>
      <c r="BG1255" s="12">
        <f t="shared" si="299"/>
        <v>14</v>
      </c>
      <c r="BH1255" s="67">
        <v>1</v>
      </c>
      <c r="BI1255" s="67">
        <v>0</v>
      </c>
      <c r="BJ1255" s="67">
        <v>0</v>
      </c>
      <c r="BK1255" s="67">
        <v>0</v>
      </c>
      <c r="BL1255" s="67">
        <v>1</v>
      </c>
      <c r="BM1255" s="67">
        <v>0</v>
      </c>
      <c r="BN1255" s="67">
        <v>0</v>
      </c>
      <c r="BO1255" s="67">
        <v>0</v>
      </c>
      <c r="BP1255" s="67">
        <v>0</v>
      </c>
      <c r="BQ1255" s="67">
        <v>0</v>
      </c>
      <c r="BR1255" s="67">
        <v>7</v>
      </c>
      <c r="BS1255" s="67">
        <v>0</v>
      </c>
      <c r="BT1255" s="67">
        <v>0</v>
      </c>
      <c r="BU1255" s="70">
        <v>13</v>
      </c>
      <c r="BV1255" s="29">
        <f t="shared" si="291"/>
        <v>0.2880084408134177</v>
      </c>
      <c r="BW1255">
        <f t="shared" si="292"/>
        <v>0.80626709607243985</v>
      </c>
      <c r="BX1255">
        <f t="shared" si="293"/>
        <v>0.22110993920818819</v>
      </c>
      <c r="BY1255">
        <f t="shared" si="294"/>
        <v>0.65156620358080031</v>
      </c>
      <c r="BZ1255">
        <f t="shared" si="295"/>
        <v>0.88721318382472392</v>
      </c>
      <c r="CA1255">
        <f t="shared" si="296"/>
        <v>0.42951823792158</v>
      </c>
      <c r="CB1255">
        <f t="shared" si="297"/>
        <v>0.36858985273641137</v>
      </c>
    </row>
    <row r="1256" spans="1:80" x14ac:dyDescent="0.45">
      <c r="A1256" s="11">
        <v>49</v>
      </c>
      <c r="B1256" s="12">
        <f t="shared" si="285"/>
        <v>49</v>
      </c>
      <c r="C1256" s="12" t="s">
        <v>59</v>
      </c>
      <c r="D1256" s="12">
        <v>0</v>
      </c>
      <c r="E1256" s="12" t="s">
        <v>53</v>
      </c>
      <c r="F1256" s="12">
        <v>0</v>
      </c>
      <c r="G1256" s="12">
        <v>1</v>
      </c>
      <c r="H1256" s="12" t="s">
        <v>54</v>
      </c>
      <c r="I1256" s="12">
        <v>0</v>
      </c>
      <c r="J1256" s="12">
        <v>1</v>
      </c>
      <c r="K1256" s="12">
        <v>11</v>
      </c>
      <c r="L1256" s="12">
        <f t="shared" si="286"/>
        <v>11</v>
      </c>
      <c r="M1256" s="12">
        <v>4</v>
      </c>
      <c r="N1256" s="12" t="s">
        <v>90</v>
      </c>
      <c r="O1256" s="12">
        <v>0</v>
      </c>
      <c r="P1256" s="12">
        <v>0</v>
      </c>
      <c r="Q1256" s="12">
        <v>0</v>
      </c>
      <c r="R1256" s="12">
        <v>1</v>
      </c>
      <c r="S1256" s="12">
        <v>0</v>
      </c>
      <c r="T1256" s="12">
        <v>4</v>
      </c>
      <c r="U1256" s="12" t="s">
        <v>19</v>
      </c>
      <c r="V1256" s="12">
        <v>1</v>
      </c>
      <c r="W1256" s="12">
        <v>80</v>
      </c>
      <c r="X1256" s="12">
        <v>3</v>
      </c>
      <c r="Y1256" s="12">
        <v>2</v>
      </c>
      <c r="Z1256" s="12" t="s">
        <v>56</v>
      </c>
      <c r="AA1256" s="12">
        <v>0</v>
      </c>
      <c r="AB1256" s="12">
        <v>1</v>
      </c>
      <c r="AC1256" s="12">
        <v>0</v>
      </c>
      <c r="AD1256" s="12">
        <v>0</v>
      </c>
      <c r="AE1256" s="12">
        <v>0</v>
      </c>
      <c r="AF1256" s="12">
        <v>0</v>
      </c>
      <c r="AG1256" s="12">
        <v>0</v>
      </c>
      <c r="AH1256" s="12">
        <v>0</v>
      </c>
      <c r="AI1256" s="12">
        <v>4</v>
      </c>
      <c r="AJ1256" s="12" t="s">
        <v>57</v>
      </c>
      <c r="AK1256" s="12">
        <v>1</v>
      </c>
      <c r="AL1256" s="12">
        <v>0</v>
      </c>
      <c r="AM1256" s="12">
        <v>4507</v>
      </c>
      <c r="AN1256" s="12">
        <f t="shared" si="287"/>
        <v>4507</v>
      </c>
      <c r="AO1256" s="12">
        <v>3</v>
      </c>
      <c r="AP1256" s="12" t="s">
        <v>59</v>
      </c>
      <c r="AQ1256" s="12">
        <v>0</v>
      </c>
      <c r="AR1256" s="12">
        <v>12</v>
      </c>
      <c r="AS1256" s="12">
        <v>3</v>
      </c>
      <c r="AT1256" s="12">
        <v>3</v>
      </c>
      <c r="AU1256" s="12">
        <v>0</v>
      </c>
      <c r="AV1256" s="12">
        <v>8</v>
      </c>
      <c r="AW1256" s="12">
        <f t="shared" si="288"/>
        <v>8</v>
      </c>
      <c r="AX1256" s="12">
        <v>1</v>
      </c>
      <c r="AY1256" s="12">
        <v>4</v>
      </c>
      <c r="AZ1256" s="12">
        <v>5</v>
      </c>
      <c r="BA1256" s="12">
        <f t="shared" si="289"/>
        <v>5</v>
      </c>
      <c r="BB1256" s="12">
        <v>1</v>
      </c>
      <c r="BC1256" s="12">
        <v>0</v>
      </c>
      <c r="BD1256" s="12">
        <f t="shared" si="298"/>
        <v>0</v>
      </c>
      <c r="BE1256" s="12">
        <v>4</v>
      </c>
      <c r="BF1256" s="12">
        <f t="shared" si="290"/>
        <v>4</v>
      </c>
      <c r="BG1256" s="12">
        <f t="shared" si="299"/>
        <v>8</v>
      </c>
      <c r="BH1256" s="67">
        <v>1</v>
      </c>
      <c r="BI1256" s="67">
        <v>0</v>
      </c>
      <c r="BJ1256" s="67">
        <v>0</v>
      </c>
      <c r="BK1256" s="67">
        <v>0</v>
      </c>
      <c r="BL1256" s="67">
        <v>1</v>
      </c>
      <c r="BM1256" s="67">
        <v>0</v>
      </c>
      <c r="BN1256" s="67">
        <v>0</v>
      </c>
      <c r="BO1256" s="67">
        <v>0</v>
      </c>
      <c r="BP1256" s="67">
        <v>0</v>
      </c>
      <c r="BQ1256" s="67">
        <v>0</v>
      </c>
      <c r="BR1256" s="67">
        <v>4</v>
      </c>
      <c r="BS1256" s="67">
        <v>0</v>
      </c>
      <c r="BT1256" s="67">
        <v>0</v>
      </c>
      <c r="BU1256" s="70">
        <v>8</v>
      </c>
      <c r="BV1256" s="29">
        <f t="shared" si="291"/>
        <v>0.42394851619763957</v>
      </c>
      <c r="BW1256">
        <f t="shared" si="292"/>
        <v>3.4508002929560584E-2</v>
      </c>
      <c r="BX1256">
        <f t="shared" si="293"/>
        <v>0.42149901815843233</v>
      </c>
      <c r="BY1256">
        <f t="shared" si="294"/>
        <v>0.32778177112653761</v>
      </c>
      <c r="BZ1256">
        <f t="shared" si="295"/>
        <v>0.22295710105195232</v>
      </c>
      <c r="CA1256">
        <f t="shared" si="296"/>
        <v>1.3219153536033093</v>
      </c>
      <c r="CB1256">
        <f t="shared" si="297"/>
        <v>0.67891464284095016</v>
      </c>
    </row>
    <row r="1257" spans="1:80" x14ac:dyDescent="0.45">
      <c r="A1257" s="11">
        <v>33</v>
      </c>
      <c r="B1257" s="12">
        <f t="shared" si="285"/>
        <v>33</v>
      </c>
      <c r="C1257" s="12" t="s">
        <v>52</v>
      </c>
      <c r="D1257" s="12">
        <v>1</v>
      </c>
      <c r="E1257" s="12" t="s">
        <v>53</v>
      </c>
      <c r="F1257" s="12">
        <v>0</v>
      </c>
      <c r="G1257" s="12">
        <v>1</v>
      </c>
      <c r="H1257" s="12" t="s">
        <v>54</v>
      </c>
      <c r="I1257" s="12">
        <v>0</v>
      </c>
      <c r="J1257" s="12">
        <v>1</v>
      </c>
      <c r="K1257" s="12">
        <v>16</v>
      </c>
      <c r="L1257" s="12">
        <f t="shared" si="286"/>
        <v>16</v>
      </c>
      <c r="M1257" s="12">
        <v>3</v>
      </c>
      <c r="N1257" s="12" t="s">
        <v>55</v>
      </c>
      <c r="O1257" s="12">
        <v>1</v>
      </c>
      <c r="P1257" s="12">
        <v>0</v>
      </c>
      <c r="Q1257" s="12">
        <v>0</v>
      </c>
      <c r="R1257" s="12">
        <v>0</v>
      </c>
      <c r="S1257" s="12">
        <v>0</v>
      </c>
      <c r="T1257" s="12">
        <v>1</v>
      </c>
      <c r="U1257" s="12" t="s">
        <v>19</v>
      </c>
      <c r="V1257" s="12">
        <v>1</v>
      </c>
      <c r="W1257" s="12">
        <v>74</v>
      </c>
      <c r="X1257" s="12">
        <v>3</v>
      </c>
      <c r="Y1257" s="12">
        <v>3</v>
      </c>
      <c r="Z1257" s="12" t="s">
        <v>56</v>
      </c>
      <c r="AA1257" s="12">
        <v>0</v>
      </c>
      <c r="AB1257" s="12">
        <v>1</v>
      </c>
      <c r="AC1257" s="12">
        <v>0</v>
      </c>
      <c r="AD1257" s="12">
        <v>0</v>
      </c>
      <c r="AE1257" s="12">
        <v>0</v>
      </c>
      <c r="AF1257" s="12">
        <v>0</v>
      </c>
      <c r="AG1257" s="12">
        <v>0</v>
      </c>
      <c r="AH1257" s="12">
        <v>0</v>
      </c>
      <c r="AI1257" s="12">
        <v>1</v>
      </c>
      <c r="AJ1257" s="12" t="s">
        <v>57</v>
      </c>
      <c r="AK1257" s="12">
        <v>1</v>
      </c>
      <c r="AL1257" s="12">
        <v>0</v>
      </c>
      <c r="AM1257" s="12">
        <v>8564</v>
      </c>
      <c r="AN1257" s="12">
        <f t="shared" si="287"/>
        <v>8564</v>
      </c>
      <c r="AO1257" s="12">
        <v>2</v>
      </c>
      <c r="AP1257" s="12" t="s">
        <v>52</v>
      </c>
      <c r="AQ1257" s="12">
        <v>1</v>
      </c>
      <c r="AR1257" s="12">
        <v>20</v>
      </c>
      <c r="AS1257" s="12">
        <v>4</v>
      </c>
      <c r="AT1257" s="12">
        <v>3</v>
      </c>
      <c r="AU1257" s="12">
        <v>0</v>
      </c>
      <c r="AV1257" s="12">
        <v>11</v>
      </c>
      <c r="AW1257" s="12">
        <f t="shared" si="288"/>
        <v>11</v>
      </c>
      <c r="AX1257" s="12">
        <v>2</v>
      </c>
      <c r="AY1257" s="12">
        <v>2</v>
      </c>
      <c r="AZ1257" s="12">
        <v>0</v>
      </c>
      <c r="BA1257" s="12">
        <f t="shared" si="289"/>
        <v>0</v>
      </c>
      <c r="BB1257" s="12">
        <v>0</v>
      </c>
      <c r="BC1257" s="12">
        <v>0</v>
      </c>
      <c r="BD1257" s="12">
        <f t="shared" si="298"/>
        <v>0</v>
      </c>
      <c r="BE1257" s="12">
        <v>0</v>
      </c>
      <c r="BF1257" s="12">
        <f t="shared" si="290"/>
        <v>0</v>
      </c>
      <c r="BG1257" s="12">
        <f t="shared" si="299"/>
        <v>0</v>
      </c>
      <c r="BH1257" s="67">
        <v>1</v>
      </c>
      <c r="BI1257" s="67">
        <v>0</v>
      </c>
      <c r="BJ1257" s="67">
        <v>0</v>
      </c>
      <c r="BK1257" s="67">
        <v>0</v>
      </c>
      <c r="BL1257" s="67">
        <v>0</v>
      </c>
      <c r="BM1257" s="67">
        <v>1</v>
      </c>
      <c r="BN1257" s="67">
        <v>0</v>
      </c>
      <c r="BO1257" s="67">
        <v>0</v>
      </c>
      <c r="BP1257" s="67">
        <v>0</v>
      </c>
      <c r="BQ1257" s="67">
        <v>0</v>
      </c>
      <c r="BR1257" s="67">
        <v>0</v>
      </c>
      <c r="BS1257" s="67">
        <v>0</v>
      </c>
      <c r="BT1257" s="67">
        <v>0</v>
      </c>
      <c r="BU1257" s="70">
        <v>11</v>
      </c>
      <c r="BV1257" s="29">
        <f t="shared" si="291"/>
        <v>0.43778411791765437</v>
      </c>
      <c r="BW1257">
        <f t="shared" si="292"/>
        <v>1.1555414682655611</v>
      </c>
      <c r="BX1257">
        <f t="shared" si="293"/>
        <v>3.593364373846001E-2</v>
      </c>
      <c r="BY1257">
        <f t="shared" si="294"/>
        <v>1.1439050833826525</v>
      </c>
      <c r="BZ1257">
        <f t="shared" si="295"/>
        <v>0.83971837042788355</v>
      </c>
      <c r="CA1257">
        <f t="shared" si="296"/>
        <v>0.42951823792158</v>
      </c>
      <c r="CB1257">
        <f t="shared" si="297"/>
        <v>0.67891464284095016</v>
      </c>
    </row>
    <row r="1258" spans="1:80" x14ac:dyDescent="0.45">
      <c r="A1258" s="11">
        <v>38</v>
      </c>
      <c r="B1258" s="12">
        <f t="shared" si="285"/>
        <v>38</v>
      </c>
      <c r="C1258" s="12" t="s">
        <v>59</v>
      </c>
      <c r="D1258" s="12">
        <v>0</v>
      </c>
      <c r="E1258" s="12" t="s">
        <v>60</v>
      </c>
      <c r="F1258" s="12">
        <v>1</v>
      </c>
      <c r="G1258" s="12">
        <v>0</v>
      </c>
      <c r="H1258" s="12" t="s">
        <v>61</v>
      </c>
      <c r="I1258" s="12">
        <v>1</v>
      </c>
      <c r="J1258" s="12">
        <v>0</v>
      </c>
      <c r="K1258" s="12">
        <v>2</v>
      </c>
      <c r="L1258" s="12">
        <f t="shared" si="286"/>
        <v>2</v>
      </c>
      <c r="M1258" s="12">
        <v>2</v>
      </c>
      <c r="N1258" s="12" t="s">
        <v>70</v>
      </c>
      <c r="O1258" s="12">
        <v>0</v>
      </c>
      <c r="P1258" s="12">
        <v>0</v>
      </c>
      <c r="Q1258" s="12">
        <v>1</v>
      </c>
      <c r="R1258" s="12">
        <v>0</v>
      </c>
      <c r="S1258" s="12">
        <v>0</v>
      </c>
      <c r="T1258" s="12">
        <v>3</v>
      </c>
      <c r="U1258" s="12" t="s">
        <v>19</v>
      </c>
      <c r="V1258" s="12">
        <v>1</v>
      </c>
      <c r="W1258" s="12">
        <v>75</v>
      </c>
      <c r="X1258" s="12">
        <v>2</v>
      </c>
      <c r="Y1258" s="12">
        <v>1</v>
      </c>
      <c r="Z1258" s="12" t="s">
        <v>67</v>
      </c>
      <c r="AA1258" s="12">
        <v>0</v>
      </c>
      <c r="AB1258" s="12">
        <v>0</v>
      </c>
      <c r="AC1258" s="12">
        <v>1</v>
      </c>
      <c r="AD1258" s="12">
        <v>0</v>
      </c>
      <c r="AE1258" s="12">
        <v>0</v>
      </c>
      <c r="AF1258" s="12">
        <v>0</v>
      </c>
      <c r="AG1258" s="12">
        <v>0</v>
      </c>
      <c r="AH1258" s="12">
        <v>0</v>
      </c>
      <c r="AI1258" s="12">
        <v>2</v>
      </c>
      <c r="AJ1258" s="12" t="s">
        <v>64</v>
      </c>
      <c r="AK1258" s="12">
        <v>0</v>
      </c>
      <c r="AL1258" s="12">
        <v>1</v>
      </c>
      <c r="AM1258" s="12">
        <v>2468</v>
      </c>
      <c r="AN1258" s="12">
        <f t="shared" si="287"/>
        <v>2468</v>
      </c>
      <c r="AO1258" s="12">
        <v>4</v>
      </c>
      <c r="AP1258" s="12" t="s">
        <v>59</v>
      </c>
      <c r="AQ1258" s="12">
        <v>0</v>
      </c>
      <c r="AR1258" s="12">
        <v>14</v>
      </c>
      <c r="AS1258" s="12">
        <v>3</v>
      </c>
      <c r="AT1258" s="12">
        <v>2</v>
      </c>
      <c r="AU1258" s="12">
        <v>1</v>
      </c>
      <c r="AV1258" s="12">
        <v>9</v>
      </c>
      <c r="AW1258" s="12">
        <f t="shared" si="288"/>
        <v>9</v>
      </c>
      <c r="AX1258" s="12">
        <v>4</v>
      </c>
      <c r="AY1258" s="12">
        <v>2</v>
      </c>
      <c r="AZ1258" s="12">
        <v>6</v>
      </c>
      <c r="BA1258" s="12">
        <f t="shared" si="289"/>
        <v>6</v>
      </c>
      <c r="BB1258" s="12">
        <v>1</v>
      </c>
      <c r="BC1258" s="12">
        <v>0</v>
      </c>
      <c r="BD1258" s="12">
        <f t="shared" si="298"/>
        <v>0</v>
      </c>
      <c r="BE1258" s="12">
        <v>5</v>
      </c>
      <c r="BF1258" s="12">
        <f t="shared" si="290"/>
        <v>5</v>
      </c>
      <c r="BG1258" s="12">
        <f t="shared" si="299"/>
        <v>5</v>
      </c>
      <c r="BH1258" s="67">
        <v>0</v>
      </c>
      <c r="BI1258" s="67">
        <v>0</v>
      </c>
      <c r="BJ1258" s="67">
        <v>0</v>
      </c>
      <c r="BK1258" s="67">
        <v>1</v>
      </c>
      <c r="BL1258" s="67">
        <v>0</v>
      </c>
      <c r="BM1258" s="67">
        <v>0</v>
      </c>
      <c r="BN1258" s="67">
        <v>1</v>
      </c>
      <c r="BO1258" s="67">
        <v>0</v>
      </c>
      <c r="BP1258" s="67">
        <v>0</v>
      </c>
      <c r="BQ1258" s="67">
        <v>5</v>
      </c>
      <c r="BR1258" s="67">
        <v>0</v>
      </c>
      <c r="BS1258" s="67">
        <v>0</v>
      </c>
      <c r="BT1258" s="67">
        <v>9</v>
      </c>
      <c r="BU1258" s="70">
        <v>0</v>
      </c>
      <c r="BV1258" s="29">
        <f t="shared" si="291"/>
        <v>0.85704510011705892</v>
      </c>
      <c r="BW1258">
        <f t="shared" si="292"/>
        <v>0.24575036340443959</v>
      </c>
      <c r="BX1258">
        <f t="shared" si="293"/>
        <v>0.29297722668510823</v>
      </c>
      <c r="BY1258">
        <f t="shared" si="294"/>
        <v>0.16455710867531462</v>
      </c>
      <c r="BZ1258">
        <f t="shared" si="295"/>
        <v>0.88721318382472392</v>
      </c>
      <c r="CA1258">
        <f t="shared" si="296"/>
        <v>0.11780475942994788</v>
      </c>
      <c r="CB1258">
        <f t="shared" si="297"/>
        <v>0.67891464284095016</v>
      </c>
    </row>
    <row r="1259" spans="1:80" x14ac:dyDescent="0.45">
      <c r="A1259" s="11">
        <v>31</v>
      </c>
      <c r="B1259" s="12">
        <f t="shared" si="285"/>
        <v>31</v>
      </c>
      <c r="C1259" s="12" t="s">
        <v>52</v>
      </c>
      <c r="D1259" s="12">
        <v>1</v>
      </c>
      <c r="E1259" s="12" t="s">
        <v>53</v>
      </c>
      <c r="F1259" s="12">
        <v>0</v>
      </c>
      <c r="G1259" s="12">
        <v>1</v>
      </c>
      <c r="H1259" s="12" t="s">
        <v>54</v>
      </c>
      <c r="I1259" s="12">
        <v>0</v>
      </c>
      <c r="J1259" s="12">
        <v>1</v>
      </c>
      <c r="K1259" s="12">
        <v>16</v>
      </c>
      <c r="L1259" s="12">
        <f t="shared" si="286"/>
        <v>16</v>
      </c>
      <c r="M1259" s="12">
        <v>4</v>
      </c>
      <c r="N1259" s="12" t="s">
        <v>90</v>
      </c>
      <c r="O1259" s="12">
        <v>0</v>
      </c>
      <c r="P1259" s="12">
        <v>0</v>
      </c>
      <c r="Q1259" s="12">
        <v>0</v>
      </c>
      <c r="R1259" s="12">
        <v>1</v>
      </c>
      <c r="S1259" s="12">
        <v>0</v>
      </c>
      <c r="T1259" s="12">
        <v>1</v>
      </c>
      <c r="U1259" s="12" t="s">
        <v>62</v>
      </c>
      <c r="V1259" s="12">
        <v>0</v>
      </c>
      <c r="W1259" s="12">
        <v>70</v>
      </c>
      <c r="X1259" s="12">
        <v>3</v>
      </c>
      <c r="Y1259" s="12">
        <v>3</v>
      </c>
      <c r="Z1259" s="12" t="s">
        <v>56</v>
      </c>
      <c r="AA1259" s="12">
        <v>0</v>
      </c>
      <c r="AB1259" s="12">
        <v>1</v>
      </c>
      <c r="AC1259" s="12">
        <v>0</v>
      </c>
      <c r="AD1259" s="12">
        <v>0</v>
      </c>
      <c r="AE1259" s="12">
        <v>0</v>
      </c>
      <c r="AF1259" s="12">
        <v>0</v>
      </c>
      <c r="AG1259" s="12">
        <v>0</v>
      </c>
      <c r="AH1259" s="12">
        <v>0</v>
      </c>
      <c r="AI1259" s="12">
        <v>3</v>
      </c>
      <c r="AJ1259" s="12" t="s">
        <v>64</v>
      </c>
      <c r="AK1259" s="12">
        <v>0</v>
      </c>
      <c r="AL1259" s="12">
        <v>1</v>
      </c>
      <c r="AM1259" s="12">
        <v>8161</v>
      </c>
      <c r="AN1259" s="12">
        <f t="shared" si="287"/>
        <v>8161</v>
      </c>
      <c r="AO1259" s="12">
        <v>2</v>
      </c>
      <c r="AP1259" s="12" t="s">
        <v>59</v>
      </c>
      <c r="AQ1259" s="12">
        <v>0</v>
      </c>
      <c r="AR1259" s="12">
        <v>13</v>
      </c>
      <c r="AS1259" s="12">
        <v>3</v>
      </c>
      <c r="AT1259" s="12">
        <v>1</v>
      </c>
      <c r="AU1259" s="12">
        <v>3</v>
      </c>
      <c r="AV1259" s="12">
        <v>10</v>
      </c>
      <c r="AW1259" s="12">
        <f t="shared" si="288"/>
        <v>10</v>
      </c>
      <c r="AX1259" s="12">
        <v>2</v>
      </c>
      <c r="AY1259" s="12">
        <v>3</v>
      </c>
      <c r="AZ1259" s="12">
        <v>1</v>
      </c>
      <c r="BA1259" s="12">
        <f t="shared" si="289"/>
        <v>1</v>
      </c>
      <c r="BB1259" s="12">
        <v>0</v>
      </c>
      <c r="BC1259" s="12">
        <v>0</v>
      </c>
      <c r="BD1259" s="12">
        <f t="shared" si="298"/>
        <v>0</v>
      </c>
      <c r="BE1259" s="12">
        <v>0</v>
      </c>
      <c r="BF1259" s="12">
        <f t="shared" si="290"/>
        <v>0</v>
      </c>
      <c r="BG1259" s="12">
        <f t="shared" si="299"/>
        <v>0</v>
      </c>
      <c r="BH1259" s="67">
        <v>0</v>
      </c>
      <c r="BI1259" s="67">
        <v>1</v>
      </c>
      <c r="BJ1259" s="67">
        <v>0</v>
      </c>
      <c r="BK1259" s="67">
        <v>0</v>
      </c>
      <c r="BL1259" s="67">
        <v>0</v>
      </c>
      <c r="BM1259" s="67">
        <v>0</v>
      </c>
      <c r="BN1259" s="67">
        <v>1</v>
      </c>
      <c r="BO1259" s="67">
        <v>0</v>
      </c>
      <c r="BP1259" s="67">
        <v>0</v>
      </c>
      <c r="BQ1259" s="67">
        <v>0</v>
      </c>
      <c r="BR1259" s="67">
        <v>0</v>
      </c>
      <c r="BS1259" s="67">
        <v>0</v>
      </c>
      <c r="BT1259" s="67">
        <v>0</v>
      </c>
      <c r="BU1259" s="70">
        <v>10</v>
      </c>
      <c r="BV1259" s="29">
        <f t="shared" si="291"/>
        <v>0.35218435169915219</v>
      </c>
      <c r="BW1259">
        <f t="shared" si="292"/>
        <v>1.1555414682655611</v>
      </c>
      <c r="BX1259">
        <f t="shared" si="293"/>
        <v>0.1644554352117841</v>
      </c>
      <c r="BY1259">
        <f t="shared" si="294"/>
        <v>0.9806804209314296</v>
      </c>
      <c r="BZ1259">
        <f t="shared" si="295"/>
        <v>0.83971837042788355</v>
      </c>
      <c r="CA1259">
        <f t="shared" si="296"/>
        <v>0.6484474368621912</v>
      </c>
      <c r="CB1259">
        <f t="shared" si="297"/>
        <v>0.67891464284095016</v>
      </c>
    </row>
    <row r="1260" spans="1:80" x14ac:dyDescent="0.45">
      <c r="A1260" s="11">
        <v>29</v>
      </c>
      <c r="B1260" s="12">
        <f t="shared" si="285"/>
        <v>29</v>
      </c>
      <c r="C1260" s="12" t="s">
        <v>59</v>
      </c>
      <c r="D1260" s="12">
        <v>0</v>
      </c>
      <c r="E1260" s="12" t="s">
        <v>53</v>
      </c>
      <c r="F1260" s="12">
        <v>0</v>
      </c>
      <c r="G1260" s="12">
        <v>1</v>
      </c>
      <c r="H1260" s="12" t="s">
        <v>61</v>
      </c>
      <c r="I1260" s="12">
        <v>1</v>
      </c>
      <c r="J1260" s="12">
        <v>0</v>
      </c>
      <c r="K1260" s="12">
        <v>4</v>
      </c>
      <c r="L1260" s="12">
        <f t="shared" si="286"/>
        <v>4</v>
      </c>
      <c r="M1260" s="12">
        <v>3</v>
      </c>
      <c r="N1260" s="12" t="s">
        <v>91</v>
      </c>
      <c r="O1260" s="12">
        <v>0</v>
      </c>
      <c r="P1260" s="12">
        <v>0</v>
      </c>
      <c r="Q1260" s="12">
        <v>0</v>
      </c>
      <c r="R1260" s="12">
        <v>0</v>
      </c>
      <c r="S1260" s="12">
        <v>1</v>
      </c>
      <c r="T1260" s="12">
        <v>4</v>
      </c>
      <c r="U1260" s="12" t="s">
        <v>19</v>
      </c>
      <c r="V1260" s="12">
        <v>1</v>
      </c>
      <c r="W1260" s="12">
        <v>91</v>
      </c>
      <c r="X1260" s="12">
        <v>2</v>
      </c>
      <c r="Y1260" s="12">
        <v>1</v>
      </c>
      <c r="Z1260" s="12" t="s">
        <v>63</v>
      </c>
      <c r="AA1260" s="12">
        <v>0</v>
      </c>
      <c r="AB1260" s="12">
        <v>0</v>
      </c>
      <c r="AC1260" s="12">
        <v>0</v>
      </c>
      <c r="AD1260" s="12">
        <v>0</v>
      </c>
      <c r="AE1260" s="12">
        <v>0</v>
      </c>
      <c r="AF1260" s="12">
        <v>0</v>
      </c>
      <c r="AG1260" s="12">
        <v>0</v>
      </c>
      <c r="AH1260" s="12">
        <v>1</v>
      </c>
      <c r="AI1260" s="12">
        <v>1</v>
      </c>
      <c r="AJ1260" s="12" t="s">
        <v>78</v>
      </c>
      <c r="AK1260" s="12">
        <v>0</v>
      </c>
      <c r="AL1260" s="12">
        <v>0</v>
      </c>
      <c r="AM1260" s="12">
        <v>2109</v>
      </c>
      <c r="AN1260" s="12">
        <f t="shared" si="287"/>
        <v>2109</v>
      </c>
      <c r="AO1260" s="12">
        <v>1</v>
      </c>
      <c r="AP1260" s="12" t="s">
        <v>59</v>
      </c>
      <c r="AQ1260" s="12">
        <v>0</v>
      </c>
      <c r="AR1260" s="12">
        <v>13</v>
      </c>
      <c r="AS1260" s="12">
        <v>3</v>
      </c>
      <c r="AT1260" s="12">
        <v>3</v>
      </c>
      <c r="AU1260" s="12">
        <v>1</v>
      </c>
      <c r="AV1260" s="12">
        <v>1</v>
      </c>
      <c r="AW1260" s="12">
        <f t="shared" si="288"/>
        <v>1</v>
      </c>
      <c r="AX1260" s="12">
        <v>2</v>
      </c>
      <c r="AY1260" s="12">
        <v>3</v>
      </c>
      <c r="AZ1260" s="12">
        <v>1</v>
      </c>
      <c r="BA1260" s="12">
        <f t="shared" si="289"/>
        <v>1</v>
      </c>
      <c r="BB1260" s="12">
        <v>0</v>
      </c>
      <c r="BC1260" s="12">
        <v>0</v>
      </c>
      <c r="BD1260" s="12">
        <f t="shared" si="298"/>
        <v>0</v>
      </c>
      <c r="BE1260" s="12">
        <v>0</v>
      </c>
      <c r="BF1260" s="12">
        <f t="shared" si="290"/>
        <v>0</v>
      </c>
      <c r="BG1260" s="12">
        <f t="shared" si="299"/>
        <v>0</v>
      </c>
      <c r="BH1260" s="67">
        <v>1</v>
      </c>
      <c r="BI1260" s="67">
        <v>0</v>
      </c>
      <c r="BJ1260" s="67">
        <v>0</v>
      </c>
      <c r="BK1260" s="67">
        <v>0</v>
      </c>
      <c r="BL1260" s="67">
        <v>1</v>
      </c>
      <c r="BM1260" s="67">
        <v>0</v>
      </c>
      <c r="BN1260" s="67">
        <v>0</v>
      </c>
      <c r="BO1260" s="67">
        <v>0</v>
      </c>
      <c r="BP1260" s="67">
        <v>0</v>
      </c>
      <c r="BQ1260" s="67">
        <v>0</v>
      </c>
      <c r="BR1260" s="67">
        <v>0</v>
      </c>
      <c r="BS1260" s="67">
        <v>0</v>
      </c>
      <c r="BT1260" s="67">
        <v>1</v>
      </c>
      <c r="BU1260" s="70">
        <v>0</v>
      </c>
      <c r="BV1260" s="29">
        <f t="shared" si="291"/>
        <v>0.93329898615289586</v>
      </c>
      <c r="BW1260">
        <f t="shared" si="292"/>
        <v>1.1555414682655611</v>
      </c>
      <c r="BX1260">
        <f t="shared" si="293"/>
        <v>1.3211515584717011</v>
      </c>
      <c r="BY1260">
        <f t="shared" si="294"/>
        <v>0.9806804209314296</v>
      </c>
      <c r="BZ1260">
        <f t="shared" si="295"/>
        <v>0.64050867607435136</v>
      </c>
      <c r="CA1260">
        <f t="shared" si="296"/>
        <v>0.86737663580280233</v>
      </c>
      <c r="CB1260">
        <f t="shared" si="297"/>
        <v>0.67891464284095016</v>
      </c>
    </row>
    <row r="1261" spans="1:80" x14ac:dyDescent="0.45">
      <c r="A1261" s="11">
        <v>30</v>
      </c>
      <c r="B1261" s="12">
        <f t="shared" si="285"/>
        <v>30</v>
      </c>
      <c r="C1261" s="12" t="s">
        <v>59</v>
      </c>
      <c r="D1261" s="12">
        <v>0</v>
      </c>
      <c r="E1261" s="12" t="s">
        <v>53</v>
      </c>
      <c r="F1261" s="12">
        <v>0</v>
      </c>
      <c r="G1261" s="12">
        <v>1</v>
      </c>
      <c r="H1261" s="12" t="s">
        <v>61</v>
      </c>
      <c r="I1261" s="12">
        <v>1</v>
      </c>
      <c r="J1261" s="12">
        <v>0</v>
      </c>
      <c r="K1261" s="12">
        <v>16</v>
      </c>
      <c r="L1261" s="12">
        <f t="shared" si="286"/>
        <v>16</v>
      </c>
      <c r="M1261" s="12">
        <v>3</v>
      </c>
      <c r="N1261" s="12" t="s">
        <v>55</v>
      </c>
      <c r="O1261" s="12">
        <v>1</v>
      </c>
      <c r="P1261" s="12">
        <v>0</v>
      </c>
      <c r="Q1261" s="12">
        <v>0</v>
      </c>
      <c r="R1261" s="12">
        <v>0</v>
      </c>
      <c r="S1261" s="12">
        <v>0</v>
      </c>
      <c r="T1261" s="12">
        <v>3</v>
      </c>
      <c r="U1261" s="12" t="s">
        <v>62</v>
      </c>
      <c r="V1261" s="12">
        <v>0</v>
      </c>
      <c r="W1261" s="12">
        <v>58</v>
      </c>
      <c r="X1261" s="12">
        <v>4</v>
      </c>
      <c r="Y1261" s="12">
        <v>2</v>
      </c>
      <c r="Z1261" s="12" t="s">
        <v>85</v>
      </c>
      <c r="AA1261" s="12">
        <v>1</v>
      </c>
      <c r="AB1261" s="12">
        <v>0</v>
      </c>
      <c r="AC1261" s="12">
        <v>0</v>
      </c>
      <c r="AD1261" s="12">
        <v>0</v>
      </c>
      <c r="AE1261" s="12">
        <v>0</v>
      </c>
      <c r="AF1261" s="12">
        <v>0</v>
      </c>
      <c r="AG1261" s="12">
        <v>0</v>
      </c>
      <c r="AH1261" s="12">
        <v>0</v>
      </c>
      <c r="AI1261" s="12">
        <v>3</v>
      </c>
      <c r="AJ1261" s="12" t="s">
        <v>64</v>
      </c>
      <c r="AK1261" s="12">
        <v>0</v>
      </c>
      <c r="AL1261" s="12">
        <v>1</v>
      </c>
      <c r="AM1261" s="12">
        <v>5294</v>
      </c>
      <c r="AN1261" s="12">
        <f t="shared" si="287"/>
        <v>5294</v>
      </c>
      <c r="AO1261" s="12">
        <v>3</v>
      </c>
      <c r="AP1261" s="12" t="s">
        <v>59</v>
      </c>
      <c r="AQ1261" s="12">
        <v>0</v>
      </c>
      <c r="AR1261" s="12">
        <v>16</v>
      </c>
      <c r="AS1261" s="12">
        <v>3</v>
      </c>
      <c r="AT1261" s="12">
        <v>3</v>
      </c>
      <c r="AU1261" s="12">
        <v>1</v>
      </c>
      <c r="AV1261" s="12">
        <v>10</v>
      </c>
      <c r="AW1261" s="12">
        <f t="shared" si="288"/>
        <v>10</v>
      </c>
      <c r="AX1261" s="12">
        <v>3</v>
      </c>
      <c r="AY1261" s="12">
        <v>3</v>
      </c>
      <c r="AZ1261" s="12">
        <v>7</v>
      </c>
      <c r="BA1261" s="12">
        <f t="shared" si="289"/>
        <v>7</v>
      </c>
      <c r="BB1261" s="12">
        <v>0</v>
      </c>
      <c r="BC1261" s="12">
        <v>1</v>
      </c>
      <c r="BD1261" s="12">
        <f t="shared" si="298"/>
        <v>1</v>
      </c>
      <c r="BE1261" s="12">
        <v>7</v>
      </c>
      <c r="BF1261" s="12">
        <f t="shared" si="290"/>
        <v>7</v>
      </c>
      <c r="BG1261" s="12">
        <f t="shared" si="299"/>
        <v>14</v>
      </c>
      <c r="BH1261" s="67">
        <v>0</v>
      </c>
      <c r="BI1261" s="67">
        <v>1</v>
      </c>
      <c r="BJ1261" s="67">
        <v>0</v>
      </c>
      <c r="BK1261" s="67">
        <v>0</v>
      </c>
      <c r="BL1261" s="67">
        <v>0</v>
      </c>
      <c r="BM1261" s="67">
        <v>0</v>
      </c>
      <c r="BN1261" s="67">
        <v>1</v>
      </c>
      <c r="BO1261" s="67">
        <v>0</v>
      </c>
      <c r="BP1261" s="67">
        <v>0</v>
      </c>
      <c r="BQ1261" s="67">
        <v>7</v>
      </c>
      <c r="BR1261" s="67">
        <v>0</v>
      </c>
      <c r="BS1261" s="67">
        <v>0</v>
      </c>
      <c r="BT1261" s="67">
        <v>10</v>
      </c>
      <c r="BU1261" s="70">
        <v>0</v>
      </c>
      <c r="BV1261" s="29">
        <f t="shared" si="291"/>
        <v>0.25678470474860426</v>
      </c>
      <c r="BW1261">
        <f t="shared" si="292"/>
        <v>0.80626709607243985</v>
      </c>
      <c r="BX1261">
        <f t="shared" si="293"/>
        <v>0.1644554352117841</v>
      </c>
      <c r="BY1261">
        <f t="shared" si="294"/>
        <v>1.3324462240916321E-3</v>
      </c>
      <c r="BZ1261">
        <f t="shared" si="295"/>
        <v>0.83971837042788355</v>
      </c>
      <c r="CA1261">
        <f t="shared" si="296"/>
        <v>0.75791203633249671</v>
      </c>
      <c r="CB1261">
        <f t="shared" si="297"/>
        <v>0.36858985273641137</v>
      </c>
    </row>
    <row r="1262" spans="1:80" x14ac:dyDescent="0.45">
      <c r="A1262" s="11">
        <v>32</v>
      </c>
      <c r="B1262" s="12">
        <f t="shared" si="285"/>
        <v>32</v>
      </c>
      <c r="C1262" s="12" t="s">
        <v>59</v>
      </c>
      <c r="D1262" s="12">
        <v>0</v>
      </c>
      <c r="E1262" s="12" t="s">
        <v>86</v>
      </c>
      <c r="F1262" s="12">
        <v>0</v>
      </c>
      <c r="G1262" s="12">
        <v>0</v>
      </c>
      <c r="H1262" s="12" t="s">
        <v>61</v>
      </c>
      <c r="I1262" s="12">
        <v>1</v>
      </c>
      <c r="J1262" s="12">
        <v>0</v>
      </c>
      <c r="K1262" s="12">
        <v>5</v>
      </c>
      <c r="L1262" s="12">
        <f t="shared" si="286"/>
        <v>5</v>
      </c>
      <c r="M1262" s="12">
        <v>4</v>
      </c>
      <c r="N1262" s="12" t="s">
        <v>91</v>
      </c>
      <c r="O1262" s="12">
        <v>0</v>
      </c>
      <c r="P1262" s="12">
        <v>0</v>
      </c>
      <c r="Q1262" s="12">
        <v>0</v>
      </c>
      <c r="R1262" s="12">
        <v>0</v>
      </c>
      <c r="S1262" s="12">
        <v>1</v>
      </c>
      <c r="T1262" s="12">
        <v>2</v>
      </c>
      <c r="U1262" s="12" t="s">
        <v>62</v>
      </c>
      <c r="V1262" s="12">
        <v>0</v>
      </c>
      <c r="W1262" s="12">
        <v>65</v>
      </c>
      <c r="X1262" s="12">
        <v>3</v>
      </c>
      <c r="Y1262" s="12">
        <v>1</v>
      </c>
      <c r="Z1262" s="12" t="s">
        <v>63</v>
      </c>
      <c r="AA1262" s="12">
        <v>0</v>
      </c>
      <c r="AB1262" s="12">
        <v>0</v>
      </c>
      <c r="AC1262" s="12">
        <v>0</v>
      </c>
      <c r="AD1262" s="12">
        <v>0</v>
      </c>
      <c r="AE1262" s="12">
        <v>0</v>
      </c>
      <c r="AF1262" s="12">
        <v>0</v>
      </c>
      <c r="AG1262" s="12">
        <v>0</v>
      </c>
      <c r="AH1262" s="12">
        <v>1</v>
      </c>
      <c r="AI1262" s="12">
        <v>2</v>
      </c>
      <c r="AJ1262" s="12" t="s">
        <v>57</v>
      </c>
      <c r="AK1262" s="12">
        <v>1</v>
      </c>
      <c r="AL1262" s="12">
        <v>0</v>
      </c>
      <c r="AM1262" s="12">
        <v>2718</v>
      </c>
      <c r="AN1262" s="12">
        <f t="shared" si="287"/>
        <v>2718</v>
      </c>
      <c r="AO1262" s="12">
        <v>2</v>
      </c>
      <c r="AP1262" s="12" t="s">
        <v>59</v>
      </c>
      <c r="AQ1262" s="12">
        <v>0</v>
      </c>
      <c r="AR1262" s="12">
        <v>14</v>
      </c>
      <c r="AS1262" s="12">
        <v>3</v>
      </c>
      <c r="AT1262" s="12">
        <v>2</v>
      </c>
      <c r="AU1262" s="12">
        <v>0</v>
      </c>
      <c r="AV1262" s="12">
        <v>12</v>
      </c>
      <c r="AW1262" s="12">
        <f t="shared" si="288"/>
        <v>12</v>
      </c>
      <c r="AX1262" s="12">
        <v>3</v>
      </c>
      <c r="AY1262" s="12">
        <v>3</v>
      </c>
      <c r="AZ1262" s="12">
        <v>7</v>
      </c>
      <c r="BA1262" s="12">
        <f t="shared" si="289"/>
        <v>7</v>
      </c>
      <c r="BB1262" s="12">
        <v>7</v>
      </c>
      <c r="BC1262" s="12">
        <v>0</v>
      </c>
      <c r="BD1262" s="12">
        <f t="shared" si="298"/>
        <v>0</v>
      </c>
      <c r="BE1262" s="12">
        <v>7</v>
      </c>
      <c r="BF1262" s="12">
        <f t="shared" si="290"/>
        <v>7</v>
      </c>
      <c r="BG1262" s="12">
        <f t="shared" si="299"/>
        <v>7</v>
      </c>
      <c r="BH1262" s="67">
        <v>1</v>
      </c>
      <c r="BI1262" s="67">
        <v>0</v>
      </c>
      <c r="BJ1262" s="67">
        <v>0</v>
      </c>
      <c r="BK1262" s="67">
        <v>0</v>
      </c>
      <c r="BL1262" s="67">
        <v>1</v>
      </c>
      <c r="BM1262" s="67">
        <v>0</v>
      </c>
      <c r="BN1262" s="67">
        <v>0</v>
      </c>
      <c r="BO1262" s="67">
        <v>0</v>
      </c>
      <c r="BP1262" s="67">
        <v>0</v>
      </c>
      <c r="BQ1262" s="67">
        <v>7</v>
      </c>
      <c r="BR1262" s="67">
        <v>0</v>
      </c>
      <c r="BS1262" s="67">
        <v>0</v>
      </c>
      <c r="BT1262" s="67">
        <v>12</v>
      </c>
      <c r="BU1262" s="70">
        <v>0</v>
      </c>
      <c r="BV1262" s="29">
        <f t="shared" si="291"/>
        <v>0.8039435081700973</v>
      </c>
      <c r="BW1262">
        <f t="shared" si="292"/>
        <v>0.80626709607243985</v>
      </c>
      <c r="BX1262">
        <f t="shared" si="293"/>
        <v>9.2588147734864096E-2</v>
      </c>
      <c r="BY1262">
        <f t="shared" si="294"/>
        <v>1.3324462240916321E-3</v>
      </c>
      <c r="BZ1262">
        <f t="shared" si="295"/>
        <v>0.51715642219916513</v>
      </c>
      <c r="CA1262">
        <f t="shared" si="296"/>
        <v>0.53898283739188557</v>
      </c>
      <c r="CB1262">
        <f t="shared" si="297"/>
        <v>0.67891464284095016</v>
      </c>
    </row>
    <row r="1263" spans="1:80" x14ac:dyDescent="0.45">
      <c r="A1263" s="11">
        <v>38</v>
      </c>
      <c r="B1263" s="12">
        <f t="shared" si="285"/>
        <v>38</v>
      </c>
      <c r="C1263" s="12" t="s">
        <v>59</v>
      </c>
      <c r="D1263" s="12">
        <v>0</v>
      </c>
      <c r="E1263" s="12" t="s">
        <v>53</v>
      </c>
      <c r="F1263" s="12">
        <v>0</v>
      </c>
      <c r="G1263" s="12">
        <v>1</v>
      </c>
      <c r="H1263" s="12" t="s">
        <v>61</v>
      </c>
      <c r="I1263" s="12">
        <v>1</v>
      </c>
      <c r="J1263" s="12">
        <v>0</v>
      </c>
      <c r="K1263" s="12">
        <v>18</v>
      </c>
      <c r="L1263" s="12">
        <f t="shared" si="286"/>
        <v>18</v>
      </c>
      <c r="M1263" s="12">
        <v>3</v>
      </c>
      <c r="N1263" s="12" t="s">
        <v>70</v>
      </c>
      <c r="O1263" s="12">
        <v>0</v>
      </c>
      <c r="P1263" s="12">
        <v>0</v>
      </c>
      <c r="Q1263" s="12">
        <v>1</v>
      </c>
      <c r="R1263" s="12">
        <v>0</v>
      </c>
      <c r="S1263" s="12">
        <v>0</v>
      </c>
      <c r="T1263" s="12">
        <v>2</v>
      </c>
      <c r="U1263" s="12" t="s">
        <v>62</v>
      </c>
      <c r="V1263" s="12">
        <v>0</v>
      </c>
      <c r="W1263" s="12">
        <v>60</v>
      </c>
      <c r="X1263" s="12">
        <v>1</v>
      </c>
      <c r="Y1263" s="12">
        <v>2</v>
      </c>
      <c r="Z1263" s="12" t="s">
        <v>85</v>
      </c>
      <c r="AA1263" s="12">
        <v>1</v>
      </c>
      <c r="AB1263" s="12">
        <v>0</v>
      </c>
      <c r="AC1263" s="12">
        <v>0</v>
      </c>
      <c r="AD1263" s="12">
        <v>0</v>
      </c>
      <c r="AE1263" s="12">
        <v>0</v>
      </c>
      <c r="AF1263" s="12">
        <v>0</v>
      </c>
      <c r="AG1263" s="12">
        <v>0</v>
      </c>
      <c r="AH1263" s="12">
        <v>0</v>
      </c>
      <c r="AI1263" s="12">
        <v>4</v>
      </c>
      <c r="AJ1263" s="12" t="s">
        <v>64</v>
      </c>
      <c r="AK1263" s="12">
        <v>0</v>
      </c>
      <c r="AL1263" s="12">
        <v>1</v>
      </c>
      <c r="AM1263" s="12">
        <v>5811</v>
      </c>
      <c r="AN1263" s="12">
        <f t="shared" si="287"/>
        <v>5811</v>
      </c>
      <c r="AO1263" s="12">
        <v>3</v>
      </c>
      <c r="AP1263" s="12" t="s">
        <v>52</v>
      </c>
      <c r="AQ1263" s="12">
        <v>1</v>
      </c>
      <c r="AR1263" s="12">
        <v>16</v>
      </c>
      <c r="AS1263" s="12">
        <v>3</v>
      </c>
      <c r="AT1263" s="12">
        <v>3</v>
      </c>
      <c r="AU1263" s="12">
        <v>1</v>
      </c>
      <c r="AV1263" s="12">
        <v>15</v>
      </c>
      <c r="AW1263" s="12">
        <f t="shared" si="288"/>
        <v>15</v>
      </c>
      <c r="AX1263" s="12">
        <v>2</v>
      </c>
      <c r="AY1263" s="12">
        <v>3</v>
      </c>
      <c r="AZ1263" s="12">
        <v>1</v>
      </c>
      <c r="BA1263" s="12">
        <f t="shared" si="289"/>
        <v>1</v>
      </c>
      <c r="BB1263" s="12">
        <v>0</v>
      </c>
      <c r="BC1263" s="12">
        <v>1</v>
      </c>
      <c r="BD1263" s="12">
        <f t="shared" si="298"/>
        <v>1</v>
      </c>
      <c r="BE1263" s="12">
        <v>0</v>
      </c>
      <c r="BF1263" s="12">
        <f t="shared" si="290"/>
        <v>0</v>
      </c>
      <c r="BG1263" s="12">
        <f t="shared" si="299"/>
        <v>0</v>
      </c>
      <c r="BH1263" s="67">
        <v>0</v>
      </c>
      <c r="BI1263" s="67">
        <v>1</v>
      </c>
      <c r="BJ1263" s="67">
        <v>0</v>
      </c>
      <c r="BK1263" s="67">
        <v>0</v>
      </c>
      <c r="BL1263" s="67">
        <v>0</v>
      </c>
      <c r="BM1263" s="67">
        <v>0</v>
      </c>
      <c r="BN1263" s="67">
        <v>0</v>
      </c>
      <c r="BO1263" s="67">
        <v>1</v>
      </c>
      <c r="BP1263" s="67">
        <v>0</v>
      </c>
      <c r="BQ1263" s="67">
        <v>0</v>
      </c>
      <c r="BR1263" s="67">
        <v>0</v>
      </c>
      <c r="BS1263" s="67">
        <v>0</v>
      </c>
      <c r="BT1263" s="67">
        <v>15</v>
      </c>
      <c r="BU1263" s="70">
        <v>0</v>
      </c>
      <c r="BV1263" s="29">
        <f t="shared" si="291"/>
        <v>0.14697061260228753</v>
      </c>
      <c r="BW1263">
        <f t="shared" si="292"/>
        <v>1.1555414682655611</v>
      </c>
      <c r="BX1263">
        <f t="shared" si="293"/>
        <v>0.47815352215483642</v>
      </c>
      <c r="BY1263">
        <f t="shared" si="294"/>
        <v>0.9806804209314296</v>
      </c>
      <c r="BZ1263">
        <f t="shared" si="295"/>
        <v>1.0864228781782561</v>
      </c>
      <c r="CA1263">
        <f t="shared" si="296"/>
        <v>0.11780475942994788</v>
      </c>
      <c r="CB1263">
        <f t="shared" si="297"/>
        <v>0.36858985273641137</v>
      </c>
    </row>
    <row r="1264" spans="1:80" x14ac:dyDescent="0.45">
      <c r="A1264" s="11">
        <v>43</v>
      </c>
      <c r="B1264" s="12">
        <f t="shared" si="285"/>
        <v>43</v>
      </c>
      <c r="C1264" s="12" t="s">
        <v>52</v>
      </c>
      <c r="D1264" s="12">
        <v>1</v>
      </c>
      <c r="E1264" s="12" t="s">
        <v>60</v>
      </c>
      <c r="F1264" s="12">
        <v>1</v>
      </c>
      <c r="G1264" s="12">
        <v>0</v>
      </c>
      <c r="H1264" s="12" t="s">
        <v>61</v>
      </c>
      <c r="I1264" s="12">
        <v>1</v>
      </c>
      <c r="J1264" s="12">
        <v>0</v>
      </c>
      <c r="K1264" s="12">
        <v>17</v>
      </c>
      <c r="L1264" s="12">
        <f t="shared" si="286"/>
        <v>17</v>
      </c>
      <c r="M1264" s="12">
        <v>3</v>
      </c>
      <c r="N1264" s="12" t="s">
        <v>91</v>
      </c>
      <c r="O1264" s="12">
        <v>0</v>
      </c>
      <c r="P1264" s="12">
        <v>0</v>
      </c>
      <c r="Q1264" s="12">
        <v>0</v>
      </c>
      <c r="R1264" s="12">
        <v>0</v>
      </c>
      <c r="S1264" s="12">
        <v>1</v>
      </c>
      <c r="T1264" s="12">
        <v>3</v>
      </c>
      <c r="U1264" s="12" t="s">
        <v>62</v>
      </c>
      <c r="V1264" s="12">
        <v>0</v>
      </c>
      <c r="W1264" s="12">
        <v>38</v>
      </c>
      <c r="X1264" s="12">
        <v>2</v>
      </c>
      <c r="Y1264" s="12">
        <v>1</v>
      </c>
      <c r="Z1264" s="12" t="s">
        <v>63</v>
      </c>
      <c r="AA1264" s="12">
        <v>0</v>
      </c>
      <c r="AB1264" s="12">
        <v>0</v>
      </c>
      <c r="AC1264" s="12">
        <v>0</v>
      </c>
      <c r="AD1264" s="12">
        <v>0</v>
      </c>
      <c r="AE1264" s="12">
        <v>0</v>
      </c>
      <c r="AF1264" s="12">
        <v>0</v>
      </c>
      <c r="AG1264" s="12">
        <v>0</v>
      </c>
      <c r="AH1264" s="12">
        <v>1</v>
      </c>
      <c r="AI1264" s="12">
        <v>3</v>
      </c>
      <c r="AJ1264" s="12" t="s">
        <v>64</v>
      </c>
      <c r="AK1264" s="12">
        <v>0</v>
      </c>
      <c r="AL1264" s="12">
        <v>1</v>
      </c>
      <c r="AM1264" s="12">
        <v>2437</v>
      </c>
      <c r="AN1264" s="12">
        <f t="shared" si="287"/>
        <v>2437</v>
      </c>
      <c r="AO1264" s="12">
        <v>9</v>
      </c>
      <c r="AP1264" s="12" t="s">
        <v>52</v>
      </c>
      <c r="AQ1264" s="12">
        <v>1</v>
      </c>
      <c r="AR1264" s="12">
        <v>16</v>
      </c>
      <c r="AS1264" s="12">
        <v>3</v>
      </c>
      <c r="AT1264" s="12">
        <v>4</v>
      </c>
      <c r="AU1264" s="12">
        <v>1</v>
      </c>
      <c r="AV1264" s="12">
        <v>6</v>
      </c>
      <c r="AW1264" s="12">
        <f t="shared" si="288"/>
        <v>6</v>
      </c>
      <c r="AX1264" s="12">
        <v>4</v>
      </c>
      <c r="AY1264" s="12">
        <v>3</v>
      </c>
      <c r="AZ1264" s="12">
        <v>1</v>
      </c>
      <c r="BA1264" s="12">
        <f t="shared" si="289"/>
        <v>1</v>
      </c>
      <c r="BB1264" s="12">
        <v>0</v>
      </c>
      <c r="BC1264" s="12">
        <v>0</v>
      </c>
      <c r="BD1264" s="12">
        <f t="shared" si="298"/>
        <v>0</v>
      </c>
      <c r="BE1264" s="12">
        <v>0</v>
      </c>
      <c r="BF1264" s="12">
        <f t="shared" si="290"/>
        <v>0</v>
      </c>
      <c r="BG1264" s="12">
        <f t="shared" si="299"/>
        <v>0</v>
      </c>
      <c r="BH1264" s="67">
        <v>0</v>
      </c>
      <c r="BI1264" s="67">
        <v>0</v>
      </c>
      <c r="BJ1264" s="67">
        <v>0</v>
      </c>
      <c r="BK1264" s="67">
        <v>1</v>
      </c>
      <c r="BL1264" s="67">
        <v>0</v>
      </c>
      <c r="BM1264" s="67">
        <v>0</v>
      </c>
      <c r="BN1264" s="67">
        <v>0</v>
      </c>
      <c r="BO1264" s="67">
        <v>1</v>
      </c>
      <c r="BP1264" s="67">
        <v>0</v>
      </c>
      <c r="BQ1264" s="67">
        <v>0</v>
      </c>
      <c r="BR1264" s="67">
        <v>0</v>
      </c>
      <c r="BS1264" s="67">
        <v>0</v>
      </c>
      <c r="BT1264" s="67">
        <v>6</v>
      </c>
      <c r="BU1264" s="70">
        <v>0</v>
      </c>
      <c r="BV1264" s="29">
        <f t="shared" si="291"/>
        <v>0.86362969751848218</v>
      </c>
      <c r="BW1264">
        <f t="shared" si="292"/>
        <v>1.1555414682655611</v>
      </c>
      <c r="BX1264">
        <f t="shared" si="293"/>
        <v>0.67854260110508058</v>
      </c>
      <c r="BY1264">
        <f t="shared" si="294"/>
        <v>0.9806804209314296</v>
      </c>
      <c r="BZ1264">
        <f t="shared" si="295"/>
        <v>0.96307062430306978</v>
      </c>
      <c r="CA1264">
        <f t="shared" si="296"/>
        <v>0.66512775678147573</v>
      </c>
      <c r="CB1264">
        <f t="shared" si="297"/>
        <v>0.67891464284095016</v>
      </c>
    </row>
    <row r="1265" spans="1:80" x14ac:dyDescent="0.45">
      <c r="A1265" s="11">
        <v>42</v>
      </c>
      <c r="B1265" s="12">
        <f t="shared" si="285"/>
        <v>42</v>
      </c>
      <c r="C1265" s="12" t="s">
        <v>59</v>
      </c>
      <c r="D1265" s="12">
        <v>0</v>
      </c>
      <c r="E1265" s="12" t="s">
        <v>53</v>
      </c>
      <c r="F1265" s="12">
        <v>0</v>
      </c>
      <c r="G1265" s="12">
        <v>1</v>
      </c>
      <c r="H1265" s="12" t="s">
        <v>61</v>
      </c>
      <c r="I1265" s="12">
        <v>1</v>
      </c>
      <c r="J1265" s="12">
        <v>0</v>
      </c>
      <c r="K1265" s="12">
        <v>12</v>
      </c>
      <c r="L1265" s="12">
        <f t="shared" si="286"/>
        <v>12</v>
      </c>
      <c r="M1265" s="12">
        <v>3</v>
      </c>
      <c r="N1265" s="12" t="s">
        <v>70</v>
      </c>
      <c r="O1265" s="12">
        <v>0</v>
      </c>
      <c r="P1265" s="12">
        <v>0</v>
      </c>
      <c r="Q1265" s="12">
        <v>1</v>
      </c>
      <c r="R1265" s="12">
        <v>0</v>
      </c>
      <c r="S1265" s="12">
        <v>0</v>
      </c>
      <c r="T1265" s="12">
        <v>2</v>
      </c>
      <c r="U1265" s="12" t="s">
        <v>62</v>
      </c>
      <c r="V1265" s="12">
        <v>0</v>
      </c>
      <c r="W1265" s="12">
        <v>57</v>
      </c>
      <c r="X1265" s="12">
        <v>3</v>
      </c>
      <c r="Y1265" s="12">
        <v>1</v>
      </c>
      <c r="Z1265" s="12" t="s">
        <v>67</v>
      </c>
      <c r="AA1265" s="12">
        <v>0</v>
      </c>
      <c r="AB1265" s="12">
        <v>0</v>
      </c>
      <c r="AC1265" s="12">
        <v>1</v>
      </c>
      <c r="AD1265" s="12">
        <v>0</v>
      </c>
      <c r="AE1265" s="12">
        <v>0</v>
      </c>
      <c r="AF1265" s="12">
        <v>0</v>
      </c>
      <c r="AG1265" s="12">
        <v>0</v>
      </c>
      <c r="AH1265" s="12">
        <v>0</v>
      </c>
      <c r="AI1265" s="12">
        <v>2</v>
      </c>
      <c r="AJ1265" s="12" t="s">
        <v>78</v>
      </c>
      <c r="AK1265" s="12">
        <v>0</v>
      </c>
      <c r="AL1265" s="12">
        <v>0</v>
      </c>
      <c r="AM1265" s="12">
        <v>2766</v>
      </c>
      <c r="AN1265" s="12">
        <f t="shared" si="287"/>
        <v>2766</v>
      </c>
      <c r="AO1265" s="12">
        <v>8</v>
      </c>
      <c r="AP1265" s="12" t="s">
        <v>59</v>
      </c>
      <c r="AQ1265" s="12">
        <v>0</v>
      </c>
      <c r="AR1265" s="12">
        <v>22</v>
      </c>
      <c r="AS1265" s="12">
        <v>4</v>
      </c>
      <c r="AT1265" s="12">
        <v>2</v>
      </c>
      <c r="AU1265" s="12">
        <v>3</v>
      </c>
      <c r="AV1265" s="12">
        <v>7</v>
      </c>
      <c r="AW1265" s="12">
        <f t="shared" si="288"/>
        <v>7</v>
      </c>
      <c r="AX1265" s="12">
        <v>6</v>
      </c>
      <c r="AY1265" s="12">
        <v>2</v>
      </c>
      <c r="AZ1265" s="12">
        <v>5</v>
      </c>
      <c r="BA1265" s="12">
        <f t="shared" si="289"/>
        <v>5</v>
      </c>
      <c r="BB1265" s="12">
        <v>3</v>
      </c>
      <c r="BC1265" s="12">
        <v>0</v>
      </c>
      <c r="BD1265" s="12">
        <f t="shared" si="298"/>
        <v>0</v>
      </c>
      <c r="BE1265" s="12">
        <v>4</v>
      </c>
      <c r="BF1265" s="12">
        <f t="shared" si="290"/>
        <v>4</v>
      </c>
      <c r="BG1265" s="12">
        <f t="shared" si="299"/>
        <v>4</v>
      </c>
      <c r="BH1265" s="67">
        <v>1</v>
      </c>
      <c r="BI1265" s="67">
        <v>0</v>
      </c>
      <c r="BJ1265" s="67">
        <v>0</v>
      </c>
      <c r="BK1265" s="67">
        <v>0</v>
      </c>
      <c r="BL1265" s="67">
        <v>1</v>
      </c>
      <c r="BM1265" s="67">
        <v>0</v>
      </c>
      <c r="BN1265" s="67">
        <v>0</v>
      </c>
      <c r="BO1265" s="67">
        <v>0</v>
      </c>
      <c r="BP1265" s="67">
        <v>0</v>
      </c>
      <c r="BQ1265" s="67">
        <v>4</v>
      </c>
      <c r="BR1265" s="67">
        <v>0</v>
      </c>
      <c r="BS1265" s="67">
        <v>0</v>
      </c>
      <c r="BT1265" s="67">
        <v>7</v>
      </c>
      <c r="BU1265" s="70">
        <v>0</v>
      </c>
      <c r="BV1265" s="29">
        <f t="shared" si="291"/>
        <v>0.79374800251628064</v>
      </c>
      <c r="BW1265">
        <f t="shared" si="292"/>
        <v>3.4508002929560584E-2</v>
      </c>
      <c r="BX1265">
        <f t="shared" si="293"/>
        <v>0.55002080963175637</v>
      </c>
      <c r="BY1265">
        <f t="shared" si="294"/>
        <v>0.32778177112653761</v>
      </c>
      <c r="BZ1265">
        <f t="shared" si="295"/>
        <v>0.3463093549271386</v>
      </c>
      <c r="CA1265">
        <f t="shared" si="296"/>
        <v>0.55566315731117022</v>
      </c>
      <c r="CB1265">
        <f t="shared" si="297"/>
        <v>0.67891464284095016</v>
      </c>
    </row>
    <row r="1266" spans="1:80" x14ac:dyDescent="0.45">
      <c r="A1266" s="11">
        <v>55</v>
      </c>
      <c r="B1266" s="12">
        <f t="shared" si="285"/>
        <v>55</v>
      </c>
      <c r="C1266" s="12" t="s">
        <v>59</v>
      </c>
      <c r="D1266" s="12">
        <v>0</v>
      </c>
      <c r="E1266" s="12" t="s">
        <v>53</v>
      </c>
      <c r="F1266" s="12">
        <v>0</v>
      </c>
      <c r="G1266" s="12">
        <v>1</v>
      </c>
      <c r="H1266" s="12" t="s">
        <v>61</v>
      </c>
      <c r="I1266" s="12">
        <v>1</v>
      </c>
      <c r="J1266" s="12">
        <v>0</v>
      </c>
      <c r="K1266" s="12">
        <v>2</v>
      </c>
      <c r="L1266" s="12">
        <f t="shared" si="286"/>
        <v>2</v>
      </c>
      <c r="M1266" s="12">
        <v>3</v>
      </c>
      <c r="N1266" s="12" t="s">
        <v>70</v>
      </c>
      <c r="O1266" s="12">
        <v>0</v>
      </c>
      <c r="P1266" s="12">
        <v>0</v>
      </c>
      <c r="Q1266" s="12">
        <v>1</v>
      </c>
      <c r="R1266" s="12">
        <v>0</v>
      </c>
      <c r="S1266" s="12">
        <v>0</v>
      </c>
      <c r="T1266" s="12">
        <v>3</v>
      </c>
      <c r="U1266" s="12" t="s">
        <v>62</v>
      </c>
      <c r="V1266" s="12">
        <v>0</v>
      </c>
      <c r="W1266" s="12">
        <v>60</v>
      </c>
      <c r="X1266" s="12">
        <v>2</v>
      </c>
      <c r="Y1266" s="12">
        <v>5</v>
      </c>
      <c r="Z1266" s="12" t="s">
        <v>89</v>
      </c>
      <c r="AA1266" s="12">
        <v>0</v>
      </c>
      <c r="AB1266" s="12">
        <v>0</v>
      </c>
      <c r="AC1266" s="12">
        <v>0</v>
      </c>
      <c r="AD1266" s="12">
        <v>0</v>
      </c>
      <c r="AE1266" s="12">
        <v>0</v>
      </c>
      <c r="AF1266" s="12">
        <v>0</v>
      </c>
      <c r="AG1266" s="12">
        <v>0</v>
      </c>
      <c r="AH1266" s="12">
        <v>0</v>
      </c>
      <c r="AI1266" s="12">
        <v>1</v>
      </c>
      <c r="AJ1266" s="12" t="s">
        <v>64</v>
      </c>
      <c r="AK1266" s="12">
        <v>0</v>
      </c>
      <c r="AL1266" s="12">
        <v>1</v>
      </c>
      <c r="AM1266" s="12">
        <v>19038</v>
      </c>
      <c r="AN1266" s="12">
        <f t="shared" si="287"/>
        <v>19038</v>
      </c>
      <c r="AO1266" s="12">
        <v>8</v>
      </c>
      <c r="AP1266" s="12" t="s">
        <v>59</v>
      </c>
      <c r="AQ1266" s="12">
        <v>0</v>
      </c>
      <c r="AR1266" s="12">
        <v>12</v>
      </c>
      <c r="AS1266" s="12">
        <v>3</v>
      </c>
      <c r="AT1266" s="12">
        <v>2</v>
      </c>
      <c r="AU1266" s="12">
        <v>3</v>
      </c>
      <c r="AV1266" s="12">
        <v>34</v>
      </c>
      <c r="AW1266" s="12">
        <f t="shared" si="288"/>
        <v>34</v>
      </c>
      <c r="AX1266" s="12">
        <v>2</v>
      </c>
      <c r="AY1266" s="12">
        <v>3</v>
      </c>
      <c r="AZ1266" s="12">
        <v>1</v>
      </c>
      <c r="BA1266" s="12">
        <f t="shared" si="289"/>
        <v>1</v>
      </c>
      <c r="BB1266" s="12">
        <v>0</v>
      </c>
      <c r="BC1266" s="12">
        <v>0</v>
      </c>
      <c r="BD1266" s="12">
        <f t="shared" si="298"/>
        <v>0</v>
      </c>
      <c r="BE1266" s="12">
        <v>0</v>
      </c>
      <c r="BF1266" s="12">
        <f t="shared" si="290"/>
        <v>0</v>
      </c>
      <c r="BG1266" s="12">
        <f t="shared" si="299"/>
        <v>0</v>
      </c>
      <c r="BH1266" s="67">
        <v>0</v>
      </c>
      <c r="BI1266" s="67">
        <v>1</v>
      </c>
      <c r="BJ1266" s="67">
        <v>0</v>
      </c>
      <c r="BK1266" s="67">
        <v>0</v>
      </c>
      <c r="BL1266" s="67">
        <v>0</v>
      </c>
      <c r="BM1266" s="67">
        <v>0</v>
      </c>
      <c r="BN1266" s="67">
        <v>1</v>
      </c>
      <c r="BO1266" s="67">
        <v>0</v>
      </c>
      <c r="BP1266" s="67">
        <v>0</v>
      </c>
      <c r="BQ1266" s="67">
        <v>0</v>
      </c>
      <c r="BR1266" s="67">
        <v>0</v>
      </c>
      <c r="BS1266" s="67">
        <v>0</v>
      </c>
      <c r="BT1266" s="67">
        <v>34</v>
      </c>
      <c r="BU1266" s="70">
        <v>0</v>
      </c>
      <c r="BV1266" s="29">
        <f t="shared" si="291"/>
        <v>2.6625284141275603</v>
      </c>
      <c r="BW1266">
        <f t="shared" si="292"/>
        <v>1.1555414682655611</v>
      </c>
      <c r="BX1266">
        <f t="shared" si="293"/>
        <v>2.9200675601479942</v>
      </c>
      <c r="BY1266">
        <f t="shared" si="294"/>
        <v>0.9806804209314296</v>
      </c>
      <c r="BZ1266">
        <f t="shared" si="295"/>
        <v>0.88721318382472392</v>
      </c>
      <c r="CA1266">
        <f t="shared" si="296"/>
        <v>1.9787029504251428</v>
      </c>
      <c r="CB1266">
        <f t="shared" si="297"/>
        <v>0.67891464284095016</v>
      </c>
    </row>
    <row r="1267" spans="1:80" x14ac:dyDescent="0.45">
      <c r="A1267" s="11">
        <v>33</v>
      </c>
      <c r="B1267" s="12">
        <f t="shared" si="285"/>
        <v>33</v>
      </c>
      <c r="C1267" s="12" t="s">
        <v>59</v>
      </c>
      <c r="D1267" s="12">
        <v>0</v>
      </c>
      <c r="E1267" s="12" t="s">
        <v>86</v>
      </c>
      <c r="F1267" s="12">
        <v>0</v>
      </c>
      <c r="G1267" s="12">
        <v>0</v>
      </c>
      <c r="H1267" s="12" t="s">
        <v>61</v>
      </c>
      <c r="I1267" s="12">
        <v>1</v>
      </c>
      <c r="J1267" s="12">
        <v>0</v>
      </c>
      <c r="K1267" s="12">
        <v>4</v>
      </c>
      <c r="L1267" s="12">
        <f t="shared" si="286"/>
        <v>4</v>
      </c>
      <c r="M1267" s="12">
        <v>3</v>
      </c>
      <c r="N1267" s="12" t="s">
        <v>91</v>
      </c>
      <c r="O1267" s="12">
        <v>0</v>
      </c>
      <c r="P1267" s="12">
        <v>0</v>
      </c>
      <c r="Q1267" s="12">
        <v>0</v>
      </c>
      <c r="R1267" s="12">
        <v>0</v>
      </c>
      <c r="S1267" s="12">
        <v>1</v>
      </c>
      <c r="T1267" s="12">
        <v>4</v>
      </c>
      <c r="U1267" s="12" t="s">
        <v>62</v>
      </c>
      <c r="V1267" s="12">
        <v>0</v>
      </c>
      <c r="W1267" s="12">
        <v>90</v>
      </c>
      <c r="X1267" s="12">
        <v>3</v>
      </c>
      <c r="Y1267" s="12">
        <v>2</v>
      </c>
      <c r="Z1267" s="12" t="s">
        <v>63</v>
      </c>
      <c r="AA1267" s="12">
        <v>0</v>
      </c>
      <c r="AB1267" s="12">
        <v>0</v>
      </c>
      <c r="AC1267" s="12">
        <v>0</v>
      </c>
      <c r="AD1267" s="12">
        <v>0</v>
      </c>
      <c r="AE1267" s="12">
        <v>0</v>
      </c>
      <c r="AF1267" s="12">
        <v>0</v>
      </c>
      <c r="AG1267" s="12">
        <v>0</v>
      </c>
      <c r="AH1267" s="12">
        <v>1</v>
      </c>
      <c r="AI1267" s="12">
        <v>2</v>
      </c>
      <c r="AJ1267" s="12" t="s">
        <v>78</v>
      </c>
      <c r="AK1267" s="12">
        <v>0</v>
      </c>
      <c r="AL1267" s="12">
        <v>0</v>
      </c>
      <c r="AM1267" s="12">
        <v>3055</v>
      </c>
      <c r="AN1267" s="12">
        <f t="shared" si="287"/>
        <v>3055</v>
      </c>
      <c r="AO1267" s="12">
        <v>5</v>
      </c>
      <c r="AP1267" s="12" t="s">
        <v>59</v>
      </c>
      <c r="AQ1267" s="12">
        <v>0</v>
      </c>
      <c r="AR1267" s="12">
        <v>15</v>
      </c>
      <c r="AS1267" s="12">
        <v>3</v>
      </c>
      <c r="AT1267" s="12">
        <v>4</v>
      </c>
      <c r="AU1267" s="12">
        <v>2</v>
      </c>
      <c r="AV1267" s="12">
        <v>11</v>
      </c>
      <c r="AW1267" s="12">
        <f t="shared" si="288"/>
        <v>11</v>
      </c>
      <c r="AX1267" s="12">
        <v>2</v>
      </c>
      <c r="AY1267" s="12">
        <v>2</v>
      </c>
      <c r="AZ1267" s="12">
        <v>9</v>
      </c>
      <c r="BA1267" s="12">
        <f t="shared" si="289"/>
        <v>9</v>
      </c>
      <c r="BB1267" s="12">
        <v>8</v>
      </c>
      <c r="BC1267" s="12">
        <v>1</v>
      </c>
      <c r="BD1267" s="12">
        <f t="shared" si="298"/>
        <v>1</v>
      </c>
      <c r="BE1267" s="12">
        <v>7</v>
      </c>
      <c r="BF1267" s="12">
        <f t="shared" si="290"/>
        <v>7</v>
      </c>
      <c r="BG1267" s="12">
        <f t="shared" si="299"/>
        <v>14</v>
      </c>
      <c r="BH1267" s="67">
        <v>1</v>
      </c>
      <c r="BI1267" s="67">
        <v>0</v>
      </c>
      <c r="BJ1267" s="67">
        <v>0</v>
      </c>
      <c r="BK1267" s="67">
        <v>0</v>
      </c>
      <c r="BL1267" s="67">
        <v>1</v>
      </c>
      <c r="BM1267" s="67">
        <v>0</v>
      </c>
      <c r="BN1267" s="67">
        <v>0</v>
      </c>
      <c r="BO1267" s="67">
        <v>0</v>
      </c>
      <c r="BP1267" s="67">
        <v>0</v>
      </c>
      <c r="BQ1267" s="67">
        <v>7</v>
      </c>
      <c r="BR1267" s="67">
        <v>0</v>
      </c>
      <c r="BS1267" s="67">
        <v>0</v>
      </c>
      <c r="BT1267" s="67">
        <v>11</v>
      </c>
      <c r="BU1267" s="70">
        <v>0</v>
      </c>
      <c r="BV1267" s="29">
        <f t="shared" si="291"/>
        <v>0.73236256222559293</v>
      </c>
      <c r="BW1267">
        <f t="shared" si="292"/>
        <v>0.80626709607243985</v>
      </c>
      <c r="BX1267">
        <f t="shared" si="293"/>
        <v>3.593364373846001E-2</v>
      </c>
      <c r="BY1267">
        <f t="shared" si="294"/>
        <v>0.32511687867835437</v>
      </c>
      <c r="BZ1267">
        <f t="shared" si="295"/>
        <v>0.64050867607435136</v>
      </c>
      <c r="CA1267">
        <f t="shared" si="296"/>
        <v>0.42951823792158</v>
      </c>
      <c r="CB1267">
        <f t="shared" si="297"/>
        <v>0.36858985273641137</v>
      </c>
    </row>
    <row r="1268" spans="1:80" x14ac:dyDescent="0.45">
      <c r="A1268" s="11">
        <v>41</v>
      </c>
      <c r="B1268" s="12">
        <f t="shared" si="285"/>
        <v>41</v>
      </c>
      <c r="C1268" s="12" t="s">
        <v>59</v>
      </c>
      <c r="D1268" s="12">
        <v>0</v>
      </c>
      <c r="E1268" s="12" t="s">
        <v>53</v>
      </c>
      <c r="F1268" s="12">
        <v>0</v>
      </c>
      <c r="G1268" s="12">
        <v>1</v>
      </c>
      <c r="H1268" s="12" t="s">
        <v>61</v>
      </c>
      <c r="I1268" s="12">
        <v>1</v>
      </c>
      <c r="J1268" s="12">
        <v>0</v>
      </c>
      <c r="K1268" s="12">
        <v>9</v>
      </c>
      <c r="L1268" s="12">
        <f t="shared" si="286"/>
        <v>9</v>
      </c>
      <c r="M1268" s="12">
        <v>4</v>
      </c>
      <c r="N1268" s="12" t="s">
        <v>55</v>
      </c>
      <c r="O1268" s="12">
        <v>1</v>
      </c>
      <c r="P1268" s="12">
        <v>0</v>
      </c>
      <c r="Q1268" s="12">
        <v>0</v>
      </c>
      <c r="R1268" s="12">
        <v>0</v>
      </c>
      <c r="S1268" s="12">
        <v>0</v>
      </c>
      <c r="T1268" s="12">
        <v>3</v>
      </c>
      <c r="U1268" s="12" t="s">
        <v>62</v>
      </c>
      <c r="V1268" s="12">
        <v>0</v>
      </c>
      <c r="W1268" s="12">
        <v>94</v>
      </c>
      <c r="X1268" s="12">
        <v>3</v>
      </c>
      <c r="Y1268" s="12">
        <v>1</v>
      </c>
      <c r="Z1268" s="12" t="s">
        <v>67</v>
      </c>
      <c r="AA1268" s="12">
        <v>0</v>
      </c>
      <c r="AB1268" s="12">
        <v>0</v>
      </c>
      <c r="AC1268" s="12">
        <v>1</v>
      </c>
      <c r="AD1268" s="12">
        <v>0</v>
      </c>
      <c r="AE1268" s="12">
        <v>0</v>
      </c>
      <c r="AF1268" s="12">
        <v>0</v>
      </c>
      <c r="AG1268" s="12">
        <v>0</v>
      </c>
      <c r="AH1268" s="12">
        <v>0</v>
      </c>
      <c r="AI1268" s="12">
        <v>1</v>
      </c>
      <c r="AJ1268" s="12" t="s">
        <v>78</v>
      </c>
      <c r="AK1268" s="12">
        <v>0</v>
      </c>
      <c r="AL1268" s="12">
        <v>0</v>
      </c>
      <c r="AM1268" s="12">
        <v>2289</v>
      </c>
      <c r="AN1268" s="12">
        <f t="shared" si="287"/>
        <v>2289</v>
      </c>
      <c r="AO1268" s="12">
        <v>1</v>
      </c>
      <c r="AP1268" s="12" t="s">
        <v>59</v>
      </c>
      <c r="AQ1268" s="12">
        <v>0</v>
      </c>
      <c r="AR1268" s="12">
        <v>20</v>
      </c>
      <c r="AS1268" s="12">
        <v>4</v>
      </c>
      <c r="AT1268" s="12">
        <v>2</v>
      </c>
      <c r="AU1268" s="12">
        <v>2</v>
      </c>
      <c r="AV1268" s="12">
        <v>5</v>
      </c>
      <c r="AW1268" s="12">
        <f t="shared" si="288"/>
        <v>5</v>
      </c>
      <c r="AX1268" s="12">
        <v>2</v>
      </c>
      <c r="AY1268" s="12">
        <v>3</v>
      </c>
      <c r="AZ1268" s="12">
        <v>5</v>
      </c>
      <c r="BA1268" s="12">
        <f t="shared" si="289"/>
        <v>5</v>
      </c>
      <c r="BB1268" s="12">
        <v>3</v>
      </c>
      <c r="BC1268" s="12">
        <v>0</v>
      </c>
      <c r="BD1268" s="12">
        <f t="shared" si="298"/>
        <v>0</v>
      </c>
      <c r="BE1268" s="12">
        <v>4</v>
      </c>
      <c r="BF1268" s="12">
        <f t="shared" si="290"/>
        <v>4</v>
      </c>
      <c r="BG1268" s="12">
        <f t="shared" si="299"/>
        <v>4</v>
      </c>
      <c r="BH1268" s="67">
        <v>1</v>
      </c>
      <c r="BI1268" s="67">
        <v>0</v>
      </c>
      <c r="BJ1268" s="67">
        <v>0</v>
      </c>
      <c r="BK1268" s="67">
        <v>0</v>
      </c>
      <c r="BL1268" s="67">
        <v>1</v>
      </c>
      <c r="BM1268" s="67">
        <v>0</v>
      </c>
      <c r="BN1268" s="67">
        <v>0</v>
      </c>
      <c r="BO1268" s="67">
        <v>0</v>
      </c>
      <c r="BP1268" s="67">
        <v>0</v>
      </c>
      <c r="BQ1268" s="67">
        <v>4</v>
      </c>
      <c r="BR1268" s="67">
        <v>0</v>
      </c>
      <c r="BS1268" s="67">
        <v>0</v>
      </c>
      <c r="BT1268" s="67">
        <v>5</v>
      </c>
      <c r="BU1268" s="70">
        <v>0</v>
      </c>
      <c r="BV1268" s="29">
        <f t="shared" si="291"/>
        <v>0.89506583995108346</v>
      </c>
      <c r="BW1268">
        <f t="shared" si="292"/>
        <v>3.4508002929560584E-2</v>
      </c>
      <c r="BX1268">
        <f t="shared" si="293"/>
        <v>0.80706439257840468</v>
      </c>
      <c r="BY1268">
        <f t="shared" si="294"/>
        <v>0.32778177112653761</v>
      </c>
      <c r="BZ1268">
        <f t="shared" si="295"/>
        <v>2.3747406698420157E-2</v>
      </c>
      <c r="CA1268">
        <f t="shared" si="296"/>
        <v>0.4461985578408646</v>
      </c>
      <c r="CB1268">
        <f t="shared" si="297"/>
        <v>0.67891464284095016</v>
      </c>
    </row>
    <row r="1269" spans="1:80" x14ac:dyDescent="0.45">
      <c r="A1269" s="11">
        <v>34</v>
      </c>
      <c r="B1269" s="12">
        <f t="shared" si="285"/>
        <v>34</v>
      </c>
      <c r="C1269" s="12" t="s">
        <v>59</v>
      </c>
      <c r="D1269" s="12">
        <v>0</v>
      </c>
      <c r="E1269" s="12" t="s">
        <v>86</v>
      </c>
      <c r="F1269" s="12">
        <v>0</v>
      </c>
      <c r="G1269" s="12">
        <v>0</v>
      </c>
      <c r="H1269" s="12" t="s">
        <v>54</v>
      </c>
      <c r="I1269" s="12">
        <v>0</v>
      </c>
      <c r="J1269" s="12">
        <v>1</v>
      </c>
      <c r="K1269" s="12">
        <v>10</v>
      </c>
      <c r="L1269" s="12">
        <f t="shared" si="286"/>
        <v>10</v>
      </c>
      <c r="M1269" s="12">
        <v>3</v>
      </c>
      <c r="N1269" s="12" t="s">
        <v>55</v>
      </c>
      <c r="O1269" s="12">
        <v>1</v>
      </c>
      <c r="P1269" s="12">
        <v>0</v>
      </c>
      <c r="Q1269" s="12">
        <v>0</v>
      </c>
      <c r="R1269" s="12">
        <v>0</v>
      </c>
      <c r="S1269" s="12">
        <v>0</v>
      </c>
      <c r="T1269" s="12">
        <v>4</v>
      </c>
      <c r="U1269" s="12" t="s">
        <v>62</v>
      </c>
      <c r="V1269" s="12">
        <v>0</v>
      </c>
      <c r="W1269" s="12">
        <v>87</v>
      </c>
      <c r="X1269" s="12">
        <v>3</v>
      </c>
      <c r="Y1269" s="12">
        <v>2</v>
      </c>
      <c r="Z1269" s="12" t="s">
        <v>56</v>
      </c>
      <c r="AA1269" s="12">
        <v>0</v>
      </c>
      <c r="AB1269" s="12">
        <v>1</v>
      </c>
      <c r="AC1269" s="12">
        <v>0</v>
      </c>
      <c r="AD1269" s="12">
        <v>0</v>
      </c>
      <c r="AE1269" s="12">
        <v>0</v>
      </c>
      <c r="AF1269" s="12">
        <v>0</v>
      </c>
      <c r="AG1269" s="12">
        <v>0</v>
      </c>
      <c r="AH1269" s="12">
        <v>0</v>
      </c>
      <c r="AI1269" s="12">
        <v>3</v>
      </c>
      <c r="AJ1269" s="12" t="s">
        <v>78</v>
      </c>
      <c r="AK1269" s="12">
        <v>0</v>
      </c>
      <c r="AL1269" s="12">
        <v>0</v>
      </c>
      <c r="AM1269" s="12">
        <v>4001</v>
      </c>
      <c r="AN1269" s="12">
        <f t="shared" si="287"/>
        <v>4001</v>
      </c>
      <c r="AO1269" s="12">
        <v>1</v>
      </c>
      <c r="AP1269" s="12" t="s">
        <v>52</v>
      </c>
      <c r="AQ1269" s="12">
        <v>1</v>
      </c>
      <c r="AR1269" s="12">
        <v>14</v>
      </c>
      <c r="AS1269" s="12">
        <v>3</v>
      </c>
      <c r="AT1269" s="12">
        <v>3</v>
      </c>
      <c r="AU1269" s="12">
        <v>1</v>
      </c>
      <c r="AV1269" s="12">
        <v>15</v>
      </c>
      <c r="AW1269" s="12">
        <f t="shared" si="288"/>
        <v>15</v>
      </c>
      <c r="AX1269" s="12">
        <v>3</v>
      </c>
      <c r="AY1269" s="12">
        <v>3</v>
      </c>
      <c r="AZ1269" s="12">
        <v>15</v>
      </c>
      <c r="BA1269" s="12">
        <f t="shared" si="289"/>
        <v>15</v>
      </c>
      <c r="BB1269" s="12">
        <v>14</v>
      </c>
      <c r="BC1269" s="12">
        <v>0</v>
      </c>
      <c r="BD1269" s="12">
        <f t="shared" si="298"/>
        <v>0</v>
      </c>
      <c r="BE1269" s="12">
        <v>7</v>
      </c>
      <c r="BF1269" s="12">
        <f t="shared" si="290"/>
        <v>7</v>
      </c>
      <c r="BG1269" s="12">
        <f t="shared" si="299"/>
        <v>14</v>
      </c>
      <c r="BH1269" s="67">
        <v>1</v>
      </c>
      <c r="BI1269" s="67">
        <v>0</v>
      </c>
      <c r="BJ1269" s="67">
        <v>0</v>
      </c>
      <c r="BK1269" s="67">
        <v>0</v>
      </c>
      <c r="BL1269" s="67">
        <v>0</v>
      </c>
      <c r="BM1269" s="67">
        <v>1</v>
      </c>
      <c r="BN1269" s="67">
        <v>0</v>
      </c>
      <c r="BO1269" s="67">
        <v>0</v>
      </c>
      <c r="BP1269" s="67">
        <v>0</v>
      </c>
      <c r="BQ1269" s="67">
        <v>0</v>
      </c>
      <c r="BR1269" s="67">
        <v>7</v>
      </c>
      <c r="BS1269" s="67">
        <v>0</v>
      </c>
      <c r="BT1269" s="67">
        <v>0</v>
      </c>
      <c r="BU1269" s="70">
        <v>15</v>
      </c>
      <c r="BV1269" s="29">
        <f t="shared" si="291"/>
        <v>0.53142613829829</v>
      </c>
      <c r="BW1269">
        <f t="shared" si="292"/>
        <v>0.80626709607243985</v>
      </c>
      <c r="BX1269">
        <f t="shared" si="293"/>
        <v>0.47815352215483642</v>
      </c>
      <c r="BY1269">
        <f t="shared" si="294"/>
        <v>1.3044648533856922</v>
      </c>
      <c r="BZ1269">
        <f t="shared" si="295"/>
        <v>9.9604847176766084E-2</v>
      </c>
      <c r="CA1269">
        <f t="shared" si="296"/>
        <v>0.32005363845127444</v>
      </c>
      <c r="CB1269">
        <f t="shared" si="297"/>
        <v>0.67891464284095016</v>
      </c>
    </row>
    <row r="1270" spans="1:80" x14ac:dyDescent="0.45">
      <c r="A1270" s="11">
        <v>53</v>
      </c>
      <c r="B1270" s="12">
        <f t="shared" si="285"/>
        <v>53</v>
      </c>
      <c r="C1270" s="12" t="s">
        <v>59</v>
      </c>
      <c r="D1270" s="12">
        <v>0</v>
      </c>
      <c r="E1270" s="12" t="s">
        <v>86</v>
      </c>
      <c r="F1270" s="12">
        <v>0</v>
      </c>
      <c r="G1270" s="12">
        <v>0</v>
      </c>
      <c r="H1270" s="12" t="s">
        <v>61</v>
      </c>
      <c r="I1270" s="12">
        <v>1</v>
      </c>
      <c r="J1270" s="12">
        <v>0</v>
      </c>
      <c r="K1270" s="12">
        <v>1</v>
      </c>
      <c r="L1270" s="12">
        <f t="shared" si="286"/>
        <v>1</v>
      </c>
      <c r="M1270" s="12">
        <v>4</v>
      </c>
      <c r="N1270" s="12" t="s">
        <v>70</v>
      </c>
      <c r="O1270" s="12">
        <v>0</v>
      </c>
      <c r="P1270" s="12">
        <v>0</v>
      </c>
      <c r="Q1270" s="12">
        <v>1</v>
      </c>
      <c r="R1270" s="12">
        <v>0</v>
      </c>
      <c r="S1270" s="12">
        <v>0</v>
      </c>
      <c r="T1270" s="12">
        <v>1</v>
      </c>
      <c r="U1270" s="12" t="s">
        <v>19</v>
      </c>
      <c r="V1270" s="12">
        <v>1</v>
      </c>
      <c r="W1270" s="12">
        <v>60</v>
      </c>
      <c r="X1270" s="12">
        <v>2</v>
      </c>
      <c r="Y1270" s="12">
        <v>4</v>
      </c>
      <c r="Z1270" s="12" t="s">
        <v>83</v>
      </c>
      <c r="AA1270" s="12">
        <v>0</v>
      </c>
      <c r="AB1270" s="12">
        <v>0</v>
      </c>
      <c r="AC1270" s="12">
        <v>0</v>
      </c>
      <c r="AD1270" s="12">
        <v>0</v>
      </c>
      <c r="AE1270" s="12">
        <v>1</v>
      </c>
      <c r="AF1270" s="12">
        <v>1</v>
      </c>
      <c r="AG1270" s="12">
        <v>0</v>
      </c>
      <c r="AH1270" s="12">
        <v>0</v>
      </c>
      <c r="AI1270" s="12">
        <v>3</v>
      </c>
      <c r="AJ1270" s="12" t="s">
        <v>64</v>
      </c>
      <c r="AK1270" s="12">
        <v>0</v>
      </c>
      <c r="AL1270" s="12">
        <v>1</v>
      </c>
      <c r="AM1270" s="12">
        <v>12965</v>
      </c>
      <c r="AN1270" s="12">
        <f t="shared" si="287"/>
        <v>12965</v>
      </c>
      <c r="AO1270" s="12">
        <v>4</v>
      </c>
      <c r="AP1270" s="12" t="s">
        <v>52</v>
      </c>
      <c r="AQ1270" s="12">
        <v>1</v>
      </c>
      <c r="AR1270" s="12">
        <v>20</v>
      </c>
      <c r="AS1270" s="12">
        <v>4</v>
      </c>
      <c r="AT1270" s="12">
        <v>4</v>
      </c>
      <c r="AU1270" s="12">
        <v>3</v>
      </c>
      <c r="AV1270" s="12">
        <v>27</v>
      </c>
      <c r="AW1270" s="12">
        <f t="shared" si="288"/>
        <v>27</v>
      </c>
      <c r="AX1270" s="12">
        <v>2</v>
      </c>
      <c r="AY1270" s="12">
        <v>2</v>
      </c>
      <c r="AZ1270" s="12">
        <v>3</v>
      </c>
      <c r="BA1270" s="12">
        <f t="shared" si="289"/>
        <v>3</v>
      </c>
      <c r="BB1270" s="12">
        <v>2</v>
      </c>
      <c r="BC1270" s="12">
        <v>0</v>
      </c>
      <c r="BD1270" s="12">
        <f t="shared" si="298"/>
        <v>0</v>
      </c>
      <c r="BE1270" s="12">
        <v>2</v>
      </c>
      <c r="BF1270" s="12">
        <f t="shared" si="290"/>
        <v>2</v>
      </c>
      <c r="BG1270" s="12">
        <f t="shared" si="299"/>
        <v>8</v>
      </c>
      <c r="BH1270" s="67">
        <v>0</v>
      </c>
      <c r="BI1270" s="67">
        <v>1</v>
      </c>
      <c r="BJ1270" s="67">
        <v>0</v>
      </c>
      <c r="BK1270" s="67">
        <v>0</v>
      </c>
      <c r="BL1270" s="67">
        <v>0</v>
      </c>
      <c r="BM1270" s="67">
        <v>0</v>
      </c>
      <c r="BN1270" s="67">
        <v>0</v>
      </c>
      <c r="BO1270" s="67">
        <v>1</v>
      </c>
      <c r="BP1270" s="67">
        <v>0</v>
      </c>
      <c r="BQ1270" s="67">
        <v>2</v>
      </c>
      <c r="BR1270" s="67">
        <v>0</v>
      </c>
      <c r="BS1270" s="67">
        <v>0</v>
      </c>
      <c r="BT1270" s="67">
        <v>27</v>
      </c>
      <c r="BU1270" s="70">
        <v>0</v>
      </c>
      <c r="BV1270" s="29">
        <f t="shared" si="291"/>
        <v>1.3725845425519676</v>
      </c>
      <c r="BW1270">
        <f t="shared" si="292"/>
        <v>0.59502473559756086</v>
      </c>
      <c r="BX1270">
        <f t="shared" si="293"/>
        <v>2.0204150198347257</v>
      </c>
      <c r="BY1270">
        <f t="shared" si="294"/>
        <v>0.65423109602898355</v>
      </c>
      <c r="BZ1270">
        <f t="shared" si="295"/>
        <v>1.01056543769991</v>
      </c>
      <c r="CA1270">
        <f t="shared" si="296"/>
        <v>1.7597737514845315</v>
      </c>
      <c r="CB1270">
        <f t="shared" si="297"/>
        <v>0.67891464284095016</v>
      </c>
    </row>
    <row r="1271" spans="1:80" x14ac:dyDescent="0.45">
      <c r="A1271" s="11">
        <v>43</v>
      </c>
      <c r="B1271" s="12">
        <f t="shared" si="285"/>
        <v>43</v>
      </c>
      <c r="C1271" s="12" t="s">
        <v>59</v>
      </c>
      <c r="D1271" s="12">
        <v>0</v>
      </c>
      <c r="E1271" s="12" t="s">
        <v>53</v>
      </c>
      <c r="F1271" s="12">
        <v>0</v>
      </c>
      <c r="G1271" s="12">
        <v>1</v>
      </c>
      <c r="H1271" s="12" t="s">
        <v>97</v>
      </c>
      <c r="I1271" s="12">
        <v>0</v>
      </c>
      <c r="J1271" s="12">
        <v>0</v>
      </c>
      <c r="K1271" s="12">
        <v>2</v>
      </c>
      <c r="L1271" s="12">
        <f t="shared" si="286"/>
        <v>2</v>
      </c>
      <c r="M1271" s="12">
        <v>3</v>
      </c>
      <c r="N1271" s="12" t="s">
        <v>55</v>
      </c>
      <c r="O1271" s="12">
        <v>1</v>
      </c>
      <c r="P1271" s="12">
        <v>0</v>
      </c>
      <c r="Q1271" s="12">
        <v>0</v>
      </c>
      <c r="R1271" s="12">
        <v>0</v>
      </c>
      <c r="S1271" s="12">
        <v>0</v>
      </c>
      <c r="T1271" s="12">
        <v>2</v>
      </c>
      <c r="U1271" s="12" t="s">
        <v>62</v>
      </c>
      <c r="V1271" s="12">
        <v>0</v>
      </c>
      <c r="W1271" s="12">
        <v>97</v>
      </c>
      <c r="X1271" s="12">
        <v>3</v>
      </c>
      <c r="Y1271" s="12">
        <v>1</v>
      </c>
      <c r="Z1271" s="12" t="s">
        <v>97</v>
      </c>
      <c r="AA1271" s="12">
        <v>0</v>
      </c>
      <c r="AB1271" s="12">
        <v>0</v>
      </c>
      <c r="AC1271" s="12">
        <v>0</v>
      </c>
      <c r="AD1271" s="12">
        <v>0</v>
      </c>
      <c r="AE1271" s="12">
        <v>0</v>
      </c>
      <c r="AF1271" s="12">
        <v>0</v>
      </c>
      <c r="AG1271" s="12">
        <v>0</v>
      </c>
      <c r="AH1271" s="12">
        <v>0</v>
      </c>
      <c r="AI1271" s="12">
        <v>4</v>
      </c>
      <c r="AJ1271" s="12" t="s">
        <v>57</v>
      </c>
      <c r="AK1271" s="12">
        <v>1</v>
      </c>
      <c r="AL1271" s="12">
        <v>0</v>
      </c>
      <c r="AM1271" s="12">
        <v>3539</v>
      </c>
      <c r="AN1271" s="12">
        <f t="shared" si="287"/>
        <v>3539</v>
      </c>
      <c r="AO1271" s="12">
        <v>0</v>
      </c>
      <c r="AP1271" s="12" t="s">
        <v>59</v>
      </c>
      <c r="AQ1271" s="12">
        <v>0</v>
      </c>
      <c r="AR1271" s="12">
        <v>13</v>
      </c>
      <c r="AS1271" s="12">
        <v>3</v>
      </c>
      <c r="AT1271" s="12">
        <v>2</v>
      </c>
      <c r="AU1271" s="12">
        <v>0</v>
      </c>
      <c r="AV1271" s="12">
        <v>10</v>
      </c>
      <c r="AW1271" s="12">
        <f t="shared" si="288"/>
        <v>10</v>
      </c>
      <c r="AX1271" s="12">
        <v>5</v>
      </c>
      <c r="AY1271" s="12">
        <v>3</v>
      </c>
      <c r="AZ1271" s="12">
        <v>9</v>
      </c>
      <c r="BA1271" s="12">
        <f t="shared" si="289"/>
        <v>9</v>
      </c>
      <c r="BB1271" s="12">
        <v>7</v>
      </c>
      <c r="BC1271" s="12">
        <v>1</v>
      </c>
      <c r="BD1271" s="12">
        <f t="shared" si="298"/>
        <v>1</v>
      </c>
      <c r="BE1271" s="12">
        <v>8</v>
      </c>
      <c r="BF1271" s="12">
        <f t="shared" si="290"/>
        <v>8</v>
      </c>
      <c r="BG1271" s="12">
        <f t="shared" si="299"/>
        <v>8</v>
      </c>
      <c r="BH1271" s="67">
        <v>1</v>
      </c>
      <c r="BI1271" s="67">
        <v>0</v>
      </c>
      <c r="BJ1271" s="67">
        <v>0</v>
      </c>
      <c r="BK1271" s="67">
        <v>0</v>
      </c>
      <c r="BL1271" s="67">
        <v>1</v>
      </c>
      <c r="BM1271" s="67">
        <v>0</v>
      </c>
      <c r="BN1271" s="67">
        <v>0</v>
      </c>
      <c r="BO1271" s="67">
        <v>0</v>
      </c>
      <c r="BP1271" s="67">
        <v>8</v>
      </c>
      <c r="BQ1271" s="67">
        <v>0</v>
      </c>
      <c r="BR1271" s="67">
        <v>0</v>
      </c>
      <c r="BS1271" s="67">
        <v>10</v>
      </c>
      <c r="BT1271" s="67">
        <v>0</v>
      </c>
      <c r="BU1271" s="70">
        <v>0</v>
      </c>
      <c r="BV1271" s="29">
        <f t="shared" si="291"/>
        <v>0.62955788021627512</v>
      </c>
      <c r="BW1271">
        <f t="shared" si="292"/>
        <v>1.08652546240644</v>
      </c>
      <c r="BX1271">
        <f t="shared" si="293"/>
        <v>0.1644554352117841</v>
      </c>
      <c r="BY1271">
        <f t="shared" si="294"/>
        <v>0.32511687867835437</v>
      </c>
      <c r="BZ1271">
        <f t="shared" si="295"/>
        <v>0.88721318382472392</v>
      </c>
      <c r="CA1271">
        <f t="shared" si="296"/>
        <v>0.66512775678147573</v>
      </c>
      <c r="CB1271">
        <f t="shared" si="297"/>
        <v>0.36858985273641137</v>
      </c>
    </row>
    <row r="1272" spans="1:80" x14ac:dyDescent="0.45">
      <c r="A1272" s="11">
        <v>34</v>
      </c>
      <c r="B1272" s="12">
        <f t="shared" si="285"/>
        <v>34</v>
      </c>
      <c r="C1272" s="12" t="s">
        <v>59</v>
      </c>
      <c r="D1272" s="12">
        <v>0</v>
      </c>
      <c r="E1272" s="12" t="s">
        <v>53</v>
      </c>
      <c r="F1272" s="12">
        <v>0</v>
      </c>
      <c r="G1272" s="12">
        <v>1</v>
      </c>
      <c r="H1272" s="12" t="s">
        <v>54</v>
      </c>
      <c r="I1272" s="12">
        <v>0</v>
      </c>
      <c r="J1272" s="12">
        <v>1</v>
      </c>
      <c r="K1272" s="12">
        <v>3</v>
      </c>
      <c r="L1272" s="12">
        <f t="shared" si="286"/>
        <v>3</v>
      </c>
      <c r="M1272" s="12">
        <v>2</v>
      </c>
      <c r="N1272" s="12" t="s">
        <v>55</v>
      </c>
      <c r="O1272" s="12">
        <v>1</v>
      </c>
      <c r="P1272" s="12">
        <v>0</v>
      </c>
      <c r="Q1272" s="12">
        <v>0</v>
      </c>
      <c r="R1272" s="12">
        <v>0</v>
      </c>
      <c r="S1272" s="12">
        <v>0</v>
      </c>
      <c r="T1272" s="12">
        <v>4</v>
      </c>
      <c r="U1272" s="12" t="s">
        <v>19</v>
      </c>
      <c r="V1272" s="12">
        <v>1</v>
      </c>
      <c r="W1272" s="12">
        <v>32</v>
      </c>
      <c r="X1272" s="12">
        <v>1</v>
      </c>
      <c r="Y1272" s="12">
        <v>2</v>
      </c>
      <c r="Z1272" s="12" t="s">
        <v>56</v>
      </c>
      <c r="AA1272" s="12">
        <v>0</v>
      </c>
      <c r="AB1272" s="12">
        <v>1</v>
      </c>
      <c r="AC1272" s="12">
        <v>0</v>
      </c>
      <c r="AD1272" s="12">
        <v>0</v>
      </c>
      <c r="AE1272" s="12">
        <v>0</v>
      </c>
      <c r="AF1272" s="12">
        <v>0</v>
      </c>
      <c r="AG1272" s="12">
        <v>0</v>
      </c>
      <c r="AH1272" s="12">
        <v>0</v>
      </c>
      <c r="AI1272" s="12">
        <v>4</v>
      </c>
      <c r="AJ1272" s="12" t="s">
        <v>57</v>
      </c>
      <c r="AK1272" s="12">
        <v>1</v>
      </c>
      <c r="AL1272" s="12">
        <v>0</v>
      </c>
      <c r="AM1272" s="12">
        <v>6029</v>
      </c>
      <c r="AN1272" s="12">
        <f t="shared" si="287"/>
        <v>6029</v>
      </c>
      <c r="AO1272" s="12">
        <v>5</v>
      </c>
      <c r="AP1272" s="12" t="s">
        <v>59</v>
      </c>
      <c r="AQ1272" s="12">
        <v>0</v>
      </c>
      <c r="AR1272" s="12">
        <v>12</v>
      </c>
      <c r="AS1272" s="12">
        <v>3</v>
      </c>
      <c r="AT1272" s="12">
        <v>1</v>
      </c>
      <c r="AU1272" s="12">
        <v>0</v>
      </c>
      <c r="AV1272" s="12">
        <v>6</v>
      </c>
      <c r="AW1272" s="12">
        <f t="shared" si="288"/>
        <v>6</v>
      </c>
      <c r="AX1272" s="12">
        <v>3</v>
      </c>
      <c r="AY1272" s="12">
        <v>3</v>
      </c>
      <c r="AZ1272" s="12">
        <v>2</v>
      </c>
      <c r="BA1272" s="12">
        <f t="shared" si="289"/>
        <v>2</v>
      </c>
      <c r="BB1272" s="12">
        <v>2</v>
      </c>
      <c r="BC1272" s="12">
        <v>2</v>
      </c>
      <c r="BD1272" s="12">
        <f t="shared" si="298"/>
        <v>2</v>
      </c>
      <c r="BE1272" s="12">
        <v>2</v>
      </c>
      <c r="BF1272" s="12">
        <f t="shared" si="290"/>
        <v>2</v>
      </c>
      <c r="BG1272" s="12">
        <f t="shared" si="299"/>
        <v>4</v>
      </c>
      <c r="BH1272" s="67">
        <v>1</v>
      </c>
      <c r="BI1272" s="67">
        <v>0</v>
      </c>
      <c r="BJ1272" s="67">
        <v>0</v>
      </c>
      <c r="BK1272" s="67">
        <v>0</v>
      </c>
      <c r="BL1272" s="67">
        <v>1</v>
      </c>
      <c r="BM1272" s="67">
        <v>0</v>
      </c>
      <c r="BN1272" s="67">
        <v>0</v>
      </c>
      <c r="BO1272" s="67">
        <v>0</v>
      </c>
      <c r="BP1272" s="67">
        <v>0</v>
      </c>
      <c r="BQ1272" s="67">
        <v>0</v>
      </c>
      <c r="BR1272" s="67">
        <v>2</v>
      </c>
      <c r="BS1272" s="67">
        <v>0</v>
      </c>
      <c r="BT1272" s="67">
        <v>0</v>
      </c>
      <c r="BU1272" s="70">
        <v>6</v>
      </c>
      <c r="BV1272" s="29">
        <f t="shared" si="291"/>
        <v>0.10066602442453694</v>
      </c>
      <c r="BW1272">
        <f t="shared" si="292"/>
        <v>0.59502473559756086</v>
      </c>
      <c r="BX1272">
        <f t="shared" si="293"/>
        <v>0.67854260110508058</v>
      </c>
      <c r="BY1272">
        <f t="shared" si="294"/>
        <v>0.81745575848020657</v>
      </c>
      <c r="BZ1272">
        <f t="shared" si="295"/>
        <v>0.76386092994953758</v>
      </c>
      <c r="CA1272">
        <f t="shared" si="296"/>
        <v>0.32005363845127444</v>
      </c>
      <c r="CB1272">
        <f t="shared" si="297"/>
        <v>5.8265062631872602E-2</v>
      </c>
    </row>
    <row r="1273" spans="1:80" x14ac:dyDescent="0.45">
      <c r="A1273" s="11">
        <v>21</v>
      </c>
      <c r="B1273" s="12">
        <f t="shared" si="285"/>
        <v>21</v>
      </c>
      <c r="C1273" s="12" t="s">
        <v>52</v>
      </c>
      <c r="D1273" s="12">
        <v>1</v>
      </c>
      <c r="E1273" s="12" t="s">
        <v>53</v>
      </c>
      <c r="F1273" s="12">
        <v>0</v>
      </c>
      <c r="G1273" s="12">
        <v>1</v>
      </c>
      <c r="H1273" s="12" t="s">
        <v>54</v>
      </c>
      <c r="I1273" s="12">
        <v>0</v>
      </c>
      <c r="J1273" s="12">
        <v>1</v>
      </c>
      <c r="K1273" s="12">
        <v>7</v>
      </c>
      <c r="L1273" s="12">
        <f t="shared" si="286"/>
        <v>7</v>
      </c>
      <c r="M1273" s="12">
        <v>1</v>
      </c>
      <c r="N1273" s="12" t="s">
        <v>90</v>
      </c>
      <c r="O1273" s="12">
        <v>0</v>
      </c>
      <c r="P1273" s="12">
        <v>0</v>
      </c>
      <c r="Q1273" s="12">
        <v>0</v>
      </c>
      <c r="R1273" s="12">
        <v>1</v>
      </c>
      <c r="S1273" s="12">
        <v>0</v>
      </c>
      <c r="T1273" s="12">
        <v>2</v>
      </c>
      <c r="U1273" s="12" t="s">
        <v>62</v>
      </c>
      <c r="V1273" s="12">
        <v>0</v>
      </c>
      <c r="W1273" s="12">
        <v>31</v>
      </c>
      <c r="X1273" s="12">
        <v>3</v>
      </c>
      <c r="Y1273" s="12">
        <v>1</v>
      </c>
      <c r="Z1273" s="12" t="s">
        <v>88</v>
      </c>
      <c r="AA1273" s="12">
        <v>0</v>
      </c>
      <c r="AB1273" s="12">
        <v>0</v>
      </c>
      <c r="AC1273" s="12">
        <v>0</v>
      </c>
      <c r="AD1273" s="12">
        <v>0</v>
      </c>
      <c r="AE1273" s="12">
        <v>0</v>
      </c>
      <c r="AF1273" s="12">
        <v>0</v>
      </c>
      <c r="AG1273" s="12">
        <v>1</v>
      </c>
      <c r="AH1273" s="12">
        <v>0</v>
      </c>
      <c r="AI1273" s="12">
        <v>2</v>
      </c>
      <c r="AJ1273" s="12" t="s">
        <v>57</v>
      </c>
      <c r="AK1273" s="12">
        <v>1</v>
      </c>
      <c r="AL1273" s="12">
        <v>0</v>
      </c>
      <c r="AM1273" s="12">
        <v>2679</v>
      </c>
      <c r="AN1273" s="12">
        <f t="shared" si="287"/>
        <v>2679</v>
      </c>
      <c r="AO1273" s="12">
        <v>1</v>
      </c>
      <c r="AP1273" s="12" t="s">
        <v>59</v>
      </c>
      <c r="AQ1273" s="12">
        <v>0</v>
      </c>
      <c r="AR1273" s="12">
        <v>13</v>
      </c>
      <c r="AS1273" s="12">
        <v>3</v>
      </c>
      <c r="AT1273" s="12">
        <v>2</v>
      </c>
      <c r="AU1273" s="12">
        <v>0</v>
      </c>
      <c r="AV1273" s="12">
        <v>1</v>
      </c>
      <c r="AW1273" s="12">
        <f t="shared" si="288"/>
        <v>1</v>
      </c>
      <c r="AX1273" s="12">
        <v>3</v>
      </c>
      <c r="AY1273" s="12">
        <v>3</v>
      </c>
      <c r="AZ1273" s="12">
        <v>1</v>
      </c>
      <c r="BA1273" s="12">
        <f t="shared" si="289"/>
        <v>1</v>
      </c>
      <c r="BB1273" s="12">
        <v>0</v>
      </c>
      <c r="BC1273" s="12">
        <v>1</v>
      </c>
      <c r="BD1273" s="12">
        <f t="shared" si="298"/>
        <v>1</v>
      </c>
      <c r="BE1273" s="12">
        <v>0</v>
      </c>
      <c r="BF1273" s="12">
        <f t="shared" si="290"/>
        <v>0</v>
      </c>
      <c r="BG1273" s="12">
        <f t="shared" si="299"/>
        <v>0</v>
      </c>
      <c r="BH1273" s="67">
        <v>1</v>
      </c>
      <c r="BI1273" s="67">
        <v>0</v>
      </c>
      <c r="BJ1273" s="67">
        <v>0</v>
      </c>
      <c r="BK1273" s="67">
        <v>0</v>
      </c>
      <c r="BL1273" s="67">
        <v>1</v>
      </c>
      <c r="BM1273" s="67">
        <v>0</v>
      </c>
      <c r="BN1273" s="67">
        <v>0</v>
      </c>
      <c r="BO1273" s="67">
        <v>0</v>
      </c>
      <c r="BP1273" s="67">
        <v>0</v>
      </c>
      <c r="BQ1273" s="67">
        <v>0</v>
      </c>
      <c r="BR1273" s="67">
        <v>0</v>
      </c>
      <c r="BS1273" s="67">
        <v>0</v>
      </c>
      <c r="BT1273" s="67">
        <v>0</v>
      </c>
      <c r="BU1273" s="70">
        <v>1</v>
      </c>
      <c r="BV1273" s="29">
        <f t="shared" si="291"/>
        <v>0.81222735651382327</v>
      </c>
      <c r="BW1273">
        <f t="shared" si="292"/>
        <v>1.1555414682655611</v>
      </c>
      <c r="BX1273">
        <f t="shared" si="293"/>
        <v>1.3211515584717011</v>
      </c>
      <c r="BY1273">
        <f t="shared" si="294"/>
        <v>0.9806804209314296</v>
      </c>
      <c r="BZ1273">
        <f t="shared" si="295"/>
        <v>0.27045191444879263</v>
      </c>
      <c r="CA1273">
        <f t="shared" si="296"/>
        <v>1.7430934315652469</v>
      </c>
      <c r="CB1273">
        <f t="shared" si="297"/>
        <v>0.36858985273641137</v>
      </c>
    </row>
    <row r="1274" spans="1:80" x14ac:dyDescent="0.45">
      <c r="A1274" s="11">
        <v>38</v>
      </c>
      <c r="B1274" s="12">
        <f t="shared" si="285"/>
        <v>38</v>
      </c>
      <c r="C1274" s="12" t="s">
        <v>59</v>
      </c>
      <c r="D1274" s="12">
        <v>0</v>
      </c>
      <c r="E1274" s="12" t="s">
        <v>53</v>
      </c>
      <c r="F1274" s="12">
        <v>0</v>
      </c>
      <c r="G1274" s="12">
        <v>1</v>
      </c>
      <c r="H1274" s="12" t="s">
        <v>61</v>
      </c>
      <c r="I1274" s="12">
        <v>1</v>
      </c>
      <c r="J1274" s="12">
        <v>0</v>
      </c>
      <c r="K1274" s="12">
        <v>6</v>
      </c>
      <c r="L1274" s="12">
        <f t="shared" si="286"/>
        <v>6</v>
      </c>
      <c r="M1274" s="12">
        <v>2</v>
      </c>
      <c r="N1274" s="12" t="s">
        <v>66</v>
      </c>
      <c r="O1274" s="12">
        <v>0</v>
      </c>
      <c r="P1274" s="12">
        <v>1</v>
      </c>
      <c r="Q1274" s="12">
        <v>0</v>
      </c>
      <c r="R1274" s="12">
        <v>0</v>
      </c>
      <c r="S1274" s="12">
        <v>0</v>
      </c>
      <c r="T1274" s="12">
        <v>4</v>
      </c>
      <c r="U1274" s="12" t="s">
        <v>19</v>
      </c>
      <c r="V1274" s="12">
        <v>1</v>
      </c>
      <c r="W1274" s="12">
        <v>40</v>
      </c>
      <c r="X1274" s="12">
        <v>2</v>
      </c>
      <c r="Y1274" s="12">
        <v>1</v>
      </c>
      <c r="Z1274" s="12" t="s">
        <v>67</v>
      </c>
      <c r="AA1274" s="12">
        <v>0</v>
      </c>
      <c r="AB1274" s="12">
        <v>0</v>
      </c>
      <c r="AC1274" s="12">
        <v>1</v>
      </c>
      <c r="AD1274" s="12">
        <v>0</v>
      </c>
      <c r="AE1274" s="12">
        <v>0</v>
      </c>
      <c r="AF1274" s="12">
        <v>0</v>
      </c>
      <c r="AG1274" s="12">
        <v>0</v>
      </c>
      <c r="AH1274" s="12">
        <v>0</v>
      </c>
      <c r="AI1274" s="12">
        <v>3</v>
      </c>
      <c r="AJ1274" s="12" t="s">
        <v>64</v>
      </c>
      <c r="AK1274" s="12">
        <v>0</v>
      </c>
      <c r="AL1274" s="12">
        <v>1</v>
      </c>
      <c r="AM1274" s="12">
        <v>3702</v>
      </c>
      <c r="AN1274" s="12">
        <f t="shared" si="287"/>
        <v>3702</v>
      </c>
      <c r="AO1274" s="12">
        <v>1</v>
      </c>
      <c r="AP1274" s="12" t="s">
        <v>59</v>
      </c>
      <c r="AQ1274" s="12">
        <v>0</v>
      </c>
      <c r="AR1274" s="12">
        <v>11</v>
      </c>
      <c r="AS1274" s="12">
        <v>3</v>
      </c>
      <c r="AT1274" s="12">
        <v>2</v>
      </c>
      <c r="AU1274" s="12">
        <v>1</v>
      </c>
      <c r="AV1274" s="12">
        <v>5</v>
      </c>
      <c r="AW1274" s="12">
        <f t="shared" si="288"/>
        <v>5</v>
      </c>
      <c r="AX1274" s="12">
        <v>3</v>
      </c>
      <c r="AY1274" s="12">
        <v>3</v>
      </c>
      <c r="AZ1274" s="12">
        <v>5</v>
      </c>
      <c r="BA1274" s="12">
        <f t="shared" si="289"/>
        <v>5</v>
      </c>
      <c r="BB1274" s="12">
        <v>4</v>
      </c>
      <c r="BC1274" s="12">
        <v>0</v>
      </c>
      <c r="BD1274" s="12">
        <f t="shared" si="298"/>
        <v>0</v>
      </c>
      <c r="BE1274" s="12">
        <v>4</v>
      </c>
      <c r="BF1274" s="12">
        <f t="shared" si="290"/>
        <v>4</v>
      </c>
      <c r="BG1274" s="12">
        <f t="shared" si="299"/>
        <v>4</v>
      </c>
      <c r="BH1274" s="67">
        <v>0</v>
      </c>
      <c r="BI1274" s="67">
        <v>1</v>
      </c>
      <c r="BJ1274" s="67">
        <v>0</v>
      </c>
      <c r="BK1274" s="67">
        <v>0</v>
      </c>
      <c r="BL1274" s="67">
        <v>0</v>
      </c>
      <c r="BM1274" s="67">
        <v>0</v>
      </c>
      <c r="BN1274" s="67">
        <v>1</v>
      </c>
      <c r="BO1274" s="67">
        <v>0</v>
      </c>
      <c r="BP1274" s="67">
        <v>0</v>
      </c>
      <c r="BQ1274" s="67">
        <v>4</v>
      </c>
      <c r="BR1274" s="67">
        <v>0</v>
      </c>
      <c r="BS1274" s="67">
        <v>0</v>
      </c>
      <c r="BT1274" s="67">
        <v>5</v>
      </c>
      <c r="BU1274" s="70">
        <v>0</v>
      </c>
      <c r="BV1274" s="29">
        <f t="shared" si="291"/>
        <v>0.59493564226685614</v>
      </c>
      <c r="BW1274">
        <f t="shared" si="292"/>
        <v>3.4508002929560584E-2</v>
      </c>
      <c r="BX1274">
        <f t="shared" si="293"/>
        <v>0.80706439257840468</v>
      </c>
      <c r="BY1274">
        <f t="shared" si="294"/>
        <v>0.32778177112653761</v>
      </c>
      <c r="BZ1274">
        <f t="shared" si="295"/>
        <v>0.39380416832397891</v>
      </c>
      <c r="CA1274">
        <f t="shared" si="296"/>
        <v>0.11780475942994788</v>
      </c>
      <c r="CB1274">
        <f t="shared" si="297"/>
        <v>0.67891464284095016</v>
      </c>
    </row>
    <row r="1275" spans="1:80" x14ac:dyDescent="0.45">
      <c r="A1275" s="11">
        <v>22</v>
      </c>
      <c r="B1275" s="12">
        <f t="shared" si="285"/>
        <v>22</v>
      </c>
      <c r="C1275" s="12" t="s">
        <v>52</v>
      </c>
      <c r="D1275" s="12">
        <v>1</v>
      </c>
      <c r="E1275" s="12" t="s">
        <v>53</v>
      </c>
      <c r="F1275" s="12">
        <v>0</v>
      </c>
      <c r="G1275" s="12">
        <v>1</v>
      </c>
      <c r="H1275" s="12" t="s">
        <v>61</v>
      </c>
      <c r="I1275" s="12">
        <v>1</v>
      </c>
      <c r="J1275" s="12">
        <v>0</v>
      </c>
      <c r="K1275" s="12">
        <v>8</v>
      </c>
      <c r="L1275" s="12">
        <f t="shared" si="286"/>
        <v>8</v>
      </c>
      <c r="M1275" s="12">
        <v>1</v>
      </c>
      <c r="N1275" s="12" t="s">
        <v>70</v>
      </c>
      <c r="O1275" s="12">
        <v>0</v>
      </c>
      <c r="P1275" s="12">
        <v>0</v>
      </c>
      <c r="Q1275" s="12">
        <v>1</v>
      </c>
      <c r="R1275" s="12">
        <v>0</v>
      </c>
      <c r="S1275" s="12">
        <v>0</v>
      </c>
      <c r="T1275" s="12">
        <v>3</v>
      </c>
      <c r="U1275" s="12" t="s">
        <v>19</v>
      </c>
      <c r="V1275" s="12">
        <v>1</v>
      </c>
      <c r="W1275" s="12">
        <v>79</v>
      </c>
      <c r="X1275" s="12">
        <v>3</v>
      </c>
      <c r="Y1275" s="12">
        <v>1</v>
      </c>
      <c r="Z1275" s="12" t="s">
        <v>67</v>
      </c>
      <c r="AA1275" s="12">
        <v>0</v>
      </c>
      <c r="AB1275" s="12">
        <v>0</v>
      </c>
      <c r="AC1275" s="12">
        <v>1</v>
      </c>
      <c r="AD1275" s="12">
        <v>0</v>
      </c>
      <c r="AE1275" s="12">
        <v>0</v>
      </c>
      <c r="AF1275" s="12">
        <v>0</v>
      </c>
      <c r="AG1275" s="12">
        <v>0</v>
      </c>
      <c r="AH1275" s="12">
        <v>0</v>
      </c>
      <c r="AI1275" s="12">
        <v>1</v>
      </c>
      <c r="AJ1275" s="12" t="s">
        <v>64</v>
      </c>
      <c r="AK1275" s="12">
        <v>0</v>
      </c>
      <c r="AL1275" s="12">
        <v>1</v>
      </c>
      <c r="AM1275" s="12">
        <v>2398</v>
      </c>
      <c r="AN1275" s="12">
        <f t="shared" si="287"/>
        <v>2398</v>
      </c>
      <c r="AO1275" s="12">
        <v>1</v>
      </c>
      <c r="AP1275" s="12" t="s">
        <v>52</v>
      </c>
      <c r="AQ1275" s="12">
        <v>1</v>
      </c>
      <c r="AR1275" s="12">
        <v>17</v>
      </c>
      <c r="AS1275" s="12">
        <v>3</v>
      </c>
      <c r="AT1275" s="12">
        <v>3</v>
      </c>
      <c r="AU1275" s="12">
        <v>0</v>
      </c>
      <c r="AV1275" s="12">
        <v>1</v>
      </c>
      <c r="AW1275" s="12">
        <f t="shared" si="288"/>
        <v>1</v>
      </c>
      <c r="AX1275" s="12">
        <v>6</v>
      </c>
      <c r="AY1275" s="12">
        <v>3</v>
      </c>
      <c r="AZ1275" s="12">
        <v>1</v>
      </c>
      <c r="BA1275" s="12">
        <f t="shared" si="289"/>
        <v>1</v>
      </c>
      <c r="BB1275" s="12">
        <v>0</v>
      </c>
      <c r="BC1275" s="12">
        <v>0</v>
      </c>
      <c r="BD1275" s="12">
        <f t="shared" si="298"/>
        <v>0</v>
      </c>
      <c r="BE1275" s="12">
        <v>0</v>
      </c>
      <c r="BF1275" s="12">
        <f t="shared" si="290"/>
        <v>0</v>
      </c>
      <c r="BG1275" s="12">
        <f t="shared" si="299"/>
        <v>0</v>
      </c>
      <c r="BH1275" s="67">
        <v>0</v>
      </c>
      <c r="BI1275" s="67">
        <v>1</v>
      </c>
      <c r="BJ1275" s="67">
        <v>0</v>
      </c>
      <c r="BK1275" s="67">
        <v>0</v>
      </c>
      <c r="BL1275" s="67">
        <v>0</v>
      </c>
      <c r="BM1275" s="67">
        <v>0</v>
      </c>
      <c r="BN1275" s="67">
        <v>0</v>
      </c>
      <c r="BO1275" s="67">
        <v>1</v>
      </c>
      <c r="BP1275" s="67">
        <v>0</v>
      </c>
      <c r="BQ1275" s="67">
        <v>0</v>
      </c>
      <c r="BR1275" s="67">
        <v>0</v>
      </c>
      <c r="BS1275" s="67">
        <v>0</v>
      </c>
      <c r="BT1275" s="67">
        <v>1</v>
      </c>
      <c r="BU1275" s="70">
        <v>0</v>
      </c>
      <c r="BV1275" s="29">
        <f t="shared" si="291"/>
        <v>0.87191354586220815</v>
      </c>
      <c r="BW1275">
        <f t="shared" si="292"/>
        <v>1.1555414682655611</v>
      </c>
      <c r="BX1275">
        <f t="shared" si="293"/>
        <v>1.3211515584717011</v>
      </c>
      <c r="BY1275">
        <f t="shared" si="294"/>
        <v>0.9806804209314296</v>
      </c>
      <c r="BZ1275">
        <f t="shared" si="295"/>
        <v>0.14709966057360641</v>
      </c>
      <c r="CA1275">
        <f t="shared" si="296"/>
        <v>1.6336288320949415</v>
      </c>
      <c r="CB1275">
        <f t="shared" si="297"/>
        <v>0.67891464284095016</v>
      </c>
    </row>
    <row r="1276" spans="1:80" x14ac:dyDescent="0.45">
      <c r="A1276" s="11">
        <v>31</v>
      </c>
      <c r="B1276" s="12">
        <f t="shared" si="285"/>
        <v>31</v>
      </c>
      <c r="C1276" s="12" t="s">
        <v>59</v>
      </c>
      <c r="D1276" s="12">
        <v>0</v>
      </c>
      <c r="E1276" s="12" t="s">
        <v>53</v>
      </c>
      <c r="F1276" s="12">
        <v>0</v>
      </c>
      <c r="G1276" s="12">
        <v>1</v>
      </c>
      <c r="H1276" s="12" t="s">
        <v>54</v>
      </c>
      <c r="I1276" s="12">
        <v>0</v>
      </c>
      <c r="J1276" s="12">
        <v>1</v>
      </c>
      <c r="K1276" s="12">
        <v>29</v>
      </c>
      <c r="L1276" s="12">
        <f t="shared" si="286"/>
        <v>29</v>
      </c>
      <c r="M1276" s="12">
        <v>4</v>
      </c>
      <c r="N1276" s="12" t="s">
        <v>90</v>
      </c>
      <c r="O1276" s="12">
        <v>0</v>
      </c>
      <c r="P1276" s="12">
        <v>0</v>
      </c>
      <c r="Q1276" s="12">
        <v>0</v>
      </c>
      <c r="R1276" s="12">
        <v>1</v>
      </c>
      <c r="S1276" s="12">
        <v>0</v>
      </c>
      <c r="T1276" s="12">
        <v>1</v>
      </c>
      <c r="U1276" s="12" t="s">
        <v>19</v>
      </c>
      <c r="V1276" s="12">
        <v>1</v>
      </c>
      <c r="W1276" s="12">
        <v>91</v>
      </c>
      <c r="X1276" s="12">
        <v>2</v>
      </c>
      <c r="Y1276" s="12">
        <v>2</v>
      </c>
      <c r="Z1276" s="12" t="s">
        <v>56</v>
      </c>
      <c r="AA1276" s="12">
        <v>0</v>
      </c>
      <c r="AB1276" s="12">
        <v>1</v>
      </c>
      <c r="AC1276" s="12">
        <v>0</v>
      </c>
      <c r="AD1276" s="12">
        <v>0</v>
      </c>
      <c r="AE1276" s="12">
        <v>0</v>
      </c>
      <c r="AF1276" s="12">
        <v>0</v>
      </c>
      <c r="AG1276" s="12">
        <v>0</v>
      </c>
      <c r="AH1276" s="12">
        <v>0</v>
      </c>
      <c r="AI1276" s="12">
        <v>4</v>
      </c>
      <c r="AJ1276" s="12" t="s">
        <v>64</v>
      </c>
      <c r="AK1276" s="12">
        <v>0</v>
      </c>
      <c r="AL1276" s="12">
        <v>1</v>
      </c>
      <c r="AM1276" s="12">
        <v>5468</v>
      </c>
      <c r="AN1276" s="12">
        <f t="shared" si="287"/>
        <v>5468</v>
      </c>
      <c r="AO1276" s="12">
        <v>1</v>
      </c>
      <c r="AP1276" s="12" t="s">
        <v>59</v>
      </c>
      <c r="AQ1276" s="12">
        <v>0</v>
      </c>
      <c r="AR1276" s="12">
        <v>14</v>
      </c>
      <c r="AS1276" s="12">
        <v>3</v>
      </c>
      <c r="AT1276" s="12">
        <v>1</v>
      </c>
      <c r="AU1276" s="12">
        <v>2</v>
      </c>
      <c r="AV1276" s="12">
        <v>13</v>
      </c>
      <c r="AW1276" s="12">
        <f t="shared" si="288"/>
        <v>13</v>
      </c>
      <c r="AX1276" s="12">
        <v>3</v>
      </c>
      <c r="AY1276" s="12">
        <v>3</v>
      </c>
      <c r="AZ1276" s="12">
        <v>12</v>
      </c>
      <c r="BA1276" s="12">
        <f t="shared" si="289"/>
        <v>12</v>
      </c>
      <c r="BB1276" s="12">
        <v>7</v>
      </c>
      <c r="BC1276" s="12">
        <v>5</v>
      </c>
      <c r="BD1276" s="12">
        <f t="shared" si="298"/>
        <v>5</v>
      </c>
      <c r="BE1276" s="12">
        <v>7</v>
      </c>
      <c r="BF1276" s="12">
        <f t="shared" si="290"/>
        <v>7</v>
      </c>
      <c r="BG1276" s="12">
        <f t="shared" si="299"/>
        <v>14</v>
      </c>
      <c r="BH1276" s="67">
        <v>0</v>
      </c>
      <c r="BI1276" s="67">
        <v>1</v>
      </c>
      <c r="BJ1276" s="67">
        <v>0</v>
      </c>
      <c r="BK1276" s="67">
        <v>0</v>
      </c>
      <c r="BL1276" s="67">
        <v>0</v>
      </c>
      <c r="BM1276" s="67">
        <v>0</v>
      </c>
      <c r="BN1276" s="67">
        <v>1</v>
      </c>
      <c r="BO1276" s="67">
        <v>0</v>
      </c>
      <c r="BP1276" s="67">
        <v>0</v>
      </c>
      <c r="BQ1276" s="67">
        <v>0</v>
      </c>
      <c r="BR1276" s="67">
        <v>7</v>
      </c>
      <c r="BS1276" s="67">
        <v>0</v>
      </c>
      <c r="BT1276" s="67">
        <v>0</v>
      </c>
      <c r="BU1276" s="70">
        <v>13</v>
      </c>
      <c r="BV1276" s="29">
        <f t="shared" si="291"/>
        <v>0.21982599675351891</v>
      </c>
      <c r="BW1276">
        <f t="shared" si="292"/>
        <v>0.80626709607243985</v>
      </c>
      <c r="BX1276">
        <f t="shared" si="293"/>
        <v>0.22110993920818819</v>
      </c>
      <c r="BY1276">
        <f t="shared" si="294"/>
        <v>0.81479086603202333</v>
      </c>
      <c r="BZ1276">
        <f t="shared" si="295"/>
        <v>2.4432976708053049</v>
      </c>
      <c r="CA1276">
        <f t="shared" si="296"/>
        <v>0.6484474368621912</v>
      </c>
      <c r="CB1276">
        <f t="shared" si="297"/>
        <v>0.87270930768174382</v>
      </c>
    </row>
    <row r="1277" spans="1:80" x14ac:dyDescent="0.45">
      <c r="A1277" s="11">
        <v>51</v>
      </c>
      <c r="B1277" s="12">
        <f t="shared" si="285"/>
        <v>51</v>
      </c>
      <c r="C1277" s="12" t="s">
        <v>59</v>
      </c>
      <c r="D1277" s="12">
        <v>0</v>
      </c>
      <c r="E1277" s="12" t="s">
        <v>53</v>
      </c>
      <c r="F1277" s="12">
        <v>0</v>
      </c>
      <c r="G1277" s="12">
        <v>1</v>
      </c>
      <c r="H1277" s="12" t="s">
        <v>61</v>
      </c>
      <c r="I1277" s="12">
        <v>1</v>
      </c>
      <c r="J1277" s="12">
        <v>0</v>
      </c>
      <c r="K1277" s="12">
        <v>3</v>
      </c>
      <c r="L1277" s="12">
        <f t="shared" si="286"/>
        <v>3</v>
      </c>
      <c r="M1277" s="12">
        <v>3</v>
      </c>
      <c r="N1277" s="12" t="s">
        <v>91</v>
      </c>
      <c r="O1277" s="12">
        <v>0</v>
      </c>
      <c r="P1277" s="12">
        <v>0</v>
      </c>
      <c r="Q1277" s="12">
        <v>0</v>
      </c>
      <c r="R1277" s="12">
        <v>0</v>
      </c>
      <c r="S1277" s="12">
        <v>1</v>
      </c>
      <c r="T1277" s="12">
        <v>1</v>
      </c>
      <c r="U1277" s="12" t="s">
        <v>19</v>
      </c>
      <c r="V1277" s="12">
        <v>1</v>
      </c>
      <c r="W1277" s="12">
        <v>53</v>
      </c>
      <c r="X1277" s="12">
        <v>3</v>
      </c>
      <c r="Y1277" s="12">
        <v>3</v>
      </c>
      <c r="Z1277" s="12" t="s">
        <v>87</v>
      </c>
      <c r="AA1277" s="12">
        <v>0</v>
      </c>
      <c r="AB1277" s="12">
        <v>0</v>
      </c>
      <c r="AC1277" s="12">
        <v>0</v>
      </c>
      <c r="AD1277" s="12">
        <v>1</v>
      </c>
      <c r="AE1277" s="12">
        <v>0</v>
      </c>
      <c r="AF1277" s="12">
        <v>0</v>
      </c>
      <c r="AG1277" s="12">
        <v>0</v>
      </c>
      <c r="AH1277" s="12">
        <v>0</v>
      </c>
      <c r="AI1277" s="12">
        <v>3</v>
      </c>
      <c r="AJ1277" s="12" t="s">
        <v>64</v>
      </c>
      <c r="AK1277" s="12">
        <v>0</v>
      </c>
      <c r="AL1277" s="12">
        <v>1</v>
      </c>
      <c r="AM1277" s="12">
        <v>13116</v>
      </c>
      <c r="AN1277" s="12">
        <f t="shared" si="287"/>
        <v>13116</v>
      </c>
      <c r="AO1277" s="12">
        <v>2</v>
      </c>
      <c r="AP1277" s="12" t="s">
        <v>59</v>
      </c>
      <c r="AQ1277" s="12">
        <v>0</v>
      </c>
      <c r="AR1277" s="12">
        <v>11</v>
      </c>
      <c r="AS1277" s="12">
        <v>3</v>
      </c>
      <c r="AT1277" s="12">
        <v>4</v>
      </c>
      <c r="AU1277" s="12">
        <v>0</v>
      </c>
      <c r="AV1277" s="12">
        <v>15</v>
      </c>
      <c r="AW1277" s="12">
        <f t="shared" si="288"/>
        <v>15</v>
      </c>
      <c r="AX1277" s="12">
        <v>2</v>
      </c>
      <c r="AY1277" s="12">
        <v>3</v>
      </c>
      <c r="AZ1277" s="12">
        <v>2</v>
      </c>
      <c r="BA1277" s="12">
        <f t="shared" si="289"/>
        <v>2</v>
      </c>
      <c r="BB1277" s="12">
        <v>2</v>
      </c>
      <c r="BC1277" s="12">
        <v>2</v>
      </c>
      <c r="BD1277" s="12">
        <f t="shared" si="298"/>
        <v>2</v>
      </c>
      <c r="BE1277" s="12">
        <v>2</v>
      </c>
      <c r="BF1277" s="12">
        <f t="shared" si="290"/>
        <v>2</v>
      </c>
      <c r="BG1277" s="12">
        <f t="shared" si="299"/>
        <v>6</v>
      </c>
      <c r="BH1277" s="67">
        <v>0</v>
      </c>
      <c r="BI1277" s="67">
        <v>1</v>
      </c>
      <c r="BJ1277" s="67">
        <v>0</v>
      </c>
      <c r="BK1277" s="67">
        <v>0</v>
      </c>
      <c r="BL1277" s="67">
        <v>0</v>
      </c>
      <c r="BM1277" s="67">
        <v>0</v>
      </c>
      <c r="BN1277" s="67">
        <v>1</v>
      </c>
      <c r="BO1277" s="67">
        <v>0</v>
      </c>
      <c r="BP1277" s="67">
        <v>0</v>
      </c>
      <c r="BQ1277" s="67">
        <v>2</v>
      </c>
      <c r="BR1277" s="67">
        <v>0</v>
      </c>
      <c r="BS1277" s="67">
        <v>0</v>
      </c>
      <c r="BT1277" s="67">
        <v>15</v>
      </c>
      <c r="BU1277" s="70">
        <v>0</v>
      </c>
      <c r="BV1277" s="29">
        <f t="shared" si="291"/>
        <v>1.4046579040879323</v>
      </c>
      <c r="BW1277">
        <f t="shared" si="292"/>
        <v>0.59502473559756086</v>
      </c>
      <c r="BX1277">
        <f t="shared" si="293"/>
        <v>0.47815352215483642</v>
      </c>
      <c r="BY1277">
        <f t="shared" si="294"/>
        <v>0.81745575848020657</v>
      </c>
      <c r="BZ1277">
        <f t="shared" si="295"/>
        <v>0.76386092994953758</v>
      </c>
      <c r="CA1277">
        <f t="shared" si="296"/>
        <v>1.5408445525439205</v>
      </c>
      <c r="CB1277">
        <f t="shared" si="297"/>
        <v>5.8265062631872602E-2</v>
      </c>
    </row>
    <row r="1278" spans="1:80" x14ac:dyDescent="0.45">
      <c r="A1278" s="11">
        <v>37</v>
      </c>
      <c r="B1278" s="12">
        <f t="shared" si="285"/>
        <v>37</v>
      </c>
      <c r="C1278" s="12" t="s">
        <v>59</v>
      </c>
      <c r="D1278" s="12">
        <v>0</v>
      </c>
      <c r="E1278" s="12" t="s">
        <v>53</v>
      </c>
      <c r="F1278" s="12">
        <v>0</v>
      </c>
      <c r="G1278" s="12">
        <v>1</v>
      </c>
      <c r="H1278" s="12" t="s">
        <v>54</v>
      </c>
      <c r="I1278" s="12">
        <v>0</v>
      </c>
      <c r="J1278" s="12">
        <v>1</v>
      </c>
      <c r="K1278" s="12">
        <v>9</v>
      </c>
      <c r="L1278" s="12">
        <f t="shared" si="286"/>
        <v>9</v>
      </c>
      <c r="M1278" s="12">
        <v>2</v>
      </c>
      <c r="N1278" s="12" t="s">
        <v>90</v>
      </c>
      <c r="O1278" s="12">
        <v>0</v>
      </c>
      <c r="P1278" s="12">
        <v>0</v>
      </c>
      <c r="Q1278" s="12">
        <v>0</v>
      </c>
      <c r="R1278" s="12">
        <v>1</v>
      </c>
      <c r="S1278" s="12">
        <v>0</v>
      </c>
      <c r="T1278" s="12">
        <v>2</v>
      </c>
      <c r="U1278" s="12" t="s">
        <v>62</v>
      </c>
      <c r="V1278" s="12">
        <v>0</v>
      </c>
      <c r="W1278" s="12">
        <v>46</v>
      </c>
      <c r="X1278" s="12">
        <v>2</v>
      </c>
      <c r="Y1278" s="12">
        <v>2</v>
      </c>
      <c r="Z1278" s="12" t="s">
        <v>56</v>
      </c>
      <c r="AA1278" s="12">
        <v>0</v>
      </c>
      <c r="AB1278" s="12">
        <v>1</v>
      </c>
      <c r="AC1278" s="12">
        <v>0</v>
      </c>
      <c r="AD1278" s="12">
        <v>0</v>
      </c>
      <c r="AE1278" s="12">
        <v>0</v>
      </c>
      <c r="AF1278" s="12">
        <v>0</v>
      </c>
      <c r="AG1278" s="12">
        <v>0</v>
      </c>
      <c r="AH1278" s="12">
        <v>0</v>
      </c>
      <c r="AI1278" s="12">
        <v>2</v>
      </c>
      <c r="AJ1278" s="12" t="s">
        <v>64</v>
      </c>
      <c r="AK1278" s="12">
        <v>0</v>
      </c>
      <c r="AL1278" s="12">
        <v>1</v>
      </c>
      <c r="AM1278" s="12">
        <v>4189</v>
      </c>
      <c r="AN1278" s="12">
        <f t="shared" si="287"/>
        <v>4189</v>
      </c>
      <c r="AO1278" s="12">
        <v>1</v>
      </c>
      <c r="AP1278" s="12" t="s">
        <v>59</v>
      </c>
      <c r="AQ1278" s="12">
        <v>0</v>
      </c>
      <c r="AR1278" s="12">
        <v>14</v>
      </c>
      <c r="AS1278" s="12">
        <v>3</v>
      </c>
      <c r="AT1278" s="12">
        <v>1</v>
      </c>
      <c r="AU1278" s="12">
        <v>2</v>
      </c>
      <c r="AV1278" s="12">
        <v>5</v>
      </c>
      <c r="AW1278" s="12">
        <f t="shared" si="288"/>
        <v>5</v>
      </c>
      <c r="AX1278" s="12">
        <v>2</v>
      </c>
      <c r="AY1278" s="12">
        <v>3</v>
      </c>
      <c r="AZ1278" s="12">
        <v>5</v>
      </c>
      <c r="BA1278" s="12">
        <f t="shared" si="289"/>
        <v>5</v>
      </c>
      <c r="BB1278" s="12">
        <v>2</v>
      </c>
      <c r="BC1278" s="12">
        <v>0</v>
      </c>
      <c r="BD1278" s="12">
        <f t="shared" si="298"/>
        <v>0</v>
      </c>
      <c r="BE1278" s="12">
        <v>3</v>
      </c>
      <c r="BF1278" s="12">
        <f t="shared" si="290"/>
        <v>3</v>
      </c>
      <c r="BG1278" s="12">
        <f t="shared" si="299"/>
        <v>6</v>
      </c>
      <c r="BH1278" s="67">
        <v>0</v>
      </c>
      <c r="BI1278" s="67">
        <v>1</v>
      </c>
      <c r="BJ1278" s="67">
        <v>0</v>
      </c>
      <c r="BK1278" s="67">
        <v>0</v>
      </c>
      <c r="BL1278" s="67">
        <v>0</v>
      </c>
      <c r="BM1278" s="67">
        <v>0</v>
      </c>
      <c r="BN1278" s="67">
        <v>1</v>
      </c>
      <c r="BO1278" s="67">
        <v>0</v>
      </c>
      <c r="BP1278" s="67">
        <v>0</v>
      </c>
      <c r="BQ1278" s="67">
        <v>0</v>
      </c>
      <c r="BR1278" s="67">
        <v>3</v>
      </c>
      <c r="BS1278" s="67">
        <v>0</v>
      </c>
      <c r="BT1278" s="67">
        <v>0</v>
      </c>
      <c r="BU1278" s="70">
        <v>5</v>
      </c>
      <c r="BV1278" s="29">
        <f t="shared" si="291"/>
        <v>0.49149374115417482</v>
      </c>
      <c r="BW1278">
        <f t="shared" si="292"/>
        <v>0.31476636926356072</v>
      </c>
      <c r="BX1278">
        <f t="shared" si="293"/>
        <v>0.80706439257840468</v>
      </c>
      <c r="BY1278">
        <f t="shared" si="294"/>
        <v>0.32778177112653761</v>
      </c>
      <c r="BZ1278">
        <f t="shared" si="295"/>
        <v>2.3747406698420157E-2</v>
      </c>
      <c r="CA1278">
        <f t="shared" si="296"/>
        <v>8.3401599596422994E-3</v>
      </c>
      <c r="CB1278">
        <f t="shared" si="297"/>
        <v>0.67891464284095016</v>
      </c>
    </row>
    <row r="1279" spans="1:80" x14ac:dyDescent="0.45">
      <c r="A1279" s="11">
        <v>46</v>
      </c>
      <c r="B1279" s="12">
        <f t="shared" si="285"/>
        <v>46</v>
      </c>
      <c r="C1279" s="12" t="s">
        <v>59</v>
      </c>
      <c r="D1279" s="12">
        <v>0</v>
      </c>
      <c r="E1279" s="12" t="s">
        <v>53</v>
      </c>
      <c r="F1279" s="12">
        <v>0</v>
      </c>
      <c r="G1279" s="12">
        <v>1</v>
      </c>
      <c r="H1279" s="12" t="s">
        <v>61</v>
      </c>
      <c r="I1279" s="12">
        <v>1</v>
      </c>
      <c r="J1279" s="12">
        <v>0</v>
      </c>
      <c r="K1279" s="12">
        <v>2</v>
      </c>
      <c r="L1279" s="12">
        <f t="shared" si="286"/>
        <v>2</v>
      </c>
      <c r="M1279" s="12">
        <v>4</v>
      </c>
      <c r="N1279" s="12" t="s">
        <v>70</v>
      </c>
      <c r="O1279" s="12">
        <v>0</v>
      </c>
      <c r="P1279" s="12">
        <v>0</v>
      </c>
      <c r="Q1279" s="12">
        <v>1</v>
      </c>
      <c r="R1279" s="12">
        <v>0</v>
      </c>
      <c r="S1279" s="12">
        <v>0</v>
      </c>
      <c r="T1279" s="12">
        <v>3</v>
      </c>
      <c r="U1279" s="12" t="s">
        <v>62</v>
      </c>
      <c r="V1279" s="12">
        <v>0</v>
      </c>
      <c r="W1279" s="12">
        <v>46</v>
      </c>
      <c r="X1279" s="12">
        <v>3</v>
      </c>
      <c r="Y1279" s="12">
        <v>5</v>
      </c>
      <c r="Z1279" s="12" t="s">
        <v>89</v>
      </c>
      <c r="AA1279" s="12">
        <v>0</v>
      </c>
      <c r="AB1279" s="12">
        <v>0</v>
      </c>
      <c r="AC1279" s="12">
        <v>0</v>
      </c>
      <c r="AD1279" s="12">
        <v>0</v>
      </c>
      <c r="AE1279" s="12">
        <v>0</v>
      </c>
      <c r="AF1279" s="12">
        <v>0</v>
      </c>
      <c r="AG1279" s="12">
        <v>0</v>
      </c>
      <c r="AH1279" s="12">
        <v>0</v>
      </c>
      <c r="AI1279" s="12">
        <v>4</v>
      </c>
      <c r="AJ1279" s="12" t="s">
        <v>78</v>
      </c>
      <c r="AK1279" s="12">
        <v>0</v>
      </c>
      <c r="AL1279" s="12">
        <v>0</v>
      </c>
      <c r="AM1279" s="12">
        <v>19328</v>
      </c>
      <c r="AN1279" s="12">
        <f t="shared" si="287"/>
        <v>19328</v>
      </c>
      <c r="AO1279" s="12">
        <v>7</v>
      </c>
      <c r="AP1279" s="12" t="s">
        <v>52</v>
      </c>
      <c r="AQ1279" s="12">
        <v>1</v>
      </c>
      <c r="AR1279" s="12">
        <v>17</v>
      </c>
      <c r="AS1279" s="12">
        <v>3</v>
      </c>
      <c r="AT1279" s="12">
        <v>3</v>
      </c>
      <c r="AU1279" s="12">
        <v>1</v>
      </c>
      <c r="AV1279" s="12">
        <v>24</v>
      </c>
      <c r="AW1279" s="12">
        <f t="shared" si="288"/>
        <v>24</v>
      </c>
      <c r="AX1279" s="12">
        <v>3</v>
      </c>
      <c r="AY1279" s="12">
        <v>3</v>
      </c>
      <c r="AZ1279" s="12">
        <v>2</v>
      </c>
      <c r="BA1279" s="12">
        <f t="shared" si="289"/>
        <v>2</v>
      </c>
      <c r="BB1279" s="12">
        <v>1</v>
      </c>
      <c r="BC1279" s="12">
        <v>2</v>
      </c>
      <c r="BD1279" s="12">
        <f t="shared" si="298"/>
        <v>2</v>
      </c>
      <c r="BE1279" s="12">
        <v>2</v>
      </c>
      <c r="BF1279" s="12">
        <f t="shared" si="290"/>
        <v>2</v>
      </c>
      <c r="BG1279" s="12">
        <f t="shared" si="299"/>
        <v>10</v>
      </c>
      <c r="BH1279" s="67">
        <v>1</v>
      </c>
      <c r="BI1279" s="67">
        <v>0</v>
      </c>
      <c r="BJ1279" s="67">
        <v>0</v>
      </c>
      <c r="BK1279" s="67">
        <v>0</v>
      </c>
      <c r="BL1279" s="67">
        <v>0</v>
      </c>
      <c r="BM1279" s="67">
        <v>1</v>
      </c>
      <c r="BN1279" s="67">
        <v>0</v>
      </c>
      <c r="BO1279" s="67">
        <v>0</v>
      </c>
      <c r="BP1279" s="67">
        <v>0</v>
      </c>
      <c r="BQ1279" s="67">
        <v>2</v>
      </c>
      <c r="BR1279" s="67">
        <v>0</v>
      </c>
      <c r="BS1279" s="67">
        <v>0</v>
      </c>
      <c r="BT1279" s="67">
        <v>24</v>
      </c>
      <c r="BU1279" s="70">
        <v>0</v>
      </c>
      <c r="BV1279" s="29">
        <f t="shared" si="291"/>
        <v>2.7241262607860359</v>
      </c>
      <c r="BW1279">
        <f t="shared" si="292"/>
        <v>0.59502473559756086</v>
      </c>
      <c r="BX1279">
        <f t="shared" si="293"/>
        <v>1.6348496454147534</v>
      </c>
      <c r="BY1279">
        <f t="shared" si="294"/>
        <v>0.81745575848020657</v>
      </c>
      <c r="BZ1279">
        <f t="shared" si="295"/>
        <v>0.88721318382472392</v>
      </c>
      <c r="CA1279">
        <f t="shared" si="296"/>
        <v>0.99352155519239249</v>
      </c>
      <c r="CB1279">
        <f t="shared" si="297"/>
        <v>5.8265062631872602E-2</v>
      </c>
    </row>
    <row r="1280" spans="1:80" x14ac:dyDescent="0.45">
      <c r="A1280" s="11">
        <v>36</v>
      </c>
      <c r="B1280" s="12">
        <f t="shared" si="285"/>
        <v>36</v>
      </c>
      <c r="C1280" s="12" t="s">
        <v>59</v>
      </c>
      <c r="D1280" s="12">
        <v>0</v>
      </c>
      <c r="E1280" s="12" t="s">
        <v>53</v>
      </c>
      <c r="F1280" s="12">
        <v>0</v>
      </c>
      <c r="G1280" s="12">
        <v>1</v>
      </c>
      <c r="H1280" s="12" t="s">
        <v>61</v>
      </c>
      <c r="I1280" s="12">
        <v>1</v>
      </c>
      <c r="J1280" s="12">
        <v>0</v>
      </c>
      <c r="K1280" s="12">
        <v>10</v>
      </c>
      <c r="L1280" s="12">
        <f t="shared" si="286"/>
        <v>10</v>
      </c>
      <c r="M1280" s="12">
        <v>3</v>
      </c>
      <c r="N1280" s="12" t="s">
        <v>55</v>
      </c>
      <c r="O1280" s="12">
        <v>1</v>
      </c>
      <c r="P1280" s="12">
        <v>0</v>
      </c>
      <c r="Q1280" s="12">
        <v>0</v>
      </c>
      <c r="R1280" s="12">
        <v>0</v>
      </c>
      <c r="S1280" s="12">
        <v>0</v>
      </c>
      <c r="T1280" s="12">
        <v>4</v>
      </c>
      <c r="U1280" s="12" t="s">
        <v>62</v>
      </c>
      <c r="V1280" s="12">
        <v>0</v>
      </c>
      <c r="W1280" s="12">
        <v>90</v>
      </c>
      <c r="X1280" s="12">
        <v>3</v>
      </c>
      <c r="Y1280" s="12">
        <v>3</v>
      </c>
      <c r="Z1280" s="12" t="s">
        <v>85</v>
      </c>
      <c r="AA1280" s="12">
        <v>1</v>
      </c>
      <c r="AB1280" s="12">
        <v>0</v>
      </c>
      <c r="AC1280" s="12">
        <v>0</v>
      </c>
      <c r="AD1280" s="12">
        <v>0</v>
      </c>
      <c r="AE1280" s="12">
        <v>0</v>
      </c>
      <c r="AF1280" s="12">
        <v>0</v>
      </c>
      <c r="AG1280" s="12">
        <v>0</v>
      </c>
      <c r="AH1280" s="12">
        <v>0</v>
      </c>
      <c r="AI1280" s="12">
        <v>1</v>
      </c>
      <c r="AJ1280" s="12" t="s">
        <v>64</v>
      </c>
      <c r="AK1280" s="12">
        <v>0</v>
      </c>
      <c r="AL1280" s="12">
        <v>1</v>
      </c>
      <c r="AM1280" s="12">
        <v>8321</v>
      </c>
      <c r="AN1280" s="12">
        <f t="shared" si="287"/>
        <v>8321</v>
      </c>
      <c r="AO1280" s="12">
        <v>7</v>
      </c>
      <c r="AP1280" s="12" t="s">
        <v>52</v>
      </c>
      <c r="AQ1280" s="12">
        <v>1</v>
      </c>
      <c r="AR1280" s="12">
        <v>13</v>
      </c>
      <c r="AS1280" s="12">
        <v>3</v>
      </c>
      <c r="AT1280" s="12">
        <v>4</v>
      </c>
      <c r="AU1280" s="12">
        <v>1</v>
      </c>
      <c r="AV1280" s="12">
        <v>15</v>
      </c>
      <c r="AW1280" s="12">
        <f t="shared" si="288"/>
        <v>15</v>
      </c>
      <c r="AX1280" s="12">
        <v>1</v>
      </c>
      <c r="AY1280" s="12">
        <v>3</v>
      </c>
      <c r="AZ1280" s="12">
        <v>12</v>
      </c>
      <c r="BA1280" s="12">
        <f t="shared" si="289"/>
        <v>12</v>
      </c>
      <c r="BB1280" s="12">
        <v>8</v>
      </c>
      <c r="BC1280" s="12">
        <v>5</v>
      </c>
      <c r="BD1280" s="12">
        <f t="shared" si="298"/>
        <v>5</v>
      </c>
      <c r="BE1280" s="12">
        <v>7</v>
      </c>
      <c r="BF1280" s="12">
        <f t="shared" si="290"/>
        <v>7</v>
      </c>
      <c r="BG1280" s="12">
        <f t="shared" si="299"/>
        <v>21</v>
      </c>
      <c r="BH1280" s="67">
        <v>0</v>
      </c>
      <c r="BI1280" s="67">
        <v>1</v>
      </c>
      <c r="BJ1280" s="67">
        <v>0</v>
      </c>
      <c r="BK1280" s="67">
        <v>0</v>
      </c>
      <c r="BL1280" s="67">
        <v>0</v>
      </c>
      <c r="BM1280" s="67">
        <v>0</v>
      </c>
      <c r="BN1280" s="67">
        <v>0</v>
      </c>
      <c r="BO1280" s="67">
        <v>1</v>
      </c>
      <c r="BP1280" s="67">
        <v>0</v>
      </c>
      <c r="BQ1280" s="67">
        <v>7</v>
      </c>
      <c r="BR1280" s="67">
        <v>0</v>
      </c>
      <c r="BS1280" s="67">
        <v>0</v>
      </c>
      <c r="BT1280" s="67">
        <v>15</v>
      </c>
      <c r="BU1280" s="70">
        <v>0</v>
      </c>
      <c r="BV1280" s="29">
        <f t="shared" si="291"/>
        <v>0.38616937054520761</v>
      </c>
      <c r="BW1280">
        <f t="shared" si="292"/>
        <v>0.80626709607243985</v>
      </c>
      <c r="BX1280">
        <f t="shared" si="293"/>
        <v>0.47815352215483642</v>
      </c>
      <c r="BY1280">
        <f t="shared" si="294"/>
        <v>0.81479086603202333</v>
      </c>
      <c r="BZ1280">
        <f t="shared" si="295"/>
        <v>9.9604847176766084E-2</v>
      </c>
      <c r="CA1280">
        <f t="shared" si="296"/>
        <v>0.10112443951066327</v>
      </c>
      <c r="CB1280">
        <f t="shared" si="297"/>
        <v>0.87270930768174382</v>
      </c>
    </row>
    <row r="1281" spans="1:80" x14ac:dyDescent="0.45">
      <c r="A1281" s="11">
        <v>44</v>
      </c>
      <c r="B1281" s="12">
        <f t="shared" si="285"/>
        <v>44</v>
      </c>
      <c r="C1281" s="12" t="s">
        <v>52</v>
      </c>
      <c r="D1281" s="12">
        <v>1</v>
      </c>
      <c r="E1281" s="12" t="s">
        <v>60</v>
      </c>
      <c r="F1281" s="12">
        <v>1</v>
      </c>
      <c r="G1281" s="12">
        <v>0</v>
      </c>
      <c r="H1281" s="12" t="s">
        <v>61</v>
      </c>
      <c r="I1281" s="12">
        <v>1</v>
      </c>
      <c r="J1281" s="12">
        <v>0</v>
      </c>
      <c r="K1281" s="12">
        <v>1</v>
      </c>
      <c r="L1281" s="12">
        <f t="shared" si="286"/>
        <v>1</v>
      </c>
      <c r="M1281" s="12">
        <v>2</v>
      </c>
      <c r="N1281" s="12" t="s">
        <v>70</v>
      </c>
      <c r="O1281" s="12">
        <v>0</v>
      </c>
      <c r="P1281" s="12">
        <v>0</v>
      </c>
      <c r="Q1281" s="12">
        <v>1</v>
      </c>
      <c r="R1281" s="12">
        <v>0</v>
      </c>
      <c r="S1281" s="12">
        <v>0</v>
      </c>
      <c r="T1281" s="12">
        <v>3</v>
      </c>
      <c r="U1281" s="12" t="s">
        <v>62</v>
      </c>
      <c r="V1281" s="12">
        <v>0</v>
      </c>
      <c r="W1281" s="12">
        <v>99</v>
      </c>
      <c r="X1281" s="12">
        <v>3</v>
      </c>
      <c r="Y1281" s="12">
        <v>1</v>
      </c>
      <c r="Z1281" s="12" t="s">
        <v>63</v>
      </c>
      <c r="AA1281" s="12">
        <v>0</v>
      </c>
      <c r="AB1281" s="12">
        <v>0</v>
      </c>
      <c r="AC1281" s="12">
        <v>0</v>
      </c>
      <c r="AD1281" s="12">
        <v>0</v>
      </c>
      <c r="AE1281" s="12">
        <v>0</v>
      </c>
      <c r="AF1281" s="12">
        <v>0</v>
      </c>
      <c r="AG1281" s="12">
        <v>0</v>
      </c>
      <c r="AH1281" s="12">
        <v>1</v>
      </c>
      <c r="AI1281" s="12">
        <v>2</v>
      </c>
      <c r="AJ1281" s="12" t="s">
        <v>78</v>
      </c>
      <c r="AK1281" s="12">
        <v>0</v>
      </c>
      <c r="AL1281" s="12">
        <v>0</v>
      </c>
      <c r="AM1281" s="12">
        <v>2342</v>
      </c>
      <c r="AN1281" s="12">
        <f t="shared" si="287"/>
        <v>2342</v>
      </c>
      <c r="AO1281" s="12">
        <v>1</v>
      </c>
      <c r="AP1281" s="12" t="s">
        <v>52</v>
      </c>
      <c r="AQ1281" s="12">
        <v>1</v>
      </c>
      <c r="AR1281" s="12">
        <v>12</v>
      </c>
      <c r="AS1281" s="12">
        <v>3</v>
      </c>
      <c r="AT1281" s="12">
        <v>3</v>
      </c>
      <c r="AU1281" s="12">
        <v>3</v>
      </c>
      <c r="AV1281" s="12">
        <v>6</v>
      </c>
      <c r="AW1281" s="12">
        <f t="shared" si="288"/>
        <v>6</v>
      </c>
      <c r="AX1281" s="12">
        <v>2</v>
      </c>
      <c r="AY1281" s="12">
        <v>2</v>
      </c>
      <c r="AZ1281" s="12">
        <v>5</v>
      </c>
      <c r="BA1281" s="12">
        <f t="shared" si="289"/>
        <v>5</v>
      </c>
      <c r="BB1281" s="12">
        <v>3</v>
      </c>
      <c r="BC1281" s="12">
        <v>2</v>
      </c>
      <c r="BD1281" s="12">
        <f t="shared" si="298"/>
        <v>2</v>
      </c>
      <c r="BE1281" s="12">
        <v>3</v>
      </c>
      <c r="BF1281" s="12">
        <f t="shared" si="290"/>
        <v>3</v>
      </c>
      <c r="BG1281" s="12">
        <f t="shared" si="299"/>
        <v>3</v>
      </c>
      <c r="BH1281" s="67">
        <v>0</v>
      </c>
      <c r="BI1281" s="67">
        <v>0</v>
      </c>
      <c r="BJ1281" s="67">
        <v>1</v>
      </c>
      <c r="BK1281" s="67">
        <v>0</v>
      </c>
      <c r="BL1281" s="67">
        <v>0</v>
      </c>
      <c r="BM1281" s="67">
        <v>1</v>
      </c>
      <c r="BN1281" s="67">
        <v>0</v>
      </c>
      <c r="BO1281" s="67">
        <v>0</v>
      </c>
      <c r="BP1281" s="67">
        <v>0</v>
      </c>
      <c r="BQ1281" s="67">
        <v>3</v>
      </c>
      <c r="BR1281" s="67">
        <v>0</v>
      </c>
      <c r="BS1281" s="67">
        <v>0</v>
      </c>
      <c r="BT1281" s="67">
        <v>6</v>
      </c>
      <c r="BU1281" s="70">
        <v>0</v>
      </c>
      <c r="BV1281" s="29">
        <f t="shared" si="291"/>
        <v>0.88380830245832764</v>
      </c>
      <c r="BW1281">
        <f t="shared" si="292"/>
        <v>0.31476636926356072</v>
      </c>
      <c r="BX1281">
        <f t="shared" si="293"/>
        <v>0.67854260110508058</v>
      </c>
      <c r="BY1281">
        <f t="shared" si="294"/>
        <v>0.32778177112653761</v>
      </c>
      <c r="BZ1281">
        <f t="shared" si="295"/>
        <v>1.01056543769991</v>
      </c>
      <c r="CA1281">
        <f t="shared" si="296"/>
        <v>0.77459235625178136</v>
      </c>
      <c r="CB1281">
        <f t="shared" si="297"/>
        <v>5.8265062631872602E-2</v>
      </c>
    </row>
    <row r="1282" spans="1:80" x14ac:dyDescent="0.45">
      <c r="A1282" s="11">
        <v>37</v>
      </c>
      <c r="B1282" s="12">
        <f t="shared" ref="B1282:B1345" si="300">IF(A1282&gt;$CD$29,$CD$29,IF(A1282&lt;$CD$30,$CD$30,A1282))</f>
        <v>37</v>
      </c>
      <c r="C1282" s="12" t="s">
        <v>59</v>
      </c>
      <c r="D1282" s="12">
        <v>0</v>
      </c>
      <c r="E1282" s="12" t="s">
        <v>53</v>
      </c>
      <c r="F1282" s="12">
        <v>0</v>
      </c>
      <c r="G1282" s="12">
        <v>1</v>
      </c>
      <c r="H1282" s="12" t="s">
        <v>97</v>
      </c>
      <c r="I1282" s="12">
        <v>0</v>
      </c>
      <c r="J1282" s="12">
        <v>0</v>
      </c>
      <c r="K1282" s="12">
        <v>8</v>
      </c>
      <c r="L1282" s="12">
        <f t="shared" ref="L1282:L1345" si="301">IF(K1282&gt;$CD$25,$CD$25,IF(K1282&lt;$CD$26,$CD$26,K1282))</f>
        <v>8</v>
      </c>
      <c r="M1282" s="12">
        <v>2</v>
      </c>
      <c r="N1282" s="12" t="s">
        <v>66</v>
      </c>
      <c r="O1282" s="12">
        <v>0</v>
      </c>
      <c r="P1282" s="12">
        <v>1</v>
      </c>
      <c r="Q1282" s="12">
        <v>0</v>
      </c>
      <c r="R1282" s="12">
        <v>0</v>
      </c>
      <c r="S1282" s="12">
        <v>0</v>
      </c>
      <c r="T1282" s="12">
        <v>3</v>
      </c>
      <c r="U1282" s="12" t="s">
        <v>62</v>
      </c>
      <c r="V1282" s="12">
        <v>0</v>
      </c>
      <c r="W1282" s="12">
        <v>89</v>
      </c>
      <c r="X1282" s="12">
        <v>3</v>
      </c>
      <c r="Y1282" s="12">
        <v>2</v>
      </c>
      <c r="Z1282" s="12" t="s">
        <v>97</v>
      </c>
      <c r="AA1282" s="12">
        <v>0</v>
      </c>
      <c r="AB1282" s="12">
        <v>0</v>
      </c>
      <c r="AC1282" s="12">
        <v>0</v>
      </c>
      <c r="AD1282" s="12">
        <v>0</v>
      </c>
      <c r="AE1282" s="12">
        <v>0</v>
      </c>
      <c r="AF1282" s="12">
        <v>0</v>
      </c>
      <c r="AG1282" s="12">
        <v>0</v>
      </c>
      <c r="AH1282" s="12">
        <v>0</v>
      </c>
      <c r="AI1282" s="12">
        <v>2</v>
      </c>
      <c r="AJ1282" s="12" t="s">
        <v>78</v>
      </c>
      <c r="AK1282" s="12">
        <v>0</v>
      </c>
      <c r="AL1282" s="12">
        <v>0</v>
      </c>
      <c r="AM1282" s="12">
        <v>4071</v>
      </c>
      <c r="AN1282" s="12">
        <f t="shared" ref="AN1282:AN1345" si="302">IF(AM1282&gt;$CD$8,$CD$8,IF(AM1282&lt;$CD$9,$CD$9,AM1282))</f>
        <v>4071</v>
      </c>
      <c r="AO1282" s="12">
        <v>2</v>
      </c>
      <c r="AP1282" s="12" t="s">
        <v>59</v>
      </c>
      <c r="AQ1282" s="12">
        <v>0</v>
      </c>
      <c r="AR1282" s="12">
        <v>13</v>
      </c>
      <c r="AS1282" s="12">
        <v>3</v>
      </c>
      <c r="AT1282" s="12">
        <v>3</v>
      </c>
      <c r="AU1282" s="12">
        <v>0</v>
      </c>
      <c r="AV1282" s="12">
        <v>19</v>
      </c>
      <c r="AW1282" s="12">
        <f t="shared" ref="AW1282:AW1345" si="303">IF(AV1282&gt;$CD$17,$CD$17,IF(AV1282&lt;$CD$18,$CD$18,AV1282))</f>
        <v>19</v>
      </c>
      <c r="AX1282" s="12">
        <v>4</v>
      </c>
      <c r="AY1282" s="12">
        <v>2</v>
      </c>
      <c r="AZ1282" s="12">
        <v>10</v>
      </c>
      <c r="BA1282" s="12">
        <f t="shared" ref="BA1282:BA1345" si="304">IF(AZ1282&gt; $CD$21,$CD$21,IF(AZ1282&lt;$CD$22,$CD$22,AZ1282))</f>
        <v>10</v>
      </c>
      <c r="BB1282" s="12">
        <v>0</v>
      </c>
      <c r="BC1282" s="12">
        <v>4</v>
      </c>
      <c r="BD1282" s="12">
        <f t="shared" si="298"/>
        <v>4</v>
      </c>
      <c r="BE1282" s="12">
        <v>7</v>
      </c>
      <c r="BF1282" s="12">
        <f t="shared" ref="BF1282:BF1345" si="305">IF(BE1282&gt;$CD$12,$CD$12,IF(BE1282&lt;$CD$13,$CD$13,BE1282))</f>
        <v>7</v>
      </c>
      <c r="BG1282" s="12">
        <f t="shared" si="299"/>
        <v>14</v>
      </c>
      <c r="BH1282" s="67">
        <v>1</v>
      </c>
      <c r="BI1282" s="67">
        <v>0</v>
      </c>
      <c r="BJ1282" s="67">
        <v>0</v>
      </c>
      <c r="BK1282" s="67">
        <v>0</v>
      </c>
      <c r="BL1282" s="67">
        <v>1</v>
      </c>
      <c r="BM1282" s="67">
        <v>0</v>
      </c>
      <c r="BN1282" s="67">
        <v>0</v>
      </c>
      <c r="BO1282" s="67">
        <v>0</v>
      </c>
      <c r="BP1282" s="67">
        <v>7</v>
      </c>
      <c r="BQ1282" s="67">
        <v>0</v>
      </c>
      <c r="BR1282" s="67">
        <v>0</v>
      </c>
      <c r="BS1282" s="67">
        <v>19</v>
      </c>
      <c r="BT1282" s="67">
        <v>0</v>
      </c>
      <c r="BU1282" s="70">
        <v>0</v>
      </c>
      <c r="BV1282" s="29">
        <f t="shared" ref="BV1282:BV1345" si="306">ABS((AM1282-AVERAGE(AM:AM))/_xlfn.STDEV.S(AM:AM))</f>
        <v>0.51655769255314077</v>
      </c>
      <c r="BW1282">
        <f t="shared" ref="BW1282:BW1345" si="307">ABS((BE1282-AVERAGE(BE:BE))/_xlfn.STDEV.S(BE:BE))</f>
        <v>0.80626709607243985</v>
      </c>
      <c r="BX1282">
        <f t="shared" ref="BX1282:BX1345" si="308">ABS((AV1282-AVERAGE(AV:AV))/_xlfn.STDEV.S(AV:AV))</f>
        <v>0.99224068804813281</v>
      </c>
      <c r="BY1282">
        <f t="shared" ref="BY1282:BY1345" si="309">ABS((AZ1282-AVERAGE(AZ:AZ))/_xlfn.STDEV.S(AZ:AZ))</f>
        <v>0.48834154112957734</v>
      </c>
      <c r="BZ1282">
        <f t="shared" ref="BZ1282:BZ1345" si="310">ABS((K1282-AVERAGE(K:K))/_xlfn.STDEV.S(K:K))</f>
        <v>0.14709966057360641</v>
      </c>
      <c r="CA1282">
        <f t="shared" ref="CA1282:CA1345" si="311">ABS((A1282-AVERAGE(A:A))/_xlfn.STDEV.S(A:A))</f>
        <v>8.3401599596422994E-3</v>
      </c>
      <c r="CB1282">
        <f t="shared" ref="CB1282:CB1345" si="312">ABS((BC1282-AVERAGE(BC:BC))/_xlfn.STDEV.S(BC:BC))</f>
        <v>0.56238451757720498</v>
      </c>
    </row>
    <row r="1283" spans="1:80" x14ac:dyDescent="0.45">
      <c r="A1283" s="11">
        <v>35</v>
      </c>
      <c r="B1283" s="12">
        <f t="shared" si="300"/>
        <v>35</v>
      </c>
      <c r="C1283" s="12" t="s">
        <v>52</v>
      </c>
      <c r="D1283" s="12">
        <v>1</v>
      </c>
      <c r="E1283" s="12" t="s">
        <v>53</v>
      </c>
      <c r="F1283" s="12">
        <v>0</v>
      </c>
      <c r="G1283" s="12">
        <v>1</v>
      </c>
      <c r="H1283" s="12" t="s">
        <v>54</v>
      </c>
      <c r="I1283" s="12">
        <v>0</v>
      </c>
      <c r="J1283" s="12">
        <v>1</v>
      </c>
      <c r="K1283" s="12">
        <v>27</v>
      </c>
      <c r="L1283" s="12">
        <f t="shared" si="301"/>
        <v>27</v>
      </c>
      <c r="M1283" s="12">
        <v>3</v>
      </c>
      <c r="N1283" s="12" t="s">
        <v>55</v>
      </c>
      <c r="O1283" s="12">
        <v>1</v>
      </c>
      <c r="P1283" s="12">
        <v>0</v>
      </c>
      <c r="Q1283" s="12">
        <v>0</v>
      </c>
      <c r="R1283" s="12">
        <v>0</v>
      </c>
      <c r="S1283" s="12">
        <v>0</v>
      </c>
      <c r="T1283" s="12">
        <v>3</v>
      </c>
      <c r="U1283" s="12" t="s">
        <v>62</v>
      </c>
      <c r="V1283" s="12">
        <v>0</v>
      </c>
      <c r="W1283" s="12">
        <v>84</v>
      </c>
      <c r="X1283" s="12">
        <v>3</v>
      </c>
      <c r="Y1283" s="12">
        <v>2</v>
      </c>
      <c r="Z1283" s="12" t="s">
        <v>56</v>
      </c>
      <c r="AA1283" s="12">
        <v>0</v>
      </c>
      <c r="AB1283" s="12">
        <v>1</v>
      </c>
      <c r="AC1283" s="12">
        <v>0</v>
      </c>
      <c r="AD1283" s="12">
        <v>0</v>
      </c>
      <c r="AE1283" s="12">
        <v>0</v>
      </c>
      <c r="AF1283" s="12">
        <v>0</v>
      </c>
      <c r="AG1283" s="12">
        <v>0</v>
      </c>
      <c r="AH1283" s="12">
        <v>0</v>
      </c>
      <c r="AI1283" s="12">
        <v>4</v>
      </c>
      <c r="AJ1283" s="12" t="s">
        <v>57</v>
      </c>
      <c r="AK1283" s="12">
        <v>1</v>
      </c>
      <c r="AL1283" s="12">
        <v>0</v>
      </c>
      <c r="AM1283" s="12">
        <v>5813</v>
      </c>
      <c r="AN1283" s="12">
        <f t="shared" si="302"/>
        <v>5813</v>
      </c>
      <c r="AO1283" s="12">
        <v>1</v>
      </c>
      <c r="AP1283" s="12" t="s">
        <v>52</v>
      </c>
      <c r="AQ1283" s="12">
        <v>1</v>
      </c>
      <c r="AR1283" s="12">
        <v>18</v>
      </c>
      <c r="AS1283" s="12">
        <v>3</v>
      </c>
      <c r="AT1283" s="12">
        <v>4</v>
      </c>
      <c r="AU1283" s="12">
        <v>0</v>
      </c>
      <c r="AV1283" s="12">
        <v>10</v>
      </c>
      <c r="AW1283" s="12">
        <f t="shared" si="303"/>
        <v>10</v>
      </c>
      <c r="AX1283" s="12">
        <v>2</v>
      </c>
      <c r="AY1283" s="12">
        <v>3</v>
      </c>
      <c r="AZ1283" s="12">
        <v>10</v>
      </c>
      <c r="BA1283" s="12">
        <f t="shared" si="304"/>
        <v>10</v>
      </c>
      <c r="BB1283" s="12">
        <v>7</v>
      </c>
      <c r="BC1283" s="12">
        <v>7</v>
      </c>
      <c r="BD1283" s="12">
        <f t="shared" ref="BD1283:BD1346" si="313">IF(BC1283&gt;$CD$33,$CD$33,BC1283)</f>
        <v>7</v>
      </c>
      <c r="BE1283" s="12">
        <v>7</v>
      </c>
      <c r="BF1283" s="12">
        <f t="shared" si="305"/>
        <v>7</v>
      </c>
      <c r="BG1283" s="12">
        <f t="shared" ref="BG1283:BG1346" si="314">BF1283*Y1283</f>
        <v>14</v>
      </c>
      <c r="BH1283" s="67">
        <v>1</v>
      </c>
      <c r="BI1283" s="67">
        <v>0</v>
      </c>
      <c r="BJ1283" s="67">
        <v>0</v>
      </c>
      <c r="BK1283" s="67">
        <v>0</v>
      </c>
      <c r="BL1283" s="67">
        <v>0</v>
      </c>
      <c r="BM1283" s="67">
        <v>1</v>
      </c>
      <c r="BN1283" s="67">
        <v>0</v>
      </c>
      <c r="BO1283" s="67">
        <v>0</v>
      </c>
      <c r="BP1283" s="67">
        <v>0</v>
      </c>
      <c r="BQ1283" s="67">
        <v>0</v>
      </c>
      <c r="BR1283" s="67">
        <v>7</v>
      </c>
      <c r="BS1283" s="67">
        <v>0</v>
      </c>
      <c r="BT1283" s="67">
        <v>0</v>
      </c>
      <c r="BU1283" s="70">
        <v>10</v>
      </c>
      <c r="BV1283" s="29">
        <f t="shared" si="306"/>
        <v>0.14654579986671182</v>
      </c>
      <c r="BW1283">
        <f t="shared" si="307"/>
        <v>0.80626709607243985</v>
      </c>
      <c r="BX1283">
        <f t="shared" si="308"/>
        <v>0.1644554352117841</v>
      </c>
      <c r="BY1283">
        <f t="shared" si="309"/>
        <v>0.48834154112957734</v>
      </c>
      <c r="BZ1283">
        <f t="shared" si="310"/>
        <v>2.1965931630549322</v>
      </c>
      <c r="CA1283">
        <f t="shared" si="311"/>
        <v>0.21058903898096887</v>
      </c>
      <c r="CB1283">
        <f t="shared" si="312"/>
        <v>1.4933588878908215</v>
      </c>
    </row>
    <row r="1284" spans="1:80" x14ac:dyDescent="0.45">
      <c r="A1284" s="11">
        <v>33</v>
      </c>
      <c r="B1284" s="12">
        <f t="shared" si="300"/>
        <v>33</v>
      </c>
      <c r="C1284" s="12" t="s">
        <v>59</v>
      </c>
      <c r="D1284" s="12">
        <v>0</v>
      </c>
      <c r="E1284" s="12" t="s">
        <v>53</v>
      </c>
      <c r="F1284" s="12">
        <v>0</v>
      </c>
      <c r="G1284" s="12">
        <v>1</v>
      </c>
      <c r="H1284" s="12" t="s">
        <v>61</v>
      </c>
      <c r="I1284" s="12">
        <v>1</v>
      </c>
      <c r="J1284" s="12">
        <v>0</v>
      </c>
      <c r="K1284" s="12">
        <v>8</v>
      </c>
      <c r="L1284" s="12">
        <f t="shared" si="301"/>
        <v>8</v>
      </c>
      <c r="M1284" s="12">
        <v>4</v>
      </c>
      <c r="N1284" s="12" t="s">
        <v>55</v>
      </c>
      <c r="O1284" s="12">
        <v>1</v>
      </c>
      <c r="P1284" s="12">
        <v>0</v>
      </c>
      <c r="Q1284" s="12">
        <v>0</v>
      </c>
      <c r="R1284" s="12">
        <v>0</v>
      </c>
      <c r="S1284" s="12">
        <v>0</v>
      </c>
      <c r="T1284" s="12">
        <v>4</v>
      </c>
      <c r="U1284" s="12" t="s">
        <v>62</v>
      </c>
      <c r="V1284" s="12">
        <v>0</v>
      </c>
      <c r="W1284" s="12">
        <v>90</v>
      </c>
      <c r="X1284" s="12">
        <v>4</v>
      </c>
      <c r="Y1284" s="12">
        <v>1</v>
      </c>
      <c r="Z1284" s="12" t="s">
        <v>63</v>
      </c>
      <c r="AA1284" s="12">
        <v>0</v>
      </c>
      <c r="AB1284" s="12">
        <v>0</v>
      </c>
      <c r="AC1284" s="12">
        <v>0</v>
      </c>
      <c r="AD1284" s="12">
        <v>0</v>
      </c>
      <c r="AE1284" s="12">
        <v>0</v>
      </c>
      <c r="AF1284" s="12">
        <v>0</v>
      </c>
      <c r="AG1284" s="12">
        <v>0</v>
      </c>
      <c r="AH1284" s="12">
        <v>1</v>
      </c>
      <c r="AI1284" s="12">
        <v>1</v>
      </c>
      <c r="AJ1284" s="12" t="s">
        <v>64</v>
      </c>
      <c r="AK1284" s="12">
        <v>0</v>
      </c>
      <c r="AL1284" s="12">
        <v>1</v>
      </c>
      <c r="AM1284" s="12">
        <v>3143</v>
      </c>
      <c r="AN1284" s="12">
        <f t="shared" si="302"/>
        <v>3143</v>
      </c>
      <c r="AO1284" s="12">
        <v>6</v>
      </c>
      <c r="AP1284" s="12" t="s">
        <v>59</v>
      </c>
      <c r="AQ1284" s="12">
        <v>0</v>
      </c>
      <c r="AR1284" s="12">
        <v>19</v>
      </c>
      <c r="AS1284" s="12">
        <v>3</v>
      </c>
      <c r="AT1284" s="12">
        <v>2</v>
      </c>
      <c r="AU1284" s="12">
        <v>1</v>
      </c>
      <c r="AV1284" s="12">
        <v>14</v>
      </c>
      <c r="AW1284" s="12">
        <f t="shared" si="303"/>
        <v>14</v>
      </c>
      <c r="AX1284" s="12">
        <v>1</v>
      </c>
      <c r="AY1284" s="12">
        <v>3</v>
      </c>
      <c r="AZ1284" s="12">
        <v>10</v>
      </c>
      <c r="BA1284" s="12">
        <f t="shared" si="304"/>
        <v>10</v>
      </c>
      <c r="BB1284" s="12">
        <v>8</v>
      </c>
      <c r="BC1284" s="12">
        <v>7</v>
      </c>
      <c r="BD1284" s="12">
        <f t="shared" si="313"/>
        <v>7</v>
      </c>
      <c r="BE1284" s="12">
        <v>6</v>
      </c>
      <c r="BF1284" s="12">
        <f t="shared" si="305"/>
        <v>6</v>
      </c>
      <c r="BG1284" s="12">
        <f t="shared" si="314"/>
        <v>6</v>
      </c>
      <c r="BH1284" s="67">
        <v>0</v>
      </c>
      <c r="BI1284" s="67">
        <v>1</v>
      </c>
      <c r="BJ1284" s="67">
        <v>0</v>
      </c>
      <c r="BK1284" s="67">
        <v>0</v>
      </c>
      <c r="BL1284" s="67">
        <v>0</v>
      </c>
      <c r="BM1284" s="67">
        <v>0</v>
      </c>
      <c r="BN1284" s="67">
        <v>1</v>
      </c>
      <c r="BO1284" s="67">
        <v>0</v>
      </c>
      <c r="BP1284" s="67">
        <v>0</v>
      </c>
      <c r="BQ1284" s="67">
        <v>6</v>
      </c>
      <c r="BR1284" s="67">
        <v>0</v>
      </c>
      <c r="BS1284" s="67">
        <v>0</v>
      </c>
      <c r="BT1284" s="67">
        <v>14</v>
      </c>
      <c r="BU1284" s="70">
        <v>0</v>
      </c>
      <c r="BV1284" s="29">
        <f t="shared" si="306"/>
        <v>0.71367080186026244</v>
      </c>
      <c r="BW1284">
        <f t="shared" si="307"/>
        <v>0.52600872973843971</v>
      </c>
      <c r="BX1284">
        <f t="shared" si="308"/>
        <v>0.34963173068151232</v>
      </c>
      <c r="BY1284">
        <f t="shared" si="309"/>
        <v>0.48834154112957734</v>
      </c>
      <c r="BZ1284">
        <f t="shared" si="310"/>
        <v>0.14709966057360641</v>
      </c>
      <c r="CA1284">
        <f t="shared" si="311"/>
        <v>0.42951823792158</v>
      </c>
      <c r="CB1284">
        <f t="shared" si="312"/>
        <v>1.4933588878908215</v>
      </c>
    </row>
    <row r="1285" spans="1:80" x14ac:dyDescent="0.45">
      <c r="A1285" s="11">
        <v>28</v>
      </c>
      <c r="B1285" s="12">
        <f t="shared" si="300"/>
        <v>28</v>
      </c>
      <c r="C1285" s="12" t="s">
        <v>59</v>
      </c>
      <c r="D1285" s="12">
        <v>0</v>
      </c>
      <c r="E1285" s="12" t="s">
        <v>53</v>
      </c>
      <c r="F1285" s="12">
        <v>0</v>
      </c>
      <c r="G1285" s="12">
        <v>1</v>
      </c>
      <c r="H1285" s="12" t="s">
        <v>61</v>
      </c>
      <c r="I1285" s="12">
        <v>1</v>
      </c>
      <c r="J1285" s="12">
        <v>0</v>
      </c>
      <c r="K1285" s="12">
        <v>1</v>
      </c>
      <c r="L1285" s="12">
        <f t="shared" si="301"/>
        <v>1</v>
      </c>
      <c r="M1285" s="12">
        <v>3</v>
      </c>
      <c r="N1285" s="12" t="s">
        <v>55</v>
      </c>
      <c r="O1285" s="12">
        <v>1</v>
      </c>
      <c r="P1285" s="12">
        <v>0</v>
      </c>
      <c r="Q1285" s="12">
        <v>0</v>
      </c>
      <c r="R1285" s="12">
        <v>0</v>
      </c>
      <c r="S1285" s="12">
        <v>0</v>
      </c>
      <c r="T1285" s="12">
        <v>3</v>
      </c>
      <c r="U1285" s="12" t="s">
        <v>62</v>
      </c>
      <c r="V1285" s="12">
        <v>0</v>
      </c>
      <c r="W1285" s="12">
        <v>82</v>
      </c>
      <c r="X1285" s="12">
        <v>3</v>
      </c>
      <c r="Y1285" s="12">
        <v>1</v>
      </c>
      <c r="Z1285" s="12" t="s">
        <v>63</v>
      </c>
      <c r="AA1285" s="12">
        <v>0</v>
      </c>
      <c r="AB1285" s="12">
        <v>0</v>
      </c>
      <c r="AC1285" s="12">
        <v>0</v>
      </c>
      <c r="AD1285" s="12">
        <v>0</v>
      </c>
      <c r="AE1285" s="12">
        <v>0</v>
      </c>
      <c r="AF1285" s="12">
        <v>0</v>
      </c>
      <c r="AG1285" s="12">
        <v>0</v>
      </c>
      <c r="AH1285" s="12">
        <v>1</v>
      </c>
      <c r="AI1285" s="12">
        <v>4</v>
      </c>
      <c r="AJ1285" s="12" t="s">
        <v>64</v>
      </c>
      <c r="AK1285" s="12">
        <v>0</v>
      </c>
      <c r="AL1285" s="12">
        <v>1</v>
      </c>
      <c r="AM1285" s="12">
        <v>2044</v>
      </c>
      <c r="AN1285" s="12">
        <f t="shared" si="302"/>
        <v>2044</v>
      </c>
      <c r="AO1285" s="12">
        <v>1</v>
      </c>
      <c r="AP1285" s="12" t="s">
        <v>59</v>
      </c>
      <c r="AQ1285" s="12">
        <v>0</v>
      </c>
      <c r="AR1285" s="12">
        <v>11</v>
      </c>
      <c r="AS1285" s="12">
        <v>3</v>
      </c>
      <c r="AT1285" s="12">
        <v>3</v>
      </c>
      <c r="AU1285" s="12">
        <v>1</v>
      </c>
      <c r="AV1285" s="12">
        <v>5</v>
      </c>
      <c r="AW1285" s="12">
        <f t="shared" si="303"/>
        <v>5</v>
      </c>
      <c r="AX1285" s="12">
        <v>6</v>
      </c>
      <c r="AY1285" s="12">
        <v>4</v>
      </c>
      <c r="AZ1285" s="12">
        <v>5</v>
      </c>
      <c r="BA1285" s="12">
        <f t="shared" si="304"/>
        <v>5</v>
      </c>
      <c r="BB1285" s="12">
        <v>3</v>
      </c>
      <c r="BC1285" s="12">
        <v>0</v>
      </c>
      <c r="BD1285" s="12">
        <f t="shared" si="313"/>
        <v>0</v>
      </c>
      <c r="BE1285" s="12">
        <v>3</v>
      </c>
      <c r="BF1285" s="12">
        <f t="shared" si="305"/>
        <v>3</v>
      </c>
      <c r="BG1285" s="12">
        <f t="shared" si="314"/>
        <v>3</v>
      </c>
      <c r="BH1285" s="67">
        <v>0</v>
      </c>
      <c r="BI1285" s="67">
        <v>1</v>
      </c>
      <c r="BJ1285" s="67">
        <v>0</v>
      </c>
      <c r="BK1285" s="67">
        <v>0</v>
      </c>
      <c r="BL1285" s="67">
        <v>0</v>
      </c>
      <c r="BM1285" s="67">
        <v>0</v>
      </c>
      <c r="BN1285" s="67">
        <v>1</v>
      </c>
      <c r="BO1285" s="67">
        <v>0</v>
      </c>
      <c r="BP1285" s="67">
        <v>0</v>
      </c>
      <c r="BQ1285" s="67">
        <v>3</v>
      </c>
      <c r="BR1285" s="67">
        <v>0</v>
      </c>
      <c r="BS1285" s="67">
        <v>0</v>
      </c>
      <c r="BT1285" s="67">
        <v>5</v>
      </c>
      <c r="BU1285" s="70">
        <v>0</v>
      </c>
      <c r="BV1285" s="29">
        <f t="shared" si="306"/>
        <v>0.94710540005910593</v>
      </c>
      <c r="BW1285">
        <f t="shared" si="307"/>
        <v>0.31476636926356072</v>
      </c>
      <c r="BX1285">
        <f t="shared" si="308"/>
        <v>0.80706439257840468</v>
      </c>
      <c r="BY1285">
        <f t="shared" si="309"/>
        <v>0.32778177112653761</v>
      </c>
      <c r="BZ1285">
        <f t="shared" si="310"/>
        <v>1.01056543769991</v>
      </c>
      <c r="CA1285">
        <f t="shared" si="311"/>
        <v>0.97684123527310796</v>
      </c>
      <c r="CB1285">
        <f t="shared" si="312"/>
        <v>0.67891464284095016</v>
      </c>
    </row>
    <row r="1286" spans="1:80" x14ac:dyDescent="0.45">
      <c r="A1286" s="11">
        <v>39</v>
      </c>
      <c r="B1286" s="12">
        <f t="shared" si="300"/>
        <v>39</v>
      </c>
      <c r="C1286" s="12" t="s">
        <v>59</v>
      </c>
      <c r="D1286" s="12">
        <v>0</v>
      </c>
      <c r="E1286" s="12" t="s">
        <v>53</v>
      </c>
      <c r="F1286" s="12">
        <v>0</v>
      </c>
      <c r="G1286" s="12">
        <v>1</v>
      </c>
      <c r="H1286" s="12" t="s">
        <v>61</v>
      </c>
      <c r="I1286" s="12">
        <v>1</v>
      </c>
      <c r="J1286" s="12">
        <v>0</v>
      </c>
      <c r="K1286" s="12">
        <v>10</v>
      </c>
      <c r="L1286" s="12">
        <f t="shared" si="301"/>
        <v>10</v>
      </c>
      <c r="M1286" s="12">
        <v>1</v>
      </c>
      <c r="N1286" s="12" t="s">
        <v>70</v>
      </c>
      <c r="O1286" s="12">
        <v>0</v>
      </c>
      <c r="P1286" s="12">
        <v>0</v>
      </c>
      <c r="Q1286" s="12">
        <v>1</v>
      </c>
      <c r="R1286" s="12">
        <v>0</v>
      </c>
      <c r="S1286" s="12">
        <v>0</v>
      </c>
      <c r="T1286" s="12">
        <v>3</v>
      </c>
      <c r="U1286" s="12" t="s">
        <v>62</v>
      </c>
      <c r="V1286" s="12">
        <v>0</v>
      </c>
      <c r="W1286" s="12">
        <v>65</v>
      </c>
      <c r="X1286" s="12">
        <v>3</v>
      </c>
      <c r="Y1286" s="12">
        <v>3</v>
      </c>
      <c r="Z1286" s="12" t="s">
        <v>89</v>
      </c>
      <c r="AA1286" s="12">
        <v>0</v>
      </c>
      <c r="AB1286" s="12">
        <v>0</v>
      </c>
      <c r="AC1286" s="12">
        <v>0</v>
      </c>
      <c r="AD1286" s="12">
        <v>0</v>
      </c>
      <c r="AE1286" s="12">
        <v>0</v>
      </c>
      <c r="AF1286" s="12">
        <v>0</v>
      </c>
      <c r="AG1286" s="12">
        <v>0</v>
      </c>
      <c r="AH1286" s="12">
        <v>0</v>
      </c>
      <c r="AI1286" s="12">
        <v>3</v>
      </c>
      <c r="AJ1286" s="12" t="s">
        <v>57</v>
      </c>
      <c r="AK1286" s="12">
        <v>1</v>
      </c>
      <c r="AL1286" s="12">
        <v>0</v>
      </c>
      <c r="AM1286" s="12">
        <v>13464</v>
      </c>
      <c r="AN1286" s="12">
        <f t="shared" si="302"/>
        <v>13464</v>
      </c>
      <c r="AO1286" s="12">
        <v>7</v>
      </c>
      <c r="AP1286" s="12" t="s">
        <v>59</v>
      </c>
      <c r="AQ1286" s="12">
        <v>0</v>
      </c>
      <c r="AR1286" s="12">
        <v>21</v>
      </c>
      <c r="AS1286" s="12">
        <v>4</v>
      </c>
      <c r="AT1286" s="12">
        <v>3</v>
      </c>
      <c r="AU1286" s="12">
        <v>0</v>
      </c>
      <c r="AV1286" s="12">
        <v>9</v>
      </c>
      <c r="AW1286" s="12">
        <f t="shared" si="303"/>
        <v>9</v>
      </c>
      <c r="AX1286" s="12">
        <v>3</v>
      </c>
      <c r="AY1286" s="12">
        <v>3</v>
      </c>
      <c r="AZ1286" s="12">
        <v>4</v>
      </c>
      <c r="BA1286" s="12">
        <f t="shared" si="304"/>
        <v>4</v>
      </c>
      <c r="BB1286" s="12">
        <v>3</v>
      </c>
      <c r="BC1286" s="12">
        <v>2</v>
      </c>
      <c r="BD1286" s="12">
        <f t="shared" si="313"/>
        <v>2</v>
      </c>
      <c r="BE1286" s="12">
        <v>2</v>
      </c>
      <c r="BF1286" s="12">
        <f t="shared" si="305"/>
        <v>2</v>
      </c>
      <c r="BG1286" s="12">
        <f t="shared" si="314"/>
        <v>6</v>
      </c>
      <c r="BH1286" s="67">
        <v>1</v>
      </c>
      <c r="BI1286" s="67">
        <v>0</v>
      </c>
      <c r="BJ1286" s="67">
        <v>0</v>
      </c>
      <c r="BK1286" s="67">
        <v>0</v>
      </c>
      <c r="BL1286" s="67">
        <v>1</v>
      </c>
      <c r="BM1286" s="67">
        <v>0</v>
      </c>
      <c r="BN1286" s="67">
        <v>0</v>
      </c>
      <c r="BO1286" s="67">
        <v>0</v>
      </c>
      <c r="BP1286" s="67">
        <v>0</v>
      </c>
      <c r="BQ1286" s="67">
        <v>2</v>
      </c>
      <c r="BR1286" s="67">
        <v>0</v>
      </c>
      <c r="BS1286" s="67">
        <v>0</v>
      </c>
      <c r="BT1286" s="67">
        <v>9</v>
      </c>
      <c r="BU1286" s="70">
        <v>0</v>
      </c>
      <c r="BV1286" s="29">
        <f t="shared" si="306"/>
        <v>1.4785753200781031</v>
      </c>
      <c r="BW1286">
        <f t="shared" si="307"/>
        <v>0.59502473559756086</v>
      </c>
      <c r="BX1286">
        <f t="shared" si="308"/>
        <v>0.29297722668510823</v>
      </c>
      <c r="BY1286">
        <f t="shared" si="309"/>
        <v>0.49100643357776058</v>
      </c>
      <c r="BZ1286">
        <f t="shared" si="310"/>
        <v>9.9604847176766084E-2</v>
      </c>
      <c r="CA1286">
        <f t="shared" si="311"/>
        <v>0.22726935890025346</v>
      </c>
      <c r="CB1286">
        <f t="shared" si="312"/>
        <v>5.8265062631872602E-2</v>
      </c>
    </row>
    <row r="1287" spans="1:80" x14ac:dyDescent="0.45">
      <c r="A1287" s="11">
        <v>46</v>
      </c>
      <c r="B1287" s="12">
        <f t="shared" si="300"/>
        <v>46</v>
      </c>
      <c r="C1287" s="12" t="s">
        <v>59</v>
      </c>
      <c r="D1287" s="12">
        <v>0</v>
      </c>
      <c r="E1287" s="12" t="s">
        <v>86</v>
      </c>
      <c r="F1287" s="12">
        <v>0</v>
      </c>
      <c r="G1287" s="12">
        <v>0</v>
      </c>
      <c r="H1287" s="12" t="s">
        <v>54</v>
      </c>
      <c r="I1287" s="12">
        <v>0</v>
      </c>
      <c r="J1287" s="12">
        <v>1</v>
      </c>
      <c r="K1287" s="12">
        <v>26</v>
      </c>
      <c r="L1287" s="12">
        <f t="shared" si="301"/>
        <v>26</v>
      </c>
      <c r="M1287" s="12">
        <v>2</v>
      </c>
      <c r="N1287" s="12" t="s">
        <v>55</v>
      </c>
      <c r="O1287" s="12">
        <v>1</v>
      </c>
      <c r="P1287" s="12">
        <v>0</v>
      </c>
      <c r="Q1287" s="12">
        <v>0</v>
      </c>
      <c r="R1287" s="12">
        <v>0</v>
      </c>
      <c r="S1287" s="12">
        <v>0</v>
      </c>
      <c r="T1287" s="12">
        <v>2</v>
      </c>
      <c r="U1287" s="12" t="s">
        <v>62</v>
      </c>
      <c r="V1287" s="12">
        <v>0</v>
      </c>
      <c r="W1287" s="12">
        <v>98</v>
      </c>
      <c r="X1287" s="12">
        <v>2</v>
      </c>
      <c r="Y1287" s="12">
        <v>2</v>
      </c>
      <c r="Z1287" s="12" t="s">
        <v>56</v>
      </c>
      <c r="AA1287" s="12">
        <v>0</v>
      </c>
      <c r="AB1287" s="12">
        <v>1</v>
      </c>
      <c r="AC1287" s="12">
        <v>0</v>
      </c>
      <c r="AD1287" s="12">
        <v>0</v>
      </c>
      <c r="AE1287" s="12">
        <v>0</v>
      </c>
      <c r="AF1287" s="12">
        <v>0</v>
      </c>
      <c r="AG1287" s="12">
        <v>0</v>
      </c>
      <c r="AH1287" s="12">
        <v>0</v>
      </c>
      <c r="AI1287" s="12">
        <v>2</v>
      </c>
      <c r="AJ1287" s="12" t="s">
        <v>57</v>
      </c>
      <c r="AK1287" s="12">
        <v>1</v>
      </c>
      <c r="AL1287" s="12">
        <v>0</v>
      </c>
      <c r="AM1287" s="12">
        <v>7991</v>
      </c>
      <c r="AN1287" s="12">
        <f t="shared" si="302"/>
        <v>7991</v>
      </c>
      <c r="AO1287" s="12">
        <v>8</v>
      </c>
      <c r="AP1287" s="12" t="s">
        <v>59</v>
      </c>
      <c r="AQ1287" s="12">
        <v>0</v>
      </c>
      <c r="AR1287" s="12">
        <v>15</v>
      </c>
      <c r="AS1287" s="12">
        <v>3</v>
      </c>
      <c r="AT1287" s="12">
        <v>3</v>
      </c>
      <c r="AU1287" s="12">
        <v>0</v>
      </c>
      <c r="AV1287" s="12">
        <v>6</v>
      </c>
      <c r="AW1287" s="12">
        <f t="shared" si="303"/>
        <v>6</v>
      </c>
      <c r="AX1287" s="12">
        <v>3</v>
      </c>
      <c r="AY1287" s="12">
        <v>3</v>
      </c>
      <c r="AZ1287" s="12">
        <v>2</v>
      </c>
      <c r="BA1287" s="12">
        <f t="shared" si="304"/>
        <v>2</v>
      </c>
      <c r="BB1287" s="12">
        <v>2</v>
      </c>
      <c r="BC1287" s="12">
        <v>2</v>
      </c>
      <c r="BD1287" s="12">
        <f t="shared" si="313"/>
        <v>2</v>
      </c>
      <c r="BE1287" s="12">
        <v>2</v>
      </c>
      <c r="BF1287" s="12">
        <f t="shared" si="305"/>
        <v>2</v>
      </c>
      <c r="BG1287" s="12">
        <f t="shared" si="314"/>
        <v>4</v>
      </c>
      <c r="BH1287" s="67">
        <v>1</v>
      </c>
      <c r="BI1287" s="67">
        <v>0</v>
      </c>
      <c r="BJ1287" s="67">
        <v>0</v>
      </c>
      <c r="BK1287" s="67">
        <v>0</v>
      </c>
      <c r="BL1287" s="67">
        <v>1</v>
      </c>
      <c r="BM1287" s="67">
        <v>0</v>
      </c>
      <c r="BN1287" s="67">
        <v>0</v>
      </c>
      <c r="BO1287" s="67">
        <v>0</v>
      </c>
      <c r="BP1287" s="67">
        <v>0</v>
      </c>
      <c r="BQ1287" s="67">
        <v>0</v>
      </c>
      <c r="BR1287" s="67">
        <v>2</v>
      </c>
      <c r="BS1287" s="67">
        <v>0</v>
      </c>
      <c r="BT1287" s="67">
        <v>0</v>
      </c>
      <c r="BU1287" s="70">
        <v>6</v>
      </c>
      <c r="BV1287" s="29">
        <f t="shared" si="306"/>
        <v>0.31607526917521822</v>
      </c>
      <c r="BW1287">
        <f t="shared" si="307"/>
        <v>0.59502473559756086</v>
      </c>
      <c r="BX1287">
        <f t="shared" si="308"/>
        <v>0.67854260110508058</v>
      </c>
      <c r="BY1287">
        <f t="shared" si="309"/>
        <v>0.81745575848020657</v>
      </c>
      <c r="BZ1287">
        <f t="shared" si="310"/>
        <v>2.0732409091797459</v>
      </c>
      <c r="CA1287">
        <f t="shared" si="311"/>
        <v>0.99352155519239249</v>
      </c>
      <c r="CB1287">
        <f t="shared" si="312"/>
        <v>5.8265062631872602E-2</v>
      </c>
    </row>
    <row r="1288" spans="1:80" x14ac:dyDescent="0.45">
      <c r="A1288" s="11">
        <v>40</v>
      </c>
      <c r="B1288" s="12">
        <f t="shared" si="300"/>
        <v>40</v>
      </c>
      <c r="C1288" s="12" t="s">
        <v>59</v>
      </c>
      <c r="D1288" s="12">
        <v>0</v>
      </c>
      <c r="E1288" s="12" t="s">
        <v>53</v>
      </c>
      <c r="F1288" s="12">
        <v>0</v>
      </c>
      <c r="G1288" s="12">
        <v>1</v>
      </c>
      <c r="H1288" s="12" t="s">
        <v>61</v>
      </c>
      <c r="I1288" s="12">
        <v>1</v>
      </c>
      <c r="J1288" s="12">
        <v>0</v>
      </c>
      <c r="K1288" s="12">
        <v>2</v>
      </c>
      <c r="L1288" s="12">
        <f t="shared" si="301"/>
        <v>2</v>
      </c>
      <c r="M1288" s="12">
        <v>2</v>
      </c>
      <c r="N1288" s="12" t="s">
        <v>55</v>
      </c>
      <c r="O1288" s="12">
        <v>1</v>
      </c>
      <c r="P1288" s="12">
        <v>0</v>
      </c>
      <c r="Q1288" s="12">
        <v>0</v>
      </c>
      <c r="R1288" s="12">
        <v>0</v>
      </c>
      <c r="S1288" s="12">
        <v>0</v>
      </c>
      <c r="T1288" s="12">
        <v>3</v>
      </c>
      <c r="U1288" s="12" t="s">
        <v>19</v>
      </c>
      <c r="V1288" s="12">
        <v>1</v>
      </c>
      <c r="W1288" s="12">
        <v>99</v>
      </c>
      <c r="X1288" s="12">
        <v>3</v>
      </c>
      <c r="Y1288" s="12">
        <v>1</v>
      </c>
      <c r="Z1288" s="12" t="s">
        <v>67</v>
      </c>
      <c r="AA1288" s="12">
        <v>0</v>
      </c>
      <c r="AB1288" s="12">
        <v>0</v>
      </c>
      <c r="AC1288" s="12">
        <v>1</v>
      </c>
      <c r="AD1288" s="12">
        <v>0</v>
      </c>
      <c r="AE1288" s="12">
        <v>0</v>
      </c>
      <c r="AF1288" s="12">
        <v>0</v>
      </c>
      <c r="AG1288" s="12">
        <v>0</v>
      </c>
      <c r="AH1288" s="12">
        <v>0</v>
      </c>
      <c r="AI1288" s="12">
        <v>1</v>
      </c>
      <c r="AJ1288" s="12" t="s">
        <v>64</v>
      </c>
      <c r="AK1288" s="12">
        <v>0</v>
      </c>
      <c r="AL1288" s="12">
        <v>1</v>
      </c>
      <c r="AM1288" s="12">
        <v>3377</v>
      </c>
      <c r="AN1288" s="12">
        <f t="shared" si="302"/>
        <v>3377</v>
      </c>
      <c r="AO1288" s="12">
        <v>4</v>
      </c>
      <c r="AP1288" s="12" t="s">
        <v>59</v>
      </c>
      <c r="AQ1288" s="12">
        <v>0</v>
      </c>
      <c r="AR1288" s="12">
        <v>17</v>
      </c>
      <c r="AS1288" s="12">
        <v>3</v>
      </c>
      <c r="AT1288" s="12">
        <v>4</v>
      </c>
      <c r="AU1288" s="12">
        <v>1</v>
      </c>
      <c r="AV1288" s="12">
        <v>7</v>
      </c>
      <c r="AW1288" s="12">
        <f t="shared" si="303"/>
        <v>7</v>
      </c>
      <c r="AX1288" s="12">
        <v>5</v>
      </c>
      <c r="AY1288" s="12">
        <v>2</v>
      </c>
      <c r="AZ1288" s="12">
        <v>4</v>
      </c>
      <c r="BA1288" s="12">
        <f t="shared" si="304"/>
        <v>4</v>
      </c>
      <c r="BB1288" s="12">
        <v>3</v>
      </c>
      <c r="BC1288" s="12">
        <v>0</v>
      </c>
      <c r="BD1288" s="12">
        <f t="shared" si="313"/>
        <v>0</v>
      </c>
      <c r="BE1288" s="12">
        <v>2</v>
      </c>
      <c r="BF1288" s="12">
        <f t="shared" si="305"/>
        <v>2</v>
      </c>
      <c r="BG1288" s="12">
        <f t="shared" si="314"/>
        <v>2</v>
      </c>
      <c r="BH1288" s="67">
        <v>0</v>
      </c>
      <c r="BI1288" s="67">
        <v>1</v>
      </c>
      <c r="BJ1288" s="67">
        <v>0</v>
      </c>
      <c r="BK1288" s="67">
        <v>0</v>
      </c>
      <c r="BL1288" s="67">
        <v>0</v>
      </c>
      <c r="BM1288" s="67">
        <v>0</v>
      </c>
      <c r="BN1288" s="67">
        <v>1</v>
      </c>
      <c r="BO1288" s="67">
        <v>0</v>
      </c>
      <c r="BP1288" s="67">
        <v>0</v>
      </c>
      <c r="BQ1288" s="67">
        <v>2</v>
      </c>
      <c r="BR1288" s="67">
        <v>0</v>
      </c>
      <c r="BS1288" s="67">
        <v>0</v>
      </c>
      <c r="BT1288" s="67">
        <v>7</v>
      </c>
      <c r="BU1288" s="70">
        <v>0</v>
      </c>
      <c r="BV1288" s="29">
        <f t="shared" si="306"/>
        <v>0.66396771179790626</v>
      </c>
      <c r="BW1288">
        <f t="shared" si="307"/>
        <v>0.59502473559756086</v>
      </c>
      <c r="BX1288">
        <f t="shared" si="308"/>
        <v>0.55002080963175637</v>
      </c>
      <c r="BY1288">
        <f t="shared" si="309"/>
        <v>0.49100643357776058</v>
      </c>
      <c r="BZ1288">
        <f t="shared" si="310"/>
        <v>0.88721318382472392</v>
      </c>
      <c r="CA1288">
        <f t="shared" si="311"/>
        <v>0.33673395837055903</v>
      </c>
      <c r="CB1288">
        <f t="shared" si="312"/>
        <v>0.67891464284095016</v>
      </c>
    </row>
    <row r="1289" spans="1:80" x14ac:dyDescent="0.45">
      <c r="A1289" s="11">
        <v>42</v>
      </c>
      <c r="B1289" s="12">
        <f t="shared" si="300"/>
        <v>42</v>
      </c>
      <c r="C1289" s="12" t="s">
        <v>59</v>
      </c>
      <c r="D1289" s="12">
        <v>0</v>
      </c>
      <c r="E1289" s="12" t="s">
        <v>53</v>
      </c>
      <c r="F1289" s="12">
        <v>0</v>
      </c>
      <c r="G1289" s="12">
        <v>1</v>
      </c>
      <c r="H1289" s="12" t="s">
        <v>61</v>
      </c>
      <c r="I1289" s="12">
        <v>1</v>
      </c>
      <c r="J1289" s="12">
        <v>0</v>
      </c>
      <c r="K1289" s="12">
        <v>13</v>
      </c>
      <c r="L1289" s="12">
        <f t="shared" si="301"/>
        <v>13</v>
      </c>
      <c r="M1289" s="12">
        <v>3</v>
      </c>
      <c r="N1289" s="12" t="s">
        <v>70</v>
      </c>
      <c r="O1289" s="12">
        <v>0</v>
      </c>
      <c r="P1289" s="12">
        <v>0</v>
      </c>
      <c r="Q1289" s="12">
        <v>1</v>
      </c>
      <c r="R1289" s="12">
        <v>0</v>
      </c>
      <c r="S1289" s="12">
        <v>0</v>
      </c>
      <c r="T1289" s="12">
        <v>2</v>
      </c>
      <c r="U1289" s="12" t="s">
        <v>62</v>
      </c>
      <c r="V1289" s="12">
        <v>0</v>
      </c>
      <c r="W1289" s="12">
        <v>95</v>
      </c>
      <c r="X1289" s="12">
        <v>4</v>
      </c>
      <c r="Y1289" s="12">
        <v>2</v>
      </c>
      <c r="Z1289" s="12" t="s">
        <v>85</v>
      </c>
      <c r="AA1289" s="12">
        <v>1</v>
      </c>
      <c r="AB1289" s="12">
        <v>0</v>
      </c>
      <c r="AC1289" s="12">
        <v>0</v>
      </c>
      <c r="AD1289" s="12">
        <v>0</v>
      </c>
      <c r="AE1289" s="12">
        <v>0</v>
      </c>
      <c r="AF1289" s="12">
        <v>0</v>
      </c>
      <c r="AG1289" s="12">
        <v>0</v>
      </c>
      <c r="AH1289" s="12">
        <v>0</v>
      </c>
      <c r="AI1289" s="12">
        <v>1</v>
      </c>
      <c r="AJ1289" s="12" t="s">
        <v>64</v>
      </c>
      <c r="AK1289" s="12">
        <v>0</v>
      </c>
      <c r="AL1289" s="12">
        <v>1</v>
      </c>
      <c r="AM1289" s="12">
        <v>5538</v>
      </c>
      <c r="AN1289" s="12">
        <f t="shared" si="302"/>
        <v>5538</v>
      </c>
      <c r="AO1289" s="12">
        <v>5</v>
      </c>
      <c r="AP1289" s="12" t="s">
        <v>59</v>
      </c>
      <c r="AQ1289" s="12">
        <v>0</v>
      </c>
      <c r="AR1289" s="12">
        <v>18</v>
      </c>
      <c r="AS1289" s="12">
        <v>3</v>
      </c>
      <c r="AT1289" s="12">
        <v>3</v>
      </c>
      <c r="AU1289" s="12">
        <v>2</v>
      </c>
      <c r="AV1289" s="12">
        <v>10</v>
      </c>
      <c r="AW1289" s="12">
        <f t="shared" si="303"/>
        <v>10</v>
      </c>
      <c r="AX1289" s="12">
        <v>2</v>
      </c>
      <c r="AY1289" s="12">
        <v>2</v>
      </c>
      <c r="AZ1289" s="12">
        <v>0</v>
      </c>
      <c r="BA1289" s="12">
        <f t="shared" si="304"/>
        <v>0</v>
      </c>
      <c r="BB1289" s="12">
        <v>0</v>
      </c>
      <c r="BC1289" s="12">
        <v>0</v>
      </c>
      <c r="BD1289" s="12">
        <f t="shared" si="313"/>
        <v>0</v>
      </c>
      <c r="BE1289" s="12">
        <v>0</v>
      </c>
      <c r="BF1289" s="12">
        <f t="shared" si="305"/>
        <v>0</v>
      </c>
      <c r="BG1289" s="12">
        <f t="shared" si="314"/>
        <v>0</v>
      </c>
      <c r="BH1289" s="67">
        <v>0</v>
      </c>
      <c r="BI1289" s="67">
        <v>1</v>
      </c>
      <c r="BJ1289" s="67">
        <v>0</v>
      </c>
      <c r="BK1289" s="67">
        <v>0</v>
      </c>
      <c r="BL1289" s="67">
        <v>0</v>
      </c>
      <c r="BM1289" s="67">
        <v>0</v>
      </c>
      <c r="BN1289" s="67">
        <v>1</v>
      </c>
      <c r="BO1289" s="67">
        <v>0</v>
      </c>
      <c r="BP1289" s="67">
        <v>0</v>
      </c>
      <c r="BQ1289" s="67">
        <v>0</v>
      </c>
      <c r="BR1289" s="67">
        <v>0</v>
      </c>
      <c r="BS1289" s="67">
        <v>0</v>
      </c>
      <c r="BT1289" s="67">
        <v>10</v>
      </c>
      <c r="BU1289" s="70">
        <v>0</v>
      </c>
      <c r="BV1289" s="29">
        <f t="shared" si="306"/>
        <v>0.20495755100836965</v>
      </c>
      <c r="BW1289">
        <f t="shared" si="307"/>
        <v>1.1555414682655611</v>
      </c>
      <c r="BX1289">
        <f t="shared" si="308"/>
        <v>0.1644554352117841</v>
      </c>
      <c r="BY1289">
        <f t="shared" si="309"/>
        <v>1.1439050833826525</v>
      </c>
      <c r="BZ1289">
        <f t="shared" si="310"/>
        <v>0.46966160880232483</v>
      </c>
      <c r="CA1289">
        <f t="shared" si="311"/>
        <v>0.55566315731117022</v>
      </c>
      <c r="CB1289">
        <f t="shared" si="312"/>
        <v>0.67891464284095016</v>
      </c>
    </row>
    <row r="1290" spans="1:80" x14ac:dyDescent="0.45">
      <c r="A1290" s="11">
        <v>35</v>
      </c>
      <c r="B1290" s="12">
        <f t="shared" si="300"/>
        <v>35</v>
      </c>
      <c r="C1290" s="12" t="s">
        <v>59</v>
      </c>
      <c r="D1290" s="12">
        <v>0</v>
      </c>
      <c r="E1290" s="12" t="s">
        <v>86</v>
      </c>
      <c r="F1290" s="12">
        <v>0</v>
      </c>
      <c r="G1290" s="12">
        <v>0</v>
      </c>
      <c r="H1290" s="12" t="s">
        <v>61</v>
      </c>
      <c r="I1290" s="12">
        <v>1</v>
      </c>
      <c r="J1290" s="12">
        <v>0</v>
      </c>
      <c r="K1290" s="12">
        <v>2</v>
      </c>
      <c r="L1290" s="12">
        <f t="shared" si="301"/>
        <v>2</v>
      </c>
      <c r="M1290" s="12">
        <v>2</v>
      </c>
      <c r="N1290" s="12" t="s">
        <v>70</v>
      </c>
      <c r="O1290" s="12">
        <v>0</v>
      </c>
      <c r="P1290" s="12">
        <v>0</v>
      </c>
      <c r="Q1290" s="12">
        <v>1</v>
      </c>
      <c r="R1290" s="12">
        <v>0</v>
      </c>
      <c r="S1290" s="12">
        <v>0</v>
      </c>
      <c r="T1290" s="12">
        <v>2</v>
      </c>
      <c r="U1290" s="12" t="s">
        <v>62</v>
      </c>
      <c r="V1290" s="12">
        <v>0</v>
      </c>
      <c r="W1290" s="12">
        <v>90</v>
      </c>
      <c r="X1290" s="12">
        <v>3</v>
      </c>
      <c r="Y1290" s="12">
        <v>2</v>
      </c>
      <c r="Z1290" s="12" t="s">
        <v>83</v>
      </c>
      <c r="AA1290" s="12">
        <v>0</v>
      </c>
      <c r="AB1290" s="12">
        <v>0</v>
      </c>
      <c r="AC1290" s="12">
        <v>0</v>
      </c>
      <c r="AD1290" s="12">
        <v>0</v>
      </c>
      <c r="AE1290" s="12">
        <v>1</v>
      </c>
      <c r="AF1290" s="12">
        <v>1</v>
      </c>
      <c r="AG1290" s="12">
        <v>0</v>
      </c>
      <c r="AH1290" s="12">
        <v>0</v>
      </c>
      <c r="AI1290" s="12">
        <v>4</v>
      </c>
      <c r="AJ1290" s="12" t="s">
        <v>78</v>
      </c>
      <c r="AK1290" s="12">
        <v>0</v>
      </c>
      <c r="AL1290" s="12">
        <v>0</v>
      </c>
      <c r="AM1290" s="12">
        <v>5762</v>
      </c>
      <c r="AN1290" s="12">
        <f t="shared" si="302"/>
        <v>5762</v>
      </c>
      <c r="AO1290" s="12">
        <v>2</v>
      </c>
      <c r="AP1290" s="12" t="s">
        <v>59</v>
      </c>
      <c r="AQ1290" s="12">
        <v>0</v>
      </c>
      <c r="AR1290" s="12">
        <v>14</v>
      </c>
      <c r="AS1290" s="12">
        <v>3</v>
      </c>
      <c r="AT1290" s="12">
        <v>3</v>
      </c>
      <c r="AU1290" s="12">
        <v>1</v>
      </c>
      <c r="AV1290" s="12">
        <v>15</v>
      </c>
      <c r="AW1290" s="12">
        <f t="shared" si="303"/>
        <v>15</v>
      </c>
      <c r="AX1290" s="12">
        <v>6</v>
      </c>
      <c r="AY1290" s="12">
        <v>3</v>
      </c>
      <c r="AZ1290" s="12">
        <v>7</v>
      </c>
      <c r="BA1290" s="12">
        <f t="shared" si="304"/>
        <v>7</v>
      </c>
      <c r="BB1290" s="12">
        <v>7</v>
      </c>
      <c r="BC1290" s="12">
        <v>1</v>
      </c>
      <c r="BD1290" s="12">
        <f t="shared" si="313"/>
        <v>1</v>
      </c>
      <c r="BE1290" s="12">
        <v>7</v>
      </c>
      <c r="BF1290" s="12">
        <f t="shared" si="305"/>
        <v>7</v>
      </c>
      <c r="BG1290" s="12">
        <f t="shared" si="314"/>
        <v>14</v>
      </c>
      <c r="BH1290" s="67">
        <v>1</v>
      </c>
      <c r="BI1290" s="67">
        <v>0</v>
      </c>
      <c r="BJ1290" s="67">
        <v>0</v>
      </c>
      <c r="BK1290" s="67">
        <v>0</v>
      </c>
      <c r="BL1290" s="67">
        <v>1</v>
      </c>
      <c r="BM1290" s="67">
        <v>0</v>
      </c>
      <c r="BN1290" s="67">
        <v>0</v>
      </c>
      <c r="BO1290" s="67">
        <v>0</v>
      </c>
      <c r="BP1290" s="67">
        <v>0</v>
      </c>
      <c r="BQ1290" s="67">
        <v>7</v>
      </c>
      <c r="BR1290" s="67">
        <v>0</v>
      </c>
      <c r="BS1290" s="67">
        <v>0</v>
      </c>
      <c r="BT1290" s="67">
        <v>15</v>
      </c>
      <c r="BU1290" s="70">
        <v>0</v>
      </c>
      <c r="BV1290" s="29">
        <f t="shared" si="306"/>
        <v>0.15737852462389201</v>
      </c>
      <c r="BW1290">
        <f t="shared" si="307"/>
        <v>0.80626709607243985</v>
      </c>
      <c r="BX1290">
        <f t="shared" si="308"/>
        <v>0.47815352215483642</v>
      </c>
      <c r="BY1290">
        <f t="shared" si="309"/>
        <v>1.3324462240916321E-3</v>
      </c>
      <c r="BZ1290">
        <f t="shared" si="310"/>
        <v>0.88721318382472392</v>
      </c>
      <c r="CA1290">
        <f t="shared" si="311"/>
        <v>0.21058903898096887</v>
      </c>
      <c r="CB1290">
        <f t="shared" si="312"/>
        <v>0.36858985273641137</v>
      </c>
    </row>
    <row r="1291" spans="1:80" x14ac:dyDescent="0.45">
      <c r="A1291" s="11">
        <v>38</v>
      </c>
      <c r="B1291" s="12">
        <f t="shared" si="300"/>
        <v>38</v>
      </c>
      <c r="C1291" s="12" t="s">
        <v>59</v>
      </c>
      <c r="D1291" s="12">
        <v>0</v>
      </c>
      <c r="E1291" s="12" t="s">
        <v>86</v>
      </c>
      <c r="F1291" s="12">
        <v>0</v>
      </c>
      <c r="G1291" s="12">
        <v>0</v>
      </c>
      <c r="H1291" s="12" t="s">
        <v>97</v>
      </c>
      <c r="I1291" s="12">
        <v>0</v>
      </c>
      <c r="J1291" s="12">
        <v>0</v>
      </c>
      <c r="K1291" s="12">
        <v>2</v>
      </c>
      <c r="L1291" s="12">
        <f t="shared" si="301"/>
        <v>2</v>
      </c>
      <c r="M1291" s="12">
        <v>3</v>
      </c>
      <c r="N1291" s="12" t="s">
        <v>97</v>
      </c>
      <c r="O1291" s="12">
        <v>0</v>
      </c>
      <c r="P1291" s="12">
        <v>0</v>
      </c>
      <c r="Q1291" s="12">
        <v>0</v>
      </c>
      <c r="R1291" s="12">
        <v>0</v>
      </c>
      <c r="S1291" s="12">
        <v>0</v>
      </c>
      <c r="T1291" s="12">
        <v>1</v>
      </c>
      <c r="U1291" s="12" t="s">
        <v>62</v>
      </c>
      <c r="V1291" s="12">
        <v>0</v>
      </c>
      <c r="W1291" s="12">
        <v>100</v>
      </c>
      <c r="X1291" s="12">
        <v>3</v>
      </c>
      <c r="Y1291" s="12">
        <v>1</v>
      </c>
      <c r="Z1291" s="12" t="s">
        <v>97</v>
      </c>
      <c r="AA1291" s="12">
        <v>0</v>
      </c>
      <c r="AB1291" s="12">
        <v>0</v>
      </c>
      <c r="AC1291" s="12">
        <v>0</v>
      </c>
      <c r="AD1291" s="12">
        <v>0</v>
      </c>
      <c r="AE1291" s="12">
        <v>0</v>
      </c>
      <c r="AF1291" s="12">
        <v>0</v>
      </c>
      <c r="AG1291" s="12">
        <v>0</v>
      </c>
      <c r="AH1291" s="12">
        <v>0</v>
      </c>
      <c r="AI1291" s="12">
        <v>2</v>
      </c>
      <c r="AJ1291" s="12" t="s">
        <v>78</v>
      </c>
      <c r="AK1291" s="12">
        <v>0</v>
      </c>
      <c r="AL1291" s="12">
        <v>0</v>
      </c>
      <c r="AM1291" s="12">
        <v>2592</v>
      </c>
      <c r="AN1291" s="12">
        <f t="shared" si="302"/>
        <v>2592</v>
      </c>
      <c r="AO1291" s="12">
        <v>5</v>
      </c>
      <c r="AP1291" s="12" t="s">
        <v>59</v>
      </c>
      <c r="AQ1291" s="12">
        <v>0</v>
      </c>
      <c r="AR1291" s="12">
        <v>13</v>
      </c>
      <c r="AS1291" s="12">
        <v>3</v>
      </c>
      <c r="AT1291" s="12">
        <v>4</v>
      </c>
      <c r="AU1291" s="12">
        <v>3</v>
      </c>
      <c r="AV1291" s="12">
        <v>13</v>
      </c>
      <c r="AW1291" s="12">
        <f t="shared" si="303"/>
        <v>13</v>
      </c>
      <c r="AX1291" s="12">
        <v>3</v>
      </c>
      <c r="AY1291" s="12">
        <v>3</v>
      </c>
      <c r="AZ1291" s="12">
        <v>11</v>
      </c>
      <c r="BA1291" s="12">
        <f t="shared" si="304"/>
        <v>11</v>
      </c>
      <c r="BB1291" s="12">
        <v>10</v>
      </c>
      <c r="BC1291" s="12">
        <v>3</v>
      </c>
      <c r="BD1291" s="12">
        <f t="shared" si="313"/>
        <v>3</v>
      </c>
      <c r="BE1291" s="12">
        <v>8</v>
      </c>
      <c r="BF1291" s="12">
        <f t="shared" si="305"/>
        <v>8</v>
      </c>
      <c r="BG1291" s="12">
        <f t="shared" si="314"/>
        <v>8</v>
      </c>
      <c r="BH1291" s="67">
        <v>1</v>
      </c>
      <c r="BI1291" s="67">
        <v>0</v>
      </c>
      <c r="BJ1291" s="67">
        <v>0</v>
      </c>
      <c r="BK1291" s="67">
        <v>0</v>
      </c>
      <c r="BL1291" s="67">
        <v>1</v>
      </c>
      <c r="BM1291" s="67">
        <v>0</v>
      </c>
      <c r="BN1291" s="67">
        <v>0</v>
      </c>
      <c r="BO1291" s="67">
        <v>0</v>
      </c>
      <c r="BP1291" s="67">
        <v>8</v>
      </c>
      <c r="BQ1291" s="67">
        <v>0</v>
      </c>
      <c r="BR1291" s="67">
        <v>0</v>
      </c>
      <c r="BS1291" s="67">
        <v>13</v>
      </c>
      <c r="BT1291" s="67">
        <v>0</v>
      </c>
      <c r="BU1291" s="70">
        <v>0</v>
      </c>
      <c r="BV1291" s="29">
        <f t="shared" si="306"/>
        <v>0.83070671051136591</v>
      </c>
      <c r="BW1291">
        <f t="shared" si="307"/>
        <v>1.08652546240644</v>
      </c>
      <c r="BX1291">
        <f t="shared" si="308"/>
        <v>0.22110993920818819</v>
      </c>
      <c r="BY1291">
        <f t="shared" si="309"/>
        <v>0.65156620358080031</v>
      </c>
      <c r="BZ1291">
        <f t="shared" si="310"/>
        <v>0.88721318382472392</v>
      </c>
      <c r="CA1291">
        <f t="shared" si="311"/>
        <v>0.11780475942994788</v>
      </c>
      <c r="CB1291">
        <f t="shared" si="312"/>
        <v>0.2520597274726662</v>
      </c>
    </row>
    <row r="1292" spans="1:80" x14ac:dyDescent="0.45">
      <c r="A1292" s="11">
        <v>34</v>
      </c>
      <c r="B1292" s="12">
        <f t="shared" si="300"/>
        <v>34</v>
      </c>
      <c r="C1292" s="12" t="s">
        <v>52</v>
      </c>
      <c r="D1292" s="12">
        <v>1</v>
      </c>
      <c r="E1292" s="12" t="s">
        <v>60</v>
      </c>
      <c r="F1292" s="12">
        <v>1</v>
      </c>
      <c r="G1292" s="12">
        <v>0</v>
      </c>
      <c r="H1292" s="12" t="s">
        <v>61</v>
      </c>
      <c r="I1292" s="12">
        <v>1</v>
      </c>
      <c r="J1292" s="12">
        <v>0</v>
      </c>
      <c r="K1292" s="12">
        <v>9</v>
      </c>
      <c r="L1292" s="12">
        <f t="shared" si="301"/>
        <v>9</v>
      </c>
      <c r="M1292" s="12">
        <v>4</v>
      </c>
      <c r="N1292" s="12" t="s">
        <v>55</v>
      </c>
      <c r="O1292" s="12">
        <v>1</v>
      </c>
      <c r="P1292" s="12">
        <v>0</v>
      </c>
      <c r="Q1292" s="12">
        <v>0</v>
      </c>
      <c r="R1292" s="12">
        <v>0</v>
      </c>
      <c r="S1292" s="12">
        <v>0</v>
      </c>
      <c r="T1292" s="12">
        <v>4</v>
      </c>
      <c r="U1292" s="12" t="s">
        <v>62</v>
      </c>
      <c r="V1292" s="12">
        <v>0</v>
      </c>
      <c r="W1292" s="12">
        <v>93</v>
      </c>
      <c r="X1292" s="12">
        <v>3</v>
      </c>
      <c r="Y1292" s="12">
        <v>2</v>
      </c>
      <c r="Z1292" s="12" t="s">
        <v>67</v>
      </c>
      <c r="AA1292" s="12">
        <v>0</v>
      </c>
      <c r="AB1292" s="12">
        <v>0</v>
      </c>
      <c r="AC1292" s="12">
        <v>1</v>
      </c>
      <c r="AD1292" s="12">
        <v>0</v>
      </c>
      <c r="AE1292" s="12">
        <v>0</v>
      </c>
      <c r="AF1292" s="12">
        <v>0</v>
      </c>
      <c r="AG1292" s="12">
        <v>0</v>
      </c>
      <c r="AH1292" s="12">
        <v>0</v>
      </c>
      <c r="AI1292" s="12">
        <v>1</v>
      </c>
      <c r="AJ1292" s="12" t="s">
        <v>64</v>
      </c>
      <c r="AK1292" s="12">
        <v>0</v>
      </c>
      <c r="AL1292" s="12">
        <v>1</v>
      </c>
      <c r="AM1292" s="12">
        <v>5346</v>
      </c>
      <c r="AN1292" s="12">
        <f t="shared" si="302"/>
        <v>5346</v>
      </c>
      <c r="AO1292" s="12">
        <v>4</v>
      </c>
      <c r="AP1292" s="12" t="s">
        <v>59</v>
      </c>
      <c r="AQ1292" s="12">
        <v>0</v>
      </c>
      <c r="AR1292" s="12">
        <v>17</v>
      </c>
      <c r="AS1292" s="12">
        <v>3</v>
      </c>
      <c r="AT1292" s="12">
        <v>3</v>
      </c>
      <c r="AU1292" s="12">
        <v>1</v>
      </c>
      <c r="AV1292" s="12">
        <v>11</v>
      </c>
      <c r="AW1292" s="12">
        <f t="shared" si="303"/>
        <v>11</v>
      </c>
      <c r="AX1292" s="12">
        <v>3</v>
      </c>
      <c r="AY1292" s="12">
        <v>2</v>
      </c>
      <c r="AZ1292" s="12">
        <v>7</v>
      </c>
      <c r="BA1292" s="12">
        <f t="shared" si="304"/>
        <v>7</v>
      </c>
      <c r="BB1292" s="12">
        <v>1</v>
      </c>
      <c r="BC1292" s="12">
        <v>0</v>
      </c>
      <c r="BD1292" s="12">
        <f t="shared" si="313"/>
        <v>0</v>
      </c>
      <c r="BE1292" s="12">
        <v>7</v>
      </c>
      <c r="BF1292" s="12">
        <f t="shared" si="305"/>
        <v>7</v>
      </c>
      <c r="BG1292" s="12">
        <f t="shared" si="314"/>
        <v>14</v>
      </c>
      <c r="BH1292" s="67">
        <v>0</v>
      </c>
      <c r="BI1292" s="67">
        <v>0</v>
      </c>
      <c r="BJ1292" s="67">
        <v>0</v>
      </c>
      <c r="BK1292" s="67">
        <v>1</v>
      </c>
      <c r="BL1292" s="67">
        <v>0</v>
      </c>
      <c r="BM1292" s="67">
        <v>0</v>
      </c>
      <c r="BN1292" s="67">
        <v>1</v>
      </c>
      <c r="BO1292" s="67">
        <v>0</v>
      </c>
      <c r="BP1292" s="67">
        <v>0</v>
      </c>
      <c r="BQ1292" s="67">
        <v>7</v>
      </c>
      <c r="BR1292" s="67">
        <v>0</v>
      </c>
      <c r="BS1292" s="67">
        <v>0</v>
      </c>
      <c r="BT1292" s="67">
        <v>11</v>
      </c>
      <c r="BU1292" s="70">
        <v>0</v>
      </c>
      <c r="BV1292" s="29">
        <f t="shared" si="306"/>
        <v>0.24573957362363621</v>
      </c>
      <c r="BW1292">
        <f t="shared" si="307"/>
        <v>0.80626709607243985</v>
      </c>
      <c r="BX1292">
        <f t="shared" si="308"/>
        <v>3.593364373846001E-2</v>
      </c>
      <c r="BY1292">
        <f t="shared" si="309"/>
        <v>1.3324462240916321E-3</v>
      </c>
      <c r="BZ1292">
        <f t="shared" si="310"/>
        <v>2.3747406698420157E-2</v>
      </c>
      <c r="CA1292">
        <f t="shared" si="311"/>
        <v>0.32005363845127444</v>
      </c>
      <c r="CB1292">
        <f t="shared" si="312"/>
        <v>0.67891464284095016</v>
      </c>
    </row>
    <row r="1293" spans="1:80" x14ac:dyDescent="0.45">
      <c r="A1293" s="11">
        <v>37</v>
      </c>
      <c r="B1293" s="12">
        <f t="shared" si="300"/>
        <v>37</v>
      </c>
      <c r="C1293" s="12" t="s">
        <v>52</v>
      </c>
      <c r="D1293" s="12">
        <v>1</v>
      </c>
      <c r="E1293" s="12" t="s">
        <v>53</v>
      </c>
      <c r="F1293" s="12">
        <v>0</v>
      </c>
      <c r="G1293" s="12">
        <v>1</v>
      </c>
      <c r="H1293" s="12" t="s">
        <v>61</v>
      </c>
      <c r="I1293" s="12">
        <v>1</v>
      </c>
      <c r="J1293" s="12">
        <v>0</v>
      </c>
      <c r="K1293" s="12">
        <v>10</v>
      </c>
      <c r="L1293" s="12">
        <f t="shared" si="301"/>
        <v>10</v>
      </c>
      <c r="M1293" s="12">
        <v>4</v>
      </c>
      <c r="N1293" s="12" t="s">
        <v>70</v>
      </c>
      <c r="O1293" s="12">
        <v>0</v>
      </c>
      <c r="P1293" s="12">
        <v>0</v>
      </c>
      <c r="Q1293" s="12">
        <v>1</v>
      </c>
      <c r="R1293" s="12">
        <v>0</v>
      </c>
      <c r="S1293" s="12">
        <v>0</v>
      </c>
      <c r="T1293" s="12">
        <v>4</v>
      </c>
      <c r="U1293" s="12" t="s">
        <v>62</v>
      </c>
      <c r="V1293" s="12">
        <v>0</v>
      </c>
      <c r="W1293" s="12">
        <v>58</v>
      </c>
      <c r="X1293" s="12">
        <v>3</v>
      </c>
      <c r="Y1293" s="12">
        <v>2</v>
      </c>
      <c r="Z1293" s="12" t="s">
        <v>83</v>
      </c>
      <c r="AA1293" s="12">
        <v>0</v>
      </c>
      <c r="AB1293" s="12">
        <v>0</v>
      </c>
      <c r="AC1293" s="12">
        <v>0</v>
      </c>
      <c r="AD1293" s="12">
        <v>0</v>
      </c>
      <c r="AE1293" s="12">
        <v>1</v>
      </c>
      <c r="AF1293" s="12">
        <v>1</v>
      </c>
      <c r="AG1293" s="12">
        <v>0</v>
      </c>
      <c r="AH1293" s="12">
        <v>0</v>
      </c>
      <c r="AI1293" s="12">
        <v>1</v>
      </c>
      <c r="AJ1293" s="12" t="s">
        <v>57</v>
      </c>
      <c r="AK1293" s="12">
        <v>1</v>
      </c>
      <c r="AL1293" s="12">
        <v>0</v>
      </c>
      <c r="AM1293" s="12">
        <v>4213</v>
      </c>
      <c r="AN1293" s="12">
        <f t="shared" si="302"/>
        <v>4213</v>
      </c>
      <c r="AO1293" s="12">
        <v>1</v>
      </c>
      <c r="AP1293" s="12" t="s">
        <v>59</v>
      </c>
      <c r="AQ1293" s="12">
        <v>0</v>
      </c>
      <c r="AR1293" s="12">
        <v>15</v>
      </c>
      <c r="AS1293" s="12">
        <v>3</v>
      </c>
      <c r="AT1293" s="12">
        <v>2</v>
      </c>
      <c r="AU1293" s="12">
        <v>0</v>
      </c>
      <c r="AV1293" s="12">
        <v>10</v>
      </c>
      <c r="AW1293" s="12">
        <f t="shared" si="303"/>
        <v>10</v>
      </c>
      <c r="AX1293" s="12">
        <v>4</v>
      </c>
      <c r="AY1293" s="12">
        <v>1</v>
      </c>
      <c r="AZ1293" s="12">
        <v>10</v>
      </c>
      <c r="BA1293" s="12">
        <f t="shared" si="304"/>
        <v>10</v>
      </c>
      <c r="BB1293" s="12">
        <v>3</v>
      </c>
      <c r="BC1293" s="12">
        <v>0</v>
      </c>
      <c r="BD1293" s="12">
        <f t="shared" si="313"/>
        <v>0</v>
      </c>
      <c r="BE1293" s="12">
        <v>8</v>
      </c>
      <c r="BF1293" s="12">
        <f t="shared" si="305"/>
        <v>8</v>
      </c>
      <c r="BG1293" s="12">
        <f t="shared" si="314"/>
        <v>16</v>
      </c>
      <c r="BH1293" s="67">
        <v>1</v>
      </c>
      <c r="BI1293" s="67">
        <v>0</v>
      </c>
      <c r="BJ1293" s="67">
        <v>0</v>
      </c>
      <c r="BK1293" s="67">
        <v>0</v>
      </c>
      <c r="BL1293" s="67">
        <v>1</v>
      </c>
      <c r="BM1293" s="67">
        <v>0</v>
      </c>
      <c r="BN1293" s="67">
        <v>0</v>
      </c>
      <c r="BO1293" s="67">
        <v>0</v>
      </c>
      <c r="BP1293" s="67">
        <v>0</v>
      </c>
      <c r="BQ1293" s="67">
        <v>8</v>
      </c>
      <c r="BR1293" s="67">
        <v>0</v>
      </c>
      <c r="BS1293" s="67">
        <v>0</v>
      </c>
      <c r="BT1293" s="67">
        <v>10</v>
      </c>
      <c r="BU1293" s="70">
        <v>0</v>
      </c>
      <c r="BV1293" s="29">
        <f t="shared" si="306"/>
        <v>0.48639598832726649</v>
      </c>
      <c r="BW1293">
        <f t="shared" si="307"/>
        <v>1.08652546240644</v>
      </c>
      <c r="BX1293">
        <f t="shared" si="308"/>
        <v>0.1644554352117841</v>
      </c>
      <c r="BY1293">
        <f t="shared" si="309"/>
        <v>0.48834154112957734</v>
      </c>
      <c r="BZ1293">
        <f t="shared" si="310"/>
        <v>9.9604847176766084E-2</v>
      </c>
      <c r="CA1293">
        <f t="shared" si="311"/>
        <v>8.3401599596422994E-3</v>
      </c>
      <c r="CB1293">
        <f t="shared" si="312"/>
        <v>0.67891464284095016</v>
      </c>
    </row>
    <row r="1294" spans="1:80" x14ac:dyDescent="0.45">
      <c r="A1294" s="11">
        <v>39</v>
      </c>
      <c r="B1294" s="12">
        <f t="shared" si="300"/>
        <v>39</v>
      </c>
      <c r="C1294" s="12" t="s">
        <v>59</v>
      </c>
      <c r="D1294" s="12">
        <v>0</v>
      </c>
      <c r="E1294" s="12" t="s">
        <v>60</v>
      </c>
      <c r="F1294" s="12">
        <v>1</v>
      </c>
      <c r="G1294" s="12">
        <v>0</v>
      </c>
      <c r="H1294" s="12" t="s">
        <v>54</v>
      </c>
      <c r="I1294" s="12">
        <v>0</v>
      </c>
      <c r="J1294" s="12">
        <v>1</v>
      </c>
      <c r="K1294" s="12">
        <v>20</v>
      </c>
      <c r="L1294" s="12">
        <f t="shared" si="301"/>
        <v>20</v>
      </c>
      <c r="M1294" s="12">
        <v>3</v>
      </c>
      <c r="N1294" s="12" t="s">
        <v>55</v>
      </c>
      <c r="O1294" s="12">
        <v>1</v>
      </c>
      <c r="P1294" s="12">
        <v>0</v>
      </c>
      <c r="Q1294" s="12">
        <v>0</v>
      </c>
      <c r="R1294" s="12">
        <v>0</v>
      </c>
      <c r="S1294" s="12">
        <v>0</v>
      </c>
      <c r="T1294" s="12">
        <v>3</v>
      </c>
      <c r="U1294" s="12" t="s">
        <v>62</v>
      </c>
      <c r="V1294" s="12">
        <v>0</v>
      </c>
      <c r="W1294" s="12">
        <v>83</v>
      </c>
      <c r="X1294" s="12">
        <v>3</v>
      </c>
      <c r="Y1294" s="12">
        <v>2</v>
      </c>
      <c r="Z1294" s="12" t="s">
        <v>56</v>
      </c>
      <c r="AA1294" s="12">
        <v>0</v>
      </c>
      <c r="AB1294" s="12">
        <v>1</v>
      </c>
      <c r="AC1294" s="12">
        <v>0</v>
      </c>
      <c r="AD1294" s="12">
        <v>0</v>
      </c>
      <c r="AE1294" s="12">
        <v>0</v>
      </c>
      <c r="AF1294" s="12">
        <v>0</v>
      </c>
      <c r="AG1294" s="12">
        <v>0</v>
      </c>
      <c r="AH1294" s="12">
        <v>0</v>
      </c>
      <c r="AI1294" s="12">
        <v>4</v>
      </c>
      <c r="AJ1294" s="12" t="s">
        <v>78</v>
      </c>
      <c r="AK1294" s="12">
        <v>0</v>
      </c>
      <c r="AL1294" s="12">
        <v>0</v>
      </c>
      <c r="AM1294" s="12">
        <v>4127</v>
      </c>
      <c r="AN1294" s="12">
        <f t="shared" si="302"/>
        <v>4127</v>
      </c>
      <c r="AO1294" s="12">
        <v>2</v>
      </c>
      <c r="AP1294" s="12" t="s">
        <v>59</v>
      </c>
      <c r="AQ1294" s="12">
        <v>0</v>
      </c>
      <c r="AR1294" s="12">
        <v>18</v>
      </c>
      <c r="AS1294" s="12">
        <v>3</v>
      </c>
      <c r="AT1294" s="12">
        <v>4</v>
      </c>
      <c r="AU1294" s="12">
        <v>1</v>
      </c>
      <c r="AV1294" s="12">
        <v>7</v>
      </c>
      <c r="AW1294" s="12">
        <f t="shared" si="303"/>
        <v>7</v>
      </c>
      <c r="AX1294" s="12">
        <v>6</v>
      </c>
      <c r="AY1294" s="12">
        <v>3</v>
      </c>
      <c r="AZ1294" s="12">
        <v>2</v>
      </c>
      <c r="BA1294" s="12">
        <f t="shared" si="304"/>
        <v>2</v>
      </c>
      <c r="BB1294" s="12">
        <v>1</v>
      </c>
      <c r="BC1294" s="12">
        <v>2</v>
      </c>
      <c r="BD1294" s="12">
        <f t="shared" si="313"/>
        <v>2</v>
      </c>
      <c r="BE1294" s="12">
        <v>2</v>
      </c>
      <c r="BF1294" s="12">
        <f t="shared" si="305"/>
        <v>2</v>
      </c>
      <c r="BG1294" s="12">
        <f t="shared" si="314"/>
        <v>4</v>
      </c>
      <c r="BH1294" s="67">
        <v>0</v>
      </c>
      <c r="BI1294" s="67">
        <v>0</v>
      </c>
      <c r="BJ1294" s="67">
        <v>1</v>
      </c>
      <c r="BK1294" s="67">
        <v>0</v>
      </c>
      <c r="BL1294" s="67">
        <v>1</v>
      </c>
      <c r="BM1294" s="67">
        <v>0</v>
      </c>
      <c r="BN1294" s="67">
        <v>0</v>
      </c>
      <c r="BO1294" s="67">
        <v>0</v>
      </c>
      <c r="BP1294" s="67">
        <v>0</v>
      </c>
      <c r="BQ1294" s="67">
        <v>0</v>
      </c>
      <c r="BR1294" s="67">
        <v>2</v>
      </c>
      <c r="BS1294" s="67">
        <v>0</v>
      </c>
      <c r="BT1294" s="67">
        <v>0</v>
      </c>
      <c r="BU1294" s="70">
        <v>7</v>
      </c>
      <c r="BV1294" s="29">
        <f t="shared" si="306"/>
        <v>0.50466293595702127</v>
      </c>
      <c r="BW1294">
        <f t="shared" si="307"/>
        <v>0.59502473559756086</v>
      </c>
      <c r="BX1294">
        <f t="shared" si="308"/>
        <v>0.55002080963175637</v>
      </c>
      <c r="BY1294">
        <f t="shared" si="309"/>
        <v>0.81745575848020657</v>
      </c>
      <c r="BZ1294">
        <f t="shared" si="310"/>
        <v>1.3331273859286286</v>
      </c>
      <c r="CA1294">
        <f t="shared" si="311"/>
        <v>0.22726935890025346</v>
      </c>
      <c r="CB1294">
        <f t="shared" si="312"/>
        <v>5.8265062631872602E-2</v>
      </c>
    </row>
    <row r="1295" spans="1:80" x14ac:dyDescent="0.45">
      <c r="A1295" s="11">
        <v>43</v>
      </c>
      <c r="B1295" s="12">
        <f t="shared" si="300"/>
        <v>43</v>
      </c>
      <c r="C1295" s="12" t="s">
        <v>59</v>
      </c>
      <c r="D1295" s="12">
        <v>0</v>
      </c>
      <c r="E1295" s="12" t="s">
        <v>86</v>
      </c>
      <c r="F1295" s="12">
        <v>0</v>
      </c>
      <c r="G1295" s="12">
        <v>0</v>
      </c>
      <c r="H1295" s="12" t="s">
        <v>61</v>
      </c>
      <c r="I1295" s="12">
        <v>1</v>
      </c>
      <c r="J1295" s="12">
        <v>0</v>
      </c>
      <c r="K1295" s="12">
        <v>9</v>
      </c>
      <c r="L1295" s="12">
        <f t="shared" si="301"/>
        <v>9</v>
      </c>
      <c r="M1295" s="12">
        <v>3</v>
      </c>
      <c r="N1295" s="12" t="s">
        <v>55</v>
      </c>
      <c r="O1295" s="12">
        <v>1</v>
      </c>
      <c r="P1295" s="12">
        <v>0</v>
      </c>
      <c r="Q1295" s="12">
        <v>0</v>
      </c>
      <c r="R1295" s="12">
        <v>0</v>
      </c>
      <c r="S1295" s="12">
        <v>0</v>
      </c>
      <c r="T1295" s="12">
        <v>1</v>
      </c>
      <c r="U1295" s="12" t="s">
        <v>62</v>
      </c>
      <c r="V1295" s="12">
        <v>0</v>
      </c>
      <c r="W1295" s="12">
        <v>52</v>
      </c>
      <c r="X1295" s="12">
        <v>3</v>
      </c>
      <c r="Y1295" s="12">
        <v>1</v>
      </c>
      <c r="Z1295" s="12" t="s">
        <v>63</v>
      </c>
      <c r="AA1295" s="12">
        <v>0</v>
      </c>
      <c r="AB1295" s="12">
        <v>0</v>
      </c>
      <c r="AC1295" s="12">
        <v>0</v>
      </c>
      <c r="AD1295" s="12">
        <v>0</v>
      </c>
      <c r="AE1295" s="12">
        <v>0</v>
      </c>
      <c r="AF1295" s="12">
        <v>0</v>
      </c>
      <c r="AG1295" s="12">
        <v>0</v>
      </c>
      <c r="AH1295" s="12">
        <v>1</v>
      </c>
      <c r="AI1295" s="12">
        <v>3</v>
      </c>
      <c r="AJ1295" s="12" t="s">
        <v>57</v>
      </c>
      <c r="AK1295" s="12">
        <v>1</v>
      </c>
      <c r="AL1295" s="12">
        <v>0</v>
      </c>
      <c r="AM1295" s="12">
        <v>2438</v>
      </c>
      <c r="AN1295" s="12">
        <f t="shared" si="302"/>
        <v>2438</v>
      </c>
      <c r="AO1295" s="12">
        <v>4</v>
      </c>
      <c r="AP1295" s="12" t="s">
        <v>59</v>
      </c>
      <c r="AQ1295" s="12">
        <v>0</v>
      </c>
      <c r="AR1295" s="12">
        <v>13</v>
      </c>
      <c r="AS1295" s="12">
        <v>3</v>
      </c>
      <c r="AT1295" s="12">
        <v>3</v>
      </c>
      <c r="AU1295" s="12">
        <v>0</v>
      </c>
      <c r="AV1295" s="12">
        <v>7</v>
      </c>
      <c r="AW1295" s="12">
        <f t="shared" si="303"/>
        <v>7</v>
      </c>
      <c r="AX1295" s="12">
        <v>2</v>
      </c>
      <c r="AY1295" s="12">
        <v>2</v>
      </c>
      <c r="AZ1295" s="12">
        <v>3</v>
      </c>
      <c r="BA1295" s="12">
        <f t="shared" si="304"/>
        <v>3</v>
      </c>
      <c r="BB1295" s="12">
        <v>2</v>
      </c>
      <c r="BC1295" s="12">
        <v>1</v>
      </c>
      <c r="BD1295" s="12">
        <f t="shared" si="313"/>
        <v>1</v>
      </c>
      <c r="BE1295" s="12">
        <v>2</v>
      </c>
      <c r="BF1295" s="12">
        <f t="shared" si="305"/>
        <v>2</v>
      </c>
      <c r="BG1295" s="12">
        <f t="shared" si="314"/>
        <v>2</v>
      </c>
      <c r="BH1295" s="67">
        <v>1</v>
      </c>
      <c r="BI1295" s="67">
        <v>0</v>
      </c>
      <c r="BJ1295" s="67">
        <v>0</v>
      </c>
      <c r="BK1295" s="67">
        <v>0</v>
      </c>
      <c r="BL1295" s="67">
        <v>1</v>
      </c>
      <c r="BM1295" s="67">
        <v>0</v>
      </c>
      <c r="BN1295" s="67">
        <v>0</v>
      </c>
      <c r="BO1295" s="67">
        <v>0</v>
      </c>
      <c r="BP1295" s="67">
        <v>0</v>
      </c>
      <c r="BQ1295" s="67">
        <v>2</v>
      </c>
      <c r="BR1295" s="67">
        <v>0</v>
      </c>
      <c r="BS1295" s="67">
        <v>0</v>
      </c>
      <c r="BT1295" s="67">
        <v>7</v>
      </c>
      <c r="BU1295" s="70">
        <v>0</v>
      </c>
      <c r="BV1295" s="29">
        <f t="shared" si="306"/>
        <v>0.86341729115069432</v>
      </c>
      <c r="BW1295">
        <f t="shared" si="307"/>
        <v>0.59502473559756086</v>
      </c>
      <c r="BX1295">
        <f t="shared" si="308"/>
        <v>0.55002080963175637</v>
      </c>
      <c r="BY1295">
        <f t="shared" si="309"/>
        <v>0.65423109602898355</v>
      </c>
      <c r="BZ1295">
        <f t="shared" si="310"/>
        <v>2.3747406698420157E-2</v>
      </c>
      <c r="CA1295">
        <f t="shared" si="311"/>
        <v>0.66512775678147573</v>
      </c>
      <c r="CB1295">
        <f t="shared" si="312"/>
        <v>0.36858985273641137</v>
      </c>
    </row>
    <row r="1296" spans="1:80" x14ac:dyDescent="0.45">
      <c r="A1296" s="11">
        <v>41</v>
      </c>
      <c r="B1296" s="12">
        <f t="shared" si="300"/>
        <v>41</v>
      </c>
      <c r="C1296" s="12" t="s">
        <v>59</v>
      </c>
      <c r="D1296" s="12">
        <v>0</v>
      </c>
      <c r="E1296" s="12" t="s">
        <v>53</v>
      </c>
      <c r="F1296" s="12">
        <v>0</v>
      </c>
      <c r="G1296" s="12">
        <v>1</v>
      </c>
      <c r="H1296" s="12" t="s">
        <v>61</v>
      </c>
      <c r="I1296" s="12">
        <v>1</v>
      </c>
      <c r="J1296" s="12">
        <v>0</v>
      </c>
      <c r="K1296" s="12">
        <v>5</v>
      </c>
      <c r="L1296" s="12">
        <f t="shared" si="301"/>
        <v>5</v>
      </c>
      <c r="M1296" s="12">
        <v>3</v>
      </c>
      <c r="N1296" s="12" t="s">
        <v>55</v>
      </c>
      <c r="O1296" s="12">
        <v>1</v>
      </c>
      <c r="P1296" s="12">
        <v>0</v>
      </c>
      <c r="Q1296" s="12">
        <v>0</v>
      </c>
      <c r="R1296" s="12">
        <v>0</v>
      </c>
      <c r="S1296" s="12">
        <v>0</v>
      </c>
      <c r="T1296" s="12">
        <v>2</v>
      </c>
      <c r="U1296" s="12" t="s">
        <v>62</v>
      </c>
      <c r="V1296" s="12">
        <v>0</v>
      </c>
      <c r="W1296" s="12">
        <v>85</v>
      </c>
      <c r="X1296" s="12">
        <v>4</v>
      </c>
      <c r="Y1296" s="12">
        <v>2</v>
      </c>
      <c r="Z1296" s="12" t="s">
        <v>85</v>
      </c>
      <c r="AA1296" s="12">
        <v>1</v>
      </c>
      <c r="AB1296" s="12">
        <v>0</v>
      </c>
      <c r="AC1296" s="12">
        <v>0</v>
      </c>
      <c r="AD1296" s="12">
        <v>0</v>
      </c>
      <c r="AE1296" s="12">
        <v>0</v>
      </c>
      <c r="AF1296" s="12">
        <v>0</v>
      </c>
      <c r="AG1296" s="12">
        <v>0</v>
      </c>
      <c r="AH1296" s="12">
        <v>0</v>
      </c>
      <c r="AI1296" s="12">
        <v>2</v>
      </c>
      <c r="AJ1296" s="12" t="s">
        <v>57</v>
      </c>
      <c r="AK1296" s="12">
        <v>1</v>
      </c>
      <c r="AL1296" s="12">
        <v>0</v>
      </c>
      <c r="AM1296" s="12">
        <v>6870</v>
      </c>
      <c r="AN1296" s="12">
        <f t="shared" si="302"/>
        <v>6870</v>
      </c>
      <c r="AO1296" s="12">
        <v>3</v>
      </c>
      <c r="AP1296" s="12" t="s">
        <v>59</v>
      </c>
      <c r="AQ1296" s="12">
        <v>0</v>
      </c>
      <c r="AR1296" s="12">
        <v>12</v>
      </c>
      <c r="AS1296" s="12">
        <v>3</v>
      </c>
      <c r="AT1296" s="12">
        <v>1</v>
      </c>
      <c r="AU1296" s="12">
        <v>0</v>
      </c>
      <c r="AV1296" s="12">
        <v>11</v>
      </c>
      <c r="AW1296" s="12">
        <f t="shared" si="303"/>
        <v>11</v>
      </c>
      <c r="AX1296" s="12">
        <v>3</v>
      </c>
      <c r="AY1296" s="12">
        <v>1</v>
      </c>
      <c r="AZ1296" s="12">
        <v>3</v>
      </c>
      <c r="BA1296" s="12">
        <f t="shared" si="304"/>
        <v>3</v>
      </c>
      <c r="BB1296" s="12">
        <v>2</v>
      </c>
      <c r="BC1296" s="12">
        <v>1</v>
      </c>
      <c r="BD1296" s="12">
        <f t="shared" si="313"/>
        <v>1</v>
      </c>
      <c r="BE1296" s="12">
        <v>2</v>
      </c>
      <c r="BF1296" s="12">
        <f t="shared" si="305"/>
        <v>2</v>
      </c>
      <c r="BG1296" s="12">
        <f t="shared" si="314"/>
        <v>4</v>
      </c>
      <c r="BH1296" s="67">
        <v>1</v>
      </c>
      <c r="BI1296" s="67">
        <v>0</v>
      </c>
      <c r="BJ1296" s="67">
        <v>0</v>
      </c>
      <c r="BK1296" s="67">
        <v>0</v>
      </c>
      <c r="BL1296" s="67">
        <v>1</v>
      </c>
      <c r="BM1296" s="67">
        <v>0</v>
      </c>
      <c r="BN1296" s="67">
        <v>0</v>
      </c>
      <c r="BO1296" s="67">
        <v>0</v>
      </c>
      <c r="BP1296" s="67">
        <v>0</v>
      </c>
      <c r="BQ1296" s="67">
        <v>2</v>
      </c>
      <c r="BR1296" s="67">
        <v>0</v>
      </c>
      <c r="BS1296" s="67">
        <v>0</v>
      </c>
      <c r="BT1296" s="67">
        <v>11</v>
      </c>
      <c r="BU1296" s="70">
        <v>0</v>
      </c>
      <c r="BV1296" s="29">
        <f t="shared" si="306"/>
        <v>7.7967730885042108E-2</v>
      </c>
      <c r="BW1296">
        <f t="shared" si="307"/>
        <v>0.59502473559756086</v>
      </c>
      <c r="BX1296">
        <f t="shared" si="308"/>
        <v>3.593364373846001E-2</v>
      </c>
      <c r="BY1296">
        <f t="shared" si="309"/>
        <v>0.65423109602898355</v>
      </c>
      <c r="BZ1296">
        <f t="shared" si="310"/>
        <v>0.51715642219916513</v>
      </c>
      <c r="CA1296">
        <f t="shared" si="311"/>
        <v>0.4461985578408646</v>
      </c>
      <c r="CB1296">
        <f t="shared" si="312"/>
        <v>0.36858985273641137</v>
      </c>
    </row>
    <row r="1297" spans="1:80" x14ac:dyDescent="0.45">
      <c r="A1297" s="11">
        <v>41</v>
      </c>
      <c r="B1297" s="12">
        <f t="shared" si="300"/>
        <v>41</v>
      </c>
      <c r="C1297" s="12" t="s">
        <v>59</v>
      </c>
      <c r="D1297" s="12">
        <v>0</v>
      </c>
      <c r="E1297" s="12" t="s">
        <v>53</v>
      </c>
      <c r="F1297" s="12">
        <v>0</v>
      </c>
      <c r="G1297" s="12">
        <v>1</v>
      </c>
      <c r="H1297" s="12" t="s">
        <v>54</v>
      </c>
      <c r="I1297" s="12">
        <v>0</v>
      </c>
      <c r="J1297" s="12">
        <v>1</v>
      </c>
      <c r="K1297" s="12">
        <v>4</v>
      </c>
      <c r="L1297" s="12">
        <f t="shared" si="301"/>
        <v>4</v>
      </c>
      <c r="M1297" s="12">
        <v>1</v>
      </c>
      <c r="N1297" s="12" t="s">
        <v>90</v>
      </c>
      <c r="O1297" s="12">
        <v>0</v>
      </c>
      <c r="P1297" s="12">
        <v>0</v>
      </c>
      <c r="Q1297" s="12">
        <v>0</v>
      </c>
      <c r="R1297" s="12">
        <v>1</v>
      </c>
      <c r="S1297" s="12">
        <v>0</v>
      </c>
      <c r="T1297" s="12">
        <v>3</v>
      </c>
      <c r="U1297" s="12" t="s">
        <v>19</v>
      </c>
      <c r="V1297" s="12">
        <v>1</v>
      </c>
      <c r="W1297" s="12">
        <v>81</v>
      </c>
      <c r="X1297" s="12">
        <v>3</v>
      </c>
      <c r="Y1297" s="12">
        <v>3</v>
      </c>
      <c r="Z1297" s="12" t="s">
        <v>56</v>
      </c>
      <c r="AA1297" s="12">
        <v>0</v>
      </c>
      <c r="AB1297" s="12">
        <v>1</v>
      </c>
      <c r="AC1297" s="12">
        <v>0</v>
      </c>
      <c r="AD1297" s="12">
        <v>0</v>
      </c>
      <c r="AE1297" s="12">
        <v>0</v>
      </c>
      <c r="AF1297" s="12">
        <v>0</v>
      </c>
      <c r="AG1297" s="12">
        <v>0</v>
      </c>
      <c r="AH1297" s="12">
        <v>0</v>
      </c>
      <c r="AI1297" s="12">
        <v>3</v>
      </c>
      <c r="AJ1297" s="12" t="s">
        <v>78</v>
      </c>
      <c r="AK1297" s="12">
        <v>0</v>
      </c>
      <c r="AL1297" s="12">
        <v>0</v>
      </c>
      <c r="AM1297" s="12">
        <v>10447</v>
      </c>
      <c r="AN1297" s="12">
        <f t="shared" si="302"/>
        <v>10447</v>
      </c>
      <c r="AO1297" s="12">
        <v>0</v>
      </c>
      <c r="AP1297" s="12" t="s">
        <v>52</v>
      </c>
      <c r="AQ1297" s="12">
        <v>1</v>
      </c>
      <c r="AR1297" s="12">
        <v>13</v>
      </c>
      <c r="AS1297" s="12">
        <v>3</v>
      </c>
      <c r="AT1297" s="12">
        <v>4</v>
      </c>
      <c r="AU1297" s="12">
        <v>1</v>
      </c>
      <c r="AV1297" s="12">
        <v>23</v>
      </c>
      <c r="AW1297" s="12">
        <f t="shared" si="303"/>
        <v>23</v>
      </c>
      <c r="AX1297" s="12">
        <v>3</v>
      </c>
      <c r="AY1297" s="12">
        <v>4</v>
      </c>
      <c r="AZ1297" s="12">
        <v>22</v>
      </c>
      <c r="BA1297" s="12">
        <f t="shared" si="304"/>
        <v>22</v>
      </c>
      <c r="BB1297" s="12">
        <v>14</v>
      </c>
      <c r="BC1297" s="12">
        <v>13</v>
      </c>
      <c r="BD1297" s="12">
        <f t="shared" si="313"/>
        <v>13</v>
      </c>
      <c r="BE1297" s="12">
        <v>5</v>
      </c>
      <c r="BF1297" s="12">
        <f t="shared" si="305"/>
        <v>5</v>
      </c>
      <c r="BG1297" s="12">
        <f t="shared" si="314"/>
        <v>15</v>
      </c>
      <c r="BH1297" s="67">
        <v>1</v>
      </c>
      <c r="BI1297" s="67">
        <v>0</v>
      </c>
      <c r="BJ1297" s="67">
        <v>0</v>
      </c>
      <c r="BK1297" s="67">
        <v>0</v>
      </c>
      <c r="BL1297" s="67">
        <v>0</v>
      </c>
      <c r="BM1297" s="67">
        <v>1</v>
      </c>
      <c r="BN1297" s="67">
        <v>0</v>
      </c>
      <c r="BO1297" s="67">
        <v>0</v>
      </c>
      <c r="BP1297" s="67">
        <v>0</v>
      </c>
      <c r="BQ1297" s="67">
        <v>0</v>
      </c>
      <c r="BR1297" s="67">
        <v>5</v>
      </c>
      <c r="BS1297" s="67">
        <v>0</v>
      </c>
      <c r="BT1297" s="67">
        <v>0</v>
      </c>
      <c r="BU1297" s="70">
        <v>23</v>
      </c>
      <c r="BV1297" s="29">
        <f t="shared" si="306"/>
        <v>0.83774530846216966</v>
      </c>
      <c r="BW1297">
        <f t="shared" si="307"/>
        <v>0.24575036340443959</v>
      </c>
      <c r="BX1297">
        <f t="shared" si="308"/>
        <v>1.5063278539414293</v>
      </c>
      <c r="BY1297">
        <f t="shared" si="309"/>
        <v>2.4470374905442531</v>
      </c>
      <c r="BZ1297">
        <f t="shared" si="310"/>
        <v>0.64050867607435136</v>
      </c>
      <c r="CA1297">
        <f t="shared" si="311"/>
        <v>0.4461985578408646</v>
      </c>
      <c r="CB1297">
        <f t="shared" si="312"/>
        <v>3.3553076285180543</v>
      </c>
    </row>
    <row r="1298" spans="1:80" x14ac:dyDescent="0.45">
      <c r="A1298" s="11">
        <v>30</v>
      </c>
      <c r="B1298" s="12">
        <f t="shared" si="300"/>
        <v>30</v>
      </c>
      <c r="C1298" s="12" t="s">
        <v>59</v>
      </c>
      <c r="D1298" s="12">
        <v>0</v>
      </c>
      <c r="E1298" s="12" t="s">
        <v>53</v>
      </c>
      <c r="F1298" s="12">
        <v>0</v>
      </c>
      <c r="G1298" s="12">
        <v>1</v>
      </c>
      <c r="H1298" s="12" t="s">
        <v>61</v>
      </c>
      <c r="I1298" s="12">
        <v>1</v>
      </c>
      <c r="J1298" s="12">
        <v>0</v>
      </c>
      <c r="K1298" s="12">
        <v>10</v>
      </c>
      <c r="L1298" s="12">
        <f t="shared" si="301"/>
        <v>10</v>
      </c>
      <c r="M1298" s="12">
        <v>3</v>
      </c>
      <c r="N1298" s="12" t="s">
        <v>70</v>
      </c>
      <c r="O1298" s="12">
        <v>0</v>
      </c>
      <c r="P1298" s="12">
        <v>0</v>
      </c>
      <c r="Q1298" s="12">
        <v>1</v>
      </c>
      <c r="R1298" s="12">
        <v>0</v>
      </c>
      <c r="S1298" s="12">
        <v>0</v>
      </c>
      <c r="T1298" s="12">
        <v>1</v>
      </c>
      <c r="U1298" s="12" t="s">
        <v>19</v>
      </c>
      <c r="V1298" s="12">
        <v>1</v>
      </c>
      <c r="W1298" s="12">
        <v>64</v>
      </c>
      <c r="X1298" s="12">
        <v>3</v>
      </c>
      <c r="Y1298" s="12">
        <v>3</v>
      </c>
      <c r="Z1298" s="12" t="s">
        <v>83</v>
      </c>
      <c r="AA1298" s="12">
        <v>0</v>
      </c>
      <c r="AB1298" s="12">
        <v>0</v>
      </c>
      <c r="AC1298" s="12">
        <v>0</v>
      </c>
      <c r="AD1298" s="12">
        <v>0</v>
      </c>
      <c r="AE1298" s="12">
        <v>1</v>
      </c>
      <c r="AF1298" s="12">
        <v>1</v>
      </c>
      <c r="AG1298" s="12">
        <v>0</v>
      </c>
      <c r="AH1298" s="12">
        <v>0</v>
      </c>
      <c r="AI1298" s="12">
        <v>3</v>
      </c>
      <c r="AJ1298" s="12" t="s">
        <v>57</v>
      </c>
      <c r="AK1298" s="12">
        <v>1</v>
      </c>
      <c r="AL1298" s="12">
        <v>0</v>
      </c>
      <c r="AM1298" s="12">
        <v>9667</v>
      </c>
      <c r="AN1298" s="12">
        <f t="shared" si="302"/>
        <v>9667</v>
      </c>
      <c r="AO1298" s="12">
        <v>9</v>
      </c>
      <c r="AP1298" s="12" t="s">
        <v>59</v>
      </c>
      <c r="AQ1298" s="12">
        <v>0</v>
      </c>
      <c r="AR1298" s="12">
        <v>14</v>
      </c>
      <c r="AS1298" s="12">
        <v>3</v>
      </c>
      <c r="AT1298" s="12">
        <v>2</v>
      </c>
      <c r="AU1298" s="12">
        <v>0</v>
      </c>
      <c r="AV1298" s="12">
        <v>9</v>
      </c>
      <c r="AW1298" s="12">
        <f t="shared" si="303"/>
        <v>9</v>
      </c>
      <c r="AX1298" s="12">
        <v>3</v>
      </c>
      <c r="AY1298" s="12">
        <v>3</v>
      </c>
      <c r="AZ1298" s="12">
        <v>7</v>
      </c>
      <c r="BA1298" s="12">
        <f t="shared" si="304"/>
        <v>7</v>
      </c>
      <c r="BB1298" s="12">
        <v>7</v>
      </c>
      <c r="BC1298" s="12">
        <v>0</v>
      </c>
      <c r="BD1298" s="12">
        <f t="shared" si="313"/>
        <v>0</v>
      </c>
      <c r="BE1298" s="12">
        <v>2</v>
      </c>
      <c r="BF1298" s="12">
        <f t="shared" si="305"/>
        <v>2</v>
      </c>
      <c r="BG1298" s="12">
        <f t="shared" si="314"/>
        <v>6</v>
      </c>
      <c r="BH1298" s="67">
        <v>1</v>
      </c>
      <c r="BI1298" s="67">
        <v>0</v>
      </c>
      <c r="BJ1298" s="67">
        <v>0</v>
      </c>
      <c r="BK1298" s="67">
        <v>0</v>
      </c>
      <c r="BL1298" s="67">
        <v>1</v>
      </c>
      <c r="BM1298" s="67">
        <v>0</v>
      </c>
      <c r="BN1298" s="67">
        <v>0</v>
      </c>
      <c r="BO1298" s="67">
        <v>0</v>
      </c>
      <c r="BP1298" s="67">
        <v>0</v>
      </c>
      <c r="BQ1298" s="67">
        <v>2</v>
      </c>
      <c r="BR1298" s="67">
        <v>0</v>
      </c>
      <c r="BS1298" s="67">
        <v>0</v>
      </c>
      <c r="BT1298" s="67">
        <v>9</v>
      </c>
      <c r="BU1298" s="70">
        <v>0</v>
      </c>
      <c r="BV1298" s="29">
        <f t="shared" si="306"/>
        <v>0.67206834158764928</v>
      </c>
      <c r="BW1298">
        <f t="shared" si="307"/>
        <v>0.59502473559756086</v>
      </c>
      <c r="BX1298">
        <f t="shared" si="308"/>
        <v>0.29297722668510823</v>
      </c>
      <c r="BY1298">
        <f t="shared" si="309"/>
        <v>1.3324462240916321E-3</v>
      </c>
      <c r="BZ1298">
        <f t="shared" si="310"/>
        <v>9.9604847176766084E-2</v>
      </c>
      <c r="CA1298">
        <f t="shared" si="311"/>
        <v>0.75791203633249671</v>
      </c>
      <c r="CB1298">
        <f t="shared" si="312"/>
        <v>0.67891464284095016</v>
      </c>
    </row>
    <row r="1299" spans="1:80" x14ac:dyDescent="0.45">
      <c r="A1299" s="11">
        <v>26</v>
      </c>
      <c r="B1299" s="12">
        <f t="shared" si="300"/>
        <v>26</v>
      </c>
      <c r="C1299" s="12" t="s">
        <v>52</v>
      </c>
      <c r="D1299" s="12">
        <v>1</v>
      </c>
      <c r="E1299" s="12" t="s">
        <v>53</v>
      </c>
      <c r="F1299" s="12">
        <v>0</v>
      </c>
      <c r="G1299" s="12">
        <v>1</v>
      </c>
      <c r="H1299" s="12" t="s">
        <v>97</v>
      </c>
      <c r="I1299" s="12">
        <v>0</v>
      </c>
      <c r="J1299" s="12">
        <v>0</v>
      </c>
      <c r="K1299" s="12">
        <v>20</v>
      </c>
      <c r="L1299" s="12">
        <f t="shared" si="301"/>
        <v>20</v>
      </c>
      <c r="M1299" s="12">
        <v>2</v>
      </c>
      <c r="N1299" s="12" t="s">
        <v>70</v>
      </c>
      <c r="O1299" s="12">
        <v>0</v>
      </c>
      <c r="P1299" s="12">
        <v>0</v>
      </c>
      <c r="Q1299" s="12">
        <v>1</v>
      </c>
      <c r="R1299" s="12">
        <v>0</v>
      </c>
      <c r="S1299" s="12">
        <v>0</v>
      </c>
      <c r="T1299" s="12">
        <v>4</v>
      </c>
      <c r="U1299" s="12" t="s">
        <v>19</v>
      </c>
      <c r="V1299" s="12">
        <v>1</v>
      </c>
      <c r="W1299" s="12">
        <v>69</v>
      </c>
      <c r="X1299" s="12">
        <v>3</v>
      </c>
      <c r="Y1299" s="12">
        <v>1</v>
      </c>
      <c r="Z1299" s="12" t="s">
        <v>97</v>
      </c>
      <c r="AA1299" s="12">
        <v>0</v>
      </c>
      <c r="AB1299" s="12">
        <v>0</v>
      </c>
      <c r="AC1299" s="12">
        <v>0</v>
      </c>
      <c r="AD1299" s="12">
        <v>0</v>
      </c>
      <c r="AE1299" s="12">
        <v>0</v>
      </c>
      <c r="AF1299" s="12">
        <v>0</v>
      </c>
      <c r="AG1299" s="12">
        <v>0</v>
      </c>
      <c r="AH1299" s="12">
        <v>0</v>
      </c>
      <c r="AI1299" s="12">
        <v>2</v>
      </c>
      <c r="AJ1299" s="12" t="s">
        <v>64</v>
      </c>
      <c r="AK1299" s="12">
        <v>0</v>
      </c>
      <c r="AL1299" s="12">
        <v>1</v>
      </c>
      <c r="AM1299" s="12">
        <v>2148</v>
      </c>
      <c r="AN1299" s="12">
        <f t="shared" si="302"/>
        <v>2148</v>
      </c>
      <c r="AO1299" s="12">
        <v>0</v>
      </c>
      <c r="AP1299" s="12" t="s">
        <v>52</v>
      </c>
      <c r="AQ1299" s="12">
        <v>1</v>
      </c>
      <c r="AR1299" s="12">
        <v>11</v>
      </c>
      <c r="AS1299" s="12">
        <v>3</v>
      </c>
      <c r="AT1299" s="12">
        <v>3</v>
      </c>
      <c r="AU1299" s="12">
        <v>0</v>
      </c>
      <c r="AV1299" s="12">
        <v>6</v>
      </c>
      <c r="AW1299" s="12">
        <f t="shared" si="303"/>
        <v>6</v>
      </c>
      <c r="AX1299" s="12">
        <v>3</v>
      </c>
      <c r="AY1299" s="12">
        <v>3</v>
      </c>
      <c r="AZ1299" s="12">
        <v>5</v>
      </c>
      <c r="BA1299" s="12">
        <f t="shared" si="304"/>
        <v>5</v>
      </c>
      <c r="BB1299" s="12">
        <v>1</v>
      </c>
      <c r="BC1299" s="12">
        <v>1</v>
      </c>
      <c r="BD1299" s="12">
        <f t="shared" si="313"/>
        <v>1</v>
      </c>
      <c r="BE1299" s="12">
        <v>4</v>
      </c>
      <c r="BF1299" s="12">
        <f t="shared" si="305"/>
        <v>4</v>
      </c>
      <c r="BG1299" s="12">
        <f t="shared" si="314"/>
        <v>4</v>
      </c>
      <c r="BH1299" s="67">
        <v>0</v>
      </c>
      <c r="BI1299" s="67">
        <v>1</v>
      </c>
      <c r="BJ1299" s="67">
        <v>0</v>
      </c>
      <c r="BK1299" s="67">
        <v>0</v>
      </c>
      <c r="BL1299" s="67">
        <v>0</v>
      </c>
      <c r="BM1299" s="67">
        <v>0</v>
      </c>
      <c r="BN1299" s="67">
        <v>0</v>
      </c>
      <c r="BO1299" s="67">
        <v>1</v>
      </c>
      <c r="BP1299" s="67">
        <v>4</v>
      </c>
      <c r="BQ1299" s="67">
        <v>0</v>
      </c>
      <c r="BR1299" s="67">
        <v>0</v>
      </c>
      <c r="BS1299" s="67">
        <v>6</v>
      </c>
      <c r="BT1299" s="67">
        <v>0</v>
      </c>
      <c r="BU1299" s="70">
        <v>0</v>
      </c>
      <c r="BV1299" s="29">
        <f t="shared" si="306"/>
        <v>0.92501513780916989</v>
      </c>
      <c r="BW1299">
        <f t="shared" si="307"/>
        <v>3.4508002929560584E-2</v>
      </c>
      <c r="BX1299">
        <f t="shared" si="308"/>
        <v>0.67854260110508058</v>
      </c>
      <c r="BY1299">
        <f t="shared" si="309"/>
        <v>0.32778177112653761</v>
      </c>
      <c r="BZ1299">
        <f t="shared" si="310"/>
        <v>1.3331273859286286</v>
      </c>
      <c r="CA1299">
        <f t="shared" si="311"/>
        <v>1.195770434213719</v>
      </c>
      <c r="CB1299">
        <f t="shared" si="312"/>
        <v>0.36858985273641137</v>
      </c>
    </row>
    <row r="1300" spans="1:80" x14ac:dyDescent="0.45">
      <c r="A1300" s="11">
        <v>46</v>
      </c>
      <c r="B1300" s="12">
        <f t="shared" si="300"/>
        <v>46</v>
      </c>
      <c r="C1300" s="12" t="s">
        <v>52</v>
      </c>
      <c r="D1300" s="12">
        <v>1</v>
      </c>
      <c r="E1300" s="12" t="s">
        <v>53</v>
      </c>
      <c r="F1300" s="12">
        <v>0</v>
      </c>
      <c r="G1300" s="12">
        <v>1</v>
      </c>
      <c r="H1300" s="12" t="s">
        <v>61</v>
      </c>
      <c r="I1300" s="12">
        <v>1</v>
      </c>
      <c r="J1300" s="12">
        <v>0</v>
      </c>
      <c r="K1300" s="12">
        <v>21</v>
      </c>
      <c r="L1300" s="12">
        <f t="shared" si="301"/>
        <v>21</v>
      </c>
      <c r="M1300" s="12">
        <v>2</v>
      </c>
      <c r="N1300" s="12" t="s">
        <v>70</v>
      </c>
      <c r="O1300" s="12">
        <v>0</v>
      </c>
      <c r="P1300" s="12">
        <v>0</v>
      </c>
      <c r="Q1300" s="12">
        <v>1</v>
      </c>
      <c r="R1300" s="12">
        <v>0</v>
      </c>
      <c r="S1300" s="12">
        <v>0</v>
      </c>
      <c r="T1300" s="12">
        <v>4</v>
      </c>
      <c r="U1300" s="12" t="s">
        <v>19</v>
      </c>
      <c r="V1300" s="12">
        <v>1</v>
      </c>
      <c r="W1300" s="12">
        <v>66</v>
      </c>
      <c r="X1300" s="12">
        <v>3</v>
      </c>
      <c r="Y1300" s="12">
        <v>2</v>
      </c>
      <c r="Z1300" s="12" t="s">
        <v>85</v>
      </c>
      <c r="AA1300" s="12">
        <v>1</v>
      </c>
      <c r="AB1300" s="12">
        <v>0</v>
      </c>
      <c r="AC1300" s="12">
        <v>0</v>
      </c>
      <c r="AD1300" s="12">
        <v>0</v>
      </c>
      <c r="AE1300" s="12">
        <v>0</v>
      </c>
      <c r="AF1300" s="12">
        <v>0</v>
      </c>
      <c r="AG1300" s="12">
        <v>0</v>
      </c>
      <c r="AH1300" s="12">
        <v>0</v>
      </c>
      <c r="AI1300" s="12">
        <v>2</v>
      </c>
      <c r="AJ1300" s="12" t="s">
        <v>64</v>
      </c>
      <c r="AK1300" s="12">
        <v>0</v>
      </c>
      <c r="AL1300" s="12">
        <v>1</v>
      </c>
      <c r="AM1300" s="12">
        <v>8926</v>
      </c>
      <c r="AN1300" s="12">
        <f t="shared" si="302"/>
        <v>8926</v>
      </c>
      <c r="AO1300" s="12">
        <v>4</v>
      </c>
      <c r="AP1300" s="12" t="s">
        <v>59</v>
      </c>
      <c r="AQ1300" s="12">
        <v>0</v>
      </c>
      <c r="AR1300" s="12">
        <v>22</v>
      </c>
      <c r="AS1300" s="12">
        <v>4</v>
      </c>
      <c r="AT1300" s="12">
        <v>4</v>
      </c>
      <c r="AU1300" s="12">
        <v>1</v>
      </c>
      <c r="AV1300" s="12">
        <v>13</v>
      </c>
      <c r="AW1300" s="12">
        <f t="shared" si="303"/>
        <v>13</v>
      </c>
      <c r="AX1300" s="12">
        <v>2</v>
      </c>
      <c r="AY1300" s="12">
        <v>4</v>
      </c>
      <c r="AZ1300" s="12">
        <v>9</v>
      </c>
      <c r="BA1300" s="12">
        <f t="shared" si="304"/>
        <v>9</v>
      </c>
      <c r="BB1300" s="12">
        <v>7</v>
      </c>
      <c r="BC1300" s="12">
        <v>3</v>
      </c>
      <c r="BD1300" s="12">
        <f t="shared" si="313"/>
        <v>3</v>
      </c>
      <c r="BE1300" s="12">
        <v>7</v>
      </c>
      <c r="BF1300" s="12">
        <f t="shared" si="305"/>
        <v>7</v>
      </c>
      <c r="BG1300" s="12">
        <f t="shared" si="314"/>
        <v>14</v>
      </c>
      <c r="BH1300" s="67">
        <v>0</v>
      </c>
      <c r="BI1300" s="67">
        <v>1</v>
      </c>
      <c r="BJ1300" s="67">
        <v>0</v>
      </c>
      <c r="BK1300" s="67">
        <v>0</v>
      </c>
      <c r="BL1300" s="67">
        <v>0</v>
      </c>
      <c r="BM1300" s="67">
        <v>0</v>
      </c>
      <c r="BN1300" s="67">
        <v>1</v>
      </c>
      <c r="BO1300" s="67">
        <v>0</v>
      </c>
      <c r="BP1300" s="67">
        <v>0</v>
      </c>
      <c r="BQ1300" s="67">
        <v>7</v>
      </c>
      <c r="BR1300" s="67">
        <v>0</v>
      </c>
      <c r="BS1300" s="67">
        <v>0</v>
      </c>
      <c r="BT1300" s="67">
        <v>13</v>
      </c>
      <c r="BU1300" s="70">
        <v>0</v>
      </c>
      <c r="BV1300" s="29">
        <f t="shared" si="306"/>
        <v>0.51467522305685487</v>
      </c>
      <c r="BW1300">
        <f t="shared" si="307"/>
        <v>0.80626709607243985</v>
      </c>
      <c r="BX1300">
        <f t="shared" si="308"/>
        <v>0.22110993920818819</v>
      </c>
      <c r="BY1300">
        <f t="shared" si="309"/>
        <v>0.32511687867835437</v>
      </c>
      <c r="BZ1300">
        <f t="shared" si="310"/>
        <v>1.4564796398038149</v>
      </c>
      <c r="CA1300">
        <f t="shared" si="311"/>
        <v>0.99352155519239249</v>
      </c>
      <c r="CB1300">
        <f t="shared" si="312"/>
        <v>0.2520597274726662</v>
      </c>
    </row>
    <row r="1301" spans="1:80" x14ac:dyDescent="0.45">
      <c r="A1301" s="11">
        <v>40</v>
      </c>
      <c r="B1301" s="12">
        <f t="shared" si="300"/>
        <v>40</v>
      </c>
      <c r="C1301" s="12" t="s">
        <v>59</v>
      </c>
      <c r="D1301" s="12">
        <v>0</v>
      </c>
      <c r="E1301" s="12" t="s">
        <v>53</v>
      </c>
      <c r="F1301" s="12">
        <v>0</v>
      </c>
      <c r="G1301" s="12">
        <v>1</v>
      </c>
      <c r="H1301" s="12" t="s">
        <v>61</v>
      </c>
      <c r="I1301" s="12">
        <v>1</v>
      </c>
      <c r="J1301" s="12">
        <v>0</v>
      </c>
      <c r="K1301" s="12">
        <v>1</v>
      </c>
      <c r="L1301" s="12">
        <f t="shared" si="301"/>
        <v>1</v>
      </c>
      <c r="M1301" s="12">
        <v>3</v>
      </c>
      <c r="N1301" s="12" t="s">
        <v>55</v>
      </c>
      <c r="O1301" s="12">
        <v>1</v>
      </c>
      <c r="P1301" s="12">
        <v>0</v>
      </c>
      <c r="Q1301" s="12">
        <v>0</v>
      </c>
      <c r="R1301" s="12">
        <v>0</v>
      </c>
      <c r="S1301" s="12">
        <v>0</v>
      </c>
      <c r="T1301" s="12">
        <v>3</v>
      </c>
      <c r="U1301" s="12" t="s">
        <v>19</v>
      </c>
      <c r="V1301" s="12">
        <v>1</v>
      </c>
      <c r="W1301" s="12">
        <v>52</v>
      </c>
      <c r="X1301" s="12">
        <v>3</v>
      </c>
      <c r="Y1301" s="12">
        <v>2</v>
      </c>
      <c r="Z1301" s="12" t="s">
        <v>85</v>
      </c>
      <c r="AA1301" s="12">
        <v>1</v>
      </c>
      <c r="AB1301" s="12">
        <v>0</v>
      </c>
      <c r="AC1301" s="12">
        <v>0</v>
      </c>
      <c r="AD1301" s="12">
        <v>0</v>
      </c>
      <c r="AE1301" s="12">
        <v>0</v>
      </c>
      <c r="AF1301" s="12">
        <v>0</v>
      </c>
      <c r="AG1301" s="12">
        <v>0</v>
      </c>
      <c r="AH1301" s="12">
        <v>0</v>
      </c>
      <c r="AI1301" s="12">
        <v>4</v>
      </c>
      <c r="AJ1301" s="12" t="s">
        <v>78</v>
      </c>
      <c r="AK1301" s="12">
        <v>0</v>
      </c>
      <c r="AL1301" s="12">
        <v>0</v>
      </c>
      <c r="AM1301" s="12">
        <v>6513</v>
      </c>
      <c r="AN1301" s="12">
        <f t="shared" si="302"/>
        <v>6513</v>
      </c>
      <c r="AO1301" s="12">
        <v>4</v>
      </c>
      <c r="AP1301" s="12" t="s">
        <v>59</v>
      </c>
      <c r="AQ1301" s="12">
        <v>0</v>
      </c>
      <c r="AR1301" s="12">
        <v>17</v>
      </c>
      <c r="AS1301" s="12">
        <v>3</v>
      </c>
      <c r="AT1301" s="12">
        <v>4</v>
      </c>
      <c r="AU1301" s="12">
        <v>1</v>
      </c>
      <c r="AV1301" s="12">
        <v>12</v>
      </c>
      <c r="AW1301" s="12">
        <f t="shared" si="303"/>
        <v>12</v>
      </c>
      <c r="AX1301" s="12">
        <v>3</v>
      </c>
      <c r="AY1301" s="12">
        <v>3</v>
      </c>
      <c r="AZ1301" s="12">
        <v>5</v>
      </c>
      <c r="BA1301" s="12">
        <f t="shared" si="304"/>
        <v>5</v>
      </c>
      <c r="BB1301" s="12">
        <v>3</v>
      </c>
      <c r="BC1301" s="12">
        <v>0</v>
      </c>
      <c r="BD1301" s="12">
        <f t="shared" si="313"/>
        <v>0</v>
      </c>
      <c r="BE1301" s="12">
        <v>3</v>
      </c>
      <c r="BF1301" s="12">
        <f t="shared" si="305"/>
        <v>3</v>
      </c>
      <c r="BG1301" s="12">
        <f t="shared" si="314"/>
        <v>6</v>
      </c>
      <c r="BH1301" s="67">
        <v>1</v>
      </c>
      <c r="BI1301" s="67">
        <v>0</v>
      </c>
      <c r="BJ1301" s="67">
        <v>0</v>
      </c>
      <c r="BK1301" s="67">
        <v>0</v>
      </c>
      <c r="BL1301" s="67">
        <v>1</v>
      </c>
      <c r="BM1301" s="67">
        <v>0</v>
      </c>
      <c r="BN1301" s="67">
        <v>0</v>
      </c>
      <c r="BO1301" s="67">
        <v>0</v>
      </c>
      <c r="BP1301" s="67">
        <v>0</v>
      </c>
      <c r="BQ1301" s="67">
        <v>3</v>
      </c>
      <c r="BR1301" s="67">
        <v>0</v>
      </c>
      <c r="BS1301" s="67">
        <v>0</v>
      </c>
      <c r="BT1301" s="67">
        <v>12</v>
      </c>
      <c r="BU1301" s="70">
        <v>0</v>
      </c>
      <c r="BV1301" s="29">
        <f t="shared" si="306"/>
        <v>2.13865758478085E-3</v>
      </c>
      <c r="BW1301">
        <f t="shared" si="307"/>
        <v>0.31476636926356072</v>
      </c>
      <c r="BX1301">
        <f t="shared" si="308"/>
        <v>9.2588147734864096E-2</v>
      </c>
      <c r="BY1301">
        <f t="shared" si="309"/>
        <v>0.32778177112653761</v>
      </c>
      <c r="BZ1301">
        <f t="shared" si="310"/>
        <v>1.01056543769991</v>
      </c>
      <c r="CA1301">
        <f t="shared" si="311"/>
        <v>0.33673395837055903</v>
      </c>
      <c r="CB1301">
        <f t="shared" si="312"/>
        <v>0.67891464284095016</v>
      </c>
    </row>
    <row r="1302" spans="1:80" x14ac:dyDescent="0.45">
      <c r="A1302" s="11">
        <v>34</v>
      </c>
      <c r="B1302" s="12">
        <f t="shared" si="300"/>
        <v>34</v>
      </c>
      <c r="C1302" s="12" t="s">
        <v>59</v>
      </c>
      <c r="D1302" s="12">
        <v>0</v>
      </c>
      <c r="E1302" s="12" t="s">
        <v>53</v>
      </c>
      <c r="F1302" s="12">
        <v>0</v>
      </c>
      <c r="G1302" s="12">
        <v>1</v>
      </c>
      <c r="H1302" s="12" t="s">
        <v>54</v>
      </c>
      <c r="I1302" s="12">
        <v>0</v>
      </c>
      <c r="J1302" s="12">
        <v>1</v>
      </c>
      <c r="K1302" s="12">
        <v>8</v>
      </c>
      <c r="L1302" s="12">
        <f t="shared" si="301"/>
        <v>8</v>
      </c>
      <c r="M1302" s="12">
        <v>2</v>
      </c>
      <c r="N1302" s="12" t="s">
        <v>91</v>
      </c>
      <c r="O1302" s="12">
        <v>0</v>
      </c>
      <c r="P1302" s="12">
        <v>0</v>
      </c>
      <c r="Q1302" s="12">
        <v>0</v>
      </c>
      <c r="R1302" s="12">
        <v>0</v>
      </c>
      <c r="S1302" s="12">
        <v>1</v>
      </c>
      <c r="T1302" s="12">
        <v>2</v>
      </c>
      <c r="U1302" s="12" t="s">
        <v>62</v>
      </c>
      <c r="V1302" s="12">
        <v>0</v>
      </c>
      <c r="W1302" s="12">
        <v>92</v>
      </c>
      <c r="X1302" s="12">
        <v>4</v>
      </c>
      <c r="Y1302" s="12">
        <v>2</v>
      </c>
      <c r="Z1302" s="12" t="s">
        <v>56</v>
      </c>
      <c r="AA1302" s="12">
        <v>0</v>
      </c>
      <c r="AB1302" s="12">
        <v>1</v>
      </c>
      <c r="AC1302" s="12">
        <v>0</v>
      </c>
      <c r="AD1302" s="12">
        <v>0</v>
      </c>
      <c r="AE1302" s="12">
        <v>0</v>
      </c>
      <c r="AF1302" s="12">
        <v>0</v>
      </c>
      <c r="AG1302" s="12">
        <v>0</v>
      </c>
      <c r="AH1302" s="12">
        <v>0</v>
      </c>
      <c r="AI1302" s="12">
        <v>3</v>
      </c>
      <c r="AJ1302" s="12" t="s">
        <v>64</v>
      </c>
      <c r="AK1302" s="12">
        <v>0</v>
      </c>
      <c r="AL1302" s="12">
        <v>1</v>
      </c>
      <c r="AM1302" s="12">
        <v>6799</v>
      </c>
      <c r="AN1302" s="12">
        <f t="shared" si="302"/>
        <v>6799</v>
      </c>
      <c r="AO1302" s="12">
        <v>1</v>
      </c>
      <c r="AP1302" s="12" t="s">
        <v>59</v>
      </c>
      <c r="AQ1302" s="12">
        <v>0</v>
      </c>
      <c r="AR1302" s="12">
        <v>21</v>
      </c>
      <c r="AS1302" s="12">
        <v>4</v>
      </c>
      <c r="AT1302" s="12">
        <v>3</v>
      </c>
      <c r="AU1302" s="12">
        <v>2</v>
      </c>
      <c r="AV1302" s="12">
        <v>10</v>
      </c>
      <c r="AW1302" s="12">
        <f t="shared" si="303"/>
        <v>10</v>
      </c>
      <c r="AX1302" s="12">
        <v>5</v>
      </c>
      <c r="AY1302" s="12">
        <v>3</v>
      </c>
      <c r="AZ1302" s="12">
        <v>10</v>
      </c>
      <c r="BA1302" s="12">
        <f t="shared" si="304"/>
        <v>10</v>
      </c>
      <c r="BB1302" s="12">
        <v>8</v>
      </c>
      <c r="BC1302" s="12">
        <v>4</v>
      </c>
      <c r="BD1302" s="12">
        <f t="shared" si="313"/>
        <v>4</v>
      </c>
      <c r="BE1302" s="12">
        <v>8</v>
      </c>
      <c r="BF1302" s="12">
        <f t="shared" si="305"/>
        <v>8</v>
      </c>
      <c r="BG1302" s="12">
        <f t="shared" si="314"/>
        <v>16</v>
      </c>
      <c r="BH1302" s="67">
        <v>0</v>
      </c>
      <c r="BI1302" s="67">
        <v>1</v>
      </c>
      <c r="BJ1302" s="67">
        <v>0</v>
      </c>
      <c r="BK1302" s="67">
        <v>0</v>
      </c>
      <c r="BL1302" s="67">
        <v>0</v>
      </c>
      <c r="BM1302" s="67">
        <v>0</v>
      </c>
      <c r="BN1302" s="67">
        <v>1</v>
      </c>
      <c r="BO1302" s="67">
        <v>0</v>
      </c>
      <c r="BP1302" s="67">
        <v>0</v>
      </c>
      <c r="BQ1302" s="67">
        <v>0</v>
      </c>
      <c r="BR1302" s="67">
        <v>8</v>
      </c>
      <c r="BS1302" s="67">
        <v>0</v>
      </c>
      <c r="BT1302" s="67">
        <v>0</v>
      </c>
      <c r="BU1302" s="70">
        <v>10</v>
      </c>
      <c r="BV1302" s="29">
        <f t="shared" si="306"/>
        <v>6.2886878772104998E-2</v>
      </c>
      <c r="BW1302">
        <f t="shared" si="307"/>
        <v>1.08652546240644</v>
      </c>
      <c r="BX1302">
        <f t="shared" si="308"/>
        <v>0.1644554352117841</v>
      </c>
      <c r="BY1302">
        <f t="shared" si="309"/>
        <v>0.48834154112957734</v>
      </c>
      <c r="BZ1302">
        <f t="shared" si="310"/>
        <v>0.14709966057360641</v>
      </c>
      <c r="CA1302">
        <f t="shared" si="311"/>
        <v>0.32005363845127444</v>
      </c>
      <c r="CB1302">
        <f t="shared" si="312"/>
        <v>0.56238451757720498</v>
      </c>
    </row>
    <row r="1303" spans="1:80" x14ac:dyDescent="0.45">
      <c r="A1303" s="11">
        <v>58</v>
      </c>
      <c r="B1303" s="12">
        <f t="shared" si="300"/>
        <v>58</v>
      </c>
      <c r="C1303" s="12" t="s">
        <v>59</v>
      </c>
      <c r="D1303" s="12">
        <v>0</v>
      </c>
      <c r="E1303" s="12" t="s">
        <v>86</v>
      </c>
      <c r="F1303" s="12">
        <v>0</v>
      </c>
      <c r="G1303" s="12">
        <v>0</v>
      </c>
      <c r="H1303" s="12" t="s">
        <v>54</v>
      </c>
      <c r="I1303" s="12">
        <v>0</v>
      </c>
      <c r="J1303" s="12">
        <v>1</v>
      </c>
      <c r="K1303" s="12">
        <v>2</v>
      </c>
      <c r="L1303" s="12">
        <f t="shared" si="301"/>
        <v>2</v>
      </c>
      <c r="M1303" s="12">
        <v>3</v>
      </c>
      <c r="N1303" s="12" t="s">
        <v>70</v>
      </c>
      <c r="O1303" s="12">
        <v>0</v>
      </c>
      <c r="P1303" s="12">
        <v>0</v>
      </c>
      <c r="Q1303" s="12">
        <v>1</v>
      </c>
      <c r="R1303" s="12">
        <v>0</v>
      </c>
      <c r="S1303" s="12">
        <v>0</v>
      </c>
      <c r="T1303" s="12">
        <v>2</v>
      </c>
      <c r="U1303" s="12" t="s">
        <v>62</v>
      </c>
      <c r="V1303" s="12">
        <v>0</v>
      </c>
      <c r="W1303" s="12">
        <v>52</v>
      </c>
      <c r="X1303" s="12">
        <v>3</v>
      </c>
      <c r="Y1303" s="12">
        <v>4</v>
      </c>
      <c r="Z1303" s="12" t="s">
        <v>87</v>
      </c>
      <c r="AA1303" s="12">
        <v>0</v>
      </c>
      <c r="AB1303" s="12">
        <v>0</v>
      </c>
      <c r="AC1303" s="12">
        <v>0</v>
      </c>
      <c r="AD1303" s="12">
        <v>1</v>
      </c>
      <c r="AE1303" s="12">
        <v>0</v>
      </c>
      <c r="AF1303" s="12">
        <v>0</v>
      </c>
      <c r="AG1303" s="12">
        <v>0</v>
      </c>
      <c r="AH1303" s="12">
        <v>0</v>
      </c>
      <c r="AI1303" s="12">
        <v>2</v>
      </c>
      <c r="AJ1303" s="12" t="s">
        <v>78</v>
      </c>
      <c r="AK1303" s="12">
        <v>0</v>
      </c>
      <c r="AL1303" s="12">
        <v>0</v>
      </c>
      <c r="AM1303" s="12">
        <v>16291</v>
      </c>
      <c r="AN1303" s="12">
        <f t="shared" si="302"/>
        <v>16291</v>
      </c>
      <c r="AO1303" s="12">
        <v>4</v>
      </c>
      <c r="AP1303" s="12" t="s">
        <v>59</v>
      </c>
      <c r="AQ1303" s="12">
        <v>0</v>
      </c>
      <c r="AR1303" s="12">
        <v>22</v>
      </c>
      <c r="AS1303" s="12">
        <v>4</v>
      </c>
      <c r="AT1303" s="12">
        <v>4</v>
      </c>
      <c r="AU1303" s="12">
        <v>1</v>
      </c>
      <c r="AV1303" s="12">
        <v>37</v>
      </c>
      <c r="AW1303" s="12">
        <f t="shared" si="303"/>
        <v>35</v>
      </c>
      <c r="AX1303" s="12">
        <v>0</v>
      </c>
      <c r="AY1303" s="12">
        <v>2</v>
      </c>
      <c r="AZ1303" s="12">
        <v>16</v>
      </c>
      <c r="BA1303" s="12">
        <f t="shared" si="304"/>
        <v>16</v>
      </c>
      <c r="BB1303" s="12">
        <v>9</v>
      </c>
      <c r="BC1303" s="12">
        <v>14</v>
      </c>
      <c r="BD1303" s="12">
        <f t="shared" si="313"/>
        <v>14</v>
      </c>
      <c r="BE1303" s="12">
        <v>14</v>
      </c>
      <c r="BF1303" s="12">
        <f t="shared" si="305"/>
        <v>14</v>
      </c>
      <c r="BG1303" s="12">
        <f t="shared" si="314"/>
        <v>56</v>
      </c>
      <c r="BH1303" s="67">
        <v>1</v>
      </c>
      <c r="BI1303" s="67">
        <v>0</v>
      </c>
      <c r="BJ1303" s="67">
        <v>0</v>
      </c>
      <c r="BK1303" s="67">
        <v>0</v>
      </c>
      <c r="BL1303" s="67">
        <v>1</v>
      </c>
      <c r="BM1303" s="67">
        <v>0</v>
      </c>
      <c r="BN1303" s="67">
        <v>0</v>
      </c>
      <c r="BO1303" s="67">
        <v>0</v>
      </c>
      <c r="BP1303" s="67">
        <v>0</v>
      </c>
      <c r="BQ1303" s="67">
        <v>0</v>
      </c>
      <c r="BR1303" s="67">
        <v>14</v>
      </c>
      <c r="BS1303" s="67">
        <v>0</v>
      </c>
      <c r="BT1303" s="67">
        <v>0</v>
      </c>
      <c r="BU1303" s="70">
        <v>35</v>
      </c>
      <c r="BV1303" s="29">
        <f t="shared" si="306"/>
        <v>2.0790481218143455</v>
      </c>
      <c r="BW1303">
        <f t="shared" si="307"/>
        <v>2.7680756604104411</v>
      </c>
      <c r="BX1303">
        <f t="shared" si="308"/>
        <v>3.3056329345679663</v>
      </c>
      <c r="BY1303">
        <f t="shared" si="309"/>
        <v>1.4676895158369152</v>
      </c>
      <c r="BZ1303">
        <f t="shared" si="310"/>
        <v>0.88721318382472392</v>
      </c>
      <c r="CA1303">
        <f t="shared" si="311"/>
        <v>2.3070967488360594</v>
      </c>
      <c r="CB1303">
        <f t="shared" si="312"/>
        <v>3.665632418622593</v>
      </c>
    </row>
    <row r="1304" spans="1:80" x14ac:dyDescent="0.45">
      <c r="A1304" s="11">
        <v>35</v>
      </c>
      <c r="B1304" s="12">
        <f t="shared" si="300"/>
        <v>35</v>
      </c>
      <c r="C1304" s="12" t="s">
        <v>59</v>
      </c>
      <c r="D1304" s="12">
        <v>0</v>
      </c>
      <c r="E1304" s="12" t="s">
        <v>53</v>
      </c>
      <c r="F1304" s="12">
        <v>0</v>
      </c>
      <c r="G1304" s="12">
        <v>1</v>
      </c>
      <c r="H1304" s="12" t="s">
        <v>61</v>
      </c>
      <c r="I1304" s="12">
        <v>1</v>
      </c>
      <c r="J1304" s="12">
        <v>0</v>
      </c>
      <c r="K1304" s="12">
        <v>23</v>
      </c>
      <c r="L1304" s="12">
        <f t="shared" si="301"/>
        <v>23</v>
      </c>
      <c r="M1304" s="12">
        <v>4</v>
      </c>
      <c r="N1304" s="12" t="s">
        <v>70</v>
      </c>
      <c r="O1304" s="12">
        <v>0</v>
      </c>
      <c r="P1304" s="12">
        <v>0</v>
      </c>
      <c r="Q1304" s="12">
        <v>1</v>
      </c>
      <c r="R1304" s="12">
        <v>0</v>
      </c>
      <c r="S1304" s="12">
        <v>0</v>
      </c>
      <c r="T1304" s="12">
        <v>2</v>
      </c>
      <c r="U1304" s="12" t="s">
        <v>62</v>
      </c>
      <c r="V1304" s="12">
        <v>0</v>
      </c>
      <c r="W1304" s="12">
        <v>91</v>
      </c>
      <c r="X1304" s="12">
        <v>1</v>
      </c>
      <c r="Y1304" s="12">
        <v>1</v>
      </c>
      <c r="Z1304" s="12" t="s">
        <v>67</v>
      </c>
      <c r="AA1304" s="12">
        <v>0</v>
      </c>
      <c r="AB1304" s="12">
        <v>0</v>
      </c>
      <c r="AC1304" s="12">
        <v>1</v>
      </c>
      <c r="AD1304" s="12">
        <v>0</v>
      </c>
      <c r="AE1304" s="12">
        <v>0</v>
      </c>
      <c r="AF1304" s="12">
        <v>0</v>
      </c>
      <c r="AG1304" s="12">
        <v>0</v>
      </c>
      <c r="AH1304" s="12">
        <v>0</v>
      </c>
      <c r="AI1304" s="12">
        <v>3</v>
      </c>
      <c r="AJ1304" s="12" t="s">
        <v>64</v>
      </c>
      <c r="AK1304" s="12">
        <v>0</v>
      </c>
      <c r="AL1304" s="12">
        <v>1</v>
      </c>
      <c r="AM1304" s="12">
        <v>2705</v>
      </c>
      <c r="AN1304" s="12">
        <f t="shared" si="302"/>
        <v>2705</v>
      </c>
      <c r="AO1304" s="12">
        <v>0</v>
      </c>
      <c r="AP1304" s="12" t="s">
        <v>59</v>
      </c>
      <c r="AQ1304" s="12">
        <v>0</v>
      </c>
      <c r="AR1304" s="12">
        <v>16</v>
      </c>
      <c r="AS1304" s="12">
        <v>3</v>
      </c>
      <c r="AT1304" s="12">
        <v>2</v>
      </c>
      <c r="AU1304" s="12">
        <v>1</v>
      </c>
      <c r="AV1304" s="12">
        <v>6</v>
      </c>
      <c r="AW1304" s="12">
        <f t="shared" si="303"/>
        <v>6</v>
      </c>
      <c r="AX1304" s="12">
        <v>2</v>
      </c>
      <c r="AY1304" s="12">
        <v>4</v>
      </c>
      <c r="AZ1304" s="12">
        <v>5</v>
      </c>
      <c r="BA1304" s="12">
        <f t="shared" si="304"/>
        <v>5</v>
      </c>
      <c r="BB1304" s="12">
        <v>4</v>
      </c>
      <c r="BC1304" s="12">
        <v>0</v>
      </c>
      <c r="BD1304" s="12">
        <f t="shared" si="313"/>
        <v>0</v>
      </c>
      <c r="BE1304" s="12">
        <v>3</v>
      </c>
      <c r="BF1304" s="12">
        <f t="shared" si="305"/>
        <v>3</v>
      </c>
      <c r="BG1304" s="12">
        <f t="shared" si="314"/>
        <v>3</v>
      </c>
      <c r="BH1304" s="67">
        <v>0</v>
      </c>
      <c r="BI1304" s="67">
        <v>1</v>
      </c>
      <c r="BJ1304" s="67">
        <v>0</v>
      </c>
      <c r="BK1304" s="67">
        <v>0</v>
      </c>
      <c r="BL1304" s="67">
        <v>0</v>
      </c>
      <c r="BM1304" s="67">
        <v>0</v>
      </c>
      <c r="BN1304" s="67">
        <v>1</v>
      </c>
      <c r="BO1304" s="67">
        <v>0</v>
      </c>
      <c r="BP1304" s="67">
        <v>0</v>
      </c>
      <c r="BQ1304" s="67">
        <v>3</v>
      </c>
      <c r="BR1304" s="67">
        <v>0</v>
      </c>
      <c r="BS1304" s="67">
        <v>0</v>
      </c>
      <c r="BT1304" s="67">
        <v>6</v>
      </c>
      <c r="BU1304" s="70">
        <v>0</v>
      </c>
      <c r="BV1304" s="29">
        <f t="shared" si="306"/>
        <v>0.80670479095133929</v>
      </c>
      <c r="BW1304">
        <f t="shared" si="307"/>
        <v>0.31476636926356072</v>
      </c>
      <c r="BX1304">
        <f t="shared" si="308"/>
        <v>0.67854260110508058</v>
      </c>
      <c r="BY1304">
        <f t="shared" si="309"/>
        <v>0.32778177112653761</v>
      </c>
      <c r="BZ1304">
        <f t="shared" si="310"/>
        <v>1.7031841475541873</v>
      </c>
      <c r="CA1304">
        <f t="shared" si="311"/>
        <v>0.21058903898096887</v>
      </c>
      <c r="CB1304">
        <f t="shared" si="312"/>
        <v>0.67891464284095016</v>
      </c>
    </row>
    <row r="1305" spans="1:80" x14ac:dyDescent="0.45">
      <c r="A1305" s="11">
        <v>47</v>
      </c>
      <c r="B1305" s="12">
        <f t="shared" si="300"/>
        <v>47</v>
      </c>
      <c r="C1305" s="12" t="s">
        <v>59</v>
      </c>
      <c r="D1305" s="12">
        <v>0</v>
      </c>
      <c r="E1305" s="12" t="s">
        <v>53</v>
      </c>
      <c r="F1305" s="12">
        <v>0</v>
      </c>
      <c r="G1305" s="12">
        <v>1</v>
      </c>
      <c r="H1305" s="12" t="s">
        <v>61</v>
      </c>
      <c r="I1305" s="12">
        <v>1</v>
      </c>
      <c r="J1305" s="12">
        <v>0</v>
      </c>
      <c r="K1305" s="12">
        <v>4</v>
      </c>
      <c r="L1305" s="12">
        <f t="shared" si="301"/>
        <v>4</v>
      </c>
      <c r="M1305" s="12">
        <v>3</v>
      </c>
      <c r="N1305" s="12" t="s">
        <v>55</v>
      </c>
      <c r="O1305" s="12">
        <v>1</v>
      </c>
      <c r="P1305" s="12">
        <v>0</v>
      </c>
      <c r="Q1305" s="12">
        <v>0</v>
      </c>
      <c r="R1305" s="12">
        <v>0</v>
      </c>
      <c r="S1305" s="12">
        <v>0</v>
      </c>
      <c r="T1305" s="12">
        <v>3</v>
      </c>
      <c r="U1305" s="12" t="s">
        <v>19</v>
      </c>
      <c r="V1305" s="12">
        <v>1</v>
      </c>
      <c r="W1305" s="12">
        <v>92</v>
      </c>
      <c r="X1305" s="12">
        <v>2</v>
      </c>
      <c r="Y1305" s="12">
        <v>3</v>
      </c>
      <c r="Z1305" s="12" t="s">
        <v>83</v>
      </c>
      <c r="AA1305" s="12">
        <v>0</v>
      </c>
      <c r="AB1305" s="12">
        <v>0</v>
      </c>
      <c r="AC1305" s="12">
        <v>0</v>
      </c>
      <c r="AD1305" s="12">
        <v>0</v>
      </c>
      <c r="AE1305" s="12">
        <v>1</v>
      </c>
      <c r="AF1305" s="12">
        <v>1</v>
      </c>
      <c r="AG1305" s="12">
        <v>0</v>
      </c>
      <c r="AH1305" s="12">
        <v>0</v>
      </c>
      <c r="AI1305" s="12">
        <v>2</v>
      </c>
      <c r="AJ1305" s="12" t="s">
        <v>78</v>
      </c>
      <c r="AK1305" s="12">
        <v>0</v>
      </c>
      <c r="AL1305" s="12">
        <v>0</v>
      </c>
      <c r="AM1305" s="12">
        <v>10333</v>
      </c>
      <c r="AN1305" s="12">
        <f t="shared" si="302"/>
        <v>10333</v>
      </c>
      <c r="AO1305" s="12">
        <v>8</v>
      </c>
      <c r="AP1305" s="12" t="s">
        <v>52</v>
      </c>
      <c r="AQ1305" s="12">
        <v>1</v>
      </c>
      <c r="AR1305" s="12">
        <v>12</v>
      </c>
      <c r="AS1305" s="12">
        <v>3</v>
      </c>
      <c r="AT1305" s="12">
        <v>3</v>
      </c>
      <c r="AU1305" s="12">
        <v>1</v>
      </c>
      <c r="AV1305" s="12">
        <v>28</v>
      </c>
      <c r="AW1305" s="12">
        <f t="shared" si="303"/>
        <v>28</v>
      </c>
      <c r="AX1305" s="12">
        <v>4</v>
      </c>
      <c r="AY1305" s="12">
        <v>3</v>
      </c>
      <c r="AZ1305" s="12">
        <v>22</v>
      </c>
      <c r="BA1305" s="12">
        <f t="shared" si="304"/>
        <v>22</v>
      </c>
      <c r="BB1305" s="12">
        <v>11</v>
      </c>
      <c r="BC1305" s="12">
        <v>14</v>
      </c>
      <c r="BD1305" s="12">
        <f t="shared" si="313"/>
        <v>14</v>
      </c>
      <c r="BE1305" s="12">
        <v>10</v>
      </c>
      <c r="BF1305" s="12">
        <f t="shared" si="305"/>
        <v>10</v>
      </c>
      <c r="BG1305" s="12">
        <f t="shared" si="314"/>
        <v>30</v>
      </c>
      <c r="BH1305" s="67">
        <v>1</v>
      </c>
      <c r="BI1305" s="67">
        <v>0</v>
      </c>
      <c r="BJ1305" s="67">
        <v>0</v>
      </c>
      <c r="BK1305" s="67">
        <v>0</v>
      </c>
      <c r="BL1305" s="67">
        <v>0</v>
      </c>
      <c r="BM1305" s="67">
        <v>1</v>
      </c>
      <c r="BN1305" s="67">
        <v>0</v>
      </c>
      <c r="BO1305" s="67">
        <v>0</v>
      </c>
      <c r="BP1305" s="67">
        <v>0</v>
      </c>
      <c r="BQ1305" s="67">
        <v>10</v>
      </c>
      <c r="BR1305" s="67">
        <v>0</v>
      </c>
      <c r="BS1305" s="67">
        <v>0</v>
      </c>
      <c r="BT1305" s="67">
        <v>28</v>
      </c>
      <c r="BU1305" s="70">
        <v>0</v>
      </c>
      <c r="BV1305" s="29">
        <f t="shared" si="306"/>
        <v>0.81353098253435518</v>
      </c>
      <c r="BW1305">
        <f t="shared" si="307"/>
        <v>1.6470421950744405</v>
      </c>
      <c r="BX1305">
        <f t="shared" si="308"/>
        <v>2.1489368113080496</v>
      </c>
      <c r="BY1305">
        <f t="shared" si="309"/>
        <v>2.4470374905442531</v>
      </c>
      <c r="BZ1305">
        <f t="shared" si="310"/>
        <v>0.64050867607435136</v>
      </c>
      <c r="CA1305">
        <f t="shared" si="311"/>
        <v>1.102986154662698</v>
      </c>
      <c r="CB1305">
        <f t="shared" si="312"/>
        <v>3.665632418622593</v>
      </c>
    </row>
    <row r="1306" spans="1:80" x14ac:dyDescent="0.45">
      <c r="A1306" s="11">
        <v>40</v>
      </c>
      <c r="B1306" s="12">
        <f t="shared" si="300"/>
        <v>40</v>
      </c>
      <c r="C1306" s="12" t="s">
        <v>59</v>
      </c>
      <c r="D1306" s="12">
        <v>0</v>
      </c>
      <c r="E1306" s="12" t="s">
        <v>53</v>
      </c>
      <c r="F1306" s="12">
        <v>0</v>
      </c>
      <c r="G1306" s="12">
        <v>1</v>
      </c>
      <c r="H1306" s="12" t="s">
        <v>61</v>
      </c>
      <c r="I1306" s="12">
        <v>1</v>
      </c>
      <c r="J1306" s="12">
        <v>0</v>
      </c>
      <c r="K1306" s="12">
        <v>12</v>
      </c>
      <c r="L1306" s="12">
        <f t="shared" si="301"/>
        <v>12</v>
      </c>
      <c r="M1306" s="12">
        <v>3</v>
      </c>
      <c r="N1306" s="12" t="s">
        <v>55</v>
      </c>
      <c r="O1306" s="12">
        <v>1</v>
      </c>
      <c r="P1306" s="12">
        <v>0</v>
      </c>
      <c r="Q1306" s="12">
        <v>0</v>
      </c>
      <c r="R1306" s="12">
        <v>0</v>
      </c>
      <c r="S1306" s="12">
        <v>0</v>
      </c>
      <c r="T1306" s="12">
        <v>2</v>
      </c>
      <c r="U1306" s="12" t="s">
        <v>19</v>
      </c>
      <c r="V1306" s="12">
        <v>1</v>
      </c>
      <c r="W1306" s="12">
        <v>47</v>
      </c>
      <c r="X1306" s="12">
        <v>3</v>
      </c>
      <c r="Y1306" s="12">
        <v>2</v>
      </c>
      <c r="Z1306" s="12" t="s">
        <v>85</v>
      </c>
      <c r="AA1306" s="12">
        <v>1</v>
      </c>
      <c r="AB1306" s="12">
        <v>0</v>
      </c>
      <c r="AC1306" s="12">
        <v>0</v>
      </c>
      <c r="AD1306" s="12">
        <v>0</v>
      </c>
      <c r="AE1306" s="12">
        <v>0</v>
      </c>
      <c r="AF1306" s="12">
        <v>0</v>
      </c>
      <c r="AG1306" s="12">
        <v>0</v>
      </c>
      <c r="AH1306" s="12">
        <v>0</v>
      </c>
      <c r="AI1306" s="12">
        <v>1</v>
      </c>
      <c r="AJ1306" s="12" t="s">
        <v>78</v>
      </c>
      <c r="AK1306" s="12">
        <v>0</v>
      </c>
      <c r="AL1306" s="12">
        <v>0</v>
      </c>
      <c r="AM1306" s="12">
        <v>4448</v>
      </c>
      <c r="AN1306" s="12">
        <f t="shared" si="302"/>
        <v>4448</v>
      </c>
      <c r="AO1306" s="12">
        <v>2</v>
      </c>
      <c r="AP1306" s="12" t="s">
        <v>59</v>
      </c>
      <c r="AQ1306" s="12">
        <v>0</v>
      </c>
      <c r="AR1306" s="12">
        <v>12</v>
      </c>
      <c r="AS1306" s="12">
        <v>3</v>
      </c>
      <c r="AT1306" s="12">
        <v>2</v>
      </c>
      <c r="AU1306" s="12">
        <v>1</v>
      </c>
      <c r="AV1306" s="12">
        <v>15</v>
      </c>
      <c r="AW1306" s="12">
        <f t="shared" si="303"/>
        <v>15</v>
      </c>
      <c r="AX1306" s="12">
        <v>3</v>
      </c>
      <c r="AY1306" s="12">
        <v>3</v>
      </c>
      <c r="AZ1306" s="12">
        <v>7</v>
      </c>
      <c r="BA1306" s="12">
        <f t="shared" si="304"/>
        <v>7</v>
      </c>
      <c r="BB1306" s="12">
        <v>4</v>
      </c>
      <c r="BC1306" s="12">
        <v>7</v>
      </c>
      <c r="BD1306" s="12">
        <f t="shared" si="313"/>
        <v>7</v>
      </c>
      <c r="BE1306" s="12">
        <v>7</v>
      </c>
      <c r="BF1306" s="12">
        <f t="shared" si="305"/>
        <v>7</v>
      </c>
      <c r="BG1306" s="12">
        <f t="shared" si="314"/>
        <v>14</v>
      </c>
      <c r="BH1306" s="67">
        <v>1</v>
      </c>
      <c r="BI1306" s="67">
        <v>0</v>
      </c>
      <c r="BJ1306" s="67">
        <v>0</v>
      </c>
      <c r="BK1306" s="67">
        <v>0</v>
      </c>
      <c r="BL1306" s="67">
        <v>1</v>
      </c>
      <c r="BM1306" s="67">
        <v>0</v>
      </c>
      <c r="BN1306" s="67">
        <v>0</v>
      </c>
      <c r="BO1306" s="67">
        <v>0</v>
      </c>
      <c r="BP1306" s="67">
        <v>0</v>
      </c>
      <c r="BQ1306" s="67">
        <v>7</v>
      </c>
      <c r="BR1306" s="67">
        <v>0</v>
      </c>
      <c r="BS1306" s="67">
        <v>0</v>
      </c>
      <c r="BT1306" s="67">
        <v>15</v>
      </c>
      <c r="BU1306" s="70">
        <v>0</v>
      </c>
      <c r="BV1306" s="29">
        <f t="shared" si="306"/>
        <v>0.43648049189712251</v>
      </c>
      <c r="BW1306">
        <f t="shared" si="307"/>
        <v>0.80626709607243985</v>
      </c>
      <c r="BX1306">
        <f t="shared" si="308"/>
        <v>0.47815352215483642</v>
      </c>
      <c r="BY1306">
        <f t="shared" si="309"/>
        <v>1.3324462240916321E-3</v>
      </c>
      <c r="BZ1306">
        <f t="shared" si="310"/>
        <v>0.3463093549271386</v>
      </c>
      <c r="CA1306">
        <f t="shared" si="311"/>
        <v>0.33673395837055903</v>
      </c>
      <c r="CB1306">
        <f t="shared" si="312"/>
        <v>1.4933588878908215</v>
      </c>
    </row>
    <row r="1307" spans="1:80" x14ac:dyDescent="0.45">
      <c r="A1307" s="11">
        <v>54</v>
      </c>
      <c r="B1307" s="12">
        <f t="shared" si="300"/>
        <v>54</v>
      </c>
      <c r="C1307" s="12" t="s">
        <v>59</v>
      </c>
      <c r="D1307" s="12">
        <v>0</v>
      </c>
      <c r="E1307" s="12" t="s">
        <v>53</v>
      </c>
      <c r="F1307" s="12">
        <v>0</v>
      </c>
      <c r="G1307" s="12">
        <v>1</v>
      </c>
      <c r="H1307" s="12" t="s">
        <v>61</v>
      </c>
      <c r="I1307" s="12">
        <v>1</v>
      </c>
      <c r="J1307" s="12">
        <v>0</v>
      </c>
      <c r="K1307" s="12">
        <v>7</v>
      </c>
      <c r="L1307" s="12">
        <f t="shared" si="301"/>
        <v>7</v>
      </c>
      <c r="M1307" s="12">
        <v>4</v>
      </c>
      <c r="N1307" s="12" t="s">
        <v>70</v>
      </c>
      <c r="O1307" s="12">
        <v>0</v>
      </c>
      <c r="P1307" s="12">
        <v>0</v>
      </c>
      <c r="Q1307" s="12">
        <v>1</v>
      </c>
      <c r="R1307" s="12">
        <v>0</v>
      </c>
      <c r="S1307" s="12">
        <v>0</v>
      </c>
      <c r="T1307" s="12">
        <v>4</v>
      </c>
      <c r="U1307" s="12" t="s">
        <v>19</v>
      </c>
      <c r="V1307" s="12">
        <v>1</v>
      </c>
      <c r="W1307" s="12">
        <v>68</v>
      </c>
      <c r="X1307" s="12">
        <v>3</v>
      </c>
      <c r="Y1307" s="12">
        <v>2</v>
      </c>
      <c r="Z1307" s="12" t="s">
        <v>63</v>
      </c>
      <c r="AA1307" s="12">
        <v>0</v>
      </c>
      <c r="AB1307" s="12">
        <v>0</v>
      </c>
      <c r="AC1307" s="12">
        <v>0</v>
      </c>
      <c r="AD1307" s="12">
        <v>0</v>
      </c>
      <c r="AE1307" s="12">
        <v>0</v>
      </c>
      <c r="AF1307" s="12">
        <v>0</v>
      </c>
      <c r="AG1307" s="12">
        <v>0</v>
      </c>
      <c r="AH1307" s="12">
        <v>1</v>
      </c>
      <c r="AI1307" s="12">
        <v>4</v>
      </c>
      <c r="AJ1307" s="12" t="s">
        <v>64</v>
      </c>
      <c r="AK1307" s="12">
        <v>0</v>
      </c>
      <c r="AL1307" s="12">
        <v>1</v>
      </c>
      <c r="AM1307" s="12">
        <v>6854</v>
      </c>
      <c r="AN1307" s="12">
        <f t="shared" si="302"/>
        <v>6854</v>
      </c>
      <c r="AO1307" s="12">
        <v>4</v>
      </c>
      <c r="AP1307" s="12" t="s">
        <v>59</v>
      </c>
      <c r="AQ1307" s="12">
        <v>0</v>
      </c>
      <c r="AR1307" s="12">
        <v>15</v>
      </c>
      <c r="AS1307" s="12">
        <v>3</v>
      </c>
      <c r="AT1307" s="12">
        <v>2</v>
      </c>
      <c r="AU1307" s="12">
        <v>1</v>
      </c>
      <c r="AV1307" s="12">
        <v>14</v>
      </c>
      <c r="AW1307" s="12">
        <f t="shared" si="303"/>
        <v>14</v>
      </c>
      <c r="AX1307" s="12">
        <v>2</v>
      </c>
      <c r="AY1307" s="12">
        <v>2</v>
      </c>
      <c r="AZ1307" s="12">
        <v>7</v>
      </c>
      <c r="BA1307" s="12">
        <f t="shared" si="304"/>
        <v>7</v>
      </c>
      <c r="BB1307" s="12">
        <v>1</v>
      </c>
      <c r="BC1307" s="12">
        <v>1</v>
      </c>
      <c r="BD1307" s="12">
        <f t="shared" si="313"/>
        <v>1</v>
      </c>
      <c r="BE1307" s="12">
        <v>7</v>
      </c>
      <c r="BF1307" s="12">
        <f t="shared" si="305"/>
        <v>7</v>
      </c>
      <c r="BG1307" s="12">
        <f t="shared" si="314"/>
        <v>14</v>
      </c>
      <c r="BH1307" s="67">
        <v>0</v>
      </c>
      <c r="BI1307" s="67">
        <v>1</v>
      </c>
      <c r="BJ1307" s="67">
        <v>0</v>
      </c>
      <c r="BK1307" s="67">
        <v>0</v>
      </c>
      <c r="BL1307" s="67">
        <v>0</v>
      </c>
      <c r="BM1307" s="67">
        <v>0</v>
      </c>
      <c r="BN1307" s="67">
        <v>1</v>
      </c>
      <c r="BO1307" s="67">
        <v>0</v>
      </c>
      <c r="BP1307" s="67">
        <v>0</v>
      </c>
      <c r="BQ1307" s="67">
        <v>7</v>
      </c>
      <c r="BR1307" s="67">
        <v>0</v>
      </c>
      <c r="BS1307" s="67">
        <v>0</v>
      </c>
      <c r="BT1307" s="67">
        <v>14</v>
      </c>
      <c r="BU1307" s="70">
        <v>0</v>
      </c>
      <c r="BV1307" s="29">
        <f t="shared" si="306"/>
        <v>7.4569229000436568E-2</v>
      </c>
      <c r="BW1307">
        <f t="shared" si="307"/>
        <v>0.80626709607243985</v>
      </c>
      <c r="BX1307">
        <f t="shared" si="308"/>
        <v>0.34963173068151232</v>
      </c>
      <c r="BY1307">
        <f t="shared" si="309"/>
        <v>1.3324462240916321E-3</v>
      </c>
      <c r="BZ1307">
        <f t="shared" si="310"/>
        <v>0.27045191444879263</v>
      </c>
      <c r="CA1307">
        <f t="shared" si="311"/>
        <v>1.8692383509548371</v>
      </c>
      <c r="CB1307">
        <f t="shared" si="312"/>
        <v>0.36858985273641137</v>
      </c>
    </row>
    <row r="1308" spans="1:80" x14ac:dyDescent="0.45">
      <c r="A1308" s="11">
        <v>31</v>
      </c>
      <c r="B1308" s="12">
        <f t="shared" si="300"/>
        <v>31</v>
      </c>
      <c r="C1308" s="12" t="s">
        <v>59</v>
      </c>
      <c r="D1308" s="12">
        <v>0</v>
      </c>
      <c r="E1308" s="12" t="s">
        <v>60</v>
      </c>
      <c r="F1308" s="12">
        <v>1</v>
      </c>
      <c r="G1308" s="12">
        <v>0</v>
      </c>
      <c r="H1308" s="12" t="s">
        <v>54</v>
      </c>
      <c r="I1308" s="12">
        <v>0</v>
      </c>
      <c r="J1308" s="12">
        <v>1</v>
      </c>
      <c r="K1308" s="12">
        <v>7</v>
      </c>
      <c r="L1308" s="12">
        <f t="shared" si="301"/>
        <v>7</v>
      </c>
      <c r="M1308" s="12">
        <v>4</v>
      </c>
      <c r="N1308" s="12" t="s">
        <v>90</v>
      </c>
      <c r="O1308" s="12">
        <v>0</v>
      </c>
      <c r="P1308" s="12">
        <v>0</v>
      </c>
      <c r="Q1308" s="12">
        <v>0</v>
      </c>
      <c r="R1308" s="12">
        <v>1</v>
      </c>
      <c r="S1308" s="12">
        <v>0</v>
      </c>
      <c r="T1308" s="12">
        <v>1</v>
      </c>
      <c r="U1308" s="12" t="s">
        <v>19</v>
      </c>
      <c r="V1308" s="12">
        <v>1</v>
      </c>
      <c r="W1308" s="12">
        <v>68</v>
      </c>
      <c r="X1308" s="12">
        <v>3</v>
      </c>
      <c r="Y1308" s="12">
        <v>3</v>
      </c>
      <c r="Z1308" s="12" t="s">
        <v>56</v>
      </c>
      <c r="AA1308" s="12">
        <v>0</v>
      </c>
      <c r="AB1308" s="12">
        <v>1</v>
      </c>
      <c r="AC1308" s="12">
        <v>0</v>
      </c>
      <c r="AD1308" s="12">
        <v>0</v>
      </c>
      <c r="AE1308" s="12">
        <v>0</v>
      </c>
      <c r="AF1308" s="12">
        <v>0</v>
      </c>
      <c r="AG1308" s="12">
        <v>0</v>
      </c>
      <c r="AH1308" s="12">
        <v>0</v>
      </c>
      <c r="AI1308" s="12">
        <v>1</v>
      </c>
      <c r="AJ1308" s="12" t="s">
        <v>64</v>
      </c>
      <c r="AK1308" s="12">
        <v>0</v>
      </c>
      <c r="AL1308" s="12">
        <v>1</v>
      </c>
      <c r="AM1308" s="12">
        <v>9637</v>
      </c>
      <c r="AN1308" s="12">
        <f t="shared" si="302"/>
        <v>9637</v>
      </c>
      <c r="AO1308" s="12">
        <v>2</v>
      </c>
      <c r="AP1308" s="12" t="s">
        <v>59</v>
      </c>
      <c r="AQ1308" s="12">
        <v>0</v>
      </c>
      <c r="AR1308" s="12">
        <v>14</v>
      </c>
      <c r="AS1308" s="12">
        <v>3</v>
      </c>
      <c r="AT1308" s="12">
        <v>4</v>
      </c>
      <c r="AU1308" s="12">
        <v>2</v>
      </c>
      <c r="AV1308" s="12">
        <v>9</v>
      </c>
      <c r="AW1308" s="12">
        <f t="shared" si="303"/>
        <v>9</v>
      </c>
      <c r="AX1308" s="12">
        <v>3</v>
      </c>
      <c r="AY1308" s="12">
        <v>3</v>
      </c>
      <c r="AZ1308" s="12">
        <v>3</v>
      </c>
      <c r="BA1308" s="12">
        <f t="shared" si="304"/>
        <v>3</v>
      </c>
      <c r="BB1308" s="12">
        <v>2</v>
      </c>
      <c r="BC1308" s="12">
        <v>2</v>
      </c>
      <c r="BD1308" s="12">
        <f t="shared" si="313"/>
        <v>2</v>
      </c>
      <c r="BE1308" s="12">
        <v>2</v>
      </c>
      <c r="BF1308" s="12">
        <f t="shared" si="305"/>
        <v>2</v>
      </c>
      <c r="BG1308" s="12">
        <f t="shared" si="314"/>
        <v>6</v>
      </c>
      <c r="BH1308" s="67">
        <v>0</v>
      </c>
      <c r="BI1308" s="67">
        <v>0</v>
      </c>
      <c r="BJ1308" s="67">
        <v>0</v>
      </c>
      <c r="BK1308" s="67">
        <v>1</v>
      </c>
      <c r="BL1308" s="67">
        <v>0</v>
      </c>
      <c r="BM1308" s="67">
        <v>0</v>
      </c>
      <c r="BN1308" s="67">
        <v>1</v>
      </c>
      <c r="BO1308" s="67">
        <v>0</v>
      </c>
      <c r="BP1308" s="67">
        <v>0</v>
      </c>
      <c r="BQ1308" s="67">
        <v>0</v>
      </c>
      <c r="BR1308" s="67">
        <v>2</v>
      </c>
      <c r="BS1308" s="67">
        <v>0</v>
      </c>
      <c r="BT1308" s="67">
        <v>0</v>
      </c>
      <c r="BU1308" s="70">
        <v>9</v>
      </c>
      <c r="BV1308" s="29">
        <f t="shared" si="306"/>
        <v>0.66569615055401388</v>
      </c>
      <c r="BW1308">
        <f t="shared" si="307"/>
        <v>0.59502473559756086</v>
      </c>
      <c r="BX1308">
        <f t="shared" si="308"/>
        <v>0.29297722668510823</v>
      </c>
      <c r="BY1308">
        <f t="shared" si="309"/>
        <v>0.65423109602898355</v>
      </c>
      <c r="BZ1308">
        <f t="shared" si="310"/>
        <v>0.27045191444879263</v>
      </c>
      <c r="CA1308">
        <f t="shared" si="311"/>
        <v>0.6484474368621912</v>
      </c>
      <c r="CB1308">
        <f t="shared" si="312"/>
        <v>5.8265062631872602E-2</v>
      </c>
    </row>
    <row r="1309" spans="1:80" x14ac:dyDescent="0.45">
      <c r="A1309" s="11">
        <v>28</v>
      </c>
      <c r="B1309" s="12">
        <f t="shared" si="300"/>
        <v>28</v>
      </c>
      <c r="C1309" s="12" t="s">
        <v>59</v>
      </c>
      <c r="D1309" s="12">
        <v>0</v>
      </c>
      <c r="E1309" s="12" t="s">
        <v>53</v>
      </c>
      <c r="F1309" s="12">
        <v>0</v>
      </c>
      <c r="G1309" s="12">
        <v>1</v>
      </c>
      <c r="H1309" s="12" t="s">
        <v>61</v>
      </c>
      <c r="I1309" s="12">
        <v>1</v>
      </c>
      <c r="J1309" s="12">
        <v>0</v>
      </c>
      <c r="K1309" s="12">
        <v>1</v>
      </c>
      <c r="L1309" s="12">
        <f t="shared" si="301"/>
        <v>1</v>
      </c>
      <c r="M1309" s="12">
        <v>3</v>
      </c>
      <c r="N1309" s="12" t="s">
        <v>70</v>
      </c>
      <c r="O1309" s="12">
        <v>0</v>
      </c>
      <c r="P1309" s="12">
        <v>0</v>
      </c>
      <c r="Q1309" s="12">
        <v>1</v>
      </c>
      <c r="R1309" s="12">
        <v>0</v>
      </c>
      <c r="S1309" s="12">
        <v>0</v>
      </c>
      <c r="T1309" s="12">
        <v>3</v>
      </c>
      <c r="U1309" s="12" t="s">
        <v>19</v>
      </c>
      <c r="V1309" s="12">
        <v>1</v>
      </c>
      <c r="W1309" s="12">
        <v>67</v>
      </c>
      <c r="X1309" s="12">
        <v>3</v>
      </c>
      <c r="Y1309" s="12">
        <v>1</v>
      </c>
      <c r="Z1309" s="12" t="s">
        <v>63</v>
      </c>
      <c r="AA1309" s="12">
        <v>0</v>
      </c>
      <c r="AB1309" s="12">
        <v>0</v>
      </c>
      <c r="AC1309" s="12">
        <v>0</v>
      </c>
      <c r="AD1309" s="12">
        <v>0</v>
      </c>
      <c r="AE1309" s="12">
        <v>0</v>
      </c>
      <c r="AF1309" s="12">
        <v>0</v>
      </c>
      <c r="AG1309" s="12">
        <v>0</v>
      </c>
      <c r="AH1309" s="12">
        <v>1</v>
      </c>
      <c r="AI1309" s="12">
        <v>1</v>
      </c>
      <c r="AJ1309" s="12" t="s">
        <v>64</v>
      </c>
      <c r="AK1309" s="12">
        <v>0</v>
      </c>
      <c r="AL1309" s="12">
        <v>1</v>
      </c>
      <c r="AM1309" s="12">
        <v>3591</v>
      </c>
      <c r="AN1309" s="12">
        <f t="shared" si="302"/>
        <v>3591</v>
      </c>
      <c r="AO1309" s="12">
        <v>1</v>
      </c>
      <c r="AP1309" s="12" t="s">
        <v>59</v>
      </c>
      <c r="AQ1309" s="12">
        <v>0</v>
      </c>
      <c r="AR1309" s="12">
        <v>25</v>
      </c>
      <c r="AS1309" s="12">
        <v>4</v>
      </c>
      <c r="AT1309" s="12">
        <v>3</v>
      </c>
      <c r="AU1309" s="12">
        <v>1</v>
      </c>
      <c r="AV1309" s="12">
        <v>3</v>
      </c>
      <c r="AW1309" s="12">
        <f t="shared" si="303"/>
        <v>3</v>
      </c>
      <c r="AX1309" s="12">
        <v>3</v>
      </c>
      <c r="AY1309" s="12">
        <v>3</v>
      </c>
      <c r="AZ1309" s="12">
        <v>3</v>
      </c>
      <c r="BA1309" s="12">
        <f t="shared" si="304"/>
        <v>3</v>
      </c>
      <c r="BB1309" s="12">
        <v>2</v>
      </c>
      <c r="BC1309" s="12">
        <v>1</v>
      </c>
      <c r="BD1309" s="12">
        <f t="shared" si="313"/>
        <v>1</v>
      </c>
      <c r="BE1309" s="12">
        <v>2</v>
      </c>
      <c r="BF1309" s="12">
        <f t="shared" si="305"/>
        <v>2</v>
      </c>
      <c r="BG1309" s="12">
        <f t="shared" si="314"/>
        <v>2</v>
      </c>
      <c r="BH1309" s="67">
        <v>0</v>
      </c>
      <c r="BI1309" s="67">
        <v>1</v>
      </c>
      <c r="BJ1309" s="67">
        <v>0</v>
      </c>
      <c r="BK1309" s="67">
        <v>0</v>
      </c>
      <c r="BL1309" s="67">
        <v>0</v>
      </c>
      <c r="BM1309" s="67">
        <v>0</v>
      </c>
      <c r="BN1309" s="67">
        <v>1</v>
      </c>
      <c r="BO1309" s="67">
        <v>0</v>
      </c>
      <c r="BP1309" s="67">
        <v>0</v>
      </c>
      <c r="BQ1309" s="67">
        <v>2</v>
      </c>
      <c r="BR1309" s="67">
        <v>0</v>
      </c>
      <c r="BS1309" s="67">
        <v>0</v>
      </c>
      <c r="BT1309" s="67">
        <v>3</v>
      </c>
      <c r="BU1309" s="70">
        <v>0</v>
      </c>
      <c r="BV1309" s="29">
        <f t="shared" si="306"/>
        <v>0.61851274909130716</v>
      </c>
      <c r="BW1309">
        <f t="shared" si="307"/>
        <v>0.59502473559756086</v>
      </c>
      <c r="BX1309">
        <f t="shared" si="308"/>
        <v>1.0641079755250529</v>
      </c>
      <c r="BY1309">
        <f t="shared" si="309"/>
        <v>0.65423109602898355</v>
      </c>
      <c r="BZ1309">
        <f t="shared" si="310"/>
        <v>1.01056543769991</v>
      </c>
      <c r="CA1309">
        <f t="shared" si="311"/>
        <v>0.97684123527310796</v>
      </c>
      <c r="CB1309">
        <f t="shared" si="312"/>
        <v>0.36858985273641137</v>
      </c>
    </row>
    <row r="1310" spans="1:80" x14ac:dyDescent="0.45">
      <c r="A1310" s="11">
        <v>38</v>
      </c>
      <c r="B1310" s="12">
        <f t="shared" si="300"/>
        <v>38</v>
      </c>
      <c r="C1310" s="12" t="s">
        <v>59</v>
      </c>
      <c r="D1310" s="12">
        <v>0</v>
      </c>
      <c r="E1310" s="12" t="s">
        <v>53</v>
      </c>
      <c r="F1310" s="12">
        <v>0</v>
      </c>
      <c r="G1310" s="12">
        <v>1</v>
      </c>
      <c r="H1310" s="12" t="s">
        <v>54</v>
      </c>
      <c r="I1310" s="12">
        <v>0</v>
      </c>
      <c r="J1310" s="12">
        <v>1</v>
      </c>
      <c r="K1310" s="12">
        <v>2</v>
      </c>
      <c r="L1310" s="12">
        <f t="shared" si="301"/>
        <v>2</v>
      </c>
      <c r="M1310" s="12">
        <v>4</v>
      </c>
      <c r="N1310" s="12" t="s">
        <v>90</v>
      </c>
      <c r="O1310" s="12">
        <v>0</v>
      </c>
      <c r="P1310" s="12">
        <v>0</v>
      </c>
      <c r="Q1310" s="12">
        <v>0</v>
      </c>
      <c r="R1310" s="12">
        <v>1</v>
      </c>
      <c r="S1310" s="12">
        <v>0</v>
      </c>
      <c r="T1310" s="12">
        <v>2</v>
      </c>
      <c r="U1310" s="12" t="s">
        <v>19</v>
      </c>
      <c r="V1310" s="12">
        <v>1</v>
      </c>
      <c r="W1310" s="12">
        <v>77</v>
      </c>
      <c r="X1310" s="12">
        <v>1</v>
      </c>
      <c r="Y1310" s="12">
        <v>2</v>
      </c>
      <c r="Z1310" s="12" t="s">
        <v>88</v>
      </c>
      <c r="AA1310" s="12">
        <v>0</v>
      </c>
      <c r="AB1310" s="12">
        <v>0</v>
      </c>
      <c r="AC1310" s="12">
        <v>0</v>
      </c>
      <c r="AD1310" s="12">
        <v>0</v>
      </c>
      <c r="AE1310" s="12">
        <v>0</v>
      </c>
      <c r="AF1310" s="12">
        <v>0</v>
      </c>
      <c r="AG1310" s="12">
        <v>1</v>
      </c>
      <c r="AH1310" s="12">
        <v>0</v>
      </c>
      <c r="AI1310" s="12">
        <v>4</v>
      </c>
      <c r="AJ1310" s="12" t="s">
        <v>64</v>
      </c>
      <c r="AK1310" s="12">
        <v>0</v>
      </c>
      <c r="AL1310" s="12">
        <v>1</v>
      </c>
      <c r="AM1310" s="12">
        <v>5405</v>
      </c>
      <c r="AN1310" s="12">
        <f t="shared" si="302"/>
        <v>5405</v>
      </c>
      <c r="AO1310" s="12">
        <v>2</v>
      </c>
      <c r="AP1310" s="12" t="s">
        <v>52</v>
      </c>
      <c r="AQ1310" s="12">
        <v>1</v>
      </c>
      <c r="AR1310" s="12">
        <v>20</v>
      </c>
      <c r="AS1310" s="12">
        <v>4</v>
      </c>
      <c r="AT1310" s="12">
        <v>1</v>
      </c>
      <c r="AU1310" s="12">
        <v>2</v>
      </c>
      <c r="AV1310" s="12">
        <v>20</v>
      </c>
      <c r="AW1310" s="12">
        <f t="shared" si="303"/>
        <v>20</v>
      </c>
      <c r="AX1310" s="12">
        <v>4</v>
      </c>
      <c r="AY1310" s="12">
        <v>2</v>
      </c>
      <c r="AZ1310" s="12">
        <v>4</v>
      </c>
      <c r="BA1310" s="12">
        <f t="shared" si="304"/>
        <v>4</v>
      </c>
      <c r="BB1310" s="12">
        <v>2</v>
      </c>
      <c r="BC1310" s="12">
        <v>0</v>
      </c>
      <c r="BD1310" s="12">
        <f t="shared" si="313"/>
        <v>0</v>
      </c>
      <c r="BE1310" s="12">
        <v>3</v>
      </c>
      <c r="BF1310" s="12">
        <f t="shared" si="305"/>
        <v>3</v>
      </c>
      <c r="BG1310" s="12">
        <f t="shared" si="314"/>
        <v>6</v>
      </c>
      <c r="BH1310" s="67">
        <v>0</v>
      </c>
      <c r="BI1310" s="67">
        <v>1</v>
      </c>
      <c r="BJ1310" s="67">
        <v>0</v>
      </c>
      <c r="BK1310" s="67">
        <v>0</v>
      </c>
      <c r="BL1310" s="67">
        <v>0</v>
      </c>
      <c r="BM1310" s="67">
        <v>0</v>
      </c>
      <c r="BN1310" s="67">
        <v>0</v>
      </c>
      <c r="BO1310" s="67">
        <v>1</v>
      </c>
      <c r="BP1310" s="67">
        <v>0</v>
      </c>
      <c r="BQ1310" s="67">
        <v>0</v>
      </c>
      <c r="BR1310" s="67">
        <v>3</v>
      </c>
      <c r="BS1310" s="67">
        <v>0</v>
      </c>
      <c r="BT1310" s="67">
        <v>0</v>
      </c>
      <c r="BU1310" s="70">
        <v>20</v>
      </c>
      <c r="BV1310" s="29">
        <f t="shared" si="306"/>
        <v>0.23320759792415327</v>
      </c>
      <c r="BW1310">
        <f t="shared" si="307"/>
        <v>0.31476636926356072</v>
      </c>
      <c r="BX1310">
        <f t="shared" si="308"/>
        <v>1.120762479521457</v>
      </c>
      <c r="BY1310">
        <f t="shared" si="309"/>
        <v>0.49100643357776058</v>
      </c>
      <c r="BZ1310">
        <f t="shared" si="310"/>
        <v>0.88721318382472392</v>
      </c>
      <c r="CA1310">
        <f t="shared" si="311"/>
        <v>0.11780475942994788</v>
      </c>
      <c r="CB1310">
        <f t="shared" si="312"/>
        <v>0.67891464284095016</v>
      </c>
    </row>
    <row r="1311" spans="1:80" x14ac:dyDescent="0.45">
      <c r="A1311" s="11">
        <v>26</v>
      </c>
      <c r="B1311" s="12">
        <f t="shared" si="300"/>
        <v>26</v>
      </c>
      <c r="C1311" s="12" t="s">
        <v>59</v>
      </c>
      <c r="D1311" s="12">
        <v>0</v>
      </c>
      <c r="E1311" s="12" t="s">
        <v>53</v>
      </c>
      <c r="F1311" s="12">
        <v>0</v>
      </c>
      <c r="G1311" s="12">
        <v>1</v>
      </c>
      <c r="H1311" s="12" t="s">
        <v>54</v>
      </c>
      <c r="I1311" s="12">
        <v>0</v>
      </c>
      <c r="J1311" s="12">
        <v>1</v>
      </c>
      <c r="K1311" s="12">
        <v>10</v>
      </c>
      <c r="L1311" s="12">
        <f t="shared" si="301"/>
        <v>10</v>
      </c>
      <c r="M1311" s="12">
        <v>3</v>
      </c>
      <c r="N1311" s="12" t="s">
        <v>70</v>
      </c>
      <c r="O1311" s="12">
        <v>0</v>
      </c>
      <c r="P1311" s="12">
        <v>0</v>
      </c>
      <c r="Q1311" s="12">
        <v>1</v>
      </c>
      <c r="R1311" s="12">
        <v>0</v>
      </c>
      <c r="S1311" s="12">
        <v>0</v>
      </c>
      <c r="T1311" s="12">
        <v>3</v>
      </c>
      <c r="U1311" s="12" t="s">
        <v>62</v>
      </c>
      <c r="V1311" s="12">
        <v>0</v>
      </c>
      <c r="W1311" s="12">
        <v>46</v>
      </c>
      <c r="X1311" s="12">
        <v>3</v>
      </c>
      <c r="Y1311" s="12">
        <v>2</v>
      </c>
      <c r="Z1311" s="12" t="s">
        <v>56</v>
      </c>
      <c r="AA1311" s="12">
        <v>0</v>
      </c>
      <c r="AB1311" s="12">
        <v>1</v>
      </c>
      <c r="AC1311" s="12">
        <v>0</v>
      </c>
      <c r="AD1311" s="12">
        <v>0</v>
      </c>
      <c r="AE1311" s="12">
        <v>0</v>
      </c>
      <c r="AF1311" s="12">
        <v>0</v>
      </c>
      <c r="AG1311" s="12">
        <v>0</v>
      </c>
      <c r="AH1311" s="12">
        <v>0</v>
      </c>
      <c r="AI1311" s="12">
        <v>4</v>
      </c>
      <c r="AJ1311" s="12" t="s">
        <v>57</v>
      </c>
      <c r="AK1311" s="12">
        <v>1</v>
      </c>
      <c r="AL1311" s="12">
        <v>0</v>
      </c>
      <c r="AM1311" s="12">
        <v>4684</v>
      </c>
      <c r="AN1311" s="12">
        <f t="shared" si="302"/>
        <v>4684</v>
      </c>
      <c r="AO1311" s="12">
        <v>1</v>
      </c>
      <c r="AP1311" s="12" t="s">
        <v>59</v>
      </c>
      <c r="AQ1311" s="12">
        <v>0</v>
      </c>
      <c r="AR1311" s="12">
        <v>13</v>
      </c>
      <c r="AS1311" s="12">
        <v>3</v>
      </c>
      <c r="AT1311" s="12">
        <v>1</v>
      </c>
      <c r="AU1311" s="12">
        <v>0</v>
      </c>
      <c r="AV1311" s="12">
        <v>5</v>
      </c>
      <c r="AW1311" s="12">
        <f t="shared" si="303"/>
        <v>5</v>
      </c>
      <c r="AX1311" s="12">
        <v>4</v>
      </c>
      <c r="AY1311" s="12">
        <v>3</v>
      </c>
      <c r="AZ1311" s="12">
        <v>5</v>
      </c>
      <c r="BA1311" s="12">
        <f t="shared" si="304"/>
        <v>5</v>
      </c>
      <c r="BB1311" s="12">
        <v>3</v>
      </c>
      <c r="BC1311" s="12">
        <v>1</v>
      </c>
      <c r="BD1311" s="12">
        <f t="shared" si="313"/>
        <v>1</v>
      </c>
      <c r="BE1311" s="12">
        <v>2</v>
      </c>
      <c r="BF1311" s="12">
        <f t="shared" si="305"/>
        <v>2</v>
      </c>
      <c r="BG1311" s="12">
        <f t="shared" si="314"/>
        <v>4</v>
      </c>
      <c r="BH1311" s="67">
        <v>1</v>
      </c>
      <c r="BI1311" s="67">
        <v>0</v>
      </c>
      <c r="BJ1311" s="67">
        <v>0</v>
      </c>
      <c r="BK1311" s="67">
        <v>0</v>
      </c>
      <c r="BL1311" s="67">
        <v>1</v>
      </c>
      <c r="BM1311" s="67">
        <v>0</v>
      </c>
      <c r="BN1311" s="67">
        <v>0</v>
      </c>
      <c r="BO1311" s="67">
        <v>0</v>
      </c>
      <c r="BP1311" s="67">
        <v>0</v>
      </c>
      <c r="BQ1311" s="67">
        <v>0</v>
      </c>
      <c r="BR1311" s="67">
        <v>2</v>
      </c>
      <c r="BS1311" s="67">
        <v>0</v>
      </c>
      <c r="BT1311" s="67">
        <v>0</v>
      </c>
      <c r="BU1311" s="70">
        <v>5</v>
      </c>
      <c r="BV1311" s="29">
        <f t="shared" si="306"/>
        <v>0.38635258909919074</v>
      </c>
      <c r="BW1311">
        <f t="shared" si="307"/>
        <v>0.59502473559756086</v>
      </c>
      <c r="BX1311">
        <f t="shared" si="308"/>
        <v>0.80706439257840468</v>
      </c>
      <c r="BY1311">
        <f t="shared" si="309"/>
        <v>0.32778177112653761</v>
      </c>
      <c r="BZ1311">
        <f t="shared" si="310"/>
        <v>9.9604847176766084E-2</v>
      </c>
      <c r="CA1311">
        <f t="shared" si="311"/>
        <v>1.195770434213719</v>
      </c>
      <c r="CB1311">
        <f t="shared" si="312"/>
        <v>0.36858985273641137</v>
      </c>
    </row>
    <row r="1312" spans="1:80" x14ac:dyDescent="0.45">
      <c r="A1312" s="11">
        <v>58</v>
      </c>
      <c r="B1312" s="12">
        <f t="shared" si="300"/>
        <v>58</v>
      </c>
      <c r="C1312" s="12" t="s">
        <v>59</v>
      </c>
      <c r="D1312" s="12">
        <v>0</v>
      </c>
      <c r="E1312" s="12" t="s">
        <v>60</v>
      </c>
      <c r="F1312" s="12">
        <v>1</v>
      </c>
      <c r="G1312" s="12">
        <v>0</v>
      </c>
      <c r="H1312" s="12" t="s">
        <v>61</v>
      </c>
      <c r="I1312" s="12">
        <v>1</v>
      </c>
      <c r="J1312" s="12">
        <v>0</v>
      </c>
      <c r="K1312" s="12">
        <v>15</v>
      </c>
      <c r="L1312" s="12">
        <f t="shared" si="301"/>
        <v>15</v>
      </c>
      <c r="M1312" s="12">
        <v>4</v>
      </c>
      <c r="N1312" s="12" t="s">
        <v>55</v>
      </c>
      <c r="O1312" s="12">
        <v>1</v>
      </c>
      <c r="P1312" s="12">
        <v>0</v>
      </c>
      <c r="Q1312" s="12">
        <v>0</v>
      </c>
      <c r="R1312" s="12">
        <v>0</v>
      </c>
      <c r="S1312" s="12">
        <v>0</v>
      </c>
      <c r="T1312" s="12">
        <v>1</v>
      </c>
      <c r="U1312" s="12" t="s">
        <v>62</v>
      </c>
      <c r="V1312" s="12">
        <v>0</v>
      </c>
      <c r="W1312" s="12">
        <v>87</v>
      </c>
      <c r="X1312" s="12">
        <v>3</v>
      </c>
      <c r="Y1312" s="12">
        <v>4</v>
      </c>
      <c r="Z1312" s="12" t="s">
        <v>89</v>
      </c>
      <c r="AA1312" s="12">
        <v>0</v>
      </c>
      <c r="AB1312" s="12">
        <v>0</v>
      </c>
      <c r="AC1312" s="12">
        <v>0</v>
      </c>
      <c r="AD1312" s="12">
        <v>0</v>
      </c>
      <c r="AE1312" s="12">
        <v>0</v>
      </c>
      <c r="AF1312" s="12">
        <v>0</v>
      </c>
      <c r="AG1312" s="12">
        <v>0</v>
      </c>
      <c r="AH1312" s="12">
        <v>0</v>
      </c>
      <c r="AI1312" s="12">
        <v>3</v>
      </c>
      <c r="AJ1312" s="12" t="s">
        <v>64</v>
      </c>
      <c r="AK1312" s="12">
        <v>0</v>
      </c>
      <c r="AL1312" s="12">
        <v>1</v>
      </c>
      <c r="AM1312" s="12">
        <v>15787</v>
      </c>
      <c r="AN1312" s="12">
        <f t="shared" si="302"/>
        <v>15787</v>
      </c>
      <c r="AO1312" s="12">
        <v>2</v>
      </c>
      <c r="AP1312" s="12" t="s">
        <v>52</v>
      </c>
      <c r="AQ1312" s="12">
        <v>1</v>
      </c>
      <c r="AR1312" s="12">
        <v>14</v>
      </c>
      <c r="AS1312" s="12">
        <v>3</v>
      </c>
      <c r="AT1312" s="12">
        <v>2</v>
      </c>
      <c r="AU1312" s="12">
        <v>0</v>
      </c>
      <c r="AV1312" s="12">
        <v>23</v>
      </c>
      <c r="AW1312" s="12">
        <f t="shared" si="303"/>
        <v>23</v>
      </c>
      <c r="AX1312" s="12">
        <v>3</v>
      </c>
      <c r="AY1312" s="12">
        <v>3</v>
      </c>
      <c r="AZ1312" s="12">
        <v>2</v>
      </c>
      <c r="BA1312" s="12">
        <f t="shared" si="304"/>
        <v>2</v>
      </c>
      <c r="BB1312" s="12">
        <v>2</v>
      </c>
      <c r="BC1312" s="12">
        <v>2</v>
      </c>
      <c r="BD1312" s="12">
        <f t="shared" si="313"/>
        <v>2</v>
      </c>
      <c r="BE1312" s="12">
        <v>2</v>
      </c>
      <c r="BF1312" s="12">
        <f t="shared" si="305"/>
        <v>2</v>
      </c>
      <c r="BG1312" s="12">
        <f t="shared" si="314"/>
        <v>8</v>
      </c>
      <c r="BH1312" s="67">
        <v>0</v>
      </c>
      <c r="BI1312" s="67">
        <v>0</v>
      </c>
      <c r="BJ1312" s="67">
        <v>0</v>
      </c>
      <c r="BK1312" s="67">
        <v>1</v>
      </c>
      <c r="BL1312" s="67">
        <v>0</v>
      </c>
      <c r="BM1312" s="67">
        <v>0</v>
      </c>
      <c r="BN1312" s="67">
        <v>0</v>
      </c>
      <c r="BO1312" s="67">
        <v>1</v>
      </c>
      <c r="BP1312" s="67">
        <v>0</v>
      </c>
      <c r="BQ1312" s="67">
        <v>2</v>
      </c>
      <c r="BR1312" s="67">
        <v>0</v>
      </c>
      <c r="BS1312" s="67">
        <v>0</v>
      </c>
      <c r="BT1312" s="67">
        <v>23</v>
      </c>
      <c r="BU1312" s="70">
        <v>0</v>
      </c>
      <c r="BV1312" s="29">
        <f t="shared" si="306"/>
        <v>1.9719953124492708</v>
      </c>
      <c r="BW1312">
        <f t="shared" si="307"/>
        <v>0.59502473559756086</v>
      </c>
      <c r="BX1312">
        <f t="shared" si="308"/>
        <v>1.5063278539414293</v>
      </c>
      <c r="BY1312">
        <f t="shared" si="309"/>
        <v>0.81745575848020657</v>
      </c>
      <c r="BZ1312">
        <f t="shared" si="310"/>
        <v>0.71636611655269733</v>
      </c>
      <c r="CA1312">
        <f t="shared" si="311"/>
        <v>2.3070967488360594</v>
      </c>
      <c r="CB1312">
        <f t="shared" si="312"/>
        <v>5.8265062631872602E-2</v>
      </c>
    </row>
    <row r="1313" spans="1:80" x14ac:dyDescent="0.45">
      <c r="A1313" s="11">
        <v>18</v>
      </c>
      <c r="B1313" s="12">
        <f t="shared" si="300"/>
        <v>19</v>
      </c>
      <c r="C1313" s="12" t="s">
        <v>59</v>
      </c>
      <c r="D1313" s="12">
        <v>0</v>
      </c>
      <c r="E1313" s="12" t="s">
        <v>86</v>
      </c>
      <c r="F1313" s="12">
        <v>0</v>
      </c>
      <c r="G1313" s="12">
        <v>0</v>
      </c>
      <c r="H1313" s="12" t="s">
        <v>61</v>
      </c>
      <c r="I1313" s="12">
        <v>1</v>
      </c>
      <c r="J1313" s="12">
        <v>0</v>
      </c>
      <c r="K1313" s="12">
        <v>14</v>
      </c>
      <c r="L1313" s="12">
        <f t="shared" si="301"/>
        <v>14</v>
      </c>
      <c r="M1313" s="12">
        <v>3</v>
      </c>
      <c r="N1313" s="12" t="s">
        <v>70</v>
      </c>
      <c r="O1313" s="12">
        <v>0</v>
      </c>
      <c r="P1313" s="12">
        <v>0</v>
      </c>
      <c r="Q1313" s="12">
        <v>1</v>
      </c>
      <c r="R1313" s="12">
        <v>0</v>
      </c>
      <c r="S1313" s="12">
        <v>0</v>
      </c>
      <c r="T1313" s="12">
        <v>2</v>
      </c>
      <c r="U1313" s="12" t="s">
        <v>19</v>
      </c>
      <c r="V1313" s="12">
        <v>1</v>
      </c>
      <c r="W1313" s="12">
        <v>33</v>
      </c>
      <c r="X1313" s="12">
        <v>3</v>
      </c>
      <c r="Y1313" s="12">
        <v>1</v>
      </c>
      <c r="Z1313" s="12" t="s">
        <v>63</v>
      </c>
      <c r="AA1313" s="12">
        <v>0</v>
      </c>
      <c r="AB1313" s="12">
        <v>0</v>
      </c>
      <c r="AC1313" s="12">
        <v>0</v>
      </c>
      <c r="AD1313" s="12">
        <v>0</v>
      </c>
      <c r="AE1313" s="12">
        <v>0</v>
      </c>
      <c r="AF1313" s="12">
        <v>0</v>
      </c>
      <c r="AG1313" s="12">
        <v>0</v>
      </c>
      <c r="AH1313" s="12">
        <v>1</v>
      </c>
      <c r="AI1313" s="12">
        <v>3</v>
      </c>
      <c r="AJ1313" s="12" t="s">
        <v>57</v>
      </c>
      <c r="AK1313" s="12">
        <v>1</v>
      </c>
      <c r="AL1313" s="12">
        <v>0</v>
      </c>
      <c r="AM1313" s="12">
        <v>1514</v>
      </c>
      <c r="AN1313" s="12">
        <f t="shared" si="302"/>
        <v>1514</v>
      </c>
      <c r="AO1313" s="12">
        <v>1</v>
      </c>
      <c r="AP1313" s="12" t="s">
        <v>59</v>
      </c>
      <c r="AQ1313" s="12">
        <v>0</v>
      </c>
      <c r="AR1313" s="12">
        <v>16</v>
      </c>
      <c r="AS1313" s="12">
        <v>3</v>
      </c>
      <c r="AT1313" s="12">
        <v>3</v>
      </c>
      <c r="AU1313" s="12">
        <v>0</v>
      </c>
      <c r="AV1313" s="12">
        <v>0</v>
      </c>
      <c r="AW1313" s="12">
        <f t="shared" si="303"/>
        <v>1</v>
      </c>
      <c r="AX1313" s="12">
        <v>4</v>
      </c>
      <c r="AY1313" s="12">
        <v>1</v>
      </c>
      <c r="AZ1313" s="12">
        <v>0</v>
      </c>
      <c r="BA1313" s="12">
        <f t="shared" si="304"/>
        <v>0</v>
      </c>
      <c r="BB1313" s="12">
        <v>0</v>
      </c>
      <c r="BC1313" s="12">
        <v>0</v>
      </c>
      <c r="BD1313" s="12">
        <f t="shared" si="313"/>
        <v>0</v>
      </c>
      <c r="BE1313" s="12">
        <v>0</v>
      </c>
      <c r="BF1313" s="12">
        <f t="shared" si="305"/>
        <v>0</v>
      </c>
      <c r="BG1313" s="12">
        <f t="shared" si="314"/>
        <v>0</v>
      </c>
      <c r="BH1313" s="67">
        <v>1</v>
      </c>
      <c r="BI1313" s="67">
        <v>0</v>
      </c>
      <c r="BJ1313" s="67">
        <v>0</v>
      </c>
      <c r="BK1313" s="67">
        <v>0</v>
      </c>
      <c r="BL1313" s="67">
        <v>1</v>
      </c>
      <c r="BM1313" s="67">
        <v>0</v>
      </c>
      <c r="BN1313" s="67">
        <v>0</v>
      </c>
      <c r="BO1313" s="67">
        <v>0</v>
      </c>
      <c r="BP1313" s="67">
        <v>0</v>
      </c>
      <c r="BQ1313" s="67">
        <v>0</v>
      </c>
      <c r="BR1313" s="67">
        <v>0</v>
      </c>
      <c r="BS1313" s="67">
        <v>0</v>
      </c>
      <c r="BT1313" s="67">
        <v>1</v>
      </c>
      <c r="BU1313" s="70">
        <v>0</v>
      </c>
      <c r="BV1313" s="29">
        <f t="shared" si="306"/>
        <v>1.0596807749866646</v>
      </c>
      <c r="BW1313">
        <f t="shared" si="307"/>
        <v>1.1555414682655611</v>
      </c>
      <c r="BX1313">
        <f t="shared" si="308"/>
        <v>1.4496733499450252</v>
      </c>
      <c r="BY1313">
        <f t="shared" si="309"/>
        <v>1.1439050833826525</v>
      </c>
      <c r="BZ1313">
        <f t="shared" si="310"/>
        <v>0.59301386267751111</v>
      </c>
      <c r="CA1313">
        <f t="shared" si="311"/>
        <v>2.0714872299761637</v>
      </c>
      <c r="CB1313">
        <f t="shared" si="312"/>
        <v>0.67891464284095016</v>
      </c>
    </row>
    <row r="1314" spans="1:80" x14ac:dyDescent="0.45">
      <c r="A1314" s="11">
        <v>31</v>
      </c>
      <c r="B1314" s="12">
        <f t="shared" si="300"/>
        <v>31</v>
      </c>
      <c r="C1314" s="12" t="s">
        <v>52</v>
      </c>
      <c r="D1314" s="12">
        <v>1</v>
      </c>
      <c r="E1314" s="12" t="s">
        <v>53</v>
      </c>
      <c r="F1314" s="12">
        <v>0</v>
      </c>
      <c r="G1314" s="12">
        <v>1</v>
      </c>
      <c r="H1314" s="12" t="s">
        <v>97</v>
      </c>
      <c r="I1314" s="12">
        <v>0</v>
      </c>
      <c r="J1314" s="12">
        <v>0</v>
      </c>
      <c r="K1314" s="12">
        <v>18</v>
      </c>
      <c r="L1314" s="12">
        <f t="shared" si="301"/>
        <v>18</v>
      </c>
      <c r="M1314" s="12">
        <v>5</v>
      </c>
      <c r="N1314" s="12" t="s">
        <v>97</v>
      </c>
      <c r="O1314" s="12">
        <v>0</v>
      </c>
      <c r="P1314" s="12">
        <v>0</v>
      </c>
      <c r="Q1314" s="12">
        <v>0</v>
      </c>
      <c r="R1314" s="12">
        <v>0</v>
      </c>
      <c r="S1314" s="12">
        <v>0</v>
      </c>
      <c r="T1314" s="12">
        <v>4</v>
      </c>
      <c r="U1314" s="12" t="s">
        <v>62</v>
      </c>
      <c r="V1314" s="12">
        <v>0</v>
      </c>
      <c r="W1314" s="12">
        <v>89</v>
      </c>
      <c r="X1314" s="12">
        <v>4</v>
      </c>
      <c r="Y1314" s="12">
        <v>1</v>
      </c>
      <c r="Z1314" s="12" t="s">
        <v>97</v>
      </c>
      <c r="AA1314" s="12">
        <v>0</v>
      </c>
      <c r="AB1314" s="12">
        <v>0</v>
      </c>
      <c r="AC1314" s="12">
        <v>0</v>
      </c>
      <c r="AD1314" s="12">
        <v>0</v>
      </c>
      <c r="AE1314" s="12">
        <v>0</v>
      </c>
      <c r="AF1314" s="12">
        <v>0</v>
      </c>
      <c r="AG1314" s="12">
        <v>0</v>
      </c>
      <c r="AH1314" s="12">
        <v>0</v>
      </c>
      <c r="AI1314" s="12">
        <v>1</v>
      </c>
      <c r="AJ1314" s="12" t="s">
        <v>64</v>
      </c>
      <c r="AK1314" s="12">
        <v>0</v>
      </c>
      <c r="AL1314" s="12">
        <v>1</v>
      </c>
      <c r="AM1314" s="12">
        <v>2956</v>
      </c>
      <c r="AN1314" s="12">
        <f t="shared" si="302"/>
        <v>2956</v>
      </c>
      <c r="AO1314" s="12">
        <v>0</v>
      </c>
      <c r="AP1314" s="12" t="s">
        <v>59</v>
      </c>
      <c r="AQ1314" s="12">
        <v>0</v>
      </c>
      <c r="AR1314" s="12">
        <v>17</v>
      </c>
      <c r="AS1314" s="12">
        <v>3</v>
      </c>
      <c r="AT1314" s="12">
        <v>3</v>
      </c>
      <c r="AU1314" s="12">
        <v>0</v>
      </c>
      <c r="AV1314" s="12">
        <v>2</v>
      </c>
      <c r="AW1314" s="12">
        <f t="shared" si="303"/>
        <v>2</v>
      </c>
      <c r="AX1314" s="12">
        <v>4</v>
      </c>
      <c r="AY1314" s="12">
        <v>3</v>
      </c>
      <c r="AZ1314" s="12">
        <v>1</v>
      </c>
      <c r="BA1314" s="12">
        <f t="shared" si="304"/>
        <v>1</v>
      </c>
      <c r="BB1314" s="12">
        <v>0</v>
      </c>
      <c r="BC1314" s="12">
        <v>0</v>
      </c>
      <c r="BD1314" s="12">
        <f t="shared" si="313"/>
        <v>0</v>
      </c>
      <c r="BE1314" s="12">
        <v>0</v>
      </c>
      <c r="BF1314" s="12">
        <f t="shared" si="305"/>
        <v>0</v>
      </c>
      <c r="BG1314" s="12">
        <f t="shared" si="314"/>
        <v>0</v>
      </c>
      <c r="BH1314" s="67">
        <v>0</v>
      </c>
      <c r="BI1314" s="67">
        <v>1</v>
      </c>
      <c r="BJ1314" s="67">
        <v>0</v>
      </c>
      <c r="BK1314" s="67">
        <v>0</v>
      </c>
      <c r="BL1314" s="67">
        <v>0</v>
      </c>
      <c r="BM1314" s="67">
        <v>0</v>
      </c>
      <c r="BN1314" s="67">
        <v>1</v>
      </c>
      <c r="BO1314" s="67">
        <v>0</v>
      </c>
      <c r="BP1314" s="67">
        <v>0</v>
      </c>
      <c r="BQ1314" s="67">
        <v>0</v>
      </c>
      <c r="BR1314" s="67">
        <v>0</v>
      </c>
      <c r="BS1314" s="67">
        <v>2</v>
      </c>
      <c r="BT1314" s="67">
        <v>0</v>
      </c>
      <c r="BU1314" s="70">
        <v>0</v>
      </c>
      <c r="BV1314" s="29">
        <f t="shared" si="306"/>
        <v>0.75339079263658981</v>
      </c>
      <c r="BW1314">
        <f t="shared" si="307"/>
        <v>1.1555414682655611</v>
      </c>
      <c r="BX1314">
        <f t="shared" si="308"/>
        <v>1.192629766998377</v>
      </c>
      <c r="BY1314">
        <f t="shared" si="309"/>
        <v>0.9806804209314296</v>
      </c>
      <c r="BZ1314">
        <f t="shared" si="310"/>
        <v>1.0864228781782561</v>
      </c>
      <c r="CA1314">
        <f t="shared" si="311"/>
        <v>0.6484474368621912</v>
      </c>
      <c r="CB1314">
        <f t="shared" si="312"/>
        <v>0.67891464284095016</v>
      </c>
    </row>
    <row r="1315" spans="1:80" x14ac:dyDescent="0.45">
      <c r="A1315" s="11">
        <v>29</v>
      </c>
      <c r="B1315" s="12">
        <f t="shared" si="300"/>
        <v>29</v>
      </c>
      <c r="C1315" s="12" t="s">
        <v>52</v>
      </c>
      <c r="D1315" s="12">
        <v>1</v>
      </c>
      <c r="E1315" s="12" t="s">
        <v>53</v>
      </c>
      <c r="F1315" s="12">
        <v>0</v>
      </c>
      <c r="G1315" s="12">
        <v>1</v>
      </c>
      <c r="H1315" s="12" t="s">
        <v>97</v>
      </c>
      <c r="I1315" s="12">
        <v>0</v>
      </c>
      <c r="J1315" s="12">
        <v>0</v>
      </c>
      <c r="K1315" s="12">
        <v>13</v>
      </c>
      <c r="L1315" s="12">
        <f t="shared" si="301"/>
        <v>13</v>
      </c>
      <c r="M1315" s="12">
        <v>3</v>
      </c>
      <c r="N1315" s="12" t="s">
        <v>97</v>
      </c>
      <c r="O1315" s="12">
        <v>0</v>
      </c>
      <c r="P1315" s="12">
        <v>0</v>
      </c>
      <c r="Q1315" s="12">
        <v>0</v>
      </c>
      <c r="R1315" s="12">
        <v>0</v>
      </c>
      <c r="S1315" s="12">
        <v>0</v>
      </c>
      <c r="T1315" s="12">
        <v>1</v>
      </c>
      <c r="U1315" s="12" t="s">
        <v>62</v>
      </c>
      <c r="V1315" s="12">
        <v>0</v>
      </c>
      <c r="W1315" s="12">
        <v>56</v>
      </c>
      <c r="X1315" s="12">
        <v>2</v>
      </c>
      <c r="Y1315" s="12">
        <v>1</v>
      </c>
      <c r="Z1315" s="12" t="s">
        <v>97</v>
      </c>
      <c r="AA1315" s="12">
        <v>0</v>
      </c>
      <c r="AB1315" s="12">
        <v>0</v>
      </c>
      <c r="AC1315" s="12">
        <v>0</v>
      </c>
      <c r="AD1315" s="12">
        <v>0</v>
      </c>
      <c r="AE1315" s="12">
        <v>0</v>
      </c>
      <c r="AF1315" s="12">
        <v>0</v>
      </c>
      <c r="AG1315" s="12">
        <v>0</v>
      </c>
      <c r="AH1315" s="12">
        <v>0</v>
      </c>
      <c r="AI1315" s="12">
        <v>1</v>
      </c>
      <c r="AJ1315" s="12" t="s">
        <v>78</v>
      </c>
      <c r="AK1315" s="12">
        <v>0</v>
      </c>
      <c r="AL1315" s="12">
        <v>0</v>
      </c>
      <c r="AM1315" s="12">
        <v>2335</v>
      </c>
      <c r="AN1315" s="12">
        <f t="shared" si="302"/>
        <v>2335</v>
      </c>
      <c r="AO1315" s="12">
        <v>4</v>
      </c>
      <c r="AP1315" s="12" t="s">
        <v>52</v>
      </c>
      <c r="AQ1315" s="12">
        <v>1</v>
      </c>
      <c r="AR1315" s="12">
        <v>15</v>
      </c>
      <c r="AS1315" s="12">
        <v>3</v>
      </c>
      <c r="AT1315" s="12">
        <v>4</v>
      </c>
      <c r="AU1315" s="12">
        <v>3</v>
      </c>
      <c r="AV1315" s="12">
        <v>4</v>
      </c>
      <c r="AW1315" s="12">
        <f t="shared" si="303"/>
        <v>4</v>
      </c>
      <c r="AX1315" s="12">
        <v>3</v>
      </c>
      <c r="AY1315" s="12">
        <v>3</v>
      </c>
      <c r="AZ1315" s="12">
        <v>2</v>
      </c>
      <c r="BA1315" s="12">
        <f t="shared" si="304"/>
        <v>2</v>
      </c>
      <c r="BB1315" s="12">
        <v>2</v>
      </c>
      <c r="BC1315" s="12">
        <v>2</v>
      </c>
      <c r="BD1315" s="12">
        <f t="shared" si="313"/>
        <v>2</v>
      </c>
      <c r="BE1315" s="12">
        <v>0</v>
      </c>
      <c r="BF1315" s="12">
        <f t="shared" si="305"/>
        <v>0</v>
      </c>
      <c r="BG1315" s="12">
        <f t="shared" si="314"/>
        <v>0</v>
      </c>
      <c r="BH1315" s="67">
        <v>1</v>
      </c>
      <c r="BI1315" s="67">
        <v>0</v>
      </c>
      <c r="BJ1315" s="67">
        <v>0</v>
      </c>
      <c r="BK1315" s="67">
        <v>0</v>
      </c>
      <c r="BL1315" s="67">
        <v>0</v>
      </c>
      <c r="BM1315" s="67">
        <v>1</v>
      </c>
      <c r="BN1315" s="67">
        <v>0</v>
      </c>
      <c r="BO1315" s="67">
        <v>0</v>
      </c>
      <c r="BP1315" s="67">
        <v>0</v>
      </c>
      <c r="BQ1315" s="67">
        <v>0</v>
      </c>
      <c r="BR1315" s="67">
        <v>0</v>
      </c>
      <c r="BS1315" s="67">
        <v>4</v>
      </c>
      <c r="BT1315" s="67">
        <v>0</v>
      </c>
      <c r="BU1315" s="70">
        <v>0</v>
      </c>
      <c r="BV1315" s="29">
        <f t="shared" si="306"/>
        <v>0.88529514703284251</v>
      </c>
      <c r="BW1315">
        <f t="shared" si="307"/>
        <v>1.1555414682655611</v>
      </c>
      <c r="BX1315">
        <f t="shared" si="308"/>
        <v>0.93558618405172878</v>
      </c>
      <c r="BY1315">
        <f t="shared" si="309"/>
        <v>0.81745575848020657</v>
      </c>
      <c r="BZ1315">
        <f t="shared" si="310"/>
        <v>0.46966160880232483</v>
      </c>
      <c r="CA1315">
        <f t="shared" si="311"/>
        <v>0.86737663580280233</v>
      </c>
      <c r="CB1315">
        <f t="shared" si="312"/>
        <v>5.8265062631872602E-2</v>
      </c>
    </row>
    <row r="1316" spans="1:80" x14ac:dyDescent="0.45">
      <c r="A1316" s="11">
        <v>45</v>
      </c>
      <c r="B1316" s="12">
        <f t="shared" si="300"/>
        <v>45</v>
      </c>
      <c r="C1316" s="12" t="s">
        <v>59</v>
      </c>
      <c r="D1316" s="12">
        <v>0</v>
      </c>
      <c r="E1316" s="12" t="s">
        <v>86</v>
      </c>
      <c r="F1316" s="12">
        <v>0</v>
      </c>
      <c r="G1316" s="12">
        <v>0</v>
      </c>
      <c r="H1316" s="12" t="s">
        <v>54</v>
      </c>
      <c r="I1316" s="12">
        <v>0</v>
      </c>
      <c r="J1316" s="12">
        <v>1</v>
      </c>
      <c r="K1316" s="12">
        <v>2</v>
      </c>
      <c r="L1316" s="12">
        <f t="shared" si="301"/>
        <v>2</v>
      </c>
      <c r="M1316" s="12">
        <v>4</v>
      </c>
      <c r="N1316" s="12" t="s">
        <v>55</v>
      </c>
      <c r="O1316" s="12">
        <v>1</v>
      </c>
      <c r="P1316" s="12">
        <v>0</v>
      </c>
      <c r="Q1316" s="12">
        <v>0</v>
      </c>
      <c r="R1316" s="12">
        <v>0</v>
      </c>
      <c r="S1316" s="12">
        <v>0</v>
      </c>
      <c r="T1316" s="12">
        <v>3</v>
      </c>
      <c r="U1316" s="12" t="s">
        <v>19</v>
      </c>
      <c r="V1316" s="12">
        <v>1</v>
      </c>
      <c r="W1316" s="12">
        <v>67</v>
      </c>
      <c r="X1316" s="12">
        <v>3</v>
      </c>
      <c r="Y1316" s="12">
        <v>2</v>
      </c>
      <c r="Z1316" s="12" t="s">
        <v>56</v>
      </c>
      <c r="AA1316" s="12">
        <v>0</v>
      </c>
      <c r="AB1316" s="12">
        <v>1</v>
      </c>
      <c r="AC1316" s="12">
        <v>0</v>
      </c>
      <c r="AD1316" s="12">
        <v>0</v>
      </c>
      <c r="AE1316" s="12">
        <v>0</v>
      </c>
      <c r="AF1316" s="12">
        <v>0</v>
      </c>
      <c r="AG1316" s="12">
        <v>0</v>
      </c>
      <c r="AH1316" s="12">
        <v>0</v>
      </c>
      <c r="AI1316" s="12">
        <v>3</v>
      </c>
      <c r="AJ1316" s="12" t="s">
        <v>64</v>
      </c>
      <c r="AK1316" s="12">
        <v>0</v>
      </c>
      <c r="AL1316" s="12">
        <v>1</v>
      </c>
      <c r="AM1316" s="12">
        <v>5154</v>
      </c>
      <c r="AN1316" s="12">
        <f t="shared" si="302"/>
        <v>5154</v>
      </c>
      <c r="AO1316" s="12">
        <v>4</v>
      </c>
      <c r="AP1316" s="12" t="s">
        <v>59</v>
      </c>
      <c r="AQ1316" s="12">
        <v>0</v>
      </c>
      <c r="AR1316" s="12">
        <v>22</v>
      </c>
      <c r="AS1316" s="12">
        <v>4</v>
      </c>
      <c r="AT1316" s="12">
        <v>2</v>
      </c>
      <c r="AU1316" s="12">
        <v>2</v>
      </c>
      <c r="AV1316" s="12">
        <v>10</v>
      </c>
      <c r="AW1316" s="12">
        <f t="shared" si="303"/>
        <v>10</v>
      </c>
      <c r="AX1316" s="12">
        <v>3</v>
      </c>
      <c r="AY1316" s="12">
        <v>4</v>
      </c>
      <c r="AZ1316" s="12">
        <v>8</v>
      </c>
      <c r="BA1316" s="12">
        <f t="shared" si="304"/>
        <v>8</v>
      </c>
      <c r="BB1316" s="12">
        <v>7</v>
      </c>
      <c r="BC1316" s="12">
        <v>5</v>
      </c>
      <c r="BD1316" s="12">
        <f t="shared" si="313"/>
        <v>5</v>
      </c>
      <c r="BE1316" s="12">
        <v>7</v>
      </c>
      <c r="BF1316" s="12">
        <f t="shared" si="305"/>
        <v>7</v>
      </c>
      <c r="BG1316" s="12">
        <f t="shared" si="314"/>
        <v>14</v>
      </c>
      <c r="BH1316" s="67">
        <v>0</v>
      </c>
      <c r="BI1316" s="67">
        <v>1</v>
      </c>
      <c r="BJ1316" s="67">
        <v>0</v>
      </c>
      <c r="BK1316" s="67">
        <v>0</v>
      </c>
      <c r="BL1316" s="67">
        <v>0</v>
      </c>
      <c r="BM1316" s="67">
        <v>0</v>
      </c>
      <c r="BN1316" s="67">
        <v>1</v>
      </c>
      <c r="BO1316" s="67">
        <v>0</v>
      </c>
      <c r="BP1316" s="67">
        <v>0</v>
      </c>
      <c r="BQ1316" s="67">
        <v>0</v>
      </c>
      <c r="BR1316" s="67">
        <v>7</v>
      </c>
      <c r="BS1316" s="67">
        <v>0</v>
      </c>
      <c r="BT1316" s="67">
        <v>0</v>
      </c>
      <c r="BU1316" s="70">
        <v>10</v>
      </c>
      <c r="BV1316" s="29">
        <f t="shared" si="306"/>
        <v>0.28652159623890278</v>
      </c>
      <c r="BW1316">
        <f t="shared" si="307"/>
        <v>0.80626709607243985</v>
      </c>
      <c r="BX1316">
        <f t="shared" si="308"/>
        <v>0.1644554352117841</v>
      </c>
      <c r="BY1316">
        <f t="shared" si="309"/>
        <v>0.16189221622713135</v>
      </c>
      <c r="BZ1316">
        <f t="shared" si="310"/>
        <v>0.88721318382472392</v>
      </c>
      <c r="CA1316">
        <f t="shared" si="311"/>
        <v>0.88405695572208698</v>
      </c>
      <c r="CB1316">
        <f t="shared" si="312"/>
        <v>0.87270930768174382</v>
      </c>
    </row>
    <row r="1317" spans="1:80" x14ac:dyDescent="0.45">
      <c r="A1317" s="11">
        <v>36</v>
      </c>
      <c r="B1317" s="12">
        <f t="shared" si="300"/>
        <v>36</v>
      </c>
      <c r="C1317" s="12" t="s">
        <v>59</v>
      </c>
      <c r="D1317" s="12">
        <v>0</v>
      </c>
      <c r="E1317" s="12" t="s">
        <v>53</v>
      </c>
      <c r="F1317" s="12">
        <v>0</v>
      </c>
      <c r="G1317" s="12">
        <v>1</v>
      </c>
      <c r="H1317" s="12" t="s">
        <v>61</v>
      </c>
      <c r="I1317" s="12">
        <v>1</v>
      </c>
      <c r="J1317" s="12">
        <v>0</v>
      </c>
      <c r="K1317" s="12">
        <v>2</v>
      </c>
      <c r="L1317" s="12">
        <f t="shared" si="301"/>
        <v>2</v>
      </c>
      <c r="M1317" s="12">
        <v>4</v>
      </c>
      <c r="N1317" s="12" t="s">
        <v>66</v>
      </c>
      <c r="O1317" s="12">
        <v>0</v>
      </c>
      <c r="P1317" s="12">
        <v>1</v>
      </c>
      <c r="Q1317" s="12">
        <v>0</v>
      </c>
      <c r="R1317" s="12">
        <v>0</v>
      </c>
      <c r="S1317" s="12">
        <v>0</v>
      </c>
      <c r="T1317" s="12">
        <v>4</v>
      </c>
      <c r="U1317" s="12" t="s">
        <v>19</v>
      </c>
      <c r="V1317" s="12">
        <v>1</v>
      </c>
      <c r="W1317" s="12">
        <v>73</v>
      </c>
      <c r="X1317" s="12">
        <v>3</v>
      </c>
      <c r="Y1317" s="12">
        <v>2</v>
      </c>
      <c r="Z1317" s="12" t="s">
        <v>63</v>
      </c>
      <c r="AA1317" s="12">
        <v>0</v>
      </c>
      <c r="AB1317" s="12">
        <v>0</v>
      </c>
      <c r="AC1317" s="12">
        <v>0</v>
      </c>
      <c r="AD1317" s="12">
        <v>0</v>
      </c>
      <c r="AE1317" s="12">
        <v>0</v>
      </c>
      <c r="AF1317" s="12">
        <v>0</v>
      </c>
      <c r="AG1317" s="12">
        <v>0</v>
      </c>
      <c r="AH1317" s="12">
        <v>1</v>
      </c>
      <c r="AI1317" s="12">
        <v>2</v>
      </c>
      <c r="AJ1317" s="12" t="s">
        <v>64</v>
      </c>
      <c r="AK1317" s="12">
        <v>0</v>
      </c>
      <c r="AL1317" s="12">
        <v>1</v>
      </c>
      <c r="AM1317" s="12">
        <v>6962</v>
      </c>
      <c r="AN1317" s="12">
        <f t="shared" si="302"/>
        <v>6962</v>
      </c>
      <c r="AO1317" s="12">
        <v>4</v>
      </c>
      <c r="AP1317" s="12" t="s">
        <v>52</v>
      </c>
      <c r="AQ1317" s="12">
        <v>1</v>
      </c>
      <c r="AR1317" s="12">
        <v>22</v>
      </c>
      <c r="AS1317" s="12">
        <v>4</v>
      </c>
      <c r="AT1317" s="12">
        <v>4</v>
      </c>
      <c r="AU1317" s="12">
        <v>1</v>
      </c>
      <c r="AV1317" s="12">
        <v>15</v>
      </c>
      <c r="AW1317" s="12">
        <f t="shared" si="303"/>
        <v>15</v>
      </c>
      <c r="AX1317" s="12">
        <v>2</v>
      </c>
      <c r="AY1317" s="12">
        <v>3</v>
      </c>
      <c r="AZ1317" s="12">
        <v>1</v>
      </c>
      <c r="BA1317" s="12">
        <f t="shared" si="304"/>
        <v>1</v>
      </c>
      <c r="BB1317" s="12">
        <v>0</v>
      </c>
      <c r="BC1317" s="12">
        <v>0</v>
      </c>
      <c r="BD1317" s="12">
        <f t="shared" si="313"/>
        <v>0</v>
      </c>
      <c r="BE1317" s="12">
        <v>0</v>
      </c>
      <c r="BF1317" s="12">
        <f t="shared" si="305"/>
        <v>0</v>
      </c>
      <c r="BG1317" s="12">
        <f t="shared" si="314"/>
        <v>0</v>
      </c>
      <c r="BH1317" s="67">
        <v>0</v>
      </c>
      <c r="BI1317" s="67">
        <v>1</v>
      </c>
      <c r="BJ1317" s="67">
        <v>0</v>
      </c>
      <c r="BK1317" s="67">
        <v>0</v>
      </c>
      <c r="BL1317" s="67">
        <v>0</v>
      </c>
      <c r="BM1317" s="67">
        <v>0</v>
      </c>
      <c r="BN1317" s="67">
        <v>0</v>
      </c>
      <c r="BO1317" s="67">
        <v>1</v>
      </c>
      <c r="BP1317" s="67">
        <v>0</v>
      </c>
      <c r="BQ1317" s="67">
        <v>0</v>
      </c>
      <c r="BR1317" s="67">
        <v>0</v>
      </c>
      <c r="BS1317" s="67">
        <v>0</v>
      </c>
      <c r="BT1317" s="67">
        <v>15</v>
      </c>
      <c r="BU1317" s="70">
        <v>0</v>
      </c>
      <c r="BV1317" s="29">
        <f t="shared" si="306"/>
        <v>9.7509116721524E-2</v>
      </c>
      <c r="BW1317">
        <f t="shared" si="307"/>
        <v>1.1555414682655611</v>
      </c>
      <c r="BX1317">
        <f t="shared" si="308"/>
        <v>0.47815352215483642</v>
      </c>
      <c r="BY1317">
        <f t="shared" si="309"/>
        <v>0.9806804209314296</v>
      </c>
      <c r="BZ1317">
        <f t="shared" si="310"/>
        <v>0.88721318382472392</v>
      </c>
      <c r="CA1317">
        <f t="shared" si="311"/>
        <v>0.10112443951066327</v>
      </c>
      <c r="CB1317">
        <f t="shared" si="312"/>
        <v>0.67891464284095016</v>
      </c>
    </row>
    <row r="1318" spans="1:80" x14ac:dyDescent="0.45">
      <c r="A1318" s="11">
        <v>43</v>
      </c>
      <c r="B1318" s="12">
        <f t="shared" si="300"/>
        <v>43</v>
      </c>
      <c r="C1318" s="12" t="s">
        <v>59</v>
      </c>
      <c r="D1318" s="12">
        <v>0</v>
      </c>
      <c r="E1318" s="12" t="s">
        <v>60</v>
      </c>
      <c r="F1318" s="12">
        <v>1</v>
      </c>
      <c r="G1318" s="12">
        <v>0</v>
      </c>
      <c r="H1318" s="12" t="s">
        <v>54</v>
      </c>
      <c r="I1318" s="12">
        <v>0</v>
      </c>
      <c r="J1318" s="12">
        <v>1</v>
      </c>
      <c r="K1318" s="12">
        <v>2</v>
      </c>
      <c r="L1318" s="12">
        <f t="shared" si="301"/>
        <v>2</v>
      </c>
      <c r="M1318" s="12">
        <v>4</v>
      </c>
      <c r="N1318" s="12" t="s">
        <v>55</v>
      </c>
      <c r="O1318" s="12">
        <v>1</v>
      </c>
      <c r="P1318" s="12">
        <v>0</v>
      </c>
      <c r="Q1318" s="12">
        <v>0</v>
      </c>
      <c r="R1318" s="12">
        <v>0</v>
      </c>
      <c r="S1318" s="12">
        <v>0</v>
      </c>
      <c r="T1318" s="12">
        <v>1</v>
      </c>
      <c r="U1318" s="12" t="s">
        <v>62</v>
      </c>
      <c r="V1318" s="12">
        <v>0</v>
      </c>
      <c r="W1318" s="12">
        <v>92</v>
      </c>
      <c r="X1318" s="12">
        <v>3</v>
      </c>
      <c r="Y1318" s="12">
        <v>2</v>
      </c>
      <c r="Z1318" s="12" t="s">
        <v>56</v>
      </c>
      <c r="AA1318" s="12">
        <v>0</v>
      </c>
      <c r="AB1318" s="12">
        <v>1</v>
      </c>
      <c r="AC1318" s="12">
        <v>0</v>
      </c>
      <c r="AD1318" s="12">
        <v>0</v>
      </c>
      <c r="AE1318" s="12">
        <v>0</v>
      </c>
      <c r="AF1318" s="12">
        <v>0</v>
      </c>
      <c r="AG1318" s="12">
        <v>0</v>
      </c>
      <c r="AH1318" s="12">
        <v>0</v>
      </c>
      <c r="AI1318" s="12">
        <v>4</v>
      </c>
      <c r="AJ1318" s="12" t="s">
        <v>64</v>
      </c>
      <c r="AK1318" s="12">
        <v>0</v>
      </c>
      <c r="AL1318" s="12">
        <v>1</v>
      </c>
      <c r="AM1318" s="12">
        <v>5675</v>
      </c>
      <c r="AN1318" s="12">
        <f t="shared" si="302"/>
        <v>5675</v>
      </c>
      <c r="AO1318" s="12">
        <v>1</v>
      </c>
      <c r="AP1318" s="12" t="s">
        <v>59</v>
      </c>
      <c r="AQ1318" s="12">
        <v>0</v>
      </c>
      <c r="AR1318" s="12">
        <v>20</v>
      </c>
      <c r="AS1318" s="12">
        <v>4</v>
      </c>
      <c r="AT1318" s="12">
        <v>3</v>
      </c>
      <c r="AU1318" s="12">
        <v>1</v>
      </c>
      <c r="AV1318" s="12">
        <v>7</v>
      </c>
      <c r="AW1318" s="12">
        <f t="shared" si="303"/>
        <v>7</v>
      </c>
      <c r="AX1318" s="12">
        <v>5</v>
      </c>
      <c r="AY1318" s="12">
        <v>3</v>
      </c>
      <c r="AZ1318" s="12">
        <v>7</v>
      </c>
      <c r="BA1318" s="12">
        <f t="shared" si="304"/>
        <v>7</v>
      </c>
      <c r="BB1318" s="12">
        <v>7</v>
      </c>
      <c r="BC1318" s="12">
        <v>7</v>
      </c>
      <c r="BD1318" s="12">
        <f t="shared" si="313"/>
        <v>7</v>
      </c>
      <c r="BE1318" s="12">
        <v>7</v>
      </c>
      <c r="BF1318" s="12">
        <f t="shared" si="305"/>
        <v>7</v>
      </c>
      <c r="BG1318" s="12">
        <f t="shared" si="314"/>
        <v>14</v>
      </c>
      <c r="BH1318" s="67">
        <v>0</v>
      </c>
      <c r="BI1318" s="67">
        <v>0</v>
      </c>
      <c r="BJ1318" s="67">
        <v>0</v>
      </c>
      <c r="BK1318" s="67">
        <v>1</v>
      </c>
      <c r="BL1318" s="67">
        <v>0</v>
      </c>
      <c r="BM1318" s="67">
        <v>0</v>
      </c>
      <c r="BN1318" s="67">
        <v>1</v>
      </c>
      <c r="BO1318" s="67">
        <v>0</v>
      </c>
      <c r="BP1318" s="67">
        <v>0</v>
      </c>
      <c r="BQ1318" s="67">
        <v>0</v>
      </c>
      <c r="BR1318" s="67">
        <v>7</v>
      </c>
      <c r="BS1318" s="67">
        <v>0</v>
      </c>
      <c r="BT1318" s="67">
        <v>0</v>
      </c>
      <c r="BU1318" s="70">
        <v>7</v>
      </c>
      <c r="BV1318" s="29">
        <f t="shared" si="306"/>
        <v>0.17585787862143465</v>
      </c>
      <c r="BW1318">
        <f t="shared" si="307"/>
        <v>0.80626709607243985</v>
      </c>
      <c r="BX1318">
        <f t="shared" si="308"/>
        <v>0.55002080963175637</v>
      </c>
      <c r="BY1318">
        <f t="shared" si="309"/>
        <v>1.3324462240916321E-3</v>
      </c>
      <c r="BZ1318">
        <f t="shared" si="310"/>
        <v>0.88721318382472392</v>
      </c>
      <c r="CA1318">
        <f t="shared" si="311"/>
        <v>0.66512775678147573</v>
      </c>
      <c r="CB1318">
        <f t="shared" si="312"/>
        <v>1.4933588878908215</v>
      </c>
    </row>
    <row r="1319" spans="1:80" x14ac:dyDescent="0.45">
      <c r="A1319" s="11">
        <v>27</v>
      </c>
      <c r="B1319" s="12">
        <f t="shared" si="300"/>
        <v>27</v>
      </c>
      <c r="C1319" s="12" t="s">
        <v>59</v>
      </c>
      <c r="D1319" s="12">
        <v>0</v>
      </c>
      <c r="E1319" s="12" t="s">
        <v>60</v>
      </c>
      <c r="F1319" s="12">
        <v>1</v>
      </c>
      <c r="G1319" s="12">
        <v>0</v>
      </c>
      <c r="H1319" s="12" t="s">
        <v>61</v>
      </c>
      <c r="I1319" s="12">
        <v>1</v>
      </c>
      <c r="J1319" s="12">
        <v>0</v>
      </c>
      <c r="K1319" s="12">
        <v>5</v>
      </c>
      <c r="L1319" s="12">
        <f t="shared" si="301"/>
        <v>5</v>
      </c>
      <c r="M1319" s="12">
        <v>2</v>
      </c>
      <c r="N1319" s="12" t="s">
        <v>55</v>
      </c>
      <c r="O1319" s="12">
        <v>1</v>
      </c>
      <c r="P1319" s="12">
        <v>0</v>
      </c>
      <c r="Q1319" s="12">
        <v>0</v>
      </c>
      <c r="R1319" s="12">
        <v>0</v>
      </c>
      <c r="S1319" s="12">
        <v>0</v>
      </c>
      <c r="T1319" s="12">
        <v>4</v>
      </c>
      <c r="U1319" s="12" t="s">
        <v>19</v>
      </c>
      <c r="V1319" s="12">
        <v>1</v>
      </c>
      <c r="W1319" s="12">
        <v>53</v>
      </c>
      <c r="X1319" s="12">
        <v>3</v>
      </c>
      <c r="Y1319" s="12">
        <v>1</v>
      </c>
      <c r="Z1319" s="12" t="s">
        <v>67</v>
      </c>
      <c r="AA1319" s="12">
        <v>0</v>
      </c>
      <c r="AB1319" s="12">
        <v>0</v>
      </c>
      <c r="AC1319" s="12">
        <v>1</v>
      </c>
      <c r="AD1319" s="12">
        <v>0</v>
      </c>
      <c r="AE1319" s="12">
        <v>0</v>
      </c>
      <c r="AF1319" s="12">
        <v>0</v>
      </c>
      <c r="AG1319" s="12">
        <v>0</v>
      </c>
      <c r="AH1319" s="12">
        <v>0</v>
      </c>
      <c r="AI1319" s="12">
        <v>4</v>
      </c>
      <c r="AJ1319" s="12" t="s">
        <v>57</v>
      </c>
      <c r="AK1319" s="12">
        <v>1</v>
      </c>
      <c r="AL1319" s="12">
        <v>0</v>
      </c>
      <c r="AM1319" s="12">
        <v>2379</v>
      </c>
      <c r="AN1319" s="12">
        <f t="shared" si="302"/>
        <v>2379</v>
      </c>
      <c r="AO1319" s="12">
        <v>0</v>
      </c>
      <c r="AP1319" s="12" t="s">
        <v>52</v>
      </c>
      <c r="AQ1319" s="12">
        <v>1</v>
      </c>
      <c r="AR1319" s="12">
        <v>14</v>
      </c>
      <c r="AS1319" s="12">
        <v>3</v>
      </c>
      <c r="AT1319" s="12">
        <v>3</v>
      </c>
      <c r="AU1319" s="12">
        <v>0</v>
      </c>
      <c r="AV1319" s="12">
        <v>6</v>
      </c>
      <c r="AW1319" s="12">
        <f t="shared" si="303"/>
        <v>6</v>
      </c>
      <c r="AX1319" s="12">
        <v>3</v>
      </c>
      <c r="AY1319" s="12">
        <v>2</v>
      </c>
      <c r="AZ1319" s="12">
        <v>5</v>
      </c>
      <c r="BA1319" s="12">
        <f t="shared" si="304"/>
        <v>5</v>
      </c>
      <c r="BB1319" s="12">
        <v>4</v>
      </c>
      <c r="BC1319" s="12">
        <v>0</v>
      </c>
      <c r="BD1319" s="12">
        <f t="shared" si="313"/>
        <v>0</v>
      </c>
      <c r="BE1319" s="12">
        <v>2</v>
      </c>
      <c r="BF1319" s="12">
        <f t="shared" si="305"/>
        <v>2</v>
      </c>
      <c r="BG1319" s="12">
        <f t="shared" si="314"/>
        <v>2</v>
      </c>
      <c r="BH1319" s="67">
        <v>0</v>
      </c>
      <c r="BI1319" s="67">
        <v>0</v>
      </c>
      <c r="BJ1319" s="67">
        <v>1</v>
      </c>
      <c r="BK1319" s="67">
        <v>0</v>
      </c>
      <c r="BL1319" s="67">
        <v>0</v>
      </c>
      <c r="BM1319" s="67">
        <v>1</v>
      </c>
      <c r="BN1319" s="67">
        <v>0</v>
      </c>
      <c r="BO1319" s="67">
        <v>0</v>
      </c>
      <c r="BP1319" s="67">
        <v>0</v>
      </c>
      <c r="BQ1319" s="67">
        <v>2</v>
      </c>
      <c r="BR1319" s="67">
        <v>0</v>
      </c>
      <c r="BS1319" s="67">
        <v>0</v>
      </c>
      <c r="BT1319" s="67">
        <v>6</v>
      </c>
      <c r="BU1319" s="70">
        <v>0</v>
      </c>
      <c r="BV1319" s="29">
        <f t="shared" si="306"/>
        <v>0.87594926685017727</v>
      </c>
      <c r="BW1319">
        <f t="shared" si="307"/>
        <v>0.59502473559756086</v>
      </c>
      <c r="BX1319">
        <f t="shared" si="308"/>
        <v>0.67854260110508058</v>
      </c>
      <c r="BY1319">
        <f t="shared" si="309"/>
        <v>0.32778177112653761</v>
      </c>
      <c r="BZ1319">
        <f t="shared" si="310"/>
        <v>0.51715642219916513</v>
      </c>
      <c r="CA1319">
        <f t="shared" si="311"/>
        <v>1.0863058347434136</v>
      </c>
      <c r="CB1319">
        <f t="shared" si="312"/>
        <v>0.67891464284095016</v>
      </c>
    </row>
    <row r="1320" spans="1:80" x14ac:dyDescent="0.45">
      <c r="A1320" s="11">
        <v>29</v>
      </c>
      <c r="B1320" s="12">
        <f t="shared" si="300"/>
        <v>29</v>
      </c>
      <c r="C1320" s="12" t="s">
        <v>59</v>
      </c>
      <c r="D1320" s="12">
        <v>0</v>
      </c>
      <c r="E1320" s="12" t="s">
        <v>60</v>
      </c>
      <c r="F1320" s="12">
        <v>1</v>
      </c>
      <c r="G1320" s="12">
        <v>0</v>
      </c>
      <c r="H1320" s="12" t="s">
        <v>61</v>
      </c>
      <c r="I1320" s="12">
        <v>1</v>
      </c>
      <c r="J1320" s="12">
        <v>0</v>
      </c>
      <c r="K1320" s="12">
        <v>20</v>
      </c>
      <c r="L1320" s="12">
        <f t="shared" si="301"/>
        <v>20</v>
      </c>
      <c r="M1320" s="12">
        <v>1</v>
      </c>
      <c r="N1320" s="12" t="s">
        <v>70</v>
      </c>
      <c r="O1320" s="12">
        <v>0</v>
      </c>
      <c r="P1320" s="12">
        <v>0</v>
      </c>
      <c r="Q1320" s="12">
        <v>1</v>
      </c>
      <c r="R1320" s="12">
        <v>0</v>
      </c>
      <c r="S1320" s="12">
        <v>0</v>
      </c>
      <c r="T1320" s="12">
        <v>4</v>
      </c>
      <c r="U1320" s="12" t="s">
        <v>62</v>
      </c>
      <c r="V1320" s="12">
        <v>0</v>
      </c>
      <c r="W1320" s="12">
        <v>40</v>
      </c>
      <c r="X1320" s="12">
        <v>3</v>
      </c>
      <c r="Y1320" s="12">
        <v>1</v>
      </c>
      <c r="Z1320" s="12" t="s">
        <v>67</v>
      </c>
      <c r="AA1320" s="12">
        <v>0</v>
      </c>
      <c r="AB1320" s="12">
        <v>0</v>
      </c>
      <c r="AC1320" s="12">
        <v>1</v>
      </c>
      <c r="AD1320" s="12">
        <v>0</v>
      </c>
      <c r="AE1320" s="12">
        <v>0</v>
      </c>
      <c r="AF1320" s="12">
        <v>0</v>
      </c>
      <c r="AG1320" s="12">
        <v>0</v>
      </c>
      <c r="AH1320" s="12">
        <v>0</v>
      </c>
      <c r="AI1320" s="12">
        <v>4</v>
      </c>
      <c r="AJ1320" s="12" t="s">
        <v>64</v>
      </c>
      <c r="AK1320" s="12">
        <v>0</v>
      </c>
      <c r="AL1320" s="12">
        <v>1</v>
      </c>
      <c r="AM1320" s="12">
        <v>3812</v>
      </c>
      <c r="AN1320" s="12">
        <f t="shared" si="302"/>
        <v>3812</v>
      </c>
      <c r="AO1320" s="12">
        <v>1</v>
      </c>
      <c r="AP1320" s="12" t="s">
        <v>59</v>
      </c>
      <c r="AQ1320" s="12">
        <v>0</v>
      </c>
      <c r="AR1320" s="12">
        <v>13</v>
      </c>
      <c r="AS1320" s="12">
        <v>3</v>
      </c>
      <c r="AT1320" s="12">
        <v>2</v>
      </c>
      <c r="AU1320" s="12">
        <v>0</v>
      </c>
      <c r="AV1320" s="12">
        <v>11</v>
      </c>
      <c r="AW1320" s="12">
        <f t="shared" si="303"/>
        <v>11</v>
      </c>
      <c r="AX1320" s="12">
        <v>3</v>
      </c>
      <c r="AY1320" s="12">
        <v>4</v>
      </c>
      <c r="AZ1320" s="12">
        <v>11</v>
      </c>
      <c r="BA1320" s="12">
        <f t="shared" si="304"/>
        <v>11</v>
      </c>
      <c r="BB1320" s="12">
        <v>8</v>
      </c>
      <c r="BC1320" s="12">
        <v>3</v>
      </c>
      <c r="BD1320" s="12">
        <f t="shared" si="313"/>
        <v>3</v>
      </c>
      <c r="BE1320" s="12">
        <v>10</v>
      </c>
      <c r="BF1320" s="12">
        <f t="shared" si="305"/>
        <v>10</v>
      </c>
      <c r="BG1320" s="12">
        <f t="shared" si="314"/>
        <v>10</v>
      </c>
      <c r="BH1320" s="67">
        <v>0</v>
      </c>
      <c r="BI1320" s="67">
        <v>0</v>
      </c>
      <c r="BJ1320" s="67">
        <v>0</v>
      </c>
      <c r="BK1320" s="67">
        <v>1</v>
      </c>
      <c r="BL1320" s="67">
        <v>0</v>
      </c>
      <c r="BM1320" s="67">
        <v>0</v>
      </c>
      <c r="BN1320" s="67">
        <v>1</v>
      </c>
      <c r="BO1320" s="67">
        <v>0</v>
      </c>
      <c r="BP1320" s="67">
        <v>0</v>
      </c>
      <c r="BQ1320" s="67">
        <v>10</v>
      </c>
      <c r="BR1320" s="67">
        <v>0</v>
      </c>
      <c r="BS1320" s="67">
        <v>0</v>
      </c>
      <c r="BT1320" s="67">
        <v>11</v>
      </c>
      <c r="BU1320" s="70">
        <v>0</v>
      </c>
      <c r="BV1320" s="29">
        <f t="shared" si="306"/>
        <v>0.57157094181019297</v>
      </c>
      <c r="BW1320">
        <f t="shared" si="307"/>
        <v>1.6470421950744405</v>
      </c>
      <c r="BX1320">
        <f t="shared" si="308"/>
        <v>3.593364373846001E-2</v>
      </c>
      <c r="BY1320">
        <f t="shared" si="309"/>
        <v>0.65156620358080031</v>
      </c>
      <c r="BZ1320">
        <f t="shared" si="310"/>
        <v>1.3331273859286286</v>
      </c>
      <c r="CA1320">
        <f t="shared" si="311"/>
        <v>0.86737663580280233</v>
      </c>
      <c r="CB1320">
        <f t="shared" si="312"/>
        <v>0.2520597274726662</v>
      </c>
    </row>
    <row r="1321" spans="1:80" x14ac:dyDescent="0.45">
      <c r="A1321" s="11">
        <v>32</v>
      </c>
      <c r="B1321" s="12">
        <f t="shared" si="300"/>
        <v>32</v>
      </c>
      <c r="C1321" s="12" t="s">
        <v>59</v>
      </c>
      <c r="D1321" s="12">
        <v>0</v>
      </c>
      <c r="E1321" s="12" t="s">
        <v>60</v>
      </c>
      <c r="F1321" s="12">
        <v>1</v>
      </c>
      <c r="G1321" s="12">
        <v>0</v>
      </c>
      <c r="H1321" s="12" t="s">
        <v>54</v>
      </c>
      <c r="I1321" s="12">
        <v>0</v>
      </c>
      <c r="J1321" s="12">
        <v>1</v>
      </c>
      <c r="K1321" s="12">
        <v>10</v>
      </c>
      <c r="L1321" s="12">
        <f t="shared" si="301"/>
        <v>10</v>
      </c>
      <c r="M1321" s="12">
        <v>4</v>
      </c>
      <c r="N1321" s="12" t="s">
        <v>90</v>
      </c>
      <c r="O1321" s="12">
        <v>0</v>
      </c>
      <c r="P1321" s="12">
        <v>0</v>
      </c>
      <c r="Q1321" s="12">
        <v>0</v>
      </c>
      <c r="R1321" s="12">
        <v>1</v>
      </c>
      <c r="S1321" s="12">
        <v>0</v>
      </c>
      <c r="T1321" s="12">
        <v>4</v>
      </c>
      <c r="U1321" s="12" t="s">
        <v>62</v>
      </c>
      <c r="V1321" s="12">
        <v>0</v>
      </c>
      <c r="W1321" s="12">
        <v>79</v>
      </c>
      <c r="X1321" s="12">
        <v>3</v>
      </c>
      <c r="Y1321" s="12">
        <v>2</v>
      </c>
      <c r="Z1321" s="12" t="s">
        <v>56</v>
      </c>
      <c r="AA1321" s="12">
        <v>0</v>
      </c>
      <c r="AB1321" s="12">
        <v>1</v>
      </c>
      <c r="AC1321" s="12">
        <v>0</v>
      </c>
      <c r="AD1321" s="12">
        <v>0</v>
      </c>
      <c r="AE1321" s="12">
        <v>0</v>
      </c>
      <c r="AF1321" s="12">
        <v>0</v>
      </c>
      <c r="AG1321" s="12">
        <v>0</v>
      </c>
      <c r="AH1321" s="12">
        <v>0</v>
      </c>
      <c r="AI1321" s="12">
        <v>4</v>
      </c>
      <c r="AJ1321" s="12" t="s">
        <v>57</v>
      </c>
      <c r="AK1321" s="12">
        <v>1</v>
      </c>
      <c r="AL1321" s="12">
        <v>0</v>
      </c>
      <c r="AM1321" s="12">
        <v>4648</v>
      </c>
      <c r="AN1321" s="12">
        <f t="shared" si="302"/>
        <v>4648</v>
      </c>
      <c r="AO1321" s="12">
        <v>8</v>
      </c>
      <c r="AP1321" s="12" t="s">
        <v>59</v>
      </c>
      <c r="AQ1321" s="12">
        <v>0</v>
      </c>
      <c r="AR1321" s="12">
        <v>13</v>
      </c>
      <c r="AS1321" s="12">
        <v>3</v>
      </c>
      <c r="AT1321" s="12">
        <v>3</v>
      </c>
      <c r="AU1321" s="12">
        <v>0</v>
      </c>
      <c r="AV1321" s="12">
        <v>4</v>
      </c>
      <c r="AW1321" s="12">
        <f t="shared" si="303"/>
        <v>4</v>
      </c>
      <c r="AX1321" s="12">
        <v>2</v>
      </c>
      <c r="AY1321" s="12">
        <v>4</v>
      </c>
      <c r="AZ1321" s="12">
        <v>0</v>
      </c>
      <c r="BA1321" s="12">
        <f t="shared" si="304"/>
        <v>0</v>
      </c>
      <c r="BB1321" s="12">
        <v>0</v>
      </c>
      <c r="BC1321" s="12">
        <v>0</v>
      </c>
      <c r="BD1321" s="12">
        <f t="shared" si="313"/>
        <v>0</v>
      </c>
      <c r="BE1321" s="12">
        <v>0</v>
      </c>
      <c r="BF1321" s="12">
        <f t="shared" si="305"/>
        <v>0</v>
      </c>
      <c r="BG1321" s="12">
        <f t="shared" si="314"/>
        <v>0</v>
      </c>
      <c r="BH1321" s="67">
        <v>0</v>
      </c>
      <c r="BI1321" s="67">
        <v>0</v>
      </c>
      <c r="BJ1321" s="67">
        <v>1</v>
      </c>
      <c r="BK1321" s="67">
        <v>0</v>
      </c>
      <c r="BL1321" s="67">
        <v>1</v>
      </c>
      <c r="BM1321" s="67">
        <v>0</v>
      </c>
      <c r="BN1321" s="67">
        <v>0</v>
      </c>
      <c r="BO1321" s="67">
        <v>0</v>
      </c>
      <c r="BP1321" s="67">
        <v>0</v>
      </c>
      <c r="BQ1321" s="67">
        <v>0</v>
      </c>
      <c r="BR1321" s="67">
        <v>0</v>
      </c>
      <c r="BS1321" s="67">
        <v>0</v>
      </c>
      <c r="BT1321" s="67">
        <v>0</v>
      </c>
      <c r="BU1321" s="70">
        <v>4</v>
      </c>
      <c r="BV1321" s="29">
        <f t="shared" si="306"/>
        <v>0.3939992183395532</v>
      </c>
      <c r="BW1321">
        <f t="shared" si="307"/>
        <v>1.1555414682655611</v>
      </c>
      <c r="BX1321">
        <f t="shared" si="308"/>
        <v>0.93558618405172878</v>
      </c>
      <c r="BY1321">
        <f t="shared" si="309"/>
        <v>1.1439050833826525</v>
      </c>
      <c r="BZ1321">
        <f t="shared" si="310"/>
        <v>9.9604847176766084E-2</v>
      </c>
      <c r="CA1321">
        <f t="shared" si="311"/>
        <v>0.53898283739188557</v>
      </c>
      <c r="CB1321">
        <f t="shared" si="312"/>
        <v>0.67891464284095016</v>
      </c>
    </row>
    <row r="1322" spans="1:80" x14ac:dyDescent="0.45">
      <c r="A1322" s="11">
        <v>42</v>
      </c>
      <c r="B1322" s="12">
        <f t="shared" si="300"/>
        <v>42</v>
      </c>
      <c r="C1322" s="12" t="s">
        <v>59</v>
      </c>
      <c r="D1322" s="12">
        <v>0</v>
      </c>
      <c r="E1322" s="12" t="s">
        <v>86</v>
      </c>
      <c r="F1322" s="12">
        <v>0</v>
      </c>
      <c r="G1322" s="12">
        <v>0</v>
      </c>
      <c r="H1322" s="12" t="s">
        <v>61</v>
      </c>
      <c r="I1322" s="12">
        <v>1</v>
      </c>
      <c r="J1322" s="12">
        <v>0</v>
      </c>
      <c r="K1322" s="12">
        <v>10</v>
      </c>
      <c r="L1322" s="12">
        <f t="shared" si="301"/>
        <v>10</v>
      </c>
      <c r="M1322" s="12">
        <v>4</v>
      </c>
      <c r="N1322" s="12" t="s">
        <v>91</v>
      </c>
      <c r="O1322" s="12">
        <v>0</v>
      </c>
      <c r="P1322" s="12">
        <v>0</v>
      </c>
      <c r="Q1322" s="12">
        <v>0</v>
      </c>
      <c r="R1322" s="12">
        <v>0</v>
      </c>
      <c r="S1322" s="12">
        <v>1</v>
      </c>
      <c r="T1322" s="12">
        <v>3</v>
      </c>
      <c r="U1322" s="12" t="s">
        <v>62</v>
      </c>
      <c r="V1322" s="12">
        <v>0</v>
      </c>
      <c r="W1322" s="12">
        <v>38</v>
      </c>
      <c r="X1322" s="12">
        <v>3</v>
      </c>
      <c r="Y1322" s="12">
        <v>1</v>
      </c>
      <c r="Z1322" s="12" t="s">
        <v>63</v>
      </c>
      <c r="AA1322" s="12">
        <v>0</v>
      </c>
      <c r="AB1322" s="12">
        <v>0</v>
      </c>
      <c r="AC1322" s="12">
        <v>0</v>
      </c>
      <c r="AD1322" s="12">
        <v>0</v>
      </c>
      <c r="AE1322" s="12">
        <v>0</v>
      </c>
      <c r="AF1322" s="12">
        <v>0</v>
      </c>
      <c r="AG1322" s="12">
        <v>0</v>
      </c>
      <c r="AH1322" s="12">
        <v>1</v>
      </c>
      <c r="AI1322" s="12">
        <v>3</v>
      </c>
      <c r="AJ1322" s="12" t="s">
        <v>64</v>
      </c>
      <c r="AK1322" s="12">
        <v>0</v>
      </c>
      <c r="AL1322" s="12">
        <v>1</v>
      </c>
      <c r="AM1322" s="12">
        <v>2936</v>
      </c>
      <c r="AN1322" s="12">
        <f t="shared" si="302"/>
        <v>2936</v>
      </c>
      <c r="AO1322" s="12">
        <v>3</v>
      </c>
      <c r="AP1322" s="12" t="s">
        <v>59</v>
      </c>
      <c r="AQ1322" s="12">
        <v>0</v>
      </c>
      <c r="AR1322" s="12">
        <v>22</v>
      </c>
      <c r="AS1322" s="12">
        <v>4</v>
      </c>
      <c r="AT1322" s="12">
        <v>2</v>
      </c>
      <c r="AU1322" s="12">
        <v>2</v>
      </c>
      <c r="AV1322" s="12">
        <v>10</v>
      </c>
      <c r="AW1322" s="12">
        <f t="shared" si="303"/>
        <v>10</v>
      </c>
      <c r="AX1322" s="12">
        <v>1</v>
      </c>
      <c r="AY1322" s="12">
        <v>2</v>
      </c>
      <c r="AZ1322" s="12">
        <v>6</v>
      </c>
      <c r="BA1322" s="12">
        <f t="shared" si="304"/>
        <v>6</v>
      </c>
      <c r="BB1322" s="12">
        <v>3</v>
      </c>
      <c r="BC1322" s="12">
        <v>3</v>
      </c>
      <c r="BD1322" s="12">
        <f t="shared" si="313"/>
        <v>3</v>
      </c>
      <c r="BE1322" s="12">
        <v>3</v>
      </c>
      <c r="BF1322" s="12">
        <f t="shared" si="305"/>
        <v>3</v>
      </c>
      <c r="BG1322" s="12">
        <f t="shared" si="314"/>
        <v>3</v>
      </c>
      <c r="BH1322" s="67">
        <v>0</v>
      </c>
      <c r="BI1322" s="67">
        <v>1</v>
      </c>
      <c r="BJ1322" s="67">
        <v>0</v>
      </c>
      <c r="BK1322" s="67">
        <v>0</v>
      </c>
      <c r="BL1322" s="67">
        <v>0</v>
      </c>
      <c r="BM1322" s="67">
        <v>0</v>
      </c>
      <c r="BN1322" s="67">
        <v>1</v>
      </c>
      <c r="BO1322" s="67">
        <v>0</v>
      </c>
      <c r="BP1322" s="67">
        <v>0</v>
      </c>
      <c r="BQ1322" s="67">
        <v>3</v>
      </c>
      <c r="BR1322" s="67">
        <v>0</v>
      </c>
      <c r="BS1322" s="67">
        <v>0</v>
      </c>
      <c r="BT1322" s="67">
        <v>10</v>
      </c>
      <c r="BU1322" s="70">
        <v>0</v>
      </c>
      <c r="BV1322" s="29">
        <f t="shared" si="306"/>
        <v>0.75763891999234667</v>
      </c>
      <c r="BW1322">
        <f t="shared" si="307"/>
        <v>0.31476636926356072</v>
      </c>
      <c r="BX1322">
        <f t="shared" si="308"/>
        <v>0.1644554352117841</v>
      </c>
      <c r="BY1322">
        <f t="shared" si="309"/>
        <v>0.16455710867531462</v>
      </c>
      <c r="BZ1322">
        <f t="shared" si="310"/>
        <v>9.9604847176766084E-2</v>
      </c>
      <c r="CA1322">
        <f t="shared" si="311"/>
        <v>0.55566315731117022</v>
      </c>
      <c r="CB1322">
        <f t="shared" si="312"/>
        <v>0.2520597274726662</v>
      </c>
    </row>
    <row r="1323" spans="1:80" x14ac:dyDescent="0.45">
      <c r="A1323" s="11">
        <v>47</v>
      </c>
      <c r="B1323" s="12">
        <f t="shared" si="300"/>
        <v>47</v>
      </c>
      <c r="C1323" s="12" t="s">
        <v>59</v>
      </c>
      <c r="D1323" s="12">
        <v>0</v>
      </c>
      <c r="E1323" s="12" t="s">
        <v>53</v>
      </c>
      <c r="F1323" s="12">
        <v>0</v>
      </c>
      <c r="G1323" s="12">
        <v>1</v>
      </c>
      <c r="H1323" s="12" t="s">
        <v>61</v>
      </c>
      <c r="I1323" s="12">
        <v>1</v>
      </c>
      <c r="J1323" s="12">
        <v>0</v>
      </c>
      <c r="K1323" s="12">
        <v>9</v>
      </c>
      <c r="L1323" s="12">
        <f t="shared" si="301"/>
        <v>9</v>
      </c>
      <c r="M1323" s="12">
        <v>4</v>
      </c>
      <c r="N1323" s="12" t="s">
        <v>55</v>
      </c>
      <c r="O1323" s="12">
        <v>1</v>
      </c>
      <c r="P1323" s="12">
        <v>0</v>
      </c>
      <c r="Q1323" s="12">
        <v>0</v>
      </c>
      <c r="R1323" s="12">
        <v>0</v>
      </c>
      <c r="S1323" s="12">
        <v>0</v>
      </c>
      <c r="T1323" s="12">
        <v>2</v>
      </c>
      <c r="U1323" s="12" t="s">
        <v>19</v>
      </c>
      <c r="V1323" s="12">
        <v>1</v>
      </c>
      <c r="W1323" s="12">
        <v>64</v>
      </c>
      <c r="X1323" s="12">
        <v>3</v>
      </c>
      <c r="Y1323" s="12">
        <v>1</v>
      </c>
      <c r="Z1323" s="12" t="s">
        <v>67</v>
      </c>
      <c r="AA1323" s="12">
        <v>0</v>
      </c>
      <c r="AB1323" s="12">
        <v>0</v>
      </c>
      <c r="AC1323" s="12">
        <v>1</v>
      </c>
      <c r="AD1323" s="12">
        <v>0</v>
      </c>
      <c r="AE1323" s="12">
        <v>0</v>
      </c>
      <c r="AF1323" s="12">
        <v>0</v>
      </c>
      <c r="AG1323" s="12">
        <v>0</v>
      </c>
      <c r="AH1323" s="12">
        <v>0</v>
      </c>
      <c r="AI1323" s="12">
        <v>3</v>
      </c>
      <c r="AJ1323" s="12" t="s">
        <v>57</v>
      </c>
      <c r="AK1323" s="12">
        <v>1</v>
      </c>
      <c r="AL1323" s="12">
        <v>0</v>
      </c>
      <c r="AM1323" s="12">
        <v>2105</v>
      </c>
      <c r="AN1323" s="12">
        <f t="shared" si="302"/>
        <v>2105</v>
      </c>
      <c r="AO1323" s="12">
        <v>4</v>
      </c>
      <c r="AP1323" s="12" t="s">
        <v>59</v>
      </c>
      <c r="AQ1323" s="12">
        <v>0</v>
      </c>
      <c r="AR1323" s="12">
        <v>12</v>
      </c>
      <c r="AS1323" s="12">
        <v>3</v>
      </c>
      <c r="AT1323" s="12">
        <v>3</v>
      </c>
      <c r="AU1323" s="12">
        <v>0</v>
      </c>
      <c r="AV1323" s="12">
        <v>7</v>
      </c>
      <c r="AW1323" s="12">
        <f t="shared" si="303"/>
        <v>7</v>
      </c>
      <c r="AX1323" s="12">
        <v>2</v>
      </c>
      <c r="AY1323" s="12">
        <v>3</v>
      </c>
      <c r="AZ1323" s="12">
        <v>2</v>
      </c>
      <c r="BA1323" s="12">
        <f t="shared" si="304"/>
        <v>2</v>
      </c>
      <c r="BB1323" s="12">
        <v>2</v>
      </c>
      <c r="BC1323" s="12">
        <v>2</v>
      </c>
      <c r="BD1323" s="12">
        <f t="shared" si="313"/>
        <v>2</v>
      </c>
      <c r="BE1323" s="12">
        <v>0</v>
      </c>
      <c r="BF1323" s="12">
        <f t="shared" si="305"/>
        <v>0</v>
      </c>
      <c r="BG1323" s="12">
        <f t="shared" si="314"/>
        <v>0</v>
      </c>
      <c r="BH1323" s="67">
        <v>1</v>
      </c>
      <c r="BI1323" s="67">
        <v>0</v>
      </c>
      <c r="BJ1323" s="67">
        <v>0</v>
      </c>
      <c r="BK1323" s="67">
        <v>0</v>
      </c>
      <c r="BL1323" s="67">
        <v>1</v>
      </c>
      <c r="BM1323" s="67">
        <v>0</v>
      </c>
      <c r="BN1323" s="67">
        <v>0</v>
      </c>
      <c r="BO1323" s="67">
        <v>0</v>
      </c>
      <c r="BP1323" s="67">
        <v>0</v>
      </c>
      <c r="BQ1323" s="67">
        <v>0</v>
      </c>
      <c r="BR1323" s="67">
        <v>0</v>
      </c>
      <c r="BS1323" s="67">
        <v>0</v>
      </c>
      <c r="BT1323" s="67">
        <v>7</v>
      </c>
      <c r="BU1323" s="70">
        <v>0</v>
      </c>
      <c r="BV1323" s="29">
        <f t="shared" si="306"/>
        <v>0.93414861162404728</v>
      </c>
      <c r="BW1323">
        <f t="shared" si="307"/>
        <v>1.1555414682655611</v>
      </c>
      <c r="BX1323">
        <f t="shared" si="308"/>
        <v>0.55002080963175637</v>
      </c>
      <c r="BY1323">
        <f t="shared" si="309"/>
        <v>0.81745575848020657</v>
      </c>
      <c r="BZ1323">
        <f t="shared" si="310"/>
        <v>2.3747406698420157E-2</v>
      </c>
      <c r="CA1323">
        <f t="shared" si="311"/>
        <v>1.102986154662698</v>
      </c>
      <c r="CB1323">
        <f t="shared" si="312"/>
        <v>5.8265062631872602E-2</v>
      </c>
    </row>
    <row r="1324" spans="1:80" x14ac:dyDescent="0.45">
      <c r="A1324" s="11">
        <v>46</v>
      </c>
      <c r="B1324" s="12">
        <f t="shared" si="300"/>
        <v>46</v>
      </c>
      <c r="C1324" s="12" t="s">
        <v>59</v>
      </c>
      <c r="D1324" s="12">
        <v>0</v>
      </c>
      <c r="E1324" s="12" t="s">
        <v>53</v>
      </c>
      <c r="F1324" s="12">
        <v>0</v>
      </c>
      <c r="G1324" s="12">
        <v>1</v>
      </c>
      <c r="H1324" s="12" t="s">
        <v>61</v>
      </c>
      <c r="I1324" s="12">
        <v>1</v>
      </c>
      <c r="J1324" s="12">
        <v>0</v>
      </c>
      <c r="K1324" s="12">
        <v>2</v>
      </c>
      <c r="L1324" s="12">
        <f t="shared" si="301"/>
        <v>2</v>
      </c>
      <c r="M1324" s="12">
        <v>2</v>
      </c>
      <c r="N1324" s="12" t="s">
        <v>55</v>
      </c>
      <c r="O1324" s="12">
        <v>1</v>
      </c>
      <c r="P1324" s="12">
        <v>0</v>
      </c>
      <c r="Q1324" s="12">
        <v>0</v>
      </c>
      <c r="R1324" s="12">
        <v>0</v>
      </c>
      <c r="S1324" s="12">
        <v>0</v>
      </c>
      <c r="T1324" s="12">
        <v>4</v>
      </c>
      <c r="U1324" s="12" t="s">
        <v>62</v>
      </c>
      <c r="V1324" s="12">
        <v>0</v>
      </c>
      <c r="W1324" s="12">
        <v>82</v>
      </c>
      <c r="X1324" s="12">
        <v>3</v>
      </c>
      <c r="Y1324" s="12">
        <v>3</v>
      </c>
      <c r="Z1324" s="12" t="s">
        <v>83</v>
      </c>
      <c r="AA1324" s="12">
        <v>0</v>
      </c>
      <c r="AB1324" s="12">
        <v>0</v>
      </c>
      <c r="AC1324" s="12">
        <v>0</v>
      </c>
      <c r="AD1324" s="12">
        <v>0</v>
      </c>
      <c r="AE1324" s="12">
        <v>1</v>
      </c>
      <c r="AF1324" s="12">
        <v>1</v>
      </c>
      <c r="AG1324" s="12">
        <v>0</v>
      </c>
      <c r="AH1324" s="12">
        <v>0</v>
      </c>
      <c r="AI1324" s="12">
        <v>4</v>
      </c>
      <c r="AJ1324" s="12" t="s">
        <v>78</v>
      </c>
      <c r="AK1324" s="12">
        <v>0</v>
      </c>
      <c r="AL1324" s="12">
        <v>0</v>
      </c>
      <c r="AM1324" s="12">
        <v>8578</v>
      </c>
      <c r="AN1324" s="12">
        <f t="shared" si="302"/>
        <v>8578</v>
      </c>
      <c r="AO1324" s="12">
        <v>3</v>
      </c>
      <c r="AP1324" s="12" t="s">
        <v>59</v>
      </c>
      <c r="AQ1324" s="12">
        <v>0</v>
      </c>
      <c r="AR1324" s="12">
        <v>14</v>
      </c>
      <c r="AS1324" s="12">
        <v>3</v>
      </c>
      <c r="AT1324" s="12">
        <v>3</v>
      </c>
      <c r="AU1324" s="12">
        <v>1</v>
      </c>
      <c r="AV1324" s="12">
        <v>12</v>
      </c>
      <c r="AW1324" s="12">
        <f t="shared" si="303"/>
        <v>12</v>
      </c>
      <c r="AX1324" s="12">
        <v>4</v>
      </c>
      <c r="AY1324" s="12">
        <v>2</v>
      </c>
      <c r="AZ1324" s="12">
        <v>9</v>
      </c>
      <c r="BA1324" s="12">
        <f t="shared" si="304"/>
        <v>9</v>
      </c>
      <c r="BB1324" s="12">
        <v>8</v>
      </c>
      <c r="BC1324" s="12">
        <v>4</v>
      </c>
      <c r="BD1324" s="12">
        <f t="shared" si="313"/>
        <v>4</v>
      </c>
      <c r="BE1324" s="12">
        <v>7</v>
      </c>
      <c r="BF1324" s="12">
        <f t="shared" si="305"/>
        <v>7</v>
      </c>
      <c r="BG1324" s="12">
        <f t="shared" si="314"/>
        <v>21</v>
      </c>
      <c r="BH1324" s="67">
        <v>1</v>
      </c>
      <c r="BI1324" s="67">
        <v>0</v>
      </c>
      <c r="BJ1324" s="67">
        <v>0</v>
      </c>
      <c r="BK1324" s="67">
        <v>0</v>
      </c>
      <c r="BL1324" s="67">
        <v>1</v>
      </c>
      <c r="BM1324" s="67">
        <v>0</v>
      </c>
      <c r="BN1324" s="67">
        <v>0</v>
      </c>
      <c r="BO1324" s="67">
        <v>0</v>
      </c>
      <c r="BP1324" s="67">
        <v>0</v>
      </c>
      <c r="BQ1324" s="67">
        <v>7</v>
      </c>
      <c r="BR1324" s="67">
        <v>0</v>
      </c>
      <c r="BS1324" s="67">
        <v>0</v>
      </c>
      <c r="BT1324" s="67">
        <v>12</v>
      </c>
      <c r="BU1324" s="70">
        <v>0</v>
      </c>
      <c r="BV1324" s="29">
        <f t="shared" si="306"/>
        <v>0.44075780706668422</v>
      </c>
      <c r="BW1324">
        <f t="shared" si="307"/>
        <v>0.80626709607243985</v>
      </c>
      <c r="BX1324">
        <f t="shared" si="308"/>
        <v>9.2588147734864096E-2</v>
      </c>
      <c r="BY1324">
        <f t="shared" si="309"/>
        <v>0.32511687867835437</v>
      </c>
      <c r="BZ1324">
        <f t="shared" si="310"/>
        <v>0.88721318382472392</v>
      </c>
      <c r="CA1324">
        <f t="shared" si="311"/>
        <v>0.99352155519239249</v>
      </c>
      <c r="CB1324">
        <f t="shared" si="312"/>
        <v>0.56238451757720498</v>
      </c>
    </row>
    <row r="1325" spans="1:80" x14ac:dyDescent="0.45">
      <c r="A1325" s="11">
        <v>28</v>
      </c>
      <c r="B1325" s="12">
        <f t="shared" si="300"/>
        <v>28</v>
      </c>
      <c r="C1325" s="12" t="s">
        <v>59</v>
      </c>
      <c r="D1325" s="12">
        <v>0</v>
      </c>
      <c r="E1325" s="12" t="s">
        <v>86</v>
      </c>
      <c r="F1325" s="12">
        <v>0</v>
      </c>
      <c r="G1325" s="12">
        <v>0</v>
      </c>
      <c r="H1325" s="12" t="s">
        <v>97</v>
      </c>
      <c r="I1325" s="12">
        <v>0</v>
      </c>
      <c r="J1325" s="12">
        <v>0</v>
      </c>
      <c r="K1325" s="12">
        <v>1</v>
      </c>
      <c r="L1325" s="12">
        <f t="shared" si="301"/>
        <v>1</v>
      </c>
      <c r="M1325" s="12">
        <v>2</v>
      </c>
      <c r="N1325" s="12" t="s">
        <v>55</v>
      </c>
      <c r="O1325" s="12">
        <v>1</v>
      </c>
      <c r="P1325" s="12">
        <v>0</v>
      </c>
      <c r="Q1325" s="12">
        <v>0</v>
      </c>
      <c r="R1325" s="12">
        <v>0</v>
      </c>
      <c r="S1325" s="12">
        <v>0</v>
      </c>
      <c r="T1325" s="12">
        <v>3</v>
      </c>
      <c r="U1325" s="12" t="s">
        <v>62</v>
      </c>
      <c r="V1325" s="12">
        <v>0</v>
      </c>
      <c r="W1325" s="12">
        <v>43</v>
      </c>
      <c r="X1325" s="12">
        <v>3</v>
      </c>
      <c r="Y1325" s="12">
        <v>1</v>
      </c>
      <c r="Z1325" s="12" t="s">
        <v>97</v>
      </c>
      <c r="AA1325" s="12">
        <v>0</v>
      </c>
      <c r="AB1325" s="12">
        <v>0</v>
      </c>
      <c r="AC1325" s="12">
        <v>0</v>
      </c>
      <c r="AD1325" s="12">
        <v>0</v>
      </c>
      <c r="AE1325" s="12">
        <v>0</v>
      </c>
      <c r="AF1325" s="12">
        <v>0</v>
      </c>
      <c r="AG1325" s="12">
        <v>0</v>
      </c>
      <c r="AH1325" s="12">
        <v>0</v>
      </c>
      <c r="AI1325" s="12">
        <v>4</v>
      </c>
      <c r="AJ1325" s="12" t="s">
        <v>78</v>
      </c>
      <c r="AK1325" s="12">
        <v>0</v>
      </c>
      <c r="AL1325" s="12">
        <v>0</v>
      </c>
      <c r="AM1325" s="12">
        <v>2706</v>
      </c>
      <c r="AN1325" s="12">
        <f t="shared" si="302"/>
        <v>2706</v>
      </c>
      <c r="AO1325" s="12">
        <v>1</v>
      </c>
      <c r="AP1325" s="12" t="s">
        <v>59</v>
      </c>
      <c r="AQ1325" s="12">
        <v>0</v>
      </c>
      <c r="AR1325" s="12">
        <v>15</v>
      </c>
      <c r="AS1325" s="12">
        <v>3</v>
      </c>
      <c r="AT1325" s="12">
        <v>2</v>
      </c>
      <c r="AU1325" s="12">
        <v>1</v>
      </c>
      <c r="AV1325" s="12">
        <v>3</v>
      </c>
      <c r="AW1325" s="12">
        <f t="shared" si="303"/>
        <v>3</v>
      </c>
      <c r="AX1325" s="12">
        <v>2</v>
      </c>
      <c r="AY1325" s="12">
        <v>3</v>
      </c>
      <c r="AZ1325" s="12">
        <v>3</v>
      </c>
      <c r="BA1325" s="12">
        <f t="shared" si="304"/>
        <v>3</v>
      </c>
      <c r="BB1325" s="12">
        <v>2</v>
      </c>
      <c r="BC1325" s="12">
        <v>2</v>
      </c>
      <c r="BD1325" s="12">
        <f t="shared" si="313"/>
        <v>2</v>
      </c>
      <c r="BE1325" s="12">
        <v>2</v>
      </c>
      <c r="BF1325" s="12">
        <f t="shared" si="305"/>
        <v>2</v>
      </c>
      <c r="BG1325" s="12">
        <f t="shared" si="314"/>
        <v>2</v>
      </c>
      <c r="BH1325" s="67">
        <v>1</v>
      </c>
      <c r="BI1325" s="67">
        <v>0</v>
      </c>
      <c r="BJ1325" s="67">
        <v>0</v>
      </c>
      <c r="BK1325" s="67">
        <v>0</v>
      </c>
      <c r="BL1325" s="67">
        <v>1</v>
      </c>
      <c r="BM1325" s="67">
        <v>0</v>
      </c>
      <c r="BN1325" s="67">
        <v>0</v>
      </c>
      <c r="BO1325" s="67">
        <v>0</v>
      </c>
      <c r="BP1325" s="67">
        <v>2</v>
      </c>
      <c r="BQ1325" s="67">
        <v>0</v>
      </c>
      <c r="BR1325" s="67">
        <v>0</v>
      </c>
      <c r="BS1325" s="67">
        <v>3</v>
      </c>
      <c r="BT1325" s="67">
        <v>0</v>
      </c>
      <c r="BU1325" s="70">
        <v>0</v>
      </c>
      <c r="BV1325" s="29">
        <f t="shared" si="306"/>
        <v>0.80649238458355144</v>
      </c>
      <c r="BW1325">
        <f t="shared" si="307"/>
        <v>0.59502473559756086</v>
      </c>
      <c r="BX1325">
        <f t="shared" si="308"/>
        <v>1.0641079755250529</v>
      </c>
      <c r="BY1325">
        <f t="shared" si="309"/>
        <v>0.65423109602898355</v>
      </c>
      <c r="BZ1325">
        <f t="shared" si="310"/>
        <v>1.01056543769991</v>
      </c>
      <c r="CA1325">
        <f t="shared" si="311"/>
        <v>0.97684123527310796</v>
      </c>
      <c r="CB1325">
        <f t="shared" si="312"/>
        <v>5.8265062631872602E-2</v>
      </c>
    </row>
    <row r="1326" spans="1:80" x14ac:dyDescent="0.45">
      <c r="A1326" s="11">
        <v>29</v>
      </c>
      <c r="B1326" s="12">
        <f t="shared" si="300"/>
        <v>29</v>
      </c>
      <c r="C1326" s="12" t="s">
        <v>59</v>
      </c>
      <c r="D1326" s="12">
        <v>0</v>
      </c>
      <c r="E1326" s="12" t="s">
        <v>53</v>
      </c>
      <c r="F1326" s="12">
        <v>0</v>
      </c>
      <c r="G1326" s="12">
        <v>1</v>
      </c>
      <c r="H1326" s="12" t="s">
        <v>61</v>
      </c>
      <c r="I1326" s="12">
        <v>1</v>
      </c>
      <c r="J1326" s="12">
        <v>0</v>
      </c>
      <c r="K1326" s="12">
        <v>29</v>
      </c>
      <c r="L1326" s="12">
        <f t="shared" si="301"/>
        <v>29</v>
      </c>
      <c r="M1326" s="12">
        <v>1</v>
      </c>
      <c r="N1326" s="12" t="s">
        <v>55</v>
      </c>
      <c r="O1326" s="12">
        <v>1</v>
      </c>
      <c r="P1326" s="12">
        <v>0</v>
      </c>
      <c r="Q1326" s="12">
        <v>0</v>
      </c>
      <c r="R1326" s="12">
        <v>0</v>
      </c>
      <c r="S1326" s="12">
        <v>0</v>
      </c>
      <c r="T1326" s="12">
        <v>4</v>
      </c>
      <c r="U1326" s="12" t="s">
        <v>62</v>
      </c>
      <c r="V1326" s="12">
        <v>0</v>
      </c>
      <c r="W1326" s="12">
        <v>93</v>
      </c>
      <c r="X1326" s="12">
        <v>1</v>
      </c>
      <c r="Y1326" s="12">
        <v>2</v>
      </c>
      <c r="Z1326" s="12" t="s">
        <v>85</v>
      </c>
      <c r="AA1326" s="12">
        <v>1</v>
      </c>
      <c r="AB1326" s="12">
        <v>0</v>
      </c>
      <c r="AC1326" s="12">
        <v>0</v>
      </c>
      <c r="AD1326" s="12">
        <v>0</v>
      </c>
      <c r="AE1326" s="12">
        <v>0</v>
      </c>
      <c r="AF1326" s="12">
        <v>0</v>
      </c>
      <c r="AG1326" s="12">
        <v>0</v>
      </c>
      <c r="AH1326" s="12">
        <v>0</v>
      </c>
      <c r="AI1326" s="12">
        <v>3</v>
      </c>
      <c r="AJ1326" s="12" t="s">
        <v>78</v>
      </c>
      <c r="AK1326" s="12">
        <v>0</v>
      </c>
      <c r="AL1326" s="12">
        <v>0</v>
      </c>
      <c r="AM1326" s="12">
        <v>6384</v>
      </c>
      <c r="AN1326" s="12">
        <f t="shared" si="302"/>
        <v>6384</v>
      </c>
      <c r="AO1326" s="12">
        <v>8</v>
      </c>
      <c r="AP1326" s="12" t="s">
        <v>59</v>
      </c>
      <c r="AQ1326" s="12">
        <v>0</v>
      </c>
      <c r="AR1326" s="12">
        <v>17</v>
      </c>
      <c r="AS1326" s="12">
        <v>3</v>
      </c>
      <c r="AT1326" s="12">
        <v>4</v>
      </c>
      <c r="AU1326" s="12">
        <v>2</v>
      </c>
      <c r="AV1326" s="12">
        <v>11</v>
      </c>
      <c r="AW1326" s="12">
        <f t="shared" si="303"/>
        <v>11</v>
      </c>
      <c r="AX1326" s="12">
        <v>3</v>
      </c>
      <c r="AY1326" s="12">
        <v>3</v>
      </c>
      <c r="AZ1326" s="12">
        <v>7</v>
      </c>
      <c r="BA1326" s="12">
        <f t="shared" si="304"/>
        <v>7</v>
      </c>
      <c r="BB1326" s="12">
        <v>0</v>
      </c>
      <c r="BC1326" s="12">
        <v>1</v>
      </c>
      <c r="BD1326" s="12">
        <f t="shared" si="313"/>
        <v>1</v>
      </c>
      <c r="BE1326" s="12">
        <v>6</v>
      </c>
      <c r="BF1326" s="12">
        <f t="shared" si="305"/>
        <v>6</v>
      </c>
      <c r="BG1326" s="12">
        <f t="shared" si="314"/>
        <v>12</v>
      </c>
      <c r="BH1326" s="67">
        <v>1</v>
      </c>
      <c r="BI1326" s="67">
        <v>0</v>
      </c>
      <c r="BJ1326" s="67">
        <v>0</v>
      </c>
      <c r="BK1326" s="67">
        <v>0</v>
      </c>
      <c r="BL1326" s="67">
        <v>1</v>
      </c>
      <c r="BM1326" s="67">
        <v>0</v>
      </c>
      <c r="BN1326" s="67">
        <v>0</v>
      </c>
      <c r="BO1326" s="67">
        <v>0</v>
      </c>
      <c r="BP1326" s="67">
        <v>0</v>
      </c>
      <c r="BQ1326" s="67">
        <v>6</v>
      </c>
      <c r="BR1326" s="67">
        <v>0</v>
      </c>
      <c r="BS1326" s="67">
        <v>0</v>
      </c>
      <c r="BT1326" s="67">
        <v>11</v>
      </c>
      <c r="BU1326" s="70">
        <v>0</v>
      </c>
      <c r="BV1326" s="29">
        <f t="shared" si="306"/>
        <v>2.526176385985137E-2</v>
      </c>
      <c r="BW1326">
        <f t="shared" si="307"/>
        <v>0.52600872973843971</v>
      </c>
      <c r="BX1326">
        <f t="shared" si="308"/>
        <v>3.593364373846001E-2</v>
      </c>
      <c r="BY1326">
        <f t="shared" si="309"/>
        <v>1.3324462240916321E-3</v>
      </c>
      <c r="BZ1326">
        <f t="shared" si="310"/>
        <v>2.4432976708053049</v>
      </c>
      <c r="CA1326">
        <f t="shared" si="311"/>
        <v>0.86737663580280233</v>
      </c>
      <c r="CB1326">
        <f t="shared" si="312"/>
        <v>0.36858985273641137</v>
      </c>
    </row>
    <row r="1327" spans="1:80" x14ac:dyDescent="0.45">
      <c r="A1327" s="11">
        <v>42</v>
      </c>
      <c r="B1327" s="12">
        <f t="shared" si="300"/>
        <v>42</v>
      </c>
      <c r="C1327" s="12" t="s">
        <v>59</v>
      </c>
      <c r="D1327" s="12">
        <v>0</v>
      </c>
      <c r="E1327" s="12" t="s">
        <v>53</v>
      </c>
      <c r="F1327" s="12">
        <v>0</v>
      </c>
      <c r="G1327" s="12">
        <v>1</v>
      </c>
      <c r="H1327" s="12" t="s">
        <v>61</v>
      </c>
      <c r="I1327" s="12">
        <v>1</v>
      </c>
      <c r="J1327" s="12">
        <v>0</v>
      </c>
      <c r="K1327" s="12">
        <v>8</v>
      </c>
      <c r="L1327" s="12">
        <f t="shared" si="301"/>
        <v>8</v>
      </c>
      <c r="M1327" s="12">
        <v>3</v>
      </c>
      <c r="N1327" s="12" t="s">
        <v>55</v>
      </c>
      <c r="O1327" s="12">
        <v>1</v>
      </c>
      <c r="P1327" s="12">
        <v>0</v>
      </c>
      <c r="Q1327" s="12">
        <v>0</v>
      </c>
      <c r="R1327" s="12">
        <v>0</v>
      </c>
      <c r="S1327" s="12">
        <v>0</v>
      </c>
      <c r="T1327" s="12">
        <v>4</v>
      </c>
      <c r="U1327" s="12" t="s">
        <v>62</v>
      </c>
      <c r="V1327" s="12">
        <v>0</v>
      </c>
      <c r="W1327" s="12">
        <v>81</v>
      </c>
      <c r="X1327" s="12">
        <v>3</v>
      </c>
      <c r="Y1327" s="12">
        <v>1</v>
      </c>
      <c r="Z1327" s="12" t="s">
        <v>67</v>
      </c>
      <c r="AA1327" s="12">
        <v>0</v>
      </c>
      <c r="AB1327" s="12">
        <v>0</v>
      </c>
      <c r="AC1327" s="12">
        <v>1</v>
      </c>
      <c r="AD1327" s="12">
        <v>0</v>
      </c>
      <c r="AE1327" s="12">
        <v>0</v>
      </c>
      <c r="AF1327" s="12">
        <v>0</v>
      </c>
      <c r="AG1327" s="12">
        <v>0</v>
      </c>
      <c r="AH1327" s="12">
        <v>0</v>
      </c>
      <c r="AI1327" s="12">
        <v>3</v>
      </c>
      <c r="AJ1327" s="12" t="s">
        <v>57</v>
      </c>
      <c r="AK1327" s="12">
        <v>1</v>
      </c>
      <c r="AL1327" s="12">
        <v>0</v>
      </c>
      <c r="AM1327" s="12">
        <v>3968</v>
      </c>
      <c r="AN1327" s="12">
        <f t="shared" si="302"/>
        <v>3968</v>
      </c>
      <c r="AO1327" s="12">
        <v>4</v>
      </c>
      <c r="AP1327" s="12" t="s">
        <v>59</v>
      </c>
      <c r="AQ1327" s="12">
        <v>0</v>
      </c>
      <c r="AR1327" s="12">
        <v>13</v>
      </c>
      <c r="AS1327" s="12">
        <v>3</v>
      </c>
      <c r="AT1327" s="12">
        <v>4</v>
      </c>
      <c r="AU1327" s="12">
        <v>0</v>
      </c>
      <c r="AV1327" s="12">
        <v>8</v>
      </c>
      <c r="AW1327" s="12">
        <f t="shared" si="303"/>
        <v>8</v>
      </c>
      <c r="AX1327" s="12">
        <v>3</v>
      </c>
      <c r="AY1327" s="12">
        <v>3</v>
      </c>
      <c r="AZ1327" s="12">
        <v>0</v>
      </c>
      <c r="BA1327" s="12">
        <f t="shared" si="304"/>
        <v>0</v>
      </c>
      <c r="BB1327" s="12">
        <v>0</v>
      </c>
      <c r="BC1327" s="12">
        <v>0</v>
      </c>
      <c r="BD1327" s="12">
        <f t="shared" si="313"/>
        <v>0</v>
      </c>
      <c r="BE1327" s="12">
        <v>0</v>
      </c>
      <c r="BF1327" s="12">
        <f t="shared" si="305"/>
        <v>0</v>
      </c>
      <c r="BG1327" s="12">
        <f t="shared" si="314"/>
        <v>0</v>
      </c>
      <c r="BH1327" s="67">
        <v>1</v>
      </c>
      <c r="BI1327" s="67">
        <v>0</v>
      </c>
      <c r="BJ1327" s="67">
        <v>0</v>
      </c>
      <c r="BK1327" s="67">
        <v>0</v>
      </c>
      <c r="BL1327" s="67">
        <v>1</v>
      </c>
      <c r="BM1327" s="67">
        <v>0</v>
      </c>
      <c r="BN1327" s="67">
        <v>0</v>
      </c>
      <c r="BO1327" s="67">
        <v>0</v>
      </c>
      <c r="BP1327" s="67">
        <v>0</v>
      </c>
      <c r="BQ1327" s="67">
        <v>0</v>
      </c>
      <c r="BR1327" s="67">
        <v>0</v>
      </c>
      <c r="BS1327" s="67">
        <v>0</v>
      </c>
      <c r="BT1327" s="67">
        <v>8</v>
      </c>
      <c r="BU1327" s="70">
        <v>0</v>
      </c>
      <c r="BV1327" s="29">
        <f t="shared" si="306"/>
        <v>0.53843554843528896</v>
      </c>
      <c r="BW1327">
        <f t="shared" si="307"/>
        <v>1.1555414682655611</v>
      </c>
      <c r="BX1327">
        <f t="shared" si="308"/>
        <v>0.42149901815843233</v>
      </c>
      <c r="BY1327">
        <f t="shared" si="309"/>
        <v>1.1439050833826525</v>
      </c>
      <c r="BZ1327">
        <f t="shared" si="310"/>
        <v>0.14709966057360641</v>
      </c>
      <c r="CA1327">
        <f t="shared" si="311"/>
        <v>0.55566315731117022</v>
      </c>
      <c r="CB1327">
        <f t="shared" si="312"/>
        <v>0.67891464284095016</v>
      </c>
    </row>
    <row r="1328" spans="1:80" x14ac:dyDescent="0.45">
      <c r="A1328" s="11">
        <v>32</v>
      </c>
      <c r="B1328" s="12">
        <f t="shared" si="300"/>
        <v>32</v>
      </c>
      <c r="C1328" s="12" t="s">
        <v>52</v>
      </c>
      <c r="D1328" s="12">
        <v>1</v>
      </c>
      <c r="E1328" s="12" t="s">
        <v>53</v>
      </c>
      <c r="F1328" s="12">
        <v>0</v>
      </c>
      <c r="G1328" s="12">
        <v>1</v>
      </c>
      <c r="H1328" s="12" t="s">
        <v>54</v>
      </c>
      <c r="I1328" s="12">
        <v>0</v>
      </c>
      <c r="J1328" s="12">
        <v>1</v>
      </c>
      <c r="K1328" s="12">
        <v>2</v>
      </c>
      <c r="L1328" s="12">
        <f t="shared" si="301"/>
        <v>2</v>
      </c>
      <c r="M1328" s="12">
        <v>4</v>
      </c>
      <c r="N1328" s="12" t="s">
        <v>90</v>
      </c>
      <c r="O1328" s="12">
        <v>0</v>
      </c>
      <c r="P1328" s="12">
        <v>0</v>
      </c>
      <c r="Q1328" s="12">
        <v>0</v>
      </c>
      <c r="R1328" s="12">
        <v>1</v>
      </c>
      <c r="S1328" s="12">
        <v>0</v>
      </c>
      <c r="T1328" s="12">
        <v>3</v>
      </c>
      <c r="U1328" s="12" t="s">
        <v>62</v>
      </c>
      <c r="V1328" s="12">
        <v>0</v>
      </c>
      <c r="W1328" s="12">
        <v>82</v>
      </c>
      <c r="X1328" s="12">
        <v>2</v>
      </c>
      <c r="Y1328" s="12">
        <v>2</v>
      </c>
      <c r="Z1328" s="12" t="s">
        <v>56</v>
      </c>
      <c r="AA1328" s="12">
        <v>0</v>
      </c>
      <c r="AB1328" s="12">
        <v>1</v>
      </c>
      <c r="AC1328" s="12">
        <v>0</v>
      </c>
      <c r="AD1328" s="12">
        <v>0</v>
      </c>
      <c r="AE1328" s="12">
        <v>0</v>
      </c>
      <c r="AF1328" s="12">
        <v>0</v>
      </c>
      <c r="AG1328" s="12">
        <v>0</v>
      </c>
      <c r="AH1328" s="12">
        <v>0</v>
      </c>
      <c r="AI1328" s="12">
        <v>2</v>
      </c>
      <c r="AJ1328" s="12" t="s">
        <v>57</v>
      </c>
      <c r="AK1328" s="12">
        <v>1</v>
      </c>
      <c r="AL1328" s="12">
        <v>0</v>
      </c>
      <c r="AM1328" s="12">
        <v>9907</v>
      </c>
      <c r="AN1328" s="12">
        <f t="shared" si="302"/>
        <v>9907</v>
      </c>
      <c r="AO1328" s="12">
        <v>7</v>
      </c>
      <c r="AP1328" s="12" t="s">
        <v>52</v>
      </c>
      <c r="AQ1328" s="12">
        <v>1</v>
      </c>
      <c r="AR1328" s="12">
        <v>12</v>
      </c>
      <c r="AS1328" s="12">
        <v>3</v>
      </c>
      <c r="AT1328" s="12">
        <v>3</v>
      </c>
      <c r="AU1328" s="12">
        <v>0</v>
      </c>
      <c r="AV1328" s="12">
        <v>7</v>
      </c>
      <c r="AW1328" s="12">
        <f t="shared" si="303"/>
        <v>7</v>
      </c>
      <c r="AX1328" s="12">
        <v>3</v>
      </c>
      <c r="AY1328" s="12">
        <v>2</v>
      </c>
      <c r="AZ1328" s="12">
        <v>2</v>
      </c>
      <c r="BA1328" s="12">
        <f t="shared" si="304"/>
        <v>2</v>
      </c>
      <c r="BB1328" s="12">
        <v>2</v>
      </c>
      <c r="BC1328" s="12">
        <v>2</v>
      </c>
      <c r="BD1328" s="12">
        <f t="shared" si="313"/>
        <v>2</v>
      </c>
      <c r="BE1328" s="12">
        <v>2</v>
      </c>
      <c r="BF1328" s="12">
        <f t="shared" si="305"/>
        <v>2</v>
      </c>
      <c r="BG1328" s="12">
        <f t="shared" si="314"/>
        <v>4</v>
      </c>
      <c r="BH1328" s="67">
        <v>1</v>
      </c>
      <c r="BI1328" s="67">
        <v>0</v>
      </c>
      <c r="BJ1328" s="67">
        <v>0</v>
      </c>
      <c r="BK1328" s="67">
        <v>0</v>
      </c>
      <c r="BL1328" s="67">
        <v>0</v>
      </c>
      <c r="BM1328" s="67">
        <v>1</v>
      </c>
      <c r="BN1328" s="67">
        <v>0</v>
      </c>
      <c r="BO1328" s="67">
        <v>0</v>
      </c>
      <c r="BP1328" s="67">
        <v>0</v>
      </c>
      <c r="BQ1328" s="67">
        <v>0</v>
      </c>
      <c r="BR1328" s="67">
        <v>2</v>
      </c>
      <c r="BS1328" s="67">
        <v>0</v>
      </c>
      <c r="BT1328" s="67">
        <v>0</v>
      </c>
      <c r="BU1328" s="70">
        <v>7</v>
      </c>
      <c r="BV1328" s="29">
        <f t="shared" si="306"/>
        <v>0.72304586985673247</v>
      </c>
      <c r="BW1328">
        <f t="shared" si="307"/>
        <v>0.59502473559756086</v>
      </c>
      <c r="BX1328">
        <f t="shared" si="308"/>
        <v>0.55002080963175637</v>
      </c>
      <c r="BY1328">
        <f t="shared" si="309"/>
        <v>0.81745575848020657</v>
      </c>
      <c r="BZ1328">
        <f t="shared" si="310"/>
        <v>0.88721318382472392</v>
      </c>
      <c r="CA1328">
        <f t="shared" si="311"/>
        <v>0.53898283739188557</v>
      </c>
      <c r="CB1328">
        <f t="shared" si="312"/>
        <v>5.8265062631872602E-2</v>
      </c>
    </row>
    <row r="1329" spans="1:80" x14ac:dyDescent="0.45">
      <c r="A1329" s="11">
        <v>46</v>
      </c>
      <c r="B1329" s="12">
        <f t="shared" si="300"/>
        <v>46</v>
      </c>
      <c r="C1329" s="12" t="s">
        <v>59</v>
      </c>
      <c r="D1329" s="12">
        <v>0</v>
      </c>
      <c r="E1329" s="12" t="s">
        <v>53</v>
      </c>
      <c r="F1329" s="12">
        <v>0</v>
      </c>
      <c r="G1329" s="12">
        <v>1</v>
      </c>
      <c r="H1329" s="12" t="s">
        <v>54</v>
      </c>
      <c r="I1329" s="12">
        <v>0</v>
      </c>
      <c r="J1329" s="12">
        <v>1</v>
      </c>
      <c r="K1329" s="12">
        <v>3</v>
      </c>
      <c r="L1329" s="12">
        <f t="shared" si="301"/>
        <v>3</v>
      </c>
      <c r="M1329" s="12">
        <v>3</v>
      </c>
      <c r="N1329" s="12" t="s">
        <v>91</v>
      </c>
      <c r="O1329" s="12">
        <v>0</v>
      </c>
      <c r="P1329" s="12">
        <v>0</v>
      </c>
      <c r="Q1329" s="12">
        <v>0</v>
      </c>
      <c r="R1329" s="12">
        <v>0</v>
      </c>
      <c r="S1329" s="12">
        <v>1</v>
      </c>
      <c r="T1329" s="12">
        <v>1</v>
      </c>
      <c r="U1329" s="12" t="s">
        <v>19</v>
      </c>
      <c r="V1329" s="12">
        <v>1</v>
      </c>
      <c r="W1329" s="12">
        <v>45</v>
      </c>
      <c r="X1329" s="12">
        <v>4</v>
      </c>
      <c r="Y1329" s="12">
        <v>4</v>
      </c>
      <c r="Z1329" s="12" t="s">
        <v>56</v>
      </c>
      <c r="AA1329" s="12">
        <v>0</v>
      </c>
      <c r="AB1329" s="12">
        <v>1</v>
      </c>
      <c r="AC1329" s="12">
        <v>0</v>
      </c>
      <c r="AD1329" s="12">
        <v>0</v>
      </c>
      <c r="AE1329" s="12">
        <v>0</v>
      </c>
      <c r="AF1329" s="12">
        <v>0</v>
      </c>
      <c r="AG1329" s="12">
        <v>0</v>
      </c>
      <c r="AH1329" s="12">
        <v>0</v>
      </c>
      <c r="AI1329" s="12">
        <v>1</v>
      </c>
      <c r="AJ1329" s="12" t="s">
        <v>78</v>
      </c>
      <c r="AK1329" s="12">
        <v>0</v>
      </c>
      <c r="AL1329" s="12">
        <v>0</v>
      </c>
      <c r="AM1329" s="12">
        <v>13225</v>
      </c>
      <c r="AN1329" s="12">
        <f t="shared" si="302"/>
        <v>13225</v>
      </c>
      <c r="AO1329" s="12">
        <v>2</v>
      </c>
      <c r="AP1329" s="12" t="s">
        <v>59</v>
      </c>
      <c r="AQ1329" s="12">
        <v>0</v>
      </c>
      <c r="AR1329" s="12">
        <v>12</v>
      </c>
      <c r="AS1329" s="12">
        <v>3</v>
      </c>
      <c r="AT1329" s="12">
        <v>4</v>
      </c>
      <c r="AU1329" s="12">
        <v>1</v>
      </c>
      <c r="AV1329" s="12">
        <v>25</v>
      </c>
      <c r="AW1329" s="12">
        <f t="shared" si="303"/>
        <v>25</v>
      </c>
      <c r="AX1329" s="12">
        <v>5</v>
      </c>
      <c r="AY1329" s="12">
        <v>3</v>
      </c>
      <c r="AZ1329" s="12">
        <v>19</v>
      </c>
      <c r="BA1329" s="12">
        <f t="shared" si="304"/>
        <v>19</v>
      </c>
      <c r="BB1329" s="12">
        <v>17</v>
      </c>
      <c r="BC1329" s="12">
        <v>2</v>
      </c>
      <c r="BD1329" s="12">
        <f t="shared" si="313"/>
        <v>2</v>
      </c>
      <c r="BE1329" s="12">
        <v>8</v>
      </c>
      <c r="BF1329" s="12">
        <f t="shared" si="305"/>
        <v>8</v>
      </c>
      <c r="BG1329" s="12">
        <f t="shared" si="314"/>
        <v>32</v>
      </c>
      <c r="BH1329" s="67">
        <v>1</v>
      </c>
      <c r="BI1329" s="67">
        <v>0</v>
      </c>
      <c r="BJ1329" s="67">
        <v>0</v>
      </c>
      <c r="BK1329" s="67">
        <v>0</v>
      </c>
      <c r="BL1329" s="67">
        <v>1</v>
      </c>
      <c r="BM1329" s="67">
        <v>0</v>
      </c>
      <c r="BN1329" s="67">
        <v>0</v>
      </c>
      <c r="BO1329" s="67">
        <v>0</v>
      </c>
      <c r="BP1329" s="67">
        <v>0</v>
      </c>
      <c r="BQ1329" s="67">
        <v>0</v>
      </c>
      <c r="BR1329" s="67">
        <v>8</v>
      </c>
      <c r="BS1329" s="67">
        <v>0</v>
      </c>
      <c r="BT1329" s="67">
        <v>0</v>
      </c>
      <c r="BU1329" s="70">
        <v>25</v>
      </c>
      <c r="BV1329" s="29">
        <f t="shared" si="306"/>
        <v>1.4278101981768077</v>
      </c>
      <c r="BW1329">
        <f t="shared" si="307"/>
        <v>1.08652546240644</v>
      </c>
      <c r="BX1329">
        <f t="shared" si="308"/>
        <v>1.7633714368880775</v>
      </c>
      <c r="BY1329">
        <f t="shared" si="309"/>
        <v>1.9573635031905841</v>
      </c>
      <c r="BZ1329">
        <f t="shared" si="310"/>
        <v>0.76386092994953758</v>
      </c>
      <c r="CA1329">
        <f t="shared" si="311"/>
        <v>0.99352155519239249</v>
      </c>
      <c r="CB1329">
        <f t="shared" si="312"/>
        <v>5.8265062631872602E-2</v>
      </c>
    </row>
    <row r="1330" spans="1:80" x14ac:dyDescent="0.45">
      <c r="A1330" s="11">
        <v>27</v>
      </c>
      <c r="B1330" s="12">
        <f t="shared" si="300"/>
        <v>27</v>
      </c>
      <c r="C1330" s="12" t="s">
        <v>59</v>
      </c>
      <c r="D1330" s="12">
        <v>0</v>
      </c>
      <c r="E1330" s="12" t="s">
        <v>53</v>
      </c>
      <c r="F1330" s="12">
        <v>0</v>
      </c>
      <c r="G1330" s="12">
        <v>1</v>
      </c>
      <c r="H1330" s="12" t="s">
        <v>54</v>
      </c>
      <c r="I1330" s="12">
        <v>0</v>
      </c>
      <c r="J1330" s="12">
        <v>1</v>
      </c>
      <c r="K1330" s="12">
        <v>23</v>
      </c>
      <c r="L1330" s="12">
        <f t="shared" si="301"/>
        <v>23</v>
      </c>
      <c r="M1330" s="12">
        <v>1</v>
      </c>
      <c r="N1330" s="12" t="s">
        <v>70</v>
      </c>
      <c r="O1330" s="12">
        <v>0</v>
      </c>
      <c r="P1330" s="12">
        <v>0</v>
      </c>
      <c r="Q1330" s="12">
        <v>1</v>
      </c>
      <c r="R1330" s="12">
        <v>0</v>
      </c>
      <c r="S1330" s="12">
        <v>0</v>
      </c>
      <c r="T1330" s="12">
        <v>2</v>
      </c>
      <c r="U1330" s="12" t="s">
        <v>19</v>
      </c>
      <c r="V1330" s="12">
        <v>1</v>
      </c>
      <c r="W1330" s="12">
        <v>36</v>
      </c>
      <c r="X1330" s="12">
        <v>2</v>
      </c>
      <c r="Y1330" s="12">
        <v>2</v>
      </c>
      <c r="Z1330" s="12" t="s">
        <v>88</v>
      </c>
      <c r="AA1330" s="12">
        <v>0</v>
      </c>
      <c r="AB1330" s="12">
        <v>0</v>
      </c>
      <c r="AC1330" s="12">
        <v>0</v>
      </c>
      <c r="AD1330" s="12">
        <v>0</v>
      </c>
      <c r="AE1330" s="12">
        <v>0</v>
      </c>
      <c r="AF1330" s="12">
        <v>0</v>
      </c>
      <c r="AG1330" s="12">
        <v>1</v>
      </c>
      <c r="AH1330" s="12">
        <v>0</v>
      </c>
      <c r="AI1330" s="12">
        <v>3</v>
      </c>
      <c r="AJ1330" s="12" t="s">
        <v>64</v>
      </c>
      <c r="AK1330" s="12">
        <v>0</v>
      </c>
      <c r="AL1330" s="12">
        <v>1</v>
      </c>
      <c r="AM1330" s="12">
        <v>3540</v>
      </c>
      <c r="AN1330" s="12">
        <f t="shared" si="302"/>
        <v>3540</v>
      </c>
      <c r="AO1330" s="12">
        <v>1</v>
      </c>
      <c r="AP1330" s="12" t="s">
        <v>59</v>
      </c>
      <c r="AQ1330" s="12">
        <v>0</v>
      </c>
      <c r="AR1330" s="12">
        <v>21</v>
      </c>
      <c r="AS1330" s="12">
        <v>4</v>
      </c>
      <c r="AT1330" s="12">
        <v>4</v>
      </c>
      <c r="AU1330" s="12">
        <v>1</v>
      </c>
      <c r="AV1330" s="12">
        <v>9</v>
      </c>
      <c r="AW1330" s="12">
        <f t="shared" si="303"/>
        <v>9</v>
      </c>
      <c r="AX1330" s="12">
        <v>5</v>
      </c>
      <c r="AY1330" s="12">
        <v>3</v>
      </c>
      <c r="AZ1330" s="12">
        <v>9</v>
      </c>
      <c r="BA1330" s="12">
        <f t="shared" si="304"/>
        <v>9</v>
      </c>
      <c r="BB1330" s="12">
        <v>8</v>
      </c>
      <c r="BC1330" s="12">
        <v>5</v>
      </c>
      <c r="BD1330" s="12">
        <f t="shared" si="313"/>
        <v>5</v>
      </c>
      <c r="BE1330" s="12">
        <v>8</v>
      </c>
      <c r="BF1330" s="12">
        <f t="shared" si="305"/>
        <v>8</v>
      </c>
      <c r="BG1330" s="12">
        <f t="shared" si="314"/>
        <v>16</v>
      </c>
      <c r="BH1330" s="67">
        <v>0</v>
      </c>
      <c r="BI1330" s="67">
        <v>1</v>
      </c>
      <c r="BJ1330" s="67">
        <v>0</v>
      </c>
      <c r="BK1330" s="67">
        <v>0</v>
      </c>
      <c r="BL1330" s="67">
        <v>0</v>
      </c>
      <c r="BM1330" s="67">
        <v>0</v>
      </c>
      <c r="BN1330" s="67">
        <v>1</v>
      </c>
      <c r="BO1330" s="67">
        <v>0</v>
      </c>
      <c r="BP1330" s="67">
        <v>0</v>
      </c>
      <c r="BQ1330" s="67">
        <v>0</v>
      </c>
      <c r="BR1330" s="67">
        <v>8</v>
      </c>
      <c r="BS1330" s="67">
        <v>0</v>
      </c>
      <c r="BT1330" s="67">
        <v>0</v>
      </c>
      <c r="BU1330" s="70">
        <v>9</v>
      </c>
      <c r="BV1330" s="29">
        <f t="shared" si="306"/>
        <v>0.62934547384848727</v>
      </c>
      <c r="BW1330">
        <f t="shared" si="307"/>
        <v>1.08652546240644</v>
      </c>
      <c r="BX1330">
        <f t="shared" si="308"/>
        <v>0.29297722668510823</v>
      </c>
      <c r="BY1330">
        <f t="shared" si="309"/>
        <v>0.32511687867835437</v>
      </c>
      <c r="BZ1330">
        <f t="shared" si="310"/>
        <v>1.7031841475541873</v>
      </c>
      <c r="CA1330">
        <f t="shared" si="311"/>
        <v>1.0863058347434136</v>
      </c>
      <c r="CB1330">
        <f t="shared" si="312"/>
        <v>0.87270930768174382</v>
      </c>
    </row>
    <row r="1331" spans="1:80" x14ac:dyDescent="0.45">
      <c r="A1331" s="11">
        <v>29</v>
      </c>
      <c r="B1331" s="12">
        <f t="shared" si="300"/>
        <v>29</v>
      </c>
      <c r="C1331" s="12" t="s">
        <v>59</v>
      </c>
      <c r="D1331" s="12">
        <v>0</v>
      </c>
      <c r="E1331" s="12" t="s">
        <v>53</v>
      </c>
      <c r="F1331" s="12">
        <v>0</v>
      </c>
      <c r="G1331" s="12">
        <v>1</v>
      </c>
      <c r="H1331" s="12" t="s">
        <v>97</v>
      </c>
      <c r="I1331" s="12">
        <v>0</v>
      </c>
      <c r="J1331" s="12">
        <v>0</v>
      </c>
      <c r="K1331" s="12">
        <v>6</v>
      </c>
      <c r="L1331" s="12">
        <f t="shared" si="301"/>
        <v>6</v>
      </c>
      <c r="M1331" s="12">
        <v>1</v>
      </c>
      <c r="N1331" s="12" t="s">
        <v>70</v>
      </c>
      <c r="O1331" s="12">
        <v>0</v>
      </c>
      <c r="P1331" s="12">
        <v>0</v>
      </c>
      <c r="Q1331" s="12">
        <v>1</v>
      </c>
      <c r="R1331" s="12">
        <v>0</v>
      </c>
      <c r="S1331" s="12">
        <v>0</v>
      </c>
      <c r="T1331" s="12">
        <v>4</v>
      </c>
      <c r="U1331" s="12" t="s">
        <v>62</v>
      </c>
      <c r="V1331" s="12">
        <v>0</v>
      </c>
      <c r="W1331" s="12">
        <v>87</v>
      </c>
      <c r="X1331" s="12">
        <v>2</v>
      </c>
      <c r="Y1331" s="12">
        <v>1</v>
      </c>
      <c r="Z1331" s="12" t="s">
        <v>97</v>
      </c>
      <c r="AA1331" s="12">
        <v>0</v>
      </c>
      <c r="AB1331" s="12">
        <v>0</v>
      </c>
      <c r="AC1331" s="12">
        <v>0</v>
      </c>
      <c r="AD1331" s="12">
        <v>0</v>
      </c>
      <c r="AE1331" s="12">
        <v>0</v>
      </c>
      <c r="AF1331" s="12">
        <v>0</v>
      </c>
      <c r="AG1331" s="12">
        <v>0</v>
      </c>
      <c r="AH1331" s="12">
        <v>0</v>
      </c>
      <c r="AI1331" s="12">
        <v>2</v>
      </c>
      <c r="AJ1331" s="12" t="s">
        <v>64</v>
      </c>
      <c r="AK1331" s="12">
        <v>0</v>
      </c>
      <c r="AL1331" s="12">
        <v>1</v>
      </c>
      <c r="AM1331" s="12">
        <v>2804</v>
      </c>
      <c r="AN1331" s="12">
        <f t="shared" si="302"/>
        <v>2804</v>
      </c>
      <c r="AO1331" s="12">
        <v>1</v>
      </c>
      <c r="AP1331" s="12" t="s">
        <v>59</v>
      </c>
      <c r="AQ1331" s="12">
        <v>0</v>
      </c>
      <c r="AR1331" s="12">
        <v>11</v>
      </c>
      <c r="AS1331" s="12">
        <v>3</v>
      </c>
      <c r="AT1331" s="12">
        <v>4</v>
      </c>
      <c r="AU1331" s="12">
        <v>0</v>
      </c>
      <c r="AV1331" s="12">
        <v>1</v>
      </c>
      <c r="AW1331" s="12">
        <f t="shared" si="303"/>
        <v>1</v>
      </c>
      <c r="AX1331" s="12">
        <v>3</v>
      </c>
      <c r="AY1331" s="12">
        <v>3</v>
      </c>
      <c r="AZ1331" s="12">
        <v>1</v>
      </c>
      <c r="BA1331" s="12">
        <f t="shared" si="304"/>
        <v>1</v>
      </c>
      <c r="BB1331" s="12">
        <v>0</v>
      </c>
      <c r="BC1331" s="12">
        <v>0</v>
      </c>
      <c r="BD1331" s="12">
        <f t="shared" si="313"/>
        <v>0</v>
      </c>
      <c r="BE1331" s="12">
        <v>0</v>
      </c>
      <c r="BF1331" s="12">
        <f t="shared" si="305"/>
        <v>0</v>
      </c>
      <c r="BG1331" s="12">
        <f t="shared" si="314"/>
        <v>0</v>
      </c>
      <c r="BH1331" s="67">
        <v>0</v>
      </c>
      <c r="BI1331" s="67">
        <v>1</v>
      </c>
      <c r="BJ1331" s="67">
        <v>0</v>
      </c>
      <c r="BK1331" s="67">
        <v>0</v>
      </c>
      <c r="BL1331" s="67">
        <v>0</v>
      </c>
      <c r="BM1331" s="67">
        <v>0</v>
      </c>
      <c r="BN1331" s="67">
        <v>1</v>
      </c>
      <c r="BO1331" s="67">
        <v>0</v>
      </c>
      <c r="BP1331" s="67">
        <v>0</v>
      </c>
      <c r="BQ1331" s="67">
        <v>0</v>
      </c>
      <c r="BR1331" s="67">
        <v>0</v>
      </c>
      <c r="BS1331" s="67">
        <v>1</v>
      </c>
      <c r="BT1331" s="67">
        <v>0</v>
      </c>
      <c r="BU1331" s="70">
        <v>0</v>
      </c>
      <c r="BV1331" s="29">
        <f t="shared" si="306"/>
        <v>0.78567656054034241</v>
      </c>
      <c r="BW1331">
        <f t="shared" si="307"/>
        <v>1.1555414682655611</v>
      </c>
      <c r="BX1331">
        <f t="shared" si="308"/>
        <v>1.3211515584717011</v>
      </c>
      <c r="BY1331">
        <f t="shared" si="309"/>
        <v>0.9806804209314296</v>
      </c>
      <c r="BZ1331">
        <f t="shared" si="310"/>
        <v>0.39380416832397891</v>
      </c>
      <c r="CA1331">
        <f t="shared" si="311"/>
        <v>0.86737663580280233</v>
      </c>
      <c r="CB1331">
        <f t="shared" si="312"/>
        <v>0.67891464284095016</v>
      </c>
    </row>
    <row r="1332" spans="1:80" x14ac:dyDescent="0.45">
      <c r="A1332" s="11">
        <v>43</v>
      </c>
      <c r="B1332" s="12">
        <f t="shared" si="300"/>
        <v>43</v>
      </c>
      <c r="C1332" s="12" t="s">
        <v>59</v>
      </c>
      <c r="D1332" s="12">
        <v>0</v>
      </c>
      <c r="E1332" s="12" t="s">
        <v>53</v>
      </c>
      <c r="F1332" s="12">
        <v>0</v>
      </c>
      <c r="G1332" s="12">
        <v>1</v>
      </c>
      <c r="H1332" s="12" t="s">
        <v>61</v>
      </c>
      <c r="I1332" s="12">
        <v>1</v>
      </c>
      <c r="J1332" s="12">
        <v>0</v>
      </c>
      <c r="K1332" s="12">
        <v>6</v>
      </c>
      <c r="L1332" s="12">
        <f t="shared" si="301"/>
        <v>6</v>
      </c>
      <c r="M1332" s="12">
        <v>3</v>
      </c>
      <c r="N1332" s="12" t="s">
        <v>70</v>
      </c>
      <c r="O1332" s="12">
        <v>0</v>
      </c>
      <c r="P1332" s="12">
        <v>0</v>
      </c>
      <c r="Q1332" s="12">
        <v>1</v>
      </c>
      <c r="R1332" s="12">
        <v>0</v>
      </c>
      <c r="S1332" s="12">
        <v>0</v>
      </c>
      <c r="T1332" s="12">
        <v>1</v>
      </c>
      <c r="U1332" s="12" t="s">
        <v>19</v>
      </c>
      <c r="V1332" s="12">
        <v>1</v>
      </c>
      <c r="W1332" s="12">
        <v>81</v>
      </c>
      <c r="X1332" s="12">
        <v>2</v>
      </c>
      <c r="Y1332" s="12">
        <v>5</v>
      </c>
      <c r="Z1332" s="12" t="s">
        <v>87</v>
      </c>
      <c r="AA1332" s="12">
        <v>0</v>
      </c>
      <c r="AB1332" s="12">
        <v>0</v>
      </c>
      <c r="AC1332" s="12">
        <v>0</v>
      </c>
      <c r="AD1332" s="12">
        <v>1</v>
      </c>
      <c r="AE1332" s="12">
        <v>0</v>
      </c>
      <c r="AF1332" s="12">
        <v>0</v>
      </c>
      <c r="AG1332" s="12">
        <v>0</v>
      </c>
      <c r="AH1332" s="12">
        <v>0</v>
      </c>
      <c r="AI1332" s="12">
        <v>3</v>
      </c>
      <c r="AJ1332" s="12" t="s">
        <v>64</v>
      </c>
      <c r="AK1332" s="12">
        <v>0</v>
      </c>
      <c r="AL1332" s="12">
        <v>1</v>
      </c>
      <c r="AM1332" s="12">
        <v>19392</v>
      </c>
      <c r="AN1332" s="12">
        <f t="shared" si="302"/>
        <v>19392</v>
      </c>
      <c r="AO1332" s="12">
        <v>7</v>
      </c>
      <c r="AP1332" s="12" t="s">
        <v>59</v>
      </c>
      <c r="AQ1332" s="12">
        <v>0</v>
      </c>
      <c r="AR1332" s="12">
        <v>13</v>
      </c>
      <c r="AS1332" s="12">
        <v>3</v>
      </c>
      <c r="AT1332" s="12">
        <v>4</v>
      </c>
      <c r="AU1332" s="12">
        <v>0</v>
      </c>
      <c r="AV1332" s="12">
        <v>21</v>
      </c>
      <c r="AW1332" s="12">
        <f t="shared" si="303"/>
        <v>21</v>
      </c>
      <c r="AX1332" s="12">
        <v>2</v>
      </c>
      <c r="AY1332" s="12">
        <v>3</v>
      </c>
      <c r="AZ1332" s="12">
        <v>16</v>
      </c>
      <c r="BA1332" s="12">
        <f t="shared" si="304"/>
        <v>16</v>
      </c>
      <c r="BB1332" s="12">
        <v>12</v>
      </c>
      <c r="BC1332" s="12">
        <v>6</v>
      </c>
      <c r="BD1332" s="12">
        <f t="shared" si="313"/>
        <v>6</v>
      </c>
      <c r="BE1332" s="12">
        <v>14</v>
      </c>
      <c r="BF1332" s="12">
        <f t="shared" si="305"/>
        <v>14</v>
      </c>
      <c r="BG1332" s="12">
        <f t="shared" si="314"/>
        <v>70</v>
      </c>
      <c r="BH1332" s="67">
        <v>0</v>
      </c>
      <c r="BI1332" s="67">
        <v>1</v>
      </c>
      <c r="BJ1332" s="67">
        <v>0</v>
      </c>
      <c r="BK1332" s="67">
        <v>0</v>
      </c>
      <c r="BL1332" s="67">
        <v>0</v>
      </c>
      <c r="BM1332" s="67">
        <v>0</v>
      </c>
      <c r="BN1332" s="67">
        <v>1</v>
      </c>
      <c r="BO1332" s="67">
        <v>0</v>
      </c>
      <c r="BP1332" s="67">
        <v>0</v>
      </c>
      <c r="BQ1332" s="67">
        <v>14</v>
      </c>
      <c r="BR1332" s="67">
        <v>0</v>
      </c>
      <c r="BS1332" s="67">
        <v>0</v>
      </c>
      <c r="BT1332" s="67">
        <v>21</v>
      </c>
      <c r="BU1332" s="70">
        <v>0</v>
      </c>
      <c r="BV1332" s="29">
        <f t="shared" si="306"/>
        <v>2.7377202683244581</v>
      </c>
      <c r="BW1332">
        <f t="shared" si="307"/>
        <v>2.7680756604104411</v>
      </c>
      <c r="BX1332">
        <f t="shared" si="308"/>
        <v>1.2492842709947811</v>
      </c>
      <c r="BY1332">
        <f t="shared" si="309"/>
        <v>1.4676895158369152</v>
      </c>
      <c r="BZ1332">
        <f t="shared" si="310"/>
        <v>0.39380416832397891</v>
      </c>
      <c r="CA1332">
        <f t="shared" si="311"/>
        <v>0.66512775678147573</v>
      </c>
      <c r="CB1332">
        <f t="shared" si="312"/>
        <v>1.1830340977862825</v>
      </c>
    </row>
    <row r="1333" spans="1:80" x14ac:dyDescent="0.45">
      <c r="A1333" s="11">
        <v>48</v>
      </c>
      <c r="B1333" s="12">
        <f t="shared" si="300"/>
        <v>48</v>
      </c>
      <c r="C1333" s="12" t="s">
        <v>59</v>
      </c>
      <c r="D1333" s="12">
        <v>0</v>
      </c>
      <c r="E1333" s="12" t="s">
        <v>53</v>
      </c>
      <c r="F1333" s="12">
        <v>0</v>
      </c>
      <c r="G1333" s="12">
        <v>1</v>
      </c>
      <c r="H1333" s="12" t="s">
        <v>61</v>
      </c>
      <c r="I1333" s="12">
        <v>1</v>
      </c>
      <c r="J1333" s="12">
        <v>0</v>
      </c>
      <c r="K1333" s="12">
        <v>10</v>
      </c>
      <c r="L1333" s="12">
        <f t="shared" si="301"/>
        <v>10</v>
      </c>
      <c r="M1333" s="12">
        <v>3</v>
      </c>
      <c r="N1333" s="12" t="s">
        <v>55</v>
      </c>
      <c r="O1333" s="12">
        <v>1</v>
      </c>
      <c r="P1333" s="12">
        <v>0</v>
      </c>
      <c r="Q1333" s="12">
        <v>0</v>
      </c>
      <c r="R1333" s="12">
        <v>0</v>
      </c>
      <c r="S1333" s="12">
        <v>0</v>
      </c>
      <c r="T1333" s="12">
        <v>4</v>
      </c>
      <c r="U1333" s="12" t="s">
        <v>62</v>
      </c>
      <c r="V1333" s="12">
        <v>0</v>
      </c>
      <c r="W1333" s="12">
        <v>91</v>
      </c>
      <c r="X1333" s="12">
        <v>2</v>
      </c>
      <c r="Y1333" s="12">
        <v>5</v>
      </c>
      <c r="Z1333" s="12" t="s">
        <v>89</v>
      </c>
      <c r="AA1333" s="12">
        <v>0</v>
      </c>
      <c r="AB1333" s="12">
        <v>0</v>
      </c>
      <c r="AC1333" s="12">
        <v>0</v>
      </c>
      <c r="AD1333" s="12">
        <v>0</v>
      </c>
      <c r="AE1333" s="12">
        <v>0</v>
      </c>
      <c r="AF1333" s="12">
        <v>0</v>
      </c>
      <c r="AG1333" s="12">
        <v>0</v>
      </c>
      <c r="AH1333" s="12">
        <v>0</v>
      </c>
      <c r="AI1333" s="12">
        <v>2</v>
      </c>
      <c r="AJ1333" s="12" t="s">
        <v>64</v>
      </c>
      <c r="AK1333" s="12">
        <v>0</v>
      </c>
      <c r="AL1333" s="12">
        <v>1</v>
      </c>
      <c r="AM1333" s="12">
        <v>19665</v>
      </c>
      <c r="AN1333" s="12">
        <f t="shared" si="302"/>
        <v>19626.310000000001</v>
      </c>
      <c r="AO1333" s="12">
        <v>4</v>
      </c>
      <c r="AP1333" s="12" t="s">
        <v>59</v>
      </c>
      <c r="AQ1333" s="12">
        <v>0</v>
      </c>
      <c r="AR1333" s="12">
        <v>12</v>
      </c>
      <c r="AS1333" s="12">
        <v>3</v>
      </c>
      <c r="AT1333" s="12">
        <v>4</v>
      </c>
      <c r="AU1333" s="12">
        <v>0</v>
      </c>
      <c r="AV1333" s="12">
        <v>29</v>
      </c>
      <c r="AW1333" s="12">
        <f t="shared" si="303"/>
        <v>29</v>
      </c>
      <c r="AX1333" s="12">
        <v>3</v>
      </c>
      <c r="AY1333" s="12">
        <v>3</v>
      </c>
      <c r="AZ1333" s="12">
        <v>22</v>
      </c>
      <c r="BA1333" s="12">
        <f t="shared" si="304"/>
        <v>22</v>
      </c>
      <c r="BB1333" s="12">
        <v>10</v>
      </c>
      <c r="BC1333" s="12">
        <v>12</v>
      </c>
      <c r="BD1333" s="12">
        <f t="shared" si="313"/>
        <v>12</v>
      </c>
      <c r="BE1333" s="12">
        <v>9</v>
      </c>
      <c r="BF1333" s="12">
        <f t="shared" si="305"/>
        <v>9</v>
      </c>
      <c r="BG1333" s="12">
        <f t="shared" si="314"/>
        <v>45</v>
      </c>
      <c r="BH1333" s="67">
        <v>0</v>
      </c>
      <c r="BI1333" s="67">
        <v>1</v>
      </c>
      <c r="BJ1333" s="67">
        <v>0</v>
      </c>
      <c r="BK1333" s="67">
        <v>0</v>
      </c>
      <c r="BL1333" s="67">
        <v>0</v>
      </c>
      <c r="BM1333" s="67">
        <v>0</v>
      </c>
      <c r="BN1333" s="67">
        <v>1</v>
      </c>
      <c r="BO1333" s="67">
        <v>0</v>
      </c>
      <c r="BP1333" s="67">
        <v>0</v>
      </c>
      <c r="BQ1333" s="67">
        <v>9</v>
      </c>
      <c r="BR1333" s="67">
        <v>0</v>
      </c>
      <c r="BS1333" s="67">
        <v>0</v>
      </c>
      <c r="BT1333" s="67">
        <v>29</v>
      </c>
      <c r="BU1333" s="70">
        <v>0</v>
      </c>
      <c r="BV1333" s="29">
        <f t="shared" si="306"/>
        <v>2.7957072067305404</v>
      </c>
      <c r="BW1333">
        <f t="shared" si="307"/>
        <v>1.3667838287404401</v>
      </c>
      <c r="BX1333">
        <f t="shared" si="308"/>
        <v>2.2774586027813735</v>
      </c>
      <c r="BY1333">
        <f t="shared" si="309"/>
        <v>2.4470374905442531</v>
      </c>
      <c r="BZ1333">
        <f t="shared" si="310"/>
        <v>9.9604847176766084E-2</v>
      </c>
      <c r="CA1333">
        <f t="shared" si="311"/>
        <v>1.2124507541330036</v>
      </c>
      <c r="CB1333">
        <f t="shared" si="312"/>
        <v>3.0449828384135156</v>
      </c>
    </row>
    <row r="1334" spans="1:80" x14ac:dyDescent="0.45">
      <c r="A1334" s="11">
        <v>29</v>
      </c>
      <c r="B1334" s="12">
        <f t="shared" si="300"/>
        <v>29</v>
      </c>
      <c r="C1334" s="12" t="s">
        <v>52</v>
      </c>
      <c r="D1334" s="12">
        <v>1</v>
      </c>
      <c r="E1334" s="12" t="s">
        <v>60</v>
      </c>
      <c r="F1334" s="12">
        <v>1</v>
      </c>
      <c r="G1334" s="12">
        <v>0</v>
      </c>
      <c r="H1334" s="12" t="s">
        <v>61</v>
      </c>
      <c r="I1334" s="12">
        <v>1</v>
      </c>
      <c r="J1334" s="12">
        <v>0</v>
      </c>
      <c r="K1334" s="12">
        <v>24</v>
      </c>
      <c r="L1334" s="12">
        <f t="shared" si="301"/>
        <v>24</v>
      </c>
      <c r="M1334" s="12">
        <v>2</v>
      </c>
      <c r="N1334" s="12" t="s">
        <v>55</v>
      </c>
      <c r="O1334" s="12">
        <v>1</v>
      </c>
      <c r="P1334" s="12">
        <v>0</v>
      </c>
      <c r="Q1334" s="12">
        <v>0</v>
      </c>
      <c r="R1334" s="12">
        <v>0</v>
      </c>
      <c r="S1334" s="12">
        <v>0</v>
      </c>
      <c r="T1334" s="12">
        <v>4</v>
      </c>
      <c r="U1334" s="12" t="s">
        <v>62</v>
      </c>
      <c r="V1334" s="12">
        <v>0</v>
      </c>
      <c r="W1334" s="12">
        <v>73</v>
      </c>
      <c r="X1334" s="12">
        <v>2</v>
      </c>
      <c r="Y1334" s="12">
        <v>1</v>
      </c>
      <c r="Z1334" s="12" t="s">
        <v>63</v>
      </c>
      <c r="AA1334" s="12">
        <v>0</v>
      </c>
      <c r="AB1334" s="12">
        <v>0</v>
      </c>
      <c r="AC1334" s="12">
        <v>0</v>
      </c>
      <c r="AD1334" s="12">
        <v>0</v>
      </c>
      <c r="AE1334" s="12">
        <v>0</v>
      </c>
      <c r="AF1334" s="12">
        <v>0</v>
      </c>
      <c r="AG1334" s="12">
        <v>0</v>
      </c>
      <c r="AH1334" s="12">
        <v>1</v>
      </c>
      <c r="AI1334" s="12">
        <v>4</v>
      </c>
      <c r="AJ1334" s="12" t="s">
        <v>57</v>
      </c>
      <c r="AK1334" s="12">
        <v>1</v>
      </c>
      <c r="AL1334" s="12">
        <v>0</v>
      </c>
      <c r="AM1334" s="12">
        <v>2439</v>
      </c>
      <c r="AN1334" s="12">
        <f t="shared" si="302"/>
        <v>2439</v>
      </c>
      <c r="AO1334" s="12">
        <v>1</v>
      </c>
      <c r="AP1334" s="12" t="s">
        <v>52</v>
      </c>
      <c r="AQ1334" s="12">
        <v>1</v>
      </c>
      <c r="AR1334" s="12">
        <v>24</v>
      </c>
      <c r="AS1334" s="12">
        <v>4</v>
      </c>
      <c r="AT1334" s="12">
        <v>2</v>
      </c>
      <c r="AU1334" s="12">
        <v>0</v>
      </c>
      <c r="AV1334" s="12">
        <v>1</v>
      </c>
      <c r="AW1334" s="12">
        <f t="shared" si="303"/>
        <v>1</v>
      </c>
      <c r="AX1334" s="12">
        <v>3</v>
      </c>
      <c r="AY1334" s="12">
        <v>2</v>
      </c>
      <c r="AZ1334" s="12">
        <v>1</v>
      </c>
      <c r="BA1334" s="12">
        <f t="shared" si="304"/>
        <v>1</v>
      </c>
      <c r="BB1334" s="12">
        <v>0</v>
      </c>
      <c r="BC1334" s="12">
        <v>1</v>
      </c>
      <c r="BD1334" s="12">
        <f t="shared" si="313"/>
        <v>1</v>
      </c>
      <c r="BE1334" s="12">
        <v>0</v>
      </c>
      <c r="BF1334" s="12">
        <f t="shared" si="305"/>
        <v>0</v>
      </c>
      <c r="BG1334" s="12">
        <f t="shared" si="314"/>
        <v>0</v>
      </c>
      <c r="BH1334" s="67">
        <v>0</v>
      </c>
      <c r="BI1334" s="67">
        <v>0</v>
      </c>
      <c r="BJ1334" s="67">
        <v>1</v>
      </c>
      <c r="BK1334" s="67">
        <v>0</v>
      </c>
      <c r="BL1334" s="67">
        <v>0</v>
      </c>
      <c r="BM1334" s="67">
        <v>1</v>
      </c>
      <c r="BN1334" s="67">
        <v>0</v>
      </c>
      <c r="BO1334" s="67">
        <v>0</v>
      </c>
      <c r="BP1334" s="67">
        <v>0</v>
      </c>
      <c r="BQ1334" s="67">
        <v>0</v>
      </c>
      <c r="BR1334" s="67">
        <v>0</v>
      </c>
      <c r="BS1334" s="67">
        <v>0</v>
      </c>
      <c r="BT1334" s="67">
        <v>1</v>
      </c>
      <c r="BU1334" s="70">
        <v>0</v>
      </c>
      <c r="BV1334" s="29">
        <f t="shared" si="306"/>
        <v>0.86320488478290647</v>
      </c>
      <c r="BW1334">
        <f t="shared" si="307"/>
        <v>1.1555414682655611</v>
      </c>
      <c r="BX1334">
        <f t="shared" si="308"/>
        <v>1.3211515584717011</v>
      </c>
      <c r="BY1334">
        <f t="shared" si="309"/>
        <v>0.9806804209314296</v>
      </c>
      <c r="BZ1334">
        <f t="shared" si="310"/>
        <v>1.8265364014293735</v>
      </c>
      <c r="CA1334">
        <f t="shared" si="311"/>
        <v>0.86737663580280233</v>
      </c>
      <c r="CB1334">
        <f t="shared" si="312"/>
        <v>0.36858985273641137</v>
      </c>
    </row>
    <row r="1335" spans="1:80" x14ac:dyDescent="0.45">
      <c r="A1335" s="11">
        <v>46</v>
      </c>
      <c r="B1335" s="12">
        <f t="shared" si="300"/>
        <v>46</v>
      </c>
      <c r="C1335" s="12" t="s">
        <v>52</v>
      </c>
      <c r="D1335" s="12">
        <v>1</v>
      </c>
      <c r="E1335" s="12" t="s">
        <v>53</v>
      </c>
      <c r="F1335" s="12">
        <v>0</v>
      </c>
      <c r="G1335" s="12">
        <v>1</v>
      </c>
      <c r="H1335" s="12" t="s">
        <v>54</v>
      </c>
      <c r="I1335" s="12">
        <v>0</v>
      </c>
      <c r="J1335" s="12">
        <v>1</v>
      </c>
      <c r="K1335" s="12">
        <v>10</v>
      </c>
      <c r="L1335" s="12">
        <f t="shared" si="301"/>
        <v>10</v>
      </c>
      <c r="M1335" s="12">
        <v>3</v>
      </c>
      <c r="N1335" s="12" t="s">
        <v>55</v>
      </c>
      <c r="O1335" s="12">
        <v>1</v>
      </c>
      <c r="P1335" s="12">
        <v>0</v>
      </c>
      <c r="Q1335" s="12">
        <v>0</v>
      </c>
      <c r="R1335" s="12">
        <v>0</v>
      </c>
      <c r="S1335" s="12">
        <v>0</v>
      </c>
      <c r="T1335" s="12">
        <v>3</v>
      </c>
      <c r="U1335" s="12" t="s">
        <v>19</v>
      </c>
      <c r="V1335" s="12">
        <v>1</v>
      </c>
      <c r="W1335" s="12">
        <v>64</v>
      </c>
      <c r="X1335" s="12">
        <v>3</v>
      </c>
      <c r="Y1335" s="12">
        <v>3</v>
      </c>
      <c r="Z1335" s="12" t="s">
        <v>56</v>
      </c>
      <c r="AA1335" s="12">
        <v>0</v>
      </c>
      <c r="AB1335" s="12">
        <v>1</v>
      </c>
      <c r="AC1335" s="12">
        <v>0</v>
      </c>
      <c r="AD1335" s="12">
        <v>0</v>
      </c>
      <c r="AE1335" s="12">
        <v>0</v>
      </c>
      <c r="AF1335" s="12">
        <v>0</v>
      </c>
      <c r="AG1335" s="12">
        <v>0</v>
      </c>
      <c r="AH1335" s="12">
        <v>0</v>
      </c>
      <c r="AI1335" s="12">
        <v>2</v>
      </c>
      <c r="AJ1335" s="12" t="s">
        <v>64</v>
      </c>
      <c r="AK1335" s="12">
        <v>0</v>
      </c>
      <c r="AL1335" s="12">
        <v>1</v>
      </c>
      <c r="AM1335" s="12">
        <v>7314</v>
      </c>
      <c r="AN1335" s="12">
        <f t="shared" si="302"/>
        <v>7314</v>
      </c>
      <c r="AO1335" s="12">
        <v>5</v>
      </c>
      <c r="AP1335" s="12" t="s">
        <v>59</v>
      </c>
      <c r="AQ1335" s="12">
        <v>0</v>
      </c>
      <c r="AR1335" s="12">
        <v>21</v>
      </c>
      <c r="AS1335" s="12">
        <v>4</v>
      </c>
      <c r="AT1335" s="12">
        <v>3</v>
      </c>
      <c r="AU1335" s="12">
        <v>3</v>
      </c>
      <c r="AV1335" s="12">
        <v>14</v>
      </c>
      <c r="AW1335" s="12">
        <f t="shared" si="303"/>
        <v>14</v>
      </c>
      <c r="AX1335" s="12">
        <v>2</v>
      </c>
      <c r="AY1335" s="12">
        <v>3</v>
      </c>
      <c r="AZ1335" s="12">
        <v>8</v>
      </c>
      <c r="BA1335" s="12">
        <f t="shared" si="304"/>
        <v>8</v>
      </c>
      <c r="BB1335" s="12">
        <v>7</v>
      </c>
      <c r="BC1335" s="12">
        <v>0</v>
      </c>
      <c r="BD1335" s="12">
        <f t="shared" si="313"/>
        <v>0</v>
      </c>
      <c r="BE1335" s="12">
        <v>7</v>
      </c>
      <c r="BF1335" s="12">
        <f t="shared" si="305"/>
        <v>7</v>
      </c>
      <c r="BG1335" s="12">
        <f t="shared" si="314"/>
        <v>21</v>
      </c>
      <c r="BH1335" s="67">
        <v>0</v>
      </c>
      <c r="BI1335" s="67">
        <v>1</v>
      </c>
      <c r="BJ1335" s="67">
        <v>0</v>
      </c>
      <c r="BK1335" s="67">
        <v>0</v>
      </c>
      <c r="BL1335" s="67">
        <v>0</v>
      </c>
      <c r="BM1335" s="67">
        <v>0</v>
      </c>
      <c r="BN1335" s="67">
        <v>1</v>
      </c>
      <c r="BO1335" s="67">
        <v>0</v>
      </c>
      <c r="BP1335" s="67">
        <v>0</v>
      </c>
      <c r="BQ1335" s="67">
        <v>0</v>
      </c>
      <c r="BR1335" s="67">
        <v>7</v>
      </c>
      <c r="BS1335" s="67">
        <v>0</v>
      </c>
      <c r="BT1335" s="67">
        <v>0</v>
      </c>
      <c r="BU1335" s="70">
        <v>14</v>
      </c>
      <c r="BV1335" s="29">
        <f t="shared" si="306"/>
        <v>0.17227615818284603</v>
      </c>
      <c r="BW1335">
        <f t="shared" si="307"/>
        <v>0.80626709607243985</v>
      </c>
      <c r="BX1335">
        <f t="shared" si="308"/>
        <v>0.34963173068151232</v>
      </c>
      <c r="BY1335">
        <f t="shared" si="309"/>
        <v>0.16189221622713135</v>
      </c>
      <c r="BZ1335">
        <f t="shared" si="310"/>
        <v>9.9604847176766084E-2</v>
      </c>
      <c r="CA1335">
        <f t="shared" si="311"/>
        <v>0.99352155519239249</v>
      </c>
      <c r="CB1335">
        <f t="shared" si="312"/>
        <v>0.67891464284095016</v>
      </c>
    </row>
    <row r="1336" spans="1:80" x14ac:dyDescent="0.45">
      <c r="A1336" s="11">
        <v>27</v>
      </c>
      <c r="B1336" s="12">
        <f t="shared" si="300"/>
        <v>27</v>
      </c>
      <c r="C1336" s="12" t="s">
        <v>59</v>
      </c>
      <c r="D1336" s="12">
        <v>0</v>
      </c>
      <c r="E1336" s="12" t="s">
        <v>60</v>
      </c>
      <c r="F1336" s="12">
        <v>1</v>
      </c>
      <c r="G1336" s="12">
        <v>0</v>
      </c>
      <c r="H1336" s="12" t="s">
        <v>61</v>
      </c>
      <c r="I1336" s="12">
        <v>1</v>
      </c>
      <c r="J1336" s="12">
        <v>0</v>
      </c>
      <c r="K1336" s="12">
        <v>15</v>
      </c>
      <c r="L1336" s="12">
        <f t="shared" si="301"/>
        <v>15</v>
      </c>
      <c r="M1336" s="12">
        <v>3</v>
      </c>
      <c r="N1336" s="12" t="s">
        <v>55</v>
      </c>
      <c r="O1336" s="12">
        <v>1</v>
      </c>
      <c r="P1336" s="12">
        <v>0</v>
      </c>
      <c r="Q1336" s="12">
        <v>0</v>
      </c>
      <c r="R1336" s="12">
        <v>0</v>
      </c>
      <c r="S1336" s="12">
        <v>0</v>
      </c>
      <c r="T1336" s="12">
        <v>4</v>
      </c>
      <c r="U1336" s="12" t="s">
        <v>19</v>
      </c>
      <c r="V1336" s="12">
        <v>1</v>
      </c>
      <c r="W1336" s="12">
        <v>77</v>
      </c>
      <c r="X1336" s="12">
        <v>2</v>
      </c>
      <c r="Y1336" s="12">
        <v>1</v>
      </c>
      <c r="Z1336" s="12" t="s">
        <v>63</v>
      </c>
      <c r="AA1336" s="12">
        <v>0</v>
      </c>
      <c r="AB1336" s="12">
        <v>0</v>
      </c>
      <c r="AC1336" s="12">
        <v>0</v>
      </c>
      <c r="AD1336" s="12">
        <v>0</v>
      </c>
      <c r="AE1336" s="12">
        <v>0</v>
      </c>
      <c r="AF1336" s="12">
        <v>0</v>
      </c>
      <c r="AG1336" s="12">
        <v>0</v>
      </c>
      <c r="AH1336" s="12">
        <v>1</v>
      </c>
      <c r="AI1336" s="12">
        <v>1</v>
      </c>
      <c r="AJ1336" s="12" t="s">
        <v>64</v>
      </c>
      <c r="AK1336" s="12">
        <v>0</v>
      </c>
      <c r="AL1336" s="12">
        <v>1</v>
      </c>
      <c r="AM1336" s="12">
        <v>4774</v>
      </c>
      <c r="AN1336" s="12">
        <f t="shared" si="302"/>
        <v>4774</v>
      </c>
      <c r="AO1336" s="12">
        <v>0</v>
      </c>
      <c r="AP1336" s="12" t="s">
        <v>59</v>
      </c>
      <c r="AQ1336" s="12">
        <v>0</v>
      </c>
      <c r="AR1336" s="12">
        <v>19</v>
      </c>
      <c r="AS1336" s="12">
        <v>3</v>
      </c>
      <c r="AT1336" s="12">
        <v>4</v>
      </c>
      <c r="AU1336" s="12">
        <v>1</v>
      </c>
      <c r="AV1336" s="12">
        <v>8</v>
      </c>
      <c r="AW1336" s="12">
        <f t="shared" si="303"/>
        <v>8</v>
      </c>
      <c r="AX1336" s="12">
        <v>2</v>
      </c>
      <c r="AY1336" s="12">
        <v>2</v>
      </c>
      <c r="AZ1336" s="12">
        <v>7</v>
      </c>
      <c r="BA1336" s="12">
        <f t="shared" si="304"/>
        <v>7</v>
      </c>
      <c r="BB1336" s="12">
        <v>6</v>
      </c>
      <c r="BC1336" s="12">
        <v>7</v>
      </c>
      <c r="BD1336" s="12">
        <f t="shared" si="313"/>
        <v>7</v>
      </c>
      <c r="BE1336" s="12">
        <v>3</v>
      </c>
      <c r="BF1336" s="12">
        <f t="shared" si="305"/>
        <v>3</v>
      </c>
      <c r="BG1336" s="12">
        <f t="shared" si="314"/>
        <v>3</v>
      </c>
      <c r="BH1336" s="67">
        <v>0</v>
      </c>
      <c r="BI1336" s="67">
        <v>0</v>
      </c>
      <c r="BJ1336" s="67">
        <v>0</v>
      </c>
      <c r="BK1336" s="67">
        <v>1</v>
      </c>
      <c r="BL1336" s="67">
        <v>0</v>
      </c>
      <c r="BM1336" s="67">
        <v>0</v>
      </c>
      <c r="BN1336" s="67">
        <v>1</v>
      </c>
      <c r="BO1336" s="67">
        <v>0</v>
      </c>
      <c r="BP1336" s="67">
        <v>0</v>
      </c>
      <c r="BQ1336" s="67">
        <v>3</v>
      </c>
      <c r="BR1336" s="67">
        <v>0</v>
      </c>
      <c r="BS1336" s="67">
        <v>0</v>
      </c>
      <c r="BT1336" s="67">
        <v>8</v>
      </c>
      <c r="BU1336" s="70">
        <v>0</v>
      </c>
      <c r="BV1336" s="29">
        <f t="shared" si="306"/>
        <v>0.36723601599828454</v>
      </c>
      <c r="BW1336">
        <f t="shared" si="307"/>
        <v>0.31476636926356072</v>
      </c>
      <c r="BX1336">
        <f t="shared" si="308"/>
        <v>0.42149901815843233</v>
      </c>
      <c r="BY1336">
        <f t="shared" si="309"/>
        <v>1.3324462240916321E-3</v>
      </c>
      <c r="BZ1336">
        <f t="shared" si="310"/>
        <v>0.71636611655269733</v>
      </c>
      <c r="CA1336">
        <f t="shared" si="311"/>
        <v>1.0863058347434136</v>
      </c>
      <c r="CB1336">
        <f t="shared" si="312"/>
        <v>1.4933588878908215</v>
      </c>
    </row>
    <row r="1337" spans="1:80" x14ac:dyDescent="0.45">
      <c r="A1337" s="11">
        <v>39</v>
      </c>
      <c r="B1337" s="12">
        <f t="shared" si="300"/>
        <v>39</v>
      </c>
      <c r="C1337" s="12" t="s">
        <v>59</v>
      </c>
      <c r="D1337" s="12">
        <v>0</v>
      </c>
      <c r="E1337" s="12" t="s">
        <v>53</v>
      </c>
      <c r="F1337" s="12">
        <v>0</v>
      </c>
      <c r="G1337" s="12">
        <v>1</v>
      </c>
      <c r="H1337" s="12" t="s">
        <v>61</v>
      </c>
      <c r="I1337" s="12">
        <v>1</v>
      </c>
      <c r="J1337" s="12">
        <v>0</v>
      </c>
      <c r="K1337" s="12">
        <v>19</v>
      </c>
      <c r="L1337" s="12">
        <f t="shared" si="301"/>
        <v>19</v>
      </c>
      <c r="M1337" s="12">
        <v>4</v>
      </c>
      <c r="N1337" s="12" t="s">
        <v>66</v>
      </c>
      <c r="O1337" s="12">
        <v>0</v>
      </c>
      <c r="P1337" s="12">
        <v>1</v>
      </c>
      <c r="Q1337" s="12">
        <v>0</v>
      </c>
      <c r="R1337" s="12">
        <v>0</v>
      </c>
      <c r="S1337" s="12">
        <v>0</v>
      </c>
      <c r="T1337" s="12">
        <v>4</v>
      </c>
      <c r="U1337" s="12" t="s">
        <v>62</v>
      </c>
      <c r="V1337" s="12">
        <v>0</v>
      </c>
      <c r="W1337" s="12">
        <v>41</v>
      </c>
      <c r="X1337" s="12">
        <v>3</v>
      </c>
      <c r="Y1337" s="12">
        <v>2</v>
      </c>
      <c r="Z1337" s="12" t="s">
        <v>63</v>
      </c>
      <c r="AA1337" s="12">
        <v>0</v>
      </c>
      <c r="AB1337" s="12">
        <v>0</v>
      </c>
      <c r="AC1337" s="12">
        <v>0</v>
      </c>
      <c r="AD1337" s="12">
        <v>0</v>
      </c>
      <c r="AE1337" s="12">
        <v>0</v>
      </c>
      <c r="AF1337" s="12">
        <v>0</v>
      </c>
      <c r="AG1337" s="12">
        <v>0</v>
      </c>
      <c r="AH1337" s="12">
        <v>1</v>
      </c>
      <c r="AI1337" s="12">
        <v>4</v>
      </c>
      <c r="AJ1337" s="12" t="s">
        <v>78</v>
      </c>
      <c r="AK1337" s="12">
        <v>0</v>
      </c>
      <c r="AL1337" s="12">
        <v>0</v>
      </c>
      <c r="AM1337" s="12">
        <v>3902</v>
      </c>
      <c r="AN1337" s="12">
        <f t="shared" si="302"/>
        <v>3902</v>
      </c>
      <c r="AO1337" s="12">
        <v>8</v>
      </c>
      <c r="AP1337" s="12" t="s">
        <v>59</v>
      </c>
      <c r="AQ1337" s="12">
        <v>0</v>
      </c>
      <c r="AR1337" s="12">
        <v>14</v>
      </c>
      <c r="AS1337" s="12">
        <v>3</v>
      </c>
      <c r="AT1337" s="12">
        <v>2</v>
      </c>
      <c r="AU1337" s="12">
        <v>3</v>
      </c>
      <c r="AV1337" s="12">
        <v>7</v>
      </c>
      <c r="AW1337" s="12">
        <f t="shared" si="303"/>
        <v>7</v>
      </c>
      <c r="AX1337" s="12">
        <v>2</v>
      </c>
      <c r="AY1337" s="12">
        <v>3</v>
      </c>
      <c r="AZ1337" s="12">
        <v>2</v>
      </c>
      <c r="BA1337" s="12">
        <f t="shared" si="304"/>
        <v>2</v>
      </c>
      <c r="BB1337" s="12">
        <v>2</v>
      </c>
      <c r="BC1337" s="12">
        <v>2</v>
      </c>
      <c r="BD1337" s="12">
        <f t="shared" si="313"/>
        <v>2</v>
      </c>
      <c r="BE1337" s="12">
        <v>2</v>
      </c>
      <c r="BF1337" s="12">
        <f t="shared" si="305"/>
        <v>2</v>
      </c>
      <c r="BG1337" s="12">
        <f t="shared" si="314"/>
        <v>4</v>
      </c>
      <c r="BH1337" s="67">
        <v>1</v>
      </c>
      <c r="BI1337" s="67">
        <v>0</v>
      </c>
      <c r="BJ1337" s="67">
        <v>0</v>
      </c>
      <c r="BK1337" s="67">
        <v>0</v>
      </c>
      <c r="BL1337" s="67">
        <v>1</v>
      </c>
      <c r="BM1337" s="67">
        <v>0</v>
      </c>
      <c r="BN1337" s="67">
        <v>0</v>
      </c>
      <c r="BO1337" s="67">
        <v>0</v>
      </c>
      <c r="BP1337" s="67">
        <v>0</v>
      </c>
      <c r="BQ1337" s="67">
        <v>2</v>
      </c>
      <c r="BR1337" s="67">
        <v>0</v>
      </c>
      <c r="BS1337" s="67">
        <v>0</v>
      </c>
      <c r="BT1337" s="67">
        <v>7</v>
      </c>
      <c r="BU1337" s="70">
        <v>0</v>
      </c>
      <c r="BV1337" s="29">
        <f t="shared" si="306"/>
        <v>0.55245436870928677</v>
      </c>
      <c r="BW1337">
        <f t="shared" si="307"/>
        <v>0.59502473559756086</v>
      </c>
      <c r="BX1337">
        <f t="shared" si="308"/>
        <v>0.55002080963175637</v>
      </c>
      <c r="BY1337">
        <f t="shared" si="309"/>
        <v>0.81745575848020657</v>
      </c>
      <c r="BZ1337">
        <f t="shared" si="310"/>
        <v>1.2097751320534422</v>
      </c>
      <c r="CA1337">
        <f t="shared" si="311"/>
        <v>0.22726935890025346</v>
      </c>
      <c r="CB1337">
        <f t="shared" si="312"/>
        <v>5.8265062631872602E-2</v>
      </c>
    </row>
    <row r="1338" spans="1:80" x14ac:dyDescent="0.45">
      <c r="A1338" s="11">
        <v>55</v>
      </c>
      <c r="B1338" s="12">
        <f t="shared" si="300"/>
        <v>55</v>
      </c>
      <c r="C1338" s="12" t="s">
        <v>59</v>
      </c>
      <c r="D1338" s="12">
        <v>0</v>
      </c>
      <c r="E1338" s="12" t="s">
        <v>53</v>
      </c>
      <c r="F1338" s="12">
        <v>0</v>
      </c>
      <c r="G1338" s="12">
        <v>1</v>
      </c>
      <c r="H1338" s="12" t="s">
        <v>61</v>
      </c>
      <c r="I1338" s="12">
        <v>1</v>
      </c>
      <c r="J1338" s="12">
        <v>0</v>
      </c>
      <c r="K1338" s="12">
        <v>2</v>
      </c>
      <c r="L1338" s="12">
        <f t="shared" si="301"/>
        <v>2</v>
      </c>
      <c r="M1338" s="12">
        <v>4</v>
      </c>
      <c r="N1338" s="12" t="s">
        <v>91</v>
      </c>
      <c r="O1338" s="12">
        <v>0</v>
      </c>
      <c r="P1338" s="12">
        <v>0</v>
      </c>
      <c r="Q1338" s="12">
        <v>0</v>
      </c>
      <c r="R1338" s="12">
        <v>0</v>
      </c>
      <c r="S1338" s="12">
        <v>1</v>
      </c>
      <c r="T1338" s="12">
        <v>2</v>
      </c>
      <c r="U1338" s="12" t="s">
        <v>62</v>
      </c>
      <c r="V1338" s="12">
        <v>0</v>
      </c>
      <c r="W1338" s="12">
        <v>98</v>
      </c>
      <c r="X1338" s="12">
        <v>2</v>
      </c>
      <c r="Y1338" s="12">
        <v>1</v>
      </c>
      <c r="Z1338" s="12" t="s">
        <v>63</v>
      </c>
      <c r="AA1338" s="12">
        <v>0</v>
      </c>
      <c r="AB1338" s="12">
        <v>0</v>
      </c>
      <c r="AC1338" s="12">
        <v>0</v>
      </c>
      <c r="AD1338" s="12">
        <v>0</v>
      </c>
      <c r="AE1338" s="12">
        <v>0</v>
      </c>
      <c r="AF1338" s="12">
        <v>0</v>
      </c>
      <c r="AG1338" s="12">
        <v>0</v>
      </c>
      <c r="AH1338" s="12">
        <v>1</v>
      </c>
      <c r="AI1338" s="12">
        <v>4</v>
      </c>
      <c r="AJ1338" s="12" t="s">
        <v>64</v>
      </c>
      <c r="AK1338" s="12">
        <v>0</v>
      </c>
      <c r="AL1338" s="12">
        <v>1</v>
      </c>
      <c r="AM1338" s="12">
        <v>2662</v>
      </c>
      <c r="AN1338" s="12">
        <f t="shared" si="302"/>
        <v>2662</v>
      </c>
      <c r="AO1338" s="12">
        <v>8</v>
      </c>
      <c r="AP1338" s="12" t="s">
        <v>59</v>
      </c>
      <c r="AQ1338" s="12">
        <v>0</v>
      </c>
      <c r="AR1338" s="12">
        <v>20</v>
      </c>
      <c r="AS1338" s="12">
        <v>4</v>
      </c>
      <c r="AT1338" s="12">
        <v>2</v>
      </c>
      <c r="AU1338" s="12">
        <v>1</v>
      </c>
      <c r="AV1338" s="12">
        <v>19</v>
      </c>
      <c r="AW1338" s="12">
        <f t="shared" si="303"/>
        <v>19</v>
      </c>
      <c r="AX1338" s="12">
        <v>2</v>
      </c>
      <c r="AY1338" s="12">
        <v>4</v>
      </c>
      <c r="AZ1338" s="12">
        <v>5</v>
      </c>
      <c r="BA1338" s="12">
        <f t="shared" si="304"/>
        <v>5</v>
      </c>
      <c r="BB1338" s="12">
        <v>2</v>
      </c>
      <c r="BC1338" s="12">
        <v>0</v>
      </c>
      <c r="BD1338" s="12">
        <f t="shared" si="313"/>
        <v>0</v>
      </c>
      <c r="BE1338" s="12">
        <v>4</v>
      </c>
      <c r="BF1338" s="12">
        <f t="shared" si="305"/>
        <v>4</v>
      </c>
      <c r="BG1338" s="12">
        <f t="shared" si="314"/>
        <v>4</v>
      </c>
      <c r="BH1338" s="67">
        <v>0</v>
      </c>
      <c r="BI1338" s="67">
        <v>1</v>
      </c>
      <c r="BJ1338" s="67">
        <v>0</v>
      </c>
      <c r="BK1338" s="67">
        <v>0</v>
      </c>
      <c r="BL1338" s="67">
        <v>0</v>
      </c>
      <c r="BM1338" s="67">
        <v>0</v>
      </c>
      <c r="BN1338" s="67">
        <v>1</v>
      </c>
      <c r="BO1338" s="67">
        <v>0</v>
      </c>
      <c r="BP1338" s="67">
        <v>0</v>
      </c>
      <c r="BQ1338" s="67">
        <v>4</v>
      </c>
      <c r="BR1338" s="67">
        <v>0</v>
      </c>
      <c r="BS1338" s="67">
        <v>0</v>
      </c>
      <c r="BT1338" s="67">
        <v>19</v>
      </c>
      <c r="BU1338" s="70">
        <v>0</v>
      </c>
      <c r="BV1338" s="29">
        <f t="shared" si="306"/>
        <v>0.81583826476621668</v>
      </c>
      <c r="BW1338">
        <f t="shared" si="307"/>
        <v>3.4508002929560584E-2</v>
      </c>
      <c r="BX1338">
        <f t="shared" si="308"/>
        <v>0.99224068804813281</v>
      </c>
      <c r="BY1338">
        <f t="shared" si="309"/>
        <v>0.32778177112653761</v>
      </c>
      <c r="BZ1338">
        <f t="shared" si="310"/>
        <v>0.88721318382472392</v>
      </c>
      <c r="CA1338">
        <f t="shared" si="311"/>
        <v>1.9787029504251428</v>
      </c>
      <c r="CB1338">
        <f t="shared" si="312"/>
        <v>0.67891464284095016</v>
      </c>
    </row>
    <row r="1339" spans="1:80" x14ac:dyDescent="0.45">
      <c r="A1339" s="11">
        <v>28</v>
      </c>
      <c r="B1339" s="12">
        <f t="shared" si="300"/>
        <v>28</v>
      </c>
      <c r="C1339" s="12" t="s">
        <v>59</v>
      </c>
      <c r="D1339" s="12">
        <v>0</v>
      </c>
      <c r="E1339" s="12" t="s">
        <v>53</v>
      </c>
      <c r="F1339" s="12">
        <v>0</v>
      </c>
      <c r="G1339" s="12">
        <v>1</v>
      </c>
      <c r="H1339" s="12" t="s">
        <v>54</v>
      </c>
      <c r="I1339" s="12">
        <v>0</v>
      </c>
      <c r="J1339" s="12">
        <v>1</v>
      </c>
      <c r="K1339" s="12">
        <v>3</v>
      </c>
      <c r="L1339" s="12">
        <f t="shared" si="301"/>
        <v>3</v>
      </c>
      <c r="M1339" s="12">
        <v>3</v>
      </c>
      <c r="N1339" s="12" t="s">
        <v>70</v>
      </c>
      <c r="O1339" s="12">
        <v>0</v>
      </c>
      <c r="P1339" s="12">
        <v>0</v>
      </c>
      <c r="Q1339" s="12">
        <v>1</v>
      </c>
      <c r="R1339" s="12">
        <v>0</v>
      </c>
      <c r="S1339" s="12">
        <v>0</v>
      </c>
      <c r="T1339" s="12">
        <v>2</v>
      </c>
      <c r="U1339" s="12" t="s">
        <v>19</v>
      </c>
      <c r="V1339" s="12">
        <v>1</v>
      </c>
      <c r="W1339" s="12">
        <v>78</v>
      </c>
      <c r="X1339" s="12">
        <v>3</v>
      </c>
      <c r="Y1339" s="12">
        <v>1</v>
      </c>
      <c r="Z1339" s="12" t="s">
        <v>88</v>
      </c>
      <c r="AA1339" s="12">
        <v>0</v>
      </c>
      <c r="AB1339" s="12">
        <v>0</v>
      </c>
      <c r="AC1339" s="12">
        <v>0</v>
      </c>
      <c r="AD1339" s="12">
        <v>0</v>
      </c>
      <c r="AE1339" s="12">
        <v>0</v>
      </c>
      <c r="AF1339" s="12">
        <v>0</v>
      </c>
      <c r="AG1339" s="12">
        <v>1</v>
      </c>
      <c r="AH1339" s="12">
        <v>0</v>
      </c>
      <c r="AI1339" s="12">
        <v>2</v>
      </c>
      <c r="AJ1339" s="12" t="s">
        <v>64</v>
      </c>
      <c r="AK1339" s="12">
        <v>0</v>
      </c>
      <c r="AL1339" s="12">
        <v>1</v>
      </c>
      <c r="AM1339" s="12">
        <v>2856</v>
      </c>
      <c r="AN1339" s="12">
        <f t="shared" si="302"/>
        <v>2856</v>
      </c>
      <c r="AO1339" s="12">
        <v>1</v>
      </c>
      <c r="AP1339" s="12" t="s">
        <v>59</v>
      </c>
      <c r="AQ1339" s="12">
        <v>0</v>
      </c>
      <c r="AR1339" s="12">
        <v>19</v>
      </c>
      <c r="AS1339" s="12">
        <v>3</v>
      </c>
      <c r="AT1339" s="12">
        <v>4</v>
      </c>
      <c r="AU1339" s="12">
        <v>1</v>
      </c>
      <c r="AV1339" s="12">
        <v>1</v>
      </c>
      <c r="AW1339" s="12">
        <f t="shared" si="303"/>
        <v>1</v>
      </c>
      <c r="AX1339" s="12">
        <v>3</v>
      </c>
      <c r="AY1339" s="12">
        <v>3</v>
      </c>
      <c r="AZ1339" s="12">
        <v>1</v>
      </c>
      <c r="BA1339" s="12">
        <f t="shared" si="304"/>
        <v>1</v>
      </c>
      <c r="BB1339" s="12">
        <v>0</v>
      </c>
      <c r="BC1339" s="12">
        <v>0</v>
      </c>
      <c r="BD1339" s="12">
        <f t="shared" si="313"/>
        <v>0</v>
      </c>
      <c r="BE1339" s="12">
        <v>0</v>
      </c>
      <c r="BF1339" s="12">
        <f t="shared" si="305"/>
        <v>0</v>
      </c>
      <c r="BG1339" s="12">
        <f t="shared" si="314"/>
        <v>0</v>
      </c>
      <c r="BH1339" s="67">
        <v>0</v>
      </c>
      <c r="BI1339" s="67">
        <v>1</v>
      </c>
      <c r="BJ1339" s="67">
        <v>0</v>
      </c>
      <c r="BK1339" s="67">
        <v>0</v>
      </c>
      <c r="BL1339" s="67">
        <v>0</v>
      </c>
      <c r="BM1339" s="67">
        <v>0</v>
      </c>
      <c r="BN1339" s="67">
        <v>1</v>
      </c>
      <c r="BO1339" s="67">
        <v>0</v>
      </c>
      <c r="BP1339" s="67">
        <v>0</v>
      </c>
      <c r="BQ1339" s="67">
        <v>0</v>
      </c>
      <c r="BR1339" s="67">
        <v>0</v>
      </c>
      <c r="BS1339" s="67">
        <v>0</v>
      </c>
      <c r="BT1339" s="67">
        <v>0</v>
      </c>
      <c r="BU1339" s="70">
        <v>1</v>
      </c>
      <c r="BV1339" s="29">
        <f t="shared" si="306"/>
        <v>0.77463142941537444</v>
      </c>
      <c r="BW1339">
        <f t="shared" si="307"/>
        <v>1.1555414682655611</v>
      </c>
      <c r="BX1339">
        <f t="shared" si="308"/>
        <v>1.3211515584717011</v>
      </c>
      <c r="BY1339">
        <f t="shared" si="309"/>
        <v>0.9806804209314296</v>
      </c>
      <c r="BZ1339">
        <f t="shared" si="310"/>
        <v>0.76386092994953758</v>
      </c>
      <c r="CA1339">
        <f t="shared" si="311"/>
        <v>0.97684123527310796</v>
      </c>
      <c r="CB1339">
        <f t="shared" si="312"/>
        <v>0.67891464284095016</v>
      </c>
    </row>
    <row r="1340" spans="1:80" x14ac:dyDescent="0.45">
      <c r="A1340" s="11">
        <v>30</v>
      </c>
      <c r="B1340" s="12">
        <f t="shared" si="300"/>
        <v>30</v>
      </c>
      <c r="C1340" s="12" t="s">
        <v>52</v>
      </c>
      <c r="D1340" s="12">
        <v>1</v>
      </c>
      <c r="E1340" s="12" t="s">
        <v>53</v>
      </c>
      <c r="F1340" s="12">
        <v>0</v>
      </c>
      <c r="G1340" s="12">
        <v>1</v>
      </c>
      <c r="H1340" s="12" t="s">
        <v>54</v>
      </c>
      <c r="I1340" s="12">
        <v>0</v>
      </c>
      <c r="J1340" s="12">
        <v>1</v>
      </c>
      <c r="K1340" s="12">
        <v>9</v>
      </c>
      <c r="L1340" s="12">
        <f t="shared" si="301"/>
        <v>9</v>
      </c>
      <c r="M1340" s="12">
        <v>3</v>
      </c>
      <c r="N1340" s="12" t="s">
        <v>70</v>
      </c>
      <c r="O1340" s="12">
        <v>0</v>
      </c>
      <c r="P1340" s="12">
        <v>0</v>
      </c>
      <c r="Q1340" s="12">
        <v>1</v>
      </c>
      <c r="R1340" s="12">
        <v>0</v>
      </c>
      <c r="S1340" s="12">
        <v>0</v>
      </c>
      <c r="T1340" s="12">
        <v>2</v>
      </c>
      <c r="U1340" s="12" t="s">
        <v>62</v>
      </c>
      <c r="V1340" s="12">
        <v>0</v>
      </c>
      <c r="W1340" s="12">
        <v>89</v>
      </c>
      <c r="X1340" s="12">
        <v>3</v>
      </c>
      <c r="Y1340" s="12">
        <v>1</v>
      </c>
      <c r="Z1340" s="12" t="s">
        <v>88</v>
      </c>
      <c r="AA1340" s="12">
        <v>0</v>
      </c>
      <c r="AB1340" s="12">
        <v>0</v>
      </c>
      <c r="AC1340" s="12">
        <v>0</v>
      </c>
      <c r="AD1340" s="12">
        <v>0</v>
      </c>
      <c r="AE1340" s="12">
        <v>0</v>
      </c>
      <c r="AF1340" s="12">
        <v>0</v>
      </c>
      <c r="AG1340" s="12">
        <v>1</v>
      </c>
      <c r="AH1340" s="12">
        <v>0</v>
      </c>
      <c r="AI1340" s="12">
        <v>4</v>
      </c>
      <c r="AJ1340" s="12" t="s">
        <v>57</v>
      </c>
      <c r="AK1340" s="12">
        <v>1</v>
      </c>
      <c r="AL1340" s="12">
        <v>0</v>
      </c>
      <c r="AM1340" s="12">
        <v>1081</v>
      </c>
      <c r="AN1340" s="12">
        <f t="shared" si="302"/>
        <v>1382.46</v>
      </c>
      <c r="AO1340" s="12">
        <v>1</v>
      </c>
      <c r="AP1340" s="12" t="s">
        <v>59</v>
      </c>
      <c r="AQ1340" s="12">
        <v>0</v>
      </c>
      <c r="AR1340" s="12">
        <v>13</v>
      </c>
      <c r="AS1340" s="12">
        <v>3</v>
      </c>
      <c r="AT1340" s="12">
        <v>3</v>
      </c>
      <c r="AU1340" s="12">
        <v>0</v>
      </c>
      <c r="AV1340" s="12">
        <v>1</v>
      </c>
      <c r="AW1340" s="12">
        <f t="shared" si="303"/>
        <v>1</v>
      </c>
      <c r="AX1340" s="12">
        <v>3</v>
      </c>
      <c r="AY1340" s="12">
        <v>2</v>
      </c>
      <c r="AZ1340" s="12">
        <v>1</v>
      </c>
      <c r="BA1340" s="12">
        <f t="shared" si="304"/>
        <v>1</v>
      </c>
      <c r="BB1340" s="12">
        <v>0</v>
      </c>
      <c r="BC1340" s="12">
        <v>0</v>
      </c>
      <c r="BD1340" s="12">
        <f t="shared" si="313"/>
        <v>0</v>
      </c>
      <c r="BE1340" s="12">
        <v>0</v>
      </c>
      <c r="BF1340" s="12">
        <f t="shared" si="305"/>
        <v>0</v>
      </c>
      <c r="BG1340" s="12">
        <f t="shared" si="314"/>
        <v>0</v>
      </c>
      <c r="BH1340" s="67">
        <v>1</v>
      </c>
      <c r="BI1340" s="67">
        <v>0</v>
      </c>
      <c r="BJ1340" s="67">
        <v>0</v>
      </c>
      <c r="BK1340" s="67">
        <v>0</v>
      </c>
      <c r="BL1340" s="67">
        <v>1</v>
      </c>
      <c r="BM1340" s="67">
        <v>0</v>
      </c>
      <c r="BN1340" s="67">
        <v>0</v>
      </c>
      <c r="BO1340" s="67">
        <v>0</v>
      </c>
      <c r="BP1340" s="67">
        <v>0</v>
      </c>
      <c r="BQ1340" s="67">
        <v>0</v>
      </c>
      <c r="BR1340" s="67">
        <v>0</v>
      </c>
      <c r="BS1340" s="67">
        <v>0</v>
      </c>
      <c r="BT1340" s="67">
        <v>0</v>
      </c>
      <c r="BU1340" s="70">
        <v>1</v>
      </c>
      <c r="BV1340" s="29">
        <f t="shared" si="306"/>
        <v>1.1516527322388022</v>
      </c>
      <c r="BW1340">
        <f t="shared" si="307"/>
        <v>1.1555414682655611</v>
      </c>
      <c r="BX1340">
        <f t="shared" si="308"/>
        <v>1.3211515584717011</v>
      </c>
      <c r="BY1340">
        <f t="shared" si="309"/>
        <v>0.9806804209314296</v>
      </c>
      <c r="BZ1340">
        <f t="shared" si="310"/>
        <v>2.3747406698420157E-2</v>
      </c>
      <c r="CA1340">
        <f t="shared" si="311"/>
        <v>0.75791203633249671</v>
      </c>
      <c r="CB1340">
        <f t="shared" si="312"/>
        <v>0.67891464284095016</v>
      </c>
    </row>
    <row r="1341" spans="1:80" x14ac:dyDescent="0.45">
      <c r="A1341" s="11">
        <v>22</v>
      </c>
      <c r="B1341" s="12">
        <f t="shared" si="300"/>
        <v>22</v>
      </c>
      <c r="C1341" s="12" t="s">
        <v>52</v>
      </c>
      <c r="D1341" s="12">
        <v>1</v>
      </c>
      <c r="E1341" s="12" t="s">
        <v>53</v>
      </c>
      <c r="F1341" s="12">
        <v>0</v>
      </c>
      <c r="G1341" s="12">
        <v>1</v>
      </c>
      <c r="H1341" s="12" t="s">
        <v>61</v>
      </c>
      <c r="I1341" s="12">
        <v>1</v>
      </c>
      <c r="J1341" s="12">
        <v>0</v>
      </c>
      <c r="K1341" s="12">
        <v>7</v>
      </c>
      <c r="L1341" s="12">
        <f t="shared" si="301"/>
        <v>7</v>
      </c>
      <c r="M1341" s="12">
        <v>1</v>
      </c>
      <c r="N1341" s="12" t="s">
        <v>55</v>
      </c>
      <c r="O1341" s="12">
        <v>1</v>
      </c>
      <c r="P1341" s="12">
        <v>0</v>
      </c>
      <c r="Q1341" s="12">
        <v>0</v>
      </c>
      <c r="R1341" s="12">
        <v>0</v>
      </c>
      <c r="S1341" s="12">
        <v>0</v>
      </c>
      <c r="T1341" s="12">
        <v>4</v>
      </c>
      <c r="U1341" s="12" t="s">
        <v>62</v>
      </c>
      <c r="V1341" s="12">
        <v>0</v>
      </c>
      <c r="W1341" s="12">
        <v>75</v>
      </c>
      <c r="X1341" s="12">
        <v>3</v>
      </c>
      <c r="Y1341" s="12">
        <v>1</v>
      </c>
      <c r="Z1341" s="12" t="s">
        <v>63</v>
      </c>
      <c r="AA1341" s="12">
        <v>0</v>
      </c>
      <c r="AB1341" s="12">
        <v>0</v>
      </c>
      <c r="AC1341" s="12">
        <v>0</v>
      </c>
      <c r="AD1341" s="12">
        <v>0</v>
      </c>
      <c r="AE1341" s="12">
        <v>0</v>
      </c>
      <c r="AF1341" s="12">
        <v>0</v>
      </c>
      <c r="AG1341" s="12">
        <v>0</v>
      </c>
      <c r="AH1341" s="12">
        <v>1</v>
      </c>
      <c r="AI1341" s="12">
        <v>2</v>
      </c>
      <c r="AJ1341" s="12" t="s">
        <v>57</v>
      </c>
      <c r="AK1341" s="12">
        <v>1</v>
      </c>
      <c r="AL1341" s="12">
        <v>0</v>
      </c>
      <c r="AM1341" s="12">
        <v>2472</v>
      </c>
      <c r="AN1341" s="12">
        <f t="shared" si="302"/>
        <v>2472</v>
      </c>
      <c r="AO1341" s="12">
        <v>1</v>
      </c>
      <c r="AP1341" s="12" t="s">
        <v>52</v>
      </c>
      <c r="AQ1341" s="12">
        <v>1</v>
      </c>
      <c r="AR1341" s="12">
        <v>23</v>
      </c>
      <c r="AS1341" s="12">
        <v>4</v>
      </c>
      <c r="AT1341" s="12">
        <v>1</v>
      </c>
      <c r="AU1341" s="12">
        <v>0</v>
      </c>
      <c r="AV1341" s="12">
        <v>1</v>
      </c>
      <c r="AW1341" s="12">
        <f t="shared" si="303"/>
        <v>1</v>
      </c>
      <c r="AX1341" s="12">
        <v>2</v>
      </c>
      <c r="AY1341" s="12">
        <v>3</v>
      </c>
      <c r="AZ1341" s="12">
        <v>1</v>
      </c>
      <c r="BA1341" s="12">
        <f t="shared" si="304"/>
        <v>1</v>
      </c>
      <c r="BB1341" s="12">
        <v>0</v>
      </c>
      <c r="BC1341" s="12">
        <v>0</v>
      </c>
      <c r="BD1341" s="12">
        <f t="shared" si="313"/>
        <v>0</v>
      </c>
      <c r="BE1341" s="12">
        <v>0</v>
      </c>
      <c r="BF1341" s="12">
        <f t="shared" si="305"/>
        <v>0</v>
      </c>
      <c r="BG1341" s="12">
        <f t="shared" si="314"/>
        <v>0</v>
      </c>
      <c r="BH1341" s="67">
        <v>1</v>
      </c>
      <c r="BI1341" s="67">
        <v>0</v>
      </c>
      <c r="BJ1341" s="67">
        <v>0</v>
      </c>
      <c r="BK1341" s="67">
        <v>0</v>
      </c>
      <c r="BL1341" s="67">
        <v>0</v>
      </c>
      <c r="BM1341" s="67">
        <v>1</v>
      </c>
      <c r="BN1341" s="67">
        <v>0</v>
      </c>
      <c r="BO1341" s="67">
        <v>0</v>
      </c>
      <c r="BP1341" s="67">
        <v>0</v>
      </c>
      <c r="BQ1341" s="67">
        <v>0</v>
      </c>
      <c r="BR1341" s="67">
        <v>0</v>
      </c>
      <c r="BS1341" s="67">
        <v>0</v>
      </c>
      <c r="BT1341" s="67">
        <v>1</v>
      </c>
      <c r="BU1341" s="70">
        <v>0</v>
      </c>
      <c r="BV1341" s="29">
        <f t="shared" si="306"/>
        <v>0.85619547464590751</v>
      </c>
      <c r="BW1341">
        <f t="shared" si="307"/>
        <v>1.1555414682655611</v>
      </c>
      <c r="BX1341">
        <f t="shared" si="308"/>
        <v>1.3211515584717011</v>
      </c>
      <c r="BY1341">
        <f t="shared" si="309"/>
        <v>0.9806804209314296</v>
      </c>
      <c r="BZ1341">
        <f t="shared" si="310"/>
        <v>0.27045191444879263</v>
      </c>
      <c r="CA1341">
        <f t="shared" si="311"/>
        <v>1.6336288320949415</v>
      </c>
      <c r="CB1341">
        <f t="shared" si="312"/>
        <v>0.67891464284095016</v>
      </c>
    </row>
    <row r="1342" spans="1:80" x14ac:dyDescent="0.45">
      <c r="A1342" s="11">
        <v>36</v>
      </c>
      <c r="B1342" s="12">
        <f t="shared" si="300"/>
        <v>36</v>
      </c>
      <c r="C1342" s="12" t="s">
        <v>59</v>
      </c>
      <c r="D1342" s="12">
        <v>0</v>
      </c>
      <c r="E1342" s="12" t="s">
        <v>53</v>
      </c>
      <c r="F1342" s="12">
        <v>0</v>
      </c>
      <c r="G1342" s="12">
        <v>1</v>
      </c>
      <c r="H1342" s="12" t="s">
        <v>54</v>
      </c>
      <c r="I1342" s="12">
        <v>0</v>
      </c>
      <c r="J1342" s="12">
        <v>1</v>
      </c>
      <c r="K1342" s="12">
        <v>10</v>
      </c>
      <c r="L1342" s="12">
        <f t="shared" si="301"/>
        <v>10</v>
      </c>
      <c r="M1342" s="12">
        <v>4</v>
      </c>
      <c r="N1342" s="12" t="s">
        <v>91</v>
      </c>
      <c r="O1342" s="12">
        <v>0</v>
      </c>
      <c r="P1342" s="12">
        <v>0</v>
      </c>
      <c r="Q1342" s="12">
        <v>0</v>
      </c>
      <c r="R1342" s="12">
        <v>0</v>
      </c>
      <c r="S1342" s="12">
        <v>1</v>
      </c>
      <c r="T1342" s="12">
        <v>2</v>
      </c>
      <c r="U1342" s="12" t="s">
        <v>19</v>
      </c>
      <c r="V1342" s="12">
        <v>1</v>
      </c>
      <c r="W1342" s="12">
        <v>63</v>
      </c>
      <c r="X1342" s="12">
        <v>2</v>
      </c>
      <c r="Y1342" s="12">
        <v>2</v>
      </c>
      <c r="Z1342" s="12" t="s">
        <v>56</v>
      </c>
      <c r="AA1342" s="12">
        <v>0</v>
      </c>
      <c r="AB1342" s="12">
        <v>1</v>
      </c>
      <c r="AC1342" s="12">
        <v>0</v>
      </c>
      <c r="AD1342" s="12">
        <v>0</v>
      </c>
      <c r="AE1342" s="12">
        <v>0</v>
      </c>
      <c r="AF1342" s="12">
        <v>0</v>
      </c>
      <c r="AG1342" s="12">
        <v>0</v>
      </c>
      <c r="AH1342" s="12">
        <v>0</v>
      </c>
      <c r="AI1342" s="12">
        <v>3</v>
      </c>
      <c r="AJ1342" s="12" t="s">
        <v>64</v>
      </c>
      <c r="AK1342" s="12">
        <v>0</v>
      </c>
      <c r="AL1342" s="12">
        <v>1</v>
      </c>
      <c r="AM1342" s="12">
        <v>5673</v>
      </c>
      <c r="AN1342" s="12">
        <f t="shared" si="302"/>
        <v>5673</v>
      </c>
      <c r="AO1342" s="12">
        <v>1</v>
      </c>
      <c r="AP1342" s="12" t="s">
        <v>52</v>
      </c>
      <c r="AQ1342" s="12">
        <v>1</v>
      </c>
      <c r="AR1342" s="12">
        <v>13</v>
      </c>
      <c r="AS1342" s="12">
        <v>3</v>
      </c>
      <c r="AT1342" s="12">
        <v>1</v>
      </c>
      <c r="AU1342" s="12">
        <v>1</v>
      </c>
      <c r="AV1342" s="12">
        <v>10</v>
      </c>
      <c r="AW1342" s="12">
        <f t="shared" si="303"/>
        <v>10</v>
      </c>
      <c r="AX1342" s="12">
        <v>4</v>
      </c>
      <c r="AY1342" s="12">
        <v>3</v>
      </c>
      <c r="AZ1342" s="12">
        <v>10</v>
      </c>
      <c r="BA1342" s="12">
        <f t="shared" si="304"/>
        <v>10</v>
      </c>
      <c r="BB1342" s="12">
        <v>9</v>
      </c>
      <c r="BC1342" s="12">
        <v>1</v>
      </c>
      <c r="BD1342" s="12">
        <f t="shared" si="313"/>
        <v>1</v>
      </c>
      <c r="BE1342" s="12">
        <v>7</v>
      </c>
      <c r="BF1342" s="12">
        <f t="shared" si="305"/>
        <v>7</v>
      </c>
      <c r="BG1342" s="12">
        <f t="shared" si="314"/>
        <v>14</v>
      </c>
      <c r="BH1342" s="67">
        <v>0</v>
      </c>
      <c r="BI1342" s="67">
        <v>1</v>
      </c>
      <c r="BJ1342" s="67">
        <v>0</v>
      </c>
      <c r="BK1342" s="67">
        <v>0</v>
      </c>
      <c r="BL1342" s="67">
        <v>0</v>
      </c>
      <c r="BM1342" s="67">
        <v>0</v>
      </c>
      <c r="BN1342" s="67">
        <v>0</v>
      </c>
      <c r="BO1342" s="67">
        <v>1</v>
      </c>
      <c r="BP1342" s="67">
        <v>0</v>
      </c>
      <c r="BQ1342" s="67">
        <v>0</v>
      </c>
      <c r="BR1342" s="67">
        <v>7</v>
      </c>
      <c r="BS1342" s="67">
        <v>0</v>
      </c>
      <c r="BT1342" s="67">
        <v>0</v>
      </c>
      <c r="BU1342" s="70">
        <v>10</v>
      </c>
      <c r="BV1342" s="29">
        <f t="shared" si="306"/>
        <v>0.17628269135701036</v>
      </c>
      <c r="BW1342">
        <f t="shared" si="307"/>
        <v>0.80626709607243985</v>
      </c>
      <c r="BX1342">
        <f t="shared" si="308"/>
        <v>0.1644554352117841</v>
      </c>
      <c r="BY1342">
        <f t="shared" si="309"/>
        <v>0.48834154112957734</v>
      </c>
      <c r="BZ1342">
        <f t="shared" si="310"/>
        <v>9.9604847176766084E-2</v>
      </c>
      <c r="CA1342">
        <f t="shared" si="311"/>
        <v>0.10112443951066327</v>
      </c>
      <c r="CB1342">
        <f t="shared" si="312"/>
        <v>0.36858985273641137</v>
      </c>
    </row>
    <row r="1343" spans="1:80" x14ac:dyDescent="0.45">
      <c r="A1343" s="11">
        <v>31</v>
      </c>
      <c r="B1343" s="12">
        <f t="shared" si="300"/>
        <v>31</v>
      </c>
      <c r="C1343" s="12" t="s">
        <v>59</v>
      </c>
      <c r="D1343" s="12">
        <v>0</v>
      </c>
      <c r="E1343" s="12" t="s">
        <v>53</v>
      </c>
      <c r="F1343" s="12">
        <v>0</v>
      </c>
      <c r="G1343" s="12">
        <v>1</v>
      </c>
      <c r="H1343" s="12" t="s">
        <v>61</v>
      </c>
      <c r="I1343" s="12">
        <v>1</v>
      </c>
      <c r="J1343" s="12">
        <v>0</v>
      </c>
      <c r="K1343" s="12">
        <v>20</v>
      </c>
      <c r="L1343" s="12">
        <f t="shared" si="301"/>
        <v>20</v>
      </c>
      <c r="M1343" s="12">
        <v>3</v>
      </c>
      <c r="N1343" s="12" t="s">
        <v>55</v>
      </c>
      <c r="O1343" s="12">
        <v>1</v>
      </c>
      <c r="P1343" s="12">
        <v>0</v>
      </c>
      <c r="Q1343" s="12">
        <v>0</v>
      </c>
      <c r="R1343" s="12">
        <v>0</v>
      </c>
      <c r="S1343" s="12">
        <v>0</v>
      </c>
      <c r="T1343" s="12">
        <v>2</v>
      </c>
      <c r="U1343" s="12" t="s">
        <v>62</v>
      </c>
      <c r="V1343" s="12">
        <v>0</v>
      </c>
      <c r="W1343" s="12">
        <v>89</v>
      </c>
      <c r="X1343" s="12">
        <v>3</v>
      </c>
      <c r="Y1343" s="12">
        <v>2</v>
      </c>
      <c r="Z1343" s="12" t="s">
        <v>67</v>
      </c>
      <c r="AA1343" s="12">
        <v>0</v>
      </c>
      <c r="AB1343" s="12">
        <v>0</v>
      </c>
      <c r="AC1343" s="12">
        <v>1</v>
      </c>
      <c r="AD1343" s="12">
        <v>0</v>
      </c>
      <c r="AE1343" s="12">
        <v>0</v>
      </c>
      <c r="AF1343" s="12">
        <v>0</v>
      </c>
      <c r="AG1343" s="12">
        <v>0</v>
      </c>
      <c r="AH1343" s="12">
        <v>0</v>
      </c>
      <c r="AI1343" s="12">
        <v>3</v>
      </c>
      <c r="AJ1343" s="12" t="s">
        <v>78</v>
      </c>
      <c r="AK1343" s="12">
        <v>0</v>
      </c>
      <c r="AL1343" s="12">
        <v>0</v>
      </c>
      <c r="AM1343" s="12">
        <v>4197</v>
      </c>
      <c r="AN1343" s="12">
        <f t="shared" si="302"/>
        <v>4197</v>
      </c>
      <c r="AO1343" s="12">
        <v>1</v>
      </c>
      <c r="AP1343" s="12" t="s">
        <v>59</v>
      </c>
      <c r="AQ1343" s="12">
        <v>0</v>
      </c>
      <c r="AR1343" s="12">
        <v>11</v>
      </c>
      <c r="AS1343" s="12">
        <v>3</v>
      </c>
      <c r="AT1343" s="12">
        <v>1</v>
      </c>
      <c r="AU1343" s="12">
        <v>1</v>
      </c>
      <c r="AV1343" s="12">
        <v>10</v>
      </c>
      <c r="AW1343" s="12">
        <f t="shared" si="303"/>
        <v>10</v>
      </c>
      <c r="AX1343" s="12">
        <v>2</v>
      </c>
      <c r="AY1343" s="12">
        <v>3</v>
      </c>
      <c r="AZ1343" s="12">
        <v>10</v>
      </c>
      <c r="BA1343" s="12">
        <f t="shared" si="304"/>
        <v>10</v>
      </c>
      <c r="BB1343" s="12">
        <v>8</v>
      </c>
      <c r="BC1343" s="12">
        <v>0</v>
      </c>
      <c r="BD1343" s="12">
        <f t="shared" si="313"/>
        <v>0</v>
      </c>
      <c r="BE1343" s="12">
        <v>2</v>
      </c>
      <c r="BF1343" s="12">
        <f t="shared" si="305"/>
        <v>2</v>
      </c>
      <c r="BG1343" s="12">
        <f t="shared" si="314"/>
        <v>4</v>
      </c>
      <c r="BH1343" s="67">
        <v>1</v>
      </c>
      <c r="BI1343" s="67">
        <v>0</v>
      </c>
      <c r="BJ1343" s="67">
        <v>0</v>
      </c>
      <c r="BK1343" s="67">
        <v>0</v>
      </c>
      <c r="BL1343" s="67">
        <v>1</v>
      </c>
      <c r="BM1343" s="67">
        <v>0</v>
      </c>
      <c r="BN1343" s="67">
        <v>0</v>
      </c>
      <c r="BO1343" s="67">
        <v>0</v>
      </c>
      <c r="BP1343" s="67">
        <v>0</v>
      </c>
      <c r="BQ1343" s="67">
        <v>2</v>
      </c>
      <c r="BR1343" s="67">
        <v>0</v>
      </c>
      <c r="BS1343" s="67">
        <v>0</v>
      </c>
      <c r="BT1343" s="67">
        <v>10</v>
      </c>
      <c r="BU1343" s="70">
        <v>0</v>
      </c>
      <c r="BV1343" s="29">
        <f t="shared" si="306"/>
        <v>0.48979449021187205</v>
      </c>
      <c r="BW1343">
        <f t="shared" si="307"/>
        <v>0.59502473559756086</v>
      </c>
      <c r="BX1343">
        <f t="shared" si="308"/>
        <v>0.1644554352117841</v>
      </c>
      <c r="BY1343">
        <f t="shared" si="309"/>
        <v>0.48834154112957734</v>
      </c>
      <c r="BZ1343">
        <f t="shared" si="310"/>
        <v>1.3331273859286286</v>
      </c>
      <c r="CA1343">
        <f t="shared" si="311"/>
        <v>0.6484474368621912</v>
      </c>
      <c r="CB1343">
        <f t="shared" si="312"/>
        <v>0.67891464284095016</v>
      </c>
    </row>
    <row r="1344" spans="1:80" x14ac:dyDescent="0.45">
      <c r="A1344" s="11">
        <v>34</v>
      </c>
      <c r="B1344" s="12">
        <f t="shared" si="300"/>
        <v>34</v>
      </c>
      <c r="C1344" s="12" t="s">
        <v>59</v>
      </c>
      <c r="D1344" s="12">
        <v>0</v>
      </c>
      <c r="E1344" s="12" t="s">
        <v>53</v>
      </c>
      <c r="F1344" s="12">
        <v>0</v>
      </c>
      <c r="G1344" s="12">
        <v>1</v>
      </c>
      <c r="H1344" s="12" t="s">
        <v>54</v>
      </c>
      <c r="I1344" s="12">
        <v>0</v>
      </c>
      <c r="J1344" s="12">
        <v>1</v>
      </c>
      <c r="K1344" s="12">
        <v>4</v>
      </c>
      <c r="L1344" s="12">
        <f t="shared" si="301"/>
        <v>4</v>
      </c>
      <c r="M1344" s="12">
        <v>3</v>
      </c>
      <c r="N1344" s="12" t="s">
        <v>55</v>
      </c>
      <c r="O1344" s="12">
        <v>1</v>
      </c>
      <c r="P1344" s="12">
        <v>0</v>
      </c>
      <c r="Q1344" s="12">
        <v>0</v>
      </c>
      <c r="R1344" s="12">
        <v>0</v>
      </c>
      <c r="S1344" s="12">
        <v>0</v>
      </c>
      <c r="T1344" s="12">
        <v>3</v>
      </c>
      <c r="U1344" s="12" t="s">
        <v>62</v>
      </c>
      <c r="V1344" s="12">
        <v>0</v>
      </c>
      <c r="W1344" s="12">
        <v>64</v>
      </c>
      <c r="X1344" s="12">
        <v>3</v>
      </c>
      <c r="Y1344" s="12">
        <v>3</v>
      </c>
      <c r="Z1344" s="12" t="s">
        <v>56</v>
      </c>
      <c r="AA1344" s="12">
        <v>0</v>
      </c>
      <c r="AB1344" s="12">
        <v>1</v>
      </c>
      <c r="AC1344" s="12">
        <v>0</v>
      </c>
      <c r="AD1344" s="12">
        <v>0</v>
      </c>
      <c r="AE1344" s="12">
        <v>0</v>
      </c>
      <c r="AF1344" s="12">
        <v>0</v>
      </c>
      <c r="AG1344" s="12">
        <v>0</v>
      </c>
      <c r="AH1344" s="12">
        <v>0</v>
      </c>
      <c r="AI1344" s="12">
        <v>4</v>
      </c>
      <c r="AJ1344" s="12" t="s">
        <v>64</v>
      </c>
      <c r="AK1344" s="12">
        <v>0</v>
      </c>
      <c r="AL1344" s="12">
        <v>1</v>
      </c>
      <c r="AM1344" s="12">
        <v>9713</v>
      </c>
      <c r="AN1344" s="12">
        <f t="shared" si="302"/>
        <v>9713</v>
      </c>
      <c r="AO1344" s="12">
        <v>2</v>
      </c>
      <c r="AP1344" s="12" t="s">
        <v>52</v>
      </c>
      <c r="AQ1344" s="12">
        <v>1</v>
      </c>
      <c r="AR1344" s="12">
        <v>13</v>
      </c>
      <c r="AS1344" s="12">
        <v>3</v>
      </c>
      <c r="AT1344" s="12">
        <v>4</v>
      </c>
      <c r="AU1344" s="12">
        <v>3</v>
      </c>
      <c r="AV1344" s="12">
        <v>9</v>
      </c>
      <c r="AW1344" s="12">
        <f t="shared" si="303"/>
        <v>9</v>
      </c>
      <c r="AX1344" s="12">
        <v>3</v>
      </c>
      <c r="AY1344" s="12">
        <v>3</v>
      </c>
      <c r="AZ1344" s="12">
        <v>5</v>
      </c>
      <c r="BA1344" s="12">
        <f t="shared" si="304"/>
        <v>5</v>
      </c>
      <c r="BB1344" s="12">
        <v>3</v>
      </c>
      <c r="BC1344" s="12">
        <v>1</v>
      </c>
      <c r="BD1344" s="12">
        <f t="shared" si="313"/>
        <v>1</v>
      </c>
      <c r="BE1344" s="12">
        <v>0</v>
      </c>
      <c r="BF1344" s="12">
        <f t="shared" si="305"/>
        <v>0</v>
      </c>
      <c r="BG1344" s="12">
        <f t="shared" si="314"/>
        <v>0</v>
      </c>
      <c r="BH1344" s="67">
        <v>0</v>
      </c>
      <c r="BI1344" s="67">
        <v>1</v>
      </c>
      <c r="BJ1344" s="67">
        <v>0</v>
      </c>
      <c r="BK1344" s="67">
        <v>0</v>
      </c>
      <c r="BL1344" s="67">
        <v>0</v>
      </c>
      <c r="BM1344" s="67">
        <v>0</v>
      </c>
      <c r="BN1344" s="67">
        <v>0</v>
      </c>
      <c r="BO1344" s="67">
        <v>1</v>
      </c>
      <c r="BP1344" s="67">
        <v>0</v>
      </c>
      <c r="BQ1344" s="67">
        <v>0</v>
      </c>
      <c r="BR1344" s="67">
        <v>0</v>
      </c>
      <c r="BS1344" s="67">
        <v>0</v>
      </c>
      <c r="BT1344" s="67">
        <v>0</v>
      </c>
      <c r="BU1344" s="70">
        <v>9</v>
      </c>
      <c r="BV1344" s="29">
        <f t="shared" si="306"/>
        <v>0.68183903450589023</v>
      </c>
      <c r="BW1344">
        <f t="shared" si="307"/>
        <v>1.1555414682655611</v>
      </c>
      <c r="BX1344">
        <f t="shared" si="308"/>
        <v>0.29297722668510823</v>
      </c>
      <c r="BY1344">
        <f t="shared" si="309"/>
        <v>0.32778177112653761</v>
      </c>
      <c r="BZ1344">
        <f t="shared" si="310"/>
        <v>0.64050867607435136</v>
      </c>
      <c r="CA1344">
        <f t="shared" si="311"/>
        <v>0.32005363845127444</v>
      </c>
      <c r="CB1344">
        <f t="shared" si="312"/>
        <v>0.36858985273641137</v>
      </c>
    </row>
    <row r="1345" spans="1:80" x14ac:dyDescent="0.45">
      <c r="A1345" s="11">
        <v>29</v>
      </c>
      <c r="B1345" s="12">
        <f t="shared" si="300"/>
        <v>29</v>
      </c>
      <c r="C1345" s="12" t="s">
        <v>59</v>
      </c>
      <c r="D1345" s="12">
        <v>0</v>
      </c>
      <c r="E1345" s="12" t="s">
        <v>53</v>
      </c>
      <c r="F1345" s="12">
        <v>0</v>
      </c>
      <c r="G1345" s="12">
        <v>1</v>
      </c>
      <c r="H1345" s="12" t="s">
        <v>61</v>
      </c>
      <c r="I1345" s="12">
        <v>1</v>
      </c>
      <c r="J1345" s="12">
        <v>0</v>
      </c>
      <c r="K1345" s="12">
        <v>7</v>
      </c>
      <c r="L1345" s="12">
        <f t="shared" si="301"/>
        <v>7</v>
      </c>
      <c r="M1345" s="12">
        <v>3</v>
      </c>
      <c r="N1345" s="12" t="s">
        <v>55</v>
      </c>
      <c r="O1345" s="12">
        <v>1</v>
      </c>
      <c r="P1345" s="12">
        <v>0</v>
      </c>
      <c r="Q1345" s="12">
        <v>0</v>
      </c>
      <c r="R1345" s="12">
        <v>0</v>
      </c>
      <c r="S1345" s="12">
        <v>0</v>
      </c>
      <c r="T1345" s="12">
        <v>4</v>
      </c>
      <c r="U1345" s="12" t="s">
        <v>62</v>
      </c>
      <c r="V1345" s="12">
        <v>0</v>
      </c>
      <c r="W1345" s="12">
        <v>59</v>
      </c>
      <c r="X1345" s="12">
        <v>3</v>
      </c>
      <c r="Y1345" s="12">
        <v>1</v>
      </c>
      <c r="Z1345" s="12" t="s">
        <v>67</v>
      </c>
      <c r="AA1345" s="12">
        <v>0</v>
      </c>
      <c r="AB1345" s="12">
        <v>0</v>
      </c>
      <c r="AC1345" s="12">
        <v>1</v>
      </c>
      <c r="AD1345" s="12">
        <v>0</v>
      </c>
      <c r="AE1345" s="12">
        <v>0</v>
      </c>
      <c r="AF1345" s="12">
        <v>0</v>
      </c>
      <c r="AG1345" s="12">
        <v>0</v>
      </c>
      <c r="AH1345" s="12">
        <v>0</v>
      </c>
      <c r="AI1345" s="12">
        <v>1</v>
      </c>
      <c r="AJ1345" s="12" t="s">
        <v>57</v>
      </c>
      <c r="AK1345" s="12">
        <v>1</v>
      </c>
      <c r="AL1345" s="12">
        <v>0</v>
      </c>
      <c r="AM1345" s="12">
        <v>2062</v>
      </c>
      <c r="AN1345" s="12">
        <f t="shared" si="302"/>
        <v>2062</v>
      </c>
      <c r="AO1345" s="12">
        <v>3</v>
      </c>
      <c r="AP1345" s="12" t="s">
        <v>59</v>
      </c>
      <c r="AQ1345" s="12">
        <v>0</v>
      </c>
      <c r="AR1345" s="12">
        <v>14</v>
      </c>
      <c r="AS1345" s="12">
        <v>3</v>
      </c>
      <c r="AT1345" s="12">
        <v>2</v>
      </c>
      <c r="AU1345" s="12">
        <v>0</v>
      </c>
      <c r="AV1345" s="12">
        <v>11</v>
      </c>
      <c r="AW1345" s="12">
        <f t="shared" si="303"/>
        <v>11</v>
      </c>
      <c r="AX1345" s="12">
        <v>2</v>
      </c>
      <c r="AY1345" s="12">
        <v>3</v>
      </c>
      <c r="AZ1345" s="12">
        <v>3</v>
      </c>
      <c r="BA1345" s="12">
        <f t="shared" si="304"/>
        <v>3</v>
      </c>
      <c r="BB1345" s="12">
        <v>2</v>
      </c>
      <c r="BC1345" s="12">
        <v>1</v>
      </c>
      <c r="BD1345" s="12">
        <f t="shared" si="313"/>
        <v>1</v>
      </c>
      <c r="BE1345" s="12">
        <v>2</v>
      </c>
      <c r="BF1345" s="12">
        <f t="shared" si="305"/>
        <v>2</v>
      </c>
      <c r="BG1345" s="12">
        <f t="shared" si="314"/>
        <v>2</v>
      </c>
      <c r="BH1345" s="67">
        <v>1</v>
      </c>
      <c r="BI1345" s="67">
        <v>0</v>
      </c>
      <c r="BJ1345" s="67">
        <v>0</v>
      </c>
      <c r="BK1345" s="67">
        <v>0</v>
      </c>
      <c r="BL1345" s="67">
        <v>1</v>
      </c>
      <c r="BM1345" s="67">
        <v>0</v>
      </c>
      <c r="BN1345" s="67">
        <v>0</v>
      </c>
      <c r="BO1345" s="67">
        <v>0</v>
      </c>
      <c r="BP1345" s="67">
        <v>0</v>
      </c>
      <c r="BQ1345" s="67">
        <v>2</v>
      </c>
      <c r="BR1345" s="67">
        <v>0</v>
      </c>
      <c r="BS1345" s="67">
        <v>0</v>
      </c>
      <c r="BT1345" s="67">
        <v>11</v>
      </c>
      <c r="BU1345" s="70">
        <v>0</v>
      </c>
      <c r="BV1345" s="29">
        <f t="shared" si="306"/>
        <v>0.94328208543892467</v>
      </c>
      <c r="BW1345">
        <f t="shared" si="307"/>
        <v>0.59502473559756086</v>
      </c>
      <c r="BX1345">
        <f t="shared" si="308"/>
        <v>3.593364373846001E-2</v>
      </c>
      <c r="BY1345">
        <f t="shared" si="309"/>
        <v>0.65423109602898355</v>
      </c>
      <c r="BZ1345">
        <f t="shared" si="310"/>
        <v>0.27045191444879263</v>
      </c>
      <c r="CA1345">
        <f t="shared" si="311"/>
        <v>0.86737663580280233</v>
      </c>
      <c r="CB1345">
        <f t="shared" si="312"/>
        <v>0.36858985273641137</v>
      </c>
    </row>
    <row r="1346" spans="1:80" x14ac:dyDescent="0.45">
      <c r="A1346" s="11">
        <v>37</v>
      </c>
      <c r="B1346" s="12">
        <f t="shared" ref="B1346:B1409" si="315">IF(A1346&gt;$CD$29,$CD$29,IF(A1346&lt;$CD$30,$CD$30,A1346))</f>
        <v>37</v>
      </c>
      <c r="C1346" s="12" t="s">
        <v>59</v>
      </c>
      <c r="D1346" s="12">
        <v>0</v>
      </c>
      <c r="E1346" s="12" t="s">
        <v>53</v>
      </c>
      <c r="F1346" s="12">
        <v>0</v>
      </c>
      <c r="G1346" s="12">
        <v>1</v>
      </c>
      <c r="H1346" s="12" t="s">
        <v>61</v>
      </c>
      <c r="I1346" s="12">
        <v>1</v>
      </c>
      <c r="J1346" s="12">
        <v>0</v>
      </c>
      <c r="K1346" s="12">
        <v>7</v>
      </c>
      <c r="L1346" s="12">
        <f t="shared" ref="L1346:L1409" si="316">IF(K1346&gt;$CD$25,$CD$25,IF(K1346&lt;$CD$26,$CD$26,K1346))</f>
        <v>7</v>
      </c>
      <c r="M1346" s="12">
        <v>4</v>
      </c>
      <c r="N1346" s="12" t="s">
        <v>70</v>
      </c>
      <c r="O1346" s="12">
        <v>0</v>
      </c>
      <c r="P1346" s="12">
        <v>0</v>
      </c>
      <c r="Q1346" s="12">
        <v>1</v>
      </c>
      <c r="R1346" s="12">
        <v>0</v>
      </c>
      <c r="S1346" s="12">
        <v>0</v>
      </c>
      <c r="T1346" s="12">
        <v>4</v>
      </c>
      <c r="U1346" s="12" t="s">
        <v>62</v>
      </c>
      <c r="V1346" s="12">
        <v>0</v>
      </c>
      <c r="W1346" s="12">
        <v>78</v>
      </c>
      <c r="X1346" s="12">
        <v>3</v>
      </c>
      <c r="Y1346" s="12">
        <v>2</v>
      </c>
      <c r="Z1346" s="12" t="s">
        <v>63</v>
      </c>
      <c r="AA1346" s="12">
        <v>0</v>
      </c>
      <c r="AB1346" s="12">
        <v>0</v>
      </c>
      <c r="AC1346" s="12">
        <v>0</v>
      </c>
      <c r="AD1346" s="12">
        <v>0</v>
      </c>
      <c r="AE1346" s="12">
        <v>0</v>
      </c>
      <c r="AF1346" s="12">
        <v>0</v>
      </c>
      <c r="AG1346" s="12">
        <v>0</v>
      </c>
      <c r="AH1346" s="12">
        <v>1</v>
      </c>
      <c r="AI1346" s="12">
        <v>1</v>
      </c>
      <c r="AJ1346" s="12" t="s">
        <v>64</v>
      </c>
      <c r="AK1346" s="12">
        <v>0</v>
      </c>
      <c r="AL1346" s="12">
        <v>1</v>
      </c>
      <c r="AM1346" s="12">
        <v>4284</v>
      </c>
      <c r="AN1346" s="12">
        <f t="shared" ref="AN1346:AN1409" si="317">IF(AM1346&gt;$CD$8,$CD$8,IF(AM1346&lt;$CD$9,$CD$9,AM1346))</f>
        <v>4284</v>
      </c>
      <c r="AO1346" s="12">
        <v>5</v>
      </c>
      <c r="AP1346" s="12" t="s">
        <v>52</v>
      </c>
      <c r="AQ1346" s="12">
        <v>1</v>
      </c>
      <c r="AR1346" s="12">
        <v>22</v>
      </c>
      <c r="AS1346" s="12">
        <v>4</v>
      </c>
      <c r="AT1346" s="12">
        <v>3</v>
      </c>
      <c r="AU1346" s="12">
        <v>1</v>
      </c>
      <c r="AV1346" s="12">
        <v>16</v>
      </c>
      <c r="AW1346" s="12">
        <f t="shared" ref="AW1346:AW1409" si="318">IF(AV1346&gt;$CD$17,$CD$17,IF(AV1346&lt;$CD$18,$CD$18,AV1346))</f>
        <v>16</v>
      </c>
      <c r="AX1346" s="12">
        <v>2</v>
      </c>
      <c r="AY1346" s="12">
        <v>3</v>
      </c>
      <c r="AZ1346" s="12">
        <v>5</v>
      </c>
      <c r="BA1346" s="12">
        <f t="shared" ref="BA1346:BA1409" si="319">IF(AZ1346&gt; $CD$21,$CD$21,IF(AZ1346&lt;$CD$22,$CD$22,AZ1346))</f>
        <v>5</v>
      </c>
      <c r="BB1346" s="12">
        <v>3</v>
      </c>
      <c r="BC1346" s="12">
        <v>0</v>
      </c>
      <c r="BD1346" s="12">
        <f t="shared" si="313"/>
        <v>0</v>
      </c>
      <c r="BE1346" s="12">
        <v>4</v>
      </c>
      <c r="BF1346" s="12">
        <f t="shared" ref="BF1346:BF1409" si="320">IF(BE1346&gt;$CD$12,$CD$12,IF(BE1346&lt;$CD$13,$CD$13,BE1346))</f>
        <v>4</v>
      </c>
      <c r="BG1346" s="12">
        <f t="shared" si="314"/>
        <v>8</v>
      </c>
      <c r="BH1346" s="67">
        <v>0</v>
      </c>
      <c r="BI1346" s="67">
        <v>1</v>
      </c>
      <c r="BJ1346" s="67">
        <v>0</v>
      </c>
      <c r="BK1346" s="67">
        <v>0</v>
      </c>
      <c r="BL1346" s="67">
        <v>0</v>
      </c>
      <c r="BM1346" s="67">
        <v>0</v>
      </c>
      <c r="BN1346" s="67">
        <v>0</v>
      </c>
      <c r="BO1346" s="67">
        <v>1</v>
      </c>
      <c r="BP1346" s="67">
        <v>0</v>
      </c>
      <c r="BQ1346" s="67">
        <v>4</v>
      </c>
      <c r="BR1346" s="67">
        <v>0</v>
      </c>
      <c r="BS1346" s="67">
        <v>0</v>
      </c>
      <c r="BT1346" s="67">
        <v>16</v>
      </c>
      <c r="BU1346" s="70">
        <v>0</v>
      </c>
      <c r="BV1346" s="29">
        <f t="shared" ref="BV1346:BV1409" si="321">ABS((AM1346-AVERAGE(AM:AM))/_xlfn.STDEV.S(AM:AM))</f>
        <v>0.47131513621432936</v>
      </c>
      <c r="BW1346">
        <f t="shared" ref="BW1346:BW1410" si="322">ABS((BE1346-AVERAGE(BE:BE))/_xlfn.STDEV.S(BE:BE))</f>
        <v>3.4508002929560584E-2</v>
      </c>
      <c r="BX1346">
        <f t="shared" ref="BX1346:BX1410" si="323">ABS((AV1346-AVERAGE(AV:AV))/_xlfn.STDEV.S(AV:AV))</f>
        <v>0.60667531362816052</v>
      </c>
      <c r="BY1346">
        <f t="shared" ref="BY1346:BY1410" si="324">ABS((AZ1346-AVERAGE(AZ:AZ))/_xlfn.STDEV.S(AZ:AZ))</f>
        <v>0.32778177112653761</v>
      </c>
      <c r="BZ1346">
        <f t="shared" ref="BZ1346:BZ1410" si="325">ABS((K1346-AVERAGE(K:K))/_xlfn.STDEV.S(K:K))</f>
        <v>0.27045191444879263</v>
      </c>
      <c r="CA1346">
        <f t="shared" ref="CA1346:CA1410" si="326">ABS((A1346-AVERAGE(A:A))/_xlfn.STDEV.S(A:A))</f>
        <v>8.3401599596422994E-3</v>
      </c>
      <c r="CB1346">
        <f t="shared" ref="CB1346:CB1410" si="327">ABS((BC1346-AVERAGE(BC:BC))/_xlfn.STDEV.S(BC:BC))</f>
        <v>0.67891464284095016</v>
      </c>
    </row>
    <row r="1347" spans="1:80" x14ac:dyDescent="0.45">
      <c r="A1347" s="11">
        <v>35</v>
      </c>
      <c r="B1347" s="12">
        <f t="shared" si="315"/>
        <v>35</v>
      </c>
      <c r="C1347" s="12" t="s">
        <v>59</v>
      </c>
      <c r="D1347" s="12">
        <v>0</v>
      </c>
      <c r="E1347" s="12" t="s">
        <v>53</v>
      </c>
      <c r="F1347" s="12">
        <v>0</v>
      </c>
      <c r="G1347" s="12">
        <v>1</v>
      </c>
      <c r="H1347" s="12" t="s">
        <v>61</v>
      </c>
      <c r="I1347" s="12">
        <v>1</v>
      </c>
      <c r="J1347" s="12">
        <v>0</v>
      </c>
      <c r="K1347" s="12">
        <v>16</v>
      </c>
      <c r="L1347" s="12">
        <f t="shared" si="316"/>
        <v>16</v>
      </c>
      <c r="M1347" s="12">
        <v>2</v>
      </c>
      <c r="N1347" s="12" t="s">
        <v>66</v>
      </c>
      <c r="O1347" s="12">
        <v>0</v>
      </c>
      <c r="P1347" s="12">
        <v>1</v>
      </c>
      <c r="Q1347" s="12">
        <v>0</v>
      </c>
      <c r="R1347" s="12">
        <v>0</v>
      </c>
      <c r="S1347" s="12">
        <v>0</v>
      </c>
      <c r="T1347" s="12">
        <v>4</v>
      </c>
      <c r="U1347" s="12" t="s">
        <v>19</v>
      </c>
      <c r="V1347" s="12">
        <v>1</v>
      </c>
      <c r="W1347" s="12">
        <v>44</v>
      </c>
      <c r="X1347" s="12">
        <v>2</v>
      </c>
      <c r="Y1347" s="12">
        <v>2</v>
      </c>
      <c r="Z1347" s="12" t="s">
        <v>83</v>
      </c>
      <c r="AA1347" s="12">
        <v>0</v>
      </c>
      <c r="AB1347" s="12">
        <v>0</v>
      </c>
      <c r="AC1347" s="12">
        <v>0</v>
      </c>
      <c r="AD1347" s="12">
        <v>0</v>
      </c>
      <c r="AE1347" s="12">
        <v>1</v>
      </c>
      <c r="AF1347" s="12">
        <v>1</v>
      </c>
      <c r="AG1347" s="12">
        <v>0</v>
      </c>
      <c r="AH1347" s="12">
        <v>0</v>
      </c>
      <c r="AI1347" s="12">
        <v>2</v>
      </c>
      <c r="AJ1347" s="12" t="s">
        <v>64</v>
      </c>
      <c r="AK1347" s="12">
        <v>0</v>
      </c>
      <c r="AL1347" s="12">
        <v>1</v>
      </c>
      <c r="AM1347" s="12">
        <v>4788</v>
      </c>
      <c r="AN1347" s="12">
        <f t="shared" si="317"/>
        <v>4788</v>
      </c>
      <c r="AO1347" s="12">
        <v>0</v>
      </c>
      <c r="AP1347" s="12" t="s">
        <v>52</v>
      </c>
      <c r="AQ1347" s="12">
        <v>1</v>
      </c>
      <c r="AR1347" s="12">
        <v>11</v>
      </c>
      <c r="AS1347" s="12">
        <v>3</v>
      </c>
      <c r="AT1347" s="12">
        <v>4</v>
      </c>
      <c r="AU1347" s="12">
        <v>0</v>
      </c>
      <c r="AV1347" s="12">
        <v>4</v>
      </c>
      <c r="AW1347" s="12">
        <f t="shared" si="318"/>
        <v>4</v>
      </c>
      <c r="AX1347" s="12">
        <v>2</v>
      </c>
      <c r="AY1347" s="12">
        <v>3</v>
      </c>
      <c r="AZ1347" s="12">
        <v>3</v>
      </c>
      <c r="BA1347" s="12">
        <f t="shared" si="319"/>
        <v>3</v>
      </c>
      <c r="BB1347" s="12">
        <v>2</v>
      </c>
      <c r="BC1347" s="12">
        <v>0</v>
      </c>
      <c r="BD1347" s="12">
        <f t="shared" ref="BD1347:BD1410" si="328">IF(BC1347&gt;$CD$33,$CD$33,BC1347)</f>
        <v>0</v>
      </c>
      <c r="BE1347" s="12">
        <v>2</v>
      </c>
      <c r="BF1347" s="12">
        <f t="shared" si="320"/>
        <v>2</v>
      </c>
      <c r="BG1347" s="12">
        <f t="shared" ref="BG1347:BG1410" si="329">BF1347*Y1347</f>
        <v>4</v>
      </c>
      <c r="BH1347" s="67">
        <v>0</v>
      </c>
      <c r="BI1347" s="67">
        <v>1</v>
      </c>
      <c r="BJ1347" s="67">
        <v>0</v>
      </c>
      <c r="BK1347" s="67">
        <v>0</v>
      </c>
      <c r="BL1347" s="67">
        <v>0</v>
      </c>
      <c r="BM1347" s="67">
        <v>0</v>
      </c>
      <c r="BN1347" s="67">
        <v>0</v>
      </c>
      <c r="BO1347" s="67">
        <v>1</v>
      </c>
      <c r="BP1347" s="67">
        <v>0</v>
      </c>
      <c r="BQ1347" s="67">
        <v>2</v>
      </c>
      <c r="BR1347" s="67">
        <v>0</v>
      </c>
      <c r="BS1347" s="67">
        <v>0</v>
      </c>
      <c r="BT1347" s="67">
        <v>4</v>
      </c>
      <c r="BU1347" s="70">
        <v>0</v>
      </c>
      <c r="BV1347" s="29">
        <f t="shared" si="321"/>
        <v>0.36426232684925464</v>
      </c>
      <c r="BW1347">
        <f t="shared" si="322"/>
        <v>0.59502473559756086</v>
      </c>
      <c r="BX1347">
        <f t="shared" si="323"/>
        <v>0.93558618405172878</v>
      </c>
      <c r="BY1347">
        <f t="shared" si="324"/>
        <v>0.65423109602898355</v>
      </c>
      <c r="BZ1347">
        <f t="shared" si="325"/>
        <v>0.83971837042788355</v>
      </c>
      <c r="CA1347">
        <f t="shared" si="326"/>
        <v>0.21058903898096887</v>
      </c>
      <c r="CB1347">
        <f t="shared" si="327"/>
        <v>0.67891464284095016</v>
      </c>
    </row>
    <row r="1348" spans="1:80" x14ac:dyDescent="0.45">
      <c r="A1348" s="11">
        <v>45</v>
      </c>
      <c r="B1348" s="12">
        <f t="shared" si="315"/>
        <v>45</v>
      </c>
      <c r="C1348" s="12" t="s">
        <v>59</v>
      </c>
      <c r="D1348" s="12">
        <v>0</v>
      </c>
      <c r="E1348" s="12" t="s">
        <v>53</v>
      </c>
      <c r="F1348" s="12">
        <v>0</v>
      </c>
      <c r="G1348" s="12">
        <v>1</v>
      </c>
      <c r="H1348" s="12" t="s">
        <v>61</v>
      </c>
      <c r="I1348" s="12">
        <v>1</v>
      </c>
      <c r="J1348" s="12">
        <v>0</v>
      </c>
      <c r="K1348" s="12">
        <v>25</v>
      </c>
      <c r="L1348" s="12">
        <f t="shared" si="316"/>
        <v>25</v>
      </c>
      <c r="M1348" s="12">
        <v>2</v>
      </c>
      <c r="N1348" s="12" t="s">
        <v>55</v>
      </c>
      <c r="O1348" s="12">
        <v>1</v>
      </c>
      <c r="P1348" s="12">
        <v>0</v>
      </c>
      <c r="Q1348" s="12">
        <v>0</v>
      </c>
      <c r="R1348" s="12">
        <v>0</v>
      </c>
      <c r="S1348" s="12">
        <v>0</v>
      </c>
      <c r="T1348" s="12">
        <v>2</v>
      </c>
      <c r="U1348" s="12" t="s">
        <v>19</v>
      </c>
      <c r="V1348" s="12">
        <v>1</v>
      </c>
      <c r="W1348" s="12">
        <v>93</v>
      </c>
      <c r="X1348" s="12">
        <v>2</v>
      </c>
      <c r="Y1348" s="12">
        <v>2</v>
      </c>
      <c r="Z1348" s="12" t="s">
        <v>83</v>
      </c>
      <c r="AA1348" s="12">
        <v>0</v>
      </c>
      <c r="AB1348" s="12">
        <v>0</v>
      </c>
      <c r="AC1348" s="12">
        <v>0</v>
      </c>
      <c r="AD1348" s="12">
        <v>0</v>
      </c>
      <c r="AE1348" s="12">
        <v>1</v>
      </c>
      <c r="AF1348" s="12">
        <v>1</v>
      </c>
      <c r="AG1348" s="12">
        <v>0</v>
      </c>
      <c r="AH1348" s="12">
        <v>0</v>
      </c>
      <c r="AI1348" s="12">
        <v>4</v>
      </c>
      <c r="AJ1348" s="12" t="s">
        <v>64</v>
      </c>
      <c r="AK1348" s="12">
        <v>0</v>
      </c>
      <c r="AL1348" s="12">
        <v>1</v>
      </c>
      <c r="AM1348" s="12">
        <v>5906</v>
      </c>
      <c r="AN1348" s="12">
        <f t="shared" si="317"/>
        <v>5906</v>
      </c>
      <c r="AO1348" s="12">
        <v>0</v>
      </c>
      <c r="AP1348" s="12" t="s">
        <v>59</v>
      </c>
      <c r="AQ1348" s="12">
        <v>0</v>
      </c>
      <c r="AR1348" s="12">
        <v>13</v>
      </c>
      <c r="AS1348" s="12">
        <v>3</v>
      </c>
      <c r="AT1348" s="12">
        <v>4</v>
      </c>
      <c r="AU1348" s="12">
        <v>2</v>
      </c>
      <c r="AV1348" s="12">
        <v>10</v>
      </c>
      <c r="AW1348" s="12">
        <f t="shared" si="318"/>
        <v>10</v>
      </c>
      <c r="AX1348" s="12">
        <v>2</v>
      </c>
      <c r="AY1348" s="12">
        <v>2</v>
      </c>
      <c r="AZ1348" s="12">
        <v>9</v>
      </c>
      <c r="BA1348" s="12">
        <f t="shared" si="319"/>
        <v>9</v>
      </c>
      <c r="BB1348" s="12">
        <v>8</v>
      </c>
      <c r="BC1348" s="12">
        <v>3</v>
      </c>
      <c r="BD1348" s="12">
        <f t="shared" si="328"/>
        <v>3</v>
      </c>
      <c r="BE1348" s="12">
        <v>8</v>
      </c>
      <c r="BF1348" s="12">
        <f t="shared" si="320"/>
        <v>8</v>
      </c>
      <c r="BG1348" s="12">
        <f t="shared" si="329"/>
        <v>16</v>
      </c>
      <c r="BH1348" s="67">
        <v>0</v>
      </c>
      <c r="BI1348" s="67">
        <v>1</v>
      </c>
      <c r="BJ1348" s="67">
        <v>0</v>
      </c>
      <c r="BK1348" s="67">
        <v>0</v>
      </c>
      <c r="BL1348" s="67">
        <v>0</v>
      </c>
      <c r="BM1348" s="67">
        <v>0</v>
      </c>
      <c r="BN1348" s="67">
        <v>1</v>
      </c>
      <c r="BO1348" s="67">
        <v>0</v>
      </c>
      <c r="BP1348" s="67">
        <v>0</v>
      </c>
      <c r="BQ1348" s="67">
        <v>8</v>
      </c>
      <c r="BR1348" s="67">
        <v>0</v>
      </c>
      <c r="BS1348" s="67">
        <v>0</v>
      </c>
      <c r="BT1348" s="67">
        <v>10</v>
      </c>
      <c r="BU1348" s="70">
        <v>0</v>
      </c>
      <c r="BV1348" s="29">
        <f t="shared" si="321"/>
        <v>0.12679200766244209</v>
      </c>
      <c r="BW1348">
        <f t="shared" si="322"/>
        <v>1.08652546240644</v>
      </c>
      <c r="BX1348">
        <f t="shared" si="323"/>
        <v>0.1644554352117841</v>
      </c>
      <c r="BY1348">
        <f t="shared" si="324"/>
        <v>0.32511687867835437</v>
      </c>
      <c r="BZ1348">
        <f t="shared" si="325"/>
        <v>1.9498886553045598</v>
      </c>
      <c r="CA1348">
        <f t="shared" si="326"/>
        <v>0.88405695572208698</v>
      </c>
      <c r="CB1348">
        <f t="shared" si="327"/>
        <v>0.2520597274726662</v>
      </c>
    </row>
    <row r="1349" spans="1:80" x14ac:dyDescent="0.45">
      <c r="A1349" s="11">
        <v>36</v>
      </c>
      <c r="B1349" s="12">
        <f t="shared" si="315"/>
        <v>36</v>
      </c>
      <c r="C1349" s="12" t="s">
        <v>59</v>
      </c>
      <c r="D1349" s="12">
        <v>0</v>
      </c>
      <c r="E1349" s="12" t="s">
        <v>60</v>
      </c>
      <c r="F1349" s="12">
        <v>1</v>
      </c>
      <c r="G1349" s="12">
        <v>0</v>
      </c>
      <c r="H1349" s="12" t="s">
        <v>97</v>
      </c>
      <c r="I1349" s="12">
        <v>0</v>
      </c>
      <c r="J1349" s="12">
        <v>0</v>
      </c>
      <c r="K1349" s="12">
        <v>2</v>
      </c>
      <c r="L1349" s="12">
        <f t="shared" si="316"/>
        <v>2</v>
      </c>
      <c r="M1349" s="12">
        <v>1</v>
      </c>
      <c r="N1349" s="12" t="s">
        <v>97</v>
      </c>
      <c r="O1349" s="12">
        <v>0</v>
      </c>
      <c r="P1349" s="12">
        <v>0</v>
      </c>
      <c r="Q1349" s="12">
        <v>0</v>
      </c>
      <c r="R1349" s="12">
        <v>0</v>
      </c>
      <c r="S1349" s="12">
        <v>0</v>
      </c>
      <c r="T1349" s="12">
        <v>2</v>
      </c>
      <c r="U1349" s="12" t="s">
        <v>62</v>
      </c>
      <c r="V1349" s="12">
        <v>0</v>
      </c>
      <c r="W1349" s="12">
        <v>94</v>
      </c>
      <c r="X1349" s="12">
        <v>2</v>
      </c>
      <c r="Y1349" s="12">
        <v>2</v>
      </c>
      <c r="Z1349" s="12" t="s">
        <v>97</v>
      </c>
      <c r="AA1349" s="12">
        <v>0</v>
      </c>
      <c r="AB1349" s="12">
        <v>0</v>
      </c>
      <c r="AC1349" s="12">
        <v>0</v>
      </c>
      <c r="AD1349" s="12">
        <v>0</v>
      </c>
      <c r="AE1349" s="12">
        <v>0</v>
      </c>
      <c r="AF1349" s="12">
        <v>0</v>
      </c>
      <c r="AG1349" s="12">
        <v>0</v>
      </c>
      <c r="AH1349" s="12">
        <v>0</v>
      </c>
      <c r="AI1349" s="12">
        <v>4</v>
      </c>
      <c r="AJ1349" s="12" t="s">
        <v>57</v>
      </c>
      <c r="AK1349" s="12">
        <v>1</v>
      </c>
      <c r="AL1349" s="12">
        <v>0</v>
      </c>
      <c r="AM1349" s="12">
        <v>3886</v>
      </c>
      <c r="AN1349" s="12">
        <f t="shared" si="317"/>
        <v>3886</v>
      </c>
      <c r="AO1349" s="12">
        <v>1</v>
      </c>
      <c r="AP1349" s="12" t="s">
        <v>59</v>
      </c>
      <c r="AQ1349" s="12">
        <v>0</v>
      </c>
      <c r="AR1349" s="12">
        <v>21</v>
      </c>
      <c r="AS1349" s="12">
        <v>4</v>
      </c>
      <c r="AT1349" s="12">
        <v>4</v>
      </c>
      <c r="AU1349" s="12">
        <v>0</v>
      </c>
      <c r="AV1349" s="12">
        <v>10</v>
      </c>
      <c r="AW1349" s="12">
        <f t="shared" si="318"/>
        <v>10</v>
      </c>
      <c r="AX1349" s="12">
        <v>2</v>
      </c>
      <c r="AY1349" s="12">
        <v>2</v>
      </c>
      <c r="AZ1349" s="12">
        <v>10</v>
      </c>
      <c r="BA1349" s="12">
        <f t="shared" si="319"/>
        <v>10</v>
      </c>
      <c r="BB1349" s="12">
        <v>1</v>
      </c>
      <c r="BC1349" s="12">
        <v>0</v>
      </c>
      <c r="BD1349" s="12">
        <f t="shared" si="328"/>
        <v>0</v>
      </c>
      <c r="BE1349" s="12">
        <v>8</v>
      </c>
      <c r="BF1349" s="12">
        <f t="shared" si="320"/>
        <v>8</v>
      </c>
      <c r="BG1349" s="12">
        <f t="shared" si="329"/>
        <v>16</v>
      </c>
      <c r="BH1349" s="67">
        <v>0</v>
      </c>
      <c r="BI1349" s="67">
        <v>0</v>
      </c>
      <c r="BJ1349" s="67">
        <v>1</v>
      </c>
      <c r="BK1349" s="67">
        <v>0</v>
      </c>
      <c r="BL1349" s="67">
        <v>1</v>
      </c>
      <c r="BM1349" s="67">
        <v>0</v>
      </c>
      <c r="BN1349" s="67">
        <v>0</v>
      </c>
      <c r="BO1349" s="67">
        <v>0</v>
      </c>
      <c r="BP1349" s="67">
        <v>8</v>
      </c>
      <c r="BQ1349" s="67">
        <v>0</v>
      </c>
      <c r="BR1349" s="67">
        <v>0</v>
      </c>
      <c r="BS1349" s="67">
        <v>10</v>
      </c>
      <c r="BT1349" s="67">
        <v>0</v>
      </c>
      <c r="BU1349" s="70">
        <v>0</v>
      </c>
      <c r="BV1349" s="29">
        <f t="shared" si="321"/>
        <v>0.55585287059389232</v>
      </c>
      <c r="BW1349">
        <f t="shared" si="322"/>
        <v>1.08652546240644</v>
      </c>
      <c r="BX1349">
        <f t="shared" si="323"/>
        <v>0.1644554352117841</v>
      </c>
      <c r="BY1349">
        <f t="shared" si="324"/>
        <v>0.48834154112957734</v>
      </c>
      <c r="BZ1349">
        <f t="shared" si="325"/>
        <v>0.88721318382472392</v>
      </c>
      <c r="CA1349">
        <f t="shared" si="326"/>
        <v>0.10112443951066327</v>
      </c>
      <c r="CB1349">
        <f t="shared" si="327"/>
        <v>0.67891464284095016</v>
      </c>
    </row>
    <row r="1350" spans="1:80" x14ac:dyDescent="0.45">
      <c r="A1350" s="11">
        <v>40</v>
      </c>
      <c r="B1350" s="12">
        <f t="shared" si="315"/>
        <v>40</v>
      </c>
      <c r="C1350" s="12" t="s">
        <v>59</v>
      </c>
      <c r="D1350" s="12">
        <v>0</v>
      </c>
      <c r="E1350" s="12" t="s">
        <v>53</v>
      </c>
      <c r="F1350" s="12">
        <v>0</v>
      </c>
      <c r="G1350" s="12">
        <v>1</v>
      </c>
      <c r="H1350" s="12" t="s">
        <v>61</v>
      </c>
      <c r="I1350" s="12">
        <v>1</v>
      </c>
      <c r="J1350" s="12">
        <v>0</v>
      </c>
      <c r="K1350" s="12">
        <v>1</v>
      </c>
      <c r="L1350" s="12">
        <f t="shared" si="316"/>
        <v>1</v>
      </c>
      <c r="M1350" s="12">
        <v>4</v>
      </c>
      <c r="N1350" s="12" t="s">
        <v>55</v>
      </c>
      <c r="O1350" s="12">
        <v>1</v>
      </c>
      <c r="P1350" s="12">
        <v>0</v>
      </c>
      <c r="Q1350" s="12">
        <v>0</v>
      </c>
      <c r="R1350" s="12">
        <v>0</v>
      </c>
      <c r="S1350" s="12">
        <v>0</v>
      </c>
      <c r="T1350" s="12">
        <v>1</v>
      </c>
      <c r="U1350" s="12" t="s">
        <v>62</v>
      </c>
      <c r="V1350" s="12">
        <v>0</v>
      </c>
      <c r="W1350" s="12">
        <v>98</v>
      </c>
      <c r="X1350" s="12">
        <v>3</v>
      </c>
      <c r="Y1350" s="12">
        <v>4</v>
      </c>
      <c r="Z1350" s="12" t="s">
        <v>87</v>
      </c>
      <c r="AA1350" s="12">
        <v>0</v>
      </c>
      <c r="AB1350" s="12">
        <v>0</v>
      </c>
      <c r="AC1350" s="12">
        <v>0</v>
      </c>
      <c r="AD1350" s="12">
        <v>1</v>
      </c>
      <c r="AE1350" s="12">
        <v>0</v>
      </c>
      <c r="AF1350" s="12">
        <v>0</v>
      </c>
      <c r="AG1350" s="12">
        <v>0</v>
      </c>
      <c r="AH1350" s="12">
        <v>0</v>
      </c>
      <c r="AI1350" s="12">
        <v>1</v>
      </c>
      <c r="AJ1350" s="12" t="s">
        <v>78</v>
      </c>
      <c r="AK1350" s="12">
        <v>0</v>
      </c>
      <c r="AL1350" s="12">
        <v>0</v>
      </c>
      <c r="AM1350" s="12">
        <v>16823</v>
      </c>
      <c r="AN1350" s="12">
        <f t="shared" si="317"/>
        <v>16823</v>
      </c>
      <c r="AO1350" s="12">
        <v>2</v>
      </c>
      <c r="AP1350" s="12" t="s">
        <v>59</v>
      </c>
      <c r="AQ1350" s="12">
        <v>0</v>
      </c>
      <c r="AR1350" s="12">
        <v>11</v>
      </c>
      <c r="AS1350" s="12">
        <v>3</v>
      </c>
      <c r="AT1350" s="12">
        <v>1</v>
      </c>
      <c r="AU1350" s="12">
        <v>1</v>
      </c>
      <c r="AV1350" s="12">
        <v>22</v>
      </c>
      <c r="AW1350" s="12">
        <f t="shared" si="318"/>
        <v>22</v>
      </c>
      <c r="AX1350" s="12">
        <v>3</v>
      </c>
      <c r="AY1350" s="12">
        <v>3</v>
      </c>
      <c r="AZ1350" s="12">
        <v>19</v>
      </c>
      <c r="BA1350" s="12">
        <f t="shared" si="319"/>
        <v>19</v>
      </c>
      <c r="BB1350" s="12">
        <v>7</v>
      </c>
      <c r="BC1350" s="12">
        <v>11</v>
      </c>
      <c r="BD1350" s="12">
        <f t="shared" si="328"/>
        <v>11</v>
      </c>
      <c r="BE1350" s="12">
        <v>16</v>
      </c>
      <c r="BF1350" s="12">
        <f t="shared" si="320"/>
        <v>14</v>
      </c>
      <c r="BG1350" s="12">
        <f t="shared" si="329"/>
        <v>56</v>
      </c>
      <c r="BH1350" s="67">
        <v>1</v>
      </c>
      <c r="BI1350" s="67">
        <v>0</v>
      </c>
      <c r="BJ1350" s="67">
        <v>0</v>
      </c>
      <c r="BK1350" s="67">
        <v>0</v>
      </c>
      <c r="BL1350" s="67">
        <v>1</v>
      </c>
      <c r="BM1350" s="67">
        <v>0</v>
      </c>
      <c r="BN1350" s="67">
        <v>0</v>
      </c>
      <c r="BO1350" s="67">
        <v>0</v>
      </c>
      <c r="BP1350" s="67">
        <v>0</v>
      </c>
      <c r="BQ1350" s="67">
        <v>14</v>
      </c>
      <c r="BR1350" s="67">
        <v>0</v>
      </c>
      <c r="BS1350" s="67">
        <v>0</v>
      </c>
      <c r="BT1350" s="67">
        <v>22</v>
      </c>
      <c r="BU1350" s="70">
        <v>0</v>
      </c>
      <c r="BV1350" s="29">
        <f t="shared" si="321"/>
        <v>2.1920483094774799</v>
      </c>
      <c r="BW1350">
        <f t="shared" si="322"/>
        <v>3.3285923930784413</v>
      </c>
      <c r="BX1350">
        <f t="shared" si="323"/>
        <v>1.3778060624681052</v>
      </c>
      <c r="BY1350">
        <f t="shared" si="324"/>
        <v>1.9573635031905841</v>
      </c>
      <c r="BZ1350">
        <f t="shared" si="325"/>
        <v>1.01056543769991</v>
      </c>
      <c r="CA1350">
        <f t="shared" si="326"/>
        <v>0.33673395837055903</v>
      </c>
      <c r="CB1350">
        <f t="shared" si="327"/>
        <v>2.7346580483089769</v>
      </c>
    </row>
    <row r="1351" spans="1:80" x14ac:dyDescent="0.45">
      <c r="A1351" s="11">
        <v>26</v>
      </c>
      <c r="B1351" s="12">
        <f t="shared" si="315"/>
        <v>26</v>
      </c>
      <c r="C1351" s="12" t="s">
        <v>59</v>
      </c>
      <c r="D1351" s="12">
        <v>0</v>
      </c>
      <c r="E1351" s="12" t="s">
        <v>53</v>
      </c>
      <c r="F1351" s="12">
        <v>0</v>
      </c>
      <c r="G1351" s="12">
        <v>1</v>
      </c>
      <c r="H1351" s="12" t="s">
        <v>61</v>
      </c>
      <c r="I1351" s="12">
        <v>1</v>
      </c>
      <c r="J1351" s="12">
        <v>0</v>
      </c>
      <c r="K1351" s="12">
        <v>1</v>
      </c>
      <c r="L1351" s="12">
        <f t="shared" si="316"/>
        <v>1</v>
      </c>
      <c r="M1351" s="12">
        <v>2</v>
      </c>
      <c r="N1351" s="12" t="s">
        <v>55</v>
      </c>
      <c r="O1351" s="12">
        <v>1</v>
      </c>
      <c r="P1351" s="12">
        <v>0</v>
      </c>
      <c r="Q1351" s="12">
        <v>0</v>
      </c>
      <c r="R1351" s="12">
        <v>0</v>
      </c>
      <c r="S1351" s="12">
        <v>0</v>
      </c>
      <c r="T1351" s="12">
        <v>2</v>
      </c>
      <c r="U1351" s="12" t="s">
        <v>19</v>
      </c>
      <c r="V1351" s="12">
        <v>1</v>
      </c>
      <c r="W1351" s="12">
        <v>90</v>
      </c>
      <c r="X1351" s="12">
        <v>2</v>
      </c>
      <c r="Y1351" s="12">
        <v>1</v>
      </c>
      <c r="Z1351" s="12" t="s">
        <v>63</v>
      </c>
      <c r="AA1351" s="12">
        <v>0</v>
      </c>
      <c r="AB1351" s="12">
        <v>0</v>
      </c>
      <c r="AC1351" s="12">
        <v>0</v>
      </c>
      <c r="AD1351" s="12">
        <v>0</v>
      </c>
      <c r="AE1351" s="12">
        <v>0</v>
      </c>
      <c r="AF1351" s="12">
        <v>0</v>
      </c>
      <c r="AG1351" s="12">
        <v>0</v>
      </c>
      <c r="AH1351" s="12">
        <v>1</v>
      </c>
      <c r="AI1351" s="12">
        <v>3</v>
      </c>
      <c r="AJ1351" s="12" t="s">
        <v>64</v>
      </c>
      <c r="AK1351" s="12">
        <v>0</v>
      </c>
      <c r="AL1351" s="12">
        <v>1</v>
      </c>
      <c r="AM1351" s="12">
        <v>2933</v>
      </c>
      <c r="AN1351" s="12">
        <f t="shared" si="317"/>
        <v>2933</v>
      </c>
      <c r="AO1351" s="12">
        <v>1</v>
      </c>
      <c r="AP1351" s="12" t="s">
        <v>52</v>
      </c>
      <c r="AQ1351" s="12">
        <v>1</v>
      </c>
      <c r="AR1351" s="12">
        <v>13</v>
      </c>
      <c r="AS1351" s="12">
        <v>3</v>
      </c>
      <c r="AT1351" s="12">
        <v>3</v>
      </c>
      <c r="AU1351" s="12">
        <v>1</v>
      </c>
      <c r="AV1351" s="12">
        <v>1</v>
      </c>
      <c r="AW1351" s="12">
        <f t="shared" si="318"/>
        <v>1</v>
      </c>
      <c r="AX1351" s="12">
        <v>3</v>
      </c>
      <c r="AY1351" s="12">
        <v>2</v>
      </c>
      <c r="AZ1351" s="12">
        <v>1</v>
      </c>
      <c r="BA1351" s="12">
        <f t="shared" si="319"/>
        <v>1</v>
      </c>
      <c r="BB1351" s="12">
        <v>0</v>
      </c>
      <c r="BC1351" s="12">
        <v>1</v>
      </c>
      <c r="BD1351" s="12">
        <f t="shared" si="328"/>
        <v>1</v>
      </c>
      <c r="BE1351" s="12">
        <v>0</v>
      </c>
      <c r="BF1351" s="12">
        <f t="shared" si="320"/>
        <v>0</v>
      </c>
      <c r="BG1351" s="12">
        <f t="shared" si="329"/>
        <v>0</v>
      </c>
      <c r="BH1351" s="67">
        <v>0</v>
      </c>
      <c r="BI1351" s="67">
        <v>1</v>
      </c>
      <c r="BJ1351" s="67">
        <v>0</v>
      </c>
      <c r="BK1351" s="67">
        <v>0</v>
      </c>
      <c r="BL1351" s="67">
        <v>0</v>
      </c>
      <c r="BM1351" s="67">
        <v>0</v>
      </c>
      <c r="BN1351" s="67">
        <v>0</v>
      </c>
      <c r="BO1351" s="67">
        <v>1</v>
      </c>
      <c r="BP1351" s="67">
        <v>0</v>
      </c>
      <c r="BQ1351" s="67">
        <v>0</v>
      </c>
      <c r="BR1351" s="67">
        <v>0</v>
      </c>
      <c r="BS1351" s="67">
        <v>0</v>
      </c>
      <c r="BT1351" s="67">
        <v>1</v>
      </c>
      <c r="BU1351" s="70">
        <v>0</v>
      </c>
      <c r="BV1351" s="29">
        <f t="shared" si="321"/>
        <v>0.75827613909571023</v>
      </c>
      <c r="BW1351">
        <f t="shared" si="322"/>
        <v>1.1555414682655611</v>
      </c>
      <c r="BX1351">
        <f t="shared" si="323"/>
        <v>1.3211515584717011</v>
      </c>
      <c r="BY1351">
        <f t="shared" si="324"/>
        <v>0.9806804209314296</v>
      </c>
      <c r="BZ1351">
        <f t="shared" si="325"/>
        <v>1.01056543769991</v>
      </c>
      <c r="CA1351">
        <f t="shared" si="326"/>
        <v>1.195770434213719</v>
      </c>
      <c r="CB1351">
        <f t="shared" si="327"/>
        <v>0.36858985273641137</v>
      </c>
    </row>
    <row r="1352" spans="1:80" x14ac:dyDescent="0.45">
      <c r="A1352" s="11">
        <v>27</v>
      </c>
      <c r="B1352" s="12">
        <f t="shared" si="315"/>
        <v>27</v>
      </c>
      <c r="C1352" s="12" t="s">
        <v>59</v>
      </c>
      <c r="D1352" s="12">
        <v>0</v>
      </c>
      <c r="E1352" s="12" t="s">
        <v>53</v>
      </c>
      <c r="F1352" s="12">
        <v>0</v>
      </c>
      <c r="G1352" s="12">
        <v>1</v>
      </c>
      <c r="H1352" s="12" t="s">
        <v>54</v>
      </c>
      <c r="I1352" s="12">
        <v>0</v>
      </c>
      <c r="J1352" s="12">
        <v>1</v>
      </c>
      <c r="K1352" s="12">
        <v>2</v>
      </c>
      <c r="L1352" s="12">
        <f t="shared" si="316"/>
        <v>2</v>
      </c>
      <c r="M1352" s="12">
        <v>2</v>
      </c>
      <c r="N1352" s="12" t="s">
        <v>70</v>
      </c>
      <c r="O1352" s="12">
        <v>0</v>
      </c>
      <c r="P1352" s="12">
        <v>0</v>
      </c>
      <c r="Q1352" s="12">
        <v>1</v>
      </c>
      <c r="R1352" s="12">
        <v>0</v>
      </c>
      <c r="S1352" s="12">
        <v>0</v>
      </c>
      <c r="T1352" s="12">
        <v>1</v>
      </c>
      <c r="U1352" s="12" t="s">
        <v>19</v>
      </c>
      <c r="V1352" s="12">
        <v>1</v>
      </c>
      <c r="W1352" s="12">
        <v>89</v>
      </c>
      <c r="X1352" s="12">
        <v>4</v>
      </c>
      <c r="Y1352" s="12">
        <v>2</v>
      </c>
      <c r="Z1352" s="12" t="s">
        <v>56</v>
      </c>
      <c r="AA1352" s="12">
        <v>0</v>
      </c>
      <c r="AB1352" s="12">
        <v>1</v>
      </c>
      <c r="AC1352" s="12">
        <v>0</v>
      </c>
      <c r="AD1352" s="12">
        <v>0</v>
      </c>
      <c r="AE1352" s="12">
        <v>0</v>
      </c>
      <c r="AF1352" s="12">
        <v>0</v>
      </c>
      <c r="AG1352" s="12">
        <v>0</v>
      </c>
      <c r="AH1352" s="12">
        <v>0</v>
      </c>
      <c r="AI1352" s="12">
        <v>3</v>
      </c>
      <c r="AJ1352" s="12" t="s">
        <v>57</v>
      </c>
      <c r="AK1352" s="12">
        <v>1</v>
      </c>
      <c r="AL1352" s="12">
        <v>0</v>
      </c>
      <c r="AM1352" s="12">
        <v>6500</v>
      </c>
      <c r="AN1352" s="12">
        <f t="shared" si="317"/>
        <v>6500</v>
      </c>
      <c r="AO1352" s="12">
        <v>0</v>
      </c>
      <c r="AP1352" s="12" t="s">
        <v>59</v>
      </c>
      <c r="AQ1352" s="12">
        <v>0</v>
      </c>
      <c r="AR1352" s="12">
        <v>14</v>
      </c>
      <c r="AS1352" s="12">
        <v>3</v>
      </c>
      <c r="AT1352" s="12">
        <v>2</v>
      </c>
      <c r="AU1352" s="12">
        <v>0</v>
      </c>
      <c r="AV1352" s="12">
        <v>9</v>
      </c>
      <c r="AW1352" s="12">
        <f t="shared" si="318"/>
        <v>9</v>
      </c>
      <c r="AX1352" s="12">
        <v>5</v>
      </c>
      <c r="AY1352" s="12">
        <v>2</v>
      </c>
      <c r="AZ1352" s="12">
        <v>8</v>
      </c>
      <c r="BA1352" s="12">
        <f t="shared" si="319"/>
        <v>8</v>
      </c>
      <c r="BB1352" s="12">
        <v>7</v>
      </c>
      <c r="BC1352" s="12">
        <v>0</v>
      </c>
      <c r="BD1352" s="12">
        <f t="shared" si="328"/>
        <v>0</v>
      </c>
      <c r="BE1352" s="12">
        <v>7</v>
      </c>
      <c r="BF1352" s="12">
        <f t="shared" si="320"/>
        <v>7</v>
      </c>
      <c r="BG1352" s="12">
        <f t="shared" si="329"/>
        <v>14</v>
      </c>
      <c r="BH1352" s="67">
        <v>1</v>
      </c>
      <c r="BI1352" s="67">
        <v>0</v>
      </c>
      <c r="BJ1352" s="67">
        <v>0</v>
      </c>
      <c r="BK1352" s="67">
        <v>0</v>
      </c>
      <c r="BL1352" s="67">
        <v>1</v>
      </c>
      <c r="BM1352" s="67">
        <v>0</v>
      </c>
      <c r="BN1352" s="67">
        <v>0</v>
      </c>
      <c r="BO1352" s="67">
        <v>0</v>
      </c>
      <c r="BP1352" s="67">
        <v>0</v>
      </c>
      <c r="BQ1352" s="67">
        <v>0</v>
      </c>
      <c r="BR1352" s="67">
        <v>7</v>
      </c>
      <c r="BS1352" s="67">
        <v>0</v>
      </c>
      <c r="BT1352" s="67">
        <v>0</v>
      </c>
      <c r="BU1352" s="70">
        <v>9</v>
      </c>
      <c r="BV1352" s="29">
        <f t="shared" si="321"/>
        <v>6.226251964611565E-4</v>
      </c>
      <c r="BW1352">
        <f t="shared" si="322"/>
        <v>0.80626709607243985</v>
      </c>
      <c r="BX1352">
        <f t="shared" si="323"/>
        <v>0.29297722668510823</v>
      </c>
      <c r="BY1352">
        <f t="shared" si="324"/>
        <v>0.16189221622713135</v>
      </c>
      <c r="BZ1352">
        <f t="shared" si="325"/>
        <v>0.88721318382472392</v>
      </c>
      <c r="CA1352">
        <f t="shared" si="326"/>
        <v>1.0863058347434136</v>
      </c>
      <c r="CB1352">
        <f t="shared" si="327"/>
        <v>0.67891464284095016</v>
      </c>
    </row>
    <row r="1353" spans="1:80" x14ac:dyDescent="0.45">
      <c r="A1353" s="11">
        <v>48</v>
      </c>
      <c r="B1353" s="12">
        <f t="shared" si="315"/>
        <v>48</v>
      </c>
      <c r="C1353" s="12" t="s">
        <v>59</v>
      </c>
      <c r="D1353" s="12">
        <v>0</v>
      </c>
      <c r="E1353" s="12" t="s">
        <v>60</v>
      </c>
      <c r="F1353" s="12">
        <v>1</v>
      </c>
      <c r="G1353" s="12">
        <v>0</v>
      </c>
      <c r="H1353" s="12" t="s">
        <v>61</v>
      </c>
      <c r="I1353" s="12">
        <v>1</v>
      </c>
      <c r="J1353" s="12">
        <v>0</v>
      </c>
      <c r="K1353" s="12">
        <v>22</v>
      </c>
      <c r="L1353" s="12">
        <f t="shared" si="316"/>
        <v>22</v>
      </c>
      <c r="M1353" s="12">
        <v>3</v>
      </c>
      <c r="N1353" s="12" t="s">
        <v>70</v>
      </c>
      <c r="O1353" s="12">
        <v>0</v>
      </c>
      <c r="P1353" s="12">
        <v>0</v>
      </c>
      <c r="Q1353" s="12">
        <v>1</v>
      </c>
      <c r="R1353" s="12">
        <v>0</v>
      </c>
      <c r="S1353" s="12">
        <v>0</v>
      </c>
      <c r="T1353" s="12">
        <v>4</v>
      </c>
      <c r="U1353" s="12" t="s">
        <v>19</v>
      </c>
      <c r="V1353" s="12">
        <v>1</v>
      </c>
      <c r="W1353" s="12">
        <v>58</v>
      </c>
      <c r="X1353" s="12">
        <v>3</v>
      </c>
      <c r="Y1353" s="12">
        <v>4</v>
      </c>
      <c r="Z1353" s="12" t="s">
        <v>87</v>
      </c>
      <c r="AA1353" s="12">
        <v>0</v>
      </c>
      <c r="AB1353" s="12">
        <v>0</v>
      </c>
      <c r="AC1353" s="12">
        <v>0</v>
      </c>
      <c r="AD1353" s="12">
        <v>1</v>
      </c>
      <c r="AE1353" s="12">
        <v>0</v>
      </c>
      <c r="AF1353" s="12">
        <v>0</v>
      </c>
      <c r="AG1353" s="12">
        <v>0</v>
      </c>
      <c r="AH1353" s="12">
        <v>0</v>
      </c>
      <c r="AI1353" s="12">
        <v>4</v>
      </c>
      <c r="AJ1353" s="12" t="s">
        <v>78</v>
      </c>
      <c r="AK1353" s="12">
        <v>0</v>
      </c>
      <c r="AL1353" s="12">
        <v>0</v>
      </c>
      <c r="AM1353" s="12">
        <v>17174</v>
      </c>
      <c r="AN1353" s="12">
        <f t="shared" si="317"/>
        <v>17174</v>
      </c>
      <c r="AO1353" s="12">
        <v>3</v>
      </c>
      <c r="AP1353" s="12" t="s">
        <v>59</v>
      </c>
      <c r="AQ1353" s="12">
        <v>0</v>
      </c>
      <c r="AR1353" s="12">
        <v>11</v>
      </c>
      <c r="AS1353" s="12">
        <v>3</v>
      </c>
      <c r="AT1353" s="12">
        <v>2</v>
      </c>
      <c r="AU1353" s="12">
        <v>1</v>
      </c>
      <c r="AV1353" s="12">
        <v>24</v>
      </c>
      <c r="AW1353" s="12">
        <f t="shared" si="318"/>
        <v>24</v>
      </c>
      <c r="AX1353" s="12">
        <v>3</v>
      </c>
      <c r="AY1353" s="12">
        <v>3</v>
      </c>
      <c r="AZ1353" s="12">
        <v>22</v>
      </c>
      <c r="BA1353" s="12">
        <f t="shared" si="319"/>
        <v>22</v>
      </c>
      <c r="BB1353" s="12">
        <v>17</v>
      </c>
      <c r="BC1353" s="12">
        <v>4</v>
      </c>
      <c r="BD1353" s="12">
        <f t="shared" si="328"/>
        <v>4</v>
      </c>
      <c r="BE1353" s="12">
        <v>7</v>
      </c>
      <c r="BF1353" s="12">
        <f t="shared" si="320"/>
        <v>7</v>
      </c>
      <c r="BG1353" s="12">
        <f t="shared" si="329"/>
        <v>28</v>
      </c>
      <c r="BH1353" s="67">
        <v>0</v>
      </c>
      <c r="BI1353" s="67">
        <v>0</v>
      </c>
      <c r="BJ1353" s="67">
        <v>1</v>
      </c>
      <c r="BK1353" s="67">
        <v>0</v>
      </c>
      <c r="BL1353" s="67">
        <v>1</v>
      </c>
      <c r="BM1353" s="67">
        <v>0</v>
      </c>
      <c r="BN1353" s="67">
        <v>0</v>
      </c>
      <c r="BO1353" s="67">
        <v>0</v>
      </c>
      <c r="BP1353" s="67">
        <v>0</v>
      </c>
      <c r="BQ1353" s="67">
        <v>7</v>
      </c>
      <c r="BR1353" s="67">
        <v>0</v>
      </c>
      <c r="BS1353" s="67">
        <v>0</v>
      </c>
      <c r="BT1353" s="67">
        <v>24</v>
      </c>
      <c r="BU1353" s="70">
        <v>0</v>
      </c>
      <c r="BV1353" s="29">
        <f t="shared" si="321"/>
        <v>2.2666029445710141</v>
      </c>
      <c r="BW1353">
        <f t="shared" si="322"/>
        <v>0.80626709607243985</v>
      </c>
      <c r="BX1353">
        <f t="shared" si="323"/>
        <v>1.6348496454147534</v>
      </c>
      <c r="BY1353">
        <f t="shared" si="324"/>
        <v>2.4470374905442531</v>
      </c>
      <c r="BZ1353">
        <f t="shared" si="325"/>
        <v>1.579831893679001</v>
      </c>
      <c r="CA1353">
        <f t="shared" si="326"/>
        <v>1.2124507541330036</v>
      </c>
      <c r="CB1353">
        <f t="shared" si="327"/>
        <v>0.56238451757720498</v>
      </c>
    </row>
    <row r="1354" spans="1:80" x14ac:dyDescent="0.45">
      <c r="A1354" s="11">
        <v>44</v>
      </c>
      <c r="B1354" s="12">
        <f t="shared" si="315"/>
        <v>44</v>
      </c>
      <c r="C1354" s="12" t="s">
        <v>59</v>
      </c>
      <c r="D1354" s="12">
        <v>0</v>
      </c>
      <c r="E1354" s="12" t="s">
        <v>53</v>
      </c>
      <c r="F1354" s="12">
        <v>0</v>
      </c>
      <c r="G1354" s="12">
        <v>1</v>
      </c>
      <c r="H1354" s="12" t="s">
        <v>61</v>
      </c>
      <c r="I1354" s="12">
        <v>1</v>
      </c>
      <c r="J1354" s="12">
        <v>0</v>
      </c>
      <c r="K1354" s="12">
        <v>1</v>
      </c>
      <c r="L1354" s="12">
        <f t="shared" si="316"/>
        <v>1</v>
      </c>
      <c r="M1354" s="12">
        <v>4</v>
      </c>
      <c r="N1354" s="12" t="s">
        <v>55</v>
      </c>
      <c r="O1354" s="12">
        <v>1</v>
      </c>
      <c r="P1354" s="12">
        <v>0</v>
      </c>
      <c r="Q1354" s="12">
        <v>0</v>
      </c>
      <c r="R1354" s="12">
        <v>0</v>
      </c>
      <c r="S1354" s="12">
        <v>0</v>
      </c>
      <c r="T1354" s="12">
        <v>2</v>
      </c>
      <c r="U1354" s="12" t="s">
        <v>62</v>
      </c>
      <c r="V1354" s="12">
        <v>0</v>
      </c>
      <c r="W1354" s="12">
        <v>78</v>
      </c>
      <c r="X1354" s="12">
        <v>4</v>
      </c>
      <c r="Y1354" s="12">
        <v>2</v>
      </c>
      <c r="Z1354" s="12" t="s">
        <v>85</v>
      </c>
      <c r="AA1354" s="12">
        <v>1</v>
      </c>
      <c r="AB1354" s="12">
        <v>0</v>
      </c>
      <c r="AC1354" s="12">
        <v>0</v>
      </c>
      <c r="AD1354" s="12">
        <v>0</v>
      </c>
      <c r="AE1354" s="12">
        <v>0</v>
      </c>
      <c r="AF1354" s="12">
        <v>0</v>
      </c>
      <c r="AG1354" s="12">
        <v>0</v>
      </c>
      <c r="AH1354" s="12">
        <v>0</v>
      </c>
      <c r="AI1354" s="12">
        <v>1</v>
      </c>
      <c r="AJ1354" s="12" t="s">
        <v>64</v>
      </c>
      <c r="AK1354" s="12">
        <v>0</v>
      </c>
      <c r="AL1354" s="12">
        <v>1</v>
      </c>
      <c r="AM1354" s="12">
        <v>5033</v>
      </c>
      <c r="AN1354" s="12">
        <f t="shared" si="317"/>
        <v>5033</v>
      </c>
      <c r="AO1354" s="12">
        <v>2</v>
      </c>
      <c r="AP1354" s="12" t="s">
        <v>59</v>
      </c>
      <c r="AQ1354" s="12">
        <v>0</v>
      </c>
      <c r="AR1354" s="12">
        <v>15</v>
      </c>
      <c r="AS1354" s="12">
        <v>3</v>
      </c>
      <c r="AT1354" s="12">
        <v>4</v>
      </c>
      <c r="AU1354" s="12">
        <v>1</v>
      </c>
      <c r="AV1354" s="12">
        <v>10</v>
      </c>
      <c r="AW1354" s="12">
        <f t="shared" si="318"/>
        <v>10</v>
      </c>
      <c r="AX1354" s="12">
        <v>5</v>
      </c>
      <c r="AY1354" s="12">
        <v>3</v>
      </c>
      <c r="AZ1354" s="12">
        <v>2</v>
      </c>
      <c r="BA1354" s="12">
        <f t="shared" si="319"/>
        <v>2</v>
      </c>
      <c r="BB1354" s="12">
        <v>0</v>
      </c>
      <c r="BC1354" s="12">
        <v>2</v>
      </c>
      <c r="BD1354" s="12">
        <f t="shared" si="328"/>
        <v>2</v>
      </c>
      <c r="BE1354" s="12">
        <v>2</v>
      </c>
      <c r="BF1354" s="12">
        <f t="shared" si="320"/>
        <v>2</v>
      </c>
      <c r="BG1354" s="12">
        <f t="shared" si="329"/>
        <v>4</v>
      </c>
      <c r="BH1354" s="67">
        <v>0</v>
      </c>
      <c r="BI1354" s="67">
        <v>1</v>
      </c>
      <c r="BJ1354" s="67">
        <v>0</v>
      </c>
      <c r="BK1354" s="67">
        <v>0</v>
      </c>
      <c r="BL1354" s="67">
        <v>0</v>
      </c>
      <c r="BM1354" s="67">
        <v>0</v>
      </c>
      <c r="BN1354" s="67">
        <v>1</v>
      </c>
      <c r="BO1354" s="67">
        <v>0</v>
      </c>
      <c r="BP1354" s="67">
        <v>0</v>
      </c>
      <c r="BQ1354" s="67">
        <v>2</v>
      </c>
      <c r="BR1354" s="67">
        <v>0</v>
      </c>
      <c r="BS1354" s="67">
        <v>0</v>
      </c>
      <c r="BT1354" s="67">
        <v>10</v>
      </c>
      <c r="BU1354" s="70">
        <v>0</v>
      </c>
      <c r="BV1354" s="29">
        <f t="shared" si="321"/>
        <v>0.31222276674123223</v>
      </c>
      <c r="BW1354">
        <f t="shared" si="322"/>
        <v>0.59502473559756086</v>
      </c>
      <c r="BX1354">
        <f t="shared" si="323"/>
        <v>0.1644554352117841</v>
      </c>
      <c r="BY1354">
        <f t="shared" si="324"/>
        <v>0.81745575848020657</v>
      </c>
      <c r="BZ1354">
        <f t="shared" si="325"/>
        <v>1.01056543769991</v>
      </c>
      <c r="CA1354">
        <f t="shared" si="326"/>
        <v>0.77459235625178136</v>
      </c>
      <c r="CB1354">
        <f t="shared" si="327"/>
        <v>5.8265062631872602E-2</v>
      </c>
    </row>
    <row r="1355" spans="1:80" x14ac:dyDescent="0.45">
      <c r="A1355" s="11">
        <v>34</v>
      </c>
      <c r="B1355" s="12">
        <f t="shared" si="315"/>
        <v>34</v>
      </c>
      <c r="C1355" s="12" t="s">
        <v>52</v>
      </c>
      <c r="D1355" s="12">
        <v>1</v>
      </c>
      <c r="E1355" s="12" t="s">
        <v>86</v>
      </c>
      <c r="F1355" s="12">
        <v>0</v>
      </c>
      <c r="G1355" s="12">
        <v>0</v>
      </c>
      <c r="H1355" s="12" t="s">
        <v>61</v>
      </c>
      <c r="I1355" s="12">
        <v>1</v>
      </c>
      <c r="J1355" s="12">
        <v>0</v>
      </c>
      <c r="K1355" s="12">
        <v>16</v>
      </c>
      <c r="L1355" s="12">
        <f t="shared" si="316"/>
        <v>16</v>
      </c>
      <c r="M1355" s="12">
        <v>4</v>
      </c>
      <c r="N1355" s="12" t="s">
        <v>91</v>
      </c>
      <c r="O1355" s="12">
        <v>0</v>
      </c>
      <c r="P1355" s="12">
        <v>0</v>
      </c>
      <c r="Q1355" s="12">
        <v>0</v>
      </c>
      <c r="R1355" s="12">
        <v>0</v>
      </c>
      <c r="S1355" s="12">
        <v>1</v>
      </c>
      <c r="T1355" s="12">
        <v>4</v>
      </c>
      <c r="U1355" s="12" t="s">
        <v>62</v>
      </c>
      <c r="V1355" s="12">
        <v>0</v>
      </c>
      <c r="W1355" s="12">
        <v>85</v>
      </c>
      <c r="X1355" s="12">
        <v>1</v>
      </c>
      <c r="Y1355" s="12">
        <v>1</v>
      </c>
      <c r="Z1355" s="12" t="s">
        <v>63</v>
      </c>
      <c r="AA1355" s="12">
        <v>0</v>
      </c>
      <c r="AB1355" s="12">
        <v>0</v>
      </c>
      <c r="AC1355" s="12">
        <v>0</v>
      </c>
      <c r="AD1355" s="12">
        <v>0</v>
      </c>
      <c r="AE1355" s="12">
        <v>0</v>
      </c>
      <c r="AF1355" s="12">
        <v>0</v>
      </c>
      <c r="AG1355" s="12">
        <v>0</v>
      </c>
      <c r="AH1355" s="12">
        <v>1</v>
      </c>
      <c r="AI1355" s="12">
        <v>1</v>
      </c>
      <c r="AJ1355" s="12" t="s">
        <v>64</v>
      </c>
      <c r="AK1355" s="12">
        <v>0</v>
      </c>
      <c r="AL1355" s="12">
        <v>1</v>
      </c>
      <c r="AM1355" s="12">
        <v>2307</v>
      </c>
      <c r="AN1355" s="12">
        <f t="shared" si="317"/>
        <v>2307</v>
      </c>
      <c r="AO1355" s="12">
        <v>1</v>
      </c>
      <c r="AP1355" s="12" t="s">
        <v>52</v>
      </c>
      <c r="AQ1355" s="12">
        <v>1</v>
      </c>
      <c r="AR1355" s="12">
        <v>23</v>
      </c>
      <c r="AS1355" s="12">
        <v>4</v>
      </c>
      <c r="AT1355" s="12">
        <v>2</v>
      </c>
      <c r="AU1355" s="12">
        <v>1</v>
      </c>
      <c r="AV1355" s="12">
        <v>5</v>
      </c>
      <c r="AW1355" s="12">
        <f t="shared" si="318"/>
        <v>5</v>
      </c>
      <c r="AX1355" s="12">
        <v>2</v>
      </c>
      <c r="AY1355" s="12">
        <v>3</v>
      </c>
      <c r="AZ1355" s="12">
        <v>5</v>
      </c>
      <c r="BA1355" s="12">
        <f t="shared" si="319"/>
        <v>5</v>
      </c>
      <c r="BB1355" s="12">
        <v>2</v>
      </c>
      <c r="BC1355" s="12">
        <v>3</v>
      </c>
      <c r="BD1355" s="12">
        <f t="shared" si="328"/>
        <v>3</v>
      </c>
      <c r="BE1355" s="12">
        <v>0</v>
      </c>
      <c r="BF1355" s="12">
        <f t="shared" si="320"/>
        <v>0</v>
      </c>
      <c r="BG1355" s="12">
        <f t="shared" si="329"/>
        <v>0</v>
      </c>
      <c r="BH1355" s="67">
        <v>0</v>
      </c>
      <c r="BI1355" s="67">
        <v>1</v>
      </c>
      <c r="BJ1355" s="67">
        <v>0</v>
      </c>
      <c r="BK1355" s="67">
        <v>0</v>
      </c>
      <c r="BL1355" s="67">
        <v>0</v>
      </c>
      <c r="BM1355" s="67">
        <v>0</v>
      </c>
      <c r="BN1355" s="67">
        <v>0</v>
      </c>
      <c r="BO1355" s="67">
        <v>1</v>
      </c>
      <c r="BP1355" s="67">
        <v>0</v>
      </c>
      <c r="BQ1355" s="67">
        <v>0</v>
      </c>
      <c r="BR1355" s="67">
        <v>0</v>
      </c>
      <c r="BS1355" s="67">
        <v>0</v>
      </c>
      <c r="BT1355" s="67">
        <v>5</v>
      </c>
      <c r="BU1355" s="70">
        <v>0</v>
      </c>
      <c r="BV1355" s="29">
        <f t="shared" si="321"/>
        <v>0.8912425253309022</v>
      </c>
      <c r="BW1355">
        <f t="shared" si="322"/>
        <v>1.1555414682655611</v>
      </c>
      <c r="BX1355">
        <f t="shared" si="323"/>
        <v>0.80706439257840468</v>
      </c>
      <c r="BY1355">
        <f t="shared" si="324"/>
        <v>0.32778177112653761</v>
      </c>
      <c r="BZ1355">
        <f t="shared" si="325"/>
        <v>0.83971837042788355</v>
      </c>
      <c r="CA1355">
        <f t="shared" si="326"/>
        <v>0.32005363845127444</v>
      </c>
      <c r="CB1355">
        <f t="shared" si="327"/>
        <v>0.2520597274726662</v>
      </c>
    </row>
    <row r="1356" spans="1:80" x14ac:dyDescent="0.45">
      <c r="A1356" s="11">
        <v>56</v>
      </c>
      <c r="B1356" s="12">
        <f t="shared" si="315"/>
        <v>56</v>
      </c>
      <c r="C1356" s="12" t="s">
        <v>52</v>
      </c>
      <c r="D1356" s="12">
        <v>1</v>
      </c>
      <c r="E1356" s="12" t="s">
        <v>53</v>
      </c>
      <c r="F1356" s="12">
        <v>0</v>
      </c>
      <c r="G1356" s="12">
        <v>1</v>
      </c>
      <c r="H1356" s="12" t="s">
        <v>61</v>
      </c>
      <c r="I1356" s="12">
        <v>1</v>
      </c>
      <c r="J1356" s="12">
        <v>0</v>
      </c>
      <c r="K1356" s="12">
        <v>24</v>
      </c>
      <c r="L1356" s="12">
        <f t="shared" si="316"/>
        <v>24</v>
      </c>
      <c r="M1356" s="12">
        <v>2</v>
      </c>
      <c r="N1356" s="12" t="s">
        <v>55</v>
      </c>
      <c r="O1356" s="12">
        <v>1</v>
      </c>
      <c r="P1356" s="12">
        <v>0</v>
      </c>
      <c r="Q1356" s="12">
        <v>0</v>
      </c>
      <c r="R1356" s="12">
        <v>0</v>
      </c>
      <c r="S1356" s="12">
        <v>0</v>
      </c>
      <c r="T1356" s="12">
        <v>1</v>
      </c>
      <c r="U1356" s="12" t="s">
        <v>62</v>
      </c>
      <c r="V1356" s="12">
        <v>0</v>
      </c>
      <c r="W1356" s="12">
        <v>97</v>
      </c>
      <c r="X1356" s="12">
        <v>3</v>
      </c>
      <c r="Y1356" s="12">
        <v>1</v>
      </c>
      <c r="Z1356" s="12" t="s">
        <v>67</v>
      </c>
      <c r="AA1356" s="12">
        <v>0</v>
      </c>
      <c r="AB1356" s="12">
        <v>0</v>
      </c>
      <c r="AC1356" s="12">
        <v>1</v>
      </c>
      <c r="AD1356" s="12">
        <v>0</v>
      </c>
      <c r="AE1356" s="12">
        <v>0</v>
      </c>
      <c r="AF1356" s="12">
        <v>0</v>
      </c>
      <c r="AG1356" s="12">
        <v>0</v>
      </c>
      <c r="AH1356" s="12">
        <v>0</v>
      </c>
      <c r="AI1356" s="12">
        <v>4</v>
      </c>
      <c r="AJ1356" s="12" t="s">
        <v>57</v>
      </c>
      <c r="AK1356" s="12">
        <v>1</v>
      </c>
      <c r="AL1356" s="12">
        <v>0</v>
      </c>
      <c r="AM1356" s="12">
        <v>2587</v>
      </c>
      <c r="AN1356" s="12">
        <f t="shared" si="317"/>
        <v>2587</v>
      </c>
      <c r="AO1356" s="12">
        <v>1</v>
      </c>
      <c r="AP1356" s="12" t="s">
        <v>59</v>
      </c>
      <c r="AQ1356" s="12">
        <v>0</v>
      </c>
      <c r="AR1356" s="12">
        <v>16</v>
      </c>
      <c r="AS1356" s="12">
        <v>3</v>
      </c>
      <c r="AT1356" s="12">
        <v>4</v>
      </c>
      <c r="AU1356" s="12">
        <v>0</v>
      </c>
      <c r="AV1356" s="12">
        <v>5</v>
      </c>
      <c r="AW1356" s="12">
        <f t="shared" si="318"/>
        <v>5</v>
      </c>
      <c r="AX1356" s="12">
        <v>3</v>
      </c>
      <c r="AY1356" s="12">
        <v>3</v>
      </c>
      <c r="AZ1356" s="12">
        <v>4</v>
      </c>
      <c r="BA1356" s="12">
        <f t="shared" si="319"/>
        <v>4</v>
      </c>
      <c r="BB1356" s="12">
        <v>2</v>
      </c>
      <c r="BC1356" s="12">
        <v>1</v>
      </c>
      <c r="BD1356" s="12">
        <f t="shared" si="328"/>
        <v>1</v>
      </c>
      <c r="BE1356" s="12">
        <v>0</v>
      </c>
      <c r="BF1356" s="12">
        <f t="shared" si="320"/>
        <v>0</v>
      </c>
      <c r="BG1356" s="12">
        <f t="shared" si="329"/>
        <v>0</v>
      </c>
      <c r="BH1356" s="67">
        <v>1</v>
      </c>
      <c r="BI1356" s="67">
        <v>0</v>
      </c>
      <c r="BJ1356" s="67">
        <v>0</v>
      </c>
      <c r="BK1356" s="67">
        <v>0</v>
      </c>
      <c r="BL1356" s="67">
        <v>1</v>
      </c>
      <c r="BM1356" s="67">
        <v>0</v>
      </c>
      <c r="BN1356" s="67">
        <v>0</v>
      </c>
      <c r="BO1356" s="67">
        <v>0</v>
      </c>
      <c r="BP1356" s="67">
        <v>0</v>
      </c>
      <c r="BQ1356" s="67">
        <v>0</v>
      </c>
      <c r="BR1356" s="67">
        <v>0</v>
      </c>
      <c r="BS1356" s="67">
        <v>0</v>
      </c>
      <c r="BT1356" s="67">
        <v>5</v>
      </c>
      <c r="BU1356" s="70">
        <v>0</v>
      </c>
      <c r="BV1356" s="29">
        <f t="shared" si="321"/>
        <v>0.83176874235030518</v>
      </c>
      <c r="BW1356">
        <f t="shared" si="322"/>
        <v>1.1555414682655611</v>
      </c>
      <c r="BX1356">
        <f t="shared" si="323"/>
        <v>0.80706439257840468</v>
      </c>
      <c r="BY1356">
        <f t="shared" si="324"/>
        <v>0.49100643357776058</v>
      </c>
      <c r="BZ1356">
        <f t="shared" si="325"/>
        <v>1.8265364014293735</v>
      </c>
      <c r="CA1356">
        <f t="shared" si="326"/>
        <v>2.0881675498954482</v>
      </c>
      <c r="CB1356">
        <f t="shared" si="327"/>
        <v>0.36858985273641137</v>
      </c>
    </row>
    <row r="1357" spans="1:80" x14ac:dyDescent="0.45">
      <c r="A1357" s="11">
        <v>36</v>
      </c>
      <c r="B1357" s="12">
        <f t="shared" si="315"/>
        <v>36</v>
      </c>
      <c r="C1357" s="12" t="s">
        <v>59</v>
      </c>
      <c r="D1357" s="12">
        <v>0</v>
      </c>
      <c r="E1357" s="12" t="s">
        <v>53</v>
      </c>
      <c r="F1357" s="12">
        <v>0</v>
      </c>
      <c r="G1357" s="12">
        <v>1</v>
      </c>
      <c r="H1357" s="12" t="s">
        <v>54</v>
      </c>
      <c r="I1357" s="12">
        <v>0</v>
      </c>
      <c r="J1357" s="12">
        <v>1</v>
      </c>
      <c r="K1357" s="12">
        <v>17</v>
      </c>
      <c r="L1357" s="12">
        <f t="shared" si="316"/>
        <v>17</v>
      </c>
      <c r="M1357" s="12">
        <v>2</v>
      </c>
      <c r="N1357" s="12" t="s">
        <v>90</v>
      </c>
      <c r="O1357" s="12">
        <v>0</v>
      </c>
      <c r="P1357" s="12">
        <v>0</v>
      </c>
      <c r="Q1357" s="12">
        <v>0</v>
      </c>
      <c r="R1357" s="12">
        <v>1</v>
      </c>
      <c r="S1357" s="12">
        <v>0</v>
      </c>
      <c r="T1357" s="12">
        <v>3</v>
      </c>
      <c r="U1357" s="12" t="s">
        <v>62</v>
      </c>
      <c r="V1357" s="12">
        <v>0</v>
      </c>
      <c r="W1357" s="12">
        <v>33</v>
      </c>
      <c r="X1357" s="12">
        <v>2</v>
      </c>
      <c r="Y1357" s="12">
        <v>2</v>
      </c>
      <c r="Z1357" s="12" t="s">
        <v>56</v>
      </c>
      <c r="AA1357" s="12">
        <v>0</v>
      </c>
      <c r="AB1357" s="12">
        <v>1</v>
      </c>
      <c r="AC1357" s="12">
        <v>0</v>
      </c>
      <c r="AD1357" s="12">
        <v>0</v>
      </c>
      <c r="AE1357" s="12">
        <v>0</v>
      </c>
      <c r="AF1357" s="12">
        <v>0</v>
      </c>
      <c r="AG1357" s="12">
        <v>0</v>
      </c>
      <c r="AH1357" s="12">
        <v>0</v>
      </c>
      <c r="AI1357" s="12">
        <v>2</v>
      </c>
      <c r="AJ1357" s="12" t="s">
        <v>64</v>
      </c>
      <c r="AK1357" s="12">
        <v>0</v>
      </c>
      <c r="AL1357" s="12">
        <v>1</v>
      </c>
      <c r="AM1357" s="12">
        <v>5507</v>
      </c>
      <c r="AN1357" s="12">
        <f t="shared" si="317"/>
        <v>5507</v>
      </c>
      <c r="AO1357" s="12">
        <v>2</v>
      </c>
      <c r="AP1357" s="12" t="s">
        <v>59</v>
      </c>
      <c r="AQ1357" s="12">
        <v>0</v>
      </c>
      <c r="AR1357" s="12">
        <v>16</v>
      </c>
      <c r="AS1357" s="12">
        <v>3</v>
      </c>
      <c r="AT1357" s="12">
        <v>3</v>
      </c>
      <c r="AU1357" s="12">
        <v>2</v>
      </c>
      <c r="AV1357" s="12">
        <v>12</v>
      </c>
      <c r="AW1357" s="12">
        <f t="shared" si="318"/>
        <v>12</v>
      </c>
      <c r="AX1357" s="12">
        <v>1</v>
      </c>
      <c r="AY1357" s="12">
        <v>1</v>
      </c>
      <c r="AZ1357" s="12">
        <v>4</v>
      </c>
      <c r="BA1357" s="12">
        <f t="shared" si="319"/>
        <v>4</v>
      </c>
      <c r="BB1357" s="12">
        <v>2</v>
      </c>
      <c r="BC1357" s="12">
        <v>1</v>
      </c>
      <c r="BD1357" s="12">
        <f t="shared" si="328"/>
        <v>1</v>
      </c>
      <c r="BE1357" s="12">
        <v>3</v>
      </c>
      <c r="BF1357" s="12">
        <f t="shared" si="320"/>
        <v>3</v>
      </c>
      <c r="BG1357" s="12">
        <f t="shared" si="329"/>
        <v>6</v>
      </c>
      <c r="BH1357" s="67">
        <v>0</v>
      </c>
      <c r="BI1357" s="67">
        <v>1</v>
      </c>
      <c r="BJ1357" s="67">
        <v>0</v>
      </c>
      <c r="BK1357" s="67">
        <v>0</v>
      </c>
      <c r="BL1357" s="67">
        <v>0</v>
      </c>
      <c r="BM1357" s="67">
        <v>0</v>
      </c>
      <c r="BN1357" s="67">
        <v>1</v>
      </c>
      <c r="BO1357" s="67">
        <v>0</v>
      </c>
      <c r="BP1357" s="67">
        <v>0</v>
      </c>
      <c r="BQ1357" s="67">
        <v>0</v>
      </c>
      <c r="BR1357" s="67">
        <v>3</v>
      </c>
      <c r="BS1357" s="67">
        <v>0</v>
      </c>
      <c r="BT1357" s="67">
        <v>0</v>
      </c>
      <c r="BU1357" s="70">
        <v>12</v>
      </c>
      <c r="BV1357" s="29">
        <f t="shared" si="321"/>
        <v>0.21154214840979291</v>
      </c>
      <c r="BW1357">
        <f t="shared" si="322"/>
        <v>0.31476636926356072</v>
      </c>
      <c r="BX1357">
        <f t="shared" si="323"/>
        <v>9.2588147734864096E-2</v>
      </c>
      <c r="BY1357">
        <f t="shared" si="324"/>
        <v>0.49100643357776058</v>
      </c>
      <c r="BZ1357">
        <f t="shared" si="325"/>
        <v>0.96307062430306978</v>
      </c>
      <c r="CA1357">
        <f t="shared" si="326"/>
        <v>0.10112443951066327</v>
      </c>
      <c r="CB1357">
        <f t="shared" si="327"/>
        <v>0.36858985273641137</v>
      </c>
    </row>
    <row r="1358" spans="1:80" x14ac:dyDescent="0.45">
      <c r="A1358" s="11">
        <v>41</v>
      </c>
      <c r="B1358" s="12">
        <f t="shared" si="315"/>
        <v>41</v>
      </c>
      <c r="C1358" s="12" t="s">
        <v>59</v>
      </c>
      <c r="D1358" s="12">
        <v>0</v>
      </c>
      <c r="E1358" s="12" t="s">
        <v>53</v>
      </c>
      <c r="F1358" s="12">
        <v>0</v>
      </c>
      <c r="G1358" s="12">
        <v>1</v>
      </c>
      <c r="H1358" s="12" t="s">
        <v>54</v>
      </c>
      <c r="I1358" s="12">
        <v>0</v>
      </c>
      <c r="J1358" s="12">
        <v>1</v>
      </c>
      <c r="K1358" s="12">
        <v>8</v>
      </c>
      <c r="L1358" s="12">
        <f t="shared" si="316"/>
        <v>8</v>
      </c>
      <c r="M1358" s="12">
        <v>3</v>
      </c>
      <c r="N1358" s="12" t="s">
        <v>90</v>
      </c>
      <c r="O1358" s="12">
        <v>0</v>
      </c>
      <c r="P1358" s="12">
        <v>0</v>
      </c>
      <c r="Q1358" s="12">
        <v>0</v>
      </c>
      <c r="R1358" s="12">
        <v>1</v>
      </c>
      <c r="S1358" s="12">
        <v>0</v>
      </c>
      <c r="T1358" s="12">
        <v>3</v>
      </c>
      <c r="U1358" s="12" t="s">
        <v>19</v>
      </c>
      <c r="V1358" s="12">
        <v>1</v>
      </c>
      <c r="W1358" s="12">
        <v>54</v>
      </c>
      <c r="X1358" s="12">
        <v>3</v>
      </c>
      <c r="Y1358" s="12">
        <v>2</v>
      </c>
      <c r="Z1358" s="12" t="s">
        <v>56</v>
      </c>
      <c r="AA1358" s="12">
        <v>0</v>
      </c>
      <c r="AB1358" s="12">
        <v>1</v>
      </c>
      <c r="AC1358" s="12">
        <v>0</v>
      </c>
      <c r="AD1358" s="12">
        <v>0</v>
      </c>
      <c r="AE1358" s="12">
        <v>0</v>
      </c>
      <c r="AF1358" s="12">
        <v>0</v>
      </c>
      <c r="AG1358" s="12">
        <v>0</v>
      </c>
      <c r="AH1358" s="12">
        <v>0</v>
      </c>
      <c r="AI1358" s="12">
        <v>2</v>
      </c>
      <c r="AJ1358" s="12" t="s">
        <v>64</v>
      </c>
      <c r="AK1358" s="12">
        <v>0</v>
      </c>
      <c r="AL1358" s="12">
        <v>1</v>
      </c>
      <c r="AM1358" s="12">
        <v>4393</v>
      </c>
      <c r="AN1358" s="12">
        <f t="shared" si="317"/>
        <v>4393</v>
      </c>
      <c r="AO1358" s="12">
        <v>5</v>
      </c>
      <c r="AP1358" s="12" t="s">
        <v>59</v>
      </c>
      <c r="AQ1358" s="12">
        <v>0</v>
      </c>
      <c r="AR1358" s="12">
        <v>21</v>
      </c>
      <c r="AS1358" s="12">
        <v>4</v>
      </c>
      <c r="AT1358" s="12">
        <v>3</v>
      </c>
      <c r="AU1358" s="12">
        <v>1</v>
      </c>
      <c r="AV1358" s="12">
        <v>14</v>
      </c>
      <c r="AW1358" s="12">
        <f t="shared" si="318"/>
        <v>14</v>
      </c>
      <c r="AX1358" s="12">
        <v>3</v>
      </c>
      <c r="AY1358" s="12">
        <v>3</v>
      </c>
      <c r="AZ1358" s="12">
        <v>5</v>
      </c>
      <c r="BA1358" s="12">
        <f t="shared" si="319"/>
        <v>5</v>
      </c>
      <c r="BB1358" s="12">
        <v>4</v>
      </c>
      <c r="BC1358" s="12">
        <v>1</v>
      </c>
      <c r="BD1358" s="12">
        <f t="shared" si="328"/>
        <v>1</v>
      </c>
      <c r="BE1358" s="12">
        <v>4</v>
      </c>
      <c r="BF1358" s="12">
        <f t="shared" si="320"/>
        <v>4</v>
      </c>
      <c r="BG1358" s="12">
        <f t="shared" si="329"/>
        <v>8</v>
      </c>
      <c r="BH1358" s="67">
        <v>0</v>
      </c>
      <c r="BI1358" s="67">
        <v>1</v>
      </c>
      <c r="BJ1358" s="67">
        <v>0</v>
      </c>
      <c r="BK1358" s="67">
        <v>0</v>
      </c>
      <c r="BL1358" s="67">
        <v>0</v>
      </c>
      <c r="BM1358" s="67">
        <v>0</v>
      </c>
      <c r="BN1358" s="67">
        <v>1</v>
      </c>
      <c r="BO1358" s="67">
        <v>0</v>
      </c>
      <c r="BP1358" s="67">
        <v>0</v>
      </c>
      <c r="BQ1358" s="67">
        <v>0</v>
      </c>
      <c r="BR1358" s="67">
        <v>4</v>
      </c>
      <c r="BS1358" s="67">
        <v>0</v>
      </c>
      <c r="BT1358" s="67">
        <v>0</v>
      </c>
      <c r="BU1358" s="70">
        <v>14</v>
      </c>
      <c r="BV1358" s="29">
        <f t="shared" si="321"/>
        <v>0.4481628421254541</v>
      </c>
      <c r="BW1358">
        <f t="shared" si="322"/>
        <v>3.4508002929560584E-2</v>
      </c>
      <c r="BX1358">
        <f t="shared" si="323"/>
        <v>0.34963173068151232</v>
      </c>
      <c r="BY1358">
        <f t="shared" si="324"/>
        <v>0.32778177112653761</v>
      </c>
      <c r="BZ1358">
        <f t="shared" si="325"/>
        <v>0.14709966057360641</v>
      </c>
      <c r="CA1358">
        <f t="shared" si="326"/>
        <v>0.4461985578408646</v>
      </c>
      <c r="CB1358">
        <f t="shared" si="327"/>
        <v>0.36858985273641137</v>
      </c>
    </row>
    <row r="1359" spans="1:80" x14ac:dyDescent="0.45">
      <c r="A1359" s="11">
        <v>42</v>
      </c>
      <c r="B1359" s="12">
        <f t="shared" si="315"/>
        <v>42</v>
      </c>
      <c r="C1359" s="12" t="s">
        <v>59</v>
      </c>
      <c r="D1359" s="12">
        <v>0</v>
      </c>
      <c r="E1359" s="12" t="s">
        <v>53</v>
      </c>
      <c r="F1359" s="12">
        <v>0</v>
      </c>
      <c r="G1359" s="12">
        <v>1</v>
      </c>
      <c r="H1359" s="12" t="s">
        <v>61</v>
      </c>
      <c r="I1359" s="12">
        <v>1</v>
      </c>
      <c r="J1359" s="12">
        <v>0</v>
      </c>
      <c r="K1359" s="12">
        <v>6</v>
      </c>
      <c r="L1359" s="12">
        <f t="shared" si="316"/>
        <v>6</v>
      </c>
      <c r="M1359" s="12">
        <v>3</v>
      </c>
      <c r="N1359" s="12" t="s">
        <v>70</v>
      </c>
      <c r="O1359" s="12">
        <v>0</v>
      </c>
      <c r="P1359" s="12">
        <v>0</v>
      </c>
      <c r="Q1359" s="12">
        <v>1</v>
      </c>
      <c r="R1359" s="12">
        <v>0</v>
      </c>
      <c r="S1359" s="12">
        <v>0</v>
      </c>
      <c r="T1359" s="12">
        <v>3</v>
      </c>
      <c r="U1359" s="12" t="s">
        <v>62</v>
      </c>
      <c r="V1359" s="12">
        <v>0</v>
      </c>
      <c r="W1359" s="12">
        <v>83</v>
      </c>
      <c r="X1359" s="12">
        <v>3</v>
      </c>
      <c r="Y1359" s="12">
        <v>3</v>
      </c>
      <c r="Z1359" s="12" t="s">
        <v>89</v>
      </c>
      <c r="AA1359" s="12">
        <v>0</v>
      </c>
      <c r="AB1359" s="12">
        <v>0</v>
      </c>
      <c r="AC1359" s="12">
        <v>0</v>
      </c>
      <c r="AD1359" s="12">
        <v>0</v>
      </c>
      <c r="AE1359" s="12">
        <v>0</v>
      </c>
      <c r="AF1359" s="12">
        <v>0</v>
      </c>
      <c r="AG1359" s="12">
        <v>0</v>
      </c>
      <c r="AH1359" s="12">
        <v>0</v>
      </c>
      <c r="AI1359" s="12">
        <v>1</v>
      </c>
      <c r="AJ1359" s="12" t="s">
        <v>64</v>
      </c>
      <c r="AK1359" s="12">
        <v>0</v>
      </c>
      <c r="AL1359" s="12">
        <v>1</v>
      </c>
      <c r="AM1359" s="12">
        <v>13348</v>
      </c>
      <c r="AN1359" s="12">
        <f t="shared" si="317"/>
        <v>13348</v>
      </c>
      <c r="AO1359" s="12">
        <v>9</v>
      </c>
      <c r="AP1359" s="12" t="s">
        <v>59</v>
      </c>
      <c r="AQ1359" s="12">
        <v>0</v>
      </c>
      <c r="AR1359" s="12">
        <v>13</v>
      </c>
      <c r="AS1359" s="12">
        <v>3</v>
      </c>
      <c r="AT1359" s="12">
        <v>2</v>
      </c>
      <c r="AU1359" s="12">
        <v>1</v>
      </c>
      <c r="AV1359" s="12">
        <v>18</v>
      </c>
      <c r="AW1359" s="12">
        <f t="shared" si="318"/>
        <v>18</v>
      </c>
      <c r="AX1359" s="12">
        <v>3</v>
      </c>
      <c r="AY1359" s="12">
        <v>4</v>
      </c>
      <c r="AZ1359" s="12">
        <v>13</v>
      </c>
      <c r="BA1359" s="12">
        <f t="shared" si="319"/>
        <v>13</v>
      </c>
      <c r="BB1359" s="12">
        <v>7</v>
      </c>
      <c r="BC1359" s="12">
        <v>5</v>
      </c>
      <c r="BD1359" s="12">
        <f t="shared" si="328"/>
        <v>5</v>
      </c>
      <c r="BE1359" s="12">
        <v>7</v>
      </c>
      <c r="BF1359" s="12">
        <f t="shared" si="320"/>
        <v>7</v>
      </c>
      <c r="BG1359" s="12">
        <f t="shared" si="329"/>
        <v>21</v>
      </c>
      <c r="BH1359" s="67">
        <v>0</v>
      </c>
      <c r="BI1359" s="67">
        <v>1</v>
      </c>
      <c r="BJ1359" s="67">
        <v>0</v>
      </c>
      <c r="BK1359" s="67">
        <v>0</v>
      </c>
      <c r="BL1359" s="67">
        <v>0</v>
      </c>
      <c r="BM1359" s="67">
        <v>0</v>
      </c>
      <c r="BN1359" s="67">
        <v>1</v>
      </c>
      <c r="BO1359" s="67">
        <v>0</v>
      </c>
      <c r="BP1359" s="67">
        <v>0</v>
      </c>
      <c r="BQ1359" s="67">
        <v>7</v>
      </c>
      <c r="BR1359" s="67">
        <v>0</v>
      </c>
      <c r="BS1359" s="67">
        <v>0</v>
      </c>
      <c r="BT1359" s="67">
        <v>18</v>
      </c>
      <c r="BU1359" s="70">
        <v>0</v>
      </c>
      <c r="BV1359" s="29">
        <f t="shared" si="321"/>
        <v>1.4539361814147129</v>
      </c>
      <c r="BW1359">
        <f t="shared" si="322"/>
        <v>0.80626709607243985</v>
      </c>
      <c r="BX1359">
        <f t="shared" si="323"/>
        <v>0.86371889657480871</v>
      </c>
      <c r="BY1359">
        <f t="shared" si="324"/>
        <v>0.97801552848324624</v>
      </c>
      <c r="BZ1359">
        <f t="shared" si="325"/>
        <v>0.39380416832397891</v>
      </c>
      <c r="CA1359">
        <f t="shared" si="326"/>
        <v>0.55566315731117022</v>
      </c>
      <c r="CB1359">
        <f t="shared" si="327"/>
        <v>0.87270930768174382</v>
      </c>
    </row>
    <row r="1360" spans="1:80" x14ac:dyDescent="0.45">
      <c r="A1360" s="11">
        <v>31</v>
      </c>
      <c r="B1360" s="12">
        <f t="shared" si="315"/>
        <v>31</v>
      </c>
      <c r="C1360" s="12" t="s">
        <v>59</v>
      </c>
      <c r="D1360" s="12">
        <v>0</v>
      </c>
      <c r="E1360" s="12" t="s">
        <v>53</v>
      </c>
      <c r="F1360" s="12">
        <v>0</v>
      </c>
      <c r="G1360" s="12">
        <v>1</v>
      </c>
      <c r="H1360" s="12" t="s">
        <v>54</v>
      </c>
      <c r="I1360" s="12">
        <v>0</v>
      </c>
      <c r="J1360" s="12">
        <v>1</v>
      </c>
      <c r="K1360" s="12">
        <v>10</v>
      </c>
      <c r="L1360" s="12">
        <f t="shared" si="316"/>
        <v>10</v>
      </c>
      <c r="M1360" s="12">
        <v>2</v>
      </c>
      <c r="N1360" s="12" t="s">
        <v>70</v>
      </c>
      <c r="O1360" s="12">
        <v>0</v>
      </c>
      <c r="P1360" s="12">
        <v>0</v>
      </c>
      <c r="Q1360" s="12">
        <v>1</v>
      </c>
      <c r="R1360" s="12">
        <v>0</v>
      </c>
      <c r="S1360" s="12">
        <v>0</v>
      </c>
      <c r="T1360" s="12">
        <v>3</v>
      </c>
      <c r="U1360" s="12" t="s">
        <v>19</v>
      </c>
      <c r="V1360" s="12">
        <v>1</v>
      </c>
      <c r="W1360" s="12">
        <v>86</v>
      </c>
      <c r="X1360" s="12">
        <v>3</v>
      </c>
      <c r="Y1360" s="12">
        <v>2</v>
      </c>
      <c r="Z1360" s="12" t="s">
        <v>56</v>
      </c>
      <c r="AA1360" s="12">
        <v>0</v>
      </c>
      <c r="AB1360" s="12">
        <v>1</v>
      </c>
      <c r="AC1360" s="12">
        <v>0</v>
      </c>
      <c r="AD1360" s="12">
        <v>0</v>
      </c>
      <c r="AE1360" s="12">
        <v>0</v>
      </c>
      <c r="AF1360" s="12">
        <v>0</v>
      </c>
      <c r="AG1360" s="12">
        <v>0</v>
      </c>
      <c r="AH1360" s="12">
        <v>0</v>
      </c>
      <c r="AI1360" s="12">
        <v>4</v>
      </c>
      <c r="AJ1360" s="12" t="s">
        <v>78</v>
      </c>
      <c r="AK1360" s="12">
        <v>0</v>
      </c>
      <c r="AL1360" s="12">
        <v>0</v>
      </c>
      <c r="AM1360" s="12">
        <v>6583</v>
      </c>
      <c r="AN1360" s="12">
        <f t="shared" si="317"/>
        <v>6583</v>
      </c>
      <c r="AO1360" s="12">
        <v>2</v>
      </c>
      <c r="AP1360" s="12" t="s">
        <v>52</v>
      </c>
      <c r="AQ1360" s="12">
        <v>1</v>
      </c>
      <c r="AR1360" s="12">
        <v>11</v>
      </c>
      <c r="AS1360" s="12">
        <v>3</v>
      </c>
      <c r="AT1360" s="12">
        <v>4</v>
      </c>
      <c r="AU1360" s="12">
        <v>1</v>
      </c>
      <c r="AV1360" s="12">
        <v>8</v>
      </c>
      <c r="AW1360" s="12">
        <f t="shared" si="318"/>
        <v>8</v>
      </c>
      <c r="AX1360" s="12">
        <v>2</v>
      </c>
      <c r="AY1360" s="12">
        <v>3</v>
      </c>
      <c r="AZ1360" s="12">
        <v>5</v>
      </c>
      <c r="BA1360" s="12">
        <f t="shared" si="319"/>
        <v>5</v>
      </c>
      <c r="BB1360" s="12">
        <v>2</v>
      </c>
      <c r="BC1360" s="12">
        <v>1</v>
      </c>
      <c r="BD1360" s="12">
        <f t="shared" si="328"/>
        <v>1</v>
      </c>
      <c r="BE1360" s="12">
        <v>4</v>
      </c>
      <c r="BF1360" s="12">
        <f t="shared" si="320"/>
        <v>4</v>
      </c>
      <c r="BG1360" s="12">
        <f t="shared" si="329"/>
        <v>8</v>
      </c>
      <c r="BH1360" s="67">
        <v>1</v>
      </c>
      <c r="BI1360" s="67">
        <v>0</v>
      </c>
      <c r="BJ1360" s="67">
        <v>0</v>
      </c>
      <c r="BK1360" s="67">
        <v>0</v>
      </c>
      <c r="BL1360" s="67">
        <v>0</v>
      </c>
      <c r="BM1360" s="67">
        <v>1</v>
      </c>
      <c r="BN1360" s="67">
        <v>0</v>
      </c>
      <c r="BO1360" s="67">
        <v>0</v>
      </c>
      <c r="BP1360" s="67">
        <v>0</v>
      </c>
      <c r="BQ1360" s="67">
        <v>0</v>
      </c>
      <c r="BR1360" s="67">
        <v>4</v>
      </c>
      <c r="BS1360" s="67">
        <v>0</v>
      </c>
      <c r="BT1360" s="67">
        <v>0</v>
      </c>
      <c r="BU1360" s="70">
        <v>8</v>
      </c>
      <c r="BV1360" s="29">
        <f t="shared" si="321"/>
        <v>1.7007103329930117E-2</v>
      </c>
      <c r="BW1360">
        <f t="shared" si="322"/>
        <v>3.4508002929560584E-2</v>
      </c>
      <c r="BX1360">
        <f t="shared" si="323"/>
        <v>0.42149901815843233</v>
      </c>
      <c r="BY1360">
        <f t="shared" si="324"/>
        <v>0.32778177112653761</v>
      </c>
      <c r="BZ1360">
        <f t="shared" si="325"/>
        <v>9.9604847176766084E-2</v>
      </c>
      <c r="CA1360">
        <f t="shared" si="326"/>
        <v>0.6484474368621912</v>
      </c>
      <c r="CB1360">
        <f t="shared" si="327"/>
        <v>0.36858985273641137</v>
      </c>
    </row>
    <row r="1361" spans="1:80" x14ac:dyDescent="0.45">
      <c r="A1361" s="11">
        <v>34</v>
      </c>
      <c r="B1361" s="12">
        <f t="shared" si="315"/>
        <v>34</v>
      </c>
      <c r="C1361" s="12" t="s">
        <v>59</v>
      </c>
      <c r="D1361" s="12">
        <v>0</v>
      </c>
      <c r="E1361" s="12" t="s">
        <v>53</v>
      </c>
      <c r="F1361" s="12">
        <v>0</v>
      </c>
      <c r="G1361" s="12">
        <v>1</v>
      </c>
      <c r="H1361" s="12" t="s">
        <v>54</v>
      </c>
      <c r="I1361" s="12">
        <v>0</v>
      </c>
      <c r="J1361" s="12">
        <v>1</v>
      </c>
      <c r="K1361" s="12">
        <v>3</v>
      </c>
      <c r="L1361" s="12">
        <f t="shared" si="316"/>
        <v>3</v>
      </c>
      <c r="M1361" s="12">
        <v>1</v>
      </c>
      <c r="N1361" s="12" t="s">
        <v>70</v>
      </c>
      <c r="O1361" s="12">
        <v>0</v>
      </c>
      <c r="P1361" s="12">
        <v>0</v>
      </c>
      <c r="Q1361" s="12">
        <v>1</v>
      </c>
      <c r="R1361" s="12">
        <v>0</v>
      </c>
      <c r="S1361" s="12">
        <v>0</v>
      </c>
      <c r="T1361" s="12">
        <v>4</v>
      </c>
      <c r="U1361" s="12" t="s">
        <v>19</v>
      </c>
      <c r="V1361" s="12">
        <v>1</v>
      </c>
      <c r="W1361" s="12">
        <v>75</v>
      </c>
      <c r="X1361" s="12">
        <v>2</v>
      </c>
      <c r="Y1361" s="12">
        <v>2</v>
      </c>
      <c r="Z1361" s="12" t="s">
        <v>56</v>
      </c>
      <c r="AA1361" s="12">
        <v>0</v>
      </c>
      <c r="AB1361" s="12">
        <v>1</v>
      </c>
      <c r="AC1361" s="12">
        <v>0</v>
      </c>
      <c r="AD1361" s="12">
        <v>0</v>
      </c>
      <c r="AE1361" s="12">
        <v>0</v>
      </c>
      <c r="AF1361" s="12">
        <v>0</v>
      </c>
      <c r="AG1361" s="12">
        <v>0</v>
      </c>
      <c r="AH1361" s="12">
        <v>0</v>
      </c>
      <c r="AI1361" s="12">
        <v>4</v>
      </c>
      <c r="AJ1361" s="12" t="s">
        <v>64</v>
      </c>
      <c r="AK1361" s="12">
        <v>0</v>
      </c>
      <c r="AL1361" s="12">
        <v>1</v>
      </c>
      <c r="AM1361" s="12">
        <v>8103</v>
      </c>
      <c r="AN1361" s="12">
        <f t="shared" si="317"/>
        <v>8103</v>
      </c>
      <c r="AO1361" s="12">
        <v>3</v>
      </c>
      <c r="AP1361" s="12" t="s">
        <v>52</v>
      </c>
      <c r="AQ1361" s="12">
        <v>1</v>
      </c>
      <c r="AR1361" s="12">
        <v>12</v>
      </c>
      <c r="AS1361" s="12">
        <v>3</v>
      </c>
      <c r="AT1361" s="12">
        <v>3</v>
      </c>
      <c r="AU1361" s="12">
        <v>0</v>
      </c>
      <c r="AV1361" s="12">
        <v>9</v>
      </c>
      <c r="AW1361" s="12">
        <f t="shared" si="318"/>
        <v>9</v>
      </c>
      <c r="AX1361" s="12">
        <v>3</v>
      </c>
      <c r="AY1361" s="12">
        <v>2</v>
      </c>
      <c r="AZ1361" s="12">
        <v>4</v>
      </c>
      <c r="BA1361" s="12">
        <f t="shared" si="319"/>
        <v>4</v>
      </c>
      <c r="BB1361" s="12">
        <v>2</v>
      </c>
      <c r="BC1361" s="12">
        <v>0</v>
      </c>
      <c r="BD1361" s="12">
        <f t="shared" si="328"/>
        <v>0</v>
      </c>
      <c r="BE1361" s="12">
        <v>1</v>
      </c>
      <c r="BF1361" s="12">
        <f t="shared" si="320"/>
        <v>1</v>
      </c>
      <c r="BG1361" s="12">
        <f t="shared" si="329"/>
        <v>2</v>
      </c>
      <c r="BH1361" s="67">
        <v>0</v>
      </c>
      <c r="BI1361" s="67">
        <v>1</v>
      </c>
      <c r="BJ1361" s="67">
        <v>0</v>
      </c>
      <c r="BK1361" s="67">
        <v>0</v>
      </c>
      <c r="BL1361" s="67">
        <v>0</v>
      </c>
      <c r="BM1361" s="67">
        <v>0</v>
      </c>
      <c r="BN1361" s="67">
        <v>0</v>
      </c>
      <c r="BO1361" s="67">
        <v>1</v>
      </c>
      <c r="BP1361" s="67">
        <v>0</v>
      </c>
      <c r="BQ1361" s="67">
        <v>0</v>
      </c>
      <c r="BR1361" s="67">
        <v>1</v>
      </c>
      <c r="BS1361" s="67">
        <v>0</v>
      </c>
      <c r="BT1361" s="67">
        <v>0</v>
      </c>
      <c r="BU1361" s="70">
        <v>9</v>
      </c>
      <c r="BV1361" s="29">
        <f t="shared" si="321"/>
        <v>0.33986478236745704</v>
      </c>
      <c r="BW1361">
        <f t="shared" si="322"/>
        <v>0.87528310193156111</v>
      </c>
      <c r="BX1361">
        <f t="shared" si="323"/>
        <v>0.29297722668510823</v>
      </c>
      <c r="BY1361">
        <f t="shared" si="324"/>
        <v>0.49100643357776058</v>
      </c>
      <c r="BZ1361">
        <f t="shared" si="325"/>
        <v>0.76386092994953758</v>
      </c>
      <c r="CA1361">
        <f t="shared" si="326"/>
        <v>0.32005363845127444</v>
      </c>
      <c r="CB1361">
        <f t="shared" si="327"/>
        <v>0.67891464284095016</v>
      </c>
    </row>
    <row r="1362" spans="1:80" x14ac:dyDescent="0.45">
      <c r="A1362" s="11">
        <v>31</v>
      </c>
      <c r="B1362" s="12">
        <f t="shared" si="315"/>
        <v>31</v>
      </c>
      <c r="C1362" s="12" t="s">
        <v>59</v>
      </c>
      <c r="D1362" s="12">
        <v>0</v>
      </c>
      <c r="E1362" s="12" t="s">
        <v>53</v>
      </c>
      <c r="F1362" s="12">
        <v>0</v>
      </c>
      <c r="G1362" s="12">
        <v>1</v>
      </c>
      <c r="H1362" s="12" t="s">
        <v>61</v>
      </c>
      <c r="I1362" s="12">
        <v>1</v>
      </c>
      <c r="J1362" s="12">
        <v>0</v>
      </c>
      <c r="K1362" s="12">
        <v>4</v>
      </c>
      <c r="L1362" s="12">
        <f t="shared" si="316"/>
        <v>4</v>
      </c>
      <c r="M1362" s="12">
        <v>3</v>
      </c>
      <c r="N1362" s="12" t="s">
        <v>70</v>
      </c>
      <c r="O1362" s="12">
        <v>0</v>
      </c>
      <c r="P1362" s="12">
        <v>0</v>
      </c>
      <c r="Q1362" s="12">
        <v>1</v>
      </c>
      <c r="R1362" s="12">
        <v>0</v>
      </c>
      <c r="S1362" s="12">
        <v>0</v>
      </c>
      <c r="T1362" s="12">
        <v>1</v>
      </c>
      <c r="U1362" s="12" t="s">
        <v>19</v>
      </c>
      <c r="V1362" s="12">
        <v>1</v>
      </c>
      <c r="W1362" s="12">
        <v>62</v>
      </c>
      <c r="X1362" s="12">
        <v>4</v>
      </c>
      <c r="Y1362" s="12">
        <v>1</v>
      </c>
      <c r="Z1362" s="12" t="s">
        <v>67</v>
      </c>
      <c r="AA1362" s="12">
        <v>0</v>
      </c>
      <c r="AB1362" s="12">
        <v>0</v>
      </c>
      <c r="AC1362" s="12">
        <v>1</v>
      </c>
      <c r="AD1362" s="12">
        <v>0</v>
      </c>
      <c r="AE1362" s="12">
        <v>0</v>
      </c>
      <c r="AF1362" s="12">
        <v>0</v>
      </c>
      <c r="AG1362" s="12">
        <v>0</v>
      </c>
      <c r="AH1362" s="12">
        <v>0</v>
      </c>
      <c r="AI1362" s="12">
        <v>3</v>
      </c>
      <c r="AJ1362" s="12" t="s">
        <v>78</v>
      </c>
      <c r="AK1362" s="12">
        <v>0</v>
      </c>
      <c r="AL1362" s="12">
        <v>0</v>
      </c>
      <c r="AM1362" s="12">
        <v>3978</v>
      </c>
      <c r="AN1362" s="12">
        <f t="shared" si="317"/>
        <v>3978</v>
      </c>
      <c r="AO1362" s="12">
        <v>8</v>
      </c>
      <c r="AP1362" s="12" t="s">
        <v>59</v>
      </c>
      <c r="AQ1362" s="12">
        <v>0</v>
      </c>
      <c r="AR1362" s="12">
        <v>12</v>
      </c>
      <c r="AS1362" s="12">
        <v>3</v>
      </c>
      <c r="AT1362" s="12">
        <v>2</v>
      </c>
      <c r="AU1362" s="12">
        <v>1</v>
      </c>
      <c r="AV1362" s="12">
        <v>4</v>
      </c>
      <c r="AW1362" s="12">
        <f t="shared" si="318"/>
        <v>4</v>
      </c>
      <c r="AX1362" s="12">
        <v>0</v>
      </c>
      <c r="AY1362" s="12">
        <v>2</v>
      </c>
      <c r="AZ1362" s="12">
        <v>2</v>
      </c>
      <c r="BA1362" s="12">
        <f t="shared" si="319"/>
        <v>2</v>
      </c>
      <c r="BB1362" s="12">
        <v>2</v>
      </c>
      <c r="BC1362" s="12">
        <v>2</v>
      </c>
      <c r="BD1362" s="12">
        <f t="shared" si="328"/>
        <v>2</v>
      </c>
      <c r="BE1362" s="12">
        <v>2</v>
      </c>
      <c r="BF1362" s="12">
        <f t="shared" si="320"/>
        <v>2</v>
      </c>
      <c r="BG1362" s="12">
        <f t="shared" si="329"/>
        <v>2</v>
      </c>
      <c r="BH1362" s="67">
        <v>1</v>
      </c>
      <c r="BI1362" s="67">
        <v>0</v>
      </c>
      <c r="BJ1362" s="67">
        <v>0</v>
      </c>
      <c r="BK1362" s="67">
        <v>0</v>
      </c>
      <c r="BL1362" s="67">
        <v>1</v>
      </c>
      <c r="BM1362" s="67">
        <v>0</v>
      </c>
      <c r="BN1362" s="67">
        <v>0</v>
      </c>
      <c r="BO1362" s="67">
        <v>0</v>
      </c>
      <c r="BP1362" s="67">
        <v>0</v>
      </c>
      <c r="BQ1362" s="67">
        <v>2</v>
      </c>
      <c r="BR1362" s="67">
        <v>0</v>
      </c>
      <c r="BS1362" s="67">
        <v>0</v>
      </c>
      <c r="BT1362" s="67">
        <v>4</v>
      </c>
      <c r="BU1362" s="70">
        <v>0</v>
      </c>
      <c r="BV1362" s="29">
        <f t="shared" si="321"/>
        <v>0.53631148475741042</v>
      </c>
      <c r="BW1362">
        <f t="shared" si="322"/>
        <v>0.59502473559756086</v>
      </c>
      <c r="BX1362">
        <f t="shared" si="323"/>
        <v>0.93558618405172878</v>
      </c>
      <c r="BY1362">
        <f t="shared" si="324"/>
        <v>0.81745575848020657</v>
      </c>
      <c r="BZ1362">
        <f t="shared" si="325"/>
        <v>0.64050867607435136</v>
      </c>
      <c r="CA1362">
        <f t="shared" si="326"/>
        <v>0.6484474368621912</v>
      </c>
      <c r="CB1362">
        <f t="shared" si="327"/>
        <v>5.8265062631872602E-2</v>
      </c>
    </row>
    <row r="1363" spans="1:80" x14ac:dyDescent="0.45">
      <c r="A1363" s="11">
        <v>26</v>
      </c>
      <c r="B1363" s="12">
        <f t="shared" si="315"/>
        <v>26</v>
      </c>
      <c r="C1363" s="12" t="s">
        <v>59</v>
      </c>
      <c r="D1363" s="12">
        <v>0</v>
      </c>
      <c r="E1363" s="12" t="s">
        <v>60</v>
      </c>
      <c r="F1363" s="12">
        <v>1</v>
      </c>
      <c r="G1363" s="12">
        <v>0</v>
      </c>
      <c r="H1363" s="12" t="s">
        <v>61</v>
      </c>
      <c r="I1363" s="12">
        <v>1</v>
      </c>
      <c r="J1363" s="12">
        <v>0</v>
      </c>
      <c r="K1363" s="12">
        <v>6</v>
      </c>
      <c r="L1363" s="12">
        <f t="shared" si="316"/>
        <v>6</v>
      </c>
      <c r="M1363" s="12">
        <v>3</v>
      </c>
      <c r="N1363" s="12" t="s">
        <v>66</v>
      </c>
      <c r="O1363" s="12">
        <v>0</v>
      </c>
      <c r="P1363" s="12">
        <v>1</v>
      </c>
      <c r="Q1363" s="12">
        <v>0</v>
      </c>
      <c r="R1363" s="12">
        <v>0</v>
      </c>
      <c r="S1363" s="12">
        <v>0</v>
      </c>
      <c r="T1363" s="12">
        <v>3</v>
      </c>
      <c r="U1363" s="12" t="s">
        <v>62</v>
      </c>
      <c r="V1363" s="12">
        <v>0</v>
      </c>
      <c r="W1363" s="12">
        <v>61</v>
      </c>
      <c r="X1363" s="12">
        <v>4</v>
      </c>
      <c r="Y1363" s="12">
        <v>1</v>
      </c>
      <c r="Z1363" s="12" t="s">
        <v>67</v>
      </c>
      <c r="AA1363" s="12">
        <v>0</v>
      </c>
      <c r="AB1363" s="12">
        <v>0</v>
      </c>
      <c r="AC1363" s="12">
        <v>1</v>
      </c>
      <c r="AD1363" s="12">
        <v>0</v>
      </c>
      <c r="AE1363" s="12">
        <v>0</v>
      </c>
      <c r="AF1363" s="12">
        <v>0</v>
      </c>
      <c r="AG1363" s="12">
        <v>0</v>
      </c>
      <c r="AH1363" s="12">
        <v>0</v>
      </c>
      <c r="AI1363" s="12">
        <v>4</v>
      </c>
      <c r="AJ1363" s="12" t="s">
        <v>64</v>
      </c>
      <c r="AK1363" s="12">
        <v>0</v>
      </c>
      <c r="AL1363" s="12">
        <v>1</v>
      </c>
      <c r="AM1363" s="12">
        <v>2544</v>
      </c>
      <c r="AN1363" s="12">
        <f t="shared" si="317"/>
        <v>2544</v>
      </c>
      <c r="AO1363" s="12">
        <v>0</v>
      </c>
      <c r="AP1363" s="12" t="s">
        <v>59</v>
      </c>
      <c r="AQ1363" s="12">
        <v>0</v>
      </c>
      <c r="AR1363" s="12">
        <v>18</v>
      </c>
      <c r="AS1363" s="12">
        <v>3</v>
      </c>
      <c r="AT1363" s="12">
        <v>1</v>
      </c>
      <c r="AU1363" s="12">
        <v>1</v>
      </c>
      <c r="AV1363" s="12">
        <v>8</v>
      </c>
      <c r="AW1363" s="12">
        <f t="shared" si="318"/>
        <v>8</v>
      </c>
      <c r="AX1363" s="12">
        <v>3</v>
      </c>
      <c r="AY1363" s="12">
        <v>3</v>
      </c>
      <c r="AZ1363" s="12">
        <v>7</v>
      </c>
      <c r="BA1363" s="12">
        <f t="shared" si="319"/>
        <v>7</v>
      </c>
      <c r="BB1363" s="12">
        <v>7</v>
      </c>
      <c r="BC1363" s="12">
        <v>7</v>
      </c>
      <c r="BD1363" s="12">
        <f t="shared" si="328"/>
        <v>7</v>
      </c>
      <c r="BE1363" s="12">
        <v>7</v>
      </c>
      <c r="BF1363" s="12">
        <f t="shared" si="320"/>
        <v>7</v>
      </c>
      <c r="BG1363" s="12">
        <f t="shared" si="329"/>
        <v>7</v>
      </c>
      <c r="BH1363" s="67">
        <v>0</v>
      </c>
      <c r="BI1363" s="67">
        <v>0</v>
      </c>
      <c r="BJ1363" s="67">
        <v>0</v>
      </c>
      <c r="BK1363" s="67">
        <v>1</v>
      </c>
      <c r="BL1363" s="67">
        <v>0</v>
      </c>
      <c r="BM1363" s="67">
        <v>0</v>
      </c>
      <c r="BN1363" s="67">
        <v>1</v>
      </c>
      <c r="BO1363" s="67">
        <v>0</v>
      </c>
      <c r="BP1363" s="67">
        <v>0</v>
      </c>
      <c r="BQ1363" s="67">
        <v>7</v>
      </c>
      <c r="BR1363" s="67">
        <v>0</v>
      </c>
      <c r="BS1363" s="67">
        <v>0</v>
      </c>
      <c r="BT1363" s="67">
        <v>8</v>
      </c>
      <c r="BU1363" s="70">
        <v>0</v>
      </c>
      <c r="BV1363" s="29">
        <f t="shared" si="321"/>
        <v>0.84090221616518257</v>
      </c>
      <c r="BW1363">
        <f t="shared" si="322"/>
        <v>0.80626709607243985</v>
      </c>
      <c r="BX1363">
        <f t="shared" si="323"/>
        <v>0.42149901815843233</v>
      </c>
      <c r="BY1363">
        <f t="shared" si="324"/>
        <v>1.3324462240916321E-3</v>
      </c>
      <c r="BZ1363">
        <f t="shared" si="325"/>
        <v>0.39380416832397891</v>
      </c>
      <c r="CA1363">
        <f t="shared" si="326"/>
        <v>1.195770434213719</v>
      </c>
      <c r="CB1363">
        <f t="shared" si="327"/>
        <v>1.4933588878908215</v>
      </c>
    </row>
    <row r="1364" spans="1:80" x14ac:dyDescent="0.45">
      <c r="A1364" s="11">
        <v>45</v>
      </c>
      <c r="B1364" s="12">
        <f t="shared" si="315"/>
        <v>45</v>
      </c>
      <c r="C1364" s="12" t="s">
        <v>59</v>
      </c>
      <c r="D1364" s="12">
        <v>0</v>
      </c>
      <c r="E1364" s="12" t="s">
        <v>60</v>
      </c>
      <c r="F1364" s="12">
        <v>1</v>
      </c>
      <c r="G1364" s="12">
        <v>0</v>
      </c>
      <c r="H1364" s="12" t="s">
        <v>61</v>
      </c>
      <c r="I1364" s="12">
        <v>1</v>
      </c>
      <c r="J1364" s="12">
        <v>0</v>
      </c>
      <c r="K1364" s="12">
        <v>1</v>
      </c>
      <c r="L1364" s="12">
        <f t="shared" si="316"/>
        <v>1</v>
      </c>
      <c r="M1364" s="12">
        <v>4</v>
      </c>
      <c r="N1364" s="12" t="s">
        <v>70</v>
      </c>
      <c r="O1364" s="12">
        <v>0</v>
      </c>
      <c r="P1364" s="12">
        <v>0</v>
      </c>
      <c r="Q1364" s="12">
        <v>1</v>
      </c>
      <c r="R1364" s="12">
        <v>0</v>
      </c>
      <c r="S1364" s="12">
        <v>0</v>
      </c>
      <c r="T1364" s="12">
        <v>2</v>
      </c>
      <c r="U1364" s="12" t="s">
        <v>62</v>
      </c>
      <c r="V1364" s="12">
        <v>0</v>
      </c>
      <c r="W1364" s="12">
        <v>44</v>
      </c>
      <c r="X1364" s="12">
        <v>3</v>
      </c>
      <c r="Y1364" s="12">
        <v>2</v>
      </c>
      <c r="Z1364" s="12" t="s">
        <v>85</v>
      </c>
      <c r="AA1364" s="12">
        <v>1</v>
      </c>
      <c r="AB1364" s="12">
        <v>0</v>
      </c>
      <c r="AC1364" s="12">
        <v>0</v>
      </c>
      <c r="AD1364" s="12">
        <v>0</v>
      </c>
      <c r="AE1364" s="12">
        <v>0</v>
      </c>
      <c r="AF1364" s="12">
        <v>0</v>
      </c>
      <c r="AG1364" s="12">
        <v>0</v>
      </c>
      <c r="AH1364" s="12">
        <v>0</v>
      </c>
      <c r="AI1364" s="12">
        <v>3</v>
      </c>
      <c r="AJ1364" s="12" t="s">
        <v>57</v>
      </c>
      <c r="AK1364" s="12">
        <v>1</v>
      </c>
      <c r="AL1364" s="12">
        <v>0</v>
      </c>
      <c r="AM1364" s="12">
        <v>5399</v>
      </c>
      <c r="AN1364" s="12">
        <f t="shared" si="317"/>
        <v>5399</v>
      </c>
      <c r="AO1364" s="12">
        <v>4</v>
      </c>
      <c r="AP1364" s="12" t="s">
        <v>59</v>
      </c>
      <c r="AQ1364" s="12">
        <v>0</v>
      </c>
      <c r="AR1364" s="12">
        <v>12</v>
      </c>
      <c r="AS1364" s="12">
        <v>3</v>
      </c>
      <c r="AT1364" s="12">
        <v>3</v>
      </c>
      <c r="AU1364" s="12">
        <v>0</v>
      </c>
      <c r="AV1364" s="12">
        <v>12</v>
      </c>
      <c r="AW1364" s="12">
        <f t="shared" si="318"/>
        <v>12</v>
      </c>
      <c r="AX1364" s="12">
        <v>3</v>
      </c>
      <c r="AY1364" s="12">
        <v>3</v>
      </c>
      <c r="AZ1364" s="12">
        <v>4</v>
      </c>
      <c r="BA1364" s="12">
        <f t="shared" si="319"/>
        <v>4</v>
      </c>
      <c r="BB1364" s="12">
        <v>2</v>
      </c>
      <c r="BC1364" s="12">
        <v>0</v>
      </c>
      <c r="BD1364" s="12">
        <f t="shared" si="328"/>
        <v>0</v>
      </c>
      <c r="BE1364" s="12">
        <v>3</v>
      </c>
      <c r="BF1364" s="12">
        <f t="shared" si="320"/>
        <v>3</v>
      </c>
      <c r="BG1364" s="12">
        <f t="shared" si="329"/>
        <v>6</v>
      </c>
      <c r="BH1364" s="67">
        <v>0</v>
      </c>
      <c r="BI1364" s="67">
        <v>0</v>
      </c>
      <c r="BJ1364" s="67">
        <v>1</v>
      </c>
      <c r="BK1364" s="67">
        <v>0</v>
      </c>
      <c r="BL1364" s="67">
        <v>1</v>
      </c>
      <c r="BM1364" s="67">
        <v>0</v>
      </c>
      <c r="BN1364" s="67">
        <v>0</v>
      </c>
      <c r="BO1364" s="67">
        <v>0</v>
      </c>
      <c r="BP1364" s="67">
        <v>0</v>
      </c>
      <c r="BQ1364" s="67">
        <v>3</v>
      </c>
      <c r="BR1364" s="67">
        <v>0</v>
      </c>
      <c r="BS1364" s="67">
        <v>0</v>
      </c>
      <c r="BT1364" s="67">
        <v>12</v>
      </c>
      <c r="BU1364" s="70">
        <v>0</v>
      </c>
      <c r="BV1364" s="29">
        <f t="shared" si="321"/>
        <v>0.23448203613088034</v>
      </c>
      <c r="BW1364">
        <f t="shared" si="322"/>
        <v>0.31476636926356072</v>
      </c>
      <c r="BX1364">
        <f t="shared" si="323"/>
        <v>9.2588147734864096E-2</v>
      </c>
      <c r="BY1364">
        <f t="shared" si="324"/>
        <v>0.49100643357776058</v>
      </c>
      <c r="BZ1364">
        <f t="shared" si="325"/>
        <v>1.01056543769991</v>
      </c>
      <c r="CA1364">
        <f t="shared" si="326"/>
        <v>0.88405695572208698</v>
      </c>
      <c r="CB1364">
        <f t="shared" si="327"/>
        <v>0.67891464284095016</v>
      </c>
    </row>
    <row r="1365" spans="1:80" x14ac:dyDescent="0.45">
      <c r="A1365" s="11">
        <v>33</v>
      </c>
      <c r="B1365" s="12">
        <f t="shared" si="315"/>
        <v>33</v>
      </c>
      <c r="C1365" s="12" t="s">
        <v>59</v>
      </c>
      <c r="D1365" s="12">
        <v>0</v>
      </c>
      <c r="E1365" s="12" t="s">
        <v>53</v>
      </c>
      <c r="F1365" s="12">
        <v>0</v>
      </c>
      <c r="G1365" s="12">
        <v>1</v>
      </c>
      <c r="H1365" s="12" t="s">
        <v>54</v>
      </c>
      <c r="I1365" s="12">
        <v>0</v>
      </c>
      <c r="J1365" s="12">
        <v>1</v>
      </c>
      <c r="K1365" s="12">
        <v>10</v>
      </c>
      <c r="L1365" s="12">
        <f t="shared" si="316"/>
        <v>10</v>
      </c>
      <c r="M1365" s="12">
        <v>4</v>
      </c>
      <c r="N1365" s="12" t="s">
        <v>90</v>
      </c>
      <c r="O1365" s="12">
        <v>0</v>
      </c>
      <c r="P1365" s="12">
        <v>0</v>
      </c>
      <c r="Q1365" s="12">
        <v>0</v>
      </c>
      <c r="R1365" s="12">
        <v>1</v>
      </c>
      <c r="S1365" s="12">
        <v>0</v>
      </c>
      <c r="T1365" s="12">
        <v>2</v>
      </c>
      <c r="U1365" s="12" t="s">
        <v>62</v>
      </c>
      <c r="V1365" s="12">
        <v>0</v>
      </c>
      <c r="W1365" s="12">
        <v>43</v>
      </c>
      <c r="X1365" s="12">
        <v>3</v>
      </c>
      <c r="Y1365" s="12">
        <v>2</v>
      </c>
      <c r="Z1365" s="12" t="s">
        <v>56</v>
      </c>
      <c r="AA1365" s="12">
        <v>0</v>
      </c>
      <c r="AB1365" s="12">
        <v>1</v>
      </c>
      <c r="AC1365" s="12">
        <v>0</v>
      </c>
      <c r="AD1365" s="12">
        <v>0</v>
      </c>
      <c r="AE1365" s="12">
        <v>0</v>
      </c>
      <c r="AF1365" s="12">
        <v>0</v>
      </c>
      <c r="AG1365" s="12">
        <v>0</v>
      </c>
      <c r="AH1365" s="12">
        <v>0</v>
      </c>
      <c r="AI1365" s="12">
        <v>3</v>
      </c>
      <c r="AJ1365" s="12" t="s">
        <v>57</v>
      </c>
      <c r="AK1365" s="12">
        <v>1</v>
      </c>
      <c r="AL1365" s="12">
        <v>0</v>
      </c>
      <c r="AM1365" s="12">
        <v>5487</v>
      </c>
      <c r="AN1365" s="12">
        <f t="shared" si="317"/>
        <v>5487</v>
      </c>
      <c r="AO1365" s="12">
        <v>1</v>
      </c>
      <c r="AP1365" s="12" t="s">
        <v>59</v>
      </c>
      <c r="AQ1365" s="12">
        <v>0</v>
      </c>
      <c r="AR1365" s="12">
        <v>14</v>
      </c>
      <c r="AS1365" s="12">
        <v>3</v>
      </c>
      <c r="AT1365" s="12">
        <v>2</v>
      </c>
      <c r="AU1365" s="12">
        <v>0</v>
      </c>
      <c r="AV1365" s="12">
        <v>10</v>
      </c>
      <c r="AW1365" s="12">
        <f t="shared" si="318"/>
        <v>10</v>
      </c>
      <c r="AX1365" s="12">
        <v>2</v>
      </c>
      <c r="AY1365" s="12">
        <v>2</v>
      </c>
      <c r="AZ1365" s="12">
        <v>10</v>
      </c>
      <c r="BA1365" s="12">
        <f t="shared" si="319"/>
        <v>10</v>
      </c>
      <c r="BB1365" s="12">
        <v>4</v>
      </c>
      <c r="BC1365" s="12">
        <v>0</v>
      </c>
      <c r="BD1365" s="12">
        <f t="shared" si="328"/>
        <v>0</v>
      </c>
      <c r="BE1365" s="12">
        <v>9</v>
      </c>
      <c r="BF1365" s="12">
        <f t="shared" si="320"/>
        <v>9</v>
      </c>
      <c r="BG1365" s="12">
        <f t="shared" si="329"/>
        <v>18</v>
      </c>
      <c r="BH1365" s="67">
        <v>1</v>
      </c>
      <c r="BI1365" s="67">
        <v>0</v>
      </c>
      <c r="BJ1365" s="67">
        <v>0</v>
      </c>
      <c r="BK1365" s="67">
        <v>0</v>
      </c>
      <c r="BL1365" s="67">
        <v>1</v>
      </c>
      <c r="BM1365" s="67">
        <v>0</v>
      </c>
      <c r="BN1365" s="67">
        <v>0</v>
      </c>
      <c r="BO1365" s="67">
        <v>0</v>
      </c>
      <c r="BP1365" s="67">
        <v>0</v>
      </c>
      <c r="BQ1365" s="67">
        <v>0</v>
      </c>
      <c r="BR1365" s="67">
        <v>9</v>
      </c>
      <c r="BS1365" s="67">
        <v>0</v>
      </c>
      <c r="BT1365" s="67">
        <v>0</v>
      </c>
      <c r="BU1365" s="70">
        <v>10</v>
      </c>
      <c r="BV1365" s="29">
        <f t="shared" si="321"/>
        <v>0.21579027576554982</v>
      </c>
      <c r="BW1365">
        <f t="shared" si="322"/>
        <v>1.3667838287404401</v>
      </c>
      <c r="BX1365">
        <f t="shared" si="323"/>
        <v>0.1644554352117841</v>
      </c>
      <c r="BY1365">
        <f t="shared" si="324"/>
        <v>0.48834154112957734</v>
      </c>
      <c r="BZ1365">
        <f t="shared" si="325"/>
        <v>9.9604847176766084E-2</v>
      </c>
      <c r="CA1365">
        <f t="shared" si="326"/>
        <v>0.42951823792158</v>
      </c>
      <c r="CB1365">
        <f t="shared" si="327"/>
        <v>0.67891464284095016</v>
      </c>
    </row>
    <row r="1366" spans="1:80" x14ac:dyDescent="0.45">
      <c r="A1366" s="11">
        <v>28</v>
      </c>
      <c r="B1366" s="12">
        <f t="shared" si="315"/>
        <v>28</v>
      </c>
      <c r="C1366" s="12" t="s">
        <v>59</v>
      </c>
      <c r="D1366" s="12">
        <v>0</v>
      </c>
      <c r="E1366" s="12" t="s">
        <v>60</v>
      </c>
      <c r="F1366" s="12">
        <v>1</v>
      </c>
      <c r="G1366" s="12">
        <v>0</v>
      </c>
      <c r="H1366" s="12" t="s">
        <v>54</v>
      </c>
      <c r="I1366" s="12">
        <v>0</v>
      </c>
      <c r="J1366" s="12">
        <v>1</v>
      </c>
      <c r="K1366" s="12">
        <v>1</v>
      </c>
      <c r="L1366" s="12">
        <f t="shared" si="316"/>
        <v>1</v>
      </c>
      <c r="M1366" s="12">
        <v>2</v>
      </c>
      <c r="N1366" s="12" t="s">
        <v>55</v>
      </c>
      <c r="O1366" s="12">
        <v>1</v>
      </c>
      <c r="P1366" s="12">
        <v>0</v>
      </c>
      <c r="Q1366" s="12">
        <v>0</v>
      </c>
      <c r="R1366" s="12">
        <v>0</v>
      </c>
      <c r="S1366" s="12">
        <v>0</v>
      </c>
      <c r="T1366" s="12">
        <v>3</v>
      </c>
      <c r="U1366" s="12" t="s">
        <v>62</v>
      </c>
      <c r="V1366" s="12">
        <v>0</v>
      </c>
      <c r="W1366" s="12">
        <v>42</v>
      </c>
      <c r="X1366" s="12">
        <v>2</v>
      </c>
      <c r="Y1366" s="12">
        <v>2</v>
      </c>
      <c r="Z1366" s="12" t="s">
        <v>56</v>
      </c>
      <c r="AA1366" s="12">
        <v>0</v>
      </c>
      <c r="AB1366" s="12">
        <v>1</v>
      </c>
      <c r="AC1366" s="12">
        <v>0</v>
      </c>
      <c r="AD1366" s="12">
        <v>0</v>
      </c>
      <c r="AE1366" s="12">
        <v>0</v>
      </c>
      <c r="AF1366" s="12">
        <v>0</v>
      </c>
      <c r="AG1366" s="12">
        <v>0</v>
      </c>
      <c r="AH1366" s="12">
        <v>0</v>
      </c>
      <c r="AI1366" s="12">
        <v>4</v>
      </c>
      <c r="AJ1366" s="12" t="s">
        <v>64</v>
      </c>
      <c r="AK1366" s="12">
        <v>0</v>
      </c>
      <c r="AL1366" s="12">
        <v>1</v>
      </c>
      <c r="AM1366" s="12">
        <v>6834</v>
      </c>
      <c r="AN1366" s="12">
        <f t="shared" si="317"/>
        <v>6834</v>
      </c>
      <c r="AO1366" s="12">
        <v>1</v>
      </c>
      <c r="AP1366" s="12" t="s">
        <v>52</v>
      </c>
      <c r="AQ1366" s="12">
        <v>1</v>
      </c>
      <c r="AR1366" s="12">
        <v>12</v>
      </c>
      <c r="AS1366" s="12">
        <v>3</v>
      </c>
      <c r="AT1366" s="12">
        <v>3</v>
      </c>
      <c r="AU1366" s="12">
        <v>1</v>
      </c>
      <c r="AV1366" s="12">
        <v>7</v>
      </c>
      <c r="AW1366" s="12">
        <f t="shared" si="318"/>
        <v>7</v>
      </c>
      <c r="AX1366" s="12">
        <v>2</v>
      </c>
      <c r="AY1366" s="12">
        <v>3</v>
      </c>
      <c r="AZ1366" s="12">
        <v>7</v>
      </c>
      <c r="BA1366" s="12">
        <f t="shared" si="319"/>
        <v>7</v>
      </c>
      <c r="BB1366" s="12">
        <v>7</v>
      </c>
      <c r="BC1366" s="12">
        <v>0</v>
      </c>
      <c r="BD1366" s="12">
        <f t="shared" si="328"/>
        <v>0</v>
      </c>
      <c r="BE1366" s="12">
        <v>7</v>
      </c>
      <c r="BF1366" s="12">
        <f t="shared" si="320"/>
        <v>7</v>
      </c>
      <c r="BG1366" s="12">
        <f t="shared" si="329"/>
        <v>14</v>
      </c>
      <c r="BH1366" s="67">
        <v>0</v>
      </c>
      <c r="BI1366" s="67">
        <v>0</v>
      </c>
      <c r="BJ1366" s="67">
        <v>0</v>
      </c>
      <c r="BK1366" s="67">
        <v>1</v>
      </c>
      <c r="BL1366" s="67">
        <v>0</v>
      </c>
      <c r="BM1366" s="67">
        <v>0</v>
      </c>
      <c r="BN1366" s="67">
        <v>0</v>
      </c>
      <c r="BO1366" s="67">
        <v>1</v>
      </c>
      <c r="BP1366" s="67">
        <v>0</v>
      </c>
      <c r="BQ1366" s="67">
        <v>0</v>
      </c>
      <c r="BR1366" s="67">
        <v>7</v>
      </c>
      <c r="BS1366" s="67">
        <v>0</v>
      </c>
      <c r="BT1366" s="67">
        <v>0</v>
      </c>
      <c r="BU1366" s="70">
        <v>7</v>
      </c>
      <c r="BV1366" s="29">
        <f t="shared" si="321"/>
        <v>7.0321101644679626E-2</v>
      </c>
      <c r="BW1366">
        <f t="shared" si="322"/>
        <v>0.80626709607243985</v>
      </c>
      <c r="BX1366">
        <f t="shared" si="323"/>
        <v>0.55002080963175637</v>
      </c>
      <c r="BY1366">
        <f t="shared" si="324"/>
        <v>1.3324462240916321E-3</v>
      </c>
      <c r="BZ1366">
        <f t="shared" si="325"/>
        <v>1.01056543769991</v>
      </c>
      <c r="CA1366">
        <f t="shared" si="326"/>
        <v>0.97684123527310796</v>
      </c>
      <c r="CB1366">
        <f t="shared" si="327"/>
        <v>0.67891464284095016</v>
      </c>
    </row>
    <row r="1367" spans="1:80" x14ac:dyDescent="0.45">
      <c r="A1367" s="11">
        <v>29</v>
      </c>
      <c r="B1367" s="12">
        <f t="shared" si="315"/>
        <v>29</v>
      </c>
      <c r="C1367" s="12" t="s">
        <v>52</v>
      </c>
      <c r="D1367" s="12">
        <v>1</v>
      </c>
      <c r="E1367" s="12" t="s">
        <v>60</v>
      </c>
      <c r="F1367" s="12">
        <v>1</v>
      </c>
      <c r="G1367" s="12">
        <v>0</v>
      </c>
      <c r="H1367" s="12" t="s">
        <v>54</v>
      </c>
      <c r="I1367" s="12">
        <v>0</v>
      </c>
      <c r="J1367" s="12">
        <v>1</v>
      </c>
      <c r="K1367" s="12">
        <v>24</v>
      </c>
      <c r="L1367" s="12">
        <f t="shared" si="316"/>
        <v>24</v>
      </c>
      <c r="M1367" s="12">
        <v>3</v>
      </c>
      <c r="N1367" s="12" t="s">
        <v>91</v>
      </c>
      <c r="O1367" s="12">
        <v>0</v>
      </c>
      <c r="P1367" s="12">
        <v>0</v>
      </c>
      <c r="Q1367" s="12">
        <v>0</v>
      </c>
      <c r="R1367" s="12">
        <v>0</v>
      </c>
      <c r="S1367" s="12">
        <v>1</v>
      </c>
      <c r="T1367" s="12">
        <v>3</v>
      </c>
      <c r="U1367" s="12" t="s">
        <v>62</v>
      </c>
      <c r="V1367" s="12">
        <v>0</v>
      </c>
      <c r="W1367" s="12">
        <v>45</v>
      </c>
      <c r="X1367" s="12">
        <v>4</v>
      </c>
      <c r="Y1367" s="12">
        <v>1</v>
      </c>
      <c r="Z1367" s="12" t="s">
        <v>88</v>
      </c>
      <c r="AA1367" s="12">
        <v>0</v>
      </c>
      <c r="AB1367" s="12">
        <v>0</v>
      </c>
      <c r="AC1367" s="12">
        <v>0</v>
      </c>
      <c r="AD1367" s="12">
        <v>0</v>
      </c>
      <c r="AE1367" s="12">
        <v>0</v>
      </c>
      <c r="AF1367" s="12">
        <v>0</v>
      </c>
      <c r="AG1367" s="12">
        <v>1</v>
      </c>
      <c r="AH1367" s="12">
        <v>0</v>
      </c>
      <c r="AI1367" s="12">
        <v>1</v>
      </c>
      <c r="AJ1367" s="12" t="s">
        <v>57</v>
      </c>
      <c r="AK1367" s="12">
        <v>1</v>
      </c>
      <c r="AL1367" s="12">
        <v>0</v>
      </c>
      <c r="AM1367" s="12">
        <v>1091</v>
      </c>
      <c r="AN1367" s="12">
        <f t="shared" si="317"/>
        <v>1382.46</v>
      </c>
      <c r="AO1367" s="12">
        <v>1</v>
      </c>
      <c r="AP1367" s="12" t="s">
        <v>59</v>
      </c>
      <c r="AQ1367" s="12">
        <v>0</v>
      </c>
      <c r="AR1367" s="12">
        <v>17</v>
      </c>
      <c r="AS1367" s="12">
        <v>3</v>
      </c>
      <c r="AT1367" s="12">
        <v>4</v>
      </c>
      <c r="AU1367" s="12">
        <v>0</v>
      </c>
      <c r="AV1367" s="12">
        <v>1</v>
      </c>
      <c r="AW1367" s="12">
        <f t="shared" si="318"/>
        <v>1</v>
      </c>
      <c r="AX1367" s="12">
        <v>3</v>
      </c>
      <c r="AY1367" s="12">
        <v>3</v>
      </c>
      <c r="AZ1367" s="12">
        <v>1</v>
      </c>
      <c r="BA1367" s="12">
        <f t="shared" si="319"/>
        <v>1</v>
      </c>
      <c r="BB1367" s="12">
        <v>0</v>
      </c>
      <c r="BC1367" s="12">
        <v>0</v>
      </c>
      <c r="BD1367" s="12">
        <f t="shared" si="328"/>
        <v>0</v>
      </c>
      <c r="BE1367" s="12">
        <v>0</v>
      </c>
      <c r="BF1367" s="12">
        <f t="shared" si="320"/>
        <v>0</v>
      </c>
      <c r="BG1367" s="12">
        <f t="shared" si="329"/>
        <v>0</v>
      </c>
      <c r="BH1367" s="67">
        <v>0</v>
      </c>
      <c r="BI1367" s="67">
        <v>0</v>
      </c>
      <c r="BJ1367" s="67">
        <v>1</v>
      </c>
      <c r="BK1367" s="67">
        <v>0</v>
      </c>
      <c r="BL1367" s="67">
        <v>1</v>
      </c>
      <c r="BM1367" s="67">
        <v>0</v>
      </c>
      <c r="BN1367" s="67">
        <v>0</v>
      </c>
      <c r="BO1367" s="67">
        <v>0</v>
      </c>
      <c r="BP1367" s="67">
        <v>0</v>
      </c>
      <c r="BQ1367" s="67">
        <v>0</v>
      </c>
      <c r="BR1367" s="67">
        <v>0</v>
      </c>
      <c r="BS1367" s="67">
        <v>0</v>
      </c>
      <c r="BT1367" s="67">
        <v>0</v>
      </c>
      <c r="BU1367" s="70">
        <v>1</v>
      </c>
      <c r="BV1367" s="29">
        <f t="shared" si="321"/>
        <v>1.1495286685609238</v>
      </c>
      <c r="BW1367">
        <f t="shared" si="322"/>
        <v>1.1555414682655611</v>
      </c>
      <c r="BX1367">
        <f t="shared" si="323"/>
        <v>1.3211515584717011</v>
      </c>
      <c r="BY1367">
        <f t="shared" si="324"/>
        <v>0.9806804209314296</v>
      </c>
      <c r="BZ1367">
        <f t="shared" si="325"/>
        <v>1.8265364014293735</v>
      </c>
      <c r="CA1367">
        <f t="shared" si="326"/>
        <v>0.86737663580280233</v>
      </c>
      <c r="CB1367">
        <f t="shared" si="327"/>
        <v>0.67891464284095016</v>
      </c>
    </row>
    <row r="1368" spans="1:80" x14ac:dyDescent="0.45">
      <c r="A1368" s="11">
        <v>39</v>
      </c>
      <c r="B1368" s="12">
        <f t="shared" si="315"/>
        <v>39</v>
      </c>
      <c r="C1368" s="12" t="s">
        <v>59</v>
      </c>
      <c r="D1368" s="12">
        <v>0</v>
      </c>
      <c r="E1368" s="12" t="s">
        <v>86</v>
      </c>
      <c r="F1368" s="12">
        <v>0</v>
      </c>
      <c r="G1368" s="12">
        <v>0</v>
      </c>
      <c r="H1368" s="12" t="s">
        <v>54</v>
      </c>
      <c r="I1368" s="12">
        <v>0</v>
      </c>
      <c r="J1368" s="12">
        <v>1</v>
      </c>
      <c r="K1368" s="12">
        <v>21</v>
      </c>
      <c r="L1368" s="12">
        <f t="shared" si="316"/>
        <v>21</v>
      </c>
      <c r="M1368" s="12">
        <v>4</v>
      </c>
      <c r="N1368" s="12" t="s">
        <v>55</v>
      </c>
      <c r="O1368" s="12">
        <v>1</v>
      </c>
      <c r="P1368" s="12">
        <v>0</v>
      </c>
      <c r="Q1368" s="12">
        <v>0</v>
      </c>
      <c r="R1368" s="12">
        <v>0</v>
      </c>
      <c r="S1368" s="12">
        <v>0</v>
      </c>
      <c r="T1368" s="12">
        <v>1</v>
      </c>
      <c r="U1368" s="12" t="s">
        <v>19</v>
      </c>
      <c r="V1368" s="12">
        <v>1</v>
      </c>
      <c r="W1368" s="12">
        <v>32</v>
      </c>
      <c r="X1368" s="12">
        <v>1</v>
      </c>
      <c r="Y1368" s="12">
        <v>2</v>
      </c>
      <c r="Z1368" s="12" t="s">
        <v>56</v>
      </c>
      <c r="AA1368" s="12">
        <v>0</v>
      </c>
      <c r="AB1368" s="12">
        <v>1</v>
      </c>
      <c r="AC1368" s="12">
        <v>0</v>
      </c>
      <c r="AD1368" s="12">
        <v>0</v>
      </c>
      <c r="AE1368" s="12">
        <v>0</v>
      </c>
      <c r="AF1368" s="12">
        <v>0</v>
      </c>
      <c r="AG1368" s="12">
        <v>0</v>
      </c>
      <c r="AH1368" s="12">
        <v>0</v>
      </c>
      <c r="AI1368" s="12">
        <v>3</v>
      </c>
      <c r="AJ1368" s="12" t="s">
        <v>64</v>
      </c>
      <c r="AK1368" s="12">
        <v>0</v>
      </c>
      <c r="AL1368" s="12">
        <v>1</v>
      </c>
      <c r="AM1368" s="12">
        <v>5736</v>
      </c>
      <c r="AN1368" s="12">
        <f t="shared" si="317"/>
        <v>5736</v>
      </c>
      <c r="AO1368" s="12">
        <v>6</v>
      </c>
      <c r="AP1368" s="12" t="s">
        <v>59</v>
      </c>
      <c r="AQ1368" s="12">
        <v>0</v>
      </c>
      <c r="AR1368" s="12">
        <v>19</v>
      </c>
      <c r="AS1368" s="12">
        <v>3</v>
      </c>
      <c r="AT1368" s="12">
        <v>3</v>
      </c>
      <c r="AU1368" s="12">
        <v>1</v>
      </c>
      <c r="AV1368" s="12">
        <v>10</v>
      </c>
      <c r="AW1368" s="12">
        <f t="shared" si="318"/>
        <v>10</v>
      </c>
      <c r="AX1368" s="12">
        <v>1</v>
      </c>
      <c r="AY1368" s="12">
        <v>3</v>
      </c>
      <c r="AZ1368" s="12">
        <v>3</v>
      </c>
      <c r="BA1368" s="12">
        <f t="shared" si="319"/>
        <v>3</v>
      </c>
      <c r="BB1368" s="12">
        <v>2</v>
      </c>
      <c r="BC1368" s="12">
        <v>1</v>
      </c>
      <c r="BD1368" s="12">
        <f t="shared" si="328"/>
        <v>1</v>
      </c>
      <c r="BE1368" s="12">
        <v>2</v>
      </c>
      <c r="BF1368" s="12">
        <f t="shared" si="320"/>
        <v>2</v>
      </c>
      <c r="BG1368" s="12">
        <f t="shared" si="329"/>
        <v>4</v>
      </c>
      <c r="BH1368" s="67">
        <v>0</v>
      </c>
      <c r="BI1368" s="67">
        <v>1</v>
      </c>
      <c r="BJ1368" s="67">
        <v>0</v>
      </c>
      <c r="BK1368" s="67">
        <v>0</v>
      </c>
      <c r="BL1368" s="67">
        <v>0</v>
      </c>
      <c r="BM1368" s="67">
        <v>0</v>
      </c>
      <c r="BN1368" s="67">
        <v>1</v>
      </c>
      <c r="BO1368" s="67">
        <v>0</v>
      </c>
      <c r="BP1368" s="67">
        <v>0</v>
      </c>
      <c r="BQ1368" s="67">
        <v>0</v>
      </c>
      <c r="BR1368" s="67">
        <v>2</v>
      </c>
      <c r="BS1368" s="67">
        <v>0</v>
      </c>
      <c r="BT1368" s="67">
        <v>0</v>
      </c>
      <c r="BU1368" s="70">
        <v>10</v>
      </c>
      <c r="BV1368" s="29">
        <f t="shared" si="321"/>
        <v>0.16290109018637602</v>
      </c>
      <c r="BW1368">
        <f t="shared" si="322"/>
        <v>0.59502473559756086</v>
      </c>
      <c r="BX1368">
        <f t="shared" si="323"/>
        <v>0.1644554352117841</v>
      </c>
      <c r="BY1368">
        <f t="shared" si="324"/>
        <v>0.65423109602898355</v>
      </c>
      <c r="BZ1368">
        <f t="shared" si="325"/>
        <v>1.4564796398038149</v>
      </c>
      <c r="CA1368">
        <f t="shared" si="326"/>
        <v>0.22726935890025346</v>
      </c>
      <c r="CB1368">
        <f t="shared" si="327"/>
        <v>0.36858985273641137</v>
      </c>
    </row>
    <row r="1369" spans="1:80" x14ac:dyDescent="0.45">
      <c r="A1369" s="11">
        <v>27</v>
      </c>
      <c r="B1369" s="12">
        <f t="shared" si="315"/>
        <v>27</v>
      </c>
      <c r="C1369" s="12" t="s">
        <v>59</v>
      </c>
      <c r="D1369" s="12">
        <v>0</v>
      </c>
      <c r="E1369" s="12" t="s">
        <v>53</v>
      </c>
      <c r="F1369" s="12">
        <v>0</v>
      </c>
      <c r="G1369" s="12">
        <v>1</v>
      </c>
      <c r="H1369" s="12" t="s">
        <v>61</v>
      </c>
      <c r="I1369" s="12">
        <v>1</v>
      </c>
      <c r="J1369" s="12">
        <v>0</v>
      </c>
      <c r="K1369" s="12">
        <v>2</v>
      </c>
      <c r="L1369" s="12">
        <f t="shared" si="316"/>
        <v>2</v>
      </c>
      <c r="M1369" s="12">
        <v>4</v>
      </c>
      <c r="N1369" s="12" t="s">
        <v>91</v>
      </c>
      <c r="O1369" s="12">
        <v>0</v>
      </c>
      <c r="P1369" s="12">
        <v>0</v>
      </c>
      <c r="Q1369" s="12">
        <v>0</v>
      </c>
      <c r="R1369" s="12">
        <v>0</v>
      </c>
      <c r="S1369" s="12">
        <v>1</v>
      </c>
      <c r="T1369" s="12">
        <v>2</v>
      </c>
      <c r="U1369" s="12" t="s">
        <v>62</v>
      </c>
      <c r="V1369" s="12">
        <v>0</v>
      </c>
      <c r="W1369" s="12">
        <v>41</v>
      </c>
      <c r="X1369" s="12">
        <v>3</v>
      </c>
      <c r="Y1369" s="12">
        <v>1</v>
      </c>
      <c r="Z1369" s="12" t="s">
        <v>63</v>
      </c>
      <c r="AA1369" s="12">
        <v>0</v>
      </c>
      <c r="AB1369" s="12">
        <v>0</v>
      </c>
      <c r="AC1369" s="12">
        <v>0</v>
      </c>
      <c r="AD1369" s="12">
        <v>0</v>
      </c>
      <c r="AE1369" s="12">
        <v>0</v>
      </c>
      <c r="AF1369" s="12">
        <v>0</v>
      </c>
      <c r="AG1369" s="12">
        <v>0</v>
      </c>
      <c r="AH1369" s="12">
        <v>1</v>
      </c>
      <c r="AI1369" s="12">
        <v>2</v>
      </c>
      <c r="AJ1369" s="12" t="s">
        <v>64</v>
      </c>
      <c r="AK1369" s="12">
        <v>0</v>
      </c>
      <c r="AL1369" s="12">
        <v>1</v>
      </c>
      <c r="AM1369" s="12">
        <v>2226</v>
      </c>
      <c r="AN1369" s="12">
        <f t="shared" si="317"/>
        <v>2226</v>
      </c>
      <c r="AO1369" s="12">
        <v>1</v>
      </c>
      <c r="AP1369" s="12" t="s">
        <v>59</v>
      </c>
      <c r="AQ1369" s="12">
        <v>0</v>
      </c>
      <c r="AR1369" s="12">
        <v>11</v>
      </c>
      <c r="AS1369" s="12">
        <v>3</v>
      </c>
      <c r="AT1369" s="12">
        <v>3</v>
      </c>
      <c r="AU1369" s="12">
        <v>1</v>
      </c>
      <c r="AV1369" s="12">
        <v>6</v>
      </c>
      <c r="AW1369" s="12">
        <f t="shared" si="318"/>
        <v>6</v>
      </c>
      <c r="AX1369" s="12">
        <v>3</v>
      </c>
      <c r="AY1369" s="12">
        <v>2</v>
      </c>
      <c r="AZ1369" s="12">
        <v>5</v>
      </c>
      <c r="BA1369" s="12">
        <f t="shared" si="319"/>
        <v>5</v>
      </c>
      <c r="BB1369" s="12">
        <v>3</v>
      </c>
      <c r="BC1369" s="12">
        <v>1</v>
      </c>
      <c r="BD1369" s="12">
        <f t="shared" si="328"/>
        <v>1</v>
      </c>
      <c r="BE1369" s="12">
        <v>2</v>
      </c>
      <c r="BF1369" s="12">
        <f t="shared" si="320"/>
        <v>2</v>
      </c>
      <c r="BG1369" s="12">
        <f t="shared" si="329"/>
        <v>2</v>
      </c>
      <c r="BH1369" s="67">
        <v>0</v>
      </c>
      <c r="BI1369" s="67">
        <v>1</v>
      </c>
      <c r="BJ1369" s="67">
        <v>0</v>
      </c>
      <c r="BK1369" s="67">
        <v>0</v>
      </c>
      <c r="BL1369" s="67">
        <v>0</v>
      </c>
      <c r="BM1369" s="67">
        <v>0</v>
      </c>
      <c r="BN1369" s="67">
        <v>1</v>
      </c>
      <c r="BO1369" s="67">
        <v>0</v>
      </c>
      <c r="BP1369" s="67">
        <v>0</v>
      </c>
      <c r="BQ1369" s="67">
        <v>2</v>
      </c>
      <c r="BR1369" s="67">
        <v>0</v>
      </c>
      <c r="BS1369" s="67">
        <v>0</v>
      </c>
      <c r="BT1369" s="67">
        <v>6</v>
      </c>
      <c r="BU1369" s="70">
        <v>0</v>
      </c>
      <c r="BV1369" s="29">
        <f t="shared" si="321"/>
        <v>0.90844744112171782</v>
      </c>
      <c r="BW1369">
        <f t="shared" si="322"/>
        <v>0.59502473559756086</v>
      </c>
      <c r="BX1369">
        <f t="shared" si="323"/>
        <v>0.67854260110508058</v>
      </c>
      <c r="BY1369">
        <f t="shared" si="324"/>
        <v>0.32778177112653761</v>
      </c>
      <c r="BZ1369">
        <f t="shared" si="325"/>
        <v>0.88721318382472392</v>
      </c>
      <c r="CA1369">
        <f t="shared" si="326"/>
        <v>1.0863058347434136</v>
      </c>
      <c r="CB1369">
        <f t="shared" si="327"/>
        <v>0.36858985273641137</v>
      </c>
    </row>
    <row r="1370" spans="1:80" x14ac:dyDescent="0.45">
      <c r="A1370" s="11">
        <v>34</v>
      </c>
      <c r="B1370" s="12">
        <f t="shared" si="315"/>
        <v>34</v>
      </c>
      <c r="C1370" s="12" t="s">
        <v>59</v>
      </c>
      <c r="D1370" s="12">
        <v>0</v>
      </c>
      <c r="E1370" s="12" t="s">
        <v>60</v>
      </c>
      <c r="F1370" s="12">
        <v>1</v>
      </c>
      <c r="G1370" s="12">
        <v>0</v>
      </c>
      <c r="H1370" s="12" t="s">
        <v>61</v>
      </c>
      <c r="I1370" s="12">
        <v>1</v>
      </c>
      <c r="J1370" s="12">
        <v>0</v>
      </c>
      <c r="K1370" s="12">
        <v>22</v>
      </c>
      <c r="L1370" s="12">
        <f t="shared" si="316"/>
        <v>22</v>
      </c>
      <c r="M1370" s="12">
        <v>4</v>
      </c>
      <c r="N1370" s="12" t="s">
        <v>66</v>
      </c>
      <c r="O1370" s="12">
        <v>0</v>
      </c>
      <c r="P1370" s="12">
        <v>1</v>
      </c>
      <c r="Q1370" s="12">
        <v>0</v>
      </c>
      <c r="R1370" s="12">
        <v>0</v>
      </c>
      <c r="S1370" s="12">
        <v>0</v>
      </c>
      <c r="T1370" s="12">
        <v>3</v>
      </c>
      <c r="U1370" s="12" t="s">
        <v>62</v>
      </c>
      <c r="V1370" s="12">
        <v>0</v>
      </c>
      <c r="W1370" s="12">
        <v>86</v>
      </c>
      <c r="X1370" s="12">
        <v>2</v>
      </c>
      <c r="Y1370" s="12">
        <v>2</v>
      </c>
      <c r="Z1370" s="12" t="s">
        <v>63</v>
      </c>
      <c r="AA1370" s="12">
        <v>0</v>
      </c>
      <c r="AB1370" s="12">
        <v>0</v>
      </c>
      <c r="AC1370" s="12">
        <v>0</v>
      </c>
      <c r="AD1370" s="12">
        <v>0</v>
      </c>
      <c r="AE1370" s="12">
        <v>0</v>
      </c>
      <c r="AF1370" s="12">
        <v>0</v>
      </c>
      <c r="AG1370" s="12">
        <v>0</v>
      </c>
      <c r="AH1370" s="12">
        <v>1</v>
      </c>
      <c r="AI1370" s="12">
        <v>4</v>
      </c>
      <c r="AJ1370" s="12" t="s">
        <v>64</v>
      </c>
      <c r="AK1370" s="12">
        <v>0</v>
      </c>
      <c r="AL1370" s="12">
        <v>1</v>
      </c>
      <c r="AM1370" s="12">
        <v>5747</v>
      </c>
      <c r="AN1370" s="12">
        <f t="shared" si="317"/>
        <v>5747</v>
      </c>
      <c r="AO1370" s="12">
        <v>1</v>
      </c>
      <c r="AP1370" s="12" t="s">
        <v>52</v>
      </c>
      <c r="AQ1370" s="12">
        <v>1</v>
      </c>
      <c r="AR1370" s="12">
        <v>15</v>
      </c>
      <c r="AS1370" s="12">
        <v>3</v>
      </c>
      <c r="AT1370" s="12">
        <v>2</v>
      </c>
      <c r="AU1370" s="12">
        <v>0</v>
      </c>
      <c r="AV1370" s="12">
        <v>16</v>
      </c>
      <c r="AW1370" s="12">
        <f t="shared" si="318"/>
        <v>16</v>
      </c>
      <c r="AX1370" s="12">
        <v>3</v>
      </c>
      <c r="AY1370" s="12">
        <v>3</v>
      </c>
      <c r="AZ1370" s="12">
        <v>15</v>
      </c>
      <c r="BA1370" s="12">
        <f t="shared" si="319"/>
        <v>15</v>
      </c>
      <c r="BB1370" s="12">
        <v>10</v>
      </c>
      <c r="BC1370" s="12">
        <v>6</v>
      </c>
      <c r="BD1370" s="12">
        <f t="shared" si="328"/>
        <v>6</v>
      </c>
      <c r="BE1370" s="12">
        <v>11</v>
      </c>
      <c r="BF1370" s="12">
        <f t="shared" si="320"/>
        <v>11</v>
      </c>
      <c r="BG1370" s="12">
        <f t="shared" si="329"/>
        <v>22</v>
      </c>
      <c r="BH1370" s="67">
        <v>0</v>
      </c>
      <c r="BI1370" s="67">
        <v>0</v>
      </c>
      <c r="BJ1370" s="67">
        <v>0</v>
      </c>
      <c r="BK1370" s="67">
        <v>1</v>
      </c>
      <c r="BL1370" s="67">
        <v>0</v>
      </c>
      <c r="BM1370" s="67">
        <v>0</v>
      </c>
      <c r="BN1370" s="67">
        <v>0</v>
      </c>
      <c r="BO1370" s="67">
        <v>1</v>
      </c>
      <c r="BP1370" s="67">
        <v>0</v>
      </c>
      <c r="BQ1370" s="67">
        <v>11</v>
      </c>
      <c r="BR1370" s="67">
        <v>0</v>
      </c>
      <c r="BS1370" s="67">
        <v>0</v>
      </c>
      <c r="BT1370" s="67">
        <v>16</v>
      </c>
      <c r="BU1370" s="70">
        <v>0</v>
      </c>
      <c r="BV1370" s="29">
        <f t="shared" si="321"/>
        <v>0.16056462014070971</v>
      </c>
      <c r="BW1370">
        <f t="shared" si="322"/>
        <v>1.9273005614084406</v>
      </c>
      <c r="BX1370">
        <f t="shared" si="323"/>
        <v>0.60667531362816052</v>
      </c>
      <c r="BY1370">
        <f t="shared" si="324"/>
        <v>1.3044648533856922</v>
      </c>
      <c r="BZ1370">
        <f t="shared" si="325"/>
        <v>1.579831893679001</v>
      </c>
      <c r="CA1370">
        <f t="shared" si="326"/>
        <v>0.32005363845127444</v>
      </c>
      <c r="CB1370">
        <f t="shared" si="327"/>
        <v>1.1830340977862825</v>
      </c>
    </row>
    <row r="1371" spans="1:80" x14ac:dyDescent="0.45">
      <c r="A1371" s="11">
        <v>28</v>
      </c>
      <c r="B1371" s="12">
        <f t="shared" si="315"/>
        <v>28</v>
      </c>
      <c r="C1371" s="12" t="s">
        <v>52</v>
      </c>
      <c r="D1371" s="12">
        <v>1</v>
      </c>
      <c r="E1371" s="12" t="s">
        <v>53</v>
      </c>
      <c r="F1371" s="12">
        <v>0</v>
      </c>
      <c r="G1371" s="12">
        <v>1</v>
      </c>
      <c r="H1371" s="12" t="s">
        <v>54</v>
      </c>
      <c r="I1371" s="12">
        <v>0</v>
      </c>
      <c r="J1371" s="12">
        <v>1</v>
      </c>
      <c r="K1371" s="12">
        <v>13</v>
      </c>
      <c r="L1371" s="12">
        <f t="shared" si="316"/>
        <v>13</v>
      </c>
      <c r="M1371" s="12">
        <v>2</v>
      </c>
      <c r="N1371" s="12" t="s">
        <v>90</v>
      </c>
      <c r="O1371" s="12">
        <v>0</v>
      </c>
      <c r="P1371" s="12">
        <v>0</v>
      </c>
      <c r="Q1371" s="12">
        <v>0</v>
      </c>
      <c r="R1371" s="12">
        <v>1</v>
      </c>
      <c r="S1371" s="12">
        <v>0</v>
      </c>
      <c r="T1371" s="12">
        <v>4</v>
      </c>
      <c r="U1371" s="12" t="s">
        <v>19</v>
      </c>
      <c r="V1371" s="12">
        <v>1</v>
      </c>
      <c r="W1371" s="12">
        <v>84</v>
      </c>
      <c r="X1371" s="12">
        <v>3</v>
      </c>
      <c r="Y1371" s="12">
        <v>2</v>
      </c>
      <c r="Z1371" s="12" t="s">
        <v>56</v>
      </c>
      <c r="AA1371" s="12">
        <v>0</v>
      </c>
      <c r="AB1371" s="12">
        <v>1</v>
      </c>
      <c r="AC1371" s="12">
        <v>0</v>
      </c>
      <c r="AD1371" s="12">
        <v>0</v>
      </c>
      <c r="AE1371" s="12">
        <v>0</v>
      </c>
      <c r="AF1371" s="12">
        <v>0</v>
      </c>
      <c r="AG1371" s="12">
        <v>0</v>
      </c>
      <c r="AH1371" s="12">
        <v>0</v>
      </c>
      <c r="AI1371" s="12">
        <v>3</v>
      </c>
      <c r="AJ1371" s="12" t="s">
        <v>57</v>
      </c>
      <c r="AK1371" s="12">
        <v>1</v>
      </c>
      <c r="AL1371" s="12">
        <v>0</v>
      </c>
      <c r="AM1371" s="12">
        <v>9854</v>
      </c>
      <c r="AN1371" s="12">
        <f t="shared" si="317"/>
        <v>9854</v>
      </c>
      <c r="AO1371" s="12">
        <v>3</v>
      </c>
      <c r="AP1371" s="12" t="s">
        <v>52</v>
      </c>
      <c r="AQ1371" s="12">
        <v>1</v>
      </c>
      <c r="AR1371" s="12">
        <v>11</v>
      </c>
      <c r="AS1371" s="12">
        <v>3</v>
      </c>
      <c r="AT1371" s="12">
        <v>4</v>
      </c>
      <c r="AU1371" s="12">
        <v>0</v>
      </c>
      <c r="AV1371" s="12">
        <v>6</v>
      </c>
      <c r="AW1371" s="12">
        <f t="shared" si="318"/>
        <v>6</v>
      </c>
      <c r="AX1371" s="12">
        <v>0</v>
      </c>
      <c r="AY1371" s="12">
        <v>3</v>
      </c>
      <c r="AZ1371" s="12">
        <v>2</v>
      </c>
      <c r="BA1371" s="12">
        <f t="shared" si="319"/>
        <v>2</v>
      </c>
      <c r="BB1371" s="12">
        <v>0</v>
      </c>
      <c r="BC1371" s="12">
        <v>2</v>
      </c>
      <c r="BD1371" s="12">
        <f t="shared" si="328"/>
        <v>2</v>
      </c>
      <c r="BE1371" s="12">
        <v>2</v>
      </c>
      <c r="BF1371" s="12">
        <f t="shared" si="320"/>
        <v>2</v>
      </c>
      <c r="BG1371" s="12">
        <f t="shared" si="329"/>
        <v>4</v>
      </c>
      <c r="BH1371" s="67">
        <v>1</v>
      </c>
      <c r="BI1371" s="67">
        <v>0</v>
      </c>
      <c r="BJ1371" s="67">
        <v>0</v>
      </c>
      <c r="BK1371" s="67">
        <v>0</v>
      </c>
      <c r="BL1371" s="67">
        <v>0</v>
      </c>
      <c r="BM1371" s="67">
        <v>1</v>
      </c>
      <c r="BN1371" s="67">
        <v>0</v>
      </c>
      <c r="BO1371" s="67">
        <v>0</v>
      </c>
      <c r="BP1371" s="67">
        <v>0</v>
      </c>
      <c r="BQ1371" s="67">
        <v>0</v>
      </c>
      <c r="BR1371" s="67">
        <v>2</v>
      </c>
      <c r="BS1371" s="67">
        <v>0</v>
      </c>
      <c r="BT1371" s="67">
        <v>0</v>
      </c>
      <c r="BU1371" s="70">
        <v>6</v>
      </c>
      <c r="BV1371" s="29">
        <f t="shared" si="321"/>
        <v>0.71178833236397654</v>
      </c>
      <c r="BW1371">
        <f t="shared" si="322"/>
        <v>0.59502473559756086</v>
      </c>
      <c r="BX1371">
        <f t="shared" si="323"/>
        <v>0.67854260110508058</v>
      </c>
      <c r="BY1371">
        <f t="shared" si="324"/>
        <v>0.81745575848020657</v>
      </c>
      <c r="BZ1371">
        <f t="shared" si="325"/>
        <v>0.46966160880232483</v>
      </c>
      <c r="CA1371">
        <f t="shared" si="326"/>
        <v>0.97684123527310796</v>
      </c>
      <c r="CB1371">
        <f t="shared" si="327"/>
        <v>5.8265062631872602E-2</v>
      </c>
    </row>
    <row r="1372" spans="1:80" x14ac:dyDescent="0.45">
      <c r="A1372" s="11">
        <v>47</v>
      </c>
      <c r="B1372" s="12">
        <f t="shared" si="315"/>
        <v>47</v>
      </c>
      <c r="C1372" s="12" t="s">
        <v>59</v>
      </c>
      <c r="D1372" s="12">
        <v>0</v>
      </c>
      <c r="E1372" s="12" t="s">
        <v>86</v>
      </c>
      <c r="F1372" s="12">
        <v>0</v>
      </c>
      <c r="G1372" s="12">
        <v>0</v>
      </c>
      <c r="H1372" s="12" t="s">
        <v>61</v>
      </c>
      <c r="I1372" s="12">
        <v>1</v>
      </c>
      <c r="J1372" s="12">
        <v>0</v>
      </c>
      <c r="K1372" s="12">
        <v>14</v>
      </c>
      <c r="L1372" s="12">
        <f t="shared" si="316"/>
        <v>14</v>
      </c>
      <c r="M1372" s="12">
        <v>4</v>
      </c>
      <c r="N1372" s="12" t="s">
        <v>91</v>
      </c>
      <c r="O1372" s="12">
        <v>0</v>
      </c>
      <c r="P1372" s="12">
        <v>0</v>
      </c>
      <c r="Q1372" s="12">
        <v>0</v>
      </c>
      <c r="R1372" s="12">
        <v>0</v>
      </c>
      <c r="S1372" s="12">
        <v>1</v>
      </c>
      <c r="T1372" s="12">
        <v>3</v>
      </c>
      <c r="U1372" s="12" t="s">
        <v>62</v>
      </c>
      <c r="V1372" s="12">
        <v>0</v>
      </c>
      <c r="W1372" s="12">
        <v>64</v>
      </c>
      <c r="X1372" s="12">
        <v>3</v>
      </c>
      <c r="Y1372" s="12">
        <v>2</v>
      </c>
      <c r="Z1372" s="12" t="s">
        <v>63</v>
      </c>
      <c r="AA1372" s="12">
        <v>0</v>
      </c>
      <c r="AB1372" s="12">
        <v>0</v>
      </c>
      <c r="AC1372" s="12">
        <v>0</v>
      </c>
      <c r="AD1372" s="12">
        <v>0</v>
      </c>
      <c r="AE1372" s="12">
        <v>0</v>
      </c>
      <c r="AF1372" s="12">
        <v>0</v>
      </c>
      <c r="AG1372" s="12">
        <v>0</v>
      </c>
      <c r="AH1372" s="12">
        <v>1</v>
      </c>
      <c r="AI1372" s="12">
        <v>2</v>
      </c>
      <c r="AJ1372" s="12" t="s">
        <v>64</v>
      </c>
      <c r="AK1372" s="12">
        <v>0</v>
      </c>
      <c r="AL1372" s="12">
        <v>1</v>
      </c>
      <c r="AM1372" s="12">
        <v>5467</v>
      </c>
      <c r="AN1372" s="12">
        <f t="shared" si="317"/>
        <v>5467</v>
      </c>
      <c r="AO1372" s="12">
        <v>8</v>
      </c>
      <c r="AP1372" s="12" t="s">
        <v>59</v>
      </c>
      <c r="AQ1372" s="12">
        <v>0</v>
      </c>
      <c r="AR1372" s="12">
        <v>18</v>
      </c>
      <c r="AS1372" s="12">
        <v>3</v>
      </c>
      <c r="AT1372" s="12">
        <v>3</v>
      </c>
      <c r="AU1372" s="12">
        <v>1</v>
      </c>
      <c r="AV1372" s="12">
        <v>16</v>
      </c>
      <c r="AW1372" s="12">
        <f t="shared" si="318"/>
        <v>16</v>
      </c>
      <c r="AX1372" s="12">
        <v>4</v>
      </c>
      <c r="AY1372" s="12">
        <v>4</v>
      </c>
      <c r="AZ1372" s="12">
        <v>8</v>
      </c>
      <c r="BA1372" s="12">
        <f t="shared" si="319"/>
        <v>8</v>
      </c>
      <c r="BB1372" s="12">
        <v>7</v>
      </c>
      <c r="BC1372" s="12">
        <v>1</v>
      </c>
      <c r="BD1372" s="12">
        <f t="shared" si="328"/>
        <v>1</v>
      </c>
      <c r="BE1372" s="12">
        <v>7</v>
      </c>
      <c r="BF1372" s="12">
        <f t="shared" si="320"/>
        <v>7</v>
      </c>
      <c r="BG1372" s="12">
        <f t="shared" si="329"/>
        <v>14</v>
      </c>
      <c r="BH1372" s="67">
        <v>0</v>
      </c>
      <c r="BI1372" s="67">
        <v>1</v>
      </c>
      <c r="BJ1372" s="67">
        <v>0</v>
      </c>
      <c r="BK1372" s="67">
        <v>0</v>
      </c>
      <c r="BL1372" s="67">
        <v>0</v>
      </c>
      <c r="BM1372" s="67">
        <v>0</v>
      </c>
      <c r="BN1372" s="67">
        <v>1</v>
      </c>
      <c r="BO1372" s="67">
        <v>0</v>
      </c>
      <c r="BP1372" s="67">
        <v>0</v>
      </c>
      <c r="BQ1372" s="67">
        <v>7</v>
      </c>
      <c r="BR1372" s="67">
        <v>0</v>
      </c>
      <c r="BS1372" s="67">
        <v>0</v>
      </c>
      <c r="BT1372" s="67">
        <v>16</v>
      </c>
      <c r="BU1372" s="70">
        <v>0</v>
      </c>
      <c r="BV1372" s="29">
        <f t="shared" si="321"/>
        <v>0.22003840312130676</v>
      </c>
      <c r="BW1372">
        <f t="shared" si="322"/>
        <v>0.80626709607243985</v>
      </c>
      <c r="BX1372">
        <f t="shared" si="323"/>
        <v>0.60667531362816052</v>
      </c>
      <c r="BY1372">
        <f t="shared" si="324"/>
        <v>0.16189221622713135</v>
      </c>
      <c r="BZ1372">
        <f t="shared" si="325"/>
        <v>0.59301386267751111</v>
      </c>
      <c r="CA1372">
        <f t="shared" si="326"/>
        <v>1.102986154662698</v>
      </c>
      <c r="CB1372">
        <f t="shared" si="327"/>
        <v>0.36858985273641137</v>
      </c>
    </row>
    <row r="1373" spans="1:80" x14ac:dyDescent="0.45">
      <c r="A1373" s="11">
        <v>56</v>
      </c>
      <c r="B1373" s="12">
        <f t="shared" si="315"/>
        <v>56</v>
      </c>
      <c r="C1373" s="12" t="s">
        <v>59</v>
      </c>
      <c r="D1373" s="12">
        <v>0</v>
      </c>
      <c r="E1373" s="12" t="s">
        <v>53</v>
      </c>
      <c r="F1373" s="12">
        <v>0</v>
      </c>
      <c r="G1373" s="12">
        <v>1</v>
      </c>
      <c r="H1373" s="12" t="s">
        <v>54</v>
      </c>
      <c r="I1373" s="12">
        <v>0</v>
      </c>
      <c r="J1373" s="12">
        <v>1</v>
      </c>
      <c r="K1373" s="12">
        <v>11</v>
      </c>
      <c r="L1373" s="12">
        <f t="shared" si="316"/>
        <v>11</v>
      </c>
      <c r="M1373" s="12">
        <v>5</v>
      </c>
      <c r="N1373" s="12" t="s">
        <v>90</v>
      </c>
      <c r="O1373" s="12">
        <v>0</v>
      </c>
      <c r="P1373" s="12">
        <v>0</v>
      </c>
      <c r="Q1373" s="12">
        <v>0</v>
      </c>
      <c r="R1373" s="12">
        <v>1</v>
      </c>
      <c r="S1373" s="12">
        <v>0</v>
      </c>
      <c r="T1373" s="12">
        <v>4</v>
      </c>
      <c r="U1373" s="12" t="s">
        <v>19</v>
      </c>
      <c r="V1373" s="12">
        <v>1</v>
      </c>
      <c r="W1373" s="12">
        <v>89</v>
      </c>
      <c r="X1373" s="12">
        <v>2</v>
      </c>
      <c r="Y1373" s="12">
        <v>2</v>
      </c>
      <c r="Z1373" s="12" t="s">
        <v>56</v>
      </c>
      <c r="AA1373" s="12">
        <v>0</v>
      </c>
      <c r="AB1373" s="12">
        <v>1</v>
      </c>
      <c r="AC1373" s="12">
        <v>0</v>
      </c>
      <c r="AD1373" s="12">
        <v>0</v>
      </c>
      <c r="AE1373" s="12">
        <v>0</v>
      </c>
      <c r="AF1373" s="12">
        <v>0</v>
      </c>
      <c r="AG1373" s="12">
        <v>0</v>
      </c>
      <c r="AH1373" s="12">
        <v>0</v>
      </c>
      <c r="AI1373" s="12">
        <v>1</v>
      </c>
      <c r="AJ1373" s="12" t="s">
        <v>64</v>
      </c>
      <c r="AK1373" s="12">
        <v>0</v>
      </c>
      <c r="AL1373" s="12">
        <v>1</v>
      </c>
      <c r="AM1373" s="12">
        <v>5380</v>
      </c>
      <c r="AN1373" s="12">
        <f t="shared" si="317"/>
        <v>5380</v>
      </c>
      <c r="AO1373" s="12">
        <v>4</v>
      </c>
      <c r="AP1373" s="12" t="s">
        <v>59</v>
      </c>
      <c r="AQ1373" s="12">
        <v>0</v>
      </c>
      <c r="AR1373" s="12">
        <v>16</v>
      </c>
      <c r="AS1373" s="12">
        <v>3</v>
      </c>
      <c r="AT1373" s="12">
        <v>3</v>
      </c>
      <c r="AU1373" s="12">
        <v>1</v>
      </c>
      <c r="AV1373" s="12">
        <v>6</v>
      </c>
      <c r="AW1373" s="12">
        <f t="shared" si="318"/>
        <v>6</v>
      </c>
      <c r="AX1373" s="12">
        <v>3</v>
      </c>
      <c r="AY1373" s="12">
        <v>3</v>
      </c>
      <c r="AZ1373" s="12">
        <v>0</v>
      </c>
      <c r="BA1373" s="12">
        <f t="shared" si="319"/>
        <v>0</v>
      </c>
      <c r="BB1373" s="12">
        <v>0</v>
      </c>
      <c r="BC1373" s="12">
        <v>0</v>
      </c>
      <c r="BD1373" s="12">
        <f t="shared" si="328"/>
        <v>0</v>
      </c>
      <c r="BE1373" s="12">
        <v>0</v>
      </c>
      <c r="BF1373" s="12">
        <f t="shared" si="320"/>
        <v>0</v>
      </c>
      <c r="BG1373" s="12">
        <f t="shared" si="329"/>
        <v>0</v>
      </c>
      <c r="BH1373" s="67">
        <v>0</v>
      </c>
      <c r="BI1373" s="67">
        <v>1</v>
      </c>
      <c r="BJ1373" s="67">
        <v>0</v>
      </c>
      <c r="BK1373" s="67">
        <v>0</v>
      </c>
      <c r="BL1373" s="67">
        <v>0</v>
      </c>
      <c r="BM1373" s="67">
        <v>0</v>
      </c>
      <c r="BN1373" s="67">
        <v>1</v>
      </c>
      <c r="BO1373" s="67">
        <v>0</v>
      </c>
      <c r="BP1373" s="67">
        <v>0</v>
      </c>
      <c r="BQ1373" s="67">
        <v>0</v>
      </c>
      <c r="BR1373" s="67">
        <v>0</v>
      </c>
      <c r="BS1373" s="67">
        <v>0</v>
      </c>
      <c r="BT1373" s="67">
        <v>0</v>
      </c>
      <c r="BU1373" s="70">
        <v>6</v>
      </c>
      <c r="BV1373" s="29">
        <f t="shared" si="321"/>
        <v>0.23851775711884943</v>
      </c>
      <c r="BW1373">
        <f t="shared" si="322"/>
        <v>1.1555414682655611</v>
      </c>
      <c r="BX1373">
        <f t="shared" si="323"/>
        <v>0.67854260110508058</v>
      </c>
      <c r="BY1373">
        <f t="shared" si="324"/>
        <v>1.1439050833826525</v>
      </c>
      <c r="BZ1373">
        <f t="shared" si="325"/>
        <v>0.22295710105195232</v>
      </c>
      <c r="CA1373">
        <f t="shared" si="326"/>
        <v>2.0881675498954482</v>
      </c>
      <c r="CB1373">
        <f t="shared" si="327"/>
        <v>0.67891464284095016</v>
      </c>
    </row>
    <row r="1374" spans="1:80" x14ac:dyDescent="0.45">
      <c r="A1374" s="11">
        <v>39</v>
      </c>
      <c r="B1374" s="12">
        <f t="shared" si="315"/>
        <v>39</v>
      </c>
      <c r="C1374" s="12" t="s">
        <v>59</v>
      </c>
      <c r="D1374" s="12">
        <v>0</v>
      </c>
      <c r="E1374" s="12" t="s">
        <v>53</v>
      </c>
      <c r="F1374" s="12">
        <v>0</v>
      </c>
      <c r="G1374" s="12">
        <v>1</v>
      </c>
      <c r="H1374" s="12" t="s">
        <v>61</v>
      </c>
      <c r="I1374" s="12">
        <v>1</v>
      </c>
      <c r="J1374" s="12">
        <v>0</v>
      </c>
      <c r="K1374" s="12">
        <v>9</v>
      </c>
      <c r="L1374" s="12">
        <f t="shared" si="316"/>
        <v>9</v>
      </c>
      <c r="M1374" s="12">
        <v>2</v>
      </c>
      <c r="N1374" s="12" t="s">
        <v>70</v>
      </c>
      <c r="O1374" s="12">
        <v>0</v>
      </c>
      <c r="P1374" s="12">
        <v>0</v>
      </c>
      <c r="Q1374" s="12">
        <v>1</v>
      </c>
      <c r="R1374" s="12">
        <v>0</v>
      </c>
      <c r="S1374" s="12">
        <v>0</v>
      </c>
      <c r="T1374" s="12">
        <v>1</v>
      </c>
      <c r="U1374" s="12" t="s">
        <v>62</v>
      </c>
      <c r="V1374" s="12">
        <v>0</v>
      </c>
      <c r="W1374" s="12">
        <v>87</v>
      </c>
      <c r="X1374" s="12">
        <v>3</v>
      </c>
      <c r="Y1374" s="12">
        <v>2</v>
      </c>
      <c r="Z1374" s="12" t="s">
        <v>83</v>
      </c>
      <c r="AA1374" s="12">
        <v>0</v>
      </c>
      <c r="AB1374" s="12">
        <v>0</v>
      </c>
      <c r="AC1374" s="12">
        <v>0</v>
      </c>
      <c r="AD1374" s="12">
        <v>0</v>
      </c>
      <c r="AE1374" s="12">
        <v>1</v>
      </c>
      <c r="AF1374" s="12">
        <v>1</v>
      </c>
      <c r="AG1374" s="12">
        <v>0</v>
      </c>
      <c r="AH1374" s="12">
        <v>0</v>
      </c>
      <c r="AI1374" s="12">
        <v>1</v>
      </c>
      <c r="AJ1374" s="12" t="s">
        <v>64</v>
      </c>
      <c r="AK1374" s="12">
        <v>0</v>
      </c>
      <c r="AL1374" s="12">
        <v>1</v>
      </c>
      <c r="AM1374" s="12">
        <v>5151</v>
      </c>
      <c r="AN1374" s="12">
        <f t="shared" si="317"/>
        <v>5151</v>
      </c>
      <c r="AO1374" s="12">
        <v>1</v>
      </c>
      <c r="AP1374" s="12" t="s">
        <v>59</v>
      </c>
      <c r="AQ1374" s="12">
        <v>0</v>
      </c>
      <c r="AR1374" s="12">
        <v>25</v>
      </c>
      <c r="AS1374" s="12">
        <v>4</v>
      </c>
      <c r="AT1374" s="12">
        <v>4</v>
      </c>
      <c r="AU1374" s="12">
        <v>1</v>
      </c>
      <c r="AV1374" s="12">
        <v>10</v>
      </c>
      <c r="AW1374" s="12">
        <f t="shared" si="318"/>
        <v>10</v>
      </c>
      <c r="AX1374" s="12">
        <v>3</v>
      </c>
      <c r="AY1374" s="12">
        <v>3</v>
      </c>
      <c r="AZ1374" s="12">
        <v>10</v>
      </c>
      <c r="BA1374" s="12">
        <f t="shared" si="319"/>
        <v>10</v>
      </c>
      <c r="BB1374" s="12">
        <v>0</v>
      </c>
      <c r="BC1374" s="12">
        <v>7</v>
      </c>
      <c r="BD1374" s="12">
        <f t="shared" si="328"/>
        <v>7</v>
      </c>
      <c r="BE1374" s="12">
        <v>9</v>
      </c>
      <c r="BF1374" s="12">
        <f t="shared" si="320"/>
        <v>9</v>
      </c>
      <c r="BG1374" s="12">
        <f t="shared" si="329"/>
        <v>18</v>
      </c>
      <c r="BH1374" s="67">
        <v>0</v>
      </c>
      <c r="BI1374" s="67">
        <v>1</v>
      </c>
      <c r="BJ1374" s="67">
        <v>0</v>
      </c>
      <c r="BK1374" s="67">
        <v>0</v>
      </c>
      <c r="BL1374" s="67">
        <v>0</v>
      </c>
      <c r="BM1374" s="67">
        <v>0</v>
      </c>
      <c r="BN1374" s="67">
        <v>1</v>
      </c>
      <c r="BO1374" s="67">
        <v>0</v>
      </c>
      <c r="BP1374" s="67">
        <v>0</v>
      </c>
      <c r="BQ1374" s="67">
        <v>9</v>
      </c>
      <c r="BR1374" s="67">
        <v>0</v>
      </c>
      <c r="BS1374" s="67">
        <v>0</v>
      </c>
      <c r="BT1374" s="67">
        <v>10</v>
      </c>
      <c r="BU1374" s="70">
        <v>0</v>
      </c>
      <c r="BV1374" s="29">
        <f t="shared" si="321"/>
        <v>0.28715881534226634</v>
      </c>
      <c r="BW1374">
        <f t="shared" si="322"/>
        <v>1.3667838287404401</v>
      </c>
      <c r="BX1374">
        <f t="shared" si="323"/>
        <v>0.1644554352117841</v>
      </c>
      <c r="BY1374">
        <f t="shared" si="324"/>
        <v>0.48834154112957734</v>
      </c>
      <c r="BZ1374">
        <f t="shared" si="325"/>
        <v>2.3747406698420157E-2</v>
      </c>
      <c r="CA1374">
        <f t="shared" si="326"/>
        <v>0.22726935890025346</v>
      </c>
      <c r="CB1374">
        <f t="shared" si="327"/>
        <v>1.4933588878908215</v>
      </c>
    </row>
    <row r="1375" spans="1:80" x14ac:dyDescent="0.45">
      <c r="A1375" s="11">
        <v>38</v>
      </c>
      <c r="B1375" s="12">
        <f t="shared" si="315"/>
        <v>38</v>
      </c>
      <c r="C1375" s="12" t="s">
        <v>59</v>
      </c>
      <c r="D1375" s="12">
        <v>0</v>
      </c>
      <c r="E1375" s="12" t="s">
        <v>60</v>
      </c>
      <c r="F1375" s="12">
        <v>1</v>
      </c>
      <c r="G1375" s="12">
        <v>0</v>
      </c>
      <c r="H1375" s="12" t="s">
        <v>61</v>
      </c>
      <c r="I1375" s="12">
        <v>1</v>
      </c>
      <c r="J1375" s="12">
        <v>0</v>
      </c>
      <c r="K1375" s="12">
        <v>8</v>
      </c>
      <c r="L1375" s="12">
        <f t="shared" si="316"/>
        <v>8</v>
      </c>
      <c r="M1375" s="12">
        <v>3</v>
      </c>
      <c r="N1375" s="12" t="s">
        <v>70</v>
      </c>
      <c r="O1375" s="12">
        <v>0</v>
      </c>
      <c r="P1375" s="12">
        <v>0</v>
      </c>
      <c r="Q1375" s="12">
        <v>1</v>
      </c>
      <c r="R1375" s="12">
        <v>0</v>
      </c>
      <c r="S1375" s="12">
        <v>0</v>
      </c>
      <c r="T1375" s="12">
        <v>4</v>
      </c>
      <c r="U1375" s="12" t="s">
        <v>19</v>
      </c>
      <c r="V1375" s="12">
        <v>1</v>
      </c>
      <c r="W1375" s="12">
        <v>58</v>
      </c>
      <c r="X1375" s="12">
        <v>2</v>
      </c>
      <c r="Y1375" s="12">
        <v>2</v>
      </c>
      <c r="Z1375" s="12" t="s">
        <v>63</v>
      </c>
      <c r="AA1375" s="12">
        <v>0</v>
      </c>
      <c r="AB1375" s="12">
        <v>0</v>
      </c>
      <c r="AC1375" s="12">
        <v>0</v>
      </c>
      <c r="AD1375" s="12">
        <v>0</v>
      </c>
      <c r="AE1375" s="12">
        <v>0</v>
      </c>
      <c r="AF1375" s="12">
        <v>0</v>
      </c>
      <c r="AG1375" s="12">
        <v>0</v>
      </c>
      <c r="AH1375" s="12">
        <v>1</v>
      </c>
      <c r="AI1375" s="12">
        <v>2</v>
      </c>
      <c r="AJ1375" s="12" t="s">
        <v>78</v>
      </c>
      <c r="AK1375" s="12">
        <v>0</v>
      </c>
      <c r="AL1375" s="12">
        <v>0</v>
      </c>
      <c r="AM1375" s="12">
        <v>2133</v>
      </c>
      <c r="AN1375" s="12">
        <f t="shared" si="317"/>
        <v>2133</v>
      </c>
      <c r="AO1375" s="12">
        <v>1</v>
      </c>
      <c r="AP1375" s="12" t="s">
        <v>52</v>
      </c>
      <c r="AQ1375" s="12">
        <v>1</v>
      </c>
      <c r="AR1375" s="12">
        <v>16</v>
      </c>
      <c r="AS1375" s="12">
        <v>3</v>
      </c>
      <c r="AT1375" s="12">
        <v>3</v>
      </c>
      <c r="AU1375" s="12">
        <v>1</v>
      </c>
      <c r="AV1375" s="12">
        <v>20</v>
      </c>
      <c r="AW1375" s="12">
        <f t="shared" si="318"/>
        <v>20</v>
      </c>
      <c r="AX1375" s="12">
        <v>3</v>
      </c>
      <c r="AY1375" s="12">
        <v>3</v>
      </c>
      <c r="AZ1375" s="12">
        <v>20</v>
      </c>
      <c r="BA1375" s="12">
        <f t="shared" si="319"/>
        <v>20</v>
      </c>
      <c r="BB1375" s="12">
        <v>11</v>
      </c>
      <c r="BC1375" s="12">
        <v>0</v>
      </c>
      <c r="BD1375" s="12">
        <f t="shared" si="328"/>
        <v>0</v>
      </c>
      <c r="BE1375" s="12">
        <v>7</v>
      </c>
      <c r="BF1375" s="12">
        <f t="shared" si="320"/>
        <v>7</v>
      </c>
      <c r="BG1375" s="12">
        <f t="shared" si="329"/>
        <v>14</v>
      </c>
      <c r="BH1375" s="67">
        <v>0</v>
      </c>
      <c r="BI1375" s="67">
        <v>0</v>
      </c>
      <c r="BJ1375" s="67">
        <v>1</v>
      </c>
      <c r="BK1375" s="67">
        <v>0</v>
      </c>
      <c r="BL1375" s="67">
        <v>0</v>
      </c>
      <c r="BM1375" s="67">
        <v>1</v>
      </c>
      <c r="BN1375" s="67">
        <v>0</v>
      </c>
      <c r="BO1375" s="67">
        <v>0</v>
      </c>
      <c r="BP1375" s="67">
        <v>0</v>
      </c>
      <c r="BQ1375" s="67">
        <v>7</v>
      </c>
      <c r="BR1375" s="67">
        <v>0</v>
      </c>
      <c r="BS1375" s="67">
        <v>0</v>
      </c>
      <c r="BT1375" s="67">
        <v>20</v>
      </c>
      <c r="BU1375" s="70">
        <v>0</v>
      </c>
      <c r="BV1375" s="29">
        <f t="shared" si="321"/>
        <v>0.92820123332598758</v>
      </c>
      <c r="BW1375">
        <f t="shared" si="322"/>
        <v>0.80626709607243985</v>
      </c>
      <c r="BX1375">
        <f t="shared" si="323"/>
        <v>1.120762479521457</v>
      </c>
      <c r="BY1375">
        <f t="shared" si="324"/>
        <v>2.1205881656418071</v>
      </c>
      <c r="BZ1375">
        <f t="shared" si="325"/>
        <v>0.14709966057360641</v>
      </c>
      <c r="CA1375">
        <f t="shared" si="326"/>
        <v>0.11780475942994788</v>
      </c>
      <c r="CB1375">
        <f t="shared" si="327"/>
        <v>0.67891464284095016</v>
      </c>
    </row>
    <row r="1376" spans="1:80" x14ac:dyDescent="0.45">
      <c r="A1376" s="11">
        <v>58</v>
      </c>
      <c r="B1376" s="12">
        <f t="shared" si="315"/>
        <v>58</v>
      </c>
      <c r="C1376" s="12" t="s">
        <v>59</v>
      </c>
      <c r="D1376" s="12">
        <v>0</v>
      </c>
      <c r="E1376" s="12" t="s">
        <v>53</v>
      </c>
      <c r="F1376" s="12">
        <v>0</v>
      </c>
      <c r="G1376" s="12">
        <v>1</v>
      </c>
      <c r="H1376" s="12" t="s">
        <v>54</v>
      </c>
      <c r="I1376" s="12">
        <v>0</v>
      </c>
      <c r="J1376" s="12">
        <v>1</v>
      </c>
      <c r="K1376" s="12">
        <v>21</v>
      </c>
      <c r="L1376" s="12">
        <f t="shared" si="316"/>
        <v>21</v>
      </c>
      <c r="M1376" s="12">
        <v>3</v>
      </c>
      <c r="N1376" s="12" t="s">
        <v>55</v>
      </c>
      <c r="O1376" s="12">
        <v>1</v>
      </c>
      <c r="P1376" s="12">
        <v>0</v>
      </c>
      <c r="Q1376" s="12">
        <v>0</v>
      </c>
      <c r="R1376" s="12">
        <v>0</v>
      </c>
      <c r="S1376" s="12">
        <v>0</v>
      </c>
      <c r="T1376" s="12">
        <v>4</v>
      </c>
      <c r="U1376" s="12" t="s">
        <v>19</v>
      </c>
      <c r="V1376" s="12">
        <v>1</v>
      </c>
      <c r="W1376" s="12">
        <v>72</v>
      </c>
      <c r="X1376" s="12">
        <v>3</v>
      </c>
      <c r="Y1376" s="12">
        <v>4</v>
      </c>
      <c r="Z1376" s="12" t="s">
        <v>87</v>
      </c>
      <c r="AA1376" s="12">
        <v>0</v>
      </c>
      <c r="AB1376" s="12">
        <v>0</v>
      </c>
      <c r="AC1376" s="12">
        <v>0</v>
      </c>
      <c r="AD1376" s="12">
        <v>1</v>
      </c>
      <c r="AE1376" s="12">
        <v>0</v>
      </c>
      <c r="AF1376" s="12">
        <v>0</v>
      </c>
      <c r="AG1376" s="12">
        <v>0</v>
      </c>
      <c r="AH1376" s="12">
        <v>0</v>
      </c>
      <c r="AI1376" s="12">
        <v>4</v>
      </c>
      <c r="AJ1376" s="12" t="s">
        <v>64</v>
      </c>
      <c r="AK1376" s="12">
        <v>0</v>
      </c>
      <c r="AL1376" s="12">
        <v>1</v>
      </c>
      <c r="AM1376" s="12">
        <v>17875</v>
      </c>
      <c r="AN1376" s="12">
        <f t="shared" si="317"/>
        <v>17875</v>
      </c>
      <c r="AO1376" s="12">
        <v>4</v>
      </c>
      <c r="AP1376" s="12" t="s">
        <v>52</v>
      </c>
      <c r="AQ1376" s="12">
        <v>1</v>
      </c>
      <c r="AR1376" s="12">
        <v>13</v>
      </c>
      <c r="AS1376" s="12">
        <v>3</v>
      </c>
      <c r="AT1376" s="12">
        <v>3</v>
      </c>
      <c r="AU1376" s="12">
        <v>1</v>
      </c>
      <c r="AV1376" s="12">
        <v>29</v>
      </c>
      <c r="AW1376" s="12">
        <f t="shared" si="318"/>
        <v>29</v>
      </c>
      <c r="AX1376" s="12">
        <v>2</v>
      </c>
      <c r="AY1376" s="12">
        <v>2</v>
      </c>
      <c r="AZ1376" s="12">
        <v>1</v>
      </c>
      <c r="BA1376" s="12">
        <f t="shared" si="319"/>
        <v>1</v>
      </c>
      <c r="BB1376" s="12">
        <v>0</v>
      </c>
      <c r="BC1376" s="12">
        <v>0</v>
      </c>
      <c r="BD1376" s="12">
        <f t="shared" si="328"/>
        <v>0</v>
      </c>
      <c r="BE1376" s="12">
        <v>0</v>
      </c>
      <c r="BF1376" s="12">
        <f t="shared" si="320"/>
        <v>0</v>
      </c>
      <c r="BG1376" s="12">
        <f t="shared" si="329"/>
        <v>0</v>
      </c>
      <c r="BH1376" s="67">
        <v>0</v>
      </c>
      <c r="BI1376" s="67">
        <v>1</v>
      </c>
      <c r="BJ1376" s="67">
        <v>0</v>
      </c>
      <c r="BK1376" s="67">
        <v>0</v>
      </c>
      <c r="BL1376" s="67">
        <v>0</v>
      </c>
      <c r="BM1376" s="67">
        <v>0</v>
      </c>
      <c r="BN1376" s="67">
        <v>0</v>
      </c>
      <c r="BO1376" s="67">
        <v>1</v>
      </c>
      <c r="BP1376" s="67">
        <v>0</v>
      </c>
      <c r="BQ1376" s="67">
        <v>0</v>
      </c>
      <c r="BR1376" s="67">
        <v>0</v>
      </c>
      <c r="BS1376" s="67">
        <v>0</v>
      </c>
      <c r="BT1376" s="67">
        <v>0</v>
      </c>
      <c r="BU1376" s="70">
        <v>29</v>
      </c>
      <c r="BV1376" s="29">
        <f t="shared" si="321"/>
        <v>2.4154998083902948</v>
      </c>
      <c r="BW1376">
        <f t="shared" si="322"/>
        <v>1.1555414682655611</v>
      </c>
      <c r="BX1376">
        <f t="shared" si="323"/>
        <v>2.2774586027813735</v>
      </c>
      <c r="BY1376">
        <f t="shared" si="324"/>
        <v>0.9806804209314296</v>
      </c>
      <c r="BZ1376">
        <f t="shared" si="325"/>
        <v>1.4564796398038149</v>
      </c>
      <c r="CA1376">
        <f t="shared" si="326"/>
        <v>2.3070967488360594</v>
      </c>
      <c r="CB1376">
        <f t="shared" si="327"/>
        <v>0.67891464284095016</v>
      </c>
    </row>
    <row r="1377" spans="1:80" x14ac:dyDescent="0.45">
      <c r="A1377" s="11">
        <v>32</v>
      </c>
      <c r="B1377" s="12">
        <f t="shared" si="315"/>
        <v>32</v>
      </c>
      <c r="C1377" s="12" t="s">
        <v>52</v>
      </c>
      <c r="D1377" s="12">
        <v>1</v>
      </c>
      <c r="E1377" s="12" t="s">
        <v>60</v>
      </c>
      <c r="F1377" s="12">
        <v>1</v>
      </c>
      <c r="G1377" s="12">
        <v>0</v>
      </c>
      <c r="H1377" s="12" t="s">
        <v>61</v>
      </c>
      <c r="I1377" s="12">
        <v>1</v>
      </c>
      <c r="J1377" s="12">
        <v>0</v>
      </c>
      <c r="K1377" s="12">
        <v>5</v>
      </c>
      <c r="L1377" s="12">
        <f t="shared" si="316"/>
        <v>5</v>
      </c>
      <c r="M1377" s="12">
        <v>2</v>
      </c>
      <c r="N1377" s="12" t="s">
        <v>55</v>
      </c>
      <c r="O1377" s="12">
        <v>1</v>
      </c>
      <c r="P1377" s="12">
        <v>0</v>
      </c>
      <c r="Q1377" s="12">
        <v>0</v>
      </c>
      <c r="R1377" s="12">
        <v>0</v>
      </c>
      <c r="S1377" s="12">
        <v>0</v>
      </c>
      <c r="T1377" s="12">
        <v>1</v>
      </c>
      <c r="U1377" s="12" t="s">
        <v>19</v>
      </c>
      <c r="V1377" s="12">
        <v>1</v>
      </c>
      <c r="W1377" s="12">
        <v>47</v>
      </c>
      <c r="X1377" s="12">
        <v>4</v>
      </c>
      <c r="Y1377" s="12">
        <v>1</v>
      </c>
      <c r="Z1377" s="12" t="s">
        <v>63</v>
      </c>
      <c r="AA1377" s="12">
        <v>0</v>
      </c>
      <c r="AB1377" s="12">
        <v>0</v>
      </c>
      <c r="AC1377" s="12">
        <v>0</v>
      </c>
      <c r="AD1377" s="12">
        <v>0</v>
      </c>
      <c r="AE1377" s="12">
        <v>0</v>
      </c>
      <c r="AF1377" s="12">
        <v>0</v>
      </c>
      <c r="AG1377" s="12">
        <v>0</v>
      </c>
      <c r="AH1377" s="12">
        <v>1</v>
      </c>
      <c r="AI1377" s="12">
        <v>3</v>
      </c>
      <c r="AJ1377" s="12" t="s">
        <v>57</v>
      </c>
      <c r="AK1377" s="12">
        <v>1</v>
      </c>
      <c r="AL1377" s="12">
        <v>0</v>
      </c>
      <c r="AM1377" s="12">
        <v>2432</v>
      </c>
      <c r="AN1377" s="12">
        <f t="shared" si="317"/>
        <v>2432</v>
      </c>
      <c r="AO1377" s="12">
        <v>3</v>
      </c>
      <c r="AP1377" s="12" t="s">
        <v>52</v>
      </c>
      <c r="AQ1377" s="12">
        <v>1</v>
      </c>
      <c r="AR1377" s="12">
        <v>14</v>
      </c>
      <c r="AS1377" s="12">
        <v>3</v>
      </c>
      <c r="AT1377" s="12">
        <v>1</v>
      </c>
      <c r="AU1377" s="12">
        <v>0</v>
      </c>
      <c r="AV1377" s="12">
        <v>8</v>
      </c>
      <c r="AW1377" s="12">
        <f t="shared" si="318"/>
        <v>8</v>
      </c>
      <c r="AX1377" s="12">
        <v>2</v>
      </c>
      <c r="AY1377" s="12">
        <v>3</v>
      </c>
      <c r="AZ1377" s="12">
        <v>4</v>
      </c>
      <c r="BA1377" s="12">
        <f t="shared" si="319"/>
        <v>4</v>
      </c>
      <c r="BB1377" s="12">
        <v>1</v>
      </c>
      <c r="BC1377" s="12">
        <v>0</v>
      </c>
      <c r="BD1377" s="12">
        <f t="shared" si="328"/>
        <v>0</v>
      </c>
      <c r="BE1377" s="12">
        <v>3</v>
      </c>
      <c r="BF1377" s="12">
        <f t="shared" si="320"/>
        <v>3</v>
      </c>
      <c r="BG1377" s="12">
        <f t="shared" si="329"/>
        <v>3</v>
      </c>
      <c r="BH1377" s="67">
        <v>0</v>
      </c>
      <c r="BI1377" s="67">
        <v>0</v>
      </c>
      <c r="BJ1377" s="67">
        <v>1</v>
      </c>
      <c r="BK1377" s="67">
        <v>0</v>
      </c>
      <c r="BL1377" s="67">
        <v>0</v>
      </c>
      <c r="BM1377" s="67">
        <v>1</v>
      </c>
      <c r="BN1377" s="67">
        <v>0</v>
      </c>
      <c r="BO1377" s="67">
        <v>0</v>
      </c>
      <c r="BP1377" s="67">
        <v>0</v>
      </c>
      <c r="BQ1377" s="67">
        <v>3</v>
      </c>
      <c r="BR1377" s="67">
        <v>0</v>
      </c>
      <c r="BS1377" s="67">
        <v>0</v>
      </c>
      <c r="BT1377" s="67">
        <v>8</v>
      </c>
      <c r="BU1377" s="70">
        <v>0</v>
      </c>
      <c r="BV1377" s="29">
        <f t="shared" si="321"/>
        <v>0.86469172935742145</v>
      </c>
      <c r="BW1377">
        <f t="shared" si="322"/>
        <v>0.31476636926356072</v>
      </c>
      <c r="BX1377">
        <f t="shared" si="323"/>
        <v>0.42149901815843233</v>
      </c>
      <c r="BY1377">
        <f t="shared" si="324"/>
        <v>0.49100643357776058</v>
      </c>
      <c r="BZ1377">
        <f t="shared" si="325"/>
        <v>0.51715642219916513</v>
      </c>
      <c r="CA1377">
        <f t="shared" si="326"/>
        <v>0.53898283739188557</v>
      </c>
      <c r="CB1377">
        <f t="shared" si="327"/>
        <v>0.67891464284095016</v>
      </c>
    </row>
    <row r="1378" spans="1:80" x14ac:dyDescent="0.45">
      <c r="A1378" s="11">
        <v>38</v>
      </c>
      <c r="B1378" s="12">
        <f t="shared" si="315"/>
        <v>38</v>
      </c>
      <c r="C1378" s="12" t="s">
        <v>59</v>
      </c>
      <c r="D1378" s="12">
        <v>0</v>
      </c>
      <c r="E1378" s="12" t="s">
        <v>53</v>
      </c>
      <c r="F1378" s="12">
        <v>0</v>
      </c>
      <c r="G1378" s="12">
        <v>1</v>
      </c>
      <c r="H1378" s="12" t="s">
        <v>61</v>
      </c>
      <c r="I1378" s="12">
        <v>1</v>
      </c>
      <c r="J1378" s="12">
        <v>0</v>
      </c>
      <c r="K1378" s="12">
        <v>9</v>
      </c>
      <c r="L1378" s="12">
        <f t="shared" si="316"/>
        <v>9</v>
      </c>
      <c r="M1378" s="12">
        <v>2</v>
      </c>
      <c r="N1378" s="12" t="s">
        <v>55</v>
      </c>
      <c r="O1378" s="12">
        <v>1</v>
      </c>
      <c r="P1378" s="12">
        <v>0</v>
      </c>
      <c r="Q1378" s="12">
        <v>0</v>
      </c>
      <c r="R1378" s="12">
        <v>0</v>
      </c>
      <c r="S1378" s="12">
        <v>0</v>
      </c>
      <c r="T1378" s="12">
        <v>2</v>
      </c>
      <c r="U1378" s="12" t="s">
        <v>62</v>
      </c>
      <c r="V1378" s="12">
        <v>0</v>
      </c>
      <c r="W1378" s="12">
        <v>71</v>
      </c>
      <c r="X1378" s="12">
        <v>3</v>
      </c>
      <c r="Y1378" s="12">
        <v>1</v>
      </c>
      <c r="Z1378" s="12" t="s">
        <v>63</v>
      </c>
      <c r="AA1378" s="12">
        <v>0</v>
      </c>
      <c r="AB1378" s="12">
        <v>0</v>
      </c>
      <c r="AC1378" s="12">
        <v>0</v>
      </c>
      <c r="AD1378" s="12">
        <v>0</v>
      </c>
      <c r="AE1378" s="12">
        <v>0</v>
      </c>
      <c r="AF1378" s="12">
        <v>0</v>
      </c>
      <c r="AG1378" s="12">
        <v>0</v>
      </c>
      <c r="AH1378" s="12">
        <v>1</v>
      </c>
      <c r="AI1378" s="12">
        <v>4</v>
      </c>
      <c r="AJ1378" s="12" t="s">
        <v>78</v>
      </c>
      <c r="AK1378" s="12">
        <v>0</v>
      </c>
      <c r="AL1378" s="12">
        <v>0</v>
      </c>
      <c r="AM1378" s="12">
        <v>4771</v>
      </c>
      <c r="AN1378" s="12">
        <f t="shared" si="317"/>
        <v>4771</v>
      </c>
      <c r="AO1378" s="12">
        <v>2</v>
      </c>
      <c r="AP1378" s="12" t="s">
        <v>59</v>
      </c>
      <c r="AQ1378" s="12">
        <v>0</v>
      </c>
      <c r="AR1378" s="12">
        <v>19</v>
      </c>
      <c r="AS1378" s="12">
        <v>3</v>
      </c>
      <c r="AT1378" s="12">
        <v>4</v>
      </c>
      <c r="AU1378" s="12">
        <v>2</v>
      </c>
      <c r="AV1378" s="12">
        <v>10</v>
      </c>
      <c r="AW1378" s="12">
        <f t="shared" si="318"/>
        <v>10</v>
      </c>
      <c r="AX1378" s="12">
        <v>0</v>
      </c>
      <c r="AY1378" s="12">
        <v>4</v>
      </c>
      <c r="AZ1378" s="12">
        <v>5</v>
      </c>
      <c r="BA1378" s="12">
        <f t="shared" si="319"/>
        <v>5</v>
      </c>
      <c r="BB1378" s="12">
        <v>2</v>
      </c>
      <c r="BC1378" s="12">
        <v>0</v>
      </c>
      <c r="BD1378" s="12">
        <f t="shared" si="328"/>
        <v>0</v>
      </c>
      <c r="BE1378" s="12">
        <v>3</v>
      </c>
      <c r="BF1378" s="12">
        <f t="shared" si="320"/>
        <v>3</v>
      </c>
      <c r="BG1378" s="12">
        <f t="shared" si="329"/>
        <v>3</v>
      </c>
      <c r="BH1378" s="67">
        <v>1</v>
      </c>
      <c r="BI1378" s="67">
        <v>0</v>
      </c>
      <c r="BJ1378" s="67">
        <v>0</v>
      </c>
      <c r="BK1378" s="67">
        <v>0</v>
      </c>
      <c r="BL1378" s="67">
        <v>1</v>
      </c>
      <c r="BM1378" s="67">
        <v>0</v>
      </c>
      <c r="BN1378" s="67">
        <v>0</v>
      </c>
      <c r="BO1378" s="67">
        <v>0</v>
      </c>
      <c r="BP1378" s="67">
        <v>0</v>
      </c>
      <c r="BQ1378" s="67">
        <v>3</v>
      </c>
      <c r="BR1378" s="67">
        <v>0</v>
      </c>
      <c r="BS1378" s="67">
        <v>0</v>
      </c>
      <c r="BT1378" s="67">
        <v>10</v>
      </c>
      <c r="BU1378" s="70">
        <v>0</v>
      </c>
      <c r="BV1378" s="29">
        <f t="shared" si="321"/>
        <v>0.36787323510164804</v>
      </c>
      <c r="BW1378">
        <f t="shared" si="322"/>
        <v>0.31476636926356072</v>
      </c>
      <c r="BX1378">
        <f t="shared" si="323"/>
        <v>0.1644554352117841</v>
      </c>
      <c r="BY1378">
        <f t="shared" si="324"/>
        <v>0.32778177112653761</v>
      </c>
      <c r="BZ1378">
        <f t="shared" si="325"/>
        <v>2.3747406698420157E-2</v>
      </c>
      <c r="CA1378">
        <f t="shared" si="326"/>
        <v>0.11780475942994788</v>
      </c>
      <c r="CB1378">
        <f t="shared" si="327"/>
        <v>0.67891464284095016</v>
      </c>
    </row>
    <row r="1379" spans="1:80" x14ac:dyDescent="0.45">
      <c r="A1379" s="11">
        <v>49</v>
      </c>
      <c r="B1379" s="12">
        <f t="shared" si="315"/>
        <v>49</v>
      </c>
      <c r="C1379" s="12" t="s">
        <v>59</v>
      </c>
      <c r="D1379" s="12">
        <v>0</v>
      </c>
      <c r="E1379" s="12" t="s">
        <v>60</v>
      </c>
      <c r="F1379" s="12">
        <v>1</v>
      </c>
      <c r="G1379" s="12">
        <v>0</v>
      </c>
      <c r="H1379" s="12" t="s">
        <v>61</v>
      </c>
      <c r="I1379" s="12">
        <v>1</v>
      </c>
      <c r="J1379" s="12">
        <v>0</v>
      </c>
      <c r="K1379" s="12">
        <v>2</v>
      </c>
      <c r="L1379" s="12">
        <f t="shared" si="316"/>
        <v>2</v>
      </c>
      <c r="M1379" s="12">
        <v>1</v>
      </c>
      <c r="N1379" s="12" t="s">
        <v>55</v>
      </c>
      <c r="O1379" s="12">
        <v>1</v>
      </c>
      <c r="P1379" s="12">
        <v>0</v>
      </c>
      <c r="Q1379" s="12">
        <v>0</v>
      </c>
      <c r="R1379" s="12">
        <v>0</v>
      </c>
      <c r="S1379" s="12">
        <v>0</v>
      </c>
      <c r="T1379" s="12">
        <v>2</v>
      </c>
      <c r="U1379" s="12" t="s">
        <v>62</v>
      </c>
      <c r="V1379" s="12">
        <v>0</v>
      </c>
      <c r="W1379" s="12">
        <v>42</v>
      </c>
      <c r="X1379" s="12">
        <v>3</v>
      </c>
      <c r="Y1379" s="12">
        <v>5</v>
      </c>
      <c r="Z1379" s="12" t="s">
        <v>89</v>
      </c>
      <c r="AA1379" s="12">
        <v>0</v>
      </c>
      <c r="AB1379" s="12">
        <v>0</v>
      </c>
      <c r="AC1379" s="12">
        <v>0</v>
      </c>
      <c r="AD1379" s="12">
        <v>0</v>
      </c>
      <c r="AE1379" s="12">
        <v>0</v>
      </c>
      <c r="AF1379" s="12">
        <v>0</v>
      </c>
      <c r="AG1379" s="12">
        <v>0</v>
      </c>
      <c r="AH1379" s="12">
        <v>0</v>
      </c>
      <c r="AI1379" s="12">
        <v>4</v>
      </c>
      <c r="AJ1379" s="12" t="s">
        <v>64</v>
      </c>
      <c r="AK1379" s="12">
        <v>0</v>
      </c>
      <c r="AL1379" s="12">
        <v>1</v>
      </c>
      <c r="AM1379" s="12">
        <v>19161</v>
      </c>
      <c r="AN1379" s="12">
        <f t="shared" si="317"/>
        <v>19161</v>
      </c>
      <c r="AO1379" s="12">
        <v>3</v>
      </c>
      <c r="AP1379" s="12" t="s">
        <v>59</v>
      </c>
      <c r="AQ1379" s="12">
        <v>0</v>
      </c>
      <c r="AR1379" s="12">
        <v>15</v>
      </c>
      <c r="AS1379" s="12">
        <v>3</v>
      </c>
      <c r="AT1379" s="12">
        <v>4</v>
      </c>
      <c r="AU1379" s="12">
        <v>0</v>
      </c>
      <c r="AV1379" s="12">
        <v>28</v>
      </c>
      <c r="AW1379" s="12">
        <f t="shared" si="318"/>
        <v>28</v>
      </c>
      <c r="AX1379" s="12">
        <v>3</v>
      </c>
      <c r="AY1379" s="12">
        <v>3</v>
      </c>
      <c r="AZ1379" s="12">
        <v>5</v>
      </c>
      <c r="BA1379" s="12">
        <f t="shared" si="319"/>
        <v>5</v>
      </c>
      <c r="BB1379" s="12">
        <v>4</v>
      </c>
      <c r="BC1379" s="12">
        <v>4</v>
      </c>
      <c r="BD1379" s="12">
        <f t="shared" si="328"/>
        <v>4</v>
      </c>
      <c r="BE1379" s="12">
        <v>3</v>
      </c>
      <c r="BF1379" s="12">
        <f t="shared" si="320"/>
        <v>3</v>
      </c>
      <c r="BG1379" s="12">
        <f t="shared" si="329"/>
        <v>15</v>
      </c>
      <c r="BH1379" s="67">
        <v>0</v>
      </c>
      <c r="BI1379" s="67">
        <v>0</v>
      </c>
      <c r="BJ1379" s="67">
        <v>0</v>
      </c>
      <c r="BK1379" s="67">
        <v>1</v>
      </c>
      <c r="BL1379" s="67">
        <v>0</v>
      </c>
      <c r="BM1379" s="67">
        <v>0</v>
      </c>
      <c r="BN1379" s="67">
        <v>1</v>
      </c>
      <c r="BO1379" s="67">
        <v>0</v>
      </c>
      <c r="BP1379" s="67">
        <v>0</v>
      </c>
      <c r="BQ1379" s="67">
        <v>3</v>
      </c>
      <c r="BR1379" s="67">
        <v>0</v>
      </c>
      <c r="BS1379" s="67">
        <v>0</v>
      </c>
      <c r="BT1379" s="67">
        <v>28</v>
      </c>
      <c r="BU1379" s="70">
        <v>0</v>
      </c>
      <c r="BV1379" s="29">
        <f t="shared" si="321"/>
        <v>2.6886543973654655</v>
      </c>
      <c r="BW1379">
        <f t="shared" si="322"/>
        <v>0.31476636926356072</v>
      </c>
      <c r="BX1379">
        <f t="shared" si="323"/>
        <v>2.1489368113080496</v>
      </c>
      <c r="BY1379">
        <f t="shared" si="324"/>
        <v>0.32778177112653761</v>
      </c>
      <c r="BZ1379">
        <f t="shared" si="325"/>
        <v>0.88721318382472392</v>
      </c>
      <c r="CA1379">
        <f t="shared" si="326"/>
        <v>1.3219153536033093</v>
      </c>
      <c r="CB1379">
        <f t="shared" si="327"/>
        <v>0.56238451757720498</v>
      </c>
    </row>
    <row r="1380" spans="1:80" x14ac:dyDescent="0.45">
      <c r="A1380" s="11">
        <v>42</v>
      </c>
      <c r="B1380" s="12">
        <f t="shared" si="315"/>
        <v>42</v>
      </c>
      <c r="C1380" s="12" t="s">
        <v>59</v>
      </c>
      <c r="D1380" s="12">
        <v>0</v>
      </c>
      <c r="E1380" s="12" t="s">
        <v>53</v>
      </c>
      <c r="F1380" s="12">
        <v>0</v>
      </c>
      <c r="G1380" s="12">
        <v>1</v>
      </c>
      <c r="H1380" s="12" t="s">
        <v>54</v>
      </c>
      <c r="I1380" s="12">
        <v>0</v>
      </c>
      <c r="J1380" s="12">
        <v>1</v>
      </c>
      <c r="K1380" s="12">
        <v>12</v>
      </c>
      <c r="L1380" s="12">
        <f t="shared" si="316"/>
        <v>12</v>
      </c>
      <c r="M1380" s="12">
        <v>4</v>
      </c>
      <c r="N1380" s="12" t="s">
        <v>90</v>
      </c>
      <c r="O1380" s="12">
        <v>0</v>
      </c>
      <c r="P1380" s="12">
        <v>0</v>
      </c>
      <c r="Q1380" s="12">
        <v>0</v>
      </c>
      <c r="R1380" s="12">
        <v>1</v>
      </c>
      <c r="S1380" s="12">
        <v>0</v>
      </c>
      <c r="T1380" s="12">
        <v>2</v>
      </c>
      <c r="U1380" s="12" t="s">
        <v>62</v>
      </c>
      <c r="V1380" s="12">
        <v>0</v>
      </c>
      <c r="W1380" s="12">
        <v>77</v>
      </c>
      <c r="X1380" s="12">
        <v>3</v>
      </c>
      <c r="Y1380" s="12">
        <v>2</v>
      </c>
      <c r="Z1380" s="12" t="s">
        <v>56</v>
      </c>
      <c r="AA1380" s="12">
        <v>0</v>
      </c>
      <c r="AB1380" s="12">
        <v>1</v>
      </c>
      <c r="AC1380" s="12">
        <v>0</v>
      </c>
      <c r="AD1380" s="12">
        <v>0</v>
      </c>
      <c r="AE1380" s="12">
        <v>0</v>
      </c>
      <c r="AF1380" s="12">
        <v>0</v>
      </c>
      <c r="AG1380" s="12">
        <v>0</v>
      </c>
      <c r="AH1380" s="12">
        <v>0</v>
      </c>
      <c r="AI1380" s="12">
        <v>4</v>
      </c>
      <c r="AJ1380" s="12" t="s">
        <v>78</v>
      </c>
      <c r="AK1380" s="12">
        <v>0</v>
      </c>
      <c r="AL1380" s="12">
        <v>0</v>
      </c>
      <c r="AM1380" s="12">
        <v>5087</v>
      </c>
      <c r="AN1380" s="12">
        <f t="shared" si="317"/>
        <v>5087</v>
      </c>
      <c r="AO1380" s="12">
        <v>3</v>
      </c>
      <c r="AP1380" s="12" t="s">
        <v>52</v>
      </c>
      <c r="AQ1380" s="12">
        <v>1</v>
      </c>
      <c r="AR1380" s="12">
        <v>12</v>
      </c>
      <c r="AS1380" s="12">
        <v>3</v>
      </c>
      <c r="AT1380" s="12">
        <v>3</v>
      </c>
      <c r="AU1380" s="12">
        <v>2</v>
      </c>
      <c r="AV1380" s="12">
        <v>14</v>
      </c>
      <c r="AW1380" s="12">
        <f t="shared" si="318"/>
        <v>14</v>
      </c>
      <c r="AX1380" s="12">
        <v>4</v>
      </c>
      <c r="AY1380" s="12">
        <v>3</v>
      </c>
      <c r="AZ1380" s="12">
        <v>0</v>
      </c>
      <c r="BA1380" s="12">
        <f t="shared" si="319"/>
        <v>0</v>
      </c>
      <c r="BB1380" s="12">
        <v>0</v>
      </c>
      <c r="BC1380" s="12">
        <v>0</v>
      </c>
      <c r="BD1380" s="12">
        <f t="shared" si="328"/>
        <v>0</v>
      </c>
      <c r="BE1380" s="12">
        <v>0</v>
      </c>
      <c r="BF1380" s="12">
        <f t="shared" si="320"/>
        <v>0</v>
      </c>
      <c r="BG1380" s="12">
        <f t="shared" si="329"/>
        <v>0</v>
      </c>
      <c r="BH1380" s="67">
        <v>1</v>
      </c>
      <c r="BI1380" s="67">
        <v>0</v>
      </c>
      <c r="BJ1380" s="67">
        <v>0</v>
      </c>
      <c r="BK1380" s="67">
        <v>0</v>
      </c>
      <c r="BL1380" s="67">
        <v>0</v>
      </c>
      <c r="BM1380" s="67">
        <v>1</v>
      </c>
      <c r="BN1380" s="67">
        <v>0</v>
      </c>
      <c r="BO1380" s="67">
        <v>0</v>
      </c>
      <c r="BP1380" s="67">
        <v>0</v>
      </c>
      <c r="BQ1380" s="67">
        <v>0</v>
      </c>
      <c r="BR1380" s="67">
        <v>0</v>
      </c>
      <c r="BS1380" s="67">
        <v>0</v>
      </c>
      <c r="BT1380" s="67">
        <v>0</v>
      </c>
      <c r="BU1380" s="70">
        <v>14</v>
      </c>
      <c r="BV1380" s="29">
        <f t="shared" si="321"/>
        <v>0.3007528228806885</v>
      </c>
      <c r="BW1380">
        <f t="shared" si="322"/>
        <v>1.1555414682655611</v>
      </c>
      <c r="BX1380">
        <f t="shared" si="323"/>
        <v>0.34963173068151232</v>
      </c>
      <c r="BY1380">
        <f t="shared" si="324"/>
        <v>1.1439050833826525</v>
      </c>
      <c r="BZ1380">
        <f t="shared" si="325"/>
        <v>0.3463093549271386</v>
      </c>
      <c r="CA1380">
        <f t="shared" si="326"/>
        <v>0.55566315731117022</v>
      </c>
      <c r="CB1380">
        <f t="shared" si="327"/>
        <v>0.67891464284095016</v>
      </c>
    </row>
    <row r="1381" spans="1:80" x14ac:dyDescent="0.45">
      <c r="A1381" s="11">
        <v>27</v>
      </c>
      <c r="B1381" s="12">
        <f t="shared" si="315"/>
        <v>27</v>
      </c>
      <c r="C1381" s="12" t="s">
        <v>52</v>
      </c>
      <c r="D1381" s="12">
        <v>1</v>
      </c>
      <c r="E1381" s="12" t="s">
        <v>60</v>
      </c>
      <c r="F1381" s="12">
        <v>1</v>
      </c>
      <c r="G1381" s="12">
        <v>0</v>
      </c>
      <c r="H1381" s="12" t="s">
        <v>97</v>
      </c>
      <c r="I1381" s="12">
        <v>0</v>
      </c>
      <c r="J1381" s="12">
        <v>0</v>
      </c>
      <c r="K1381" s="12">
        <v>22</v>
      </c>
      <c r="L1381" s="12">
        <f t="shared" si="316"/>
        <v>22</v>
      </c>
      <c r="M1381" s="12">
        <v>3</v>
      </c>
      <c r="N1381" s="12" t="s">
        <v>97</v>
      </c>
      <c r="O1381" s="12">
        <v>0</v>
      </c>
      <c r="P1381" s="12">
        <v>0</v>
      </c>
      <c r="Q1381" s="12">
        <v>0</v>
      </c>
      <c r="R1381" s="12">
        <v>0</v>
      </c>
      <c r="S1381" s="12">
        <v>0</v>
      </c>
      <c r="T1381" s="12">
        <v>1</v>
      </c>
      <c r="U1381" s="12" t="s">
        <v>19</v>
      </c>
      <c r="V1381" s="12">
        <v>1</v>
      </c>
      <c r="W1381" s="12">
        <v>58</v>
      </c>
      <c r="X1381" s="12">
        <v>2</v>
      </c>
      <c r="Y1381" s="12">
        <v>1</v>
      </c>
      <c r="Z1381" s="12" t="s">
        <v>97</v>
      </c>
      <c r="AA1381" s="12">
        <v>0</v>
      </c>
      <c r="AB1381" s="12">
        <v>0</v>
      </c>
      <c r="AC1381" s="12">
        <v>0</v>
      </c>
      <c r="AD1381" s="12">
        <v>0</v>
      </c>
      <c r="AE1381" s="12">
        <v>0</v>
      </c>
      <c r="AF1381" s="12">
        <v>0</v>
      </c>
      <c r="AG1381" s="12">
        <v>0</v>
      </c>
      <c r="AH1381" s="12">
        <v>0</v>
      </c>
      <c r="AI1381" s="12">
        <v>2</v>
      </c>
      <c r="AJ1381" s="12" t="s">
        <v>64</v>
      </c>
      <c r="AK1381" s="12">
        <v>0</v>
      </c>
      <c r="AL1381" s="12">
        <v>1</v>
      </c>
      <c r="AM1381" s="12">
        <v>2863</v>
      </c>
      <c r="AN1381" s="12">
        <f t="shared" si="317"/>
        <v>2863</v>
      </c>
      <c r="AO1381" s="12">
        <v>1</v>
      </c>
      <c r="AP1381" s="12" t="s">
        <v>59</v>
      </c>
      <c r="AQ1381" s="12">
        <v>0</v>
      </c>
      <c r="AR1381" s="12">
        <v>12</v>
      </c>
      <c r="AS1381" s="12">
        <v>3</v>
      </c>
      <c r="AT1381" s="12">
        <v>1</v>
      </c>
      <c r="AU1381" s="12">
        <v>0</v>
      </c>
      <c r="AV1381" s="12">
        <v>1</v>
      </c>
      <c r="AW1381" s="12">
        <f t="shared" si="318"/>
        <v>1</v>
      </c>
      <c r="AX1381" s="12">
        <v>2</v>
      </c>
      <c r="AY1381" s="12">
        <v>3</v>
      </c>
      <c r="AZ1381" s="12">
        <v>1</v>
      </c>
      <c r="BA1381" s="12">
        <f t="shared" si="319"/>
        <v>1</v>
      </c>
      <c r="BB1381" s="12">
        <v>0</v>
      </c>
      <c r="BC1381" s="12">
        <v>0</v>
      </c>
      <c r="BD1381" s="12">
        <f t="shared" si="328"/>
        <v>0</v>
      </c>
      <c r="BE1381" s="12">
        <v>0</v>
      </c>
      <c r="BF1381" s="12">
        <f t="shared" si="320"/>
        <v>0</v>
      </c>
      <c r="BG1381" s="12">
        <f t="shared" si="329"/>
        <v>0</v>
      </c>
      <c r="BH1381" s="67">
        <v>0</v>
      </c>
      <c r="BI1381" s="67">
        <v>0</v>
      </c>
      <c r="BJ1381" s="67">
        <v>0</v>
      </c>
      <c r="BK1381" s="67">
        <v>1</v>
      </c>
      <c r="BL1381" s="67">
        <v>0</v>
      </c>
      <c r="BM1381" s="67">
        <v>0</v>
      </c>
      <c r="BN1381" s="67">
        <v>1</v>
      </c>
      <c r="BO1381" s="67">
        <v>0</v>
      </c>
      <c r="BP1381" s="67">
        <v>0</v>
      </c>
      <c r="BQ1381" s="67">
        <v>0</v>
      </c>
      <c r="BR1381" s="67">
        <v>0</v>
      </c>
      <c r="BS1381" s="67">
        <v>1</v>
      </c>
      <c r="BT1381" s="67">
        <v>0</v>
      </c>
      <c r="BU1381" s="70">
        <v>0</v>
      </c>
      <c r="BV1381" s="29">
        <f t="shared" si="321"/>
        <v>0.77314458484085946</v>
      </c>
      <c r="BW1381">
        <f t="shared" si="322"/>
        <v>1.1555414682655611</v>
      </c>
      <c r="BX1381">
        <f t="shared" si="323"/>
        <v>1.3211515584717011</v>
      </c>
      <c r="BY1381">
        <f t="shared" si="324"/>
        <v>0.9806804209314296</v>
      </c>
      <c r="BZ1381">
        <f t="shared" si="325"/>
        <v>1.579831893679001</v>
      </c>
      <c r="CA1381">
        <f t="shared" si="326"/>
        <v>1.0863058347434136</v>
      </c>
      <c r="CB1381">
        <f t="shared" si="327"/>
        <v>0.67891464284095016</v>
      </c>
    </row>
    <row r="1382" spans="1:80" x14ac:dyDescent="0.45">
      <c r="A1382" s="11">
        <v>35</v>
      </c>
      <c r="B1382" s="12">
        <f t="shared" si="315"/>
        <v>35</v>
      </c>
      <c r="C1382" s="12" t="s">
        <v>59</v>
      </c>
      <c r="D1382" s="12">
        <v>0</v>
      </c>
      <c r="E1382" s="12" t="s">
        <v>53</v>
      </c>
      <c r="F1382" s="12">
        <v>0</v>
      </c>
      <c r="G1382" s="12">
        <v>1</v>
      </c>
      <c r="H1382" s="12" t="s">
        <v>54</v>
      </c>
      <c r="I1382" s="12">
        <v>0</v>
      </c>
      <c r="J1382" s="12">
        <v>1</v>
      </c>
      <c r="K1382" s="12">
        <v>18</v>
      </c>
      <c r="L1382" s="12">
        <f t="shared" si="316"/>
        <v>18</v>
      </c>
      <c r="M1382" s="12">
        <v>4</v>
      </c>
      <c r="N1382" s="12" t="s">
        <v>70</v>
      </c>
      <c r="O1382" s="12">
        <v>0</v>
      </c>
      <c r="P1382" s="12">
        <v>0</v>
      </c>
      <c r="Q1382" s="12">
        <v>1</v>
      </c>
      <c r="R1382" s="12">
        <v>0</v>
      </c>
      <c r="S1382" s="12">
        <v>0</v>
      </c>
      <c r="T1382" s="12">
        <v>2</v>
      </c>
      <c r="U1382" s="12" t="s">
        <v>62</v>
      </c>
      <c r="V1382" s="12">
        <v>0</v>
      </c>
      <c r="W1382" s="12">
        <v>71</v>
      </c>
      <c r="X1382" s="12">
        <v>3</v>
      </c>
      <c r="Y1382" s="12">
        <v>2</v>
      </c>
      <c r="Z1382" s="12" t="s">
        <v>56</v>
      </c>
      <c r="AA1382" s="12">
        <v>0</v>
      </c>
      <c r="AB1382" s="12">
        <v>1</v>
      </c>
      <c r="AC1382" s="12">
        <v>0</v>
      </c>
      <c r="AD1382" s="12">
        <v>0</v>
      </c>
      <c r="AE1382" s="12">
        <v>0</v>
      </c>
      <c r="AF1382" s="12">
        <v>0</v>
      </c>
      <c r="AG1382" s="12">
        <v>0</v>
      </c>
      <c r="AH1382" s="12">
        <v>0</v>
      </c>
      <c r="AI1382" s="12">
        <v>1</v>
      </c>
      <c r="AJ1382" s="12" t="s">
        <v>64</v>
      </c>
      <c r="AK1382" s="12">
        <v>0</v>
      </c>
      <c r="AL1382" s="12">
        <v>1</v>
      </c>
      <c r="AM1382" s="12">
        <v>5561</v>
      </c>
      <c r="AN1382" s="12">
        <f t="shared" si="317"/>
        <v>5561</v>
      </c>
      <c r="AO1382" s="12">
        <v>0</v>
      </c>
      <c r="AP1382" s="12" t="s">
        <v>59</v>
      </c>
      <c r="AQ1382" s="12">
        <v>0</v>
      </c>
      <c r="AR1382" s="12">
        <v>16</v>
      </c>
      <c r="AS1382" s="12">
        <v>3</v>
      </c>
      <c r="AT1382" s="12">
        <v>4</v>
      </c>
      <c r="AU1382" s="12">
        <v>1</v>
      </c>
      <c r="AV1382" s="12">
        <v>6</v>
      </c>
      <c r="AW1382" s="12">
        <f t="shared" si="318"/>
        <v>6</v>
      </c>
      <c r="AX1382" s="12">
        <v>2</v>
      </c>
      <c r="AY1382" s="12">
        <v>1</v>
      </c>
      <c r="AZ1382" s="12">
        <v>5</v>
      </c>
      <c r="BA1382" s="12">
        <f t="shared" si="319"/>
        <v>5</v>
      </c>
      <c r="BB1382" s="12">
        <v>3</v>
      </c>
      <c r="BC1382" s="12">
        <v>0</v>
      </c>
      <c r="BD1382" s="12">
        <f t="shared" si="328"/>
        <v>0</v>
      </c>
      <c r="BE1382" s="12">
        <v>4</v>
      </c>
      <c r="BF1382" s="12">
        <f t="shared" si="320"/>
        <v>4</v>
      </c>
      <c r="BG1382" s="12">
        <f t="shared" si="329"/>
        <v>8</v>
      </c>
      <c r="BH1382" s="67">
        <v>0</v>
      </c>
      <c r="BI1382" s="67">
        <v>1</v>
      </c>
      <c r="BJ1382" s="67">
        <v>0</v>
      </c>
      <c r="BK1382" s="67">
        <v>0</v>
      </c>
      <c r="BL1382" s="67">
        <v>0</v>
      </c>
      <c r="BM1382" s="67">
        <v>0</v>
      </c>
      <c r="BN1382" s="67">
        <v>1</v>
      </c>
      <c r="BO1382" s="67">
        <v>0</v>
      </c>
      <c r="BP1382" s="67">
        <v>0</v>
      </c>
      <c r="BQ1382" s="67">
        <v>0</v>
      </c>
      <c r="BR1382" s="67">
        <v>4</v>
      </c>
      <c r="BS1382" s="67">
        <v>0</v>
      </c>
      <c r="BT1382" s="67">
        <v>0</v>
      </c>
      <c r="BU1382" s="70">
        <v>6</v>
      </c>
      <c r="BV1382" s="29">
        <f t="shared" si="321"/>
        <v>0.20007220454924918</v>
      </c>
      <c r="BW1382">
        <f t="shared" si="322"/>
        <v>3.4508002929560584E-2</v>
      </c>
      <c r="BX1382">
        <f t="shared" si="323"/>
        <v>0.67854260110508058</v>
      </c>
      <c r="BY1382">
        <f t="shared" si="324"/>
        <v>0.32778177112653761</v>
      </c>
      <c r="BZ1382">
        <f t="shared" si="325"/>
        <v>1.0864228781782561</v>
      </c>
      <c r="CA1382">
        <f t="shared" si="326"/>
        <v>0.21058903898096887</v>
      </c>
      <c r="CB1382">
        <f t="shared" si="327"/>
        <v>0.67891464284095016</v>
      </c>
    </row>
    <row r="1383" spans="1:80" x14ac:dyDescent="0.45">
      <c r="A1383" s="11">
        <v>28</v>
      </c>
      <c r="B1383" s="12">
        <f t="shared" si="315"/>
        <v>28</v>
      </c>
      <c r="C1383" s="12" t="s">
        <v>59</v>
      </c>
      <c r="D1383" s="12">
        <v>0</v>
      </c>
      <c r="E1383" s="12" t="s">
        <v>86</v>
      </c>
      <c r="F1383" s="12">
        <v>0</v>
      </c>
      <c r="G1383" s="12">
        <v>0</v>
      </c>
      <c r="H1383" s="12" t="s">
        <v>61</v>
      </c>
      <c r="I1383" s="12">
        <v>1</v>
      </c>
      <c r="J1383" s="12">
        <v>0</v>
      </c>
      <c r="K1383" s="12">
        <v>16</v>
      </c>
      <c r="L1383" s="12">
        <f t="shared" si="316"/>
        <v>16</v>
      </c>
      <c r="M1383" s="12">
        <v>3</v>
      </c>
      <c r="N1383" s="12" t="s">
        <v>70</v>
      </c>
      <c r="O1383" s="12">
        <v>0</v>
      </c>
      <c r="P1383" s="12">
        <v>0</v>
      </c>
      <c r="Q1383" s="12">
        <v>1</v>
      </c>
      <c r="R1383" s="12">
        <v>0</v>
      </c>
      <c r="S1383" s="12">
        <v>0</v>
      </c>
      <c r="T1383" s="12">
        <v>3</v>
      </c>
      <c r="U1383" s="12" t="s">
        <v>62</v>
      </c>
      <c r="V1383" s="12">
        <v>0</v>
      </c>
      <c r="W1383" s="12">
        <v>49</v>
      </c>
      <c r="X1383" s="12">
        <v>3</v>
      </c>
      <c r="Y1383" s="12">
        <v>1</v>
      </c>
      <c r="Z1383" s="12" t="s">
        <v>63</v>
      </c>
      <c r="AA1383" s="12">
        <v>0</v>
      </c>
      <c r="AB1383" s="12">
        <v>0</v>
      </c>
      <c r="AC1383" s="12">
        <v>0</v>
      </c>
      <c r="AD1383" s="12">
        <v>0</v>
      </c>
      <c r="AE1383" s="12">
        <v>0</v>
      </c>
      <c r="AF1383" s="12">
        <v>0</v>
      </c>
      <c r="AG1383" s="12">
        <v>0</v>
      </c>
      <c r="AH1383" s="12">
        <v>1</v>
      </c>
      <c r="AI1383" s="12">
        <v>3</v>
      </c>
      <c r="AJ1383" s="12" t="s">
        <v>57</v>
      </c>
      <c r="AK1383" s="12">
        <v>1</v>
      </c>
      <c r="AL1383" s="12">
        <v>0</v>
      </c>
      <c r="AM1383" s="12">
        <v>2144</v>
      </c>
      <c r="AN1383" s="12">
        <f t="shared" si="317"/>
        <v>2144</v>
      </c>
      <c r="AO1383" s="12">
        <v>1</v>
      </c>
      <c r="AP1383" s="12" t="s">
        <v>59</v>
      </c>
      <c r="AQ1383" s="12">
        <v>0</v>
      </c>
      <c r="AR1383" s="12">
        <v>14</v>
      </c>
      <c r="AS1383" s="12">
        <v>3</v>
      </c>
      <c r="AT1383" s="12">
        <v>3</v>
      </c>
      <c r="AU1383" s="12">
        <v>0</v>
      </c>
      <c r="AV1383" s="12">
        <v>5</v>
      </c>
      <c r="AW1383" s="12">
        <f t="shared" si="318"/>
        <v>5</v>
      </c>
      <c r="AX1383" s="12">
        <v>3</v>
      </c>
      <c r="AY1383" s="12">
        <v>2</v>
      </c>
      <c r="AZ1383" s="12">
        <v>5</v>
      </c>
      <c r="BA1383" s="12">
        <f t="shared" si="319"/>
        <v>5</v>
      </c>
      <c r="BB1383" s="12">
        <v>3</v>
      </c>
      <c r="BC1383" s="12">
        <v>1</v>
      </c>
      <c r="BD1383" s="12">
        <f t="shared" si="328"/>
        <v>1</v>
      </c>
      <c r="BE1383" s="12">
        <v>4</v>
      </c>
      <c r="BF1383" s="12">
        <f t="shared" si="320"/>
        <v>4</v>
      </c>
      <c r="BG1383" s="12">
        <f t="shared" si="329"/>
        <v>4</v>
      </c>
      <c r="BH1383" s="67">
        <v>1</v>
      </c>
      <c r="BI1383" s="67">
        <v>0</v>
      </c>
      <c r="BJ1383" s="67">
        <v>0</v>
      </c>
      <c r="BK1383" s="67">
        <v>0</v>
      </c>
      <c r="BL1383" s="67">
        <v>1</v>
      </c>
      <c r="BM1383" s="67">
        <v>0</v>
      </c>
      <c r="BN1383" s="67">
        <v>0</v>
      </c>
      <c r="BO1383" s="67">
        <v>0</v>
      </c>
      <c r="BP1383" s="67">
        <v>0</v>
      </c>
      <c r="BQ1383" s="67">
        <v>4</v>
      </c>
      <c r="BR1383" s="67">
        <v>0</v>
      </c>
      <c r="BS1383" s="67">
        <v>0</v>
      </c>
      <c r="BT1383" s="67">
        <v>5</v>
      </c>
      <c r="BU1383" s="70">
        <v>0</v>
      </c>
      <c r="BV1383" s="29">
        <f t="shared" si="321"/>
        <v>0.9258647632803213</v>
      </c>
      <c r="BW1383">
        <f t="shared" si="322"/>
        <v>3.4508002929560584E-2</v>
      </c>
      <c r="BX1383">
        <f t="shared" si="323"/>
        <v>0.80706439257840468</v>
      </c>
      <c r="BY1383">
        <f t="shared" si="324"/>
        <v>0.32778177112653761</v>
      </c>
      <c r="BZ1383">
        <f t="shared" si="325"/>
        <v>0.83971837042788355</v>
      </c>
      <c r="CA1383">
        <f t="shared" si="326"/>
        <v>0.97684123527310796</v>
      </c>
      <c r="CB1383">
        <f t="shared" si="327"/>
        <v>0.36858985273641137</v>
      </c>
    </row>
    <row r="1384" spans="1:80" x14ac:dyDescent="0.45">
      <c r="A1384" s="11">
        <v>31</v>
      </c>
      <c r="B1384" s="12">
        <f t="shared" si="315"/>
        <v>31</v>
      </c>
      <c r="C1384" s="12" t="s">
        <v>59</v>
      </c>
      <c r="D1384" s="12">
        <v>0</v>
      </c>
      <c r="E1384" s="12" t="s">
        <v>86</v>
      </c>
      <c r="F1384" s="12">
        <v>0</v>
      </c>
      <c r="G1384" s="12">
        <v>0</v>
      </c>
      <c r="H1384" s="12" t="s">
        <v>61</v>
      </c>
      <c r="I1384" s="12">
        <v>1</v>
      </c>
      <c r="J1384" s="12">
        <v>0</v>
      </c>
      <c r="K1384" s="12">
        <v>3</v>
      </c>
      <c r="L1384" s="12">
        <f t="shared" si="316"/>
        <v>3</v>
      </c>
      <c r="M1384" s="12">
        <v>2</v>
      </c>
      <c r="N1384" s="12" t="s">
        <v>70</v>
      </c>
      <c r="O1384" s="12">
        <v>0</v>
      </c>
      <c r="P1384" s="12">
        <v>0</v>
      </c>
      <c r="Q1384" s="12">
        <v>1</v>
      </c>
      <c r="R1384" s="12">
        <v>0</v>
      </c>
      <c r="S1384" s="12">
        <v>0</v>
      </c>
      <c r="T1384" s="12">
        <v>3</v>
      </c>
      <c r="U1384" s="12" t="s">
        <v>62</v>
      </c>
      <c r="V1384" s="12">
        <v>0</v>
      </c>
      <c r="W1384" s="12">
        <v>48</v>
      </c>
      <c r="X1384" s="12">
        <v>3</v>
      </c>
      <c r="Y1384" s="12">
        <v>1</v>
      </c>
      <c r="Z1384" s="12" t="s">
        <v>63</v>
      </c>
      <c r="AA1384" s="12">
        <v>0</v>
      </c>
      <c r="AB1384" s="12">
        <v>0</v>
      </c>
      <c r="AC1384" s="12">
        <v>0</v>
      </c>
      <c r="AD1384" s="12">
        <v>0</v>
      </c>
      <c r="AE1384" s="12">
        <v>0</v>
      </c>
      <c r="AF1384" s="12">
        <v>0</v>
      </c>
      <c r="AG1384" s="12">
        <v>0</v>
      </c>
      <c r="AH1384" s="12">
        <v>1</v>
      </c>
      <c r="AI1384" s="12">
        <v>1</v>
      </c>
      <c r="AJ1384" s="12" t="s">
        <v>78</v>
      </c>
      <c r="AK1384" s="12">
        <v>0</v>
      </c>
      <c r="AL1384" s="12">
        <v>0</v>
      </c>
      <c r="AM1384" s="12">
        <v>3065</v>
      </c>
      <c r="AN1384" s="12">
        <f t="shared" si="317"/>
        <v>3065</v>
      </c>
      <c r="AO1384" s="12">
        <v>1</v>
      </c>
      <c r="AP1384" s="12" t="s">
        <v>52</v>
      </c>
      <c r="AQ1384" s="12">
        <v>1</v>
      </c>
      <c r="AR1384" s="12">
        <v>13</v>
      </c>
      <c r="AS1384" s="12">
        <v>3</v>
      </c>
      <c r="AT1384" s="12">
        <v>4</v>
      </c>
      <c r="AU1384" s="12">
        <v>1</v>
      </c>
      <c r="AV1384" s="12">
        <v>4</v>
      </c>
      <c r="AW1384" s="12">
        <f t="shared" si="318"/>
        <v>4</v>
      </c>
      <c r="AX1384" s="12">
        <v>3</v>
      </c>
      <c r="AY1384" s="12">
        <v>4</v>
      </c>
      <c r="AZ1384" s="12">
        <v>4</v>
      </c>
      <c r="BA1384" s="12">
        <f t="shared" si="319"/>
        <v>4</v>
      </c>
      <c r="BB1384" s="12">
        <v>2</v>
      </c>
      <c r="BC1384" s="12">
        <v>2</v>
      </c>
      <c r="BD1384" s="12">
        <f t="shared" si="328"/>
        <v>2</v>
      </c>
      <c r="BE1384" s="12">
        <v>3</v>
      </c>
      <c r="BF1384" s="12">
        <f t="shared" si="320"/>
        <v>3</v>
      </c>
      <c r="BG1384" s="12">
        <f t="shared" si="329"/>
        <v>3</v>
      </c>
      <c r="BH1384" s="67">
        <v>1</v>
      </c>
      <c r="BI1384" s="67">
        <v>0</v>
      </c>
      <c r="BJ1384" s="67">
        <v>0</v>
      </c>
      <c r="BK1384" s="67">
        <v>0</v>
      </c>
      <c r="BL1384" s="67">
        <v>0</v>
      </c>
      <c r="BM1384" s="67">
        <v>1</v>
      </c>
      <c r="BN1384" s="67">
        <v>0</v>
      </c>
      <c r="BO1384" s="67">
        <v>0</v>
      </c>
      <c r="BP1384" s="67">
        <v>0</v>
      </c>
      <c r="BQ1384" s="67">
        <v>3</v>
      </c>
      <c r="BR1384" s="67">
        <v>0</v>
      </c>
      <c r="BS1384" s="67">
        <v>0</v>
      </c>
      <c r="BT1384" s="67">
        <v>4</v>
      </c>
      <c r="BU1384" s="70">
        <v>0</v>
      </c>
      <c r="BV1384" s="29">
        <f t="shared" si="321"/>
        <v>0.7302384985477145</v>
      </c>
      <c r="BW1384">
        <f t="shared" si="322"/>
        <v>0.31476636926356072</v>
      </c>
      <c r="BX1384">
        <f t="shared" si="323"/>
        <v>0.93558618405172878</v>
      </c>
      <c r="BY1384">
        <f t="shared" si="324"/>
        <v>0.49100643357776058</v>
      </c>
      <c r="BZ1384">
        <f t="shared" si="325"/>
        <v>0.76386092994953758</v>
      </c>
      <c r="CA1384">
        <f t="shared" si="326"/>
        <v>0.6484474368621912</v>
      </c>
      <c r="CB1384">
        <f t="shared" si="327"/>
        <v>5.8265062631872602E-2</v>
      </c>
    </row>
    <row r="1385" spans="1:80" x14ac:dyDescent="0.45">
      <c r="A1385" s="11">
        <v>36</v>
      </c>
      <c r="B1385" s="12">
        <f t="shared" si="315"/>
        <v>36</v>
      </c>
      <c r="C1385" s="12" t="s">
        <v>59</v>
      </c>
      <c r="D1385" s="12">
        <v>0</v>
      </c>
      <c r="E1385" s="12" t="s">
        <v>86</v>
      </c>
      <c r="F1385" s="12">
        <v>0</v>
      </c>
      <c r="G1385" s="12">
        <v>0</v>
      </c>
      <c r="H1385" s="12" t="s">
        <v>61</v>
      </c>
      <c r="I1385" s="12">
        <v>1</v>
      </c>
      <c r="J1385" s="12">
        <v>0</v>
      </c>
      <c r="K1385" s="12">
        <v>9</v>
      </c>
      <c r="L1385" s="12">
        <f t="shared" si="316"/>
        <v>9</v>
      </c>
      <c r="M1385" s="12">
        <v>4</v>
      </c>
      <c r="N1385" s="12" t="s">
        <v>55</v>
      </c>
      <c r="O1385" s="12">
        <v>1</v>
      </c>
      <c r="P1385" s="12">
        <v>0</v>
      </c>
      <c r="Q1385" s="12">
        <v>0</v>
      </c>
      <c r="R1385" s="12">
        <v>0</v>
      </c>
      <c r="S1385" s="12">
        <v>0</v>
      </c>
      <c r="T1385" s="12">
        <v>1</v>
      </c>
      <c r="U1385" s="12" t="s">
        <v>62</v>
      </c>
      <c r="V1385" s="12">
        <v>0</v>
      </c>
      <c r="W1385" s="12">
        <v>66</v>
      </c>
      <c r="X1385" s="12">
        <v>4</v>
      </c>
      <c r="Y1385" s="12">
        <v>1</v>
      </c>
      <c r="Z1385" s="12" t="s">
        <v>67</v>
      </c>
      <c r="AA1385" s="12">
        <v>0</v>
      </c>
      <c r="AB1385" s="12">
        <v>0</v>
      </c>
      <c r="AC1385" s="12">
        <v>1</v>
      </c>
      <c r="AD1385" s="12">
        <v>0</v>
      </c>
      <c r="AE1385" s="12">
        <v>0</v>
      </c>
      <c r="AF1385" s="12">
        <v>0</v>
      </c>
      <c r="AG1385" s="12">
        <v>0</v>
      </c>
      <c r="AH1385" s="12">
        <v>0</v>
      </c>
      <c r="AI1385" s="12">
        <v>2</v>
      </c>
      <c r="AJ1385" s="12" t="s">
        <v>64</v>
      </c>
      <c r="AK1385" s="12">
        <v>0</v>
      </c>
      <c r="AL1385" s="12">
        <v>1</v>
      </c>
      <c r="AM1385" s="12">
        <v>2810</v>
      </c>
      <c r="AN1385" s="12">
        <f t="shared" si="317"/>
        <v>2810</v>
      </c>
      <c r="AO1385" s="12">
        <v>1</v>
      </c>
      <c r="AP1385" s="12" t="s">
        <v>59</v>
      </c>
      <c r="AQ1385" s="12">
        <v>0</v>
      </c>
      <c r="AR1385" s="12">
        <v>22</v>
      </c>
      <c r="AS1385" s="12">
        <v>4</v>
      </c>
      <c r="AT1385" s="12">
        <v>2</v>
      </c>
      <c r="AU1385" s="12">
        <v>0</v>
      </c>
      <c r="AV1385" s="12">
        <v>5</v>
      </c>
      <c r="AW1385" s="12">
        <f t="shared" si="318"/>
        <v>5</v>
      </c>
      <c r="AX1385" s="12">
        <v>3</v>
      </c>
      <c r="AY1385" s="12">
        <v>3</v>
      </c>
      <c r="AZ1385" s="12">
        <v>5</v>
      </c>
      <c r="BA1385" s="12">
        <f t="shared" si="319"/>
        <v>5</v>
      </c>
      <c r="BB1385" s="12">
        <v>4</v>
      </c>
      <c r="BC1385" s="12">
        <v>0</v>
      </c>
      <c r="BD1385" s="12">
        <f t="shared" si="328"/>
        <v>0</v>
      </c>
      <c r="BE1385" s="12">
        <v>2</v>
      </c>
      <c r="BF1385" s="12">
        <f t="shared" si="320"/>
        <v>2</v>
      </c>
      <c r="BG1385" s="12">
        <f t="shared" si="329"/>
        <v>2</v>
      </c>
      <c r="BH1385" s="67">
        <v>0</v>
      </c>
      <c r="BI1385" s="67">
        <v>1</v>
      </c>
      <c r="BJ1385" s="67">
        <v>0</v>
      </c>
      <c r="BK1385" s="67">
        <v>0</v>
      </c>
      <c r="BL1385" s="67">
        <v>0</v>
      </c>
      <c r="BM1385" s="67">
        <v>0</v>
      </c>
      <c r="BN1385" s="67">
        <v>1</v>
      </c>
      <c r="BO1385" s="67">
        <v>0</v>
      </c>
      <c r="BP1385" s="67">
        <v>0</v>
      </c>
      <c r="BQ1385" s="67">
        <v>2</v>
      </c>
      <c r="BR1385" s="67">
        <v>0</v>
      </c>
      <c r="BS1385" s="67">
        <v>0</v>
      </c>
      <c r="BT1385" s="67">
        <v>5</v>
      </c>
      <c r="BU1385" s="70">
        <v>0</v>
      </c>
      <c r="BV1385" s="29">
        <f t="shared" si="321"/>
        <v>0.78440212233361539</v>
      </c>
      <c r="BW1385">
        <f t="shared" si="322"/>
        <v>0.59502473559756086</v>
      </c>
      <c r="BX1385">
        <f t="shared" si="323"/>
        <v>0.80706439257840468</v>
      </c>
      <c r="BY1385">
        <f t="shared" si="324"/>
        <v>0.32778177112653761</v>
      </c>
      <c r="BZ1385">
        <f t="shared" si="325"/>
        <v>2.3747406698420157E-2</v>
      </c>
      <c r="CA1385">
        <f t="shared" si="326"/>
        <v>0.10112443951066327</v>
      </c>
      <c r="CB1385">
        <f t="shared" si="327"/>
        <v>0.67891464284095016</v>
      </c>
    </row>
    <row r="1386" spans="1:80" x14ac:dyDescent="0.45">
      <c r="A1386" s="11">
        <v>34</v>
      </c>
      <c r="B1386" s="12">
        <f t="shared" si="315"/>
        <v>34</v>
      </c>
      <c r="C1386" s="12" t="s">
        <v>59</v>
      </c>
      <c r="D1386" s="12">
        <v>0</v>
      </c>
      <c r="E1386" s="12" t="s">
        <v>53</v>
      </c>
      <c r="F1386" s="12">
        <v>0</v>
      </c>
      <c r="G1386" s="12">
        <v>1</v>
      </c>
      <c r="H1386" s="12" t="s">
        <v>54</v>
      </c>
      <c r="I1386" s="12">
        <v>0</v>
      </c>
      <c r="J1386" s="12">
        <v>1</v>
      </c>
      <c r="K1386" s="12">
        <v>1</v>
      </c>
      <c r="L1386" s="12">
        <f t="shared" si="316"/>
        <v>1</v>
      </c>
      <c r="M1386" s="12">
        <v>3</v>
      </c>
      <c r="N1386" s="12" t="s">
        <v>90</v>
      </c>
      <c r="O1386" s="12">
        <v>0</v>
      </c>
      <c r="P1386" s="12">
        <v>0</v>
      </c>
      <c r="Q1386" s="12">
        <v>0</v>
      </c>
      <c r="R1386" s="12">
        <v>1</v>
      </c>
      <c r="S1386" s="12">
        <v>0</v>
      </c>
      <c r="T1386" s="12">
        <v>1</v>
      </c>
      <c r="U1386" s="12" t="s">
        <v>62</v>
      </c>
      <c r="V1386" s="12">
        <v>0</v>
      </c>
      <c r="W1386" s="12">
        <v>32</v>
      </c>
      <c r="X1386" s="12">
        <v>3</v>
      </c>
      <c r="Y1386" s="12">
        <v>3</v>
      </c>
      <c r="Z1386" s="12" t="s">
        <v>56</v>
      </c>
      <c r="AA1386" s="12">
        <v>0</v>
      </c>
      <c r="AB1386" s="12">
        <v>1</v>
      </c>
      <c r="AC1386" s="12">
        <v>0</v>
      </c>
      <c r="AD1386" s="12">
        <v>0</v>
      </c>
      <c r="AE1386" s="12">
        <v>0</v>
      </c>
      <c r="AF1386" s="12">
        <v>0</v>
      </c>
      <c r="AG1386" s="12">
        <v>0</v>
      </c>
      <c r="AH1386" s="12">
        <v>0</v>
      </c>
      <c r="AI1386" s="12">
        <v>4</v>
      </c>
      <c r="AJ1386" s="12" t="s">
        <v>57</v>
      </c>
      <c r="AK1386" s="12">
        <v>1</v>
      </c>
      <c r="AL1386" s="12">
        <v>0</v>
      </c>
      <c r="AM1386" s="12">
        <v>9888</v>
      </c>
      <c r="AN1386" s="12">
        <f t="shared" si="317"/>
        <v>9888</v>
      </c>
      <c r="AO1386" s="12">
        <v>1</v>
      </c>
      <c r="AP1386" s="12" t="s">
        <v>59</v>
      </c>
      <c r="AQ1386" s="12">
        <v>0</v>
      </c>
      <c r="AR1386" s="12">
        <v>21</v>
      </c>
      <c r="AS1386" s="12">
        <v>4</v>
      </c>
      <c r="AT1386" s="12">
        <v>1</v>
      </c>
      <c r="AU1386" s="12">
        <v>0</v>
      </c>
      <c r="AV1386" s="12">
        <v>14</v>
      </c>
      <c r="AW1386" s="12">
        <f t="shared" si="318"/>
        <v>14</v>
      </c>
      <c r="AX1386" s="12">
        <v>3</v>
      </c>
      <c r="AY1386" s="12">
        <v>2</v>
      </c>
      <c r="AZ1386" s="12">
        <v>14</v>
      </c>
      <c r="BA1386" s="12">
        <f t="shared" si="319"/>
        <v>14</v>
      </c>
      <c r="BB1386" s="12">
        <v>8</v>
      </c>
      <c r="BC1386" s="12">
        <v>2</v>
      </c>
      <c r="BD1386" s="12">
        <f t="shared" si="328"/>
        <v>2</v>
      </c>
      <c r="BE1386" s="12">
        <v>1</v>
      </c>
      <c r="BF1386" s="12">
        <f t="shared" si="320"/>
        <v>1</v>
      </c>
      <c r="BG1386" s="12">
        <f t="shared" si="329"/>
        <v>3</v>
      </c>
      <c r="BH1386" s="67">
        <v>1</v>
      </c>
      <c r="BI1386" s="67">
        <v>0</v>
      </c>
      <c r="BJ1386" s="67">
        <v>0</v>
      </c>
      <c r="BK1386" s="67">
        <v>0</v>
      </c>
      <c r="BL1386" s="67">
        <v>1</v>
      </c>
      <c r="BM1386" s="67">
        <v>0</v>
      </c>
      <c r="BN1386" s="67">
        <v>0</v>
      </c>
      <c r="BO1386" s="67">
        <v>0</v>
      </c>
      <c r="BP1386" s="67">
        <v>0</v>
      </c>
      <c r="BQ1386" s="67">
        <v>0</v>
      </c>
      <c r="BR1386" s="67">
        <v>1</v>
      </c>
      <c r="BS1386" s="67">
        <v>0</v>
      </c>
      <c r="BT1386" s="67">
        <v>0</v>
      </c>
      <c r="BU1386" s="70">
        <v>14</v>
      </c>
      <c r="BV1386" s="29">
        <f t="shared" si="321"/>
        <v>0.71901014886876335</v>
      </c>
      <c r="BW1386">
        <f t="shared" si="322"/>
        <v>0.87528310193156111</v>
      </c>
      <c r="BX1386">
        <f t="shared" si="323"/>
        <v>0.34963173068151232</v>
      </c>
      <c r="BY1386">
        <f t="shared" si="324"/>
        <v>1.1412401909344694</v>
      </c>
      <c r="BZ1386">
        <f t="shared" si="325"/>
        <v>1.01056543769991</v>
      </c>
      <c r="CA1386">
        <f t="shared" si="326"/>
        <v>0.32005363845127444</v>
      </c>
      <c r="CB1386">
        <f t="shared" si="327"/>
        <v>5.8265062631872602E-2</v>
      </c>
    </row>
    <row r="1387" spans="1:80" x14ac:dyDescent="0.45">
      <c r="A1387" s="11">
        <v>34</v>
      </c>
      <c r="B1387" s="12">
        <f t="shared" si="315"/>
        <v>34</v>
      </c>
      <c r="C1387" s="12" t="s">
        <v>59</v>
      </c>
      <c r="D1387" s="12">
        <v>0</v>
      </c>
      <c r="E1387" s="12" t="s">
        <v>53</v>
      </c>
      <c r="F1387" s="12">
        <v>0</v>
      </c>
      <c r="G1387" s="12">
        <v>1</v>
      </c>
      <c r="H1387" s="12" t="s">
        <v>54</v>
      </c>
      <c r="I1387" s="12">
        <v>0</v>
      </c>
      <c r="J1387" s="12">
        <v>1</v>
      </c>
      <c r="K1387" s="12">
        <v>13</v>
      </c>
      <c r="L1387" s="12">
        <f t="shared" si="316"/>
        <v>13</v>
      </c>
      <c r="M1387" s="12">
        <v>4</v>
      </c>
      <c r="N1387" s="12" t="s">
        <v>70</v>
      </c>
      <c r="O1387" s="12">
        <v>0</v>
      </c>
      <c r="P1387" s="12">
        <v>0</v>
      </c>
      <c r="Q1387" s="12">
        <v>1</v>
      </c>
      <c r="R1387" s="12">
        <v>0</v>
      </c>
      <c r="S1387" s="12">
        <v>0</v>
      </c>
      <c r="T1387" s="12">
        <v>4</v>
      </c>
      <c r="U1387" s="12" t="s">
        <v>62</v>
      </c>
      <c r="V1387" s="12">
        <v>0</v>
      </c>
      <c r="W1387" s="12">
        <v>39</v>
      </c>
      <c r="X1387" s="12">
        <v>3</v>
      </c>
      <c r="Y1387" s="12">
        <v>3</v>
      </c>
      <c r="Z1387" s="12" t="s">
        <v>56</v>
      </c>
      <c r="AA1387" s="12">
        <v>0</v>
      </c>
      <c r="AB1387" s="12">
        <v>1</v>
      </c>
      <c r="AC1387" s="12">
        <v>0</v>
      </c>
      <c r="AD1387" s="12">
        <v>0</v>
      </c>
      <c r="AE1387" s="12">
        <v>0</v>
      </c>
      <c r="AF1387" s="12">
        <v>0</v>
      </c>
      <c r="AG1387" s="12">
        <v>0</v>
      </c>
      <c r="AH1387" s="12">
        <v>0</v>
      </c>
      <c r="AI1387" s="12">
        <v>3</v>
      </c>
      <c r="AJ1387" s="12" t="s">
        <v>78</v>
      </c>
      <c r="AK1387" s="12">
        <v>0</v>
      </c>
      <c r="AL1387" s="12">
        <v>0</v>
      </c>
      <c r="AM1387" s="12">
        <v>8628</v>
      </c>
      <c r="AN1387" s="12">
        <f t="shared" si="317"/>
        <v>8628</v>
      </c>
      <c r="AO1387" s="12">
        <v>1</v>
      </c>
      <c r="AP1387" s="12" t="s">
        <v>59</v>
      </c>
      <c r="AQ1387" s="12">
        <v>0</v>
      </c>
      <c r="AR1387" s="12">
        <v>18</v>
      </c>
      <c r="AS1387" s="12">
        <v>3</v>
      </c>
      <c r="AT1387" s="12">
        <v>3</v>
      </c>
      <c r="AU1387" s="12">
        <v>1</v>
      </c>
      <c r="AV1387" s="12">
        <v>9</v>
      </c>
      <c r="AW1387" s="12">
        <f t="shared" si="318"/>
        <v>9</v>
      </c>
      <c r="AX1387" s="12">
        <v>2</v>
      </c>
      <c r="AY1387" s="12">
        <v>2</v>
      </c>
      <c r="AZ1387" s="12">
        <v>8</v>
      </c>
      <c r="BA1387" s="12">
        <f t="shared" si="319"/>
        <v>8</v>
      </c>
      <c r="BB1387" s="12">
        <v>7</v>
      </c>
      <c r="BC1387" s="12">
        <v>1</v>
      </c>
      <c r="BD1387" s="12">
        <f t="shared" si="328"/>
        <v>1</v>
      </c>
      <c r="BE1387" s="12">
        <v>1</v>
      </c>
      <c r="BF1387" s="12">
        <f t="shared" si="320"/>
        <v>1</v>
      </c>
      <c r="BG1387" s="12">
        <f t="shared" si="329"/>
        <v>3</v>
      </c>
      <c r="BH1387" s="67">
        <v>1</v>
      </c>
      <c r="BI1387" s="67">
        <v>0</v>
      </c>
      <c r="BJ1387" s="67">
        <v>0</v>
      </c>
      <c r="BK1387" s="67">
        <v>0</v>
      </c>
      <c r="BL1387" s="67">
        <v>1</v>
      </c>
      <c r="BM1387" s="67">
        <v>0</v>
      </c>
      <c r="BN1387" s="67">
        <v>0</v>
      </c>
      <c r="BO1387" s="67">
        <v>0</v>
      </c>
      <c r="BP1387" s="67">
        <v>0</v>
      </c>
      <c r="BQ1387" s="67">
        <v>0</v>
      </c>
      <c r="BR1387" s="67">
        <v>1</v>
      </c>
      <c r="BS1387" s="67">
        <v>0</v>
      </c>
      <c r="BT1387" s="67">
        <v>0</v>
      </c>
      <c r="BU1387" s="70">
        <v>9</v>
      </c>
      <c r="BV1387" s="29">
        <f t="shared" si="321"/>
        <v>0.45137812545607658</v>
      </c>
      <c r="BW1387">
        <f t="shared" si="322"/>
        <v>0.87528310193156111</v>
      </c>
      <c r="BX1387">
        <f t="shared" si="323"/>
        <v>0.29297722668510823</v>
      </c>
      <c r="BY1387">
        <f t="shared" si="324"/>
        <v>0.16189221622713135</v>
      </c>
      <c r="BZ1387">
        <f t="shared" si="325"/>
        <v>0.46966160880232483</v>
      </c>
      <c r="CA1387">
        <f t="shared" si="326"/>
        <v>0.32005363845127444</v>
      </c>
      <c r="CB1387">
        <f t="shared" si="327"/>
        <v>0.36858985273641137</v>
      </c>
    </row>
    <row r="1388" spans="1:80" x14ac:dyDescent="0.45">
      <c r="A1388" s="11">
        <v>26</v>
      </c>
      <c r="B1388" s="12">
        <f t="shared" si="315"/>
        <v>26</v>
      </c>
      <c r="C1388" s="12" t="s">
        <v>59</v>
      </c>
      <c r="D1388" s="12">
        <v>0</v>
      </c>
      <c r="E1388" s="12" t="s">
        <v>53</v>
      </c>
      <c r="F1388" s="12">
        <v>0</v>
      </c>
      <c r="G1388" s="12">
        <v>1</v>
      </c>
      <c r="H1388" s="12" t="s">
        <v>61</v>
      </c>
      <c r="I1388" s="12">
        <v>1</v>
      </c>
      <c r="J1388" s="12">
        <v>0</v>
      </c>
      <c r="K1388" s="12">
        <v>1</v>
      </c>
      <c r="L1388" s="12">
        <f t="shared" si="316"/>
        <v>1</v>
      </c>
      <c r="M1388" s="12">
        <v>3</v>
      </c>
      <c r="N1388" s="12" t="s">
        <v>70</v>
      </c>
      <c r="O1388" s="12">
        <v>0</v>
      </c>
      <c r="P1388" s="12">
        <v>0</v>
      </c>
      <c r="Q1388" s="12">
        <v>1</v>
      </c>
      <c r="R1388" s="12">
        <v>0</v>
      </c>
      <c r="S1388" s="12">
        <v>0</v>
      </c>
      <c r="T1388" s="12">
        <v>3</v>
      </c>
      <c r="U1388" s="12" t="s">
        <v>62</v>
      </c>
      <c r="V1388" s="12">
        <v>0</v>
      </c>
      <c r="W1388" s="12">
        <v>95</v>
      </c>
      <c r="X1388" s="12">
        <v>3</v>
      </c>
      <c r="Y1388" s="12">
        <v>1</v>
      </c>
      <c r="Z1388" s="12" t="s">
        <v>67</v>
      </c>
      <c r="AA1388" s="12">
        <v>0</v>
      </c>
      <c r="AB1388" s="12">
        <v>0</v>
      </c>
      <c r="AC1388" s="12">
        <v>1</v>
      </c>
      <c r="AD1388" s="12">
        <v>0</v>
      </c>
      <c r="AE1388" s="12">
        <v>0</v>
      </c>
      <c r="AF1388" s="12">
        <v>0</v>
      </c>
      <c r="AG1388" s="12">
        <v>0</v>
      </c>
      <c r="AH1388" s="12">
        <v>0</v>
      </c>
      <c r="AI1388" s="12">
        <v>1</v>
      </c>
      <c r="AJ1388" s="12" t="s">
        <v>57</v>
      </c>
      <c r="AK1388" s="12">
        <v>1</v>
      </c>
      <c r="AL1388" s="12">
        <v>0</v>
      </c>
      <c r="AM1388" s="12">
        <v>2867</v>
      </c>
      <c r="AN1388" s="12">
        <f t="shared" si="317"/>
        <v>2867</v>
      </c>
      <c r="AO1388" s="12">
        <v>0</v>
      </c>
      <c r="AP1388" s="12" t="s">
        <v>59</v>
      </c>
      <c r="AQ1388" s="12">
        <v>0</v>
      </c>
      <c r="AR1388" s="12">
        <v>13</v>
      </c>
      <c r="AS1388" s="12">
        <v>3</v>
      </c>
      <c r="AT1388" s="12">
        <v>4</v>
      </c>
      <c r="AU1388" s="12">
        <v>0</v>
      </c>
      <c r="AV1388" s="12">
        <v>8</v>
      </c>
      <c r="AW1388" s="12">
        <f t="shared" si="318"/>
        <v>8</v>
      </c>
      <c r="AX1388" s="12">
        <v>6</v>
      </c>
      <c r="AY1388" s="12">
        <v>2</v>
      </c>
      <c r="AZ1388" s="12">
        <v>7</v>
      </c>
      <c r="BA1388" s="12">
        <f t="shared" si="319"/>
        <v>7</v>
      </c>
      <c r="BB1388" s="12">
        <v>7</v>
      </c>
      <c r="BC1388" s="12">
        <v>7</v>
      </c>
      <c r="BD1388" s="12">
        <f t="shared" si="328"/>
        <v>7</v>
      </c>
      <c r="BE1388" s="12">
        <v>6</v>
      </c>
      <c r="BF1388" s="12">
        <f t="shared" si="320"/>
        <v>6</v>
      </c>
      <c r="BG1388" s="12">
        <f t="shared" si="329"/>
        <v>6</v>
      </c>
      <c r="BH1388" s="67">
        <v>1</v>
      </c>
      <c r="BI1388" s="67">
        <v>0</v>
      </c>
      <c r="BJ1388" s="67">
        <v>0</v>
      </c>
      <c r="BK1388" s="67">
        <v>0</v>
      </c>
      <c r="BL1388" s="67">
        <v>1</v>
      </c>
      <c r="BM1388" s="67">
        <v>0</v>
      </c>
      <c r="BN1388" s="67">
        <v>0</v>
      </c>
      <c r="BO1388" s="67">
        <v>0</v>
      </c>
      <c r="BP1388" s="67">
        <v>0</v>
      </c>
      <c r="BQ1388" s="67">
        <v>6</v>
      </c>
      <c r="BR1388" s="67">
        <v>0</v>
      </c>
      <c r="BS1388" s="67">
        <v>0</v>
      </c>
      <c r="BT1388" s="67">
        <v>8</v>
      </c>
      <c r="BU1388" s="70">
        <v>0</v>
      </c>
      <c r="BV1388" s="29">
        <f t="shared" si="321"/>
        <v>0.77229495936970816</v>
      </c>
      <c r="BW1388">
        <f t="shared" si="322"/>
        <v>0.52600872973843971</v>
      </c>
      <c r="BX1388">
        <f t="shared" si="323"/>
        <v>0.42149901815843233</v>
      </c>
      <c r="BY1388">
        <f t="shared" si="324"/>
        <v>1.3324462240916321E-3</v>
      </c>
      <c r="BZ1388">
        <f t="shared" si="325"/>
        <v>1.01056543769991</v>
      </c>
      <c r="CA1388">
        <f t="shared" si="326"/>
        <v>1.195770434213719</v>
      </c>
      <c r="CB1388">
        <f t="shared" si="327"/>
        <v>1.4933588878908215</v>
      </c>
    </row>
    <row r="1389" spans="1:80" x14ac:dyDescent="0.45">
      <c r="A1389" s="11">
        <v>29</v>
      </c>
      <c r="B1389" s="12">
        <f t="shared" si="315"/>
        <v>29</v>
      </c>
      <c r="C1389" s="12" t="s">
        <v>59</v>
      </c>
      <c r="D1389" s="12">
        <v>0</v>
      </c>
      <c r="E1389" s="12" t="s">
        <v>53</v>
      </c>
      <c r="F1389" s="12">
        <v>0</v>
      </c>
      <c r="G1389" s="12">
        <v>1</v>
      </c>
      <c r="H1389" s="12" t="s">
        <v>61</v>
      </c>
      <c r="I1389" s="12">
        <v>1</v>
      </c>
      <c r="J1389" s="12">
        <v>0</v>
      </c>
      <c r="K1389" s="12">
        <v>1</v>
      </c>
      <c r="L1389" s="12">
        <f t="shared" si="316"/>
        <v>1</v>
      </c>
      <c r="M1389" s="12">
        <v>3</v>
      </c>
      <c r="N1389" s="12" t="s">
        <v>55</v>
      </c>
      <c r="O1389" s="12">
        <v>1</v>
      </c>
      <c r="P1389" s="12">
        <v>0</v>
      </c>
      <c r="Q1389" s="12">
        <v>0</v>
      </c>
      <c r="R1389" s="12">
        <v>0</v>
      </c>
      <c r="S1389" s="12">
        <v>0</v>
      </c>
      <c r="T1389" s="12">
        <v>1</v>
      </c>
      <c r="U1389" s="12" t="s">
        <v>62</v>
      </c>
      <c r="V1389" s="12">
        <v>0</v>
      </c>
      <c r="W1389" s="12">
        <v>89</v>
      </c>
      <c r="X1389" s="12">
        <v>3</v>
      </c>
      <c r="Y1389" s="12">
        <v>2</v>
      </c>
      <c r="Z1389" s="12" t="s">
        <v>85</v>
      </c>
      <c r="AA1389" s="12">
        <v>1</v>
      </c>
      <c r="AB1389" s="12">
        <v>0</v>
      </c>
      <c r="AC1389" s="12">
        <v>0</v>
      </c>
      <c r="AD1389" s="12">
        <v>0</v>
      </c>
      <c r="AE1389" s="12">
        <v>0</v>
      </c>
      <c r="AF1389" s="12">
        <v>0</v>
      </c>
      <c r="AG1389" s="12">
        <v>0</v>
      </c>
      <c r="AH1389" s="12">
        <v>0</v>
      </c>
      <c r="AI1389" s="12">
        <v>1</v>
      </c>
      <c r="AJ1389" s="12" t="s">
        <v>64</v>
      </c>
      <c r="AK1389" s="12">
        <v>0</v>
      </c>
      <c r="AL1389" s="12">
        <v>1</v>
      </c>
      <c r="AM1389" s="12">
        <v>5373</v>
      </c>
      <c r="AN1389" s="12">
        <f t="shared" si="317"/>
        <v>5373</v>
      </c>
      <c r="AO1389" s="12">
        <v>0</v>
      </c>
      <c r="AP1389" s="12" t="s">
        <v>59</v>
      </c>
      <c r="AQ1389" s="12">
        <v>0</v>
      </c>
      <c r="AR1389" s="12">
        <v>12</v>
      </c>
      <c r="AS1389" s="12">
        <v>3</v>
      </c>
      <c r="AT1389" s="12">
        <v>1</v>
      </c>
      <c r="AU1389" s="12">
        <v>1</v>
      </c>
      <c r="AV1389" s="12">
        <v>6</v>
      </c>
      <c r="AW1389" s="12">
        <f t="shared" si="318"/>
        <v>6</v>
      </c>
      <c r="AX1389" s="12">
        <v>5</v>
      </c>
      <c r="AY1389" s="12">
        <v>2</v>
      </c>
      <c r="AZ1389" s="12">
        <v>5</v>
      </c>
      <c r="BA1389" s="12">
        <f t="shared" si="319"/>
        <v>5</v>
      </c>
      <c r="BB1389" s="12">
        <v>3</v>
      </c>
      <c r="BC1389" s="12">
        <v>0</v>
      </c>
      <c r="BD1389" s="12">
        <f t="shared" si="328"/>
        <v>0</v>
      </c>
      <c r="BE1389" s="12">
        <v>2</v>
      </c>
      <c r="BF1389" s="12">
        <f t="shared" si="320"/>
        <v>2</v>
      </c>
      <c r="BG1389" s="12">
        <f t="shared" si="329"/>
        <v>4</v>
      </c>
      <c r="BH1389" s="67">
        <v>0</v>
      </c>
      <c r="BI1389" s="67">
        <v>1</v>
      </c>
      <c r="BJ1389" s="67">
        <v>0</v>
      </c>
      <c r="BK1389" s="67">
        <v>0</v>
      </c>
      <c r="BL1389" s="67">
        <v>0</v>
      </c>
      <c r="BM1389" s="67">
        <v>0</v>
      </c>
      <c r="BN1389" s="67">
        <v>1</v>
      </c>
      <c r="BO1389" s="67">
        <v>0</v>
      </c>
      <c r="BP1389" s="67">
        <v>0</v>
      </c>
      <c r="BQ1389" s="67">
        <v>2</v>
      </c>
      <c r="BR1389" s="67">
        <v>0</v>
      </c>
      <c r="BS1389" s="67">
        <v>0</v>
      </c>
      <c r="BT1389" s="67">
        <v>6</v>
      </c>
      <c r="BU1389" s="70">
        <v>0</v>
      </c>
      <c r="BV1389" s="29">
        <f t="shared" si="321"/>
        <v>0.24000460169336435</v>
      </c>
      <c r="BW1389">
        <f t="shared" si="322"/>
        <v>0.59502473559756086</v>
      </c>
      <c r="BX1389">
        <f t="shared" si="323"/>
        <v>0.67854260110508058</v>
      </c>
      <c r="BY1389">
        <f t="shared" si="324"/>
        <v>0.32778177112653761</v>
      </c>
      <c r="BZ1389">
        <f t="shared" si="325"/>
        <v>1.01056543769991</v>
      </c>
      <c r="CA1389">
        <f t="shared" si="326"/>
        <v>0.86737663580280233</v>
      </c>
      <c r="CB1389">
        <f t="shared" si="327"/>
        <v>0.67891464284095016</v>
      </c>
    </row>
    <row r="1390" spans="1:80" x14ac:dyDescent="0.45">
      <c r="A1390" s="11">
        <v>32</v>
      </c>
      <c r="B1390" s="12">
        <f t="shared" si="315"/>
        <v>32</v>
      </c>
      <c r="C1390" s="12" t="s">
        <v>59</v>
      </c>
      <c r="D1390" s="12">
        <v>0</v>
      </c>
      <c r="E1390" s="12" t="s">
        <v>86</v>
      </c>
      <c r="F1390" s="12">
        <v>0</v>
      </c>
      <c r="G1390" s="12">
        <v>0</v>
      </c>
      <c r="H1390" s="12" t="s">
        <v>61</v>
      </c>
      <c r="I1390" s="12">
        <v>1</v>
      </c>
      <c r="J1390" s="12">
        <v>0</v>
      </c>
      <c r="K1390" s="12">
        <v>15</v>
      </c>
      <c r="L1390" s="12">
        <f t="shared" si="316"/>
        <v>15</v>
      </c>
      <c r="M1390" s="12">
        <v>4</v>
      </c>
      <c r="N1390" s="12" t="s">
        <v>70</v>
      </c>
      <c r="O1390" s="12">
        <v>0</v>
      </c>
      <c r="P1390" s="12">
        <v>0</v>
      </c>
      <c r="Q1390" s="12">
        <v>1</v>
      </c>
      <c r="R1390" s="12">
        <v>0</v>
      </c>
      <c r="S1390" s="12">
        <v>0</v>
      </c>
      <c r="T1390" s="12">
        <v>3</v>
      </c>
      <c r="U1390" s="12" t="s">
        <v>19</v>
      </c>
      <c r="V1390" s="12">
        <v>1</v>
      </c>
      <c r="W1390" s="12">
        <v>34</v>
      </c>
      <c r="X1390" s="12">
        <v>3</v>
      </c>
      <c r="Y1390" s="12">
        <v>2</v>
      </c>
      <c r="Z1390" s="12" t="s">
        <v>85</v>
      </c>
      <c r="AA1390" s="12">
        <v>1</v>
      </c>
      <c r="AB1390" s="12">
        <v>0</v>
      </c>
      <c r="AC1390" s="12">
        <v>0</v>
      </c>
      <c r="AD1390" s="12">
        <v>0</v>
      </c>
      <c r="AE1390" s="12">
        <v>0</v>
      </c>
      <c r="AF1390" s="12">
        <v>0</v>
      </c>
      <c r="AG1390" s="12">
        <v>0</v>
      </c>
      <c r="AH1390" s="12">
        <v>0</v>
      </c>
      <c r="AI1390" s="12">
        <v>4</v>
      </c>
      <c r="AJ1390" s="12" t="s">
        <v>78</v>
      </c>
      <c r="AK1390" s="12">
        <v>0</v>
      </c>
      <c r="AL1390" s="12">
        <v>0</v>
      </c>
      <c r="AM1390" s="12">
        <v>6667</v>
      </c>
      <c r="AN1390" s="12">
        <f t="shared" si="317"/>
        <v>6667</v>
      </c>
      <c r="AO1390" s="12">
        <v>5</v>
      </c>
      <c r="AP1390" s="12" t="s">
        <v>59</v>
      </c>
      <c r="AQ1390" s="12">
        <v>0</v>
      </c>
      <c r="AR1390" s="12">
        <v>18</v>
      </c>
      <c r="AS1390" s="12">
        <v>3</v>
      </c>
      <c r="AT1390" s="12">
        <v>2</v>
      </c>
      <c r="AU1390" s="12">
        <v>1</v>
      </c>
      <c r="AV1390" s="12">
        <v>9</v>
      </c>
      <c r="AW1390" s="12">
        <f t="shared" si="318"/>
        <v>9</v>
      </c>
      <c r="AX1390" s="12">
        <v>6</v>
      </c>
      <c r="AY1390" s="12">
        <v>3</v>
      </c>
      <c r="AZ1390" s="12">
        <v>5</v>
      </c>
      <c r="BA1390" s="12">
        <f t="shared" si="319"/>
        <v>5</v>
      </c>
      <c r="BB1390" s="12">
        <v>1</v>
      </c>
      <c r="BC1390" s="12">
        <v>1</v>
      </c>
      <c r="BD1390" s="12">
        <f t="shared" si="328"/>
        <v>1</v>
      </c>
      <c r="BE1390" s="12">
        <v>2</v>
      </c>
      <c r="BF1390" s="12">
        <f t="shared" si="320"/>
        <v>2</v>
      </c>
      <c r="BG1390" s="12">
        <f t="shared" si="329"/>
        <v>4</v>
      </c>
      <c r="BH1390" s="67">
        <v>1</v>
      </c>
      <c r="BI1390" s="67">
        <v>0</v>
      </c>
      <c r="BJ1390" s="67">
        <v>0</v>
      </c>
      <c r="BK1390" s="67">
        <v>0</v>
      </c>
      <c r="BL1390" s="67">
        <v>1</v>
      </c>
      <c r="BM1390" s="67">
        <v>0</v>
      </c>
      <c r="BN1390" s="67">
        <v>0</v>
      </c>
      <c r="BO1390" s="67">
        <v>0</v>
      </c>
      <c r="BP1390" s="67">
        <v>0</v>
      </c>
      <c r="BQ1390" s="67">
        <v>2</v>
      </c>
      <c r="BR1390" s="67">
        <v>0</v>
      </c>
      <c r="BS1390" s="67">
        <v>0</v>
      </c>
      <c r="BT1390" s="67">
        <v>9</v>
      </c>
      <c r="BU1390" s="70">
        <v>0</v>
      </c>
      <c r="BV1390" s="29">
        <f t="shared" si="321"/>
        <v>3.4849238224109236E-2</v>
      </c>
      <c r="BW1390">
        <f t="shared" si="322"/>
        <v>0.59502473559756086</v>
      </c>
      <c r="BX1390">
        <f t="shared" si="323"/>
        <v>0.29297722668510823</v>
      </c>
      <c r="BY1390">
        <f t="shared" si="324"/>
        <v>0.32778177112653761</v>
      </c>
      <c r="BZ1390">
        <f t="shared" si="325"/>
        <v>0.71636611655269733</v>
      </c>
      <c r="CA1390">
        <f t="shared" si="326"/>
        <v>0.53898283739188557</v>
      </c>
      <c r="CB1390">
        <f t="shared" si="327"/>
        <v>0.36858985273641137</v>
      </c>
    </row>
    <row r="1391" spans="1:80" x14ac:dyDescent="0.45">
      <c r="A1391" s="11">
        <v>31</v>
      </c>
      <c r="B1391" s="12">
        <f t="shared" si="315"/>
        <v>31</v>
      </c>
      <c r="C1391" s="12" t="s">
        <v>59</v>
      </c>
      <c r="D1391" s="12">
        <v>0</v>
      </c>
      <c r="E1391" s="12" t="s">
        <v>60</v>
      </c>
      <c r="F1391" s="12">
        <v>1</v>
      </c>
      <c r="G1391" s="12">
        <v>0</v>
      </c>
      <c r="H1391" s="12" t="s">
        <v>61</v>
      </c>
      <c r="I1391" s="12">
        <v>1</v>
      </c>
      <c r="J1391" s="12">
        <v>0</v>
      </c>
      <c r="K1391" s="12">
        <v>1</v>
      </c>
      <c r="L1391" s="12">
        <f t="shared" si="316"/>
        <v>1</v>
      </c>
      <c r="M1391" s="12">
        <v>3</v>
      </c>
      <c r="N1391" s="12" t="s">
        <v>55</v>
      </c>
      <c r="O1391" s="12">
        <v>1</v>
      </c>
      <c r="P1391" s="12">
        <v>0</v>
      </c>
      <c r="Q1391" s="12">
        <v>0</v>
      </c>
      <c r="R1391" s="12">
        <v>0</v>
      </c>
      <c r="S1391" s="12">
        <v>0</v>
      </c>
      <c r="T1391" s="12">
        <v>4</v>
      </c>
      <c r="U1391" s="12" t="s">
        <v>62</v>
      </c>
      <c r="V1391" s="12">
        <v>0</v>
      </c>
      <c r="W1391" s="12">
        <v>48</v>
      </c>
      <c r="X1391" s="12">
        <v>1</v>
      </c>
      <c r="Y1391" s="12">
        <v>2</v>
      </c>
      <c r="Z1391" s="12" t="s">
        <v>63</v>
      </c>
      <c r="AA1391" s="12">
        <v>0</v>
      </c>
      <c r="AB1391" s="12">
        <v>0</v>
      </c>
      <c r="AC1391" s="12">
        <v>0</v>
      </c>
      <c r="AD1391" s="12">
        <v>0</v>
      </c>
      <c r="AE1391" s="12">
        <v>0</v>
      </c>
      <c r="AF1391" s="12">
        <v>0</v>
      </c>
      <c r="AG1391" s="12">
        <v>0</v>
      </c>
      <c r="AH1391" s="12">
        <v>1</v>
      </c>
      <c r="AI1391" s="12">
        <v>1</v>
      </c>
      <c r="AJ1391" s="12" t="s">
        <v>64</v>
      </c>
      <c r="AK1391" s="12">
        <v>0</v>
      </c>
      <c r="AL1391" s="12">
        <v>1</v>
      </c>
      <c r="AM1391" s="12">
        <v>5003</v>
      </c>
      <c r="AN1391" s="12">
        <f t="shared" si="317"/>
        <v>5003</v>
      </c>
      <c r="AO1391" s="12">
        <v>1</v>
      </c>
      <c r="AP1391" s="12" t="s">
        <v>59</v>
      </c>
      <c r="AQ1391" s="12">
        <v>0</v>
      </c>
      <c r="AR1391" s="12">
        <v>21</v>
      </c>
      <c r="AS1391" s="12">
        <v>4</v>
      </c>
      <c r="AT1391" s="12">
        <v>2</v>
      </c>
      <c r="AU1391" s="12">
        <v>0</v>
      </c>
      <c r="AV1391" s="12">
        <v>10</v>
      </c>
      <c r="AW1391" s="12">
        <f t="shared" si="318"/>
        <v>10</v>
      </c>
      <c r="AX1391" s="12">
        <v>6</v>
      </c>
      <c r="AY1391" s="12">
        <v>3</v>
      </c>
      <c r="AZ1391" s="12">
        <v>10</v>
      </c>
      <c r="BA1391" s="12">
        <f t="shared" si="319"/>
        <v>10</v>
      </c>
      <c r="BB1391" s="12">
        <v>8</v>
      </c>
      <c r="BC1391" s="12">
        <v>8</v>
      </c>
      <c r="BD1391" s="12">
        <f t="shared" si="328"/>
        <v>8</v>
      </c>
      <c r="BE1391" s="12">
        <v>7</v>
      </c>
      <c r="BF1391" s="12">
        <f t="shared" si="320"/>
        <v>7</v>
      </c>
      <c r="BG1391" s="12">
        <f t="shared" si="329"/>
        <v>14</v>
      </c>
      <c r="BH1391" s="67">
        <v>0</v>
      </c>
      <c r="BI1391" s="67">
        <v>0</v>
      </c>
      <c r="BJ1391" s="67">
        <v>0</v>
      </c>
      <c r="BK1391" s="67">
        <v>1</v>
      </c>
      <c r="BL1391" s="67">
        <v>0</v>
      </c>
      <c r="BM1391" s="67">
        <v>0</v>
      </c>
      <c r="BN1391" s="67">
        <v>1</v>
      </c>
      <c r="BO1391" s="67">
        <v>0</v>
      </c>
      <c r="BP1391" s="67">
        <v>0</v>
      </c>
      <c r="BQ1391" s="67">
        <v>7</v>
      </c>
      <c r="BR1391" s="67">
        <v>0</v>
      </c>
      <c r="BS1391" s="67">
        <v>0</v>
      </c>
      <c r="BT1391" s="67">
        <v>10</v>
      </c>
      <c r="BU1391" s="70">
        <v>0</v>
      </c>
      <c r="BV1391" s="29">
        <f t="shared" si="321"/>
        <v>0.31859495777486763</v>
      </c>
      <c r="BW1391">
        <f t="shared" si="322"/>
        <v>0.80626709607243985</v>
      </c>
      <c r="BX1391">
        <f t="shared" si="323"/>
        <v>0.1644554352117841</v>
      </c>
      <c r="BY1391">
        <f t="shared" si="324"/>
        <v>0.48834154112957734</v>
      </c>
      <c r="BZ1391">
        <f t="shared" si="325"/>
        <v>1.01056543769991</v>
      </c>
      <c r="CA1391">
        <f t="shared" si="326"/>
        <v>0.6484474368621912</v>
      </c>
      <c r="CB1391">
        <f t="shared" si="327"/>
        <v>1.8036836779953602</v>
      </c>
    </row>
    <row r="1392" spans="1:80" x14ac:dyDescent="0.45">
      <c r="A1392" s="11">
        <v>28</v>
      </c>
      <c r="B1392" s="12">
        <f t="shared" si="315"/>
        <v>28</v>
      </c>
      <c r="C1392" s="12" t="s">
        <v>52</v>
      </c>
      <c r="D1392" s="12">
        <v>1</v>
      </c>
      <c r="E1392" s="12" t="s">
        <v>53</v>
      </c>
      <c r="F1392" s="12">
        <v>0</v>
      </c>
      <c r="G1392" s="12">
        <v>1</v>
      </c>
      <c r="H1392" s="12" t="s">
        <v>61</v>
      </c>
      <c r="I1392" s="12">
        <v>1</v>
      </c>
      <c r="J1392" s="12">
        <v>0</v>
      </c>
      <c r="K1392" s="12">
        <v>17</v>
      </c>
      <c r="L1392" s="12">
        <f t="shared" si="316"/>
        <v>17</v>
      </c>
      <c r="M1392" s="12">
        <v>3</v>
      </c>
      <c r="N1392" s="12" t="s">
        <v>91</v>
      </c>
      <c r="O1392" s="12">
        <v>0</v>
      </c>
      <c r="P1392" s="12">
        <v>0</v>
      </c>
      <c r="Q1392" s="12">
        <v>0</v>
      </c>
      <c r="R1392" s="12">
        <v>0</v>
      </c>
      <c r="S1392" s="12">
        <v>1</v>
      </c>
      <c r="T1392" s="12">
        <v>3</v>
      </c>
      <c r="U1392" s="12" t="s">
        <v>62</v>
      </c>
      <c r="V1392" s="12">
        <v>0</v>
      </c>
      <c r="W1392" s="12">
        <v>32</v>
      </c>
      <c r="X1392" s="12">
        <v>2</v>
      </c>
      <c r="Y1392" s="12">
        <v>1</v>
      </c>
      <c r="Z1392" s="12" t="s">
        <v>67</v>
      </c>
      <c r="AA1392" s="12">
        <v>0</v>
      </c>
      <c r="AB1392" s="12">
        <v>0</v>
      </c>
      <c r="AC1392" s="12">
        <v>1</v>
      </c>
      <c r="AD1392" s="12">
        <v>0</v>
      </c>
      <c r="AE1392" s="12">
        <v>0</v>
      </c>
      <c r="AF1392" s="12">
        <v>0</v>
      </c>
      <c r="AG1392" s="12">
        <v>0</v>
      </c>
      <c r="AH1392" s="12">
        <v>0</v>
      </c>
      <c r="AI1392" s="12">
        <v>4</v>
      </c>
      <c r="AJ1392" s="12" t="s">
        <v>78</v>
      </c>
      <c r="AK1392" s="12">
        <v>0</v>
      </c>
      <c r="AL1392" s="12">
        <v>0</v>
      </c>
      <c r="AM1392" s="12">
        <v>2367</v>
      </c>
      <c r="AN1392" s="12">
        <f t="shared" si="317"/>
        <v>2367</v>
      </c>
      <c r="AO1392" s="12">
        <v>5</v>
      </c>
      <c r="AP1392" s="12" t="s">
        <v>59</v>
      </c>
      <c r="AQ1392" s="12">
        <v>0</v>
      </c>
      <c r="AR1392" s="12">
        <v>12</v>
      </c>
      <c r="AS1392" s="12">
        <v>3</v>
      </c>
      <c r="AT1392" s="12">
        <v>1</v>
      </c>
      <c r="AU1392" s="12">
        <v>1</v>
      </c>
      <c r="AV1392" s="12">
        <v>6</v>
      </c>
      <c r="AW1392" s="12">
        <f t="shared" si="318"/>
        <v>6</v>
      </c>
      <c r="AX1392" s="12">
        <v>2</v>
      </c>
      <c r="AY1392" s="12">
        <v>2</v>
      </c>
      <c r="AZ1392" s="12">
        <v>4</v>
      </c>
      <c r="BA1392" s="12">
        <f t="shared" si="319"/>
        <v>4</v>
      </c>
      <c r="BB1392" s="12">
        <v>1</v>
      </c>
      <c r="BC1392" s="12">
        <v>0</v>
      </c>
      <c r="BD1392" s="12">
        <f t="shared" si="328"/>
        <v>0</v>
      </c>
      <c r="BE1392" s="12">
        <v>3</v>
      </c>
      <c r="BF1392" s="12">
        <f t="shared" si="320"/>
        <v>3</v>
      </c>
      <c r="BG1392" s="12">
        <f t="shared" si="329"/>
        <v>3</v>
      </c>
      <c r="BH1392" s="67">
        <v>1</v>
      </c>
      <c r="BI1392" s="67">
        <v>0</v>
      </c>
      <c r="BJ1392" s="67">
        <v>0</v>
      </c>
      <c r="BK1392" s="67">
        <v>0</v>
      </c>
      <c r="BL1392" s="67">
        <v>1</v>
      </c>
      <c r="BM1392" s="67">
        <v>0</v>
      </c>
      <c r="BN1392" s="67">
        <v>0</v>
      </c>
      <c r="BO1392" s="67">
        <v>0</v>
      </c>
      <c r="BP1392" s="67">
        <v>0</v>
      </c>
      <c r="BQ1392" s="67">
        <v>3</v>
      </c>
      <c r="BR1392" s="67">
        <v>0</v>
      </c>
      <c r="BS1392" s="67">
        <v>0</v>
      </c>
      <c r="BT1392" s="67">
        <v>6</v>
      </c>
      <c r="BU1392" s="70">
        <v>0</v>
      </c>
      <c r="BV1392" s="29">
        <f t="shared" si="321"/>
        <v>0.8784981432636314</v>
      </c>
      <c r="BW1392">
        <f t="shared" si="322"/>
        <v>0.31476636926356072</v>
      </c>
      <c r="BX1392">
        <f t="shared" si="323"/>
        <v>0.67854260110508058</v>
      </c>
      <c r="BY1392">
        <f t="shared" si="324"/>
        <v>0.49100643357776058</v>
      </c>
      <c r="BZ1392">
        <f t="shared" si="325"/>
        <v>0.96307062430306978</v>
      </c>
      <c r="CA1392">
        <f t="shared" si="326"/>
        <v>0.97684123527310796</v>
      </c>
      <c r="CB1392">
        <f t="shared" si="327"/>
        <v>0.67891464284095016</v>
      </c>
    </row>
    <row r="1393" spans="1:80" x14ac:dyDescent="0.45">
      <c r="A1393" s="11">
        <v>38</v>
      </c>
      <c r="B1393" s="12">
        <f t="shared" si="315"/>
        <v>38</v>
      </c>
      <c r="C1393" s="12" t="s">
        <v>59</v>
      </c>
      <c r="D1393" s="12">
        <v>0</v>
      </c>
      <c r="E1393" s="12" t="s">
        <v>53</v>
      </c>
      <c r="F1393" s="12">
        <v>0</v>
      </c>
      <c r="G1393" s="12">
        <v>1</v>
      </c>
      <c r="H1393" s="12" t="s">
        <v>54</v>
      </c>
      <c r="I1393" s="12">
        <v>0</v>
      </c>
      <c r="J1393" s="12">
        <v>1</v>
      </c>
      <c r="K1393" s="12">
        <v>1</v>
      </c>
      <c r="L1393" s="12">
        <f t="shared" si="316"/>
        <v>1</v>
      </c>
      <c r="M1393" s="12">
        <v>3</v>
      </c>
      <c r="N1393" s="12" t="s">
        <v>55</v>
      </c>
      <c r="O1393" s="12">
        <v>1</v>
      </c>
      <c r="P1393" s="12">
        <v>0</v>
      </c>
      <c r="Q1393" s="12">
        <v>0</v>
      </c>
      <c r="R1393" s="12">
        <v>0</v>
      </c>
      <c r="S1393" s="12">
        <v>0</v>
      </c>
      <c r="T1393" s="12">
        <v>1</v>
      </c>
      <c r="U1393" s="12" t="s">
        <v>62</v>
      </c>
      <c r="V1393" s="12">
        <v>0</v>
      </c>
      <c r="W1393" s="12">
        <v>59</v>
      </c>
      <c r="X1393" s="12">
        <v>2</v>
      </c>
      <c r="Y1393" s="12">
        <v>1</v>
      </c>
      <c r="Z1393" s="12" t="s">
        <v>88</v>
      </c>
      <c r="AA1393" s="12">
        <v>0</v>
      </c>
      <c r="AB1393" s="12">
        <v>0</v>
      </c>
      <c r="AC1393" s="12">
        <v>0</v>
      </c>
      <c r="AD1393" s="12">
        <v>0</v>
      </c>
      <c r="AE1393" s="12">
        <v>0</v>
      </c>
      <c r="AF1393" s="12">
        <v>0</v>
      </c>
      <c r="AG1393" s="12">
        <v>1</v>
      </c>
      <c r="AH1393" s="12">
        <v>0</v>
      </c>
      <c r="AI1393" s="12">
        <v>1</v>
      </c>
      <c r="AJ1393" s="12" t="s">
        <v>57</v>
      </c>
      <c r="AK1393" s="12">
        <v>1</v>
      </c>
      <c r="AL1393" s="12">
        <v>0</v>
      </c>
      <c r="AM1393" s="12">
        <v>2858</v>
      </c>
      <c r="AN1393" s="12">
        <f t="shared" si="317"/>
        <v>2858</v>
      </c>
      <c r="AO1393" s="12">
        <v>4</v>
      </c>
      <c r="AP1393" s="12" t="s">
        <v>59</v>
      </c>
      <c r="AQ1393" s="12">
        <v>0</v>
      </c>
      <c r="AR1393" s="12">
        <v>14</v>
      </c>
      <c r="AS1393" s="12">
        <v>3</v>
      </c>
      <c r="AT1393" s="12">
        <v>1</v>
      </c>
      <c r="AU1393" s="12">
        <v>0</v>
      </c>
      <c r="AV1393" s="12">
        <v>20</v>
      </c>
      <c r="AW1393" s="12">
        <f t="shared" si="318"/>
        <v>20</v>
      </c>
      <c r="AX1393" s="12">
        <v>3</v>
      </c>
      <c r="AY1393" s="12">
        <v>2</v>
      </c>
      <c r="AZ1393" s="12">
        <v>1</v>
      </c>
      <c r="BA1393" s="12">
        <f t="shared" si="319"/>
        <v>1</v>
      </c>
      <c r="BB1393" s="12">
        <v>0</v>
      </c>
      <c r="BC1393" s="12">
        <v>0</v>
      </c>
      <c r="BD1393" s="12">
        <f t="shared" si="328"/>
        <v>0</v>
      </c>
      <c r="BE1393" s="12">
        <v>0</v>
      </c>
      <c r="BF1393" s="12">
        <f t="shared" si="320"/>
        <v>0</v>
      </c>
      <c r="BG1393" s="12">
        <f t="shared" si="329"/>
        <v>0</v>
      </c>
      <c r="BH1393" s="67">
        <v>1</v>
      </c>
      <c r="BI1393" s="67">
        <v>0</v>
      </c>
      <c r="BJ1393" s="67">
        <v>0</v>
      </c>
      <c r="BK1393" s="67">
        <v>0</v>
      </c>
      <c r="BL1393" s="67">
        <v>1</v>
      </c>
      <c r="BM1393" s="67">
        <v>0</v>
      </c>
      <c r="BN1393" s="67">
        <v>0</v>
      </c>
      <c r="BO1393" s="67">
        <v>0</v>
      </c>
      <c r="BP1393" s="67">
        <v>0</v>
      </c>
      <c r="BQ1393" s="67">
        <v>0</v>
      </c>
      <c r="BR1393" s="67">
        <v>0</v>
      </c>
      <c r="BS1393" s="67">
        <v>0</v>
      </c>
      <c r="BT1393" s="67">
        <v>0</v>
      </c>
      <c r="BU1393" s="70">
        <v>20</v>
      </c>
      <c r="BV1393" s="29">
        <f t="shared" si="321"/>
        <v>0.77420661667979873</v>
      </c>
      <c r="BW1393">
        <f t="shared" si="322"/>
        <v>1.1555414682655611</v>
      </c>
      <c r="BX1393">
        <f t="shared" si="323"/>
        <v>1.120762479521457</v>
      </c>
      <c r="BY1393">
        <f t="shared" si="324"/>
        <v>0.9806804209314296</v>
      </c>
      <c r="BZ1393">
        <f t="shared" si="325"/>
        <v>1.01056543769991</v>
      </c>
      <c r="CA1393">
        <f t="shared" si="326"/>
        <v>0.11780475942994788</v>
      </c>
      <c r="CB1393">
        <f t="shared" si="327"/>
        <v>0.67891464284095016</v>
      </c>
    </row>
    <row r="1394" spans="1:80" x14ac:dyDescent="0.45">
      <c r="A1394" s="11">
        <v>35</v>
      </c>
      <c r="B1394" s="12">
        <f t="shared" si="315"/>
        <v>35</v>
      </c>
      <c r="C1394" s="12" t="s">
        <v>59</v>
      </c>
      <c r="D1394" s="12">
        <v>0</v>
      </c>
      <c r="E1394" s="12" t="s">
        <v>53</v>
      </c>
      <c r="F1394" s="12">
        <v>0</v>
      </c>
      <c r="G1394" s="12">
        <v>1</v>
      </c>
      <c r="H1394" s="12" t="s">
        <v>54</v>
      </c>
      <c r="I1394" s="12">
        <v>0</v>
      </c>
      <c r="J1394" s="12">
        <v>1</v>
      </c>
      <c r="K1394" s="12">
        <v>7</v>
      </c>
      <c r="L1394" s="12">
        <f t="shared" si="316"/>
        <v>7</v>
      </c>
      <c r="M1394" s="12">
        <v>4</v>
      </c>
      <c r="N1394" s="12" t="s">
        <v>55</v>
      </c>
      <c r="O1394" s="12">
        <v>1</v>
      </c>
      <c r="P1394" s="12">
        <v>0</v>
      </c>
      <c r="Q1394" s="12">
        <v>0</v>
      </c>
      <c r="R1394" s="12">
        <v>0</v>
      </c>
      <c r="S1394" s="12">
        <v>0</v>
      </c>
      <c r="T1394" s="12">
        <v>3</v>
      </c>
      <c r="U1394" s="12" t="s">
        <v>19</v>
      </c>
      <c r="V1394" s="12">
        <v>1</v>
      </c>
      <c r="W1394" s="12">
        <v>55</v>
      </c>
      <c r="X1394" s="12">
        <v>3</v>
      </c>
      <c r="Y1394" s="12">
        <v>2</v>
      </c>
      <c r="Z1394" s="12" t="s">
        <v>56</v>
      </c>
      <c r="AA1394" s="12">
        <v>0</v>
      </c>
      <c r="AB1394" s="12">
        <v>1</v>
      </c>
      <c r="AC1394" s="12">
        <v>0</v>
      </c>
      <c r="AD1394" s="12">
        <v>0</v>
      </c>
      <c r="AE1394" s="12">
        <v>0</v>
      </c>
      <c r="AF1394" s="12">
        <v>0</v>
      </c>
      <c r="AG1394" s="12">
        <v>0</v>
      </c>
      <c r="AH1394" s="12">
        <v>0</v>
      </c>
      <c r="AI1394" s="12">
        <v>4</v>
      </c>
      <c r="AJ1394" s="12" t="s">
        <v>64</v>
      </c>
      <c r="AK1394" s="12">
        <v>0</v>
      </c>
      <c r="AL1394" s="12">
        <v>1</v>
      </c>
      <c r="AM1394" s="12">
        <v>5204</v>
      </c>
      <c r="AN1394" s="12">
        <f t="shared" si="317"/>
        <v>5204</v>
      </c>
      <c r="AO1394" s="12">
        <v>1</v>
      </c>
      <c r="AP1394" s="12" t="s">
        <v>52</v>
      </c>
      <c r="AQ1394" s="12">
        <v>1</v>
      </c>
      <c r="AR1394" s="12">
        <v>11</v>
      </c>
      <c r="AS1394" s="12">
        <v>3</v>
      </c>
      <c r="AT1394" s="12">
        <v>4</v>
      </c>
      <c r="AU1394" s="12">
        <v>0</v>
      </c>
      <c r="AV1394" s="12">
        <v>10</v>
      </c>
      <c r="AW1394" s="12">
        <f t="shared" si="318"/>
        <v>10</v>
      </c>
      <c r="AX1394" s="12">
        <v>2</v>
      </c>
      <c r="AY1394" s="12">
        <v>3</v>
      </c>
      <c r="AZ1394" s="12">
        <v>10</v>
      </c>
      <c r="BA1394" s="12">
        <f t="shared" si="319"/>
        <v>10</v>
      </c>
      <c r="BB1394" s="12">
        <v>8</v>
      </c>
      <c r="BC1394" s="12">
        <v>0</v>
      </c>
      <c r="BD1394" s="12">
        <f t="shared" si="328"/>
        <v>0</v>
      </c>
      <c r="BE1394" s="12">
        <v>9</v>
      </c>
      <c r="BF1394" s="12">
        <f t="shared" si="320"/>
        <v>9</v>
      </c>
      <c r="BG1394" s="12">
        <f t="shared" si="329"/>
        <v>18</v>
      </c>
      <c r="BH1394" s="67">
        <v>0</v>
      </c>
      <c r="BI1394" s="67">
        <v>1</v>
      </c>
      <c r="BJ1394" s="67">
        <v>0</v>
      </c>
      <c r="BK1394" s="67">
        <v>0</v>
      </c>
      <c r="BL1394" s="67">
        <v>0</v>
      </c>
      <c r="BM1394" s="67">
        <v>0</v>
      </c>
      <c r="BN1394" s="67">
        <v>0</v>
      </c>
      <c r="BO1394" s="67">
        <v>1</v>
      </c>
      <c r="BP1394" s="67">
        <v>0</v>
      </c>
      <c r="BQ1394" s="67">
        <v>0</v>
      </c>
      <c r="BR1394" s="67">
        <v>9</v>
      </c>
      <c r="BS1394" s="67">
        <v>0</v>
      </c>
      <c r="BT1394" s="67">
        <v>0</v>
      </c>
      <c r="BU1394" s="70">
        <v>10</v>
      </c>
      <c r="BV1394" s="29">
        <f t="shared" si="321"/>
        <v>0.27590127784951046</v>
      </c>
      <c r="BW1394">
        <f t="shared" si="322"/>
        <v>1.3667838287404401</v>
      </c>
      <c r="BX1394">
        <f t="shared" si="323"/>
        <v>0.1644554352117841</v>
      </c>
      <c r="BY1394">
        <f t="shared" si="324"/>
        <v>0.48834154112957734</v>
      </c>
      <c r="BZ1394">
        <f t="shared" si="325"/>
        <v>0.27045191444879263</v>
      </c>
      <c r="CA1394">
        <f t="shared" si="326"/>
        <v>0.21058903898096887</v>
      </c>
      <c r="CB1394">
        <f t="shared" si="327"/>
        <v>0.67891464284095016</v>
      </c>
    </row>
    <row r="1395" spans="1:80" x14ac:dyDescent="0.45">
      <c r="A1395" s="11">
        <v>27</v>
      </c>
      <c r="B1395" s="12">
        <f t="shared" si="315"/>
        <v>27</v>
      </c>
      <c r="C1395" s="12" t="s">
        <v>59</v>
      </c>
      <c r="D1395" s="12">
        <v>0</v>
      </c>
      <c r="E1395" s="12" t="s">
        <v>53</v>
      </c>
      <c r="F1395" s="12">
        <v>0</v>
      </c>
      <c r="G1395" s="12">
        <v>1</v>
      </c>
      <c r="H1395" s="12" t="s">
        <v>54</v>
      </c>
      <c r="I1395" s="12">
        <v>0</v>
      </c>
      <c r="J1395" s="12">
        <v>1</v>
      </c>
      <c r="K1395" s="12">
        <v>9</v>
      </c>
      <c r="L1395" s="12">
        <f t="shared" si="316"/>
        <v>9</v>
      </c>
      <c r="M1395" s="12">
        <v>3</v>
      </c>
      <c r="N1395" s="12" t="s">
        <v>90</v>
      </c>
      <c r="O1395" s="12">
        <v>0</v>
      </c>
      <c r="P1395" s="12">
        <v>0</v>
      </c>
      <c r="Q1395" s="12">
        <v>0</v>
      </c>
      <c r="R1395" s="12">
        <v>1</v>
      </c>
      <c r="S1395" s="12">
        <v>0</v>
      </c>
      <c r="T1395" s="12">
        <v>4</v>
      </c>
      <c r="U1395" s="12" t="s">
        <v>62</v>
      </c>
      <c r="V1395" s="12">
        <v>0</v>
      </c>
      <c r="W1395" s="12">
        <v>44</v>
      </c>
      <c r="X1395" s="12">
        <v>3</v>
      </c>
      <c r="Y1395" s="12">
        <v>2</v>
      </c>
      <c r="Z1395" s="12" t="s">
        <v>56</v>
      </c>
      <c r="AA1395" s="12">
        <v>0</v>
      </c>
      <c r="AB1395" s="12">
        <v>1</v>
      </c>
      <c r="AC1395" s="12">
        <v>0</v>
      </c>
      <c r="AD1395" s="12">
        <v>0</v>
      </c>
      <c r="AE1395" s="12">
        <v>0</v>
      </c>
      <c r="AF1395" s="12">
        <v>0</v>
      </c>
      <c r="AG1395" s="12">
        <v>0</v>
      </c>
      <c r="AH1395" s="12">
        <v>0</v>
      </c>
      <c r="AI1395" s="12">
        <v>4</v>
      </c>
      <c r="AJ1395" s="12" t="s">
        <v>57</v>
      </c>
      <c r="AK1395" s="12">
        <v>1</v>
      </c>
      <c r="AL1395" s="12">
        <v>0</v>
      </c>
      <c r="AM1395" s="12">
        <v>4105</v>
      </c>
      <c r="AN1395" s="12">
        <f t="shared" si="317"/>
        <v>4105</v>
      </c>
      <c r="AO1395" s="12">
        <v>1</v>
      </c>
      <c r="AP1395" s="12" t="s">
        <v>59</v>
      </c>
      <c r="AQ1395" s="12">
        <v>0</v>
      </c>
      <c r="AR1395" s="12">
        <v>14</v>
      </c>
      <c r="AS1395" s="12">
        <v>3</v>
      </c>
      <c r="AT1395" s="12">
        <v>1</v>
      </c>
      <c r="AU1395" s="12">
        <v>0</v>
      </c>
      <c r="AV1395" s="12">
        <v>7</v>
      </c>
      <c r="AW1395" s="12">
        <f t="shared" si="318"/>
        <v>7</v>
      </c>
      <c r="AX1395" s="12">
        <v>5</v>
      </c>
      <c r="AY1395" s="12">
        <v>3</v>
      </c>
      <c r="AZ1395" s="12">
        <v>7</v>
      </c>
      <c r="BA1395" s="12">
        <f t="shared" si="319"/>
        <v>7</v>
      </c>
      <c r="BB1395" s="12">
        <v>7</v>
      </c>
      <c r="BC1395" s="12">
        <v>0</v>
      </c>
      <c r="BD1395" s="12">
        <f t="shared" si="328"/>
        <v>0</v>
      </c>
      <c r="BE1395" s="12">
        <v>7</v>
      </c>
      <c r="BF1395" s="12">
        <f t="shared" si="320"/>
        <v>7</v>
      </c>
      <c r="BG1395" s="12">
        <f t="shared" si="329"/>
        <v>14</v>
      </c>
      <c r="BH1395" s="67">
        <v>1</v>
      </c>
      <c r="BI1395" s="67">
        <v>0</v>
      </c>
      <c r="BJ1395" s="67">
        <v>0</v>
      </c>
      <c r="BK1395" s="67">
        <v>0</v>
      </c>
      <c r="BL1395" s="67">
        <v>1</v>
      </c>
      <c r="BM1395" s="67">
        <v>0</v>
      </c>
      <c r="BN1395" s="67">
        <v>0</v>
      </c>
      <c r="BO1395" s="67">
        <v>0</v>
      </c>
      <c r="BP1395" s="67">
        <v>0</v>
      </c>
      <c r="BQ1395" s="67">
        <v>0</v>
      </c>
      <c r="BR1395" s="67">
        <v>7</v>
      </c>
      <c r="BS1395" s="67">
        <v>0</v>
      </c>
      <c r="BT1395" s="67">
        <v>0</v>
      </c>
      <c r="BU1395" s="70">
        <v>7</v>
      </c>
      <c r="BV1395" s="29">
        <f t="shared" si="321"/>
        <v>0.50933587604835395</v>
      </c>
      <c r="BW1395">
        <f t="shared" si="322"/>
        <v>0.80626709607243985</v>
      </c>
      <c r="BX1395">
        <f t="shared" si="323"/>
        <v>0.55002080963175637</v>
      </c>
      <c r="BY1395">
        <f t="shared" si="324"/>
        <v>1.3324462240916321E-3</v>
      </c>
      <c r="BZ1395">
        <f t="shared" si="325"/>
        <v>2.3747406698420157E-2</v>
      </c>
      <c r="CA1395">
        <f t="shared" si="326"/>
        <v>1.0863058347434136</v>
      </c>
      <c r="CB1395">
        <f t="shared" si="327"/>
        <v>0.67891464284095016</v>
      </c>
    </row>
    <row r="1396" spans="1:80" x14ac:dyDescent="0.45">
      <c r="A1396" s="11">
        <v>32</v>
      </c>
      <c r="B1396" s="12">
        <f t="shared" si="315"/>
        <v>32</v>
      </c>
      <c r="C1396" s="12" t="s">
        <v>59</v>
      </c>
      <c r="D1396" s="12">
        <v>0</v>
      </c>
      <c r="E1396" s="12" t="s">
        <v>53</v>
      </c>
      <c r="F1396" s="12">
        <v>0</v>
      </c>
      <c r="G1396" s="12">
        <v>1</v>
      </c>
      <c r="H1396" s="12" t="s">
        <v>61</v>
      </c>
      <c r="I1396" s="12">
        <v>1</v>
      </c>
      <c r="J1396" s="12">
        <v>0</v>
      </c>
      <c r="K1396" s="12">
        <v>5</v>
      </c>
      <c r="L1396" s="12">
        <f t="shared" si="316"/>
        <v>5</v>
      </c>
      <c r="M1396" s="12">
        <v>4</v>
      </c>
      <c r="N1396" s="12" t="s">
        <v>55</v>
      </c>
      <c r="O1396" s="12">
        <v>1</v>
      </c>
      <c r="P1396" s="12">
        <v>0</v>
      </c>
      <c r="Q1396" s="12">
        <v>0</v>
      </c>
      <c r="R1396" s="12">
        <v>0</v>
      </c>
      <c r="S1396" s="12">
        <v>0</v>
      </c>
      <c r="T1396" s="12">
        <v>4</v>
      </c>
      <c r="U1396" s="12" t="s">
        <v>62</v>
      </c>
      <c r="V1396" s="12">
        <v>0</v>
      </c>
      <c r="W1396" s="12">
        <v>56</v>
      </c>
      <c r="X1396" s="12">
        <v>2</v>
      </c>
      <c r="Y1396" s="12">
        <v>2</v>
      </c>
      <c r="Z1396" s="12" t="s">
        <v>83</v>
      </c>
      <c r="AA1396" s="12">
        <v>0</v>
      </c>
      <c r="AB1396" s="12">
        <v>0</v>
      </c>
      <c r="AC1396" s="12">
        <v>0</v>
      </c>
      <c r="AD1396" s="12">
        <v>0</v>
      </c>
      <c r="AE1396" s="12">
        <v>1</v>
      </c>
      <c r="AF1396" s="12">
        <v>1</v>
      </c>
      <c r="AG1396" s="12">
        <v>0</v>
      </c>
      <c r="AH1396" s="12">
        <v>0</v>
      </c>
      <c r="AI1396" s="12">
        <v>4</v>
      </c>
      <c r="AJ1396" s="12" t="s">
        <v>57</v>
      </c>
      <c r="AK1396" s="12">
        <v>1</v>
      </c>
      <c r="AL1396" s="12">
        <v>0</v>
      </c>
      <c r="AM1396" s="12">
        <v>9679</v>
      </c>
      <c r="AN1396" s="12">
        <f t="shared" si="317"/>
        <v>9679</v>
      </c>
      <c r="AO1396" s="12">
        <v>8</v>
      </c>
      <c r="AP1396" s="12" t="s">
        <v>59</v>
      </c>
      <c r="AQ1396" s="12">
        <v>0</v>
      </c>
      <c r="AR1396" s="12">
        <v>24</v>
      </c>
      <c r="AS1396" s="12">
        <v>4</v>
      </c>
      <c r="AT1396" s="12">
        <v>2</v>
      </c>
      <c r="AU1396" s="12">
        <v>0</v>
      </c>
      <c r="AV1396" s="12">
        <v>8</v>
      </c>
      <c r="AW1396" s="12">
        <f t="shared" si="318"/>
        <v>8</v>
      </c>
      <c r="AX1396" s="12">
        <v>1</v>
      </c>
      <c r="AY1396" s="12">
        <v>3</v>
      </c>
      <c r="AZ1396" s="12">
        <v>1</v>
      </c>
      <c r="BA1396" s="12">
        <f t="shared" si="319"/>
        <v>1</v>
      </c>
      <c r="BB1396" s="12">
        <v>0</v>
      </c>
      <c r="BC1396" s="12">
        <v>0</v>
      </c>
      <c r="BD1396" s="12">
        <f t="shared" si="328"/>
        <v>0</v>
      </c>
      <c r="BE1396" s="12">
        <v>0</v>
      </c>
      <c r="BF1396" s="12">
        <f t="shared" si="320"/>
        <v>0</v>
      </c>
      <c r="BG1396" s="12">
        <f t="shared" si="329"/>
        <v>0</v>
      </c>
      <c r="BH1396" s="67">
        <v>1</v>
      </c>
      <c r="BI1396" s="67">
        <v>0</v>
      </c>
      <c r="BJ1396" s="67">
        <v>0</v>
      </c>
      <c r="BK1396" s="67">
        <v>0</v>
      </c>
      <c r="BL1396" s="67">
        <v>1</v>
      </c>
      <c r="BM1396" s="67">
        <v>0</v>
      </c>
      <c r="BN1396" s="67">
        <v>0</v>
      </c>
      <c r="BO1396" s="67">
        <v>0</v>
      </c>
      <c r="BP1396" s="67">
        <v>0</v>
      </c>
      <c r="BQ1396" s="67">
        <v>0</v>
      </c>
      <c r="BR1396" s="67">
        <v>0</v>
      </c>
      <c r="BS1396" s="67">
        <v>0</v>
      </c>
      <c r="BT1396" s="67">
        <v>8</v>
      </c>
      <c r="BU1396" s="70">
        <v>0</v>
      </c>
      <c r="BV1396" s="29">
        <f t="shared" si="321"/>
        <v>0.67461721800110341</v>
      </c>
      <c r="BW1396">
        <f t="shared" si="322"/>
        <v>1.1555414682655611</v>
      </c>
      <c r="BX1396">
        <f t="shared" si="323"/>
        <v>0.42149901815843233</v>
      </c>
      <c r="BY1396">
        <f t="shared" si="324"/>
        <v>0.9806804209314296</v>
      </c>
      <c r="BZ1396">
        <f t="shared" si="325"/>
        <v>0.51715642219916513</v>
      </c>
      <c r="CA1396">
        <f t="shared" si="326"/>
        <v>0.53898283739188557</v>
      </c>
      <c r="CB1396">
        <f t="shared" si="327"/>
        <v>0.67891464284095016</v>
      </c>
    </row>
    <row r="1397" spans="1:80" x14ac:dyDescent="0.45">
      <c r="A1397" s="11">
        <v>31</v>
      </c>
      <c r="B1397" s="12">
        <f t="shared" si="315"/>
        <v>31</v>
      </c>
      <c r="C1397" s="12" t="s">
        <v>52</v>
      </c>
      <c r="D1397" s="12">
        <v>1</v>
      </c>
      <c r="E1397" s="12" t="s">
        <v>60</v>
      </c>
      <c r="F1397" s="12">
        <v>1</v>
      </c>
      <c r="G1397" s="12">
        <v>0</v>
      </c>
      <c r="H1397" s="12" t="s">
        <v>54</v>
      </c>
      <c r="I1397" s="12">
        <v>0</v>
      </c>
      <c r="J1397" s="12">
        <v>1</v>
      </c>
      <c r="K1397" s="12">
        <v>26</v>
      </c>
      <c r="L1397" s="12">
        <f t="shared" si="316"/>
        <v>26</v>
      </c>
      <c r="M1397" s="12">
        <v>4</v>
      </c>
      <c r="N1397" s="12" t="s">
        <v>90</v>
      </c>
      <c r="O1397" s="12">
        <v>0</v>
      </c>
      <c r="P1397" s="12">
        <v>0</v>
      </c>
      <c r="Q1397" s="12">
        <v>0</v>
      </c>
      <c r="R1397" s="12">
        <v>1</v>
      </c>
      <c r="S1397" s="12">
        <v>0</v>
      </c>
      <c r="T1397" s="12">
        <v>1</v>
      </c>
      <c r="U1397" s="12" t="s">
        <v>62</v>
      </c>
      <c r="V1397" s="12">
        <v>0</v>
      </c>
      <c r="W1397" s="12">
        <v>63</v>
      </c>
      <c r="X1397" s="12">
        <v>3</v>
      </c>
      <c r="Y1397" s="12">
        <v>2</v>
      </c>
      <c r="Z1397" s="12" t="s">
        <v>56</v>
      </c>
      <c r="AA1397" s="12">
        <v>0</v>
      </c>
      <c r="AB1397" s="12">
        <v>1</v>
      </c>
      <c r="AC1397" s="12">
        <v>0</v>
      </c>
      <c r="AD1397" s="12">
        <v>0</v>
      </c>
      <c r="AE1397" s="12">
        <v>0</v>
      </c>
      <c r="AF1397" s="12">
        <v>0</v>
      </c>
      <c r="AG1397" s="12">
        <v>0</v>
      </c>
      <c r="AH1397" s="12">
        <v>0</v>
      </c>
      <c r="AI1397" s="12">
        <v>4</v>
      </c>
      <c r="AJ1397" s="12" t="s">
        <v>64</v>
      </c>
      <c r="AK1397" s="12">
        <v>0</v>
      </c>
      <c r="AL1397" s="12">
        <v>1</v>
      </c>
      <c r="AM1397" s="12">
        <v>5617</v>
      </c>
      <c r="AN1397" s="12">
        <f t="shared" si="317"/>
        <v>5617</v>
      </c>
      <c r="AO1397" s="12">
        <v>1</v>
      </c>
      <c r="AP1397" s="12" t="s">
        <v>52</v>
      </c>
      <c r="AQ1397" s="12">
        <v>1</v>
      </c>
      <c r="AR1397" s="12">
        <v>11</v>
      </c>
      <c r="AS1397" s="12">
        <v>3</v>
      </c>
      <c r="AT1397" s="12">
        <v>3</v>
      </c>
      <c r="AU1397" s="12">
        <v>0</v>
      </c>
      <c r="AV1397" s="12">
        <v>10</v>
      </c>
      <c r="AW1397" s="12">
        <f t="shared" si="318"/>
        <v>10</v>
      </c>
      <c r="AX1397" s="12">
        <v>4</v>
      </c>
      <c r="AY1397" s="12">
        <v>3</v>
      </c>
      <c r="AZ1397" s="12">
        <v>10</v>
      </c>
      <c r="BA1397" s="12">
        <f t="shared" si="319"/>
        <v>10</v>
      </c>
      <c r="BB1397" s="12">
        <v>7</v>
      </c>
      <c r="BC1397" s="12">
        <v>0</v>
      </c>
      <c r="BD1397" s="12">
        <f t="shared" si="328"/>
        <v>0</v>
      </c>
      <c r="BE1397" s="12">
        <v>8</v>
      </c>
      <c r="BF1397" s="12">
        <f t="shared" si="320"/>
        <v>8</v>
      </c>
      <c r="BG1397" s="12">
        <f t="shared" si="329"/>
        <v>16</v>
      </c>
      <c r="BH1397" s="67">
        <v>0</v>
      </c>
      <c r="BI1397" s="67">
        <v>0</v>
      </c>
      <c r="BJ1397" s="67">
        <v>0</v>
      </c>
      <c r="BK1397" s="67">
        <v>1</v>
      </c>
      <c r="BL1397" s="67">
        <v>0</v>
      </c>
      <c r="BM1397" s="67">
        <v>0</v>
      </c>
      <c r="BN1397" s="67">
        <v>0</v>
      </c>
      <c r="BO1397" s="67">
        <v>1</v>
      </c>
      <c r="BP1397" s="67">
        <v>0</v>
      </c>
      <c r="BQ1397" s="67">
        <v>0</v>
      </c>
      <c r="BR1397" s="67">
        <v>8</v>
      </c>
      <c r="BS1397" s="67">
        <v>0</v>
      </c>
      <c r="BT1397" s="67">
        <v>0</v>
      </c>
      <c r="BU1397" s="70">
        <v>10</v>
      </c>
      <c r="BV1397" s="29">
        <f t="shared" si="321"/>
        <v>0.18817744795312977</v>
      </c>
      <c r="BW1397">
        <f t="shared" si="322"/>
        <v>1.08652546240644</v>
      </c>
      <c r="BX1397">
        <f t="shared" si="323"/>
        <v>0.1644554352117841</v>
      </c>
      <c r="BY1397">
        <f t="shared" si="324"/>
        <v>0.48834154112957734</v>
      </c>
      <c r="BZ1397">
        <f t="shared" si="325"/>
        <v>2.0732409091797459</v>
      </c>
      <c r="CA1397">
        <f t="shared" si="326"/>
        <v>0.6484474368621912</v>
      </c>
      <c r="CB1397">
        <f t="shared" si="327"/>
        <v>0.67891464284095016</v>
      </c>
    </row>
    <row r="1398" spans="1:80" x14ac:dyDescent="0.45">
      <c r="A1398" s="11">
        <v>53</v>
      </c>
      <c r="B1398" s="12">
        <f t="shared" si="315"/>
        <v>53</v>
      </c>
      <c r="C1398" s="12" t="s">
        <v>52</v>
      </c>
      <c r="D1398" s="12">
        <v>1</v>
      </c>
      <c r="E1398" s="12" t="s">
        <v>53</v>
      </c>
      <c r="F1398" s="12">
        <v>0</v>
      </c>
      <c r="G1398" s="12">
        <v>1</v>
      </c>
      <c r="H1398" s="12" t="s">
        <v>54</v>
      </c>
      <c r="I1398" s="12">
        <v>0</v>
      </c>
      <c r="J1398" s="12">
        <v>1</v>
      </c>
      <c r="K1398" s="12">
        <v>24</v>
      </c>
      <c r="L1398" s="12">
        <f t="shared" si="316"/>
        <v>24</v>
      </c>
      <c r="M1398" s="12">
        <v>4</v>
      </c>
      <c r="N1398" s="12" t="s">
        <v>55</v>
      </c>
      <c r="O1398" s="12">
        <v>1</v>
      </c>
      <c r="P1398" s="12">
        <v>0</v>
      </c>
      <c r="Q1398" s="12">
        <v>0</v>
      </c>
      <c r="R1398" s="12">
        <v>0</v>
      </c>
      <c r="S1398" s="12">
        <v>0</v>
      </c>
      <c r="T1398" s="12">
        <v>1</v>
      </c>
      <c r="U1398" s="12" t="s">
        <v>62</v>
      </c>
      <c r="V1398" s="12">
        <v>0</v>
      </c>
      <c r="W1398" s="12">
        <v>66</v>
      </c>
      <c r="X1398" s="12">
        <v>3</v>
      </c>
      <c r="Y1398" s="12">
        <v>3</v>
      </c>
      <c r="Z1398" s="12" t="s">
        <v>56</v>
      </c>
      <c r="AA1398" s="12">
        <v>0</v>
      </c>
      <c r="AB1398" s="12">
        <v>1</v>
      </c>
      <c r="AC1398" s="12">
        <v>0</v>
      </c>
      <c r="AD1398" s="12">
        <v>0</v>
      </c>
      <c r="AE1398" s="12">
        <v>0</v>
      </c>
      <c r="AF1398" s="12">
        <v>0</v>
      </c>
      <c r="AG1398" s="12">
        <v>0</v>
      </c>
      <c r="AH1398" s="12">
        <v>0</v>
      </c>
      <c r="AI1398" s="12">
        <v>1</v>
      </c>
      <c r="AJ1398" s="12" t="s">
        <v>57</v>
      </c>
      <c r="AK1398" s="12">
        <v>1</v>
      </c>
      <c r="AL1398" s="12">
        <v>0</v>
      </c>
      <c r="AM1398" s="12">
        <v>10448</v>
      </c>
      <c r="AN1398" s="12">
        <f t="shared" si="317"/>
        <v>10448</v>
      </c>
      <c r="AO1398" s="12">
        <v>6</v>
      </c>
      <c r="AP1398" s="12" t="s">
        <v>52</v>
      </c>
      <c r="AQ1398" s="12">
        <v>1</v>
      </c>
      <c r="AR1398" s="12">
        <v>13</v>
      </c>
      <c r="AS1398" s="12">
        <v>3</v>
      </c>
      <c r="AT1398" s="12">
        <v>2</v>
      </c>
      <c r="AU1398" s="12">
        <v>0</v>
      </c>
      <c r="AV1398" s="12">
        <v>15</v>
      </c>
      <c r="AW1398" s="12">
        <f t="shared" si="318"/>
        <v>15</v>
      </c>
      <c r="AX1398" s="12">
        <v>2</v>
      </c>
      <c r="AY1398" s="12">
        <v>2</v>
      </c>
      <c r="AZ1398" s="12">
        <v>2</v>
      </c>
      <c r="BA1398" s="12">
        <f t="shared" si="319"/>
        <v>2</v>
      </c>
      <c r="BB1398" s="12">
        <v>2</v>
      </c>
      <c r="BC1398" s="12">
        <v>2</v>
      </c>
      <c r="BD1398" s="12">
        <f t="shared" si="328"/>
        <v>2</v>
      </c>
      <c r="BE1398" s="12">
        <v>2</v>
      </c>
      <c r="BF1398" s="12">
        <f t="shared" si="320"/>
        <v>2</v>
      </c>
      <c r="BG1398" s="12">
        <f t="shared" si="329"/>
        <v>6</v>
      </c>
      <c r="BH1398" s="67">
        <v>1</v>
      </c>
      <c r="BI1398" s="67">
        <v>0</v>
      </c>
      <c r="BJ1398" s="67">
        <v>0</v>
      </c>
      <c r="BK1398" s="67">
        <v>0</v>
      </c>
      <c r="BL1398" s="67">
        <v>0</v>
      </c>
      <c r="BM1398" s="67">
        <v>1</v>
      </c>
      <c r="BN1398" s="67">
        <v>0</v>
      </c>
      <c r="BO1398" s="67">
        <v>0</v>
      </c>
      <c r="BP1398" s="67">
        <v>0</v>
      </c>
      <c r="BQ1398" s="67">
        <v>0</v>
      </c>
      <c r="BR1398" s="67">
        <v>2</v>
      </c>
      <c r="BS1398" s="67">
        <v>0</v>
      </c>
      <c r="BT1398" s="67">
        <v>0</v>
      </c>
      <c r="BU1398" s="70">
        <v>15</v>
      </c>
      <c r="BV1398" s="29">
        <f t="shared" si="321"/>
        <v>0.83795771482995751</v>
      </c>
      <c r="BW1398">
        <f t="shared" si="322"/>
        <v>0.59502473559756086</v>
      </c>
      <c r="BX1398">
        <f t="shared" si="323"/>
        <v>0.47815352215483642</v>
      </c>
      <c r="BY1398">
        <f t="shared" si="324"/>
        <v>0.81745575848020657</v>
      </c>
      <c r="BZ1398">
        <f t="shared" si="325"/>
        <v>1.8265364014293735</v>
      </c>
      <c r="CA1398">
        <f t="shared" si="326"/>
        <v>1.7597737514845315</v>
      </c>
      <c r="CB1398">
        <f t="shared" si="327"/>
        <v>5.8265062631872602E-2</v>
      </c>
    </row>
    <row r="1399" spans="1:80" x14ac:dyDescent="0.45">
      <c r="A1399" s="11">
        <v>54</v>
      </c>
      <c r="B1399" s="12">
        <f t="shared" si="315"/>
        <v>54</v>
      </c>
      <c r="C1399" s="12" t="s">
        <v>59</v>
      </c>
      <c r="D1399" s="12">
        <v>0</v>
      </c>
      <c r="E1399" s="12" t="s">
        <v>53</v>
      </c>
      <c r="F1399" s="12">
        <v>0</v>
      </c>
      <c r="G1399" s="12">
        <v>1</v>
      </c>
      <c r="H1399" s="12" t="s">
        <v>61</v>
      </c>
      <c r="I1399" s="12">
        <v>1</v>
      </c>
      <c r="J1399" s="12">
        <v>0</v>
      </c>
      <c r="K1399" s="12">
        <v>9</v>
      </c>
      <c r="L1399" s="12">
        <f t="shared" si="316"/>
        <v>9</v>
      </c>
      <c r="M1399" s="12">
        <v>2</v>
      </c>
      <c r="N1399" s="12" t="s">
        <v>55</v>
      </c>
      <c r="O1399" s="12">
        <v>1</v>
      </c>
      <c r="P1399" s="12">
        <v>0</v>
      </c>
      <c r="Q1399" s="12">
        <v>0</v>
      </c>
      <c r="R1399" s="12">
        <v>0</v>
      </c>
      <c r="S1399" s="12">
        <v>0</v>
      </c>
      <c r="T1399" s="12">
        <v>1</v>
      </c>
      <c r="U1399" s="12" t="s">
        <v>19</v>
      </c>
      <c r="V1399" s="12">
        <v>1</v>
      </c>
      <c r="W1399" s="12">
        <v>67</v>
      </c>
      <c r="X1399" s="12">
        <v>3</v>
      </c>
      <c r="Y1399" s="12">
        <v>2</v>
      </c>
      <c r="Z1399" s="12" t="s">
        <v>63</v>
      </c>
      <c r="AA1399" s="12">
        <v>0</v>
      </c>
      <c r="AB1399" s="12">
        <v>0</v>
      </c>
      <c r="AC1399" s="12">
        <v>0</v>
      </c>
      <c r="AD1399" s="12">
        <v>0</v>
      </c>
      <c r="AE1399" s="12">
        <v>0</v>
      </c>
      <c r="AF1399" s="12">
        <v>0</v>
      </c>
      <c r="AG1399" s="12">
        <v>0</v>
      </c>
      <c r="AH1399" s="12">
        <v>1</v>
      </c>
      <c r="AI1399" s="12">
        <v>3</v>
      </c>
      <c r="AJ1399" s="12" t="s">
        <v>64</v>
      </c>
      <c r="AK1399" s="12">
        <v>0</v>
      </c>
      <c r="AL1399" s="12">
        <v>1</v>
      </c>
      <c r="AM1399" s="12">
        <v>2897</v>
      </c>
      <c r="AN1399" s="12">
        <f t="shared" si="317"/>
        <v>2897</v>
      </c>
      <c r="AO1399" s="12">
        <v>3</v>
      </c>
      <c r="AP1399" s="12" t="s">
        <v>59</v>
      </c>
      <c r="AQ1399" s="12">
        <v>0</v>
      </c>
      <c r="AR1399" s="12">
        <v>11</v>
      </c>
      <c r="AS1399" s="12">
        <v>3</v>
      </c>
      <c r="AT1399" s="12">
        <v>3</v>
      </c>
      <c r="AU1399" s="12">
        <v>2</v>
      </c>
      <c r="AV1399" s="12">
        <v>9</v>
      </c>
      <c r="AW1399" s="12">
        <f t="shared" si="318"/>
        <v>9</v>
      </c>
      <c r="AX1399" s="12">
        <v>6</v>
      </c>
      <c r="AY1399" s="12">
        <v>2</v>
      </c>
      <c r="AZ1399" s="12">
        <v>4</v>
      </c>
      <c r="BA1399" s="12">
        <f t="shared" si="319"/>
        <v>4</v>
      </c>
      <c r="BB1399" s="12">
        <v>3</v>
      </c>
      <c r="BC1399" s="12">
        <v>2</v>
      </c>
      <c r="BD1399" s="12">
        <f t="shared" si="328"/>
        <v>2</v>
      </c>
      <c r="BE1399" s="12">
        <v>3</v>
      </c>
      <c r="BF1399" s="12">
        <f t="shared" si="320"/>
        <v>3</v>
      </c>
      <c r="BG1399" s="12">
        <f t="shared" si="329"/>
        <v>6</v>
      </c>
      <c r="BH1399" s="67">
        <v>0</v>
      </c>
      <c r="BI1399" s="67">
        <v>1</v>
      </c>
      <c r="BJ1399" s="67">
        <v>0</v>
      </c>
      <c r="BK1399" s="67">
        <v>0</v>
      </c>
      <c r="BL1399" s="67">
        <v>0</v>
      </c>
      <c r="BM1399" s="67">
        <v>0</v>
      </c>
      <c r="BN1399" s="67">
        <v>1</v>
      </c>
      <c r="BO1399" s="67">
        <v>0</v>
      </c>
      <c r="BP1399" s="67">
        <v>0</v>
      </c>
      <c r="BQ1399" s="67">
        <v>3</v>
      </c>
      <c r="BR1399" s="67">
        <v>0</v>
      </c>
      <c r="BS1399" s="67">
        <v>0</v>
      </c>
      <c r="BT1399" s="67">
        <v>9</v>
      </c>
      <c r="BU1399" s="70">
        <v>0</v>
      </c>
      <c r="BV1399" s="29">
        <f t="shared" si="321"/>
        <v>0.76592276833607276</v>
      </c>
      <c r="BW1399">
        <f t="shared" si="322"/>
        <v>0.31476636926356072</v>
      </c>
      <c r="BX1399">
        <f t="shared" si="323"/>
        <v>0.29297722668510823</v>
      </c>
      <c r="BY1399">
        <f t="shared" si="324"/>
        <v>0.49100643357776058</v>
      </c>
      <c r="BZ1399">
        <f t="shared" si="325"/>
        <v>2.3747406698420157E-2</v>
      </c>
      <c r="CA1399">
        <f t="shared" si="326"/>
        <v>1.8692383509548371</v>
      </c>
      <c r="CB1399">
        <f t="shared" si="327"/>
        <v>5.8265062631872602E-2</v>
      </c>
    </row>
    <row r="1400" spans="1:80" x14ac:dyDescent="0.45">
      <c r="A1400" s="11">
        <v>33</v>
      </c>
      <c r="B1400" s="12">
        <f t="shared" si="315"/>
        <v>33</v>
      </c>
      <c r="C1400" s="12" t="s">
        <v>59</v>
      </c>
      <c r="D1400" s="12">
        <v>0</v>
      </c>
      <c r="E1400" s="12" t="s">
        <v>60</v>
      </c>
      <c r="F1400" s="12">
        <v>1</v>
      </c>
      <c r="G1400" s="12">
        <v>0</v>
      </c>
      <c r="H1400" s="12" t="s">
        <v>61</v>
      </c>
      <c r="I1400" s="12">
        <v>1</v>
      </c>
      <c r="J1400" s="12">
        <v>0</v>
      </c>
      <c r="K1400" s="12">
        <v>7</v>
      </c>
      <c r="L1400" s="12">
        <f t="shared" si="316"/>
        <v>7</v>
      </c>
      <c r="M1400" s="12">
        <v>2</v>
      </c>
      <c r="N1400" s="12" t="s">
        <v>55</v>
      </c>
      <c r="O1400" s="12">
        <v>1</v>
      </c>
      <c r="P1400" s="12">
        <v>0</v>
      </c>
      <c r="Q1400" s="12">
        <v>0</v>
      </c>
      <c r="R1400" s="12">
        <v>0</v>
      </c>
      <c r="S1400" s="12">
        <v>0</v>
      </c>
      <c r="T1400" s="12">
        <v>4</v>
      </c>
      <c r="U1400" s="12" t="s">
        <v>62</v>
      </c>
      <c r="V1400" s="12">
        <v>0</v>
      </c>
      <c r="W1400" s="12">
        <v>36</v>
      </c>
      <c r="X1400" s="12">
        <v>3</v>
      </c>
      <c r="Y1400" s="12">
        <v>2</v>
      </c>
      <c r="Z1400" s="12" t="s">
        <v>85</v>
      </c>
      <c r="AA1400" s="12">
        <v>1</v>
      </c>
      <c r="AB1400" s="12">
        <v>0</v>
      </c>
      <c r="AC1400" s="12">
        <v>0</v>
      </c>
      <c r="AD1400" s="12">
        <v>0</v>
      </c>
      <c r="AE1400" s="12">
        <v>0</v>
      </c>
      <c r="AF1400" s="12">
        <v>0</v>
      </c>
      <c r="AG1400" s="12">
        <v>0</v>
      </c>
      <c r="AH1400" s="12">
        <v>0</v>
      </c>
      <c r="AI1400" s="12">
        <v>3</v>
      </c>
      <c r="AJ1400" s="12" t="s">
        <v>78</v>
      </c>
      <c r="AK1400" s="12">
        <v>0</v>
      </c>
      <c r="AL1400" s="12">
        <v>0</v>
      </c>
      <c r="AM1400" s="12">
        <v>5968</v>
      </c>
      <c r="AN1400" s="12">
        <f t="shared" si="317"/>
        <v>5968</v>
      </c>
      <c r="AO1400" s="12">
        <v>1</v>
      </c>
      <c r="AP1400" s="12" t="s">
        <v>59</v>
      </c>
      <c r="AQ1400" s="12">
        <v>0</v>
      </c>
      <c r="AR1400" s="12">
        <v>20</v>
      </c>
      <c r="AS1400" s="12">
        <v>4</v>
      </c>
      <c r="AT1400" s="12">
        <v>3</v>
      </c>
      <c r="AU1400" s="12">
        <v>3</v>
      </c>
      <c r="AV1400" s="12">
        <v>9</v>
      </c>
      <c r="AW1400" s="12">
        <f t="shared" si="318"/>
        <v>9</v>
      </c>
      <c r="AX1400" s="12">
        <v>2</v>
      </c>
      <c r="AY1400" s="12">
        <v>3</v>
      </c>
      <c r="AZ1400" s="12">
        <v>9</v>
      </c>
      <c r="BA1400" s="12">
        <f t="shared" si="319"/>
        <v>9</v>
      </c>
      <c r="BB1400" s="12">
        <v>7</v>
      </c>
      <c r="BC1400" s="12">
        <v>2</v>
      </c>
      <c r="BD1400" s="12">
        <f t="shared" si="328"/>
        <v>2</v>
      </c>
      <c r="BE1400" s="12">
        <v>8</v>
      </c>
      <c r="BF1400" s="12">
        <f t="shared" si="320"/>
        <v>8</v>
      </c>
      <c r="BG1400" s="12">
        <f t="shared" si="329"/>
        <v>16</v>
      </c>
      <c r="BH1400" s="67">
        <v>0</v>
      </c>
      <c r="BI1400" s="67">
        <v>0</v>
      </c>
      <c r="BJ1400" s="67">
        <v>1</v>
      </c>
      <c r="BK1400" s="67">
        <v>0</v>
      </c>
      <c r="BL1400" s="67">
        <v>1</v>
      </c>
      <c r="BM1400" s="67">
        <v>0</v>
      </c>
      <c r="BN1400" s="67">
        <v>0</v>
      </c>
      <c r="BO1400" s="67">
        <v>0</v>
      </c>
      <c r="BP1400" s="67">
        <v>0</v>
      </c>
      <c r="BQ1400" s="67">
        <v>8</v>
      </c>
      <c r="BR1400" s="67">
        <v>0</v>
      </c>
      <c r="BS1400" s="67">
        <v>0</v>
      </c>
      <c r="BT1400" s="67">
        <v>9</v>
      </c>
      <c r="BU1400" s="70">
        <v>0</v>
      </c>
      <c r="BV1400" s="29">
        <f t="shared" si="321"/>
        <v>0.11362281285959558</v>
      </c>
      <c r="BW1400">
        <f t="shared" si="322"/>
        <v>1.08652546240644</v>
      </c>
      <c r="BX1400">
        <f t="shared" si="323"/>
        <v>0.29297722668510823</v>
      </c>
      <c r="BY1400">
        <f t="shared" si="324"/>
        <v>0.32511687867835437</v>
      </c>
      <c r="BZ1400">
        <f t="shared" si="325"/>
        <v>0.27045191444879263</v>
      </c>
      <c r="CA1400">
        <f t="shared" si="326"/>
        <v>0.42951823792158</v>
      </c>
      <c r="CB1400">
        <f t="shared" si="327"/>
        <v>5.8265062631872602E-2</v>
      </c>
    </row>
    <row r="1401" spans="1:80" x14ac:dyDescent="0.45">
      <c r="A1401" s="11">
        <v>43</v>
      </c>
      <c r="B1401" s="12">
        <f t="shared" si="315"/>
        <v>43</v>
      </c>
      <c r="C1401" s="12" t="s">
        <v>59</v>
      </c>
      <c r="D1401" s="12">
        <v>0</v>
      </c>
      <c r="E1401" s="12" t="s">
        <v>53</v>
      </c>
      <c r="F1401" s="12">
        <v>0</v>
      </c>
      <c r="G1401" s="12">
        <v>1</v>
      </c>
      <c r="H1401" s="12" t="s">
        <v>61</v>
      </c>
      <c r="I1401" s="12">
        <v>1</v>
      </c>
      <c r="J1401" s="12">
        <v>0</v>
      </c>
      <c r="K1401" s="12">
        <v>11</v>
      </c>
      <c r="L1401" s="12">
        <f t="shared" si="316"/>
        <v>11</v>
      </c>
      <c r="M1401" s="12">
        <v>3</v>
      </c>
      <c r="N1401" s="12" t="s">
        <v>55</v>
      </c>
      <c r="O1401" s="12">
        <v>1</v>
      </c>
      <c r="P1401" s="12">
        <v>0</v>
      </c>
      <c r="Q1401" s="12">
        <v>0</v>
      </c>
      <c r="R1401" s="12">
        <v>0</v>
      </c>
      <c r="S1401" s="12">
        <v>0</v>
      </c>
      <c r="T1401" s="12">
        <v>1</v>
      </c>
      <c r="U1401" s="12" t="s">
        <v>62</v>
      </c>
      <c r="V1401" s="12">
        <v>0</v>
      </c>
      <c r="W1401" s="12">
        <v>30</v>
      </c>
      <c r="X1401" s="12">
        <v>3</v>
      </c>
      <c r="Y1401" s="12">
        <v>3</v>
      </c>
      <c r="Z1401" s="12" t="s">
        <v>85</v>
      </c>
      <c r="AA1401" s="12">
        <v>1</v>
      </c>
      <c r="AB1401" s="12">
        <v>0</v>
      </c>
      <c r="AC1401" s="12">
        <v>0</v>
      </c>
      <c r="AD1401" s="12">
        <v>0</v>
      </c>
      <c r="AE1401" s="12">
        <v>0</v>
      </c>
      <c r="AF1401" s="12">
        <v>0</v>
      </c>
      <c r="AG1401" s="12">
        <v>0</v>
      </c>
      <c r="AH1401" s="12">
        <v>0</v>
      </c>
      <c r="AI1401" s="12">
        <v>3</v>
      </c>
      <c r="AJ1401" s="12" t="s">
        <v>64</v>
      </c>
      <c r="AK1401" s="12">
        <v>0</v>
      </c>
      <c r="AL1401" s="12">
        <v>1</v>
      </c>
      <c r="AM1401" s="12">
        <v>7510</v>
      </c>
      <c r="AN1401" s="12">
        <f t="shared" si="317"/>
        <v>7510</v>
      </c>
      <c r="AO1401" s="12">
        <v>1</v>
      </c>
      <c r="AP1401" s="12" t="s">
        <v>59</v>
      </c>
      <c r="AQ1401" s="12">
        <v>0</v>
      </c>
      <c r="AR1401" s="12">
        <v>17</v>
      </c>
      <c r="AS1401" s="12">
        <v>3</v>
      </c>
      <c r="AT1401" s="12">
        <v>2</v>
      </c>
      <c r="AU1401" s="12">
        <v>1</v>
      </c>
      <c r="AV1401" s="12">
        <v>10</v>
      </c>
      <c r="AW1401" s="12">
        <f t="shared" si="318"/>
        <v>10</v>
      </c>
      <c r="AX1401" s="12">
        <v>1</v>
      </c>
      <c r="AY1401" s="12">
        <v>3</v>
      </c>
      <c r="AZ1401" s="12">
        <v>10</v>
      </c>
      <c r="BA1401" s="12">
        <f t="shared" si="319"/>
        <v>10</v>
      </c>
      <c r="BB1401" s="12">
        <v>9</v>
      </c>
      <c r="BC1401" s="12">
        <v>0</v>
      </c>
      <c r="BD1401" s="12">
        <f t="shared" si="328"/>
        <v>0</v>
      </c>
      <c r="BE1401" s="12">
        <v>9</v>
      </c>
      <c r="BF1401" s="12">
        <f t="shared" si="320"/>
        <v>9</v>
      </c>
      <c r="BG1401" s="12">
        <f t="shared" si="329"/>
        <v>27</v>
      </c>
      <c r="BH1401" s="67">
        <v>0</v>
      </c>
      <c r="BI1401" s="67">
        <v>1</v>
      </c>
      <c r="BJ1401" s="67">
        <v>0</v>
      </c>
      <c r="BK1401" s="67">
        <v>0</v>
      </c>
      <c r="BL1401" s="67">
        <v>0</v>
      </c>
      <c r="BM1401" s="67">
        <v>0</v>
      </c>
      <c r="BN1401" s="67">
        <v>1</v>
      </c>
      <c r="BO1401" s="67">
        <v>0</v>
      </c>
      <c r="BP1401" s="67">
        <v>0</v>
      </c>
      <c r="BQ1401" s="67">
        <v>9</v>
      </c>
      <c r="BR1401" s="67">
        <v>0</v>
      </c>
      <c r="BS1401" s="67">
        <v>0</v>
      </c>
      <c r="BT1401" s="67">
        <v>10</v>
      </c>
      <c r="BU1401" s="70">
        <v>0</v>
      </c>
      <c r="BV1401" s="29">
        <f t="shared" si="321"/>
        <v>0.21390780626926398</v>
      </c>
      <c r="BW1401">
        <f t="shared" si="322"/>
        <v>1.3667838287404401</v>
      </c>
      <c r="BX1401">
        <f t="shared" si="323"/>
        <v>0.1644554352117841</v>
      </c>
      <c r="BY1401">
        <f t="shared" si="324"/>
        <v>0.48834154112957734</v>
      </c>
      <c r="BZ1401">
        <f t="shared" si="325"/>
        <v>0.22295710105195232</v>
      </c>
      <c r="CA1401">
        <f t="shared" si="326"/>
        <v>0.66512775678147573</v>
      </c>
      <c r="CB1401">
        <f t="shared" si="327"/>
        <v>0.67891464284095016</v>
      </c>
    </row>
    <row r="1402" spans="1:80" x14ac:dyDescent="0.45">
      <c r="A1402" s="11">
        <v>38</v>
      </c>
      <c r="B1402" s="12">
        <f t="shared" si="315"/>
        <v>38</v>
      </c>
      <c r="C1402" s="12" t="s">
        <v>59</v>
      </c>
      <c r="D1402" s="12">
        <v>0</v>
      </c>
      <c r="E1402" s="12" t="s">
        <v>60</v>
      </c>
      <c r="F1402" s="12">
        <v>1</v>
      </c>
      <c r="G1402" s="12">
        <v>0</v>
      </c>
      <c r="H1402" s="12" t="s">
        <v>97</v>
      </c>
      <c r="I1402" s="12">
        <v>0</v>
      </c>
      <c r="J1402" s="12">
        <v>0</v>
      </c>
      <c r="K1402" s="12">
        <v>1</v>
      </c>
      <c r="L1402" s="12">
        <f t="shared" si="316"/>
        <v>1</v>
      </c>
      <c r="M1402" s="12">
        <v>4</v>
      </c>
      <c r="N1402" s="12" t="s">
        <v>66</v>
      </c>
      <c r="O1402" s="12">
        <v>0</v>
      </c>
      <c r="P1402" s="12">
        <v>1</v>
      </c>
      <c r="Q1402" s="12">
        <v>0</v>
      </c>
      <c r="R1402" s="12">
        <v>0</v>
      </c>
      <c r="S1402" s="12">
        <v>0</v>
      </c>
      <c r="T1402" s="12">
        <v>4</v>
      </c>
      <c r="U1402" s="12" t="s">
        <v>62</v>
      </c>
      <c r="V1402" s="12">
        <v>0</v>
      </c>
      <c r="W1402" s="12">
        <v>88</v>
      </c>
      <c r="X1402" s="12">
        <v>3</v>
      </c>
      <c r="Y1402" s="12">
        <v>1</v>
      </c>
      <c r="Z1402" s="12" t="s">
        <v>97</v>
      </c>
      <c r="AA1402" s="12">
        <v>0</v>
      </c>
      <c r="AB1402" s="12">
        <v>0</v>
      </c>
      <c r="AC1402" s="12">
        <v>0</v>
      </c>
      <c r="AD1402" s="12">
        <v>0</v>
      </c>
      <c r="AE1402" s="12">
        <v>0</v>
      </c>
      <c r="AF1402" s="12">
        <v>0</v>
      </c>
      <c r="AG1402" s="12">
        <v>0</v>
      </c>
      <c r="AH1402" s="12">
        <v>0</v>
      </c>
      <c r="AI1402" s="12">
        <v>2</v>
      </c>
      <c r="AJ1402" s="12" t="s">
        <v>64</v>
      </c>
      <c r="AK1402" s="12">
        <v>0</v>
      </c>
      <c r="AL1402" s="12">
        <v>1</v>
      </c>
      <c r="AM1402" s="12">
        <v>2991</v>
      </c>
      <c r="AN1402" s="12">
        <f t="shared" si="317"/>
        <v>2991</v>
      </c>
      <c r="AO1402" s="12">
        <v>0</v>
      </c>
      <c r="AP1402" s="12" t="s">
        <v>52</v>
      </c>
      <c r="AQ1402" s="12">
        <v>1</v>
      </c>
      <c r="AR1402" s="12">
        <v>11</v>
      </c>
      <c r="AS1402" s="12">
        <v>3</v>
      </c>
      <c r="AT1402" s="12">
        <v>2</v>
      </c>
      <c r="AU1402" s="12">
        <v>1</v>
      </c>
      <c r="AV1402" s="12">
        <v>7</v>
      </c>
      <c r="AW1402" s="12">
        <f t="shared" si="318"/>
        <v>7</v>
      </c>
      <c r="AX1402" s="12">
        <v>2</v>
      </c>
      <c r="AY1402" s="12">
        <v>3</v>
      </c>
      <c r="AZ1402" s="12">
        <v>6</v>
      </c>
      <c r="BA1402" s="12">
        <f t="shared" si="319"/>
        <v>6</v>
      </c>
      <c r="BB1402" s="12">
        <v>2</v>
      </c>
      <c r="BC1402" s="12">
        <v>1</v>
      </c>
      <c r="BD1402" s="12">
        <f t="shared" si="328"/>
        <v>1</v>
      </c>
      <c r="BE1402" s="12">
        <v>2</v>
      </c>
      <c r="BF1402" s="12">
        <f t="shared" si="320"/>
        <v>2</v>
      </c>
      <c r="BG1402" s="12">
        <f t="shared" si="329"/>
        <v>2</v>
      </c>
      <c r="BH1402" s="67">
        <v>0</v>
      </c>
      <c r="BI1402" s="67">
        <v>0</v>
      </c>
      <c r="BJ1402" s="67">
        <v>0</v>
      </c>
      <c r="BK1402" s="67">
        <v>1</v>
      </c>
      <c r="BL1402" s="67">
        <v>0</v>
      </c>
      <c r="BM1402" s="67">
        <v>0</v>
      </c>
      <c r="BN1402" s="67">
        <v>0</v>
      </c>
      <c r="BO1402" s="67">
        <v>1</v>
      </c>
      <c r="BP1402" s="67">
        <v>2</v>
      </c>
      <c r="BQ1402" s="67">
        <v>0</v>
      </c>
      <c r="BR1402" s="67">
        <v>0</v>
      </c>
      <c r="BS1402" s="67">
        <v>7</v>
      </c>
      <c r="BT1402" s="67">
        <v>0</v>
      </c>
      <c r="BU1402" s="70">
        <v>0</v>
      </c>
      <c r="BV1402" s="29">
        <f t="shared" si="321"/>
        <v>0.74595656976401514</v>
      </c>
      <c r="BW1402">
        <f t="shared" si="322"/>
        <v>0.59502473559756086</v>
      </c>
      <c r="BX1402">
        <f t="shared" si="323"/>
        <v>0.55002080963175637</v>
      </c>
      <c r="BY1402">
        <f t="shared" si="324"/>
        <v>0.16455710867531462</v>
      </c>
      <c r="BZ1402">
        <f t="shared" si="325"/>
        <v>1.01056543769991</v>
      </c>
      <c r="CA1402">
        <f t="shared" si="326"/>
        <v>0.11780475942994788</v>
      </c>
      <c r="CB1402">
        <f t="shared" si="327"/>
        <v>0.36858985273641137</v>
      </c>
    </row>
    <row r="1403" spans="1:80" x14ac:dyDescent="0.45">
      <c r="A1403" s="11">
        <v>55</v>
      </c>
      <c r="B1403" s="12">
        <f t="shared" si="315"/>
        <v>55</v>
      </c>
      <c r="C1403" s="12" t="s">
        <v>59</v>
      </c>
      <c r="D1403" s="12">
        <v>0</v>
      </c>
      <c r="E1403" s="12" t="s">
        <v>53</v>
      </c>
      <c r="F1403" s="12">
        <v>0</v>
      </c>
      <c r="G1403" s="12">
        <v>1</v>
      </c>
      <c r="H1403" s="12" t="s">
        <v>97</v>
      </c>
      <c r="I1403" s="12">
        <v>0</v>
      </c>
      <c r="J1403" s="12">
        <v>0</v>
      </c>
      <c r="K1403" s="12">
        <v>26</v>
      </c>
      <c r="L1403" s="12">
        <f t="shared" si="316"/>
        <v>26</v>
      </c>
      <c r="M1403" s="12">
        <v>4</v>
      </c>
      <c r="N1403" s="12" t="s">
        <v>97</v>
      </c>
      <c r="O1403" s="12">
        <v>0</v>
      </c>
      <c r="P1403" s="12">
        <v>0</v>
      </c>
      <c r="Q1403" s="12">
        <v>0</v>
      </c>
      <c r="R1403" s="12">
        <v>0</v>
      </c>
      <c r="S1403" s="12">
        <v>0</v>
      </c>
      <c r="T1403" s="12">
        <v>3</v>
      </c>
      <c r="U1403" s="12" t="s">
        <v>62</v>
      </c>
      <c r="V1403" s="12">
        <v>0</v>
      </c>
      <c r="W1403" s="12">
        <v>71</v>
      </c>
      <c r="X1403" s="12">
        <v>4</v>
      </c>
      <c r="Y1403" s="12">
        <v>5</v>
      </c>
      <c r="Z1403" s="12" t="s">
        <v>87</v>
      </c>
      <c r="AA1403" s="12">
        <v>0</v>
      </c>
      <c r="AB1403" s="12">
        <v>0</v>
      </c>
      <c r="AC1403" s="12">
        <v>0</v>
      </c>
      <c r="AD1403" s="12">
        <v>1</v>
      </c>
      <c r="AE1403" s="12">
        <v>0</v>
      </c>
      <c r="AF1403" s="12">
        <v>0</v>
      </c>
      <c r="AG1403" s="12">
        <v>0</v>
      </c>
      <c r="AH1403" s="12">
        <v>0</v>
      </c>
      <c r="AI1403" s="12">
        <v>2</v>
      </c>
      <c r="AJ1403" s="12" t="s">
        <v>64</v>
      </c>
      <c r="AK1403" s="12">
        <v>0</v>
      </c>
      <c r="AL1403" s="12">
        <v>1</v>
      </c>
      <c r="AM1403" s="12">
        <v>19636</v>
      </c>
      <c r="AN1403" s="12">
        <f t="shared" si="317"/>
        <v>19626.310000000001</v>
      </c>
      <c r="AO1403" s="12">
        <v>4</v>
      </c>
      <c r="AP1403" s="12" t="s">
        <v>52</v>
      </c>
      <c r="AQ1403" s="12">
        <v>1</v>
      </c>
      <c r="AR1403" s="12">
        <v>18</v>
      </c>
      <c r="AS1403" s="12">
        <v>3</v>
      </c>
      <c r="AT1403" s="12">
        <v>1</v>
      </c>
      <c r="AU1403" s="12">
        <v>1</v>
      </c>
      <c r="AV1403" s="12">
        <v>35</v>
      </c>
      <c r="AW1403" s="12">
        <f t="shared" si="318"/>
        <v>35</v>
      </c>
      <c r="AX1403" s="12">
        <v>0</v>
      </c>
      <c r="AY1403" s="12">
        <v>3</v>
      </c>
      <c r="AZ1403" s="12">
        <v>10</v>
      </c>
      <c r="BA1403" s="12">
        <f t="shared" si="319"/>
        <v>10</v>
      </c>
      <c r="BB1403" s="12">
        <v>9</v>
      </c>
      <c r="BC1403" s="12">
        <v>1</v>
      </c>
      <c r="BD1403" s="12">
        <f t="shared" si="328"/>
        <v>1</v>
      </c>
      <c r="BE1403" s="12">
        <v>4</v>
      </c>
      <c r="BF1403" s="12">
        <f t="shared" si="320"/>
        <v>4</v>
      </c>
      <c r="BG1403" s="12">
        <f t="shared" si="329"/>
        <v>20</v>
      </c>
      <c r="BH1403" s="67">
        <v>0</v>
      </c>
      <c r="BI1403" s="67">
        <v>1</v>
      </c>
      <c r="BJ1403" s="67">
        <v>0</v>
      </c>
      <c r="BK1403" s="67">
        <v>0</v>
      </c>
      <c r="BL1403" s="67">
        <v>0</v>
      </c>
      <c r="BM1403" s="67">
        <v>0</v>
      </c>
      <c r="BN1403" s="67">
        <v>0</v>
      </c>
      <c r="BO1403" s="67">
        <v>1</v>
      </c>
      <c r="BP1403" s="67">
        <v>4</v>
      </c>
      <c r="BQ1403" s="67">
        <v>0</v>
      </c>
      <c r="BR1403" s="67">
        <v>0</v>
      </c>
      <c r="BS1403" s="67">
        <v>35</v>
      </c>
      <c r="BT1403" s="67">
        <v>0</v>
      </c>
      <c r="BU1403" s="70">
        <v>0</v>
      </c>
      <c r="BV1403" s="29">
        <f t="shared" si="321"/>
        <v>2.7895474220646927</v>
      </c>
      <c r="BW1403">
        <f t="shared" si="322"/>
        <v>3.4508002929560584E-2</v>
      </c>
      <c r="BX1403">
        <f t="shared" si="323"/>
        <v>3.0485893516213181</v>
      </c>
      <c r="BY1403">
        <f t="shared" si="324"/>
        <v>0.48834154112957734</v>
      </c>
      <c r="BZ1403">
        <f t="shared" si="325"/>
        <v>2.0732409091797459</v>
      </c>
      <c r="CA1403">
        <f t="shared" si="326"/>
        <v>1.9787029504251428</v>
      </c>
      <c r="CB1403">
        <f t="shared" si="327"/>
        <v>0.36858985273641137</v>
      </c>
    </row>
    <row r="1404" spans="1:80" x14ac:dyDescent="0.45">
      <c r="A1404" s="11">
        <v>31</v>
      </c>
      <c r="B1404" s="12">
        <f t="shared" si="315"/>
        <v>31</v>
      </c>
      <c r="C1404" s="12" t="s">
        <v>59</v>
      </c>
      <c r="D1404" s="12">
        <v>0</v>
      </c>
      <c r="E1404" s="12" t="s">
        <v>53</v>
      </c>
      <c r="F1404" s="12">
        <v>0</v>
      </c>
      <c r="G1404" s="12">
        <v>1</v>
      </c>
      <c r="H1404" s="12" t="s">
        <v>61</v>
      </c>
      <c r="I1404" s="12">
        <v>1</v>
      </c>
      <c r="J1404" s="12">
        <v>0</v>
      </c>
      <c r="K1404" s="12">
        <v>2</v>
      </c>
      <c r="L1404" s="12">
        <f t="shared" si="316"/>
        <v>2</v>
      </c>
      <c r="M1404" s="12">
        <v>1</v>
      </c>
      <c r="N1404" s="12" t="s">
        <v>70</v>
      </c>
      <c r="O1404" s="12">
        <v>0</v>
      </c>
      <c r="P1404" s="12">
        <v>0</v>
      </c>
      <c r="Q1404" s="12">
        <v>1</v>
      </c>
      <c r="R1404" s="12">
        <v>0</v>
      </c>
      <c r="S1404" s="12">
        <v>0</v>
      </c>
      <c r="T1404" s="12">
        <v>4</v>
      </c>
      <c r="U1404" s="12" t="s">
        <v>19</v>
      </c>
      <c r="V1404" s="12">
        <v>1</v>
      </c>
      <c r="W1404" s="12">
        <v>59</v>
      </c>
      <c r="X1404" s="12">
        <v>1</v>
      </c>
      <c r="Y1404" s="12">
        <v>1</v>
      </c>
      <c r="Z1404" s="12" t="s">
        <v>67</v>
      </c>
      <c r="AA1404" s="12">
        <v>0</v>
      </c>
      <c r="AB1404" s="12">
        <v>0</v>
      </c>
      <c r="AC1404" s="12">
        <v>1</v>
      </c>
      <c r="AD1404" s="12">
        <v>0</v>
      </c>
      <c r="AE1404" s="12">
        <v>0</v>
      </c>
      <c r="AF1404" s="12">
        <v>0</v>
      </c>
      <c r="AG1404" s="12">
        <v>0</v>
      </c>
      <c r="AH1404" s="12">
        <v>0</v>
      </c>
      <c r="AI1404" s="12">
        <v>4</v>
      </c>
      <c r="AJ1404" s="12" t="s">
        <v>78</v>
      </c>
      <c r="AK1404" s="12">
        <v>0</v>
      </c>
      <c r="AL1404" s="12">
        <v>0</v>
      </c>
      <c r="AM1404" s="12">
        <v>1129</v>
      </c>
      <c r="AN1404" s="12">
        <f t="shared" si="317"/>
        <v>1382.46</v>
      </c>
      <c r="AO1404" s="12">
        <v>1</v>
      </c>
      <c r="AP1404" s="12" t="s">
        <v>52</v>
      </c>
      <c r="AQ1404" s="12">
        <v>1</v>
      </c>
      <c r="AR1404" s="12">
        <v>11</v>
      </c>
      <c r="AS1404" s="12">
        <v>3</v>
      </c>
      <c r="AT1404" s="12">
        <v>3</v>
      </c>
      <c r="AU1404" s="12">
        <v>3</v>
      </c>
      <c r="AV1404" s="12">
        <v>1</v>
      </c>
      <c r="AW1404" s="12">
        <f t="shared" si="318"/>
        <v>1</v>
      </c>
      <c r="AX1404" s="12">
        <v>4</v>
      </c>
      <c r="AY1404" s="12">
        <v>3</v>
      </c>
      <c r="AZ1404" s="12">
        <v>1</v>
      </c>
      <c r="BA1404" s="12">
        <f t="shared" si="319"/>
        <v>1</v>
      </c>
      <c r="BB1404" s="12">
        <v>0</v>
      </c>
      <c r="BC1404" s="12">
        <v>0</v>
      </c>
      <c r="BD1404" s="12">
        <f t="shared" si="328"/>
        <v>0</v>
      </c>
      <c r="BE1404" s="12">
        <v>0</v>
      </c>
      <c r="BF1404" s="12">
        <f t="shared" si="320"/>
        <v>0</v>
      </c>
      <c r="BG1404" s="12">
        <f t="shared" si="329"/>
        <v>0</v>
      </c>
      <c r="BH1404" s="67">
        <v>1</v>
      </c>
      <c r="BI1404" s="67">
        <v>0</v>
      </c>
      <c r="BJ1404" s="67">
        <v>0</v>
      </c>
      <c r="BK1404" s="67">
        <v>0</v>
      </c>
      <c r="BL1404" s="67">
        <v>0</v>
      </c>
      <c r="BM1404" s="67">
        <v>1</v>
      </c>
      <c r="BN1404" s="67">
        <v>0</v>
      </c>
      <c r="BO1404" s="67">
        <v>0</v>
      </c>
      <c r="BP1404" s="67">
        <v>0</v>
      </c>
      <c r="BQ1404" s="67">
        <v>0</v>
      </c>
      <c r="BR1404" s="67">
        <v>0</v>
      </c>
      <c r="BS1404" s="67">
        <v>0</v>
      </c>
      <c r="BT1404" s="67">
        <v>1</v>
      </c>
      <c r="BU1404" s="70">
        <v>0</v>
      </c>
      <c r="BV1404" s="29">
        <f t="shared" si="321"/>
        <v>1.1414572265849856</v>
      </c>
      <c r="BW1404">
        <f t="shared" si="322"/>
        <v>1.1555414682655611</v>
      </c>
      <c r="BX1404">
        <f t="shared" si="323"/>
        <v>1.3211515584717011</v>
      </c>
      <c r="BY1404">
        <f t="shared" si="324"/>
        <v>0.9806804209314296</v>
      </c>
      <c r="BZ1404">
        <f t="shared" si="325"/>
        <v>0.88721318382472392</v>
      </c>
      <c r="CA1404">
        <f t="shared" si="326"/>
        <v>0.6484474368621912</v>
      </c>
      <c r="CB1404">
        <f t="shared" si="327"/>
        <v>0.67891464284095016</v>
      </c>
    </row>
    <row r="1405" spans="1:80" x14ac:dyDescent="0.45">
      <c r="A1405" s="11">
        <v>39</v>
      </c>
      <c r="B1405" s="12">
        <f t="shared" si="315"/>
        <v>39</v>
      </c>
      <c r="C1405" s="12" t="s">
        <v>59</v>
      </c>
      <c r="D1405" s="12">
        <v>0</v>
      </c>
      <c r="E1405" s="12" t="s">
        <v>53</v>
      </c>
      <c r="F1405" s="12">
        <v>0</v>
      </c>
      <c r="G1405" s="12">
        <v>1</v>
      </c>
      <c r="H1405" s="12" t="s">
        <v>54</v>
      </c>
      <c r="I1405" s="12">
        <v>0</v>
      </c>
      <c r="J1405" s="12">
        <v>1</v>
      </c>
      <c r="K1405" s="12">
        <v>15</v>
      </c>
      <c r="L1405" s="12">
        <f t="shared" si="316"/>
        <v>15</v>
      </c>
      <c r="M1405" s="12">
        <v>4</v>
      </c>
      <c r="N1405" s="12" t="s">
        <v>90</v>
      </c>
      <c r="O1405" s="12">
        <v>0</v>
      </c>
      <c r="P1405" s="12">
        <v>0</v>
      </c>
      <c r="Q1405" s="12">
        <v>0</v>
      </c>
      <c r="R1405" s="12">
        <v>1</v>
      </c>
      <c r="S1405" s="12">
        <v>0</v>
      </c>
      <c r="T1405" s="12">
        <v>2</v>
      </c>
      <c r="U1405" s="12" t="s">
        <v>62</v>
      </c>
      <c r="V1405" s="12">
        <v>0</v>
      </c>
      <c r="W1405" s="12">
        <v>77</v>
      </c>
      <c r="X1405" s="12">
        <v>3</v>
      </c>
      <c r="Y1405" s="12">
        <v>4</v>
      </c>
      <c r="Z1405" s="12" t="s">
        <v>56</v>
      </c>
      <c r="AA1405" s="12">
        <v>0</v>
      </c>
      <c r="AB1405" s="12">
        <v>1</v>
      </c>
      <c r="AC1405" s="12">
        <v>0</v>
      </c>
      <c r="AD1405" s="12">
        <v>0</v>
      </c>
      <c r="AE1405" s="12">
        <v>0</v>
      </c>
      <c r="AF1405" s="12">
        <v>0</v>
      </c>
      <c r="AG1405" s="12">
        <v>0</v>
      </c>
      <c r="AH1405" s="12">
        <v>0</v>
      </c>
      <c r="AI1405" s="12">
        <v>1</v>
      </c>
      <c r="AJ1405" s="12" t="s">
        <v>57</v>
      </c>
      <c r="AK1405" s="12">
        <v>1</v>
      </c>
      <c r="AL1405" s="12">
        <v>0</v>
      </c>
      <c r="AM1405" s="12">
        <v>13341</v>
      </c>
      <c r="AN1405" s="12">
        <f t="shared" si="317"/>
        <v>13341</v>
      </c>
      <c r="AO1405" s="12">
        <v>0</v>
      </c>
      <c r="AP1405" s="12" t="s">
        <v>59</v>
      </c>
      <c r="AQ1405" s="12">
        <v>0</v>
      </c>
      <c r="AR1405" s="12">
        <v>12</v>
      </c>
      <c r="AS1405" s="12">
        <v>3</v>
      </c>
      <c r="AT1405" s="12">
        <v>1</v>
      </c>
      <c r="AU1405" s="12">
        <v>0</v>
      </c>
      <c r="AV1405" s="12">
        <v>21</v>
      </c>
      <c r="AW1405" s="12">
        <f t="shared" si="318"/>
        <v>21</v>
      </c>
      <c r="AX1405" s="12">
        <v>3</v>
      </c>
      <c r="AY1405" s="12">
        <v>3</v>
      </c>
      <c r="AZ1405" s="12">
        <v>20</v>
      </c>
      <c r="BA1405" s="12">
        <f t="shared" si="319"/>
        <v>20</v>
      </c>
      <c r="BB1405" s="12">
        <v>8</v>
      </c>
      <c r="BC1405" s="12">
        <v>11</v>
      </c>
      <c r="BD1405" s="12">
        <f t="shared" si="328"/>
        <v>11</v>
      </c>
      <c r="BE1405" s="12">
        <v>10</v>
      </c>
      <c r="BF1405" s="12">
        <f t="shared" si="320"/>
        <v>10</v>
      </c>
      <c r="BG1405" s="12">
        <f t="shared" si="329"/>
        <v>40</v>
      </c>
      <c r="BH1405" s="67">
        <v>1</v>
      </c>
      <c r="BI1405" s="67">
        <v>0</v>
      </c>
      <c r="BJ1405" s="67">
        <v>0</v>
      </c>
      <c r="BK1405" s="67">
        <v>0</v>
      </c>
      <c r="BL1405" s="67">
        <v>1</v>
      </c>
      <c r="BM1405" s="67">
        <v>0</v>
      </c>
      <c r="BN1405" s="67">
        <v>0</v>
      </c>
      <c r="BO1405" s="67">
        <v>0</v>
      </c>
      <c r="BP1405" s="67">
        <v>0</v>
      </c>
      <c r="BQ1405" s="67">
        <v>0</v>
      </c>
      <c r="BR1405" s="67">
        <v>10</v>
      </c>
      <c r="BS1405" s="67">
        <v>0</v>
      </c>
      <c r="BT1405" s="67">
        <v>0</v>
      </c>
      <c r="BU1405" s="70">
        <v>21</v>
      </c>
      <c r="BV1405" s="29">
        <f t="shared" si="321"/>
        <v>1.4524493368401978</v>
      </c>
      <c r="BW1405">
        <f t="shared" si="322"/>
        <v>1.6470421950744405</v>
      </c>
      <c r="BX1405">
        <f t="shared" si="323"/>
        <v>1.2492842709947811</v>
      </c>
      <c r="BY1405">
        <f t="shared" si="324"/>
        <v>2.1205881656418071</v>
      </c>
      <c r="BZ1405">
        <f t="shared" si="325"/>
        <v>0.71636611655269733</v>
      </c>
      <c r="CA1405">
        <f t="shared" si="326"/>
        <v>0.22726935890025346</v>
      </c>
      <c r="CB1405">
        <f t="shared" si="327"/>
        <v>2.7346580483089769</v>
      </c>
    </row>
    <row r="1406" spans="1:80" x14ac:dyDescent="0.45">
      <c r="A1406" s="11">
        <v>42</v>
      </c>
      <c r="B1406" s="12">
        <f t="shared" si="315"/>
        <v>42</v>
      </c>
      <c r="C1406" s="12" t="s">
        <v>59</v>
      </c>
      <c r="D1406" s="12">
        <v>0</v>
      </c>
      <c r="E1406" s="12" t="s">
        <v>86</v>
      </c>
      <c r="F1406" s="12">
        <v>0</v>
      </c>
      <c r="G1406" s="12">
        <v>0</v>
      </c>
      <c r="H1406" s="12" t="s">
        <v>61</v>
      </c>
      <c r="I1406" s="12">
        <v>1</v>
      </c>
      <c r="J1406" s="12">
        <v>0</v>
      </c>
      <c r="K1406" s="12">
        <v>23</v>
      </c>
      <c r="L1406" s="12">
        <f t="shared" si="316"/>
        <v>23</v>
      </c>
      <c r="M1406" s="12">
        <v>2</v>
      </c>
      <c r="N1406" s="12" t="s">
        <v>55</v>
      </c>
      <c r="O1406" s="12">
        <v>1</v>
      </c>
      <c r="P1406" s="12">
        <v>0</v>
      </c>
      <c r="Q1406" s="12">
        <v>0</v>
      </c>
      <c r="R1406" s="12">
        <v>0</v>
      </c>
      <c r="S1406" s="12">
        <v>0</v>
      </c>
      <c r="T1406" s="12">
        <v>4</v>
      </c>
      <c r="U1406" s="12" t="s">
        <v>62</v>
      </c>
      <c r="V1406" s="12">
        <v>0</v>
      </c>
      <c r="W1406" s="12">
        <v>37</v>
      </c>
      <c r="X1406" s="12">
        <v>2</v>
      </c>
      <c r="Y1406" s="12">
        <v>2</v>
      </c>
      <c r="Z1406" s="12" t="s">
        <v>63</v>
      </c>
      <c r="AA1406" s="12">
        <v>0</v>
      </c>
      <c r="AB1406" s="12">
        <v>0</v>
      </c>
      <c r="AC1406" s="12">
        <v>0</v>
      </c>
      <c r="AD1406" s="12">
        <v>0</v>
      </c>
      <c r="AE1406" s="12">
        <v>0</v>
      </c>
      <c r="AF1406" s="12">
        <v>0</v>
      </c>
      <c r="AG1406" s="12">
        <v>0</v>
      </c>
      <c r="AH1406" s="12">
        <v>1</v>
      </c>
      <c r="AI1406" s="12">
        <v>3</v>
      </c>
      <c r="AJ1406" s="12" t="s">
        <v>57</v>
      </c>
      <c r="AK1406" s="12">
        <v>1</v>
      </c>
      <c r="AL1406" s="12">
        <v>0</v>
      </c>
      <c r="AM1406" s="12">
        <v>4332</v>
      </c>
      <c r="AN1406" s="12">
        <f t="shared" si="317"/>
        <v>4332</v>
      </c>
      <c r="AO1406" s="12">
        <v>1</v>
      </c>
      <c r="AP1406" s="12" t="s">
        <v>59</v>
      </c>
      <c r="AQ1406" s="12">
        <v>0</v>
      </c>
      <c r="AR1406" s="12">
        <v>12</v>
      </c>
      <c r="AS1406" s="12">
        <v>3</v>
      </c>
      <c r="AT1406" s="12">
        <v>4</v>
      </c>
      <c r="AU1406" s="12">
        <v>0</v>
      </c>
      <c r="AV1406" s="12">
        <v>20</v>
      </c>
      <c r="AW1406" s="12">
        <f t="shared" si="318"/>
        <v>20</v>
      </c>
      <c r="AX1406" s="12">
        <v>2</v>
      </c>
      <c r="AY1406" s="12">
        <v>3</v>
      </c>
      <c r="AZ1406" s="12">
        <v>20</v>
      </c>
      <c r="BA1406" s="12">
        <f t="shared" si="319"/>
        <v>20</v>
      </c>
      <c r="BB1406" s="12">
        <v>9</v>
      </c>
      <c r="BC1406" s="12">
        <v>3</v>
      </c>
      <c r="BD1406" s="12">
        <f t="shared" si="328"/>
        <v>3</v>
      </c>
      <c r="BE1406" s="12">
        <v>7</v>
      </c>
      <c r="BF1406" s="12">
        <f t="shared" si="320"/>
        <v>7</v>
      </c>
      <c r="BG1406" s="12">
        <f t="shared" si="329"/>
        <v>14</v>
      </c>
      <c r="BH1406" s="67">
        <v>1</v>
      </c>
      <c r="BI1406" s="67">
        <v>0</v>
      </c>
      <c r="BJ1406" s="67">
        <v>0</v>
      </c>
      <c r="BK1406" s="67">
        <v>0</v>
      </c>
      <c r="BL1406" s="67">
        <v>1</v>
      </c>
      <c r="BM1406" s="67">
        <v>0</v>
      </c>
      <c r="BN1406" s="67">
        <v>0</v>
      </c>
      <c r="BO1406" s="67">
        <v>0</v>
      </c>
      <c r="BP1406" s="67">
        <v>0</v>
      </c>
      <c r="BQ1406" s="67">
        <v>7</v>
      </c>
      <c r="BR1406" s="67">
        <v>0</v>
      </c>
      <c r="BS1406" s="67">
        <v>0</v>
      </c>
      <c r="BT1406" s="67">
        <v>20</v>
      </c>
      <c r="BU1406" s="70">
        <v>0</v>
      </c>
      <c r="BV1406" s="29">
        <f t="shared" si="321"/>
        <v>0.46111963056051275</v>
      </c>
      <c r="BW1406">
        <f t="shared" si="322"/>
        <v>0.80626709607243985</v>
      </c>
      <c r="BX1406">
        <f t="shared" si="323"/>
        <v>1.120762479521457</v>
      </c>
      <c r="BY1406">
        <f t="shared" si="324"/>
        <v>2.1205881656418071</v>
      </c>
      <c r="BZ1406">
        <f t="shared" si="325"/>
        <v>1.7031841475541873</v>
      </c>
      <c r="CA1406">
        <f t="shared" si="326"/>
        <v>0.55566315731117022</v>
      </c>
      <c r="CB1406">
        <f t="shared" si="327"/>
        <v>0.2520597274726662</v>
      </c>
    </row>
    <row r="1407" spans="1:80" x14ac:dyDescent="0.45">
      <c r="A1407" s="11">
        <v>31</v>
      </c>
      <c r="B1407" s="12">
        <f t="shared" si="315"/>
        <v>31</v>
      </c>
      <c r="C1407" s="12" t="s">
        <v>59</v>
      </c>
      <c r="D1407" s="12">
        <v>0</v>
      </c>
      <c r="E1407" s="12" t="s">
        <v>86</v>
      </c>
      <c r="F1407" s="12">
        <v>0</v>
      </c>
      <c r="G1407" s="12">
        <v>0</v>
      </c>
      <c r="H1407" s="12" t="s">
        <v>61</v>
      </c>
      <c r="I1407" s="12">
        <v>1</v>
      </c>
      <c r="J1407" s="12">
        <v>0</v>
      </c>
      <c r="K1407" s="12">
        <v>10</v>
      </c>
      <c r="L1407" s="12">
        <f t="shared" si="316"/>
        <v>10</v>
      </c>
      <c r="M1407" s="12">
        <v>3</v>
      </c>
      <c r="N1407" s="12" t="s">
        <v>70</v>
      </c>
      <c r="O1407" s="12">
        <v>0</v>
      </c>
      <c r="P1407" s="12">
        <v>0</v>
      </c>
      <c r="Q1407" s="12">
        <v>1</v>
      </c>
      <c r="R1407" s="12">
        <v>0</v>
      </c>
      <c r="S1407" s="12">
        <v>0</v>
      </c>
      <c r="T1407" s="12">
        <v>3</v>
      </c>
      <c r="U1407" s="12" t="s">
        <v>19</v>
      </c>
      <c r="V1407" s="12">
        <v>1</v>
      </c>
      <c r="W1407" s="12">
        <v>40</v>
      </c>
      <c r="X1407" s="12">
        <v>3</v>
      </c>
      <c r="Y1407" s="12">
        <v>3</v>
      </c>
      <c r="Z1407" s="12" t="s">
        <v>89</v>
      </c>
      <c r="AA1407" s="12">
        <v>0</v>
      </c>
      <c r="AB1407" s="12">
        <v>0</v>
      </c>
      <c r="AC1407" s="12">
        <v>0</v>
      </c>
      <c r="AD1407" s="12">
        <v>0</v>
      </c>
      <c r="AE1407" s="12">
        <v>0</v>
      </c>
      <c r="AF1407" s="12">
        <v>0</v>
      </c>
      <c r="AG1407" s="12">
        <v>0</v>
      </c>
      <c r="AH1407" s="12">
        <v>0</v>
      </c>
      <c r="AI1407" s="12">
        <v>3</v>
      </c>
      <c r="AJ1407" s="12" t="s">
        <v>64</v>
      </c>
      <c r="AK1407" s="12">
        <v>0</v>
      </c>
      <c r="AL1407" s="12">
        <v>1</v>
      </c>
      <c r="AM1407" s="12">
        <v>11031</v>
      </c>
      <c r="AN1407" s="12">
        <f t="shared" si="317"/>
        <v>11031</v>
      </c>
      <c r="AO1407" s="12">
        <v>4</v>
      </c>
      <c r="AP1407" s="12" t="s">
        <v>59</v>
      </c>
      <c r="AQ1407" s="12">
        <v>0</v>
      </c>
      <c r="AR1407" s="12">
        <v>20</v>
      </c>
      <c r="AS1407" s="12">
        <v>4</v>
      </c>
      <c r="AT1407" s="12">
        <v>3</v>
      </c>
      <c r="AU1407" s="12">
        <v>1</v>
      </c>
      <c r="AV1407" s="12">
        <v>13</v>
      </c>
      <c r="AW1407" s="12">
        <f t="shared" si="318"/>
        <v>13</v>
      </c>
      <c r="AX1407" s="12">
        <v>2</v>
      </c>
      <c r="AY1407" s="12">
        <v>4</v>
      </c>
      <c r="AZ1407" s="12">
        <v>11</v>
      </c>
      <c r="BA1407" s="12">
        <f t="shared" si="319"/>
        <v>11</v>
      </c>
      <c r="BB1407" s="12">
        <v>7</v>
      </c>
      <c r="BC1407" s="12">
        <v>4</v>
      </c>
      <c r="BD1407" s="12">
        <f t="shared" si="328"/>
        <v>4</v>
      </c>
      <c r="BE1407" s="12">
        <v>8</v>
      </c>
      <c r="BF1407" s="12">
        <f t="shared" si="320"/>
        <v>8</v>
      </c>
      <c r="BG1407" s="12">
        <f t="shared" si="329"/>
        <v>24</v>
      </c>
      <c r="BH1407" s="67">
        <v>0</v>
      </c>
      <c r="BI1407" s="67">
        <v>1</v>
      </c>
      <c r="BJ1407" s="67">
        <v>0</v>
      </c>
      <c r="BK1407" s="67">
        <v>0</v>
      </c>
      <c r="BL1407" s="67">
        <v>0</v>
      </c>
      <c r="BM1407" s="67">
        <v>0</v>
      </c>
      <c r="BN1407" s="67">
        <v>1</v>
      </c>
      <c r="BO1407" s="67">
        <v>0</v>
      </c>
      <c r="BP1407" s="67">
        <v>0</v>
      </c>
      <c r="BQ1407" s="67">
        <v>8</v>
      </c>
      <c r="BR1407" s="67">
        <v>0</v>
      </c>
      <c r="BS1407" s="67">
        <v>0</v>
      </c>
      <c r="BT1407" s="67">
        <v>13</v>
      </c>
      <c r="BU1407" s="70">
        <v>0</v>
      </c>
      <c r="BV1407" s="29">
        <f t="shared" si="321"/>
        <v>0.96179062725027209</v>
      </c>
      <c r="BW1407">
        <f t="shared" si="322"/>
        <v>1.08652546240644</v>
      </c>
      <c r="BX1407">
        <f t="shared" si="323"/>
        <v>0.22110993920818819</v>
      </c>
      <c r="BY1407">
        <f t="shared" si="324"/>
        <v>0.65156620358080031</v>
      </c>
      <c r="BZ1407">
        <f t="shared" si="325"/>
        <v>9.9604847176766084E-2</v>
      </c>
      <c r="CA1407">
        <f t="shared" si="326"/>
        <v>0.6484474368621912</v>
      </c>
      <c r="CB1407">
        <f t="shared" si="327"/>
        <v>0.56238451757720498</v>
      </c>
    </row>
    <row r="1408" spans="1:80" x14ac:dyDescent="0.45">
      <c r="A1408" s="11">
        <v>54</v>
      </c>
      <c r="B1408" s="12">
        <f t="shared" si="315"/>
        <v>54</v>
      </c>
      <c r="C1408" s="12" t="s">
        <v>59</v>
      </c>
      <c r="D1408" s="12">
        <v>0</v>
      </c>
      <c r="E1408" s="12" t="s">
        <v>53</v>
      </c>
      <c r="F1408" s="12">
        <v>0</v>
      </c>
      <c r="G1408" s="12">
        <v>1</v>
      </c>
      <c r="H1408" s="12" t="s">
        <v>61</v>
      </c>
      <c r="I1408" s="12">
        <v>1</v>
      </c>
      <c r="J1408" s="12">
        <v>0</v>
      </c>
      <c r="K1408" s="12">
        <v>10</v>
      </c>
      <c r="L1408" s="12">
        <f t="shared" si="316"/>
        <v>10</v>
      </c>
      <c r="M1408" s="12">
        <v>3</v>
      </c>
      <c r="N1408" s="12" t="s">
        <v>70</v>
      </c>
      <c r="O1408" s="12">
        <v>0</v>
      </c>
      <c r="P1408" s="12">
        <v>0</v>
      </c>
      <c r="Q1408" s="12">
        <v>1</v>
      </c>
      <c r="R1408" s="12">
        <v>0</v>
      </c>
      <c r="S1408" s="12">
        <v>0</v>
      </c>
      <c r="T1408" s="12">
        <v>3</v>
      </c>
      <c r="U1408" s="12" t="s">
        <v>19</v>
      </c>
      <c r="V1408" s="12">
        <v>1</v>
      </c>
      <c r="W1408" s="12">
        <v>77</v>
      </c>
      <c r="X1408" s="12">
        <v>3</v>
      </c>
      <c r="Y1408" s="12">
        <v>2</v>
      </c>
      <c r="Z1408" s="12" t="s">
        <v>83</v>
      </c>
      <c r="AA1408" s="12">
        <v>0</v>
      </c>
      <c r="AB1408" s="12">
        <v>0</v>
      </c>
      <c r="AC1408" s="12">
        <v>0</v>
      </c>
      <c r="AD1408" s="12">
        <v>0</v>
      </c>
      <c r="AE1408" s="12">
        <v>1</v>
      </c>
      <c r="AF1408" s="12">
        <v>1</v>
      </c>
      <c r="AG1408" s="12">
        <v>0</v>
      </c>
      <c r="AH1408" s="12">
        <v>0</v>
      </c>
      <c r="AI1408" s="12">
        <v>1</v>
      </c>
      <c r="AJ1408" s="12" t="s">
        <v>57</v>
      </c>
      <c r="AK1408" s="12">
        <v>1</v>
      </c>
      <c r="AL1408" s="12">
        <v>0</v>
      </c>
      <c r="AM1408" s="12">
        <v>4440</v>
      </c>
      <c r="AN1408" s="12">
        <f t="shared" si="317"/>
        <v>4440</v>
      </c>
      <c r="AO1408" s="12">
        <v>6</v>
      </c>
      <c r="AP1408" s="12" t="s">
        <v>52</v>
      </c>
      <c r="AQ1408" s="12">
        <v>1</v>
      </c>
      <c r="AR1408" s="12">
        <v>19</v>
      </c>
      <c r="AS1408" s="12">
        <v>3</v>
      </c>
      <c r="AT1408" s="12">
        <v>4</v>
      </c>
      <c r="AU1408" s="12">
        <v>0</v>
      </c>
      <c r="AV1408" s="12">
        <v>9</v>
      </c>
      <c r="AW1408" s="12">
        <f t="shared" si="318"/>
        <v>9</v>
      </c>
      <c r="AX1408" s="12">
        <v>3</v>
      </c>
      <c r="AY1408" s="12">
        <v>3</v>
      </c>
      <c r="AZ1408" s="12">
        <v>5</v>
      </c>
      <c r="BA1408" s="12">
        <f t="shared" si="319"/>
        <v>5</v>
      </c>
      <c r="BB1408" s="12">
        <v>2</v>
      </c>
      <c r="BC1408" s="12">
        <v>1</v>
      </c>
      <c r="BD1408" s="12">
        <f t="shared" si="328"/>
        <v>1</v>
      </c>
      <c r="BE1408" s="12">
        <v>4</v>
      </c>
      <c r="BF1408" s="12">
        <f t="shared" si="320"/>
        <v>4</v>
      </c>
      <c r="BG1408" s="12">
        <f t="shared" si="329"/>
        <v>8</v>
      </c>
      <c r="BH1408" s="67">
        <v>1</v>
      </c>
      <c r="BI1408" s="67">
        <v>0</v>
      </c>
      <c r="BJ1408" s="67">
        <v>0</v>
      </c>
      <c r="BK1408" s="67">
        <v>0</v>
      </c>
      <c r="BL1408" s="67">
        <v>0</v>
      </c>
      <c r="BM1408" s="67">
        <v>1</v>
      </c>
      <c r="BN1408" s="67">
        <v>0</v>
      </c>
      <c r="BO1408" s="67">
        <v>0</v>
      </c>
      <c r="BP1408" s="67">
        <v>0</v>
      </c>
      <c r="BQ1408" s="67">
        <v>4</v>
      </c>
      <c r="BR1408" s="67">
        <v>0</v>
      </c>
      <c r="BS1408" s="67">
        <v>0</v>
      </c>
      <c r="BT1408" s="67">
        <v>9</v>
      </c>
      <c r="BU1408" s="70">
        <v>0</v>
      </c>
      <c r="BV1408" s="29">
        <f t="shared" si="321"/>
        <v>0.43817974283942529</v>
      </c>
      <c r="BW1408">
        <f t="shared" si="322"/>
        <v>3.4508002929560584E-2</v>
      </c>
      <c r="BX1408">
        <f t="shared" si="323"/>
        <v>0.29297722668510823</v>
      </c>
      <c r="BY1408">
        <f t="shared" si="324"/>
        <v>0.32778177112653761</v>
      </c>
      <c r="BZ1408">
        <f t="shared" si="325"/>
        <v>9.9604847176766084E-2</v>
      </c>
      <c r="CA1408">
        <f t="shared" si="326"/>
        <v>1.8692383509548371</v>
      </c>
      <c r="CB1408">
        <f t="shared" si="327"/>
        <v>0.36858985273641137</v>
      </c>
    </row>
    <row r="1409" spans="1:80" x14ac:dyDescent="0.45">
      <c r="A1409" s="11">
        <v>24</v>
      </c>
      <c r="B1409" s="12">
        <f t="shared" si="315"/>
        <v>24</v>
      </c>
      <c r="C1409" s="12" t="s">
        <v>59</v>
      </c>
      <c r="D1409" s="12">
        <v>0</v>
      </c>
      <c r="E1409" s="12" t="s">
        <v>53</v>
      </c>
      <c r="F1409" s="12">
        <v>0</v>
      </c>
      <c r="G1409" s="12">
        <v>1</v>
      </c>
      <c r="H1409" s="12" t="s">
        <v>61</v>
      </c>
      <c r="I1409" s="12">
        <v>1</v>
      </c>
      <c r="J1409" s="12">
        <v>0</v>
      </c>
      <c r="K1409" s="12">
        <v>1</v>
      </c>
      <c r="L1409" s="12">
        <f t="shared" si="316"/>
        <v>1</v>
      </c>
      <c r="M1409" s="12">
        <v>2</v>
      </c>
      <c r="N1409" s="12" t="s">
        <v>55</v>
      </c>
      <c r="O1409" s="12">
        <v>1</v>
      </c>
      <c r="P1409" s="12">
        <v>0</v>
      </c>
      <c r="Q1409" s="12">
        <v>0</v>
      </c>
      <c r="R1409" s="12">
        <v>0</v>
      </c>
      <c r="S1409" s="12">
        <v>0</v>
      </c>
      <c r="T1409" s="12">
        <v>2</v>
      </c>
      <c r="U1409" s="12" t="s">
        <v>62</v>
      </c>
      <c r="V1409" s="12">
        <v>0</v>
      </c>
      <c r="W1409" s="12">
        <v>45</v>
      </c>
      <c r="X1409" s="12">
        <v>2</v>
      </c>
      <c r="Y1409" s="12">
        <v>2</v>
      </c>
      <c r="Z1409" s="12" t="s">
        <v>85</v>
      </c>
      <c r="AA1409" s="12">
        <v>1</v>
      </c>
      <c r="AB1409" s="12">
        <v>0</v>
      </c>
      <c r="AC1409" s="12">
        <v>0</v>
      </c>
      <c r="AD1409" s="12">
        <v>0</v>
      </c>
      <c r="AE1409" s="12">
        <v>0</v>
      </c>
      <c r="AF1409" s="12">
        <v>0</v>
      </c>
      <c r="AG1409" s="12">
        <v>0</v>
      </c>
      <c r="AH1409" s="12">
        <v>0</v>
      </c>
      <c r="AI1409" s="12">
        <v>3</v>
      </c>
      <c r="AJ1409" s="12" t="s">
        <v>57</v>
      </c>
      <c r="AK1409" s="12">
        <v>1</v>
      </c>
      <c r="AL1409" s="12">
        <v>0</v>
      </c>
      <c r="AM1409" s="12">
        <v>4617</v>
      </c>
      <c r="AN1409" s="12">
        <f t="shared" si="317"/>
        <v>4617</v>
      </c>
      <c r="AO1409" s="12">
        <v>1</v>
      </c>
      <c r="AP1409" s="12" t="s">
        <v>59</v>
      </c>
      <c r="AQ1409" s="12">
        <v>0</v>
      </c>
      <c r="AR1409" s="12">
        <v>12</v>
      </c>
      <c r="AS1409" s="12">
        <v>3</v>
      </c>
      <c r="AT1409" s="12">
        <v>2</v>
      </c>
      <c r="AU1409" s="12">
        <v>0</v>
      </c>
      <c r="AV1409" s="12">
        <v>4</v>
      </c>
      <c r="AW1409" s="12">
        <f t="shared" si="318"/>
        <v>4</v>
      </c>
      <c r="AX1409" s="12">
        <v>2</v>
      </c>
      <c r="AY1409" s="12">
        <v>2</v>
      </c>
      <c r="AZ1409" s="12">
        <v>4</v>
      </c>
      <c r="BA1409" s="12">
        <f t="shared" si="319"/>
        <v>4</v>
      </c>
      <c r="BB1409" s="12">
        <v>3</v>
      </c>
      <c r="BC1409" s="12">
        <v>1</v>
      </c>
      <c r="BD1409" s="12">
        <f t="shared" si="328"/>
        <v>1</v>
      </c>
      <c r="BE1409" s="12">
        <v>2</v>
      </c>
      <c r="BF1409" s="12">
        <f t="shared" si="320"/>
        <v>2</v>
      </c>
      <c r="BG1409" s="12">
        <f t="shared" si="329"/>
        <v>4</v>
      </c>
      <c r="BH1409" s="67">
        <v>1</v>
      </c>
      <c r="BI1409" s="67">
        <v>0</v>
      </c>
      <c r="BJ1409" s="67">
        <v>0</v>
      </c>
      <c r="BK1409" s="67">
        <v>0</v>
      </c>
      <c r="BL1409" s="67">
        <v>1</v>
      </c>
      <c r="BM1409" s="67">
        <v>0</v>
      </c>
      <c r="BN1409" s="67">
        <v>0</v>
      </c>
      <c r="BO1409" s="67">
        <v>0</v>
      </c>
      <c r="BP1409" s="67">
        <v>0</v>
      </c>
      <c r="BQ1409" s="67">
        <v>2</v>
      </c>
      <c r="BR1409" s="67">
        <v>0</v>
      </c>
      <c r="BS1409" s="67">
        <v>0</v>
      </c>
      <c r="BT1409" s="67">
        <v>4</v>
      </c>
      <c r="BU1409" s="70">
        <v>0</v>
      </c>
      <c r="BV1409" s="29">
        <f t="shared" si="321"/>
        <v>0.40058381574097646</v>
      </c>
      <c r="BW1409">
        <f t="shared" si="322"/>
        <v>0.59502473559756086</v>
      </c>
      <c r="BX1409">
        <f t="shared" si="323"/>
        <v>0.93558618405172878</v>
      </c>
      <c r="BY1409">
        <f t="shared" si="324"/>
        <v>0.49100643357776058</v>
      </c>
      <c r="BZ1409">
        <f t="shared" si="325"/>
        <v>1.01056543769991</v>
      </c>
      <c r="CA1409">
        <f t="shared" si="326"/>
        <v>1.4146996331543302</v>
      </c>
      <c r="CB1409">
        <f t="shared" si="327"/>
        <v>0.36858985273641137</v>
      </c>
    </row>
    <row r="1410" spans="1:80" x14ac:dyDescent="0.45">
      <c r="A1410" s="11">
        <v>23</v>
      </c>
      <c r="B1410" s="12">
        <f t="shared" ref="B1410:B1471" si="330">IF(A1410&gt;$CD$29,$CD$29,IF(A1410&lt;$CD$30,$CD$30,A1410))</f>
        <v>23</v>
      </c>
      <c r="C1410" s="12" t="s">
        <v>59</v>
      </c>
      <c r="D1410" s="12">
        <v>0</v>
      </c>
      <c r="E1410" s="12" t="s">
        <v>53</v>
      </c>
      <c r="F1410" s="12">
        <v>0</v>
      </c>
      <c r="G1410" s="12">
        <v>1</v>
      </c>
      <c r="H1410" s="12" t="s">
        <v>61</v>
      </c>
      <c r="I1410" s="12">
        <v>1</v>
      </c>
      <c r="J1410" s="12">
        <v>0</v>
      </c>
      <c r="K1410" s="12">
        <v>12</v>
      </c>
      <c r="L1410" s="12">
        <f t="shared" ref="L1410:L1471" si="331">IF(K1410&gt;$CD$25,$CD$25,IF(K1410&lt;$CD$26,$CD$26,K1410))</f>
        <v>12</v>
      </c>
      <c r="M1410" s="12">
        <v>2</v>
      </c>
      <c r="N1410" s="12" t="s">
        <v>66</v>
      </c>
      <c r="O1410" s="12">
        <v>0</v>
      </c>
      <c r="P1410" s="12">
        <v>1</v>
      </c>
      <c r="Q1410" s="12">
        <v>0</v>
      </c>
      <c r="R1410" s="12">
        <v>0</v>
      </c>
      <c r="S1410" s="12">
        <v>0</v>
      </c>
      <c r="T1410" s="12">
        <v>4</v>
      </c>
      <c r="U1410" s="12" t="s">
        <v>62</v>
      </c>
      <c r="V1410" s="12">
        <v>0</v>
      </c>
      <c r="W1410" s="12">
        <v>78</v>
      </c>
      <c r="X1410" s="12">
        <v>3</v>
      </c>
      <c r="Y1410" s="12">
        <v>1</v>
      </c>
      <c r="Z1410" s="12" t="s">
        <v>67</v>
      </c>
      <c r="AA1410" s="12">
        <v>0</v>
      </c>
      <c r="AB1410" s="12">
        <v>0</v>
      </c>
      <c r="AC1410" s="12">
        <v>1</v>
      </c>
      <c r="AD1410" s="12">
        <v>0</v>
      </c>
      <c r="AE1410" s="12">
        <v>0</v>
      </c>
      <c r="AF1410" s="12">
        <v>0</v>
      </c>
      <c r="AG1410" s="12">
        <v>0</v>
      </c>
      <c r="AH1410" s="12">
        <v>0</v>
      </c>
      <c r="AI1410" s="12">
        <v>4</v>
      </c>
      <c r="AJ1410" s="12" t="s">
        <v>57</v>
      </c>
      <c r="AK1410" s="12">
        <v>1</v>
      </c>
      <c r="AL1410" s="12">
        <v>0</v>
      </c>
      <c r="AM1410" s="12">
        <v>2647</v>
      </c>
      <c r="AN1410" s="12">
        <f t="shared" ref="AN1410:AN1471" si="332">IF(AM1410&gt;$CD$8,$CD$8,IF(AM1410&lt;$CD$9,$CD$9,AM1410))</f>
        <v>2647</v>
      </c>
      <c r="AO1410" s="12">
        <v>1</v>
      </c>
      <c r="AP1410" s="12" t="s">
        <v>59</v>
      </c>
      <c r="AQ1410" s="12">
        <v>0</v>
      </c>
      <c r="AR1410" s="12">
        <v>13</v>
      </c>
      <c r="AS1410" s="12">
        <v>3</v>
      </c>
      <c r="AT1410" s="12">
        <v>3</v>
      </c>
      <c r="AU1410" s="12">
        <v>0</v>
      </c>
      <c r="AV1410" s="12">
        <v>5</v>
      </c>
      <c r="AW1410" s="12">
        <f t="shared" ref="AW1410:AW1471" si="333">IF(AV1410&gt;$CD$17,$CD$17,IF(AV1410&lt;$CD$18,$CD$18,AV1410))</f>
        <v>5</v>
      </c>
      <c r="AX1410" s="12">
        <v>6</v>
      </c>
      <c r="AY1410" s="12">
        <v>4</v>
      </c>
      <c r="AZ1410" s="12">
        <v>5</v>
      </c>
      <c r="BA1410" s="12">
        <f t="shared" ref="BA1410:BA1471" si="334">IF(AZ1410&gt; $CD$21,$CD$21,IF(AZ1410&lt;$CD$22,$CD$22,AZ1410))</f>
        <v>5</v>
      </c>
      <c r="BB1410" s="12">
        <v>2</v>
      </c>
      <c r="BC1410" s="12">
        <v>1</v>
      </c>
      <c r="BD1410" s="12">
        <f t="shared" si="328"/>
        <v>1</v>
      </c>
      <c r="BE1410" s="12">
        <v>4</v>
      </c>
      <c r="BF1410" s="12">
        <f t="shared" ref="BF1410:BF1471" si="335">IF(BE1410&gt;$CD$12,$CD$12,IF(BE1410&lt;$CD$13,$CD$13,BE1410))</f>
        <v>4</v>
      </c>
      <c r="BG1410" s="12">
        <f t="shared" si="329"/>
        <v>4</v>
      </c>
      <c r="BH1410" s="67">
        <v>1</v>
      </c>
      <c r="BI1410" s="67">
        <v>0</v>
      </c>
      <c r="BJ1410" s="67">
        <v>0</v>
      </c>
      <c r="BK1410" s="67">
        <v>0</v>
      </c>
      <c r="BL1410" s="67">
        <v>1</v>
      </c>
      <c r="BM1410" s="67">
        <v>0</v>
      </c>
      <c r="BN1410" s="67">
        <v>0</v>
      </c>
      <c r="BO1410" s="67">
        <v>0</v>
      </c>
      <c r="BP1410" s="67">
        <v>0</v>
      </c>
      <c r="BQ1410" s="67">
        <v>4</v>
      </c>
      <c r="BR1410" s="67">
        <v>0</v>
      </c>
      <c r="BS1410" s="67">
        <v>0</v>
      </c>
      <c r="BT1410" s="67">
        <v>5</v>
      </c>
      <c r="BU1410" s="70">
        <v>0</v>
      </c>
      <c r="BV1410" s="29">
        <f t="shared" ref="BV1410:BV1471" si="336">ABS((AM1410-AVERAGE(AM:AM))/_xlfn.STDEV.S(AM:AM))</f>
        <v>0.81902436028303438</v>
      </c>
      <c r="BW1410">
        <f t="shared" si="322"/>
        <v>3.4508002929560584E-2</v>
      </c>
      <c r="BX1410">
        <f t="shared" si="323"/>
        <v>0.80706439257840468</v>
      </c>
      <c r="BY1410">
        <f t="shared" si="324"/>
        <v>0.32778177112653761</v>
      </c>
      <c r="BZ1410">
        <f t="shared" si="325"/>
        <v>0.3463093549271386</v>
      </c>
      <c r="CA1410">
        <f t="shared" si="326"/>
        <v>1.5241642326246359</v>
      </c>
      <c r="CB1410">
        <f t="shared" si="327"/>
        <v>0.36858985273641137</v>
      </c>
    </row>
    <row r="1411" spans="1:80" x14ac:dyDescent="0.45">
      <c r="A1411" s="11">
        <v>40</v>
      </c>
      <c r="B1411" s="12">
        <f t="shared" si="330"/>
        <v>40</v>
      </c>
      <c r="C1411" s="12" t="s">
        <v>59</v>
      </c>
      <c r="D1411" s="12">
        <v>0</v>
      </c>
      <c r="E1411" s="12" t="s">
        <v>60</v>
      </c>
      <c r="F1411" s="12">
        <v>1</v>
      </c>
      <c r="G1411" s="12">
        <v>0</v>
      </c>
      <c r="H1411" s="12" t="s">
        <v>61</v>
      </c>
      <c r="I1411" s="12">
        <v>1</v>
      </c>
      <c r="J1411" s="12">
        <v>0</v>
      </c>
      <c r="K1411" s="12">
        <v>11</v>
      </c>
      <c r="L1411" s="12">
        <f t="shared" si="331"/>
        <v>11</v>
      </c>
      <c r="M1411" s="12">
        <v>3</v>
      </c>
      <c r="N1411" s="12" t="s">
        <v>91</v>
      </c>
      <c r="O1411" s="12">
        <v>0</v>
      </c>
      <c r="P1411" s="12">
        <v>0</v>
      </c>
      <c r="Q1411" s="12">
        <v>0</v>
      </c>
      <c r="R1411" s="12">
        <v>0</v>
      </c>
      <c r="S1411" s="12">
        <v>1</v>
      </c>
      <c r="T1411" s="12">
        <v>4</v>
      </c>
      <c r="U1411" s="12" t="s">
        <v>19</v>
      </c>
      <c r="V1411" s="12">
        <v>1</v>
      </c>
      <c r="W1411" s="12">
        <v>73</v>
      </c>
      <c r="X1411" s="12">
        <v>3</v>
      </c>
      <c r="Y1411" s="12">
        <v>2</v>
      </c>
      <c r="Z1411" s="12" t="s">
        <v>67</v>
      </c>
      <c r="AA1411" s="12">
        <v>0</v>
      </c>
      <c r="AB1411" s="12">
        <v>0</v>
      </c>
      <c r="AC1411" s="12">
        <v>1</v>
      </c>
      <c r="AD1411" s="12">
        <v>0</v>
      </c>
      <c r="AE1411" s="12">
        <v>0</v>
      </c>
      <c r="AF1411" s="12">
        <v>0</v>
      </c>
      <c r="AG1411" s="12">
        <v>0</v>
      </c>
      <c r="AH1411" s="12">
        <v>0</v>
      </c>
      <c r="AI1411" s="12">
        <v>3</v>
      </c>
      <c r="AJ1411" s="12" t="s">
        <v>64</v>
      </c>
      <c r="AK1411" s="12">
        <v>0</v>
      </c>
      <c r="AL1411" s="12">
        <v>1</v>
      </c>
      <c r="AM1411" s="12">
        <v>6323</v>
      </c>
      <c r="AN1411" s="12">
        <f t="shared" si="332"/>
        <v>6323</v>
      </c>
      <c r="AO1411" s="12">
        <v>1</v>
      </c>
      <c r="AP1411" s="12" t="s">
        <v>59</v>
      </c>
      <c r="AQ1411" s="12">
        <v>0</v>
      </c>
      <c r="AR1411" s="12">
        <v>11</v>
      </c>
      <c r="AS1411" s="12">
        <v>3</v>
      </c>
      <c r="AT1411" s="12">
        <v>1</v>
      </c>
      <c r="AU1411" s="12">
        <v>1</v>
      </c>
      <c r="AV1411" s="12">
        <v>10</v>
      </c>
      <c r="AW1411" s="12">
        <f t="shared" si="333"/>
        <v>10</v>
      </c>
      <c r="AX1411" s="12">
        <v>2</v>
      </c>
      <c r="AY1411" s="12">
        <v>4</v>
      </c>
      <c r="AZ1411" s="12">
        <v>10</v>
      </c>
      <c r="BA1411" s="12">
        <f t="shared" si="334"/>
        <v>10</v>
      </c>
      <c r="BB1411" s="12">
        <v>9</v>
      </c>
      <c r="BC1411" s="12">
        <v>9</v>
      </c>
      <c r="BD1411" s="12">
        <f t="shared" ref="BD1411:BD1471" si="337">IF(BC1411&gt;$CD$33,$CD$33,BC1411)</f>
        <v>9</v>
      </c>
      <c r="BE1411" s="12">
        <v>4</v>
      </c>
      <c r="BF1411" s="12">
        <f t="shared" si="335"/>
        <v>4</v>
      </c>
      <c r="BG1411" s="12">
        <f t="shared" ref="BG1411:BG1442" si="338">BF1411*Y1411</f>
        <v>8</v>
      </c>
      <c r="BH1411" s="67">
        <v>0</v>
      </c>
      <c r="BI1411" s="67">
        <v>0</v>
      </c>
      <c r="BJ1411" s="67">
        <v>0</v>
      </c>
      <c r="BK1411" s="67">
        <v>1</v>
      </c>
      <c r="BL1411" s="67">
        <v>0</v>
      </c>
      <c r="BM1411" s="67">
        <v>0</v>
      </c>
      <c r="BN1411" s="67">
        <v>1</v>
      </c>
      <c r="BO1411" s="67">
        <v>0</v>
      </c>
      <c r="BP1411" s="67">
        <v>0</v>
      </c>
      <c r="BQ1411" s="67">
        <v>4</v>
      </c>
      <c r="BR1411" s="67">
        <v>0</v>
      </c>
      <c r="BS1411" s="67">
        <v>0</v>
      </c>
      <c r="BT1411" s="67">
        <v>10</v>
      </c>
      <c r="BU1411" s="70">
        <v>0</v>
      </c>
      <c r="BV1411" s="29">
        <f t="shared" si="336"/>
        <v>3.8218552294910016E-2</v>
      </c>
      <c r="BW1411">
        <f t="shared" ref="BW1411:BW1471" si="339">ABS((BE1411-AVERAGE(BE:BE))/_xlfn.STDEV.S(BE:BE))</f>
        <v>3.4508002929560584E-2</v>
      </c>
      <c r="BX1411">
        <f t="shared" ref="BX1411:BX1471" si="340">ABS((AV1411-AVERAGE(AV:AV))/_xlfn.STDEV.S(AV:AV))</f>
        <v>0.1644554352117841</v>
      </c>
      <c r="BY1411">
        <f t="shared" ref="BY1411:BY1471" si="341">ABS((AZ1411-AVERAGE(AZ:AZ))/_xlfn.STDEV.S(AZ:AZ))</f>
        <v>0.48834154112957734</v>
      </c>
      <c r="BZ1411">
        <f t="shared" ref="BZ1411:BZ1471" si="342">ABS((K1411-AVERAGE(K:K))/_xlfn.STDEV.S(K:K))</f>
        <v>0.22295710105195232</v>
      </c>
      <c r="CA1411">
        <f t="shared" ref="CA1411:CA1471" si="343">ABS((A1411-AVERAGE(A:A))/_xlfn.STDEV.S(A:A))</f>
        <v>0.33673395837055903</v>
      </c>
      <c r="CB1411">
        <f t="shared" ref="CB1411:CB1471" si="344">ABS((BC1411-AVERAGE(BC:BC))/_xlfn.STDEV.S(BC:BC))</f>
        <v>2.114008468099899</v>
      </c>
    </row>
    <row r="1412" spans="1:80" x14ac:dyDescent="0.45">
      <c r="A1412" s="11">
        <v>40</v>
      </c>
      <c r="B1412" s="12">
        <f t="shared" si="330"/>
        <v>40</v>
      </c>
      <c r="C1412" s="12" t="s">
        <v>59</v>
      </c>
      <c r="D1412" s="12">
        <v>0</v>
      </c>
      <c r="E1412" s="12" t="s">
        <v>53</v>
      </c>
      <c r="F1412" s="12">
        <v>0</v>
      </c>
      <c r="G1412" s="12">
        <v>1</v>
      </c>
      <c r="H1412" s="12" t="s">
        <v>54</v>
      </c>
      <c r="I1412" s="12">
        <v>0</v>
      </c>
      <c r="J1412" s="12">
        <v>1</v>
      </c>
      <c r="K1412" s="12">
        <v>2</v>
      </c>
      <c r="L1412" s="12">
        <f t="shared" si="331"/>
        <v>2</v>
      </c>
      <c r="M1412" s="12">
        <v>2</v>
      </c>
      <c r="N1412" s="12" t="s">
        <v>90</v>
      </c>
      <c r="O1412" s="12">
        <v>0</v>
      </c>
      <c r="P1412" s="12">
        <v>0</v>
      </c>
      <c r="Q1412" s="12">
        <v>0</v>
      </c>
      <c r="R1412" s="12">
        <v>1</v>
      </c>
      <c r="S1412" s="12">
        <v>0</v>
      </c>
      <c r="T1412" s="12">
        <v>2</v>
      </c>
      <c r="U1412" s="12" t="s">
        <v>19</v>
      </c>
      <c r="V1412" s="12">
        <v>1</v>
      </c>
      <c r="W1412" s="12">
        <v>92</v>
      </c>
      <c r="X1412" s="12">
        <v>3</v>
      </c>
      <c r="Y1412" s="12">
        <v>2</v>
      </c>
      <c r="Z1412" s="12" t="s">
        <v>56</v>
      </c>
      <c r="AA1412" s="12">
        <v>0</v>
      </c>
      <c r="AB1412" s="12">
        <v>1</v>
      </c>
      <c r="AC1412" s="12">
        <v>0</v>
      </c>
      <c r="AD1412" s="12">
        <v>0</v>
      </c>
      <c r="AE1412" s="12">
        <v>0</v>
      </c>
      <c r="AF1412" s="12">
        <v>0</v>
      </c>
      <c r="AG1412" s="12">
        <v>0</v>
      </c>
      <c r="AH1412" s="12">
        <v>0</v>
      </c>
      <c r="AI1412" s="12">
        <v>2</v>
      </c>
      <c r="AJ1412" s="12" t="s">
        <v>64</v>
      </c>
      <c r="AK1412" s="12">
        <v>0</v>
      </c>
      <c r="AL1412" s="12">
        <v>1</v>
      </c>
      <c r="AM1412" s="12">
        <v>5677</v>
      </c>
      <c r="AN1412" s="12">
        <f t="shared" si="332"/>
        <v>5677</v>
      </c>
      <c r="AO1412" s="12">
        <v>3</v>
      </c>
      <c r="AP1412" s="12" t="s">
        <v>59</v>
      </c>
      <c r="AQ1412" s="12">
        <v>0</v>
      </c>
      <c r="AR1412" s="12">
        <v>14</v>
      </c>
      <c r="AS1412" s="12">
        <v>3</v>
      </c>
      <c r="AT1412" s="12">
        <v>3</v>
      </c>
      <c r="AU1412" s="12">
        <v>1</v>
      </c>
      <c r="AV1412" s="12">
        <v>15</v>
      </c>
      <c r="AW1412" s="12">
        <f t="shared" si="333"/>
        <v>15</v>
      </c>
      <c r="AX1412" s="12">
        <v>4</v>
      </c>
      <c r="AY1412" s="12">
        <v>3</v>
      </c>
      <c r="AZ1412" s="12">
        <v>11</v>
      </c>
      <c r="BA1412" s="12">
        <f t="shared" si="334"/>
        <v>11</v>
      </c>
      <c r="BB1412" s="12">
        <v>8</v>
      </c>
      <c r="BC1412" s="12">
        <v>5</v>
      </c>
      <c r="BD1412" s="12">
        <f t="shared" si="337"/>
        <v>5</v>
      </c>
      <c r="BE1412" s="12">
        <v>10</v>
      </c>
      <c r="BF1412" s="12">
        <f t="shared" si="335"/>
        <v>10</v>
      </c>
      <c r="BG1412" s="12">
        <f t="shared" si="338"/>
        <v>20</v>
      </c>
      <c r="BH1412" s="67">
        <v>0</v>
      </c>
      <c r="BI1412" s="67">
        <v>1</v>
      </c>
      <c r="BJ1412" s="67">
        <v>0</v>
      </c>
      <c r="BK1412" s="67">
        <v>0</v>
      </c>
      <c r="BL1412" s="67">
        <v>0</v>
      </c>
      <c r="BM1412" s="67">
        <v>0</v>
      </c>
      <c r="BN1412" s="67">
        <v>1</v>
      </c>
      <c r="BO1412" s="67">
        <v>0</v>
      </c>
      <c r="BP1412" s="67">
        <v>0</v>
      </c>
      <c r="BQ1412" s="67">
        <v>0</v>
      </c>
      <c r="BR1412" s="67">
        <v>10</v>
      </c>
      <c r="BS1412" s="67">
        <v>0</v>
      </c>
      <c r="BT1412" s="67">
        <v>0</v>
      </c>
      <c r="BU1412" s="70">
        <v>15</v>
      </c>
      <c r="BV1412" s="29">
        <f t="shared" si="336"/>
        <v>0.17543306588585897</v>
      </c>
      <c r="BW1412">
        <f t="shared" si="339"/>
        <v>1.6470421950744405</v>
      </c>
      <c r="BX1412">
        <f t="shared" si="340"/>
        <v>0.47815352215483642</v>
      </c>
      <c r="BY1412">
        <f t="shared" si="341"/>
        <v>0.65156620358080031</v>
      </c>
      <c r="BZ1412">
        <f t="shared" si="342"/>
        <v>0.88721318382472392</v>
      </c>
      <c r="CA1412">
        <f t="shared" si="343"/>
        <v>0.33673395837055903</v>
      </c>
      <c r="CB1412">
        <f t="shared" si="344"/>
        <v>0.87270930768174382</v>
      </c>
    </row>
    <row r="1413" spans="1:80" x14ac:dyDescent="0.45">
      <c r="A1413" s="11">
        <v>25</v>
      </c>
      <c r="B1413" s="12">
        <f t="shared" si="330"/>
        <v>25</v>
      </c>
      <c r="C1413" s="12" t="s">
        <v>59</v>
      </c>
      <c r="D1413" s="12">
        <v>0</v>
      </c>
      <c r="E1413" s="12" t="s">
        <v>53</v>
      </c>
      <c r="F1413" s="12">
        <v>0</v>
      </c>
      <c r="G1413" s="12">
        <v>1</v>
      </c>
      <c r="H1413" s="12" t="s">
        <v>97</v>
      </c>
      <c r="I1413" s="12">
        <v>0</v>
      </c>
      <c r="J1413" s="12">
        <v>0</v>
      </c>
      <c r="K1413" s="12">
        <v>2</v>
      </c>
      <c r="L1413" s="12">
        <f t="shared" si="331"/>
        <v>2</v>
      </c>
      <c r="M1413" s="12">
        <v>3</v>
      </c>
      <c r="N1413" s="12" t="s">
        <v>97</v>
      </c>
      <c r="O1413" s="12">
        <v>0</v>
      </c>
      <c r="P1413" s="12">
        <v>0</v>
      </c>
      <c r="Q1413" s="12">
        <v>0</v>
      </c>
      <c r="R1413" s="12">
        <v>0</v>
      </c>
      <c r="S1413" s="12">
        <v>0</v>
      </c>
      <c r="T1413" s="12">
        <v>3</v>
      </c>
      <c r="U1413" s="12" t="s">
        <v>19</v>
      </c>
      <c r="V1413" s="12">
        <v>1</v>
      </c>
      <c r="W1413" s="12">
        <v>82</v>
      </c>
      <c r="X1413" s="12">
        <v>3</v>
      </c>
      <c r="Y1413" s="12">
        <v>1</v>
      </c>
      <c r="Z1413" s="12" t="s">
        <v>97</v>
      </c>
      <c r="AA1413" s="12">
        <v>0</v>
      </c>
      <c r="AB1413" s="12">
        <v>0</v>
      </c>
      <c r="AC1413" s="12">
        <v>0</v>
      </c>
      <c r="AD1413" s="12">
        <v>0</v>
      </c>
      <c r="AE1413" s="12">
        <v>0</v>
      </c>
      <c r="AF1413" s="12">
        <v>0</v>
      </c>
      <c r="AG1413" s="12">
        <v>0</v>
      </c>
      <c r="AH1413" s="12">
        <v>0</v>
      </c>
      <c r="AI1413" s="12">
        <v>2</v>
      </c>
      <c r="AJ1413" s="12" t="s">
        <v>64</v>
      </c>
      <c r="AK1413" s="12">
        <v>0</v>
      </c>
      <c r="AL1413" s="12">
        <v>1</v>
      </c>
      <c r="AM1413" s="12">
        <v>2187</v>
      </c>
      <c r="AN1413" s="12">
        <f t="shared" si="332"/>
        <v>2187</v>
      </c>
      <c r="AO1413" s="12">
        <v>4</v>
      </c>
      <c r="AP1413" s="12" t="s">
        <v>59</v>
      </c>
      <c r="AQ1413" s="12">
        <v>0</v>
      </c>
      <c r="AR1413" s="12">
        <v>14</v>
      </c>
      <c r="AS1413" s="12">
        <v>3</v>
      </c>
      <c r="AT1413" s="12">
        <v>3</v>
      </c>
      <c r="AU1413" s="12">
        <v>0</v>
      </c>
      <c r="AV1413" s="12">
        <v>6</v>
      </c>
      <c r="AW1413" s="12">
        <f t="shared" si="333"/>
        <v>6</v>
      </c>
      <c r="AX1413" s="12">
        <v>3</v>
      </c>
      <c r="AY1413" s="12">
        <v>3</v>
      </c>
      <c r="AZ1413" s="12">
        <v>2</v>
      </c>
      <c r="BA1413" s="12">
        <f t="shared" si="334"/>
        <v>2</v>
      </c>
      <c r="BB1413" s="12">
        <v>0</v>
      </c>
      <c r="BC1413" s="12">
        <v>1</v>
      </c>
      <c r="BD1413" s="12">
        <f t="shared" si="337"/>
        <v>1</v>
      </c>
      <c r="BE1413" s="12">
        <v>2</v>
      </c>
      <c r="BF1413" s="12">
        <f t="shared" si="335"/>
        <v>2</v>
      </c>
      <c r="BG1413" s="12">
        <f t="shared" si="338"/>
        <v>2</v>
      </c>
      <c r="BH1413" s="67">
        <v>0</v>
      </c>
      <c r="BI1413" s="67">
        <v>1</v>
      </c>
      <c r="BJ1413" s="67">
        <v>0</v>
      </c>
      <c r="BK1413" s="67">
        <v>0</v>
      </c>
      <c r="BL1413" s="67">
        <v>0</v>
      </c>
      <c r="BM1413" s="67">
        <v>0</v>
      </c>
      <c r="BN1413" s="67">
        <v>1</v>
      </c>
      <c r="BO1413" s="67">
        <v>0</v>
      </c>
      <c r="BP1413" s="67">
        <v>2</v>
      </c>
      <c r="BQ1413" s="67">
        <v>0</v>
      </c>
      <c r="BR1413" s="67">
        <v>0</v>
      </c>
      <c r="BS1413" s="67">
        <v>6</v>
      </c>
      <c r="BT1413" s="67">
        <v>0</v>
      </c>
      <c r="BU1413" s="70">
        <v>0</v>
      </c>
      <c r="BV1413" s="29">
        <f t="shared" si="336"/>
        <v>0.9167312894654438</v>
      </c>
      <c r="BW1413">
        <f t="shared" si="339"/>
        <v>0.59502473559756086</v>
      </c>
      <c r="BX1413">
        <f t="shared" si="340"/>
        <v>0.67854260110508058</v>
      </c>
      <c r="BY1413">
        <f t="shared" si="341"/>
        <v>0.81745575848020657</v>
      </c>
      <c r="BZ1413">
        <f t="shared" si="342"/>
        <v>0.88721318382472392</v>
      </c>
      <c r="CA1413">
        <f t="shared" si="343"/>
        <v>1.3052350336840246</v>
      </c>
      <c r="CB1413">
        <f t="shared" si="344"/>
        <v>0.36858985273641137</v>
      </c>
    </row>
    <row r="1414" spans="1:80" x14ac:dyDescent="0.45">
      <c r="A1414" s="11">
        <v>30</v>
      </c>
      <c r="B1414" s="12">
        <f t="shared" si="330"/>
        <v>30</v>
      </c>
      <c r="C1414" s="12" t="s">
        <v>59</v>
      </c>
      <c r="D1414" s="12">
        <v>0</v>
      </c>
      <c r="E1414" s="12" t="s">
        <v>53</v>
      </c>
      <c r="F1414" s="12">
        <v>0</v>
      </c>
      <c r="G1414" s="12">
        <v>1</v>
      </c>
      <c r="H1414" s="12" t="s">
        <v>61</v>
      </c>
      <c r="I1414" s="12">
        <v>1</v>
      </c>
      <c r="J1414" s="12">
        <v>0</v>
      </c>
      <c r="K1414" s="12">
        <v>1</v>
      </c>
      <c r="L1414" s="12">
        <f t="shared" si="331"/>
        <v>1</v>
      </c>
      <c r="M1414" s="12">
        <v>2</v>
      </c>
      <c r="N1414" s="12" t="s">
        <v>70</v>
      </c>
      <c r="O1414" s="12">
        <v>0</v>
      </c>
      <c r="P1414" s="12">
        <v>0</v>
      </c>
      <c r="Q1414" s="12">
        <v>1</v>
      </c>
      <c r="R1414" s="12">
        <v>0</v>
      </c>
      <c r="S1414" s="12">
        <v>0</v>
      </c>
      <c r="T1414" s="12">
        <v>4</v>
      </c>
      <c r="U1414" s="12" t="s">
        <v>62</v>
      </c>
      <c r="V1414" s="12">
        <v>0</v>
      </c>
      <c r="W1414" s="12">
        <v>76</v>
      </c>
      <c r="X1414" s="12">
        <v>3</v>
      </c>
      <c r="Y1414" s="12">
        <v>1</v>
      </c>
      <c r="Z1414" s="12" t="s">
        <v>67</v>
      </c>
      <c r="AA1414" s="12">
        <v>0</v>
      </c>
      <c r="AB1414" s="12">
        <v>0</v>
      </c>
      <c r="AC1414" s="12">
        <v>1</v>
      </c>
      <c r="AD1414" s="12">
        <v>0</v>
      </c>
      <c r="AE1414" s="12">
        <v>0</v>
      </c>
      <c r="AF1414" s="12">
        <v>0</v>
      </c>
      <c r="AG1414" s="12">
        <v>0</v>
      </c>
      <c r="AH1414" s="12">
        <v>0</v>
      </c>
      <c r="AI1414" s="12">
        <v>2</v>
      </c>
      <c r="AJ1414" s="12" t="s">
        <v>64</v>
      </c>
      <c r="AK1414" s="12">
        <v>0</v>
      </c>
      <c r="AL1414" s="12">
        <v>1</v>
      </c>
      <c r="AM1414" s="12">
        <v>3748</v>
      </c>
      <c r="AN1414" s="12">
        <f t="shared" si="332"/>
        <v>3748</v>
      </c>
      <c r="AO1414" s="12">
        <v>1</v>
      </c>
      <c r="AP1414" s="12" t="s">
        <v>59</v>
      </c>
      <c r="AQ1414" s="12">
        <v>0</v>
      </c>
      <c r="AR1414" s="12">
        <v>13</v>
      </c>
      <c r="AS1414" s="12">
        <v>3</v>
      </c>
      <c r="AT1414" s="12">
        <v>3</v>
      </c>
      <c r="AU1414" s="12">
        <v>0</v>
      </c>
      <c r="AV1414" s="12">
        <v>12</v>
      </c>
      <c r="AW1414" s="12">
        <f t="shared" si="333"/>
        <v>12</v>
      </c>
      <c r="AX1414" s="12">
        <v>6</v>
      </c>
      <c r="AY1414" s="12">
        <v>2</v>
      </c>
      <c r="AZ1414" s="12">
        <v>12</v>
      </c>
      <c r="BA1414" s="12">
        <f t="shared" si="334"/>
        <v>12</v>
      </c>
      <c r="BB1414" s="12">
        <v>8</v>
      </c>
      <c r="BC1414" s="12">
        <v>1</v>
      </c>
      <c r="BD1414" s="12">
        <f t="shared" si="337"/>
        <v>1</v>
      </c>
      <c r="BE1414" s="12">
        <v>7</v>
      </c>
      <c r="BF1414" s="12">
        <f t="shared" si="335"/>
        <v>7</v>
      </c>
      <c r="BG1414" s="12">
        <f t="shared" si="338"/>
        <v>7</v>
      </c>
      <c r="BH1414" s="67">
        <v>0</v>
      </c>
      <c r="BI1414" s="67">
        <v>1</v>
      </c>
      <c r="BJ1414" s="67">
        <v>0</v>
      </c>
      <c r="BK1414" s="67">
        <v>0</v>
      </c>
      <c r="BL1414" s="67">
        <v>0</v>
      </c>
      <c r="BM1414" s="67">
        <v>0</v>
      </c>
      <c r="BN1414" s="67">
        <v>1</v>
      </c>
      <c r="BO1414" s="67">
        <v>0</v>
      </c>
      <c r="BP1414" s="67">
        <v>0</v>
      </c>
      <c r="BQ1414" s="67">
        <v>7</v>
      </c>
      <c r="BR1414" s="67">
        <v>0</v>
      </c>
      <c r="BS1414" s="67">
        <v>0</v>
      </c>
      <c r="BT1414" s="67">
        <v>12</v>
      </c>
      <c r="BU1414" s="70">
        <v>0</v>
      </c>
      <c r="BV1414" s="29">
        <f t="shared" si="336"/>
        <v>0.58516494934861518</v>
      </c>
      <c r="BW1414">
        <f t="shared" si="339"/>
        <v>0.80626709607243985</v>
      </c>
      <c r="BX1414">
        <f t="shared" si="340"/>
        <v>9.2588147734864096E-2</v>
      </c>
      <c r="BY1414">
        <f t="shared" si="341"/>
        <v>0.81479086603202333</v>
      </c>
      <c r="BZ1414">
        <f t="shared" si="342"/>
        <v>1.01056543769991</v>
      </c>
      <c r="CA1414">
        <f t="shared" si="343"/>
        <v>0.75791203633249671</v>
      </c>
      <c r="CB1414">
        <f t="shared" si="344"/>
        <v>0.36858985273641137</v>
      </c>
    </row>
    <row r="1415" spans="1:80" x14ac:dyDescent="0.45">
      <c r="A1415" s="11">
        <v>25</v>
      </c>
      <c r="B1415" s="12">
        <f t="shared" si="330"/>
        <v>25</v>
      </c>
      <c r="C1415" s="12" t="s">
        <v>59</v>
      </c>
      <c r="D1415" s="12">
        <v>0</v>
      </c>
      <c r="E1415" s="12" t="s">
        <v>53</v>
      </c>
      <c r="F1415" s="12">
        <v>0</v>
      </c>
      <c r="G1415" s="12">
        <v>1</v>
      </c>
      <c r="H1415" s="12" t="s">
        <v>61</v>
      </c>
      <c r="I1415" s="12">
        <v>1</v>
      </c>
      <c r="J1415" s="12">
        <v>0</v>
      </c>
      <c r="K1415" s="12">
        <v>2</v>
      </c>
      <c r="L1415" s="12">
        <f t="shared" si="331"/>
        <v>2</v>
      </c>
      <c r="M1415" s="12">
        <v>1</v>
      </c>
      <c r="N1415" s="12" t="s">
        <v>66</v>
      </c>
      <c r="O1415" s="12">
        <v>0</v>
      </c>
      <c r="P1415" s="12">
        <v>1</v>
      </c>
      <c r="Q1415" s="12">
        <v>0</v>
      </c>
      <c r="R1415" s="12">
        <v>0</v>
      </c>
      <c r="S1415" s="12">
        <v>0</v>
      </c>
      <c r="T1415" s="12">
        <v>4</v>
      </c>
      <c r="U1415" s="12" t="s">
        <v>62</v>
      </c>
      <c r="V1415" s="12">
        <v>0</v>
      </c>
      <c r="W1415" s="12">
        <v>57</v>
      </c>
      <c r="X1415" s="12">
        <v>3</v>
      </c>
      <c r="Y1415" s="12">
        <v>1</v>
      </c>
      <c r="Z1415" s="12" t="s">
        <v>67</v>
      </c>
      <c r="AA1415" s="12">
        <v>0</v>
      </c>
      <c r="AB1415" s="12">
        <v>0</v>
      </c>
      <c r="AC1415" s="12">
        <v>1</v>
      </c>
      <c r="AD1415" s="12">
        <v>0</v>
      </c>
      <c r="AE1415" s="12">
        <v>0</v>
      </c>
      <c r="AF1415" s="12">
        <v>0</v>
      </c>
      <c r="AG1415" s="12">
        <v>0</v>
      </c>
      <c r="AH1415" s="12">
        <v>0</v>
      </c>
      <c r="AI1415" s="12">
        <v>3</v>
      </c>
      <c r="AJ1415" s="12" t="s">
        <v>78</v>
      </c>
      <c r="AK1415" s="12">
        <v>0</v>
      </c>
      <c r="AL1415" s="12">
        <v>0</v>
      </c>
      <c r="AM1415" s="12">
        <v>3977</v>
      </c>
      <c r="AN1415" s="12">
        <f t="shared" si="332"/>
        <v>3977</v>
      </c>
      <c r="AO1415" s="12">
        <v>6</v>
      </c>
      <c r="AP1415" s="12" t="s">
        <v>52</v>
      </c>
      <c r="AQ1415" s="12">
        <v>1</v>
      </c>
      <c r="AR1415" s="12">
        <v>19</v>
      </c>
      <c r="AS1415" s="12">
        <v>3</v>
      </c>
      <c r="AT1415" s="12">
        <v>3</v>
      </c>
      <c r="AU1415" s="12">
        <v>1</v>
      </c>
      <c r="AV1415" s="12">
        <v>7</v>
      </c>
      <c r="AW1415" s="12">
        <f t="shared" si="333"/>
        <v>7</v>
      </c>
      <c r="AX1415" s="12">
        <v>2</v>
      </c>
      <c r="AY1415" s="12">
        <v>2</v>
      </c>
      <c r="AZ1415" s="12">
        <v>2</v>
      </c>
      <c r="BA1415" s="12">
        <f t="shared" si="334"/>
        <v>2</v>
      </c>
      <c r="BB1415" s="12">
        <v>2</v>
      </c>
      <c r="BC1415" s="12">
        <v>0</v>
      </c>
      <c r="BD1415" s="12">
        <f t="shared" si="337"/>
        <v>0</v>
      </c>
      <c r="BE1415" s="12">
        <v>2</v>
      </c>
      <c r="BF1415" s="12">
        <f t="shared" si="335"/>
        <v>2</v>
      </c>
      <c r="BG1415" s="12">
        <f t="shared" si="338"/>
        <v>2</v>
      </c>
      <c r="BH1415" s="67">
        <v>1</v>
      </c>
      <c r="BI1415" s="67">
        <v>0</v>
      </c>
      <c r="BJ1415" s="67">
        <v>0</v>
      </c>
      <c r="BK1415" s="67">
        <v>0</v>
      </c>
      <c r="BL1415" s="67">
        <v>0</v>
      </c>
      <c r="BM1415" s="67">
        <v>1</v>
      </c>
      <c r="BN1415" s="67">
        <v>0</v>
      </c>
      <c r="BO1415" s="67">
        <v>0</v>
      </c>
      <c r="BP1415" s="67">
        <v>0</v>
      </c>
      <c r="BQ1415" s="67">
        <v>2</v>
      </c>
      <c r="BR1415" s="67">
        <v>0</v>
      </c>
      <c r="BS1415" s="67">
        <v>0</v>
      </c>
      <c r="BT1415" s="67">
        <v>7</v>
      </c>
      <c r="BU1415" s="70">
        <v>0</v>
      </c>
      <c r="BV1415" s="29">
        <f t="shared" si="336"/>
        <v>0.53652389112519827</v>
      </c>
      <c r="BW1415">
        <f t="shared" si="339"/>
        <v>0.59502473559756086</v>
      </c>
      <c r="BX1415">
        <f t="shared" si="340"/>
        <v>0.55002080963175637</v>
      </c>
      <c r="BY1415">
        <f t="shared" si="341"/>
        <v>0.81745575848020657</v>
      </c>
      <c r="BZ1415">
        <f t="shared" si="342"/>
        <v>0.88721318382472392</v>
      </c>
      <c r="CA1415">
        <f t="shared" si="343"/>
        <v>1.3052350336840246</v>
      </c>
      <c r="CB1415">
        <f t="shared" si="344"/>
        <v>0.67891464284095016</v>
      </c>
    </row>
    <row r="1416" spans="1:80" x14ac:dyDescent="0.45">
      <c r="A1416" s="11">
        <v>47</v>
      </c>
      <c r="B1416" s="12">
        <f t="shared" si="330"/>
        <v>47</v>
      </c>
      <c r="C1416" s="12" t="s">
        <v>59</v>
      </c>
      <c r="D1416" s="12">
        <v>0</v>
      </c>
      <c r="E1416" s="12" t="s">
        <v>53</v>
      </c>
      <c r="F1416" s="12">
        <v>0</v>
      </c>
      <c r="G1416" s="12">
        <v>1</v>
      </c>
      <c r="H1416" s="12" t="s">
        <v>61</v>
      </c>
      <c r="I1416" s="12">
        <v>1</v>
      </c>
      <c r="J1416" s="12">
        <v>0</v>
      </c>
      <c r="K1416" s="12">
        <v>25</v>
      </c>
      <c r="L1416" s="12">
        <f t="shared" si="331"/>
        <v>25</v>
      </c>
      <c r="M1416" s="12">
        <v>3</v>
      </c>
      <c r="N1416" s="12" t="s">
        <v>70</v>
      </c>
      <c r="O1416" s="12">
        <v>0</v>
      </c>
      <c r="P1416" s="12">
        <v>0</v>
      </c>
      <c r="Q1416" s="12">
        <v>1</v>
      </c>
      <c r="R1416" s="12">
        <v>0</v>
      </c>
      <c r="S1416" s="12">
        <v>0</v>
      </c>
      <c r="T1416" s="12">
        <v>1</v>
      </c>
      <c r="U1416" s="12" t="s">
        <v>62</v>
      </c>
      <c r="V1416" s="12">
        <v>0</v>
      </c>
      <c r="W1416" s="12">
        <v>84</v>
      </c>
      <c r="X1416" s="12">
        <v>3</v>
      </c>
      <c r="Y1416" s="12">
        <v>3</v>
      </c>
      <c r="Z1416" s="12" t="s">
        <v>85</v>
      </c>
      <c r="AA1416" s="12">
        <v>1</v>
      </c>
      <c r="AB1416" s="12">
        <v>0</v>
      </c>
      <c r="AC1416" s="12">
        <v>0</v>
      </c>
      <c r="AD1416" s="12">
        <v>0</v>
      </c>
      <c r="AE1416" s="12">
        <v>0</v>
      </c>
      <c r="AF1416" s="12">
        <v>0</v>
      </c>
      <c r="AG1416" s="12">
        <v>0</v>
      </c>
      <c r="AH1416" s="12">
        <v>0</v>
      </c>
      <c r="AI1416" s="12">
        <v>3</v>
      </c>
      <c r="AJ1416" s="12" t="s">
        <v>57</v>
      </c>
      <c r="AK1416" s="12">
        <v>1</v>
      </c>
      <c r="AL1416" s="12">
        <v>0</v>
      </c>
      <c r="AM1416" s="12">
        <v>8633</v>
      </c>
      <c r="AN1416" s="12">
        <f t="shared" si="332"/>
        <v>8633</v>
      </c>
      <c r="AO1416" s="12">
        <v>2</v>
      </c>
      <c r="AP1416" s="12" t="s">
        <v>59</v>
      </c>
      <c r="AQ1416" s="12">
        <v>0</v>
      </c>
      <c r="AR1416" s="12">
        <v>23</v>
      </c>
      <c r="AS1416" s="12">
        <v>4</v>
      </c>
      <c r="AT1416" s="12">
        <v>2</v>
      </c>
      <c r="AU1416" s="12">
        <v>0</v>
      </c>
      <c r="AV1416" s="12">
        <v>25</v>
      </c>
      <c r="AW1416" s="12">
        <f t="shared" si="333"/>
        <v>25</v>
      </c>
      <c r="AX1416" s="12">
        <v>3</v>
      </c>
      <c r="AY1416" s="12">
        <v>3</v>
      </c>
      <c r="AZ1416" s="12">
        <v>17</v>
      </c>
      <c r="BA1416" s="12">
        <f t="shared" si="334"/>
        <v>17</v>
      </c>
      <c r="BB1416" s="12">
        <v>14</v>
      </c>
      <c r="BC1416" s="12">
        <v>12</v>
      </c>
      <c r="BD1416" s="12">
        <f t="shared" si="337"/>
        <v>12</v>
      </c>
      <c r="BE1416" s="12">
        <v>11</v>
      </c>
      <c r="BF1416" s="12">
        <f t="shared" si="335"/>
        <v>11</v>
      </c>
      <c r="BG1416" s="12">
        <f t="shared" si="338"/>
        <v>33</v>
      </c>
      <c r="BH1416" s="67">
        <v>1</v>
      </c>
      <c r="BI1416" s="67">
        <v>0</v>
      </c>
      <c r="BJ1416" s="67">
        <v>0</v>
      </c>
      <c r="BK1416" s="67">
        <v>0</v>
      </c>
      <c r="BL1416" s="67">
        <v>1</v>
      </c>
      <c r="BM1416" s="67">
        <v>0</v>
      </c>
      <c r="BN1416" s="67">
        <v>0</v>
      </c>
      <c r="BO1416" s="67">
        <v>0</v>
      </c>
      <c r="BP1416" s="67">
        <v>0</v>
      </c>
      <c r="BQ1416" s="67">
        <v>11</v>
      </c>
      <c r="BR1416" s="67">
        <v>0</v>
      </c>
      <c r="BS1416" s="67">
        <v>0</v>
      </c>
      <c r="BT1416" s="67">
        <v>25</v>
      </c>
      <c r="BU1416" s="70">
        <v>0</v>
      </c>
      <c r="BV1416" s="29">
        <f t="shared" si="336"/>
        <v>0.4524401572950158</v>
      </c>
      <c r="BW1416">
        <f t="shared" si="339"/>
        <v>1.9273005614084406</v>
      </c>
      <c r="BX1416">
        <f t="shared" si="340"/>
        <v>1.7633714368880775</v>
      </c>
      <c r="BY1416">
        <f t="shared" si="341"/>
        <v>1.630914178288138</v>
      </c>
      <c r="BZ1416">
        <f t="shared" si="342"/>
        <v>1.9498886553045598</v>
      </c>
      <c r="CA1416">
        <f t="shared" si="343"/>
        <v>1.102986154662698</v>
      </c>
      <c r="CB1416">
        <f t="shared" si="344"/>
        <v>3.0449828384135156</v>
      </c>
    </row>
    <row r="1417" spans="1:80" x14ac:dyDescent="0.45">
      <c r="A1417" s="11">
        <v>33</v>
      </c>
      <c r="B1417" s="12">
        <f t="shared" si="330"/>
        <v>33</v>
      </c>
      <c r="C1417" s="12" t="s">
        <v>59</v>
      </c>
      <c r="D1417" s="12">
        <v>0</v>
      </c>
      <c r="E1417" s="12" t="s">
        <v>86</v>
      </c>
      <c r="F1417" s="12">
        <v>0</v>
      </c>
      <c r="G1417" s="12">
        <v>0</v>
      </c>
      <c r="H1417" s="12" t="s">
        <v>61</v>
      </c>
      <c r="I1417" s="12">
        <v>1</v>
      </c>
      <c r="J1417" s="12">
        <v>0</v>
      </c>
      <c r="K1417" s="12">
        <v>1</v>
      </c>
      <c r="L1417" s="12">
        <f t="shared" si="331"/>
        <v>1</v>
      </c>
      <c r="M1417" s="12">
        <v>2</v>
      </c>
      <c r="N1417" s="12" t="s">
        <v>70</v>
      </c>
      <c r="O1417" s="12">
        <v>0</v>
      </c>
      <c r="P1417" s="12">
        <v>0</v>
      </c>
      <c r="Q1417" s="12">
        <v>1</v>
      </c>
      <c r="R1417" s="12">
        <v>0</v>
      </c>
      <c r="S1417" s="12">
        <v>0</v>
      </c>
      <c r="T1417" s="12">
        <v>2</v>
      </c>
      <c r="U1417" s="12" t="s">
        <v>62</v>
      </c>
      <c r="V1417" s="12">
        <v>0</v>
      </c>
      <c r="W1417" s="12">
        <v>59</v>
      </c>
      <c r="X1417" s="12">
        <v>2</v>
      </c>
      <c r="Y1417" s="12">
        <v>1</v>
      </c>
      <c r="Z1417" s="12" t="s">
        <v>67</v>
      </c>
      <c r="AA1417" s="12">
        <v>0</v>
      </c>
      <c r="AB1417" s="12">
        <v>0</v>
      </c>
      <c r="AC1417" s="12">
        <v>1</v>
      </c>
      <c r="AD1417" s="12">
        <v>0</v>
      </c>
      <c r="AE1417" s="12">
        <v>0</v>
      </c>
      <c r="AF1417" s="12">
        <v>0</v>
      </c>
      <c r="AG1417" s="12">
        <v>0</v>
      </c>
      <c r="AH1417" s="12">
        <v>0</v>
      </c>
      <c r="AI1417" s="12">
        <v>3</v>
      </c>
      <c r="AJ1417" s="12" t="s">
        <v>78</v>
      </c>
      <c r="AK1417" s="12">
        <v>0</v>
      </c>
      <c r="AL1417" s="12">
        <v>0</v>
      </c>
      <c r="AM1417" s="12">
        <v>2008</v>
      </c>
      <c r="AN1417" s="12">
        <f t="shared" si="332"/>
        <v>2008</v>
      </c>
      <c r="AO1417" s="12">
        <v>1</v>
      </c>
      <c r="AP1417" s="12" t="s">
        <v>59</v>
      </c>
      <c r="AQ1417" s="12">
        <v>0</v>
      </c>
      <c r="AR1417" s="12">
        <v>12</v>
      </c>
      <c r="AS1417" s="12">
        <v>3</v>
      </c>
      <c r="AT1417" s="12">
        <v>3</v>
      </c>
      <c r="AU1417" s="12">
        <v>3</v>
      </c>
      <c r="AV1417" s="12">
        <v>1</v>
      </c>
      <c r="AW1417" s="12">
        <f t="shared" si="333"/>
        <v>1</v>
      </c>
      <c r="AX1417" s="12">
        <v>2</v>
      </c>
      <c r="AY1417" s="12">
        <v>2</v>
      </c>
      <c r="AZ1417" s="12">
        <v>1</v>
      </c>
      <c r="BA1417" s="12">
        <f t="shared" si="334"/>
        <v>1</v>
      </c>
      <c r="BB1417" s="12">
        <v>1</v>
      </c>
      <c r="BC1417" s="12">
        <v>0</v>
      </c>
      <c r="BD1417" s="12">
        <f t="shared" si="337"/>
        <v>0</v>
      </c>
      <c r="BE1417" s="12">
        <v>0</v>
      </c>
      <c r="BF1417" s="12">
        <f t="shared" si="335"/>
        <v>0</v>
      </c>
      <c r="BG1417" s="12">
        <f t="shared" si="338"/>
        <v>0</v>
      </c>
      <c r="BH1417" s="67">
        <v>1</v>
      </c>
      <c r="BI1417" s="67">
        <v>0</v>
      </c>
      <c r="BJ1417" s="67">
        <v>0</v>
      </c>
      <c r="BK1417" s="67">
        <v>0</v>
      </c>
      <c r="BL1417" s="67">
        <v>1</v>
      </c>
      <c r="BM1417" s="67">
        <v>0</v>
      </c>
      <c r="BN1417" s="67">
        <v>0</v>
      </c>
      <c r="BO1417" s="67">
        <v>0</v>
      </c>
      <c r="BP1417" s="67">
        <v>0</v>
      </c>
      <c r="BQ1417" s="67">
        <v>0</v>
      </c>
      <c r="BR1417" s="67">
        <v>0</v>
      </c>
      <c r="BS1417" s="67">
        <v>0</v>
      </c>
      <c r="BT1417" s="67">
        <v>1</v>
      </c>
      <c r="BU1417" s="70">
        <v>0</v>
      </c>
      <c r="BV1417" s="29">
        <f t="shared" si="336"/>
        <v>0.95475202929946845</v>
      </c>
      <c r="BW1417">
        <f t="shared" si="339"/>
        <v>1.1555414682655611</v>
      </c>
      <c r="BX1417">
        <f t="shared" si="340"/>
        <v>1.3211515584717011</v>
      </c>
      <c r="BY1417">
        <f t="shared" si="341"/>
        <v>0.9806804209314296</v>
      </c>
      <c r="BZ1417">
        <f t="shared" si="342"/>
        <v>1.01056543769991</v>
      </c>
      <c r="CA1417">
        <f t="shared" si="343"/>
        <v>0.42951823792158</v>
      </c>
      <c r="CB1417">
        <f t="shared" si="344"/>
        <v>0.67891464284095016</v>
      </c>
    </row>
    <row r="1418" spans="1:80" x14ac:dyDescent="0.45">
      <c r="A1418" s="11">
        <v>38</v>
      </c>
      <c r="B1418" s="12">
        <f t="shared" si="330"/>
        <v>38</v>
      </c>
      <c r="C1418" s="12" t="s">
        <v>59</v>
      </c>
      <c r="D1418" s="12">
        <v>0</v>
      </c>
      <c r="E1418" s="12" t="s">
        <v>53</v>
      </c>
      <c r="F1418" s="12">
        <v>0</v>
      </c>
      <c r="G1418" s="12">
        <v>1</v>
      </c>
      <c r="H1418" s="12" t="s">
        <v>54</v>
      </c>
      <c r="I1418" s="12">
        <v>0</v>
      </c>
      <c r="J1418" s="12">
        <v>1</v>
      </c>
      <c r="K1418" s="12">
        <v>1</v>
      </c>
      <c r="L1418" s="12">
        <f t="shared" si="331"/>
        <v>1</v>
      </c>
      <c r="M1418" s="12">
        <v>4</v>
      </c>
      <c r="N1418" s="12" t="s">
        <v>55</v>
      </c>
      <c r="O1418" s="12">
        <v>1</v>
      </c>
      <c r="P1418" s="12">
        <v>0</v>
      </c>
      <c r="Q1418" s="12">
        <v>0</v>
      </c>
      <c r="R1418" s="12">
        <v>0</v>
      </c>
      <c r="S1418" s="12">
        <v>0</v>
      </c>
      <c r="T1418" s="12">
        <v>4</v>
      </c>
      <c r="U1418" s="12" t="s">
        <v>62</v>
      </c>
      <c r="V1418" s="12">
        <v>0</v>
      </c>
      <c r="W1418" s="12">
        <v>86</v>
      </c>
      <c r="X1418" s="12">
        <v>3</v>
      </c>
      <c r="Y1418" s="12">
        <v>2</v>
      </c>
      <c r="Z1418" s="12" t="s">
        <v>56</v>
      </c>
      <c r="AA1418" s="12">
        <v>0</v>
      </c>
      <c r="AB1418" s="12">
        <v>1</v>
      </c>
      <c r="AC1418" s="12">
        <v>0</v>
      </c>
      <c r="AD1418" s="12">
        <v>0</v>
      </c>
      <c r="AE1418" s="12">
        <v>0</v>
      </c>
      <c r="AF1418" s="12">
        <v>0</v>
      </c>
      <c r="AG1418" s="12">
        <v>0</v>
      </c>
      <c r="AH1418" s="12">
        <v>0</v>
      </c>
      <c r="AI1418" s="12">
        <v>2</v>
      </c>
      <c r="AJ1418" s="12" t="s">
        <v>64</v>
      </c>
      <c r="AK1418" s="12">
        <v>0</v>
      </c>
      <c r="AL1418" s="12">
        <v>1</v>
      </c>
      <c r="AM1418" s="12">
        <v>4440</v>
      </c>
      <c r="AN1418" s="12">
        <f t="shared" si="332"/>
        <v>4440</v>
      </c>
      <c r="AO1418" s="12">
        <v>0</v>
      </c>
      <c r="AP1418" s="12" t="s">
        <v>59</v>
      </c>
      <c r="AQ1418" s="12">
        <v>0</v>
      </c>
      <c r="AR1418" s="12">
        <v>15</v>
      </c>
      <c r="AS1418" s="12">
        <v>3</v>
      </c>
      <c r="AT1418" s="12">
        <v>1</v>
      </c>
      <c r="AU1418" s="12">
        <v>2</v>
      </c>
      <c r="AV1418" s="12">
        <v>16</v>
      </c>
      <c r="AW1418" s="12">
        <f t="shared" si="333"/>
        <v>16</v>
      </c>
      <c r="AX1418" s="12">
        <v>3</v>
      </c>
      <c r="AY1418" s="12">
        <v>3</v>
      </c>
      <c r="AZ1418" s="12">
        <v>15</v>
      </c>
      <c r="BA1418" s="12">
        <f t="shared" si="334"/>
        <v>15</v>
      </c>
      <c r="BB1418" s="12">
        <v>13</v>
      </c>
      <c r="BC1418" s="12">
        <v>5</v>
      </c>
      <c r="BD1418" s="12">
        <f t="shared" si="337"/>
        <v>5</v>
      </c>
      <c r="BE1418" s="12">
        <v>8</v>
      </c>
      <c r="BF1418" s="12">
        <f t="shared" si="335"/>
        <v>8</v>
      </c>
      <c r="BG1418" s="12">
        <f t="shared" si="338"/>
        <v>16</v>
      </c>
      <c r="BH1418" s="67">
        <v>0</v>
      </c>
      <c r="BI1418" s="67">
        <v>1</v>
      </c>
      <c r="BJ1418" s="67">
        <v>0</v>
      </c>
      <c r="BK1418" s="67">
        <v>0</v>
      </c>
      <c r="BL1418" s="67">
        <v>0</v>
      </c>
      <c r="BM1418" s="67">
        <v>0</v>
      </c>
      <c r="BN1418" s="67">
        <v>1</v>
      </c>
      <c r="BO1418" s="67">
        <v>0</v>
      </c>
      <c r="BP1418" s="67">
        <v>0</v>
      </c>
      <c r="BQ1418" s="67">
        <v>0</v>
      </c>
      <c r="BR1418" s="67">
        <v>8</v>
      </c>
      <c r="BS1418" s="67">
        <v>0</v>
      </c>
      <c r="BT1418" s="67">
        <v>0</v>
      </c>
      <c r="BU1418" s="70">
        <v>16</v>
      </c>
      <c r="BV1418" s="29">
        <f t="shared" si="336"/>
        <v>0.43817974283942529</v>
      </c>
      <c r="BW1418">
        <f t="shared" si="339"/>
        <v>1.08652546240644</v>
      </c>
      <c r="BX1418">
        <f t="shared" si="340"/>
        <v>0.60667531362816052</v>
      </c>
      <c r="BY1418">
        <f t="shared" si="341"/>
        <v>1.3044648533856922</v>
      </c>
      <c r="BZ1418">
        <f t="shared" si="342"/>
        <v>1.01056543769991</v>
      </c>
      <c r="CA1418">
        <f t="shared" si="343"/>
        <v>0.11780475942994788</v>
      </c>
      <c r="CB1418">
        <f t="shared" si="344"/>
        <v>0.87270930768174382</v>
      </c>
    </row>
    <row r="1419" spans="1:80" x14ac:dyDescent="0.45">
      <c r="A1419" s="11">
        <v>31</v>
      </c>
      <c r="B1419" s="12">
        <f t="shared" si="330"/>
        <v>31</v>
      </c>
      <c r="C1419" s="12" t="s">
        <v>59</v>
      </c>
      <c r="D1419" s="12">
        <v>0</v>
      </c>
      <c r="E1419" s="12" t="s">
        <v>53</v>
      </c>
      <c r="F1419" s="12">
        <v>0</v>
      </c>
      <c r="G1419" s="12">
        <v>1</v>
      </c>
      <c r="H1419" s="12" t="s">
        <v>54</v>
      </c>
      <c r="I1419" s="12">
        <v>0</v>
      </c>
      <c r="J1419" s="12">
        <v>1</v>
      </c>
      <c r="K1419" s="12">
        <v>2</v>
      </c>
      <c r="L1419" s="12">
        <f t="shared" si="331"/>
        <v>2</v>
      </c>
      <c r="M1419" s="12">
        <v>2</v>
      </c>
      <c r="N1419" s="12" t="s">
        <v>55</v>
      </c>
      <c r="O1419" s="12">
        <v>1</v>
      </c>
      <c r="P1419" s="12">
        <v>0</v>
      </c>
      <c r="Q1419" s="12">
        <v>0</v>
      </c>
      <c r="R1419" s="12">
        <v>0</v>
      </c>
      <c r="S1419" s="12">
        <v>0</v>
      </c>
      <c r="T1419" s="12">
        <v>1</v>
      </c>
      <c r="U1419" s="12" t="s">
        <v>62</v>
      </c>
      <c r="V1419" s="12">
        <v>0</v>
      </c>
      <c r="W1419" s="12">
        <v>54</v>
      </c>
      <c r="X1419" s="12">
        <v>3</v>
      </c>
      <c r="Y1419" s="12">
        <v>1</v>
      </c>
      <c r="Z1419" s="12" t="s">
        <v>88</v>
      </c>
      <c r="AA1419" s="12">
        <v>0</v>
      </c>
      <c r="AB1419" s="12">
        <v>0</v>
      </c>
      <c r="AC1419" s="12">
        <v>0</v>
      </c>
      <c r="AD1419" s="12">
        <v>0</v>
      </c>
      <c r="AE1419" s="12">
        <v>0</v>
      </c>
      <c r="AF1419" s="12">
        <v>0</v>
      </c>
      <c r="AG1419" s="12">
        <v>1</v>
      </c>
      <c r="AH1419" s="12">
        <v>0</v>
      </c>
      <c r="AI1419" s="12">
        <v>3</v>
      </c>
      <c r="AJ1419" s="12" t="s">
        <v>64</v>
      </c>
      <c r="AK1419" s="12">
        <v>0</v>
      </c>
      <c r="AL1419" s="12">
        <v>1</v>
      </c>
      <c r="AM1419" s="12">
        <v>3067</v>
      </c>
      <c r="AN1419" s="12">
        <f t="shared" si="332"/>
        <v>3067</v>
      </c>
      <c r="AO1419" s="12">
        <v>0</v>
      </c>
      <c r="AP1419" s="12" t="s">
        <v>59</v>
      </c>
      <c r="AQ1419" s="12">
        <v>0</v>
      </c>
      <c r="AR1419" s="12">
        <v>19</v>
      </c>
      <c r="AS1419" s="12">
        <v>3</v>
      </c>
      <c r="AT1419" s="12">
        <v>3</v>
      </c>
      <c r="AU1419" s="12">
        <v>1</v>
      </c>
      <c r="AV1419" s="12">
        <v>3</v>
      </c>
      <c r="AW1419" s="12">
        <f t="shared" si="333"/>
        <v>3</v>
      </c>
      <c r="AX1419" s="12">
        <v>1</v>
      </c>
      <c r="AY1419" s="12">
        <v>3</v>
      </c>
      <c r="AZ1419" s="12">
        <v>2</v>
      </c>
      <c r="BA1419" s="12">
        <f t="shared" si="334"/>
        <v>2</v>
      </c>
      <c r="BB1419" s="12">
        <v>2</v>
      </c>
      <c r="BC1419" s="12">
        <v>1</v>
      </c>
      <c r="BD1419" s="12">
        <f t="shared" si="337"/>
        <v>1</v>
      </c>
      <c r="BE1419" s="12">
        <v>2</v>
      </c>
      <c r="BF1419" s="12">
        <f t="shared" si="335"/>
        <v>2</v>
      </c>
      <c r="BG1419" s="12">
        <f t="shared" si="338"/>
        <v>2</v>
      </c>
      <c r="BH1419" s="67">
        <v>0</v>
      </c>
      <c r="BI1419" s="67">
        <v>1</v>
      </c>
      <c r="BJ1419" s="67">
        <v>0</v>
      </c>
      <c r="BK1419" s="67">
        <v>0</v>
      </c>
      <c r="BL1419" s="67">
        <v>0</v>
      </c>
      <c r="BM1419" s="67">
        <v>0</v>
      </c>
      <c r="BN1419" s="67">
        <v>1</v>
      </c>
      <c r="BO1419" s="67">
        <v>0</v>
      </c>
      <c r="BP1419" s="67">
        <v>0</v>
      </c>
      <c r="BQ1419" s="67">
        <v>0</v>
      </c>
      <c r="BR1419" s="67">
        <v>2</v>
      </c>
      <c r="BS1419" s="67">
        <v>0</v>
      </c>
      <c r="BT1419" s="67">
        <v>0</v>
      </c>
      <c r="BU1419" s="70">
        <v>3</v>
      </c>
      <c r="BV1419" s="29">
        <f t="shared" si="336"/>
        <v>0.72981368581213879</v>
      </c>
      <c r="BW1419">
        <f t="shared" si="339"/>
        <v>0.59502473559756086</v>
      </c>
      <c r="BX1419">
        <f t="shared" si="340"/>
        <v>1.0641079755250529</v>
      </c>
      <c r="BY1419">
        <f t="shared" si="341"/>
        <v>0.81745575848020657</v>
      </c>
      <c r="BZ1419">
        <f t="shared" si="342"/>
        <v>0.88721318382472392</v>
      </c>
      <c r="CA1419">
        <f t="shared" si="343"/>
        <v>0.6484474368621912</v>
      </c>
      <c r="CB1419">
        <f t="shared" si="344"/>
        <v>0.36858985273641137</v>
      </c>
    </row>
    <row r="1420" spans="1:80" x14ac:dyDescent="0.45">
      <c r="A1420" s="11">
        <v>38</v>
      </c>
      <c r="B1420" s="12">
        <f t="shared" si="330"/>
        <v>38</v>
      </c>
      <c r="C1420" s="12" t="s">
        <v>59</v>
      </c>
      <c r="D1420" s="12">
        <v>0</v>
      </c>
      <c r="E1420" s="12" t="s">
        <v>60</v>
      </c>
      <c r="F1420" s="12">
        <v>1</v>
      </c>
      <c r="G1420" s="12">
        <v>0</v>
      </c>
      <c r="H1420" s="12" t="s">
        <v>61</v>
      </c>
      <c r="I1420" s="12">
        <v>1</v>
      </c>
      <c r="J1420" s="12">
        <v>0</v>
      </c>
      <c r="K1420" s="12">
        <v>6</v>
      </c>
      <c r="L1420" s="12">
        <f t="shared" si="331"/>
        <v>6</v>
      </c>
      <c r="M1420" s="12">
        <v>4</v>
      </c>
      <c r="N1420" s="12" t="s">
        <v>55</v>
      </c>
      <c r="O1420" s="12">
        <v>1</v>
      </c>
      <c r="P1420" s="12">
        <v>0</v>
      </c>
      <c r="Q1420" s="12">
        <v>0</v>
      </c>
      <c r="R1420" s="12">
        <v>0</v>
      </c>
      <c r="S1420" s="12">
        <v>0</v>
      </c>
      <c r="T1420" s="12">
        <v>1</v>
      </c>
      <c r="U1420" s="12" t="s">
        <v>62</v>
      </c>
      <c r="V1420" s="12">
        <v>0</v>
      </c>
      <c r="W1420" s="12">
        <v>72</v>
      </c>
      <c r="X1420" s="12">
        <v>2</v>
      </c>
      <c r="Y1420" s="12">
        <v>2</v>
      </c>
      <c r="Z1420" s="12" t="s">
        <v>83</v>
      </c>
      <c r="AA1420" s="12">
        <v>0</v>
      </c>
      <c r="AB1420" s="12">
        <v>0</v>
      </c>
      <c r="AC1420" s="12">
        <v>0</v>
      </c>
      <c r="AD1420" s="12">
        <v>0</v>
      </c>
      <c r="AE1420" s="12">
        <v>1</v>
      </c>
      <c r="AF1420" s="12">
        <v>1</v>
      </c>
      <c r="AG1420" s="12">
        <v>0</v>
      </c>
      <c r="AH1420" s="12">
        <v>0</v>
      </c>
      <c r="AI1420" s="12">
        <v>3</v>
      </c>
      <c r="AJ1420" s="12" t="s">
        <v>64</v>
      </c>
      <c r="AK1420" s="12">
        <v>0</v>
      </c>
      <c r="AL1420" s="12">
        <v>1</v>
      </c>
      <c r="AM1420" s="12">
        <v>5321</v>
      </c>
      <c r="AN1420" s="12">
        <f t="shared" si="332"/>
        <v>5321</v>
      </c>
      <c r="AO1420" s="12">
        <v>2</v>
      </c>
      <c r="AP1420" s="12" t="s">
        <v>59</v>
      </c>
      <c r="AQ1420" s="12">
        <v>0</v>
      </c>
      <c r="AR1420" s="12">
        <v>11</v>
      </c>
      <c r="AS1420" s="12">
        <v>3</v>
      </c>
      <c r="AT1420" s="12">
        <v>4</v>
      </c>
      <c r="AU1420" s="12">
        <v>1</v>
      </c>
      <c r="AV1420" s="12">
        <v>10</v>
      </c>
      <c r="AW1420" s="12">
        <f t="shared" si="333"/>
        <v>10</v>
      </c>
      <c r="AX1420" s="12">
        <v>1</v>
      </c>
      <c r="AY1420" s="12">
        <v>3</v>
      </c>
      <c r="AZ1420" s="12">
        <v>8</v>
      </c>
      <c r="BA1420" s="12">
        <f t="shared" si="334"/>
        <v>8</v>
      </c>
      <c r="BB1420" s="12">
        <v>3</v>
      </c>
      <c r="BC1420" s="12">
        <v>7</v>
      </c>
      <c r="BD1420" s="12">
        <f t="shared" si="337"/>
        <v>7</v>
      </c>
      <c r="BE1420" s="12">
        <v>7</v>
      </c>
      <c r="BF1420" s="12">
        <f t="shared" si="335"/>
        <v>7</v>
      </c>
      <c r="BG1420" s="12">
        <f t="shared" si="338"/>
        <v>14</v>
      </c>
      <c r="BH1420" s="67">
        <v>0</v>
      </c>
      <c r="BI1420" s="67">
        <v>0</v>
      </c>
      <c r="BJ1420" s="67">
        <v>0</v>
      </c>
      <c r="BK1420" s="67">
        <v>1</v>
      </c>
      <c r="BL1420" s="67">
        <v>0</v>
      </c>
      <c r="BM1420" s="67">
        <v>0</v>
      </c>
      <c r="BN1420" s="67">
        <v>1</v>
      </c>
      <c r="BO1420" s="67">
        <v>0</v>
      </c>
      <c r="BP1420" s="67">
        <v>0</v>
      </c>
      <c r="BQ1420" s="67">
        <v>7</v>
      </c>
      <c r="BR1420" s="67">
        <v>0</v>
      </c>
      <c r="BS1420" s="67">
        <v>0</v>
      </c>
      <c r="BT1420" s="67">
        <v>10</v>
      </c>
      <c r="BU1420" s="70">
        <v>0</v>
      </c>
      <c r="BV1420" s="29">
        <f t="shared" si="336"/>
        <v>0.25104973281833237</v>
      </c>
      <c r="BW1420">
        <f t="shared" si="339"/>
        <v>0.80626709607243985</v>
      </c>
      <c r="BX1420">
        <f t="shared" si="340"/>
        <v>0.1644554352117841</v>
      </c>
      <c r="BY1420">
        <f t="shared" si="341"/>
        <v>0.16189221622713135</v>
      </c>
      <c r="BZ1420">
        <f t="shared" si="342"/>
        <v>0.39380416832397891</v>
      </c>
      <c r="CA1420">
        <f t="shared" si="343"/>
        <v>0.11780475942994788</v>
      </c>
      <c r="CB1420">
        <f t="shared" si="344"/>
        <v>1.4933588878908215</v>
      </c>
    </row>
    <row r="1421" spans="1:80" x14ac:dyDescent="0.45">
      <c r="A1421" s="11">
        <v>42</v>
      </c>
      <c r="B1421" s="12">
        <f t="shared" si="330"/>
        <v>42</v>
      </c>
      <c r="C1421" s="12" t="s">
        <v>59</v>
      </c>
      <c r="D1421" s="12">
        <v>0</v>
      </c>
      <c r="E1421" s="12" t="s">
        <v>53</v>
      </c>
      <c r="F1421" s="12">
        <v>0</v>
      </c>
      <c r="G1421" s="12">
        <v>1</v>
      </c>
      <c r="H1421" s="12" t="s">
        <v>61</v>
      </c>
      <c r="I1421" s="12">
        <v>1</v>
      </c>
      <c r="J1421" s="12">
        <v>0</v>
      </c>
      <c r="K1421" s="12">
        <v>18</v>
      </c>
      <c r="L1421" s="12">
        <f t="shared" si="331"/>
        <v>18</v>
      </c>
      <c r="M1421" s="12">
        <v>4</v>
      </c>
      <c r="N1421" s="12" t="s">
        <v>55</v>
      </c>
      <c r="O1421" s="12">
        <v>1</v>
      </c>
      <c r="P1421" s="12">
        <v>0</v>
      </c>
      <c r="Q1421" s="12">
        <v>0</v>
      </c>
      <c r="R1421" s="12">
        <v>0</v>
      </c>
      <c r="S1421" s="12">
        <v>0</v>
      </c>
      <c r="T1421" s="12">
        <v>4</v>
      </c>
      <c r="U1421" s="12" t="s">
        <v>62</v>
      </c>
      <c r="V1421" s="12">
        <v>0</v>
      </c>
      <c r="W1421" s="12">
        <v>35</v>
      </c>
      <c r="X1421" s="12">
        <v>3</v>
      </c>
      <c r="Y1421" s="12">
        <v>2</v>
      </c>
      <c r="Z1421" s="12" t="s">
        <v>63</v>
      </c>
      <c r="AA1421" s="12">
        <v>0</v>
      </c>
      <c r="AB1421" s="12">
        <v>0</v>
      </c>
      <c r="AC1421" s="12">
        <v>0</v>
      </c>
      <c r="AD1421" s="12">
        <v>0</v>
      </c>
      <c r="AE1421" s="12">
        <v>0</v>
      </c>
      <c r="AF1421" s="12">
        <v>0</v>
      </c>
      <c r="AG1421" s="12">
        <v>0</v>
      </c>
      <c r="AH1421" s="12">
        <v>1</v>
      </c>
      <c r="AI1421" s="12">
        <v>1</v>
      </c>
      <c r="AJ1421" s="12" t="s">
        <v>78</v>
      </c>
      <c r="AK1421" s="12">
        <v>0</v>
      </c>
      <c r="AL1421" s="12">
        <v>0</v>
      </c>
      <c r="AM1421" s="12">
        <v>5410</v>
      </c>
      <c r="AN1421" s="12">
        <f t="shared" si="332"/>
        <v>5410</v>
      </c>
      <c r="AO1421" s="12">
        <v>6</v>
      </c>
      <c r="AP1421" s="12" t="s">
        <v>52</v>
      </c>
      <c r="AQ1421" s="12">
        <v>1</v>
      </c>
      <c r="AR1421" s="12">
        <v>17</v>
      </c>
      <c r="AS1421" s="12">
        <v>3</v>
      </c>
      <c r="AT1421" s="12">
        <v>3</v>
      </c>
      <c r="AU1421" s="12">
        <v>1</v>
      </c>
      <c r="AV1421" s="12">
        <v>9</v>
      </c>
      <c r="AW1421" s="12">
        <f t="shared" si="333"/>
        <v>9</v>
      </c>
      <c r="AX1421" s="12">
        <v>3</v>
      </c>
      <c r="AY1421" s="12">
        <v>2</v>
      </c>
      <c r="AZ1421" s="12">
        <v>4</v>
      </c>
      <c r="BA1421" s="12">
        <f t="shared" si="334"/>
        <v>4</v>
      </c>
      <c r="BB1421" s="12">
        <v>3</v>
      </c>
      <c r="BC1421" s="12">
        <v>1</v>
      </c>
      <c r="BD1421" s="12">
        <f t="shared" si="337"/>
        <v>1</v>
      </c>
      <c r="BE1421" s="12">
        <v>2</v>
      </c>
      <c r="BF1421" s="12">
        <f t="shared" si="335"/>
        <v>2</v>
      </c>
      <c r="BG1421" s="12">
        <f t="shared" si="338"/>
        <v>4</v>
      </c>
      <c r="BH1421" s="67">
        <v>1</v>
      </c>
      <c r="BI1421" s="67">
        <v>0</v>
      </c>
      <c r="BJ1421" s="67">
        <v>0</v>
      </c>
      <c r="BK1421" s="67">
        <v>0</v>
      </c>
      <c r="BL1421" s="67">
        <v>0</v>
      </c>
      <c r="BM1421" s="67">
        <v>1</v>
      </c>
      <c r="BN1421" s="67">
        <v>0</v>
      </c>
      <c r="BO1421" s="67">
        <v>0</v>
      </c>
      <c r="BP1421" s="67">
        <v>0</v>
      </c>
      <c r="BQ1421" s="67">
        <v>2</v>
      </c>
      <c r="BR1421" s="67">
        <v>0</v>
      </c>
      <c r="BS1421" s="67">
        <v>0</v>
      </c>
      <c r="BT1421" s="67">
        <v>9</v>
      </c>
      <c r="BU1421" s="70">
        <v>0</v>
      </c>
      <c r="BV1421" s="29">
        <f t="shared" si="336"/>
        <v>0.23214556608521403</v>
      </c>
      <c r="BW1421">
        <f t="shared" si="339"/>
        <v>0.59502473559756086</v>
      </c>
      <c r="BX1421">
        <f t="shared" si="340"/>
        <v>0.29297722668510823</v>
      </c>
      <c r="BY1421">
        <f t="shared" si="341"/>
        <v>0.49100643357776058</v>
      </c>
      <c r="BZ1421">
        <f t="shared" si="342"/>
        <v>1.0864228781782561</v>
      </c>
      <c r="CA1421">
        <f t="shared" si="343"/>
        <v>0.55566315731117022</v>
      </c>
      <c r="CB1421">
        <f t="shared" si="344"/>
        <v>0.36858985273641137</v>
      </c>
    </row>
    <row r="1422" spans="1:80" x14ac:dyDescent="0.45">
      <c r="A1422" s="11">
        <v>41</v>
      </c>
      <c r="B1422" s="12">
        <f t="shared" si="330"/>
        <v>41</v>
      </c>
      <c r="C1422" s="12" t="s">
        <v>59</v>
      </c>
      <c r="D1422" s="12">
        <v>0</v>
      </c>
      <c r="E1422" s="12" t="s">
        <v>53</v>
      </c>
      <c r="F1422" s="12">
        <v>0</v>
      </c>
      <c r="G1422" s="12">
        <v>1</v>
      </c>
      <c r="H1422" s="12" t="s">
        <v>61</v>
      </c>
      <c r="I1422" s="12">
        <v>1</v>
      </c>
      <c r="J1422" s="12">
        <v>0</v>
      </c>
      <c r="K1422" s="12">
        <v>1</v>
      </c>
      <c r="L1422" s="12">
        <f t="shared" si="331"/>
        <v>1</v>
      </c>
      <c r="M1422" s="12">
        <v>3</v>
      </c>
      <c r="N1422" s="12" t="s">
        <v>55</v>
      </c>
      <c r="O1422" s="12">
        <v>1</v>
      </c>
      <c r="P1422" s="12">
        <v>0</v>
      </c>
      <c r="Q1422" s="12">
        <v>0</v>
      </c>
      <c r="R1422" s="12">
        <v>0</v>
      </c>
      <c r="S1422" s="12">
        <v>0</v>
      </c>
      <c r="T1422" s="12">
        <v>4</v>
      </c>
      <c r="U1422" s="12" t="s">
        <v>62</v>
      </c>
      <c r="V1422" s="12">
        <v>0</v>
      </c>
      <c r="W1422" s="12">
        <v>76</v>
      </c>
      <c r="X1422" s="12">
        <v>3</v>
      </c>
      <c r="Y1422" s="12">
        <v>1</v>
      </c>
      <c r="Z1422" s="12" t="s">
        <v>63</v>
      </c>
      <c r="AA1422" s="12">
        <v>0</v>
      </c>
      <c r="AB1422" s="12">
        <v>0</v>
      </c>
      <c r="AC1422" s="12">
        <v>0</v>
      </c>
      <c r="AD1422" s="12">
        <v>0</v>
      </c>
      <c r="AE1422" s="12">
        <v>0</v>
      </c>
      <c r="AF1422" s="12">
        <v>0</v>
      </c>
      <c r="AG1422" s="12">
        <v>0</v>
      </c>
      <c r="AH1422" s="12">
        <v>1</v>
      </c>
      <c r="AI1422" s="12">
        <v>4</v>
      </c>
      <c r="AJ1422" s="12" t="s">
        <v>64</v>
      </c>
      <c r="AK1422" s="12">
        <v>0</v>
      </c>
      <c r="AL1422" s="12">
        <v>1</v>
      </c>
      <c r="AM1422" s="12">
        <v>2782</v>
      </c>
      <c r="AN1422" s="12">
        <f t="shared" si="332"/>
        <v>2782</v>
      </c>
      <c r="AO1422" s="12">
        <v>3</v>
      </c>
      <c r="AP1422" s="12" t="s">
        <v>59</v>
      </c>
      <c r="AQ1422" s="12">
        <v>0</v>
      </c>
      <c r="AR1422" s="12">
        <v>22</v>
      </c>
      <c r="AS1422" s="12">
        <v>4</v>
      </c>
      <c r="AT1422" s="12">
        <v>1</v>
      </c>
      <c r="AU1422" s="12">
        <v>1</v>
      </c>
      <c r="AV1422" s="12">
        <v>12</v>
      </c>
      <c r="AW1422" s="12">
        <f t="shared" si="333"/>
        <v>12</v>
      </c>
      <c r="AX1422" s="12">
        <v>3</v>
      </c>
      <c r="AY1422" s="12">
        <v>3</v>
      </c>
      <c r="AZ1422" s="12">
        <v>5</v>
      </c>
      <c r="BA1422" s="12">
        <f t="shared" si="334"/>
        <v>5</v>
      </c>
      <c r="BB1422" s="12">
        <v>3</v>
      </c>
      <c r="BC1422" s="12">
        <v>1</v>
      </c>
      <c r="BD1422" s="12">
        <f t="shared" si="337"/>
        <v>1</v>
      </c>
      <c r="BE1422" s="12">
        <v>0</v>
      </c>
      <c r="BF1422" s="12">
        <f t="shared" si="335"/>
        <v>0</v>
      </c>
      <c r="BG1422" s="12">
        <f t="shared" si="338"/>
        <v>0</v>
      </c>
      <c r="BH1422" s="67">
        <v>0</v>
      </c>
      <c r="BI1422" s="67">
        <v>1</v>
      </c>
      <c r="BJ1422" s="67">
        <v>0</v>
      </c>
      <c r="BK1422" s="67">
        <v>0</v>
      </c>
      <c r="BL1422" s="67">
        <v>0</v>
      </c>
      <c r="BM1422" s="67">
        <v>0</v>
      </c>
      <c r="BN1422" s="67">
        <v>1</v>
      </c>
      <c r="BO1422" s="67">
        <v>0</v>
      </c>
      <c r="BP1422" s="67">
        <v>0</v>
      </c>
      <c r="BQ1422" s="67">
        <v>0</v>
      </c>
      <c r="BR1422" s="67">
        <v>0</v>
      </c>
      <c r="BS1422" s="67">
        <v>0</v>
      </c>
      <c r="BT1422" s="67">
        <v>12</v>
      </c>
      <c r="BU1422" s="70">
        <v>0</v>
      </c>
      <c r="BV1422" s="29">
        <f t="shared" si="336"/>
        <v>0.79034950063167508</v>
      </c>
      <c r="BW1422">
        <f t="shared" si="339"/>
        <v>1.1555414682655611</v>
      </c>
      <c r="BX1422">
        <f t="shared" si="340"/>
        <v>9.2588147734864096E-2</v>
      </c>
      <c r="BY1422">
        <f t="shared" si="341"/>
        <v>0.32778177112653761</v>
      </c>
      <c r="BZ1422">
        <f t="shared" si="342"/>
        <v>1.01056543769991</v>
      </c>
      <c r="CA1422">
        <f t="shared" si="343"/>
        <v>0.4461985578408646</v>
      </c>
      <c r="CB1422">
        <f t="shared" si="344"/>
        <v>0.36858985273641137</v>
      </c>
    </row>
    <row r="1423" spans="1:80" x14ac:dyDescent="0.45">
      <c r="A1423" s="11">
        <v>47</v>
      </c>
      <c r="B1423" s="12">
        <f t="shared" si="330"/>
        <v>47</v>
      </c>
      <c r="C1423" s="12" t="s">
        <v>59</v>
      </c>
      <c r="D1423" s="12">
        <v>0</v>
      </c>
      <c r="E1423" s="12" t="s">
        <v>86</v>
      </c>
      <c r="F1423" s="12">
        <v>0</v>
      </c>
      <c r="G1423" s="12">
        <v>0</v>
      </c>
      <c r="H1423" s="12" t="s">
        <v>61</v>
      </c>
      <c r="I1423" s="12">
        <v>1</v>
      </c>
      <c r="J1423" s="12">
        <v>0</v>
      </c>
      <c r="K1423" s="12">
        <v>1</v>
      </c>
      <c r="L1423" s="12">
        <f t="shared" si="331"/>
        <v>1</v>
      </c>
      <c r="M1423" s="12">
        <v>1</v>
      </c>
      <c r="N1423" s="12" t="s">
        <v>70</v>
      </c>
      <c r="O1423" s="12">
        <v>0</v>
      </c>
      <c r="P1423" s="12">
        <v>0</v>
      </c>
      <c r="Q1423" s="12">
        <v>1</v>
      </c>
      <c r="R1423" s="12">
        <v>0</v>
      </c>
      <c r="S1423" s="12">
        <v>0</v>
      </c>
      <c r="T1423" s="12">
        <v>3</v>
      </c>
      <c r="U1423" s="12" t="s">
        <v>19</v>
      </c>
      <c r="V1423" s="12">
        <v>1</v>
      </c>
      <c r="W1423" s="12">
        <v>98</v>
      </c>
      <c r="X1423" s="12">
        <v>3</v>
      </c>
      <c r="Y1423" s="12">
        <v>3</v>
      </c>
      <c r="Z1423" s="12" t="s">
        <v>89</v>
      </c>
      <c r="AA1423" s="12">
        <v>0</v>
      </c>
      <c r="AB1423" s="12">
        <v>0</v>
      </c>
      <c r="AC1423" s="12">
        <v>0</v>
      </c>
      <c r="AD1423" s="12">
        <v>0</v>
      </c>
      <c r="AE1423" s="12">
        <v>0</v>
      </c>
      <c r="AF1423" s="12">
        <v>0</v>
      </c>
      <c r="AG1423" s="12">
        <v>0</v>
      </c>
      <c r="AH1423" s="12">
        <v>0</v>
      </c>
      <c r="AI1423" s="12">
        <v>2</v>
      </c>
      <c r="AJ1423" s="12" t="s">
        <v>64</v>
      </c>
      <c r="AK1423" s="12">
        <v>0</v>
      </c>
      <c r="AL1423" s="12">
        <v>1</v>
      </c>
      <c r="AM1423" s="12">
        <v>11957</v>
      </c>
      <c r="AN1423" s="12">
        <f t="shared" si="332"/>
        <v>11957</v>
      </c>
      <c r="AO1423" s="12">
        <v>0</v>
      </c>
      <c r="AP1423" s="12" t="s">
        <v>59</v>
      </c>
      <c r="AQ1423" s="12">
        <v>0</v>
      </c>
      <c r="AR1423" s="12">
        <v>18</v>
      </c>
      <c r="AS1423" s="12">
        <v>3</v>
      </c>
      <c r="AT1423" s="12">
        <v>1</v>
      </c>
      <c r="AU1423" s="12">
        <v>2</v>
      </c>
      <c r="AV1423" s="12">
        <v>14</v>
      </c>
      <c r="AW1423" s="12">
        <f t="shared" si="333"/>
        <v>14</v>
      </c>
      <c r="AX1423" s="12">
        <v>3</v>
      </c>
      <c r="AY1423" s="12">
        <v>1</v>
      </c>
      <c r="AZ1423" s="12">
        <v>13</v>
      </c>
      <c r="BA1423" s="12">
        <f t="shared" si="334"/>
        <v>13</v>
      </c>
      <c r="BB1423" s="12">
        <v>8</v>
      </c>
      <c r="BC1423" s="12">
        <v>5</v>
      </c>
      <c r="BD1423" s="12">
        <f t="shared" si="337"/>
        <v>5</v>
      </c>
      <c r="BE1423" s="12">
        <v>12</v>
      </c>
      <c r="BF1423" s="12">
        <f t="shared" si="335"/>
        <v>12</v>
      </c>
      <c r="BG1423" s="12">
        <f t="shared" si="338"/>
        <v>36</v>
      </c>
      <c r="BH1423" s="67">
        <v>0</v>
      </c>
      <c r="BI1423" s="67">
        <v>1</v>
      </c>
      <c r="BJ1423" s="67">
        <v>0</v>
      </c>
      <c r="BK1423" s="67">
        <v>0</v>
      </c>
      <c r="BL1423" s="67">
        <v>0</v>
      </c>
      <c r="BM1423" s="67">
        <v>0</v>
      </c>
      <c r="BN1423" s="67">
        <v>1</v>
      </c>
      <c r="BO1423" s="67">
        <v>0</v>
      </c>
      <c r="BP1423" s="67">
        <v>0</v>
      </c>
      <c r="BQ1423" s="67">
        <v>12</v>
      </c>
      <c r="BR1423" s="67">
        <v>0</v>
      </c>
      <c r="BS1423" s="67">
        <v>0</v>
      </c>
      <c r="BT1423" s="67">
        <v>14</v>
      </c>
      <c r="BU1423" s="70">
        <v>0</v>
      </c>
      <c r="BV1423" s="29">
        <f t="shared" si="336"/>
        <v>1.1584789238218181</v>
      </c>
      <c r="BW1423">
        <f t="shared" si="339"/>
        <v>2.2075589277424408</v>
      </c>
      <c r="BX1423">
        <f t="shared" si="340"/>
        <v>0.34963173068151232</v>
      </c>
      <c r="BY1423">
        <f t="shared" si="341"/>
        <v>0.97801552848324624</v>
      </c>
      <c r="BZ1423">
        <f t="shared" si="342"/>
        <v>1.01056543769991</v>
      </c>
      <c r="CA1423">
        <f t="shared" si="343"/>
        <v>1.102986154662698</v>
      </c>
      <c r="CB1423">
        <f t="shared" si="344"/>
        <v>0.87270930768174382</v>
      </c>
    </row>
    <row r="1424" spans="1:80" x14ac:dyDescent="0.45">
      <c r="A1424" s="11">
        <v>35</v>
      </c>
      <c r="B1424" s="12">
        <f t="shared" si="330"/>
        <v>35</v>
      </c>
      <c r="C1424" s="12" t="s">
        <v>59</v>
      </c>
      <c r="D1424" s="12">
        <v>0</v>
      </c>
      <c r="E1424" s="12" t="s">
        <v>53</v>
      </c>
      <c r="F1424" s="12">
        <v>0</v>
      </c>
      <c r="G1424" s="12">
        <v>1</v>
      </c>
      <c r="H1424" s="12" t="s">
        <v>61</v>
      </c>
      <c r="I1424" s="12">
        <v>1</v>
      </c>
      <c r="J1424" s="12">
        <v>0</v>
      </c>
      <c r="K1424" s="12">
        <v>11</v>
      </c>
      <c r="L1424" s="12">
        <f t="shared" si="331"/>
        <v>11</v>
      </c>
      <c r="M1424" s="12">
        <v>4</v>
      </c>
      <c r="N1424" s="12" t="s">
        <v>70</v>
      </c>
      <c r="O1424" s="12">
        <v>0</v>
      </c>
      <c r="P1424" s="12">
        <v>0</v>
      </c>
      <c r="Q1424" s="12">
        <v>1</v>
      </c>
      <c r="R1424" s="12">
        <v>0</v>
      </c>
      <c r="S1424" s="12">
        <v>0</v>
      </c>
      <c r="T1424" s="12">
        <v>4</v>
      </c>
      <c r="U1424" s="12" t="s">
        <v>62</v>
      </c>
      <c r="V1424" s="12">
        <v>0</v>
      </c>
      <c r="W1424" s="12">
        <v>43</v>
      </c>
      <c r="X1424" s="12">
        <v>3</v>
      </c>
      <c r="Y1424" s="12">
        <v>1</v>
      </c>
      <c r="Z1424" s="12" t="s">
        <v>67</v>
      </c>
      <c r="AA1424" s="12">
        <v>0</v>
      </c>
      <c r="AB1424" s="12">
        <v>0</v>
      </c>
      <c r="AC1424" s="12">
        <v>1</v>
      </c>
      <c r="AD1424" s="12">
        <v>0</v>
      </c>
      <c r="AE1424" s="12">
        <v>0</v>
      </c>
      <c r="AF1424" s="12">
        <v>0</v>
      </c>
      <c r="AG1424" s="12">
        <v>0</v>
      </c>
      <c r="AH1424" s="12">
        <v>0</v>
      </c>
      <c r="AI1424" s="12">
        <v>3</v>
      </c>
      <c r="AJ1424" s="12" t="s">
        <v>64</v>
      </c>
      <c r="AK1424" s="12">
        <v>0</v>
      </c>
      <c r="AL1424" s="12">
        <v>1</v>
      </c>
      <c r="AM1424" s="12">
        <v>2660</v>
      </c>
      <c r="AN1424" s="12">
        <f t="shared" si="332"/>
        <v>2660</v>
      </c>
      <c r="AO1424" s="12">
        <v>7</v>
      </c>
      <c r="AP1424" s="12" t="s">
        <v>52</v>
      </c>
      <c r="AQ1424" s="12">
        <v>1</v>
      </c>
      <c r="AR1424" s="12">
        <v>11</v>
      </c>
      <c r="AS1424" s="12">
        <v>3</v>
      </c>
      <c r="AT1424" s="12">
        <v>3</v>
      </c>
      <c r="AU1424" s="12">
        <v>1</v>
      </c>
      <c r="AV1424" s="12">
        <v>5</v>
      </c>
      <c r="AW1424" s="12">
        <f t="shared" si="333"/>
        <v>5</v>
      </c>
      <c r="AX1424" s="12">
        <v>3</v>
      </c>
      <c r="AY1424" s="12">
        <v>3</v>
      </c>
      <c r="AZ1424" s="12">
        <v>2</v>
      </c>
      <c r="BA1424" s="12">
        <f t="shared" si="334"/>
        <v>2</v>
      </c>
      <c r="BB1424" s="12">
        <v>2</v>
      </c>
      <c r="BC1424" s="12">
        <v>2</v>
      </c>
      <c r="BD1424" s="12">
        <f t="shared" si="337"/>
        <v>2</v>
      </c>
      <c r="BE1424" s="12">
        <v>2</v>
      </c>
      <c r="BF1424" s="12">
        <f t="shared" si="335"/>
        <v>2</v>
      </c>
      <c r="BG1424" s="12">
        <f t="shared" si="338"/>
        <v>2</v>
      </c>
      <c r="BH1424" s="67">
        <v>0</v>
      </c>
      <c r="BI1424" s="67">
        <v>1</v>
      </c>
      <c r="BJ1424" s="67">
        <v>0</v>
      </c>
      <c r="BK1424" s="67">
        <v>0</v>
      </c>
      <c r="BL1424" s="67">
        <v>0</v>
      </c>
      <c r="BM1424" s="67">
        <v>0</v>
      </c>
      <c r="BN1424" s="67">
        <v>0</v>
      </c>
      <c r="BO1424" s="67">
        <v>1</v>
      </c>
      <c r="BP1424" s="67">
        <v>0</v>
      </c>
      <c r="BQ1424" s="67">
        <v>2</v>
      </c>
      <c r="BR1424" s="67">
        <v>0</v>
      </c>
      <c r="BS1424" s="67">
        <v>0</v>
      </c>
      <c r="BT1424" s="67">
        <v>5</v>
      </c>
      <c r="BU1424" s="70">
        <v>0</v>
      </c>
      <c r="BV1424" s="29">
        <f t="shared" si="336"/>
        <v>0.81626307750179239</v>
      </c>
      <c r="BW1424">
        <f t="shared" si="339"/>
        <v>0.59502473559756086</v>
      </c>
      <c r="BX1424">
        <f t="shared" si="340"/>
        <v>0.80706439257840468</v>
      </c>
      <c r="BY1424">
        <f t="shared" si="341"/>
        <v>0.81745575848020657</v>
      </c>
      <c r="BZ1424">
        <f t="shared" si="342"/>
        <v>0.22295710105195232</v>
      </c>
      <c r="CA1424">
        <f t="shared" si="343"/>
        <v>0.21058903898096887</v>
      </c>
      <c r="CB1424">
        <f t="shared" si="344"/>
        <v>5.8265062631872602E-2</v>
      </c>
    </row>
    <row r="1425" spans="1:80" x14ac:dyDescent="0.45">
      <c r="A1425" s="11">
        <v>22</v>
      </c>
      <c r="B1425" s="12">
        <f t="shared" si="330"/>
        <v>22</v>
      </c>
      <c r="C1425" s="12" t="s">
        <v>59</v>
      </c>
      <c r="D1425" s="12">
        <v>0</v>
      </c>
      <c r="E1425" s="12" t="s">
        <v>53</v>
      </c>
      <c r="F1425" s="12">
        <v>0</v>
      </c>
      <c r="G1425" s="12">
        <v>1</v>
      </c>
      <c r="H1425" s="12" t="s">
        <v>61</v>
      </c>
      <c r="I1425" s="12">
        <v>1</v>
      </c>
      <c r="J1425" s="12">
        <v>0</v>
      </c>
      <c r="K1425" s="12">
        <v>1</v>
      </c>
      <c r="L1425" s="12">
        <f t="shared" si="331"/>
        <v>1</v>
      </c>
      <c r="M1425" s="12">
        <v>2</v>
      </c>
      <c r="N1425" s="12" t="s">
        <v>55</v>
      </c>
      <c r="O1425" s="12">
        <v>1</v>
      </c>
      <c r="P1425" s="12">
        <v>0</v>
      </c>
      <c r="Q1425" s="12">
        <v>0</v>
      </c>
      <c r="R1425" s="12">
        <v>0</v>
      </c>
      <c r="S1425" s="12">
        <v>0</v>
      </c>
      <c r="T1425" s="12">
        <v>4</v>
      </c>
      <c r="U1425" s="12" t="s">
        <v>62</v>
      </c>
      <c r="V1425" s="12">
        <v>0</v>
      </c>
      <c r="W1425" s="12">
        <v>63</v>
      </c>
      <c r="X1425" s="12">
        <v>3</v>
      </c>
      <c r="Y1425" s="12">
        <v>1</v>
      </c>
      <c r="Z1425" s="12" t="s">
        <v>63</v>
      </c>
      <c r="AA1425" s="12">
        <v>0</v>
      </c>
      <c r="AB1425" s="12">
        <v>0</v>
      </c>
      <c r="AC1425" s="12">
        <v>0</v>
      </c>
      <c r="AD1425" s="12">
        <v>0</v>
      </c>
      <c r="AE1425" s="12">
        <v>0</v>
      </c>
      <c r="AF1425" s="12">
        <v>0</v>
      </c>
      <c r="AG1425" s="12">
        <v>0</v>
      </c>
      <c r="AH1425" s="12">
        <v>1</v>
      </c>
      <c r="AI1425" s="12">
        <v>3</v>
      </c>
      <c r="AJ1425" s="12" t="s">
        <v>57</v>
      </c>
      <c r="AK1425" s="12">
        <v>1</v>
      </c>
      <c r="AL1425" s="12">
        <v>0</v>
      </c>
      <c r="AM1425" s="12">
        <v>3375</v>
      </c>
      <c r="AN1425" s="12">
        <f t="shared" si="332"/>
        <v>3375</v>
      </c>
      <c r="AO1425" s="12">
        <v>0</v>
      </c>
      <c r="AP1425" s="12" t="s">
        <v>59</v>
      </c>
      <c r="AQ1425" s="12">
        <v>0</v>
      </c>
      <c r="AR1425" s="12">
        <v>12</v>
      </c>
      <c r="AS1425" s="12">
        <v>3</v>
      </c>
      <c r="AT1425" s="12">
        <v>4</v>
      </c>
      <c r="AU1425" s="12">
        <v>0</v>
      </c>
      <c r="AV1425" s="12">
        <v>4</v>
      </c>
      <c r="AW1425" s="12">
        <f t="shared" si="333"/>
        <v>4</v>
      </c>
      <c r="AX1425" s="12">
        <v>2</v>
      </c>
      <c r="AY1425" s="12">
        <v>4</v>
      </c>
      <c r="AZ1425" s="12">
        <v>3</v>
      </c>
      <c r="BA1425" s="12">
        <f t="shared" si="334"/>
        <v>3</v>
      </c>
      <c r="BB1425" s="12">
        <v>2</v>
      </c>
      <c r="BC1425" s="12">
        <v>1</v>
      </c>
      <c r="BD1425" s="12">
        <f t="shared" si="337"/>
        <v>1</v>
      </c>
      <c r="BE1425" s="12">
        <v>2</v>
      </c>
      <c r="BF1425" s="12">
        <f t="shared" si="335"/>
        <v>2</v>
      </c>
      <c r="BG1425" s="12">
        <f t="shared" si="338"/>
        <v>2</v>
      </c>
      <c r="BH1425" s="67">
        <v>1</v>
      </c>
      <c r="BI1425" s="67">
        <v>0</v>
      </c>
      <c r="BJ1425" s="67">
        <v>0</v>
      </c>
      <c r="BK1425" s="67">
        <v>0</v>
      </c>
      <c r="BL1425" s="67">
        <v>1</v>
      </c>
      <c r="BM1425" s="67">
        <v>0</v>
      </c>
      <c r="BN1425" s="67">
        <v>0</v>
      </c>
      <c r="BO1425" s="67">
        <v>0</v>
      </c>
      <c r="BP1425" s="67">
        <v>0</v>
      </c>
      <c r="BQ1425" s="67">
        <v>2</v>
      </c>
      <c r="BR1425" s="67">
        <v>0</v>
      </c>
      <c r="BS1425" s="67">
        <v>0</v>
      </c>
      <c r="BT1425" s="67">
        <v>4</v>
      </c>
      <c r="BU1425" s="70">
        <v>0</v>
      </c>
      <c r="BV1425" s="29">
        <f t="shared" si="336"/>
        <v>0.66439252453348197</v>
      </c>
      <c r="BW1425">
        <f t="shared" si="339"/>
        <v>0.59502473559756086</v>
      </c>
      <c r="BX1425">
        <f t="shared" si="340"/>
        <v>0.93558618405172878</v>
      </c>
      <c r="BY1425">
        <f t="shared" si="341"/>
        <v>0.65423109602898355</v>
      </c>
      <c r="BZ1425">
        <f t="shared" si="342"/>
        <v>1.01056543769991</v>
      </c>
      <c r="CA1425">
        <f t="shared" si="343"/>
        <v>1.6336288320949415</v>
      </c>
      <c r="CB1425">
        <f t="shared" si="344"/>
        <v>0.36858985273641137</v>
      </c>
    </row>
    <row r="1426" spans="1:80" x14ac:dyDescent="0.45">
      <c r="A1426" s="11">
        <v>35</v>
      </c>
      <c r="B1426" s="12">
        <f t="shared" si="330"/>
        <v>35</v>
      </c>
      <c r="C1426" s="12" t="s">
        <v>59</v>
      </c>
      <c r="D1426" s="12">
        <v>0</v>
      </c>
      <c r="E1426" s="12" t="s">
        <v>53</v>
      </c>
      <c r="F1426" s="12">
        <v>0</v>
      </c>
      <c r="G1426" s="12">
        <v>1</v>
      </c>
      <c r="H1426" s="12" t="s">
        <v>61</v>
      </c>
      <c r="I1426" s="12">
        <v>1</v>
      </c>
      <c r="J1426" s="12">
        <v>0</v>
      </c>
      <c r="K1426" s="12">
        <v>9</v>
      </c>
      <c r="L1426" s="12">
        <f t="shared" si="331"/>
        <v>9</v>
      </c>
      <c r="M1426" s="12">
        <v>4</v>
      </c>
      <c r="N1426" s="12" t="s">
        <v>70</v>
      </c>
      <c r="O1426" s="12">
        <v>0</v>
      </c>
      <c r="P1426" s="12">
        <v>0</v>
      </c>
      <c r="Q1426" s="12">
        <v>1</v>
      </c>
      <c r="R1426" s="12">
        <v>0</v>
      </c>
      <c r="S1426" s="12">
        <v>0</v>
      </c>
      <c r="T1426" s="12">
        <v>2</v>
      </c>
      <c r="U1426" s="12" t="s">
        <v>62</v>
      </c>
      <c r="V1426" s="12">
        <v>0</v>
      </c>
      <c r="W1426" s="12">
        <v>48</v>
      </c>
      <c r="X1426" s="12">
        <v>3</v>
      </c>
      <c r="Y1426" s="12">
        <v>2</v>
      </c>
      <c r="Z1426" s="12" t="s">
        <v>63</v>
      </c>
      <c r="AA1426" s="12">
        <v>0</v>
      </c>
      <c r="AB1426" s="12">
        <v>0</v>
      </c>
      <c r="AC1426" s="12">
        <v>0</v>
      </c>
      <c r="AD1426" s="12">
        <v>0</v>
      </c>
      <c r="AE1426" s="12">
        <v>0</v>
      </c>
      <c r="AF1426" s="12">
        <v>0</v>
      </c>
      <c r="AG1426" s="12">
        <v>0</v>
      </c>
      <c r="AH1426" s="12">
        <v>1</v>
      </c>
      <c r="AI1426" s="12">
        <v>3</v>
      </c>
      <c r="AJ1426" s="12" t="s">
        <v>57</v>
      </c>
      <c r="AK1426" s="12">
        <v>1</v>
      </c>
      <c r="AL1426" s="12">
        <v>0</v>
      </c>
      <c r="AM1426" s="12">
        <v>5098</v>
      </c>
      <c r="AN1426" s="12">
        <f t="shared" si="332"/>
        <v>5098</v>
      </c>
      <c r="AO1426" s="12">
        <v>1</v>
      </c>
      <c r="AP1426" s="12" t="s">
        <v>59</v>
      </c>
      <c r="AQ1426" s="12">
        <v>0</v>
      </c>
      <c r="AR1426" s="12">
        <v>19</v>
      </c>
      <c r="AS1426" s="12">
        <v>3</v>
      </c>
      <c r="AT1426" s="12">
        <v>2</v>
      </c>
      <c r="AU1426" s="12">
        <v>0</v>
      </c>
      <c r="AV1426" s="12">
        <v>10</v>
      </c>
      <c r="AW1426" s="12">
        <f t="shared" si="333"/>
        <v>10</v>
      </c>
      <c r="AX1426" s="12">
        <v>5</v>
      </c>
      <c r="AY1426" s="12">
        <v>3</v>
      </c>
      <c r="AZ1426" s="12">
        <v>10</v>
      </c>
      <c r="BA1426" s="12">
        <f t="shared" si="334"/>
        <v>10</v>
      </c>
      <c r="BB1426" s="12">
        <v>7</v>
      </c>
      <c r="BC1426" s="12">
        <v>0</v>
      </c>
      <c r="BD1426" s="12">
        <f t="shared" si="337"/>
        <v>0</v>
      </c>
      <c r="BE1426" s="12">
        <v>8</v>
      </c>
      <c r="BF1426" s="12">
        <f t="shared" si="335"/>
        <v>8</v>
      </c>
      <c r="BG1426" s="12">
        <f t="shared" si="338"/>
        <v>16</v>
      </c>
      <c r="BH1426" s="67">
        <v>1</v>
      </c>
      <c r="BI1426" s="67">
        <v>0</v>
      </c>
      <c r="BJ1426" s="67">
        <v>0</v>
      </c>
      <c r="BK1426" s="67">
        <v>0</v>
      </c>
      <c r="BL1426" s="67">
        <v>1</v>
      </c>
      <c r="BM1426" s="67">
        <v>0</v>
      </c>
      <c r="BN1426" s="67">
        <v>0</v>
      </c>
      <c r="BO1426" s="67">
        <v>0</v>
      </c>
      <c r="BP1426" s="67">
        <v>0</v>
      </c>
      <c r="BQ1426" s="67">
        <v>8</v>
      </c>
      <c r="BR1426" s="67">
        <v>0</v>
      </c>
      <c r="BS1426" s="67">
        <v>0</v>
      </c>
      <c r="BT1426" s="67">
        <v>10</v>
      </c>
      <c r="BU1426" s="70">
        <v>0</v>
      </c>
      <c r="BV1426" s="29">
        <f t="shared" si="336"/>
        <v>0.29841635283502221</v>
      </c>
      <c r="BW1426">
        <f t="shared" si="339"/>
        <v>1.08652546240644</v>
      </c>
      <c r="BX1426">
        <f t="shared" si="340"/>
        <v>0.1644554352117841</v>
      </c>
      <c r="BY1426">
        <f t="shared" si="341"/>
        <v>0.48834154112957734</v>
      </c>
      <c r="BZ1426">
        <f t="shared" si="342"/>
        <v>2.3747406698420157E-2</v>
      </c>
      <c r="CA1426">
        <f t="shared" si="343"/>
        <v>0.21058903898096887</v>
      </c>
      <c r="CB1426">
        <f t="shared" si="344"/>
        <v>0.67891464284095016</v>
      </c>
    </row>
    <row r="1427" spans="1:80" x14ac:dyDescent="0.45">
      <c r="A1427" s="11">
        <v>33</v>
      </c>
      <c r="B1427" s="12">
        <f t="shared" si="330"/>
        <v>33</v>
      </c>
      <c r="C1427" s="12" t="s">
        <v>59</v>
      </c>
      <c r="D1427" s="12">
        <v>0</v>
      </c>
      <c r="E1427" s="12" t="s">
        <v>53</v>
      </c>
      <c r="F1427" s="12">
        <v>0</v>
      </c>
      <c r="G1427" s="12">
        <v>1</v>
      </c>
      <c r="H1427" s="12" t="s">
        <v>61</v>
      </c>
      <c r="I1427" s="12">
        <v>1</v>
      </c>
      <c r="J1427" s="12">
        <v>0</v>
      </c>
      <c r="K1427" s="12">
        <v>15</v>
      </c>
      <c r="L1427" s="12">
        <f t="shared" si="331"/>
        <v>15</v>
      </c>
      <c r="M1427" s="12">
        <v>2</v>
      </c>
      <c r="N1427" s="12" t="s">
        <v>70</v>
      </c>
      <c r="O1427" s="12">
        <v>0</v>
      </c>
      <c r="P1427" s="12">
        <v>0</v>
      </c>
      <c r="Q1427" s="12">
        <v>1</v>
      </c>
      <c r="R1427" s="12">
        <v>0</v>
      </c>
      <c r="S1427" s="12">
        <v>0</v>
      </c>
      <c r="T1427" s="12">
        <v>2</v>
      </c>
      <c r="U1427" s="12" t="s">
        <v>19</v>
      </c>
      <c r="V1427" s="12">
        <v>1</v>
      </c>
      <c r="W1427" s="12">
        <v>95</v>
      </c>
      <c r="X1427" s="12">
        <v>3</v>
      </c>
      <c r="Y1427" s="12">
        <v>2</v>
      </c>
      <c r="Z1427" s="12" t="s">
        <v>85</v>
      </c>
      <c r="AA1427" s="12">
        <v>1</v>
      </c>
      <c r="AB1427" s="12">
        <v>0</v>
      </c>
      <c r="AC1427" s="12">
        <v>0</v>
      </c>
      <c r="AD1427" s="12">
        <v>0</v>
      </c>
      <c r="AE1427" s="12">
        <v>0</v>
      </c>
      <c r="AF1427" s="12">
        <v>0</v>
      </c>
      <c r="AG1427" s="12">
        <v>0</v>
      </c>
      <c r="AH1427" s="12">
        <v>0</v>
      </c>
      <c r="AI1427" s="12">
        <v>4</v>
      </c>
      <c r="AJ1427" s="12" t="s">
        <v>64</v>
      </c>
      <c r="AK1427" s="12">
        <v>0</v>
      </c>
      <c r="AL1427" s="12">
        <v>1</v>
      </c>
      <c r="AM1427" s="12">
        <v>4878</v>
      </c>
      <c r="AN1427" s="12">
        <f t="shared" si="332"/>
        <v>4878</v>
      </c>
      <c r="AO1427" s="12">
        <v>0</v>
      </c>
      <c r="AP1427" s="12" t="s">
        <v>52</v>
      </c>
      <c r="AQ1427" s="12">
        <v>1</v>
      </c>
      <c r="AR1427" s="12">
        <v>13</v>
      </c>
      <c r="AS1427" s="12">
        <v>3</v>
      </c>
      <c r="AT1427" s="12">
        <v>1</v>
      </c>
      <c r="AU1427" s="12">
        <v>1</v>
      </c>
      <c r="AV1427" s="12">
        <v>10</v>
      </c>
      <c r="AW1427" s="12">
        <f t="shared" si="333"/>
        <v>10</v>
      </c>
      <c r="AX1427" s="12">
        <v>6</v>
      </c>
      <c r="AY1427" s="12">
        <v>3</v>
      </c>
      <c r="AZ1427" s="12">
        <v>9</v>
      </c>
      <c r="BA1427" s="12">
        <f t="shared" si="334"/>
        <v>9</v>
      </c>
      <c r="BB1427" s="12">
        <v>7</v>
      </c>
      <c r="BC1427" s="12">
        <v>8</v>
      </c>
      <c r="BD1427" s="12">
        <f t="shared" si="337"/>
        <v>8</v>
      </c>
      <c r="BE1427" s="12">
        <v>1</v>
      </c>
      <c r="BF1427" s="12">
        <f t="shared" si="335"/>
        <v>1</v>
      </c>
      <c r="BG1427" s="12">
        <f t="shared" si="338"/>
        <v>2</v>
      </c>
      <c r="BH1427" s="67">
        <v>0</v>
      </c>
      <c r="BI1427" s="67">
        <v>1</v>
      </c>
      <c r="BJ1427" s="67">
        <v>0</v>
      </c>
      <c r="BK1427" s="67">
        <v>0</v>
      </c>
      <c r="BL1427" s="67">
        <v>0</v>
      </c>
      <c r="BM1427" s="67">
        <v>0</v>
      </c>
      <c r="BN1427" s="67">
        <v>0</v>
      </c>
      <c r="BO1427" s="67">
        <v>1</v>
      </c>
      <c r="BP1427" s="67">
        <v>0</v>
      </c>
      <c r="BQ1427" s="67">
        <v>1</v>
      </c>
      <c r="BR1427" s="67">
        <v>0</v>
      </c>
      <c r="BS1427" s="67">
        <v>0</v>
      </c>
      <c r="BT1427" s="67">
        <v>10</v>
      </c>
      <c r="BU1427" s="70">
        <v>0</v>
      </c>
      <c r="BV1427" s="29">
        <f t="shared" si="336"/>
        <v>0.34514575374834844</v>
      </c>
      <c r="BW1427">
        <f t="shared" si="339"/>
        <v>0.87528310193156111</v>
      </c>
      <c r="BX1427">
        <f t="shared" si="340"/>
        <v>0.1644554352117841</v>
      </c>
      <c r="BY1427">
        <f t="shared" si="341"/>
        <v>0.32511687867835437</v>
      </c>
      <c r="BZ1427">
        <f t="shared" si="342"/>
        <v>0.71636611655269733</v>
      </c>
      <c r="CA1427">
        <f t="shared" si="343"/>
        <v>0.42951823792158</v>
      </c>
      <c r="CB1427">
        <f t="shared" si="344"/>
        <v>1.8036836779953602</v>
      </c>
    </row>
    <row r="1428" spans="1:80" x14ac:dyDescent="0.45">
      <c r="A1428" s="11">
        <v>32</v>
      </c>
      <c r="B1428" s="12">
        <f t="shared" si="330"/>
        <v>32</v>
      </c>
      <c r="C1428" s="12" t="s">
        <v>59</v>
      </c>
      <c r="D1428" s="12">
        <v>0</v>
      </c>
      <c r="E1428" s="12" t="s">
        <v>53</v>
      </c>
      <c r="F1428" s="12">
        <v>0</v>
      </c>
      <c r="G1428" s="12">
        <v>1</v>
      </c>
      <c r="H1428" s="12" t="s">
        <v>61</v>
      </c>
      <c r="I1428" s="12">
        <v>1</v>
      </c>
      <c r="J1428" s="12">
        <v>0</v>
      </c>
      <c r="K1428" s="12">
        <v>29</v>
      </c>
      <c r="L1428" s="12">
        <f t="shared" si="331"/>
        <v>29</v>
      </c>
      <c r="M1428" s="12">
        <v>4</v>
      </c>
      <c r="N1428" s="12" t="s">
        <v>55</v>
      </c>
      <c r="O1428" s="12">
        <v>1</v>
      </c>
      <c r="P1428" s="12">
        <v>0</v>
      </c>
      <c r="Q1428" s="12">
        <v>0</v>
      </c>
      <c r="R1428" s="12">
        <v>0</v>
      </c>
      <c r="S1428" s="12">
        <v>0</v>
      </c>
      <c r="T1428" s="12">
        <v>3</v>
      </c>
      <c r="U1428" s="12" t="s">
        <v>19</v>
      </c>
      <c r="V1428" s="12">
        <v>1</v>
      </c>
      <c r="W1428" s="12">
        <v>49</v>
      </c>
      <c r="X1428" s="12">
        <v>2</v>
      </c>
      <c r="Y1428" s="12">
        <v>1</v>
      </c>
      <c r="Z1428" s="12" t="s">
        <v>67</v>
      </c>
      <c r="AA1428" s="12">
        <v>0</v>
      </c>
      <c r="AB1428" s="12">
        <v>0</v>
      </c>
      <c r="AC1428" s="12">
        <v>1</v>
      </c>
      <c r="AD1428" s="12">
        <v>0</v>
      </c>
      <c r="AE1428" s="12">
        <v>0</v>
      </c>
      <c r="AF1428" s="12">
        <v>0</v>
      </c>
      <c r="AG1428" s="12">
        <v>0</v>
      </c>
      <c r="AH1428" s="12">
        <v>0</v>
      </c>
      <c r="AI1428" s="12">
        <v>2</v>
      </c>
      <c r="AJ1428" s="12" t="s">
        <v>57</v>
      </c>
      <c r="AK1428" s="12">
        <v>1</v>
      </c>
      <c r="AL1428" s="12">
        <v>0</v>
      </c>
      <c r="AM1428" s="12">
        <v>2837</v>
      </c>
      <c r="AN1428" s="12">
        <f t="shared" si="332"/>
        <v>2837</v>
      </c>
      <c r="AO1428" s="12">
        <v>1</v>
      </c>
      <c r="AP1428" s="12" t="s">
        <v>59</v>
      </c>
      <c r="AQ1428" s="12">
        <v>0</v>
      </c>
      <c r="AR1428" s="12">
        <v>13</v>
      </c>
      <c r="AS1428" s="12">
        <v>3</v>
      </c>
      <c r="AT1428" s="12">
        <v>3</v>
      </c>
      <c r="AU1428" s="12">
        <v>0</v>
      </c>
      <c r="AV1428" s="12">
        <v>6</v>
      </c>
      <c r="AW1428" s="12">
        <f t="shared" si="333"/>
        <v>6</v>
      </c>
      <c r="AX1428" s="12">
        <v>3</v>
      </c>
      <c r="AY1428" s="12">
        <v>3</v>
      </c>
      <c r="AZ1428" s="12">
        <v>6</v>
      </c>
      <c r="BA1428" s="12">
        <f t="shared" si="334"/>
        <v>6</v>
      </c>
      <c r="BB1428" s="12">
        <v>2</v>
      </c>
      <c r="BC1428" s="12">
        <v>4</v>
      </c>
      <c r="BD1428" s="12">
        <f t="shared" si="337"/>
        <v>4</v>
      </c>
      <c r="BE1428" s="12">
        <v>1</v>
      </c>
      <c r="BF1428" s="12">
        <f t="shared" si="335"/>
        <v>1</v>
      </c>
      <c r="BG1428" s="12">
        <f t="shared" si="338"/>
        <v>1</v>
      </c>
      <c r="BH1428" s="67">
        <v>1</v>
      </c>
      <c r="BI1428" s="67">
        <v>0</v>
      </c>
      <c r="BJ1428" s="67">
        <v>0</v>
      </c>
      <c r="BK1428" s="67">
        <v>0</v>
      </c>
      <c r="BL1428" s="67">
        <v>1</v>
      </c>
      <c r="BM1428" s="67">
        <v>0</v>
      </c>
      <c r="BN1428" s="67">
        <v>0</v>
      </c>
      <c r="BO1428" s="67">
        <v>0</v>
      </c>
      <c r="BP1428" s="67">
        <v>0</v>
      </c>
      <c r="BQ1428" s="67">
        <v>1</v>
      </c>
      <c r="BR1428" s="67">
        <v>0</v>
      </c>
      <c r="BS1428" s="67">
        <v>0</v>
      </c>
      <c r="BT1428" s="67">
        <v>6</v>
      </c>
      <c r="BU1428" s="70">
        <v>0</v>
      </c>
      <c r="BV1428" s="29">
        <f t="shared" si="336"/>
        <v>0.77866715040334356</v>
      </c>
      <c r="BW1428">
        <f t="shared" si="339"/>
        <v>0.87528310193156111</v>
      </c>
      <c r="BX1428">
        <f t="shared" si="340"/>
        <v>0.67854260110508058</v>
      </c>
      <c r="BY1428">
        <f t="shared" si="341"/>
        <v>0.16455710867531462</v>
      </c>
      <c r="BZ1428">
        <f t="shared" si="342"/>
        <v>2.4432976708053049</v>
      </c>
      <c r="CA1428">
        <f t="shared" si="343"/>
        <v>0.53898283739188557</v>
      </c>
      <c r="CB1428">
        <f t="shared" si="344"/>
        <v>0.56238451757720498</v>
      </c>
    </row>
    <row r="1429" spans="1:80" x14ac:dyDescent="0.45">
      <c r="A1429" s="11">
        <v>40</v>
      </c>
      <c r="B1429" s="12">
        <f t="shared" si="330"/>
        <v>40</v>
      </c>
      <c r="C1429" s="12" t="s">
        <v>59</v>
      </c>
      <c r="D1429" s="12">
        <v>0</v>
      </c>
      <c r="E1429" s="12" t="s">
        <v>53</v>
      </c>
      <c r="F1429" s="12">
        <v>0</v>
      </c>
      <c r="G1429" s="12">
        <v>1</v>
      </c>
      <c r="H1429" s="12" t="s">
        <v>61</v>
      </c>
      <c r="I1429" s="12">
        <v>1</v>
      </c>
      <c r="J1429" s="12">
        <v>0</v>
      </c>
      <c r="K1429" s="12">
        <v>1</v>
      </c>
      <c r="L1429" s="12">
        <f t="shared" si="331"/>
        <v>1</v>
      </c>
      <c r="M1429" s="12">
        <v>4</v>
      </c>
      <c r="N1429" s="12" t="s">
        <v>55</v>
      </c>
      <c r="O1429" s="12">
        <v>1</v>
      </c>
      <c r="P1429" s="12">
        <v>0</v>
      </c>
      <c r="Q1429" s="12">
        <v>0</v>
      </c>
      <c r="R1429" s="12">
        <v>0</v>
      </c>
      <c r="S1429" s="12">
        <v>0</v>
      </c>
      <c r="T1429" s="12">
        <v>1</v>
      </c>
      <c r="U1429" s="12" t="s">
        <v>62</v>
      </c>
      <c r="V1429" s="12">
        <v>0</v>
      </c>
      <c r="W1429" s="12">
        <v>83</v>
      </c>
      <c r="X1429" s="12">
        <v>3</v>
      </c>
      <c r="Y1429" s="12">
        <v>1</v>
      </c>
      <c r="Z1429" s="12" t="s">
        <v>67</v>
      </c>
      <c r="AA1429" s="12">
        <v>0</v>
      </c>
      <c r="AB1429" s="12">
        <v>0</v>
      </c>
      <c r="AC1429" s="12">
        <v>1</v>
      </c>
      <c r="AD1429" s="12">
        <v>0</v>
      </c>
      <c r="AE1429" s="12">
        <v>0</v>
      </c>
      <c r="AF1429" s="12">
        <v>0</v>
      </c>
      <c r="AG1429" s="12">
        <v>0</v>
      </c>
      <c r="AH1429" s="12">
        <v>0</v>
      </c>
      <c r="AI1429" s="12">
        <v>4</v>
      </c>
      <c r="AJ1429" s="12" t="s">
        <v>64</v>
      </c>
      <c r="AK1429" s="12">
        <v>0</v>
      </c>
      <c r="AL1429" s="12">
        <v>1</v>
      </c>
      <c r="AM1429" s="12">
        <v>2406</v>
      </c>
      <c r="AN1429" s="12">
        <f t="shared" si="332"/>
        <v>2406</v>
      </c>
      <c r="AO1429" s="12">
        <v>8</v>
      </c>
      <c r="AP1429" s="12" t="s">
        <v>59</v>
      </c>
      <c r="AQ1429" s="12">
        <v>0</v>
      </c>
      <c r="AR1429" s="12">
        <v>19</v>
      </c>
      <c r="AS1429" s="12">
        <v>3</v>
      </c>
      <c r="AT1429" s="12">
        <v>3</v>
      </c>
      <c r="AU1429" s="12">
        <v>2</v>
      </c>
      <c r="AV1429" s="12">
        <v>8</v>
      </c>
      <c r="AW1429" s="12">
        <f t="shared" si="333"/>
        <v>8</v>
      </c>
      <c r="AX1429" s="12">
        <v>3</v>
      </c>
      <c r="AY1429" s="12">
        <v>2</v>
      </c>
      <c r="AZ1429" s="12">
        <v>1</v>
      </c>
      <c r="BA1429" s="12">
        <f t="shared" si="334"/>
        <v>1</v>
      </c>
      <c r="BB1429" s="12">
        <v>0</v>
      </c>
      <c r="BC1429" s="12">
        <v>0</v>
      </c>
      <c r="BD1429" s="12">
        <f t="shared" si="337"/>
        <v>0</v>
      </c>
      <c r="BE1429" s="12">
        <v>0</v>
      </c>
      <c r="BF1429" s="12">
        <f t="shared" si="335"/>
        <v>0</v>
      </c>
      <c r="BG1429" s="12">
        <f t="shared" si="338"/>
        <v>0</v>
      </c>
      <c r="BH1429" s="67">
        <v>0</v>
      </c>
      <c r="BI1429" s="67">
        <v>1</v>
      </c>
      <c r="BJ1429" s="67">
        <v>0</v>
      </c>
      <c r="BK1429" s="67">
        <v>0</v>
      </c>
      <c r="BL1429" s="67">
        <v>0</v>
      </c>
      <c r="BM1429" s="67">
        <v>0</v>
      </c>
      <c r="BN1429" s="67">
        <v>1</v>
      </c>
      <c r="BO1429" s="67">
        <v>0</v>
      </c>
      <c r="BP1429" s="67">
        <v>0</v>
      </c>
      <c r="BQ1429" s="67">
        <v>0</v>
      </c>
      <c r="BR1429" s="67">
        <v>0</v>
      </c>
      <c r="BS1429" s="67">
        <v>0</v>
      </c>
      <c r="BT1429" s="67">
        <v>8</v>
      </c>
      <c r="BU1429" s="70">
        <v>0</v>
      </c>
      <c r="BV1429" s="29">
        <f t="shared" si="336"/>
        <v>0.87021429491990543</v>
      </c>
      <c r="BW1429">
        <f t="shared" si="339"/>
        <v>1.1555414682655611</v>
      </c>
      <c r="BX1429">
        <f t="shared" si="340"/>
        <v>0.42149901815843233</v>
      </c>
      <c r="BY1429">
        <f t="shared" si="341"/>
        <v>0.9806804209314296</v>
      </c>
      <c r="BZ1429">
        <f t="shared" si="342"/>
        <v>1.01056543769991</v>
      </c>
      <c r="CA1429">
        <f t="shared" si="343"/>
        <v>0.33673395837055903</v>
      </c>
      <c r="CB1429">
        <f t="shared" si="344"/>
        <v>0.67891464284095016</v>
      </c>
    </row>
    <row r="1430" spans="1:80" x14ac:dyDescent="0.45">
      <c r="A1430" s="11">
        <v>32</v>
      </c>
      <c r="B1430" s="12">
        <f t="shared" si="330"/>
        <v>32</v>
      </c>
      <c r="C1430" s="12" t="s">
        <v>59</v>
      </c>
      <c r="D1430" s="12">
        <v>0</v>
      </c>
      <c r="E1430" s="12" t="s">
        <v>53</v>
      </c>
      <c r="F1430" s="12">
        <v>0</v>
      </c>
      <c r="G1430" s="12">
        <v>1</v>
      </c>
      <c r="H1430" s="12" t="s">
        <v>54</v>
      </c>
      <c r="I1430" s="12">
        <v>0</v>
      </c>
      <c r="J1430" s="12">
        <v>1</v>
      </c>
      <c r="K1430" s="12">
        <v>1</v>
      </c>
      <c r="L1430" s="12">
        <f t="shared" si="331"/>
        <v>1</v>
      </c>
      <c r="M1430" s="12">
        <v>4</v>
      </c>
      <c r="N1430" s="12" t="s">
        <v>70</v>
      </c>
      <c r="O1430" s="12">
        <v>0</v>
      </c>
      <c r="P1430" s="12">
        <v>0</v>
      </c>
      <c r="Q1430" s="12">
        <v>1</v>
      </c>
      <c r="R1430" s="12">
        <v>0</v>
      </c>
      <c r="S1430" s="12">
        <v>0</v>
      </c>
      <c r="T1430" s="12">
        <v>2</v>
      </c>
      <c r="U1430" s="12" t="s">
        <v>62</v>
      </c>
      <c r="V1430" s="12">
        <v>0</v>
      </c>
      <c r="W1430" s="12">
        <v>68</v>
      </c>
      <c r="X1430" s="12">
        <v>2</v>
      </c>
      <c r="Y1430" s="12">
        <v>1</v>
      </c>
      <c r="Z1430" s="12" t="s">
        <v>88</v>
      </c>
      <c r="AA1430" s="12">
        <v>0</v>
      </c>
      <c r="AB1430" s="12">
        <v>0</v>
      </c>
      <c r="AC1430" s="12">
        <v>0</v>
      </c>
      <c r="AD1430" s="12">
        <v>0</v>
      </c>
      <c r="AE1430" s="12">
        <v>0</v>
      </c>
      <c r="AF1430" s="12">
        <v>0</v>
      </c>
      <c r="AG1430" s="12">
        <v>1</v>
      </c>
      <c r="AH1430" s="12">
        <v>0</v>
      </c>
      <c r="AI1430" s="12">
        <v>2</v>
      </c>
      <c r="AJ1430" s="12" t="s">
        <v>64</v>
      </c>
      <c r="AK1430" s="12">
        <v>0</v>
      </c>
      <c r="AL1430" s="12">
        <v>1</v>
      </c>
      <c r="AM1430" s="12">
        <v>2269</v>
      </c>
      <c r="AN1430" s="12">
        <f t="shared" si="332"/>
        <v>2269</v>
      </c>
      <c r="AO1430" s="12">
        <v>0</v>
      </c>
      <c r="AP1430" s="12" t="s">
        <v>59</v>
      </c>
      <c r="AQ1430" s="12">
        <v>0</v>
      </c>
      <c r="AR1430" s="12">
        <v>14</v>
      </c>
      <c r="AS1430" s="12">
        <v>3</v>
      </c>
      <c r="AT1430" s="12">
        <v>2</v>
      </c>
      <c r="AU1430" s="12">
        <v>1</v>
      </c>
      <c r="AV1430" s="12">
        <v>3</v>
      </c>
      <c r="AW1430" s="12">
        <f t="shared" si="333"/>
        <v>3</v>
      </c>
      <c r="AX1430" s="12">
        <v>2</v>
      </c>
      <c r="AY1430" s="12">
        <v>3</v>
      </c>
      <c r="AZ1430" s="12">
        <v>2</v>
      </c>
      <c r="BA1430" s="12">
        <f t="shared" si="334"/>
        <v>2</v>
      </c>
      <c r="BB1430" s="12">
        <v>2</v>
      </c>
      <c r="BC1430" s="12">
        <v>2</v>
      </c>
      <c r="BD1430" s="12">
        <f t="shared" si="337"/>
        <v>2</v>
      </c>
      <c r="BE1430" s="12">
        <v>2</v>
      </c>
      <c r="BF1430" s="12">
        <f t="shared" si="335"/>
        <v>2</v>
      </c>
      <c r="BG1430" s="12">
        <f t="shared" si="338"/>
        <v>2</v>
      </c>
      <c r="BH1430" s="67">
        <v>0</v>
      </c>
      <c r="BI1430" s="67">
        <v>1</v>
      </c>
      <c r="BJ1430" s="67">
        <v>0</v>
      </c>
      <c r="BK1430" s="67">
        <v>0</v>
      </c>
      <c r="BL1430" s="67">
        <v>0</v>
      </c>
      <c r="BM1430" s="67">
        <v>0</v>
      </c>
      <c r="BN1430" s="67">
        <v>1</v>
      </c>
      <c r="BO1430" s="67">
        <v>0</v>
      </c>
      <c r="BP1430" s="67">
        <v>0</v>
      </c>
      <c r="BQ1430" s="67">
        <v>0</v>
      </c>
      <c r="BR1430" s="67">
        <v>2</v>
      </c>
      <c r="BS1430" s="67">
        <v>0</v>
      </c>
      <c r="BT1430" s="67">
        <v>0</v>
      </c>
      <c r="BU1430" s="70">
        <v>3</v>
      </c>
      <c r="BV1430" s="29">
        <f t="shared" si="336"/>
        <v>0.89931396730684043</v>
      </c>
      <c r="BW1430">
        <f t="shared" si="339"/>
        <v>0.59502473559756086</v>
      </c>
      <c r="BX1430">
        <f t="shared" si="340"/>
        <v>1.0641079755250529</v>
      </c>
      <c r="BY1430">
        <f t="shared" si="341"/>
        <v>0.81745575848020657</v>
      </c>
      <c r="BZ1430">
        <f t="shared" si="342"/>
        <v>1.01056543769991</v>
      </c>
      <c r="CA1430">
        <f t="shared" si="343"/>
        <v>0.53898283739188557</v>
      </c>
      <c r="CB1430">
        <f t="shared" si="344"/>
        <v>5.8265062631872602E-2</v>
      </c>
    </row>
    <row r="1431" spans="1:80" x14ac:dyDescent="0.45">
      <c r="A1431" s="11">
        <v>39</v>
      </c>
      <c r="B1431" s="12">
        <f t="shared" si="330"/>
        <v>39</v>
      </c>
      <c r="C1431" s="12" t="s">
        <v>59</v>
      </c>
      <c r="D1431" s="12">
        <v>0</v>
      </c>
      <c r="E1431" s="12" t="s">
        <v>53</v>
      </c>
      <c r="F1431" s="12">
        <v>0</v>
      </c>
      <c r="G1431" s="12">
        <v>1</v>
      </c>
      <c r="H1431" s="12" t="s">
        <v>61</v>
      </c>
      <c r="I1431" s="12">
        <v>1</v>
      </c>
      <c r="J1431" s="12">
        <v>0</v>
      </c>
      <c r="K1431" s="12">
        <v>24</v>
      </c>
      <c r="L1431" s="12">
        <f t="shared" si="331"/>
        <v>24</v>
      </c>
      <c r="M1431" s="12">
        <v>1</v>
      </c>
      <c r="N1431" s="12" t="s">
        <v>55</v>
      </c>
      <c r="O1431" s="12">
        <v>1</v>
      </c>
      <c r="P1431" s="12">
        <v>0</v>
      </c>
      <c r="Q1431" s="12">
        <v>0</v>
      </c>
      <c r="R1431" s="12">
        <v>0</v>
      </c>
      <c r="S1431" s="12">
        <v>0</v>
      </c>
      <c r="T1431" s="12">
        <v>1</v>
      </c>
      <c r="U1431" s="12" t="s">
        <v>62</v>
      </c>
      <c r="V1431" s="12">
        <v>0</v>
      </c>
      <c r="W1431" s="12">
        <v>52</v>
      </c>
      <c r="X1431" s="12">
        <v>3</v>
      </c>
      <c r="Y1431" s="12">
        <v>2</v>
      </c>
      <c r="Z1431" s="12" t="s">
        <v>63</v>
      </c>
      <c r="AA1431" s="12">
        <v>0</v>
      </c>
      <c r="AB1431" s="12">
        <v>0</v>
      </c>
      <c r="AC1431" s="12">
        <v>0</v>
      </c>
      <c r="AD1431" s="12">
        <v>0</v>
      </c>
      <c r="AE1431" s="12">
        <v>0</v>
      </c>
      <c r="AF1431" s="12">
        <v>0</v>
      </c>
      <c r="AG1431" s="12">
        <v>0</v>
      </c>
      <c r="AH1431" s="12">
        <v>1</v>
      </c>
      <c r="AI1431" s="12">
        <v>4</v>
      </c>
      <c r="AJ1431" s="12" t="s">
        <v>57</v>
      </c>
      <c r="AK1431" s="12">
        <v>1</v>
      </c>
      <c r="AL1431" s="12">
        <v>0</v>
      </c>
      <c r="AM1431" s="12">
        <v>4108</v>
      </c>
      <c r="AN1431" s="12">
        <f t="shared" si="332"/>
        <v>4108</v>
      </c>
      <c r="AO1431" s="12">
        <v>7</v>
      </c>
      <c r="AP1431" s="12" t="s">
        <v>59</v>
      </c>
      <c r="AQ1431" s="12">
        <v>0</v>
      </c>
      <c r="AR1431" s="12">
        <v>13</v>
      </c>
      <c r="AS1431" s="12">
        <v>3</v>
      </c>
      <c r="AT1431" s="12">
        <v>1</v>
      </c>
      <c r="AU1431" s="12">
        <v>0</v>
      </c>
      <c r="AV1431" s="12">
        <v>18</v>
      </c>
      <c r="AW1431" s="12">
        <f t="shared" si="333"/>
        <v>18</v>
      </c>
      <c r="AX1431" s="12">
        <v>2</v>
      </c>
      <c r="AY1431" s="12">
        <v>3</v>
      </c>
      <c r="AZ1431" s="12">
        <v>7</v>
      </c>
      <c r="BA1431" s="12">
        <f t="shared" si="334"/>
        <v>7</v>
      </c>
      <c r="BB1431" s="12">
        <v>7</v>
      </c>
      <c r="BC1431" s="12">
        <v>1</v>
      </c>
      <c r="BD1431" s="12">
        <f t="shared" si="337"/>
        <v>1</v>
      </c>
      <c r="BE1431" s="12">
        <v>7</v>
      </c>
      <c r="BF1431" s="12">
        <f t="shared" si="335"/>
        <v>7</v>
      </c>
      <c r="BG1431" s="12">
        <f t="shared" si="338"/>
        <v>14</v>
      </c>
      <c r="BH1431" s="67">
        <v>1</v>
      </c>
      <c r="BI1431" s="67">
        <v>0</v>
      </c>
      <c r="BJ1431" s="67">
        <v>0</v>
      </c>
      <c r="BK1431" s="67">
        <v>0</v>
      </c>
      <c r="BL1431" s="67">
        <v>1</v>
      </c>
      <c r="BM1431" s="67">
        <v>0</v>
      </c>
      <c r="BN1431" s="67">
        <v>0</v>
      </c>
      <c r="BO1431" s="67">
        <v>0</v>
      </c>
      <c r="BP1431" s="67">
        <v>0</v>
      </c>
      <c r="BQ1431" s="67">
        <v>7</v>
      </c>
      <c r="BR1431" s="67">
        <v>0</v>
      </c>
      <c r="BS1431" s="67">
        <v>0</v>
      </c>
      <c r="BT1431" s="67">
        <v>18</v>
      </c>
      <c r="BU1431" s="70">
        <v>0</v>
      </c>
      <c r="BV1431" s="29">
        <f t="shared" si="336"/>
        <v>0.50869865694499039</v>
      </c>
      <c r="BW1431">
        <f t="shared" si="339"/>
        <v>0.80626709607243985</v>
      </c>
      <c r="BX1431">
        <f t="shared" si="340"/>
        <v>0.86371889657480871</v>
      </c>
      <c r="BY1431">
        <f t="shared" si="341"/>
        <v>1.3324462240916321E-3</v>
      </c>
      <c r="BZ1431">
        <f t="shared" si="342"/>
        <v>1.8265364014293735</v>
      </c>
      <c r="CA1431">
        <f t="shared" si="343"/>
        <v>0.22726935890025346</v>
      </c>
      <c r="CB1431">
        <f t="shared" si="344"/>
        <v>0.36858985273641137</v>
      </c>
    </row>
    <row r="1432" spans="1:80" x14ac:dyDescent="0.45">
      <c r="A1432" s="11">
        <v>38</v>
      </c>
      <c r="B1432" s="12">
        <f t="shared" si="330"/>
        <v>38</v>
      </c>
      <c r="C1432" s="12" t="s">
        <v>59</v>
      </c>
      <c r="D1432" s="12">
        <v>0</v>
      </c>
      <c r="E1432" s="12" t="s">
        <v>53</v>
      </c>
      <c r="F1432" s="12">
        <v>0</v>
      </c>
      <c r="G1432" s="12">
        <v>1</v>
      </c>
      <c r="H1432" s="12" t="s">
        <v>61</v>
      </c>
      <c r="I1432" s="12">
        <v>1</v>
      </c>
      <c r="J1432" s="12">
        <v>0</v>
      </c>
      <c r="K1432" s="12">
        <v>10</v>
      </c>
      <c r="L1432" s="12">
        <f t="shared" si="331"/>
        <v>10</v>
      </c>
      <c r="M1432" s="12">
        <v>3</v>
      </c>
      <c r="N1432" s="12" t="s">
        <v>70</v>
      </c>
      <c r="O1432" s="12">
        <v>0</v>
      </c>
      <c r="P1432" s="12">
        <v>0</v>
      </c>
      <c r="Q1432" s="12">
        <v>1</v>
      </c>
      <c r="R1432" s="12">
        <v>0</v>
      </c>
      <c r="S1432" s="12">
        <v>0</v>
      </c>
      <c r="T1432" s="12">
        <v>2</v>
      </c>
      <c r="U1432" s="12" t="s">
        <v>19</v>
      </c>
      <c r="V1432" s="12">
        <v>1</v>
      </c>
      <c r="W1432" s="12">
        <v>99</v>
      </c>
      <c r="X1432" s="12">
        <v>1</v>
      </c>
      <c r="Y1432" s="12">
        <v>3</v>
      </c>
      <c r="Z1432" s="12" t="s">
        <v>89</v>
      </c>
      <c r="AA1432" s="12">
        <v>0</v>
      </c>
      <c r="AB1432" s="12">
        <v>0</v>
      </c>
      <c r="AC1432" s="12">
        <v>0</v>
      </c>
      <c r="AD1432" s="12">
        <v>0</v>
      </c>
      <c r="AE1432" s="12">
        <v>0</v>
      </c>
      <c r="AF1432" s="12">
        <v>0</v>
      </c>
      <c r="AG1432" s="12">
        <v>0</v>
      </c>
      <c r="AH1432" s="12">
        <v>0</v>
      </c>
      <c r="AI1432" s="12">
        <v>3</v>
      </c>
      <c r="AJ1432" s="12" t="s">
        <v>64</v>
      </c>
      <c r="AK1432" s="12">
        <v>0</v>
      </c>
      <c r="AL1432" s="12">
        <v>1</v>
      </c>
      <c r="AM1432" s="12">
        <v>13206</v>
      </c>
      <c r="AN1432" s="12">
        <f t="shared" si="332"/>
        <v>13206</v>
      </c>
      <c r="AO1432" s="12">
        <v>3</v>
      </c>
      <c r="AP1432" s="12" t="s">
        <v>59</v>
      </c>
      <c r="AQ1432" s="12">
        <v>0</v>
      </c>
      <c r="AR1432" s="12">
        <v>12</v>
      </c>
      <c r="AS1432" s="12">
        <v>3</v>
      </c>
      <c r="AT1432" s="12">
        <v>1</v>
      </c>
      <c r="AU1432" s="12">
        <v>1</v>
      </c>
      <c r="AV1432" s="12">
        <v>20</v>
      </c>
      <c r="AW1432" s="12">
        <f t="shared" si="333"/>
        <v>20</v>
      </c>
      <c r="AX1432" s="12">
        <v>3</v>
      </c>
      <c r="AY1432" s="12">
        <v>3</v>
      </c>
      <c r="AZ1432" s="12">
        <v>18</v>
      </c>
      <c r="BA1432" s="12">
        <f t="shared" si="334"/>
        <v>18</v>
      </c>
      <c r="BB1432" s="12">
        <v>16</v>
      </c>
      <c r="BC1432" s="12">
        <v>1</v>
      </c>
      <c r="BD1432" s="12">
        <f t="shared" si="337"/>
        <v>1</v>
      </c>
      <c r="BE1432" s="12">
        <v>11</v>
      </c>
      <c r="BF1432" s="12">
        <f t="shared" si="335"/>
        <v>11</v>
      </c>
      <c r="BG1432" s="12">
        <f t="shared" si="338"/>
        <v>33</v>
      </c>
      <c r="BH1432" s="67">
        <v>0</v>
      </c>
      <c r="BI1432" s="67">
        <v>1</v>
      </c>
      <c r="BJ1432" s="67">
        <v>0</v>
      </c>
      <c r="BK1432" s="67">
        <v>0</v>
      </c>
      <c r="BL1432" s="67">
        <v>0</v>
      </c>
      <c r="BM1432" s="67">
        <v>0</v>
      </c>
      <c r="BN1432" s="67">
        <v>1</v>
      </c>
      <c r="BO1432" s="67">
        <v>0</v>
      </c>
      <c r="BP1432" s="67">
        <v>0</v>
      </c>
      <c r="BQ1432" s="67">
        <v>11</v>
      </c>
      <c r="BR1432" s="67">
        <v>0</v>
      </c>
      <c r="BS1432" s="67">
        <v>0</v>
      </c>
      <c r="BT1432" s="67">
        <v>20</v>
      </c>
      <c r="BU1432" s="70">
        <v>0</v>
      </c>
      <c r="BV1432" s="29">
        <f t="shared" si="336"/>
        <v>1.4237744771888385</v>
      </c>
      <c r="BW1432">
        <f t="shared" si="339"/>
        <v>1.9273005614084406</v>
      </c>
      <c r="BX1432">
        <f t="shared" si="340"/>
        <v>1.120762479521457</v>
      </c>
      <c r="BY1432">
        <f t="shared" si="341"/>
        <v>1.794138840739361</v>
      </c>
      <c r="BZ1432">
        <f t="shared" si="342"/>
        <v>9.9604847176766084E-2</v>
      </c>
      <c r="CA1432">
        <f t="shared" si="343"/>
        <v>0.11780475942994788</v>
      </c>
      <c r="CB1432">
        <f t="shared" si="344"/>
        <v>0.36858985273641137</v>
      </c>
    </row>
    <row r="1433" spans="1:80" x14ac:dyDescent="0.45">
      <c r="A1433" s="11">
        <v>32</v>
      </c>
      <c r="B1433" s="12">
        <f t="shared" si="330"/>
        <v>32</v>
      </c>
      <c r="C1433" s="12" t="s">
        <v>59</v>
      </c>
      <c r="D1433" s="12">
        <v>0</v>
      </c>
      <c r="E1433" s="12" t="s">
        <v>53</v>
      </c>
      <c r="F1433" s="12">
        <v>0</v>
      </c>
      <c r="G1433" s="12">
        <v>1</v>
      </c>
      <c r="H1433" s="12" t="s">
        <v>54</v>
      </c>
      <c r="I1433" s="12">
        <v>0</v>
      </c>
      <c r="J1433" s="12">
        <v>1</v>
      </c>
      <c r="K1433" s="12">
        <v>1</v>
      </c>
      <c r="L1433" s="12">
        <f t="shared" si="331"/>
        <v>1</v>
      </c>
      <c r="M1433" s="12">
        <v>4</v>
      </c>
      <c r="N1433" s="12" t="s">
        <v>90</v>
      </c>
      <c r="O1433" s="12">
        <v>0</v>
      </c>
      <c r="P1433" s="12">
        <v>0</v>
      </c>
      <c r="Q1433" s="12">
        <v>0</v>
      </c>
      <c r="R1433" s="12">
        <v>1</v>
      </c>
      <c r="S1433" s="12">
        <v>0</v>
      </c>
      <c r="T1433" s="12">
        <v>3</v>
      </c>
      <c r="U1433" s="12" t="s">
        <v>19</v>
      </c>
      <c r="V1433" s="12">
        <v>1</v>
      </c>
      <c r="W1433" s="12">
        <v>48</v>
      </c>
      <c r="X1433" s="12">
        <v>3</v>
      </c>
      <c r="Y1433" s="12">
        <v>3</v>
      </c>
      <c r="Z1433" s="12" t="s">
        <v>56</v>
      </c>
      <c r="AA1433" s="12">
        <v>0</v>
      </c>
      <c r="AB1433" s="12">
        <v>1</v>
      </c>
      <c r="AC1433" s="12">
        <v>0</v>
      </c>
      <c r="AD1433" s="12">
        <v>0</v>
      </c>
      <c r="AE1433" s="12">
        <v>0</v>
      </c>
      <c r="AF1433" s="12">
        <v>0</v>
      </c>
      <c r="AG1433" s="12">
        <v>0</v>
      </c>
      <c r="AH1433" s="12">
        <v>0</v>
      </c>
      <c r="AI1433" s="12">
        <v>4</v>
      </c>
      <c r="AJ1433" s="12" t="s">
        <v>64</v>
      </c>
      <c r="AK1433" s="12">
        <v>0</v>
      </c>
      <c r="AL1433" s="12">
        <v>1</v>
      </c>
      <c r="AM1433" s="12">
        <v>10422</v>
      </c>
      <c r="AN1433" s="12">
        <f t="shared" si="332"/>
        <v>10422</v>
      </c>
      <c r="AO1433" s="12">
        <v>1</v>
      </c>
      <c r="AP1433" s="12" t="s">
        <v>59</v>
      </c>
      <c r="AQ1433" s="12">
        <v>0</v>
      </c>
      <c r="AR1433" s="12">
        <v>19</v>
      </c>
      <c r="AS1433" s="12">
        <v>3</v>
      </c>
      <c r="AT1433" s="12">
        <v>3</v>
      </c>
      <c r="AU1433" s="12">
        <v>2</v>
      </c>
      <c r="AV1433" s="12">
        <v>14</v>
      </c>
      <c r="AW1433" s="12">
        <f t="shared" si="333"/>
        <v>14</v>
      </c>
      <c r="AX1433" s="12">
        <v>3</v>
      </c>
      <c r="AY1433" s="12">
        <v>3</v>
      </c>
      <c r="AZ1433" s="12">
        <v>14</v>
      </c>
      <c r="BA1433" s="12">
        <f t="shared" si="334"/>
        <v>14</v>
      </c>
      <c r="BB1433" s="12">
        <v>10</v>
      </c>
      <c r="BC1433" s="12">
        <v>5</v>
      </c>
      <c r="BD1433" s="12">
        <f t="shared" si="337"/>
        <v>5</v>
      </c>
      <c r="BE1433" s="12">
        <v>7</v>
      </c>
      <c r="BF1433" s="12">
        <f t="shared" si="335"/>
        <v>7</v>
      </c>
      <c r="BG1433" s="12">
        <f t="shared" si="338"/>
        <v>21</v>
      </c>
      <c r="BH1433" s="67">
        <v>0</v>
      </c>
      <c r="BI1433" s="67">
        <v>1</v>
      </c>
      <c r="BJ1433" s="67">
        <v>0</v>
      </c>
      <c r="BK1433" s="67">
        <v>0</v>
      </c>
      <c r="BL1433" s="67">
        <v>0</v>
      </c>
      <c r="BM1433" s="67">
        <v>0</v>
      </c>
      <c r="BN1433" s="67">
        <v>1</v>
      </c>
      <c r="BO1433" s="67">
        <v>0</v>
      </c>
      <c r="BP1433" s="67">
        <v>0</v>
      </c>
      <c r="BQ1433" s="67">
        <v>0</v>
      </c>
      <c r="BR1433" s="67">
        <v>7</v>
      </c>
      <c r="BS1433" s="67">
        <v>0</v>
      </c>
      <c r="BT1433" s="67">
        <v>0</v>
      </c>
      <c r="BU1433" s="70">
        <v>14</v>
      </c>
      <c r="BV1433" s="29">
        <f t="shared" si="336"/>
        <v>0.83243514926747353</v>
      </c>
      <c r="BW1433">
        <f t="shared" si="339"/>
        <v>0.80626709607243985</v>
      </c>
      <c r="BX1433">
        <f t="shared" si="340"/>
        <v>0.34963173068151232</v>
      </c>
      <c r="BY1433">
        <f t="shared" si="341"/>
        <v>1.1412401909344694</v>
      </c>
      <c r="BZ1433">
        <f t="shared" si="342"/>
        <v>1.01056543769991</v>
      </c>
      <c r="CA1433">
        <f t="shared" si="343"/>
        <v>0.53898283739188557</v>
      </c>
      <c r="CB1433">
        <f t="shared" si="344"/>
        <v>0.87270930768174382</v>
      </c>
    </row>
    <row r="1434" spans="1:80" x14ac:dyDescent="0.45">
      <c r="A1434" s="11">
        <v>37</v>
      </c>
      <c r="B1434" s="12">
        <f t="shared" si="330"/>
        <v>37</v>
      </c>
      <c r="C1434" s="12" t="s">
        <v>59</v>
      </c>
      <c r="D1434" s="12">
        <v>0</v>
      </c>
      <c r="E1434" s="12" t="s">
        <v>53</v>
      </c>
      <c r="F1434" s="12">
        <v>0</v>
      </c>
      <c r="G1434" s="12">
        <v>1</v>
      </c>
      <c r="H1434" s="12" t="s">
        <v>61</v>
      </c>
      <c r="I1434" s="12">
        <v>1</v>
      </c>
      <c r="J1434" s="12">
        <v>0</v>
      </c>
      <c r="K1434" s="12">
        <v>10</v>
      </c>
      <c r="L1434" s="12">
        <f t="shared" si="331"/>
        <v>10</v>
      </c>
      <c r="M1434" s="12">
        <v>3</v>
      </c>
      <c r="N1434" s="12" t="s">
        <v>55</v>
      </c>
      <c r="O1434" s="12">
        <v>1</v>
      </c>
      <c r="P1434" s="12">
        <v>0</v>
      </c>
      <c r="Q1434" s="12">
        <v>0</v>
      </c>
      <c r="R1434" s="12">
        <v>0</v>
      </c>
      <c r="S1434" s="12">
        <v>0</v>
      </c>
      <c r="T1434" s="12">
        <v>3</v>
      </c>
      <c r="U1434" s="12" t="s">
        <v>19</v>
      </c>
      <c r="V1434" s="12">
        <v>1</v>
      </c>
      <c r="W1434" s="12">
        <v>42</v>
      </c>
      <c r="X1434" s="12">
        <v>4</v>
      </c>
      <c r="Y1434" s="12">
        <v>3</v>
      </c>
      <c r="Z1434" s="12" t="s">
        <v>89</v>
      </c>
      <c r="AA1434" s="12">
        <v>0</v>
      </c>
      <c r="AB1434" s="12">
        <v>0</v>
      </c>
      <c r="AC1434" s="12">
        <v>0</v>
      </c>
      <c r="AD1434" s="12">
        <v>0</v>
      </c>
      <c r="AE1434" s="12">
        <v>0</v>
      </c>
      <c r="AF1434" s="12">
        <v>0</v>
      </c>
      <c r="AG1434" s="12">
        <v>0</v>
      </c>
      <c r="AH1434" s="12">
        <v>0</v>
      </c>
      <c r="AI1434" s="12">
        <v>4</v>
      </c>
      <c r="AJ1434" s="12" t="s">
        <v>64</v>
      </c>
      <c r="AK1434" s="12">
        <v>0</v>
      </c>
      <c r="AL1434" s="12">
        <v>1</v>
      </c>
      <c r="AM1434" s="12">
        <v>13744</v>
      </c>
      <c r="AN1434" s="12">
        <f t="shared" si="332"/>
        <v>13744</v>
      </c>
      <c r="AO1434" s="12">
        <v>1</v>
      </c>
      <c r="AP1434" s="12" t="s">
        <v>52</v>
      </c>
      <c r="AQ1434" s="12">
        <v>1</v>
      </c>
      <c r="AR1434" s="12">
        <v>25</v>
      </c>
      <c r="AS1434" s="12">
        <v>4</v>
      </c>
      <c r="AT1434" s="12">
        <v>1</v>
      </c>
      <c r="AU1434" s="12">
        <v>1</v>
      </c>
      <c r="AV1434" s="12">
        <v>16</v>
      </c>
      <c r="AW1434" s="12">
        <f t="shared" si="333"/>
        <v>16</v>
      </c>
      <c r="AX1434" s="12">
        <v>2</v>
      </c>
      <c r="AY1434" s="12">
        <v>3</v>
      </c>
      <c r="AZ1434" s="12">
        <v>16</v>
      </c>
      <c r="BA1434" s="12">
        <f t="shared" si="334"/>
        <v>16</v>
      </c>
      <c r="BB1434" s="12">
        <v>11</v>
      </c>
      <c r="BC1434" s="12">
        <v>6</v>
      </c>
      <c r="BD1434" s="12">
        <f t="shared" si="337"/>
        <v>6</v>
      </c>
      <c r="BE1434" s="12">
        <v>8</v>
      </c>
      <c r="BF1434" s="12">
        <f t="shared" si="335"/>
        <v>8</v>
      </c>
      <c r="BG1434" s="12">
        <f t="shared" si="338"/>
        <v>24</v>
      </c>
      <c r="BH1434" s="67">
        <v>0</v>
      </c>
      <c r="BI1434" s="67">
        <v>1</v>
      </c>
      <c r="BJ1434" s="67">
        <v>0</v>
      </c>
      <c r="BK1434" s="67">
        <v>0</v>
      </c>
      <c r="BL1434" s="67">
        <v>0</v>
      </c>
      <c r="BM1434" s="67">
        <v>0</v>
      </c>
      <c r="BN1434" s="67">
        <v>0</v>
      </c>
      <c r="BO1434" s="67">
        <v>1</v>
      </c>
      <c r="BP1434" s="67">
        <v>0</v>
      </c>
      <c r="BQ1434" s="67">
        <v>8</v>
      </c>
      <c r="BR1434" s="67">
        <v>0</v>
      </c>
      <c r="BS1434" s="67">
        <v>0</v>
      </c>
      <c r="BT1434" s="67">
        <v>16</v>
      </c>
      <c r="BU1434" s="70">
        <v>0</v>
      </c>
      <c r="BV1434" s="29">
        <f t="shared" si="336"/>
        <v>1.5380491030587002</v>
      </c>
      <c r="BW1434">
        <f t="shared" si="339"/>
        <v>1.08652546240644</v>
      </c>
      <c r="BX1434">
        <f t="shared" si="340"/>
        <v>0.60667531362816052</v>
      </c>
      <c r="BY1434">
        <f t="shared" si="341"/>
        <v>1.4676895158369152</v>
      </c>
      <c r="BZ1434">
        <f t="shared" si="342"/>
        <v>9.9604847176766084E-2</v>
      </c>
      <c r="CA1434">
        <f t="shared" si="343"/>
        <v>8.3401599596422994E-3</v>
      </c>
      <c r="CB1434">
        <f t="shared" si="344"/>
        <v>1.1830340977862825</v>
      </c>
    </row>
    <row r="1435" spans="1:80" x14ac:dyDescent="0.45">
      <c r="A1435" s="11">
        <v>25</v>
      </c>
      <c r="B1435" s="12">
        <f t="shared" si="330"/>
        <v>25</v>
      </c>
      <c r="C1435" s="12" t="s">
        <v>59</v>
      </c>
      <c r="D1435" s="12">
        <v>0</v>
      </c>
      <c r="E1435" s="12" t="s">
        <v>53</v>
      </c>
      <c r="F1435" s="12">
        <v>0</v>
      </c>
      <c r="G1435" s="12">
        <v>1</v>
      </c>
      <c r="H1435" s="12" t="s">
        <v>54</v>
      </c>
      <c r="I1435" s="12">
        <v>0</v>
      </c>
      <c r="J1435" s="12">
        <v>1</v>
      </c>
      <c r="K1435" s="12">
        <v>8</v>
      </c>
      <c r="L1435" s="12">
        <f t="shared" si="331"/>
        <v>8</v>
      </c>
      <c r="M1435" s="12">
        <v>2</v>
      </c>
      <c r="N1435" s="12" t="s">
        <v>66</v>
      </c>
      <c r="O1435" s="12">
        <v>0</v>
      </c>
      <c r="P1435" s="12">
        <v>1</v>
      </c>
      <c r="Q1435" s="12">
        <v>0</v>
      </c>
      <c r="R1435" s="12">
        <v>0</v>
      </c>
      <c r="S1435" s="12">
        <v>0</v>
      </c>
      <c r="T1435" s="12">
        <v>1</v>
      </c>
      <c r="U1435" s="12" t="s">
        <v>19</v>
      </c>
      <c r="V1435" s="12">
        <v>1</v>
      </c>
      <c r="W1435" s="12">
        <v>85</v>
      </c>
      <c r="X1435" s="12">
        <v>3</v>
      </c>
      <c r="Y1435" s="12">
        <v>2</v>
      </c>
      <c r="Z1435" s="12" t="s">
        <v>56</v>
      </c>
      <c r="AA1435" s="12">
        <v>0</v>
      </c>
      <c r="AB1435" s="12">
        <v>1</v>
      </c>
      <c r="AC1435" s="12">
        <v>0</v>
      </c>
      <c r="AD1435" s="12">
        <v>0</v>
      </c>
      <c r="AE1435" s="12">
        <v>0</v>
      </c>
      <c r="AF1435" s="12">
        <v>0</v>
      </c>
      <c r="AG1435" s="12">
        <v>0</v>
      </c>
      <c r="AH1435" s="12">
        <v>0</v>
      </c>
      <c r="AI1435" s="12">
        <v>3</v>
      </c>
      <c r="AJ1435" s="12" t="s">
        <v>78</v>
      </c>
      <c r="AK1435" s="12">
        <v>0</v>
      </c>
      <c r="AL1435" s="12">
        <v>0</v>
      </c>
      <c r="AM1435" s="12">
        <v>4907</v>
      </c>
      <c r="AN1435" s="12">
        <f t="shared" si="332"/>
        <v>4907</v>
      </c>
      <c r="AO1435" s="12">
        <v>0</v>
      </c>
      <c r="AP1435" s="12" t="s">
        <v>52</v>
      </c>
      <c r="AQ1435" s="12">
        <v>1</v>
      </c>
      <c r="AR1435" s="12">
        <v>22</v>
      </c>
      <c r="AS1435" s="12">
        <v>4</v>
      </c>
      <c r="AT1435" s="12">
        <v>2</v>
      </c>
      <c r="AU1435" s="12">
        <v>1</v>
      </c>
      <c r="AV1435" s="12">
        <v>6</v>
      </c>
      <c r="AW1435" s="12">
        <f t="shared" si="333"/>
        <v>6</v>
      </c>
      <c r="AX1435" s="12">
        <v>3</v>
      </c>
      <c r="AY1435" s="12">
        <v>2</v>
      </c>
      <c r="AZ1435" s="12">
        <v>5</v>
      </c>
      <c r="BA1435" s="12">
        <f t="shared" si="334"/>
        <v>5</v>
      </c>
      <c r="BB1435" s="12">
        <v>3</v>
      </c>
      <c r="BC1435" s="12">
        <v>0</v>
      </c>
      <c r="BD1435" s="12">
        <f t="shared" si="337"/>
        <v>0</v>
      </c>
      <c r="BE1435" s="12">
        <v>4</v>
      </c>
      <c r="BF1435" s="12">
        <f t="shared" si="335"/>
        <v>4</v>
      </c>
      <c r="BG1435" s="12">
        <f t="shared" si="338"/>
        <v>8</v>
      </c>
      <c r="BH1435" s="67">
        <v>1</v>
      </c>
      <c r="BI1435" s="67">
        <v>0</v>
      </c>
      <c r="BJ1435" s="67">
        <v>0</v>
      </c>
      <c r="BK1435" s="67">
        <v>0</v>
      </c>
      <c r="BL1435" s="67">
        <v>0</v>
      </c>
      <c r="BM1435" s="67">
        <v>1</v>
      </c>
      <c r="BN1435" s="67">
        <v>0</v>
      </c>
      <c r="BO1435" s="67">
        <v>0</v>
      </c>
      <c r="BP1435" s="67">
        <v>0</v>
      </c>
      <c r="BQ1435" s="67">
        <v>0</v>
      </c>
      <c r="BR1435" s="67">
        <v>4</v>
      </c>
      <c r="BS1435" s="67">
        <v>0</v>
      </c>
      <c r="BT1435" s="67">
        <v>0</v>
      </c>
      <c r="BU1435" s="70">
        <v>6</v>
      </c>
      <c r="BV1435" s="29">
        <f t="shared" si="336"/>
        <v>0.33898596908250089</v>
      </c>
      <c r="BW1435">
        <f t="shared" si="339"/>
        <v>3.4508002929560584E-2</v>
      </c>
      <c r="BX1435">
        <f t="shared" si="340"/>
        <v>0.67854260110508058</v>
      </c>
      <c r="BY1435">
        <f t="shared" si="341"/>
        <v>0.32778177112653761</v>
      </c>
      <c r="BZ1435">
        <f t="shared" si="342"/>
        <v>0.14709966057360641</v>
      </c>
      <c r="CA1435">
        <f t="shared" si="343"/>
        <v>1.3052350336840246</v>
      </c>
      <c r="CB1435">
        <f t="shared" si="344"/>
        <v>0.67891464284095016</v>
      </c>
    </row>
    <row r="1436" spans="1:80" x14ac:dyDescent="0.45">
      <c r="A1436" s="11">
        <v>52</v>
      </c>
      <c r="B1436" s="12">
        <f t="shared" si="330"/>
        <v>52</v>
      </c>
      <c r="C1436" s="12" t="s">
        <v>59</v>
      </c>
      <c r="D1436" s="12">
        <v>0</v>
      </c>
      <c r="E1436" s="12" t="s">
        <v>86</v>
      </c>
      <c r="F1436" s="12">
        <v>0</v>
      </c>
      <c r="G1436" s="12">
        <v>0</v>
      </c>
      <c r="H1436" s="12" t="s">
        <v>54</v>
      </c>
      <c r="I1436" s="12">
        <v>0</v>
      </c>
      <c r="J1436" s="12">
        <v>1</v>
      </c>
      <c r="K1436" s="12">
        <v>29</v>
      </c>
      <c r="L1436" s="12">
        <f t="shared" si="331"/>
        <v>29</v>
      </c>
      <c r="M1436" s="12">
        <v>4</v>
      </c>
      <c r="N1436" s="12" t="s">
        <v>55</v>
      </c>
      <c r="O1436" s="12">
        <v>1</v>
      </c>
      <c r="P1436" s="12">
        <v>0</v>
      </c>
      <c r="Q1436" s="12">
        <v>0</v>
      </c>
      <c r="R1436" s="12">
        <v>0</v>
      </c>
      <c r="S1436" s="12">
        <v>0</v>
      </c>
      <c r="T1436" s="12">
        <v>1</v>
      </c>
      <c r="U1436" s="12" t="s">
        <v>62</v>
      </c>
      <c r="V1436" s="12">
        <v>0</v>
      </c>
      <c r="W1436" s="12">
        <v>40</v>
      </c>
      <c r="X1436" s="12">
        <v>3</v>
      </c>
      <c r="Y1436" s="12">
        <v>1</v>
      </c>
      <c r="Z1436" s="12" t="s">
        <v>88</v>
      </c>
      <c r="AA1436" s="12">
        <v>0</v>
      </c>
      <c r="AB1436" s="12">
        <v>0</v>
      </c>
      <c r="AC1436" s="12">
        <v>0</v>
      </c>
      <c r="AD1436" s="12">
        <v>0</v>
      </c>
      <c r="AE1436" s="12">
        <v>0</v>
      </c>
      <c r="AF1436" s="12">
        <v>0</v>
      </c>
      <c r="AG1436" s="12">
        <v>1</v>
      </c>
      <c r="AH1436" s="12">
        <v>0</v>
      </c>
      <c r="AI1436" s="12">
        <v>4</v>
      </c>
      <c r="AJ1436" s="12" t="s">
        <v>78</v>
      </c>
      <c r="AK1436" s="12">
        <v>0</v>
      </c>
      <c r="AL1436" s="12">
        <v>0</v>
      </c>
      <c r="AM1436" s="12">
        <v>3482</v>
      </c>
      <c r="AN1436" s="12">
        <f t="shared" si="332"/>
        <v>3482</v>
      </c>
      <c r="AO1436" s="12">
        <v>2</v>
      </c>
      <c r="AP1436" s="12" t="s">
        <v>59</v>
      </c>
      <c r="AQ1436" s="12">
        <v>0</v>
      </c>
      <c r="AR1436" s="12">
        <v>15</v>
      </c>
      <c r="AS1436" s="12">
        <v>3</v>
      </c>
      <c r="AT1436" s="12">
        <v>2</v>
      </c>
      <c r="AU1436" s="12">
        <v>2</v>
      </c>
      <c r="AV1436" s="12">
        <v>16</v>
      </c>
      <c r="AW1436" s="12">
        <f t="shared" si="333"/>
        <v>16</v>
      </c>
      <c r="AX1436" s="12">
        <v>3</v>
      </c>
      <c r="AY1436" s="12">
        <v>2</v>
      </c>
      <c r="AZ1436" s="12">
        <v>9</v>
      </c>
      <c r="BA1436" s="12">
        <f t="shared" si="334"/>
        <v>9</v>
      </c>
      <c r="BB1436" s="12">
        <v>8</v>
      </c>
      <c r="BC1436" s="12">
        <v>0</v>
      </c>
      <c r="BD1436" s="12">
        <f t="shared" si="337"/>
        <v>0</v>
      </c>
      <c r="BE1436" s="12">
        <v>0</v>
      </c>
      <c r="BF1436" s="12">
        <f t="shared" si="335"/>
        <v>0</v>
      </c>
      <c r="BG1436" s="12">
        <f t="shared" si="338"/>
        <v>0</v>
      </c>
      <c r="BH1436" s="67">
        <v>1</v>
      </c>
      <c r="BI1436" s="67">
        <v>0</v>
      </c>
      <c r="BJ1436" s="67">
        <v>0</v>
      </c>
      <c r="BK1436" s="67">
        <v>0</v>
      </c>
      <c r="BL1436" s="67">
        <v>1</v>
      </c>
      <c r="BM1436" s="67">
        <v>0</v>
      </c>
      <c r="BN1436" s="67">
        <v>0</v>
      </c>
      <c r="BO1436" s="67">
        <v>0</v>
      </c>
      <c r="BP1436" s="67">
        <v>0</v>
      </c>
      <c r="BQ1436" s="67">
        <v>0</v>
      </c>
      <c r="BR1436" s="67">
        <v>0</v>
      </c>
      <c r="BS1436" s="67">
        <v>0</v>
      </c>
      <c r="BT1436" s="67">
        <v>0</v>
      </c>
      <c r="BU1436" s="70">
        <v>16</v>
      </c>
      <c r="BV1436" s="29">
        <f t="shared" si="336"/>
        <v>0.64166504318018236</v>
      </c>
      <c r="BW1436">
        <f t="shared" si="339"/>
        <v>1.1555414682655611</v>
      </c>
      <c r="BX1436">
        <f t="shared" si="340"/>
        <v>0.60667531362816052</v>
      </c>
      <c r="BY1436">
        <f t="shared" si="341"/>
        <v>0.32511687867835437</v>
      </c>
      <c r="BZ1436">
        <f t="shared" si="342"/>
        <v>2.4432976708053049</v>
      </c>
      <c r="CA1436">
        <f t="shared" si="343"/>
        <v>1.6503091520142259</v>
      </c>
      <c r="CB1436">
        <f t="shared" si="344"/>
        <v>0.67891464284095016</v>
      </c>
    </row>
    <row r="1437" spans="1:80" x14ac:dyDescent="0.45">
      <c r="A1437" s="11">
        <v>44</v>
      </c>
      <c r="B1437" s="12">
        <f t="shared" si="330"/>
        <v>44</v>
      </c>
      <c r="C1437" s="12" t="s">
        <v>59</v>
      </c>
      <c r="D1437" s="12">
        <v>0</v>
      </c>
      <c r="E1437" s="12" t="s">
        <v>53</v>
      </c>
      <c r="F1437" s="12">
        <v>0</v>
      </c>
      <c r="G1437" s="12">
        <v>1</v>
      </c>
      <c r="H1437" s="12" t="s">
        <v>61</v>
      </c>
      <c r="I1437" s="12">
        <v>1</v>
      </c>
      <c r="J1437" s="12">
        <v>0</v>
      </c>
      <c r="K1437" s="12">
        <v>1</v>
      </c>
      <c r="L1437" s="12">
        <f t="shared" si="331"/>
        <v>1</v>
      </c>
      <c r="M1437" s="12">
        <v>3</v>
      </c>
      <c r="N1437" s="12" t="s">
        <v>70</v>
      </c>
      <c r="O1437" s="12">
        <v>0</v>
      </c>
      <c r="P1437" s="12">
        <v>0</v>
      </c>
      <c r="Q1437" s="12">
        <v>1</v>
      </c>
      <c r="R1437" s="12">
        <v>0</v>
      </c>
      <c r="S1437" s="12">
        <v>0</v>
      </c>
      <c r="T1437" s="12">
        <v>2</v>
      </c>
      <c r="U1437" s="12" t="s">
        <v>62</v>
      </c>
      <c r="V1437" s="12">
        <v>0</v>
      </c>
      <c r="W1437" s="12">
        <v>42</v>
      </c>
      <c r="X1437" s="12">
        <v>3</v>
      </c>
      <c r="Y1437" s="12">
        <v>1</v>
      </c>
      <c r="Z1437" s="12" t="s">
        <v>63</v>
      </c>
      <c r="AA1437" s="12">
        <v>0</v>
      </c>
      <c r="AB1437" s="12">
        <v>0</v>
      </c>
      <c r="AC1437" s="12">
        <v>0</v>
      </c>
      <c r="AD1437" s="12">
        <v>0</v>
      </c>
      <c r="AE1437" s="12">
        <v>0</v>
      </c>
      <c r="AF1437" s="12">
        <v>0</v>
      </c>
      <c r="AG1437" s="12">
        <v>0</v>
      </c>
      <c r="AH1437" s="12">
        <v>1</v>
      </c>
      <c r="AI1437" s="12">
        <v>4</v>
      </c>
      <c r="AJ1437" s="12" t="s">
        <v>57</v>
      </c>
      <c r="AK1437" s="12">
        <v>1</v>
      </c>
      <c r="AL1437" s="12">
        <v>0</v>
      </c>
      <c r="AM1437" s="12">
        <v>2436</v>
      </c>
      <c r="AN1437" s="12">
        <f t="shared" si="332"/>
        <v>2436</v>
      </c>
      <c r="AO1437" s="12">
        <v>6</v>
      </c>
      <c r="AP1437" s="12" t="s">
        <v>52</v>
      </c>
      <c r="AQ1437" s="12">
        <v>1</v>
      </c>
      <c r="AR1437" s="12">
        <v>12</v>
      </c>
      <c r="AS1437" s="12">
        <v>3</v>
      </c>
      <c r="AT1437" s="12">
        <v>3</v>
      </c>
      <c r="AU1437" s="12">
        <v>0</v>
      </c>
      <c r="AV1437" s="12">
        <v>6</v>
      </c>
      <c r="AW1437" s="12">
        <f t="shared" si="333"/>
        <v>6</v>
      </c>
      <c r="AX1437" s="12">
        <v>2</v>
      </c>
      <c r="AY1437" s="12">
        <v>3</v>
      </c>
      <c r="AZ1437" s="12">
        <v>4</v>
      </c>
      <c r="BA1437" s="12">
        <f t="shared" si="334"/>
        <v>4</v>
      </c>
      <c r="BB1437" s="12">
        <v>3</v>
      </c>
      <c r="BC1437" s="12">
        <v>1</v>
      </c>
      <c r="BD1437" s="12">
        <f t="shared" si="337"/>
        <v>1</v>
      </c>
      <c r="BE1437" s="12">
        <v>2</v>
      </c>
      <c r="BF1437" s="12">
        <f t="shared" si="335"/>
        <v>2</v>
      </c>
      <c r="BG1437" s="12">
        <f t="shared" si="338"/>
        <v>2</v>
      </c>
      <c r="BH1437" s="67">
        <v>1</v>
      </c>
      <c r="BI1437" s="67">
        <v>0</v>
      </c>
      <c r="BJ1437" s="67">
        <v>0</v>
      </c>
      <c r="BK1437" s="67">
        <v>0</v>
      </c>
      <c r="BL1437" s="67">
        <v>0</v>
      </c>
      <c r="BM1437" s="67">
        <v>1</v>
      </c>
      <c r="BN1437" s="67">
        <v>0</v>
      </c>
      <c r="BO1437" s="67">
        <v>0</v>
      </c>
      <c r="BP1437" s="67">
        <v>0</v>
      </c>
      <c r="BQ1437" s="67">
        <v>2</v>
      </c>
      <c r="BR1437" s="67">
        <v>0</v>
      </c>
      <c r="BS1437" s="67">
        <v>0</v>
      </c>
      <c r="BT1437" s="67">
        <v>6</v>
      </c>
      <c r="BU1437" s="70">
        <v>0</v>
      </c>
      <c r="BV1437" s="29">
        <f t="shared" si="336"/>
        <v>0.86384210388627003</v>
      </c>
      <c r="BW1437">
        <f t="shared" si="339"/>
        <v>0.59502473559756086</v>
      </c>
      <c r="BX1437">
        <f t="shared" si="340"/>
        <v>0.67854260110508058</v>
      </c>
      <c r="BY1437">
        <f t="shared" si="341"/>
        <v>0.49100643357776058</v>
      </c>
      <c r="BZ1437">
        <f t="shared" si="342"/>
        <v>1.01056543769991</v>
      </c>
      <c r="CA1437">
        <f t="shared" si="343"/>
        <v>0.77459235625178136</v>
      </c>
      <c r="CB1437">
        <f t="shared" si="344"/>
        <v>0.36858985273641137</v>
      </c>
    </row>
    <row r="1438" spans="1:80" x14ac:dyDescent="0.45">
      <c r="A1438" s="11">
        <v>21</v>
      </c>
      <c r="B1438" s="12">
        <f t="shared" si="330"/>
        <v>21</v>
      </c>
      <c r="C1438" s="12" t="s">
        <v>59</v>
      </c>
      <c r="D1438" s="12">
        <v>0</v>
      </c>
      <c r="E1438" s="12" t="s">
        <v>53</v>
      </c>
      <c r="F1438" s="12">
        <v>0</v>
      </c>
      <c r="G1438" s="12">
        <v>1</v>
      </c>
      <c r="H1438" s="12" t="s">
        <v>54</v>
      </c>
      <c r="I1438" s="12">
        <v>0</v>
      </c>
      <c r="J1438" s="12">
        <v>1</v>
      </c>
      <c r="K1438" s="12">
        <v>5</v>
      </c>
      <c r="L1438" s="12">
        <f t="shared" si="331"/>
        <v>5</v>
      </c>
      <c r="M1438" s="12">
        <v>1</v>
      </c>
      <c r="N1438" s="12" t="s">
        <v>70</v>
      </c>
      <c r="O1438" s="12">
        <v>0</v>
      </c>
      <c r="P1438" s="12">
        <v>0</v>
      </c>
      <c r="Q1438" s="12">
        <v>1</v>
      </c>
      <c r="R1438" s="12">
        <v>0</v>
      </c>
      <c r="S1438" s="12">
        <v>0</v>
      </c>
      <c r="T1438" s="12">
        <v>3</v>
      </c>
      <c r="U1438" s="12" t="s">
        <v>62</v>
      </c>
      <c r="V1438" s="12">
        <v>0</v>
      </c>
      <c r="W1438" s="12">
        <v>58</v>
      </c>
      <c r="X1438" s="12">
        <v>3</v>
      </c>
      <c r="Y1438" s="12">
        <v>1</v>
      </c>
      <c r="Z1438" s="12" t="s">
        <v>88</v>
      </c>
      <c r="AA1438" s="12">
        <v>0</v>
      </c>
      <c r="AB1438" s="12">
        <v>0</v>
      </c>
      <c r="AC1438" s="12">
        <v>0</v>
      </c>
      <c r="AD1438" s="12">
        <v>0</v>
      </c>
      <c r="AE1438" s="12">
        <v>0</v>
      </c>
      <c r="AF1438" s="12">
        <v>0</v>
      </c>
      <c r="AG1438" s="12">
        <v>1</v>
      </c>
      <c r="AH1438" s="12">
        <v>0</v>
      </c>
      <c r="AI1438" s="12">
        <v>1</v>
      </c>
      <c r="AJ1438" s="12" t="s">
        <v>57</v>
      </c>
      <c r="AK1438" s="12">
        <v>1</v>
      </c>
      <c r="AL1438" s="12">
        <v>0</v>
      </c>
      <c r="AM1438" s="12">
        <v>2380</v>
      </c>
      <c r="AN1438" s="12">
        <f t="shared" si="332"/>
        <v>2380</v>
      </c>
      <c r="AO1438" s="12">
        <v>1</v>
      </c>
      <c r="AP1438" s="12" t="s">
        <v>52</v>
      </c>
      <c r="AQ1438" s="12">
        <v>1</v>
      </c>
      <c r="AR1438" s="12">
        <v>11</v>
      </c>
      <c r="AS1438" s="12">
        <v>3</v>
      </c>
      <c r="AT1438" s="12">
        <v>4</v>
      </c>
      <c r="AU1438" s="12">
        <v>0</v>
      </c>
      <c r="AV1438" s="12">
        <v>2</v>
      </c>
      <c r="AW1438" s="12">
        <f t="shared" si="333"/>
        <v>2</v>
      </c>
      <c r="AX1438" s="12">
        <v>6</v>
      </c>
      <c r="AY1438" s="12">
        <v>3</v>
      </c>
      <c r="AZ1438" s="12">
        <v>2</v>
      </c>
      <c r="BA1438" s="12">
        <f t="shared" si="334"/>
        <v>2</v>
      </c>
      <c r="BB1438" s="12">
        <v>2</v>
      </c>
      <c r="BC1438" s="12">
        <v>1</v>
      </c>
      <c r="BD1438" s="12">
        <f t="shared" si="337"/>
        <v>1</v>
      </c>
      <c r="BE1438" s="12">
        <v>2</v>
      </c>
      <c r="BF1438" s="12">
        <f t="shared" si="335"/>
        <v>2</v>
      </c>
      <c r="BG1438" s="12">
        <f t="shared" si="338"/>
        <v>2</v>
      </c>
      <c r="BH1438" s="67">
        <v>1</v>
      </c>
      <c r="BI1438" s="67">
        <v>0</v>
      </c>
      <c r="BJ1438" s="67">
        <v>0</v>
      </c>
      <c r="BK1438" s="67">
        <v>0</v>
      </c>
      <c r="BL1438" s="67">
        <v>0</v>
      </c>
      <c r="BM1438" s="67">
        <v>1</v>
      </c>
      <c r="BN1438" s="67">
        <v>0</v>
      </c>
      <c r="BO1438" s="67">
        <v>0</v>
      </c>
      <c r="BP1438" s="67">
        <v>0</v>
      </c>
      <c r="BQ1438" s="67">
        <v>0</v>
      </c>
      <c r="BR1438" s="67">
        <v>2</v>
      </c>
      <c r="BS1438" s="67">
        <v>0</v>
      </c>
      <c r="BT1438" s="67">
        <v>0</v>
      </c>
      <c r="BU1438" s="70">
        <v>2</v>
      </c>
      <c r="BV1438" s="29">
        <f t="shared" si="336"/>
        <v>0.87573686048238941</v>
      </c>
      <c r="BW1438">
        <f t="shared" si="339"/>
        <v>0.59502473559756086</v>
      </c>
      <c r="BX1438">
        <f t="shared" si="340"/>
        <v>1.192629766998377</v>
      </c>
      <c r="BY1438">
        <f t="shared" si="341"/>
        <v>0.81745575848020657</v>
      </c>
      <c r="BZ1438">
        <f t="shared" si="342"/>
        <v>0.51715642219916513</v>
      </c>
      <c r="CA1438">
        <f t="shared" si="343"/>
        <v>1.7430934315652469</v>
      </c>
      <c r="CB1438">
        <f t="shared" si="344"/>
        <v>0.36858985273641137</v>
      </c>
    </row>
    <row r="1439" spans="1:80" x14ac:dyDescent="0.45">
      <c r="A1439" s="11">
        <v>39</v>
      </c>
      <c r="B1439" s="12">
        <f t="shared" si="330"/>
        <v>39</v>
      </c>
      <c r="C1439" s="12" t="s">
        <v>59</v>
      </c>
      <c r="D1439" s="12">
        <v>0</v>
      </c>
      <c r="E1439" s="12" t="s">
        <v>86</v>
      </c>
      <c r="F1439" s="12">
        <v>0</v>
      </c>
      <c r="G1439" s="12">
        <v>0</v>
      </c>
      <c r="H1439" s="12" t="s">
        <v>61</v>
      </c>
      <c r="I1439" s="12">
        <v>1</v>
      </c>
      <c r="J1439" s="12">
        <v>0</v>
      </c>
      <c r="K1439" s="12">
        <v>9</v>
      </c>
      <c r="L1439" s="12">
        <f t="shared" si="331"/>
        <v>9</v>
      </c>
      <c r="M1439" s="12">
        <v>3</v>
      </c>
      <c r="N1439" s="12" t="s">
        <v>55</v>
      </c>
      <c r="O1439" s="12">
        <v>1</v>
      </c>
      <c r="P1439" s="12">
        <v>0</v>
      </c>
      <c r="Q1439" s="12">
        <v>0</v>
      </c>
      <c r="R1439" s="12">
        <v>0</v>
      </c>
      <c r="S1439" s="12">
        <v>0</v>
      </c>
      <c r="T1439" s="12">
        <v>4</v>
      </c>
      <c r="U1439" s="12" t="s">
        <v>62</v>
      </c>
      <c r="V1439" s="12">
        <v>0</v>
      </c>
      <c r="W1439" s="12">
        <v>87</v>
      </c>
      <c r="X1439" s="12">
        <v>3</v>
      </c>
      <c r="Y1439" s="12">
        <v>5</v>
      </c>
      <c r="Z1439" s="12" t="s">
        <v>87</v>
      </c>
      <c r="AA1439" s="12">
        <v>0</v>
      </c>
      <c r="AB1439" s="12">
        <v>0</v>
      </c>
      <c r="AC1439" s="12">
        <v>0</v>
      </c>
      <c r="AD1439" s="12">
        <v>1</v>
      </c>
      <c r="AE1439" s="12">
        <v>0</v>
      </c>
      <c r="AF1439" s="12">
        <v>0</v>
      </c>
      <c r="AG1439" s="12">
        <v>0</v>
      </c>
      <c r="AH1439" s="12">
        <v>0</v>
      </c>
      <c r="AI1439" s="12">
        <v>4</v>
      </c>
      <c r="AJ1439" s="12" t="s">
        <v>57</v>
      </c>
      <c r="AK1439" s="12">
        <v>1</v>
      </c>
      <c r="AL1439" s="12">
        <v>0</v>
      </c>
      <c r="AM1439" s="12">
        <v>19431</v>
      </c>
      <c r="AN1439" s="12">
        <f t="shared" si="332"/>
        <v>19431</v>
      </c>
      <c r="AO1439" s="12">
        <v>2</v>
      </c>
      <c r="AP1439" s="12" t="s">
        <v>59</v>
      </c>
      <c r="AQ1439" s="12">
        <v>0</v>
      </c>
      <c r="AR1439" s="12">
        <v>13</v>
      </c>
      <c r="AS1439" s="12">
        <v>3</v>
      </c>
      <c r="AT1439" s="12">
        <v>3</v>
      </c>
      <c r="AU1439" s="12">
        <v>0</v>
      </c>
      <c r="AV1439" s="12">
        <v>21</v>
      </c>
      <c r="AW1439" s="12">
        <f t="shared" si="333"/>
        <v>21</v>
      </c>
      <c r="AX1439" s="12">
        <v>3</v>
      </c>
      <c r="AY1439" s="12">
        <v>2</v>
      </c>
      <c r="AZ1439" s="12">
        <v>6</v>
      </c>
      <c r="BA1439" s="12">
        <f t="shared" si="334"/>
        <v>6</v>
      </c>
      <c r="BB1439" s="12">
        <v>0</v>
      </c>
      <c r="BC1439" s="12">
        <v>1</v>
      </c>
      <c r="BD1439" s="12">
        <f t="shared" si="337"/>
        <v>1</v>
      </c>
      <c r="BE1439" s="12">
        <v>3</v>
      </c>
      <c r="BF1439" s="12">
        <f t="shared" si="335"/>
        <v>3</v>
      </c>
      <c r="BG1439" s="12">
        <f t="shared" si="338"/>
        <v>15</v>
      </c>
      <c r="BH1439" s="67">
        <v>1</v>
      </c>
      <c r="BI1439" s="67">
        <v>0</v>
      </c>
      <c r="BJ1439" s="67">
        <v>0</v>
      </c>
      <c r="BK1439" s="67">
        <v>0</v>
      </c>
      <c r="BL1439" s="67">
        <v>1</v>
      </c>
      <c r="BM1439" s="67">
        <v>0</v>
      </c>
      <c r="BN1439" s="67">
        <v>0</v>
      </c>
      <c r="BO1439" s="67">
        <v>0</v>
      </c>
      <c r="BP1439" s="67">
        <v>0</v>
      </c>
      <c r="BQ1439" s="67">
        <v>3</v>
      </c>
      <c r="BR1439" s="67">
        <v>0</v>
      </c>
      <c r="BS1439" s="67">
        <v>0</v>
      </c>
      <c r="BT1439" s="67">
        <v>21</v>
      </c>
      <c r="BU1439" s="70">
        <v>0</v>
      </c>
      <c r="BV1439" s="29">
        <f t="shared" si="336"/>
        <v>2.7460041166681841</v>
      </c>
      <c r="BW1439">
        <f t="shared" si="339"/>
        <v>0.31476636926356072</v>
      </c>
      <c r="BX1439">
        <f t="shared" si="340"/>
        <v>1.2492842709947811</v>
      </c>
      <c r="BY1439">
        <f t="shared" si="341"/>
        <v>0.16455710867531462</v>
      </c>
      <c r="BZ1439">
        <f t="shared" si="342"/>
        <v>2.3747406698420157E-2</v>
      </c>
      <c r="CA1439">
        <f t="shared" si="343"/>
        <v>0.22726935890025346</v>
      </c>
      <c r="CB1439">
        <f t="shared" si="344"/>
        <v>0.36858985273641137</v>
      </c>
    </row>
    <row r="1440" spans="1:80" x14ac:dyDescent="0.45">
      <c r="A1440" s="11">
        <v>23</v>
      </c>
      <c r="B1440" s="12">
        <f t="shared" si="330"/>
        <v>23</v>
      </c>
      <c r="C1440" s="12" t="s">
        <v>52</v>
      </c>
      <c r="D1440" s="12">
        <v>1</v>
      </c>
      <c r="E1440" s="12" t="s">
        <v>60</v>
      </c>
      <c r="F1440" s="12">
        <v>1</v>
      </c>
      <c r="G1440" s="12">
        <v>0</v>
      </c>
      <c r="H1440" s="12" t="s">
        <v>54</v>
      </c>
      <c r="I1440" s="12">
        <v>0</v>
      </c>
      <c r="J1440" s="12">
        <v>1</v>
      </c>
      <c r="K1440" s="12">
        <v>9</v>
      </c>
      <c r="L1440" s="12">
        <f t="shared" si="331"/>
        <v>9</v>
      </c>
      <c r="M1440" s="12">
        <v>3</v>
      </c>
      <c r="N1440" s="12" t="s">
        <v>90</v>
      </c>
      <c r="O1440" s="12">
        <v>0</v>
      </c>
      <c r="P1440" s="12">
        <v>0</v>
      </c>
      <c r="Q1440" s="12">
        <v>0</v>
      </c>
      <c r="R1440" s="12">
        <v>1</v>
      </c>
      <c r="S1440" s="12">
        <v>0</v>
      </c>
      <c r="T1440" s="12">
        <v>4</v>
      </c>
      <c r="U1440" s="12" t="s">
        <v>62</v>
      </c>
      <c r="V1440" s="12">
        <v>0</v>
      </c>
      <c r="W1440" s="12">
        <v>33</v>
      </c>
      <c r="X1440" s="12">
        <v>3</v>
      </c>
      <c r="Y1440" s="12">
        <v>1</v>
      </c>
      <c r="Z1440" s="12" t="s">
        <v>88</v>
      </c>
      <c r="AA1440" s="12">
        <v>0</v>
      </c>
      <c r="AB1440" s="12">
        <v>0</v>
      </c>
      <c r="AC1440" s="12">
        <v>0</v>
      </c>
      <c r="AD1440" s="12">
        <v>0</v>
      </c>
      <c r="AE1440" s="12">
        <v>0</v>
      </c>
      <c r="AF1440" s="12">
        <v>0</v>
      </c>
      <c r="AG1440" s="12">
        <v>1</v>
      </c>
      <c r="AH1440" s="12">
        <v>0</v>
      </c>
      <c r="AI1440" s="12">
        <v>1</v>
      </c>
      <c r="AJ1440" s="12" t="s">
        <v>64</v>
      </c>
      <c r="AK1440" s="12">
        <v>0</v>
      </c>
      <c r="AL1440" s="12">
        <v>1</v>
      </c>
      <c r="AM1440" s="12">
        <v>1790</v>
      </c>
      <c r="AN1440" s="12">
        <f t="shared" si="332"/>
        <v>1790</v>
      </c>
      <c r="AO1440" s="12">
        <v>1</v>
      </c>
      <c r="AP1440" s="12" t="s">
        <v>59</v>
      </c>
      <c r="AQ1440" s="12">
        <v>0</v>
      </c>
      <c r="AR1440" s="12">
        <v>19</v>
      </c>
      <c r="AS1440" s="12">
        <v>3</v>
      </c>
      <c r="AT1440" s="12">
        <v>1</v>
      </c>
      <c r="AU1440" s="12">
        <v>1</v>
      </c>
      <c r="AV1440" s="12">
        <v>1</v>
      </c>
      <c r="AW1440" s="12">
        <f t="shared" si="333"/>
        <v>1</v>
      </c>
      <c r="AX1440" s="12">
        <v>3</v>
      </c>
      <c r="AY1440" s="12">
        <v>2</v>
      </c>
      <c r="AZ1440" s="12">
        <v>1</v>
      </c>
      <c r="BA1440" s="12">
        <f t="shared" si="334"/>
        <v>1</v>
      </c>
      <c r="BB1440" s="12">
        <v>0</v>
      </c>
      <c r="BC1440" s="12">
        <v>1</v>
      </c>
      <c r="BD1440" s="12">
        <f t="shared" si="337"/>
        <v>1</v>
      </c>
      <c r="BE1440" s="12">
        <v>0</v>
      </c>
      <c r="BF1440" s="12">
        <f t="shared" si="335"/>
        <v>0</v>
      </c>
      <c r="BG1440" s="12">
        <f t="shared" si="338"/>
        <v>0</v>
      </c>
      <c r="BH1440" s="67">
        <v>0</v>
      </c>
      <c r="BI1440" s="67">
        <v>0</v>
      </c>
      <c r="BJ1440" s="67">
        <v>0</v>
      </c>
      <c r="BK1440" s="67">
        <v>1</v>
      </c>
      <c r="BL1440" s="67">
        <v>0</v>
      </c>
      <c r="BM1440" s="67">
        <v>0</v>
      </c>
      <c r="BN1440" s="67">
        <v>1</v>
      </c>
      <c r="BO1440" s="67">
        <v>0</v>
      </c>
      <c r="BP1440" s="67">
        <v>0</v>
      </c>
      <c r="BQ1440" s="67">
        <v>0</v>
      </c>
      <c r="BR1440" s="67">
        <v>0</v>
      </c>
      <c r="BS1440" s="67">
        <v>0</v>
      </c>
      <c r="BT1440" s="67">
        <v>0</v>
      </c>
      <c r="BU1440" s="70">
        <v>1</v>
      </c>
      <c r="BV1440" s="29">
        <f t="shared" si="336"/>
        <v>1.0010566174772191</v>
      </c>
      <c r="BW1440">
        <f t="shared" si="339"/>
        <v>1.1555414682655611</v>
      </c>
      <c r="BX1440">
        <f t="shared" si="340"/>
        <v>1.3211515584717011</v>
      </c>
      <c r="BY1440">
        <f t="shared" si="341"/>
        <v>0.9806804209314296</v>
      </c>
      <c r="BZ1440">
        <f t="shared" si="342"/>
        <v>2.3747406698420157E-2</v>
      </c>
      <c r="CA1440">
        <f t="shared" si="343"/>
        <v>1.5241642326246359</v>
      </c>
      <c r="CB1440">
        <f t="shared" si="344"/>
        <v>0.36858985273641137</v>
      </c>
    </row>
    <row r="1441" spans="1:80" x14ac:dyDescent="0.45">
      <c r="A1441" s="11">
        <v>36</v>
      </c>
      <c r="B1441" s="12">
        <f t="shared" si="330"/>
        <v>36</v>
      </c>
      <c r="C1441" s="12" t="s">
        <v>59</v>
      </c>
      <c r="D1441" s="12">
        <v>0</v>
      </c>
      <c r="E1441" s="12" t="s">
        <v>53</v>
      </c>
      <c r="F1441" s="12">
        <v>0</v>
      </c>
      <c r="G1441" s="12">
        <v>1</v>
      </c>
      <c r="H1441" s="12" t="s">
        <v>54</v>
      </c>
      <c r="I1441" s="12">
        <v>0</v>
      </c>
      <c r="J1441" s="12">
        <v>1</v>
      </c>
      <c r="K1441" s="12">
        <v>3</v>
      </c>
      <c r="L1441" s="12">
        <f t="shared" si="331"/>
        <v>3</v>
      </c>
      <c r="M1441" s="12">
        <v>3</v>
      </c>
      <c r="N1441" s="12" t="s">
        <v>70</v>
      </c>
      <c r="O1441" s="12">
        <v>0</v>
      </c>
      <c r="P1441" s="12">
        <v>0</v>
      </c>
      <c r="Q1441" s="12">
        <v>1</v>
      </c>
      <c r="R1441" s="12">
        <v>0</v>
      </c>
      <c r="S1441" s="12">
        <v>0</v>
      </c>
      <c r="T1441" s="12">
        <v>1</v>
      </c>
      <c r="U1441" s="12" t="s">
        <v>19</v>
      </c>
      <c r="V1441" s="12">
        <v>1</v>
      </c>
      <c r="W1441" s="12">
        <v>94</v>
      </c>
      <c r="X1441" s="12">
        <v>2</v>
      </c>
      <c r="Y1441" s="12">
        <v>3</v>
      </c>
      <c r="Z1441" s="12" t="s">
        <v>56</v>
      </c>
      <c r="AA1441" s="12">
        <v>0</v>
      </c>
      <c r="AB1441" s="12">
        <v>1</v>
      </c>
      <c r="AC1441" s="12">
        <v>0</v>
      </c>
      <c r="AD1441" s="12">
        <v>0</v>
      </c>
      <c r="AE1441" s="12">
        <v>0</v>
      </c>
      <c r="AF1441" s="12">
        <v>0</v>
      </c>
      <c r="AG1441" s="12">
        <v>0</v>
      </c>
      <c r="AH1441" s="12">
        <v>0</v>
      </c>
      <c r="AI1441" s="12">
        <v>4</v>
      </c>
      <c r="AJ1441" s="12" t="s">
        <v>64</v>
      </c>
      <c r="AK1441" s="12">
        <v>0</v>
      </c>
      <c r="AL1441" s="12">
        <v>1</v>
      </c>
      <c r="AM1441" s="12">
        <v>7644</v>
      </c>
      <c r="AN1441" s="12">
        <f t="shared" si="332"/>
        <v>7644</v>
      </c>
      <c r="AO1441" s="12">
        <v>0</v>
      </c>
      <c r="AP1441" s="12" t="s">
        <v>59</v>
      </c>
      <c r="AQ1441" s="12">
        <v>0</v>
      </c>
      <c r="AR1441" s="12">
        <v>19</v>
      </c>
      <c r="AS1441" s="12">
        <v>3</v>
      </c>
      <c r="AT1441" s="12">
        <v>3</v>
      </c>
      <c r="AU1441" s="12">
        <v>2</v>
      </c>
      <c r="AV1441" s="12">
        <v>10</v>
      </c>
      <c r="AW1441" s="12">
        <f t="shared" si="333"/>
        <v>10</v>
      </c>
      <c r="AX1441" s="12">
        <v>2</v>
      </c>
      <c r="AY1441" s="12">
        <v>3</v>
      </c>
      <c r="AZ1441" s="12">
        <v>9</v>
      </c>
      <c r="BA1441" s="12">
        <f t="shared" si="334"/>
        <v>9</v>
      </c>
      <c r="BB1441" s="12">
        <v>7</v>
      </c>
      <c r="BC1441" s="12">
        <v>3</v>
      </c>
      <c r="BD1441" s="12">
        <f t="shared" si="337"/>
        <v>3</v>
      </c>
      <c r="BE1441" s="12">
        <v>4</v>
      </c>
      <c r="BF1441" s="12">
        <f t="shared" si="335"/>
        <v>4</v>
      </c>
      <c r="BG1441" s="12">
        <f t="shared" si="338"/>
        <v>12</v>
      </c>
      <c r="BH1441" s="67">
        <v>0</v>
      </c>
      <c r="BI1441" s="67">
        <v>1</v>
      </c>
      <c r="BJ1441" s="67">
        <v>0</v>
      </c>
      <c r="BK1441" s="67">
        <v>0</v>
      </c>
      <c r="BL1441" s="67">
        <v>0</v>
      </c>
      <c r="BM1441" s="67">
        <v>0</v>
      </c>
      <c r="BN1441" s="67">
        <v>1</v>
      </c>
      <c r="BO1441" s="67">
        <v>0</v>
      </c>
      <c r="BP1441" s="67">
        <v>0</v>
      </c>
      <c r="BQ1441" s="67">
        <v>0</v>
      </c>
      <c r="BR1441" s="67">
        <v>4</v>
      </c>
      <c r="BS1441" s="67">
        <v>0</v>
      </c>
      <c r="BT1441" s="67">
        <v>0</v>
      </c>
      <c r="BU1441" s="70">
        <v>10</v>
      </c>
      <c r="BV1441" s="29">
        <f t="shared" si="336"/>
        <v>0.24237025955283545</v>
      </c>
      <c r="BW1441">
        <f t="shared" si="339"/>
        <v>3.4508002929560584E-2</v>
      </c>
      <c r="BX1441">
        <f t="shared" si="340"/>
        <v>0.1644554352117841</v>
      </c>
      <c r="BY1441">
        <f t="shared" si="341"/>
        <v>0.32511687867835437</v>
      </c>
      <c r="BZ1441">
        <f t="shared" si="342"/>
        <v>0.76386092994953758</v>
      </c>
      <c r="CA1441">
        <f t="shared" si="343"/>
        <v>0.10112443951066327</v>
      </c>
      <c r="CB1441">
        <f t="shared" si="344"/>
        <v>0.2520597274726662</v>
      </c>
    </row>
    <row r="1442" spans="1:80" x14ac:dyDescent="0.45">
      <c r="A1442" s="11">
        <v>36</v>
      </c>
      <c r="B1442" s="12">
        <f t="shared" si="330"/>
        <v>36</v>
      </c>
      <c r="C1442" s="12" t="s">
        <v>59</v>
      </c>
      <c r="D1442" s="12">
        <v>0</v>
      </c>
      <c r="E1442" s="12" t="s">
        <v>60</v>
      </c>
      <c r="F1442" s="12">
        <v>1</v>
      </c>
      <c r="G1442" s="12">
        <v>0</v>
      </c>
      <c r="H1442" s="12" t="s">
        <v>61</v>
      </c>
      <c r="I1442" s="12">
        <v>1</v>
      </c>
      <c r="J1442" s="12">
        <v>0</v>
      </c>
      <c r="K1442" s="12">
        <v>4</v>
      </c>
      <c r="L1442" s="12">
        <f t="shared" si="331"/>
        <v>4</v>
      </c>
      <c r="M1442" s="12">
        <v>2</v>
      </c>
      <c r="N1442" s="12" t="s">
        <v>55</v>
      </c>
      <c r="O1442" s="12">
        <v>1</v>
      </c>
      <c r="P1442" s="12">
        <v>0</v>
      </c>
      <c r="Q1442" s="12">
        <v>0</v>
      </c>
      <c r="R1442" s="12">
        <v>0</v>
      </c>
      <c r="S1442" s="12">
        <v>0</v>
      </c>
      <c r="T1442" s="12">
        <v>4</v>
      </c>
      <c r="U1442" s="12" t="s">
        <v>19</v>
      </c>
      <c r="V1442" s="12">
        <v>1</v>
      </c>
      <c r="W1442" s="12">
        <v>97</v>
      </c>
      <c r="X1442" s="12">
        <v>3</v>
      </c>
      <c r="Y1442" s="12">
        <v>2</v>
      </c>
      <c r="Z1442" s="12" t="s">
        <v>83</v>
      </c>
      <c r="AA1442" s="12">
        <v>0</v>
      </c>
      <c r="AB1442" s="12">
        <v>0</v>
      </c>
      <c r="AC1442" s="12">
        <v>0</v>
      </c>
      <c r="AD1442" s="12">
        <v>0</v>
      </c>
      <c r="AE1442" s="12">
        <v>1</v>
      </c>
      <c r="AF1442" s="12">
        <v>1</v>
      </c>
      <c r="AG1442" s="12">
        <v>0</v>
      </c>
      <c r="AH1442" s="12">
        <v>0</v>
      </c>
      <c r="AI1442" s="12">
        <v>2</v>
      </c>
      <c r="AJ1442" s="12" t="s">
        <v>78</v>
      </c>
      <c r="AK1442" s="12">
        <v>0</v>
      </c>
      <c r="AL1442" s="12">
        <v>0</v>
      </c>
      <c r="AM1442" s="12">
        <v>5131</v>
      </c>
      <c r="AN1442" s="12">
        <f t="shared" si="332"/>
        <v>5131</v>
      </c>
      <c r="AO1442" s="12">
        <v>7</v>
      </c>
      <c r="AP1442" s="12" t="s">
        <v>59</v>
      </c>
      <c r="AQ1442" s="12">
        <v>0</v>
      </c>
      <c r="AR1442" s="12">
        <v>13</v>
      </c>
      <c r="AS1442" s="12">
        <v>3</v>
      </c>
      <c r="AT1442" s="12">
        <v>2</v>
      </c>
      <c r="AU1442" s="12">
        <v>3</v>
      </c>
      <c r="AV1442" s="12">
        <v>18</v>
      </c>
      <c r="AW1442" s="12">
        <f t="shared" si="333"/>
        <v>18</v>
      </c>
      <c r="AX1442" s="12">
        <v>3</v>
      </c>
      <c r="AY1442" s="12">
        <v>3</v>
      </c>
      <c r="AZ1442" s="12">
        <v>4</v>
      </c>
      <c r="BA1442" s="12">
        <f t="shared" si="334"/>
        <v>4</v>
      </c>
      <c r="BB1442" s="12">
        <v>2</v>
      </c>
      <c r="BC1442" s="12">
        <v>0</v>
      </c>
      <c r="BD1442" s="12">
        <f t="shared" si="337"/>
        <v>0</v>
      </c>
      <c r="BE1442" s="12">
        <v>2</v>
      </c>
      <c r="BF1442" s="12">
        <f t="shared" si="335"/>
        <v>2</v>
      </c>
      <c r="BG1442" s="12">
        <f t="shared" si="338"/>
        <v>4</v>
      </c>
      <c r="BH1442" s="67">
        <v>0</v>
      </c>
      <c r="BI1442" s="67">
        <v>0</v>
      </c>
      <c r="BJ1442" s="67">
        <v>1</v>
      </c>
      <c r="BK1442" s="67">
        <v>0</v>
      </c>
      <c r="BL1442" s="67">
        <v>1</v>
      </c>
      <c r="BM1442" s="67">
        <v>0</v>
      </c>
      <c r="BN1442" s="67">
        <v>0</v>
      </c>
      <c r="BO1442" s="67">
        <v>0</v>
      </c>
      <c r="BP1442" s="67">
        <v>0</v>
      </c>
      <c r="BQ1442" s="67">
        <v>2</v>
      </c>
      <c r="BR1442" s="67">
        <v>0</v>
      </c>
      <c r="BS1442" s="67">
        <v>0</v>
      </c>
      <c r="BT1442" s="67">
        <v>18</v>
      </c>
      <c r="BU1442" s="70">
        <v>0</v>
      </c>
      <c r="BV1442" s="29">
        <f t="shared" si="336"/>
        <v>0.29140694269802325</v>
      </c>
      <c r="BW1442">
        <f t="shared" si="339"/>
        <v>0.59502473559756086</v>
      </c>
      <c r="BX1442">
        <f t="shared" si="340"/>
        <v>0.86371889657480871</v>
      </c>
      <c r="BY1442">
        <f t="shared" si="341"/>
        <v>0.49100643357776058</v>
      </c>
      <c r="BZ1442">
        <f t="shared" si="342"/>
        <v>0.64050867607435136</v>
      </c>
      <c r="CA1442">
        <f t="shared" si="343"/>
        <v>0.10112443951066327</v>
      </c>
      <c r="CB1442">
        <f t="shared" si="344"/>
        <v>0.67891464284095016</v>
      </c>
    </row>
    <row r="1443" spans="1:80" x14ac:dyDescent="0.45">
      <c r="A1443" s="11">
        <v>56</v>
      </c>
      <c r="B1443" s="12">
        <f t="shared" si="330"/>
        <v>56</v>
      </c>
      <c r="C1443" s="12" t="s">
        <v>59</v>
      </c>
      <c r="D1443" s="12">
        <v>0</v>
      </c>
      <c r="E1443" s="12" t="s">
        <v>86</v>
      </c>
      <c r="F1443" s="12">
        <v>0</v>
      </c>
      <c r="G1443" s="12">
        <v>0</v>
      </c>
      <c r="H1443" s="12" t="s">
        <v>61</v>
      </c>
      <c r="I1443" s="12">
        <v>1</v>
      </c>
      <c r="J1443" s="12">
        <v>0</v>
      </c>
      <c r="K1443" s="12">
        <v>1</v>
      </c>
      <c r="L1443" s="12">
        <f t="shared" si="331"/>
        <v>1</v>
      </c>
      <c r="M1443" s="12">
        <v>4</v>
      </c>
      <c r="N1443" s="12" t="s">
        <v>55</v>
      </c>
      <c r="O1443" s="12">
        <v>1</v>
      </c>
      <c r="P1443" s="12">
        <v>0</v>
      </c>
      <c r="Q1443" s="12">
        <v>0</v>
      </c>
      <c r="R1443" s="12">
        <v>0</v>
      </c>
      <c r="S1443" s="12">
        <v>0</v>
      </c>
      <c r="T1443" s="12">
        <v>3</v>
      </c>
      <c r="U1443" s="12" t="s">
        <v>62</v>
      </c>
      <c r="V1443" s="12">
        <v>0</v>
      </c>
      <c r="W1443" s="12">
        <v>57</v>
      </c>
      <c r="X1443" s="12">
        <v>3</v>
      </c>
      <c r="Y1443" s="12">
        <v>2</v>
      </c>
      <c r="Z1443" s="12" t="s">
        <v>85</v>
      </c>
      <c r="AA1443" s="12">
        <v>1</v>
      </c>
      <c r="AB1443" s="12">
        <v>0</v>
      </c>
      <c r="AC1443" s="12">
        <v>0</v>
      </c>
      <c r="AD1443" s="12">
        <v>0</v>
      </c>
      <c r="AE1443" s="12">
        <v>0</v>
      </c>
      <c r="AF1443" s="12">
        <v>0</v>
      </c>
      <c r="AG1443" s="12">
        <v>0</v>
      </c>
      <c r="AH1443" s="12">
        <v>0</v>
      </c>
      <c r="AI1443" s="12">
        <v>3</v>
      </c>
      <c r="AJ1443" s="12" t="s">
        <v>78</v>
      </c>
      <c r="AK1443" s="12">
        <v>0</v>
      </c>
      <c r="AL1443" s="12">
        <v>0</v>
      </c>
      <c r="AM1443" s="12">
        <v>6306</v>
      </c>
      <c r="AN1443" s="12">
        <f t="shared" si="332"/>
        <v>6306</v>
      </c>
      <c r="AO1443" s="12">
        <v>1</v>
      </c>
      <c r="AP1443" s="12" t="s">
        <v>59</v>
      </c>
      <c r="AQ1443" s="12">
        <v>0</v>
      </c>
      <c r="AR1443" s="12">
        <v>21</v>
      </c>
      <c r="AS1443" s="12">
        <v>4</v>
      </c>
      <c r="AT1443" s="12">
        <v>1</v>
      </c>
      <c r="AU1443" s="12">
        <v>1</v>
      </c>
      <c r="AV1443" s="12">
        <v>13</v>
      </c>
      <c r="AW1443" s="12">
        <f t="shared" si="333"/>
        <v>13</v>
      </c>
      <c r="AX1443" s="12">
        <v>2</v>
      </c>
      <c r="AY1443" s="12">
        <v>2</v>
      </c>
      <c r="AZ1443" s="12">
        <v>13</v>
      </c>
      <c r="BA1443" s="12">
        <f t="shared" si="334"/>
        <v>13</v>
      </c>
      <c r="BB1443" s="12">
        <v>12</v>
      </c>
      <c r="BC1443" s="12">
        <v>1</v>
      </c>
      <c r="BD1443" s="12">
        <f t="shared" si="337"/>
        <v>1</v>
      </c>
      <c r="BE1443" s="12">
        <v>9</v>
      </c>
      <c r="BF1443" s="12">
        <f t="shared" si="335"/>
        <v>9</v>
      </c>
      <c r="BG1443" s="12">
        <f t="shared" ref="BG1443:BG1471" si="345">BF1443*Y1443</f>
        <v>18</v>
      </c>
      <c r="BH1443" s="67">
        <v>1</v>
      </c>
      <c r="BI1443" s="67">
        <v>0</v>
      </c>
      <c r="BJ1443" s="67">
        <v>0</v>
      </c>
      <c r="BK1443" s="67">
        <v>0</v>
      </c>
      <c r="BL1443" s="67">
        <v>1</v>
      </c>
      <c r="BM1443" s="67">
        <v>0</v>
      </c>
      <c r="BN1443" s="67">
        <v>0</v>
      </c>
      <c r="BO1443" s="67">
        <v>0</v>
      </c>
      <c r="BP1443" s="67">
        <v>0</v>
      </c>
      <c r="BQ1443" s="67">
        <v>9</v>
      </c>
      <c r="BR1443" s="67">
        <v>0</v>
      </c>
      <c r="BS1443" s="67">
        <v>0</v>
      </c>
      <c r="BT1443" s="67">
        <v>13</v>
      </c>
      <c r="BU1443" s="70">
        <v>0</v>
      </c>
      <c r="BV1443" s="29">
        <f t="shared" si="336"/>
        <v>4.182946054730341E-2</v>
      </c>
      <c r="BW1443">
        <f t="shared" si="339"/>
        <v>1.3667838287404401</v>
      </c>
      <c r="BX1443">
        <f t="shared" si="340"/>
        <v>0.22110993920818819</v>
      </c>
      <c r="BY1443">
        <f t="shared" si="341"/>
        <v>0.97801552848324624</v>
      </c>
      <c r="BZ1443">
        <f t="shared" si="342"/>
        <v>1.01056543769991</v>
      </c>
      <c r="CA1443">
        <f t="shared" si="343"/>
        <v>2.0881675498954482</v>
      </c>
      <c r="CB1443">
        <f t="shared" si="344"/>
        <v>0.36858985273641137</v>
      </c>
    </row>
    <row r="1444" spans="1:80" x14ac:dyDescent="0.45">
      <c r="A1444" s="11">
        <v>29</v>
      </c>
      <c r="B1444" s="12">
        <f t="shared" si="330"/>
        <v>29</v>
      </c>
      <c r="C1444" s="12" t="s">
        <v>52</v>
      </c>
      <c r="D1444" s="12">
        <v>1</v>
      </c>
      <c r="E1444" s="12" t="s">
        <v>53</v>
      </c>
      <c r="F1444" s="12">
        <v>0</v>
      </c>
      <c r="G1444" s="12">
        <v>1</v>
      </c>
      <c r="H1444" s="12" t="s">
        <v>61</v>
      </c>
      <c r="I1444" s="12">
        <v>1</v>
      </c>
      <c r="J1444" s="12">
        <v>0</v>
      </c>
      <c r="K1444" s="12">
        <v>1</v>
      </c>
      <c r="L1444" s="12">
        <f t="shared" si="331"/>
        <v>1</v>
      </c>
      <c r="M1444" s="12">
        <v>4</v>
      </c>
      <c r="N1444" s="12" t="s">
        <v>70</v>
      </c>
      <c r="O1444" s="12">
        <v>0</v>
      </c>
      <c r="P1444" s="12">
        <v>0</v>
      </c>
      <c r="Q1444" s="12">
        <v>1</v>
      </c>
      <c r="R1444" s="12">
        <v>0</v>
      </c>
      <c r="S1444" s="12">
        <v>0</v>
      </c>
      <c r="T1444" s="12">
        <v>1</v>
      </c>
      <c r="U1444" s="12" t="s">
        <v>62</v>
      </c>
      <c r="V1444" s="12">
        <v>0</v>
      </c>
      <c r="W1444" s="12">
        <v>36</v>
      </c>
      <c r="X1444" s="12">
        <v>3</v>
      </c>
      <c r="Y1444" s="12">
        <v>1</v>
      </c>
      <c r="Z1444" s="12" t="s">
        <v>63</v>
      </c>
      <c r="AA1444" s="12">
        <v>0</v>
      </c>
      <c r="AB1444" s="12">
        <v>0</v>
      </c>
      <c r="AC1444" s="12">
        <v>0</v>
      </c>
      <c r="AD1444" s="12">
        <v>0</v>
      </c>
      <c r="AE1444" s="12">
        <v>0</v>
      </c>
      <c r="AF1444" s="12">
        <v>0</v>
      </c>
      <c r="AG1444" s="12">
        <v>0</v>
      </c>
      <c r="AH1444" s="12">
        <v>1</v>
      </c>
      <c r="AI1444" s="12">
        <v>4</v>
      </c>
      <c r="AJ1444" s="12" t="s">
        <v>64</v>
      </c>
      <c r="AK1444" s="12">
        <v>0</v>
      </c>
      <c r="AL1444" s="12">
        <v>1</v>
      </c>
      <c r="AM1444" s="12">
        <v>4787</v>
      </c>
      <c r="AN1444" s="12">
        <f t="shared" si="332"/>
        <v>4787</v>
      </c>
      <c r="AO1444" s="12">
        <v>9</v>
      </c>
      <c r="AP1444" s="12" t="s">
        <v>52</v>
      </c>
      <c r="AQ1444" s="12">
        <v>1</v>
      </c>
      <c r="AR1444" s="12">
        <v>14</v>
      </c>
      <c r="AS1444" s="12">
        <v>3</v>
      </c>
      <c r="AT1444" s="12">
        <v>2</v>
      </c>
      <c r="AU1444" s="12">
        <v>3</v>
      </c>
      <c r="AV1444" s="12">
        <v>4</v>
      </c>
      <c r="AW1444" s="12">
        <f t="shared" si="333"/>
        <v>4</v>
      </c>
      <c r="AX1444" s="12">
        <v>3</v>
      </c>
      <c r="AY1444" s="12">
        <v>4</v>
      </c>
      <c r="AZ1444" s="12">
        <v>2</v>
      </c>
      <c r="BA1444" s="12">
        <f t="shared" si="334"/>
        <v>2</v>
      </c>
      <c r="BB1444" s="12">
        <v>2</v>
      </c>
      <c r="BC1444" s="12">
        <v>2</v>
      </c>
      <c r="BD1444" s="12">
        <f t="shared" si="337"/>
        <v>2</v>
      </c>
      <c r="BE1444" s="12">
        <v>2</v>
      </c>
      <c r="BF1444" s="12">
        <f t="shared" si="335"/>
        <v>2</v>
      </c>
      <c r="BG1444" s="12">
        <f t="shared" si="345"/>
        <v>2</v>
      </c>
      <c r="BH1444" s="67">
        <v>0</v>
      </c>
      <c r="BI1444" s="67">
        <v>1</v>
      </c>
      <c r="BJ1444" s="67">
        <v>0</v>
      </c>
      <c r="BK1444" s="67">
        <v>0</v>
      </c>
      <c r="BL1444" s="67">
        <v>0</v>
      </c>
      <c r="BM1444" s="67">
        <v>0</v>
      </c>
      <c r="BN1444" s="67">
        <v>0</v>
      </c>
      <c r="BO1444" s="67">
        <v>1</v>
      </c>
      <c r="BP1444" s="67">
        <v>0</v>
      </c>
      <c r="BQ1444" s="67">
        <v>2</v>
      </c>
      <c r="BR1444" s="67">
        <v>0</v>
      </c>
      <c r="BS1444" s="67">
        <v>0</v>
      </c>
      <c r="BT1444" s="67">
        <v>4</v>
      </c>
      <c r="BU1444" s="70">
        <v>0</v>
      </c>
      <c r="BV1444" s="29">
        <f t="shared" si="336"/>
        <v>0.36447473321704249</v>
      </c>
      <c r="BW1444">
        <f t="shared" si="339"/>
        <v>0.59502473559756086</v>
      </c>
      <c r="BX1444">
        <f t="shared" si="340"/>
        <v>0.93558618405172878</v>
      </c>
      <c r="BY1444">
        <f t="shared" si="341"/>
        <v>0.81745575848020657</v>
      </c>
      <c r="BZ1444">
        <f t="shared" si="342"/>
        <v>1.01056543769991</v>
      </c>
      <c r="CA1444">
        <f t="shared" si="343"/>
        <v>0.86737663580280233</v>
      </c>
      <c r="CB1444">
        <f t="shared" si="344"/>
        <v>5.8265062631872602E-2</v>
      </c>
    </row>
    <row r="1445" spans="1:80" x14ac:dyDescent="0.45">
      <c r="A1445" s="11">
        <v>42</v>
      </c>
      <c r="B1445" s="12">
        <f t="shared" si="330"/>
        <v>42</v>
      </c>
      <c r="C1445" s="12" t="s">
        <v>59</v>
      </c>
      <c r="D1445" s="12">
        <v>0</v>
      </c>
      <c r="E1445" s="12" t="s">
        <v>53</v>
      </c>
      <c r="F1445" s="12">
        <v>0</v>
      </c>
      <c r="G1445" s="12">
        <v>1</v>
      </c>
      <c r="H1445" s="12" t="s">
        <v>61</v>
      </c>
      <c r="I1445" s="12">
        <v>1</v>
      </c>
      <c r="J1445" s="12">
        <v>0</v>
      </c>
      <c r="K1445" s="12">
        <v>2</v>
      </c>
      <c r="L1445" s="12">
        <f t="shared" si="331"/>
        <v>2</v>
      </c>
      <c r="M1445" s="12">
        <v>3</v>
      </c>
      <c r="N1445" s="12" t="s">
        <v>55</v>
      </c>
      <c r="O1445" s="12">
        <v>1</v>
      </c>
      <c r="P1445" s="12">
        <v>0</v>
      </c>
      <c r="Q1445" s="12">
        <v>0</v>
      </c>
      <c r="R1445" s="12">
        <v>0</v>
      </c>
      <c r="S1445" s="12">
        <v>0</v>
      </c>
      <c r="T1445" s="12">
        <v>1</v>
      </c>
      <c r="U1445" s="12" t="s">
        <v>62</v>
      </c>
      <c r="V1445" s="12">
        <v>0</v>
      </c>
      <c r="W1445" s="12">
        <v>56</v>
      </c>
      <c r="X1445" s="12">
        <v>3</v>
      </c>
      <c r="Y1445" s="12">
        <v>5</v>
      </c>
      <c r="Z1445" s="12" t="s">
        <v>87</v>
      </c>
      <c r="AA1445" s="12">
        <v>0</v>
      </c>
      <c r="AB1445" s="12">
        <v>0</v>
      </c>
      <c r="AC1445" s="12">
        <v>0</v>
      </c>
      <c r="AD1445" s="12">
        <v>1</v>
      </c>
      <c r="AE1445" s="12">
        <v>0</v>
      </c>
      <c r="AF1445" s="12">
        <v>0</v>
      </c>
      <c r="AG1445" s="12">
        <v>0</v>
      </c>
      <c r="AH1445" s="12">
        <v>0</v>
      </c>
      <c r="AI1445" s="12">
        <v>3</v>
      </c>
      <c r="AJ1445" s="12" t="s">
        <v>64</v>
      </c>
      <c r="AK1445" s="12">
        <v>0</v>
      </c>
      <c r="AL1445" s="12">
        <v>1</v>
      </c>
      <c r="AM1445" s="12">
        <v>18880</v>
      </c>
      <c r="AN1445" s="12">
        <f t="shared" si="332"/>
        <v>18880</v>
      </c>
      <c r="AO1445" s="12">
        <v>5</v>
      </c>
      <c r="AP1445" s="12" t="s">
        <v>59</v>
      </c>
      <c r="AQ1445" s="12">
        <v>0</v>
      </c>
      <c r="AR1445" s="12">
        <v>11</v>
      </c>
      <c r="AS1445" s="12">
        <v>3</v>
      </c>
      <c r="AT1445" s="12">
        <v>1</v>
      </c>
      <c r="AU1445" s="12">
        <v>0</v>
      </c>
      <c r="AV1445" s="12">
        <v>24</v>
      </c>
      <c r="AW1445" s="12">
        <f t="shared" si="333"/>
        <v>24</v>
      </c>
      <c r="AX1445" s="12">
        <v>2</v>
      </c>
      <c r="AY1445" s="12">
        <v>2</v>
      </c>
      <c r="AZ1445" s="12">
        <v>22</v>
      </c>
      <c r="BA1445" s="12">
        <f t="shared" si="334"/>
        <v>22</v>
      </c>
      <c r="BB1445" s="12">
        <v>6</v>
      </c>
      <c r="BC1445" s="12">
        <v>4</v>
      </c>
      <c r="BD1445" s="12">
        <f t="shared" si="337"/>
        <v>4</v>
      </c>
      <c r="BE1445" s="12">
        <v>14</v>
      </c>
      <c r="BF1445" s="12">
        <f t="shared" si="335"/>
        <v>14</v>
      </c>
      <c r="BG1445" s="12">
        <f t="shared" si="345"/>
        <v>70</v>
      </c>
      <c r="BH1445" s="67">
        <v>0</v>
      </c>
      <c r="BI1445" s="67">
        <v>1</v>
      </c>
      <c r="BJ1445" s="67">
        <v>0</v>
      </c>
      <c r="BK1445" s="67">
        <v>0</v>
      </c>
      <c r="BL1445" s="67">
        <v>0</v>
      </c>
      <c r="BM1445" s="67">
        <v>0</v>
      </c>
      <c r="BN1445" s="67">
        <v>1</v>
      </c>
      <c r="BO1445" s="67">
        <v>0</v>
      </c>
      <c r="BP1445" s="67">
        <v>0</v>
      </c>
      <c r="BQ1445" s="67">
        <v>14</v>
      </c>
      <c r="BR1445" s="67">
        <v>0</v>
      </c>
      <c r="BS1445" s="67">
        <v>0</v>
      </c>
      <c r="BT1445" s="67">
        <v>24</v>
      </c>
      <c r="BU1445" s="70">
        <v>0</v>
      </c>
      <c r="BV1445" s="29">
        <f t="shared" si="336"/>
        <v>2.6289682080170804</v>
      </c>
      <c r="BW1445">
        <f t="shared" si="339"/>
        <v>2.7680756604104411</v>
      </c>
      <c r="BX1445">
        <f t="shared" si="340"/>
        <v>1.6348496454147534</v>
      </c>
      <c r="BY1445">
        <f t="shared" si="341"/>
        <v>2.4470374905442531</v>
      </c>
      <c r="BZ1445">
        <f t="shared" si="342"/>
        <v>0.88721318382472392</v>
      </c>
      <c r="CA1445">
        <f t="shared" si="343"/>
        <v>0.55566315731117022</v>
      </c>
      <c r="CB1445">
        <f t="shared" si="344"/>
        <v>0.56238451757720498</v>
      </c>
    </row>
    <row r="1446" spans="1:80" x14ac:dyDescent="0.45">
      <c r="A1446" s="11">
        <v>56</v>
      </c>
      <c r="B1446" s="12">
        <f t="shared" si="330"/>
        <v>56</v>
      </c>
      <c r="C1446" s="12" t="s">
        <v>52</v>
      </c>
      <c r="D1446" s="12">
        <v>1</v>
      </c>
      <c r="E1446" s="12" t="s">
        <v>53</v>
      </c>
      <c r="F1446" s="12">
        <v>0</v>
      </c>
      <c r="G1446" s="12">
        <v>1</v>
      </c>
      <c r="H1446" s="12" t="s">
        <v>61</v>
      </c>
      <c r="I1446" s="12">
        <v>1</v>
      </c>
      <c r="J1446" s="12">
        <v>0</v>
      </c>
      <c r="K1446" s="12">
        <v>7</v>
      </c>
      <c r="L1446" s="12">
        <f t="shared" si="331"/>
        <v>7</v>
      </c>
      <c r="M1446" s="12">
        <v>2</v>
      </c>
      <c r="N1446" s="12" t="s">
        <v>91</v>
      </c>
      <c r="O1446" s="12">
        <v>0</v>
      </c>
      <c r="P1446" s="12">
        <v>0</v>
      </c>
      <c r="Q1446" s="12">
        <v>0</v>
      </c>
      <c r="R1446" s="12">
        <v>0</v>
      </c>
      <c r="S1446" s="12">
        <v>1</v>
      </c>
      <c r="T1446" s="12">
        <v>4</v>
      </c>
      <c r="U1446" s="12" t="s">
        <v>62</v>
      </c>
      <c r="V1446" s="12">
        <v>0</v>
      </c>
      <c r="W1446" s="12">
        <v>72</v>
      </c>
      <c r="X1446" s="12">
        <v>3</v>
      </c>
      <c r="Y1446" s="12">
        <v>1</v>
      </c>
      <c r="Z1446" s="12" t="s">
        <v>67</v>
      </c>
      <c r="AA1446" s="12">
        <v>0</v>
      </c>
      <c r="AB1446" s="12">
        <v>0</v>
      </c>
      <c r="AC1446" s="12">
        <v>1</v>
      </c>
      <c r="AD1446" s="12">
        <v>0</v>
      </c>
      <c r="AE1446" s="12">
        <v>0</v>
      </c>
      <c r="AF1446" s="12">
        <v>0</v>
      </c>
      <c r="AG1446" s="12">
        <v>0</v>
      </c>
      <c r="AH1446" s="12">
        <v>0</v>
      </c>
      <c r="AI1446" s="12">
        <v>3</v>
      </c>
      <c r="AJ1446" s="12" t="s">
        <v>64</v>
      </c>
      <c r="AK1446" s="12">
        <v>0</v>
      </c>
      <c r="AL1446" s="12">
        <v>1</v>
      </c>
      <c r="AM1446" s="12">
        <v>2339</v>
      </c>
      <c r="AN1446" s="12">
        <f t="shared" si="332"/>
        <v>2339</v>
      </c>
      <c r="AO1446" s="12">
        <v>8</v>
      </c>
      <c r="AP1446" s="12" t="s">
        <v>59</v>
      </c>
      <c r="AQ1446" s="12">
        <v>0</v>
      </c>
      <c r="AR1446" s="12">
        <v>11</v>
      </c>
      <c r="AS1446" s="12">
        <v>3</v>
      </c>
      <c r="AT1446" s="12">
        <v>4</v>
      </c>
      <c r="AU1446" s="12">
        <v>1</v>
      </c>
      <c r="AV1446" s="12">
        <v>14</v>
      </c>
      <c r="AW1446" s="12">
        <f t="shared" si="333"/>
        <v>14</v>
      </c>
      <c r="AX1446" s="12">
        <v>4</v>
      </c>
      <c r="AY1446" s="12">
        <v>1</v>
      </c>
      <c r="AZ1446" s="12">
        <v>10</v>
      </c>
      <c r="BA1446" s="12">
        <f t="shared" si="334"/>
        <v>10</v>
      </c>
      <c r="BB1446" s="12">
        <v>9</v>
      </c>
      <c r="BC1446" s="12">
        <v>9</v>
      </c>
      <c r="BD1446" s="12">
        <f t="shared" si="337"/>
        <v>9</v>
      </c>
      <c r="BE1446" s="12">
        <v>8</v>
      </c>
      <c r="BF1446" s="12">
        <f t="shared" si="335"/>
        <v>8</v>
      </c>
      <c r="BG1446" s="12">
        <f t="shared" si="345"/>
        <v>8</v>
      </c>
      <c r="BH1446" s="67">
        <v>0</v>
      </c>
      <c r="BI1446" s="67">
        <v>1</v>
      </c>
      <c r="BJ1446" s="67">
        <v>0</v>
      </c>
      <c r="BK1446" s="67">
        <v>0</v>
      </c>
      <c r="BL1446" s="67">
        <v>0</v>
      </c>
      <c r="BM1446" s="67">
        <v>0</v>
      </c>
      <c r="BN1446" s="67">
        <v>1</v>
      </c>
      <c r="BO1446" s="67">
        <v>0</v>
      </c>
      <c r="BP1446" s="67">
        <v>0</v>
      </c>
      <c r="BQ1446" s="67">
        <v>8</v>
      </c>
      <c r="BR1446" s="67">
        <v>0</v>
      </c>
      <c r="BS1446" s="67">
        <v>0</v>
      </c>
      <c r="BT1446" s="67">
        <v>14</v>
      </c>
      <c r="BU1446" s="70">
        <v>0</v>
      </c>
      <c r="BV1446" s="29">
        <f t="shared" si="336"/>
        <v>0.88444552156169121</v>
      </c>
      <c r="BW1446">
        <f t="shared" si="339"/>
        <v>1.08652546240644</v>
      </c>
      <c r="BX1446">
        <f t="shared" si="340"/>
        <v>0.34963173068151232</v>
      </c>
      <c r="BY1446">
        <f t="shared" si="341"/>
        <v>0.48834154112957734</v>
      </c>
      <c r="BZ1446">
        <f t="shared" si="342"/>
        <v>0.27045191444879263</v>
      </c>
      <c r="CA1446">
        <f t="shared" si="343"/>
        <v>2.0881675498954482</v>
      </c>
      <c r="CB1446">
        <f t="shared" si="344"/>
        <v>2.114008468099899</v>
      </c>
    </row>
    <row r="1447" spans="1:80" x14ac:dyDescent="0.45">
      <c r="A1447" s="11">
        <v>41</v>
      </c>
      <c r="B1447" s="12">
        <f t="shared" si="330"/>
        <v>41</v>
      </c>
      <c r="C1447" s="12" t="s">
        <v>59</v>
      </c>
      <c r="D1447" s="12">
        <v>0</v>
      </c>
      <c r="E1447" s="12" t="s">
        <v>53</v>
      </c>
      <c r="F1447" s="12">
        <v>0</v>
      </c>
      <c r="G1447" s="12">
        <v>1</v>
      </c>
      <c r="H1447" s="12" t="s">
        <v>61</v>
      </c>
      <c r="I1447" s="12">
        <v>1</v>
      </c>
      <c r="J1447" s="12">
        <v>0</v>
      </c>
      <c r="K1447" s="12">
        <v>28</v>
      </c>
      <c r="L1447" s="12">
        <f t="shared" si="331"/>
        <v>28</v>
      </c>
      <c r="M1447" s="12">
        <v>4</v>
      </c>
      <c r="N1447" s="12" t="s">
        <v>55</v>
      </c>
      <c r="O1447" s="12">
        <v>1</v>
      </c>
      <c r="P1447" s="12">
        <v>0</v>
      </c>
      <c r="Q1447" s="12">
        <v>0</v>
      </c>
      <c r="R1447" s="12">
        <v>0</v>
      </c>
      <c r="S1447" s="12">
        <v>0</v>
      </c>
      <c r="T1447" s="12">
        <v>1</v>
      </c>
      <c r="U1447" s="12" t="s">
        <v>19</v>
      </c>
      <c r="V1447" s="12">
        <v>1</v>
      </c>
      <c r="W1447" s="12">
        <v>60</v>
      </c>
      <c r="X1447" s="12">
        <v>2</v>
      </c>
      <c r="Y1447" s="12">
        <v>4</v>
      </c>
      <c r="Z1447" s="12" t="s">
        <v>83</v>
      </c>
      <c r="AA1447" s="12">
        <v>0</v>
      </c>
      <c r="AB1447" s="12">
        <v>0</v>
      </c>
      <c r="AC1447" s="12">
        <v>0</v>
      </c>
      <c r="AD1447" s="12">
        <v>0</v>
      </c>
      <c r="AE1447" s="12">
        <v>1</v>
      </c>
      <c r="AF1447" s="12">
        <v>1</v>
      </c>
      <c r="AG1447" s="12">
        <v>0</v>
      </c>
      <c r="AH1447" s="12">
        <v>0</v>
      </c>
      <c r="AI1447" s="12">
        <v>2</v>
      </c>
      <c r="AJ1447" s="12" t="s">
        <v>64</v>
      </c>
      <c r="AK1447" s="12">
        <v>0</v>
      </c>
      <c r="AL1447" s="12">
        <v>1</v>
      </c>
      <c r="AM1447" s="12">
        <v>13570</v>
      </c>
      <c r="AN1447" s="12">
        <f t="shared" si="332"/>
        <v>13570</v>
      </c>
      <c r="AO1447" s="12">
        <v>0</v>
      </c>
      <c r="AP1447" s="12" t="s">
        <v>59</v>
      </c>
      <c r="AQ1447" s="12">
        <v>0</v>
      </c>
      <c r="AR1447" s="12">
        <v>23</v>
      </c>
      <c r="AS1447" s="12">
        <v>4</v>
      </c>
      <c r="AT1447" s="12">
        <v>3</v>
      </c>
      <c r="AU1447" s="12">
        <v>1</v>
      </c>
      <c r="AV1447" s="12">
        <v>21</v>
      </c>
      <c r="AW1447" s="12">
        <f t="shared" si="333"/>
        <v>21</v>
      </c>
      <c r="AX1447" s="12">
        <v>3</v>
      </c>
      <c r="AY1447" s="12">
        <v>3</v>
      </c>
      <c r="AZ1447" s="12">
        <v>20</v>
      </c>
      <c r="BA1447" s="12">
        <f t="shared" si="334"/>
        <v>20</v>
      </c>
      <c r="BB1447" s="12">
        <v>7</v>
      </c>
      <c r="BC1447" s="12">
        <v>0</v>
      </c>
      <c r="BD1447" s="12">
        <f t="shared" si="337"/>
        <v>0</v>
      </c>
      <c r="BE1447" s="12">
        <v>10</v>
      </c>
      <c r="BF1447" s="12">
        <f t="shared" si="335"/>
        <v>10</v>
      </c>
      <c r="BG1447" s="12">
        <f t="shared" si="345"/>
        <v>40</v>
      </c>
      <c r="BH1447" s="67">
        <v>0</v>
      </c>
      <c r="BI1447" s="67">
        <v>1</v>
      </c>
      <c r="BJ1447" s="67">
        <v>0</v>
      </c>
      <c r="BK1447" s="67">
        <v>0</v>
      </c>
      <c r="BL1447" s="67">
        <v>0</v>
      </c>
      <c r="BM1447" s="67">
        <v>0</v>
      </c>
      <c r="BN1447" s="67">
        <v>1</v>
      </c>
      <c r="BO1447" s="67">
        <v>0</v>
      </c>
      <c r="BP1447" s="67">
        <v>0</v>
      </c>
      <c r="BQ1447" s="67">
        <v>10</v>
      </c>
      <c r="BR1447" s="67">
        <v>0</v>
      </c>
      <c r="BS1447" s="67">
        <v>0</v>
      </c>
      <c r="BT1447" s="67">
        <v>21</v>
      </c>
      <c r="BU1447" s="70">
        <v>0</v>
      </c>
      <c r="BV1447" s="29">
        <f t="shared" si="336"/>
        <v>1.5010903950636147</v>
      </c>
      <c r="BW1447">
        <f t="shared" si="339"/>
        <v>1.6470421950744405</v>
      </c>
      <c r="BX1447">
        <f t="shared" si="340"/>
        <v>1.2492842709947811</v>
      </c>
      <c r="BY1447">
        <f t="shared" si="341"/>
        <v>2.1205881656418071</v>
      </c>
      <c r="BZ1447">
        <f t="shared" si="342"/>
        <v>2.3199454169301186</v>
      </c>
      <c r="CA1447">
        <f t="shared" si="343"/>
        <v>0.4461985578408646</v>
      </c>
      <c r="CB1447">
        <f t="shared" si="344"/>
        <v>0.67891464284095016</v>
      </c>
    </row>
    <row r="1448" spans="1:80" x14ac:dyDescent="0.45">
      <c r="A1448" s="11">
        <v>34</v>
      </c>
      <c r="B1448" s="12">
        <f t="shared" si="330"/>
        <v>34</v>
      </c>
      <c r="C1448" s="12" t="s">
        <v>59</v>
      </c>
      <c r="D1448" s="12">
        <v>0</v>
      </c>
      <c r="E1448" s="12" t="s">
        <v>53</v>
      </c>
      <c r="F1448" s="12">
        <v>0</v>
      </c>
      <c r="G1448" s="12">
        <v>1</v>
      </c>
      <c r="H1448" s="12" t="s">
        <v>54</v>
      </c>
      <c r="I1448" s="12">
        <v>0</v>
      </c>
      <c r="J1448" s="12">
        <v>1</v>
      </c>
      <c r="K1448" s="12">
        <v>28</v>
      </c>
      <c r="L1448" s="12">
        <f t="shared" si="331"/>
        <v>28</v>
      </c>
      <c r="M1448" s="12">
        <v>3</v>
      </c>
      <c r="N1448" s="12" t="s">
        <v>90</v>
      </c>
      <c r="O1448" s="12">
        <v>0</v>
      </c>
      <c r="P1448" s="12">
        <v>0</v>
      </c>
      <c r="Q1448" s="12">
        <v>0</v>
      </c>
      <c r="R1448" s="12">
        <v>1</v>
      </c>
      <c r="S1448" s="12">
        <v>0</v>
      </c>
      <c r="T1448" s="12">
        <v>4</v>
      </c>
      <c r="U1448" s="12" t="s">
        <v>19</v>
      </c>
      <c r="V1448" s="12">
        <v>1</v>
      </c>
      <c r="W1448" s="12">
        <v>95</v>
      </c>
      <c r="X1448" s="12">
        <v>2</v>
      </c>
      <c r="Y1448" s="12">
        <v>2</v>
      </c>
      <c r="Z1448" s="12" t="s">
        <v>56</v>
      </c>
      <c r="AA1448" s="12">
        <v>0</v>
      </c>
      <c r="AB1448" s="12">
        <v>1</v>
      </c>
      <c r="AC1448" s="12">
        <v>0</v>
      </c>
      <c r="AD1448" s="12">
        <v>0</v>
      </c>
      <c r="AE1448" s="12">
        <v>0</v>
      </c>
      <c r="AF1448" s="12">
        <v>0</v>
      </c>
      <c r="AG1448" s="12">
        <v>0</v>
      </c>
      <c r="AH1448" s="12">
        <v>0</v>
      </c>
      <c r="AI1448" s="12">
        <v>3</v>
      </c>
      <c r="AJ1448" s="12" t="s">
        <v>64</v>
      </c>
      <c r="AK1448" s="12">
        <v>0</v>
      </c>
      <c r="AL1448" s="12">
        <v>1</v>
      </c>
      <c r="AM1448" s="12">
        <v>6712</v>
      </c>
      <c r="AN1448" s="12">
        <f t="shared" si="332"/>
        <v>6712</v>
      </c>
      <c r="AO1448" s="12">
        <v>1</v>
      </c>
      <c r="AP1448" s="12" t="s">
        <v>59</v>
      </c>
      <c r="AQ1448" s="12">
        <v>0</v>
      </c>
      <c r="AR1448" s="12">
        <v>21</v>
      </c>
      <c r="AS1448" s="12">
        <v>4</v>
      </c>
      <c r="AT1448" s="12">
        <v>4</v>
      </c>
      <c r="AU1448" s="12">
        <v>2</v>
      </c>
      <c r="AV1448" s="12">
        <v>8</v>
      </c>
      <c r="AW1448" s="12">
        <f t="shared" si="333"/>
        <v>8</v>
      </c>
      <c r="AX1448" s="12">
        <v>2</v>
      </c>
      <c r="AY1448" s="12">
        <v>3</v>
      </c>
      <c r="AZ1448" s="12">
        <v>8</v>
      </c>
      <c r="BA1448" s="12">
        <f t="shared" si="334"/>
        <v>8</v>
      </c>
      <c r="BB1448" s="12">
        <v>7</v>
      </c>
      <c r="BC1448" s="12">
        <v>1</v>
      </c>
      <c r="BD1448" s="12">
        <f t="shared" si="337"/>
        <v>1</v>
      </c>
      <c r="BE1448" s="12">
        <v>7</v>
      </c>
      <c r="BF1448" s="12">
        <f t="shared" si="335"/>
        <v>7</v>
      </c>
      <c r="BG1448" s="12">
        <f t="shared" si="345"/>
        <v>14</v>
      </c>
      <c r="BH1448" s="67">
        <v>0</v>
      </c>
      <c r="BI1448" s="67">
        <v>1</v>
      </c>
      <c r="BJ1448" s="67">
        <v>0</v>
      </c>
      <c r="BK1448" s="67">
        <v>0</v>
      </c>
      <c r="BL1448" s="67">
        <v>0</v>
      </c>
      <c r="BM1448" s="67">
        <v>0</v>
      </c>
      <c r="BN1448" s="67">
        <v>1</v>
      </c>
      <c r="BO1448" s="67">
        <v>0</v>
      </c>
      <c r="BP1448" s="67">
        <v>0</v>
      </c>
      <c r="BQ1448" s="67">
        <v>0</v>
      </c>
      <c r="BR1448" s="67">
        <v>7</v>
      </c>
      <c r="BS1448" s="67">
        <v>0</v>
      </c>
      <c r="BT1448" s="67">
        <v>0</v>
      </c>
      <c r="BU1448" s="70">
        <v>8</v>
      </c>
      <c r="BV1448" s="29">
        <f t="shared" si="336"/>
        <v>4.4407524774562335E-2</v>
      </c>
      <c r="BW1448">
        <f t="shared" si="339"/>
        <v>0.80626709607243985</v>
      </c>
      <c r="BX1448">
        <f t="shared" si="340"/>
        <v>0.42149901815843233</v>
      </c>
      <c r="BY1448">
        <f t="shared" si="341"/>
        <v>0.16189221622713135</v>
      </c>
      <c r="BZ1448">
        <f t="shared" si="342"/>
        <v>2.3199454169301186</v>
      </c>
      <c r="CA1448">
        <f t="shared" si="343"/>
        <v>0.32005363845127444</v>
      </c>
      <c r="CB1448">
        <f t="shared" si="344"/>
        <v>0.36858985273641137</v>
      </c>
    </row>
    <row r="1449" spans="1:80" x14ac:dyDescent="0.45">
      <c r="A1449" s="11">
        <v>36</v>
      </c>
      <c r="B1449" s="12">
        <f t="shared" si="330"/>
        <v>36</v>
      </c>
      <c r="C1449" s="12" t="s">
        <v>59</v>
      </c>
      <c r="D1449" s="12">
        <v>0</v>
      </c>
      <c r="E1449" s="12" t="s">
        <v>86</v>
      </c>
      <c r="F1449" s="12">
        <v>0</v>
      </c>
      <c r="G1449" s="12">
        <v>0</v>
      </c>
      <c r="H1449" s="12" t="s">
        <v>54</v>
      </c>
      <c r="I1449" s="12">
        <v>0</v>
      </c>
      <c r="J1449" s="12">
        <v>1</v>
      </c>
      <c r="K1449" s="12">
        <v>15</v>
      </c>
      <c r="L1449" s="12">
        <f t="shared" si="331"/>
        <v>15</v>
      </c>
      <c r="M1449" s="12">
        <v>4</v>
      </c>
      <c r="N1449" s="12" t="s">
        <v>90</v>
      </c>
      <c r="O1449" s="12">
        <v>0</v>
      </c>
      <c r="P1449" s="12">
        <v>0</v>
      </c>
      <c r="Q1449" s="12">
        <v>0</v>
      </c>
      <c r="R1449" s="12">
        <v>1</v>
      </c>
      <c r="S1449" s="12">
        <v>0</v>
      </c>
      <c r="T1449" s="12">
        <v>4</v>
      </c>
      <c r="U1449" s="12" t="s">
        <v>62</v>
      </c>
      <c r="V1449" s="12">
        <v>0</v>
      </c>
      <c r="W1449" s="12">
        <v>88</v>
      </c>
      <c r="X1449" s="12">
        <v>1</v>
      </c>
      <c r="Y1449" s="12">
        <v>2</v>
      </c>
      <c r="Z1449" s="12" t="s">
        <v>56</v>
      </c>
      <c r="AA1449" s="12">
        <v>0</v>
      </c>
      <c r="AB1449" s="12">
        <v>1</v>
      </c>
      <c r="AC1449" s="12">
        <v>0</v>
      </c>
      <c r="AD1449" s="12">
        <v>0</v>
      </c>
      <c r="AE1449" s="12">
        <v>0</v>
      </c>
      <c r="AF1449" s="12">
        <v>0</v>
      </c>
      <c r="AG1449" s="12">
        <v>0</v>
      </c>
      <c r="AH1449" s="12">
        <v>0</v>
      </c>
      <c r="AI1449" s="12">
        <v>4</v>
      </c>
      <c r="AJ1449" s="12" t="s">
        <v>78</v>
      </c>
      <c r="AK1449" s="12">
        <v>0</v>
      </c>
      <c r="AL1449" s="12">
        <v>0</v>
      </c>
      <c r="AM1449" s="12">
        <v>5406</v>
      </c>
      <c r="AN1449" s="12">
        <f t="shared" si="332"/>
        <v>5406</v>
      </c>
      <c r="AO1449" s="12">
        <v>1</v>
      </c>
      <c r="AP1449" s="12" t="s">
        <v>59</v>
      </c>
      <c r="AQ1449" s="12">
        <v>0</v>
      </c>
      <c r="AR1449" s="12">
        <v>24</v>
      </c>
      <c r="AS1449" s="12">
        <v>4</v>
      </c>
      <c r="AT1449" s="12">
        <v>1</v>
      </c>
      <c r="AU1449" s="12">
        <v>1</v>
      </c>
      <c r="AV1449" s="12">
        <v>15</v>
      </c>
      <c r="AW1449" s="12">
        <f t="shared" si="333"/>
        <v>15</v>
      </c>
      <c r="AX1449" s="12">
        <v>4</v>
      </c>
      <c r="AY1449" s="12">
        <v>2</v>
      </c>
      <c r="AZ1449" s="12">
        <v>15</v>
      </c>
      <c r="BA1449" s="12">
        <f t="shared" si="334"/>
        <v>15</v>
      </c>
      <c r="BB1449" s="12">
        <v>12</v>
      </c>
      <c r="BC1449" s="12">
        <v>11</v>
      </c>
      <c r="BD1449" s="12">
        <f t="shared" si="337"/>
        <v>11</v>
      </c>
      <c r="BE1449" s="12">
        <v>11</v>
      </c>
      <c r="BF1449" s="12">
        <f t="shared" si="335"/>
        <v>11</v>
      </c>
      <c r="BG1449" s="12">
        <f t="shared" si="345"/>
        <v>22</v>
      </c>
      <c r="BH1449" s="67">
        <v>1</v>
      </c>
      <c r="BI1449" s="67">
        <v>0</v>
      </c>
      <c r="BJ1449" s="67">
        <v>0</v>
      </c>
      <c r="BK1449" s="67">
        <v>0</v>
      </c>
      <c r="BL1449" s="67">
        <v>1</v>
      </c>
      <c r="BM1449" s="67">
        <v>0</v>
      </c>
      <c r="BN1449" s="67">
        <v>0</v>
      </c>
      <c r="BO1449" s="67">
        <v>0</v>
      </c>
      <c r="BP1449" s="67">
        <v>0</v>
      </c>
      <c r="BQ1449" s="67">
        <v>0</v>
      </c>
      <c r="BR1449" s="67">
        <v>11</v>
      </c>
      <c r="BS1449" s="67">
        <v>0</v>
      </c>
      <c r="BT1449" s="67">
        <v>0</v>
      </c>
      <c r="BU1449" s="70">
        <v>15</v>
      </c>
      <c r="BV1449" s="29">
        <f t="shared" si="336"/>
        <v>0.23299519155636542</v>
      </c>
      <c r="BW1449">
        <f t="shared" si="339"/>
        <v>1.9273005614084406</v>
      </c>
      <c r="BX1449">
        <f t="shared" si="340"/>
        <v>0.47815352215483642</v>
      </c>
      <c r="BY1449">
        <f t="shared" si="341"/>
        <v>1.3044648533856922</v>
      </c>
      <c r="BZ1449">
        <f t="shared" si="342"/>
        <v>0.71636611655269733</v>
      </c>
      <c r="CA1449">
        <f t="shared" si="343"/>
        <v>0.10112443951066327</v>
      </c>
      <c r="CB1449">
        <f t="shared" si="344"/>
        <v>2.7346580483089769</v>
      </c>
    </row>
    <row r="1450" spans="1:80" x14ac:dyDescent="0.45">
      <c r="A1450" s="11">
        <v>41</v>
      </c>
      <c r="B1450" s="12">
        <f t="shared" si="330"/>
        <v>41</v>
      </c>
      <c r="C1450" s="12" t="s">
        <v>59</v>
      </c>
      <c r="D1450" s="12">
        <v>0</v>
      </c>
      <c r="E1450" s="12" t="s">
        <v>53</v>
      </c>
      <c r="F1450" s="12">
        <v>0</v>
      </c>
      <c r="G1450" s="12">
        <v>1</v>
      </c>
      <c r="H1450" s="12" t="s">
        <v>54</v>
      </c>
      <c r="I1450" s="12">
        <v>0</v>
      </c>
      <c r="J1450" s="12">
        <v>1</v>
      </c>
      <c r="K1450" s="12">
        <v>3</v>
      </c>
      <c r="L1450" s="12">
        <f t="shared" si="331"/>
        <v>3</v>
      </c>
      <c r="M1450" s="12">
        <v>3</v>
      </c>
      <c r="N1450" s="12" t="s">
        <v>55</v>
      </c>
      <c r="O1450" s="12">
        <v>1</v>
      </c>
      <c r="P1450" s="12">
        <v>0</v>
      </c>
      <c r="Q1450" s="12">
        <v>0</v>
      </c>
      <c r="R1450" s="12">
        <v>0</v>
      </c>
      <c r="S1450" s="12">
        <v>0</v>
      </c>
      <c r="T1450" s="12">
        <v>3</v>
      </c>
      <c r="U1450" s="12" t="s">
        <v>62</v>
      </c>
      <c r="V1450" s="12">
        <v>0</v>
      </c>
      <c r="W1450" s="12">
        <v>57</v>
      </c>
      <c r="X1450" s="12">
        <v>2</v>
      </c>
      <c r="Y1450" s="12">
        <v>2</v>
      </c>
      <c r="Z1450" s="12" t="s">
        <v>56</v>
      </c>
      <c r="AA1450" s="12">
        <v>0</v>
      </c>
      <c r="AB1450" s="12">
        <v>1</v>
      </c>
      <c r="AC1450" s="12">
        <v>0</v>
      </c>
      <c r="AD1450" s="12">
        <v>0</v>
      </c>
      <c r="AE1450" s="12">
        <v>0</v>
      </c>
      <c r="AF1450" s="12">
        <v>0</v>
      </c>
      <c r="AG1450" s="12">
        <v>0</v>
      </c>
      <c r="AH1450" s="12">
        <v>0</v>
      </c>
      <c r="AI1450" s="12">
        <v>2</v>
      </c>
      <c r="AJ1450" s="12" t="s">
        <v>78</v>
      </c>
      <c r="AK1450" s="12">
        <v>0</v>
      </c>
      <c r="AL1450" s="12">
        <v>0</v>
      </c>
      <c r="AM1450" s="12">
        <v>8938</v>
      </c>
      <c r="AN1450" s="12">
        <f t="shared" si="332"/>
        <v>8938</v>
      </c>
      <c r="AO1450" s="12">
        <v>2</v>
      </c>
      <c r="AP1450" s="12" t="s">
        <v>59</v>
      </c>
      <c r="AQ1450" s="12">
        <v>0</v>
      </c>
      <c r="AR1450" s="12">
        <v>11</v>
      </c>
      <c r="AS1450" s="12">
        <v>3</v>
      </c>
      <c r="AT1450" s="12">
        <v>3</v>
      </c>
      <c r="AU1450" s="12">
        <v>1</v>
      </c>
      <c r="AV1450" s="12">
        <v>14</v>
      </c>
      <c r="AW1450" s="12">
        <f t="shared" si="333"/>
        <v>14</v>
      </c>
      <c r="AX1450" s="12">
        <v>5</v>
      </c>
      <c r="AY1450" s="12">
        <v>3</v>
      </c>
      <c r="AZ1450" s="12">
        <v>5</v>
      </c>
      <c r="BA1450" s="12">
        <f t="shared" si="334"/>
        <v>5</v>
      </c>
      <c r="BB1450" s="12">
        <v>4</v>
      </c>
      <c r="BC1450" s="12">
        <v>0</v>
      </c>
      <c r="BD1450" s="12">
        <f t="shared" si="337"/>
        <v>0</v>
      </c>
      <c r="BE1450" s="12">
        <v>4</v>
      </c>
      <c r="BF1450" s="12">
        <f t="shared" si="335"/>
        <v>4</v>
      </c>
      <c r="BG1450" s="12">
        <f t="shared" si="345"/>
        <v>8</v>
      </c>
      <c r="BH1450" s="67">
        <v>1</v>
      </c>
      <c r="BI1450" s="67">
        <v>0</v>
      </c>
      <c r="BJ1450" s="67">
        <v>0</v>
      </c>
      <c r="BK1450" s="67">
        <v>0</v>
      </c>
      <c r="BL1450" s="67">
        <v>1</v>
      </c>
      <c r="BM1450" s="67">
        <v>0</v>
      </c>
      <c r="BN1450" s="67">
        <v>0</v>
      </c>
      <c r="BO1450" s="67">
        <v>0</v>
      </c>
      <c r="BP1450" s="67">
        <v>0</v>
      </c>
      <c r="BQ1450" s="67">
        <v>0</v>
      </c>
      <c r="BR1450" s="67">
        <v>4</v>
      </c>
      <c r="BS1450" s="67">
        <v>0</v>
      </c>
      <c r="BT1450" s="67">
        <v>0</v>
      </c>
      <c r="BU1450" s="70">
        <v>14</v>
      </c>
      <c r="BV1450" s="29">
        <f t="shared" si="336"/>
        <v>0.51722409947030901</v>
      </c>
      <c r="BW1450">
        <f t="shared" si="339"/>
        <v>3.4508002929560584E-2</v>
      </c>
      <c r="BX1450">
        <f t="shared" si="340"/>
        <v>0.34963173068151232</v>
      </c>
      <c r="BY1450">
        <f t="shared" si="341"/>
        <v>0.32778177112653761</v>
      </c>
      <c r="BZ1450">
        <f t="shared" si="342"/>
        <v>0.76386092994953758</v>
      </c>
      <c r="CA1450">
        <f t="shared" si="343"/>
        <v>0.4461985578408646</v>
      </c>
      <c r="CB1450">
        <f t="shared" si="344"/>
        <v>0.67891464284095016</v>
      </c>
    </row>
    <row r="1451" spans="1:80" x14ac:dyDescent="0.45">
      <c r="A1451" s="11">
        <v>32</v>
      </c>
      <c r="B1451" s="12">
        <f t="shared" si="330"/>
        <v>32</v>
      </c>
      <c r="C1451" s="12" t="s">
        <v>59</v>
      </c>
      <c r="D1451" s="12">
        <v>0</v>
      </c>
      <c r="E1451" s="12" t="s">
        <v>53</v>
      </c>
      <c r="F1451" s="12">
        <v>0</v>
      </c>
      <c r="G1451" s="12">
        <v>1</v>
      </c>
      <c r="H1451" s="12" t="s">
        <v>61</v>
      </c>
      <c r="I1451" s="12">
        <v>1</v>
      </c>
      <c r="J1451" s="12">
        <v>0</v>
      </c>
      <c r="K1451" s="12">
        <v>2</v>
      </c>
      <c r="L1451" s="12">
        <f t="shared" si="331"/>
        <v>2</v>
      </c>
      <c r="M1451" s="12">
        <v>3</v>
      </c>
      <c r="N1451" s="12" t="s">
        <v>91</v>
      </c>
      <c r="O1451" s="12">
        <v>0</v>
      </c>
      <c r="P1451" s="12">
        <v>0</v>
      </c>
      <c r="Q1451" s="12">
        <v>0</v>
      </c>
      <c r="R1451" s="12">
        <v>0</v>
      </c>
      <c r="S1451" s="12">
        <v>1</v>
      </c>
      <c r="T1451" s="12">
        <v>4</v>
      </c>
      <c r="U1451" s="12" t="s">
        <v>62</v>
      </c>
      <c r="V1451" s="12">
        <v>0</v>
      </c>
      <c r="W1451" s="12">
        <v>78</v>
      </c>
      <c r="X1451" s="12">
        <v>3</v>
      </c>
      <c r="Y1451" s="12">
        <v>1</v>
      </c>
      <c r="Z1451" s="12" t="s">
        <v>63</v>
      </c>
      <c r="AA1451" s="12">
        <v>0</v>
      </c>
      <c r="AB1451" s="12">
        <v>0</v>
      </c>
      <c r="AC1451" s="12">
        <v>0</v>
      </c>
      <c r="AD1451" s="12">
        <v>0</v>
      </c>
      <c r="AE1451" s="12">
        <v>0</v>
      </c>
      <c r="AF1451" s="12">
        <v>0</v>
      </c>
      <c r="AG1451" s="12">
        <v>0</v>
      </c>
      <c r="AH1451" s="12">
        <v>1</v>
      </c>
      <c r="AI1451" s="12">
        <v>1</v>
      </c>
      <c r="AJ1451" s="12" t="s">
        <v>57</v>
      </c>
      <c r="AK1451" s="12">
        <v>1</v>
      </c>
      <c r="AL1451" s="12">
        <v>0</v>
      </c>
      <c r="AM1451" s="12">
        <v>2439</v>
      </c>
      <c r="AN1451" s="12">
        <f t="shared" si="332"/>
        <v>2439</v>
      </c>
      <c r="AO1451" s="12">
        <v>1</v>
      </c>
      <c r="AP1451" s="12" t="s">
        <v>59</v>
      </c>
      <c r="AQ1451" s="12">
        <v>0</v>
      </c>
      <c r="AR1451" s="12">
        <v>14</v>
      </c>
      <c r="AS1451" s="12">
        <v>3</v>
      </c>
      <c r="AT1451" s="12">
        <v>4</v>
      </c>
      <c r="AU1451" s="12">
        <v>0</v>
      </c>
      <c r="AV1451" s="12">
        <v>4</v>
      </c>
      <c r="AW1451" s="12">
        <f t="shared" si="333"/>
        <v>4</v>
      </c>
      <c r="AX1451" s="12">
        <v>4</v>
      </c>
      <c r="AY1451" s="12">
        <v>3</v>
      </c>
      <c r="AZ1451" s="12">
        <v>4</v>
      </c>
      <c r="BA1451" s="12">
        <f t="shared" si="334"/>
        <v>4</v>
      </c>
      <c r="BB1451" s="12">
        <v>2</v>
      </c>
      <c r="BC1451" s="12">
        <v>1</v>
      </c>
      <c r="BD1451" s="12">
        <f t="shared" si="337"/>
        <v>1</v>
      </c>
      <c r="BE1451" s="12">
        <v>2</v>
      </c>
      <c r="BF1451" s="12">
        <f t="shared" si="335"/>
        <v>2</v>
      </c>
      <c r="BG1451" s="12">
        <f t="shared" si="345"/>
        <v>2</v>
      </c>
      <c r="BH1451" s="67">
        <v>1</v>
      </c>
      <c r="BI1451" s="67">
        <v>0</v>
      </c>
      <c r="BJ1451" s="67">
        <v>0</v>
      </c>
      <c r="BK1451" s="67">
        <v>0</v>
      </c>
      <c r="BL1451" s="67">
        <v>1</v>
      </c>
      <c r="BM1451" s="67">
        <v>0</v>
      </c>
      <c r="BN1451" s="67">
        <v>0</v>
      </c>
      <c r="BO1451" s="67">
        <v>0</v>
      </c>
      <c r="BP1451" s="67">
        <v>0</v>
      </c>
      <c r="BQ1451" s="67">
        <v>2</v>
      </c>
      <c r="BR1451" s="67">
        <v>0</v>
      </c>
      <c r="BS1451" s="67">
        <v>0</v>
      </c>
      <c r="BT1451" s="67">
        <v>4</v>
      </c>
      <c r="BU1451" s="70">
        <v>0</v>
      </c>
      <c r="BV1451" s="29">
        <f t="shared" si="336"/>
        <v>0.86320488478290647</v>
      </c>
      <c r="BW1451">
        <f t="shared" si="339"/>
        <v>0.59502473559756086</v>
      </c>
      <c r="BX1451">
        <f t="shared" si="340"/>
        <v>0.93558618405172878</v>
      </c>
      <c r="BY1451">
        <f t="shared" si="341"/>
        <v>0.49100643357776058</v>
      </c>
      <c r="BZ1451">
        <f t="shared" si="342"/>
        <v>0.88721318382472392</v>
      </c>
      <c r="CA1451">
        <f t="shared" si="343"/>
        <v>0.53898283739188557</v>
      </c>
      <c r="CB1451">
        <f t="shared" si="344"/>
        <v>0.36858985273641137</v>
      </c>
    </row>
    <row r="1452" spans="1:80" x14ac:dyDescent="0.45">
      <c r="A1452" s="11">
        <v>35</v>
      </c>
      <c r="B1452" s="12">
        <f t="shared" si="330"/>
        <v>35</v>
      </c>
      <c r="C1452" s="12" t="s">
        <v>59</v>
      </c>
      <c r="D1452" s="12">
        <v>0</v>
      </c>
      <c r="E1452" s="12" t="s">
        <v>53</v>
      </c>
      <c r="F1452" s="12">
        <v>0</v>
      </c>
      <c r="G1452" s="12">
        <v>1</v>
      </c>
      <c r="H1452" s="12" t="s">
        <v>97</v>
      </c>
      <c r="I1452" s="12">
        <v>0</v>
      </c>
      <c r="J1452" s="12">
        <v>0</v>
      </c>
      <c r="K1452" s="12">
        <v>26</v>
      </c>
      <c r="L1452" s="12">
        <f t="shared" si="331"/>
        <v>26</v>
      </c>
      <c r="M1452" s="12">
        <v>4</v>
      </c>
      <c r="N1452" s="12" t="s">
        <v>55</v>
      </c>
      <c r="O1452" s="12">
        <v>1</v>
      </c>
      <c r="P1452" s="12">
        <v>0</v>
      </c>
      <c r="Q1452" s="12">
        <v>0</v>
      </c>
      <c r="R1452" s="12">
        <v>0</v>
      </c>
      <c r="S1452" s="12">
        <v>0</v>
      </c>
      <c r="T1452" s="12">
        <v>3</v>
      </c>
      <c r="U1452" s="12" t="s">
        <v>19</v>
      </c>
      <c r="V1452" s="12">
        <v>1</v>
      </c>
      <c r="W1452" s="12">
        <v>31</v>
      </c>
      <c r="X1452" s="12">
        <v>3</v>
      </c>
      <c r="Y1452" s="12">
        <v>3</v>
      </c>
      <c r="Z1452" s="12" t="s">
        <v>97</v>
      </c>
      <c r="AA1452" s="12">
        <v>0</v>
      </c>
      <c r="AB1452" s="12">
        <v>0</v>
      </c>
      <c r="AC1452" s="12">
        <v>0</v>
      </c>
      <c r="AD1452" s="12">
        <v>0</v>
      </c>
      <c r="AE1452" s="12">
        <v>0</v>
      </c>
      <c r="AF1452" s="12">
        <v>0</v>
      </c>
      <c r="AG1452" s="12">
        <v>0</v>
      </c>
      <c r="AH1452" s="12">
        <v>0</v>
      </c>
      <c r="AI1452" s="12">
        <v>4</v>
      </c>
      <c r="AJ1452" s="12" t="s">
        <v>57</v>
      </c>
      <c r="AK1452" s="12">
        <v>1</v>
      </c>
      <c r="AL1452" s="12">
        <v>0</v>
      </c>
      <c r="AM1452" s="12">
        <v>8837</v>
      </c>
      <c r="AN1452" s="12">
        <f t="shared" si="332"/>
        <v>8837</v>
      </c>
      <c r="AO1452" s="12">
        <v>1</v>
      </c>
      <c r="AP1452" s="12" t="s">
        <v>52</v>
      </c>
      <c r="AQ1452" s="12">
        <v>1</v>
      </c>
      <c r="AR1452" s="12">
        <v>16</v>
      </c>
      <c r="AS1452" s="12">
        <v>3</v>
      </c>
      <c r="AT1452" s="12">
        <v>3</v>
      </c>
      <c r="AU1452" s="12">
        <v>0</v>
      </c>
      <c r="AV1452" s="12">
        <v>9</v>
      </c>
      <c r="AW1452" s="12">
        <f t="shared" si="333"/>
        <v>9</v>
      </c>
      <c r="AX1452" s="12">
        <v>2</v>
      </c>
      <c r="AY1452" s="12">
        <v>3</v>
      </c>
      <c r="AZ1452" s="12">
        <v>9</v>
      </c>
      <c r="BA1452" s="12">
        <f t="shared" si="334"/>
        <v>9</v>
      </c>
      <c r="BB1452" s="12">
        <v>0</v>
      </c>
      <c r="BC1452" s="12">
        <v>1</v>
      </c>
      <c r="BD1452" s="12">
        <f t="shared" si="337"/>
        <v>1</v>
      </c>
      <c r="BE1452" s="12">
        <v>7</v>
      </c>
      <c r="BF1452" s="12">
        <f t="shared" si="335"/>
        <v>7</v>
      </c>
      <c r="BG1452" s="12">
        <f t="shared" si="345"/>
        <v>21</v>
      </c>
      <c r="BH1452" s="67">
        <v>1</v>
      </c>
      <c r="BI1452" s="67">
        <v>0</v>
      </c>
      <c r="BJ1452" s="67">
        <v>0</v>
      </c>
      <c r="BK1452" s="67">
        <v>0</v>
      </c>
      <c r="BL1452" s="67">
        <v>0</v>
      </c>
      <c r="BM1452" s="67">
        <v>1</v>
      </c>
      <c r="BN1452" s="67">
        <v>0</v>
      </c>
      <c r="BO1452" s="67">
        <v>0</v>
      </c>
      <c r="BP1452" s="67">
        <v>7</v>
      </c>
      <c r="BQ1452" s="67">
        <v>0</v>
      </c>
      <c r="BR1452" s="67">
        <v>0</v>
      </c>
      <c r="BS1452" s="67">
        <v>9</v>
      </c>
      <c r="BT1452" s="67">
        <v>0</v>
      </c>
      <c r="BU1452" s="70">
        <v>0</v>
      </c>
      <c r="BV1452" s="29">
        <f t="shared" si="336"/>
        <v>0.49577105632373653</v>
      </c>
      <c r="BW1452">
        <f t="shared" si="339"/>
        <v>0.80626709607243985</v>
      </c>
      <c r="BX1452">
        <f t="shared" si="340"/>
        <v>0.29297722668510823</v>
      </c>
      <c r="BY1452">
        <f t="shared" si="341"/>
        <v>0.32511687867835437</v>
      </c>
      <c r="BZ1452">
        <f t="shared" si="342"/>
        <v>2.0732409091797459</v>
      </c>
      <c r="CA1452">
        <f t="shared" si="343"/>
        <v>0.21058903898096887</v>
      </c>
      <c r="CB1452">
        <f t="shared" si="344"/>
        <v>0.36858985273641137</v>
      </c>
    </row>
    <row r="1453" spans="1:80" x14ac:dyDescent="0.45">
      <c r="A1453" s="11">
        <v>38</v>
      </c>
      <c r="B1453" s="12">
        <f t="shared" si="330"/>
        <v>38</v>
      </c>
      <c r="C1453" s="12" t="s">
        <v>59</v>
      </c>
      <c r="D1453" s="12">
        <v>0</v>
      </c>
      <c r="E1453" s="12" t="s">
        <v>53</v>
      </c>
      <c r="F1453" s="12">
        <v>0</v>
      </c>
      <c r="G1453" s="12">
        <v>1</v>
      </c>
      <c r="H1453" s="12" t="s">
        <v>54</v>
      </c>
      <c r="I1453" s="12">
        <v>0</v>
      </c>
      <c r="J1453" s="12">
        <v>1</v>
      </c>
      <c r="K1453" s="12">
        <v>10</v>
      </c>
      <c r="L1453" s="12">
        <f t="shared" si="331"/>
        <v>10</v>
      </c>
      <c r="M1453" s="12">
        <v>2</v>
      </c>
      <c r="N1453" s="12" t="s">
        <v>55</v>
      </c>
      <c r="O1453" s="12">
        <v>1</v>
      </c>
      <c r="P1453" s="12">
        <v>0</v>
      </c>
      <c r="Q1453" s="12">
        <v>0</v>
      </c>
      <c r="R1453" s="12">
        <v>0</v>
      </c>
      <c r="S1453" s="12">
        <v>0</v>
      </c>
      <c r="T1453" s="12">
        <v>1</v>
      </c>
      <c r="U1453" s="12" t="s">
        <v>19</v>
      </c>
      <c r="V1453" s="12">
        <v>1</v>
      </c>
      <c r="W1453" s="12">
        <v>100</v>
      </c>
      <c r="X1453" s="12">
        <v>3</v>
      </c>
      <c r="Y1453" s="12">
        <v>2</v>
      </c>
      <c r="Z1453" s="12" t="s">
        <v>56</v>
      </c>
      <c r="AA1453" s="12">
        <v>0</v>
      </c>
      <c r="AB1453" s="12">
        <v>1</v>
      </c>
      <c r="AC1453" s="12">
        <v>0</v>
      </c>
      <c r="AD1453" s="12">
        <v>0</v>
      </c>
      <c r="AE1453" s="12">
        <v>0</v>
      </c>
      <c r="AF1453" s="12">
        <v>0</v>
      </c>
      <c r="AG1453" s="12">
        <v>0</v>
      </c>
      <c r="AH1453" s="12">
        <v>0</v>
      </c>
      <c r="AI1453" s="12">
        <v>4</v>
      </c>
      <c r="AJ1453" s="12" t="s">
        <v>64</v>
      </c>
      <c r="AK1453" s="12">
        <v>0</v>
      </c>
      <c r="AL1453" s="12">
        <v>1</v>
      </c>
      <c r="AM1453" s="12">
        <v>5343</v>
      </c>
      <c r="AN1453" s="12">
        <f t="shared" si="332"/>
        <v>5343</v>
      </c>
      <c r="AO1453" s="12">
        <v>1</v>
      </c>
      <c r="AP1453" s="12" t="s">
        <v>59</v>
      </c>
      <c r="AQ1453" s="12">
        <v>0</v>
      </c>
      <c r="AR1453" s="12">
        <v>11</v>
      </c>
      <c r="AS1453" s="12">
        <v>3</v>
      </c>
      <c r="AT1453" s="12">
        <v>3</v>
      </c>
      <c r="AU1453" s="12">
        <v>1</v>
      </c>
      <c r="AV1453" s="12">
        <v>10</v>
      </c>
      <c r="AW1453" s="12">
        <f t="shared" si="333"/>
        <v>10</v>
      </c>
      <c r="AX1453" s="12">
        <v>1</v>
      </c>
      <c r="AY1453" s="12">
        <v>3</v>
      </c>
      <c r="AZ1453" s="12">
        <v>10</v>
      </c>
      <c r="BA1453" s="12">
        <f t="shared" si="334"/>
        <v>10</v>
      </c>
      <c r="BB1453" s="12">
        <v>7</v>
      </c>
      <c r="BC1453" s="12">
        <v>1</v>
      </c>
      <c r="BD1453" s="12">
        <f t="shared" si="337"/>
        <v>1</v>
      </c>
      <c r="BE1453" s="12">
        <v>9</v>
      </c>
      <c r="BF1453" s="12">
        <f t="shared" si="335"/>
        <v>9</v>
      </c>
      <c r="BG1453" s="12">
        <f t="shared" si="345"/>
        <v>18</v>
      </c>
      <c r="BH1453" s="67">
        <v>0</v>
      </c>
      <c r="BI1453" s="67">
        <v>1</v>
      </c>
      <c r="BJ1453" s="67">
        <v>0</v>
      </c>
      <c r="BK1453" s="67">
        <v>0</v>
      </c>
      <c r="BL1453" s="67">
        <v>0</v>
      </c>
      <c r="BM1453" s="67">
        <v>0</v>
      </c>
      <c r="BN1453" s="67">
        <v>1</v>
      </c>
      <c r="BO1453" s="67">
        <v>0</v>
      </c>
      <c r="BP1453" s="67">
        <v>0</v>
      </c>
      <c r="BQ1453" s="67">
        <v>0</v>
      </c>
      <c r="BR1453" s="67">
        <v>9</v>
      </c>
      <c r="BS1453" s="67">
        <v>0</v>
      </c>
      <c r="BT1453" s="67">
        <v>0</v>
      </c>
      <c r="BU1453" s="70">
        <v>10</v>
      </c>
      <c r="BV1453" s="29">
        <f t="shared" si="336"/>
        <v>0.24637679272699975</v>
      </c>
      <c r="BW1453">
        <f t="shared" si="339"/>
        <v>1.3667838287404401</v>
      </c>
      <c r="BX1453">
        <f t="shared" si="340"/>
        <v>0.1644554352117841</v>
      </c>
      <c r="BY1453">
        <f t="shared" si="341"/>
        <v>0.48834154112957734</v>
      </c>
      <c r="BZ1453">
        <f t="shared" si="342"/>
        <v>9.9604847176766084E-2</v>
      </c>
      <c r="CA1453">
        <f t="shared" si="343"/>
        <v>0.11780475942994788</v>
      </c>
      <c r="CB1453">
        <f t="shared" si="344"/>
        <v>0.36858985273641137</v>
      </c>
    </row>
    <row r="1454" spans="1:80" x14ac:dyDescent="0.45">
      <c r="A1454" s="11">
        <v>50</v>
      </c>
      <c r="B1454" s="12">
        <f t="shared" si="330"/>
        <v>50</v>
      </c>
      <c r="C1454" s="12" t="s">
        <v>52</v>
      </c>
      <c r="D1454" s="12">
        <v>1</v>
      </c>
      <c r="E1454" s="12" t="s">
        <v>60</v>
      </c>
      <c r="F1454" s="12">
        <v>1</v>
      </c>
      <c r="G1454" s="12">
        <v>0</v>
      </c>
      <c r="H1454" s="12" t="s">
        <v>54</v>
      </c>
      <c r="I1454" s="12">
        <v>0</v>
      </c>
      <c r="J1454" s="12">
        <v>1</v>
      </c>
      <c r="K1454" s="12">
        <v>1</v>
      </c>
      <c r="L1454" s="12">
        <f t="shared" si="331"/>
        <v>1</v>
      </c>
      <c r="M1454" s="12">
        <v>4</v>
      </c>
      <c r="N1454" s="12" t="s">
        <v>55</v>
      </c>
      <c r="O1454" s="12">
        <v>1</v>
      </c>
      <c r="P1454" s="12">
        <v>0</v>
      </c>
      <c r="Q1454" s="12">
        <v>0</v>
      </c>
      <c r="R1454" s="12">
        <v>0</v>
      </c>
      <c r="S1454" s="12">
        <v>0</v>
      </c>
      <c r="T1454" s="12">
        <v>2</v>
      </c>
      <c r="U1454" s="12" t="s">
        <v>62</v>
      </c>
      <c r="V1454" s="12">
        <v>0</v>
      </c>
      <c r="W1454" s="12">
        <v>94</v>
      </c>
      <c r="X1454" s="12">
        <v>3</v>
      </c>
      <c r="Y1454" s="12">
        <v>2</v>
      </c>
      <c r="Z1454" s="12" t="s">
        <v>56</v>
      </c>
      <c r="AA1454" s="12">
        <v>0</v>
      </c>
      <c r="AB1454" s="12">
        <v>1</v>
      </c>
      <c r="AC1454" s="12">
        <v>0</v>
      </c>
      <c r="AD1454" s="12">
        <v>0</v>
      </c>
      <c r="AE1454" s="12">
        <v>0</v>
      </c>
      <c r="AF1454" s="12">
        <v>0</v>
      </c>
      <c r="AG1454" s="12">
        <v>0</v>
      </c>
      <c r="AH1454" s="12">
        <v>0</v>
      </c>
      <c r="AI1454" s="12">
        <v>3</v>
      </c>
      <c r="AJ1454" s="12" t="s">
        <v>78</v>
      </c>
      <c r="AK1454" s="12">
        <v>0</v>
      </c>
      <c r="AL1454" s="12">
        <v>0</v>
      </c>
      <c r="AM1454" s="12">
        <v>6728</v>
      </c>
      <c r="AN1454" s="12">
        <f t="shared" si="332"/>
        <v>6728</v>
      </c>
      <c r="AO1454" s="12">
        <v>7</v>
      </c>
      <c r="AP1454" s="12" t="s">
        <v>59</v>
      </c>
      <c r="AQ1454" s="12">
        <v>0</v>
      </c>
      <c r="AR1454" s="12">
        <v>12</v>
      </c>
      <c r="AS1454" s="12">
        <v>3</v>
      </c>
      <c r="AT1454" s="12">
        <v>4</v>
      </c>
      <c r="AU1454" s="12">
        <v>2</v>
      </c>
      <c r="AV1454" s="12">
        <v>12</v>
      </c>
      <c r="AW1454" s="12">
        <f t="shared" si="333"/>
        <v>12</v>
      </c>
      <c r="AX1454" s="12">
        <v>3</v>
      </c>
      <c r="AY1454" s="12">
        <v>3</v>
      </c>
      <c r="AZ1454" s="12">
        <v>6</v>
      </c>
      <c r="BA1454" s="12">
        <f t="shared" si="334"/>
        <v>6</v>
      </c>
      <c r="BB1454" s="12">
        <v>3</v>
      </c>
      <c r="BC1454" s="12">
        <v>0</v>
      </c>
      <c r="BD1454" s="12">
        <f t="shared" si="337"/>
        <v>0</v>
      </c>
      <c r="BE1454" s="12">
        <v>1</v>
      </c>
      <c r="BF1454" s="12">
        <f t="shared" si="335"/>
        <v>1</v>
      </c>
      <c r="BG1454" s="12">
        <f t="shared" si="345"/>
        <v>2</v>
      </c>
      <c r="BH1454" s="67">
        <v>0</v>
      </c>
      <c r="BI1454" s="67">
        <v>0</v>
      </c>
      <c r="BJ1454" s="67">
        <v>1</v>
      </c>
      <c r="BK1454" s="67">
        <v>0</v>
      </c>
      <c r="BL1454" s="67">
        <v>1</v>
      </c>
      <c r="BM1454" s="67">
        <v>0</v>
      </c>
      <c r="BN1454" s="67">
        <v>0</v>
      </c>
      <c r="BO1454" s="67">
        <v>0</v>
      </c>
      <c r="BP1454" s="67">
        <v>0</v>
      </c>
      <c r="BQ1454" s="67">
        <v>0</v>
      </c>
      <c r="BR1454" s="67">
        <v>1</v>
      </c>
      <c r="BS1454" s="67">
        <v>0</v>
      </c>
      <c r="BT1454" s="67">
        <v>0</v>
      </c>
      <c r="BU1454" s="70">
        <v>12</v>
      </c>
      <c r="BV1454" s="29">
        <f t="shared" si="336"/>
        <v>4.7806026659167881E-2</v>
      </c>
      <c r="BW1454">
        <f t="shared" si="339"/>
        <v>0.87528310193156111</v>
      </c>
      <c r="BX1454">
        <f t="shared" si="340"/>
        <v>9.2588147734864096E-2</v>
      </c>
      <c r="BY1454">
        <f t="shared" si="341"/>
        <v>0.16455710867531462</v>
      </c>
      <c r="BZ1454">
        <f t="shared" si="342"/>
        <v>1.01056543769991</v>
      </c>
      <c r="CA1454">
        <f t="shared" si="343"/>
        <v>1.4313799530736149</v>
      </c>
      <c r="CB1454">
        <f t="shared" si="344"/>
        <v>0.67891464284095016</v>
      </c>
    </row>
    <row r="1455" spans="1:80" x14ac:dyDescent="0.45">
      <c r="A1455" s="11">
        <v>36</v>
      </c>
      <c r="B1455" s="12">
        <f t="shared" si="330"/>
        <v>36</v>
      </c>
      <c r="C1455" s="12" t="s">
        <v>59</v>
      </c>
      <c r="D1455" s="12">
        <v>0</v>
      </c>
      <c r="E1455" s="12" t="s">
        <v>53</v>
      </c>
      <c r="F1455" s="12">
        <v>0</v>
      </c>
      <c r="G1455" s="12">
        <v>1</v>
      </c>
      <c r="H1455" s="12" t="s">
        <v>54</v>
      </c>
      <c r="I1455" s="12">
        <v>0</v>
      </c>
      <c r="J1455" s="12">
        <v>1</v>
      </c>
      <c r="K1455" s="12">
        <v>11</v>
      </c>
      <c r="L1455" s="12">
        <f t="shared" si="331"/>
        <v>11</v>
      </c>
      <c r="M1455" s="12">
        <v>4</v>
      </c>
      <c r="N1455" s="12" t="s">
        <v>90</v>
      </c>
      <c r="O1455" s="12">
        <v>0</v>
      </c>
      <c r="P1455" s="12">
        <v>0</v>
      </c>
      <c r="Q1455" s="12">
        <v>0</v>
      </c>
      <c r="R1455" s="12">
        <v>1</v>
      </c>
      <c r="S1455" s="12">
        <v>0</v>
      </c>
      <c r="T1455" s="12">
        <v>2</v>
      </c>
      <c r="U1455" s="12" t="s">
        <v>19</v>
      </c>
      <c r="V1455" s="12">
        <v>1</v>
      </c>
      <c r="W1455" s="12">
        <v>100</v>
      </c>
      <c r="X1455" s="12">
        <v>2</v>
      </c>
      <c r="Y1455" s="12">
        <v>2</v>
      </c>
      <c r="Z1455" s="12" t="s">
        <v>56</v>
      </c>
      <c r="AA1455" s="12">
        <v>0</v>
      </c>
      <c r="AB1455" s="12">
        <v>1</v>
      </c>
      <c r="AC1455" s="12">
        <v>0</v>
      </c>
      <c r="AD1455" s="12">
        <v>0</v>
      </c>
      <c r="AE1455" s="12">
        <v>0</v>
      </c>
      <c r="AF1455" s="12">
        <v>0</v>
      </c>
      <c r="AG1455" s="12">
        <v>0</v>
      </c>
      <c r="AH1455" s="12">
        <v>0</v>
      </c>
      <c r="AI1455" s="12">
        <v>4</v>
      </c>
      <c r="AJ1455" s="12" t="s">
        <v>64</v>
      </c>
      <c r="AK1455" s="12">
        <v>0</v>
      </c>
      <c r="AL1455" s="12">
        <v>1</v>
      </c>
      <c r="AM1455" s="12">
        <v>6652</v>
      </c>
      <c r="AN1455" s="12">
        <f t="shared" si="332"/>
        <v>6652</v>
      </c>
      <c r="AO1455" s="12">
        <v>4</v>
      </c>
      <c r="AP1455" s="12" t="s">
        <v>59</v>
      </c>
      <c r="AQ1455" s="12">
        <v>0</v>
      </c>
      <c r="AR1455" s="12">
        <v>13</v>
      </c>
      <c r="AS1455" s="12">
        <v>3</v>
      </c>
      <c r="AT1455" s="12">
        <v>1</v>
      </c>
      <c r="AU1455" s="12">
        <v>1</v>
      </c>
      <c r="AV1455" s="12">
        <v>8</v>
      </c>
      <c r="AW1455" s="12">
        <f t="shared" si="333"/>
        <v>8</v>
      </c>
      <c r="AX1455" s="12">
        <v>2</v>
      </c>
      <c r="AY1455" s="12">
        <v>2</v>
      </c>
      <c r="AZ1455" s="12">
        <v>6</v>
      </c>
      <c r="BA1455" s="12">
        <f t="shared" si="334"/>
        <v>6</v>
      </c>
      <c r="BB1455" s="12">
        <v>3</v>
      </c>
      <c r="BC1455" s="12">
        <v>0</v>
      </c>
      <c r="BD1455" s="12">
        <f t="shared" si="337"/>
        <v>0</v>
      </c>
      <c r="BE1455" s="12">
        <v>0</v>
      </c>
      <c r="BF1455" s="12">
        <f t="shared" si="335"/>
        <v>0</v>
      </c>
      <c r="BG1455" s="12">
        <f t="shared" si="345"/>
        <v>0</v>
      </c>
      <c r="BH1455" s="67">
        <v>0</v>
      </c>
      <c r="BI1455" s="67">
        <v>1</v>
      </c>
      <c r="BJ1455" s="67">
        <v>0</v>
      </c>
      <c r="BK1455" s="67">
        <v>0</v>
      </c>
      <c r="BL1455" s="67">
        <v>0</v>
      </c>
      <c r="BM1455" s="67">
        <v>0</v>
      </c>
      <c r="BN1455" s="67">
        <v>1</v>
      </c>
      <c r="BO1455" s="67">
        <v>0</v>
      </c>
      <c r="BP1455" s="67">
        <v>0</v>
      </c>
      <c r="BQ1455" s="67">
        <v>0</v>
      </c>
      <c r="BR1455" s="67">
        <v>0</v>
      </c>
      <c r="BS1455" s="67">
        <v>0</v>
      </c>
      <c r="BT1455" s="67">
        <v>0</v>
      </c>
      <c r="BU1455" s="70">
        <v>8</v>
      </c>
      <c r="BV1455" s="29">
        <f t="shared" si="336"/>
        <v>3.1663142707291536E-2</v>
      </c>
      <c r="BW1455">
        <f t="shared" si="339"/>
        <v>1.1555414682655611</v>
      </c>
      <c r="BX1455">
        <f t="shared" si="340"/>
        <v>0.42149901815843233</v>
      </c>
      <c r="BY1455">
        <f t="shared" si="341"/>
        <v>0.16455710867531462</v>
      </c>
      <c r="BZ1455">
        <f t="shared" si="342"/>
        <v>0.22295710105195232</v>
      </c>
      <c r="CA1455">
        <f t="shared" si="343"/>
        <v>0.10112443951066327</v>
      </c>
      <c r="CB1455">
        <f t="shared" si="344"/>
        <v>0.67891464284095016</v>
      </c>
    </row>
    <row r="1456" spans="1:80" x14ac:dyDescent="0.45">
      <c r="A1456" s="11">
        <v>45</v>
      </c>
      <c r="B1456" s="12">
        <f t="shared" si="330"/>
        <v>45</v>
      </c>
      <c r="C1456" s="12" t="s">
        <v>59</v>
      </c>
      <c r="D1456" s="12">
        <v>0</v>
      </c>
      <c r="E1456" s="12" t="s">
        <v>53</v>
      </c>
      <c r="F1456" s="12">
        <v>0</v>
      </c>
      <c r="G1456" s="12">
        <v>1</v>
      </c>
      <c r="H1456" s="12" t="s">
        <v>54</v>
      </c>
      <c r="I1456" s="12">
        <v>0</v>
      </c>
      <c r="J1456" s="12">
        <v>1</v>
      </c>
      <c r="K1456" s="12">
        <v>20</v>
      </c>
      <c r="L1456" s="12">
        <f t="shared" si="331"/>
        <v>20</v>
      </c>
      <c r="M1456" s="12">
        <v>3</v>
      </c>
      <c r="N1456" s="12" t="s">
        <v>55</v>
      </c>
      <c r="O1456" s="12">
        <v>1</v>
      </c>
      <c r="P1456" s="12">
        <v>0</v>
      </c>
      <c r="Q1456" s="12">
        <v>0</v>
      </c>
      <c r="R1456" s="12">
        <v>0</v>
      </c>
      <c r="S1456" s="12">
        <v>0</v>
      </c>
      <c r="T1456" s="12">
        <v>4</v>
      </c>
      <c r="U1456" s="12" t="s">
        <v>19</v>
      </c>
      <c r="V1456" s="12">
        <v>1</v>
      </c>
      <c r="W1456" s="12">
        <v>50</v>
      </c>
      <c r="X1456" s="12">
        <v>3</v>
      </c>
      <c r="Y1456" s="12">
        <v>2</v>
      </c>
      <c r="Z1456" s="12" t="s">
        <v>56</v>
      </c>
      <c r="AA1456" s="12">
        <v>0</v>
      </c>
      <c r="AB1456" s="12">
        <v>1</v>
      </c>
      <c r="AC1456" s="12">
        <v>0</v>
      </c>
      <c r="AD1456" s="12">
        <v>0</v>
      </c>
      <c r="AE1456" s="12">
        <v>0</v>
      </c>
      <c r="AF1456" s="12">
        <v>0</v>
      </c>
      <c r="AG1456" s="12">
        <v>0</v>
      </c>
      <c r="AH1456" s="12">
        <v>0</v>
      </c>
      <c r="AI1456" s="12">
        <v>3</v>
      </c>
      <c r="AJ1456" s="12" t="s">
        <v>57</v>
      </c>
      <c r="AK1456" s="12">
        <v>1</v>
      </c>
      <c r="AL1456" s="12">
        <v>0</v>
      </c>
      <c r="AM1456" s="12">
        <v>4850</v>
      </c>
      <c r="AN1456" s="12">
        <f t="shared" si="332"/>
        <v>4850</v>
      </c>
      <c r="AO1456" s="12">
        <v>8</v>
      </c>
      <c r="AP1456" s="12" t="s">
        <v>59</v>
      </c>
      <c r="AQ1456" s="12">
        <v>0</v>
      </c>
      <c r="AR1456" s="12">
        <v>15</v>
      </c>
      <c r="AS1456" s="12">
        <v>3</v>
      </c>
      <c r="AT1456" s="12">
        <v>3</v>
      </c>
      <c r="AU1456" s="12">
        <v>0</v>
      </c>
      <c r="AV1456" s="12">
        <v>8</v>
      </c>
      <c r="AW1456" s="12">
        <f t="shared" si="333"/>
        <v>8</v>
      </c>
      <c r="AX1456" s="12">
        <v>3</v>
      </c>
      <c r="AY1456" s="12">
        <v>3</v>
      </c>
      <c r="AZ1456" s="12">
        <v>5</v>
      </c>
      <c r="BA1456" s="12">
        <f t="shared" si="334"/>
        <v>5</v>
      </c>
      <c r="BB1456" s="12">
        <v>3</v>
      </c>
      <c r="BC1456" s="12">
        <v>0</v>
      </c>
      <c r="BD1456" s="12">
        <f t="shared" si="337"/>
        <v>0</v>
      </c>
      <c r="BE1456" s="12">
        <v>1</v>
      </c>
      <c r="BF1456" s="12">
        <f t="shared" si="335"/>
        <v>1</v>
      </c>
      <c r="BG1456" s="12">
        <f t="shared" si="345"/>
        <v>2</v>
      </c>
      <c r="BH1456" s="67">
        <v>1</v>
      </c>
      <c r="BI1456" s="67">
        <v>0</v>
      </c>
      <c r="BJ1456" s="67">
        <v>0</v>
      </c>
      <c r="BK1456" s="67">
        <v>0</v>
      </c>
      <c r="BL1456" s="67">
        <v>1</v>
      </c>
      <c r="BM1456" s="67">
        <v>0</v>
      </c>
      <c r="BN1456" s="67">
        <v>0</v>
      </c>
      <c r="BO1456" s="67">
        <v>0</v>
      </c>
      <c r="BP1456" s="67">
        <v>0</v>
      </c>
      <c r="BQ1456" s="67">
        <v>0</v>
      </c>
      <c r="BR1456" s="67">
        <v>1</v>
      </c>
      <c r="BS1456" s="67">
        <v>0</v>
      </c>
      <c r="BT1456" s="67">
        <v>0</v>
      </c>
      <c r="BU1456" s="70">
        <v>8</v>
      </c>
      <c r="BV1456" s="29">
        <f t="shared" si="336"/>
        <v>0.35109313204640819</v>
      </c>
      <c r="BW1456">
        <f t="shared" si="339"/>
        <v>0.87528310193156111</v>
      </c>
      <c r="BX1456">
        <f t="shared" si="340"/>
        <v>0.42149901815843233</v>
      </c>
      <c r="BY1456">
        <f t="shared" si="341"/>
        <v>0.32778177112653761</v>
      </c>
      <c r="BZ1456">
        <f t="shared" si="342"/>
        <v>1.3331273859286286</v>
      </c>
      <c r="CA1456">
        <f t="shared" si="343"/>
        <v>0.88405695572208698</v>
      </c>
      <c r="CB1456">
        <f t="shared" si="344"/>
        <v>0.67891464284095016</v>
      </c>
    </row>
    <row r="1457" spans="1:80" x14ac:dyDescent="0.45">
      <c r="A1457" s="11">
        <v>40</v>
      </c>
      <c r="B1457" s="12">
        <f t="shared" si="330"/>
        <v>40</v>
      </c>
      <c r="C1457" s="12" t="s">
        <v>59</v>
      </c>
      <c r="D1457" s="12">
        <v>0</v>
      </c>
      <c r="E1457" s="12" t="s">
        <v>53</v>
      </c>
      <c r="F1457" s="12">
        <v>0</v>
      </c>
      <c r="G1457" s="12">
        <v>1</v>
      </c>
      <c r="H1457" s="12" t="s">
        <v>61</v>
      </c>
      <c r="I1457" s="12">
        <v>1</v>
      </c>
      <c r="J1457" s="12">
        <v>0</v>
      </c>
      <c r="K1457" s="12">
        <v>2</v>
      </c>
      <c r="L1457" s="12">
        <f t="shared" si="331"/>
        <v>2</v>
      </c>
      <c r="M1457" s="12">
        <v>4</v>
      </c>
      <c r="N1457" s="12" t="s">
        <v>55</v>
      </c>
      <c r="O1457" s="12">
        <v>1</v>
      </c>
      <c r="P1457" s="12">
        <v>0</v>
      </c>
      <c r="Q1457" s="12">
        <v>0</v>
      </c>
      <c r="R1457" s="12">
        <v>0</v>
      </c>
      <c r="S1457" s="12">
        <v>0</v>
      </c>
      <c r="T1457" s="12">
        <v>3</v>
      </c>
      <c r="U1457" s="12" t="s">
        <v>62</v>
      </c>
      <c r="V1457" s="12">
        <v>0</v>
      </c>
      <c r="W1457" s="12">
        <v>52</v>
      </c>
      <c r="X1457" s="12">
        <v>2</v>
      </c>
      <c r="Y1457" s="12">
        <v>1</v>
      </c>
      <c r="Z1457" s="12" t="s">
        <v>63</v>
      </c>
      <c r="AA1457" s="12">
        <v>0</v>
      </c>
      <c r="AB1457" s="12">
        <v>0</v>
      </c>
      <c r="AC1457" s="12">
        <v>0</v>
      </c>
      <c r="AD1457" s="12">
        <v>0</v>
      </c>
      <c r="AE1457" s="12">
        <v>0</v>
      </c>
      <c r="AF1457" s="12">
        <v>0</v>
      </c>
      <c r="AG1457" s="12">
        <v>0</v>
      </c>
      <c r="AH1457" s="12">
        <v>1</v>
      </c>
      <c r="AI1457" s="12">
        <v>3</v>
      </c>
      <c r="AJ1457" s="12" t="s">
        <v>57</v>
      </c>
      <c r="AK1457" s="12">
        <v>1</v>
      </c>
      <c r="AL1457" s="12">
        <v>0</v>
      </c>
      <c r="AM1457" s="12">
        <v>2809</v>
      </c>
      <c r="AN1457" s="12">
        <f t="shared" si="332"/>
        <v>2809</v>
      </c>
      <c r="AO1457" s="12">
        <v>2</v>
      </c>
      <c r="AP1457" s="12" t="s">
        <v>59</v>
      </c>
      <c r="AQ1457" s="12">
        <v>0</v>
      </c>
      <c r="AR1457" s="12">
        <v>14</v>
      </c>
      <c r="AS1457" s="12">
        <v>3</v>
      </c>
      <c r="AT1457" s="12">
        <v>4</v>
      </c>
      <c r="AU1457" s="12">
        <v>0</v>
      </c>
      <c r="AV1457" s="12">
        <v>8</v>
      </c>
      <c r="AW1457" s="12">
        <f t="shared" si="333"/>
        <v>8</v>
      </c>
      <c r="AX1457" s="12">
        <v>2</v>
      </c>
      <c r="AY1457" s="12">
        <v>3</v>
      </c>
      <c r="AZ1457" s="12">
        <v>2</v>
      </c>
      <c r="BA1457" s="12">
        <f t="shared" si="334"/>
        <v>2</v>
      </c>
      <c r="BB1457" s="12">
        <v>2</v>
      </c>
      <c r="BC1457" s="12">
        <v>2</v>
      </c>
      <c r="BD1457" s="12">
        <f t="shared" si="337"/>
        <v>2</v>
      </c>
      <c r="BE1457" s="12">
        <v>2</v>
      </c>
      <c r="BF1457" s="12">
        <f t="shared" si="335"/>
        <v>2</v>
      </c>
      <c r="BG1457" s="12">
        <f t="shared" si="345"/>
        <v>2</v>
      </c>
      <c r="BH1457" s="67">
        <v>1</v>
      </c>
      <c r="BI1457" s="67">
        <v>0</v>
      </c>
      <c r="BJ1457" s="67">
        <v>0</v>
      </c>
      <c r="BK1457" s="67">
        <v>0</v>
      </c>
      <c r="BL1457" s="67">
        <v>1</v>
      </c>
      <c r="BM1457" s="67">
        <v>0</v>
      </c>
      <c r="BN1457" s="67">
        <v>0</v>
      </c>
      <c r="BO1457" s="67">
        <v>0</v>
      </c>
      <c r="BP1457" s="67">
        <v>0</v>
      </c>
      <c r="BQ1457" s="67">
        <v>2</v>
      </c>
      <c r="BR1457" s="67">
        <v>0</v>
      </c>
      <c r="BS1457" s="67">
        <v>0</v>
      </c>
      <c r="BT1457" s="67">
        <v>8</v>
      </c>
      <c r="BU1457" s="70">
        <v>0</v>
      </c>
      <c r="BV1457" s="29">
        <f t="shared" si="336"/>
        <v>0.78461452870140325</v>
      </c>
      <c r="BW1457">
        <f t="shared" si="339"/>
        <v>0.59502473559756086</v>
      </c>
      <c r="BX1457">
        <f t="shared" si="340"/>
        <v>0.42149901815843233</v>
      </c>
      <c r="BY1457">
        <f t="shared" si="341"/>
        <v>0.81745575848020657</v>
      </c>
      <c r="BZ1457">
        <f t="shared" si="342"/>
        <v>0.88721318382472392</v>
      </c>
      <c r="CA1457">
        <f t="shared" si="343"/>
        <v>0.33673395837055903</v>
      </c>
      <c r="CB1457">
        <f t="shared" si="344"/>
        <v>5.8265062631872602E-2</v>
      </c>
    </row>
    <row r="1458" spans="1:80" x14ac:dyDescent="0.45">
      <c r="A1458" s="11">
        <v>35</v>
      </c>
      <c r="B1458" s="12">
        <f t="shared" si="330"/>
        <v>35</v>
      </c>
      <c r="C1458" s="12" t="s">
        <v>59</v>
      </c>
      <c r="D1458" s="12">
        <v>0</v>
      </c>
      <c r="E1458" s="12" t="s">
        <v>60</v>
      </c>
      <c r="F1458" s="12">
        <v>1</v>
      </c>
      <c r="G1458" s="12">
        <v>0</v>
      </c>
      <c r="H1458" s="12" t="s">
        <v>61</v>
      </c>
      <c r="I1458" s="12">
        <v>1</v>
      </c>
      <c r="J1458" s="12">
        <v>0</v>
      </c>
      <c r="K1458" s="12">
        <v>18</v>
      </c>
      <c r="L1458" s="12">
        <f t="shared" si="331"/>
        <v>18</v>
      </c>
      <c r="M1458" s="12">
        <v>4</v>
      </c>
      <c r="N1458" s="12" t="s">
        <v>55</v>
      </c>
      <c r="O1458" s="12">
        <v>1</v>
      </c>
      <c r="P1458" s="12">
        <v>0</v>
      </c>
      <c r="Q1458" s="12">
        <v>0</v>
      </c>
      <c r="R1458" s="12">
        <v>0</v>
      </c>
      <c r="S1458" s="12">
        <v>0</v>
      </c>
      <c r="T1458" s="12">
        <v>3</v>
      </c>
      <c r="U1458" s="12" t="s">
        <v>62</v>
      </c>
      <c r="V1458" s="12">
        <v>0</v>
      </c>
      <c r="W1458" s="12">
        <v>80</v>
      </c>
      <c r="X1458" s="12">
        <v>3</v>
      </c>
      <c r="Y1458" s="12">
        <v>2</v>
      </c>
      <c r="Z1458" s="12" t="s">
        <v>85</v>
      </c>
      <c r="AA1458" s="12">
        <v>1</v>
      </c>
      <c r="AB1458" s="12">
        <v>0</v>
      </c>
      <c r="AC1458" s="12">
        <v>0</v>
      </c>
      <c r="AD1458" s="12">
        <v>0</v>
      </c>
      <c r="AE1458" s="12">
        <v>0</v>
      </c>
      <c r="AF1458" s="12">
        <v>0</v>
      </c>
      <c r="AG1458" s="12">
        <v>0</v>
      </c>
      <c r="AH1458" s="12">
        <v>0</v>
      </c>
      <c r="AI1458" s="12">
        <v>3</v>
      </c>
      <c r="AJ1458" s="12" t="s">
        <v>64</v>
      </c>
      <c r="AK1458" s="12">
        <v>0</v>
      </c>
      <c r="AL1458" s="12">
        <v>1</v>
      </c>
      <c r="AM1458" s="12">
        <v>5689</v>
      </c>
      <c r="AN1458" s="12">
        <f t="shared" si="332"/>
        <v>5689</v>
      </c>
      <c r="AO1458" s="12">
        <v>1</v>
      </c>
      <c r="AP1458" s="12" t="s">
        <v>52</v>
      </c>
      <c r="AQ1458" s="12">
        <v>1</v>
      </c>
      <c r="AR1458" s="12">
        <v>14</v>
      </c>
      <c r="AS1458" s="12">
        <v>3</v>
      </c>
      <c r="AT1458" s="12">
        <v>4</v>
      </c>
      <c r="AU1458" s="12">
        <v>2</v>
      </c>
      <c r="AV1458" s="12">
        <v>10</v>
      </c>
      <c r="AW1458" s="12">
        <f t="shared" si="333"/>
        <v>10</v>
      </c>
      <c r="AX1458" s="12">
        <v>2</v>
      </c>
      <c r="AY1458" s="12">
        <v>4</v>
      </c>
      <c r="AZ1458" s="12">
        <v>10</v>
      </c>
      <c r="BA1458" s="12">
        <f t="shared" si="334"/>
        <v>10</v>
      </c>
      <c r="BB1458" s="12">
        <v>2</v>
      </c>
      <c r="BC1458" s="12">
        <v>0</v>
      </c>
      <c r="BD1458" s="12">
        <f t="shared" si="337"/>
        <v>0</v>
      </c>
      <c r="BE1458" s="12">
        <v>2</v>
      </c>
      <c r="BF1458" s="12">
        <f t="shared" si="335"/>
        <v>2</v>
      </c>
      <c r="BG1458" s="12">
        <f t="shared" si="345"/>
        <v>4</v>
      </c>
      <c r="BH1458" s="67">
        <v>0</v>
      </c>
      <c r="BI1458" s="67">
        <v>0</v>
      </c>
      <c r="BJ1458" s="67">
        <v>0</v>
      </c>
      <c r="BK1458" s="67">
        <v>1</v>
      </c>
      <c r="BL1458" s="67">
        <v>0</v>
      </c>
      <c r="BM1458" s="67">
        <v>0</v>
      </c>
      <c r="BN1458" s="67">
        <v>0</v>
      </c>
      <c r="BO1458" s="67">
        <v>1</v>
      </c>
      <c r="BP1458" s="67">
        <v>0</v>
      </c>
      <c r="BQ1458" s="67">
        <v>2</v>
      </c>
      <c r="BR1458" s="67">
        <v>0</v>
      </c>
      <c r="BS1458" s="67">
        <v>0</v>
      </c>
      <c r="BT1458" s="67">
        <v>10</v>
      </c>
      <c r="BU1458" s="70">
        <v>0</v>
      </c>
      <c r="BV1458" s="29">
        <f t="shared" si="336"/>
        <v>0.1728841894724048</v>
      </c>
      <c r="BW1458">
        <f t="shared" si="339"/>
        <v>0.59502473559756086</v>
      </c>
      <c r="BX1458">
        <f t="shared" si="340"/>
        <v>0.1644554352117841</v>
      </c>
      <c r="BY1458">
        <f t="shared" si="341"/>
        <v>0.48834154112957734</v>
      </c>
      <c r="BZ1458">
        <f t="shared" si="342"/>
        <v>1.0864228781782561</v>
      </c>
      <c r="CA1458">
        <f t="shared" si="343"/>
        <v>0.21058903898096887</v>
      </c>
      <c r="CB1458">
        <f t="shared" si="344"/>
        <v>0.67891464284095016</v>
      </c>
    </row>
    <row r="1459" spans="1:80" x14ac:dyDescent="0.45">
      <c r="A1459" s="11">
        <v>40</v>
      </c>
      <c r="B1459" s="12">
        <f t="shared" si="330"/>
        <v>40</v>
      </c>
      <c r="C1459" s="12" t="s">
        <v>59</v>
      </c>
      <c r="D1459" s="12">
        <v>0</v>
      </c>
      <c r="E1459" s="12" t="s">
        <v>53</v>
      </c>
      <c r="F1459" s="12">
        <v>0</v>
      </c>
      <c r="G1459" s="12">
        <v>1</v>
      </c>
      <c r="H1459" s="12" t="s">
        <v>61</v>
      </c>
      <c r="I1459" s="12">
        <v>1</v>
      </c>
      <c r="J1459" s="12">
        <v>0</v>
      </c>
      <c r="K1459" s="12">
        <v>2</v>
      </c>
      <c r="L1459" s="12">
        <f t="shared" si="331"/>
        <v>2</v>
      </c>
      <c r="M1459" s="12">
        <v>4</v>
      </c>
      <c r="N1459" s="12" t="s">
        <v>70</v>
      </c>
      <c r="O1459" s="12">
        <v>0</v>
      </c>
      <c r="P1459" s="12">
        <v>0</v>
      </c>
      <c r="Q1459" s="12">
        <v>1</v>
      </c>
      <c r="R1459" s="12">
        <v>0</v>
      </c>
      <c r="S1459" s="12">
        <v>0</v>
      </c>
      <c r="T1459" s="12">
        <v>3</v>
      </c>
      <c r="U1459" s="12" t="s">
        <v>19</v>
      </c>
      <c r="V1459" s="12">
        <v>1</v>
      </c>
      <c r="W1459" s="12">
        <v>98</v>
      </c>
      <c r="X1459" s="12">
        <v>3</v>
      </c>
      <c r="Y1459" s="12">
        <v>1</v>
      </c>
      <c r="Z1459" s="12" t="s">
        <v>63</v>
      </c>
      <c r="AA1459" s="12">
        <v>0</v>
      </c>
      <c r="AB1459" s="12">
        <v>0</v>
      </c>
      <c r="AC1459" s="12">
        <v>0</v>
      </c>
      <c r="AD1459" s="12">
        <v>0</v>
      </c>
      <c r="AE1459" s="12">
        <v>0</v>
      </c>
      <c r="AF1459" s="12">
        <v>0</v>
      </c>
      <c r="AG1459" s="12">
        <v>0</v>
      </c>
      <c r="AH1459" s="12">
        <v>1</v>
      </c>
      <c r="AI1459" s="12">
        <v>3</v>
      </c>
      <c r="AJ1459" s="12" t="s">
        <v>64</v>
      </c>
      <c r="AK1459" s="12">
        <v>0</v>
      </c>
      <c r="AL1459" s="12">
        <v>1</v>
      </c>
      <c r="AM1459" s="12">
        <v>2001</v>
      </c>
      <c r="AN1459" s="12">
        <f t="shared" si="332"/>
        <v>2001</v>
      </c>
      <c r="AO1459" s="12">
        <v>2</v>
      </c>
      <c r="AP1459" s="12" t="s">
        <v>59</v>
      </c>
      <c r="AQ1459" s="12">
        <v>0</v>
      </c>
      <c r="AR1459" s="12">
        <v>14</v>
      </c>
      <c r="AS1459" s="12">
        <v>3</v>
      </c>
      <c r="AT1459" s="12">
        <v>2</v>
      </c>
      <c r="AU1459" s="12">
        <v>3</v>
      </c>
      <c r="AV1459" s="12">
        <v>20</v>
      </c>
      <c r="AW1459" s="12">
        <f t="shared" si="333"/>
        <v>20</v>
      </c>
      <c r="AX1459" s="12">
        <v>2</v>
      </c>
      <c r="AY1459" s="12">
        <v>3</v>
      </c>
      <c r="AZ1459" s="12">
        <v>5</v>
      </c>
      <c r="BA1459" s="12">
        <f t="shared" si="334"/>
        <v>5</v>
      </c>
      <c r="BB1459" s="12">
        <v>3</v>
      </c>
      <c r="BC1459" s="12">
        <v>0</v>
      </c>
      <c r="BD1459" s="12">
        <f t="shared" si="337"/>
        <v>0</v>
      </c>
      <c r="BE1459" s="12">
        <v>2</v>
      </c>
      <c r="BF1459" s="12">
        <f t="shared" si="335"/>
        <v>2</v>
      </c>
      <c r="BG1459" s="12">
        <f t="shared" si="345"/>
        <v>2</v>
      </c>
      <c r="BH1459" s="67">
        <v>0</v>
      </c>
      <c r="BI1459" s="67">
        <v>1</v>
      </c>
      <c r="BJ1459" s="67">
        <v>0</v>
      </c>
      <c r="BK1459" s="67">
        <v>0</v>
      </c>
      <c r="BL1459" s="67">
        <v>0</v>
      </c>
      <c r="BM1459" s="67">
        <v>0</v>
      </c>
      <c r="BN1459" s="67">
        <v>1</v>
      </c>
      <c r="BO1459" s="67">
        <v>0</v>
      </c>
      <c r="BP1459" s="67">
        <v>0</v>
      </c>
      <c r="BQ1459" s="67">
        <v>2</v>
      </c>
      <c r="BR1459" s="67">
        <v>0</v>
      </c>
      <c r="BS1459" s="67">
        <v>0</v>
      </c>
      <c r="BT1459" s="67">
        <v>20</v>
      </c>
      <c r="BU1459" s="70">
        <v>0</v>
      </c>
      <c r="BV1459" s="29">
        <f t="shared" si="336"/>
        <v>0.95623887387398332</v>
      </c>
      <c r="BW1459">
        <f t="shared" si="339"/>
        <v>0.59502473559756086</v>
      </c>
      <c r="BX1459">
        <f t="shared" si="340"/>
        <v>1.120762479521457</v>
      </c>
      <c r="BY1459">
        <f t="shared" si="341"/>
        <v>0.32778177112653761</v>
      </c>
      <c r="BZ1459">
        <f t="shared" si="342"/>
        <v>0.88721318382472392</v>
      </c>
      <c r="CA1459">
        <f t="shared" si="343"/>
        <v>0.33673395837055903</v>
      </c>
      <c r="CB1459">
        <f t="shared" si="344"/>
        <v>0.67891464284095016</v>
      </c>
    </row>
    <row r="1460" spans="1:80" x14ac:dyDescent="0.45">
      <c r="A1460" s="11">
        <v>35</v>
      </c>
      <c r="B1460" s="12">
        <f t="shared" si="330"/>
        <v>35</v>
      </c>
      <c r="C1460" s="12" t="s">
        <v>59</v>
      </c>
      <c r="D1460" s="12">
        <v>0</v>
      </c>
      <c r="E1460" s="12" t="s">
        <v>53</v>
      </c>
      <c r="F1460" s="12">
        <v>0</v>
      </c>
      <c r="G1460" s="12">
        <v>1</v>
      </c>
      <c r="H1460" s="12" t="s">
        <v>61</v>
      </c>
      <c r="I1460" s="12">
        <v>1</v>
      </c>
      <c r="J1460" s="12">
        <v>0</v>
      </c>
      <c r="K1460" s="12">
        <v>1</v>
      </c>
      <c r="L1460" s="12">
        <f t="shared" si="331"/>
        <v>1</v>
      </c>
      <c r="M1460" s="12">
        <v>4</v>
      </c>
      <c r="N1460" s="12" t="s">
        <v>55</v>
      </c>
      <c r="O1460" s="12">
        <v>1</v>
      </c>
      <c r="P1460" s="12">
        <v>0</v>
      </c>
      <c r="Q1460" s="12">
        <v>0</v>
      </c>
      <c r="R1460" s="12">
        <v>0</v>
      </c>
      <c r="S1460" s="12">
        <v>0</v>
      </c>
      <c r="T1460" s="12">
        <v>3</v>
      </c>
      <c r="U1460" s="12" t="s">
        <v>19</v>
      </c>
      <c r="V1460" s="12">
        <v>1</v>
      </c>
      <c r="W1460" s="12">
        <v>62</v>
      </c>
      <c r="X1460" s="12">
        <v>1</v>
      </c>
      <c r="Y1460" s="12">
        <v>1</v>
      </c>
      <c r="Z1460" s="12" t="s">
        <v>63</v>
      </c>
      <c r="AA1460" s="12">
        <v>0</v>
      </c>
      <c r="AB1460" s="12">
        <v>0</v>
      </c>
      <c r="AC1460" s="12">
        <v>0</v>
      </c>
      <c r="AD1460" s="12">
        <v>0</v>
      </c>
      <c r="AE1460" s="12">
        <v>0</v>
      </c>
      <c r="AF1460" s="12">
        <v>0</v>
      </c>
      <c r="AG1460" s="12">
        <v>0</v>
      </c>
      <c r="AH1460" s="12">
        <v>1</v>
      </c>
      <c r="AI1460" s="12">
        <v>4</v>
      </c>
      <c r="AJ1460" s="12" t="s">
        <v>64</v>
      </c>
      <c r="AK1460" s="12">
        <v>0</v>
      </c>
      <c r="AL1460" s="12">
        <v>1</v>
      </c>
      <c r="AM1460" s="12">
        <v>2977</v>
      </c>
      <c r="AN1460" s="12">
        <f t="shared" si="332"/>
        <v>2977</v>
      </c>
      <c r="AO1460" s="12">
        <v>1</v>
      </c>
      <c r="AP1460" s="12" t="s">
        <v>59</v>
      </c>
      <c r="AQ1460" s="12">
        <v>0</v>
      </c>
      <c r="AR1460" s="12">
        <v>12</v>
      </c>
      <c r="AS1460" s="12">
        <v>3</v>
      </c>
      <c r="AT1460" s="12">
        <v>4</v>
      </c>
      <c r="AU1460" s="12">
        <v>1</v>
      </c>
      <c r="AV1460" s="12">
        <v>4</v>
      </c>
      <c r="AW1460" s="12">
        <f t="shared" si="333"/>
        <v>4</v>
      </c>
      <c r="AX1460" s="12">
        <v>5</v>
      </c>
      <c r="AY1460" s="12">
        <v>3</v>
      </c>
      <c r="AZ1460" s="12">
        <v>4</v>
      </c>
      <c r="BA1460" s="12">
        <f t="shared" si="334"/>
        <v>4</v>
      </c>
      <c r="BB1460" s="12">
        <v>3</v>
      </c>
      <c r="BC1460" s="12">
        <v>1</v>
      </c>
      <c r="BD1460" s="12">
        <f t="shared" si="337"/>
        <v>1</v>
      </c>
      <c r="BE1460" s="12">
        <v>1</v>
      </c>
      <c r="BF1460" s="12">
        <f t="shared" si="335"/>
        <v>1</v>
      </c>
      <c r="BG1460" s="12">
        <f t="shared" si="345"/>
        <v>1</v>
      </c>
      <c r="BH1460" s="67">
        <v>0</v>
      </c>
      <c r="BI1460" s="67">
        <v>1</v>
      </c>
      <c r="BJ1460" s="67">
        <v>0</v>
      </c>
      <c r="BK1460" s="67">
        <v>0</v>
      </c>
      <c r="BL1460" s="67">
        <v>0</v>
      </c>
      <c r="BM1460" s="67">
        <v>0</v>
      </c>
      <c r="BN1460" s="67">
        <v>1</v>
      </c>
      <c r="BO1460" s="67">
        <v>0</v>
      </c>
      <c r="BP1460" s="67">
        <v>0</v>
      </c>
      <c r="BQ1460" s="67">
        <v>1</v>
      </c>
      <c r="BR1460" s="67">
        <v>0</v>
      </c>
      <c r="BS1460" s="67">
        <v>0</v>
      </c>
      <c r="BT1460" s="67">
        <v>4</v>
      </c>
      <c r="BU1460" s="70">
        <v>0</v>
      </c>
      <c r="BV1460" s="29">
        <f t="shared" si="336"/>
        <v>0.74893025891304499</v>
      </c>
      <c r="BW1460">
        <f t="shared" si="339"/>
        <v>0.87528310193156111</v>
      </c>
      <c r="BX1460">
        <f t="shared" si="340"/>
        <v>0.93558618405172878</v>
      </c>
      <c r="BY1460">
        <f t="shared" si="341"/>
        <v>0.49100643357776058</v>
      </c>
      <c r="BZ1460">
        <f t="shared" si="342"/>
        <v>1.01056543769991</v>
      </c>
      <c r="CA1460">
        <f t="shared" si="343"/>
        <v>0.21058903898096887</v>
      </c>
      <c r="CB1460">
        <f t="shared" si="344"/>
        <v>0.36858985273641137</v>
      </c>
    </row>
    <row r="1461" spans="1:80" x14ac:dyDescent="0.45">
      <c r="A1461" s="11">
        <v>29</v>
      </c>
      <c r="B1461" s="12">
        <f t="shared" si="330"/>
        <v>29</v>
      </c>
      <c r="C1461" s="12" t="s">
        <v>59</v>
      </c>
      <c r="D1461" s="12">
        <v>0</v>
      </c>
      <c r="E1461" s="12" t="s">
        <v>53</v>
      </c>
      <c r="F1461" s="12">
        <v>0</v>
      </c>
      <c r="G1461" s="12">
        <v>1</v>
      </c>
      <c r="H1461" s="12" t="s">
        <v>61</v>
      </c>
      <c r="I1461" s="12">
        <v>1</v>
      </c>
      <c r="J1461" s="12">
        <v>0</v>
      </c>
      <c r="K1461" s="12">
        <v>13</v>
      </c>
      <c r="L1461" s="12">
        <f t="shared" si="331"/>
        <v>13</v>
      </c>
      <c r="M1461" s="12">
        <v>2</v>
      </c>
      <c r="N1461" s="12" t="s">
        <v>66</v>
      </c>
      <c r="O1461" s="12">
        <v>0</v>
      </c>
      <c r="P1461" s="12">
        <v>1</v>
      </c>
      <c r="Q1461" s="12">
        <v>0</v>
      </c>
      <c r="R1461" s="12">
        <v>0</v>
      </c>
      <c r="S1461" s="12">
        <v>0</v>
      </c>
      <c r="T1461" s="12">
        <v>4</v>
      </c>
      <c r="U1461" s="12" t="s">
        <v>62</v>
      </c>
      <c r="V1461" s="12">
        <v>0</v>
      </c>
      <c r="W1461" s="12">
        <v>46</v>
      </c>
      <c r="X1461" s="12">
        <v>2</v>
      </c>
      <c r="Y1461" s="12">
        <v>2</v>
      </c>
      <c r="Z1461" s="12" t="s">
        <v>67</v>
      </c>
      <c r="AA1461" s="12">
        <v>0</v>
      </c>
      <c r="AB1461" s="12">
        <v>0</v>
      </c>
      <c r="AC1461" s="12">
        <v>1</v>
      </c>
      <c r="AD1461" s="12">
        <v>0</v>
      </c>
      <c r="AE1461" s="12">
        <v>0</v>
      </c>
      <c r="AF1461" s="12">
        <v>0</v>
      </c>
      <c r="AG1461" s="12">
        <v>0</v>
      </c>
      <c r="AH1461" s="12">
        <v>0</v>
      </c>
      <c r="AI1461" s="12">
        <v>2</v>
      </c>
      <c r="AJ1461" s="12" t="s">
        <v>64</v>
      </c>
      <c r="AK1461" s="12">
        <v>0</v>
      </c>
      <c r="AL1461" s="12">
        <v>1</v>
      </c>
      <c r="AM1461" s="12">
        <v>4025</v>
      </c>
      <c r="AN1461" s="12">
        <f t="shared" si="332"/>
        <v>4025</v>
      </c>
      <c r="AO1461" s="12">
        <v>4</v>
      </c>
      <c r="AP1461" s="12" t="s">
        <v>52</v>
      </c>
      <c r="AQ1461" s="12">
        <v>1</v>
      </c>
      <c r="AR1461" s="12">
        <v>13</v>
      </c>
      <c r="AS1461" s="12">
        <v>3</v>
      </c>
      <c r="AT1461" s="12">
        <v>1</v>
      </c>
      <c r="AU1461" s="12">
        <v>1</v>
      </c>
      <c r="AV1461" s="12">
        <v>10</v>
      </c>
      <c r="AW1461" s="12">
        <f t="shared" si="333"/>
        <v>10</v>
      </c>
      <c r="AX1461" s="12">
        <v>2</v>
      </c>
      <c r="AY1461" s="12">
        <v>3</v>
      </c>
      <c r="AZ1461" s="12">
        <v>4</v>
      </c>
      <c r="BA1461" s="12">
        <f t="shared" si="334"/>
        <v>4</v>
      </c>
      <c r="BB1461" s="12">
        <v>3</v>
      </c>
      <c r="BC1461" s="12">
        <v>0</v>
      </c>
      <c r="BD1461" s="12">
        <f t="shared" si="337"/>
        <v>0</v>
      </c>
      <c r="BE1461" s="12">
        <v>3</v>
      </c>
      <c r="BF1461" s="12">
        <f t="shared" si="335"/>
        <v>3</v>
      </c>
      <c r="BG1461" s="12">
        <f t="shared" si="345"/>
        <v>6</v>
      </c>
      <c r="BH1461" s="67">
        <v>0</v>
      </c>
      <c r="BI1461" s="67">
        <v>1</v>
      </c>
      <c r="BJ1461" s="67">
        <v>0</v>
      </c>
      <c r="BK1461" s="67">
        <v>0</v>
      </c>
      <c r="BL1461" s="67">
        <v>0</v>
      </c>
      <c r="BM1461" s="67">
        <v>0</v>
      </c>
      <c r="BN1461" s="67">
        <v>0</v>
      </c>
      <c r="BO1461" s="67">
        <v>1</v>
      </c>
      <c r="BP1461" s="67">
        <v>0</v>
      </c>
      <c r="BQ1461" s="67">
        <v>3</v>
      </c>
      <c r="BR1461" s="67">
        <v>0</v>
      </c>
      <c r="BS1461" s="67">
        <v>0</v>
      </c>
      <c r="BT1461" s="67">
        <v>10</v>
      </c>
      <c r="BU1461" s="70">
        <v>0</v>
      </c>
      <c r="BV1461" s="29">
        <f t="shared" si="336"/>
        <v>0.52632838547138172</v>
      </c>
      <c r="BW1461">
        <f t="shared" si="339"/>
        <v>0.31476636926356072</v>
      </c>
      <c r="BX1461">
        <f t="shared" si="340"/>
        <v>0.1644554352117841</v>
      </c>
      <c r="BY1461">
        <f t="shared" si="341"/>
        <v>0.49100643357776058</v>
      </c>
      <c r="BZ1461">
        <f t="shared" si="342"/>
        <v>0.46966160880232483</v>
      </c>
      <c r="CA1461">
        <f t="shared" si="343"/>
        <v>0.86737663580280233</v>
      </c>
      <c r="CB1461">
        <f t="shared" si="344"/>
        <v>0.67891464284095016</v>
      </c>
    </row>
    <row r="1462" spans="1:80" x14ac:dyDescent="0.45">
      <c r="A1462" s="11">
        <v>29</v>
      </c>
      <c r="B1462" s="12">
        <f t="shared" si="330"/>
        <v>29</v>
      </c>
      <c r="C1462" s="12" t="s">
        <v>59</v>
      </c>
      <c r="D1462" s="12">
        <v>0</v>
      </c>
      <c r="E1462" s="12" t="s">
        <v>53</v>
      </c>
      <c r="F1462" s="12">
        <v>0</v>
      </c>
      <c r="G1462" s="12">
        <v>1</v>
      </c>
      <c r="H1462" s="12" t="s">
        <v>61</v>
      </c>
      <c r="I1462" s="12">
        <v>1</v>
      </c>
      <c r="J1462" s="12">
        <v>0</v>
      </c>
      <c r="K1462" s="12">
        <v>28</v>
      </c>
      <c r="L1462" s="12">
        <f t="shared" si="331"/>
        <v>28</v>
      </c>
      <c r="M1462" s="12">
        <v>4</v>
      </c>
      <c r="N1462" s="12" t="s">
        <v>70</v>
      </c>
      <c r="O1462" s="12">
        <v>0</v>
      </c>
      <c r="P1462" s="12">
        <v>0</v>
      </c>
      <c r="Q1462" s="12">
        <v>1</v>
      </c>
      <c r="R1462" s="12">
        <v>0</v>
      </c>
      <c r="S1462" s="12">
        <v>0</v>
      </c>
      <c r="T1462" s="12">
        <v>4</v>
      </c>
      <c r="U1462" s="12" t="s">
        <v>19</v>
      </c>
      <c r="V1462" s="12">
        <v>1</v>
      </c>
      <c r="W1462" s="12">
        <v>73</v>
      </c>
      <c r="X1462" s="12">
        <v>2</v>
      </c>
      <c r="Y1462" s="12">
        <v>1</v>
      </c>
      <c r="Z1462" s="12" t="s">
        <v>63</v>
      </c>
      <c r="AA1462" s="12">
        <v>0</v>
      </c>
      <c r="AB1462" s="12">
        <v>0</v>
      </c>
      <c r="AC1462" s="12">
        <v>0</v>
      </c>
      <c r="AD1462" s="12">
        <v>0</v>
      </c>
      <c r="AE1462" s="12">
        <v>0</v>
      </c>
      <c r="AF1462" s="12">
        <v>0</v>
      </c>
      <c r="AG1462" s="12">
        <v>0</v>
      </c>
      <c r="AH1462" s="12">
        <v>1</v>
      </c>
      <c r="AI1462" s="12">
        <v>1</v>
      </c>
      <c r="AJ1462" s="12" t="s">
        <v>57</v>
      </c>
      <c r="AK1462" s="12">
        <v>1</v>
      </c>
      <c r="AL1462" s="12">
        <v>0</v>
      </c>
      <c r="AM1462" s="12">
        <v>3785</v>
      </c>
      <c r="AN1462" s="12">
        <f t="shared" si="332"/>
        <v>3785</v>
      </c>
      <c r="AO1462" s="12">
        <v>1</v>
      </c>
      <c r="AP1462" s="12" t="s">
        <v>59</v>
      </c>
      <c r="AQ1462" s="12">
        <v>0</v>
      </c>
      <c r="AR1462" s="12">
        <v>14</v>
      </c>
      <c r="AS1462" s="12">
        <v>3</v>
      </c>
      <c r="AT1462" s="12">
        <v>2</v>
      </c>
      <c r="AU1462" s="12">
        <v>0</v>
      </c>
      <c r="AV1462" s="12">
        <v>5</v>
      </c>
      <c r="AW1462" s="12">
        <f t="shared" si="333"/>
        <v>5</v>
      </c>
      <c r="AX1462" s="12">
        <v>3</v>
      </c>
      <c r="AY1462" s="12">
        <v>1</v>
      </c>
      <c r="AZ1462" s="12">
        <v>5</v>
      </c>
      <c r="BA1462" s="12">
        <f t="shared" si="334"/>
        <v>5</v>
      </c>
      <c r="BB1462" s="12">
        <v>4</v>
      </c>
      <c r="BC1462" s="12">
        <v>0</v>
      </c>
      <c r="BD1462" s="12">
        <f t="shared" si="337"/>
        <v>0</v>
      </c>
      <c r="BE1462" s="12">
        <v>4</v>
      </c>
      <c r="BF1462" s="12">
        <f t="shared" si="335"/>
        <v>4</v>
      </c>
      <c r="BG1462" s="12">
        <f t="shared" si="345"/>
        <v>4</v>
      </c>
      <c r="BH1462" s="67">
        <v>1</v>
      </c>
      <c r="BI1462" s="67">
        <v>0</v>
      </c>
      <c r="BJ1462" s="67">
        <v>0</v>
      </c>
      <c r="BK1462" s="67">
        <v>0</v>
      </c>
      <c r="BL1462" s="67">
        <v>1</v>
      </c>
      <c r="BM1462" s="67">
        <v>0</v>
      </c>
      <c r="BN1462" s="67">
        <v>0</v>
      </c>
      <c r="BO1462" s="67">
        <v>0</v>
      </c>
      <c r="BP1462" s="67">
        <v>0</v>
      </c>
      <c r="BQ1462" s="67">
        <v>4</v>
      </c>
      <c r="BR1462" s="67">
        <v>0</v>
      </c>
      <c r="BS1462" s="67">
        <v>0</v>
      </c>
      <c r="BT1462" s="67">
        <v>5</v>
      </c>
      <c r="BU1462" s="70">
        <v>0</v>
      </c>
      <c r="BV1462" s="29">
        <f t="shared" si="336"/>
        <v>0.57730591374046492</v>
      </c>
      <c r="BW1462">
        <f t="shared" si="339"/>
        <v>3.4508002929560584E-2</v>
      </c>
      <c r="BX1462">
        <f t="shared" si="340"/>
        <v>0.80706439257840468</v>
      </c>
      <c r="BY1462">
        <f t="shared" si="341"/>
        <v>0.32778177112653761</v>
      </c>
      <c r="BZ1462">
        <f t="shared" si="342"/>
        <v>2.3199454169301186</v>
      </c>
      <c r="CA1462">
        <f t="shared" si="343"/>
        <v>0.86737663580280233</v>
      </c>
      <c r="CB1462">
        <f t="shared" si="344"/>
        <v>0.67891464284095016</v>
      </c>
    </row>
    <row r="1463" spans="1:80" x14ac:dyDescent="0.45">
      <c r="A1463" s="11">
        <v>50</v>
      </c>
      <c r="B1463" s="12">
        <f t="shared" si="330"/>
        <v>50</v>
      </c>
      <c r="C1463" s="12" t="s">
        <v>52</v>
      </c>
      <c r="D1463" s="12">
        <v>1</v>
      </c>
      <c r="E1463" s="12" t="s">
        <v>53</v>
      </c>
      <c r="F1463" s="12">
        <v>0</v>
      </c>
      <c r="G1463" s="12">
        <v>1</v>
      </c>
      <c r="H1463" s="12" t="s">
        <v>54</v>
      </c>
      <c r="I1463" s="12">
        <v>0</v>
      </c>
      <c r="J1463" s="12">
        <v>1</v>
      </c>
      <c r="K1463" s="12">
        <v>28</v>
      </c>
      <c r="L1463" s="12">
        <f t="shared" si="331"/>
        <v>28</v>
      </c>
      <c r="M1463" s="12">
        <v>3</v>
      </c>
      <c r="N1463" s="12" t="s">
        <v>90</v>
      </c>
      <c r="O1463" s="12">
        <v>0</v>
      </c>
      <c r="P1463" s="12">
        <v>0</v>
      </c>
      <c r="Q1463" s="12">
        <v>0</v>
      </c>
      <c r="R1463" s="12">
        <v>1</v>
      </c>
      <c r="S1463" s="12">
        <v>0</v>
      </c>
      <c r="T1463" s="12">
        <v>4</v>
      </c>
      <c r="U1463" s="12" t="s">
        <v>62</v>
      </c>
      <c r="V1463" s="12">
        <v>0</v>
      </c>
      <c r="W1463" s="12">
        <v>39</v>
      </c>
      <c r="X1463" s="12">
        <v>2</v>
      </c>
      <c r="Y1463" s="12">
        <v>3</v>
      </c>
      <c r="Z1463" s="12" t="s">
        <v>56</v>
      </c>
      <c r="AA1463" s="12">
        <v>0</v>
      </c>
      <c r="AB1463" s="12">
        <v>1</v>
      </c>
      <c r="AC1463" s="12">
        <v>0</v>
      </c>
      <c r="AD1463" s="12">
        <v>0</v>
      </c>
      <c r="AE1463" s="12">
        <v>0</v>
      </c>
      <c r="AF1463" s="12">
        <v>0</v>
      </c>
      <c r="AG1463" s="12">
        <v>0</v>
      </c>
      <c r="AH1463" s="12">
        <v>0</v>
      </c>
      <c r="AI1463" s="12">
        <v>1</v>
      </c>
      <c r="AJ1463" s="12" t="s">
        <v>78</v>
      </c>
      <c r="AK1463" s="12">
        <v>0</v>
      </c>
      <c r="AL1463" s="12">
        <v>0</v>
      </c>
      <c r="AM1463" s="12">
        <v>10854</v>
      </c>
      <c r="AN1463" s="12">
        <f t="shared" si="332"/>
        <v>10854</v>
      </c>
      <c r="AO1463" s="12">
        <v>4</v>
      </c>
      <c r="AP1463" s="12" t="s">
        <v>52</v>
      </c>
      <c r="AQ1463" s="12">
        <v>1</v>
      </c>
      <c r="AR1463" s="12">
        <v>13</v>
      </c>
      <c r="AS1463" s="12">
        <v>3</v>
      </c>
      <c r="AT1463" s="12">
        <v>2</v>
      </c>
      <c r="AU1463" s="12">
        <v>1</v>
      </c>
      <c r="AV1463" s="12">
        <v>20</v>
      </c>
      <c r="AW1463" s="12">
        <f t="shared" si="333"/>
        <v>20</v>
      </c>
      <c r="AX1463" s="12">
        <v>3</v>
      </c>
      <c r="AY1463" s="12">
        <v>3</v>
      </c>
      <c r="AZ1463" s="12">
        <v>3</v>
      </c>
      <c r="BA1463" s="12">
        <f t="shared" si="334"/>
        <v>3</v>
      </c>
      <c r="BB1463" s="12">
        <v>2</v>
      </c>
      <c r="BC1463" s="12">
        <v>2</v>
      </c>
      <c r="BD1463" s="12">
        <f t="shared" si="337"/>
        <v>2</v>
      </c>
      <c r="BE1463" s="12">
        <v>0</v>
      </c>
      <c r="BF1463" s="12">
        <f t="shared" si="335"/>
        <v>0</v>
      </c>
      <c r="BG1463" s="12">
        <f t="shared" si="345"/>
        <v>0</v>
      </c>
      <c r="BH1463" s="67">
        <v>1</v>
      </c>
      <c r="BI1463" s="67">
        <v>0</v>
      </c>
      <c r="BJ1463" s="67">
        <v>0</v>
      </c>
      <c r="BK1463" s="67">
        <v>0</v>
      </c>
      <c r="BL1463" s="67">
        <v>0</v>
      </c>
      <c r="BM1463" s="67">
        <v>1</v>
      </c>
      <c r="BN1463" s="67">
        <v>0</v>
      </c>
      <c r="BO1463" s="67">
        <v>0</v>
      </c>
      <c r="BP1463" s="67">
        <v>0</v>
      </c>
      <c r="BQ1463" s="67">
        <v>0</v>
      </c>
      <c r="BR1463" s="67">
        <v>0</v>
      </c>
      <c r="BS1463" s="67">
        <v>0</v>
      </c>
      <c r="BT1463" s="67">
        <v>0</v>
      </c>
      <c r="BU1463" s="70">
        <v>20</v>
      </c>
      <c r="BV1463" s="29">
        <f t="shared" si="336"/>
        <v>0.92419470015182326</v>
      </c>
      <c r="BW1463">
        <f t="shared" si="339"/>
        <v>1.1555414682655611</v>
      </c>
      <c r="BX1463">
        <f t="shared" si="340"/>
        <v>1.120762479521457</v>
      </c>
      <c r="BY1463">
        <f t="shared" si="341"/>
        <v>0.65423109602898355</v>
      </c>
      <c r="BZ1463">
        <f t="shared" si="342"/>
        <v>2.3199454169301186</v>
      </c>
      <c r="CA1463">
        <f t="shared" si="343"/>
        <v>1.4313799530736149</v>
      </c>
      <c r="CB1463">
        <f t="shared" si="344"/>
        <v>5.8265062631872602E-2</v>
      </c>
    </row>
    <row r="1464" spans="1:80" x14ac:dyDescent="0.45">
      <c r="A1464" s="11">
        <v>39</v>
      </c>
      <c r="B1464" s="12">
        <f t="shared" si="330"/>
        <v>39</v>
      </c>
      <c r="C1464" s="12" t="s">
        <v>59</v>
      </c>
      <c r="D1464" s="12">
        <v>0</v>
      </c>
      <c r="E1464" s="12" t="s">
        <v>53</v>
      </c>
      <c r="F1464" s="12">
        <v>0</v>
      </c>
      <c r="G1464" s="12">
        <v>1</v>
      </c>
      <c r="H1464" s="12" t="s">
        <v>54</v>
      </c>
      <c r="I1464" s="12">
        <v>0</v>
      </c>
      <c r="J1464" s="12">
        <v>1</v>
      </c>
      <c r="K1464" s="12">
        <v>24</v>
      </c>
      <c r="L1464" s="12">
        <f t="shared" si="331"/>
        <v>24</v>
      </c>
      <c r="M1464" s="12">
        <v>1</v>
      </c>
      <c r="N1464" s="12" t="s">
        <v>90</v>
      </c>
      <c r="O1464" s="12">
        <v>0</v>
      </c>
      <c r="P1464" s="12">
        <v>0</v>
      </c>
      <c r="Q1464" s="12">
        <v>0</v>
      </c>
      <c r="R1464" s="12">
        <v>1</v>
      </c>
      <c r="S1464" s="12">
        <v>0</v>
      </c>
      <c r="T1464" s="12">
        <v>2</v>
      </c>
      <c r="U1464" s="12" t="s">
        <v>19</v>
      </c>
      <c r="V1464" s="12">
        <v>1</v>
      </c>
      <c r="W1464" s="12">
        <v>60</v>
      </c>
      <c r="X1464" s="12">
        <v>2</v>
      </c>
      <c r="Y1464" s="12">
        <v>4</v>
      </c>
      <c r="Z1464" s="12" t="s">
        <v>56</v>
      </c>
      <c r="AA1464" s="12">
        <v>0</v>
      </c>
      <c r="AB1464" s="12">
        <v>1</v>
      </c>
      <c r="AC1464" s="12">
        <v>0</v>
      </c>
      <c r="AD1464" s="12">
        <v>0</v>
      </c>
      <c r="AE1464" s="12">
        <v>0</v>
      </c>
      <c r="AF1464" s="12">
        <v>0</v>
      </c>
      <c r="AG1464" s="12">
        <v>0</v>
      </c>
      <c r="AH1464" s="12">
        <v>0</v>
      </c>
      <c r="AI1464" s="12">
        <v>4</v>
      </c>
      <c r="AJ1464" s="12" t="s">
        <v>64</v>
      </c>
      <c r="AK1464" s="12">
        <v>0</v>
      </c>
      <c r="AL1464" s="12">
        <v>1</v>
      </c>
      <c r="AM1464" s="12">
        <v>12031</v>
      </c>
      <c r="AN1464" s="12">
        <f t="shared" si="332"/>
        <v>12031</v>
      </c>
      <c r="AO1464" s="12">
        <v>0</v>
      </c>
      <c r="AP1464" s="12" t="s">
        <v>59</v>
      </c>
      <c r="AQ1464" s="12">
        <v>0</v>
      </c>
      <c r="AR1464" s="12">
        <v>11</v>
      </c>
      <c r="AS1464" s="12">
        <v>3</v>
      </c>
      <c r="AT1464" s="12">
        <v>1</v>
      </c>
      <c r="AU1464" s="12">
        <v>1</v>
      </c>
      <c r="AV1464" s="12">
        <v>21</v>
      </c>
      <c r="AW1464" s="12">
        <f t="shared" si="333"/>
        <v>21</v>
      </c>
      <c r="AX1464" s="12">
        <v>2</v>
      </c>
      <c r="AY1464" s="12">
        <v>2</v>
      </c>
      <c r="AZ1464" s="12">
        <v>20</v>
      </c>
      <c r="BA1464" s="12">
        <f t="shared" si="334"/>
        <v>20</v>
      </c>
      <c r="BB1464" s="12">
        <v>9</v>
      </c>
      <c r="BC1464" s="12">
        <v>9</v>
      </c>
      <c r="BD1464" s="12">
        <f t="shared" si="337"/>
        <v>9</v>
      </c>
      <c r="BE1464" s="12">
        <v>6</v>
      </c>
      <c r="BF1464" s="12">
        <f t="shared" si="335"/>
        <v>6</v>
      </c>
      <c r="BG1464" s="12">
        <f t="shared" si="345"/>
        <v>24</v>
      </c>
      <c r="BH1464" s="67">
        <v>0</v>
      </c>
      <c r="BI1464" s="67">
        <v>1</v>
      </c>
      <c r="BJ1464" s="67">
        <v>0</v>
      </c>
      <c r="BK1464" s="67">
        <v>0</v>
      </c>
      <c r="BL1464" s="67">
        <v>0</v>
      </c>
      <c r="BM1464" s="67">
        <v>0</v>
      </c>
      <c r="BN1464" s="67">
        <v>1</v>
      </c>
      <c r="BO1464" s="67">
        <v>0</v>
      </c>
      <c r="BP1464" s="67">
        <v>0</v>
      </c>
      <c r="BQ1464" s="67">
        <v>0</v>
      </c>
      <c r="BR1464" s="67">
        <v>6</v>
      </c>
      <c r="BS1464" s="67">
        <v>0</v>
      </c>
      <c r="BT1464" s="67">
        <v>0</v>
      </c>
      <c r="BU1464" s="70">
        <v>21</v>
      </c>
      <c r="BV1464" s="29">
        <f t="shared" si="336"/>
        <v>1.1741969950381188</v>
      </c>
      <c r="BW1464">
        <f t="shared" si="339"/>
        <v>0.52600872973843971</v>
      </c>
      <c r="BX1464">
        <f t="shared" si="340"/>
        <v>1.2492842709947811</v>
      </c>
      <c r="BY1464">
        <f t="shared" si="341"/>
        <v>2.1205881656418071</v>
      </c>
      <c r="BZ1464">
        <f t="shared" si="342"/>
        <v>1.8265364014293735</v>
      </c>
      <c r="CA1464">
        <f t="shared" si="343"/>
        <v>0.22726935890025346</v>
      </c>
      <c r="CB1464">
        <f t="shared" si="344"/>
        <v>2.114008468099899</v>
      </c>
    </row>
    <row r="1465" spans="1:80" x14ac:dyDescent="0.45">
      <c r="A1465" s="11">
        <v>31</v>
      </c>
      <c r="B1465" s="12">
        <f t="shared" si="330"/>
        <v>31</v>
      </c>
      <c r="C1465" s="12" t="s">
        <v>59</v>
      </c>
      <c r="D1465" s="12">
        <v>0</v>
      </c>
      <c r="E1465" s="12" t="s">
        <v>86</v>
      </c>
      <c r="F1465" s="12">
        <v>0</v>
      </c>
      <c r="G1465" s="12">
        <v>0</v>
      </c>
      <c r="H1465" s="12" t="s">
        <v>61</v>
      </c>
      <c r="I1465" s="12">
        <v>1</v>
      </c>
      <c r="J1465" s="12">
        <v>0</v>
      </c>
      <c r="K1465" s="12">
        <v>5</v>
      </c>
      <c r="L1465" s="12">
        <f t="shared" si="331"/>
        <v>5</v>
      </c>
      <c r="M1465" s="12">
        <v>3</v>
      </c>
      <c r="N1465" s="12" t="s">
        <v>70</v>
      </c>
      <c r="O1465" s="12">
        <v>0</v>
      </c>
      <c r="P1465" s="12">
        <v>0</v>
      </c>
      <c r="Q1465" s="12">
        <v>1</v>
      </c>
      <c r="R1465" s="12">
        <v>0</v>
      </c>
      <c r="S1465" s="12">
        <v>0</v>
      </c>
      <c r="T1465" s="12">
        <v>2</v>
      </c>
      <c r="U1465" s="12" t="s">
        <v>62</v>
      </c>
      <c r="V1465" s="12">
        <v>0</v>
      </c>
      <c r="W1465" s="12">
        <v>74</v>
      </c>
      <c r="X1465" s="12">
        <v>3</v>
      </c>
      <c r="Y1465" s="12">
        <v>2</v>
      </c>
      <c r="Z1465" s="12" t="s">
        <v>83</v>
      </c>
      <c r="AA1465" s="12">
        <v>0</v>
      </c>
      <c r="AB1465" s="12">
        <v>0</v>
      </c>
      <c r="AC1465" s="12">
        <v>0</v>
      </c>
      <c r="AD1465" s="12">
        <v>0</v>
      </c>
      <c r="AE1465" s="12">
        <v>1</v>
      </c>
      <c r="AF1465" s="12">
        <v>1</v>
      </c>
      <c r="AG1465" s="12">
        <v>0</v>
      </c>
      <c r="AH1465" s="12">
        <v>0</v>
      </c>
      <c r="AI1465" s="12">
        <v>1</v>
      </c>
      <c r="AJ1465" s="12" t="s">
        <v>57</v>
      </c>
      <c r="AK1465" s="12">
        <v>1</v>
      </c>
      <c r="AL1465" s="12">
        <v>0</v>
      </c>
      <c r="AM1465" s="12">
        <v>9936</v>
      </c>
      <c r="AN1465" s="12">
        <f t="shared" si="332"/>
        <v>9936</v>
      </c>
      <c r="AO1465" s="12">
        <v>0</v>
      </c>
      <c r="AP1465" s="12" t="s">
        <v>59</v>
      </c>
      <c r="AQ1465" s="12">
        <v>0</v>
      </c>
      <c r="AR1465" s="12">
        <v>19</v>
      </c>
      <c r="AS1465" s="12">
        <v>3</v>
      </c>
      <c r="AT1465" s="12">
        <v>2</v>
      </c>
      <c r="AU1465" s="12">
        <v>0</v>
      </c>
      <c r="AV1465" s="12">
        <v>10</v>
      </c>
      <c r="AW1465" s="12">
        <f t="shared" si="333"/>
        <v>10</v>
      </c>
      <c r="AX1465" s="12">
        <v>2</v>
      </c>
      <c r="AY1465" s="12">
        <v>3</v>
      </c>
      <c r="AZ1465" s="12">
        <v>9</v>
      </c>
      <c r="BA1465" s="12">
        <f t="shared" si="334"/>
        <v>9</v>
      </c>
      <c r="BB1465" s="12">
        <v>4</v>
      </c>
      <c r="BC1465" s="12">
        <v>1</v>
      </c>
      <c r="BD1465" s="12">
        <f t="shared" si="337"/>
        <v>1</v>
      </c>
      <c r="BE1465" s="12">
        <v>7</v>
      </c>
      <c r="BF1465" s="12">
        <f t="shared" si="335"/>
        <v>7</v>
      </c>
      <c r="BG1465" s="12">
        <f t="shared" si="345"/>
        <v>14</v>
      </c>
      <c r="BH1465" s="67">
        <v>1</v>
      </c>
      <c r="BI1465" s="67">
        <v>0</v>
      </c>
      <c r="BJ1465" s="67">
        <v>0</v>
      </c>
      <c r="BK1465" s="67">
        <v>0</v>
      </c>
      <c r="BL1465" s="67">
        <v>1</v>
      </c>
      <c r="BM1465" s="67">
        <v>0</v>
      </c>
      <c r="BN1465" s="67">
        <v>0</v>
      </c>
      <c r="BO1465" s="67">
        <v>0</v>
      </c>
      <c r="BP1465" s="67">
        <v>0</v>
      </c>
      <c r="BQ1465" s="67">
        <v>7</v>
      </c>
      <c r="BR1465" s="67">
        <v>0</v>
      </c>
      <c r="BS1465" s="67">
        <v>0</v>
      </c>
      <c r="BT1465" s="67">
        <v>10</v>
      </c>
      <c r="BU1465" s="70">
        <v>0</v>
      </c>
      <c r="BV1465" s="29">
        <f t="shared" si="336"/>
        <v>0.72920565452258002</v>
      </c>
      <c r="BW1465">
        <f t="shared" si="339"/>
        <v>0.80626709607243985</v>
      </c>
      <c r="BX1465">
        <f t="shared" si="340"/>
        <v>0.1644554352117841</v>
      </c>
      <c r="BY1465">
        <f t="shared" si="341"/>
        <v>0.32511687867835437</v>
      </c>
      <c r="BZ1465">
        <f t="shared" si="342"/>
        <v>0.51715642219916513</v>
      </c>
      <c r="CA1465">
        <f t="shared" si="343"/>
        <v>0.6484474368621912</v>
      </c>
      <c r="CB1465">
        <f t="shared" si="344"/>
        <v>0.36858985273641137</v>
      </c>
    </row>
    <row r="1466" spans="1:80" x14ac:dyDescent="0.45">
      <c r="A1466" s="11">
        <v>26</v>
      </c>
      <c r="B1466" s="12">
        <f t="shared" si="330"/>
        <v>26</v>
      </c>
      <c r="C1466" s="12" t="s">
        <v>59</v>
      </c>
      <c r="D1466" s="12">
        <v>0</v>
      </c>
      <c r="E1466" s="12" t="s">
        <v>53</v>
      </c>
      <c r="F1466" s="12">
        <v>0</v>
      </c>
      <c r="G1466" s="12">
        <v>1</v>
      </c>
      <c r="H1466" s="12" t="s">
        <v>54</v>
      </c>
      <c r="I1466" s="12">
        <v>0</v>
      </c>
      <c r="J1466" s="12">
        <v>1</v>
      </c>
      <c r="K1466" s="12">
        <v>5</v>
      </c>
      <c r="L1466" s="12">
        <f t="shared" si="331"/>
        <v>5</v>
      </c>
      <c r="M1466" s="12">
        <v>3</v>
      </c>
      <c r="N1466" s="12" t="s">
        <v>66</v>
      </c>
      <c r="O1466" s="12">
        <v>0</v>
      </c>
      <c r="P1466" s="12">
        <v>1</v>
      </c>
      <c r="Q1466" s="12">
        <v>0</v>
      </c>
      <c r="R1466" s="12">
        <v>0</v>
      </c>
      <c r="S1466" s="12">
        <v>0</v>
      </c>
      <c r="T1466" s="12">
        <v>4</v>
      </c>
      <c r="U1466" s="12" t="s">
        <v>19</v>
      </c>
      <c r="V1466" s="12">
        <v>1</v>
      </c>
      <c r="W1466" s="12">
        <v>30</v>
      </c>
      <c r="X1466" s="12">
        <v>2</v>
      </c>
      <c r="Y1466" s="12">
        <v>1</v>
      </c>
      <c r="Z1466" s="12" t="s">
        <v>88</v>
      </c>
      <c r="AA1466" s="12">
        <v>0</v>
      </c>
      <c r="AB1466" s="12">
        <v>0</v>
      </c>
      <c r="AC1466" s="12">
        <v>0</v>
      </c>
      <c r="AD1466" s="12">
        <v>0</v>
      </c>
      <c r="AE1466" s="12">
        <v>0</v>
      </c>
      <c r="AF1466" s="12">
        <v>0</v>
      </c>
      <c r="AG1466" s="12">
        <v>1</v>
      </c>
      <c r="AH1466" s="12">
        <v>0</v>
      </c>
      <c r="AI1466" s="12">
        <v>3</v>
      </c>
      <c r="AJ1466" s="12" t="s">
        <v>57</v>
      </c>
      <c r="AK1466" s="12">
        <v>1</v>
      </c>
      <c r="AL1466" s="12">
        <v>0</v>
      </c>
      <c r="AM1466" s="12">
        <v>2966</v>
      </c>
      <c r="AN1466" s="12">
        <f t="shared" si="332"/>
        <v>2966</v>
      </c>
      <c r="AO1466" s="12">
        <v>0</v>
      </c>
      <c r="AP1466" s="12" t="s">
        <v>59</v>
      </c>
      <c r="AQ1466" s="12">
        <v>0</v>
      </c>
      <c r="AR1466" s="12">
        <v>18</v>
      </c>
      <c r="AS1466" s="12">
        <v>3</v>
      </c>
      <c r="AT1466" s="12">
        <v>4</v>
      </c>
      <c r="AU1466" s="12">
        <v>0</v>
      </c>
      <c r="AV1466" s="12">
        <v>5</v>
      </c>
      <c r="AW1466" s="12">
        <f t="shared" si="333"/>
        <v>5</v>
      </c>
      <c r="AX1466" s="12">
        <v>2</v>
      </c>
      <c r="AY1466" s="12">
        <v>3</v>
      </c>
      <c r="AZ1466" s="12">
        <v>4</v>
      </c>
      <c r="BA1466" s="12">
        <f t="shared" si="334"/>
        <v>4</v>
      </c>
      <c r="BB1466" s="12">
        <v>2</v>
      </c>
      <c r="BC1466" s="12">
        <v>0</v>
      </c>
      <c r="BD1466" s="12">
        <f t="shared" si="337"/>
        <v>0</v>
      </c>
      <c r="BE1466" s="12">
        <v>0</v>
      </c>
      <c r="BF1466" s="12">
        <f t="shared" si="335"/>
        <v>0</v>
      </c>
      <c r="BG1466" s="12">
        <f t="shared" si="345"/>
        <v>0</v>
      </c>
      <c r="BH1466" s="67">
        <v>1</v>
      </c>
      <c r="BI1466" s="67">
        <v>0</v>
      </c>
      <c r="BJ1466" s="67">
        <v>0</v>
      </c>
      <c r="BK1466" s="67">
        <v>0</v>
      </c>
      <c r="BL1466" s="67">
        <v>1</v>
      </c>
      <c r="BM1466" s="67">
        <v>0</v>
      </c>
      <c r="BN1466" s="67">
        <v>0</v>
      </c>
      <c r="BO1466" s="67">
        <v>0</v>
      </c>
      <c r="BP1466" s="67">
        <v>0</v>
      </c>
      <c r="BQ1466" s="67">
        <v>0</v>
      </c>
      <c r="BR1466" s="67">
        <v>0</v>
      </c>
      <c r="BS1466" s="67">
        <v>0</v>
      </c>
      <c r="BT1466" s="67">
        <v>0</v>
      </c>
      <c r="BU1466" s="70">
        <v>5</v>
      </c>
      <c r="BV1466" s="29">
        <f t="shared" si="336"/>
        <v>0.75126672895871127</v>
      </c>
      <c r="BW1466">
        <f t="shared" si="339"/>
        <v>1.1555414682655611</v>
      </c>
      <c r="BX1466">
        <f t="shared" si="340"/>
        <v>0.80706439257840468</v>
      </c>
      <c r="BY1466">
        <f t="shared" si="341"/>
        <v>0.49100643357776058</v>
      </c>
      <c r="BZ1466">
        <f t="shared" si="342"/>
        <v>0.51715642219916513</v>
      </c>
      <c r="CA1466">
        <f t="shared" si="343"/>
        <v>1.195770434213719</v>
      </c>
      <c r="CB1466">
        <f t="shared" si="344"/>
        <v>0.67891464284095016</v>
      </c>
    </row>
    <row r="1467" spans="1:80" x14ac:dyDescent="0.45">
      <c r="A1467" s="11">
        <v>36</v>
      </c>
      <c r="B1467" s="12">
        <f t="shared" si="330"/>
        <v>36</v>
      </c>
      <c r="C1467" s="12" t="s">
        <v>59</v>
      </c>
      <c r="D1467" s="12">
        <v>0</v>
      </c>
      <c r="E1467" s="12" t="s">
        <v>60</v>
      </c>
      <c r="F1467" s="12">
        <v>1</v>
      </c>
      <c r="G1467" s="12">
        <v>0</v>
      </c>
      <c r="H1467" s="12" t="s">
        <v>61</v>
      </c>
      <c r="I1467" s="12">
        <v>1</v>
      </c>
      <c r="J1467" s="12">
        <v>0</v>
      </c>
      <c r="K1467" s="12">
        <v>23</v>
      </c>
      <c r="L1467" s="12">
        <f t="shared" si="331"/>
        <v>23</v>
      </c>
      <c r="M1467" s="12">
        <v>2</v>
      </c>
      <c r="N1467" s="12" t="s">
        <v>70</v>
      </c>
      <c r="O1467" s="12">
        <v>0</v>
      </c>
      <c r="P1467" s="12">
        <v>0</v>
      </c>
      <c r="Q1467" s="12">
        <v>1</v>
      </c>
      <c r="R1467" s="12">
        <v>0</v>
      </c>
      <c r="S1467" s="12">
        <v>0</v>
      </c>
      <c r="T1467" s="12">
        <v>3</v>
      </c>
      <c r="U1467" s="12" t="s">
        <v>62</v>
      </c>
      <c r="V1467" s="12">
        <v>0</v>
      </c>
      <c r="W1467" s="12">
        <v>41</v>
      </c>
      <c r="X1467" s="12">
        <v>4</v>
      </c>
      <c r="Y1467" s="12">
        <v>2</v>
      </c>
      <c r="Z1467" s="12" t="s">
        <v>67</v>
      </c>
      <c r="AA1467" s="12">
        <v>0</v>
      </c>
      <c r="AB1467" s="12">
        <v>0</v>
      </c>
      <c r="AC1467" s="12">
        <v>1</v>
      </c>
      <c r="AD1467" s="12">
        <v>0</v>
      </c>
      <c r="AE1467" s="12">
        <v>0</v>
      </c>
      <c r="AF1467" s="12">
        <v>0</v>
      </c>
      <c r="AG1467" s="12">
        <v>0</v>
      </c>
      <c r="AH1467" s="12">
        <v>0</v>
      </c>
      <c r="AI1467" s="12">
        <v>4</v>
      </c>
      <c r="AJ1467" s="12" t="s">
        <v>64</v>
      </c>
      <c r="AK1467" s="12">
        <v>0</v>
      </c>
      <c r="AL1467" s="12">
        <v>1</v>
      </c>
      <c r="AM1467" s="12">
        <v>2571</v>
      </c>
      <c r="AN1467" s="12">
        <f t="shared" si="332"/>
        <v>2571</v>
      </c>
      <c r="AO1467" s="12">
        <v>4</v>
      </c>
      <c r="AP1467" s="12" t="s">
        <v>59</v>
      </c>
      <c r="AQ1467" s="12">
        <v>0</v>
      </c>
      <c r="AR1467" s="12">
        <v>17</v>
      </c>
      <c r="AS1467" s="12">
        <v>3</v>
      </c>
      <c r="AT1467" s="12">
        <v>3</v>
      </c>
      <c r="AU1467" s="12">
        <v>1</v>
      </c>
      <c r="AV1467" s="12">
        <v>17</v>
      </c>
      <c r="AW1467" s="12">
        <f t="shared" si="333"/>
        <v>17</v>
      </c>
      <c r="AX1467" s="12">
        <v>3</v>
      </c>
      <c r="AY1467" s="12">
        <v>3</v>
      </c>
      <c r="AZ1467" s="12">
        <v>5</v>
      </c>
      <c r="BA1467" s="12">
        <f t="shared" si="334"/>
        <v>5</v>
      </c>
      <c r="BB1467" s="12">
        <v>2</v>
      </c>
      <c r="BC1467" s="12">
        <v>0</v>
      </c>
      <c r="BD1467" s="12">
        <f t="shared" si="337"/>
        <v>0</v>
      </c>
      <c r="BE1467" s="12">
        <v>3</v>
      </c>
      <c r="BF1467" s="12">
        <f t="shared" si="335"/>
        <v>3</v>
      </c>
      <c r="BG1467" s="12">
        <f t="shared" si="345"/>
        <v>6</v>
      </c>
      <c r="BH1467" s="67">
        <v>0</v>
      </c>
      <c r="BI1467" s="67">
        <v>0</v>
      </c>
      <c r="BJ1467" s="67">
        <v>0</v>
      </c>
      <c r="BK1467" s="67">
        <v>1</v>
      </c>
      <c r="BL1467" s="67">
        <v>0</v>
      </c>
      <c r="BM1467" s="67">
        <v>0</v>
      </c>
      <c r="BN1467" s="67">
        <v>1</v>
      </c>
      <c r="BO1467" s="67">
        <v>0</v>
      </c>
      <c r="BP1467" s="67">
        <v>0</v>
      </c>
      <c r="BQ1467" s="67">
        <v>3</v>
      </c>
      <c r="BR1467" s="67">
        <v>0</v>
      </c>
      <c r="BS1467" s="67">
        <v>0</v>
      </c>
      <c r="BT1467" s="67">
        <v>17</v>
      </c>
      <c r="BU1467" s="70">
        <v>0</v>
      </c>
      <c r="BV1467" s="29">
        <f t="shared" si="336"/>
        <v>0.83516724423491073</v>
      </c>
      <c r="BW1467">
        <f t="shared" si="339"/>
        <v>0.31476636926356072</v>
      </c>
      <c r="BX1467">
        <f t="shared" si="340"/>
        <v>0.73519710510148462</v>
      </c>
      <c r="BY1467">
        <f t="shared" si="341"/>
        <v>0.32778177112653761</v>
      </c>
      <c r="BZ1467">
        <f t="shared" si="342"/>
        <v>1.7031841475541873</v>
      </c>
      <c r="CA1467">
        <f t="shared" si="343"/>
        <v>0.10112443951066327</v>
      </c>
      <c r="CB1467">
        <f t="shared" si="344"/>
        <v>0.67891464284095016</v>
      </c>
    </row>
    <row r="1468" spans="1:80" x14ac:dyDescent="0.45">
      <c r="A1468" s="11">
        <v>39</v>
      </c>
      <c r="B1468" s="12">
        <f t="shared" si="330"/>
        <v>39</v>
      </c>
      <c r="C1468" s="12" t="s">
        <v>59</v>
      </c>
      <c r="D1468" s="12">
        <v>0</v>
      </c>
      <c r="E1468" s="12" t="s">
        <v>53</v>
      </c>
      <c r="F1468" s="12">
        <v>0</v>
      </c>
      <c r="G1468" s="12">
        <v>1</v>
      </c>
      <c r="H1468" s="12" t="s">
        <v>61</v>
      </c>
      <c r="I1468" s="12">
        <v>1</v>
      </c>
      <c r="J1468" s="12">
        <v>0</v>
      </c>
      <c r="K1468" s="12">
        <v>6</v>
      </c>
      <c r="L1468" s="12">
        <f t="shared" si="331"/>
        <v>6</v>
      </c>
      <c r="M1468" s="12">
        <v>1</v>
      </c>
      <c r="N1468" s="12" t="s">
        <v>70</v>
      </c>
      <c r="O1468" s="12">
        <v>0</v>
      </c>
      <c r="P1468" s="12">
        <v>0</v>
      </c>
      <c r="Q1468" s="12">
        <v>1</v>
      </c>
      <c r="R1468" s="12">
        <v>0</v>
      </c>
      <c r="S1468" s="12">
        <v>0</v>
      </c>
      <c r="T1468" s="12">
        <v>4</v>
      </c>
      <c r="U1468" s="12" t="s">
        <v>62</v>
      </c>
      <c r="V1468" s="12">
        <v>0</v>
      </c>
      <c r="W1468" s="12">
        <v>42</v>
      </c>
      <c r="X1468" s="12">
        <v>2</v>
      </c>
      <c r="Y1468" s="12">
        <v>3</v>
      </c>
      <c r="Z1468" s="12" t="s">
        <v>85</v>
      </c>
      <c r="AA1468" s="12">
        <v>1</v>
      </c>
      <c r="AB1468" s="12">
        <v>0</v>
      </c>
      <c r="AC1468" s="12">
        <v>0</v>
      </c>
      <c r="AD1468" s="12">
        <v>0</v>
      </c>
      <c r="AE1468" s="12">
        <v>0</v>
      </c>
      <c r="AF1468" s="12">
        <v>0</v>
      </c>
      <c r="AG1468" s="12">
        <v>0</v>
      </c>
      <c r="AH1468" s="12">
        <v>0</v>
      </c>
      <c r="AI1468" s="12">
        <v>1</v>
      </c>
      <c r="AJ1468" s="12" t="s">
        <v>64</v>
      </c>
      <c r="AK1468" s="12">
        <v>0</v>
      </c>
      <c r="AL1468" s="12">
        <v>1</v>
      </c>
      <c r="AM1468" s="12">
        <v>9991</v>
      </c>
      <c r="AN1468" s="12">
        <f t="shared" si="332"/>
        <v>9991</v>
      </c>
      <c r="AO1468" s="12">
        <v>4</v>
      </c>
      <c r="AP1468" s="12" t="s">
        <v>59</v>
      </c>
      <c r="AQ1468" s="12">
        <v>0</v>
      </c>
      <c r="AR1468" s="12">
        <v>15</v>
      </c>
      <c r="AS1468" s="12">
        <v>3</v>
      </c>
      <c r="AT1468" s="12">
        <v>1</v>
      </c>
      <c r="AU1468" s="12">
        <v>1</v>
      </c>
      <c r="AV1468" s="12">
        <v>9</v>
      </c>
      <c r="AW1468" s="12">
        <f t="shared" si="333"/>
        <v>9</v>
      </c>
      <c r="AX1468" s="12">
        <v>5</v>
      </c>
      <c r="AY1468" s="12">
        <v>3</v>
      </c>
      <c r="AZ1468" s="12">
        <v>7</v>
      </c>
      <c r="BA1468" s="12">
        <f t="shared" si="334"/>
        <v>7</v>
      </c>
      <c r="BB1468" s="12">
        <v>7</v>
      </c>
      <c r="BC1468" s="12">
        <v>1</v>
      </c>
      <c r="BD1468" s="12">
        <f t="shared" si="337"/>
        <v>1</v>
      </c>
      <c r="BE1468" s="12">
        <v>7</v>
      </c>
      <c r="BF1468" s="12">
        <f t="shared" si="335"/>
        <v>7</v>
      </c>
      <c r="BG1468" s="12">
        <f t="shared" si="345"/>
        <v>21</v>
      </c>
      <c r="BH1468" s="67">
        <v>0</v>
      </c>
      <c r="BI1468" s="67">
        <v>1</v>
      </c>
      <c r="BJ1468" s="67">
        <v>0</v>
      </c>
      <c r="BK1468" s="67">
        <v>0</v>
      </c>
      <c r="BL1468" s="67">
        <v>0</v>
      </c>
      <c r="BM1468" s="67">
        <v>0</v>
      </c>
      <c r="BN1468" s="67">
        <v>1</v>
      </c>
      <c r="BO1468" s="67">
        <v>0</v>
      </c>
      <c r="BP1468" s="67">
        <v>0</v>
      </c>
      <c r="BQ1468" s="67">
        <v>7</v>
      </c>
      <c r="BR1468" s="67">
        <v>0</v>
      </c>
      <c r="BS1468" s="67">
        <v>0</v>
      </c>
      <c r="BT1468" s="67">
        <v>9</v>
      </c>
      <c r="BU1468" s="70">
        <v>0</v>
      </c>
      <c r="BV1468" s="29">
        <f t="shared" si="336"/>
        <v>0.74088800475091154</v>
      </c>
      <c r="BW1468">
        <f t="shared" si="339"/>
        <v>0.80626709607243985</v>
      </c>
      <c r="BX1468">
        <f t="shared" si="340"/>
        <v>0.29297722668510823</v>
      </c>
      <c r="BY1468">
        <f t="shared" si="341"/>
        <v>1.3324462240916321E-3</v>
      </c>
      <c r="BZ1468">
        <f t="shared" si="342"/>
        <v>0.39380416832397891</v>
      </c>
      <c r="CA1468">
        <f t="shared" si="343"/>
        <v>0.22726935890025346</v>
      </c>
      <c r="CB1468">
        <f t="shared" si="344"/>
        <v>0.36858985273641137</v>
      </c>
    </row>
    <row r="1469" spans="1:80" x14ac:dyDescent="0.45">
      <c r="A1469" s="11">
        <v>27</v>
      </c>
      <c r="B1469" s="12">
        <f t="shared" si="330"/>
        <v>27</v>
      </c>
      <c r="C1469" s="12" t="s">
        <v>59</v>
      </c>
      <c r="D1469" s="12">
        <v>0</v>
      </c>
      <c r="E1469" s="12" t="s">
        <v>53</v>
      </c>
      <c r="F1469" s="12">
        <v>0</v>
      </c>
      <c r="G1469" s="12">
        <v>1</v>
      </c>
      <c r="H1469" s="12" t="s">
        <v>61</v>
      </c>
      <c r="I1469" s="12">
        <v>1</v>
      </c>
      <c r="J1469" s="12">
        <v>0</v>
      </c>
      <c r="K1469" s="12">
        <v>4</v>
      </c>
      <c r="L1469" s="12">
        <f t="shared" si="331"/>
        <v>4</v>
      </c>
      <c r="M1469" s="12">
        <v>3</v>
      </c>
      <c r="N1469" s="12" t="s">
        <v>55</v>
      </c>
      <c r="O1469" s="12">
        <v>1</v>
      </c>
      <c r="P1469" s="12">
        <v>0</v>
      </c>
      <c r="Q1469" s="12">
        <v>0</v>
      </c>
      <c r="R1469" s="12">
        <v>0</v>
      </c>
      <c r="S1469" s="12">
        <v>0</v>
      </c>
      <c r="T1469" s="12">
        <v>2</v>
      </c>
      <c r="U1469" s="12" t="s">
        <v>62</v>
      </c>
      <c r="V1469" s="12">
        <v>0</v>
      </c>
      <c r="W1469" s="12">
        <v>87</v>
      </c>
      <c r="X1469" s="12">
        <v>4</v>
      </c>
      <c r="Y1469" s="12">
        <v>2</v>
      </c>
      <c r="Z1469" s="12" t="s">
        <v>83</v>
      </c>
      <c r="AA1469" s="12">
        <v>0</v>
      </c>
      <c r="AB1469" s="12">
        <v>0</v>
      </c>
      <c r="AC1469" s="12">
        <v>0</v>
      </c>
      <c r="AD1469" s="12">
        <v>0</v>
      </c>
      <c r="AE1469" s="12">
        <v>1</v>
      </c>
      <c r="AF1469" s="12">
        <v>1</v>
      </c>
      <c r="AG1469" s="12">
        <v>0</v>
      </c>
      <c r="AH1469" s="12">
        <v>0</v>
      </c>
      <c r="AI1469" s="12">
        <v>2</v>
      </c>
      <c r="AJ1469" s="12" t="s">
        <v>64</v>
      </c>
      <c r="AK1469" s="12">
        <v>0</v>
      </c>
      <c r="AL1469" s="12">
        <v>1</v>
      </c>
      <c r="AM1469" s="12">
        <v>6142</v>
      </c>
      <c r="AN1469" s="12">
        <f t="shared" si="332"/>
        <v>6142</v>
      </c>
      <c r="AO1469" s="12">
        <v>1</v>
      </c>
      <c r="AP1469" s="12" t="s">
        <v>52</v>
      </c>
      <c r="AQ1469" s="12">
        <v>1</v>
      </c>
      <c r="AR1469" s="12">
        <v>20</v>
      </c>
      <c r="AS1469" s="12">
        <v>4</v>
      </c>
      <c r="AT1469" s="12">
        <v>2</v>
      </c>
      <c r="AU1469" s="12">
        <v>1</v>
      </c>
      <c r="AV1469" s="12">
        <v>6</v>
      </c>
      <c r="AW1469" s="12">
        <f t="shared" si="333"/>
        <v>6</v>
      </c>
      <c r="AX1469" s="12">
        <v>0</v>
      </c>
      <c r="AY1469" s="12">
        <v>3</v>
      </c>
      <c r="AZ1469" s="12">
        <v>6</v>
      </c>
      <c r="BA1469" s="12">
        <f t="shared" si="334"/>
        <v>6</v>
      </c>
      <c r="BB1469" s="12">
        <v>2</v>
      </c>
      <c r="BC1469" s="12">
        <v>0</v>
      </c>
      <c r="BD1469" s="12">
        <f t="shared" si="337"/>
        <v>0</v>
      </c>
      <c r="BE1469" s="12">
        <v>3</v>
      </c>
      <c r="BF1469" s="12">
        <f t="shared" si="335"/>
        <v>3</v>
      </c>
      <c r="BG1469" s="12">
        <f t="shared" si="345"/>
        <v>6</v>
      </c>
      <c r="BH1469" s="67">
        <v>0</v>
      </c>
      <c r="BI1469" s="67">
        <v>1</v>
      </c>
      <c r="BJ1469" s="67">
        <v>0</v>
      </c>
      <c r="BK1469" s="67">
        <v>0</v>
      </c>
      <c r="BL1469" s="67">
        <v>0</v>
      </c>
      <c r="BM1469" s="67">
        <v>0</v>
      </c>
      <c r="BN1469" s="67">
        <v>0</v>
      </c>
      <c r="BO1469" s="67">
        <v>1</v>
      </c>
      <c r="BP1469" s="67">
        <v>0</v>
      </c>
      <c r="BQ1469" s="67">
        <v>3</v>
      </c>
      <c r="BR1469" s="67">
        <v>0</v>
      </c>
      <c r="BS1469" s="67">
        <v>0</v>
      </c>
      <c r="BT1469" s="67">
        <v>6</v>
      </c>
      <c r="BU1469" s="70">
        <v>0</v>
      </c>
      <c r="BV1469" s="29">
        <f t="shared" si="336"/>
        <v>7.6664104864510266E-2</v>
      </c>
      <c r="BW1469">
        <f t="shared" si="339"/>
        <v>0.31476636926356072</v>
      </c>
      <c r="BX1469">
        <f t="shared" si="340"/>
        <v>0.67854260110508058</v>
      </c>
      <c r="BY1469">
        <f t="shared" si="341"/>
        <v>0.16455710867531462</v>
      </c>
      <c r="BZ1469">
        <f t="shared" si="342"/>
        <v>0.64050867607435136</v>
      </c>
      <c r="CA1469">
        <f t="shared" si="343"/>
        <v>1.0863058347434136</v>
      </c>
      <c r="CB1469">
        <f t="shared" si="344"/>
        <v>0.67891464284095016</v>
      </c>
    </row>
    <row r="1470" spans="1:80" x14ac:dyDescent="0.45">
      <c r="A1470" s="11">
        <v>49</v>
      </c>
      <c r="B1470" s="12">
        <f t="shared" si="330"/>
        <v>49</v>
      </c>
      <c r="C1470" s="12" t="s">
        <v>59</v>
      </c>
      <c r="D1470" s="12">
        <v>0</v>
      </c>
      <c r="E1470" s="12" t="s">
        <v>60</v>
      </c>
      <c r="F1470" s="12">
        <v>1</v>
      </c>
      <c r="G1470" s="12">
        <v>0</v>
      </c>
      <c r="H1470" s="12" t="s">
        <v>54</v>
      </c>
      <c r="I1470" s="12">
        <v>0</v>
      </c>
      <c r="J1470" s="12">
        <v>1</v>
      </c>
      <c r="K1470" s="12">
        <v>2</v>
      </c>
      <c r="L1470" s="12">
        <f t="shared" si="331"/>
        <v>2</v>
      </c>
      <c r="M1470" s="12">
        <v>3</v>
      </c>
      <c r="N1470" s="12" t="s">
        <v>70</v>
      </c>
      <c r="O1470" s="12">
        <v>0</v>
      </c>
      <c r="P1470" s="12">
        <v>0</v>
      </c>
      <c r="Q1470" s="12">
        <v>1</v>
      </c>
      <c r="R1470" s="12">
        <v>0</v>
      </c>
      <c r="S1470" s="12">
        <v>0</v>
      </c>
      <c r="T1470" s="12">
        <v>4</v>
      </c>
      <c r="U1470" s="12" t="s">
        <v>62</v>
      </c>
      <c r="V1470" s="12">
        <v>0</v>
      </c>
      <c r="W1470" s="12">
        <v>63</v>
      </c>
      <c r="X1470" s="12">
        <v>2</v>
      </c>
      <c r="Y1470" s="12">
        <v>2</v>
      </c>
      <c r="Z1470" s="12" t="s">
        <v>56</v>
      </c>
      <c r="AA1470" s="12">
        <v>0</v>
      </c>
      <c r="AB1470" s="12">
        <v>1</v>
      </c>
      <c r="AC1470" s="12">
        <v>0</v>
      </c>
      <c r="AD1470" s="12">
        <v>0</v>
      </c>
      <c r="AE1470" s="12">
        <v>0</v>
      </c>
      <c r="AF1470" s="12">
        <v>0</v>
      </c>
      <c r="AG1470" s="12">
        <v>0</v>
      </c>
      <c r="AH1470" s="12">
        <v>0</v>
      </c>
      <c r="AI1470" s="12">
        <v>2</v>
      </c>
      <c r="AJ1470" s="12" t="s">
        <v>64</v>
      </c>
      <c r="AK1470" s="12">
        <v>0</v>
      </c>
      <c r="AL1470" s="12">
        <v>1</v>
      </c>
      <c r="AM1470" s="12">
        <v>5390</v>
      </c>
      <c r="AN1470" s="12">
        <f t="shared" si="332"/>
        <v>5390</v>
      </c>
      <c r="AO1470" s="12">
        <v>2</v>
      </c>
      <c r="AP1470" s="12" t="s">
        <v>59</v>
      </c>
      <c r="AQ1470" s="12">
        <v>0</v>
      </c>
      <c r="AR1470" s="12">
        <v>14</v>
      </c>
      <c r="AS1470" s="12">
        <v>3</v>
      </c>
      <c r="AT1470" s="12">
        <v>4</v>
      </c>
      <c r="AU1470" s="12">
        <v>0</v>
      </c>
      <c r="AV1470" s="12">
        <v>17</v>
      </c>
      <c r="AW1470" s="12">
        <f t="shared" si="333"/>
        <v>17</v>
      </c>
      <c r="AX1470" s="12">
        <v>3</v>
      </c>
      <c r="AY1470" s="12">
        <v>2</v>
      </c>
      <c r="AZ1470" s="12">
        <v>9</v>
      </c>
      <c r="BA1470" s="12">
        <f t="shared" si="334"/>
        <v>9</v>
      </c>
      <c r="BB1470" s="12">
        <v>6</v>
      </c>
      <c r="BC1470" s="12">
        <v>0</v>
      </c>
      <c r="BD1470" s="12">
        <f t="shared" si="337"/>
        <v>0</v>
      </c>
      <c r="BE1470" s="12">
        <v>8</v>
      </c>
      <c r="BF1470" s="12">
        <f t="shared" si="335"/>
        <v>8</v>
      </c>
      <c r="BG1470" s="12">
        <f t="shared" si="345"/>
        <v>16</v>
      </c>
      <c r="BH1470" s="67">
        <v>0</v>
      </c>
      <c r="BI1470" s="67">
        <v>0</v>
      </c>
      <c r="BJ1470" s="67">
        <v>0</v>
      </c>
      <c r="BK1470" s="67">
        <v>1</v>
      </c>
      <c r="BL1470" s="67">
        <v>0</v>
      </c>
      <c r="BM1470" s="67">
        <v>0</v>
      </c>
      <c r="BN1470" s="67">
        <v>1</v>
      </c>
      <c r="BO1470" s="67">
        <v>0</v>
      </c>
      <c r="BP1470" s="67">
        <v>0</v>
      </c>
      <c r="BQ1470" s="67">
        <v>0</v>
      </c>
      <c r="BR1470" s="67">
        <v>8</v>
      </c>
      <c r="BS1470" s="67">
        <v>0</v>
      </c>
      <c r="BT1470" s="67">
        <v>0</v>
      </c>
      <c r="BU1470" s="70">
        <v>17</v>
      </c>
      <c r="BV1470" s="29">
        <f t="shared" si="336"/>
        <v>0.23639369344097097</v>
      </c>
      <c r="BW1470">
        <f t="shared" si="339"/>
        <v>1.08652546240644</v>
      </c>
      <c r="BX1470">
        <f t="shared" si="340"/>
        <v>0.73519710510148462</v>
      </c>
      <c r="BY1470">
        <f t="shared" si="341"/>
        <v>0.32511687867835437</v>
      </c>
      <c r="BZ1470">
        <f t="shared" si="342"/>
        <v>0.88721318382472392</v>
      </c>
      <c r="CA1470">
        <f t="shared" si="343"/>
        <v>1.3219153536033093</v>
      </c>
      <c r="CB1470">
        <f t="shared" si="344"/>
        <v>0.67891464284095016</v>
      </c>
    </row>
    <row r="1471" spans="1:80" ht="14.65" thickBot="1" x14ac:dyDescent="0.5">
      <c r="A1471" s="13">
        <v>34</v>
      </c>
      <c r="B1471" s="14">
        <f t="shared" si="330"/>
        <v>34</v>
      </c>
      <c r="C1471" s="14" t="s">
        <v>59</v>
      </c>
      <c r="D1471" s="14">
        <v>0</v>
      </c>
      <c r="E1471" s="14" t="s">
        <v>53</v>
      </c>
      <c r="F1471" s="14">
        <v>0</v>
      </c>
      <c r="G1471" s="14">
        <v>1</v>
      </c>
      <c r="H1471" s="14" t="s">
        <v>61</v>
      </c>
      <c r="I1471" s="14">
        <v>1</v>
      </c>
      <c r="J1471" s="14">
        <v>0</v>
      </c>
      <c r="K1471" s="14">
        <v>8</v>
      </c>
      <c r="L1471" s="14">
        <f t="shared" si="331"/>
        <v>8</v>
      </c>
      <c r="M1471" s="14">
        <v>3</v>
      </c>
      <c r="N1471" s="14" t="s">
        <v>70</v>
      </c>
      <c r="O1471" s="14">
        <v>0</v>
      </c>
      <c r="P1471" s="14">
        <v>0</v>
      </c>
      <c r="Q1471" s="14">
        <v>1</v>
      </c>
      <c r="R1471" s="14">
        <v>0</v>
      </c>
      <c r="S1471" s="14">
        <v>0</v>
      </c>
      <c r="T1471" s="14">
        <v>2</v>
      </c>
      <c r="U1471" s="14" t="s">
        <v>62</v>
      </c>
      <c r="V1471" s="14">
        <v>0</v>
      </c>
      <c r="W1471" s="14">
        <v>82</v>
      </c>
      <c r="X1471" s="14">
        <v>4</v>
      </c>
      <c r="Y1471" s="14">
        <v>2</v>
      </c>
      <c r="Z1471" s="14" t="s">
        <v>67</v>
      </c>
      <c r="AA1471" s="14">
        <v>0</v>
      </c>
      <c r="AB1471" s="14">
        <v>0</v>
      </c>
      <c r="AC1471" s="14">
        <v>1</v>
      </c>
      <c r="AD1471" s="14">
        <v>0</v>
      </c>
      <c r="AE1471" s="14">
        <v>0</v>
      </c>
      <c r="AF1471" s="14">
        <v>0</v>
      </c>
      <c r="AG1471" s="14">
        <v>0</v>
      </c>
      <c r="AH1471" s="14">
        <v>0</v>
      </c>
      <c r="AI1471" s="14">
        <v>3</v>
      </c>
      <c r="AJ1471" s="14" t="s">
        <v>64</v>
      </c>
      <c r="AK1471" s="14">
        <v>0</v>
      </c>
      <c r="AL1471" s="14">
        <v>1</v>
      </c>
      <c r="AM1471" s="14">
        <v>4404</v>
      </c>
      <c r="AN1471" s="14">
        <f t="shared" si="332"/>
        <v>4404</v>
      </c>
      <c r="AO1471" s="14">
        <v>2</v>
      </c>
      <c r="AP1471" s="14" t="s">
        <v>59</v>
      </c>
      <c r="AQ1471" s="14">
        <v>0</v>
      </c>
      <c r="AR1471" s="14">
        <v>12</v>
      </c>
      <c r="AS1471" s="14">
        <v>3</v>
      </c>
      <c r="AT1471" s="14">
        <v>1</v>
      </c>
      <c r="AU1471" s="14">
        <v>0</v>
      </c>
      <c r="AV1471" s="14">
        <v>6</v>
      </c>
      <c r="AW1471" s="14">
        <f t="shared" si="333"/>
        <v>6</v>
      </c>
      <c r="AX1471" s="14">
        <v>3</v>
      </c>
      <c r="AY1471" s="14">
        <v>4</v>
      </c>
      <c r="AZ1471" s="14">
        <v>4</v>
      </c>
      <c r="BA1471" s="14">
        <f t="shared" si="334"/>
        <v>4</v>
      </c>
      <c r="BB1471" s="14">
        <v>3</v>
      </c>
      <c r="BC1471" s="14">
        <v>1</v>
      </c>
      <c r="BD1471" s="14">
        <f t="shared" si="337"/>
        <v>1</v>
      </c>
      <c r="BE1471" s="14">
        <v>2</v>
      </c>
      <c r="BF1471" s="14">
        <f t="shared" si="335"/>
        <v>2</v>
      </c>
      <c r="BG1471" s="14">
        <f t="shared" si="345"/>
        <v>4</v>
      </c>
      <c r="BH1471" s="68">
        <v>0</v>
      </c>
      <c r="BI1471" s="68">
        <v>1</v>
      </c>
      <c r="BJ1471" s="68">
        <v>0</v>
      </c>
      <c r="BK1471" s="68">
        <v>0</v>
      </c>
      <c r="BL1471" s="68">
        <v>0</v>
      </c>
      <c r="BM1471" s="68">
        <v>0</v>
      </c>
      <c r="BN1471" s="68">
        <v>1</v>
      </c>
      <c r="BO1471" s="68">
        <v>0</v>
      </c>
      <c r="BP1471" s="68">
        <v>0</v>
      </c>
      <c r="BQ1471" s="68">
        <v>2</v>
      </c>
      <c r="BR1471" s="68">
        <v>0</v>
      </c>
      <c r="BS1471" s="68">
        <v>0</v>
      </c>
      <c r="BT1471" s="68">
        <v>6</v>
      </c>
      <c r="BU1471" s="71">
        <v>0</v>
      </c>
      <c r="BV1471" s="29">
        <f t="shared" si="336"/>
        <v>0.44582637207978776</v>
      </c>
      <c r="BW1471">
        <f t="shared" si="339"/>
        <v>0.59502473559756086</v>
      </c>
      <c r="BX1471">
        <f t="shared" si="340"/>
        <v>0.67854260110508058</v>
      </c>
      <c r="BY1471">
        <f t="shared" si="341"/>
        <v>0.49100643357776058</v>
      </c>
      <c r="BZ1471">
        <f t="shared" si="342"/>
        <v>0.14709966057360641</v>
      </c>
      <c r="CA1471">
        <f t="shared" si="343"/>
        <v>0.32005363845127444</v>
      </c>
      <c r="CB1471">
        <f t="shared" si="344"/>
        <v>0.36858985273641137</v>
      </c>
    </row>
    <row r="1472" spans="1:80" ht="14.65" thickTop="1" x14ac:dyDescent="0.45"/>
  </sheetData>
  <autoFilter ref="A1:CF1471" xr:uid="{6668C089-83F9-4F6A-BC23-E490EAE181FA}"/>
  <mergeCells count="112">
    <mergeCell ref="EI12:EI13"/>
    <mergeCell ref="EJ12:EJ13"/>
    <mergeCell ref="EK12:EL12"/>
    <mergeCell ref="EI3:EI4"/>
    <mergeCell ref="EJ3:EJ4"/>
    <mergeCell ref="EK3:EK4"/>
    <mergeCell ref="EL3:EL4"/>
    <mergeCell ref="DY7:DY8"/>
    <mergeCell ref="DZ7:DZ8"/>
    <mergeCell ref="EA7:EA8"/>
    <mergeCell ref="EB7:EB8"/>
    <mergeCell ref="EC7:EC8"/>
    <mergeCell ref="EG7:EG8"/>
    <mergeCell ref="EH7:EH8"/>
    <mergeCell ref="EI7:EI8"/>
    <mergeCell ref="EJ7:EJ8"/>
    <mergeCell ref="EK7:EK8"/>
    <mergeCell ref="EC12:ED12"/>
    <mergeCell ref="DY3:DY4"/>
    <mergeCell ref="DZ3:DZ4"/>
    <mergeCell ref="EA3:EA4"/>
    <mergeCell ref="EB3:EB4"/>
    <mergeCell ref="EC3:EC4"/>
    <mergeCell ref="ED3:ED4"/>
    <mergeCell ref="DQ7:DQ8"/>
    <mergeCell ref="DR7:DR8"/>
    <mergeCell ref="DS7:DS8"/>
    <mergeCell ref="DT7:DT8"/>
    <mergeCell ref="EG3:EG4"/>
    <mergeCell ref="EH3:EH4"/>
    <mergeCell ref="EG12:EG13"/>
    <mergeCell ref="EH12:EH13"/>
    <mergeCell ref="DQ12:DQ13"/>
    <mergeCell ref="DR12:DR13"/>
    <mergeCell ref="DS12:DS13"/>
    <mergeCell ref="DT12:DT13"/>
    <mergeCell ref="DU12:DV12"/>
    <mergeCell ref="DY12:DY13"/>
    <mergeCell ref="DZ12:DZ13"/>
    <mergeCell ref="EA12:EA13"/>
    <mergeCell ref="EB12:EB13"/>
    <mergeCell ref="DQ3:DQ4"/>
    <mergeCell ref="DR3:DR4"/>
    <mergeCell ref="DS3:DS4"/>
    <mergeCell ref="DT3:DT4"/>
    <mergeCell ref="DU3:DU4"/>
    <mergeCell ref="DV3:DV4"/>
    <mergeCell ref="DU7:DU8"/>
    <mergeCell ref="DM12:DN12"/>
    <mergeCell ref="DI3:DI4"/>
    <mergeCell ref="DJ3:DJ4"/>
    <mergeCell ref="DK3:DK4"/>
    <mergeCell ref="DL3:DL4"/>
    <mergeCell ref="DM3:DM4"/>
    <mergeCell ref="DN3:DN4"/>
    <mergeCell ref="DC3:DC4"/>
    <mergeCell ref="DD3:DD4"/>
    <mergeCell ref="DE3:DE4"/>
    <mergeCell ref="DF3:DF4"/>
    <mergeCell ref="DE7:DE8"/>
    <mergeCell ref="DI7:DI8"/>
    <mergeCell ref="DJ7:DJ8"/>
    <mergeCell ref="DK7:DK8"/>
    <mergeCell ref="DL7:DL8"/>
    <mergeCell ref="DM7:DM8"/>
    <mergeCell ref="DC7:DC8"/>
    <mergeCell ref="DD7:DD8"/>
    <mergeCell ref="DC12:DC13"/>
    <mergeCell ref="DD12:DD13"/>
    <mergeCell ref="DE12:DF12"/>
    <mergeCell ref="DI12:DI13"/>
    <mergeCell ref="DJ12:DJ13"/>
    <mergeCell ref="DK12:DK13"/>
    <mergeCell ref="DL12:DL13"/>
    <mergeCell ref="CW12:CX12"/>
    <mergeCell ref="CS3:CS4"/>
    <mergeCell ref="CT3:CT4"/>
    <mergeCell ref="CU3:CU4"/>
    <mergeCell ref="CV3:CV4"/>
    <mergeCell ref="CW3:CW4"/>
    <mergeCell ref="CX3:CX4"/>
    <mergeCell ref="DA3:DA4"/>
    <mergeCell ref="DB3:DB4"/>
    <mergeCell ref="DA12:DA13"/>
    <mergeCell ref="DB12:DB13"/>
    <mergeCell ref="CS7:CS8"/>
    <mergeCell ref="CT7:CT8"/>
    <mergeCell ref="CU7:CU8"/>
    <mergeCell ref="CV7:CV8"/>
    <mergeCell ref="CW7:CW8"/>
    <mergeCell ref="DA7:DA8"/>
    <mergeCell ref="DB7:DB8"/>
    <mergeCell ref="CK12:CK13"/>
    <mergeCell ref="CL12:CL13"/>
    <mergeCell ref="CM12:CM13"/>
    <mergeCell ref="CN12:CN13"/>
    <mergeCell ref="CO12:CP12"/>
    <mergeCell ref="CS12:CS13"/>
    <mergeCell ref="CT12:CT13"/>
    <mergeCell ref="CU12:CU13"/>
    <mergeCell ref="CV12:CV13"/>
    <mergeCell ref="CK3:CK4"/>
    <mergeCell ref="CL3:CL4"/>
    <mergeCell ref="CM3:CM4"/>
    <mergeCell ref="CN3:CN4"/>
    <mergeCell ref="CO3:CO4"/>
    <mergeCell ref="CP3:CP4"/>
    <mergeCell ref="CK7:CK8"/>
    <mergeCell ref="CL7:CL8"/>
    <mergeCell ref="CM7:CM8"/>
    <mergeCell ref="CN7:CN8"/>
    <mergeCell ref="CO7:CO8"/>
  </mergeCells>
  <conditionalFormatting sqref="EJ14:EJ56">
    <cfRule type="cellIs" dxfId="8" priority="1" operator="lessThan">
      <formula>0.05</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648C-75ED-4F3D-864B-426FD0807A30}">
  <dimension ref="A1:C53"/>
  <sheetViews>
    <sheetView zoomScale="70" zoomScaleNormal="70" workbookViewId="0">
      <selection activeCell="A43" sqref="A43"/>
    </sheetView>
  </sheetViews>
  <sheetFormatPr defaultRowHeight="14.25" x14ac:dyDescent="0.45"/>
  <cols>
    <col min="1" max="1" width="20.59765625" bestFit="1" customWidth="1"/>
    <col min="2" max="2" width="62.59765625" bestFit="1" customWidth="1"/>
    <col min="3" max="3" width="14.1328125" bestFit="1" customWidth="1"/>
  </cols>
  <sheetData>
    <row r="1" spans="1:3" x14ac:dyDescent="0.45">
      <c r="A1" s="42" t="s">
        <v>523</v>
      </c>
      <c r="B1" s="42" t="s">
        <v>524</v>
      </c>
      <c r="C1" s="42" t="s">
        <v>525</v>
      </c>
    </row>
    <row r="2" spans="1:3" x14ac:dyDescent="0.45">
      <c r="A2" s="43" t="s">
        <v>0</v>
      </c>
      <c r="B2" s="43" t="s">
        <v>526</v>
      </c>
      <c r="C2" s="43"/>
    </row>
    <row r="3" spans="1:3" x14ac:dyDescent="0.45">
      <c r="A3" s="115" t="s">
        <v>1</v>
      </c>
      <c r="B3" s="43" t="s">
        <v>527</v>
      </c>
      <c r="C3" s="43"/>
    </row>
    <row r="4" spans="1:3" x14ac:dyDescent="0.45">
      <c r="A4" s="43" t="s">
        <v>3</v>
      </c>
      <c r="B4" s="43" t="s">
        <v>528</v>
      </c>
      <c r="C4" s="43"/>
    </row>
    <row r="5" spans="1:3" x14ac:dyDescent="0.45">
      <c r="A5" s="43" t="s">
        <v>6</v>
      </c>
      <c r="B5" s="43" t="s">
        <v>529</v>
      </c>
      <c r="C5" s="43"/>
    </row>
    <row r="6" spans="1:3" x14ac:dyDescent="0.45">
      <c r="A6" s="43" t="s">
        <v>9</v>
      </c>
      <c r="B6" s="43" t="s">
        <v>530</v>
      </c>
      <c r="C6" s="43"/>
    </row>
    <row r="7" spans="1:3" x14ac:dyDescent="0.45">
      <c r="A7" s="117" t="s">
        <v>10</v>
      </c>
      <c r="B7" s="117" t="s">
        <v>531</v>
      </c>
      <c r="C7" s="43" t="s">
        <v>532</v>
      </c>
    </row>
    <row r="8" spans="1:3" x14ac:dyDescent="0.45">
      <c r="A8" s="118"/>
      <c r="B8" s="118"/>
      <c r="C8" s="43" t="s">
        <v>533</v>
      </c>
    </row>
    <row r="9" spans="1:3" x14ac:dyDescent="0.45">
      <c r="A9" s="118"/>
      <c r="B9" s="118"/>
      <c r="C9" s="43" t="s">
        <v>534</v>
      </c>
    </row>
    <row r="10" spans="1:3" x14ac:dyDescent="0.45">
      <c r="A10" s="118"/>
      <c r="B10" s="118"/>
      <c r="C10" s="43" t="s">
        <v>535</v>
      </c>
    </row>
    <row r="11" spans="1:3" x14ac:dyDescent="0.45">
      <c r="A11" s="119"/>
      <c r="B11" s="119"/>
      <c r="C11" s="43" t="s">
        <v>536</v>
      </c>
    </row>
    <row r="12" spans="1:3" x14ac:dyDescent="0.45">
      <c r="A12" s="43" t="s">
        <v>11</v>
      </c>
      <c r="B12" s="43" t="s">
        <v>537</v>
      </c>
      <c r="C12" s="43"/>
    </row>
    <row r="13" spans="1:3" x14ac:dyDescent="0.45">
      <c r="A13" s="43" t="s">
        <v>538</v>
      </c>
      <c r="B13" s="43" t="s">
        <v>539</v>
      </c>
      <c r="C13" s="43"/>
    </row>
    <row r="14" spans="1:3" x14ac:dyDescent="0.45">
      <c r="A14" s="43" t="s">
        <v>540</v>
      </c>
      <c r="B14" s="43" t="s">
        <v>541</v>
      </c>
      <c r="C14" s="43"/>
    </row>
    <row r="15" spans="1:3" x14ac:dyDescent="0.45">
      <c r="A15" s="117" t="s">
        <v>17</v>
      </c>
      <c r="B15" s="117" t="s">
        <v>542</v>
      </c>
      <c r="C15" s="43" t="s">
        <v>543</v>
      </c>
    </row>
    <row r="16" spans="1:3" x14ac:dyDescent="0.45">
      <c r="A16" s="118"/>
      <c r="B16" s="118"/>
      <c r="C16" s="43" t="s">
        <v>544</v>
      </c>
    </row>
    <row r="17" spans="1:3" x14ac:dyDescent="0.45">
      <c r="A17" s="118"/>
      <c r="B17" s="118"/>
      <c r="C17" s="43" t="s">
        <v>545</v>
      </c>
    </row>
    <row r="18" spans="1:3" x14ac:dyDescent="0.45">
      <c r="A18" s="119"/>
      <c r="B18" s="119"/>
      <c r="C18" s="43" t="s">
        <v>546</v>
      </c>
    </row>
    <row r="19" spans="1:3" x14ac:dyDescent="0.45">
      <c r="A19" s="43" t="s">
        <v>18</v>
      </c>
      <c r="B19" s="43" t="s">
        <v>547</v>
      </c>
      <c r="C19" s="43"/>
    </row>
    <row r="20" spans="1:3" x14ac:dyDescent="0.45">
      <c r="A20" s="117" t="s">
        <v>21</v>
      </c>
      <c r="B20" s="117" t="s">
        <v>548</v>
      </c>
      <c r="C20" s="43" t="s">
        <v>543</v>
      </c>
    </row>
    <row r="21" spans="1:3" x14ac:dyDescent="0.45">
      <c r="A21" s="118"/>
      <c r="B21" s="118"/>
      <c r="C21" s="43" t="s">
        <v>544</v>
      </c>
    </row>
    <row r="22" spans="1:3" x14ac:dyDescent="0.45">
      <c r="A22" s="118"/>
      <c r="B22" s="118"/>
      <c r="C22" s="43" t="s">
        <v>545</v>
      </c>
    </row>
    <row r="23" spans="1:3" x14ac:dyDescent="0.45">
      <c r="A23" s="119"/>
      <c r="B23" s="119"/>
      <c r="C23" s="43" t="s">
        <v>546</v>
      </c>
    </row>
    <row r="24" spans="1:3" x14ac:dyDescent="0.45">
      <c r="A24" s="43" t="s">
        <v>22</v>
      </c>
      <c r="B24" s="43" t="s">
        <v>549</v>
      </c>
      <c r="C24" s="43"/>
    </row>
    <row r="25" spans="1:3" x14ac:dyDescent="0.45">
      <c r="A25" s="43" t="s">
        <v>23</v>
      </c>
      <c r="B25" s="43" t="s">
        <v>550</v>
      </c>
      <c r="C25" s="43"/>
    </row>
    <row r="26" spans="1:3" x14ac:dyDescent="0.45">
      <c r="A26" s="117" t="s">
        <v>32</v>
      </c>
      <c r="B26" s="117" t="s">
        <v>551</v>
      </c>
      <c r="C26" s="43" t="s">
        <v>543</v>
      </c>
    </row>
    <row r="27" spans="1:3" x14ac:dyDescent="0.45">
      <c r="A27" s="118"/>
      <c r="B27" s="118"/>
      <c r="C27" s="43" t="s">
        <v>544</v>
      </c>
    </row>
    <row r="28" spans="1:3" x14ac:dyDescent="0.45">
      <c r="A28" s="118"/>
      <c r="B28" s="118"/>
      <c r="C28" s="43" t="s">
        <v>545</v>
      </c>
    </row>
    <row r="29" spans="1:3" x14ac:dyDescent="0.45">
      <c r="A29" s="119"/>
      <c r="B29" s="119"/>
      <c r="C29" s="43" t="s">
        <v>546</v>
      </c>
    </row>
    <row r="30" spans="1:3" x14ac:dyDescent="0.45">
      <c r="A30" s="43" t="s">
        <v>33</v>
      </c>
      <c r="B30" s="43" t="s">
        <v>552</v>
      </c>
      <c r="C30" s="43"/>
    </row>
    <row r="31" spans="1:3" x14ac:dyDescent="0.45">
      <c r="A31" s="44" t="s">
        <v>36</v>
      </c>
      <c r="B31" s="43" t="s">
        <v>553</v>
      </c>
      <c r="C31" s="43"/>
    </row>
    <row r="32" spans="1:3" x14ac:dyDescent="0.45">
      <c r="A32" s="43" t="s">
        <v>37</v>
      </c>
      <c r="B32" s="43" t="s">
        <v>554</v>
      </c>
      <c r="C32" s="43"/>
    </row>
    <row r="33" spans="1:3" x14ac:dyDescent="0.45">
      <c r="A33" s="43" t="s">
        <v>555</v>
      </c>
      <c r="B33" s="43" t="s">
        <v>556</v>
      </c>
      <c r="C33" s="43"/>
    </row>
    <row r="34" spans="1:3" x14ac:dyDescent="0.45">
      <c r="A34" s="116" t="s">
        <v>40</v>
      </c>
      <c r="B34" s="43" t="s">
        <v>557</v>
      </c>
      <c r="C34" s="43"/>
    </row>
    <row r="35" spans="1:3" x14ac:dyDescent="0.45">
      <c r="A35" s="117" t="s">
        <v>41</v>
      </c>
      <c r="B35" s="117" t="s">
        <v>558</v>
      </c>
      <c r="C35" s="43" t="s">
        <v>543</v>
      </c>
    </row>
    <row r="36" spans="1:3" x14ac:dyDescent="0.45">
      <c r="A36" s="118"/>
      <c r="B36" s="118"/>
      <c r="C36" s="43" t="s">
        <v>559</v>
      </c>
    </row>
    <row r="37" spans="1:3" x14ac:dyDescent="0.45">
      <c r="A37" s="118"/>
      <c r="B37" s="118"/>
      <c r="C37" s="43" t="s">
        <v>560</v>
      </c>
    </row>
    <row r="38" spans="1:3" x14ac:dyDescent="0.45">
      <c r="A38" s="119"/>
      <c r="B38" s="119"/>
      <c r="C38" s="43" t="s">
        <v>561</v>
      </c>
    </row>
    <row r="39" spans="1:3" x14ac:dyDescent="0.45">
      <c r="A39" s="117" t="s">
        <v>42</v>
      </c>
      <c r="B39" s="117" t="s">
        <v>562</v>
      </c>
      <c r="C39" s="43" t="s">
        <v>543</v>
      </c>
    </row>
    <row r="40" spans="1:3" x14ac:dyDescent="0.45">
      <c r="A40" s="118"/>
      <c r="B40" s="118"/>
      <c r="C40" s="43" t="s">
        <v>544</v>
      </c>
    </row>
    <row r="41" spans="1:3" x14ac:dyDescent="0.45">
      <c r="A41" s="118"/>
      <c r="B41" s="118"/>
      <c r="C41" s="43" t="s">
        <v>545</v>
      </c>
    </row>
    <row r="42" spans="1:3" x14ac:dyDescent="0.45">
      <c r="A42" s="119"/>
      <c r="B42" s="119"/>
      <c r="C42" s="43" t="s">
        <v>546</v>
      </c>
    </row>
    <row r="43" spans="1:3" x14ac:dyDescent="0.45">
      <c r="A43" s="116" t="s">
        <v>563</v>
      </c>
      <c r="B43" s="43" t="s">
        <v>564</v>
      </c>
      <c r="C43" s="43"/>
    </row>
    <row r="44" spans="1:3" x14ac:dyDescent="0.45">
      <c r="A44" s="43" t="s">
        <v>43</v>
      </c>
      <c r="B44" s="43" t="s">
        <v>565</v>
      </c>
      <c r="C44" s="43"/>
    </row>
    <row r="45" spans="1:3" x14ac:dyDescent="0.45">
      <c r="A45" s="43" t="s">
        <v>44</v>
      </c>
      <c r="B45" s="43" t="s">
        <v>566</v>
      </c>
      <c r="C45" s="43"/>
    </row>
    <row r="46" spans="1:3" x14ac:dyDescent="0.45">
      <c r="A46" s="43" t="s">
        <v>45</v>
      </c>
      <c r="B46" s="43" t="s">
        <v>567</v>
      </c>
      <c r="C46" s="43"/>
    </row>
    <row r="47" spans="1:3" x14ac:dyDescent="0.45">
      <c r="A47" s="117" t="s">
        <v>46</v>
      </c>
      <c r="B47" s="117" t="s">
        <v>568</v>
      </c>
      <c r="C47" s="43" t="s">
        <v>569</v>
      </c>
    </row>
    <row r="48" spans="1:3" x14ac:dyDescent="0.45">
      <c r="A48" s="118"/>
      <c r="B48" s="118"/>
      <c r="C48" s="43" t="s">
        <v>559</v>
      </c>
    </row>
    <row r="49" spans="1:3" x14ac:dyDescent="0.45">
      <c r="A49" s="118"/>
      <c r="B49" s="118"/>
      <c r="C49" s="43" t="s">
        <v>570</v>
      </c>
    </row>
    <row r="50" spans="1:3" x14ac:dyDescent="0.45">
      <c r="A50" s="119"/>
      <c r="B50" s="119"/>
      <c r="C50" s="43" t="s">
        <v>571</v>
      </c>
    </row>
    <row r="51" spans="1:3" x14ac:dyDescent="0.45">
      <c r="A51" s="43" t="s">
        <v>47</v>
      </c>
      <c r="B51" s="43" t="s">
        <v>572</v>
      </c>
      <c r="C51" s="43"/>
    </row>
    <row r="52" spans="1:3" x14ac:dyDescent="0.45">
      <c r="A52" s="43" t="s">
        <v>49</v>
      </c>
      <c r="B52" s="43" t="s">
        <v>573</v>
      </c>
      <c r="C52" s="43"/>
    </row>
    <row r="53" spans="1:3" x14ac:dyDescent="0.45">
      <c r="A53" s="43" t="s">
        <v>50</v>
      </c>
      <c r="B53" s="43" t="s">
        <v>574</v>
      </c>
      <c r="C53" s="43"/>
    </row>
  </sheetData>
  <mergeCells count="14">
    <mergeCell ref="A47:A50"/>
    <mergeCell ref="B47:B50"/>
    <mergeCell ref="A26:A29"/>
    <mergeCell ref="B26:B29"/>
    <mergeCell ref="A35:A38"/>
    <mergeCell ref="B35:B38"/>
    <mergeCell ref="A39:A42"/>
    <mergeCell ref="B39:B42"/>
    <mergeCell ref="A7:A11"/>
    <mergeCell ref="B7:B11"/>
    <mergeCell ref="A15:A18"/>
    <mergeCell ref="B15:B18"/>
    <mergeCell ref="A20:A23"/>
    <mergeCell ref="B20:B2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C8A86-7479-42E3-B808-63643D43F175}">
  <dimension ref="A1:C18"/>
  <sheetViews>
    <sheetView workbookViewId="0"/>
  </sheetViews>
  <sheetFormatPr defaultRowHeight="14.25" x14ac:dyDescent="0.45"/>
  <cols>
    <col min="1" max="1" width="12.06640625" bestFit="1" customWidth="1"/>
    <col min="2" max="2" width="16.19921875" bestFit="1" customWidth="1"/>
  </cols>
  <sheetData>
    <row r="1" spans="1:3" x14ac:dyDescent="0.45">
      <c r="A1" s="73"/>
      <c r="B1" s="74"/>
      <c r="C1" s="75"/>
    </row>
    <row r="2" spans="1:3" x14ac:dyDescent="0.45">
      <c r="A2" s="76"/>
      <c r="B2" s="77"/>
      <c r="C2" s="78"/>
    </row>
    <row r="3" spans="1:3" x14ac:dyDescent="0.45">
      <c r="A3" s="76"/>
      <c r="B3" s="77"/>
      <c r="C3" s="78"/>
    </row>
    <row r="4" spans="1:3" x14ac:dyDescent="0.45">
      <c r="A4" s="76"/>
      <c r="B4" s="77"/>
      <c r="C4" s="78"/>
    </row>
    <row r="5" spans="1:3" x14ac:dyDescent="0.45">
      <c r="A5" s="76"/>
      <c r="B5" s="77"/>
      <c r="C5" s="78"/>
    </row>
    <row r="6" spans="1:3" x14ac:dyDescent="0.45">
      <c r="A6" s="76"/>
      <c r="B6" s="77"/>
      <c r="C6" s="78"/>
    </row>
    <row r="7" spans="1:3" x14ac:dyDescent="0.45">
      <c r="A7" s="76"/>
      <c r="B7" s="77"/>
      <c r="C7" s="78"/>
    </row>
    <row r="8" spans="1:3" x14ac:dyDescent="0.45">
      <c r="A8" s="76"/>
      <c r="B8" s="77"/>
      <c r="C8" s="78"/>
    </row>
    <row r="9" spans="1:3" x14ac:dyDescent="0.45">
      <c r="A9" s="76"/>
      <c r="B9" s="77"/>
      <c r="C9" s="78"/>
    </row>
    <row r="10" spans="1:3" x14ac:dyDescent="0.45">
      <c r="A10" s="76"/>
      <c r="B10" s="77"/>
      <c r="C10" s="78"/>
    </row>
    <row r="11" spans="1:3" x14ac:dyDescent="0.45">
      <c r="A11" s="76"/>
      <c r="B11" s="77"/>
      <c r="C11" s="78"/>
    </row>
    <row r="12" spans="1:3" x14ac:dyDescent="0.45">
      <c r="A12" s="76"/>
      <c r="B12" s="77"/>
      <c r="C12" s="78"/>
    </row>
    <row r="13" spans="1:3" x14ac:dyDescent="0.45">
      <c r="A13" s="76"/>
      <c r="B13" s="77"/>
      <c r="C13" s="78"/>
    </row>
    <row r="14" spans="1:3" x14ac:dyDescent="0.45">
      <c r="A14" s="76"/>
      <c r="B14" s="77"/>
      <c r="C14" s="78"/>
    </row>
    <row r="15" spans="1:3" x14ac:dyDescent="0.45">
      <c r="A15" s="76"/>
      <c r="B15" s="77"/>
      <c r="C15" s="78"/>
    </row>
    <row r="16" spans="1:3" x14ac:dyDescent="0.45">
      <c r="A16" s="76"/>
      <c r="B16" s="77"/>
      <c r="C16" s="78"/>
    </row>
    <row r="17" spans="1:3" x14ac:dyDescent="0.45">
      <c r="A17" s="76"/>
      <c r="B17" s="77"/>
      <c r="C17" s="78"/>
    </row>
    <row r="18" spans="1:3" x14ac:dyDescent="0.45">
      <c r="A18" s="79"/>
      <c r="B18" s="80"/>
      <c r="C18" s="8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5945-71F6-4CB1-BF8A-351271A984DB}">
  <dimension ref="B1:M28"/>
  <sheetViews>
    <sheetView showGridLines="0" workbookViewId="0">
      <pane ySplit="6" topLeftCell="A7" activePane="bottomLeft" state="frozen"/>
      <selection pane="bottomLeft" activeCell="M8" sqref="M8"/>
    </sheetView>
  </sheetViews>
  <sheetFormatPr defaultRowHeight="14.25" x14ac:dyDescent="0.45"/>
  <cols>
    <col min="1" max="1" width="0.265625" customWidth="1"/>
    <col min="2" max="10" width="15.59765625" customWidth="1"/>
  </cols>
  <sheetData>
    <row r="1" spans="2:13" s="63" customFormat="1" ht="17.25" x14ac:dyDescent="0.45">
      <c r="B1" s="64" t="s">
        <v>591</v>
      </c>
    </row>
    <row r="2" spans="2:13" s="61" customFormat="1" ht="9.75" x14ac:dyDescent="0.25">
      <c r="B2" s="62" t="s">
        <v>590</v>
      </c>
    </row>
    <row r="3" spans="2:13" s="61" customFormat="1" ht="9.75" x14ac:dyDescent="0.25">
      <c r="B3" s="62" t="s">
        <v>589</v>
      </c>
    </row>
    <row r="4" spans="2:13" s="59" customFormat="1" ht="9.75" x14ac:dyDescent="0.25">
      <c r="B4" s="60" t="s">
        <v>588</v>
      </c>
    </row>
    <row r="5" spans="2:13" ht="14.65" thickBot="1" x14ac:dyDescent="0.5"/>
    <row r="6" spans="2:13" x14ac:dyDescent="0.45">
      <c r="B6" s="58" t="s">
        <v>107</v>
      </c>
      <c r="C6" s="57" t="s">
        <v>587</v>
      </c>
      <c r="D6" s="57" t="s">
        <v>586</v>
      </c>
      <c r="E6" s="57" t="s">
        <v>585</v>
      </c>
      <c r="F6" s="57" t="s">
        <v>584</v>
      </c>
      <c r="G6" s="57" t="s">
        <v>583</v>
      </c>
      <c r="H6" s="56">
        <v>0.05</v>
      </c>
      <c r="I6" s="56">
        <v>0.95</v>
      </c>
      <c r="J6" s="55" t="s">
        <v>582</v>
      </c>
      <c r="K6" s="65" t="s">
        <v>592</v>
      </c>
      <c r="L6" s="65" t="s">
        <v>731</v>
      </c>
      <c r="M6" s="65" t="s">
        <v>732</v>
      </c>
    </row>
    <row r="7" spans="2:13" ht="60" customHeight="1" x14ac:dyDescent="0.45">
      <c r="B7" s="54" t="s">
        <v>0</v>
      </c>
      <c r="C7" s="53"/>
      <c r="D7" s="53">
        <v>18</v>
      </c>
      <c r="E7" s="53">
        <v>60</v>
      </c>
      <c r="F7" s="53">
        <v>36.923999999999999</v>
      </c>
      <c r="G7" s="53">
        <v>9.1349999999999998</v>
      </c>
      <c r="H7" s="53">
        <v>24</v>
      </c>
      <c r="I7" s="53">
        <v>54</v>
      </c>
      <c r="J7" s="52">
        <v>1470</v>
      </c>
      <c r="K7">
        <f>MEDIAN(Data!A:A)</f>
        <v>36</v>
      </c>
    </row>
    <row r="8" spans="2:13" ht="60" customHeight="1" x14ac:dyDescent="0.45">
      <c r="B8" s="50" t="s">
        <v>9</v>
      </c>
      <c r="C8" s="49"/>
      <c r="D8" s="49">
        <v>1</v>
      </c>
      <c r="E8" s="49">
        <v>29</v>
      </c>
      <c r="F8" s="49">
        <v>9.1929999999999996</v>
      </c>
      <c r="G8" s="49">
        <v>8.1069999999999993</v>
      </c>
      <c r="H8" s="49">
        <v>1</v>
      </c>
      <c r="I8" s="49">
        <v>26</v>
      </c>
      <c r="J8" s="48">
        <v>1470</v>
      </c>
      <c r="K8">
        <f>MEDIAN(Data!K:K)</f>
        <v>7</v>
      </c>
    </row>
    <row r="9" spans="2:13" ht="60" customHeight="1" x14ac:dyDescent="0.45">
      <c r="B9" s="50" t="s">
        <v>17</v>
      </c>
      <c r="C9" s="49"/>
      <c r="D9" s="49">
        <v>1</v>
      </c>
      <c r="E9" s="49">
        <v>4</v>
      </c>
      <c r="F9" s="49">
        <v>2.7218</v>
      </c>
      <c r="G9" s="49">
        <v>1.0931</v>
      </c>
      <c r="H9" s="49">
        <v>1</v>
      </c>
      <c r="I9" s="49">
        <v>4</v>
      </c>
      <c r="J9" s="48">
        <v>1470</v>
      </c>
      <c r="K9">
        <f>MEDIAN(Data!T:T)</f>
        <v>3</v>
      </c>
    </row>
    <row r="10" spans="2:13" ht="60" customHeight="1" x14ac:dyDescent="0.45">
      <c r="B10" s="50" t="s">
        <v>21</v>
      </c>
      <c r="C10" s="49"/>
      <c r="D10" s="49">
        <v>1</v>
      </c>
      <c r="E10" s="49">
        <v>4</v>
      </c>
      <c r="F10" s="49">
        <v>2.7299000000000002</v>
      </c>
      <c r="G10" s="49">
        <v>0.71160000000000001</v>
      </c>
      <c r="H10" s="49">
        <v>1</v>
      </c>
      <c r="I10" s="49">
        <v>4</v>
      </c>
      <c r="J10" s="48">
        <v>1470</v>
      </c>
      <c r="K10">
        <f>MEDIAN(Data!X:X)</f>
        <v>3</v>
      </c>
    </row>
    <row r="11" spans="2:13" ht="60" customHeight="1" x14ac:dyDescent="0.45">
      <c r="B11" s="50" t="s">
        <v>32</v>
      </c>
      <c r="C11" s="49"/>
      <c r="D11" s="49">
        <v>1</v>
      </c>
      <c r="E11" s="49">
        <v>4</v>
      </c>
      <c r="F11" s="49">
        <v>2.7286000000000001</v>
      </c>
      <c r="G11" s="49">
        <v>1.1028</v>
      </c>
      <c r="H11" s="49">
        <v>1</v>
      </c>
      <c r="I11" s="49">
        <v>4</v>
      </c>
      <c r="J11" s="48">
        <v>1470</v>
      </c>
      <c r="K11">
        <f>MEDIAN(Data!AI:AI)</f>
        <v>3</v>
      </c>
    </row>
    <row r="12" spans="2:13" ht="60" customHeight="1" x14ac:dyDescent="0.45">
      <c r="B12" s="50" t="s">
        <v>36</v>
      </c>
      <c r="C12" s="49"/>
      <c r="D12" s="51">
        <v>1009</v>
      </c>
      <c r="E12" s="51">
        <v>19999</v>
      </c>
      <c r="F12" s="51">
        <v>6502.93</v>
      </c>
      <c r="G12" s="51">
        <v>4707.96</v>
      </c>
      <c r="H12" s="51">
        <v>2097</v>
      </c>
      <c r="I12" s="51">
        <v>17856</v>
      </c>
      <c r="J12" s="48">
        <v>1470</v>
      </c>
      <c r="K12">
        <f>MEDIAN(Data!AM:AM)</f>
        <v>4919</v>
      </c>
      <c r="L12">
        <f>_xlfn.PERCENTILE.INC(Data!AM:AM,0.25)</f>
        <v>2911</v>
      </c>
      <c r="M12">
        <f>_xlfn.PERCENTILE.INC(Data!AM:AM,0.75)</f>
        <v>8379</v>
      </c>
    </row>
    <row r="13" spans="2:13" ht="60" customHeight="1" x14ac:dyDescent="0.45">
      <c r="B13" s="50" t="s">
        <v>37</v>
      </c>
      <c r="C13" s="49"/>
      <c r="D13" s="49">
        <v>0</v>
      </c>
      <c r="E13" s="49">
        <v>9</v>
      </c>
      <c r="F13" s="49">
        <v>2.6932</v>
      </c>
      <c r="G13" s="49">
        <v>2.4980000000000002</v>
      </c>
      <c r="H13" s="49">
        <v>0</v>
      </c>
      <c r="I13" s="49">
        <v>8</v>
      </c>
      <c r="J13" s="48">
        <v>1470</v>
      </c>
      <c r="K13">
        <f>MEDIAN(Data!AO:AO)</f>
        <v>2</v>
      </c>
      <c r="L13">
        <f>_xlfn.PERCENTILE.INC(Data!AO:AO,0.8)</f>
        <v>5</v>
      </c>
    </row>
    <row r="14" spans="2:13" ht="60" customHeight="1" x14ac:dyDescent="0.45">
      <c r="B14" s="50" t="s">
        <v>42</v>
      </c>
      <c r="C14" s="49"/>
      <c r="D14" s="49">
        <v>1</v>
      </c>
      <c r="E14" s="49">
        <v>4</v>
      </c>
      <c r="F14" s="49">
        <v>2.7122000000000002</v>
      </c>
      <c r="G14" s="49">
        <v>1.0811999999999999</v>
      </c>
      <c r="H14" s="49">
        <v>1</v>
      </c>
      <c r="I14" s="49">
        <v>4</v>
      </c>
      <c r="J14" s="48">
        <v>1470</v>
      </c>
      <c r="K14">
        <f>MEDIAN(Data!AT:AT)</f>
        <v>3</v>
      </c>
    </row>
    <row r="15" spans="2:13" ht="60" customHeight="1" x14ac:dyDescent="0.45">
      <c r="B15" s="50" t="s">
        <v>44</v>
      </c>
      <c r="C15" s="49"/>
      <c r="D15" s="49">
        <v>0</v>
      </c>
      <c r="E15" s="49">
        <v>40</v>
      </c>
      <c r="F15" s="49">
        <v>11.28</v>
      </c>
      <c r="G15" s="49">
        <v>7.7809999999999997</v>
      </c>
      <c r="H15" s="49">
        <v>1</v>
      </c>
      <c r="I15" s="49">
        <v>28</v>
      </c>
      <c r="J15" s="48">
        <v>1470</v>
      </c>
      <c r="K15">
        <f>MEDIAN(Data!AV:AV)</f>
        <v>10</v>
      </c>
    </row>
    <row r="16" spans="2:13" ht="60" customHeight="1" x14ac:dyDescent="0.45">
      <c r="B16" s="50" t="s">
        <v>45</v>
      </c>
      <c r="C16" s="49"/>
      <c r="D16" s="49">
        <v>0</v>
      </c>
      <c r="E16" s="49">
        <v>6</v>
      </c>
      <c r="F16" s="49">
        <v>2.7993000000000001</v>
      </c>
      <c r="G16" s="49">
        <v>1.2892999999999999</v>
      </c>
      <c r="H16" s="49">
        <v>1</v>
      </c>
      <c r="I16" s="49">
        <v>5</v>
      </c>
      <c r="J16" s="48">
        <v>1470</v>
      </c>
      <c r="K16">
        <f>MEDIAN(Data!AX:AX)</f>
        <v>3</v>
      </c>
    </row>
    <row r="17" spans="2:11" ht="60" customHeight="1" x14ac:dyDescent="0.45">
      <c r="B17" s="50" t="s">
        <v>46</v>
      </c>
      <c r="C17" s="49"/>
      <c r="D17" s="49">
        <v>1</v>
      </c>
      <c r="E17" s="49">
        <v>4</v>
      </c>
      <c r="F17" s="49">
        <v>2.7612000000000001</v>
      </c>
      <c r="G17" s="49">
        <v>0.70650000000000002</v>
      </c>
      <c r="H17" s="49">
        <v>1</v>
      </c>
      <c r="I17" s="49">
        <v>4</v>
      </c>
      <c r="J17" s="48">
        <v>1470</v>
      </c>
      <c r="K17">
        <f>MEDIAN(Data!AY:AY)</f>
        <v>3</v>
      </c>
    </row>
    <row r="18" spans="2:11" ht="60" customHeight="1" x14ac:dyDescent="0.45">
      <c r="B18" s="50" t="s">
        <v>47</v>
      </c>
      <c r="C18" s="49"/>
      <c r="D18" s="49">
        <v>0</v>
      </c>
      <c r="E18" s="49">
        <v>40</v>
      </c>
      <c r="F18" s="49">
        <v>7.008</v>
      </c>
      <c r="G18" s="49">
        <v>6.1269999999999998</v>
      </c>
      <c r="H18" s="49">
        <v>1</v>
      </c>
      <c r="I18" s="49">
        <v>20</v>
      </c>
      <c r="J18" s="48">
        <v>1470</v>
      </c>
      <c r="K18">
        <f>MEDIAN(Data!AZ:AZ)</f>
        <v>5</v>
      </c>
    </row>
    <row r="19" spans="2:11" ht="60" customHeight="1" x14ac:dyDescent="0.45">
      <c r="B19" s="50" t="s">
        <v>48</v>
      </c>
      <c r="C19" s="49"/>
      <c r="D19" s="49">
        <v>0</v>
      </c>
      <c r="E19" s="49">
        <v>18</v>
      </c>
      <c r="F19" s="49">
        <v>4.2290000000000001</v>
      </c>
      <c r="G19" s="49">
        <v>3.6230000000000002</v>
      </c>
      <c r="H19" s="49">
        <v>0</v>
      </c>
      <c r="I19" s="49">
        <v>11</v>
      </c>
      <c r="J19" s="48">
        <v>1470</v>
      </c>
      <c r="K19">
        <f>MEDIAN(Data!BB:BB)</f>
        <v>3</v>
      </c>
    </row>
    <row r="20" spans="2:11" ht="60" customHeight="1" x14ac:dyDescent="0.45">
      <c r="B20" s="50" t="s">
        <v>49</v>
      </c>
      <c r="C20" s="49"/>
      <c r="D20" s="49">
        <v>0</v>
      </c>
      <c r="E20" s="49">
        <v>15</v>
      </c>
      <c r="F20" s="49">
        <v>2.1880000000000002</v>
      </c>
      <c r="G20" s="49">
        <v>3.222</v>
      </c>
      <c r="H20" s="49">
        <v>0</v>
      </c>
      <c r="I20" s="49">
        <v>9</v>
      </c>
      <c r="J20" s="48">
        <v>1470</v>
      </c>
      <c r="K20">
        <f>MEDIAN(Data!BD:BD)</f>
        <v>1</v>
      </c>
    </row>
    <row r="21" spans="2:11" ht="60" customHeight="1" x14ac:dyDescent="0.45">
      <c r="B21" s="50" t="s">
        <v>50</v>
      </c>
      <c r="C21" s="49"/>
      <c r="D21" s="49">
        <v>0</v>
      </c>
      <c r="E21" s="49">
        <v>17</v>
      </c>
      <c r="F21" s="49">
        <v>4.1230000000000002</v>
      </c>
      <c r="G21" s="49">
        <v>3.5680000000000001</v>
      </c>
      <c r="H21" s="49">
        <v>0</v>
      </c>
      <c r="I21" s="49">
        <v>10</v>
      </c>
      <c r="J21" s="48">
        <v>1470</v>
      </c>
    </row>
    <row r="22" spans="2:11" ht="60" customHeight="1" x14ac:dyDescent="0.45">
      <c r="B22" s="50" t="s">
        <v>581</v>
      </c>
      <c r="C22" s="49"/>
      <c r="D22" s="49">
        <v>0</v>
      </c>
      <c r="E22" s="49">
        <v>1</v>
      </c>
      <c r="F22" s="49">
        <v>0.16120000000000001</v>
      </c>
      <c r="G22" s="49">
        <v>0.3679</v>
      </c>
      <c r="H22" s="49">
        <v>0</v>
      </c>
      <c r="I22" s="49">
        <v>1</v>
      </c>
      <c r="J22" s="48">
        <v>1470</v>
      </c>
    </row>
    <row r="23" spans="2:11" ht="60" customHeight="1" x14ac:dyDescent="0.45">
      <c r="B23" s="50" t="s">
        <v>580</v>
      </c>
      <c r="C23" s="49"/>
      <c r="D23" s="49">
        <v>0</v>
      </c>
      <c r="E23" s="49">
        <v>1</v>
      </c>
      <c r="F23" s="49">
        <v>0.18840000000000001</v>
      </c>
      <c r="G23" s="49">
        <v>0.39119999999999999</v>
      </c>
      <c r="H23" s="49">
        <v>0</v>
      </c>
      <c r="I23" s="49">
        <v>1</v>
      </c>
      <c r="J23" s="48">
        <v>1470</v>
      </c>
    </row>
    <row r="24" spans="2:11" ht="60" customHeight="1" x14ac:dyDescent="0.45">
      <c r="B24" s="50" t="s">
        <v>579</v>
      </c>
      <c r="C24" s="49"/>
      <c r="D24" s="49">
        <v>0</v>
      </c>
      <c r="E24" s="49">
        <v>1</v>
      </c>
      <c r="F24" s="49">
        <v>0.70950000000000002</v>
      </c>
      <c r="G24" s="49">
        <v>0.4541</v>
      </c>
      <c r="H24" s="49">
        <v>0</v>
      </c>
      <c r="I24" s="49">
        <v>1</v>
      </c>
      <c r="J24" s="48">
        <v>1470</v>
      </c>
    </row>
    <row r="25" spans="2:11" ht="60" customHeight="1" x14ac:dyDescent="0.45">
      <c r="B25" s="50" t="s">
        <v>578</v>
      </c>
      <c r="C25" s="49"/>
      <c r="D25" s="49">
        <v>0</v>
      </c>
      <c r="E25" s="49">
        <v>1</v>
      </c>
      <c r="F25" s="49">
        <v>0.28299999999999997</v>
      </c>
      <c r="G25" s="49">
        <v>0.4506</v>
      </c>
      <c r="H25" s="49">
        <v>0</v>
      </c>
      <c r="I25" s="49">
        <v>1</v>
      </c>
      <c r="J25" s="48">
        <v>1470</v>
      </c>
    </row>
    <row r="26" spans="2:11" ht="60" customHeight="1" x14ac:dyDescent="0.45">
      <c r="B26" s="50" t="s">
        <v>577</v>
      </c>
      <c r="C26" s="49"/>
      <c r="D26" s="49">
        <v>0</v>
      </c>
      <c r="E26" s="49">
        <v>1</v>
      </c>
      <c r="F26" s="49">
        <v>0.45779999999999998</v>
      </c>
      <c r="G26" s="49">
        <v>0.49840000000000001</v>
      </c>
      <c r="H26" s="49">
        <v>0</v>
      </c>
      <c r="I26" s="49">
        <v>1</v>
      </c>
      <c r="J26" s="48">
        <v>1470</v>
      </c>
    </row>
    <row r="27" spans="2:11" ht="60" customHeight="1" x14ac:dyDescent="0.45">
      <c r="B27" s="50" t="s">
        <v>576</v>
      </c>
      <c r="C27" s="49"/>
      <c r="D27" s="49">
        <v>0</v>
      </c>
      <c r="E27" s="49">
        <v>1</v>
      </c>
      <c r="F27" s="49">
        <v>0.31969999999999998</v>
      </c>
      <c r="G27" s="49">
        <v>0.46650000000000003</v>
      </c>
      <c r="H27" s="49">
        <v>0</v>
      </c>
      <c r="I27" s="49">
        <v>1</v>
      </c>
      <c r="J27" s="48">
        <v>1470</v>
      </c>
    </row>
    <row r="28" spans="2:11" ht="60" customHeight="1" thickBot="1" x14ac:dyDescent="0.5">
      <c r="B28" s="47" t="s">
        <v>575</v>
      </c>
      <c r="C28" s="46"/>
      <c r="D28" s="46">
        <v>0</v>
      </c>
      <c r="E28" s="46">
        <v>1</v>
      </c>
      <c r="F28" s="46">
        <v>0.4</v>
      </c>
      <c r="G28" s="46">
        <v>0.49009999999999998</v>
      </c>
      <c r="H28" s="46">
        <v>0</v>
      </c>
      <c r="I28" s="46">
        <v>1</v>
      </c>
      <c r="J28" s="45">
        <v>1470</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DB72-8D52-4839-93FA-B8ADC3D5E729}">
  <dimension ref="A1:BM27"/>
  <sheetViews>
    <sheetView zoomScale="70" zoomScaleNormal="70" workbookViewId="0">
      <selection activeCell="G45" sqref="G45"/>
    </sheetView>
  </sheetViews>
  <sheetFormatPr defaultRowHeight="14.25" x14ac:dyDescent="0.45"/>
  <cols>
    <col min="1" max="1" width="14.53125" style="110" bestFit="1" customWidth="1"/>
    <col min="2" max="51" width="23.53125" bestFit="1" customWidth="1"/>
    <col min="52" max="55" width="38.73046875" bestFit="1" customWidth="1"/>
    <col min="56" max="59" width="31.33203125" bestFit="1" customWidth="1"/>
    <col min="60" max="61" width="40.59765625" customWidth="1"/>
    <col min="62" max="62" width="36" bestFit="1" customWidth="1"/>
    <col min="63" max="64" width="40.59765625" customWidth="1"/>
    <col min="65" max="65" width="34.265625" bestFit="1" customWidth="1"/>
  </cols>
  <sheetData>
    <row r="1" spans="1:65" s="106" customFormat="1" ht="15" customHeight="1" x14ac:dyDescent="0.4">
      <c r="A1" s="104" t="s">
        <v>747</v>
      </c>
      <c r="B1" s="105" t="s">
        <v>0</v>
      </c>
      <c r="C1" s="105" t="s">
        <v>398</v>
      </c>
      <c r="D1" s="105" t="s">
        <v>4</v>
      </c>
      <c r="E1" s="105" t="s">
        <v>5</v>
      </c>
      <c r="F1" s="105" t="s">
        <v>7</v>
      </c>
      <c r="G1" s="105" t="s">
        <v>8</v>
      </c>
      <c r="H1" s="105" t="s">
        <v>9</v>
      </c>
      <c r="I1" s="105" t="s">
        <v>397</v>
      </c>
      <c r="J1" s="105" t="s">
        <v>10</v>
      </c>
      <c r="K1" s="105" t="s">
        <v>12</v>
      </c>
      <c r="L1" s="105" t="s">
        <v>13</v>
      </c>
      <c r="M1" s="105" t="s">
        <v>14</v>
      </c>
      <c r="N1" s="105" t="s">
        <v>15</v>
      </c>
      <c r="O1" s="105" t="s">
        <v>16</v>
      </c>
      <c r="P1" s="105" t="s">
        <v>17</v>
      </c>
      <c r="Q1" s="105" t="s">
        <v>19</v>
      </c>
      <c r="R1" s="105" t="s">
        <v>20</v>
      </c>
      <c r="S1" s="105" t="s">
        <v>21</v>
      </c>
      <c r="T1" s="105" t="s">
        <v>22</v>
      </c>
      <c r="U1" s="105" t="s">
        <v>24</v>
      </c>
      <c r="V1" s="105" t="s">
        <v>25</v>
      </c>
      <c r="W1" s="105" t="s">
        <v>26</v>
      </c>
      <c r="X1" s="105" t="s">
        <v>27</v>
      </c>
      <c r="Y1" s="105" t="s">
        <v>28</v>
      </c>
      <c r="Z1" s="105" t="s">
        <v>29</v>
      </c>
      <c r="AA1" s="105" t="s">
        <v>30</v>
      </c>
      <c r="AB1" s="105" t="s">
        <v>31</v>
      </c>
      <c r="AC1" s="105" t="s">
        <v>32</v>
      </c>
      <c r="AD1" s="105" t="s">
        <v>34</v>
      </c>
      <c r="AE1" s="105" t="s">
        <v>35</v>
      </c>
      <c r="AF1" s="105" t="s">
        <v>36</v>
      </c>
      <c r="AG1" s="105" t="s">
        <v>392</v>
      </c>
      <c r="AH1" s="105" t="s">
        <v>37</v>
      </c>
      <c r="AI1" s="105" t="s">
        <v>39</v>
      </c>
      <c r="AJ1" s="105" t="s">
        <v>40</v>
      </c>
      <c r="AK1" s="105" t="s">
        <v>41</v>
      </c>
      <c r="AL1" s="105" t="s">
        <v>42</v>
      </c>
      <c r="AM1" s="105" t="s">
        <v>43</v>
      </c>
      <c r="AN1" s="105" t="s">
        <v>44</v>
      </c>
      <c r="AO1" s="105" t="s">
        <v>395</v>
      </c>
      <c r="AP1" s="105" t="s">
        <v>45</v>
      </c>
      <c r="AQ1" s="105" t="s">
        <v>46</v>
      </c>
      <c r="AR1" s="105" t="s">
        <v>47</v>
      </c>
      <c r="AS1" s="105" t="s">
        <v>396</v>
      </c>
      <c r="AT1" s="105" t="s">
        <v>48</v>
      </c>
      <c r="AU1" s="105" t="s">
        <v>49</v>
      </c>
      <c r="AV1" s="105" t="s">
        <v>518</v>
      </c>
      <c r="AW1" s="105" t="s">
        <v>50</v>
      </c>
      <c r="AX1" s="105" t="s">
        <v>394</v>
      </c>
      <c r="AY1" s="105" t="s">
        <v>517</v>
      </c>
      <c r="AZ1" s="105" t="s">
        <v>602</v>
      </c>
      <c r="BA1" s="105" t="s">
        <v>603</v>
      </c>
      <c r="BB1" s="105" t="s">
        <v>604</v>
      </c>
      <c r="BC1" s="105" t="s">
        <v>605</v>
      </c>
      <c r="BD1" s="105" t="s">
        <v>626</v>
      </c>
      <c r="BE1" s="105" t="s">
        <v>627</v>
      </c>
      <c r="BF1" s="105" t="s">
        <v>628</v>
      </c>
      <c r="BG1" s="105" t="s">
        <v>629</v>
      </c>
      <c r="BH1" s="105" t="s">
        <v>650</v>
      </c>
      <c r="BI1" s="105" t="s">
        <v>651</v>
      </c>
      <c r="BJ1" s="105" t="s">
        <v>652</v>
      </c>
      <c r="BK1" s="105" t="s">
        <v>669</v>
      </c>
      <c r="BL1" s="105" t="s">
        <v>670</v>
      </c>
      <c r="BM1" s="105" t="s">
        <v>671</v>
      </c>
    </row>
    <row r="2" spans="1:65" ht="15" customHeight="1" x14ac:dyDescent="0.45">
      <c r="A2" s="107" t="s">
        <v>584</v>
      </c>
      <c r="B2" s="98">
        <f>_xll.StatMean(ST_Age)</f>
        <v>36.923809523809524</v>
      </c>
      <c r="C2" s="98">
        <f>_xll.StatMean(ST_WinsAge)</f>
        <v>36.918809523809522</v>
      </c>
      <c r="D2" s="99">
        <f>_xll.StatMean(ST_BusinessTravelFrequently)</f>
        <v>0.18843537414965986</v>
      </c>
      <c r="E2" s="99">
        <f>_xll.StatMean(ST_BusinessTravelrarely)</f>
        <v>0.70952380952380956</v>
      </c>
      <c r="F2" s="99">
        <f>_xll.StatMean(ST_DeptRD)</f>
        <v>0.65374149659863945</v>
      </c>
      <c r="G2" s="99">
        <f>_xll.StatMean(ST_DeptSales)</f>
        <v>0.30340136054421768</v>
      </c>
      <c r="H2" s="98">
        <f>_xll.StatMean(ST_DistanceFromHome)</f>
        <v>9.1925170068027207</v>
      </c>
      <c r="I2" s="98">
        <f>_xll.StatMean(ST_WinsDistanceFromHome)</f>
        <v>9.1925170068027207</v>
      </c>
      <c r="J2" s="98">
        <f>_xll.StatMean(ST_Education)</f>
        <v>2.9129251700680272</v>
      </c>
      <c r="K2" s="99">
        <f>_xll.StatMean(ST_EducationFieldLifeSci)</f>
        <v>0.41224489795918368</v>
      </c>
      <c r="L2" s="99">
        <f>_xll.StatMean(ST_EducationFieldOther)</f>
        <v>5.5782312925170066E-2</v>
      </c>
      <c r="M2" s="99">
        <f>_xll.StatMean(ST_EducationFieldMedical)</f>
        <v>0.31564625850340133</v>
      </c>
      <c r="N2" s="99">
        <f>_xll.StatMean(ST_EducationFieldMkt)</f>
        <v>0.10816326530612246</v>
      </c>
      <c r="O2" s="99">
        <f>_xll.StatMean(ST_EducationFieldTech)</f>
        <v>8.9795918367346933E-2</v>
      </c>
      <c r="P2" s="98">
        <f>_xll.StatMean(ST_EnvironmentSatisfaction)</f>
        <v>2.721768707482993</v>
      </c>
      <c r="Q2" s="99">
        <f>_xll.StatMean(ST_Female)</f>
        <v>0.4</v>
      </c>
      <c r="R2" s="101">
        <f>_xll.StatMean(ST_HourlyRate)</f>
        <v>65.89115646258503</v>
      </c>
      <c r="S2" s="99">
        <f>_xll.StatMean(ST_JobInvolvement)</f>
        <v>2.7299319727891156</v>
      </c>
      <c r="T2" s="98">
        <f>_xll.StatMean(ST_JobLevel)</f>
        <v>2.0639455782312925</v>
      </c>
      <c r="U2" s="99">
        <f>_xll.StatMean(ST_JobRoleHealthRep)</f>
        <v>8.9115646258503406E-2</v>
      </c>
      <c r="V2" s="99">
        <f>_xll.StatMean(ST_JobRoleSalesExe)</f>
        <v>0.22176870748299321</v>
      </c>
      <c r="W2" s="99">
        <f>_xll.StatMean(ST_JobRoleLab)</f>
        <v>0.1761904761904762</v>
      </c>
      <c r="X2" s="99">
        <f>_xll.StatMean(ST_JobRoleMgr)</f>
        <v>6.9387755102040816E-2</v>
      </c>
      <c r="Y2" s="99">
        <f>_xll.StatMean(ST_JobRoleManufDir)</f>
        <v>9.8639455782312924E-2</v>
      </c>
      <c r="Z2" s="99">
        <f>_xll.StatMean(ST_JobRoleResearchDir)</f>
        <v>9.8639455782312924E-2</v>
      </c>
      <c r="AA2" s="99">
        <f>_xll.StatMean(ST_JobRoleSalesRep)</f>
        <v>5.6462585034013607E-2</v>
      </c>
      <c r="AB2" s="99">
        <f>_xll.StatMean(ST_JobRoleResearchSci)</f>
        <v>0.19863945578231293</v>
      </c>
      <c r="AC2" s="98">
        <f>_xll.StatMean(ST_JobSatisfaction)</f>
        <v>2.7285714285714286</v>
      </c>
      <c r="AD2" s="99">
        <f>_xll.StatMean(ST_MaritalSingle)</f>
        <v>0.31972789115646261</v>
      </c>
      <c r="AE2" s="99">
        <f>_xll.StatMean(ST_MaritalMarried)</f>
        <v>0.45782312925170066</v>
      </c>
      <c r="AF2" s="101">
        <f>_xll.StatMean(ST_MonthlyIncome)</f>
        <v>6502.931292517007</v>
      </c>
      <c r="AG2" s="101">
        <f>_xll.StatMean(ST_WinsMonthlyIncome)</f>
        <v>6503.407176870749</v>
      </c>
      <c r="AH2" s="98">
        <f>_xll.StatMean(ST_NumCompaniesWorked)</f>
        <v>2.6931972789115646</v>
      </c>
      <c r="AI2" s="99">
        <f>_xll.StatMean(ST_OvertimeYes)</f>
        <v>0.28299319727891159</v>
      </c>
      <c r="AJ2" s="98">
        <f>_xll.StatMean(ST_PercentSalaryHike)</f>
        <v>15.209523809523809</v>
      </c>
      <c r="AK2" s="99">
        <f>_xll.StatMean(ST_PerformanceRating)</f>
        <v>3.1537414965986397</v>
      </c>
      <c r="AL2" s="98">
        <f>_xll.StatMean(ST_RelationshipSatisfaction)</f>
        <v>2.7122448979591836</v>
      </c>
      <c r="AM2" s="99">
        <f>_xll.StatMean(ST_StockOptionLevel)</f>
        <v>0.79387755102040813</v>
      </c>
      <c r="AN2" s="98">
        <f>_xll.StatMean(ST_TotalWorkingYears)</f>
        <v>11.279591836734694</v>
      </c>
      <c r="AO2" s="98">
        <f>_xll.StatMean(ST_WinsTotalWorkingYears)</f>
        <v>11.268707482993197</v>
      </c>
      <c r="AP2" s="98">
        <f>_xll.StatMean(ST_TrainingTimesLastYear)</f>
        <v>2.7993197278911564</v>
      </c>
      <c r="AQ2" s="99">
        <f>_xll.StatMean(ST_WorkLifeBalance)</f>
        <v>2.7612244897959184</v>
      </c>
      <c r="AR2" s="98">
        <f>_xll.StatMean(ST_YearsAtCompany)</f>
        <v>7.0081632653061225</v>
      </c>
      <c r="AS2" s="98">
        <f>_xll.StatMean(ST_WinsYearsAtCompany)</f>
        <v>6.9802721088435371</v>
      </c>
      <c r="AT2" s="98">
        <f>_xll.StatMean(ST_YearsInCurrentRole)</f>
        <v>4.2292517006802717</v>
      </c>
      <c r="AU2" s="98">
        <f>_xll.StatMean(ST_YearsSinceLastPromotion)</f>
        <v>2.1877551020408164</v>
      </c>
      <c r="AV2" s="98">
        <f>_xll.StatMean(ST_WinYearsSinceLastPromotion)</f>
        <v>2.1789115646258503</v>
      </c>
      <c r="AW2" s="98">
        <f>_xll.StatMean(ST_YearsWithCurrManager)</f>
        <v>4.1231292517006803</v>
      </c>
      <c r="AX2" s="98">
        <f>_xll.StatMean(ST_WinsYearsWithCurrentMgr)</f>
        <v>4.1027210884353744</v>
      </c>
      <c r="AY2" s="101">
        <f>_xll.StatMean(ST_GenderTotalWorkingYears)</f>
        <v>9.9299319727891149</v>
      </c>
      <c r="AZ2" s="99">
        <f>_xll.StatMean(ST_InteractionBusinessTravelFrequently0andMaritalMarried0)</f>
        <v>0.43401360544217688</v>
      </c>
      <c r="BA2" s="99">
        <f>_xll.StatMean(ST_InteractionBusinessTravelFrequently0andMaritalMarried1)</f>
        <v>0.37755102040816324</v>
      </c>
      <c r="BB2" s="99">
        <f>_xll.StatMean(ST_InteractionBusinessTravelFrequently1andMaritalMarried0)</f>
        <v>0.10816326530612246</v>
      </c>
      <c r="BC2" s="99">
        <f>_xll.StatMean(ST_InteractionBusinessTravelFrequently1andMaritalMarried1)</f>
        <v>8.0272108843537415E-2</v>
      </c>
      <c r="BD2" s="99">
        <f>_xll.StatMean(ST_InteractionMaritalMarried0andOvertimeYes0)</f>
        <v>0.38571428571428573</v>
      </c>
      <c r="BE2" s="99">
        <f>_xll.StatMean(ST_InteractionMaritalMarried0andOvertimeYes1)</f>
        <v>0.15646258503401361</v>
      </c>
      <c r="BF2" s="99">
        <f>_xll.StatMean(ST_InteractionMaritalMarried1andOvertimeYes0)</f>
        <v>0.33129251700680273</v>
      </c>
      <c r="BG2" s="99">
        <f>_xll.StatMean(ST_InteractionMaritalMarried1andOvertimeYes1)</f>
        <v>0.12653061224489795</v>
      </c>
      <c r="BH2" s="99">
        <f>_xll.StatMean(ST_InteractionWinsYearsWithCurrentMgrDepartmentHumanResources)</f>
        <v>0.15714285714285714</v>
      </c>
      <c r="BI2" s="98">
        <f>_xll.StatMean(ST_InteractionWinsYearsWithCurrentMgrDepartmentResearchDevelopment)</f>
        <v>2.6551020408163266</v>
      </c>
      <c r="BJ2" s="98">
        <f>_xll.StatMean(ST_InteractionWinsYearsWithCurrentMgrDepartmentSales)</f>
        <v>1.2904761904761906</v>
      </c>
      <c r="BK2" s="98">
        <f>_xll.StatMean(ST_InteractionWinsTotalWorkingYearsDepartmentHumanResources)</f>
        <v>0.49455782312925173</v>
      </c>
      <c r="BL2" s="98">
        <f>_xll.StatMean(ST_InteractionWinsTotalWorkingYearsDepartmentResearchDevelopment)</f>
        <v>7.408163265306122</v>
      </c>
      <c r="BM2" s="98">
        <f>_xll.StatMean(ST_InteractionWinsTotalWorkingYearsDepartmentSales)</f>
        <v>3.3659863945578232</v>
      </c>
    </row>
    <row r="3" spans="1:65" ht="15" customHeight="1" x14ac:dyDescent="0.45">
      <c r="A3" s="107" t="s">
        <v>735</v>
      </c>
      <c r="B3" s="98">
        <f>_xll.StatVariance(ST_Age)</f>
        <v>83.455048786022274</v>
      </c>
      <c r="C3" s="98">
        <f>_xll.StatVariance(ST_WinsAge)</f>
        <v>82.79445297254351</v>
      </c>
      <c r="D3" s="99">
        <f>_xll.StatVariance(ST_BusinessTravelFrequently)</f>
        <v>0.153031587039169</v>
      </c>
      <c r="E3" s="99">
        <f>_xll.StatVariance(ST_BusinessTravelrarely)</f>
        <v>0.20624007261175206</v>
      </c>
      <c r="F3" s="99">
        <f>_xll.StatVariance(ST_DeptRD)</f>
        <v>0.22651764586024828</v>
      </c>
      <c r="G3" s="99">
        <f>_xll.StatVariance(ST_DeptSales)</f>
        <v>0.21149284764960968</v>
      </c>
      <c r="H3" s="98">
        <f>_xll.StatVariance(ST_DistanceFromHome)</f>
        <v>65.721250978267591</v>
      </c>
      <c r="I3" s="98">
        <f>_xll.StatVariance(ST_WinsDistanceFromHome)</f>
        <v>65.721250978267591</v>
      </c>
      <c r="J3" s="98">
        <f>_xll.StatVariance(ST_Education)</f>
        <v>1.048913833743164</v>
      </c>
      <c r="K3" s="99">
        <f>_xll.StatVariance(ST_EducationFieldLifeSci)</f>
        <v>0.24246398355121804</v>
      </c>
      <c r="L3" s="99">
        <f>_xll.StatVariance(ST_EducationFieldOther)</f>
        <v>5.2706501252646004E-2</v>
      </c>
      <c r="M3" s="99">
        <f>_xll.StatVariance(ST_EducationFieldMedical)</f>
        <v>0.21616074612281927</v>
      </c>
      <c r="N3" s="99">
        <f>_xll.StatVariance(ST_EducationFieldMkt)</f>
        <v>9.6529639766047282E-2</v>
      </c>
      <c r="O3" s="99">
        <f>_xll.StatVariance(ST_EducationFieldTech)</f>
        <v>8.1788249676998354E-2</v>
      </c>
      <c r="P3" s="98">
        <f>_xll.StatVariance(ST_EnvironmentSatisfaction)</f>
        <v>1.1948287279513548</v>
      </c>
      <c r="Q3" s="99">
        <f>_xll.StatVariance(ST_Female)</f>
        <v>0.24016337644656899</v>
      </c>
      <c r="R3" s="101">
        <f>_xll.StatVariance(ST_HourlyRate)</f>
        <v>413.28562629953245</v>
      </c>
      <c r="S3" s="99">
        <f>_xll.StatVariance(ST_JobInvolvement)</f>
        <v>0.50631926017513573</v>
      </c>
      <c r="T3" s="98">
        <f>_xll.StatVariance(ST_JobLevel)</f>
        <v>1.2253159398544744</v>
      </c>
      <c r="U3" s="99">
        <f>_xll.StatVariance(ST_JobRoleHealthRep)</f>
        <v>8.122930588164394E-2</v>
      </c>
      <c r="V3" s="99">
        <f>_xll.StatVariance(ST_JobRoleSalesExe)</f>
        <v>0.17270483414604348</v>
      </c>
      <c r="W3" s="99">
        <f>_xll.StatVariance(ST_JobRoleLab)</f>
        <v>0.14524619922849724</v>
      </c>
      <c r="X3" s="99">
        <f>_xll.StatVariance(ST_JobRoleMgr)</f>
        <v>6.4617051721981525E-2</v>
      </c>
      <c r="Y3" s="99">
        <f>_xll.StatVariance(ST_JobRoleManufDir)</f>
        <v>8.8970237516379322E-2</v>
      </c>
      <c r="Z3" s="99">
        <f>_xll.StatVariance(ST_JobRoleResearchDir)</f>
        <v>8.8970237516379322E-2</v>
      </c>
      <c r="AA3" s="99">
        <f>_xll.StatVariance(ST_JobRoleSalesRep)</f>
        <v>5.3310827394265611E-2</v>
      </c>
      <c r="AB3" s="99">
        <f>_xll.StatVariance(ST_JobRoleResearchSci)</f>
        <v>0.15929018305756204</v>
      </c>
      <c r="AC3" s="98">
        <f>_xll.StatVariance(ST_JobSatisfaction)</f>
        <v>1.2162695711368152</v>
      </c>
      <c r="AD3" s="99">
        <f>_xll.StatVariance(ST_MaritalSingle)</f>
        <v>0.21765002801665151</v>
      </c>
      <c r="AE3" s="99">
        <f>_xll.StatVariance(ST_MaritalMarried)</f>
        <v>0.24839008442042471</v>
      </c>
      <c r="AF3" s="101">
        <f>_xll.StatVariance(ST_MonthlyIncome)</f>
        <v>22164857.071518421</v>
      </c>
      <c r="AG3" s="101">
        <f>_xll.StatVariance(ST_WinsMonthlyIncome)</f>
        <v>22094990.265486572</v>
      </c>
      <c r="AH3" s="98">
        <f>_xll.StatVariance(ST_NumCompaniesWorked)</f>
        <v>6.240048994410583</v>
      </c>
      <c r="AI3" s="99">
        <f>_xll.StatVariance(ST_OvertimeYes)</f>
        <v>0.20304617422190238</v>
      </c>
      <c r="AJ3" s="98">
        <f>_xll.StatVariance(ST_PercentSalaryHike)</f>
        <v>13.395144088949364</v>
      </c>
      <c r="AK3" s="99">
        <f>_xll.StatVariance(ST_PerformanceRating)</f>
        <v>0.13019361590790227</v>
      </c>
      <c r="AL3" s="98">
        <f>_xll.StatVariance(ST_RelationshipSatisfaction)</f>
        <v>1.1690126561176057</v>
      </c>
      <c r="AM3" s="99">
        <f>_xll.StatVariance(ST_StockOptionLevel)</f>
        <v>0.72603464803211704</v>
      </c>
      <c r="AN3" s="98">
        <f>_xll.StatVariance(ST_TotalWorkingYears)</f>
        <v>60.54056348203008</v>
      </c>
      <c r="AO3" s="98">
        <f>_xll.StatVariance(ST_WinsTotalWorkingYears)</f>
        <v>59.451913236363431</v>
      </c>
      <c r="AP3" s="98">
        <f>_xll.StatVariance(ST_TrainingTimesLastYear)</f>
        <v>1.6622187336473</v>
      </c>
      <c r="AQ3" s="99">
        <f>_xll.StatVariance(ST_WorkLifeBalance)</f>
        <v>0.49910809797029976</v>
      </c>
      <c r="AR3" s="98">
        <f>_xll.StatVariance(ST_YearsAtCompany)</f>
        <v>37.53431044303354</v>
      </c>
      <c r="AS3" s="98">
        <f>_xll.StatVariance(ST_WinsYearsAtCompany)</f>
        <v>36.058834507254389</v>
      </c>
      <c r="AT3" s="98">
        <f>_xll.StatVariance(ST_YearsInCurrentRole)</f>
        <v>13.127121972001953</v>
      </c>
      <c r="AU3" s="98">
        <f>_xll.StatVariance(ST_YearsSinceLastPromotion)</f>
        <v>10.384056903905202</v>
      </c>
      <c r="AV3" s="98">
        <f>_xll.StatVariance(ST_WinYearsSinceLastPromotion)</f>
        <v>10.16606280361011</v>
      </c>
      <c r="AW3" s="98">
        <f>_xll.StatVariance(ST_YearsWithCurrManager)</f>
        <v>12.731595374705385</v>
      </c>
      <c r="AX3" s="98">
        <f>_xll.StatVariance(ST_WinsYearsWithCurrentMgr)</f>
        <v>12.276030711808337</v>
      </c>
      <c r="AY3" s="101">
        <f>_xll.StatVariance(ST_GenderTotalWorkingYears)</f>
        <v>146.73640775575001</v>
      </c>
      <c r="AZ3" s="99">
        <f>_xll.StatVariance(ST_InteractionBusinessTravelFrequently0andMaritalMarried0)</f>
        <v>0.24581301547167059</v>
      </c>
      <c r="BA3" s="99">
        <f>_xll.StatVariance(ST_InteractionBusinessTravelFrequently0andMaritalMarried1)</f>
        <v>0.23516622442033833</v>
      </c>
      <c r="BB3" s="99">
        <f>_xll.StatVariance(ST_InteractionBusinessTravelFrequently1andMaritalMarried0)</f>
        <v>9.6529639766048364E-2</v>
      </c>
      <c r="BC3" s="99">
        <f>_xll.StatVariance(ST_InteractionBusinessTravelFrequently1andMaritalMarried1)</f>
        <v>7.3878755041841965E-2</v>
      </c>
      <c r="BD3" s="99">
        <f>_xll.StatVariance(ST_InteractionMaritalMarried0andOvertimeYes0)</f>
        <v>0.23710006807351755</v>
      </c>
      <c r="BE3" s="99">
        <f>_xll.StatVariance(ST_InteractionMaritalMarried0andOvertimeYes1)</f>
        <v>0.13207188934116823</v>
      </c>
      <c r="BF3" s="99">
        <f>_xll.StatVariance(ST_InteractionMaritalMarried1andOvertimeYes0)</f>
        <v>0.22168859374927194</v>
      </c>
      <c r="BG3" s="99">
        <f>_xll.StatVariance(ST_InteractionMaritalMarried1andOvertimeYes1)</f>
        <v>0.11059585168308318</v>
      </c>
      <c r="BH3" s="99">
        <f>_xll.StatVariance(ST_InteractionWinsYearsWithCurrentMgrDepartmentHumanResources)</f>
        <v>0.91266167460859049</v>
      </c>
      <c r="BI3" s="98">
        <f>_xll.StatVariance(ST_InteractionWinsYearsWithCurrentMgrDepartmentResearchDevelopment)</f>
        <v>11.735967824842511</v>
      </c>
      <c r="BJ3" s="98">
        <f>_xll.StatVariance(ST_InteractionWinsYearsWithCurrentMgrDepartmentSales)</f>
        <v>7.7256410256411643</v>
      </c>
      <c r="BK3" s="98">
        <f>_xll.StatVariance(ST_InteractionWinsTotalWorkingYearsDepartmentHumanResources)</f>
        <v>8.7429928268108306</v>
      </c>
      <c r="BL3" s="98">
        <f>_xll.StatVariance(ST_InteractionWinsTotalWorkingYearsDepartmentResearchDevelopment)</f>
        <v>68.12736694405443</v>
      </c>
      <c r="BM3" s="98">
        <f>_xll.StatVariance(ST_InteractionWinsTotalWorkingYearsDepartmentSales)</f>
        <v>43.151190823504201</v>
      </c>
    </row>
    <row r="4" spans="1:65" ht="15" customHeight="1" x14ac:dyDescent="0.45">
      <c r="A4" s="107" t="s">
        <v>736</v>
      </c>
      <c r="B4" s="98">
        <f>_xll.StatStdDev(ST_Age)</f>
        <v>9.1353734891367342</v>
      </c>
      <c r="C4" s="98">
        <f>_xll.StatStdDev(ST_WinsAge)</f>
        <v>9.0991457276242969</v>
      </c>
      <c r="D4" s="99">
        <f>_xll.StatStdDev(ST_BusinessTravelFrequently)</f>
        <v>0.39119251915031428</v>
      </c>
      <c r="E4" s="99">
        <f>_xll.StatStdDev(ST_BusinessTravelrarely)</f>
        <v>0.45413662328835808</v>
      </c>
      <c r="F4" s="99">
        <f>_xll.StatStdDev(ST_DeptRD)</f>
        <v>0.47593869968752095</v>
      </c>
      <c r="G4" s="99">
        <f>_xll.StatStdDev(ST_DeptSales)</f>
        <v>0.45988351530535393</v>
      </c>
      <c r="H4" s="98">
        <f>_xll.StatStdDev(ST_DistanceFromHome)</f>
        <v>8.1068644356660844</v>
      </c>
      <c r="I4" s="98">
        <f>_xll.StatStdDev(ST_WinsDistanceFromHome)</f>
        <v>8.1068644356660844</v>
      </c>
      <c r="J4" s="98">
        <f>_xll.StatStdDev(ST_Education)</f>
        <v>1.0241649445978729</v>
      </c>
      <c r="K4" s="99">
        <f>_xll.StatStdDev(ST_EducationFieldLifeSci)</f>
        <v>0.49240631956872571</v>
      </c>
      <c r="L4" s="99">
        <f>_xll.StatStdDev(ST_EducationFieldOther)</f>
        <v>0.22957896517896845</v>
      </c>
      <c r="M4" s="99">
        <f>_xll.StatStdDev(ST_EducationFieldMedical)</f>
        <v>0.46493090467597364</v>
      </c>
      <c r="N4" s="99">
        <f>_xll.StatStdDev(ST_EducationFieldMkt)</f>
        <v>0.310692194568913</v>
      </c>
      <c r="O4" s="99">
        <f>_xll.StatStdDev(ST_EducationFieldTech)</f>
        <v>0.28598645016328722</v>
      </c>
      <c r="P4" s="98">
        <f>_xll.StatStdDev(ST_EnvironmentSatisfaction)</f>
        <v>1.0930822146349994</v>
      </c>
      <c r="Q4" s="99">
        <f>_xll.StatStdDev(ST_Female)</f>
        <v>0.49006466557646144</v>
      </c>
      <c r="R4" s="101">
        <f>_xll.StatStdDev(ST_HourlyRate)</f>
        <v>20.329427593996158</v>
      </c>
      <c r="S4" s="99">
        <f>_xll.StatStdDev(ST_JobInvolvement)</f>
        <v>0.71156114296322825</v>
      </c>
      <c r="T4" s="98">
        <f>_xll.StatStdDev(ST_JobLevel)</f>
        <v>1.1069398989351114</v>
      </c>
      <c r="U4" s="99">
        <f>_xll.StatStdDev(ST_JobRoleHealthRep)</f>
        <v>0.28500755407821027</v>
      </c>
      <c r="V4" s="99">
        <f>_xll.StatStdDev(ST_JobRoleSalesExe)</f>
        <v>0.4155777113200893</v>
      </c>
      <c r="W4" s="99">
        <f>_xll.StatStdDev(ST_JobRoleLab)</f>
        <v>0.38111179360982422</v>
      </c>
      <c r="X4" s="99">
        <f>_xll.StatStdDev(ST_JobRoleMgr)</f>
        <v>0.25419884288088629</v>
      </c>
      <c r="Y4" s="99">
        <f>_xll.StatStdDev(ST_JobRoleManufDir)</f>
        <v>0.29827879159668613</v>
      </c>
      <c r="Z4" s="99">
        <f>_xll.StatStdDev(ST_JobRoleResearchDir)</f>
        <v>0.29827879159668613</v>
      </c>
      <c r="AA4" s="99">
        <f>_xll.StatStdDev(ST_JobRoleSalesRep)</f>
        <v>0.23089137574683385</v>
      </c>
      <c r="AB4" s="99">
        <f>_xll.StatStdDev(ST_JobRoleResearchSci)</f>
        <v>0.39911174257037596</v>
      </c>
      <c r="AC4" s="98">
        <f>_xll.StatStdDev(ST_JobSatisfaction)</f>
        <v>1.1028461230547149</v>
      </c>
      <c r="AD4" s="99">
        <f>_xll.StatStdDev(ST_MaritalSingle)</f>
        <v>0.4665297718438251</v>
      </c>
      <c r="AE4" s="99">
        <f>_xll.StatStdDev(ST_MaritalMarried)</f>
        <v>0.49838748421326223</v>
      </c>
      <c r="AF4" s="101">
        <f>_xll.StatStdDev(ST_MonthlyIncome)</f>
        <v>4707.956783097995</v>
      </c>
      <c r="AG4" s="101">
        <f>_xll.StatStdDev(ST_WinsMonthlyIncome)</f>
        <v>4700.530849328251</v>
      </c>
      <c r="AH4" s="98">
        <f>_xll.StatStdDev(ST_NumCompaniesWorked)</f>
        <v>2.4980090060707512</v>
      </c>
      <c r="AI4" s="99">
        <f>_xll.StatStdDev(ST_OvertimeYes)</f>
        <v>0.45060645159817936</v>
      </c>
      <c r="AJ4" s="98">
        <f>_xll.StatStdDev(ST_PercentSalaryHike)</f>
        <v>3.6599377165396358</v>
      </c>
      <c r="AK4" s="99">
        <f>_xll.StatStdDev(ST_PerformanceRating)</f>
        <v>0.36082352460434486</v>
      </c>
      <c r="AL4" s="98">
        <f>_xll.StatStdDev(ST_RelationshipSatisfaction)</f>
        <v>1.0812088864403611</v>
      </c>
      <c r="AM4" s="99">
        <f>_xll.StatStdDev(ST_StockOptionLevel)</f>
        <v>0.85207666793083647</v>
      </c>
      <c r="AN4" s="98">
        <f>_xll.StatStdDev(ST_TotalWorkingYears)</f>
        <v>7.7807816755150041</v>
      </c>
      <c r="AO4" s="98">
        <f>_xll.StatStdDev(ST_WinsTotalWorkingYears)</f>
        <v>7.7105066783165057</v>
      </c>
      <c r="AP4" s="98">
        <f>_xll.StatStdDev(ST_TrainingTimesLastYear)</f>
        <v>1.2892706207958435</v>
      </c>
      <c r="AQ4" s="99">
        <f>_xll.StatStdDev(ST_WorkLifeBalance)</f>
        <v>0.70647582971415224</v>
      </c>
      <c r="AR4" s="98">
        <f>_xll.StatStdDev(ST_YearsAtCompany)</f>
        <v>6.1265251524035662</v>
      </c>
      <c r="AS4" s="98">
        <f>_xll.StatStdDev(ST_WinsYearsAtCompany)</f>
        <v>6.0049008740573218</v>
      </c>
      <c r="AT4" s="98">
        <f>_xll.StatStdDev(ST_YearsInCurrentRole)</f>
        <v>3.6231370346706395</v>
      </c>
      <c r="AU4" s="98">
        <f>_xll.StatStdDev(ST_YearsSinceLastPromotion)</f>
        <v>3.222430279137968</v>
      </c>
      <c r="AV4" s="98">
        <f>_xll.StatStdDev(ST_WinYearsSinceLastPromotion)</f>
        <v>3.18842638359585</v>
      </c>
      <c r="AW4" s="98">
        <f>_xll.StatStdDev(ST_YearsWithCurrManager)</f>
        <v>3.5681361205404407</v>
      </c>
      <c r="AX4" s="98">
        <f>_xll.StatStdDev(ST_WinsYearsWithCurrentMgr)</f>
        <v>3.5037166997073745</v>
      </c>
      <c r="AY4" s="101">
        <f>_xll.StatStdDev(ST_GenderTotalWorkingYears)</f>
        <v>12.113480414635177</v>
      </c>
      <c r="AZ4" s="99">
        <f>_xll.StatStdDev(ST_InteractionBusinessTravelFrequently0andMaritalMarried0)</f>
        <v>0.49579533627462713</v>
      </c>
      <c r="BA4" s="99">
        <f>_xll.StatStdDev(ST_InteractionBusinessTravelFrequently0andMaritalMarried1)</f>
        <v>0.48493940283332138</v>
      </c>
      <c r="BB4" s="99">
        <f>_xll.StatStdDev(ST_InteractionBusinessTravelFrequently1andMaritalMarried0)</f>
        <v>0.31069219456891473</v>
      </c>
      <c r="BC4" s="99">
        <f>_xll.StatStdDev(ST_InteractionBusinessTravelFrequently1andMaritalMarried1)</f>
        <v>0.27180646615163878</v>
      </c>
      <c r="BD4" s="99">
        <f>_xll.StatStdDev(ST_InteractionMaritalMarried0andOvertimeYes0)</f>
        <v>0.48692922285843304</v>
      </c>
      <c r="BE4" s="99">
        <f>_xll.StatStdDev(ST_InteractionMaritalMarried0andOvertimeYes1)</f>
        <v>0.3634169634746956</v>
      </c>
      <c r="BF4" s="99">
        <f>_xll.StatStdDev(ST_InteractionMaritalMarried1andOvertimeYes0)</f>
        <v>0.47083818212765194</v>
      </c>
      <c r="BG4" s="99">
        <f>_xll.StatStdDev(ST_InteractionMaritalMarried1andOvertimeYes1)</f>
        <v>0.33255954607120086</v>
      </c>
      <c r="BH4" s="99">
        <f>_xll.StatStdDev(ST_InteractionWinsYearsWithCurrentMgrDepartmentHumanResources)</f>
        <v>0.95533327933689738</v>
      </c>
      <c r="BI4" s="98">
        <f>_xll.StatStdDev(ST_InteractionWinsYearsWithCurrentMgrDepartmentResearchDevelopment)</f>
        <v>3.4257798856380881</v>
      </c>
      <c r="BJ4" s="98">
        <f>_xll.StatStdDev(ST_InteractionWinsYearsWithCurrentMgrDepartmentSales)</f>
        <v>2.779503737295772</v>
      </c>
      <c r="BK4" s="98">
        <f>_xll.StatStdDev(ST_InteractionWinsTotalWorkingYearsDepartmentHumanResources)</f>
        <v>2.9568552258794867</v>
      </c>
      <c r="BL4" s="98">
        <f>_xll.StatStdDev(ST_InteractionWinsTotalWorkingYearsDepartmentResearchDevelopment)</f>
        <v>8.2539303937005926</v>
      </c>
      <c r="BM4" s="98">
        <f>_xll.StatStdDev(ST_InteractionWinsTotalWorkingYearsDepartmentSales)</f>
        <v>6.5689566008236193</v>
      </c>
    </row>
    <row r="5" spans="1:65" ht="15" customHeight="1" x14ac:dyDescent="0.45">
      <c r="A5" s="107" t="s">
        <v>737</v>
      </c>
      <c r="B5" s="99">
        <f>_xll.StatSkewness(ST_Age)</f>
        <v>0.41328630185633236</v>
      </c>
      <c r="C5" s="99">
        <f>_xll.StatSkewness(ST_WinsAge)</f>
        <v>0.40707852783570592</v>
      </c>
      <c r="D5" s="99">
        <f>_xll.StatSkewness(ST_BusinessTravelFrequently)</f>
        <v>1.5950668049332728</v>
      </c>
      <c r="E5" s="99">
        <f>_xll.StatSkewness(ST_BusinessTravelrarely)</f>
        <v>-0.9239918277718655</v>
      </c>
      <c r="F5" s="99">
        <f>_xll.StatSkewness(ST_DeptRD)</f>
        <v>-0.64693606037732732</v>
      </c>
      <c r="G5" s="99">
        <f>_xll.StatSkewness(ST_DeptSales)</f>
        <v>0.85615804203334167</v>
      </c>
      <c r="H5" s="99">
        <f>_xll.StatSkewness(ST_DistanceFromHome)</f>
        <v>0.9581179956568231</v>
      </c>
      <c r="I5" s="99">
        <f>_xll.StatSkewness(ST_WinsDistanceFromHome)</f>
        <v>0.9581179956568231</v>
      </c>
      <c r="J5" s="99">
        <f>_xll.StatSkewness(ST_Education)</f>
        <v>-0.2896810819684329</v>
      </c>
      <c r="K5" s="99">
        <f>_xll.StatSkewness(ST_EducationFieldLifeSci)</f>
        <v>0.35691929980715548</v>
      </c>
      <c r="L5" s="99">
        <f>_xll.StatSkewness(ST_EducationFieldOther)</f>
        <v>3.8751188545223885</v>
      </c>
      <c r="M5" s="99">
        <f>_xll.StatSkewness(ST_EducationFieldMedical)</f>
        <v>0.79411758941174748</v>
      </c>
      <c r="N5" s="99">
        <f>_xll.StatSkewness(ST_EducationFieldMkt)</f>
        <v>2.525783261156604</v>
      </c>
      <c r="O5" s="99">
        <f>_xll.StatSkewness(ST_EducationFieldTech)</f>
        <v>2.8726042268418683</v>
      </c>
      <c r="P5" s="99">
        <f>_xll.StatSkewness(ST_EnvironmentSatisfaction)</f>
        <v>-0.32165444773938168</v>
      </c>
      <c r="Q5" s="99">
        <f>_xll.StatSkewness(ST_Female)</f>
        <v>0.4086654142437493</v>
      </c>
      <c r="R5" s="99">
        <f>_xll.StatSkewness(ST_HourlyRate)</f>
        <v>-3.2310952900449337E-2</v>
      </c>
      <c r="S5" s="99">
        <f>_xll.StatSkewness(ST_JobInvolvement)</f>
        <v>-0.49841936404194992</v>
      </c>
      <c r="T5" s="99">
        <f>_xll.StatSkewness(ST_JobLevel)</f>
        <v>1.0254012829518442</v>
      </c>
      <c r="U5" s="99">
        <f>_xll.StatSkewness(ST_JobRoleHealthRep)</f>
        <v>2.8872507819668347</v>
      </c>
      <c r="V5" s="99">
        <f>_xll.StatSkewness(ST_JobRoleSalesExe)</f>
        <v>1.3408339602161294</v>
      </c>
      <c r="W5" s="99">
        <f>_xll.StatSkewness(ST_JobRoleLab)</f>
        <v>1.7016040260925545</v>
      </c>
      <c r="X5" s="99">
        <f>_xll.StatSkewness(ST_JobRoleMgr)</f>
        <v>3.3926111165171098</v>
      </c>
      <c r="Y5" s="99">
        <f>_xll.StatSkewness(ST_JobRoleManufDir)</f>
        <v>2.6948436715653794</v>
      </c>
      <c r="Z5" s="99">
        <f>_xll.StatSkewness(ST_JobRoleResearchDir)</f>
        <v>2.6948436715653794</v>
      </c>
      <c r="AA5" s="99">
        <f>_xll.StatSkewness(ST_JobRoleSalesRep)</f>
        <v>3.8471916756240163</v>
      </c>
      <c r="AB5" s="99">
        <f>_xll.StatSkewness(ST_JobRoleResearchSci)</f>
        <v>1.5122136734075471</v>
      </c>
      <c r="AC5" s="99">
        <f>_xll.StatSkewness(ST_JobSatisfaction)</f>
        <v>-0.32967195866366861</v>
      </c>
      <c r="AD5" s="99">
        <f>_xll.StatSkewness(ST_MaritalSingle)</f>
        <v>0.77387434657477372</v>
      </c>
      <c r="AE5" s="99">
        <f>_xll.StatSkewness(ST_MaritalMarried)</f>
        <v>0.16948392069571397</v>
      </c>
      <c r="AF5" s="99">
        <f>_xll.StatSkewness(ST_MonthlyIncome)</f>
        <v>1.3698166808390659</v>
      </c>
      <c r="AG5" s="99">
        <f>_xll.StatSkewness(ST_WinsMonthlyIncome)</f>
        <v>1.3688892763965328</v>
      </c>
      <c r="AH5" s="99">
        <f>_xll.StatSkewness(ST_NumCompaniesWorked)</f>
        <v>1.0264711119682053</v>
      </c>
      <c r="AI5" s="99">
        <f>_xll.StatSkewness(ST_OvertimeYes)</f>
        <v>0.9644888640425261</v>
      </c>
      <c r="AJ5" s="99">
        <f>_xll.StatSkewness(ST_PercentSalaryHike)</f>
        <v>0.82112797557809314</v>
      </c>
      <c r="AK5" s="99">
        <f>_xll.StatSkewness(ST_PerformanceRating)</f>
        <v>1.9218827021426197</v>
      </c>
      <c r="AL5" s="99">
        <f>_xll.StatSkewness(ST_RelationshipSatisfaction)</f>
        <v>-0.30282756517071818</v>
      </c>
      <c r="AM5" s="99">
        <f>_xll.StatSkewness(ST_StockOptionLevel)</f>
        <v>0.96898031677388308</v>
      </c>
      <c r="AN5" s="99">
        <f>_xll.StatSkewness(ST_TotalWorkingYears)</f>
        <v>1.1171718528128485</v>
      </c>
      <c r="AO5" s="99">
        <f>_xll.StatSkewness(ST_WinsTotalWorkingYears)</f>
        <v>1.0811326142214011</v>
      </c>
      <c r="AP5" s="99">
        <f>_xll.StatSkewness(ST_TrainingTimesLastYear)</f>
        <v>0.55312417105370026</v>
      </c>
      <c r="AQ5" s="99">
        <f>_xll.StatSkewness(ST_WorkLifeBalance)</f>
        <v>-0.55248029909651486</v>
      </c>
      <c r="AR5" s="99">
        <f>_xll.StatSkewness(ST_YearsAtCompany)</f>
        <v>1.7645294543422099</v>
      </c>
      <c r="AS5" s="99">
        <f>_xll.StatSkewness(ST_WinsYearsAtCompany)</f>
        <v>1.6159262051577954</v>
      </c>
      <c r="AT5" s="99">
        <f>_xll.StatSkewness(ST_YearsInCurrentRole)</f>
        <v>0.9173631562908291</v>
      </c>
      <c r="AU5" s="99">
        <f>_xll.StatSkewness(ST_YearsSinceLastPromotion)</f>
        <v>1.9842899833525096</v>
      </c>
      <c r="AV5" s="99">
        <f>_xll.StatSkewness(ST_WinYearsSinceLastPromotion)</f>
        <v>1.9323884890937777</v>
      </c>
      <c r="AW5" s="99">
        <f>_xll.StatSkewness(ST_YearsWithCurrManager)</f>
        <v>0.83345099199184647</v>
      </c>
      <c r="AX5" s="99">
        <f>_xll.StatSkewness(ST_WinsYearsWithCurrentMgr)</f>
        <v>0.71961000453042412</v>
      </c>
      <c r="AY5" s="99">
        <f>_xll.StatSkewness(ST_GenderTotalWorkingYears)</f>
        <v>1.9771695505101357</v>
      </c>
      <c r="AZ5" s="99">
        <f>_xll.StatSkewness(ST_InteractionBusinessTravelFrequently0andMaritalMarried0)</f>
        <v>0.26654665521633697</v>
      </c>
      <c r="BA5" s="99">
        <f>_xll.StatSkewness(ST_InteractionBusinessTravelFrequently0andMaritalMarried1)</f>
        <v>0.50569536357868139</v>
      </c>
      <c r="BB5" s="99">
        <f>_xll.StatSkewness(ST_InteractionBusinessTravelFrequently1andMaritalMarried0)</f>
        <v>2.52578326115656</v>
      </c>
      <c r="BC5" s="99">
        <f>_xll.StatSkewness(ST_InteractionBusinessTravelFrequently1andMaritalMarried1)</f>
        <v>3.0926396525528594</v>
      </c>
      <c r="BD5" s="99">
        <f>_xll.StatSkewness(ST_InteractionMaritalMarried0andOvertimeYes0)</f>
        <v>0.4700535992558626</v>
      </c>
      <c r="BE5" s="99">
        <f>_xll.StatSkewness(ST_InteractionMaritalMarried0andOvertimeYes1)</f>
        <v>1.8931722190521432</v>
      </c>
      <c r="BF5" s="99">
        <f>_xll.StatSkewness(ST_InteractionMaritalMarried1andOvertimeYes0)</f>
        <v>0.71760250596870434</v>
      </c>
      <c r="BG5" s="99">
        <f>_xll.StatSkewness(ST_InteractionMaritalMarried1andOvertimeYes1)</f>
        <v>2.2490901617650034</v>
      </c>
      <c r="BH5" s="99">
        <f>_xll.StatSkewness(ST_InteractionWinsYearsWithCurrentMgrDepartmentHumanResources)</f>
        <v>7.1217619404223571</v>
      </c>
      <c r="BI5" s="99">
        <f>_xll.StatSkewness(ST_InteractionWinsYearsWithCurrentMgrDepartmentResearchDevelopment)</f>
        <v>1.2481667785948711</v>
      </c>
      <c r="BJ5" s="99">
        <f>_xll.StatSkewness(ST_InteractionWinsYearsWithCurrentMgrDepartmentSales)</f>
        <v>2.3358562682944943</v>
      </c>
      <c r="BK5" s="99">
        <f>_xll.StatSkewness(ST_InteractionWinsTotalWorkingYearsDepartmentHumanResources)</f>
        <v>7.7926701848333293</v>
      </c>
      <c r="BL5" s="99">
        <f>_xll.StatSkewness(ST_InteractionWinsTotalWorkingYearsDepartmentResearchDevelopment)</f>
        <v>1.1883815913931477</v>
      </c>
      <c r="BM5" s="99">
        <f>_xll.StatSkewness(ST_InteractionWinsTotalWorkingYearsDepartmentSales)</f>
        <v>2.3323488850735918</v>
      </c>
    </row>
    <row r="6" spans="1:65" ht="15" customHeight="1" x14ac:dyDescent="0.45">
      <c r="A6" s="107" t="s">
        <v>738</v>
      </c>
      <c r="B6" s="99">
        <f>_xll.StatKurtosis(ST_Age)</f>
        <v>2.5958548628127138</v>
      </c>
      <c r="C6" s="99">
        <f>_xll.StatKurtosis(ST_WinsAge)</f>
        <v>2.5531345073509093</v>
      </c>
      <c r="D6" s="99">
        <f>_xll.StatKurtosis(ST_BusinessTravelFrequently)</f>
        <v>3.5449777268393774</v>
      </c>
      <c r="E6" s="99">
        <f>_xll.StatKurtosis(ST_BusinessTravelrarely)</f>
        <v>1.8521974078206427</v>
      </c>
      <c r="F6" s="99">
        <f>_xll.StatKurtosis(ST_DeptRD)</f>
        <v>1.4163698129847577</v>
      </c>
      <c r="G6" s="99">
        <f>_xll.StatKurtosis(ST_DeptSales)</f>
        <v>1.7312785874155394</v>
      </c>
      <c r="H6" s="99">
        <f>_xll.StatKurtosis(ST_DistanceFromHome)</f>
        <v>2.7751665950959516</v>
      </c>
      <c r="I6" s="99">
        <f>_xll.StatKurtosis(ST_WinsDistanceFromHome)</f>
        <v>2.7751665950959516</v>
      </c>
      <c r="J6" s="99">
        <f>_xll.StatKurtosis(ST_Education)</f>
        <v>2.44088503358569</v>
      </c>
      <c r="K6" s="99">
        <f>_xll.StatKurtosis(ST_EducationFieldLifeSci)</f>
        <v>1.1248382914497674</v>
      </c>
      <c r="L6" s="99">
        <f>_xll.StatKurtosis(ST_EducationFieldOther)</f>
        <v>16.034278012338071</v>
      </c>
      <c r="M6" s="99">
        <f>_xll.StatKurtosis(ST_EducationFieldMedical)</f>
        <v>1.6287552526307587</v>
      </c>
      <c r="N6" s="99">
        <f>_xll.StatKurtosis(ST_EducationFieldMkt)</f>
        <v>7.3855459647267168</v>
      </c>
      <c r="O6" s="99">
        <f>_xll.StatKurtosis(ST_EducationFieldTech)</f>
        <v>9.2603707107875266</v>
      </c>
      <c r="P6" s="99">
        <f>_xll.StatKurtosis(ST_EnvironmentSatisfaction)</f>
        <v>1.797479478203325</v>
      </c>
      <c r="Q6" s="99">
        <f>_xll.StatKurtosis(ST_Female)</f>
        <v>1.1645082985226072</v>
      </c>
      <c r="R6" s="99">
        <f>_xll.StatKurtosis(ST_HourlyRate)</f>
        <v>1.8036015437434214</v>
      </c>
      <c r="S6" s="99">
        <f>_xll.StatKurtosis(ST_JobInvolvement)</f>
        <v>3.2709987664943942</v>
      </c>
      <c r="T6" s="99">
        <f>_xll.StatKurtosis(ST_JobLevel)</f>
        <v>3.3991520553913346</v>
      </c>
      <c r="U6" s="99">
        <f>_xll.StatKurtosis(ST_JobRoleHealthRep)</f>
        <v>9.34484767944274</v>
      </c>
      <c r="V6" s="99">
        <f>_xll.StatKurtosis(ST_JobRoleSalesExe)</f>
        <v>2.7975584255579831</v>
      </c>
      <c r="W6" s="99">
        <f>_xll.StatKurtosis(ST_JobRoleLab)</f>
        <v>3.8966743755387609</v>
      </c>
      <c r="X6" s="99">
        <f>_xll.StatKurtosis(ST_JobRoleMgr)</f>
        <v>12.522764489736053</v>
      </c>
      <c r="Y6" s="99">
        <f>_xll.StatKurtosis(ST_JobRoleManufDir)</f>
        <v>8.2693497518088215</v>
      </c>
      <c r="Z6" s="99">
        <f>_xll.StatKurtosis(ST_JobRoleResearchDir)</f>
        <v>8.2693497518088215</v>
      </c>
      <c r="AA6" s="99">
        <f>_xll.StatKurtosis(ST_JobRoleSalesRep)</f>
        <v>15.818321846469171</v>
      </c>
      <c r="AB6" s="99">
        <f>_xll.StatKurtosis(ST_JobRoleResearchSci)</f>
        <v>3.2871790618722785</v>
      </c>
      <c r="AC6" s="99">
        <f>_xll.StatKurtosis(ST_JobSatisfaction)</f>
        <v>1.7778074315036436</v>
      </c>
      <c r="AD6" s="99">
        <f>_xll.StatKurtosis(ST_MaritalSingle)</f>
        <v>1.5969707668658011</v>
      </c>
      <c r="AE6" s="99">
        <f>_xll.StatKurtosis(ST_MaritalMarried)</f>
        <v>1.026037280981333</v>
      </c>
      <c r="AF6" s="99">
        <f>_xll.StatKurtosis(ST_MonthlyIncome)</f>
        <v>4.0052326914498568</v>
      </c>
      <c r="AG6" s="99">
        <f>_xll.StatKurtosis(ST_WinsMonthlyIncome)</f>
        <v>3.9938534408537438</v>
      </c>
      <c r="AH6" s="99">
        <f>_xll.StatKurtosis(ST_NumCompaniesWorked)</f>
        <v>3.0102138166903449</v>
      </c>
      <c r="AI6" s="99">
        <f>_xll.StatKurtosis(ST_OvertimeYes)</f>
        <v>1.9287794722749483</v>
      </c>
      <c r="AJ6" s="99">
        <f>_xll.StatKurtosis(ST_PercentSalaryHike)</f>
        <v>2.6994017779094563</v>
      </c>
      <c r="AK6" s="99">
        <f>_xll.StatKurtosis(ST_PerformanceRating)</f>
        <v>4.6959386701408707</v>
      </c>
      <c r="AL6" s="99">
        <f>_xll.StatKurtosis(ST_RelationshipSatisfaction)</f>
        <v>1.815186018131109</v>
      </c>
      <c r="AM6" s="99">
        <f>_xll.StatKurtosis(ST_StockOptionLevel)</f>
        <v>3.3646343338026861</v>
      </c>
      <c r="AN6" s="99">
        <f>_xll.StatKurtosis(ST_TotalWorkingYears)</f>
        <v>3.9182695366213607</v>
      </c>
      <c r="AO6" s="99">
        <f>_xll.StatKurtosis(ST_WinsTotalWorkingYears)</f>
        <v>3.7210575619351793</v>
      </c>
      <c r="AP6" s="99">
        <f>_xll.StatKurtosis(ST_TrainingTimesLastYear)</f>
        <v>3.4949929860394815</v>
      </c>
      <c r="AQ6" s="99">
        <f>_xll.StatKurtosis(ST_WorkLifeBalance)</f>
        <v>3.4194604953215975</v>
      </c>
      <c r="AR6" s="99">
        <f>_xll.StatKurtosis(ST_YearsAtCompany)</f>
        <v>6.935508755754757</v>
      </c>
      <c r="AS6" s="99">
        <f>_xll.StatKurtosis(ST_WinsYearsAtCompany)</f>
        <v>5.9246127039555869</v>
      </c>
      <c r="AT6" s="99">
        <f>_xll.StatKurtosis(ST_YearsInCurrentRole)</f>
        <v>3.4774207735134479</v>
      </c>
      <c r="AU6" s="99">
        <f>_xll.StatKurtosis(ST_YearsSinceLastPromotion)</f>
        <v>6.612673114548663</v>
      </c>
      <c r="AV6" s="99">
        <f>_xll.StatKurtosis(ST_WinYearsSinceLastPromotion)</f>
        <v>6.2780761139397772</v>
      </c>
      <c r="AW6" s="99">
        <f>_xll.StatKurtosis(ST_YearsWithCurrManager)</f>
        <v>3.1710580838832993</v>
      </c>
      <c r="AX6" s="99">
        <f>_xll.StatKurtosis(ST_WinsYearsWithCurrentMgr)</f>
        <v>2.6613058361182609</v>
      </c>
      <c r="AY6" s="99">
        <f>_xll.StatKurtosis(ST_GenderTotalWorkingYears)</f>
        <v>7.487589626932099</v>
      </c>
      <c r="AZ6" s="99">
        <f>_xll.StatKurtosis(ST_InteractionBusinessTravelFrequently0andMaritalMarried0)</f>
        <v>1.0684172609040468</v>
      </c>
      <c r="BA6" s="99">
        <f>_xll.StatKurtosis(ST_InteractionBusinessTravelFrequently0andMaritalMarried1)</f>
        <v>1.2533495510329364</v>
      </c>
      <c r="BB6" s="99">
        <f>_xll.StatKurtosis(ST_InteractionBusinessTravelFrequently1andMaritalMarried0)</f>
        <v>7.3855459647265338</v>
      </c>
      <c r="BC6" s="99">
        <f>_xll.StatKurtosis(ST_InteractionBusinessTravelFrequently1andMaritalMarried1)</f>
        <v>10.574723924581546</v>
      </c>
      <c r="BD6" s="99">
        <f>_xll.StatKurtosis(ST_InteractionMaritalMarried0andOvertimeYes0)</f>
        <v>1.2185247557436658</v>
      </c>
      <c r="BE6" s="99">
        <f>_xll.StatKurtosis(ST_InteractionMaritalMarried0andOvertimeYes1)</f>
        <v>4.5862573739451502</v>
      </c>
      <c r="BF6" s="99">
        <f>_xll.StatKurtosis(ST_InteractionMaritalMarried1andOvertimeYes0)</f>
        <v>1.5129282755203226</v>
      </c>
      <c r="BG6" s="99">
        <f>_xll.StatKurtosis(ST_InteractionMaritalMarried1andOvertimeYes1)</f>
        <v>6.0625714711709335</v>
      </c>
      <c r="BH6" s="99">
        <f>_xll.StatKurtosis(ST_InteractionWinsYearsWithCurrentMgrDepartmentHumanResources)</f>
        <v>57.15668787760157</v>
      </c>
      <c r="BI6" s="99">
        <f>_xll.StatKurtosis(ST_InteractionWinsYearsWithCurrentMgrDepartmentResearchDevelopment)</f>
        <v>3.6328786691806458</v>
      </c>
      <c r="BJ6" s="99">
        <f>_xll.StatKurtosis(ST_InteractionWinsYearsWithCurrentMgrDepartmentSales)</f>
        <v>7.7897782196606755</v>
      </c>
      <c r="BK6" s="99">
        <f>_xll.StatKurtosis(ST_InteractionWinsTotalWorkingYearsDepartmentHumanResources)</f>
        <v>72.279450088306859</v>
      </c>
      <c r="BL6" s="99">
        <f>_xll.StatKurtosis(ST_InteractionWinsTotalWorkingYearsDepartmentResearchDevelopment)</f>
        <v>3.8665470656260781</v>
      </c>
      <c r="BM6" s="99">
        <f>_xll.StatKurtosis(ST_InteractionWinsTotalWorkingYearsDepartmentSales)</f>
        <v>8.5531693474922292</v>
      </c>
    </row>
    <row r="7" spans="1:65" ht="15" customHeight="1" x14ac:dyDescent="0.45">
      <c r="A7" s="107" t="s">
        <v>592</v>
      </c>
      <c r="B7" s="98">
        <f>_xll.StatMedian(ST_Age)</f>
        <v>36</v>
      </c>
      <c r="C7" s="98">
        <f>_xll.StatMedian(ST_WinsAge)</f>
        <v>36</v>
      </c>
      <c r="D7" s="99">
        <f>_xll.StatMedian(ST_BusinessTravelFrequently)</f>
        <v>0</v>
      </c>
      <c r="E7" s="99">
        <f>_xll.StatMedian(ST_BusinessTravelrarely)</f>
        <v>1</v>
      </c>
      <c r="F7" s="99">
        <f>_xll.StatMedian(ST_DeptRD)</f>
        <v>1</v>
      </c>
      <c r="G7" s="99">
        <f>_xll.StatMedian(ST_DeptSales)</f>
        <v>0</v>
      </c>
      <c r="H7" s="98">
        <f>_xll.StatMedian(ST_DistanceFromHome)</f>
        <v>7</v>
      </c>
      <c r="I7" s="98">
        <f>_xll.StatMedian(ST_WinsDistanceFromHome)</f>
        <v>7</v>
      </c>
      <c r="J7" s="98">
        <f>_xll.StatMedian(ST_Education)</f>
        <v>3</v>
      </c>
      <c r="K7" s="99">
        <f>_xll.StatMedian(ST_EducationFieldLifeSci)</f>
        <v>0</v>
      </c>
      <c r="L7" s="99">
        <f>_xll.StatMedian(ST_EducationFieldOther)</f>
        <v>0</v>
      </c>
      <c r="M7" s="99">
        <f>_xll.StatMedian(ST_EducationFieldMedical)</f>
        <v>0</v>
      </c>
      <c r="N7" s="99">
        <f>_xll.StatMedian(ST_EducationFieldMkt)</f>
        <v>0</v>
      </c>
      <c r="O7" s="99">
        <f>_xll.StatMedian(ST_EducationFieldTech)</f>
        <v>0</v>
      </c>
      <c r="P7" s="98">
        <f>_xll.StatMedian(ST_EnvironmentSatisfaction)</f>
        <v>3</v>
      </c>
      <c r="Q7" s="99">
        <f>_xll.StatMedian(ST_Female)</f>
        <v>0</v>
      </c>
      <c r="R7" s="101">
        <f>_xll.StatMedian(ST_HourlyRate)</f>
        <v>66</v>
      </c>
      <c r="S7" s="99">
        <f>_xll.StatMedian(ST_JobInvolvement)</f>
        <v>3</v>
      </c>
      <c r="T7" s="98">
        <f>_xll.StatMedian(ST_JobLevel)</f>
        <v>2</v>
      </c>
      <c r="U7" s="99">
        <f>_xll.StatMedian(ST_JobRoleHealthRep)</f>
        <v>0</v>
      </c>
      <c r="V7" s="99">
        <f>_xll.StatMedian(ST_JobRoleSalesExe)</f>
        <v>0</v>
      </c>
      <c r="W7" s="99">
        <f>_xll.StatMedian(ST_JobRoleLab)</f>
        <v>0</v>
      </c>
      <c r="X7" s="99">
        <f>_xll.StatMedian(ST_JobRoleMgr)</f>
        <v>0</v>
      </c>
      <c r="Y7" s="99">
        <f>_xll.StatMedian(ST_JobRoleManufDir)</f>
        <v>0</v>
      </c>
      <c r="Z7" s="99">
        <f>_xll.StatMedian(ST_JobRoleResearchDir)</f>
        <v>0</v>
      </c>
      <c r="AA7" s="99">
        <f>_xll.StatMedian(ST_JobRoleSalesRep)</f>
        <v>0</v>
      </c>
      <c r="AB7" s="99">
        <f>_xll.StatMedian(ST_JobRoleResearchSci)</f>
        <v>0</v>
      </c>
      <c r="AC7" s="98">
        <f>_xll.StatMedian(ST_JobSatisfaction)</f>
        <v>3</v>
      </c>
      <c r="AD7" s="99">
        <f>_xll.StatMedian(ST_MaritalSingle)</f>
        <v>0</v>
      </c>
      <c r="AE7" s="99">
        <f>_xll.StatMedian(ST_MaritalMarried)</f>
        <v>0</v>
      </c>
      <c r="AF7" s="101">
        <f>_xll.StatMedian(ST_MonthlyIncome)</f>
        <v>4908</v>
      </c>
      <c r="AG7" s="101">
        <f>_xll.StatMedian(ST_WinsMonthlyIncome)</f>
        <v>4908</v>
      </c>
      <c r="AH7" s="98">
        <f>_xll.StatMedian(ST_NumCompaniesWorked)</f>
        <v>2</v>
      </c>
      <c r="AI7" s="99">
        <f>_xll.StatMedian(ST_OvertimeYes)</f>
        <v>0</v>
      </c>
      <c r="AJ7" s="98">
        <f>_xll.StatMedian(ST_PercentSalaryHike)</f>
        <v>14</v>
      </c>
      <c r="AK7" s="99">
        <f>_xll.StatMedian(ST_PerformanceRating)</f>
        <v>3</v>
      </c>
      <c r="AL7" s="98">
        <f>_xll.StatMedian(ST_RelationshipSatisfaction)</f>
        <v>3</v>
      </c>
      <c r="AM7" s="99">
        <f>_xll.StatMedian(ST_StockOptionLevel)</f>
        <v>1</v>
      </c>
      <c r="AN7" s="98">
        <f>_xll.StatMedian(ST_TotalWorkingYears)</f>
        <v>10</v>
      </c>
      <c r="AO7" s="98">
        <f>_xll.StatMedian(ST_WinsTotalWorkingYears)</f>
        <v>10</v>
      </c>
      <c r="AP7" s="98">
        <f>_xll.StatMedian(ST_TrainingTimesLastYear)</f>
        <v>3</v>
      </c>
      <c r="AQ7" s="99">
        <f>_xll.StatMedian(ST_WorkLifeBalance)</f>
        <v>3</v>
      </c>
      <c r="AR7" s="98">
        <f>_xll.StatMedian(ST_YearsAtCompany)</f>
        <v>5</v>
      </c>
      <c r="AS7" s="98">
        <f>_xll.StatMedian(ST_WinsYearsAtCompany)</f>
        <v>5</v>
      </c>
      <c r="AT7" s="98">
        <f>_xll.StatMedian(ST_YearsInCurrentRole)</f>
        <v>3</v>
      </c>
      <c r="AU7" s="98">
        <f>_xll.StatMedian(ST_YearsSinceLastPromotion)</f>
        <v>1</v>
      </c>
      <c r="AV7" s="98">
        <f>_xll.StatMedian(ST_WinYearsSinceLastPromotion)</f>
        <v>1</v>
      </c>
      <c r="AW7" s="98">
        <f>_xll.StatMedian(ST_YearsWithCurrManager)</f>
        <v>3</v>
      </c>
      <c r="AX7" s="98">
        <f>_xll.StatMedian(ST_WinsYearsWithCurrentMgr)</f>
        <v>3</v>
      </c>
      <c r="AY7" s="101">
        <f>_xll.StatMedian(ST_GenderTotalWorkingYears)</f>
        <v>5</v>
      </c>
      <c r="AZ7" s="99">
        <f>_xll.StatMedian(ST_InteractionBusinessTravelFrequently0andMaritalMarried0)</f>
        <v>0</v>
      </c>
      <c r="BA7" s="99">
        <f>_xll.StatMedian(ST_InteractionBusinessTravelFrequently0andMaritalMarried1)</f>
        <v>0</v>
      </c>
      <c r="BB7" s="99">
        <f>_xll.StatMedian(ST_InteractionBusinessTravelFrequently1andMaritalMarried0)</f>
        <v>0</v>
      </c>
      <c r="BC7" s="99">
        <f>_xll.StatMedian(ST_InteractionBusinessTravelFrequently1andMaritalMarried1)</f>
        <v>0</v>
      </c>
      <c r="BD7" s="99">
        <f>_xll.StatMedian(ST_InteractionMaritalMarried0andOvertimeYes0)</f>
        <v>0</v>
      </c>
      <c r="BE7" s="99">
        <f>_xll.StatMedian(ST_InteractionMaritalMarried0andOvertimeYes1)</f>
        <v>0</v>
      </c>
      <c r="BF7" s="99">
        <f>_xll.StatMedian(ST_InteractionMaritalMarried1andOvertimeYes0)</f>
        <v>0</v>
      </c>
      <c r="BG7" s="99">
        <f>_xll.StatMedian(ST_InteractionMaritalMarried1andOvertimeYes1)</f>
        <v>0</v>
      </c>
      <c r="BH7" s="99">
        <f>_xll.StatMedian(ST_InteractionWinsYearsWithCurrentMgrDepartmentHumanResources)</f>
        <v>0</v>
      </c>
      <c r="BI7" s="98">
        <f>_xll.StatMedian(ST_InteractionWinsYearsWithCurrentMgrDepartmentResearchDevelopment)</f>
        <v>2</v>
      </c>
      <c r="BJ7" s="98">
        <f>_xll.StatMedian(ST_InteractionWinsYearsWithCurrentMgrDepartmentSales)</f>
        <v>0</v>
      </c>
      <c r="BK7" s="98">
        <f>_xll.StatMedian(ST_InteractionWinsTotalWorkingYearsDepartmentHumanResources)</f>
        <v>0</v>
      </c>
      <c r="BL7" s="98">
        <f>_xll.StatMedian(ST_InteractionWinsTotalWorkingYearsDepartmentResearchDevelopment)</f>
        <v>6</v>
      </c>
      <c r="BM7" s="98">
        <f>_xll.StatMedian(ST_InteractionWinsTotalWorkingYearsDepartmentSales)</f>
        <v>0</v>
      </c>
    </row>
    <row r="8" spans="1:65" ht="15" customHeight="1" x14ac:dyDescent="0.45">
      <c r="A8" s="107" t="s">
        <v>739</v>
      </c>
      <c r="B8" s="98">
        <f>_xll.StatAveDev(ST_Age)</f>
        <v>7.4097959183673368</v>
      </c>
      <c r="C8" s="98">
        <f>_xll.StatAveDev(ST_WinsAge)</f>
        <v>7.3934829931972867</v>
      </c>
      <c r="D8" s="99">
        <f>_xll.StatAveDev(ST_BusinessTravelFrequently)</f>
        <v>0.30585496783747662</v>
      </c>
      <c r="E8" s="99">
        <f>_xll.StatAveDev(ST_BusinessTravelrarely)</f>
        <v>0.41219954648525658</v>
      </c>
      <c r="F8" s="99">
        <f>_xll.StatAveDev(ST_DeptRD)</f>
        <v>0.45272710444722364</v>
      </c>
      <c r="G8" s="99">
        <f>_xll.StatAveDev(ST_DeptSales)</f>
        <v>0.42269794992827037</v>
      </c>
      <c r="H8" s="98">
        <f>_xll.StatAveDev(ST_DistanceFromHome)</f>
        <v>6.5727428386320108</v>
      </c>
      <c r="I8" s="98">
        <f>_xll.StatAveDev(ST_WinsDistanceFromHome)</f>
        <v>6.5727428386320108</v>
      </c>
      <c r="J8" s="98">
        <f>_xll.StatAveDev(ST_Education)</f>
        <v>0.79271044472211127</v>
      </c>
      <c r="K8" s="99">
        <f>_xll.StatAveDev(ST_EducationFieldLifeSci)</f>
        <v>0.48459808413161259</v>
      </c>
      <c r="L8" s="99">
        <f>_xll.StatAveDev(ST_EducationFieldOther)</f>
        <v>0.10534129297977887</v>
      </c>
      <c r="M8" s="99">
        <f>_xll.StatAveDev(ST_EducationFieldMedical)</f>
        <v>0.43202739599241424</v>
      </c>
      <c r="N8" s="99">
        <f>_xll.StatAveDev(ST_EducationFieldMkt)</f>
        <v>0.19292794668888347</v>
      </c>
      <c r="O8" s="99">
        <f>_xll.StatAveDev(ST_EducationFieldTech)</f>
        <v>0.16346522282382109</v>
      </c>
      <c r="P8" s="98">
        <f>_xll.StatAveDev(ST_EnvironmentSatisfaction)</f>
        <v>0.94711555370447387</v>
      </c>
      <c r="Q8" s="99">
        <f>_xll.StatAveDev(ST_Female)</f>
        <v>0.47999999999999737</v>
      </c>
      <c r="R8" s="101">
        <f>_xll.StatAveDev(ST_HourlyRate)</f>
        <v>17.649247998519137</v>
      </c>
      <c r="S8" s="99">
        <f>_xll.StatAveDev(ST_JobInvolvement)</f>
        <v>0.56776713406450696</v>
      </c>
      <c r="T8" s="98">
        <f>_xll.StatAveDev(ST_JobLevel)</f>
        <v>0.83247535748993817</v>
      </c>
      <c r="U8" s="99">
        <f>_xll.StatAveDev(ST_JobRoleHealthRep)</f>
        <v>0.16234809570086706</v>
      </c>
      <c r="V8" s="99">
        <f>_xll.StatAveDev(ST_JobRoleSalesExe)</f>
        <v>0.34517469572862436</v>
      </c>
      <c r="W8" s="99">
        <f>_xll.StatAveDev(ST_JobRoleLab)</f>
        <v>0.29029478458049557</v>
      </c>
      <c r="X8" s="99">
        <f>_xll.StatAveDev(ST_JobRoleMgr)</f>
        <v>0.12914618908788103</v>
      </c>
      <c r="Y8" s="99">
        <f>_xll.StatAveDev(ST_JobRoleManufDir)</f>
        <v>0.17781942709056711</v>
      </c>
      <c r="Z8" s="99">
        <f>_xll.StatAveDev(ST_JobRoleResearchDir)</f>
        <v>0.17781942709056711</v>
      </c>
      <c r="AA8" s="99">
        <f>_xll.StatAveDev(ST_JobRoleSalesRep)</f>
        <v>0.10654912305057965</v>
      </c>
      <c r="AB8" s="99">
        <f>_xll.StatAveDev(ST_JobRoleResearchSci)</f>
        <v>0.31836364477763912</v>
      </c>
      <c r="AC8" s="98">
        <f>_xll.StatAveDev(ST_JobSatisfaction)</f>
        <v>0.95722060252672148</v>
      </c>
      <c r="AD8" s="99">
        <f>_xll.StatAveDev(ST_MaritalSingle)</f>
        <v>0.43500393354620964</v>
      </c>
      <c r="AE8" s="99">
        <f>_xll.StatAveDev(ST_MaritalMarried)</f>
        <v>0.49644222314776337</v>
      </c>
      <c r="AF8" s="101">
        <f>_xll.StatAveDev(ST_MonthlyIncome)</f>
        <v>3631.4460854273948</v>
      </c>
      <c r="AG8" s="101">
        <f>_xll.StatAveDev(ST_WinsMonthlyIncome)</f>
        <v>3627.6243697996488</v>
      </c>
      <c r="AH8" s="98">
        <f>_xll.StatAveDev(ST_NumCompaniesWorked)</f>
        <v>2.0597584339858459</v>
      </c>
      <c r="AI8" s="99">
        <f>_xll.StatAveDev(ST_OvertimeYes)</f>
        <v>0.40581609514554001</v>
      </c>
      <c r="AJ8" s="98">
        <f>_xll.StatAveDev(ST_PercentSalaryHike)</f>
        <v>3.0551733074182104</v>
      </c>
      <c r="AK8" s="99">
        <f>_xll.StatAveDev(ST_PerformanceRating)</f>
        <v>0.2602100976444946</v>
      </c>
      <c r="AL8" s="98">
        <f>_xll.StatAveDev(ST_RelationshipSatisfaction)</f>
        <v>0.93658475635152061</v>
      </c>
      <c r="AM8" s="99">
        <f>_xll.StatAveDev(ST_StockOptionLevel)</f>
        <v>0.68154657781480177</v>
      </c>
      <c r="AN8" s="98">
        <f>_xll.StatAveDev(ST_TotalWorkingYears)</f>
        <v>6.0341885325558939</v>
      </c>
      <c r="AO8" s="98">
        <f>_xll.StatAveDev(ST_WinsTotalWorkingYears)</f>
        <v>6.0050210560414259</v>
      </c>
      <c r="AP8" s="98">
        <f>_xll.StatAveDev(ST_TrainingTimesLastYear)</f>
        <v>0.97434402332361836</v>
      </c>
      <c r="AQ8" s="99">
        <f>_xll.StatAveDev(ST_WorkLifeBalance)</f>
        <v>0.54797167846730388</v>
      </c>
      <c r="AR8" s="98">
        <f>_xll.StatAveDev(ST_YearsAtCompany)</f>
        <v>4.4716867971678633</v>
      </c>
      <c r="AS8" s="98">
        <f>_xll.StatAveDev(ST_WinsYearsAtCompany)</f>
        <v>4.43835624045537</v>
      </c>
      <c r="AT8" s="98">
        <f>_xll.StatAveDev(ST_YearsInCurrentRole)</f>
        <v>3.0409218381230154</v>
      </c>
      <c r="AU8" s="98">
        <f>_xll.StatAveDev(ST_YearsSinceLastPromotion)</f>
        <v>2.3468943495765511</v>
      </c>
      <c r="AV8" s="98">
        <f>_xll.StatAveDev(ST_WinYearsSinceLastPromotion)</f>
        <v>2.3336952195844001</v>
      </c>
      <c r="AW8" s="98">
        <f>_xll.StatAveDev(ST_YearsWithCurrManager)</f>
        <v>3.0253718358091728</v>
      </c>
      <c r="AX8" s="98">
        <f>_xll.StatAveDev(ST_WinsYearsWithCurrentMgr)</f>
        <v>2.9997436253413028</v>
      </c>
      <c r="AY8" s="101">
        <f>_xll.StatAveDev(ST_GenderTotalWorkingYears)</f>
        <v>9.0455162200934183</v>
      </c>
      <c r="AZ8" s="99">
        <f>_xll.StatAveDev(ST_InteractionBusinessTravelFrequently0andMaritalMarried0)</f>
        <v>0.49129159146651791</v>
      </c>
      <c r="BA8" s="99">
        <f>_xll.StatAveDev(ST_InteractionBusinessTravelFrequently0andMaritalMarried1)</f>
        <v>0.47001249479383961</v>
      </c>
      <c r="BB8" s="99">
        <f>_xll.StatAveDev(ST_InteractionBusinessTravelFrequently1andMaritalMarried0)</f>
        <v>0.19292794668888322</v>
      </c>
      <c r="BC8" s="99">
        <f>_xll.StatAveDev(ST_InteractionBusinessTravelFrequently1andMaritalMarried1)</f>
        <v>0.14765699477069355</v>
      </c>
      <c r="BD8" s="99">
        <f>_xll.StatAveDev(ST_InteractionMaritalMarried0andOvertimeYes0)</f>
        <v>0.47387755102040541</v>
      </c>
      <c r="BE8" s="99">
        <f>_xll.StatAveDev(ST_InteractionMaritalMarried0andOvertimeYes1)</f>
        <v>0.26396408903698027</v>
      </c>
      <c r="BF8" s="99">
        <f>_xll.StatAveDev(ST_InteractionMaritalMarried1andOvertimeYes0)</f>
        <v>0.44307557036420187</v>
      </c>
      <c r="BG8" s="99">
        <f>_xll.StatAveDev(ST_InteractionMaritalMarried1andOvertimeYes1)</f>
        <v>0.22104123281965501</v>
      </c>
      <c r="BH8" s="99">
        <f>_xll.StatAveDev(ST_InteractionWinsYearsWithCurrentMgrDepartmentHumanResources)</f>
        <v>0.30316812439260699</v>
      </c>
      <c r="BI8" s="98">
        <f>_xll.StatAveDev(ST_InteractionWinsYearsWithCurrentMgrDepartmentResearchDevelopment)</f>
        <v>2.7785145078439681</v>
      </c>
      <c r="BJ8" s="98">
        <f>_xll.StatAveDev(ST_InteractionWinsYearsWithCurrentMgrDepartmentSales)</f>
        <v>1.948798185941037</v>
      </c>
      <c r="BK8" s="98">
        <f>_xll.StatAveDev(ST_InteractionWinsTotalWorkingYearsDepartmentHumanResources)</f>
        <v>0.94672497570459058</v>
      </c>
      <c r="BL8" s="98">
        <f>_xll.StatAveDev(ST_InteractionWinsTotalWorkingYearsDepartmentResearchDevelopment)</f>
        <v>6.535165903095951</v>
      </c>
      <c r="BM8" s="98">
        <f>_xll.StatAveDev(ST_InteractionWinsTotalWorkingYearsDepartmentSales)</f>
        <v>4.794287565366246</v>
      </c>
    </row>
    <row r="9" spans="1:65" ht="15" customHeight="1" x14ac:dyDescent="0.45">
      <c r="A9" s="107" t="s">
        <v>740</v>
      </c>
      <c r="B9" s="98">
        <f>_xll.StatMode(ST_Age)</f>
        <v>35</v>
      </c>
      <c r="C9" s="98">
        <f>_xll.StatMode(ST_WinsAge)</f>
        <v>35</v>
      </c>
      <c r="D9" s="99">
        <f>_xll.StatMode(ST_BusinessTravelFrequently)</f>
        <v>0</v>
      </c>
      <c r="E9" s="99">
        <f>_xll.StatMode(ST_BusinessTravelrarely)</f>
        <v>1</v>
      </c>
      <c r="F9" s="99">
        <f>_xll.StatMode(ST_DeptRD)</f>
        <v>1</v>
      </c>
      <c r="G9" s="99">
        <f>_xll.StatMode(ST_DeptSales)</f>
        <v>0</v>
      </c>
      <c r="H9" s="98">
        <f>_xll.StatMode(ST_DistanceFromHome)</f>
        <v>2</v>
      </c>
      <c r="I9" s="98">
        <f>_xll.StatMode(ST_WinsDistanceFromHome)</f>
        <v>2</v>
      </c>
      <c r="J9" s="98">
        <f>_xll.StatMode(ST_Education)</f>
        <v>3</v>
      </c>
      <c r="K9" s="99">
        <f>_xll.StatMode(ST_EducationFieldLifeSci)</f>
        <v>0</v>
      </c>
      <c r="L9" s="99">
        <f>_xll.StatMode(ST_EducationFieldOther)</f>
        <v>0</v>
      </c>
      <c r="M9" s="99">
        <f>_xll.StatMode(ST_EducationFieldMedical)</f>
        <v>0</v>
      </c>
      <c r="N9" s="99">
        <f>_xll.StatMode(ST_EducationFieldMkt)</f>
        <v>0</v>
      </c>
      <c r="O9" s="99">
        <f>_xll.StatMode(ST_EducationFieldTech)</f>
        <v>0</v>
      </c>
      <c r="P9" s="98">
        <f>_xll.StatMode(ST_EnvironmentSatisfaction)</f>
        <v>3</v>
      </c>
      <c r="Q9" s="99">
        <f>_xll.StatMode(ST_Female)</f>
        <v>0</v>
      </c>
      <c r="R9" s="101">
        <f>_xll.StatMode(ST_HourlyRate)</f>
        <v>66</v>
      </c>
      <c r="S9" s="99">
        <f>_xll.StatMode(ST_JobInvolvement)</f>
        <v>3</v>
      </c>
      <c r="T9" s="98">
        <f>_xll.StatMode(ST_JobLevel)</f>
        <v>1</v>
      </c>
      <c r="U9" s="99">
        <f>_xll.StatMode(ST_JobRoleHealthRep)</f>
        <v>0</v>
      </c>
      <c r="V9" s="99">
        <f>_xll.StatMode(ST_JobRoleSalesExe)</f>
        <v>0</v>
      </c>
      <c r="W9" s="99">
        <f>_xll.StatMode(ST_JobRoleLab)</f>
        <v>0</v>
      </c>
      <c r="X9" s="99">
        <f>_xll.StatMode(ST_JobRoleMgr)</f>
        <v>0</v>
      </c>
      <c r="Y9" s="99">
        <f>_xll.StatMode(ST_JobRoleManufDir)</f>
        <v>0</v>
      </c>
      <c r="Z9" s="99">
        <f>_xll.StatMode(ST_JobRoleResearchDir)</f>
        <v>0</v>
      </c>
      <c r="AA9" s="99">
        <f>_xll.StatMode(ST_JobRoleSalesRep)</f>
        <v>0</v>
      </c>
      <c r="AB9" s="99">
        <f>_xll.StatMode(ST_JobRoleResearchSci)</f>
        <v>0</v>
      </c>
      <c r="AC9" s="98">
        <f>_xll.StatMode(ST_JobSatisfaction)</f>
        <v>4</v>
      </c>
      <c r="AD9" s="99">
        <f>_xll.StatMode(ST_MaritalSingle)</f>
        <v>0</v>
      </c>
      <c r="AE9" s="99">
        <f>_xll.StatMode(ST_MaritalMarried)</f>
        <v>0</v>
      </c>
      <c r="AF9" s="101">
        <f>_xll.StatMode(ST_MonthlyIncome)</f>
        <v>2342</v>
      </c>
      <c r="AG9" s="101">
        <f>_xll.StatMode(ST_WinsMonthlyIncome)</f>
        <v>1382.46</v>
      </c>
      <c r="AH9" s="98">
        <f>_xll.StatMode(ST_NumCompaniesWorked)</f>
        <v>1</v>
      </c>
      <c r="AI9" s="99">
        <f>_xll.StatMode(ST_OvertimeYes)</f>
        <v>0</v>
      </c>
      <c r="AJ9" s="98">
        <f>_xll.StatMode(ST_PercentSalaryHike)</f>
        <v>11</v>
      </c>
      <c r="AK9" s="99">
        <f>_xll.StatMode(ST_PerformanceRating)</f>
        <v>3</v>
      </c>
      <c r="AL9" s="98">
        <f>_xll.StatMode(ST_RelationshipSatisfaction)</f>
        <v>3</v>
      </c>
      <c r="AM9" s="99">
        <f>_xll.StatMode(ST_StockOptionLevel)</f>
        <v>0</v>
      </c>
      <c r="AN9" s="98">
        <f>_xll.StatMode(ST_TotalWorkingYears)</f>
        <v>10</v>
      </c>
      <c r="AO9" s="98">
        <f>_xll.StatMode(ST_WinsTotalWorkingYears)</f>
        <v>10</v>
      </c>
      <c r="AP9" s="98">
        <f>_xll.StatMode(ST_TrainingTimesLastYear)</f>
        <v>2</v>
      </c>
      <c r="AQ9" s="99">
        <f>_xll.StatMode(ST_WorkLifeBalance)</f>
        <v>3</v>
      </c>
      <c r="AR9" s="98">
        <f>_xll.StatMode(ST_YearsAtCompany)</f>
        <v>5</v>
      </c>
      <c r="AS9" s="98">
        <f>_xll.StatMode(ST_WinsYearsAtCompany)</f>
        <v>5</v>
      </c>
      <c r="AT9" s="98">
        <f>_xll.StatMode(ST_YearsInCurrentRole)</f>
        <v>2</v>
      </c>
      <c r="AU9" s="98">
        <f>_xll.StatMode(ST_YearsSinceLastPromotion)</f>
        <v>0</v>
      </c>
      <c r="AV9" s="98">
        <f>_xll.StatMode(ST_WinYearsSinceLastPromotion)</f>
        <v>0</v>
      </c>
      <c r="AW9" s="98">
        <f>_xll.StatMode(ST_YearsWithCurrManager)</f>
        <v>2</v>
      </c>
      <c r="AX9" s="98">
        <f>_xll.StatMode(ST_WinsYearsWithCurrentMgr)</f>
        <v>2</v>
      </c>
      <c r="AY9" s="101">
        <f>_xll.StatMode(ST_GenderTotalWorkingYears)</f>
        <v>0</v>
      </c>
      <c r="AZ9" s="99">
        <f>_xll.StatMode(ST_InteractionBusinessTravelFrequently0andMaritalMarried0)</f>
        <v>0</v>
      </c>
      <c r="BA9" s="99">
        <f>_xll.StatMode(ST_InteractionBusinessTravelFrequently0andMaritalMarried1)</f>
        <v>0</v>
      </c>
      <c r="BB9" s="99">
        <f>_xll.StatMode(ST_InteractionBusinessTravelFrequently1andMaritalMarried0)</f>
        <v>0</v>
      </c>
      <c r="BC9" s="99">
        <f>_xll.StatMode(ST_InteractionBusinessTravelFrequently1andMaritalMarried1)</f>
        <v>0</v>
      </c>
      <c r="BD9" s="99">
        <f>_xll.StatMode(ST_InteractionMaritalMarried0andOvertimeYes0)</f>
        <v>0</v>
      </c>
      <c r="BE9" s="99">
        <f>_xll.StatMode(ST_InteractionMaritalMarried0andOvertimeYes1)</f>
        <v>0</v>
      </c>
      <c r="BF9" s="99">
        <f>_xll.StatMode(ST_InteractionMaritalMarried1andOvertimeYes0)</f>
        <v>0</v>
      </c>
      <c r="BG9" s="99">
        <f>_xll.StatMode(ST_InteractionMaritalMarried1andOvertimeYes1)</f>
        <v>0</v>
      </c>
      <c r="BH9" s="99">
        <f>_xll.StatMode(ST_InteractionWinsYearsWithCurrentMgrDepartmentHumanResources)</f>
        <v>0</v>
      </c>
      <c r="BI9" s="98">
        <f>_xll.StatMode(ST_InteractionWinsYearsWithCurrentMgrDepartmentResearchDevelopment)</f>
        <v>0</v>
      </c>
      <c r="BJ9" s="98">
        <f>_xll.StatMode(ST_InteractionWinsYearsWithCurrentMgrDepartmentSales)</f>
        <v>0</v>
      </c>
      <c r="BK9" s="98">
        <f>_xll.StatMode(ST_InteractionWinsTotalWorkingYearsDepartmentHumanResources)</f>
        <v>0</v>
      </c>
      <c r="BL9" s="98">
        <f>_xll.StatMode(ST_InteractionWinsTotalWorkingYearsDepartmentResearchDevelopment)</f>
        <v>0</v>
      </c>
      <c r="BM9" s="98">
        <f>_xll.StatMode(ST_InteractionWinsTotalWorkingYearsDepartmentSales)</f>
        <v>0</v>
      </c>
    </row>
    <row r="10" spans="1:65" ht="15" customHeight="1" x14ac:dyDescent="0.45">
      <c r="A10" s="107" t="s">
        <v>586</v>
      </c>
      <c r="B10" s="98">
        <f>_xll.StatMin(ST_Age)</f>
        <v>18</v>
      </c>
      <c r="C10" s="98">
        <f>_xll.StatMin(ST_WinsAge)</f>
        <v>19</v>
      </c>
      <c r="D10" s="99">
        <f>_xll.StatMin(ST_BusinessTravelFrequently)</f>
        <v>0</v>
      </c>
      <c r="E10" s="99">
        <f>_xll.StatMin(ST_BusinessTravelrarely)</f>
        <v>0</v>
      </c>
      <c r="F10" s="99">
        <f>_xll.StatMin(ST_DeptRD)</f>
        <v>0</v>
      </c>
      <c r="G10" s="99">
        <f>_xll.StatMin(ST_DeptSales)</f>
        <v>0</v>
      </c>
      <c r="H10" s="98">
        <f>_xll.StatMin(ST_DistanceFromHome)</f>
        <v>1</v>
      </c>
      <c r="I10" s="98">
        <f>_xll.StatMin(ST_WinsDistanceFromHome)</f>
        <v>1</v>
      </c>
      <c r="J10" s="98">
        <f>_xll.StatMin(ST_Education)</f>
        <v>1</v>
      </c>
      <c r="K10" s="99">
        <f>_xll.StatMin(ST_EducationFieldLifeSci)</f>
        <v>0</v>
      </c>
      <c r="L10" s="99">
        <f>_xll.StatMin(ST_EducationFieldOther)</f>
        <v>0</v>
      </c>
      <c r="M10" s="99">
        <f>_xll.StatMin(ST_EducationFieldMedical)</f>
        <v>0</v>
      </c>
      <c r="N10" s="99">
        <f>_xll.StatMin(ST_EducationFieldMkt)</f>
        <v>0</v>
      </c>
      <c r="O10" s="99">
        <f>_xll.StatMin(ST_EducationFieldTech)</f>
        <v>0</v>
      </c>
      <c r="P10" s="98">
        <f>_xll.StatMin(ST_EnvironmentSatisfaction)</f>
        <v>1</v>
      </c>
      <c r="Q10" s="99">
        <f>_xll.StatMin(ST_Female)</f>
        <v>0</v>
      </c>
      <c r="R10" s="101">
        <f>_xll.StatMin(ST_HourlyRate)</f>
        <v>30</v>
      </c>
      <c r="S10" s="99">
        <f>_xll.StatMin(ST_JobInvolvement)</f>
        <v>1</v>
      </c>
      <c r="T10" s="98">
        <f>_xll.StatMin(ST_JobLevel)</f>
        <v>1</v>
      </c>
      <c r="U10" s="99">
        <f>_xll.StatMin(ST_JobRoleHealthRep)</f>
        <v>0</v>
      </c>
      <c r="V10" s="99">
        <f>_xll.StatMin(ST_JobRoleSalesExe)</f>
        <v>0</v>
      </c>
      <c r="W10" s="99">
        <f>_xll.StatMin(ST_JobRoleLab)</f>
        <v>0</v>
      </c>
      <c r="X10" s="99">
        <f>_xll.StatMin(ST_JobRoleMgr)</f>
        <v>0</v>
      </c>
      <c r="Y10" s="99">
        <f>_xll.StatMin(ST_JobRoleManufDir)</f>
        <v>0</v>
      </c>
      <c r="Z10" s="99">
        <f>_xll.StatMin(ST_JobRoleResearchDir)</f>
        <v>0</v>
      </c>
      <c r="AA10" s="99">
        <f>_xll.StatMin(ST_JobRoleSalesRep)</f>
        <v>0</v>
      </c>
      <c r="AB10" s="99">
        <f>_xll.StatMin(ST_JobRoleResearchSci)</f>
        <v>0</v>
      </c>
      <c r="AC10" s="98">
        <f>_xll.StatMin(ST_JobSatisfaction)</f>
        <v>1</v>
      </c>
      <c r="AD10" s="99">
        <f>_xll.StatMin(ST_MaritalSingle)</f>
        <v>0</v>
      </c>
      <c r="AE10" s="99">
        <f>_xll.StatMin(ST_MaritalMarried)</f>
        <v>0</v>
      </c>
      <c r="AF10" s="101">
        <f>_xll.StatMin(ST_MonthlyIncome)</f>
        <v>1009</v>
      </c>
      <c r="AG10" s="101">
        <f>_xll.StatMin(ST_WinsMonthlyIncome)</f>
        <v>1382.46</v>
      </c>
      <c r="AH10" s="98">
        <f>_xll.StatMin(ST_NumCompaniesWorked)</f>
        <v>0</v>
      </c>
      <c r="AI10" s="99">
        <f>_xll.StatMin(ST_OvertimeYes)</f>
        <v>0</v>
      </c>
      <c r="AJ10" s="98">
        <f>_xll.StatMin(ST_PercentSalaryHike)</f>
        <v>11</v>
      </c>
      <c r="AK10" s="99">
        <f>_xll.StatMin(ST_PerformanceRating)</f>
        <v>3</v>
      </c>
      <c r="AL10" s="98">
        <f>_xll.StatMin(ST_RelationshipSatisfaction)</f>
        <v>1</v>
      </c>
      <c r="AM10" s="99">
        <f>_xll.StatMin(ST_StockOptionLevel)</f>
        <v>0</v>
      </c>
      <c r="AN10" s="98">
        <f>_xll.StatMin(ST_TotalWorkingYears)</f>
        <v>0</v>
      </c>
      <c r="AO10" s="98">
        <f>_xll.StatMin(ST_WinsTotalWorkingYears)</f>
        <v>1</v>
      </c>
      <c r="AP10" s="98">
        <f>_xll.StatMin(ST_TrainingTimesLastYear)</f>
        <v>0</v>
      </c>
      <c r="AQ10" s="99">
        <f>_xll.StatMin(ST_WorkLifeBalance)</f>
        <v>1</v>
      </c>
      <c r="AR10" s="98">
        <f>_xll.StatMin(ST_YearsAtCompany)</f>
        <v>0</v>
      </c>
      <c r="AS10" s="98">
        <f>_xll.StatMin(ST_WinsYearsAtCompany)</f>
        <v>0</v>
      </c>
      <c r="AT10" s="98">
        <f>_xll.StatMin(ST_YearsInCurrentRole)</f>
        <v>0</v>
      </c>
      <c r="AU10" s="98">
        <f>_xll.StatMin(ST_YearsSinceLastPromotion)</f>
        <v>0</v>
      </c>
      <c r="AV10" s="98">
        <f>_xll.StatMin(ST_WinYearsSinceLastPromotion)</f>
        <v>0</v>
      </c>
      <c r="AW10" s="98">
        <f>_xll.StatMin(ST_YearsWithCurrManager)</f>
        <v>0</v>
      </c>
      <c r="AX10" s="98">
        <f>_xll.StatMin(ST_WinsYearsWithCurrentMgr)</f>
        <v>0</v>
      </c>
      <c r="AY10" s="101">
        <f>_xll.StatMin(ST_GenderTotalWorkingYears)</f>
        <v>0</v>
      </c>
      <c r="AZ10" s="99">
        <f>_xll.StatMin(ST_InteractionBusinessTravelFrequently0andMaritalMarried0)</f>
        <v>0</v>
      </c>
      <c r="BA10" s="99">
        <f>_xll.StatMin(ST_InteractionBusinessTravelFrequently0andMaritalMarried1)</f>
        <v>0</v>
      </c>
      <c r="BB10" s="99">
        <f>_xll.StatMin(ST_InteractionBusinessTravelFrequently1andMaritalMarried0)</f>
        <v>0</v>
      </c>
      <c r="BC10" s="99">
        <f>_xll.StatMin(ST_InteractionBusinessTravelFrequently1andMaritalMarried1)</f>
        <v>0</v>
      </c>
      <c r="BD10" s="99">
        <f>_xll.StatMin(ST_InteractionMaritalMarried0andOvertimeYes0)</f>
        <v>0</v>
      </c>
      <c r="BE10" s="99">
        <f>_xll.StatMin(ST_InteractionMaritalMarried0andOvertimeYes1)</f>
        <v>0</v>
      </c>
      <c r="BF10" s="99">
        <f>_xll.StatMin(ST_InteractionMaritalMarried1andOvertimeYes0)</f>
        <v>0</v>
      </c>
      <c r="BG10" s="99">
        <f>_xll.StatMin(ST_InteractionMaritalMarried1andOvertimeYes1)</f>
        <v>0</v>
      </c>
      <c r="BH10" s="99">
        <f>_xll.StatMin(ST_InteractionWinsYearsWithCurrentMgrDepartmentHumanResources)</f>
        <v>0</v>
      </c>
      <c r="BI10" s="98">
        <f>_xll.StatMin(ST_InteractionWinsYearsWithCurrentMgrDepartmentResearchDevelopment)</f>
        <v>0</v>
      </c>
      <c r="BJ10" s="98">
        <f>_xll.StatMin(ST_InteractionWinsYearsWithCurrentMgrDepartmentSales)</f>
        <v>0</v>
      </c>
      <c r="BK10" s="98">
        <f>_xll.StatMin(ST_InteractionWinsTotalWorkingYearsDepartmentHumanResources)</f>
        <v>0</v>
      </c>
      <c r="BL10" s="98">
        <f>_xll.StatMin(ST_InteractionWinsTotalWorkingYearsDepartmentResearchDevelopment)</f>
        <v>0</v>
      </c>
      <c r="BM10" s="98">
        <f>_xll.StatMin(ST_InteractionWinsTotalWorkingYearsDepartmentSales)</f>
        <v>0</v>
      </c>
    </row>
    <row r="11" spans="1:65" ht="15" customHeight="1" x14ac:dyDescent="0.45">
      <c r="A11" s="107" t="s">
        <v>585</v>
      </c>
      <c r="B11" s="98">
        <f>_xll.StatMax(ST_Age)</f>
        <v>60</v>
      </c>
      <c r="C11" s="98">
        <f>_xll.StatMax(ST_WinsAge)</f>
        <v>58.309999999999945</v>
      </c>
      <c r="D11" s="99">
        <f>_xll.StatMax(ST_BusinessTravelFrequently)</f>
        <v>1</v>
      </c>
      <c r="E11" s="99">
        <f>_xll.StatMax(ST_BusinessTravelrarely)</f>
        <v>1</v>
      </c>
      <c r="F11" s="99">
        <f>_xll.StatMax(ST_DeptRD)</f>
        <v>1</v>
      </c>
      <c r="G11" s="99">
        <f>_xll.StatMax(ST_DeptSales)</f>
        <v>1</v>
      </c>
      <c r="H11" s="98">
        <f>_xll.StatMax(ST_DistanceFromHome)</f>
        <v>29</v>
      </c>
      <c r="I11" s="98">
        <f>_xll.StatMax(ST_WinsDistanceFromHome)</f>
        <v>29</v>
      </c>
      <c r="J11" s="98">
        <f>_xll.StatMax(ST_Education)</f>
        <v>5</v>
      </c>
      <c r="K11" s="99">
        <f>_xll.StatMax(ST_EducationFieldLifeSci)</f>
        <v>1</v>
      </c>
      <c r="L11" s="99">
        <f>_xll.StatMax(ST_EducationFieldOther)</f>
        <v>1</v>
      </c>
      <c r="M11" s="99">
        <f>_xll.StatMax(ST_EducationFieldMedical)</f>
        <v>1</v>
      </c>
      <c r="N11" s="99">
        <f>_xll.StatMax(ST_EducationFieldMkt)</f>
        <v>1</v>
      </c>
      <c r="O11" s="99">
        <f>_xll.StatMax(ST_EducationFieldTech)</f>
        <v>1</v>
      </c>
      <c r="P11" s="98">
        <f>_xll.StatMax(ST_EnvironmentSatisfaction)</f>
        <v>4</v>
      </c>
      <c r="Q11" s="99">
        <f>_xll.StatMax(ST_Female)</f>
        <v>1</v>
      </c>
      <c r="R11" s="101">
        <f>_xll.StatMax(ST_HourlyRate)</f>
        <v>100</v>
      </c>
      <c r="S11" s="99">
        <f>_xll.StatMax(ST_JobInvolvement)</f>
        <v>4</v>
      </c>
      <c r="T11" s="98">
        <f>_xll.StatMax(ST_JobLevel)</f>
        <v>5</v>
      </c>
      <c r="U11" s="99">
        <f>_xll.StatMax(ST_JobRoleHealthRep)</f>
        <v>1</v>
      </c>
      <c r="V11" s="99">
        <f>_xll.StatMax(ST_JobRoleSalesExe)</f>
        <v>1</v>
      </c>
      <c r="W11" s="99">
        <f>_xll.StatMax(ST_JobRoleLab)</f>
        <v>1</v>
      </c>
      <c r="X11" s="99">
        <f>_xll.StatMax(ST_JobRoleMgr)</f>
        <v>1</v>
      </c>
      <c r="Y11" s="99">
        <f>_xll.StatMax(ST_JobRoleManufDir)</f>
        <v>1</v>
      </c>
      <c r="Z11" s="99">
        <f>_xll.StatMax(ST_JobRoleResearchDir)</f>
        <v>1</v>
      </c>
      <c r="AA11" s="99">
        <f>_xll.StatMax(ST_JobRoleSalesRep)</f>
        <v>1</v>
      </c>
      <c r="AB11" s="99">
        <f>_xll.StatMax(ST_JobRoleResearchSci)</f>
        <v>1</v>
      </c>
      <c r="AC11" s="98">
        <f>_xll.StatMax(ST_JobSatisfaction)</f>
        <v>4</v>
      </c>
      <c r="AD11" s="99">
        <f>_xll.StatMax(ST_MaritalSingle)</f>
        <v>1</v>
      </c>
      <c r="AE11" s="99">
        <f>_xll.StatMax(ST_MaritalMarried)</f>
        <v>1</v>
      </c>
      <c r="AF11" s="101">
        <f>_xll.StatMax(ST_MonthlyIncome)</f>
        <v>19999</v>
      </c>
      <c r="AG11" s="101">
        <f>_xll.StatMax(ST_WinsMonthlyIncome)</f>
        <v>19626.310000000001</v>
      </c>
      <c r="AH11" s="98">
        <f>_xll.StatMax(ST_NumCompaniesWorked)</f>
        <v>9</v>
      </c>
      <c r="AI11" s="99">
        <f>_xll.StatMax(ST_OvertimeYes)</f>
        <v>1</v>
      </c>
      <c r="AJ11" s="98">
        <f>_xll.StatMax(ST_PercentSalaryHike)</f>
        <v>25</v>
      </c>
      <c r="AK11" s="99">
        <f>_xll.StatMax(ST_PerformanceRating)</f>
        <v>4</v>
      </c>
      <c r="AL11" s="98">
        <f>_xll.StatMax(ST_RelationshipSatisfaction)</f>
        <v>4</v>
      </c>
      <c r="AM11" s="99">
        <f>_xll.StatMax(ST_StockOptionLevel)</f>
        <v>3</v>
      </c>
      <c r="AN11" s="98">
        <f>_xll.StatMax(ST_TotalWorkingYears)</f>
        <v>40</v>
      </c>
      <c r="AO11" s="98">
        <f>_xll.StatMax(ST_WinsTotalWorkingYears)</f>
        <v>35</v>
      </c>
      <c r="AP11" s="98">
        <f>_xll.StatMax(ST_TrainingTimesLastYear)</f>
        <v>6</v>
      </c>
      <c r="AQ11" s="99">
        <f>_xll.StatMax(ST_WorkLifeBalance)</f>
        <v>4</v>
      </c>
      <c r="AR11" s="98">
        <f>_xll.StatMax(ST_YearsAtCompany)</f>
        <v>40</v>
      </c>
      <c r="AS11" s="98">
        <f>_xll.StatMax(ST_WinsYearsAtCompany)</f>
        <v>31</v>
      </c>
      <c r="AT11" s="98">
        <f>_xll.StatMax(ST_YearsInCurrentRole)</f>
        <v>18</v>
      </c>
      <c r="AU11" s="98">
        <f>_xll.StatMax(ST_YearsSinceLastPromotion)</f>
        <v>15</v>
      </c>
      <c r="AV11" s="98">
        <f>_xll.StatMax(ST_WinYearsSinceLastPromotion)</f>
        <v>14</v>
      </c>
      <c r="AW11" s="98">
        <f>_xll.StatMax(ST_YearsWithCurrManager)</f>
        <v>17</v>
      </c>
      <c r="AX11" s="98">
        <f>_xll.StatMax(ST_WinsYearsWithCurrentMgr)</f>
        <v>14</v>
      </c>
      <c r="AY11" s="101">
        <f>_xll.StatMax(ST_GenderTotalWorkingYears)</f>
        <v>70</v>
      </c>
      <c r="AZ11" s="99">
        <f>_xll.StatMax(ST_InteractionBusinessTravelFrequently0andMaritalMarried0)</f>
        <v>1</v>
      </c>
      <c r="BA11" s="99">
        <f>_xll.StatMax(ST_InteractionBusinessTravelFrequently0andMaritalMarried1)</f>
        <v>1</v>
      </c>
      <c r="BB11" s="99">
        <f>_xll.StatMax(ST_InteractionBusinessTravelFrequently1andMaritalMarried0)</f>
        <v>1</v>
      </c>
      <c r="BC11" s="99">
        <f>_xll.StatMax(ST_InteractionBusinessTravelFrequently1andMaritalMarried1)</f>
        <v>1</v>
      </c>
      <c r="BD11" s="99">
        <f>_xll.StatMax(ST_InteractionMaritalMarried0andOvertimeYes0)</f>
        <v>1</v>
      </c>
      <c r="BE11" s="99">
        <f>_xll.StatMax(ST_InteractionMaritalMarried0andOvertimeYes1)</f>
        <v>1</v>
      </c>
      <c r="BF11" s="99">
        <f>_xll.StatMax(ST_InteractionMaritalMarried1andOvertimeYes0)</f>
        <v>1</v>
      </c>
      <c r="BG11" s="99">
        <f>_xll.StatMax(ST_InteractionMaritalMarried1andOvertimeYes1)</f>
        <v>1</v>
      </c>
      <c r="BH11" s="99">
        <f>_xll.StatMax(ST_InteractionWinsYearsWithCurrentMgrDepartmentHumanResources)</f>
        <v>10</v>
      </c>
      <c r="BI11" s="98">
        <f>_xll.StatMax(ST_InteractionWinsYearsWithCurrentMgrDepartmentResearchDevelopment)</f>
        <v>14</v>
      </c>
      <c r="BJ11" s="98">
        <f>_xll.StatMax(ST_InteractionWinsYearsWithCurrentMgrDepartmentSales)</f>
        <v>14</v>
      </c>
      <c r="BK11" s="98">
        <f>_xll.StatMax(ST_InteractionWinsTotalWorkingYearsDepartmentHumanResources)</f>
        <v>35</v>
      </c>
      <c r="BL11" s="98">
        <f>_xll.StatMax(ST_InteractionWinsTotalWorkingYearsDepartmentResearchDevelopment)</f>
        <v>35</v>
      </c>
      <c r="BM11" s="98">
        <f>_xll.StatMax(ST_InteractionWinsTotalWorkingYearsDepartmentSales)</f>
        <v>35</v>
      </c>
    </row>
    <row r="12" spans="1:65" ht="15" customHeight="1" x14ac:dyDescent="0.45">
      <c r="A12" s="107" t="s">
        <v>741</v>
      </c>
      <c r="B12" s="98">
        <f>_xll.StatRange(ST_Age)</f>
        <v>42</v>
      </c>
      <c r="C12" s="98">
        <f>_xll.StatRange(ST_WinsAge)</f>
        <v>39.309999999999945</v>
      </c>
      <c r="D12" s="99">
        <f>_xll.StatRange(ST_BusinessTravelFrequently)</f>
        <v>1</v>
      </c>
      <c r="E12" s="99">
        <f>_xll.StatRange(ST_BusinessTravelrarely)</f>
        <v>1</v>
      </c>
      <c r="F12" s="99">
        <f>_xll.StatRange(ST_DeptRD)</f>
        <v>1</v>
      </c>
      <c r="G12" s="99">
        <f>_xll.StatRange(ST_DeptSales)</f>
        <v>1</v>
      </c>
      <c r="H12" s="98">
        <f>_xll.StatRange(ST_DistanceFromHome)</f>
        <v>28</v>
      </c>
      <c r="I12" s="98">
        <f>_xll.StatRange(ST_WinsDistanceFromHome)</f>
        <v>28</v>
      </c>
      <c r="J12" s="98">
        <f>_xll.StatRange(ST_Education)</f>
        <v>4</v>
      </c>
      <c r="K12" s="99">
        <f>_xll.StatRange(ST_EducationFieldLifeSci)</f>
        <v>1</v>
      </c>
      <c r="L12" s="99">
        <f>_xll.StatRange(ST_EducationFieldOther)</f>
        <v>1</v>
      </c>
      <c r="M12" s="99">
        <f>_xll.StatRange(ST_EducationFieldMedical)</f>
        <v>1</v>
      </c>
      <c r="N12" s="99">
        <f>_xll.StatRange(ST_EducationFieldMkt)</f>
        <v>1</v>
      </c>
      <c r="O12" s="99">
        <f>_xll.StatRange(ST_EducationFieldTech)</f>
        <v>1</v>
      </c>
      <c r="P12" s="98">
        <f>_xll.StatRange(ST_EnvironmentSatisfaction)</f>
        <v>3</v>
      </c>
      <c r="Q12" s="99">
        <f>_xll.StatRange(ST_Female)</f>
        <v>1</v>
      </c>
      <c r="R12" s="101">
        <f>_xll.StatRange(ST_HourlyRate)</f>
        <v>70</v>
      </c>
      <c r="S12" s="99">
        <f>_xll.StatRange(ST_JobInvolvement)</f>
        <v>3</v>
      </c>
      <c r="T12" s="98">
        <f>_xll.StatRange(ST_JobLevel)</f>
        <v>4</v>
      </c>
      <c r="U12" s="99">
        <f>_xll.StatRange(ST_JobRoleHealthRep)</f>
        <v>1</v>
      </c>
      <c r="V12" s="99">
        <f>_xll.StatRange(ST_JobRoleSalesExe)</f>
        <v>1</v>
      </c>
      <c r="W12" s="99">
        <f>_xll.StatRange(ST_JobRoleLab)</f>
        <v>1</v>
      </c>
      <c r="X12" s="99">
        <f>_xll.StatRange(ST_JobRoleMgr)</f>
        <v>1</v>
      </c>
      <c r="Y12" s="99">
        <f>_xll.StatRange(ST_JobRoleManufDir)</f>
        <v>1</v>
      </c>
      <c r="Z12" s="99">
        <f>_xll.StatRange(ST_JobRoleResearchDir)</f>
        <v>1</v>
      </c>
      <c r="AA12" s="99">
        <f>_xll.StatRange(ST_JobRoleSalesRep)</f>
        <v>1</v>
      </c>
      <c r="AB12" s="99">
        <f>_xll.StatRange(ST_JobRoleResearchSci)</f>
        <v>1</v>
      </c>
      <c r="AC12" s="98">
        <f>_xll.StatRange(ST_JobSatisfaction)</f>
        <v>3</v>
      </c>
      <c r="AD12" s="99">
        <f>_xll.StatRange(ST_MaritalSingle)</f>
        <v>1</v>
      </c>
      <c r="AE12" s="99">
        <f>_xll.StatRange(ST_MaritalMarried)</f>
        <v>1</v>
      </c>
      <c r="AF12" s="101">
        <f>_xll.StatRange(ST_MonthlyIncome)</f>
        <v>18990</v>
      </c>
      <c r="AG12" s="101">
        <f>_xll.StatRange(ST_WinsMonthlyIncome)</f>
        <v>18243.850000000002</v>
      </c>
      <c r="AH12" s="98">
        <f>_xll.StatRange(ST_NumCompaniesWorked)</f>
        <v>9</v>
      </c>
      <c r="AI12" s="99">
        <f>_xll.StatRange(ST_OvertimeYes)</f>
        <v>1</v>
      </c>
      <c r="AJ12" s="98">
        <f>_xll.StatRange(ST_PercentSalaryHike)</f>
        <v>14</v>
      </c>
      <c r="AK12" s="99">
        <f>_xll.StatRange(ST_PerformanceRating)</f>
        <v>1</v>
      </c>
      <c r="AL12" s="98">
        <f>_xll.StatRange(ST_RelationshipSatisfaction)</f>
        <v>3</v>
      </c>
      <c r="AM12" s="99">
        <f>_xll.StatRange(ST_StockOptionLevel)</f>
        <v>3</v>
      </c>
      <c r="AN12" s="98">
        <f>_xll.StatRange(ST_TotalWorkingYears)</f>
        <v>40</v>
      </c>
      <c r="AO12" s="98">
        <f>_xll.StatRange(ST_WinsTotalWorkingYears)</f>
        <v>34</v>
      </c>
      <c r="AP12" s="98">
        <f>_xll.StatRange(ST_TrainingTimesLastYear)</f>
        <v>6</v>
      </c>
      <c r="AQ12" s="99">
        <f>_xll.StatRange(ST_WorkLifeBalance)</f>
        <v>3</v>
      </c>
      <c r="AR12" s="98">
        <f>_xll.StatRange(ST_YearsAtCompany)</f>
        <v>40</v>
      </c>
      <c r="AS12" s="98">
        <f>_xll.StatRange(ST_WinsYearsAtCompany)</f>
        <v>31</v>
      </c>
      <c r="AT12" s="98">
        <f>_xll.StatRange(ST_YearsInCurrentRole)</f>
        <v>18</v>
      </c>
      <c r="AU12" s="98">
        <f>_xll.StatRange(ST_YearsSinceLastPromotion)</f>
        <v>15</v>
      </c>
      <c r="AV12" s="98">
        <f>_xll.StatRange(ST_WinYearsSinceLastPromotion)</f>
        <v>14</v>
      </c>
      <c r="AW12" s="98">
        <f>_xll.StatRange(ST_YearsWithCurrManager)</f>
        <v>17</v>
      </c>
      <c r="AX12" s="98">
        <f>_xll.StatRange(ST_WinsYearsWithCurrentMgr)</f>
        <v>14</v>
      </c>
      <c r="AY12" s="101">
        <f>_xll.StatRange(ST_GenderTotalWorkingYears)</f>
        <v>70</v>
      </c>
      <c r="AZ12" s="99">
        <f>_xll.StatRange(ST_InteractionBusinessTravelFrequently0andMaritalMarried0)</f>
        <v>1</v>
      </c>
      <c r="BA12" s="99">
        <f>_xll.StatRange(ST_InteractionBusinessTravelFrequently0andMaritalMarried1)</f>
        <v>1</v>
      </c>
      <c r="BB12" s="99">
        <f>_xll.StatRange(ST_InteractionBusinessTravelFrequently1andMaritalMarried0)</f>
        <v>1</v>
      </c>
      <c r="BC12" s="99">
        <f>_xll.StatRange(ST_InteractionBusinessTravelFrequently1andMaritalMarried1)</f>
        <v>1</v>
      </c>
      <c r="BD12" s="99">
        <f>_xll.StatRange(ST_InteractionMaritalMarried0andOvertimeYes0)</f>
        <v>1</v>
      </c>
      <c r="BE12" s="99">
        <f>_xll.StatRange(ST_InteractionMaritalMarried0andOvertimeYes1)</f>
        <v>1</v>
      </c>
      <c r="BF12" s="99">
        <f>_xll.StatRange(ST_InteractionMaritalMarried1andOvertimeYes0)</f>
        <v>1</v>
      </c>
      <c r="BG12" s="99">
        <f>_xll.StatRange(ST_InteractionMaritalMarried1andOvertimeYes1)</f>
        <v>1</v>
      </c>
      <c r="BH12" s="99">
        <f>_xll.StatRange(ST_InteractionWinsYearsWithCurrentMgrDepartmentHumanResources)</f>
        <v>10</v>
      </c>
      <c r="BI12" s="98">
        <f>_xll.StatRange(ST_InteractionWinsYearsWithCurrentMgrDepartmentResearchDevelopment)</f>
        <v>14</v>
      </c>
      <c r="BJ12" s="98">
        <f>_xll.StatRange(ST_InteractionWinsYearsWithCurrentMgrDepartmentSales)</f>
        <v>14</v>
      </c>
      <c r="BK12" s="98">
        <f>_xll.StatRange(ST_InteractionWinsTotalWorkingYearsDepartmentHumanResources)</f>
        <v>35</v>
      </c>
      <c r="BL12" s="98">
        <f>_xll.StatRange(ST_InteractionWinsTotalWorkingYearsDepartmentResearchDevelopment)</f>
        <v>35</v>
      </c>
      <c r="BM12" s="98">
        <f>_xll.StatRange(ST_InteractionWinsTotalWorkingYearsDepartmentSales)</f>
        <v>35</v>
      </c>
    </row>
    <row r="13" spans="1:65" ht="15" customHeight="1" x14ac:dyDescent="0.45">
      <c r="A13" s="107" t="s">
        <v>582</v>
      </c>
      <c r="B13" s="15">
        <f>_xll.StatCount(ST_Age)</f>
        <v>1470</v>
      </c>
      <c r="C13" s="15">
        <f>_xll.StatCount(ST_WinsAge)</f>
        <v>1470</v>
      </c>
      <c r="D13" s="15">
        <f>_xll.StatCount(ST_BusinessTravelFrequently)</f>
        <v>1470</v>
      </c>
      <c r="E13" s="15">
        <f>_xll.StatCount(ST_BusinessTravelrarely)</f>
        <v>1470</v>
      </c>
      <c r="F13" s="15">
        <f>_xll.StatCount(ST_DeptRD)</f>
        <v>1470</v>
      </c>
      <c r="G13" s="15">
        <f>_xll.StatCount(ST_DeptSales)</f>
        <v>1470</v>
      </c>
      <c r="H13" s="15">
        <f>_xll.StatCount(ST_DistanceFromHome)</f>
        <v>1470</v>
      </c>
      <c r="I13" s="15">
        <f>_xll.StatCount(ST_WinsDistanceFromHome)</f>
        <v>1470</v>
      </c>
      <c r="J13" s="15">
        <f>_xll.StatCount(ST_Education)</f>
        <v>1470</v>
      </c>
      <c r="K13" s="15">
        <f>_xll.StatCount(ST_EducationFieldLifeSci)</f>
        <v>1470</v>
      </c>
      <c r="L13" s="15">
        <f>_xll.StatCount(ST_EducationFieldOther)</f>
        <v>1470</v>
      </c>
      <c r="M13" s="15">
        <f>_xll.StatCount(ST_EducationFieldMedical)</f>
        <v>1470</v>
      </c>
      <c r="N13" s="15">
        <f>_xll.StatCount(ST_EducationFieldMkt)</f>
        <v>1470</v>
      </c>
      <c r="O13" s="15">
        <f>_xll.StatCount(ST_EducationFieldTech)</f>
        <v>1470</v>
      </c>
      <c r="P13" s="15">
        <f>_xll.StatCount(ST_EnvironmentSatisfaction)</f>
        <v>1470</v>
      </c>
      <c r="Q13" s="15">
        <f>_xll.StatCount(ST_Female)</f>
        <v>1470</v>
      </c>
      <c r="R13" s="15">
        <f>_xll.StatCount(ST_HourlyRate)</f>
        <v>1470</v>
      </c>
      <c r="S13" s="15">
        <f>_xll.StatCount(ST_JobInvolvement)</f>
        <v>1470</v>
      </c>
      <c r="T13" s="15">
        <f>_xll.StatCount(ST_JobLevel)</f>
        <v>1470</v>
      </c>
      <c r="U13" s="15">
        <f>_xll.StatCount(ST_JobRoleHealthRep)</f>
        <v>1470</v>
      </c>
      <c r="V13" s="15">
        <f>_xll.StatCount(ST_JobRoleSalesExe)</f>
        <v>1470</v>
      </c>
      <c r="W13" s="15">
        <f>_xll.StatCount(ST_JobRoleLab)</f>
        <v>1470</v>
      </c>
      <c r="X13" s="15">
        <f>_xll.StatCount(ST_JobRoleMgr)</f>
        <v>1470</v>
      </c>
      <c r="Y13" s="15">
        <f>_xll.StatCount(ST_JobRoleManufDir)</f>
        <v>1470</v>
      </c>
      <c r="Z13" s="15">
        <f>_xll.StatCount(ST_JobRoleResearchDir)</f>
        <v>1470</v>
      </c>
      <c r="AA13" s="15">
        <f>_xll.StatCount(ST_JobRoleSalesRep)</f>
        <v>1470</v>
      </c>
      <c r="AB13" s="15">
        <f>_xll.StatCount(ST_JobRoleResearchSci)</f>
        <v>1470</v>
      </c>
      <c r="AC13" s="15">
        <f>_xll.StatCount(ST_JobSatisfaction)</f>
        <v>1470</v>
      </c>
      <c r="AD13" s="15">
        <f>_xll.StatCount(ST_MaritalSingle)</f>
        <v>1470</v>
      </c>
      <c r="AE13" s="15">
        <f>_xll.StatCount(ST_MaritalMarried)</f>
        <v>1470</v>
      </c>
      <c r="AF13" s="15">
        <f>_xll.StatCount(ST_MonthlyIncome)</f>
        <v>1470</v>
      </c>
      <c r="AG13" s="15">
        <f>_xll.StatCount(ST_WinsMonthlyIncome)</f>
        <v>1470</v>
      </c>
      <c r="AH13" s="15">
        <f>_xll.StatCount(ST_NumCompaniesWorked)</f>
        <v>1470</v>
      </c>
      <c r="AI13" s="15">
        <f>_xll.StatCount(ST_OvertimeYes)</f>
        <v>1470</v>
      </c>
      <c r="AJ13" s="15">
        <f>_xll.StatCount(ST_PercentSalaryHike)</f>
        <v>1470</v>
      </c>
      <c r="AK13" s="15">
        <f>_xll.StatCount(ST_PerformanceRating)</f>
        <v>1470</v>
      </c>
      <c r="AL13" s="15">
        <f>_xll.StatCount(ST_RelationshipSatisfaction)</f>
        <v>1470</v>
      </c>
      <c r="AM13" s="15">
        <f>_xll.StatCount(ST_StockOptionLevel)</f>
        <v>1470</v>
      </c>
      <c r="AN13" s="15">
        <f>_xll.StatCount(ST_TotalWorkingYears)</f>
        <v>1470</v>
      </c>
      <c r="AO13" s="15">
        <f>_xll.StatCount(ST_WinsTotalWorkingYears)</f>
        <v>1470</v>
      </c>
      <c r="AP13" s="15">
        <f>_xll.StatCount(ST_TrainingTimesLastYear)</f>
        <v>1470</v>
      </c>
      <c r="AQ13" s="15">
        <f>_xll.StatCount(ST_WorkLifeBalance)</f>
        <v>1470</v>
      </c>
      <c r="AR13" s="15">
        <f>_xll.StatCount(ST_YearsAtCompany)</f>
        <v>1470</v>
      </c>
      <c r="AS13" s="15">
        <f>_xll.StatCount(ST_WinsYearsAtCompany)</f>
        <v>1470</v>
      </c>
      <c r="AT13" s="15">
        <f>_xll.StatCount(ST_YearsInCurrentRole)</f>
        <v>1470</v>
      </c>
      <c r="AU13" s="15">
        <f>_xll.StatCount(ST_YearsSinceLastPromotion)</f>
        <v>1470</v>
      </c>
      <c r="AV13" s="15">
        <f>_xll.StatCount(ST_WinYearsSinceLastPromotion)</f>
        <v>1470</v>
      </c>
      <c r="AW13" s="15">
        <f>_xll.StatCount(ST_YearsWithCurrManager)</f>
        <v>1470</v>
      </c>
      <c r="AX13" s="15">
        <f>_xll.StatCount(ST_WinsYearsWithCurrentMgr)</f>
        <v>1470</v>
      </c>
      <c r="AY13" s="15">
        <f>_xll.StatCount(ST_GenderTotalWorkingYears)</f>
        <v>1470</v>
      </c>
      <c r="AZ13" s="15">
        <f>_xll.StatCount(ST_InteractionBusinessTravelFrequently0andMaritalMarried0)</f>
        <v>1470</v>
      </c>
      <c r="BA13" s="15">
        <f>_xll.StatCount(ST_InteractionBusinessTravelFrequently0andMaritalMarried1)</f>
        <v>1470</v>
      </c>
      <c r="BB13" s="15">
        <f>_xll.StatCount(ST_InteractionBusinessTravelFrequently1andMaritalMarried0)</f>
        <v>1470</v>
      </c>
      <c r="BC13" s="15">
        <f>_xll.StatCount(ST_InteractionBusinessTravelFrequently1andMaritalMarried1)</f>
        <v>1470</v>
      </c>
      <c r="BD13" s="15">
        <f>_xll.StatCount(ST_InteractionMaritalMarried0andOvertimeYes0)</f>
        <v>1470</v>
      </c>
      <c r="BE13" s="15">
        <f>_xll.StatCount(ST_InteractionMaritalMarried0andOvertimeYes1)</f>
        <v>1470</v>
      </c>
      <c r="BF13" s="15">
        <f>_xll.StatCount(ST_InteractionMaritalMarried1andOvertimeYes0)</f>
        <v>1470</v>
      </c>
      <c r="BG13" s="15">
        <f>_xll.StatCount(ST_InteractionMaritalMarried1andOvertimeYes1)</f>
        <v>1470</v>
      </c>
      <c r="BH13" s="15">
        <f>_xll.StatCount(ST_InteractionWinsYearsWithCurrentMgrDepartmentHumanResources)</f>
        <v>1470</v>
      </c>
      <c r="BI13" s="15">
        <f>_xll.StatCount(ST_InteractionWinsYearsWithCurrentMgrDepartmentResearchDevelopment)</f>
        <v>1470</v>
      </c>
      <c r="BJ13" s="15">
        <f>_xll.StatCount(ST_InteractionWinsYearsWithCurrentMgrDepartmentSales)</f>
        <v>1470</v>
      </c>
      <c r="BK13" s="15">
        <f>_xll.StatCount(ST_InteractionWinsTotalWorkingYearsDepartmentHumanResources)</f>
        <v>1470</v>
      </c>
      <c r="BL13" s="15">
        <f>_xll.StatCount(ST_InteractionWinsTotalWorkingYearsDepartmentResearchDevelopment)</f>
        <v>1470</v>
      </c>
      <c r="BM13" s="15">
        <f>_xll.StatCount(ST_InteractionWinsTotalWorkingYearsDepartmentSales)</f>
        <v>1470</v>
      </c>
    </row>
    <row r="14" spans="1:65" ht="15" customHeight="1" x14ac:dyDescent="0.45">
      <c r="A14" s="107" t="s">
        <v>742</v>
      </c>
      <c r="B14" s="98">
        <f>_xll.StatSum(ST_Age)</f>
        <v>54278</v>
      </c>
      <c r="C14" s="98">
        <f>_xll.StatSum(ST_WinsAge)</f>
        <v>54270.649999999994</v>
      </c>
      <c r="D14" s="99">
        <f>_xll.StatSum(ST_BusinessTravelFrequently)</f>
        <v>277</v>
      </c>
      <c r="E14" s="99">
        <f>_xll.StatSum(ST_BusinessTravelrarely)</f>
        <v>1043</v>
      </c>
      <c r="F14" s="99">
        <f>_xll.StatSum(ST_DeptRD)</f>
        <v>961</v>
      </c>
      <c r="G14" s="99">
        <f>_xll.StatSum(ST_DeptSales)</f>
        <v>446</v>
      </c>
      <c r="H14" s="98">
        <f>_xll.StatSum(ST_DistanceFromHome)</f>
        <v>13513</v>
      </c>
      <c r="I14" s="98">
        <f>_xll.StatSum(ST_WinsDistanceFromHome)</f>
        <v>13513</v>
      </c>
      <c r="J14" s="98">
        <f>_xll.StatSum(ST_Education)</f>
        <v>4282</v>
      </c>
      <c r="K14" s="99">
        <f>_xll.StatSum(ST_EducationFieldLifeSci)</f>
        <v>606</v>
      </c>
      <c r="L14" s="99">
        <f>_xll.StatSum(ST_EducationFieldOther)</f>
        <v>82</v>
      </c>
      <c r="M14" s="99">
        <f>_xll.StatSum(ST_EducationFieldMedical)</f>
        <v>464</v>
      </c>
      <c r="N14" s="99">
        <f>_xll.StatSum(ST_EducationFieldMkt)</f>
        <v>159</v>
      </c>
      <c r="O14" s="99">
        <f>_xll.StatSum(ST_EducationFieldTech)</f>
        <v>132</v>
      </c>
      <c r="P14" s="98">
        <f>_xll.StatSum(ST_EnvironmentSatisfaction)</f>
        <v>4001</v>
      </c>
      <c r="Q14" s="99">
        <f>_xll.StatSum(ST_Female)</f>
        <v>588</v>
      </c>
      <c r="R14" s="101">
        <f>_xll.StatSum(ST_HourlyRate)</f>
        <v>96860</v>
      </c>
      <c r="S14" s="99">
        <f>_xll.StatSum(ST_JobInvolvement)</f>
        <v>4013</v>
      </c>
      <c r="T14" s="98">
        <f>_xll.StatSum(ST_JobLevel)</f>
        <v>3034</v>
      </c>
      <c r="U14" s="99">
        <f>_xll.StatSum(ST_JobRoleHealthRep)</f>
        <v>131</v>
      </c>
      <c r="V14" s="99">
        <f>_xll.StatSum(ST_JobRoleSalesExe)</f>
        <v>326</v>
      </c>
      <c r="W14" s="99">
        <f>_xll.StatSum(ST_JobRoleLab)</f>
        <v>259</v>
      </c>
      <c r="X14" s="99">
        <f>_xll.StatSum(ST_JobRoleMgr)</f>
        <v>102</v>
      </c>
      <c r="Y14" s="99">
        <f>_xll.StatSum(ST_JobRoleManufDir)</f>
        <v>145</v>
      </c>
      <c r="Z14" s="99">
        <f>_xll.StatSum(ST_JobRoleResearchDir)</f>
        <v>145</v>
      </c>
      <c r="AA14" s="99">
        <f>_xll.StatSum(ST_JobRoleSalesRep)</f>
        <v>83</v>
      </c>
      <c r="AB14" s="99">
        <f>_xll.StatSum(ST_JobRoleResearchSci)</f>
        <v>292</v>
      </c>
      <c r="AC14" s="98">
        <f>_xll.StatSum(ST_JobSatisfaction)</f>
        <v>4011</v>
      </c>
      <c r="AD14" s="99">
        <f>_xll.StatSum(ST_MaritalSingle)</f>
        <v>470</v>
      </c>
      <c r="AE14" s="99">
        <f>_xll.StatSum(ST_MaritalMarried)</f>
        <v>673</v>
      </c>
      <c r="AF14" s="101">
        <f>_xll.StatSum(ST_MonthlyIncome)</f>
        <v>9559309</v>
      </c>
      <c r="AG14" s="101">
        <f>_xll.StatSum(ST_WinsMonthlyIncome)</f>
        <v>9560008.5500000007</v>
      </c>
      <c r="AH14" s="98">
        <f>_xll.StatSum(ST_NumCompaniesWorked)</f>
        <v>3959</v>
      </c>
      <c r="AI14" s="99">
        <f>_xll.StatSum(ST_OvertimeYes)</f>
        <v>416</v>
      </c>
      <c r="AJ14" s="98">
        <f>_xll.StatSum(ST_PercentSalaryHike)</f>
        <v>22358</v>
      </c>
      <c r="AK14" s="99">
        <f>_xll.StatSum(ST_PerformanceRating)</f>
        <v>4636</v>
      </c>
      <c r="AL14" s="98">
        <f>_xll.StatSum(ST_RelationshipSatisfaction)</f>
        <v>3987</v>
      </c>
      <c r="AM14" s="99">
        <f>_xll.StatSum(ST_StockOptionLevel)</f>
        <v>1167</v>
      </c>
      <c r="AN14" s="98">
        <f>_xll.StatSum(ST_TotalWorkingYears)</f>
        <v>16581</v>
      </c>
      <c r="AO14" s="98">
        <f>_xll.StatSum(ST_WinsTotalWorkingYears)</f>
        <v>16565</v>
      </c>
      <c r="AP14" s="98">
        <f>_xll.StatSum(ST_TrainingTimesLastYear)</f>
        <v>4115</v>
      </c>
      <c r="AQ14" s="99">
        <f>_xll.StatSum(ST_WorkLifeBalance)</f>
        <v>4059</v>
      </c>
      <c r="AR14" s="98">
        <f>_xll.StatSum(ST_YearsAtCompany)</f>
        <v>10302</v>
      </c>
      <c r="AS14" s="98">
        <f>_xll.StatSum(ST_WinsYearsAtCompany)</f>
        <v>10261</v>
      </c>
      <c r="AT14" s="98">
        <f>_xll.StatSum(ST_YearsInCurrentRole)</f>
        <v>6217</v>
      </c>
      <c r="AU14" s="98">
        <f>_xll.StatSum(ST_YearsSinceLastPromotion)</f>
        <v>3216</v>
      </c>
      <c r="AV14" s="98">
        <f>_xll.StatSum(ST_WinYearsSinceLastPromotion)</f>
        <v>3203</v>
      </c>
      <c r="AW14" s="98">
        <f>_xll.StatSum(ST_YearsWithCurrManager)</f>
        <v>6061</v>
      </c>
      <c r="AX14" s="98">
        <f>_xll.StatSum(ST_WinsYearsWithCurrentMgr)</f>
        <v>6031</v>
      </c>
      <c r="AY14" s="101">
        <f>_xll.StatSum(ST_GenderTotalWorkingYears)</f>
        <v>14597</v>
      </c>
      <c r="AZ14" s="99">
        <f>_xll.StatSum(ST_InteractionBusinessTravelFrequently0andMaritalMarried0)</f>
        <v>638</v>
      </c>
      <c r="BA14" s="99">
        <f>_xll.StatSum(ST_InteractionBusinessTravelFrequently0andMaritalMarried1)</f>
        <v>555</v>
      </c>
      <c r="BB14" s="99">
        <f>_xll.StatSum(ST_InteractionBusinessTravelFrequently1andMaritalMarried0)</f>
        <v>159</v>
      </c>
      <c r="BC14" s="99">
        <f>_xll.StatSum(ST_InteractionBusinessTravelFrequently1andMaritalMarried1)</f>
        <v>118</v>
      </c>
      <c r="BD14" s="99">
        <f>_xll.StatSum(ST_InteractionMaritalMarried0andOvertimeYes0)</f>
        <v>567</v>
      </c>
      <c r="BE14" s="99">
        <f>_xll.StatSum(ST_InteractionMaritalMarried0andOvertimeYes1)</f>
        <v>230</v>
      </c>
      <c r="BF14" s="99">
        <f>_xll.StatSum(ST_InteractionMaritalMarried1andOvertimeYes0)</f>
        <v>487</v>
      </c>
      <c r="BG14" s="99">
        <f>_xll.StatSum(ST_InteractionMaritalMarried1andOvertimeYes1)</f>
        <v>186</v>
      </c>
      <c r="BH14" s="99">
        <f>_xll.StatSum(ST_InteractionWinsYearsWithCurrentMgrDepartmentHumanResources)</f>
        <v>231</v>
      </c>
      <c r="BI14" s="98">
        <f>_xll.StatSum(ST_InteractionWinsYearsWithCurrentMgrDepartmentResearchDevelopment)</f>
        <v>3903</v>
      </c>
      <c r="BJ14" s="98">
        <f>_xll.StatSum(ST_InteractionWinsYearsWithCurrentMgrDepartmentSales)</f>
        <v>1897</v>
      </c>
      <c r="BK14" s="98">
        <f>_xll.StatSum(ST_InteractionWinsTotalWorkingYearsDepartmentHumanResources)</f>
        <v>727</v>
      </c>
      <c r="BL14" s="98">
        <f>_xll.StatSum(ST_InteractionWinsTotalWorkingYearsDepartmentResearchDevelopment)</f>
        <v>10890</v>
      </c>
      <c r="BM14" s="98">
        <f>_xll.StatSum(ST_InteractionWinsTotalWorkingYearsDepartmentSales)</f>
        <v>4948</v>
      </c>
    </row>
    <row r="15" spans="1:65" ht="15" customHeight="1" x14ac:dyDescent="0.45">
      <c r="A15" s="107" t="s">
        <v>743</v>
      </c>
      <c r="B15" s="98">
        <f>_xll.StatQuartile(ST_Age, 1)</f>
        <v>30</v>
      </c>
      <c r="C15" s="98">
        <f>_xll.StatQuartile(ST_WinsAge, 1)</f>
        <v>30</v>
      </c>
      <c r="D15" s="99">
        <f>_xll.StatQuartile(ST_BusinessTravelFrequently, 1)</f>
        <v>0</v>
      </c>
      <c r="E15" s="99">
        <f>_xll.StatQuartile(ST_BusinessTravelrarely, 1)</f>
        <v>0</v>
      </c>
      <c r="F15" s="99">
        <f>_xll.StatQuartile(ST_DeptRD, 1)</f>
        <v>0</v>
      </c>
      <c r="G15" s="99">
        <f>_xll.StatQuartile(ST_DeptSales, 1)</f>
        <v>0</v>
      </c>
      <c r="H15" s="98">
        <f>_xll.StatQuartile(ST_DistanceFromHome, 1)</f>
        <v>2</v>
      </c>
      <c r="I15" s="98">
        <f>_xll.StatQuartile(ST_WinsDistanceFromHome, 1)</f>
        <v>2</v>
      </c>
      <c r="J15" s="98">
        <f>_xll.StatQuartile(ST_Education, 1)</f>
        <v>2</v>
      </c>
      <c r="K15" s="99">
        <f>_xll.StatQuartile(ST_EducationFieldLifeSci, 1)</f>
        <v>0</v>
      </c>
      <c r="L15" s="99">
        <f>_xll.StatQuartile(ST_EducationFieldOther, 1)</f>
        <v>0</v>
      </c>
      <c r="M15" s="99">
        <f>_xll.StatQuartile(ST_EducationFieldMedical, 1)</f>
        <v>0</v>
      </c>
      <c r="N15" s="99">
        <f>_xll.StatQuartile(ST_EducationFieldMkt, 1)</f>
        <v>0</v>
      </c>
      <c r="O15" s="99">
        <f>_xll.StatQuartile(ST_EducationFieldTech, 1)</f>
        <v>0</v>
      </c>
      <c r="P15" s="98">
        <f>_xll.StatQuartile(ST_EnvironmentSatisfaction, 1)</f>
        <v>2</v>
      </c>
      <c r="Q15" s="99">
        <f>_xll.StatQuartile(ST_Female, 1)</f>
        <v>0</v>
      </c>
      <c r="R15" s="101">
        <f>_xll.StatQuartile(ST_HourlyRate, 1)</f>
        <v>48</v>
      </c>
      <c r="S15" s="99">
        <f>_xll.StatQuartile(ST_JobInvolvement, 1)</f>
        <v>2</v>
      </c>
      <c r="T15" s="98">
        <f>_xll.StatQuartile(ST_JobLevel, 1)</f>
        <v>1</v>
      </c>
      <c r="U15" s="99">
        <f>_xll.StatQuartile(ST_JobRoleHealthRep, 1)</f>
        <v>0</v>
      </c>
      <c r="V15" s="99">
        <f>_xll.StatQuartile(ST_JobRoleSalesExe, 1)</f>
        <v>0</v>
      </c>
      <c r="W15" s="99">
        <f>_xll.StatQuartile(ST_JobRoleLab, 1)</f>
        <v>0</v>
      </c>
      <c r="X15" s="99">
        <f>_xll.StatQuartile(ST_JobRoleMgr, 1)</f>
        <v>0</v>
      </c>
      <c r="Y15" s="99">
        <f>_xll.StatQuartile(ST_JobRoleManufDir, 1)</f>
        <v>0</v>
      </c>
      <c r="Z15" s="99">
        <f>_xll.StatQuartile(ST_JobRoleResearchDir, 1)</f>
        <v>0</v>
      </c>
      <c r="AA15" s="99">
        <f>_xll.StatQuartile(ST_JobRoleSalesRep, 1)</f>
        <v>0</v>
      </c>
      <c r="AB15" s="99">
        <f>_xll.StatQuartile(ST_JobRoleResearchSci, 1)</f>
        <v>0</v>
      </c>
      <c r="AC15" s="98">
        <f>_xll.StatQuartile(ST_JobSatisfaction, 1)</f>
        <v>2</v>
      </c>
      <c r="AD15" s="99">
        <f>_xll.StatQuartile(ST_MaritalSingle, 1)</f>
        <v>0</v>
      </c>
      <c r="AE15" s="99">
        <f>_xll.StatQuartile(ST_MaritalMarried, 1)</f>
        <v>0</v>
      </c>
      <c r="AF15" s="101">
        <f>_xll.StatQuartile(ST_MonthlyIncome, 1)</f>
        <v>2911</v>
      </c>
      <c r="AG15" s="101">
        <f>_xll.StatQuartile(ST_WinsMonthlyIncome, 1)</f>
        <v>2911</v>
      </c>
      <c r="AH15" s="98">
        <f>_xll.StatQuartile(ST_NumCompaniesWorked, 1)</f>
        <v>1</v>
      </c>
      <c r="AI15" s="99">
        <f>_xll.StatQuartile(ST_OvertimeYes, 1)</f>
        <v>0</v>
      </c>
      <c r="AJ15" s="98">
        <f>_xll.StatQuartile(ST_PercentSalaryHike, 1)</f>
        <v>12</v>
      </c>
      <c r="AK15" s="99">
        <f>_xll.StatQuartile(ST_PerformanceRating, 1)</f>
        <v>3</v>
      </c>
      <c r="AL15" s="98">
        <f>_xll.StatQuartile(ST_RelationshipSatisfaction, 1)</f>
        <v>2</v>
      </c>
      <c r="AM15" s="99">
        <f>_xll.StatQuartile(ST_StockOptionLevel, 1)</f>
        <v>0</v>
      </c>
      <c r="AN15" s="98">
        <f>_xll.StatQuartile(ST_TotalWorkingYears, 1)</f>
        <v>6</v>
      </c>
      <c r="AO15" s="98">
        <f>_xll.StatQuartile(ST_WinsTotalWorkingYears, 1)</f>
        <v>6</v>
      </c>
      <c r="AP15" s="98">
        <f>_xll.StatQuartile(ST_TrainingTimesLastYear, 1)</f>
        <v>2</v>
      </c>
      <c r="AQ15" s="99">
        <f>_xll.StatQuartile(ST_WorkLifeBalance, 1)</f>
        <v>2</v>
      </c>
      <c r="AR15" s="98">
        <f>_xll.StatQuartile(ST_YearsAtCompany, 1)</f>
        <v>3</v>
      </c>
      <c r="AS15" s="98">
        <f>_xll.StatQuartile(ST_WinsYearsAtCompany, 1)</f>
        <v>3</v>
      </c>
      <c r="AT15" s="98">
        <f>_xll.StatQuartile(ST_YearsInCurrentRole, 1)</f>
        <v>2</v>
      </c>
      <c r="AU15" s="98">
        <f>_xll.StatQuartile(ST_YearsSinceLastPromotion, 1)</f>
        <v>0</v>
      </c>
      <c r="AV15" s="98">
        <f>_xll.StatQuartile(ST_WinYearsSinceLastPromotion, 1)</f>
        <v>0</v>
      </c>
      <c r="AW15" s="98">
        <f>_xll.StatQuartile(ST_YearsWithCurrManager, 1)</f>
        <v>2</v>
      </c>
      <c r="AX15" s="98">
        <f>_xll.StatQuartile(ST_WinsYearsWithCurrentMgr, 1)</f>
        <v>2</v>
      </c>
      <c r="AY15" s="101">
        <f>_xll.StatQuartile(ST_GenderTotalWorkingYears, 1)</f>
        <v>2</v>
      </c>
      <c r="AZ15" s="99">
        <f>_xll.StatQuartile(ST_InteractionBusinessTravelFrequently0andMaritalMarried0, 1)</f>
        <v>0</v>
      </c>
      <c r="BA15" s="99">
        <f>_xll.StatQuartile(ST_InteractionBusinessTravelFrequently0andMaritalMarried1, 1)</f>
        <v>0</v>
      </c>
      <c r="BB15" s="99">
        <f>_xll.StatQuartile(ST_InteractionBusinessTravelFrequently1andMaritalMarried0, 1)</f>
        <v>0</v>
      </c>
      <c r="BC15" s="99">
        <f>_xll.StatQuartile(ST_InteractionBusinessTravelFrequently1andMaritalMarried1, 1)</f>
        <v>0</v>
      </c>
      <c r="BD15" s="99">
        <f>_xll.StatQuartile(ST_InteractionMaritalMarried0andOvertimeYes0, 1)</f>
        <v>0</v>
      </c>
      <c r="BE15" s="99">
        <f>_xll.StatQuartile(ST_InteractionMaritalMarried0andOvertimeYes1, 1)</f>
        <v>0</v>
      </c>
      <c r="BF15" s="99">
        <f>_xll.StatQuartile(ST_InteractionMaritalMarried1andOvertimeYes0, 1)</f>
        <v>0</v>
      </c>
      <c r="BG15" s="99">
        <f>_xll.StatQuartile(ST_InteractionMaritalMarried1andOvertimeYes1, 1)</f>
        <v>0</v>
      </c>
      <c r="BH15" s="99">
        <f>_xll.StatQuartile(ST_InteractionWinsYearsWithCurrentMgrDepartmentHumanResources, 1)</f>
        <v>0</v>
      </c>
      <c r="BI15" s="98">
        <f>_xll.StatQuartile(ST_InteractionWinsYearsWithCurrentMgrDepartmentResearchDevelopment, 1)</f>
        <v>0</v>
      </c>
      <c r="BJ15" s="98">
        <f>_xll.StatQuartile(ST_InteractionWinsYearsWithCurrentMgrDepartmentSales, 1)</f>
        <v>0</v>
      </c>
      <c r="BK15" s="98">
        <f>_xll.StatQuartile(ST_InteractionWinsTotalWorkingYearsDepartmentHumanResources, 1)</f>
        <v>0</v>
      </c>
      <c r="BL15" s="98">
        <f>_xll.StatQuartile(ST_InteractionWinsTotalWorkingYearsDepartmentResearchDevelopment, 1)</f>
        <v>0</v>
      </c>
      <c r="BM15" s="98">
        <f>_xll.StatQuartile(ST_InteractionWinsTotalWorkingYearsDepartmentSales, 1)</f>
        <v>0</v>
      </c>
    </row>
    <row r="16" spans="1:65" ht="15" customHeight="1" x14ac:dyDescent="0.45">
      <c r="A16" s="107" t="s">
        <v>744</v>
      </c>
      <c r="B16" s="98">
        <f>_xll.StatQuartile(ST_Age, 3)</f>
        <v>43</v>
      </c>
      <c r="C16" s="98">
        <f>_xll.StatQuartile(ST_WinsAge, 3)</f>
        <v>43</v>
      </c>
      <c r="D16" s="99">
        <f>_xll.StatQuartile(ST_BusinessTravelFrequently, 3)</f>
        <v>0</v>
      </c>
      <c r="E16" s="99">
        <f>_xll.StatQuartile(ST_BusinessTravelrarely, 3)</f>
        <v>1</v>
      </c>
      <c r="F16" s="99">
        <f>_xll.StatQuartile(ST_DeptRD, 3)</f>
        <v>1</v>
      </c>
      <c r="G16" s="99">
        <f>_xll.StatQuartile(ST_DeptSales, 3)</f>
        <v>1</v>
      </c>
      <c r="H16" s="98">
        <f>_xll.StatQuartile(ST_DistanceFromHome, 3)</f>
        <v>14</v>
      </c>
      <c r="I16" s="98">
        <f>_xll.StatQuartile(ST_WinsDistanceFromHome, 3)</f>
        <v>14</v>
      </c>
      <c r="J16" s="98">
        <f>_xll.StatQuartile(ST_Education, 3)</f>
        <v>4</v>
      </c>
      <c r="K16" s="99">
        <f>_xll.StatQuartile(ST_EducationFieldLifeSci, 3)</f>
        <v>1</v>
      </c>
      <c r="L16" s="99">
        <f>_xll.StatQuartile(ST_EducationFieldOther, 3)</f>
        <v>0</v>
      </c>
      <c r="M16" s="99">
        <f>_xll.StatQuartile(ST_EducationFieldMedical, 3)</f>
        <v>1</v>
      </c>
      <c r="N16" s="99">
        <f>_xll.StatQuartile(ST_EducationFieldMkt, 3)</f>
        <v>0</v>
      </c>
      <c r="O16" s="99">
        <f>_xll.StatQuartile(ST_EducationFieldTech, 3)</f>
        <v>0</v>
      </c>
      <c r="P16" s="98">
        <f>_xll.StatQuartile(ST_EnvironmentSatisfaction, 3)</f>
        <v>4</v>
      </c>
      <c r="Q16" s="99">
        <f>_xll.StatQuartile(ST_Female, 3)</f>
        <v>1</v>
      </c>
      <c r="R16" s="101">
        <f>_xll.StatQuartile(ST_HourlyRate, 3)</f>
        <v>84</v>
      </c>
      <c r="S16" s="99">
        <f>_xll.StatQuartile(ST_JobInvolvement, 3)</f>
        <v>3</v>
      </c>
      <c r="T16" s="98">
        <f>_xll.StatQuartile(ST_JobLevel, 3)</f>
        <v>3</v>
      </c>
      <c r="U16" s="99">
        <f>_xll.StatQuartile(ST_JobRoleHealthRep, 3)</f>
        <v>0</v>
      </c>
      <c r="V16" s="99">
        <f>_xll.StatQuartile(ST_JobRoleSalesExe, 3)</f>
        <v>0</v>
      </c>
      <c r="W16" s="99">
        <f>_xll.StatQuartile(ST_JobRoleLab, 3)</f>
        <v>0</v>
      </c>
      <c r="X16" s="99">
        <f>_xll.StatQuartile(ST_JobRoleMgr, 3)</f>
        <v>0</v>
      </c>
      <c r="Y16" s="99">
        <f>_xll.StatQuartile(ST_JobRoleManufDir, 3)</f>
        <v>0</v>
      </c>
      <c r="Z16" s="99">
        <f>_xll.StatQuartile(ST_JobRoleResearchDir, 3)</f>
        <v>0</v>
      </c>
      <c r="AA16" s="99">
        <f>_xll.StatQuartile(ST_JobRoleSalesRep, 3)</f>
        <v>0</v>
      </c>
      <c r="AB16" s="99">
        <f>_xll.StatQuartile(ST_JobRoleResearchSci, 3)</f>
        <v>0</v>
      </c>
      <c r="AC16" s="98">
        <f>_xll.StatQuartile(ST_JobSatisfaction, 3)</f>
        <v>4</v>
      </c>
      <c r="AD16" s="99">
        <f>_xll.StatQuartile(ST_MaritalSingle, 3)</f>
        <v>1</v>
      </c>
      <c r="AE16" s="99">
        <f>_xll.StatQuartile(ST_MaritalMarried, 3)</f>
        <v>1</v>
      </c>
      <c r="AF16" s="101">
        <f>_xll.StatQuartile(ST_MonthlyIncome, 3)</f>
        <v>8380</v>
      </c>
      <c r="AG16" s="101">
        <f>_xll.StatQuartile(ST_WinsMonthlyIncome, 3)</f>
        <v>8380</v>
      </c>
      <c r="AH16" s="98">
        <f>_xll.StatQuartile(ST_NumCompaniesWorked, 3)</f>
        <v>4</v>
      </c>
      <c r="AI16" s="99">
        <f>_xll.StatQuartile(ST_OvertimeYes, 3)</f>
        <v>1</v>
      </c>
      <c r="AJ16" s="98">
        <f>_xll.StatQuartile(ST_PercentSalaryHike, 3)</f>
        <v>18</v>
      </c>
      <c r="AK16" s="99">
        <f>_xll.StatQuartile(ST_PerformanceRating, 3)</f>
        <v>3</v>
      </c>
      <c r="AL16" s="98">
        <f>_xll.StatQuartile(ST_RelationshipSatisfaction, 3)</f>
        <v>4</v>
      </c>
      <c r="AM16" s="99">
        <f>_xll.StatQuartile(ST_StockOptionLevel, 3)</f>
        <v>1</v>
      </c>
      <c r="AN16" s="98">
        <f>_xll.StatQuartile(ST_TotalWorkingYears, 3)</f>
        <v>15</v>
      </c>
      <c r="AO16" s="98">
        <f>_xll.StatQuartile(ST_WinsTotalWorkingYears, 3)</f>
        <v>15</v>
      </c>
      <c r="AP16" s="98">
        <f>_xll.StatQuartile(ST_TrainingTimesLastYear, 3)</f>
        <v>3</v>
      </c>
      <c r="AQ16" s="99">
        <f>_xll.StatQuartile(ST_WorkLifeBalance, 3)</f>
        <v>3</v>
      </c>
      <c r="AR16" s="98">
        <f>_xll.StatQuartile(ST_YearsAtCompany, 3)</f>
        <v>9</v>
      </c>
      <c r="AS16" s="98">
        <f>_xll.StatQuartile(ST_WinsYearsAtCompany, 3)</f>
        <v>9</v>
      </c>
      <c r="AT16" s="98">
        <f>_xll.StatQuartile(ST_YearsInCurrentRole, 3)</f>
        <v>7</v>
      </c>
      <c r="AU16" s="98">
        <f>_xll.StatQuartile(ST_YearsSinceLastPromotion, 3)</f>
        <v>3</v>
      </c>
      <c r="AV16" s="98">
        <f>_xll.StatQuartile(ST_WinYearsSinceLastPromotion, 3)</f>
        <v>3</v>
      </c>
      <c r="AW16" s="98">
        <f>_xll.StatQuartile(ST_YearsWithCurrManager, 3)</f>
        <v>7</v>
      </c>
      <c r="AX16" s="98">
        <f>_xll.StatQuartile(ST_WinsYearsWithCurrentMgr, 3)</f>
        <v>7</v>
      </c>
      <c r="AY16" s="101">
        <f>_xll.StatQuartile(ST_GenderTotalWorkingYears, 3)</f>
        <v>14</v>
      </c>
      <c r="AZ16" s="99">
        <f>_xll.StatQuartile(ST_InteractionBusinessTravelFrequently0andMaritalMarried0, 3)</f>
        <v>1</v>
      </c>
      <c r="BA16" s="99">
        <f>_xll.StatQuartile(ST_InteractionBusinessTravelFrequently0andMaritalMarried1, 3)</f>
        <v>1</v>
      </c>
      <c r="BB16" s="99">
        <f>_xll.StatQuartile(ST_InteractionBusinessTravelFrequently1andMaritalMarried0, 3)</f>
        <v>0</v>
      </c>
      <c r="BC16" s="99">
        <f>_xll.StatQuartile(ST_InteractionBusinessTravelFrequently1andMaritalMarried1, 3)</f>
        <v>0</v>
      </c>
      <c r="BD16" s="99">
        <f>_xll.StatQuartile(ST_InteractionMaritalMarried0andOvertimeYes0, 3)</f>
        <v>1</v>
      </c>
      <c r="BE16" s="99">
        <f>_xll.StatQuartile(ST_InteractionMaritalMarried0andOvertimeYes1, 3)</f>
        <v>0</v>
      </c>
      <c r="BF16" s="99">
        <f>_xll.StatQuartile(ST_InteractionMaritalMarried1andOvertimeYes0, 3)</f>
        <v>1</v>
      </c>
      <c r="BG16" s="99">
        <f>_xll.StatQuartile(ST_InteractionMaritalMarried1andOvertimeYes1, 3)</f>
        <v>0</v>
      </c>
      <c r="BH16" s="99">
        <f>_xll.StatQuartile(ST_InteractionWinsYearsWithCurrentMgrDepartmentHumanResources, 3)</f>
        <v>0</v>
      </c>
      <c r="BI16" s="98">
        <f>_xll.StatQuartile(ST_InteractionWinsYearsWithCurrentMgrDepartmentResearchDevelopment, 3)</f>
        <v>4</v>
      </c>
      <c r="BJ16" s="98">
        <f>_xll.StatQuartile(ST_InteractionWinsYearsWithCurrentMgrDepartmentSales, 3)</f>
        <v>0</v>
      </c>
      <c r="BK16" s="98">
        <f>_xll.StatQuartile(ST_InteractionWinsTotalWorkingYearsDepartmentHumanResources, 3)</f>
        <v>0</v>
      </c>
      <c r="BL16" s="98">
        <f>_xll.StatQuartile(ST_InteractionWinsTotalWorkingYearsDepartmentResearchDevelopment, 3)</f>
        <v>10</v>
      </c>
      <c r="BM16" s="98">
        <f>_xll.StatQuartile(ST_InteractionWinsTotalWorkingYearsDepartmentSales, 3)</f>
        <v>5</v>
      </c>
    </row>
    <row r="17" spans="1:65" ht="15" customHeight="1" x14ac:dyDescent="0.45">
      <c r="A17" s="108" t="s">
        <v>745</v>
      </c>
      <c r="B17" s="100">
        <f>_xll.StatQuartile(ST_Age,3) - _xll.StatQuartile(ST_Age,1)</f>
        <v>13</v>
      </c>
      <c r="C17" s="100">
        <f>_xll.StatQuartile(ST_WinsAge,3) - _xll.StatQuartile(ST_WinsAge,1)</f>
        <v>13</v>
      </c>
      <c r="D17" s="103">
        <f>_xll.StatQuartile(ST_BusinessTravelFrequently,3) - _xll.StatQuartile(ST_BusinessTravelFrequently,1)</f>
        <v>0</v>
      </c>
      <c r="E17" s="103">
        <f>_xll.StatQuartile(ST_BusinessTravelrarely,3) - _xll.StatQuartile(ST_BusinessTravelrarely,1)</f>
        <v>1</v>
      </c>
      <c r="F17" s="103">
        <f>_xll.StatQuartile(ST_DeptRD,3) - _xll.StatQuartile(ST_DeptRD,1)</f>
        <v>1</v>
      </c>
      <c r="G17" s="103">
        <f>_xll.StatQuartile(ST_DeptSales,3) - _xll.StatQuartile(ST_DeptSales,1)</f>
        <v>1</v>
      </c>
      <c r="H17" s="100">
        <f>_xll.StatQuartile(ST_DistanceFromHome,3) - _xll.StatQuartile(ST_DistanceFromHome,1)</f>
        <v>12</v>
      </c>
      <c r="I17" s="100">
        <f>_xll.StatQuartile(ST_WinsDistanceFromHome,3) - _xll.StatQuartile(ST_WinsDistanceFromHome,1)</f>
        <v>12</v>
      </c>
      <c r="J17" s="100">
        <f>_xll.StatQuartile(ST_Education,3) - _xll.StatQuartile(ST_Education,1)</f>
        <v>2</v>
      </c>
      <c r="K17" s="103">
        <f>_xll.StatQuartile(ST_EducationFieldLifeSci,3) - _xll.StatQuartile(ST_EducationFieldLifeSci,1)</f>
        <v>1</v>
      </c>
      <c r="L17" s="103">
        <f>_xll.StatQuartile(ST_EducationFieldOther,3) - _xll.StatQuartile(ST_EducationFieldOther,1)</f>
        <v>0</v>
      </c>
      <c r="M17" s="103">
        <f>_xll.StatQuartile(ST_EducationFieldMedical,3) - _xll.StatQuartile(ST_EducationFieldMedical,1)</f>
        <v>1</v>
      </c>
      <c r="N17" s="103">
        <f>_xll.StatQuartile(ST_EducationFieldMkt,3) - _xll.StatQuartile(ST_EducationFieldMkt,1)</f>
        <v>0</v>
      </c>
      <c r="O17" s="103">
        <f>_xll.StatQuartile(ST_EducationFieldTech,3) - _xll.StatQuartile(ST_EducationFieldTech,1)</f>
        <v>0</v>
      </c>
      <c r="P17" s="100">
        <f>_xll.StatQuartile(ST_EnvironmentSatisfaction,3) - _xll.StatQuartile(ST_EnvironmentSatisfaction,1)</f>
        <v>2</v>
      </c>
      <c r="Q17" s="103">
        <f>_xll.StatQuartile(ST_Female,3) - _xll.StatQuartile(ST_Female,1)</f>
        <v>1</v>
      </c>
      <c r="R17" s="102">
        <f>_xll.StatQuartile(ST_HourlyRate,3) - _xll.StatQuartile(ST_HourlyRate,1)</f>
        <v>36</v>
      </c>
      <c r="S17" s="103">
        <f>_xll.StatQuartile(ST_JobInvolvement,3) - _xll.StatQuartile(ST_JobInvolvement,1)</f>
        <v>1</v>
      </c>
      <c r="T17" s="100">
        <f>_xll.StatQuartile(ST_JobLevel,3) - _xll.StatQuartile(ST_JobLevel,1)</f>
        <v>2</v>
      </c>
      <c r="U17" s="103">
        <f>_xll.StatQuartile(ST_JobRoleHealthRep,3) - _xll.StatQuartile(ST_JobRoleHealthRep,1)</f>
        <v>0</v>
      </c>
      <c r="V17" s="103">
        <f>_xll.StatQuartile(ST_JobRoleSalesExe,3) - _xll.StatQuartile(ST_JobRoleSalesExe,1)</f>
        <v>0</v>
      </c>
      <c r="W17" s="103">
        <f>_xll.StatQuartile(ST_JobRoleLab,3) - _xll.StatQuartile(ST_JobRoleLab,1)</f>
        <v>0</v>
      </c>
      <c r="X17" s="103">
        <f>_xll.StatQuartile(ST_JobRoleMgr,3) - _xll.StatQuartile(ST_JobRoleMgr,1)</f>
        <v>0</v>
      </c>
      <c r="Y17" s="103">
        <f>_xll.StatQuartile(ST_JobRoleManufDir,3) - _xll.StatQuartile(ST_JobRoleManufDir,1)</f>
        <v>0</v>
      </c>
      <c r="Z17" s="103">
        <f>_xll.StatQuartile(ST_JobRoleResearchDir,3) - _xll.StatQuartile(ST_JobRoleResearchDir,1)</f>
        <v>0</v>
      </c>
      <c r="AA17" s="103">
        <f>_xll.StatQuartile(ST_JobRoleSalesRep,3) - _xll.StatQuartile(ST_JobRoleSalesRep,1)</f>
        <v>0</v>
      </c>
      <c r="AB17" s="103">
        <f>_xll.StatQuartile(ST_JobRoleResearchSci,3) - _xll.StatQuartile(ST_JobRoleResearchSci,1)</f>
        <v>0</v>
      </c>
      <c r="AC17" s="100">
        <f>_xll.StatQuartile(ST_JobSatisfaction,3) - _xll.StatQuartile(ST_JobSatisfaction,1)</f>
        <v>2</v>
      </c>
      <c r="AD17" s="103">
        <f>_xll.StatQuartile(ST_MaritalSingle,3) - _xll.StatQuartile(ST_MaritalSingle,1)</f>
        <v>1</v>
      </c>
      <c r="AE17" s="103">
        <f>_xll.StatQuartile(ST_MaritalMarried,3) - _xll.StatQuartile(ST_MaritalMarried,1)</f>
        <v>1</v>
      </c>
      <c r="AF17" s="102">
        <f>_xll.StatQuartile(ST_MonthlyIncome,3) - _xll.StatQuartile(ST_MonthlyIncome,1)</f>
        <v>5469</v>
      </c>
      <c r="AG17" s="102">
        <f>_xll.StatQuartile(ST_WinsMonthlyIncome,3) - _xll.StatQuartile(ST_WinsMonthlyIncome,1)</f>
        <v>5469</v>
      </c>
      <c r="AH17" s="100">
        <f>_xll.StatQuartile(ST_NumCompaniesWorked,3) - _xll.StatQuartile(ST_NumCompaniesWorked,1)</f>
        <v>3</v>
      </c>
      <c r="AI17" s="103">
        <f>_xll.StatQuartile(ST_OvertimeYes,3) - _xll.StatQuartile(ST_OvertimeYes,1)</f>
        <v>1</v>
      </c>
      <c r="AJ17" s="100">
        <f>_xll.StatQuartile(ST_PercentSalaryHike,3) - _xll.StatQuartile(ST_PercentSalaryHike,1)</f>
        <v>6</v>
      </c>
      <c r="AK17" s="103">
        <f>_xll.StatQuartile(ST_PerformanceRating,3) - _xll.StatQuartile(ST_PerformanceRating,1)</f>
        <v>0</v>
      </c>
      <c r="AL17" s="100">
        <f>_xll.StatQuartile(ST_RelationshipSatisfaction,3) - _xll.StatQuartile(ST_RelationshipSatisfaction,1)</f>
        <v>2</v>
      </c>
      <c r="AM17" s="103">
        <f>_xll.StatQuartile(ST_StockOptionLevel,3) - _xll.StatQuartile(ST_StockOptionLevel,1)</f>
        <v>1</v>
      </c>
      <c r="AN17" s="100">
        <f>_xll.StatQuartile(ST_TotalWorkingYears,3) - _xll.StatQuartile(ST_TotalWorkingYears,1)</f>
        <v>9</v>
      </c>
      <c r="AO17" s="100">
        <f>_xll.StatQuartile(ST_WinsTotalWorkingYears,3) - _xll.StatQuartile(ST_WinsTotalWorkingYears,1)</f>
        <v>9</v>
      </c>
      <c r="AP17" s="100">
        <f>_xll.StatQuartile(ST_TrainingTimesLastYear,3) - _xll.StatQuartile(ST_TrainingTimesLastYear,1)</f>
        <v>1</v>
      </c>
      <c r="AQ17" s="103">
        <f>_xll.StatQuartile(ST_WorkLifeBalance,3) - _xll.StatQuartile(ST_WorkLifeBalance,1)</f>
        <v>1</v>
      </c>
      <c r="AR17" s="100">
        <f>_xll.StatQuartile(ST_YearsAtCompany,3) - _xll.StatQuartile(ST_YearsAtCompany,1)</f>
        <v>6</v>
      </c>
      <c r="AS17" s="100">
        <f>_xll.StatQuartile(ST_WinsYearsAtCompany,3) - _xll.StatQuartile(ST_WinsYearsAtCompany,1)</f>
        <v>6</v>
      </c>
      <c r="AT17" s="100">
        <f>_xll.StatQuartile(ST_YearsInCurrentRole,3) - _xll.StatQuartile(ST_YearsInCurrentRole,1)</f>
        <v>5</v>
      </c>
      <c r="AU17" s="100">
        <f>_xll.StatQuartile(ST_YearsSinceLastPromotion,3) - _xll.StatQuartile(ST_YearsSinceLastPromotion,1)</f>
        <v>3</v>
      </c>
      <c r="AV17" s="100">
        <f>_xll.StatQuartile(ST_WinYearsSinceLastPromotion,3) - _xll.StatQuartile(ST_WinYearsSinceLastPromotion,1)</f>
        <v>3</v>
      </c>
      <c r="AW17" s="100">
        <f>_xll.StatQuartile(ST_YearsWithCurrManager,3) - _xll.StatQuartile(ST_YearsWithCurrManager,1)</f>
        <v>5</v>
      </c>
      <c r="AX17" s="100">
        <f>_xll.StatQuartile(ST_WinsYearsWithCurrentMgr,3) - _xll.StatQuartile(ST_WinsYearsWithCurrentMgr,1)</f>
        <v>5</v>
      </c>
      <c r="AY17" s="102">
        <f>_xll.StatQuartile(ST_GenderTotalWorkingYears,3) - _xll.StatQuartile(ST_GenderTotalWorkingYears,1)</f>
        <v>12</v>
      </c>
      <c r="AZ17" s="103">
        <f>_xll.StatQuartile(ST_InteractionBusinessTravelFrequently0andMaritalMarried0,3) - _xll.StatQuartile(ST_InteractionBusinessTravelFrequently0andMaritalMarried0,1)</f>
        <v>1</v>
      </c>
      <c r="BA17" s="103">
        <f>_xll.StatQuartile(ST_InteractionBusinessTravelFrequently0andMaritalMarried1,3) - _xll.StatQuartile(ST_InteractionBusinessTravelFrequently0andMaritalMarried1,1)</f>
        <v>1</v>
      </c>
      <c r="BB17" s="103">
        <f>_xll.StatQuartile(ST_InteractionBusinessTravelFrequently1andMaritalMarried0,3) - _xll.StatQuartile(ST_InteractionBusinessTravelFrequently1andMaritalMarried0,1)</f>
        <v>0</v>
      </c>
      <c r="BC17" s="103">
        <f>_xll.StatQuartile(ST_InteractionBusinessTravelFrequently1andMaritalMarried1,3) - _xll.StatQuartile(ST_InteractionBusinessTravelFrequently1andMaritalMarried1,1)</f>
        <v>0</v>
      </c>
      <c r="BD17" s="103">
        <f>_xll.StatQuartile(ST_InteractionMaritalMarried0andOvertimeYes0,3) - _xll.StatQuartile(ST_InteractionMaritalMarried0andOvertimeYes0,1)</f>
        <v>1</v>
      </c>
      <c r="BE17" s="103">
        <f>_xll.StatQuartile(ST_InteractionMaritalMarried0andOvertimeYes1,3) - _xll.StatQuartile(ST_InteractionMaritalMarried0andOvertimeYes1,1)</f>
        <v>0</v>
      </c>
      <c r="BF17" s="103">
        <f>_xll.StatQuartile(ST_InteractionMaritalMarried1andOvertimeYes0,3) - _xll.StatQuartile(ST_InteractionMaritalMarried1andOvertimeYes0,1)</f>
        <v>1</v>
      </c>
      <c r="BG17" s="103">
        <f>_xll.StatQuartile(ST_InteractionMaritalMarried1andOvertimeYes1,3) - _xll.StatQuartile(ST_InteractionMaritalMarried1andOvertimeYes1,1)</f>
        <v>0</v>
      </c>
      <c r="BH17" s="103">
        <f>_xll.StatQuartile(ST_InteractionWinsYearsWithCurrentMgrDepartmentHumanResources,3) - _xll.StatQuartile(ST_InteractionWinsYearsWithCurrentMgrDepartmentHumanResources,1)</f>
        <v>0</v>
      </c>
      <c r="BI17" s="100">
        <f>_xll.StatQuartile(ST_InteractionWinsYearsWithCurrentMgrDepartmentResearchDevelopment,3) - _xll.StatQuartile(ST_InteractionWinsYearsWithCurrentMgrDepartmentResearchDevelopment,1)</f>
        <v>4</v>
      </c>
      <c r="BJ17" s="100">
        <f>_xll.StatQuartile(ST_InteractionWinsYearsWithCurrentMgrDepartmentSales,3) - _xll.StatQuartile(ST_InteractionWinsYearsWithCurrentMgrDepartmentSales,1)</f>
        <v>0</v>
      </c>
      <c r="BK17" s="100">
        <f>_xll.StatQuartile(ST_InteractionWinsTotalWorkingYearsDepartmentHumanResources,3) - _xll.StatQuartile(ST_InteractionWinsTotalWorkingYearsDepartmentHumanResources,1)</f>
        <v>0</v>
      </c>
      <c r="BL17" s="100">
        <f>_xll.StatQuartile(ST_InteractionWinsTotalWorkingYearsDepartmentResearchDevelopment,3) - _xll.StatQuartile(ST_InteractionWinsTotalWorkingYearsDepartmentResearchDevelopment,1)</f>
        <v>10</v>
      </c>
      <c r="BM17" s="100">
        <f>_xll.StatQuartile(ST_InteractionWinsTotalWorkingYearsDepartmentSales,3) - _xll.StatQuartile(ST_InteractionWinsTotalWorkingYearsDepartmentSales,1)</f>
        <v>5</v>
      </c>
    </row>
    <row r="18" spans="1:65" ht="15" customHeight="1" x14ac:dyDescent="0.45">
      <c r="A18" s="109">
        <v>0.01</v>
      </c>
      <c r="B18" s="98">
        <f>_xll.StatPercentile(ST_Age, 0.01)</f>
        <v>19</v>
      </c>
      <c r="C18" s="98">
        <f>_xll.StatPercentile(ST_WinsAge, 0.01)</f>
        <v>19</v>
      </c>
      <c r="D18" s="99">
        <f>_xll.StatPercentile(ST_BusinessTravelFrequently, 0.01)</f>
        <v>0</v>
      </c>
      <c r="E18" s="99">
        <f>_xll.StatPercentile(ST_BusinessTravelrarely, 0.01)</f>
        <v>0</v>
      </c>
      <c r="F18" s="99">
        <f>_xll.StatPercentile(ST_DeptRD, 0.01)</f>
        <v>0</v>
      </c>
      <c r="G18" s="99">
        <f>_xll.StatPercentile(ST_DeptSales, 0.01)</f>
        <v>0</v>
      </c>
      <c r="H18" s="98">
        <f>_xll.StatPercentile(ST_DistanceFromHome, 0.01)</f>
        <v>1</v>
      </c>
      <c r="I18" s="98">
        <f>_xll.StatPercentile(ST_WinsDistanceFromHome, 0.01)</f>
        <v>1</v>
      </c>
      <c r="J18" s="98">
        <f>_xll.StatPercentile(ST_Education, 0.01)</f>
        <v>1</v>
      </c>
      <c r="K18" s="99">
        <f>_xll.StatPercentile(ST_EducationFieldLifeSci, 0.01)</f>
        <v>0</v>
      </c>
      <c r="L18" s="99">
        <f>_xll.StatPercentile(ST_EducationFieldOther, 0.01)</f>
        <v>0</v>
      </c>
      <c r="M18" s="99">
        <f>_xll.StatPercentile(ST_EducationFieldMedical, 0.01)</f>
        <v>0</v>
      </c>
      <c r="N18" s="99">
        <f>_xll.StatPercentile(ST_EducationFieldMkt, 0.01)</f>
        <v>0</v>
      </c>
      <c r="O18" s="99">
        <f>_xll.StatPercentile(ST_EducationFieldTech, 0.01)</f>
        <v>0</v>
      </c>
      <c r="P18" s="98">
        <f>_xll.StatPercentile(ST_EnvironmentSatisfaction, 0.01)</f>
        <v>1</v>
      </c>
      <c r="Q18" s="99">
        <f>_xll.StatPercentile(ST_Female, 0.01)</f>
        <v>0</v>
      </c>
      <c r="R18" s="101">
        <f>_xll.StatPercentile(ST_HourlyRate, 0.01)</f>
        <v>30</v>
      </c>
      <c r="S18" s="99">
        <f>_xll.StatPercentile(ST_JobInvolvement, 0.01)</f>
        <v>1</v>
      </c>
      <c r="T18" s="98">
        <f>_xll.StatPercentile(ST_JobLevel, 0.01)</f>
        <v>1</v>
      </c>
      <c r="U18" s="99">
        <f>_xll.StatPercentile(ST_JobRoleHealthRep, 0.01)</f>
        <v>0</v>
      </c>
      <c r="V18" s="99">
        <f>_xll.StatPercentile(ST_JobRoleSalesExe, 0.01)</f>
        <v>0</v>
      </c>
      <c r="W18" s="99">
        <f>_xll.StatPercentile(ST_JobRoleLab, 0.01)</f>
        <v>0</v>
      </c>
      <c r="X18" s="99">
        <f>_xll.StatPercentile(ST_JobRoleMgr, 0.01)</f>
        <v>0</v>
      </c>
      <c r="Y18" s="99">
        <f>_xll.StatPercentile(ST_JobRoleManufDir, 0.01)</f>
        <v>0</v>
      </c>
      <c r="Z18" s="99">
        <f>_xll.StatPercentile(ST_JobRoleResearchDir, 0.01)</f>
        <v>0</v>
      </c>
      <c r="AA18" s="99">
        <f>_xll.StatPercentile(ST_JobRoleSalesRep, 0.01)</f>
        <v>0</v>
      </c>
      <c r="AB18" s="99">
        <f>_xll.StatPercentile(ST_JobRoleResearchSci, 0.01)</f>
        <v>0</v>
      </c>
      <c r="AC18" s="98">
        <f>_xll.StatPercentile(ST_JobSatisfaction, 0.01)</f>
        <v>1</v>
      </c>
      <c r="AD18" s="99">
        <f>_xll.StatPercentile(ST_MaritalSingle, 0.01)</f>
        <v>0</v>
      </c>
      <c r="AE18" s="99">
        <f>_xll.StatPercentile(ST_MaritalMarried, 0.01)</f>
        <v>0</v>
      </c>
      <c r="AF18" s="101">
        <f>_xll.StatPercentile(ST_MonthlyIncome, 0.01)</f>
        <v>1359</v>
      </c>
      <c r="AG18" s="101">
        <f>_xll.StatPercentile(ST_WinsMonthlyIncome, 0.01)</f>
        <v>1382.46</v>
      </c>
      <c r="AH18" s="98">
        <f>_xll.StatPercentile(ST_NumCompaniesWorked, 0.01)</f>
        <v>0</v>
      </c>
      <c r="AI18" s="99">
        <f>_xll.StatPercentile(ST_OvertimeYes, 0.01)</f>
        <v>0</v>
      </c>
      <c r="AJ18" s="98">
        <f>_xll.StatPercentile(ST_PercentSalaryHike, 0.01)</f>
        <v>11</v>
      </c>
      <c r="AK18" s="99">
        <f>_xll.StatPercentile(ST_PerformanceRating, 0.01)</f>
        <v>3</v>
      </c>
      <c r="AL18" s="98">
        <f>_xll.StatPercentile(ST_RelationshipSatisfaction, 0.01)</f>
        <v>1</v>
      </c>
      <c r="AM18" s="99">
        <f>_xll.StatPercentile(ST_StockOptionLevel, 0.01)</f>
        <v>0</v>
      </c>
      <c r="AN18" s="98">
        <f>_xll.StatPercentile(ST_TotalWorkingYears, 0.01)</f>
        <v>1</v>
      </c>
      <c r="AO18" s="98">
        <f>_xll.StatPercentile(ST_WinsTotalWorkingYears, 0.01)</f>
        <v>1</v>
      </c>
      <c r="AP18" s="98">
        <f>_xll.StatPercentile(ST_TrainingTimesLastYear, 0.01)</f>
        <v>0</v>
      </c>
      <c r="AQ18" s="99">
        <f>_xll.StatPercentile(ST_WorkLifeBalance, 0.01)</f>
        <v>1</v>
      </c>
      <c r="AR18" s="98">
        <f>_xll.StatPercentile(ST_YearsAtCompany, 0.01)</f>
        <v>0</v>
      </c>
      <c r="AS18" s="98">
        <f>_xll.StatPercentile(ST_WinsYearsAtCompany, 0.01)</f>
        <v>0</v>
      </c>
      <c r="AT18" s="98">
        <f>_xll.StatPercentile(ST_YearsInCurrentRole, 0.01)</f>
        <v>0</v>
      </c>
      <c r="AU18" s="98">
        <f>_xll.StatPercentile(ST_YearsSinceLastPromotion, 0.01)</f>
        <v>0</v>
      </c>
      <c r="AV18" s="98">
        <f>_xll.StatPercentile(ST_WinYearsSinceLastPromotion, 0.01)</f>
        <v>0</v>
      </c>
      <c r="AW18" s="98">
        <f>_xll.StatPercentile(ST_YearsWithCurrManager, 0.01)</f>
        <v>0</v>
      </c>
      <c r="AX18" s="98">
        <f>_xll.StatPercentile(ST_WinsYearsWithCurrentMgr, 0.01)</f>
        <v>0</v>
      </c>
      <c r="AY18" s="101">
        <f>_xll.StatPercentile(ST_GenderTotalWorkingYears, 0.01)</f>
        <v>0</v>
      </c>
      <c r="AZ18" s="99">
        <f>_xll.StatPercentile(ST_InteractionBusinessTravelFrequently0andMaritalMarried0, 0.01)</f>
        <v>0</v>
      </c>
      <c r="BA18" s="99">
        <f>_xll.StatPercentile(ST_InteractionBusinessTravelFrequently0andMaritalMarried1, 0.01)</f>
        <v>0</v>
      </c>
      <c r="BB18" s="99">
        <f>_xll.StatPercentile(ST_InteractionBusinessTravelFrequently1andMaritalMarried0, 0.01)</f>
        <v>0</v>
      </c>
      <c r="BC18" s="99">
        <f>_xll.StatPercentile(ST_InteractionBusinessTravelFrequently1andMaritalMarried1, 0.01)</f>
        <v>0</v>
      </c>
      <c r="BD18" s="99">
        <f>_xll.StatPercentile(ST_InteractionMaritalMarried0andOvertimeYes0, 0.01)</f>
        <v>0</v>
      </c>
      <c r="BE18" s="99">
        <f>_xll.StatPercentile(ST_InteractionMaritalMarried0andOvertimeYes1, 0.01)</f>
        <v>0</v>
      </c>
      <c r="BF18" s="99">
        <f>_xll.StatPercentile(ST_InteractionMaritalMarried1andOvertimeYes0, 0.01)</f>
        <v>0</v>
      </c>
      <c r="BG18" s="99">
        <f>_xll.StatPercentile(ST_InteractionMaritalMarried1andOvertimeYes1, 0.01)</f>
        <v>0</v>
      </c>
      <c r="BH18" s="99">
        <f>_xll.StatPercentile(ST_InteractionWinsYearsWithCurrentMgrDepartmentHumanResources, 0.01)</f>
        <v>0</v>
      </c>
      <c r="BI18" s="98">
        <f>_xll.StatPercentile(ST_InteractionWinsYearsWithCurrentMgrDepartmentResearchDevelopment, 0.01)</f>
        <v>0</v>
      </c>
      <c r="BJ18" s="98">
        <f>_xll.StatPercentile(ST_InteractionWinsYearsWithCurrentMgrDepartmentSales, 0.01)</f>
        <v>0</v>
      </c>
      <c r="BK18" s="98">
        <f>_xll.StatPercentile(ST_InteractionWinsTotalWorkingYearsDepartmentHumanResources, 0.01)</f>
        <v>0</v>
      </c>
      <c r="BL18" s="98">
        <f>_xll.StatPercentile(ST_InteractionWinsTotalWorkingYearsDepartmentResearchDevelopment, 0.01)</f>
        <v>0</v>
      </c>
      <c r="BM18" s="98">
        <f>_xll.StatPercentile(ST_InteractionWinsTotalWorkingYearsDepartmentSales, 0.01)</f>
        <v>0</v>
      </c>
    </row>
    <row r="19" spans="1:65" ht="15" customHeight="1" x14ac:dyDescent="0.45">
      <c r="A19" s="109">
        <v>2.5000000000000001E-2</v>
      </c>
      <c r="B19" s="98">
        <f>_xll.StatPercentile(ST_Age, 0.025)</f>
        <v>21</v>
      </c>
      <c r="C19" s="98">
        <f>_xll.StatPercentile(ST_WinsAge, 0.025)</f>
        <v>21</v>
      </c>
      <c r="D19" s="99">
        <f>_xll.StatPercentile(ST_BusinessTravelFrequently, 0.025)</f>
        <v>0</v>
      </c>
      <c r="E19" s="99">
        <f>_xll.StatPercentile(ST_BusinessTravelrarely, 0.025)</f>
        <v>0</v>
      </c>
      <c r="F19" s="99">
        <f>_xll.StatPercentile(ST_DeptRD, 0.025)</f>
        <v>0</v>
      </c>
      <c r="G19" s="99">
        <f>_xll.StatPercentile(ST_DeptSales, 0.025)</f>
        <v>0</v>
      </c>
      <c r="H19" s="98">
        <f>_xll.StatPercentile(ST_DistanceFromHome, 0.025)</f>
        <v>1</v>
      </c>
      <c r="I19" s="98">
        <f>_xll.StatPercentile(ST_WinsDistanceFromHome, 0.025)</f>
        <v>1</v>
      </c>
      <c r="J19" s="98">
        <f>_xll.StatPercentile(ST_Education, 0.025)</f>
        <v>1</v>
      </c>
      <c r="K19" s="99">
        <f>_xll.StatPercentile(ST_EducationFieldLifeSci, 0.025)</f>
        <v>0</v>
      </c>
      <c r="L19" s="99">
        <f>_xll.StatPercentile(ST_EducationFieldOther, 0.025)</f>
        <v>0</v>
      </c>
      <c r="M19" s="99">
        <f>_xll.StatPercentile(ST_EducationFieldMedical, 0.025)</f>
        <v>0</v>
      </c>
      <c r="N19" s="99">
        <f>_xll.StatPercentile(ST_EducationFieldMkt, 0.025)</f>
        <v>0</v>
      </c>
      <c r="O19" s="99">
        <f>_xll.StatPercentile(ST_EducationFieldTech, 0.025)</f>
        <v>0</v>
      </c>
      <c r="P19" s="98">
        <f>_xll.StatPercentile(ST_EnvironmentSatisfaction, 0.025)</f>
        <v>1</v>
      </c>
      <c r="Q19" s="99">
        <f>_xll.StatPercentile(ST_Female, 0.025)</f>
        <v>0</v>
      </c>
      <c r="R19" s="101">
        <f>_xll.StatPercentile(ST_HourlyRate, 0.025)</f>
        <v>32</v>
      </c>
      <c r="S19" s="99">
        <f>_xll.StatPercentile(ST_JobInvolvement, 0.025)</f>
        <v>1</v>
      </c>
      <c r="T19" s="98">
        <f>_xll.StatPercentile(ST_JobLevel, 0.025)</f>
        <v>1</v>
      </c>
      <c r="U19" s="99">
        <f>_xll.StatPercentile(ST_JobRoleHealthRep, 0.025)</f>
        <v>0</v>
      </c>
      <c r="V19" s="99">
        <f>_xll.StatPercentile(ST_JobRoleSalesExe, 0.025)</f>
        <v>0</v>
      </c>
      <c r="W19" s="99">
        <f>_xll.StatPercentile(ST_JobRoleLab, 0.025)</f>
        <v>0</v>
      </c>
      <c r="X19" s="99">
        <f>_xll.StatPercentile(ST_JobRoleMgr, 0.025)</f>
        <v>0</v>
      </c>
      <c r="Y19" s="99">
        <f>_xll.StatPercentile(ST_JobRoleManufDir, 0.025)</f>
        <v>0</v>
      </c>
      <c r="Z19" s="99">
        <f>_xll.StatPercentile(ST_JobRoleResearchDir, 0.025)</f>
        <v>0</v>
      </c>
      <c r="AA19" s="99">
        <f>_xll.StatPercentile(ST_JobRoleSalesRep, 0.025)</f>
        <v>0</v>
      </c>
      <c r="AB19" s="99">
        <f>_xll.StatPercentile(ST_JobRoleResearchSci, 0.025)</f>
        <v>0</v>
      </c>
      <c r="AC19" s="98">
        <f>_xll.StatPercentile(ST_JobSatisfaction, 0.025)</f>
        <v>1</v>
      </c>
      <c r="AD19" s="99">
        <f>_xll.StatPercentile(ST_MaritalSingle, 0.025)</f>
        <v>0</v>
      </c>
      <c r="AE19" s="99">
        <f>_xll.StatPercentile(ST_MaritalMarried, 0.025)</f>
        <v>0</v>
      </c>
      <c r="AF19" s="101">
        <f>_xll.StatPercentile(ST_MonthlyIncome, 0.025)</f>
        <v>2008</v>
      </c>
      <c r="AG19" s="101">
        <f>_xll.StatPercentile(ST_WinsMonthlyIncome, 0.025)</f>
        <v>2008</v>
      </c>
      <c r="AH19" s="98">
        <f>_xll.StatPercentile(ST_NumCompaniesWorked, 0.025)</f>
        <v>0</v>
      </c>
      <c r="AI19" s="99">
        <f>_xll.StatPercentile(ST_OvertimeYes, 0.025)</f>
        <v>0</v>
      </c>
      <c r="AJ19" s="98">
        <f>_xll.StatPercentile(ST_PercentSalaryHike, 0.025)</f>
        <v>11</v>
      </c>
      <c r="AK19" s="99">
        <f>_xll.StatPercentile(ST_PerformanceRating, 0.025)</f>
        <v>3</v>
      </c>
      <c r="AL19" s="98">
        <f>_xll.StatPercentile(ST_RelationshipSatisfaction, 0.025)</f>
        <v>1</v>
      </c>
      <c r="AM19" s="99">
        <f>_xll.StatPercentile(ST_StockOptionLevel, 0.025)</f>
        <v>0</v>
      </c>
      <c r="AN19" s="98">
        <f>_xll.StatPercentile(ST_TotalWorkingYears, 0.025)</f>
        <v>1</v>
      </c>
      <c r="AO19" s="98">
        <f>_xll.StatPercentile(ST_WinsTotalWorkingYears, 0.025)</f>
        <v>1</v>
      </c>
      <c r="AP19" s="98">
        <f>_xll.StatPercentile(ST_TrainingTimesLastYear, 0.025)</f>
        <v>0</v>
      </c>
      <c r="AQ19" s="99">
        <f>_xll.StatPercentile(ST_WorkLifeBalance, 0.025)</f>
        <v>1</v>
      </c>
      <c r="AR19" s="98">
        <f>_xll.StatPercentile(ST_YearsAtCompany, 0.025)</f>
        <v>0</v>
      </c>
      <c r="AS19" s="98">
        <f>_xll.StatPercentile(ST_WinsYearsAtCompany, 0.025)</f>
        <v>0</v>
      </c>
      <c r="AT19" s="98">
        <f>_xll.StatPercentile(ST_YearsInCurrentRole, 0.025)</f>
        <v>0</v>
      </c>
      <c r="AU19" s="98">
        <f>_xll.StatPercentile(ST_YearsSinceLastPromotion, 0.025)</f>
        <v>0</v>
      </c>
      <c r="AV19" s="98">
        <f>_xll.StatPercentile(ST_WinYearsSinceLastPromotion, 0.025)</f>
        <v>0</v>
      </c>
      <c r="AW19" s="98">
        <f>_xll.StatPercentile(ST_YearsWithCurrManager, 0.025)</f>
        <v>0</v>
      </c>
      <c r="AX19" s="98">
        <f>_xll.StatPercentile(ST_WinsYearsWithCurrentMgr, 0.025)</f>
        <v>0</v>
      </c>
      <c r="AY19" s="101">
        <f>_xll.StatPercentile(ST_GenderTotalWorkingYears, 0.025)</f>
        <v>0</v>
      </c>
      <c r="AZ19" s="99">
        <f>_xll.StatPercentile(ST_InteractionBusinessTravelFrequently0andMaritalMarried0, 0.025)</f>
        <v>0</v>
      </c>
      <c r="BA19" s="99">
        <f>_xll.StatPercentile(ST_InteractionBusinessTravelFrequently0andMaritalMarried1, 0.025)</f>
        <v>0</v>
      </c>
      <c r="BB19" s="99">
        <f>_xll.StatPercentile(ST_InteractionBusinessTravelFrequently1andMaritalMarried0, 0.025)</f>
        <v>0</v>
      </c>
      <c r="BC19" s="99">
        <f>_xll.StatPercentile(ST_InteractionBusinessTravelFrequently1andMaritalMarried1, 0.025)</f>
        <v>0</v>
      </c>
      <c r="BD19" s="99">
        <f>_xll.StatPercentile(ST_InteractionMaritalMarried0andOvertimeYes0, 0.025)</f>
        <v>0</v>
      </c>
      <c r="BE19" s="99">
        <f>_xll.StatPercentile(ST_InteractionMaritalMarried0andOvertimeYes1, 0.025)</f>
        <v>0</v>
      </c>
      <c r="BF19" s="99">
        <f>_xll.StatPercentile(ST_InteractionMaritalMarried1andOvertimeYes0, 0.025)</f>
        <v>0</v>
      </c>
      <c r="BG19" s="99">
        <f>_xll.StatPercentile(ST_InteractionMaritalMarried1andOvertimeYes1, 0.025)</f>
        <v>0</v>
      </c>
      <c r="BH19" s="99">
        <f>_xll.StatPercentile(ST_InteractionWinsYearsWithCurrentMgrDepartmentHumanResources, 0.025)</f>
        <v>0</v>
      </c>
      <c r="BI19" s="98">
        <f>_xll.StatPercentile(ST_InteractionWinsYearsWithCurrentMgrDepartmentResearchDevelopment, 0.025)</f>
        <v>0</v>
      </c>
      <c r="BJ19" s="98">
        <f>_xll.StatPercentile(ST_InteractionWinsYearsWithCurrentMgrDepartmentSales, 0.025)</f>
        <v>0</v>
      </c>
      <c r="BK19" s="98">
        <f>_xll.StatPercentile(ST_InteractionWinsTotalWorkingYearsDepartmentHumanResources, 0.025)</f>
        <v>0</v>
      </c>
      <c r="BL19" s="98">
        <f>_xll.StatPercentile(ST_InteractionWinsTotalWorkingYearsDepartmentResearchDevelopment, 0.025)</f>
        <v>0</v>
      </c>
      <c r="BM19" s="98">
        <f>_xll.StatPercentile(ST_InteractionWinsTotalWorkingYearsDepartmentSales, 0.025)</f>
        <v>0</v>
      </c>
    </row>
    <row r="20" spans="1:65" ht="15" customHeight="1" x14ac:dyDescent="0.45">
      <c r="A20" s="109">
        <v>0.05</v>
      </c>
      <c r="B20" s="98">
        <f>_xll.StatPercentile(ST_Age, 0.05)</f>
        <v>24</v>
      </c>
      <c r="C20" s="98">
        <f>_xll.StatPercentile(ST_WinsAge, 0.05)</f>
        <v>24</v>
      </c>
      <c r="D20" s="99">
        <f>_xll.StatPercentile(ST_BusinessTravelFrequently, 0.05)</f>
        <v>0</v>
      </c>
      <c r="E20" s="99">
        <f>_xll.StatPercentile(ST_BusinessTravelrarely, 0.05)</f>
        <v>0</v>
      </c>
      <c r="F20" s="99">
        <f>_xll.StatPercentile(ST_DeptRD, 0.05)</f>
        <v>0</v>
      </c>
      <c r="G20" s="99">
        <f>_xll.StatPercentile(ST_DeptSales, 0.05)</f>
        <v>0</v>
      </c>
      <c r="H20" s="98">
        <f>_xll.StatPercentile(ST_DistanceFromHome, 0.05)</f>
        <v>1</v>
      </c>
      <c r="I20" s="98">
        <f>_xll.StatPercentile(ST_WinsDistanceFromHome, 0.05)</f>
        <v>1</v>
      </c>
      <c r="J20" s="98">
        <f>_xll.StatPercentile(ST_Education, 0.05)</f>
        <v>1</v>
      </c>
      <c r="K20" s="99">
        <f>_xll.StatPercentile(ST_EducationFieldLifeSci, 0.05)</f>
        <v>0</v>
      </c>
      <c r="L20" s="99">
        <f>_xll.StatPercentile(ST_EducationFieldOther, 0.05)</f>
        <v>0</v>
      </c>
      <c r="M20" s="99">
        <f>_xll.StatPercentile(ST_EducationFieldMedical, 0.05)</f>
        <v>0</v>
      </c>
      <c r="N20" s="99">
        <f>_xll.StatPercentile(ST_EducationFieldMkt, 0.05)</f>
        <v>0</v>
      </c>
      <c r="O20" s="99">
        <f>_xll.StatPercentile(ST_EducationFieldTech, 0.05)</f>
        <v>0</v>
      </c>
      <c r="P20" s="98">
        <f>_xll.StatPercentile(ST_EnvironmentSatisfaction, 0.05)</f>
        <v>1</v>
      </c>
      <c r="Q20" s="99">
        <f>_xll.StatPercentile(ST_Female, 0.05)</f>
        <v>0</v>
      </c>
      <c r="R20" s="101">
        <f>_xll.StatPercentile(ST_HourlyRate, 0.05)</f>
        <v>33</v>
      </c>
      <c r="S20" s="99">
        <f>_xll.StatPercentile(ST_JobInvolvement, 0.05)</f>
        <v>1</v>
      </c>
      <c r="T20" s="98">
        <f>_xll.StatPercentile(ST_JobLevel, 0.05)</f>
        <v>1</v>
      </c>
      <c r="U20" s="99">
        <f>_xll.StatPercentile(ST_JobRoleHealthRep, 0.05)</f>
        <v>0</v>
      </c>
      <c r="V20" s="99">
        <f>_xll.StatPercentile(ST_JobRoleSalesExe, 0.05)</f>
        <v>0</v>
      </c>
      <c r="W20" s="99">
        <f>_xll.StatPercentile(ST_JobRoleLab, 0.05)</f>
        <v>0</v>
      </c>
      <c r="X20" s="99">
        <f>_xll.StatPercentile(ST_JobRoleMgr, 0.05)</f>
        <v>0</v>
      </c>
      <c r="Y20" s="99">
        <f>_xll.StatPercentile(ST_JobRoleManufDir, 0.05)</f>
        <v>0</v>
      </c>
      <c r="Z20" s="99">
        <f>_xll.StatPercentile(ST_JobRoleResearchDir, 0.05)</f>
        <v>0</v>
      </c>
      <c r="AA20" s="99">
        <f>_xll.StatPercentile(ST_JobRoleSalesRep, 0.05)</f>
        <v>0</v>
      </c>
      <c r="AB20" s="99">
        <f>_xll.StatPercentile(ST_JobRoleResearchSci, 0.05)</f>
        <v>0</v>
      </c>
      <c r="AC20" s="98">
        <f>_xll.StatPercentile(ST_JobSatisfaction, 0.05)</f>
        <v>1</v>
      </c>
      <c r="AD20" s="99">
        <f>_xll.StatPercentile(ST_MaritalSingle, 0.05)</f>
        <v>0</v>
      </c>
      <c r="AE20" s="99">
        <f>_xll.StatPercentile(ST_MaritalMarried, 0.05)</f>
        <v>0</v>
      </c>
      <c r="AF20" s="101">
        <f>_xll.StatPercentile(ST_MonthlyIncome, 0.05)</f>
        <v>2097</v>
      </c>
      <c r="AG20" s="101">
        <f>_xll.StatPercentile(ST_WinsMonthlyIncome, 0.05)</f>
        <v>2097</v>
      </c>
      <c r="AH20" s="98">
        <f>_xll.StatPercentile(ST_NumCompaniesWorked, 0.05)</f>
        <v>0</v>
      </c>
      <c r="AI20" s="99">
        <f>_xll.StatPercentile(ST_OvertimeYes, 0.05)</f>
        <v>0</v>
      </c>
      <c r="AJ20" s="98">
        <f>_xll.StatPercentile(ST_PercentSalaryHike, 0.05)</f>
        <v>11</v>
      </c>
      <c r="AK20" s="99">
        <f>_xll.StatPercentile(ST_PerformanceRating, 0.05)</f>
        <v>3</v>
      </c>
      <c r="AL20" s="98">
        <f>_xll.StatPercentile(ST_RelationshipSatisfaction, 0.05)</f>
        <v>1</v>
      </c>
      <c r="AM20" s="99">
        <f>_xll.StatPercentile(ST_StockOptionLevel, 0.05)</f>
        <v>0</v>
      </c>
      <c r="AN20" s="98">
        <f>_xll.StatPercentile(ST_TotalWorkingYears, 0.05)</f>
        <v>1</v>
      </c>
      <c r="AO20" s="98">
        <f>_xll.StatPercentile(ST_WinsTotalWorkingYears, 0.05)</f>
        <v>1</v>
      </c>
      <c r="AP20" s="98">
        <f>_xll.StatPercentile(ST_TrainingTimesLastYear, 0.05)</f>
        <v>1</v>
      </c>
      <c r="AQ20" s="99">
        <f>_xll.StatPercentile(ST_WorkLifeBalance, 0.05)</f>
        <v>1</v>
      </c>
      <c r="AR20" s="98">
        <f>_xll.StatPercentile(ST_YearsAtCompany, 0.05)</f>
        <v>1</v>
      </c>
      <c r="AS20" s="98">
        <f>_xll.StatPercentile(ST_WinsYearsAtCompany, 0.05)</f>
        <v>1</v>
      </c>
      <c r="AT20" s="98">
        <f>_xll.StatPercentile(ST_YearsInCurrentRole, 0.05)</f>
        <v>0</v>
      </c>
      <c r="AU20" s="98">
        <f>_xll.StatPercentile(ST_YearsSinceLastPromotion, 0.05)</f>
        <v>0</v>
      </c>
      <c r="AV20" s="98">
        <f>_xll.StatPercentile(ST_WinYearsSinceLastPromotion, 0.05)</f>
        <v>0</v>
      </c>
      <c r="AW20" s="98">
        <f>_xll.StatPercentile(ST_YearsWithCurrManager, 0.05)</f>
        <v>0</v>
      </c>
      <c r="AX20" s="98">
        <f>_xll.StatPercentile(ST_WinsYearsWithCurrentMgr, 0.05)</f>
        <v>0</v>
      </c>
      <c r="AY20" s="101">
        <f>_xll.StatPercentile(ST_GenderTotalWorkingYears, 0.05)</f>
        <v>0</v>
      </c>
      <c r="AZ20" s="99">
        <f>_xll.StatPercentile(ST_InteractionBusinessTravelFrequently0andMaritalMarried0, 0.05)</f>
        <v>0</v>
      </c>
      <c r="BA20" s="99">
        <f>_xll.StatPercentile(ST_InteractionBusinessTravelFrequently0andMaritalMarried1, 0.05)</f>
        <v>0</v>
      </c>
      <c r="BB20" s="99">
        <f>_xll.StatPercentile(ST_InteractionBusinessTravelFrequently1andMaritalMarried0, 0.05)</f>
        <v>0</v>
      </c>
      <c r="BC20" s="99">
        <f>_xll.StatPercentile(ST_InteractionBusinessTravelFrequently1andMaritalMarried1, 0.05)</f>
        <v>0</v>
      </c>
      <c r="BD20" s="99">
        <f>_xll.StatPercentile(ST_InteractionMaritalMarried0andOvertimeYes0, 0.05)</f>
        <v>0</v>
      </c>
      <c r="BE20" s="99">
        <f>_xll.StatPercentile(ST_InteractionMaritalMarried0andOvertimeYes1, 0.05)</f>
        <v>0</v>
      </c>
      <c r="BF20" s="99">
        <f>_xll.StatPercentile(ST_InteractionMaritalMarried1andOvertimeYes0, 0.05)</f>
        <v>0</v>
      </c>
      <c r="BG20" s="99">
        <f>_xll.StatPercentile(ST_InteractionMaritalMarried1andOvertimeYes1, 0.05)</f>
        <v>0</v>
      </c>
      <c r="BH20" s="99">
        <f>_xll.StatPercentile(ST_InteractionWinsYearsWithCurrentMgrDepartmentHumanResources, 0.05)</f>
        <v>0</v>
      </c>
      <c r="BI20" s="98">
        <f>_xll.StatPercentile(ST_InteractionWinsYearsWithCurrentMgrDepartmentResearchDevelopment, 0.05)</f>
        <v>0</v>
      </c>
      <c r="BJ20" s="98">
        <f>_xll.StatPercentile(ST_InteractionWinsYearsWithCurrentMgrDepartmentSales, 0.05)</f>
        <v>0</v>
      </c>
      <c r="BK20" s="98">
        <f>_xll.StatPercentile(ST_InteractionWinsTotalWorkingYearsDepartmentHumanResources, 0.05)</f>
        <v>0</v>
      </c>
      <c r="BL20" s="98">
        <f>_xll.StatPercentile(ST_InteractionWinsTotalWorkingYearsDepartmentResearchDevelopment, 0.05)</f>
        <v>0</v>
      </c>
      <c r="BM20" s="98">
        <f>_xll.StatPercentile(ST_InteractionWinsTotalWorkingYearsDepartmentSales, 0.05)</f>
        <v>0</v>
      </c>
    </row>
    <row r="21" spans="1:65" ht="15" customHeight="1" x14ac:dyDescent="0.45">
      <c r="A21" s="109">
        <v>0.1</v>
      </c>
      <c r="B21" s="98">
        <f>_xll.StatPercentile(ST_Age, 0.1)</f>
        <v>26</v>
      </c>
      <c r="C21" s="98">
        <f>_xll.StatPercentile(ST_WinsAge, 0.1)</f>
        <v>26</v>
      </c>
      <c r="D21" s="99">
        <f>_xll.StatPercentile(ST_BusinessTravelFrequently, 0.1)</f>
        <v>0</v>
      </c>
      <c r="E21" s="99">
        <f>_xll.StatPercentile(ST_BusinessTravelrarely, 0.1)</f>
        <v>0</v>
      </c>
      <c r="F21" s="99">
        <f>_xll.StatPercentile(ST_DeptRD, 0.1)</f>
        <v>0</v>
      </c>
      <c r="G21" s="99">
        <f>_xll.StatPercentile(ST_DeptSales, 0.1)</f>
        <v>0</v>
      </c>
      <c r="H21" s="98">
        <f>_xll.StatPercentile(ST_DistanceFromHome, 0.1)</f>
        <v>1</v>
      </c>
      <c r="I21" s="98">
        <f>_xll.StatPercentile(ST_WinsDistanceFromHome, 0.1)</f>
        <v>1</v>
      </c>
      <c r="J21" s="98">
        <f>_xll.StatPercentile(ST_Education, 0.1)</f>
        <v>1</v>
      </c>
      <c r="K21" s="99">
        <f>_xll.StatPercentile(ST_EducationFieldLifeSci, 0.1)</f>
        <v>0</v>
      </c>
      <c r="L21" s="99">
        <f>_xll.StatPercentile(ST_EducationFieldOther, 0.1)</f>
        <v>0</v>
      </c>
      <c r="M21" s="99">
        <f>_xll.StatPercentile(ST_EducationFieldMedical, 0.1)</f>
        <v>0</v>
      </c>
      <c r="N21" s="99">
        <f>_xll.StatPercentile(ST_EducationFieldMkt, 0.1)</f>
        <v>0</v>
      </c>
      <c r="O21" s="99">
        <f>_xll.StatPercentile(ST_EducationFieldTech, 0.1)</f>
        <v>0</v>
      </c>
      <c r="P21" s="98">
        <f>_xll.StatPercentile(ST_EnvironmentSatisfaction, 0.1)</f>
        <v>1</v>
      </c>
      <c r="Q21" s="99">
        <f>_xll.StatPercentile(ST_Female, 0.1)</f>
        <v>0</v>
      </c>
      <c r="R21" s="101">
        <f>_xll.StatPercentile(ST_HourlyRate, 0.1)</f>
        <v>38</v>
      </c>
      <c r="S21" s="99">
        <f>_xll.StatPercentile(ST_JobInvolvement, 0.1)</f>
        <v>2</v>
      </c>
      <c r="T21" s="98">
        <f>_xll.StatPercentile(ST_JobLevel, 0.1)</f>
        <v>1</v>
      </c>
      <c r="U21" s="99">
        <f>_xll.StatPercentile(ST_JobRoleHealthRep, 0.1)</f>
        <v>0</v>
      </c>
      <c r="V21" s="99">
        <f>_xll.StatPercentile(ST_JobRoleSalesExe, 0.1)</f>
        <v>0</v>
      </c>
      <c r="W21" s="99">
        <f>_xll.StatPercentile(ST_JobRoleLab, 0.1)</f>
        <v>0</v>
      </c>
      <c r="X21" s="99">
        <f>_xll.StatPercentile(ST_JobRoleMgr, 0.1)</f>
        <v>0</v>
      </c>
      <c r="Y21" s="99">
        <f>_xll.StatPercentile(ST_JobRoleManufDir, 0.1)</f>
        <v>0</v>
      </c>
      <c r="Z21" s="99">
        <f>_xll.StatPercentile(ST_JobRoleResearchDir, 0.1)</f>
        <v>0</v>
      </c>
      <c r="AA21" s="99">
        <f>_xll.StatPercentile(ST_JobRoleSalesRep, 0.1)</f>
        <v>0</v>
      </c>
      <c r="AB21" s="99">
        <f>_xll.StatPercentile(ST_JobRoleResearchSci, 0.1)</f>
        <v>0</v>
      </c>
      <c r="AC21" s="98">
        <f>_xll.StatPercentile(ST_JobSatisfaction, 0.1)</f>
        <v>1</v>
      </c>
      <c r="AD21" s="99">
        <f>_xll.StatPercentile(ST_MaritalSingle, 0.1)</f>
        <v>0</v>
      </c>
      <c r="AE21" s="99">
        <f>_xll.StatPercentile(ST_MaritalMarried, 0.1)</f>
        <v>0</v>
      </c>
      <c r="AF21" s="101">
        <f>_xll.StatPercentile(ST_MonthlyIncome, 0.1)</f>
        <v>2314</v>
      </c>
      <c r="AG21" s="101">
        <f>_xll.StatPercentile(ST_WinsMonthlyIncome, 0.1)</f>
        <v>2314</v>
      </c>
      <c r="AH21" s="98">
        <f>_xll.StatPercentile(ST_NumCompaniesWorked, 0.1)</f>
        <v>0</v>
      </c>
      <c r="AI21" s="99">
        <f>_xll.StatPercentile(ST_OvertimeYes, 0.1)</f>
        <v>0</v>
      </c>
      <c r="AJ21" s="98">
        <f>_xll.StatPercentile(ST_PercentSalaryHike, 0.1)</f>
        <v>11</v>
      </c>
      <c r="AK21" s="99">
        <f>_xll.StatPercentile(ST_PerformanceRating, 0.1)</f>
        <v>3</v>
      </c>
      <c r="AL21" s="98">
        <f>_xll.StatPercentile(ST_RelationshipSatisfaction, 0.1)</f>
        <v>1</v>
      </c>
      <c r="AM21" s="99">
        <f>_xll.StatPercentile(ST_StockOptionLevel, 0.1)</f>
        <v>0</v>
      </c>
      <c r="AN21" s="98">
        <f>_xll.StatPercentile(ST_TotalWorkingYears, 0.1)</f>
        <v>3</v>
      </c>
      <c r="AO21" s="98">
        <f>_xll.StatPercentile(ST_WinsTotalWorkingYears, 0.1)</f>
        <v>3</v>
      </c>
      <c r="AP21" s="98">
        <f>_xll.StatPercentile(ST_TrainingTimesLastYear, 0.1)</f>
        <v>2</v>
      </c>
      <c r="AQ21" s="99">
        <f>_xll.StatPercentile(ST_WorkLifeBalance, 0.1)</f>
        <v>2</v>
      </c>
      <c r="AR21" s="98">
        <f>_xll.StatPercentile(ST_YearsAtCompany, 0.1)</f>
        <v>1</v>
      </c>
      <c r="AS21" s="98">
        <f>_xll.StatPercentile(ST_WinsYearsAtCompany, 0.1)</f>
        <v>1</v>
      </c>
      <c r="AT21" s="98">
        <f>_xll.StatPercentile(ST_YearsInCurrentRole, 0.1)</f>
        <v>0</v>
      </c>
      <c r="AU21" s="98">
        <f>_xll.StatPercentile(ST_YearsSinceLastPromotion, 0.1)</f>
        <v>0</v>
      </c>
      <c r="AV21" s="98">
        <f>_xll.StatPercentile(ST_WinYearsSinceLastPromotion, 0.1)</f>
        <v>0</v>
      </c>
      <c r="AW21" s="98">
        <f>_xll.StatPercentile(ST_YearsWithCurrManager, 0.1)</f>
        <v>0</v>
      </c>
      <c r="AX21" s="98">
        <f>_xll.StatPercentile(ST_WinsYearsWithCurrentMgr, 0.1)</f>
        <v>0</v>
      </c>
      <c r="AY21" s="101">
        <f>_xll.StatPercentile(ST_GenderTotalWorkingYears, 0.1)</f>
        <v>0</v>
      </c>
      <c r="AZ21" s="99">
        <f>_xll.StatPercentile(ST_InteractionBusinessTravelFrequently0andMaritalMarried0, 0.1)</f>
        <v>0</v>
      </c>
      <c r="BA21" s="99">
        <f>_xll.StatPercentile(ST_InteractionBusinessTravelFrequently0andMaritalMarried1, 0.1)</f>
        <v>0</v>
      </c>
      <c r="BB21" s="99">
        <f>_xll.StatPercentile(ST_InteractionBusinessTravelFrequently1andMaritalMarried0, 0.1)</f>
        <v>0</v>
      </c>
      <c r="BC21" s="99">
        <f>_xll.StatPercentile(ST_InteractionBusinessTravelFrequently1andMaritalMarried1, 0.1)</f>
        <v>0</v>
      </c>
      <c r="BD21" s="99">
        <f>_xll.StatPercentile(ST_InteractionMaritalMarried0andOvertimeYes0, 0.1)</f>
        <v>0</v>
      </c>
      <c r="BE21" s="99">
        <f>_xll.StatPercentile(ST_InteractionMaritalMarried0andOvertimeYes1, 0.1)</f>
        <v>0</v>
      </c>
      <c r="BF21" s="99">
        <f>_xll.StatPercentile(ST_InteractionMaritalMarried1andOvertimeYes0, 0.1)</f>
        <v>0</v>
      </c>
      <c r="BG21" s="99">
        <f>_xll.StatPercentile(ST_InteractionMaritalMarried1andOvertimeYes1, 0.1)</f>
        <v>0</v>
      </c>
      <c r="BH21" s="99">
        <f>_xll.StatPercentile(ST_InteractionWinsYearsWithCurrentMgrDepartmentHumanResources, 0.1)</f>
        <v>0</v>
      </c>
      <c r="BI21" s="98">
        <f>_xll.StatPercentile(ST_InteractionWinsYearsWithCurrentMgrDepartmentResearchDevelopment, 0.1)</f>
        <v>0</v>
      </c>
      <c r="BJ21" s="98">
        <f>_xll.StatPercentile(ST_InteractionWinsYearsWithCurrentMgrDepartmentSales, 0.1)</f>
        <v>0</v>
      </c>
      <c r="BK21" s="98">
        <f>_xll.StatPercentile(ST_InteractionWinsTotalWorkingYearsDepartmentHumanResources, 0.1)</f>
        <v>0</v>
      </c>
      <c r="BL21" s="98">
        <f>_xll.StatPercentile(ST_InteractionWinsTotalWorkingYearsDepartmentResearchDevelopment, 0.1)</f>
        <v>0</v>
      </c>
      <c r="BM21" s="98">
        <f>_xll.StatPercentile(ST_InteractionWinsTotalWorkingYearsDepartmentSales, 0.1)</f>
        <v>0</v>
      </c>
    </row>
    <row r="22" spans="1:65" ht="15" customHeight="1" x14ac:dyDescent="0.45">
      <c r="A22" s="109">
        <v>0.2</v>
      </c>
      <c r="B22" s="98">
        <f>_xll.StatPercentile(ST_Age, 0.2)</f>
        <v>29</v>
      </c>
      <c r="C22" s="98">
        <f>_xll.StatPercentile(ST_WinsAge, 0.2)</f>
        <v>29</v>
      </c>
      <c r="D22" s="99">
        <f>_xll.StatPercentile(ST_BusinessTravelFrequently, 0.2)</f>
        <v>0</v>
      </c>
      <c r="E22" s="99">
        <f>_xll.StatPercentile(ST_BusinessTravelrarely, 0.2)</f>
        <v>0</v>
      </c>
      <c r="F22" s="99">
        <f>_xll.StatPercentile(ST_DeptRD, 0.2)</f>
        <v>0</v>
      </c>
      <c r="G22" s="99">
        <f>_xll.StatPercentile(ST_DeptSales, 0.2)</f>
        <v>0</v>
      </c>
      <c r="H22" s="98">
        <f>_xll.StatPercentile(ST_DistanceFromHome, 0.2)</f>
        <v>2</v>
      </c>
      <c r="I22" s="98">
        <f>_xll.StatPercentile(ST_WinsDistanceFromHome, 0.2)</f>
        <v>2</v>
      </c>
      <c r="J22" s="98">
        <f>_xll.StatPercentile(ST_Education, 0.2)</f>
        <v>2</v>
      </c>
      <c r="K22" s="99">
        <f>_xll.StatPercentile(ST_EducationFieldLifeSci, 0.2)</f>
        <v>0</v>
      </c>
      <c r="L22" s="99">
        <f>_xll.StatPercentile(ST_EducationFieldOther, 0.2)</f>
        <v>0</v>
      </c>
      <c r="M22" s="99">
        <f>_xll.StatPercentile(ST_EducationFieldMedical, 0.2)</f>
        <v>0</v>
      </c>
      <c r="N22" s="99">
        <f>_xll.StatPercentile(ST_EducationFieldMkt, 0.2)</f>
        <v>0</v>
      </c>
      <c r="O22" s="99">
        <f>_xll.StatPercentile(ST_EducationFieldTech, 0.2)</f>
        <v>0</v>
      </c>
      <c r="P22" s="98">
        <f>_xll.StatPercentile(ST_EnvironmentSatisfaction, 0.2)</f>
        <v>2</v>
      </c>
      <c r="Q22" s="99">
        <f>_xll.StatPercentile(ST_Female, 0.2)</f>
        <v>0</v>
      </c>
      <c r="R22" s="101">
        <f>_xll.StatPercentile(ST_HourlyRate, 0.2)</f>
        <v>45</v>
      </c>
      <c r="S22" s="99">
        <f>_xll.StatPercentile(ST_JobInvolvement, 0.2)</f>
        <v>2</v>
      </c>
      <c r="T22" s="98">
        <f>_xll.StatPercentile(ST_JobLevel, 0.2)</f>
        <v>1</v>
      </c>
      <c r="U22" s="99">
        <f>_xll.StatPercentile(ST_JobRoleHealthRep, 0.2)</f>
        <v>0</v>
      </c>
      <c r="V22" s="99">
        <f>_xll.StatPercentile(ST_JobRoleSalesExe, 0.2)</f>
        <v>0</v>
      </c>
      <c r="W22" s="99">
        <f>_xll.StatPercentile(ST_JobRoleLab, 0.2)</f>
        <v>0</v>
      </c>
      <c r="X22" s="99">
        <f>_xll.StatPercentile(ST_JobRoleMgr, 0.2)</f>
        <v>0</v>
      </c>
      <c r="Y22" s="99">
        <f>_xll.StatPercentile(ST_JobRoleManufDir, 0.2)</f>
        <v>0</v>
      </c>
      <c r="Z22" s="99">
        <f>_xll.StatPercentile(ST_JobRoleResearchDir, 0.2)</f>
        <v>0</v>
      </c>
      <c r="AA22" s="99">
        <f>_xll.StatPercentile(ST_JobRoleSalesRep, 0.2)</f>
        <v>0</v>
      </c>
      <c r="AB22" s="99">
        <f>_xll.StatPercentile(ST_JobRoleResearchSci, 0.2)</f>
        <v>0</v>
      </c>
      <c r="AC22" s="98">
        <f>_xll.StatPercentile(ST_JobSatisfaction, 0.2)</f>
        <v>2</v>
      </c>
      <c r="AD22" s="99">
        <f>_xll.StatPercentile(ST_MaritalSingle, 0.2)</f>
        <v>0</v>
      </c>
      <c r="AE22" s="99">
        <f>_xll.StatPercentile(ST_MaritalMarried, 0.2)</f>
        <v>0</v>
      </c>
      <c r="AF22" s="101">
        <f>_xll.StatPercentile(ST_MonthlyIncome, 0.2)</f>
        <v>2695</v>
      </c>
      <c r="AG22" s="101">
        <f>_xll.StatPercentile(ST_WinsMonthlyIncome, 0.2)</f>
        <v>2695</v>
      </c>
      <c r="AH22" s="98">
        <f>_xll.StatPercentile(ST_NumCompaniesWorked, 0.2)</f>
        <v>1</v>
      </c>
      <c r="AI22" s="99">
        <f>_xll.StatPercentile(ST_OvertimeYes, 0.2)</f>
        <v>0</v>
      </c>
      <c r="AJ22" s="98">
        <f>_xll.StatPercentile(ST_PercentSalaryHike, 0.2)</f>
        <v>12</v>
      </c>
      <c r="AK22" s="99">
        <f>_xll.StatPercentile(ST_PerformanceRating, 0.2)</f>
        <v>3</v>
      </c>
      <c r="AL22" s="98">
        <f>_xll.StatPercentile(ST_RelationshipSatisfaction, 0.2)</f>
        <v>2</v>
      </c>
      <c r="AM22" s="99">
        <f>_xll.StatPercentile(ST_StockOptionLevel, 0.2)</f>
        <v>0</v>
      </c>
      <c r="AN22" s="98">
        <f>_xll.StatPercentile(ST_TotalWorkingYears, 0.2)</f>
        <v>5</v>
      </c>
      <c r="AO22" s="98">
        <f>_xll.StatPercentile(ST_WinsTotalWorkingYears, 0.2)</f>
        <v>5</v>
      </c>
      <c r="AP22" s="98">
        <f>_xll.StatPercentile(ST_TrainingTimesLastYear, 0.2)</f>
        <v>2</v>
      </c>
      <c r="AQ22" s="99">
        <f>_xll.StatPercentile(ST_WorkLifeBalance, 0.2)</f>
        <v>2</v>
      </c>
      <c r="AR22" s="98">
        <f>_xll.StatPercentile(ST_YearsAtCompany, 0.2)</f>
        <v>2</v>
      </c>
      <c r="AS22" s="98">
        <f>_xll.StatPercentile(ST_WinsYearsAtCompany, 0.2)</f>
        <v>2</v>
      </c>
      <c r="AT22" s="98">
        <f>_xll.StatPercentile(ST_YearsInCurrentRole, 0.2)</f>
        <v>1</v>
      </c>
      <c r="AU22" s="98">
        <f>_xll.StatPercentile(ST_YearsSinceLastPromotion, 0.2)</f>
        <v>0</v>
      </c>
      <c r="AV22" s="98">
        <f>_xll.StatPercentile(ST_WinYearsSinceLastPromotion, 0.2)</f>
        <v>0</v>
      </c>
      <c r="AW22" s="98">
        <f>_xll.StatPercentile(ST_YearsWithCurrManager, 0.2)</f>
        <v>1</v>
      </c>
      <c r="AX22" s="98">
        <f>_xll.StatPercentile(ST_WinsYearsWithCurrentMgr, 0.2)</f>
        <v>1</v>
      </c>
      <c r="AY22" s="101">
        <f>_xll.StatPercentile(ST_GenderTotalWorkingYears, 0.2)</f>
        <v>1</v>
      </c>
      <c r="AZ22" s="99">
        <f>_xll.StatPercentile(ST_InteractionBusinessTravelFrequently0andMaritalMarried0, 0.2)</f>
        <v>0</v>
      </c>
      <c r="BA22" s="99">
        <f>_xll.StatPercentile(ST_InteractionBusinessTravelFrequently0andMaritalMarried1, 0.2)</f>
        <v>0</v>
      </c>
      <c r="BB22" s="99">
        <f>_xll.StatPercentile(ST_InteractionBusinessTravelFrequently1andMaritalMarried0, 0.2)</f>
        <v>0</v>
      </c>
      <c r="BC22" s="99">
        <f>_xll.StatPercentile(ST_InteractionBusinessTravelFrequently1andMaritalMarried1, 0.2)</f>
        <v>0</v>
      </c>
      <c r="BD22" s="99">
        <f>_xll.StatPercentile(ST_InteractionMaritalMarried0andOvertimeYes0, 0.2)</f>
        <v>0</v>
      </c>
      <c r="BE22" s="99">
        <f>_xll.StatPercentile(ST_InteractionMaritalMarried0andOvertimeYes1, 0.2)</f>
        <v>0</v>
      </c>
      <c r="BF22" s="99">
        <f>_xll.StatPercentile(ST_InteractionMaritalMarried1andOvertimeYes0, 0.2)</f>
        <v>0</v>
      </c>
      <c r="BG22" s="99">
        <f>_xll.StatPercentile(ST_InteractionMaritalMarried1andOvertimeYes1, 0.2)</f>
        <v>0</v>
      </c>
      <c r="BH22" s="99">
        <f>_xll.StatPercentile(ST_InteractionWinsYearsWithCurrentMgrDepartmentHumanResources, 0.2)</f>
        <v>0</v>
      </c>
      <c r="BI22" s="98">
        <f>_xll.StatPercentile(ST_InteractionWinsYearsWithCurrentMgrDepartmentResearchDevelopment, 0.2)</f>
        <v>0</v>
      </c>
      <c r="BJ22" s="98">
        <f>_xll.StatPercentile(ST_InteractionWinsYearsWithCurrentMgrDepartmentSales, 0.2)</f>
        <v>0</v>
      </c>
      <c r="BK22" s="98">
        <f>_xll.StatPercentile(ST_InteractionWinsTotalWorkingYearsDepartmentHumanResources, 0.2)</f>
        <v>0</v>
      </c>
      <c r="BL22" s="98">
        <f>_xll.StatPercentile(ST_InteractionWinsTotalWorkingYearsDepartmentResearchDevelopment, 0.2)</f>
        <v>0</v>
      </c>
      <c r="BM22" s="98">
        <f>_xll.StatPercentile(ST_InteractionWinsTotalWorkingYearsDepartmentSales, 0.2)</f>
        <v>0</v>
      </c>
    </row>
    <row r="23" spans="1:65" ht="15" customHeight="1" x14ac:dyDescent="0.45">
      <c r="A23" s="109">
        <v>0.8</v>
      </c>
      <c r="B23" s="98">
        <f>_xll.StatPercentile(ST_Age, 0.8)</f>
        <v>45</v>
      </c>
      <c r="C23" s="98">
        <f>_xll.StatPercentile(ST_WinsAge, 0.8)</f>
        <v>45</v>
      </c>
      <c r="D23" s="99">
        <f>_xll.StatPercentile(ST_BusinessTravelFrequently, 0.8)</f>
        <v>0</v>
      </c>
      <c r="E23" s="99">
        <f>_xll.StatPercentile(ST_BusinessTravelrarely, 0.8)</f>
        <v>1</v>
      </c>
      <c r="F23" s="99">
        <f>_xll.StatPercentile(ST_DeptRD, 0.8)</f>
        <v>1</v>
      </c>
      <c r="G23" s="99">
        <f>_xll.StatPercentile(ST_DeptSales, 0.8)</f>
        <v>1</v>
      </c>
      <c r="H23" s="98">
        <f>_xll.StatPercentile(ST_DistanceFromHome, 0.8)</f>
        <v>17</v>
      </c>
      <c r="I23" s="98">
        <f>_xll.StatPercentile(ST_WinsDistanceFromHome, 0.8)</f>
        <v>17</v>
      </c>
      <c r="J23" s="98">
        <f>_xll.StatPercentile(ST_Education, 0.8)</f>
        <v>4</v>
      </c>
      <c r="K23" s="99">
        <f>_xll.StatPercentile(ST_EducationFieldLifeSci, 0.8)</f>
        <v>1</v>
      </c>
      <c r="L23" s="99">
        <f>_xll.StatPercentile(ST_EducationFieldOther, 0.8)</f>
        <v>0</v>
      </c>
      <c r="M23" s="99">
        <f>_xll.StatPercentile(ST_EducationFieldMedical, 0.8)</f>
        <v>1</v>
      </c>
      <c r="N23" s="99">
        <f>_xll.StatPercentile(ST_EducationFieldMkt, 0.8)</f>
        <v>0</v>
      </c>
      <c r="O23" s="99">
        <f>_xll.StatPercentile(ST_EducationFieldTech, 0.8)</f>
        <v>0</v>
      </c>
      <c r="P23" s="98">
        <f>_xll.StatPercentile(ST_EnvironmentSatisfaction, 0.8)</f>
        <v>4</v>
      </c>
      <c r="Q23" s="99">
        <f>_xll.StatPercentile(ST_Female, 0.8)</f>
        <v>1</v>
      </c>
      <c r="R23" s="101">
        <f>_xll.StatPercentile(ST_HourlyRate, 0.8)</f>
        <v>87</v>
      </c>
      <c r="S23" s="99">
        <f>_xll.StatPercentile(ST_JobInvolvement, 0.8)</f>
        <v>3</v>
      </c>
      <c r="T23" s="98">
        <f>_xll.StatPercentile(ST_JobLevel, 0.8)</f>
        <v>3</v>
      </c>
      <c r="U23" s="99">
        <f>_xll.StatPercentile(ST_JobRoleHealthRep, 0.8)</f>
        <v>0</v>
      </c>
      <c r="V23" s="99">
        <f>_xll.StatPercentile(ST_JobRoleSalesExe, 0.8)</f>
        <v>1</v>
      </c>
      <c r="W23" s="99">
        <f>_xll.StatPercentile(ST_JobRoleLab, 0.8)</f>
        <v>0</v>
      </c>
      <c r="X23" s="99">
        <f>_xll.StatPercentile(ST_JobRoleMgr, 0.8)</f>
        <v>0</v>
      </c>
      <c r="Y23" s="99">
        <f>_xll.StatPercentile(ST_JobRoleManufDir, 0.8)</f>
        <v>0</v>
      </c>
      <c r="Z23" s="99">
        <f>_xll.StatPercentile(ST_JobRoleResearchDir, 0.8)</f>
        <v>0</v>
      </c>
      <c r="AA23" s="99">
        <f>_xll.StatPercentile(ST_JobRoleSalesRep, 0.8)</f>
        <v>0</v>
      </c>
      <c r="AB23" s="99">
        <f>_xll.StatPercentile(ST_JobRoleResearchSci, 0.8)</f>
        <v>0</v>
      </c>
      <c r="AC23" s="98">
        <f>_xll.StatPercentile(ST_JobSatisfaction, 0.8)</f>
        <v>4</v>
      </c>
      <c r="AD23" s="99">
        <f>_xll.StatPercentile(ST_MaritalSingle, 0.8)</f>
        <v>1</v>
      </c>
      <c r="AE23" s="99">
        <f>_xll.StatPercentile(ST_MaritalMarried, 0.8)</f>
        <v>1</v>
      </c>
      <c r="AF23" s="101">
        <f>_xll.StatPercentile(ST_MonthlyIncome, 0.8)</f>
        <v>9854</v>
      </c>
      <c r="AG23" s="101">
        <f>_xll.StatPercentile(ST_WinsMonthlyIncome, 0.8)</f>
        <v>9854</v>
      </c>
      <c r="AH23" s="98">
        <f>_xll.StatPercentile(ST_NumCompaniesWorked, 0.8)</f>
        <v>5</v>
      </c>
      <c r="AI23" s="99">
        <f>_xll.StatPercentile(ST_OvertimeYes, 0.8)</f>
        <v>1</v>
      </c>
      <c r="AJ23" s="98">
        <f>_xll.StatPercentile(ST_PercentSalaryHike, 0.8)</f>
        <v>19</v>
      </c>
      <c r="AK23" s="99">
        <f>_xll.StatPercentile(ST_PerformanceRating, 0.8)</f>
        <v>3</v>
      </c>
      <c r="AL23" s="98">
        <f>_xll.StatPercentile(ST_RelationshipSatisfaction, 0.8)</f>
        <v>4</v>
      </c>
      <c r="AM23" s="99">
        <f>_xll.StatPercentile(ST_StockOptionLevel, 0.8)</f>
        <v>1</v>
      </c>
      <c r="AN23" s="98">
        <f>_xll.StatPercentile(ST_TotalWorkingYears, 0.8)</f>
        <v>17</v>
      </c>
      <c r="AO23" s="98">
        <f>_xll.StatPercentile(ST_WinsTotalWorkingYears, 0.8)</f>
        <v>17</v>
      </c>
      <c r="AP23" s="98">
        <f>_xll.StatPercentile(ST_TrainingTimesLastYear, 0.8)</f>
        <v>4</v>
      </c>
      <c r="AQ23" s="99">
        <f>_xll.StatPercentile(ST_WorkLifeBalance, 0.8)</f>
        <v>3</v>
      </c>
      <c r="AR23" s="98">
        <f>_xll.StatPercentile(ST_YearsAtCompany, 0.8)</f>
        <v>10</v>
      </c>
      <c r="AS23" s="98">
        <f>_xll.StatPercentile(ST_WinsYearsAtCompany, 0.8)</f>
        <v>10</v>
      </c>
      <c r="AT23" s="98">
        <f>_xll.StatPercentile(ST_YearsInCurrentRole, 0.8)</f>
        <v>7</v>
      </c>
      <c r="AU23" s="98">
        <f>_xll.StatPercentile(ST_YearsSinceLastPromotion, 0.8)</f>
        <v>4</v>
      </c>
      <c r="AV23" s="98">
        <f>_xll.StatPercentile(ST_WinYearsSinceLastPromotion, 0.8)</f>
        <v>4</v>
      </c>
      <c r="AW23" s="98">
        <f>_xll.StatPercentile(ST_YearsWithCurrManager, 0.8)</f>
        <v>7</v>
      </c>
      <c r="AX23" s="98">
        <f>_xll.StatPercentile(ST_WinsYearsWithCurrentMgr, 0.8)</f>
        <v>7</v>
      </c>
      <c r="AY23" s="101">
        <f>_xll.StatPercentile(ST_GenderTotalWorkingYears, 0.8)</f>
        <v>16</v>
      </c>
      <c r="AZ23" s="99">
        <f>_xll.StatPercentile(ST_InteractionBusinessTravelFrequently0andMaritalMarried0, 0.8)</f>
        <v>1</v>
      </c>
      <c r="BA23" s="99">
        <f>_xll.StatPercentile(ST_InteractionBusinessTravelFrequently0andMaritalMarried1, 0.8)</f>
        <v>1</v>
      </c>
      <c r="BB23" s="99">
        <f>_xll.StatPercentile(ST_InteractionBusinessTravelFrequently1andMaritalMarried0, 0.8)</f>
        <v>0</v>
      </c>
      <c r="BC23" s="99">
        <f>_xll.StatPercentile(ST_InteractionBusinessTravelFrequently1andMaritalMarried1, 0.8)</f>
        <v>0</v>
      </c>
      <c r="BD23" s="99">
        <f>_xll.StatPercentile(ST_InteractionMaritalMarried0andOvertimeYes0, 0.8)</f>
        <v>1</v>
      </c>
      <c r="BE23" s="99">
        <f>_xll.StatPercentile(ST_InteractionMaritalMarried0andOvertimeYes1, 0.8)</f>
        <v>0</v>
      </c>
      <c r="BF23" s="99">
        <f>_xll.StatPercentile(ST_InteractionMaritalMarried1andOvertimeYes0, 0.8)</f>
        <v>1</v>
      </c>
      <c r="BG23" s="99">
        <f>_xll.StatPercentile(ST_InteractionMaritalMarried1andOvertimeYes1, 0.8)</f>
        <v>0</v>
      </c>
      <c r="BH23" s="99">
        <f>_xll.StatPercentile(ST_InteractionWinsYearsWithCurrentMgrDepartmentHumanResources, 0.8)</f>
        <v>0</v>
      </c>
      <c r="BI23" s="98">
        <f>_xll.StatPercentile(ST_InteractionWinsYearsWithCurrentMgrDepartmentResearchDevelopment, 0.8)</f>
        <v>7</v>
      </c>
      <c r="BJ23" s="98">
        <f>_xll.StatPercentile(ST_InteractionWinsYearsWithCurrentMgrDepartmentSales, 0.8)</f>
        <v>2</v>
      </c>
      <c r="BK23" s="98">
        <f>_xll.StatPercentile(ST_InteractionWinsTotalWorkingYearsDepartmentHumanResources, 0.8)</f>
        <v>0</v>
      </c>
      <c r="BL23" s="98">
        <f>_xll.StatPercentile(ST_InteractionWinsTotalWorkingYearsDepartmentResearchDevelopment, 0.8)</f>
        <v>13</v>
      </c>
      <c r="BM23" s="98">
        <f>_xll.StatPercentile(ST_InteractionWinsTotalWorkingYearsDepartmentSales, 0.8)</f>
        <v>7</v>
      </c>
    </row>
    <row r="24" spans="1:65" ht="15" customHeight="1" x14ac:dyDescent="0.45">
      <c r="A24" s="109">
        <v>0.9</v>
      </c>
      <c r="B24" s="98">
        <f>_xll.StatPercentile(ST_Age, 0.9)</f>
        <v>50</v>
      </c>
      <c r="C24" s="98">
        <f>_xll.StatPercentile(ST_WinsAge, 0.9)</f>
        <v>50</v>
      </c>
      <c r="D24" s="99">
        <f>_xll.StatPercentile(ST_BusinessTravelFrequently, 0.9)</f>
        <v>1</v>
      </c>
      <c r="E24" s="99">
        <f>_xll.StatPercentile(ST_BusinessTravelrarely, 0.9)</f>
        <v>1</v>
      </c>
      <c r="F24" s="99">
        <f>_xll.StatPercentile(ST_DeptRD, 0.9)</f>
        <v>1</v>
      </c>
      <c r="G24" s="99">
        <f>_xll.StatPercentile(ST_DeptSales, 0.9)</f>
        <v>1</v>
      </c>
      <c r="H24" s="98">
        <f>_xll.StatPercentile(ST_DistanceFromHome, 0.9)</f>
        <v>23</v>
      </c>
      <c r="I24" s="98">
        <f>_xll.StatPercentile(ST_WinsDistanceFromHome, 0.9)</f>
        <v>23</v>
      </c>
      <c r="J24" s="98">
        <f>_xll.StatPercentile(ST_Education, 0.9)</f>
        <v>4</v>
      </c>
      <c r="K24" s="99">
        <f>_xll.StatPercentile(ST_EducationFieldLifeSci, 0.9)</f>
        <v>1</v>
      </c>
      <c r="L24" s="99">
        <f>_xll.StatPercentile(ST_EducationFieldOther, 0.9)</f>
        <v>0</v>
      </c>
      <c r="M24" s="99">
        <f>_xll.StatPercentile(ST_EducationFieldMedical, 0.9)</f>
        <v>1</v>
      </c>
      <c r="N24" s="99">
        <f>_xll.StatPercentile(ST_EducationFieldMkt, 0.9)</f>
        <v>1</v>
      </c>
      <c r="O24" s="99">
        <f>_xll.StatPercentile(ST_EducationFieldTech, 0.9)</f>
        <v>0</v>
      </c>
      <c r="P24" s="98">
        <f>_xll.StatPercentile(ST_EnvironmentSatisfaction, 0.9)</f>
        <v>4</v>
      </c>
      <c r="Q24" s="99">
        <f>_xll.StatPercentile(ST_Female, 0.9)</f>
        <v>1</v>
      </c>
      <c r="R24" s="101">
        <f>_xll.StatPercentile(ST_HourlyRate, 0.9)</f>
        <v>94</v>
      </c>
      <c r="S24" s="99">
        <f>_xll.StatPercentile(ST_JobInvolvement, 0.9)</f>
        <v>3</v>
      </c>
      <c r="T24" s="98">
        <f>_xll.StatPercentile(ST_JobLevel, 0.9)</f>
        <v>4</v>
      </c>
      <c r="U24" s="99">
        <f>_xll.StatPercentile(ST_JobRoleHealthRep, 0.9)</f>
        <v>0</v>
      </c>
      <c r="V24" s="99">
        <f>_xll.StatPercentile(ST_JobRoleSalesExe, 0.9)</f>
        <v>1</v>
      </c>
      <c r="W24" s="99">
        <f>_xll.StatPercentile(ST_JobRoleLab, 0.9)</f>
        <v>1</v>
      </c>
      <c r="X24" s="99">
        <f>_xll.StatPercentile(ST_JobRoleMgr, 0.9)</f>
        <v>0</v>
      </c>
      <c r="Y24" s="99">
        <f>_xll.StatPercentile(ST_JobRoleManufDir, 0.9)</f>
        <v>0</v>
      </c>
      <c r="Z24" s="99">
        <f>_xll.StatPercentile(ST_JobRoleResearchDir, 0.9)</f>
        <v>0</v>
      </c>
      <c r="AA24" s="99">
        <f>_xll.StatPercentile(ST_JobRoleSalesRep, 0.9)</f>
        <v>0</v>
      </c>
      <c r="AB24" s="99">
        <f>_xll.StatPercentile(ST_JobRoleResearchSci, 0.9)</f>
        <v>1</v>
      </c>
      <c r="AC24" s="98">
        <f>_xll.StatPercentile(ST_JobSatisfaction, 0.9)</f>
        <v>4</v>
      </c>
      <c r="AD24" s="99">
        <f>_xll.StatPercentile(ST_MaritalSingle, 0.9)</f>
        <v>1</v>
      </c>
      <c r="AE24" s="99">
        <f>_xll.StatPercentile(ST_MaritalMarried, 0.9)</f>
        <v>1</v>
      </c>
      <c r="AF24" s="101">
        <f>_xll.StatPercentile(ST_MonthlyIncome, 0.9)</f>
        <v>13770</v>
      </c>
      <c r="AG24" s="101">
        <f>_xll.StatPercentile(ST_WinsMonthlyIncome, 0.9)</f>
        <v>13770</v>
      </c>
      <c r="AH24" s="98">
        <f>_xll.StatPercentile(ST_NumCompaniesWorked, 0.9)</f>
        <v>7</v>
      </c>
      <c r="AI24" s="99">
        <f>_xll.StatPercentile(ST_OvertimeYes, 0.9)</f>
        <v>1</v>
      </c>
      <c r="AJ24" s="98">
        <f>_xll.StatPercentile(ST_PercentSalaryHike, 0.9)</f>
        <v>21</v>
      </c>
      <c r="AK24" s="99">
        <f>_xll.StatPercentile(ST_PerformanceRating, 0.9)</f>
        <v>4</v>
      </c>
      <c r="AL24" s="98">
        <f>_xll.StatPercentile(ST_RelationshipSatisfaction, 0.9)</f>
        <v>4</v>
      </c>
      <c r="AM24" s="99">
        <f>_xll.StatPercentile(ST_StockOptionLevel, 0.9)</f>
        <v>2</v>
      </c>
      <c r="AN24" s="98">
        <f>_xll.StatPercentile(ST_TotalWorkingYears, 0.9)</f>
        <v>23</v>
      </c>
      <c r="AO24" s="98">
        <f>_xll.StatPercentile(ST_WinsTotalWorkingYears, 0.9)</f>
        <v>23</v>
      </c>
      <c r="AP24" s="98">
        <f>_xll.StatPercentile(ST_TrainingTimesLastYear, 0.9)</f>
        <v>5</v>
      </c>
      <c r="AQ24" s="99">
        <f>_xll.StatPercentile(ST_WorkLifeBalance, 0.9)</f>
        <v>4</v>
      </c>
      <c r="AR24" s="98">
        <f>_xll.StatPercentile(ST_YearsAtCompany, 0.9)</f>
        <v>15</v>
      </c>
      <c r="AS24" s="98">
        <f>_xll.StatPercentile(ST_WinsYearsAtCompany, 0.9)</f>
        <v>15</v>
      </c>
      <c r="AT24" s="98">
        <f>_xll.StatPercentile(ST_YearsInCurrentRole, 0.9)</f>
        <v>9</v>
      </c>
      <c r="AU24" s="98">
        <f>_xll.StatPercentile(ST_YearsSinceLastPromotion, 0.9)</f>
        <v>7</v>
      </c>
      <c r="AV24" s="98">
        <f>_xll.StatPercentile(ST_WinYearsSinceLastPromotion, 0.9)</f>
        <v>7</v>
      </c>
      <c r="AW24" s="98">
        <f>_xll.StatPercentile(ST_YearsWithCurrManager, 0.9)</f>
        <v>9</v>
      </c>
      <c r="AX24" s="98">
        <f>_xll.StatPercentile(ST_WinsYearsWithCurrentMgr, 0.9)</f>
        <v>9</v>
      </c>
      <c r="AY24" s="101">
        <f>_xll.StatPercentile(ST_GenderTotalWorkingYears, 0.9)</f>
        <v>24</v>
      </c>
      <c r="AZ24" s="99">
        <f>_xll.StatPercentile(ST_InteractionBusinessTravelFrequently0andMaritalMarried0, 0.9)</f>
        <v>1</v>
      </c>
      <c r="BA24" s="99">
        <f>_xll.StatPercentile(ST_InteractionBusinessTravelFrequently0andMaritalMarried1, 0.9)</f>
        <v>1</v>
      </c>
      <c r="BB24" s="99">
        <f>_xll.StatPercentile(ST_InteractionBusinessTravelFrequently1andMaritalMarried0, 0.9)</f>
        <v>1</v>
      </c>
      <c r="BC24" s="99">
        <f>_xll.StatPercentile(ST_InteractionBusinessTravelFrequently1andMaritalMarried1, 0.9)</f>
        <v>0</v>
      </c>
      <c r="BD24" s="99">
        <f>_xll.StatPercentile(ST_InteractionMaritalMarried0andOvertimeYes0, 0.9)</f>
        <v>1</v>
      </c>
      <c r="BE24" s="99">
        <f>_xll.StatPercentile(ST_InteractionMaritalMarried0andOvertimeYes1, 0.9)</f>
        <v>1</v>
      </c>
      <c r="BF24" s="99">
        <f>_xll.StatPercentile(ST_InteractionMaritalMarried1andOvertimeYes0, 0.9)</f>
        <v>1</v>
      </c>
      <c r="BG24" s="99">
        <f>_xll.StatPercentile(ST_InteractionMaritalMarried1andOvertimeYes1, 0.9)</f>
        <v>1</v>
      </c>
      <c r="BH24" s="99">
        <f>_xll.StatPercentile(ST_InteractionWinsYearsWithCurrentMgrDepartmentHumanResources, 0.9)</f>
        <v>0</v>
      </c>
      <c r="BI24" s="98">
        <f>_xll.StatPercentile(ST_InteractionWinsYearsWithCurrentMgrDepartmentResearchDevelopment, 0.9)</f>
        <v>8</v>
      </c>
      <c r="BJ24" s="98">
        <f>_xll.StatPercentile(ST_InteractionWinsYearsWithCurrentMgrDepartmentSales, 0.9)</f>
        <v>7</v>
      </c>
      <c r="BK24" s="98">
        <f>_xll.StatPercentile(ST_InteractionWinsTotalWorkingYearsDepartmentHumanResources, 0.9)</f>
        <v>0</v>
      </c>
      <c r="BL24" s="98">
        <f>_xll.StatPercentile(ST_InteractionWinsTotalWorkingYearsDepartmentResearchDevelopment, 0.9)</f>
        <v>20</v>
      </c>
      <c r="BM24" s="98">
        <f>_xll.StatPercentile(ST_InteractionWinsTotalWorkingYearsDepartmentSales, 0.9)</f>
        <v>12</v>
      </c>
    </row>
    <row r="25" spans="1:65" ht="15" customHeight="1" x14ac:dyDescent="0.45">
      <c r="A25" s="109">
        <v>0.95</v>
      </c>
      <c r="B25" s="98">
        <f>_xll.StatPercentile(ST_Age, 0.95)</f>
        <v>54</v>
      </c>
      <c r="C25" s="98">
        <f>_xll.StatPercentile(ST_WinsAge, 0.95)</f>
        <v>54</v>
      </c>
      <c r="D25" s="99">
        <f>_xll.StatPercentile(ST_BusinessTravelFrequently, 0.95)</f>
        <v>1</v>
      </c>
      <c r="E25" s="99">
        <f>_xll.StatPercentile(ST_BusinessTravelrarely, 0.95)</f>
        <v>1</v>
      </c>
      <c r="F25" s="99">
        <f>_xll.StatPercentile(ST_DeptRD, 0.95)</f>
        <v>1</v>
      </c>
      <c r="G25" s="99">
        <f>_xll.StatPercentile(ST_DeptSales, 0.95)</f>
        <v>1</v>
      </c>
      <c r="H25" s="98">
        <f>_xll.StatPercentile(ST_DistanceFromHome, 0.95)</f>
        <v>26</v>
      </c>
      <c r="I25" s="98">
        <f>_xll.StatPercentile(ST_WinsDistanceFromHome, 0.95)</f>
        <v>26</v>
      </c>
      <c r="J25" s="98">
        <f>_xll.StatPercentile(ST_Education, 0.95)</f>
        <v>4</v>
      </c>
      <c r="K25" s="99">
        <f>_xll.StatPercentile(ST_EducationFieldLifeSci, 0.95)</f>
        <v>1</v>
      </c>
      <c r="L25" s="99">
        <f>_xll.StatPercentile(ST_EducationFieldOther, 0.95)</f>
        <v>1</v>
      </c>
      <c r="M25" s="99">
        <f>_xll.StatPercentile(ST_EducationFieldMedical, 0.95)</f>
        <v>1</v>
      </c>
      <c r="N25" s="99">
        <f>_xll.StatPercentile(ST_EducationFieldMkt, 0.95)</f>
        <v>1</v>
      </c>
      <c r="O25" s="99">
        <f>_xll.StatPercentile(ST_EducationFieldTech, 0.95)</f>
        <v>1</v>
      </c>
      <c r="P25" s="98">
        <f>_xll.StatPercentile(ST_EnvironmentSatisfaction, 0.95)</f>
        <v>4</v>
      </c>
      <c r="Q25" s="99">
        <f>_xll.StatPercentile(ST_Female, 0.95)</f>
        <v>1</v>
      </c>
      <c r="R25" s="101">
        <f>_xll.StatPercentile(ST_HourlyRate, 0.95)</f>
        <v>97</v>
      </c>
      <c r="S25" s="99">
        <f>_xll.StatPercentile(ST_JobInvolvement, 0.95)</f>
        <v>4</v>
      </c>
      <c r="T25" s="98">
        <f>_xll.StatPercentile(ST_JobLevel, 0.95)</f>
        <v>4</v>
      </c>
      <c r="U25" s="99">
        <f>_xll.StatPercentile(ST_JobRoleHealthRep, 0.95)</f>
        <v>1</v>
      </c>
      <c r="V25" s="99">
        <f>_xll.StatPercentile(ST_JobRoleSalesExe, 0.95)</f>
        <v>1</v>
      </c>
      <c r="W25" s="99">
        <f>_xll.StatPercentile(ST_JobRoleLab, 0.95)</f>
        <v>1</v>
      </c>
      <c r="X25" s="99">
        <f>_xll.StatPercentile(ST_JobRoleMgr, 0.95)</f>
        <v>1</v>
      </c>
      <c r="Y25" s="99">
        <f>_xll.StatPercentile(ST_JobRoleManufDir, 0.95)</f>
        <v>1</v>
      </c>
      <c r="Z25" s="99">
        <f>_xll.StatPercentile(ST_JobRoleResearchDir, 0.95)</f>
        <v>1</v>
      </c>
      <c r="AA25" s="99">
        <f>_xll.StatPercentile(ST_JobRoleSalesRep, 0.95)</f>
        <v>1</v>
      </c>
      <c r="AB25" s="99">
        <f>_xll.StatPercentile(ST_JobRoleResearchSci, 0.95)</f>
        <v>1</v>
      </c>
      <c r="AC25" s="98">
        <f>_xll.StatPercentile(ST_JobSatisfaction, 0.95)</f>
        <v>4</v>
      </c>
      <c r="AD25" s="99">
        <f>_xll.StatPercentile(ST_MaritalSingle, 0.95)</f>
        <v>1</v>
      </c>
      <c r="AE25" s="99">
        <f>_xll.StatPercentile(ST_MaritalMarried, 0.95)</f>
        <v>1</v>
      </c>
      <c r="AF25" s="101">
        <f>_xll.StatPercentile(ST_MonthlyIncome, 0.95)</f>
        <v>17856</v>
      </c>
      <c r="AG25" s="101">
        <f>_xll.StatPercentile(ST_WinsMonthlyIncome, 0.95)</f>
        <v>17856</v>
      </c>
      <c r="AH25" s="98">
        <f>_xll.StatPercentile(ST_NumCompaniesWorked, 0.95)</f>
        <v>8</v>
      </c>
      <c r="AI25" s="99">
        <f>_xll.StatPercentile(ST_OvertimeYes, 0.95)</f>
        <v>1</v>
      </c>
      <c r="AJ25" s="98">
        <f>_xll.StatPercentile(ST_PercentSalaryHike, 0.95)</f>
        <v>22</v>
      </c>
      <c r="AK25" s="99">
        <f>_xll.StatPercentile(ST_PerformanceRating, 0.95)</f>
        <v>4</v>
      </c>
      <c r="AL25" s="98">
        <f>_xll.StatPercentile(ST_RelationshipSatisfaction, 0.95)</f>
        <v>4</v>
      </c>
      <c r="AM25" s="99">
        <f>_xll.StatPercentile(ST_StockOptionLevel, 0.95)</f>
        <v>3</v>
      </c>
      <c r="AN25" s="98">
        <f>_xll.StatPercentile(ST_TotalWorkingYears, 0.95)</f>
        <v>28</v>
      </c>
      <c r="AO25" s="98">
        <f>_xll.StatPercentile(ST_WinsTotalWorkingYears, 0.95)</f>
        <v>28</v>
      </c>
      <c r="AP25" s="98">
        <f>_xll.StatPercentile(ST_TrainingTimesLastYear, 0.95)</f>
        <v>5</v>
      </c>
      <c r="AQ25" s="99">
        <f>_xll.StatPercentile(ST_WorkLifeBalance, 0.95)</f>
        <v>4</v>
      </c>
      <c r="AR25" s="98">
        <f>_xll.StatPercentile(ST_YearsAtCompany, 0.95)</f>
        <v>20</v>
      </c>
      <c r="AS25" s="98">
        <f>_xll.StatPercentile(ST_WinsYearsAtCompany, 0.95)</f>
        <v>20</v>
      </c>
      <c r="AT25" s="98">
        <f>_xll.StatPercentile(ST_YearsInCurrentRole, 0.95)</f>
        <v>11</v>
      </c>
      <c r="AU25" s="98">
        <f>_xll.StatPercentile(ST_YearsSinceLastPromotion, 0.95)</f>
        <v>9</v>
      </c>
      <c r="AV25" s="98">
        <f>_xll.StatPercentile(ST_WinYearsSinceLastPromotion, 0.95)</f>
        <v>9</v>
      </c>
      <c r="AW25" s="98">
        <f>_xll.StatPercentile(ST_YearsWithCurrManager, 0.95)</f>
        <v>10</v>
      </c>
      <c r="AX25" s="98">
        <f>_xll.StatPercentile(ST_WinsYearsWithCurrentMgr, 0.95)</f>
        <v>10</v>
      </c>
      <c r="AY25" s="101">
        <f>_xll.StatPercentile(ST_GenderTotalWorkingYears, 0.95)</f>
        <v>36</v>
      </c>
      <c r="AZ25" s="99">
        <f>_xll.StatPercentile(ST_InteractionBusinessTravelFrequently0andMaritalMarried0, 0.95)</f>
        <v>1</v>
      </c>
      <c r="BA25" s="99">
        <f>_xll.StatPercentile(ST_InteractionBusinessTravelFrequently0andMaritalMarried1, 0.95)</f>
        <v>1</v>
      </c>
      <c r="BB25" s="99">
        <f>_xll.StatPercentile(ST_InteractionBusinessTravelFrequently1andMaritalMarried0, 0.95)</f>
        <v>1</v>
      </c>
      <c r="BC25" s="99">
        <f>_xll.StatPercentile(ST_InteractionBusinessTravelFrequently1andMaritalMarried1, 0.95)</f>
        <v>1</v>
      </c>
      <c r="BD25" s="99">
        <f>_xll.StatPercentile(ST_InteractionMaritalMarried0andOvertimeYes0, 0.95)</f>
        <v>1</v>
      </c>
      <c r="BE25" s="99">
        <f>_xll.StatPercentile(ST_InteractionMaritalMarried0andOvertimeYes1, 0.95)</f>
        <v>1</v>
      </c>
      <c r="BF25" s="99">
        <f>_xll.StatPercentile(ST_InteractionMaritalMarried1andOvertimeYes0, 0.95)</f>
        <v>1</v>
      </c>
      <c r="BG25" s="99">
        <f>_xll.StatPercentile(ST_InteractionMaritalMarried1andOvertimeYes1, 0.95)</f>
        <v>1</v>
      </c>
      <c r="BH25" s="99">
        <f>_xll.StatPercentile(ST_InteractionWinsYearsWithCurrentMgrDepartmentHumanResources, 0.95)</f>
        <v>0</v>
      </c>
      <c r="BI25" s="98">
        <f>_xll.StatPercentile(ST_InteractionWinsYearsWithCurrentMgrDepartmentResearchDevelopment, 0.95)</f>
        <v>9</v>
      </c>
      <c r="BJ25" s="98">
        <f>_xll.StatPercentile(ST_InteractionWinsYearsWithCurrentMgrDepartmentSales, 0.95)</f>
        <v>8</v>
      </c>
      <c r="BK25" s="98">
        <f>_xll.StatPercentile(ST_InteractionWinsTotalWorkingYearsDepartmentHumanResources, 0.95)</f>
        <v>0</v>
      </c>
      <c r="BL25" s="98">
        <f>_xll.StatPercentile(ST_InteractionWinsTotalWorkingYearsDepartmentResearchDevelopment, 0.95)</f>
        <v>25</v>
      </c>
      <c r="BM25" s="98">
        <f>_xll.StatPercentile(ST_InteractionWinsTotalWorkingYearsDepartmentSales, 0.95)</f>
        <v>18</v>
      </c>
    </row>
    <row r="26" spans="1:65" ht="15" customHeight="1" x14ac:dyDescent="0.45">
      <c r="A26" s="109">
        <v>0.97499999999999998</v>
      </c>
      <c r="B26" s="98">
        <f>_xll.StatPercentile(ST_Age, 0.975)</f>
        <v>56</v>
      </c>
      <c r="C26" s="98">
        <f>_xll.StatPercentile(ST_WinsAge, 0.975)</f>
        <v>56</v>
      </c>
      <c r="D26" s="99">
        <f>_xll.StatPercentile(ST_BusinessTravelFrequently, 0.975)</f>
        <v>1</v>
      </c>
      <c r="E26" s="99">
        <f>_xll.StatPercentile(ST_BusinessTravelrarely, 0.975)</f>
        <v>1</v>
      </c>
      <c r="F26" s="99">
        <f>_xll.StatPercentile(ST_DeptRD, 0.975)</f>
        <v>1</v>
      </c>
      <c r="G26" s="99">
        <f>_xll.StatPercentile(ST_DeptSales, 0.975)</f>
        <v>1</v>
      </c>
      <c r="H26" s="98">
        <f>_xll.StatPercentile(ST_DistanceFromHome, 0.975)</f>
        <v>28</v>
      </c>
      <c r="I26" s="98">
        <f>_xll.StatPercentile(ST_WinsDistanceFromHome, 0.975)</f>
        <v>28</v>
      </c>
      <c r="J26" s="98">
        <f>_xll.StatPercentile(ST_Education, 0.975)</f>
        <v>5</v>
      </c>
      <c r="K26" s="99">
        <f>_xll.StatPercentile(ST_EducationFieldLifeSci, 0.975)</f>
        <v>1</v>
      </c>
      <c r="L26" s="99">
        <f>_xll.StatPercentile(ST_EducationFieldOther, 0.975)</f>
        <v>1</v>
      </c>
      <c r="M26" s="99">
        <f>_xll.StatPercentile(ST_EducationFieldMedical, 0.975)</f>
        <v>1</v>
      </c>
      <c r="N26" s="99">
        <f>_xll.StatPercentile(ST_EducationFieldMkt, 0.975)</f>
        <v>1</v>
      </c>
      <c r="O26" s="99">
        <f>_xll.StatPercentile(ST_EducationFieldTech, 0.975)</f>
        <v>1</v>
      </c>
      <c r="P26" s="98">
        <f>_xll.StatPercentile(ST_EnvironmentSatisfaction, 0.975)</f>
        <v>4</v>
      </c>
      <c r="Q26" s="99">
        <f>_xll.StatPercentile(ST_Female, 0.975)</f>
        <v>1</v>
      </c>
      <c r="R26" s="101">
        <f>_xll.StatPercentile(ST_HourlyRate, 0.975)</f>
        <v>99</v>
      </c>
      <c r="S26" s="99">
        <f>_xll.StatPercentile(ST_JobInvolvement, 0.975)</f>
        <v>4</v>
      </c>
      <c r="T26" s="98">
        <f>_xll.StatPercentile(ST_JobLevel, 0.975)</f>
        <v>5</v>
      </c>
      <c r="U26" s="99">
        <f>_xll.StatPercentile(ST_JobRoleHealthRep, 0.975)</f>
        <v>1</v>
      </c>
      <c r="V26" s="99">
        <f>_xll.StatPercentile(ST_JobRoleSalesExe, 0.975)</f>
        <v>1</v>
      </c>
      <c r="W26" s="99">
        <f>_xll.StatPercentile(ST_JobRoleLab, 0.975)</f>
        <v>1</v>
      </c>
      <c r="X26" s="99">
        <f>_xll.StatPercentile(ST_JobRoleMgr, 0.975)</f>
        <v>1</v>
      </c>
      <c r="Y26" s="99">
        <f>_xll.StatPercentile(ST_JobRoleManufDir, 0.975)</f>
        <v>1</v>
      </c>
      <c r="Z26" s="99">
        <f>_xll.StatPercentile(ST_JobRoleResearchDir, 0.975)</f>
        <v>1</v>
      </c>
      <c r="AA26" s="99">
        <f>_xll.StatPercentile(ST_JobRoleSalesRep, 0.975)</f>
        <v>1</v>
      </c>
      <c r="AB26" s="99">
        <f>_xll.StatPercentile(ST_JobRoleResearchSci, 0.975)</f>
        <v>1</v>
      </c>
      <c r="AC26" s="98">
        <f>_xll.StatPercentile(ST_JobSatisfaction, 0.975)</f>
        <v>4</v>
      </c>
      <c r="AD26" s="99">
        <f>_xll.StatPercentile(ST_MaritalSingle, 0.975)</f>
        <v>1</v>
      </c>
      <c r="AE26" s="99">
        <f>_xll.StatPercentile(ST_MaritalMarried, 0.975)</f>
        <v>1</v>
      </c>
      <c r="AF26" s="101">
        <f>_xll.StatPercentile(ST_MonthlyIncome, 0.975)</f>
        <v>19197</v>
      </c>
      <c r="AG26" s="101">
        <f>_xll.StatPercentile(ST_WinsMonthlyIncome, 0.975)</f>
        <v>19197</v>
      </c>
      <c r="AH26" s="98">
        <f>_xll.StatPercentile(ST_NumCompaniesWorked, 0.975)</f>
        <v>9</v>
      </c>
      <c r="AI26" s="99">
        <f>_xll.StatPercentile(ST_OvertimeYes, 0.975)</f>
        <v>1</v>
      </c>
      <c r="AJ26" s="98">
        <f>_xll.StatPercentile(ST_PercentSalaryHike, 0.975)</f>
        <v>24</v>
      </c>
      <c r="AK26" s="99">
        <f>_xll.StatPercentile(ST_PerformanceRating, 0.975)</f>
        <v>4</v>
      </c>
      <c r="AL26" s="98">
        <f>_xll.StatPercentile(ST_RelationshipSatisfaction, 0.975)</f>
        <v>4</v>
      </c>
      <c r="AM26" s="99">
        <f>_xll.StatPercentile(ST_StockOptionLevel, 0.975)</f>
        <v>3</v>
      </c>
      <c r="AN26" s="98">
        <f>_xll.StatPercentile(ST_TotalWorkingYears, 0.975)</f>
        <v>32</v>
      </c>
      <c r="AO26" s="98">
        <f>_xll.StatPercentile(ST_WinsTotalWorkingYears, 0.975)</f>
        <v>32</v>
      </c>
      <c r="AP26" s="98">
        <f>_xll.StatPercentile(ST_TrainingTimesLastYear, 0.975)</f>
        <v>6</v>
      </c>
      <c r="AQ26" s="99">
        <f>_xll.StatPercentile(ST_WorkLifeBalance, 0.975)</f>
        <v>4</v>
      </c>
      <c r="AR26" s="98">
        <f>_xll.StatPercentile(ST_YearsAtCompany, 0.975)</f>
        <v>23</v>
      </c>
      <c r="AS26" s="98">
        <f>_xll.StatPercentile(ST_WinsYearsAtCompany, 0.975)</f>
        <v>23</v>
      </c>
      <c r="AT26" s="98">
        <f>_xll.StatPercentile(ST_YearsInCurrentRole, 0.975)</f>
        <v>13</v>
      </c>
      <c r="AU26" s="98">
        <f>_xll.StatPercentile(ST_YearsSinceLastPromotion, 0.975)</f>
        <v>12</v>
      </c>
      <c r="AV26" s="98">
        <f>_xll.StatPercentile(ST_WinYearsSinceLastPromotion, 0.975)</f>
        <v>12</v>
      </c>
      <c r="AW26" s="98">
        <f>_xll.StatPercentile(ST_YearsWithCurrManager, 0.975)</f>
        <v>12</v>
      </c>
      <c r="AX26" s="98">
        <f>_xll.StatPercentile(ST_WinsYearsWithCurrentMgr, 0.975)</f>
        <v>12</v>
      </c>
      <c r="AY26" s="101">
        <f>_xll.StatPercentile(ST_GenderTotalWorkingYears, 0.975)</f>
        <v>45</v>
      </c>
      <c r="AZ26" s="99">
        <f>_xll.StatPercentile(ST_InteractionBusinessTravelFrequently0andMaritalMarried0, 0.975)</f>
        <v>1</v>
      </c>
      <c r="BA26" s="99">
        <f>_xll.StatPercentile(ST_InteractionBusinessTravelFrequently0andMaritalMarried1, 0.975)</f>
        <v>1</v>
      </c>
      <c r="BB26" s="99">
        <f>_xll.StatPercentile(ST_InteractionBusinessTravelFrequently1andMaritalMarried0, 0.975)</f>
        <v>1</v>
      </c>
      <c r="BC26" s="99">
        <f>_xll.StatPercentile(ST_InteractionBusinessTravelFrequently1andMaritalMarried1, 0.975)</f>
        <v>1</v>
      </c>
      <c r="BD26" s="99">
        <f>_xll.StatPercentile(ST_InteractionMaritalMarried0andOvertimeYes0, 0.975)</f>
        <v>1</v>
      </c>
      <c r="BE26" s="99">
        <f>_xll.StatPercentile(ST_InteractionMaritalMarried0andOvertimeYes1, 0.975)</f>
        <v>1</v>
      </c>
      <c r="BF26" s="99">
        <f>_xll.StatPercentile(ST_InteractionMaritalMarried1andOvertimeYes0, 0.975)</f>
        <v>1</v>
      </c>
      <c r="BG26" s="99">
        <f>_xll.StatPercentile(ST_InteractionMaritalMarried1andOvertimeYes1, 0.975)</f>
        <v>1</v>
      </c>
      <c r="BH26" s="99">
        <f>_xll.StatPercentile(ST_InteractionWinsYearsWithCurrentMgrDepartmentHumanResources, 0.975)</f>
        <v>2</v>
      </c>
      <c r="BI26" s="98">
        <f>_xll.StatPercentile(ST_InteractionWinsYearsWithCurrentMgrDepartmentResearchDevelopment, 0.975)</f>
        <v>11</v>
      </c>
      <c r="BJ26" s="98">
        <f>_xll.StatPercentile(ST_InteractionWinsYearsWithCurrentMgrDepartmentSales, 0.975)</f>
        <v>9</v>
      </c>
      <c r="BK26" s="98">
        <f>_xll.StatPercentile(ST_InteractionWinsTotalWorkingYearsDepartmentHumanResources, 0.975)</f>
        <v>8</v>
      </c>
      <c r="BL26" s="98">
        <f>_xll.StatPercentile(ST_InteractionWinsTotalWorkingYearsDepartmentResearchDevelopment, 0.975)</f>
        <v>29</v>
      </c>
      <c r="BM26" s="98">
        <f>_xll.StatPercentile(ST_InteractionWinsTotalWorkingYearsDepartmentSales, 0.975)</f>
        <v>23</v>
      </c>
    </row>
    <row r="27" spans="1:65" ht="15" customHeight="1" x14ac:dyDescent="0.45">
      <c r="A27" s="109">
        <v>0.99</v>
      </c>
      <c r="B27" s="98">
        <f>_xll.StatPercentile(ST_Age, 0.99)</f>
        <v>59</v>
      </c>
      <c r="C27" s="98">
        <f>_xll.StatPercentile(ST_WinsAge, 0.99)</f>
        <v>58.309999999999945</v>
      </c>
      <c r="D27" s="99">
        <f>_xll.StatPercentile(ST_BusinessTravelFrequently, 0.99)</f>
        <v>1</v>
      </c>
      <c r="E27" s="99">
        <f>_xll.StatPercentile(ST_BusinessTravelrarely, 0.99)</f>
        <v>1</v>
      </c>
      <c r="F27" s="99">
        <f>_xll.StatPercentile(ST_DeptRD, 0.99)</f>
        <v>1</v>
      </c>
      <c r="G27" s="99">
        <f>_xll.StatPercentile(ST_DeptSales, 0.99)</f>
        <v>1</v>
      </c>
      <c r="H27" s="98">
        <f>_xll.StatPercentile(ST_DistanceFromHome, 0.99)</f>
        <v>29</v>
      </c>
      <c r="I27" s="98">
        <f>_xll.StatPercentile(ST_WinsDistanceFromHome, 0.99)</f>
        <v>29</v>
      </c>
      <c r="J27" s="98">
        <f>_xll.StatPercentile(ST_Education, 0.99)</f>
        <v>5</v>
      </c>
      <c r="K27" s="99">
        <f>_xll.StatPercentile(ST_EducationFieldLifeSci, 0.99)</f>
        <v>1</v>
      </c>
      <c r="L27" s="99">
        <f>_xll.StatPercentile(ST_EducationFieldOther, 0.99)</f>
        <v>1</v>
      </c>
      <c r="M27" s="99">
        <f>_xll.StatPercentile(ST_EducationFieldMedical, 0.99)</f>
        <v>1</v>
      </c>
      <c r="N27" s="99">
        <f>_xll.StatPercentile(ST_EducationFieldMkt, 0.99)</f>
        <v>1</v>
      </c>
      <c r="O27" s="99">
        <f>_xll.StatPercentile(ST_EducationFieldTech, 0.99)</f>
        <v>1</v>
      </c>
      <c r="P27" s="98">
        <f>_xll.StatPercentile(ST_EnvironmentSatisfaction, 0.99)</f>
        <v>4</v>
      </c>
      <c r="Q27" s="99">
        <f>_xll.StatPercentile(ST_Female, 0.99)</f>
        <v>1</v>
      </c>
      <c r="R27" s="101">
        <f>_xll.StatPercentile(ST_HourlyRate, 0.99)</f>
        <v>100</v>
      </c>
      <c r="S27" s="99">
        <f>_xll.StatPercentile(ST_JobInvolvement, 0.99)</f>
        <v>4</v>
      </c>
      <c r="T27" s="98">
        <f>_xll.StatPercentile(ST_JobLevel, 0.99)</f>
        <v>5</v>
      </c>
      <c r="U27" s="99">
        <f>_xll.StatPercentile(ST_JobRoleHealthRep, 0.99)</f>
        <v>1</v>
      </c>
      <c r="V27" s="99">
        <f>_xll.StatPercentile(ST_JobRoleSalesExe, 0.99)</f>
        <v>1</v>
      </c>
      <c r="W27" s="99">
        <f>_xll.StatPercentile(ST_JobRoleLab, 0.99)</f>
        <v>1</v>
      </c>
      <c r="X27" s="99">
        <f>_xll.StatPercentile(ST_JobRoleMgr, 0.99)</f>
        <v>1</v>
      </c>
      <c r="Y27" s="99">
        <f>_xll.StatPercentile(ST_JobRoleManufDir, 0.99)</f>
        <v>1</v>
      </c>
      <c r="Z27" s="99">
        <f>_xll.StatPercentile(ST_JobRoleResearchDir, 0.99)</f>
        <v>1</v>
      </c>
      <c r="AA27" s="99">
        <f>_xll.StatPercentile(ST_JobRoleSalesRep, 0.99)</f>
        <v>1</v>
      </c>
      <c r="AB27" s="99">
        <f>_xll.StatPercentile(ST_JobRoleResearchSci, 0.99)</f>
        <v>1</v>
      </c>
      <c r="AC27" s="98">
        <f>_xll.StatPercentile(ST_JobSatisfaction, 0.99)</f>
        <v>4</v>
      </c>
      <c r="AD27" s="99">
        <f>_xll.StatPercentile(ST_MaritalSingle, 0.99)</f>
        <v>1</v>
      </c>
      <c r="AE27" s="99">
        <f>_xll.StatPercentile(ST_MaritalMarried, 0.99)</f>
        <v>1</v>
      </c>
      <c r="AF27" s="101">
        <f>_xll.StatPercentile(ST_MonthlyIncome, 0.99)</f>
        <v>19627</v>
      </c>
      <c r="AG27" s="101">
        <f>_xll.StatPercentile(ST_WinsMonthlyIncome, 0.99)</f>
        <v>19626.310000000001</v>
      </c>
      <c r="AH27" s="98">
        <f>_xll.StatPercentile(ST_NumCompaniesWorked, 0.99)</f>
        <v>9</v>
      </c>
      <c r="AI27" s="99">
        <f>_xll.StatPercentile(ST_OvertimeYes, 0.99)</f>
        <v>1</v>
      </c>
      <c r="AJ27" s="98">
        <f>_xll.StatPercentile(ST_PercentSalaryHike, 0.99)</f>
        <v>25</v>
      </c>
      <c r="AK27" s="99">
        <f>_xll.StatPercentile(ST_PerformanceRating, 0.99)</f>
        <v>4</v>
      </c>
      <c r="AL27" s="98">
        <f>_xll.StatPercentile(ST_RelationshipSatisfaction, 0.99)</f>
        <v>4</v>
      </c>
      <c r="AM27" s="99">
        <f>_xll.StatPercentile(ST_StockOptionLevel, 0.99)</f>
        <v>3</v>
      </c>
      <c r="AN27" s="98">
        <f>_xll.StatPercentile(ST_TotalWorkingYears, 0.99)</f>
        <v>35</v>
      </c>
      <c r="AO27" s="98">
        <f>_xll.StatPercentile(ST_WinsTotalWorkingYears, 0.99)</f>
        <v>35</v>
      </c>
      <c r="AP27" s="98">
        <f>_xll.StatPercentile(ST_TrainingTimesLastYear, 0.99)</f>
        <v>6</v>
      </c>
      <c r="AQ27" s="99">
        <f>_xll.StatPercentile(ST_WorkLifeBalance, 0.99)</f>
        <v>4</v>
      </c>
      <c r="AR27" s="98">
        <f>_xll.StatPercentile(ST_YearsAtCompany, 0.99)</f>
        <v>31</v>
      </c>
      <c r="AS27" s="98">
        <f>_xll.StatPercentile(ST_WinsYearsAtCompany, 0.99)</f>
        <v>31</v>
      </c>
      <c r="AT27" s="98">
        <f>_xll.StatPercentile(ST_YearsInCurrentRole, 0.99)</f>
        <v>15</v>
      </c>
      <c r="AU27" s="98">
        <f>_xll.StatPercentile(ST_YearsSinceLastPromotion, 0.99)</f>
        <v>14</v>
      </c>
      <c r="AV27" s="98">
        <f>_xll.StatPercentile(ST_WinYearsSinceLastPromotion, 0.99)</f>
        <v>14</v>
      </c>
      <c r="AW27" s="98">
        <f>_xll.StatPercentile(ST_YearsWithCurrManager, 0.99)</f>
        <v>14</v>
      </c>
      <c r="AX27" s="98">
        <f>_xll.StatPercentile(ST_WinsYearsWithCurrentMgr, 0.99)</f>
        <v>14</v>
      </c>
      <c r="AY27" s="101">
        <f>_xll.StatPercentile(ST_GenderTotalWorkingYears, 0.99)</f>
        <v>56</v>
      </c>
      <c r="AZ27" s="99">
        <f>_xll.StatPercentile(ST_InteractionBusinessTravelFrequently0andMaritalMarried0, 0.99)</f>
        <v>1</v>
      </c>
      <c r="BA27" s="99">
        <f>_xll.StatPercentile(ST_InteractionBusinessTravelFrequently0andMaritalMarried1, 0.99)</f>
        <v>1</v>
      </c>
      <c r="BB27" s="99">
        <f>_xll.StatPercentile(ST_InteractionBusinessTravelFrequently1andMaritalMarried0, 0.99)</f>
        <v>1</v>
      </c>
      <c r="BC27" s="99">
        <f>_xll.StatPercentile(ST_InteractionBusinessTravelFrequently1andMaritalMarried1, 0.99)</f>
        <v>1</v>
      </c>
      <c r="BD27" s="99">
        <f>_xll.StatPercentile(ST_InteractionMaritalMarried0andOvertimeYes0, 0.99)</f>
        <v>1</v>
      </c>
      <c r="BE27" s="99">
        <f>_xll.StatPercentile(ST_InteractionMaritalMarried0andOvertimeYes1, 0.99)</f>
        <v>1</v>
      </c>
      <c r="BF27" s="99">
        <f>_xll.StatPercentile(ST_InteractionMaritalMarried1andOvertimeYes0, 0.99)</f>
        <v>1</v>
      </c>
      <c r="BG27" s="99">
        <f>_xll.StatPercentile(ST_InteractionMaritalMarried1andOvertimeYes1, 0.99)</f>
        <v>1</v>
      </c>
      <c r="BH27" s="99">
        <f>_xll.StatPercentile(ST_InteractionWinsYearsWithCurrentMgrDepartmentHumanResources, 0.99)</f>
        <v>7</v>
      </c>
      <c r="BI27" s="98">
        <f>_xll.StatPercentile(ST_InteractionWinsYearsWithCurrentMgrDepartmentResearchDevelopment, 0.99)</f>
        <v>13</v>
      </c>
      <c r="BJ27" s="98">
        <f>_xll.StatPercentile(ST_InteractionWinsYearsWithCurrentMgrDepartmentSales, 0.99)</f>
        <v>12</v>
      </c>
      <c r="BK27" s="98">
        <f>_xll.StatPercentile(ST_InteractionWinsTotalWorkingYearsDepartmentHumanResources, 0.99)</f>
        <v>16</v>
      </c>
      <c r="BL27" s="98">
        <f>_xll.StatPercentile(ST_InteractionWinsTotalWorkingYearsDepartmentResearchDevelopment, 0.99)</f>
        <v>33</v>
      </c>
      <c r="BM27" s="98">
        <f>_xll.StatPercentile(ST_InteractionWinsTotalWorkingYearsDepartmentSales, 0.99)</f>
        <v>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07B2-6A88-4467-A8A6-811B58773938}">
  <dimension ref="B1:J71"/>
  <sheetViews>
    <sheetView showGridLines="0" workbookViewId="0">
      <selection activeCell="L12" sqref="L12"/>
    </sheetView>
  </sheetViews>
  <sheetFormatPr defaultRowHeight="14.25" x14ac:dyDescent="0.45"/>
  <cols>
    <col min="1" max="1" width="0.265625" customWidth="1"/>
    <col min="2" max="10" width="15.59765625" customWidth="1"/>
  </cols>
  <sheetData>
    <row r="1" spans="2:10" s="63" customFormat="1" ht="17.25" x14ac:dyDescent="0.45">
      <c r="B1" s="64" t="s">
        <v>591</v>
      </c>
    </row>
    <row r="2" spans="2:10" s="61" customFormat="1" ht="9.75" x14ac:dyDescent="0.25">
      <c r="B2" s="62" t="s">
        <v>590</v>
      </c>
    </row>
    <row r="3" spans="2:10" s="61" customFormat="1" ht="9.75" x14ac:dyDescent="0.25">
      <c r="B3" s="62" t="s">
        <v>746</v>
      </c>
    </row>
    <row r="4" spans="2:10" s="59" customFormat="1" ht="9.75" x14ac:dyDescent="0.25">
      <c r="B4" s="60" t="s">
        <v>733</v>
      </c>
    </row>
    <row r="5" spans="2:10" ht="14.65" thickBot="1" x14ac:dyDescent="0.5"/>
    <row r="6" spans="2:10" x14ac:dyDescent="0.45">
      <c r="B6" s="58" t="s">
        <v>107</v>
      </c>
      <c r="C6" s="57" t="s">
        <v>587</v>
      </c>
      <c r="D6" s="57" t="s">
        <v>586</v>
      </c>
      <c r="E6" s="57" t="s">
        <v>585</v>
      </c>
      <c r="F6" s="57" t="s">
        <v>584</v>
      </c>
      <c r="G6" s="57" t="s">
        <v>583</v>
      </c>
      <c r="H6" s="56">
        <v>0.05</v>
      </c>
      <c r="I6" s="56">
        <v>0.95</v>
      </c>
      <c r="J6" s="55" t="s">
        <v>582</v>
      </c>
    </row>
    <row r="7" spans="2:10" ht="60" customHeight="1" x14ac:dyDescent="0.45">
      <c r="B7" s="54" t="s">
        <v>0</v>
      </c>
      <c r="C7" s="53"/>
      <c r="D7" s="53">
        <v>18</v>
      </c>
      <c r="E7" s="53">
        <v>60</v>
      </c>
      <c r="F7" s="53">
        <v>36.923999999999999</v>
      </c>
      <c r="G7" s="53">
        <v>9.1349999999999998</v>
      </c>
      <c r="H7" s="53">
        <v>24</v>
      </c>
      <c r="I7" s="53">
        <v>54</v>
      </c>
      <c r="J7" s="52">
        <v>1470</v>
      </c>
    </row>
    <row r="8" spans="2:10" ht="60" customHeight="1" x14ac:dyDescent="0.45">
      <c r="B8" s="50" t="s">
        <v>398</v>
      </c>
      <c r="C8" s="49"/>
      <c r="D8" s="49">
        <v>19</v>
      </c>
      <c r="E8" s="49">
        <v>58.31</v>
      </c>
      <c r="F8" s="49">
        <v>36.918999999999997</v>
      </c>
      <c r="G8" s="49">
        <v>9.0990000000000002</v>
      </c>
      <c r="H8" s="49">
        <v>24</v>
      </c>
      <c r="I8" s="49">
        <v>54</v>
      </c>
      <c r="J8" s="48">
        <v>1470</v>
      </c>
    </row>
    <row r="9" spans="2:10" ht="60" customHeight="1" x14ac:dyDescent="0.45">
      <c r="B9" s="50" t="s">
        <v>2</v>
      </c>
      <c r="C9" s="49"/>
      <c r="D9" s="49">
        <v>0</v>
      </c>
      <c r="E9" s="49">
        <v>1</v>
      </c>
      <c r="F9" s="49">
        <v>0.16120000000000001</v>
      </c>
      <c r="G9" s="49">
        <v>0.3679</v>
      </c>
      <c r="H9" s="49">
        <v>0</v>
      </c>
      <c r="I9" s="49">
        <v>1</v>
      </c>
      <c r="J9" s="48">
        <v>1470</v>
      </c>
    </row>
    <row r="10" spans="2:10" ht="60" customHeight="1" x14ac:dyDescent="0.45">
      <c r="B10" s="50" t="s">
        <v>4</v>
      </c>
      <c r="C10" s="49"/>
      <c r="D10" s="49">
        <v>0</v>
      </c>
      <c r="E10" s="49">
        <v>1</v>
      </c>
      <c r="F10" s="49">
        <v>0.18840000000000001</v>
      </c>
      <c r="G10" s="49">
        <v>0.39119999999999999</v>
      </c>
      <c r="H10" s="49">
        <v>0</v>
      </c>
      <c r="I10" s="49">
        <v>1</v>
      </c>
      <c r="J10" s="48">
        <v>1470</v>
      </c>
    </row>
    <row r="11" spans="2:10" ht="60" customHeight="1" x14ac:dyDescent="0.45">
      <c r="B11" s="50" t="s">
        <v>5</v>
      </c>
      <c r="C11" s="49"/>
      <c r="D11" s="49">
        <v>0</v>
      </c>
      <c r="E11" s="49">
        <v>1</v>
      </c>
      <c r="F11" s="49">
        <v>0.70950000000000002</v>
      </c>
      <c r="G11" s="49">
        <v>0.4541</v>
      </c>
      <c r="H11" s="49">
        <v>0</v>
      </c>
      <c r="I11" s="49">
        <v>1</v>
      </c>
      <c r="J11" s="48">
        <v>1470</v>
      </c>
    </row>
    <row r="12" spans="2:10" ht="60" customHeight="1" x14ac:dyDescent="0.45">
      <c r="B12" s="50" t="s">
        <v>7</v>
      </c>
      <c r="C12" s="49"/>
      <c r="D12" s="49">
        <v>0</v>
      </c>
      <c r="E12" s="49">
        <v>1</v>
      </c>
      <c r="F12" s="49">
        <v>0.65369999999999995</v>
      </c>
      <c r="G12" s="49">
        <v>0.47589999999999999</v>
      </c>
      <c r="H12" s="49">
        <v>0</v>
      </c>
      <c r="I12" s="49">
        <v>1</v>
      </c>
      <c r="J12" s="48">
        <v>1470</v>
      </c>
    </row>
    <row r="13" spans="2:10" ht="60" customHeight="1" x14ac:dyDescent="0.45">
      <c r="B13" s="50" t="s">
        <v>8</v>
      </c>
      <c r="C13" s="49"/>
      <c r="D13" s="49">
        <v>0</v>
      </c>
      <c r="E13" s="49">
        <v>1</v>
      </c>
      <c r="F13" s="49">
        <v>0.3034</v>
      </c>
      <c r="G13" s="49">
        <v>0.45989999999999998</v>
      </c>
      <c r="H13" s="49">
        <v>0</v>
      </c>
      <c r="I13" s="49">
        <v>1</v>
      </c>
      <c r="J13" s="48">
        <v>1470</v>
      </c>
    </row>
    <row r="14" spans="2:10" ht="60" customHeight="1" x14ac:dyDescent="0.45">
      <c r="B14" s="50" t="s">
        <v>9</v>
      </c>
      <c r="C14" s="49"/>
      <c r="D14" s="49">
        <v>1</v>
      </c>
      <c r="E14" s="49">
        <v>29</v>
      </c>
      <c r="F14" s="49">
        <v>9.1929999999999996</v>
      </c>
      <c r="G14" s="49">
        <v>8.1069999999999993</v>
      </c>
      <c r="H14" s="49">
        <v>1</v>
      </c>
      <c r="I14" s="49">
        <v>26</v>
      </c>
      <c r="J14" s="48">
        <v>1470</v>
      </c>
    </row>
    <row r="15" spans="2:10" ht="60" customHeight="1" x14ac:dyDescent="0.45">
      <c r="B15" s="50" t="s">
        <v>397</v>
      </c>
      <c r="C15" s="49"/>
      <c r="D15" s="49">
        <v>1</v>
      </c>
      <c r="E15" s="49">
        <v>29</v>
      </c>
      <c r="F15" s="49">
        <v>9.1929999999999996</v>
      </c>
      <c r="G15" s="49">
        <v>8.1069999999999993</v>
      </c>
      <c r="H15" s="49">
        <v>1</v>
      </c>
      <c r="I15" s="49">
        <v>26</v>
      </c>
      <c r="J15" s="48">
        <v>1470</v>
      </c>
    </row>
    <row r="16" spans="2:10" ht="60" customHeight="1" x14ac:dyDescent="0.45">
      <c r="B16" s="50" t="s">
        <v>10</v>
      </c>
      <c r="C16" s="49"/>
      <c r="D16" s="49">
        <v>1</v>
      </c>
      <c r="E16" s="49">
        <v>5</v>
      </c>
      <c r="F16" s="49">
        <v>2.9129</v>
      </c>
      <c r="G16" s="49">
        <v>1.0242</v>
      </c>
      <c r="H16" s="49">
        <v>1</v>
      </c>
      <c r="I16" s="49">
        <v>4</v>
      </c>
      <c r="J16" s="48">
        <v>1470</v>
      </c>
    </row>
    <row r="17" spans="2:10" ht="60" customHeight="1" x14ac:dyDescent="0.45">
      <c r="B17" s="50" t="s">
        <v>12</v>
      </c>
      <c r="C17" s="49"/>
      <c r="D17" s="49">
        <v>0</v>
      </c>
      <c r="E17" s="49">
        <v>1</v>
      </c>
      <c r="F17" s="49">
        <v>0.41220000000000001</v>
      </c>
      <c r="G17" s="49">
        <v>0.4924</v>
      </c>
      <c r="H17" s="49">
        <v>0</v>
      </c>
      <c r="I17" s="49">
        <v>1</v>
      </c>
      <c r="J17" s="48">
        <v>1470</v>
      </c>
    </row>
    <row r="18" spans="2:10" ht="60" customHeight="1" x14ac:dyDescent="0.45">
      <c r="B18" s="50" t="s">
        <v>13</v>
      </c>
      <c r="C18" s="49"/>
      <c r="D18" s="49">
        <v>0</v>
      </c>
      <c r="E18" s="49">
        <v>1</v>
      </c>
      <c r="F18" s="49">
        <v>5.5800000000000002E-2</v>
      </c>
      <c r="G18" s="49">
        <v>0.2296</v>
      </c>
      <c r="H18" s="49">
        <v>0</v>
      </c>
      <c r="I18" s="49">
        <v>1</v>
      </c>
      <c r="J18" s="48">
        <v>1470</v>
      </c>
    </row>
    <row r="19" spans="2:10" ht="60" customHeight="1" x14ac:dyDescent="0.45">
      <c r="B19" s="50" t="s">
        <v>14</v>
      </c>
      <c r="C19" s="49"/>
      <c r="D19" s="49">
        <v>0</v>
      </c>
      <c r="E19" s="49">
        <v>1</v>
      </c>
      <c r="F19" s="49">
        <v>0.31559999999999999</v>
      </c>
      <c r="G19" s="49">
        <v>0.46489999999999998</v>
      </c>
      <c r="H19" s="49">
        <v>0</v>
      </c>
      <c r="I19" s="49">
        <v>1</v>
      </c>
      <c r="J19" s="48">
        <v>1470</v>
      </c>
    </row>
    <row r="20" spans="2:10" ht="60" customHeight="1" x14ac:dyDescent="0.45">
      <c r="B20" s="50" t="s">
        <v>15</v>
      </c>
      <c r="C20" s="49"/>
      <c r="D20" s="49">
        <v>0</v>
      </c>
      <c r="E20" s="49">
        <v>1</v>
      </c>
      <c r="F20" s="49">
        <v>0.1082</v>
      </c>
      <c r="G20" s="49">
        <v>0.31069999999999998</v>
      </c>
      <c r="H20" s="49">
        <v>0</v>
      </c>
      <c r="I20" s="49">
        <v>1</v>
      </c>
      <c r="J20" s="48">
        <v>1470</v>
      </c>
    </row>
    <row r="21" spans="2:10" ht="60" customHeight="1" x14ac:dyDescent="0.45">
      <c r="B21" s="50" t="s">
        <v>16</v>
      </c>
      <c r="C21" s="49"/>
      <c r="D21" s="49">
        <v>0</v>
      </c>
      <c r="E21" s="49">
        <v>1</v>
      </c>
      <c r="F21" s="49">
        <v>8.9800000000000005E-2</v>
      </c>
      <c r="G21" s="49">
        <v>0.28599999999999998</v>
      </c>
      <c r="H21" s="49">
        <v>0</v>
      </c>
      <c r="I21" s="49">
        <v>1</v>
      </c>
      <c r="J21" s="48">
        <v>1470</v>
      </c>
    </row>
    <row r="22" spans="2:10" ht="60" customHeight="1" x14ac:dyDescent="0.45">
      <c r="B22" s="50" t="s">
        <v>17</v>
      </c>
      <c r="C22" s="49"/>
      <c r="D22" s="49">
        <v>1</v>
      </c>
      <c r="E22" s="49">
        <v>4</v>
      </c>
      <c r="F22" s="49">
        <v>2.7218</v>
      </c>
      <c r="G22" s="49">
        <v>1.0931</v>
      </c>
      <c r="H22" s="49">
        <v>1</v>
      </c>
      <c r="I22" s="49">
        <v>4</v>
      </c>
      <c r="J22" s="48">
        <v>1470</v>
      </c>
    </row>
    <row r="23" spans="2:10" ht="60" customHeight="1" x14ac:dyDescent="0.45">
      <c r="B23" s="50" t="s">
        <v>19</v>
      </c>
      <c r="C23" s="49"/>
      <c r="D23" s="49">
        <v>0</v>
      </c>
      <c r="E23" s="49">
        <v>1</v>
      </c>
      <c r="F23" s="49">
        <v>0.4</v>
      </c>
      <c r="G23" s="49">
        <v>0.49009999999999998</v>
      </c>
      <c r="H23" s="49">
        <v>0</v>
      </c>
      <c r="I23" s="49">
        <v>1</v>
      </c>
      <c r="J23" s="48">
        <v>1470</v>
      </c>
    </row>
    <row r="24" spans="2:10" ht="60" customHeight="1" x14ac:dyDescent="0.45">
      <c r="B24" s="50" t="s">
        <v>20</v>
      </c>
      <c r="C24" s="49"/>
      <c r="D24" s="49">
        <v>30</v>
      </c>
      <c r="E24" s="49">
        <v>100</v>
      </c>
      <c r="F24" s="49">
        <v>65.891000000000005</v>
      </c>
      <c r="G24" s="49">
        <v>20.329000000000001</v>
      </c>
      <c r="H24" s="49">
        <v>33</v>
      </c>
      <c r="I24" s="49">
        <v>97</v>
      </c>
      <c r="J24" s="48">
        <v>1470</v>
      </c>
    </row>
    <row r="25" spans="2:10" ht="60" customHeight="1" x14ac:dyDescent="0.45">
      <c r="B25" s="50" t="s">
        <v>21</v>
      </c>
      <c r="C25" s="49"/>
      <c r="D25" s="49">
        <v>1</v>
      </c>
      <c r="E25" s="49">
        <v>4</v>
      </c>
      <c r="F25" s="49">
        <v>2.7299000000000002</v>
      </c>
      <c r="G25" s="49">
        <v>0.71160000000000001</v>
      </c>
      <c r="H25" s="49">
        <v>1</v>
      </c>
      <c r="I25" s="49">
        <v>4</v>
      </c>
      <c r="J25" s="48">
        <v>1470</v>
      </c>
    </row>
    <row r="26" spans="2:10" ht="60" customHeight="1" x14ac:dyDescent="0.45">
      <c r="B26" s="50" t="s">
        <v>22</v>
      </c>
      <c r="C26" s="49"/>
      <c r="D26" s="49">
        <v>1</v>
      </c>
      <c r="E26" s="49">
        <v>5</v>
      </c>
      <c r="F26" s="49">
        <v>2.0638999999999998</v>
      </c>
      <c r="G26" s="49">
        <v>1.1069</v>
      </c>
      <c r="H26" s="49">
        <v>1</v>
      </c>
      <c r="I26" s="49">
        <v>4</v>
      </c>
      <c r="J26" s="48">
        <v>1470</v>
      </c>
    </row>
    <row r="27" spans="2:10" ht="60" customHeight="1" x14ac:dyDescent="0.45">
      <c r="B27" s="50" t="s">
        <v>24</v>
      </c>
      <c r="C27" s="49"/>
      <c r="D27" s="49">
        <v>0</v>
      </c>
      <c r="E27" s="49">
        <v>1</v>
      </c>
      <c r="F27" s="49">
        <v>8.9099999999999999E-2</v>
      </c>
      <c r="G27" s="49">
        <v>0.28499999999999998</v>
      </c>
      <c r="H27" s="49">
        <v>0</v>
      </c>
      <c r="I27" s="49">
        <v>1</v>
      </c>
      <c r="J27" s="48">
        <v>1470</v>
      </c>
    </row>
    <row r="28" spans="2:10" ht="60" customHeight="1" x14ac:dyDescent="0.45">
      <c r="B28" s="50" t="s">
        <v>25</v>
      </c>
      <c r="C28" s="49"/>
      <c r="D28" s="49">
        <v>0</v>
      </c>
      <c r="E28" s="49">
        <v>1</v>
      </c>
      <c r="F28" s="49">
        <v>0.2218</v>
      </c>
      <c r="G28" s="49">
        <v>0.41560000000000002</v>
      </c>
      <c r="H28" s="49">
        <v>0</v>
      </c>
      <c r="I28" s="49">
        <v>1</v>
      </c>
      <c r="J28" s="48">
        <v>1470</v>
      </c>
    </row>
    <row r="29" spans="2:10" ht="60" customHeight="1" x14ac:dyDescent="0.45">
      <c r="B29" s="50" t="s">
        <v>26</v>
      </c>
      <c r="C29" s="49"/>
      <c r="D29" s="49">
        <v>0</v>
      </c>
      <c r="E29" s="49">
        <v>1</v>
      </c>
      <c r="F29" s="49">
        <v>0.1762</v>
      </c>
      <c r="G29" s="49">
        <v>0.38109999999999999</v>
      </c>
      <c r="H29" s="49">
        <v>0</v>
      </c>
      <c r="I29" s="49">
        <v>1</v>
      </c>
      <c r="J29" s="48">
        <v>1470</v>
      </c>
    </row>
    <row r="30" spans="2:10" ht="60" customHeight="1" x14ac:dyDescent="0.45">
      <c r="B30" s="50" t="s">
        <v>27</v>
      </c>
      <c r="C30" s="49"/>
      <c r="D30" s="49">
        <v>0</v>
      </c>
      <c r="E30" s="49">
        <v>1</v>
      </c>
      <c r="F30" s="49">
        <v>6.9400000000000003E-2</v>
      </c>
      <c r="G30" s="49">
        <v>0.25419999999999998</v>
      </c>
      <c r="H30" s="49">
        <v>0</v>
      </c>
      <c r="I30" s="49">
        <v>1</v>
      </c>
      <c r="J30" s="48">
        <v>1470</v>
      </c>
    </row>
    <row r="31" spans="2:10" ht="60" customHeight="1" x14ac:dyDescent="0.45">
      <c r="B31" s="50" t="s">
        <v>28</v>
      </c>
      <c r="C31" s="49"/>
      <c r="D31" s="49">
        <v>0</v>
      </c>
      <c r="E31" s="49">
        <v>1</v>
      </c>
      <c r="F31" s="49">
        <v>9.8599999999999993E-2</v>
      </c>
      <c r="G31" s="49">
        <v>0.29830000000000001</v>
      </c>
      <c r="H31" s="49">
        <v>0</v>
      </c>
      <c r="I31" s="49">
        <v>1</v>
      </c>
      <c r="J31" s="48">
        <v>1470</v>
      </c>
    </row>
    <row r="32" spans="2:10" ht="60" customHeight="1" x14ac:dyDescent="0.45">
      <c r="B32" s="50" t="s">
        <v>29</v>
      </c>
      <c r="C32" s="49"/>
      <c r="D32" s="49">
        <v>0</v>
      </c>
      <c r="E32" s="49">
        <v>1</v>
      </c>
      <c r="F32" s="49">
        <v>9.8599999999999993E-2</v>
      </c>
      <c r="G32" s="49">
        <v>0.29830000000000001</v>
      </c>
      <c r="H32" s="49">
        <v>0</v>
      </c>
      <c r="I32" s="49">
        <v>1</v>
      </c>
      <c r="J32" s="48">
        <v>1470</v>
      </c>
    </row>
    <row r="33" spans="2:10" ht="60" customHeight="1" x14ac:dyDescent="0.45">
      <c r="B33" s="50" t="s">
        <v>30</v>
      </c>
      <c r="C33" s="49"/>
      <c r="D33" s="49">
        <v>0</v>
      </c>
      <c r="E33" s="49">
        <v>1</v>
      </c>
      <c r="F33" s="49">
        <v>5.6500000000000002E-2</v>
      </c>
      <c r="G33" s="49">
        <v>0.23089999999999999</v>
      </c>
      <c r="H33" s="49">
        <v>0</v>
      </c>
      <c r="I33" s="49">
        <v>1</v>
      </c>
      <c r="J33" s="48">
        <v>1470</v>
      </c>
    </row>
    <row r="34" spans="2:10" ht="60" customHeight="1" x14ac:dyDescent="0.45">
      <c r="B34" s="50" t="s">
        <v>31</v>
      </c>
      <c r="C34" s="49"/>
      <c r="D34" s="49">
        <v>0</v>
      </c>
      <c r="E34" s="49">
        <v>1</v>
      </c>
      <c r="F34" s="49">
        <v>0.1986</v>
      </c>
      <c r="G34" s="49">
        <v>0.39910000000000001</v>
      </c>
      <c r="H34" s="49">
        <v>0</v>
      </c>
      <c r="I34" s="49">
        <v>1</v>
      </c>
      <c r="J34" s="48">
        <v>1470</v>
      </c>
    </row>
    <row r="35" spans="2:10" ht="60" customHeight="1" x14ac:dyDescent="0.45">
      <c r="B35" s="50" t="s">
        <v>32</v>
      </c>
      <c r="C35" s="49"/>
      <c r="D35" s="49">
        <v>1</v>
      </c>
      <c r="E35" s="49">
        <v>4</v>
      </c>
      <c r="F35" s="49">
        <v>2.7286000000000001</v>
      </c>
      <c r="G35" s="49">
        <v>1.1028</v>
      </c>
      <c r="H35" s="49">
        <v>1</v>
      </c>
      <c r="I35" s="49">
        <v>4</v>
      </c>
      <c r="J35" s="48">
        <v>1470</v>
      </c>
    </row>
    <row r="36" spans="2:10" ht="60" customHeight="1" x14ac:dyDescent="0.45">
      <c r="B36" s="50" t="s">
        <v>34</v>
      </c>
      <c r="C36" s="49"/>
      <c r="D36" s="49">
        <v>0</v>
      </c>
      <c r="E36" s="49">
        <v>1</v>
      </c>
      <c r="F36" s="49">
        <v>0.31969999999999998</v>
      </c>
      <c r="G36" s="49">
        <v>0.46650000000000003</v>
      </c>
      <c r="H36" s="49">
        <v>0</v>
      </c>
      <c r="I36" s="49">
        <v>1</v>
      </c>
      <c r="J36" s="48">
        <v>1470</v>
      </c>
    </row>
    <row r="37" spans="2:10" ht="60" customHeight="1" x14ac:dyDescent="0.45">
      <c r="B37" s="50" t="s">
        <v>35</v>
      </c>
      <c r="C37" s="49"/>
      <c r="D37" s="49">
        <v>0</v>
      </c>
      <c r="E37" s="49">
        <v>1</v>
      </c>
      <c r="F37" s="49">
        <v>0.45779999999999998</v>
      </c>
      <c r="G37" s="49">
        <v>0.49840000000000001</v>
      </c>
      <c r="H37" s="49">
        <v>0</v>
      </c>
      <c r="I37" s="49">
        <v>1</v>
      </c>
      <c r="J37" s="48">
        <v>1470</v>
      </c>
    </row>
    <row r="38" spans="2:10" ht="60" customHeight="1" x14ac:dyDescent="0.45">
      <c r="B38" s="50" t="s">
        <v>36</v>
      </c>
      <c r="C38" s="49"/>
      <c r="D38" s="51">
        <v>1009</v>
      </c>
      <c r="E38" s="51">
        <v>19999</v>
      </c>
      <c r="F38" s="51">
        <v>6502.93</v>
      </c>
      <c r="G38" s="51">
        <v>4707.96</v>
      </c>
      <c r="H38" s="51">
        <v>2097</v>
      </c>
      <c r="I38" s="51">
        <v>17856</v>
      </c>
      <c r="J38" s="48">
        <v>1470</v>
      </c>
    </row>
    <row r="39" spans="2:10" ht="60" customHeight="1" x14ac:dyDescent="0.45">
      <c r="B39" s="50" t="s">
        <v>392</v>
      </c>
      <c r="C39" s="49"/>
      <c r="D39" s="51">
        <v>1382.46</v>
      </c>
      <c r="E39" s="51">
        <v>19626.310000000001</v>
      </c>
      <c r="F39" s="51">
        <v>6503.41</v>
      </c>
      <c r="G39" s="51">
        <v>4700.53</v>
      </c>
      <c r="H39" s="51">
        <v>2097</v>
      </c>
      <c r="I39" s="51">
        <v>17856</v>
      </c>
      <c r="J39" s="48">
        <v>1470</v>
      </c>
    </row>
    <row r="40" spans="2:10" ht="60" customHeight="1" x14ac:dyDescent="0.45">
      <c r="B40" s="50" t="s">
        <v>37</v>
      </c>
      <c r="C40" s="49"/>
      <c r="D40" s="49">
        <v>0</v>
      </c>
      <c r="E40" s="49">
        <v>9</v>
      </c>
      <c r="F40" s="49">
        <v>2.6932</v>
      </c>
      <c r="G40" s="49">
        <v>2.4980000000000002</v>
      </c>
      <c r="H40" s="49">
        <v>0</v>
      </c>
      <c r="I40" s="49">
        <v>8</v>
      </c>
      <c r="J40" s="48">
        <v>1470</v>
      </c>
    </row>
    <row r="41" spans="2:10" ht="60" customHeight="1" x14ac:dyDescent="0.45">
      <c r="B41" s="50" t="s">
        <v>39</v>
      </c>
      <c r="C41" s="49"/>
      <c r="D41" s="49">
        <v>0</v>
      </c>
      <c r="E41" s="49">
        <v>1</v>
      </c>
      <c r="F41" s="49">
        <v>0.28299999999999997</v>
      </c>
      <c r="G41" s="49">
        <v>0.4506</v>
      </c>
      <c r="H41" s="49">
        <v>0</v>
      </c>
      <c r="I41" s="49">
        <v>1</v>
      </c>
      <c r="J41" s="48">
        <v>1470</v>
      </c>
    </row>
    <row r="42" spans="2:10" ht="60" customHeight="1" x14ac:dyDescent="0.45">
      <c r="B42" s="50" t="s">
        <v>40</v>
      </c>
      <c r="C42" s="49"/>
      <c r="D42" s="49">
        <v>11</v>
      </c>
      <c r="E42" s="49">
        <v>25</v>
      </c>
      <c r="F42" s="49">
        <v>15.21</v>
      </c>
      <c r="G42" s="49">
        <v>3.66</v>
      </c>
      <c r="H42" s="49">
        <v>11</v>
      </c>
      <c r="I42" s="49">
        <v>22</v>
      </c>
      <c r="J42" s="48">
        <v>1470</v>
      </c>
    </row>
    <row r="43" spans="2:10" ht="60" customHeight="1" x14ac:dyDescent="0.45">
      <c r="B43" s="50" t="s">
        <v>41</v>
      </c>
      <c r="C43" s="49"/>
      <c r="D43" s="49">
        <v>3</v>
      </c>
      <c r="E43" s="49">
        <v>4</v>
      </c>
      <c r="F43" s="49">
        <v>3.1537000000000002</v>
      </c>
      <c r="G43" s="49">
        <v>0.36080000000000001</v>
      </c>
      <c r="H43" s="49">
        <v>3</v>
      </c>
      <c r="I43" s="49">
        <v>4</v>
      </c>
      <c r="J43" s="48">
        <v>1470</v>
      </c>
    </row>
    <row r="44" spans="2:10" ht="60" customHeight="1" x14ac:dyDescent="0.45">
      <c r="B44" s="50" t="s">
        <v>42</v>
      </c>
      <c r="C44" s="49"/>
      <c r="D44" s="49">
        <v>1</v>
      </c>
      <c r="E44" s="49">
        <v>4</v>
      </c>
      <c r="F44" s="49">
        <v>2.7122000000000002</v>
      </c>
      <c r="G44" s="49">
        <v>1.0811999999999999</v>
      </c>
      <c r="H44" s="49">
        <v>1</v>
      </c>
      <c r="I44" s="49">
        <v>4</v>
      </c>
      <c r="J44" s="48">
        <v>1470</v>
      </c>
    </row>
    <row r="45" spans="2:10" ht="60" customHeight="1" x14ac:dyDescent="0.45">
      <c r="B45" s="50" t="s">
        <v>43</v>
      </c>
      <c r="C45" s="49"/>
      <c r="D45" s="49">
        <v>0</v>
      </c>
      <c r="E45" s="49">
        <v>3</v>
      </c>
      <c r="F45" s="49">
        <v>0.79390000000000005</v>
      </c>
      <c r="G45" s="49">
        <v>0.85209999999999997</v>
      </c>
      <c r="H45" s="49">
        <v>0</v>
      </c>
      <c r="I45" s="49">
        <v>3</v>
      </c>
      <c r="J45" s="48">
        <v>1470</v>
      </c>
    </row>
    <row r="46" spans="2:10" ht="60" customHeight="1" x14ac:dyDescent="0.45">
      <c r="B46" s="50" t="s">
        <v>44</v>
      </c>
      <c r="C46" s="49"/>
      <c r="D46" s="49">
        <v>0</v>
      </c>
      <c r="E46" s="49">
        <v>40</v>
      </c>
      <c r="F46" s="49">
        <v>11.28</v>
      </c>
      <c r="G46" s="49">
        <v>7.7809999999999997</v>
      </c>
      <c r="H46" s="49">
        <v>1</v>
      </c>
      <c r="I46" s="49">
        <v>28</v>
      </c>
      <c r="J46" s="48">
        <v>1470</v>
      </c>
    </row>
    <row r="47" spans="2:10" ht="60" customHeight="1" x14ac:dyDescent="0.45">
      <c r="B47" s="50" t="s">
        <v>395</v>
      </c>
      <c r="C47" s="49"/>
      <c r="D47" s="49">
        <v>1</v>
      </c>
      <c r="E47" s="49">
        <v>35</v>
      </c>
      <c r="F47" s="49">
        <v>11.269</v>
      </c>
      <c r="G47" s="49">
        <v>7.7110000000000003</v>
      </c>
      <c r="H47" s="49">
        <v>1</v>
      </c>
      <c r="I47" s="49">
        <v>28</v>
      </c>
      <c r="J47" s="48">
        <v>1470</v>
      </c>
    </row>
    <row r="48" spans="2:10" ht="60" customHeight="1" x14ac:dyDescent="0.45">
      <c r="B48" s="50" t="s">
        <v>45</v>
      </c>
      <c r="C48" s="49"/>
      <c r="D48" s="49">
        <v>0</v>
      </c>
      <c r="E48" s="49">
        <v>6</v>
      </c>
      <c r="F48" s="49">
        <v>2.7993000000000001</v>
      </c>
      <c r="G48" s="49">
        <v>1.2892999999999999</v>
      </c>
      <c r="H48" s="49">
        <v>1</v>
      </c>
      <c r="I48" s="49">
        <v>5</v>
      </c>
      <c r="J48" s="48">
        <v>1470</v>
      </c>
    </row>
    <row r="49" spans="2:10" ht="60" customHeight="1" x14ac:dyDescent="0.45">
      <c r="B49" s="50" t="s">
        <v>46</v>
      </c>
      <c r="C49" s="49"/>
      <c r="D49" s="49">
        <v>1</v>
      </c>
      <c r="E49" s="49">
        <v>4</v>
      </c>
      <c r="F49" s="49">
        <v>2.7612000000000001</v>
      </c>
      <c r="G49" s="49">
        <v>0.70650000000000002</v>
      </c>
      <c r="H49" s="49">
        <v>1</v>
      </c>
      <c r="I49" s="49">
        <v>4</v>
      </c>
      <c r="J49" s="48">
        <v>1470</v>
      </c>
    </row>
    <row r="50" spans="2:10" ht="60" customHeight="1" x14ac:dyDescent="0.45">
      <c r="B50" s="50" t="s">
        <v>47</v>
      </c>
      <c r="C50" s="49"/>
      <c r="D50" s="49">
        <v>0</v>
      </c>
      <c r="E50" s="49">
        <v>40</v>
      </c>
      <c r="F50" s="49">
        <v>7.008</v>
      </c>
      <c r="G50" s="49">
        <v>6.1269999999999998</v>
      </c>
      <c r="H50" s="49">
        <v>1</v>
      </c>
      <c r="I50" s="49">
        <v>20</v>
      </c>
      <c r="J50" s="48">
        <v>1470</v>
      </c>
    </row>
    <row r="51" spans="2:10" ht="60" customHeight="1" x14ac:dyDescent="0.45">
      <c r="B51" s="50" t="s">
        <v>396</v>
      </c>
      <c r="C51" s="49"/>
      <c r="D51" s="49">
        <v>0</v>
      </c>
      <c r="E51" s="49">
        <v>31</v>
      </c>
      <c r="F51" s="49">
        <v>6.98</v>
      </c>
      <c r="G51" s="49">
        <v>6.0049999999999999</v>
      </c>
      <c r="H51" s="49">
        <v>1</v>
      </c>
      <c r="I51" s="49">
        <v>20</v>
      </c>
      <c r="J51" s="48">
        <v>1470</v>
      </c>
    </row>
    <row r="52" spans="2:10" ht="60" customHeight="1" x14ac:dyDescent="0.45">
      <c r="B52" s="50" t="s">
        <v>48</v>
      </c>
      <c r="C52" s="49"/>
      <c r="D52" s="49">
        <v>0</v>
      </c>
      <c r="E52" s="49">
        <v>18</v>
      </c>
      <c r="F52" s="49">
        <v>4.2290000000000001</v>
      </c>
      <c r="G52" s="49">
        <v>3.6230000000000002</v>
      </c>
      <c r="H52" s="49">
        <v>0</v>
      </c>
      <c r="I52" s="49">
        <v>11</v>
      </c>
      <c r="J52" s="48">
        <v>1470</v>
      </c>
    </row>
    <row r="53" spans="2:10" ht="60" customHeight="1" x14ac:dyDescent="0.45">
      <c r="B53" s="50" t="s">
        <v>49</v>
      </c>
      <c r="C53" s="49"/>
      <c r="D53" s="49">
        <v>0</v>
      </c>
      <c r="E53" s="49">
        <v>15</v>
      </c>
      <c r="F53" s="49">
        <v>2.1880000000000002</v>
      </c>
      <c r="G53" s="49">
        <v>3.222</v>
      </c>
      <c r="H53" s="49">
        <v>0</v>
      </c>
      <c r="I53" s="49">
        <v>9</v>
      </c>
      <c r="J53" s="48">
        <v>1470</v>
      </c>
    </row>
    <row r="54" spans="2:10" ht="60" customHeight="1" x14ac:dyDescent="0.45">
      <c r="B54" s="50" t="s">
        <v>518</v>
      </c>
      <c r="C54" s="49"/>
      <c r="D54" s="49">
        <v>0</v>
      </c>
      <c r="E54" s="49">
        <v>14</v>
      </c>
      <c r="F54" s="49">
        <v>2.1789999999999998</v>
      </c>
      <c r="G54" s="49">
        <v>3.1880000000000002</v>
      </c>
      <c r="H54" s="49">
        <v>0</v>
      </c>
      <c r="I54" s="49">
        <v>9</v>
      </c>
      <c r="J54" s="48">
        <v>1470</v>
      </c>
    </row>
    <row r="55" spans="2:10" ht="60" customHeight="1" x14ac:dyDescent="0.45">
      <c r="B55" s="50" t="s">
        <v>50</v>
      </c>
      <c r="C55" s="49"/>
      <c r="D55" s="49">
        <v>0</v>
      </c>
      <c r="E55" s="49">
        <v>17</v>
      </c>
      <c r="F55" s="49">
        <v>4.1230000000000002</v>
      </c>
      <c r="G55" s="49">
        <v>3.5680000000000001</v>
      </c>
      <c r="H55" s="49">
        <v>0</v>
      </c>
      <c r="I55" s="49">
        <v>10</v>
      </c>
      <c r="J55" s="48">
        <v>1470</v>
      </c>
    </row>
    <row r="56" spans="2:10" ht="60" customHeight="1" x14ac:dyDescent="0.45">
      <c r="B56" s="50" t="s">
        <v>394</v>
      </c>
      <c r="C56" s="49"/>
      <c r="D56" s="49">
        <v>0</v>
      </c>
      <c r="E56" s="49">
        <v>14</v>
      </c>
      <c r="F56" s="49">
        <v>4.1029999999999998</v>
      </c>
      <c r="G56" s="49">
        <v>3.504</v>
      </c>
      <c r="H56" s="49">
        <v>0</v>
      </c>
      <c r="I56" s="49">
        <v>10</v>
      </c>
      <c r="J56" s="48">
        <v>1470</v>
      </c>
    </row>
    <row r="57" spans="2:10" ht="60" customHeight="1" x14ac:dyDescent="0.45">
      <c r="B57" s="50" t="s">
        <v>517</v>
      </c>
      <c r="C57" s="49"/>
      <c r="D57" s="49">
        <v>0</v>
      </c>
      <c r="E57" s="49">
        <v>70</v>
      </c>
      <c r="F57" s="49">
        <v>9.93</v>
      </c>
      <c r="G57" s="49">
        <v>12.113</v>
      </c>
      <c r="H57" s="49">
        <v>0</v>
      </c>
      <c r="I57" s="49">
        <v>36</v>
      </c>
      <c r="J57" s="48">
        <v>1470</v>
      </c>
    </row>
    <row r="58" spans="2:10" ht="60" customHeight="1" x14ac:dyDescent="0.45">
      <c r="B58" s="50" t="s">
        <v>602</v>
      </c>
      <c r="C58" s="49"/>
      <c r="D58" s="49">
        <v>0</v>
      </c>
      <c r="E58" s="49">
        <v>1</v>
      </c>
      <c r="F58" s="49">
        <v>0.434</v>
      </c>
      <c r="G58" s="49">
        <v>0.49580000000000002</v>
      </c>
      <c r="H58" s="49">
        <v>0</v>
      </c>
      <c r="I58" s="49">
        <v>1</v>
      </c>
      <c r="J58" s="48">
        <v>1470</v>
      </c>
    </row>
    <row r="59" spans="2:10" ht="60" customHeight="1" x14ac:dyDescent="0.45">
      <c r="B59" s="50" t="s">
        <v>603</v>
      </c>
      <c r="C59" s="49"/>
      <c r="D59" s="49">
        <v>0</v>
      </c>
      <c r="E59" s="49">
        <v>1</v>
      </c>
      <c r="F59" s="49">
        <v>0.37759999999999999</v>
      </c>
      <c r="G59" s="49">
        <v>0.4849</v>
      </c>
      <c r="H59" s="49">
        <v>0</v>
      </c>
      <c r="I59" s="49">
        <v>1</v>
      </c>
      <c r="J59" s="48">
        <v>1470</v>
      </c>
    </row>
    <row r="60" spans="2:10" ht="60" customHeight="1" x14ac:dyDescent="0.45">
      <c r="B60" s="50" t="s">
        <v>604</v>
      </c>
      <c r="C60" s="49"/>
      <c r="D60" s="49">
        <v>0</v>
      </c>
      <c r="E60" s="49">
        <v>1</v>
      </c>
      <c r="F60" s="49">
        <v>0.1082</v>
      </c>
      <c r="G60" s="49">
        <v>0.31069999999999998</v>
      </c>
      <c r="H60" s="49">
        <v>0</v>
      </c>
      <c r="I60" s="49">
        <v>1</v>
      </c>
      <c r="J60" s="48">
        <v>1470</v>
      </c>
    </row>
    <row r="61" spans="2:10" ht="60" customHeight="1" x14ac:dyDescent="0.45">
      <c r="B61" s="50" t="s">
        <v>605</v>
      </c>
      <c r="C61" s="49"/>
      <c r="D61" s="49">
        <v>0</v>
      </c>
      <c r="E61" s="49">
        <v>1</v>
      </c>
      <c r="F61" s="49">
        <v>8.0299999999999996E-2</v>
      </c>
      <c r="G61" s="49">
        <v>0.27179999999999999</v>
      </c>
      <c r="H61" s="49">
        <v>0</v>
      </c>
      <c r="I61" s="49">
        <v>1</v>
      </c>
      <c r="J61" s="48">
        <v>1470</v>
      </c>
    </row>
    <row r="62" spans="2:10" ht="60" customHeight="1" x14ac:dyDescent="0.45">
      <c r="B62" s="50" t="s">
        <v>626</v>
      </c>
      <c r="C62" s="49"/>
      <c r="D62" s="49">
        <v>0</v>
      </c>
      <c r="E62" s="49">
        <v>1</v>
      </c>
      <c r="F62" s="49">
        <v>0.38569999999999999</v>
      </c>
      <c r="G62" s="49">
        <v>0.4869</v>
      </c>
      <c r="H62" s="49">
        <v>0</v>
      </c>
      <c r="I62" s="49">
        <v>1</v>
      </c>
      <c r="J62" s="48">
        <v>1470</v>
      </c>
    </row>
    <row r="63" spans="2:10" ht="60" customHeight="1" x14ac:dyDescent="0.45">
      <c r="B63" s="50" t="s">
        <v>627</v>
      </c>
      <c r="C63" s="49"/>
      <c r="D63" s="49">
        <v>0</v>
      </c>
      <c r="E63" s="49">
        <v>1</v>
      </c>
      <c r="F63" s="49">
        <v>0.1565</v>
      </c>
      <c r="G63" s="49">
        <v>0.3634</v>
      </c>
      <c r="H63" s="49">
        <v>0</v>
      </c>
      <c r="I63" s="49">
        <v>1</v>
      </c>
      <c r="J63" s="48">
        <v>1470</v>
      </c>
    </row>
    <row r="64" spans="2:10" ht="60" customHeight="1" x14ac:dyDescent="0.45">
      <c r="B64" s="50" t="s">
        <v>628</v>
      </c>
      <c r="C64" s="49"/>
      <c r="D64" s="49">
        <v>0</v>
      </c>
      <c r="E64" s="49">
        <v>1</v>
      </c>
      <c r="F64" s="49">
        <v>0.33129999999999998</v>
      </c>
      <c r="G64" s="49">
        <v>0.4708</v>
      </c>
      <c r="H64" s="49">
        <v>0</v>
      </c>
      <c r="I64" s="49">
        <v>1</v>
      </c>
      <c r="J64" s="48">
        <v>1470</v>
      </c>
    </row>
    <row r="65" spans="2:10" ht="60" customHeight="1" x14ac:dyDescent="0.45">
      <c r="B65" s="50" t="s">
        <v>629</v>
      </c>
      <c r="C65" s="49"/>
      <c r="D65" s="49">
        <v>0</v>
      </c>
      <c r="E65" s="49">
        <v>1</v>
      </c>
      <c r="F65" s="49">
        <v>0.1265</v>
      </c>
      <c r="G65" s="49">
        <v>0.33260000000000001</v>
      </c>
      <c r="H65" s="49">
        <v>0</v>
      </c>
      <c r="I65" s="49">
        <v>1</v>
      </c>
      <c r="J65" s="48">
        <v>1470</v>
      </c>
    </row>
    <row r="66" spans="2:10" ht="60" customHeight="1" x14ac:dyDescent="0.45">
      <c r="B66" s="50" t="s">
        <v>650</v>
      </c>
      <c r="C66" s="49"/>
      <c r="D66" s="49">
        <v>0</v>
      </c>
      <c r="E66" s="49">
        <v>10</v>
      </c>
      <c r="F66" s="49">
        <v>0.157</v>
      </c>
      <c r="G66" s="49">
        <v>0.95499999999999996</v>
      </c>
      <c r="H66" s="49">
        <v>0</v>
      </c>
      <c r="I66" s="49">
        <v>0</v>
      </c>
      <c r="J66" s="48">
        <v>1470</v>
      </c>
    </row>
    <row r="67" spans="2:10" ht="60" customHeight="1" x14ac:dyDescent="0.45">
      <c r="B67" s="50" t="s">
        <v>651</v>
      </c>
      <c r="C67" s="49"/>
      <c r="D67" s="49">
        <v>0</v>
      </c>
      <c r="E67" s="49">
        <v>14</v>
      </c>
      <c r="F67" s="49">
        <v>2.6549999999999998</v>
      </c>
      <c r="G67" s="49">
        <v>3.4260000000000002</v>
      </c>
      <c r="H67" s="49">
        <v>0</v>
      </c>
      <c r="I67" s="49">
        <v>9</v>
      </c>
      <c r="J67" s="48">
        <v>1470</v>
      </c>
    </row>
    <row r="68" spans="2:10" ht="60" customHeight="1" x14ac:dyDescent="0.45">
      <c r="B68" s="50" t="s">
        <v>652</v>
      </c>
      <c r="C68" s="49"/>
      <c r="D68" s="49">
        <v>0</v>
      </c>
      <c r="E68" s="49">
        <v>14</v>
      </c>
      <c r="F68" s="49">
        <v>1.29</v>
      </c>
      <c r="G68" s="49">
        <v>2.78</v>
      </c>
      <c r="H68" s="49">
        <v>0</v>
      </c>
      <c r="I68" s="49">
        <v>8</v>
      </c>
      <c r="J68" s="48">
        <v>1470</v>
      </c>
    </row>
    <row r="69" spans="2:10" ht="60" customHeight="1" x14ac:dyDescent="0.45">
      <c r="B69" s="50" t="s">
        <v>669</v>
      </c>
      <c r="C69" s="49"/>
      <c r="D69" s="49">
        <v>0</v>
      </c>
      <c r="E69" s="49">
        <v>35</v>
      </c>
      <c r="F69" s="49">
        <v>0.495</v>
      </c>
      <c r="G69" s="49">
        <v>2.9569999999999999</v>
      </c>
      <c r="H69" s="49">
        <v>0</v>
      </c>
      <c r="I69" s="49">
        <v>0</v>
      </c>
      <c r="J69" s="48">
        <v>1470</v>
      </c>
    </row>
    <row r="70" spans="2:10" ht="60" customHeight="1" x14ac:dyDescent="0.45">
      <c r="B70" s="50" t="s">
        <v>670</v>
      </c>
      <c r="C70" s="49"/>
      <c r="D70" s="49">
        <v>0</v>
      </c>
      <c r="E70" s="49">
        <v>35</v>
      </c>
      <c r="F70" s="49">
        <v>7.4080000000000004</v>
      </c>
      <c r="G70" s="49">
        <v>8.2539999999999996</v>
      </c>
      <c r="H70" s="49">
        <v>0</v>
      </c>
      <c r="I70" s="49">
        <v>25</v>
      </c>
      <c r="J70" s="48">
        <v>1470</v>
      </c>
    </row>
    <row r="71" spans="2:10" ht="60" customHeight="1" thickBot="1" x14ac:dyDescent="0.5">
      <c r="B71" s="47" t="s">
        <v>671</v>
      </c>
      <c r="C71" s="46"/>
      <c r="D71" s="46">
        <v>0</v>
      </c>
      <c r="E71" s="46">
        <v>35</v>
      </c>
      <c r="F71" s="46">
        <v>3.3660000000000001</v>
      </c>
      <c r="G71" s="46">
        <v>6.569</v>
      </c>
      <c r="H71" s="46">
        <v>0</v>
      </c>
      <c r="I71" s="46">
        <v>18</v>
      </c>
      <c r="J71" s="45">
        <v>1470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J87"/>
  <sheetViews>
    <sheetView zoomScale="80" zoomScaleNormal="80" workbookViewId="0">
      <selection activeCell="A66" sqref="A66:D70"/>
    </sheetView>
  </sheetViews>
  <sheetFormatPr defaultColWidth="8.86328125" defaultRowHeight="14.25" x14ac:dyDescent="0.45"/>
  <cols>
    <col min="1" max="1" width="18" customWidth="1"/>
    <col min="2" max="2" width="16.265625" customWidth="1"/>
    <col min="3" max="3" width="4.1328125" customWidth="1"/>
    <col min="4" max="4" width="11.265625" customWidth="1"/>
    <col min="5" max="5" width="21.1328125" bestFit="1" customWidth="1"/>
    <col min="6" max="6" width="36.3984375" bestFit="1" customWidth="1"/>
    <col min="7" max="7" width="26.265625" bestFit="1" customWidth="1"/>
  </cols>
  <sheetData>
    <row r="2" spans="9:10" x14ac:dyDescent="0.45">
      <c r="I2" t="s">
        <v>1</v>
      </c>
    </row>
    <row r="3" spans="9:10" x14ac:dyDescent="0.45">
      <c r="I3" t="s">
        <v>52</v>
      </c>
      <c r="J3">
        <f>COUNTIF(Data!C:C,Data!$C$2)</f>
        <v>237</v>
      </c>
    </row>
    <row r="4" spans="9:10" x14ac:dyDescent="0.45">
      <c r="I4" t="s">
        <v>59</v>
      </c>
      <c r="J4">
        <f>COUNTIF(Data!C:C,$I$4)</f>
        <v>1233</v>
      </c>
    </row>
    <row r="17" spans="9:10" x14ac:dyDescent="0.45">
      <c r="I17" s="26" t="s">
        <v>383</v>
      </c>
      <c r="J17" t="s">
        <v>385</v>
      </c>
    </row>
    <row r="18" spans="9:10" x14ac:dyDescent="0.45">
      <c r="I18" s="4" t="s">
        <v>19</v>
      </c>
      <c r="J18" s="3">
        <v>588</v>
      </c>
    </row>
    <row r="19" spans="9:10" x14ac:dyDescent="0.45">
      <c r="I19" s="4" t="s">
        <v>62</v>
      </c>
      <c r="J19" s="3">
        <v>882</v>
      </c>
    </row>
    <row r="20" spans="9:10" x14ac:dyDescent="0.45">
      <c r="I20" s="4" t="s">
        <v>384</v>
      </c>
      <c r="J20" s="3">
        <v>1470</v>
      </c>
    </row>
    <row r="33" spans="1:4" x14ac:dyDescent="0.45">
      <c r="A33" s="26" t="s">
        <v>387</v>
      </c>
      <c r="B33" s="26" t="s">
        <v>386</v>
      </c>
    </row>
    <row r="34" spans="1:4" x14ac:dyDescent="0.45">
      <c r="A34" s="26" t="s">
        <v>383</v>
      </c>
      <c r="B34" t="s">
        <v>59</v>
      </c>
      <c r="C34" t="s">
        <v>52</v>
      </c>
      <c r="D34" t="s">
        <v>384</v>
      </c>
    </row>
    <row r="35" spans="1:4" x14ac:dyDescent="0.45">
      <c r="A35" s="4">
        <v>1</v>
      </c>
      <c r="B35" s="3">
        <v>223</v>
      </c>
      <c r="C35" s="3">
        <v>66</v>
      </c>
      <c r="D35" s="3">
        <v>289</v>
      </c>
    </row>
    <row r="36" spans="1:4" x14ac:dyDescent="0.45">
      <c r="A36" s="4">
        <v>2</v>
      </c>
      <c r="B36" s="3">
        <v>234</v>
      </c>
      <c r="C36" s="3">
        <v>46</v>
      </c>
      <c r="D36" s="3">
        <v>280</v>
      </c>
    </row>
    <row r="37" spans="1:4" x14ac:dyDescent="0.45">
      <c r="A37" s="4">
        <v>3</v>
      </c>
      <c r="B37" s="3">
        <v>369</v>
      </c>
      <c r="C37" s="3">
        <v>73</v>
      </c>
      <c r="D37" s="3">
        <v>442</v>
      </c>
    </row>
    <row r="38" spans="1:4" x14ac:dyDescent="0.45">
      <c r="A38" s="4">
        <v>4</v>
      </c>
      <c r="B38" s="3">
        <v>407</v>
      </c>
      <c r="C38" s="3">
        <v>52</v>
      </c>
      <c r="D38" s="3">
        <v>459</v>
      </c>
    </row>
    <row r="39" spans="1:4" x14ac:dyDescent="0.45">
      <c r="A39" s="4" t="s">
        <v>384</v>
      </c>
      <c r="B39" s="3">
        <v>1233</v>
      </c>
      <c r="C39" s="3">
        <v>237</v>
      </c>
      <c r="D39" s="3">
        <v>1470</v>
      </c>
    </row>
    <row r="51" spans="1:4" x14ac:dyDescent="0.45">
      <c r="A51" s="26" t="s">
        <v>387</v>
      </c>
      <c r="B51" s="26" t="s">
        <v>386</v>
      </c>
    </row>
    <row r="52" spans="1:4" x14ac:dyDescent="0.45">
      <c r="A52" s="26" t="s">
        <v>383</v>
      </c>
      <c r="B52" t="s">
        <v>59</v>
      </c>
      <c r="C52" t="s">
        <v>52</v>
      </c>
      <c r="D52" t="s">
        <v>384</v>
      </c>
    </row>
    <row r="53" spans="1:4" x14ac:dyDescent="0.45">
      <c r="A53" s="4" t="s">
        <v>19</v>
      </c>
      <c r="B53" s="3">
        <v>501</v>
      </c>
      <c r="C53" s="3">
        <v>87</v>
      </c>
      <c r="D53" s="3">
        <v>588</v>
      </c>
    </row>
    <row r="54" spans="1:4" x14ac:dyDescent="0.45">
      <c r="A54" s="4" t="s">
        <v>62</v>
      </c>
      <c r="B54" s="3">
        <v>732</v>
      </c>
      <c r="C54" s="3">
        <v>150</v>
      </c>
      <c r="D54" s="3">
        <v>882</v>
      </c>
    </row>
    <row r="55" spans="1:4" x14ac:dyDescent="0.45">
      <c r="A55" s="4" t="s">
        <v>384</v>
      </c>
      <c r="B55" s="3">
        <v>1233</v>
      </c>
      <c r="C55" s="3">
        <v>237</v>
      </c>
      <c r="D55" s="3">
        <v>1470</v>
      </c>
    </row>
    <row r="66" spans="1:4" x14ac:dyDescent="0.45">
      <c r="A66" s="26" t="s">
        <v>520</v>
      </c>
      <c r="B66" s="26" t="s">
        <v>386</v>
      </c>
    </row>
    <row r="67" spans="1:4" x14ac:dyDescent="0.45">
      <c r="A67" s="26" t="s">
        <v>383</v>
      </c>
      <c r="B67" t="s">
        <v>59</v>
      </c>
      <c r="C67" t="s">
        <v>52</v>
      </c>
      <c r="D67" t="s">
        <v>384</v>
      </c>
    </row>
    <row r="68" spans="1:4" x14ac:dyDescent="0.45">
      <c r="A68" s="4" t="s">
        <v>59</v>
      </c>
      <c r="B68" s="3">
        <v>944</v>
      </c>
      <c r="C68" s="3">
        <v>110</v>
      </c>
      <c r="D68" s="3">
        <v>1054</v>
      </c>
    </row>
    <row r="69" spans="1:4" x14ac:dyDescent="0.45">
      <c r="A69" s="4" t="s">
        <v>52</v>
      </c>
      <c r="B69" s="3">
        <v>289</v>
      </c>
      <c r="C69" s="3">
        <v>127</v>
      </c>
      <c r="D69" s="3">
        <v>416</v>
      </c>
    </row>
    <row r="70" spans="1:4" x14ac:dyDescent="0.45">
      <c r="A70" s="4" t="s">
        <v>384</v>
      </c>
      <c r="B70" s="3">
        <v>1233</v>
      </c>
      <c r="C70" s="3">
        <v>237</v>
      </c>
      <c r="D70" s="3">
        <v>1470</v>
      </c>
    </row>
    <row r="71" spans="1:4" x14ac:dyDescent="0.45">
      <c r="A71" s="4"/>
      <c r="B71" s="3"/>
      <c r="C71" s="3"/>
      <c r="D71" s="3"/>
    </row>
    <row r="72" spans="1:4" x14ac:dyDescent="0.45">
      <c r="A72" s="4"/>
      <c r="B72" s="3"/>
      <c r="C72" s="3"/>
      <c r="D72" s="3"/>
    </row>
    <row r="73" spans="1:4" x14ac:dyDescent="0.45">
      <c r="A73" s="4"/>
      <c r="B73" s="3"/>
      <c r="C73" s="3"/>
      <c r="D73" s="3"/>
    </row>
    <row r="74" spans="1:4" x14ac:dyDescent="0.45">
      <c r="A74" s="4"/>
      <c r="B74" s="3"/>
      <c r="C74" s="3"/>
      <c r="D74" s="3"/>
    </row>
    <row r="75" spans="1:4" x14ac:dyDescent="0.45">
      <c r="A75" s="4"/>
      <c r="B75" s="3"/>
      <c r="C75" s="3"/>
      <c r="D75" s="3"/>
    </row>
    <row r="76" spans="1:4" x14ac:dyDescent="0.45">
      <c r="A76" s="4"/>
      <c r="B76" s="3"/>
      <c r="C76" s="3"/>
      <c r="D76" s="3"/>
    </row>
    <row r="77" spans="1:4" x14ac:dyDescent="0.45">
      <c r="A77" s="4"/>
      <c r="B77" s="3"/>
      <c r="C77" s="3"/>
      <c r="D77" s="3"/>
    </row>
    <row r="78" spans="1:4" x14ac:dyDescent="0.45">
      <c r="A78" s="4"/>
      <c r="B78" s="3"/>
      <c r="C78" s="3"/>
      <c r="D78" s="3"/>
    </row>
    <row r="79" spans="1:4" x14ac:dyDescent="0.45">
      <c r="A79" s="4"/>
      <c r="B79" s="3"/>
      <c r="C79" s="3"/>
      <c r="D79" s="3"/>
    </row>
    <row r="80" spans="1:4" x14ac:dyDescent="0.45">
      <c r="A80" s="4"/>
      <c r="B80" s="3"/>
      <c r="C80" s="3"/>
      <c r="D80" s="3"/>
    </row>
    <row r="81" spans="1:4" x14ac:dyDescent="0.45">
      <c r="A81" s="4"/>
      <c r="B81" s="3"/>
      <c r="C81" s="3"/>
      <c r="D81" s="3"/>
    </row>
    <row r="82" spans="1:4" x14ac:dyDescent="0.45">
      <c r="A82" s="26" t="s">
        <v>522</v>
      </c>
      <c r="B82" s="26" t="s">
        <v>386</v>
      </c>
    </row>
    <row r="83" spans="1:4" x14ac:dyDescent="0.45">
      <c r="A83" s="26" t="s">
        <v>383</v>
      </c>
      <c r="B83" t="s">
        <v>59</v>
      </c>
      <c r="C83" t="s">
        <v>52</v>
      </c>
      <c r="D83" t="s">
        <v>384</v>
      </c>
    </row>
    <row r="84" spans="1:4" x14ac:dyDescent="0.45">
      <c r="A84" s="4" t="s">
        <v>78</v>
      </c>
      <c r="B84" s="3">
        <v>294</v>
      </c>
      <c r="C84" s="3">
        <v>33</v>
      </c>
      <c r="D84" s="3">
        <v>327</v>
      </c>
    </row>
    <row r="85" spans="1:4" x14ac:dyDescent="0.45">
      <c r="A85" s="4" t="s">
        <v>64</v>
      </c>
      <c r="B85" s="3">
        <v>589</v>
      </c>
      <c r="C85" s="3">
        <v>84</v>
      </c>
      <c r="D85" s="3">
        <v>673</v>
      </c>
    </row>
    <row r="86" spans="1:4" x14ac:dyDescent="0.45">
      <c r="A86" s="4" t="s">
        <v>57</v>
      </c>
      <c r="B86" s="3">
        <v>350</v>
      </c>
      <c r="C86" s="3">
        <v>120</v>
      </c>
      <c r="D86" s="3">
        <v>470</v>
      </c>
    </row>
    <row r="87" spans="1:4" x14ac:dyDescent="0.45">
      <c r="A87" s="4" t="s">
        <v>384</v>
      </c>
      <c r="B87" s="3">
        <v>1233</v>
      </c>
      <c r="C87" s="3">
        <v>237</v>
      </c>
      <c r="D87" s="3">
        <v>1470</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9"/>
  <sheetViews>
    <sheetView workbookViewId="0"/>
  </sheetViews>
  <sheetFormatPr defaultColWidth="8.86328125" defaultRowHeight="14.25" x14ac:dyDescent="0.45"/>
  <sheetData>
    <row r="9" spans="2:2" x14ac:dyDescent="0.45">
      <c r="B9" s="3">
        <f>1</f>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FF"/>
  </sheetPr>
  <dimension ref="A1:G35"/>
  <sheetViews>
    <sheetView showGridLines="0" topLeftCell="A10" zoomScale="80" zoomScaleNormal="80" workbookViewId="0">
      <selection activeCell="A21" sqref="A21:B34"/>
    </sheetView>
  </sheetViews>
  <sheetFormatPr defaultColWidth="12.73046875" defaultRowHeight="14.25" x14ac:dyDescent="0.45"/>
  <cols>
    <col min="1" max="1" width="40.73046875" customWidth="1"/>
    <col min="3" max="3" width="12.73046875" customWidth="1"/>
    <col min="5" max="5" width="12.73046875" customWidth="1"/>
  </cols>
  <sheetData>
    <row r="1" spans="1:7" s="32" customFormat="1" ht="18" x14ac:dyDescent="0.55000000000000004">
      <c r="A1" s="30" t="s">
        <v>413</v>
      </c>
      <c r="B1" s="31"/>
    </row>
    <row r="2" spans="1:7" s="32" customFormat="1" ht="10.5" x14ac:dyDescent="0.35">
      <c r="A2" s="33" t="s">
        <v>414</v>
      </c>
      <c r="B2" s="31" t="s">
        <v>415</v>
      </c>
    </row>
    <row r="3" spans="1:7" s="32" customFormat="1" ht="10.5" x14ac:dyDescent="0.35">
      <c r="A3" s="33" t="s">
        <v>416</v>
      </c>
      <c r="B3" s="31" t="s">
        <v>417</v>
      </c>
    </row>
    <row r="4" spans="1:7" s="32" customFormat="1" ht="10.5" x14ac:dyDescent="0.35">
      <c r="A4" s="33" t="s">
        <v>418</v>
      </c>
      <c r="B4" s="31" t="s">
        <v>515</v>
      </c>
    </row>
    <row r="5" spans="1:7" s="32" customFormat="1" ht="10.5" x14ac:dyDescent="0.35">
      <c r="A5" s="33" t="s">
        <v>420</v>
      </c>
      <c r="B5" s="31" t="s">
        <v>421</v>
      </c>
    </row>
    <row r="6" spans="1:7" s="36" customFormat="1" ht="10.5" x14ac:dyDescent="0.35">
      <c r="A6" s="34" t="s">
        <v>422</v>
      </c>
      <c r="B6" s="35" t="s">
        <v>392</v>
      </c>
    </row>
    <row r="8" spans="1:7" ht="15" customHeight="1" x14ac:dyDescent="0.45">
      <c r="A8" t="s">
        <v>423</v>
      </c>
    </row>
    <row r="9" spans="1:7" ht="15" customHeight="1" x14ac:dyDescent="0.45"/>
    <row r="10" spans="1:7" ht="15" customHeight="1" x14ac:dyDescent="0.45">
      <c r="A10" s="19" t="s">
        <v>424</v>
      </c>
      <c r="B10" s="120" t="s">
        <v>425</v>
      </c>
      <c r="C10" s="122" t="s">
        <v>426</v>
      </c>
      <c r="D10" s="120" t="s">
        <v>427</v>
      </c>
      <c r="E10" s="120" t="s">
        <v>428</v>
      </c>
      <c r="F10" s="120" t="s">
        <v>429</v>
      </c>
      <c r="G10" s="122" t="s">
        <v>430</v>
      </c>
    </row>
    <row r="11" spans="1:7" ht="15" customHeight="1" thickBot="1" x14ac:dyDescent="0.5">
      <c r="A11" s="20" t="s">
        <v>431</v>
      </c>
      <c r="B11" s="121"/>
      <c r="C11" s="121"/>
      <c r="D11" s="121"/>
      <c r="E11" s="121"/>
      <c r="F11" s="121"/>
      <c r="G11" s="121"/>
    </row>
    <row r="12" spans="1:7" ht="15" customHeight="1" thickTop="1" x14ac:dyDescent="0.45">
      <c r="A12" s="18"/>
      <c r="B12" s="37">
        <v>0.96998887483906449</v>
      </c>
      <c r="C12" s="37">
        <v>0.9408784173115543</v>
      </c>
      <c r="D12" s="37">
        <v>0.94035054603755042</v>
      </c>
      <c r="E12" s="21">
        <v>1148.0218223718196</v>
      </c>
      <c r="F12" s="21">
        <v>0</v>
      </c>
      <c r="G12" s="21">
        <v>0</v>
      </c>
    </row>
    <row r="13" spans="1:7" ht="15" customHeight="1" x14ac:dyDescent="0.45"/>
    <row r="14" spans="1:7" ht="15" customHeight="1" x14ac:dyDescent="0.45">
      <c r="A14" s="19"/>
      <c r="B14" s="120" t="s">
        <v>432</v>
      </c>
      <c r="C14" s="120" t="s">
        <v>433</v>
      </c>
      <c r="D14" s="120" t="s">
        <v>434</v>
      </c>
      <c r="E14" s="122" t="s">
        <v>435</v>
      </c>
      <c r="F14" s="122" t="s">
        <v>71</v>
      </c>
    </row>
    <row r="15" spans="1:7" ht="15" customHeight="1" thickBot="1" x14ac:dyDescent="0.5">
      <c r="A15" s="20" t="s">
        <v>436</v>
      </c>
      <c r="B15" s="121"/>
      <c r="C15" s="121"/>
      <c r="D15" s="121"/>
      <c r="E15" s="121"/>
      <c r="F15" s="121"/>
    </row>
    <row r="16" spans="1:7" ht="15" customHeight="1" thickTop="1" x14ac:dyDescent="0.45">
      <c r="A16" s="18" t="s">
        <v>437</v>
      </c>
      <c r="B16" s="21">
        <v>13</v>
      </c>
      <c r="C16" s="21">
        <v>30538599523.641144</v>
      </c>
      <c r="D16" s="21">
        <v>2349123040.2800879</v>
      </c>
      <c r="E16" s="21">
        <v>1782.4012475141096</v>
      </c>
      <c r="F16" s="22">
        <v>0</v>
      </c>
    </row>
    <row r="17" spans="1:7" ht="15" customHeight="1" x14ac:dyDescent="0.45">
      <c r="A17" s="18" t="s">
        <v>438</v>
      </c>
      <c r="B17" s="21">
        <v>1456</v>
      </c>
      <c r="C17" s="21">
        <v>1918941176.3586259</v>
      </c>
      <c r="D17" s="21">
        <v>1317954.1046419134</v>
      </c>
      <c r="E17" s="16"/>
      <c r="F17" s="16"/>
    </row>
    <row r="18" spans="1:7" ht="15" customHeight="1" x14ac:dyDescent="0.45"/>
    <row r="19" spans="1:7" ht="15" customHeight="1" x14ac:dyDescent="0.45">
      <c r="A19" s="19"/>
      <c r="B19" s="122" t="s">
        <v>72</v>
      </c>
      <c r="C19" s="120" t="s">
        <v>439</v>
      </c>
      <c r="D19" s="122" t="s">
        <v>440</v>
      </c>
      <c r="E19" s="122" t="s">
        <v>71</v>
      </c>
      <c r="F19" s="123" t="s">
        <v>441</v>
      </c>
      <c r="G19" s="123"/>
    </row>
    <row r="20" spans="1:7" ht="15" customHeight="1" thickBot="1" x14ac:dyDescent="0.5">
      <c r="A20" s="20" t="s">
        <v>442</v>
      </c>
      <c r="B20" s="121"/>
      <c r="C20" s="121"/>
      <c r="D20" s="121"/>
      <c r="E20" s="121"/>
      <c r="F20" s="17" t="s">
        <v>75</v>
      </c>
      <c r="G20" s="17" t="s">
        <v>76</v>
      </c>
    </row>
    <row r="21" spans="1:7" ht="15" customHeight="1" thickTop="1" x14ac:dyDescent="0.45">
      <c r="A21" s="18" t="s">
        <v>84</v>
      </c>
      <c r="B21" s="21">
        <v>269.68172533847974</v>
      </c>
      <c r="C21" s="21">
        <v>192.19245648210665</v>
      </c>
      <c r="D21" s="21">
        <v>1.4031857975840349</v>
      </c>
      <c r="E21" s="22">
        <v>0.16077465503054475</v>
      </c>
      <c r="F21" s="21">
        <v>-107.32196405856212</v>
      </c>
      <c r="G21" s="21">
        <v>646.68541473552159</v>
      </c>
    </row>
    <row r="22" spans="1:7" ht="15" customHeight="1" x14ac:dyDescent="0.45">
      <c r="A22" s="18" t="s">
        <v>7</v>
      </c>
      <c r="B22" s="21">
        <v>3092.2547553428381</v>
      </c>
      <c r="C22" s="21">
        <v>204.46075650531083</v>
      </c>
      <c r="D22" s="21">
        <v>15.123952430756644</v>
      </c>
      <c r="E22" s="22">
        <v>4.1561017751065681E-48</v>
      </c>
      <c r="F22" s="21">
        <v>2691.1856345754013</v>
      </c>
      <c r="G22" s="21">
        <v>3493.3238761102748</v>
      </c>
    </row>
    <row r="23" spans="1:7" ht="15" customHeight="1" x14ac:dyDescent="0.45">
      <c r="A23" s="18" t="s">
        <v>8</v>
      </c>
      <c r="B23" s="21">
        <v>2447.7774407799079</v>
      </c>
      <c r="C23" s="21">
        <v>289.64943175108539</v>
      </c>
      <c r="D23" s="21">
        <v>8.4508276987867266</v>
      </c>
      <c r="E23" s="22">
        <v>6.9171886430111111E-17</v>
      </c>
      <c r="F23" s="21">
        <v>1879.6026726298251</v>
      </c>
      <c r="G23" s="21">
        <v>3015.9522089299908</v>
      </c>
    </row>
    <row r="24" spans="1:7" ht="15" customHeight="1" x14ac:dyDescent="0.45">
      <c r="A24" s="18" t="s">
        <v>22</v>
      </c>
      <c r="B24" s="21">
        <v>2813.0640787758384</v>
      </c>
      <c r="C24" s="21">
        <v>78.583219050210076</v>
      </c>
      <c r="D24" s="21">
        <v>35.797261969867321</v>
      </c>
      <c r="E24" s="22">
        <v>7.566892968883369E-202</v>
      </c>
      <c r="F24" s="21">
        <v>2658.9156587550801</v>
      </c>
      <c r="G24" s="21">
        <v>2967.2124987965967</v>
      </c>
    </row>
    <row r="25" spans="1:7" ht="15" customHeight="1" x14ac:dyDescent="0.45">
      <c r="A25" s="18" t="s">
        <v>24</v>
      </c>
      <c r="B25" s="21">
        <v>-3423.3184423256953</v>
      </c>
      <c r="C25" s="21">
        <v>171.72267705916008</v>
      </c>
      <c r="D25" s="21">
        <v>-19.935156503216696</v>
      </c>
      <c r="E25" s="22">
        <v>2.2475776902364989E-78</v>
      </c>
      <c r="F25" s="21">
        <v>-3760.1687224534562</v>
      </c>
      <c r="G25" s="21">
        <v>-3086.4681621979344</v>
      </c>
    </row>
    <row r="26" spans="1:7" ht="15" customHeight="1" x14ac:dyDescent="0.45">
      <c r="A26" s="18" t="s">
        <v>25</v>
      </c>
      <c r="B26" s="21">
        <v>-2805.1693644587649</v>
      </c>
      <c r="C26" s="21">
        <v>273.84268397802566</v>
      </c>
      <c r="D26" s="21">
        <v>-10.243725790694718</v>
      </c>
      <c r="E26" s="22">
        <v>7.9438685246578555E-24</v>
      </c>
      <c r="F26" s="21">
        <v>-3342.3377011552452</v>
      </c>
      <c r="G26" s="21">
        <v>-2268.0010277622846</v>
      </c>
    </row>
    <row r="27" spans="1:7" ht="15" customHeight="1" x14ac:dyDescent="0.45">
      <c r="A27" s="18" t="s">
        <v>26</v>
      </c>
      <c r="B27" s="21">
        <v>-3852.1372684345019</v>
      </c>
      <c r="C27" s="21">
        <v>192.48655579161684</v>
      </c>
      <c r="D27" s="21">
        <v>-20.012500367063403</v>
      </c>
      <c r="E27" s="22">
        <v>6.6646967222553366E-79</v>
      </c>
      <c r="F27" s="21">
        <v>-4229.7178614559834</v>
      </c>
      <c r="G27" s="21">
        <v>-3474.5566754130205</v>
      </c>
    </row>
    <row r="28" spans="1:7" ht="15" customHeight="1" x14ac:dyDescent="0.45">
      <c r="A28" s="18" t="s">
        <v>27</v>
      </c>
      <c r="B28" s="21">
        <v>873.56212604024859</v>
      </c>
      <c r="C28" s="21">
        <v>185.14753265185044</v>
      </c>
      <c r="D28" s="21">
        <v>4.7181948013473454</v>
      </c>
      <c r="E28" s="22">
        <v>2.6079656257710592E-6</v>
      </c>
      <c r="F28" s="21">
        <v>510.37772135470112</v>
      </c>
      <c r="G28" s="21">
        <v>1236.746530725796</v>
      </c>
    </row>
    <row r="29" spans="1:7" ht="15" customHeight="1" x14ac:dyDescent="0.45">
      <c r="A29" s="18" t="s">
        <v>28</v>
      </c>
      <c r="B29" s="21">
        <v>-3508.4022774159967</v>
      </c>
      <c r="C29" s="21">
        <v>169.19765990284199</v>
      </c>
      <c r="D29" s="21">
        <v>-20.735524825997114</v>
      </c>
      <c r="E29" s="22">
        <v>6.820829549780503E-84</v>
      </c>
      <c r="F29" s="21">
        <v>-3840.299497464569</v>
      </c>
      <c r="G29" s="21">
        <v>-3176.5050573674243</v>
      </c>
    </row>
    <row r="30" spans="1:7" ht="15" customHeight="1" x14ac:dyDescent="0.45">
      <c r="A30" s="18" t="s">
        <v>30</v>
      </c>
      <c r="B30" s="21">
        <v>-3284.1805397312855</v>
      </c>
      <c r="C30" s="21">
        <v>311.08576253953646</v>
      </c>
      <c r="D30" s="21">
        <v>-10.557154763114216</v>
      </c>
      <c r="E30" s="22">
        <v>3.7178184964123272E-25</v>
      </c>
      <c r="F30" s="21">
        <v>-3894.4046991129844</v>
      </c>
      <c r="G30" s="21">
        <v>-2673.9563803495867</v>
      </c>
    </row>
    <row r="31" spans="1:7" ht="15" customHeight="1" x14ac:dyDescent="0.45">
      <c r="A31" s="18" t="s">
        <v>31</v>
      </c>
      <c r="B31" s="21">
        <v>-3748.306856670566</v>
      </c>
      <c r="C31" s="21">
        <v>192.58554697905163</v>
      </c>
      <c r="D31" s="21">
        <v>-19.463074542547503</v>
      </c>
      <c r="E31" s="22">
        <v>3.5373168940921894E-75</v>
      </c>
      <c r="F31" s="21">
        <v>-4126.0816302731373</v>
      </c>
      <c r="G31" s="21">
        <v>-3370.5320830679952</v>
      </c>
    </row>
    <row r="32" spans="1:7" ht="15" customHeight="1" x14ac:dyDescent="0.45">
      <c r="A32" s="18" t="s">
        <v>395</v>
      </c>
      <c r="B32" s="21">
        <v>51.934056120968535</v>
      </c>
      <c r="C32" s="21">
        <v>6.8975458701233769</v>
      </c>
      <c r="D32" s="21">
        <v>7.5293527725448222</v>
      </c>
      <c r="E32" s="22">
        <v>8.89916134981125E-14</v>
      </c>
      <c r="F32" s="21">
        <v>38.403867223757871</v>
      </c>
      <c r="G32" s="21">
        <v>65.464245018179199</v>
      </c>
    </row>
    <row r="33" spans="1:7" ht="15" customHeight="1" x14ac:dyDescent="0.45">
      <c r="A33" s="18" t="s">
        <v>394</v>
      </c>
      <c r="B33" s="21">
        <v>-77.4848884196781</v>
      </c>
      <c r="C33" s="21">
        <v>21.319789708488198</v>
      </c>
      <c r="D33" s="21">
        <v>-3.634411477746823</v>
      </c>
      <c r="E33" s="22">
        <v>2.8830613336920218E-4</v>
      </c>
      <c r="F33" s="21">
        <v>-119.30567329537091</v>
      </c>
      <c r="G33" s="21">
        <v>-35.664103543985291</v>
      </c>
    </row>
    <row r="34" spans="1:7" ht="15" customHeight="1" x14ac:dyDescent="0.45">
      <c r="A34" s="18" t="s">
        <v>517</v>
      </c>
      <c r="B34" s="21">
        <v>21.905132855172269</v>
      </c>
      <c r="C34" s="21">
        <v>7.545015916548417</v>
      </c>
      <c r="D34" s="21">
        <v>2.9032586673711229</v>
      </c>
      <c r="E34" s="22">
        <v>3.7486564183067598E-3</v>
      </c>
      <c r="F34" s="21">
        <v>7.1048701957323406</v>
      </c>
      <c r="G34" s="21">
        <v>36.705395514612199</v>
      </c>
    </row>
    <row r="35" spans="1:7" ht="15" customHeight="1" x14ac:dyDescent="0.45"/>
  </sheetData>
  <mergeCells count="16">
    <mergeCell ref="G10:G11"/>
    <mergeCell ref="B10:B11"/>
    <mergeCell ref="C10:C11"/>
    <mergeCell ref="D10:D11"/>
    <mergeCell ref="E10:E11"/>
    <mergeCell ref="F10:F11"/>
    <mergeCell ref="B19:B20"/>
    <mergeCell ref="C19:C20"/>
    <mergeCell ref="D19:D20"/>
    <mergeCell ref="E19:E20"/>
    <mergeCell ref="F19:G19"/>
    <mergeCell ref="B14:B15"/>
    <mergeCell ref="C14:C15"/>
    <mergeCell ref="D14:D15"/>
    <mergeCell ref="E14:E15"/>
    <mergeCell ref="F14:F15"/>
  </mergeCells>
  <conditionalFormatting sqref="E21:E34">
    <cfRule type="cellIs" dxfId="7" priority="1" operator="lessThan">
      <formula>0.05</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738D5-7C39-4881-B9E8-8094FD4B3FB1}">
  <sheetPr>
    <tabColor rgb="FFC00000"/>
  </sheetPr>
  <dimension ref="A1:T27"/>
  <sheetViews>
    <sheetView showGridLines="0" zoomScale="80" zoomScaleNormal="80" workbookViewId="0">
      <pane xSplit="1" topLeftCell="B1" activePane="topRight" state="frozen"/>
      <selection pane="topRight" activeCell="D31" sqref="D31"/>
    </sheetView>
  </sheetViews>
  <sheetFormatPr defaultColWidth="12.59765625" defaultRowHeight="14.25" x14ac:dyDescent="0.45"/>
  <cols>
    <col min="1" max="1" width="32.9296875" customWidth="1"/>
    <col min="2" max="20" width="23.53125" bestFit="1" customWidth="1"/>
  </cols>
  <sheetData>
    <row r="1" spans="1:20" s="32" customFormat="1" ht="18" x14ac:dyDescent="0.55000000000000004">
      <c r="A1" s="30" t="s">
        <v>413</v>
      </c>
      <c r="B1" s="31"/>
    </row>
    <row r="2" spans="1:20" s="32" customFormat="1" ht="10.5" x14ac:dyDescent="0.35">
      <c r="A2" s="33" t="s">
        <v>414</v>
      </c>
      <c r="B2" s="31" t="s">
        <v>690</v>
      </c>
    </row>
    <row r="3" spans="1:20" s="32" customFormat="1" ht="10.5" x14ac:dyDescent="0.35">
      <c r="A3" s="33" t="s">
        <v>416</v>
      </c>
      <c r="B3" s="31" t="s">
        <v>687</v>
      </c>
    </row>
    <row r="4" spans="1:20" s="32" customFormat="1" ht="10.5" x14ac:dyDescent="0.35">
      <c r="A4" s="33" t="s">
        <v>418</v>
      </c>
      <c r="B4" s="31" t="s">
        <v>688</v>
      </c>
    </row>
    <row r="5" spans="1:20" s="36" customFormat="1" ht="10.5" x14ac:dyDescent="0.35">
      <c r="A5" s="34" t="s">
        <v>420</v>
      </c>
      <c r="B5" s="35" t="s">
        <v>691</v>
      </c>
    </row>
    <row r="7" spans="1:20" ht="15" customHeight="1" x14ac:dyDescent="0.45">
      <c r="A7" s="19"/>
      <c r="B7" s="40" t="s">
        <v>398</v>
      </c>
      <c r="C7" s="40" t="s">
        <v>397</v>
      </c>
      <c r="D7" s="40" t="s">
        <v>17</v>
      </c>
      <c r="E7" s="40" t="s">
        <v>20</v>
      </c>
      <c r="F7" s="40" t="s">
        <v>21</v>
      </c>
      <c r="G7" s="40" t="s">
        <v>32</v>
      </c>
      <c r="H7" s="40" t="s">
        <v>392</v>
      </c>
      <c r="I7" s="40" t="s">
        <v>37</v>
      </c>
      <c r="J7" s="40" t="s">
        <v>40</v>
      </c>
      <c r="K7" s="40" t="s">
        <v>41</v>
      </c>
      <c r="L7" s="40" t="s">
        <v>42</v>
      </c>
      <c r="M7" s="40" t="s">
        <v>43</v>
      </c>
      <c r="N7" s="40" t="s">
        <v>395</v>
      </c>
      <c r="O7" s="40" t="s">
        <v>45</v>
      </c>
      <c r="P7" s="40" t="s">
        <v>46</v>
      </c>
      <c r="Q7" s="40" t="s">
        <v>396</v>
      </c>
      <c r="R7" s="40" t="s">
        <v>48</v>
      </c>
      <c r="S7" s="40" t="s">
        <v>518</v>
      </c>
      <c r="T7" s="40" t="s">
        <v>394</v>
      </c>
    </row>
    <row r="8" spans="1:20" ht="15" customHeight="1" thickBot="1" x14ac:dyDescent="0.5">
      <c r="A8" s="20" t="s">
        <v>692</v>
      </c>
      <c r="B8" s="17" t="s">
        <v>598</v>
      </c>
      <c r="C8" s="17" t="s">
        <v>598</v>
      </c>
      <c r="D8" s="17" t="s">
        <v>598</v>
      </c>
      <c r="E8" s="17" t="s">
        <v>598</v>
      </c>
      <c r="F8" s="17" t="s">
        <v>598</v>
      </c>
      <c r="G8" s="17" t="s">
        <v>598</v>
      </c>
      <c r="H8" s="17" t="s">
        <v>598</v>
      </c>
      <c r="I8" s="17" t="s">
        <v>598</v>
      </c>
      <c r="J8" s="17" t="s">
        <v>598</v>
      </c>
      <c r="K8" s="17" t="s">
        <v>598</v>
      </c>
      <c r="L8" s="17" t="s">
        <v>598</v>
      </c>
      <c r="M8" s="17" t="s">
        <v>598</v>
      </c>
      <c r="N8" s="17" t="s">
        <v>598</v>
      </c>
      <c r="O8" s="17" t="s">
        <v>598</v>
      </c>
      <c r="P8" s="17" t="s">
        <v>598</v>
      </c>
      <c r="Q8" s="17" t="s">
        <v>598</v>
      </c>
      <c r="R8" s="17" t="s">
        <v>598</v>
      </c>
      <c r="S8" s="17" t="s">
        <v>598</v>
      </c>
      <c r="T8" s="17" t="s">
        <v>598</v>
      </c>
    </row>
    <row r="9" spans="1:20" ht="15" customHeight="1" thickTop="1" x14ac:dyDescent="0.45">
      <c r="A9" s="18" t="s">
        <v>398</v>
      </c>
      <c r="B9" s="82">
        <v>1</v>
      </c>
      <c r="C9" s="82"/>
      <c r="D9" s="82"/>
      <c r="E9" s="82"/>
      <c r="F9" s="82"/>
      <c r="G9" s="82"/>
      <c r="H9" s="82"/>
      <c r="I9" s="82"/>
      <c r="J9" s="82"/>
      <c r="K9" s="82"/>
      <c r="L9" s="82"/>
      <c r="M9" s="82"/>
      <c r="N9" s="82"/>
      <c r="O9" s="82"/>
      <c r="P9" s="82"/>
      <c r="Q9" s="82"/>
      <c r="R9" s="82"/>
      <c r="S9" s="82"/>
      <c r="T9" s="82"/>
    </row>
    <row r="10" spans="1:20" ht="15" customHeight="1" x14ac:dyDescent="0.45">
      <c r="A10" s="18" t="s">
        <v>397</v>
      </c>
      <c r="B10" s="82">
        <f>_xll.StatCorrelationCoeff( ST_WinsDistanceFromHome,ST_WinsAge)</f>
        <v>-1.9448137990175189E-3</v>
      </c>
      <c r="C10" s="82">
        <v>1</v>
      </c>
      <c r="D10" s="82"/>
      <c r="E10" s="82"/>
      <c r="F10" s="82"/>
      <c r="G10" s="82"/>
      <c r="H10" s="82"/>
      <c r="I10" s="82"/>
      <c r="J10" s="82"/>
      <c r="K10" s="82"/>
      <c r="L10" s="82"/>
      <c r="M10" s="82"/>
      <c r="N10" s="82"/>
      <c r="O10" s="82"/>
      <c r="P10" s="82"/>
      <c r="Q10" s="82"/>
      <c r="R10" s="82"/>
      <c r="S10" s="82"/>
      <c r="T10" s="82"/>
    </row>
    <row r="11" spans="1:20" ht="15" customHeight="1" x14ac:dyDescent="0.45">
      <c r="A11" s="18" t="s">
        <v>17</v>
      </c>
      <c r="B11" s="82">
        <f>_xll.StatCorrelationCoeff( ST_EnvironmentSatisfaction,ST_WinsAge)</f>
        <v>1.0724439785360678E-2</v>
      </c>
      <c r="C11" s="82">
        <f>_xll.StatCorrelationCoeff( ST_EnvironmentSatisfaction,ST_WinsDistanceFromHome)</f>
        <v>-1.6075326996493468E-2</v>
      </c>
      <c r="D11" s="82">
        <v>1</v>
      </c>
      <c r="E11" s="82"/>
      <c r="F11" s="82"/>
      <c r="G11" s="82"/>
      <c r="H11" s="82"/>
      <c r="I11" s="82"/>
      <c r="J11" s="82"/>
      <c r="K11" s="82"/>
      <c r="L11" s="82"/>
      <c r="M11" s="82"/>
      <c r="N11" s="82"/>
      <c r="O11" s="82"/>
      <c r="P11" s="82"/>
      <c r="Q11" s="82"/>
      <c r="R11" s="82"/>
      <c r="S11" s="82"/>
      <c r="T11" s="82"/>
    </row>
    <row r="12" spans="1:20" ht="15" customHeight="1" x14ac:dyDescent="0.45">
      <c r="A12" s="18" t="s">
        <v>20</v>
      </c>
      <c r="B12" s="82">
        <f>_xll.StatCorrelationCoeff( ST_HourlyRate,ST_WinsAge)</f>
        <v>2.437293401026094E-2</v>
      </c>
      <c r="C12" s="82">
        <f>_xll.StatCorrelationCoeff( ST_HourlyRate,ST_WinsDistanceFromHome)</f>
        <v>3.1130585611766022E-2</v>
      </c>
      <c r="D12" s="82">
        <f>_xll.StatCorrelationCoeff( ST_HourlyRate,ST_EnvironmentSatisfaction)</f>
        <v>-4.9856956203000499E-2</v>
      </c>
      <c r="E12" s="82">
        <v>1</v>
      </c>
      <c r="F12" s="82"/>
      <c r="G12" s="82"/>
      <c r="H12" s="82"/>
      <c r="I12" s="82"/>
      <c r="J12" s="82"/>
      <c r="K12" s="82"/>
      <c r="L12" s="82"/>
      <c r="M12" s="82"/>
      <c r="N12" s="82"/>
      <c r="O12" s="82"/>
      <c r="P12" s="82"/>
      <c r="Q12" s="82"/>
      <c r="R12" s="82"/>
      <c r="S12" s="82"/>
      <c r="T12" s="82"/>
    </row>
    <row r="13" spans="1:20" ht="15" customHeight="1" x14ac:dyDescent="0.45">
      <c r="A13" s="18" t="s">
        <v>21</v>
      </c>
      <c r="B13" s="82">
        <f>_xll.StatCorrelationCoeff( ST_JobInvolvement,ST_WinsAge)</f>
        <v>3.027039990234116E-2</v>
      </c>
      <c r="C13" s="82">
        <f>_xll.StatCorrelationCoeff( ST_JobInvolvement,ST_WinsDistanceFromHome)</f>
        <v>8.7832798864442337E-3</v>
      </c>
      <c r="D13" s="82">
        <f>_xll.StatCorrelationCoeff( ST_JobInvolvement,ST_EnvironmentSatisfaction)</f>
        <v>-8.277598171759229E-3</v>
      </c>
      <c r="E13" s="82">
        <f>_xll.StatCorrelationCoeff( ST_JobInvolvement,ST_HourlyRate)</f>
        <v>4.2860640971529966E-2</v>
      </c>
      <c r="F13" s="82">
        <v>1</v>
      </c>
      <c r="G13" s="82"/>
      <c r="H13" s="82"/>
      <c r="I13" s="82"/>
      <c r="J13" s="82"/>
      <c r="K13" s="82"/>
      <c r="L13" s="82"/>
      <c r="M13" s="82"/>
      <c r="N13" s="82"/>
      <c r="O13" s="82"/>
      <c r="P13" s="82"/>
      <c r="Q13" s="82"/>
      <c r="R13" s="82"/>
      <c r="S13" s="82"/>
      <c r="T13" s="82"/>
    </row>
    <row r="14" spans="1:20" ht="15" customHeight="1" x14ac:dyDescent="0.45">
      <c r="A14" s="18" t="s">
        <v>32</v>
      </c>
      <c r="B14" s="82">
        <f>_xll.StatCorrelationCoeff( ST_JobSatisfaction,ST_WinsAge)</f>
        <v>-4.5460549905434761E-3</v>
      </c>
      <c r="C14" s="82">
        <f>_xll.StatCorrelationCoeff( ST_JobSatisfaction,ST_WinsDistanceFromHome)</f>
        <v>-3.6688391677204219E-3</v>
      </c>
      <c r="D14" s="82">
        <f>_xll.StatCorrelationCoeff( ST_JobSatisfaction,ST_EnvironmentSatisfaction)</f>
        <v>-6.7843525990751901E-3</v>
      </c>
      <c r="E14" s="82">
        <f>_xll.StatCorrelationCoeff( ST_JobSatisfaction,ST_HourlyRate)</f>
        <v>-7.1334624373788513E-2</v>
      </c>
      <c r="F14" s="82">
        <f>_xll.StatCorrelationCoeff( ST_JobSatisfaction,ST_JobInvolvement)</f>
        <v>-2.1475910335307023E-2</v>
      </c>
      <c r="G14" s="82">
        <v>1</v>
      </c>
      <c r="H14" s="82"/>
      <c r="I14" s="82"/>
      <c r="J14" s="82"/>
      <c r="K14" s="82"/>
      <c r="L14" s="82"/>
      <c r="M14" s="82"/>
      <c r="N14" s="82"/>
      <c r="O14" s="82"/>
      <c r="P14" s="82"/>
      <c r="Q14" s="82"/>
      <c r="R14" s="82"/>
      <c r="S14" s="82"/>
      <c r="T14" s="82"/>
    </row>
    <row r="15" spans="1:20" ht="15" customHeight="1" x14ac:dyDescent="0.45">
      <c r="A15" s="18" t="s">
        <v>392</v>
      </c>
      <c r="B15" s="82">
        <f>_xll.StatCorrelationCoeff( ST_WinsMonthlyIncome,ST_WinsAge)</f>
        <v>0.49816862972267661</v>
      </c>
      <c r="C15" s="82">
        <f>_xll.StatCorrelationCoeff( ST_WinsMonthlyIncome,ST_WinsDistanceFromHome)</f>
        <v>-1.6837938968030021E-2</v>
      </c>
      <c r="D15" s="82">
        <f>_xll.StatCorrelationCoeff( ST_WinsMonthlyIncome,ST_EnvironmentSatisfaction)</f>
        <v>-6.2294391013363905E-3</v>
      </c>
      <c r="E15" s="82">
        <f>_xll.StatCorrelationCoeff( ST_WinsMonthlyIncome,ST_HourlyRate)</f>
        <v>-1.6072271653397183E-2</v>
      </c>
      <c r="F15" s="82">
        <f>_xll.StatCorrelationCoeff( ST_WinsMonthlyIncome,ST_JobInvolvement)</f>
        <v>-1.5199630840198569E-2</v>
      </c>
      <c r="G15" s="82">
        <f>_xll.StatCorrelationCoeff( ST_WinsMonthlyIncome,ST_JobSatisfaction)</f>
        <v>-6.8373948774884136E-3</v>
      </c>
      <c r="H15" s="82">
        <v>1</v>
      </c>
      <c r="I15" s="82"/>
      <c r="J15" s="82"/>
      <c r="K15" s="82"/>
      <c r="L15" s="82"/>
      <c r="M15" s="82"/>
      <c r="N15" s="82"/>
      <c r="O15" s="82"/>
      <c r="P15" s="82"/>
      <c r="Q15" s="82"/>
      <c r="R15" s="82"/>
      <c r="S15" s="82"/>
      <c r="T15" s="82"/>
    </row>
    <row r="16" spans="1:20" ht="15" customHeight="1" x14ac:dyDescent="0.45">
      <c r="A16" s="18" t="s">
        <v>37</v>
      </c>
      <c r="B16" s="82">
        <f>_xll.StatCorrelationCoeff( ST_NumCompaniesWorked,ST_WinsAge)</f>
        <v>0.29951132562076371</v>
      </c>
      <c r="C16" s="82">
        <f>_xll.StatCorrelationCoeff( ST_NumCompaniesWorked,ST_WinsDistanceFromHome)</f>
        <v>-2.9250804197292993E-2</v>
      </c>
      <c r="D16" s="82">
        <f>_xll.StatCorrelationCoeff( ST_NumCompaniesWorked,ST_EnvironmentSatisfaction)</f>
        <v>1.2594323218943299E-2</v>
      </c>
      <c r="E16" s="82">
        <f>_xll.StatCorrelationCoeff( ST_NumCompaniesWorked,ST_HourlyRate)</f>
        <v>2.2156883390196822E-2</v>
      </c>
      <c r="F16" s="82">
        <f>_xll.StatCorrelationCoeff( ST_NumCompaniesWorked,ST_JobInvolvement)</f>
        <v>1.5012413243110952E-2</v>
      </c>
      <c r="G16" s="82">
        <f>_xll.StatCorrelationCoeff( ST_NumCompaniesWorked,ST_JobSatisfaction)</f>
        <v>-5.5699426012746009E-2</v>
      </c>
      <c r="H16" s="82">
        <f>_xll.StatCorrelationCoeff( ST_NumCompaniesWorked,ST_WinsMonthlyIncome)</f>
        <v>0.1494616461750469</v>
      </c>
      <c r="I16" s="82">
        <v>1</v>
      </c>
      <c r="J16" s="82"/>
      <c r="K16" s="82"/>
      <c r="L16" s="82"/>
      <c r="M16" s="82"/>
      <c r="N16" s="82"/>
      <c r="O16" s="82"/>
      <c r="P16" s="82"/>
      <c r="Q16" s="82"/>
      <c r="R16" s="82"/>
      <c r="S16" s="82"/>
      <c r="T16" s="82"/>
    </row>
    <row r="17" spans="1:20" ht="15" customHeight="1" x14ac:dyDescent="0.45">
      <c r="A17" s="18" t="s">
        <v>40</v>
      </c>
      <c r="B17" s="82">
        <f>_xll.StatCorrelationCoeff( ST_PercentSalaryHike,ST_WinsAge)</f>
        <v>3.1705481538254186E-3</v>
      </c>
      <c r="C17" s="82">
        <f>_xll.StatCorrelationCoeff( ST_PercentSalaryHike,ST_WinsDistanceFromHome)</f>
        <v>4.023537745919304E-2</v>
      </c>
      <c r="D17" s="82">
        <f>_xll.StatCorrelationCoeff( ST_PercentSalaryHike,ST_EnvironmentSatisfaction)</f>
        <v>-3.170119524179215E-2</v>
      </c>
      <c r="E17" s="82">
        <f>_xll.StatCorrelationCoeff( ST_PercentSalaryHike,ST_HourlyRate)</f>
        <v>-9.061986253740115E-3</v>
      </c>
      <c r="F17" s="82">
        <f>_xll.StatCorrelationCoeff( ST_PercentSalaryHike,ST_JobInvolvement)</f>
        <v>-1.7204572244480576E-2</v>
      </c>
      <c r="G17" s="82">
        <f>_xll.StatCorrelationCoeff( ST_PercentSalaryHike,ST_JobSatisfaction)</f>
        <v>2.0002039364081937E-2</v>
      </c>
      <c r="H17" s="82">
        <f>_xll.StatCorrelationCoeff( ST_PercentSalaryHike,ST_WinsMonthlyIncome)</f>
        <v>-2.7365379694218865E-2</v>
      </c>
      <c r="I17" s="82">
        <f>_xll.StatCorrelationCoeff( ST_PercentSalaryHike,ST_NumCompaniesWorked)</f>
        <v>-1.0238309359925533E-2</v>
      </c>
      <c r="J17" s="82">
        <v>1</v>
      </c>
      <c r="K17" s="82"/>
      <c r="L17" s="82"/>
      <c r="M17" s="82"/>
      <c r="N17" s="82"/>
      <c r="O17" s="82"/>
      <c r="P17" s="82"/>
      <c r="Q17" s="82"/>
      <c r="R17" s="82"/>
      <c r="S17" s="82"/>
      <c r="T17" s="82"/>
    </row>
    <row r="18" spans="1:20" ht="15" customHeight="1" x14ac:dyDescent="0.45">
      <c r="A18" s="18" t="s">
        <v>41</v>
      </c>
      <c r="B18" s="82">
        <f>_xll.StatCorrelationCoeff( ST_PerformanceRating,ST_WinsAge)</f>
        <v>1.5092364996105558E-3</v>
      </c>
      <c r="C18" s="82">
        <f>_xll.StatCorrelationCoeff( ST_PerformanceRating,ST_WinsDistanceFromHome)</f>
        <v>2.7109618481976044E-2</v>
      </c>
      <c r="D18" s="82">
        <f>_xll.StatCorrelationCoeff( ST_PerformanceRating,ST_EnvironmentSatisfaction)</f>
        <v>-2.9547952297681361E-2</v>
      </c>
      <c r="E18" s="82">
        <f>_xll.StatCorrelationCoeff( ST_PerformanceRating,ST_HourlyRate)</f>
        <v>-2.171697427810218E-3</v>
      </c>
      <c r="F18" s="82">
        <f>_xll.StatCorrelationCoeff( ST_PerformanceRating,ST_JobInvolvement)</f>
        <v>-2.9071333439070115E-2</v>
      </c>
      <c r="G18" s="82">
        <f>_xll.StatCorrelationCoeff( ST_PerformanceRating,ST_JobSatisfaction)</f>
        <v>2.2971970637801426E-3</v>
      </c>
      <c r="H18" s="82">
        <f>_xll.StatCorrelationCoeff( ST_PerformanceRating,ST_WinsMonthlyIncome)</f>
        <v>-1.7138852426171799E-2</v>
      </c>
      <c r="I18" s="82">
        <f>_xll.StatCorrelationCoeff( ST_PerformanceRating,ST_NumCompaniesWorked)</f>
        <v>-1.4094872753535345E-2</v>
      </c>
      <c r="J18" s="82">
        <f>_xll.StatCorrelationCoeff( ST_PerformanceRating,ST_PercentSalaryHike)</f>
        <v>0.77354999640126676</v>
      </c>
      <c r="K18" s="82">
        <v>1</v>
      </c>
      <c r="L18" s="82"/>
      <c r="M18" s="82"/>
      <c r="N18" s="82"/>
      <c r="O18" s="82"/>
      <c r="P18" s="82"/>
      <c r="Q18" s="82"/>
      <c r="R18" s="82"/>
      <c r="S18" s="82"/>
      <c r="T18" s="82"/>
    </row>
    <row r="19" spans="1:20" ht="15" customHeight="1" x14ac:dyDescent="0.45">
      <c r="A19" s="18" t="s">
        <v>42</v>
      </c>
      <c r="B19" s="82">
        <f>_xll.StatCorrelationCoeff( ST_RelationshipSatisfaction,ST_WinsAge)</f>
        <v>5.3436838590635548E-2</v>
      </c>
      <c r="C19" s="82">
        <f>_xll.StatCorrelationCoeff( ST_RelationshipSatisfaction,ST_WinsDistanceFromHome)</f>
        <v>6.5574746465787122E-3</v>
      </c>
      <c r="D19" s="82">
        <f>_xll.StatCorrelationCoeff( ST_RelationshipSatisfaction,ST_EnvironmentSatisfaction)</f>
        <v>7.6653835410744765E-3</v>
      </c>
      <c r="E19" s="82">
        <f>_xll.StatCorrelationCoeff( ST_RelationshipSatisfaction,ST_HourlyRate)</f>
        <v>1.3304527859505609E-3</v>
      </c>
      <c r="F19" s="82">
        <f>_xll.StatCorrelationCoeff( ST_RelationshipSatisfaction,ST_JobInvolvement)</f>
        <v>3.4296820611197272E-2</v>
      </c>
      <c r="G19" s="82">
        <f>_xll.StatCorrelationCoeff( ST_RelationshipSatisfaction,ST_JobSatisfaction)</f>
        <v>-1.2453593161926875E-2</v>
      </c>
      <c r="H19" s="82">
        <f>_xll.StatCorrelationCoeff( ST_RelationshipSatisfaction,ST_WinsMonthlyIncome)</f>
        <v>2.6248043383924509E-2</v>
      </c>
      <c r="I19" s="82">
        <f>_xll.StatCorrelationCoeff( ST_RelationshipSatisfaction,ST_NumCompaniesWorked)</f>
        <v>5.2733048564885469E-2</v>
      </c>
      <c r="J19" s="82">
        <f>_xll.StatCorrelationCoeff( ST_RelationshipSatisfaction,ST_PercentSalaryHike)</f>
        <v>-4.0490081057077104E-2</v>
      </c>
      <c r="K19" s="82">
        <f>_xll.StatCorrelationCoeff( ST_RelationshipSatisfaction,ST_PerformanceRating)</f>
        <v>-3.1351455442454927E-2</v>
      </c>
      <c r="L19" s="82">
        <v>1</v>
      </c>
      <c r="M19" s="82"/>
      <c r="N19" s="82"/>
      <c r="O19" s="82"/>
      <c r="P19" s="82"/>
      <c r="Q19" s="82"/>
      <c r="R19" s="82"/>
      <c r="S19" s="82"/>
      <c r="T19" s="82"/>
    </row>
    <row r="20" spans="1:20" ht="15" customHeight="1" x14ac:dyDescent="0.45">
      <c r="A20" s="18" t="s">
        <v>43</v>
      </c>
      <c r="B20" s="82">
        <f>_xll.StatCorrelationCoeff( ST_StockOptionLevel,ST_WinsAge)</f>
        <v>3.7511110839420776E-2</v>
      </c>
      <c r="C20" s="82">
        <f>_xll.StatCorrelationCoeff( ST_StockOptionLevel,ST_WinsDistanceFromHome)</f>
        <v>4.4871998853181376E-2</v>
      </c>
      <c r="D20" s="82">
        <f>_xll.StatCorrelationCoeff( ST_StockOptionLevel,ST_EnvironmentSatisfaction)</f>
        <v>3.4321577550576604E-3</v>
      </c>
      <c r="E20" s="82">
        <f>_xll.StatCorrelationCoeff( ST_StockOptionLevel,ST_HourlyRate)</f>
        <v>5.0263399065119785E-2</v>
      </c>
      <c r="F20" s="82">
        <f>_xll.StatCorrelationCoeff( ST_StockOptionLevel,ST_JobInvolvement)</f>
        <v>2.1522640378023941E-2</v>
      </c>
      <c r="G20" s="82">
        <f>_xll.StatCorrelationCoeff( ST_StockOptionLevel,ST_JobSatisfaction)</f>
        <v>1.069022612075585E-2</v>
      </c>
      <c r="H20" s="82">
        <f>_xll.StatCorrelationCoeff( ST_StockOptionLevel,ST_WinsMonthlyIncome)</f>
        <v>5.1609963858919305E-3</v>
      </c>
      <c r="I20" s="82">
        <f>_xll.StatCorrelationCoeff( ST_StockOptionLevel,ST_NumCompaniesWorked)</f>
        <v>3.0075475096897532E-2</v>
      </c>
      <c r="J20" s="82">
        <f>_xll.StatCorrelationCoeff( ST_StockOptionLevel,ST_PercentSalaryHike)</f>
        <v>7.527747820520239E-3</v>
      </c>
      <c r="K20" s="82">
        <f>_xll.StatCorrelationCoeff( ST_StockOptionLevel,ST_PerformanceRating)</f>
        <v>3.5064716148099253E-3</v>
      </c>
      <c r="L20" s="82">
        <f>_xll.StatCorrelationCoeff( ST_StockOptionLevel,ST_RelationshipSatisfaction)</f>
        <v>-4.5952490716560969E-2</v>
      </c>
      <c r="M20" s="82">
        <v>1</v>
      </c>
      <c r="N20" s="82"/>
      <c r="O20" s="82"/>
      <c r="P20" s="82"/>
      <c r="Q20" s="82"/>
      <c r="R20" s="82"/>
      <c r="S20" s="82"/>
      <c r="T20" s="82"/>
    </row>
    <row r="21" spans="1:20" ht="15" customHeight="1" x14ac:dyDescent="0.45">
      <c r="A21" s="18" t="s">
        <v>395</v>
      </c>
      <c r="B21" s="82">
        <f>_xll.StatCorrelationCoeff( ST_WinsTotalWorkingYears,ST_WinsAge)</f>
        <v>0.68029193703986168</v>
      </c>
      <c r="C21" s="82">
        <f>_xll.StatCorrelationCoeff( ST_WinsTotalWorkingYears,ST_WinsDistanceFromHome)</f>
        <v>4.0834047647055676E-3</v>
      </c>
      <c r="D21" s="82">
        <f>_xll.StatCorrelationCoeff( ST_WinsTotalWorkingYears,ST_EnvironmentSatisfaction)</f>
        <v>-4.0463960708133507E-3</v>
      </c>
      <c r="E21" s="82">
        <f>_xll.StatCorrelationCoeff( ST_WinsTotalWorkingYears,ST_HourlyRate)</f>
        <v>-2.1497170615321017E-3</v>
      </c>
      <c r="F21" s="82">
        <f>_xll.StatCorrelationCoeff( ST_WinsTotalWorkingYears,ST_JobInvolvement)</f>
        <v>-5.8716007492799439E-3</v>
      </c>
      <c r="G21" s="82">
        <f>_xll.StatCorrelationCoeff( ST_WinsTotalWorkingYears,ST_JobSatisfaction)</f>
        <v>-1.9756062061315995E-2</v>
      </c>
      <c r="H21" s="82">
        <f>_xll.StatCorrelationCoeff( ST_WinsTotalWorkingYears,ST_WinsMonthlyIncome)</f>
        <v>0.77425128688054923</v>
      </c>
      <c r="I21" s="82">
        <f>_xll.StatCorrelationCoeff( ST_WinsTotalWorkingYears,ST_NumCompaniesWorked)</f>
        <v>0.23846466654778478</v>
      </c>
      <c r="J21" s="82">
        <f>_xll.StatCorrelationCoeff( ST_WinsTotalWorkingYears,ST_PercentSalaryHike)</f>
        <v>-2.0763694465666845E-2</v>
      </c>
      <c r="K21" s="82">
        <f>_xll.StatCorrelationCoeff( ST_WinsTotalWorkingYears,ST_PerformanceRating)</f>
        <v>5.9389265346408192E-3</v>
      </c>
      <c r="L21" s="82">
        <f>_xll.StatCorrelationCoeff( ST_WinsTotalWorkingYears,ST_RelationshipSatisfaction)</f>
        <v>2.3489300610472334E-2</v>
      </c>
      <c r="M21" s="82">
        <f>_xll.StatCorrelationCoeff( ST_WinsTotalWorkingYears,ST_StockOptionLevel)</f>
        <v>1.0611932079119948E-2</v>
      </c>
      <c r="N21" s="82">
        <v>1</v>
      </c>
      <c r="O21" s="82"/>
      <c r="P21" s="82"/>
      <c r="Q21" s="82"/>
      <c r="R21" s="82"/>
      <c r="S21" s="82"/>
      <c r="T21" s="82"/>
    </row>
    <row r="22" spans="1:20" ht="15" customHeight="1" x14ac:dyDescent="0.45">
      <c r="A22" s="18" t="s">
        <v>45</v>
      </c>
      <c r="B22" s="82">
        <f>_xll.StatCorrelationCoeff( ST_TrainingTimesLastYear,ST_WinsAge)</f>
        <v>-2.0194782755927541E-2</v>
      </c>
      <c r="C22" s="82">
        <f>_xll.StatCorrelationCoeff( ST_TrainingTimesLastYear,ST_WinsDistanceFromHome)</f>
        <v>-3.6942234339916002E-2</v>
      </c>
      <c r="D22" s="82">
        <f>_xll.StatCorrelationCoeff( ST_TrainingTimesLastYear,ST_EnvironmentSatisfaction)</f>
        <v>-1.9359308347132335E-2</v>
      </c>
      <c r="E22" s="82">
        <f>_xll.StatCorrelationCoeff( ST_TrainingTimesLastYear,ST_HourlyRate)</f>
        <v>-8.547685209270621E-3</v>
      </c>
      <c r="F22" s="82">
        <f>_xll.StatCorrelationCoeff( ST_TrainingTimesLastYear,ST_JobInvolvement)</f>
        <v>-1.5337825759428996E-2</v>
      </c>
      <c r="G22" s="82">
        <f>_xll.StatCorrelationCoeff( ST_TrainingTimesLastYear,ST_JobSatisfaction)</f>
        <v>-5.7793349586090573E-3</v>
      </c>
      <c r="H22" s="82">
        <f>_xll.StatCorrelationCoeff( ST_TrainingTimesLastYear,ST_WinsMonthlyIncome)</f>
        <v>-2.1704931620881426E-2</v>
      </c>
      <c r="I22" s="82">
        <f>_xll.StatCorrelationCoeff( ST_TrainingTimesLastYear,ST_NumCompaniesWorked)</f>
        <v>-6.6054071727836325E-2</v>
      </c>
      <c r="J22" s="82">
        <f>_xll.StatCorrelationCoeff( ST_TrainingTimesLastYear,ST_PercentSalaryHike)</f>
        <v>-5.2210123517209888E-3</v>
      </c>
      <c r="K22" s="82">
        <f>_xll.StatCorrelationCoeff( ST_TrainingTimesLastYear,ST_PerformanceRating)</f>
        <v>-1.5578881739137221E-2</v>
      </c>
      <c r="L22" s="82">
        <f>_xll.StatCorrelationCoeff( ST_TrainingTimesLastYear,ST_RelationshipSatisfaction)</f>
        <v>2.4965263921170973E-3</v>
      </c>
      <c r="M22" s="82">
        <f>_xll.StatCorrelationCoeff( ST_TrainingTimesLastYear,ST_StockOptionLevel)</f>
        <v>1.1274069611249011E-2</v>
      </c>
      <c r="N22" s="82">
        <f>_xll.StatCorrelationCoeff( ST_TrainingTimesLastYear,ST_WinsTotalWorkingYears)</f>
        <v>-3.469995604321393E-2</v>
      </c>
      <c r="O22" s="82">
        <v>1</v>
      </c>
      <c r="P22" s="82"/>
      <c r="Q22" s="82"/>
      <c r="R22" s="82"/>
      <c r="S22" s="82"/>
      <c r="T22" s="82"/>
    </row>
    <row r="23" spans="1:20" ht="15" customHeight="1" x14ac:dyDescent="0.45">
      <c r="A23" s="18" t="s">
        <v>46</v>
      </c>
      <c r="B23" s="82">
        <f>_xll.StatCorrelationCoeff( ST_WorkLifeBalance,ST_WinsAge)</f>
        <v>-2.124995861315334E-2</v>
      </c>
      <c r="C23" s="82">
        <f>_xll.StatCorrelationCoeff( ST_WorkLifeBalance,ST_WinsDistanceFromHome)</f>
        <v>-2.6556004106568967E-2</v>
      </c>
      <c r="D23" s="82">
        <f>_xll.StatCorrelationCoeff( ST_WorkLifeBalance,ST_EnvironmentSatisfaction)</f>
        <v>2.7627295460115407E-2</v>
      </c>
      <c r="E23" s="82">
        <f>_xll.StatCorrelationCoeff( ST_WorkLifeBalance,ST_HourlyRate)</f>
        <v>-4.6072337502644353E-3</v>
      </c>
      <c r="F23" s="82">
        <f>_xll.StatCorrelationCoeff( ST_WorkLifeBalance,ST_JobInvolvement)</f>
        <v>-1.4616593162761338E-2</v>
      </c>
      <c r="G23" s="82">
        <f>_xll.StatCorrelationCoeff( ST_WorkLifeBalance,ST_JobSatisfaction)</f>
        <v>-1.9458710212974534E-2</v>
      </c>
      <c r="H23" s="82">
        <f>_xll.StatCorrelationCoeff( ST_WorkLifeBalance,ST_WinsMonthlyIncome)</f>
        <v>3.0736781238047912E-2</v>
      </c>
      <c r="I23" s="82">
        <f>_xll.StatCorrelationCoeff( ST_WorkLifeBalance,ST_NumCompaniesWorked)</f>
        <v>-8.3656847900586574E-3</v>
      </c>
      <c r="J23" s="82">
        <f>_xll.StatCorrelationCoeff( ST_WorkLifeBalance,ST_PercentSalaryHike)</f>
        <v>-3.2796360093679377E-3</v>
      </c>
      <c r="K23" s="82">
        <f>_xll.StatCorrelationCoeff( ST_WorkLifeBalance,ST_PerformanceRating)</f>
        <v>2.5723613176823249E-3</v>
      </c>
      <c r="L23" s="82">
        <f>_xll.StatCorrelationCoeff( ST_WorkLifeBalance,ST_RelationshipSatisfaction)</f>
        <v>1.9604405703968618E-2</v>
      </c>
      <c r="M23" s="82">
        <f>_xll.StatCorrelationCoeff( ST_WorkLifeBalance,ST_StockOptionLevel)</f>
        <v>4.1287300028718223E-3</v>
      </c>
      <c r="N23" s="82">
        <f>_xll.StatCorrelationCoeff( ST_WorkLifeBalance,ST_WinsTotalWorkingYears)</f>
        <v>1.914046987436691E-3</v>
      </c>
      <c r="O23" s="82">
        <f>_xll.StatCorrelationCoeff( ST_WorkLifeBalance,ST_TrainingTimesLastYear)</f>
        <v>2.8072206603628899E-2</v>
      </c>
      <c r="P23" s="82">
        <v>1</v>
      </c>
      <c r="Q23" s="82"/>
      <c r="R23" s="82"/>
      <c r="S23" s="82"/>
      <c r="T23" s="82"/>
    </row>
    <row r="24" spans="1:20" ht="15" customHeight="1" x14ac:dyDescent="0.45">
      <c r="A24" s="18" t="s">
        <v>396</v>
      </c>
      <c r="B24" s="82">
        <f>_xll.StatCorrelationCoeff( ST_WinsYearsAtCompany,ST_WinsAge)</f>
        <v>0.30851390576060622</v>
      </c>
      <c r="C24" s="82">
        <f>_xll.StatCorrelationCoeff( ST_WinsYearsAtCompany,ST_WinsDistanceFromHome)</f>
        <v>8.3423867470957588E-3</v>
      </c>
      <c r="D24" s="82">
        <f>_xll.StatCorrelationCoeff( ST_WinsYearsAtCompany,ST_EnvironmentSatisfaction)</f>
        <v>-1.1479327435263741E-3</v>
      </c>
      <c r="E24" s="82">
        <f>_xll.StatCorrelationCoeff( ST_WinsYearsAtCompany,ST_HourlyRate)</f>
        <v>-2.0504978600611255E-2</v>
      </c>
      <c r="F24" s="82">
        <f>_xll.StatCorrelationCoeff( ST_WinsYearsAtCompany,ST_JobInvolvement)</f>
        <v>-2.0365713446661486E-2</v>
      </c>
      <c r="G24" s="82">
        <f>_xll.StatCorrelationCoeff( ST_WinsYearsAtCompany,ST_JobSatisfaction)</f>
        <v>-4.7151955243496246E-3</v>
      </c>
      <c r="H24" s="82">
        <f>_xll.StatCorrelationCoeff( ST_WinsYearsAtCompany,ST_WinsMonthlyIncome)</f>
        <v>0.51575130074499187</v>
      </c>
      <c r="I24" s="82">
        <f>_xll.StatCorrelationCoeff( ST_WinsYearsAtCompany,ST_NumCompaniesWorked)</f>
        <v>-0.11698871475727746</v>
      </c>
      <c r="J24" s="82">
        <f>_xll.StatCorrelationCoeff( ST_WinsYearsAtCompany,ST_PercentSalaryHike)</f>
        <v>-3.5401033971798224E-2</v>
      </c>
      <c r="K24" s="82">
        <f>_xll.StatCorrelationCoeff( ST_WinsYearsAtCompany,ST_PerformanceRating)</f>
        <v>3.9142034207804337E-3</v>
      </c>
      <c r="L24" s="82">
        <f>_xll.StatCorrelationCoeff( ST_WinsYearsAtCompany,ST_RelationshipSatisfaction)</f>
        <v>1.8417196584389815E-2</v>
      </c>
      <c r="M24" s="82">
        <f>_xll.StatCorrelationCoeff( ST_WinsYearsAtCompany,ST_StockOptionLevel)</f>
        <v>1.650038170691237E-2</v>
      </c>
      <c r="N24" s="82">
        <f>_xll.StatCorrelationCoeff( ST_WinsYearsAtCompany,ST_WinsTotalWorkingYears)</f>
        <v>0.624174377685349</v>
      </c>
      <c r="O24" s="82">
        <f>_xll.StatCorrelationCoeff( ST_WinsYearsAtCompany,ST_TrainingTimesLastYear)</f>
        <v>4.4122619420450355E-3</v>
      </c>
      <c r="P24" s="82">
        <f>_xll.StatCorrelationCoeff( ST_WinsYearsAtCompany,ST_WorkLifeBalance)</f>
        <v>1.2367771749154472E-2</v>
      </c>
      <c r="Q24" s="82">
        <v>1</v>
      </c>
      <c r="R24" s="82"/>
      <c r="S24" s="82"/>
      <c r="T24" s="82"/>
    </row>
    <row r="25" spans="1:20" ht="15" customHeight="1" x14ac:dyDescent="0.45">
      <c r="A25" s="18" t="s">
        <v>48</v>
      </c>
      <c r="B25" s="82">
        <f>_xll.StatCorrelationCoeff( ST_YearsInCurrentRole,ST_WinsAge)</f>
        <v>0.21280227631711476</v>
      </c>
      <c r="C25" s="82">
        <f>_xll.StatCorrelationCoeff( ST_YearsInCurrentRole,ST_WinsDistanceFromHome)</f>
        <v>1.884499910894567E-2</v>
      </c>
      <c r="D25" s="82">
        <f>_xll.StatCorrelationCoeff( ST_YearsInCurrentRole,ST_EnvironmentSatisfaction)</f>
        <v>1.8007460142878566E-2</v>
      </c>
      <c r="E25" s="82">
        <f>_xll.StatCorrelationCoeff( ST_YearsInCurrentRole,ST_HourlyRate)</f>
        <v>-2.4106220208784862E-2</v>
      </c>
      <c r="F25" s="82">
        <f>_xll.StatCorrelationCoeff( ST_YearsInCurrentRole,ST_JobInvolvement)</f>
        <v>8.71696349761171E-3</v>
      </c>
      <c r="G25" s="82">
        <f>_xll.StatCorrelationCoeff( ST_YearsInCurrentRole,ST_JobSatisfaction)</f>
        <v>-2.3047852298301056E-3</v>
      </c>
      <c r="H25" s="82">
        <f>_xll.StatCorrelationCoeff( ST_YearsInCurrentRole,ST_WinsMonthlyIncome)</f>
        <v>0.36332768064300874</v>
      </c>
      <c r="I25" s="82">
        <f>_xll.StatCorrelationCoeff( ST_YearsInCurrentRole,ST_NumCompaniesWorked)</f>
        <v>-9.0753933700808184E-2</v>
      </c>
      <c r="J25" s="82">
        <f>_xll.StatCorrelationCoeff( ST_YearsInCurrentRole,ST_PercentSalaryHike)</f>
        <v>-1.5200265442777388E-3</v>
      </c>
      <c r="K25" s="82">
        <f>_xll.StatCorrelationCoeff( ST_YearsInCurrentRole,ST_PerformanceRating)</f>
        <v>3.4986260407194728E-2</v>
      </c>
      <c r="L25" s="82">
        <f>_xll.StatCorrelationCoeff( ST_YearsInCurrentRole,ST_RelationshipSatisfaction)</f>
        <v>-1.5122914881937522E-2</v>
      </c>
      <c r="M25" s="82">
        <f>_xll.StatCorrelationCoeff( ST_YearsInCurrentRole,ST_StockOptionLevel)</f>
        <v>5.0817872753931077E-2</v>
      </c>
      <c r="N25" s="82">
        <f>_xll.StatCorrelationCoeff( ST_YearsInCurrentRole,ST_WinsTotalWorkingYears)</f>
        <v>0.4597032704283579</v>
      </c>
      <c r="O25" s="82">
        <f>_xll.StatCorrelationCoeff( ST_YearsInCurrentRole,ST_TrainingTimesLastYear)</f>
        <v>-5.7375043379569004E-3</v>
      </c>
      <c r="P25" s="82">
        <f>_xll.StatCorrelationCoeff( ST_YearsInCurrentRole,ST_WorkLifeBalance)</f>
        <v>4.9856497922204118E-2</v>
      </c>
      <c r="Q25" s="82">
        <f>_xll.StatCorrelationCoeff( ST_YearsInCurrentRole,ST_WinsYearsAtCompany)</f>
        <v>0.76787641619316704</v>
      </c>
      <c r="R25" s="82">
        <v>1</v>
      </c>
      <c r="S25" s="82"/>
      <c r="T25" s="82"/>
    </row>
    <row r="26" spans="1:20" ht="15" customHeight="1" x14ac:dyDescent="0.45">
      <c r="A26" s="18" t="s">
        <v>518</v>
      </c>
      <c r="B26" s="82">
        <f>_xll.StatCorrelationCoeff( ST_WinYearsSinceLastPromotion,ST_WinsAge)</f>
        <v>0.21523327569956541</v>
      </c>
      <c r="C26" s="82">
        <f>_xll.StatCorrelationCoeff( ST_WinYearsSinceLastPromotion,ST_WinsDistanceFromHome)</f>
        <v>9.5696402196410128E-3</v>
      </c>
      <c r="D26" s="82">
        <f>_xll.StatCorrelationCoeff( ST_WinYearsSinceLastPromotion,ST_EnvironmentSatisfaction)</f>
        <v>1.6245792562038459E-2</v>
      </c>
      <c r="E26" s="82">
        <f>_xll.StatCorrelationCoeff( ST_WinYearsSinceLastPromotion,ST_HourlyRate)</f>
        <v>-2.7088877078523248E-2</v>
      </c>
      <c r="F26" s="82">
        <f>_xll.StatCorrelationCoeff( ST_WinYearsSinceLastPromotion,ST_JobInvolvement)</f>
        <v>-2.4295454964617602E-2</v>
      </c>
      <c r="G26" s="82">
        <f>_xll.StatCorrelationCoeff( ST_WinYearsSinceLastPromotion,ST_JobSatisfaction)</f>
        <v>-1.7735771673591107E-2</v>
      </c>
      <c r="H26" s="82">
        <f>_xll.StatCorrelationCoeff( ST_WinYearsSinceLastPromotion,ST_WinsMonthlyIncome)</f>
        <v>0.3438945723656327</v>
      </c>
      <c r="I26" s="82">
        <f>_xll.StatCorrelationCoeff( ST_WinYearsSinceLastPromotion,ST_NumCompaniesWorked)</f>
        <v>-3.7632860574056626E-2</v>
      </c>
      <c r="J26" s="82">
        <f>_xll.StatCorrelationCoeff( ST_WinYearsSinceLastPromotion,ST_PercentSalaryHike)</f>
        <v>-2.2581699767657244E-2</v>
      </c>
      <c r="K26" s="82">
        <f>_xll.StatCorrelationCoeff( ST_WinYearsSinceLastPromotion,ST_PerformanceRating)</f>
        <v>1.8086118875305805E-2</v>
      </c>
      <c r="L26" s="82">
        <f>_xll.StatCorrelationCoeff( ST_WinYearsSinceLastPromotion,ST_RelationshipSatisfaction)</f>
        <v>3.2913542780171098E-2</v>
      </c>
      <c r="M26" s="82">
        <f>_xll.StatCorrelationCoeff( ST_WinYearsSinceLastPromotion,ST_StockOptionLevel)</f>
        <v>1.4585531467837004E-2</v>
      </c>
      <c r="N26" s="82">
        <f>_xll.StatCorrelationCoeff( ST_WinYearsSinceLastPromotion,ST_WinsTotalWorkingYears)</f>
        <v>0.40242414061868631</v>
      </c>
      <c r="O26" s="82">
        <f>_xll.StatCorrelationCoeff( ST_WinYearsSinceLastPromotion,ST_TrainingTimesLastYear)</f>
        <v>-1.0302060566362166E-3</v>
      </c>
      <c r="P26" s="82">
        <f>_xll.StatCorrelationCoeff( ST_WinYearsSinceLastPromotion,ST_WorkLifeBalance)</f>
        <v>7.4941165444419615E-3</v>
      </c>
      <c r="Q26" s="82">
        <f>_xll.StatCorrelationCoeff( ST_WinYearsSinceLastPromotion,ST_WinsYearsAtCompany)</f>
        <v>0.62303019985014552</v>
      </c>
      <c r="R26" s="82">
        <f>_xll.StatCorrelationCoeff( ST_WinYearsSinceLastPromotion,ST_YearsInCurrentRole)</f>
        <v>0.54800725270437423</v>
      </c>
      <c r="S26" s="82">
        <v>1</v>
      </c>
      <c r="T26" s="82"/>
    </row>
    <row r="27" spans="1:20" ht="15" customHeight="1" x14ac:dyDescent="0.45">
      <c r="A27" s="18" t="s">
        <v>394</v>
      </c>
      <c r="B27" s="82">
        <f>_xll.StatCorrelationCoeff( ST_WinsYearsWithCurrentMgr,ST_WinsAge)</f>
        <v>0.20102304599099435</v>
      </c>
      <c r="C27" s="82">
        <f>_xll.StatCorrelationCoeff( ST_WinsYearsWithCurrentMgr,ST_WinsDistanceFromHome)</f>
        <v>1.1885477421879126E-2</v>
      </c>
      <c r="D27" s="82">
        <f>_xll.StatCorrelationCoeff( ST_WinsYearsWithCurrentMgr,ST_EnvironmentSatisfaction)</f>
        <v>-6.04101870933602E-3</v>
      </c>
      <c r="E27" s="82">
        <f>_xll.StatCorrelationCoeff( ST_WinsYearsWithCurrentMgr,ST_HourlyRate)</f>
        <v>-1.7848417234894144E-2</v>
      </c>
      <c r="F27" s="82">
        <f>_xll.StatCorrelationCoeff( ST_WinsYearsWithCurrentMgr,ST_JobInvolvement)</f>
        <v>2.6425537876273733E-2</v>
      </c>
      <c r="G27" s="82">
        <f>_xll.StatCorrelationCoeff( ST_WinsYearsWithCurrentMgr,ST_JobSatisfaction)</f>
        <v>-2.642815947097581E-2</v>
      </c>
      <c r="H27" s="82">
        <f>_xll.StatCorrelationCoeff( ST_WinsYearsWithCurrentMgr,ST_WinsMonthlyIncome)</f>
        <v>0.34438806309810016</v>
      </c>
      <c r="I27" s="82">
        <f>_xll.StatCorrelationCoeff( ST_WinsYearsWithCurrentMgr,ST_NumCompaniesWorked)</f>
        <v>-0.11197447051723766</v>
      </c>
      <c r="J27" s="82">
        <f>_xll.StatCorrelationCoeff( ST_WinsYearsWithCurrentMgr,ST_PercentSalaryHike)</f>
        <v>-1.0916391403553511E-2</v>
      </c>
      <c r="K27" s="82">
        <f>_xll.StatCorrelationCoeff( ST_WinsYearsWithCurrentMgr,ST_PerformanceRating)</f>
        <v>2.357653988718211E-2</v>
      </c>
      <c r="L27" s="82">
        <f>_xll.StatCorrelationCoeff( ST_WinsYearsWithCurrentMgr,ST_RelationshipSatisfaction)</f>
        <v>-1.7159181964528567E-3</v>
      </c>
      <c r="M27" s="82">
        <f>_xll.StatCorrelationCoeff( ST_WinsYearsWithCurrentMgr,ST_StockOptionLevel)</f>
        <v>2.6934597712454118E-2</v>
      </c>
      <c r="N27" s="82">
        <f>_xll.StatCorrelationCoeff( ST_WinsYearsWithCurrentMgr,ST_WinsTotalWorkingYears)</f>
        <v>0.45871535029232624</v>
      </c>
      <c r="O27" s="82">
        <f>_xll.StatCorrelationCoeff( ST_WinsYearsWithCurrentMgr,ST_TrainingTimesLastYear)</f>
        <v>-3.7218103656973755E-3</v>
      </c>
      <c r="P27" s="82">
        <f>_xll.StatCorrelationCoeff( ST_WinsYearsWithCurrentMgr,ST_WorkLifeBalance)</f>
        <v>8.4019024184849326E-4</v>
      </c>
      <c r="Q27" s="82">
        <f>_xll.StatCorrelationCoeff( ST_WinsYearsWithCurrentMgr,ST_WinsYearsAtCompany)</f>
        <v>0.77904654910784421</v>
      </c>
      <c r="R27" s="82">
        <f>_xll.StatCorrelationCoeff( ST_WinsYearsWithCurrentMgr,ST_YearsInCurrentRole)</f>
        <v>0.71998507248364618</v>
      </c>
      <c r="S27" s="82">
        <f>_xll.StatCorrelationCoeff( ST_WinsYearsWithCurrentMgr,ST_WinYearsSinceLastPromotion)</f>
        <v>0.51070235060756042</v>
      </c>
      <c r="T27" s="82">
        <v>1</v>
      </c>
    </row>
  </sheetData>
  <conditionalFormatting sqref="A9:XF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83854-042A-4951-ACA6-D2225A4005C8}">
  <dimension ref="A1:AS52"/>
  <sheetViews>
    <sheetView showGridLines="0" zoomScale="50" zoomScaleNormal="50" workbookViewId="0">
      <pane xSplit="1" ySplit="37" topLeftCell="B38" activePane="bottomRight" state="frozenSplit"/>
      <selection pane="topRight" activeCell="B1" sqref="B1"/>
      <selection pane="bottomLeft" activeCell="A38" sqref="A38"/>
      <selection pane="bottomRight" activeCell="J19" sqref="J19"/>
    </sheetView>
  </sheetViews>
  <sheetFormatPr defaultColWidth="12.59765625" defaultRowHeight="14.25" x14ac:dyDescent="0.45"/>
  <cols>
    <col min="1" max="1" width="19" bestFit="1" customWidth="1"/>
    <col min="2" max="45" width="23.53125" bestFit="1" customWidth="1"/>
  </cols>
  <sheetData>
    <row r="1" spans="1:45" s="32" customFormat="1" ht="18" x14ac:dyDescent="0.55000000000000004">
      <c r="A1" s="30" t="s">
        <v>413</v>
      </c>
      <c r="B1" s="31"/>
    </row>
    <row r="2" spans="1:45" s="32" customFormat="1" ht="10.5" x14ac:dyDescent="0.35">
      <c r="A2" s="33" t="s">
        <v>414</v>
      </c>
      <c r="B2" s="31" t="s">
        <v>690</v>
      </c>
    </row>
    <row r="3" spans="1:45" s="32" customFormat="1" ht="10.5" x14ac:dyDescent="0.35">
      <c r="A3" s="33" t="s">
        <v>416</v>
      </c>
      <c r="B3" s="31" t="s">
        <v>687</v>
      </c>
    </row>
    <row r="4" spans="1:45" s="32" customFormat="1" ht="10.5" x14ac:dyDescent="0.35">
      <c r="A4" s="33" t="s">
        <v>418</v>
      </c>
      <c r="B4" s="31" t="s">
        <v>688</v>
      </c>
    </row>
    <row r="5" spans="1:45" s="36" customFormat="1" ht="10.5" x14ac:dyDescent="0.35">
      <c r="A5" s="34" t="s">
        <v>420</v>
      </c>
      <c r="B5" s="35" t="s">
        <v>691</v>
      </c>
    </row>
    <row r="7" spans="1:45" ht="15" customHeight="1" x14ac:dyDescent="0.45">
      <c r="A7" s="19"/>
      <c r="B7" s="40" t="s">
        <v>398</v>
      </c>
      <c r="C7" s="40" t="s">
        <v>2</v>
      </c>
      <c r="D7" s="40" t="s">
        <v>4</v>
      </c>
      <c r="E7" s="40" t="s">
        <v>5</v>
      </c>
      <c r="F7" s="40" t="s">
        <v>7</v>
      </c>
      <c r="G7" s="40" t="s">
        <v>8</v>
      </c>
      <c r="H7" s="40" t="s">
        <v>397</v>
      </c>
      <c r="I7" s="40" t="s">
        <v>10</v>
      </c>
      <c r="J7" s="40" t="s">
        <v>12</v>
      </c>
      <c r="K7" s="40" t="s">
        <v>13</v>
      </c>
      <c r="L7" s="40" t="s">
        <v>14</v>
      </c>
      <c r="M7" s="40" t="s">
        <v>15</v>
      </c>
      <c r="N7" s="40" t="s">
        <v>16</v>
      </c>
      <c r="O7" s="40" t="s">
        <v>17</v>
      </c>
      <c r="P7" s="40" t="s">
        <v>19</v>
      </c>
      <c r="Q7" s="40" t="s">
        <v>20</v>
      </c>
      <c r="R7" s="40" t="s">
        <v>21</v>
      </c>
      <c r="S7" s="40" t="s">
        <v>22</v>
      </c>
      <c r="T7" s="40" t="s">
        <v>24</v>
      </c>
      <c r="U7" s="40" t="s">
        <v>25</v>
      </c>
      <c r="V7" s="40" t="s">
        <v>26</v>
      </c>
      <c r="W7" s="40" t="s">
        <v>27</v>
      </c>
      <c r="X7" s="40" t="s">
        <v>28</v>
      </c>
      <c r="Y7" s="40" t="s">
        <v>29</v>
      </c>
      <c r="Z7" s="40" t="s">
        <v>30</v>
      </c>
      <c r="AA7" s="40" t="s">
        <v>31</v>
      </c>
      <c r="AB7" s="40" t="s">
        <v>32</v>
      </c>
      <c r="AC7" s="40" t="s">
        <v>34</v>
      </c>
      <c r="AD7" s="40" t="s">
        <v>35</v>
      </c>
      <c r="AE7" s="40" t="s">
        <v>392</v>
      </c>
      <c r="AF7" s="40" t="s">
        <v>37</v>
      </c>
      <c r="AG7" s="40" t="s">
        <v>39</v>
      </c>
      <c r="AH7" s="40" t="s">
        <v>40</v>
      </c>
      <c r="AI7" s="40" t="s">
        <v>41</v>
      </c>
      <c r="AJ7" s="40" t="s">
        <v>42</v>
      </c>
      <c r="AK7" s="40" t="s">
        <v>43</v>
      </c>
      <c r="AL7" s="40" t="s">
        <v>395</v>
      </c>
      <c r="AM7" s="40" t="s">
        <v>45</v>
      </c>
      <c r="AN7" s="40" t="s">
        <v>46</v>
      </c>
      <c r="AO7" s="40" t="s">
        <v>396</v>
      </c>
      <c r="AP7" s="40" t="s">
        <v>48</v>
      </c>
      <c r="AQ7" s="40" t="s">
        <v>518</v>
      </c>
      <c r="AR7" s="40" t="s">
        <v>394</v>
      </c>
      <c r="AS7" s="40" t="s">
        <v>517</v>
      </c>
    </row>
    <row r="8" spans="1:45" ht="15" customHeight="1" thickBot="1" x14ac:dyDescent="0.5">
      <c r="A8" s="20" t="s">
        <v>692</v>
      </c>
      <c r="B8" s="17" t="s">
        <v>598</v>
      </c>
      <c r="C8" s="17" t="s">
        <v>598</v>
      </c>
      <c r="D8" s="17" t="s">
        <v>598</v>
      </c>
      <c r="E8" s="17" t="s">
        <v>598</v>
      </c>
      <c r="F8" s="17" t="s">
        <v>598</v>
      </c>
      <c r="G8" s="17" t="s">
        <v>598</v>
      </c>
      <c r="H8" s="17" t="s">
        <v>598</v>
      </c>
      <c r="I8" s="17" t="s">
        <v>598</v>
      </c>
      <c r="J8" s="17" t="s">
        <v>598</v>
      </c>
      <c r="K8" s="17" t="s">
        <v>598</v>
      </c>
      <c r="L8" s="17" t="s">
        <v>598</v>
      </c>
      <c r="M8" s="17" t="s">
        <v>598</v>
      </c>
      <c r="N8" s="17" t="s">
        <v>598</v>
      </c>
      <c r="O8" s="17" t="s">
        <v>598</v>
      </c>
      <c r="P8" s="17" t="s">
        <v>598</v>
      </c>
      <c r="Q8" s="17" t="s">
        <v>598</v>
      </c>
      <c r="R8" s="17" t="s">
        <v>598</v>
      </c>
      <c r="S8" s="17" t="s">
        <v>598</v>
      </c>
      <c r="T8" s="17" t="s">
        <v>598</v>
      </c>
      <c r="U8" s="17" t="s">
        <v>598</v>
      </c>
      <c r="V8" s="17" t="s">
        <v>598</v>
      </c>
      <c r="W8" s="17" t="s">
        <v>598</v>
      </c>
      <c r="X8" s="17" t="s">
        <v>598</v>
      </c>
      <c r="Y8" s="17" t="s">
        <v>598</v>
      </c>
      <c r="Z8" s="17" t="s">
        <v>598</v>
      </c>
      <c r="AA8" s="17" t="s">
        <v>598</v>
      </c>
      <c r="AB8" s="17" t="s">
        <v>598</v>
      </c>
      <c r="AC8" s="17" t="s">
        <v>598</v>
      </c>
      <c r="AD8" s="17" t="s">
        <v>598</v>
      </c>
      <c r="AE8" s="17" t="s">
        <v>598</v>
      </c>
      <c r="AF8" s="17" t="s">
        <v>598</v>
      </c>
      <c r="AG8" s="17" t="s">
        <v>598</v>
      </c>
      <c r="AH8" s="17" t="s">
        <v>598</v>
      </c>
      <c r="AI8" s="17" t="s">
        <v>598</v>
      </c>
      <c r="AJ8" s="17" t="s">
        <v>598</v>
      </c>
      <c r="AK8" s="17" t="s">
        <v>598</v>
      </c>
      <c r="AL8" s="17" t="s">
        <v>598</v>
      </c>
      <c r="AM8" s="17" t="s">
        <v>598</v>
      </c>
      <c r="AN8" s="17" t="s">
        <v>598</v>
      </c>
      <c r="AO8" s="17" t="s">
        <v>598</v>
      </c>
      <c r="AP8" s="17" t="s">
        <v>598</v>
      </c>
      <c r="AQ8" s="17" t="s">
        <v>598</v>
      </c>
      <c r="AR8" s="17" t="s">
        <v>598</v>
      </c>
      <c r="AS8" s="17" t="s">
        <v>598</v>
      </c>
    </row>
    <row r="9" spans="1:45" ht="15" customHeight="1" thickTop="1" x14ac:dyDescent="0.45">
      <c r="A9" s="18" t="s">
        <v>398</v>
      </c>
      <c r="B9" s="82">
        <v>1</v>
      </c>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row>
    <row r="10" spans="1:45" ht="15" customHeight="1" x14ac:dyDescent="0.45">
      <c r="A10" s="18" t="s">
        <v>2</v>
      </c>
      <c r="B10" s="82">
        <f>_xll.StatCorrelationCoeff( ST_Attritionyes,ST_WinsAge)</f>
        <v>-0.15878438858107655</v>
      </c>
      <c r="C10" s="82">
        <v>1</v>
      </c>
      <c r="D10" s="82"/>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row>
    <row r="11" spans="1:45" ht="15" customHeight="1" x14ac:dyDescent="0.45">
      <c r="A11" s="18" t="s">
        <v>4</v>
      </c>
      <c r="B11" s="82">
        <f>_xll.StatCorrelationCoeff( ST_BusinessTravelFrequently,ST_WinsAge)</f>
        <v>-2.4649440643839487E-2</v>
      </c>
      <c r="C11" s="82">
        <f>_xll.StatCorrelationCoeff( ST_BusinessTravelFrequently,ST_Attritionyes)</f>
        <v>0.11514276554505018</v>
      </c>
      <c r="D11" s="82">
        <v>1</v>
      </c>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row>
    <row r="12" spans="1:45" ht="15" customHeight="1" x14ac:dyDescent="0.45">
      <c r="A12" s="18" t="s">
        <v>5</v>
      </c>
      <c r="B12" s="82">
        <f>_xll.StatCorrelationCoeff( ST_BusinessTravelrarely,ST_WinsAge)</f>
        <v>2.807145317989275E-2</v>
      </c>
      <c r="C12" s="82">
        <f>_xll.StatCorrelationCoeff( ST_BusinessTravelrarely,ST_Attritionyes)</f>
        <v>-4.9537838366948174E-2</v>
      </c>
      <c r="D12" s="82">
        <f>_xll.StatCorrelationCoeff( ST_BusinessTravelrarely,ST_BusinessTravelFrequently)</f>
        <v>-0.75309173161410548</v>
      </c>
      <c r="E12" s="82">
        <v>1</v>
      </c>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row>
    <row r="13" spans="1:45" ht="15" customHeight="1" x14ac:dyDescent="0.45">
      <c r="A13" s="18" t="s">
        <v>7</v>
      </c>
      <c r="B13" s="82">
        <f>_xll.StatCorrelationCoeff( ST_DeptRD,ST_WinsAge)</f>
        <v>1.8530263845880364E-2</v>
      </c>
      <c r="C13" s="82">
        <f>_xll.StatCorrelationCoeff( ST_DeptRD,ST_Attritionyes)</f>
        <v>-8.5292927576795838E-2</v>
      </c>
      <c r="D13" s="82">
        <f>_xll.StatCorrelationCoeff( ST_DeptRD,ST_BusinessTravelFrequently)</f>
        <v>3.3403757431236321E-3</v>
      </c>
      <c r="E13" s="82">
        <f>_xll.StatCorrelationCoeff( ST_DeptRD,ST_BusinessTravelrarely)</f>
        <v>4.6492516847619966E-4</v>
      </c>
      <c r="F13" s="82">
        <v>1</v>
      </c>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row>
    <row r="14" spans="1:45" ht="15" customHeight="1" x14ac:dyDescent="0.45">
      <c r="A14" s="18" t="s">
        <v>8</v>
      </c>
      <c r="B14" s="82">
        <f>_xll.StatCorrelationCoeff( ST_DeptSales,ST_WinsAge)</f>
        <v>-2.8081380709254089E-2</v>
      </c>
      <c r="C14" s="82">
        <f>_xll.StatCorrelationCoeff( ST_DeptSales,ST_Attritionyes)</f>
        <v>8.0855202136053114E-2</v>
      </c>
      <c r="D14" s="82">
        <f>_xll.StatCorrelationCoeff( ST_DeptSales,ST_BusinessTravelFrequently)</f>
        <v>-1.5959312378895476E-4</v>
      </c>
      <c r="E14" s="82">
        <f>_xll.StatCorrelationCoeff( ST_DeptSales,ST_BusinessTravelrarely)</f>
        <v>-4.7184366028486012E-3</v>
      </c>
      <c r="F14" s="82">
        <f>_xll.StatCorrelationCoeff( ST_DeptSales,ST_DeptRD)</f>
        <v>-0.90681825385820647</v>
      </c>
      <c r="G14" s="82">
        <v>1</v>
      </c>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row>
    <row r="15" spans="1:45" ht="15" customHeight="1" x14ac:dyDescent="0.45">
      <c r="A15" s="18" t="s">
        <v>397</v>
      </c>
      <c r="B15" s="82">
        <f>_xll.StatCorrelationCoeff( ST_WinsDistanceFromHome,ST_WinsAge)</f>
        <v>-1.9448137990175189E-3</v>
      </c>
      <c r="C15" s="82">
        <f>_xll.StatCorrelationCoeff( ST_WinsDistanceFromHome,ST_Attritionyes)</f>
        <v>7.7923582955703577E-2</v>
      </c>
      <c r="D15" s="82">
        <f>_xll.StatCorrelationCoeff( ST_WinsDistanceFromHome,ST_BusinessTravelFrequently)</f>
        <v>5.0814093418117615E-3</v>
      </c>
      <c r="E15" s="82">
        <f>_xll.StatCorrelationCoeff( ST_WinsDistanceFromHome,ST_BusinessTravelrarely)</f>
        <v>-2.0116325486250967E-2</v>
      </c>
      <c r="F15" s="82">
        <f>_xll.StatCorrelationCoeff( ST_WinsDistanceFromHome,ST_DeptRD)</f>
        <v>-8.1173746494915076E-3</v>
      </c>
      <c r="G15" s="82">
        <f>_xll.StatCorrelationCoeff( ST_WinsDistanceFromHome,ST_DeptSales)</f>
        <v>1.4084535596212398E-2</v>
      </c>
      <c r="H15" s="82">
        <v>1</v>
      </c>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row>
    <row r="16" spans="1:45" ht="15" customHeight="1" x14ac:dyDescent="0.45">
      <c r="A16" s="18" t="s">
        <v>10</v>
      </c>
      <c r="B16" s="82">
        <f>_xll.StatCorrelationCoeff( ST_Education,ST_WinsAge)</f>
        <v>0.20825351724987776</v>
      </c>
      <c r="C16" s="82">
        <f>_xll.StatCorrelationCoeff( ST_Education,ST_Attritionyes)</f>
        <v>-3.1372819640048968E-2</v>
      </c>
      <c r="D16" s="82">
        <f>_xll.StatCorrelationCoeff( ST_Education,ST_BusinessTravelFrequently)</f>
        <v>-8.2920477457264167E-3</v>
      </c>
      <c r="E16" s="82">
        <f>_xll.StatCorrelationCoeff( ST_Education,ST_BusinessTravelrarely)</f>
        <v>4.1259521132203216E-3</v>
      </c>
      <c r="F16" s="82">
        <f>_xll.StatCorrelationCoeff( ST_Education,ST_DeptRD)</f>
        <v>-1.8603599840564301E-2</v>
      </c>
      <c r="G16" s="82">
        <f>_xll.StatCorrelationCoeff( ST_Education,ST_DeptSales)</f>
        <v>1.4215146533267121E-2</v>
      </c>
      <c r="H16" s="82">
        <f>_xll.StatCorrelationCoeff( ST_Education,ST_WinsDistanceFromHome)</f>
        <v>2.1041825624123368E-2</v>
      </c>
      <c r="I16" s="82">
        <v>1</v>
      </c>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row>
    <row r="17" spans="1:45" ht="15" customHeight="1" x14ac:dyDescent="0.45">
      <c r="A17" s="18" t="s">
        <v>12</v>
      </c>
      <c r="B17" s="82">
        <f>_xll.StatCorrelationCoeff( ST_EducationFieldLifeSci,ST_WinsAge)</f>
        <v>1.7025901644156904E-2</v>
      </c>
      <c r="C17" s="82">
        <f>_xll.StatCorrelationCoeff( ST_EducationFieldLifeSci,ST_Attritionyes)</f>
        <v>-3.2703147722897813E-2</v>
      </c>
      <c r="D17" s="82">
        <f>_xll.StatCorrelationCoeff( ST_EducationFieldLifeSci,ST_BusinessTravelFrequently)</f>
        <v>3.1127869784586565E-2</v>
      </c>
      <c r="E17" s="82">
        <f>_xll.StatCorrelationCoeff( ST_EducationFieldLifeSci,ST_BusinessTravelrarely)</f>
        <v>-3.0354664862438197E-2</v>
      </c>
      <c r="F17" s="82">
        <f>_xll.StatCorrelationCoeff( ST_EducationFieldLifeSci,ST_DeptRD)</f>
        <v>0.12732137626755863</v>
      </c>
      <c r="G17" s="82">
        <f>_xll.StatCorrelationCoeff( ST_EducationFieldLifeSci,ST_DeptSales)</f>
        <v>-0.10179100512104283</v>
      </c>
      <c r="H17" s="82">
        <f>_xll.StatCorrelationCoeff( ST_EducationFieldLifeSci,ST_WinsDistanceFromHome)</f>
        <v>-2.449929448513807E-2</v>
      </c>
      <c r="I17" s="82">
        <f>_xll.StatCorrelationCoeff( ST_EducationFieldLifeSci,ST_Education)</f>
        <v>1.31844280279741E-2</v>
      </c>
      <c r="J17" s="82">
        <v>1</v>
      </c>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row>
    <row r="18" spans="1:45" ht="15" customHeight="1" x14ac:dyDescent="0.45">
      <c r="A18" s="18" t="s">
        <v>13</v>
      </c>
      <c r="B18" s="82">
        <f>_xll.StatCorrelationCoeff( ST_EducationFieldOther,ST_WinsAge)</f>
        <v>-4.1497167653703475E-2</v>
      </c>
      <c r="C18" s="82">
        <f>_xll.StatCorrelationCoeff( ST_EducationFieldOther,ST_Attritionyes)</f>
        <v>-1.7897516831938898E-2</v>
      </c>
      <c r="D18" s="82">
        <f>_xll.StatCorrelationCoeff( ST_EducationFieldOther,ST_BusinessTravelFrequently)</f>
        <v>-1.1003545648424474E-2</v>
      </c>
      <c r="E18" s="82">
        <f>_xll.StatCorrelationCoeff( ST_EducationFieldOther,ST_BusinessTravelrarely)</f>
        <v>1.8406109262474331E-2</v>
      </c>
      <c r="F18" s="82">
        <f>_xll.StatCorrelationCoeff( ST_EducationFieldOther,ST_DeptRD)</f>
        <v>6.4750669232127064E-2</v>
      </c>
      <c r="G18" s="82">
        <f>_xll.StatCorrelationCoeff( ST_EducationFieldOther,ST_DeptSales)</f>
        <v>-6.3695296780238039E-2</v>
      </c>
      <c r="H18" s="82">
        <f>_xll.StatCorrelationCoeff( ST_EducationFieldOther,ST_WinsDistanceFromHome)</f>
        <v>-7.9685364593888256E-3</v>
      </c>
      <c r="I18" s="82">
        <f>_xll.StatCorrelationCoeff( ST_EducationFieldOther,ST_Education)</f>
        <v>3.8043114607048276E-2</v>
      </c>
      <c r="J18" s="82">
        <f>_xll.StatCorrelationCoeff( ST_EducationFieldOther,ST_EducationFieldLifeSci)</f>
        <v>-0.20355962117374277</v>
      </c>
      <c r="K18" s="82">
        <v>1</v>
      </c>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row>
    <row r="19" spans="1:45" ht="15" customHeight="1" x14ac:dyDescent="0.45">
      <c r="A19" s="18" t="s">
        <v>14</v>
      </c>
      <c r="B19" s="82">
        <f>_xll.StatCorrelationCoeff( ST_EducationFieldMedical,ST_WinsAge)</f>
        <v>-5.9678530632644756E-3</v>
      </c>
      <c r="C19" s="82">
        <f>_xll.StatCorrelationCoeff( ST_EducationFieldMedical,ST_Attritionyes)</f>
        <v>-4.6998715878070529E-2</v>
      </c>
      <c r="D19" s="82">
        <f>_xll.StatCorrelationCoeff( ST_EducationFieldMedical,ST_BusinessTravelFrequently)</f>
        <v>-5.3672585875547919E-3</v>
      </c>
      <c r="E19" s="82">
        <f>_xll.StatCorrelationCoeff( ST_EducationFieldMedical,ST_BusinessTravelrarely)</f>
        <v>-3.9302839962982597E-3</v>
      </c>
      <c r="F19" s="82">
        <f>_xll.StatCorrelationCoeff( ST_EducationFieldMedical,ST_DeptRD)</f>
        <v>0.18354845743526915</v>
      </c>
      <c r="G19" s="82">
        <f>_xll.StatCorrelationCoeff( ST_EducationFieldMedical,ST_DeptSales)</f>
        <v>-0.16803385014653346</v>
      </c>
      <c r="H19" s="82">
        <f>_xll.StatCorrelationCoeff( ST_EducationFieldMedical,ST_WinsDistanceFromHome)</f>
        <v>1.3486376964257347E-2</v>
      </c>
      <c r="I19" s="82">
        <f>_xll.StatCorrelationCoeff( ST_EducationFieldMedical,ST_Education)</f>
        <v>-7.2334759797478276E-2</v>
      </c>
      <c r="J19" s="82">
        <f>_xll.StatCorrelationCoeff( ST_EducationFieldMedical,ST_EducationFieldLifeSci)</f>
        <v>-0.56877361392827874</v>
      </c>
      <c r="K19" s="82">
        <f>_xll.StatCorrelationCoeff( ST_EducationFieldMedical,ST_EducationFieldOther)</f>
        <v>-0.16507153623188267</v>
      </c>
      <c r="L19" s="82">
        <v>1</v>
      </c>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row>
    <row r="20" spans="1:45" ht="15" customHeight="1" x14ac:dyDescent="0.45">
      <c r="A20" s="18" t="s">
        <v>15</v>
      </c>
      <c r="B20" s="82">
        <f>_xll.StatCorrelationCoeff( ST_EducationFieldMkt,ST_WinsAge)</f>
        <v>3.7525301464578172E-2</v>
      </c>
      <c r="C20" s="82">
        <f>_xll.StatCorrelationCoeff( ST_EducationFieldMkt,ST_Attritionyes)</f>
        <v>5.5780665721763524E-2</v>
      </c>
      <c r="D20" s="82">
        <f>_xll.StatCorrelationCoeff( ST_EducationFieldMkt,ST_BusinessTravelFrequently)</f>
        <v>-1.6585503213132898E-2</v>
      </c>
      <c r="E20" s="82">
        <f>_xll.StatCorrelationCoeff( ST_EducationFieldMkt,ST_BusinessTravelrarely)</f>
        <v>3.4668198940342204E-2</v>
      </c>
      <c r="F20" s="82">
        <f>_xll.StatCorrelationCoeff( ST_EducationFieldMkt,ST_DeptRD)</f>
        <v>-0.47851991727232523</v>
      </c>
      <c r="G20" s="82">
        <f>_xll.StatCorrelationCoeff( ST_EducationFieldMkt,ST_DeptSales)</f>
        <v>0.52769109492048727</v>
      </c>
      <c r="H20" s="82">
        <f>_xll.StatCorrelationCoeff( ST_EducationFieldMkt,ST_WinsDistanceFromHome)</f>
        <v>3.9294238578357302E-2</v>
      </c>
      <c r="I20" s="82">
        <f>_xll.StatCorrelationCoeff( ST_EducationFieldMkt,ST_Education)</f>
        <v>7.2405434479497086E-2</v>
      </c>
      <c r="J20" s="82">
        <f>_xll.StatCorrelationCoeff( ST_EducationFieldMkt,ST_EducationFieldLifeSci)</f>
        <v>-0.2916598560826334</v>
      </c>
      <c r="K20" s="82">
        <f>_xll.StatCorrelationCoeff( ST_EducationFieldMkt,ST_EducationFieldOther)</f>
        <v>-8.4646578747233525E-2</v>
      </c>
      <c r="L20" s="82">
        <f>_xll.StatCorrelationCoeff( ST_EducationFieldMkt,ST_EducationFieldMedical)</f>
        <v>-0.23651419777224189</v>
      </c>
      <c r="M20" s="82">
        <v>1</v>
      </c>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5" ht="15" customHeight="1" x14ac:dyDescent="0.45">
      <c r="A21" s="18" t="s">
        <v>16</v>
      </c>
      <c r="B21" s="82">
        <f>_xll.StatCorrelationCoeff( ST_EducationFieldTech,ST_WinsAge)</f>
        <v>-2.7722141131789092E-2</v>
      </c>
      <c r="C21" s="82">
        <f>_xll.StatCorrelationCoeff( ST_EducationFieldTech,ST_Attritionyes)</f>
        <v>6.9354594764818978E-2</v>
      </c>
      <c r="D21" s="82">
        <f>_xll.StatCorrelationCoeff( ST_EducationFieldTech,ST_BusinessTravelFrequently)</f>
        <v>-2.3569063914641433E-2</v>
      </c>
      <c r="E21" s="82">
        <f>_xll.StatCorrelationCoeff( ST_EducationFieldTech,ST_BusinessTravelrarely)</f>
        <v>1.7521207709292261E-2</v>
      </c>
      <c r="F21" s="82">
        <f>_xll.StatCorrelationCoeff( ST_EducationFieldTech,ST_DeptRD)</f>
        <v>3.8540525594056949E-2</v>
      </c>
      <c r="G21" s="82">
        <f>_xll.StatCorrelationCoeff( ST_EducationFieldTech,ST_DeptSales)</f>
        <v>-3.1308843376138297E-2</v>
      </c>
      <c r="H21" s="82">
        <f>_xll.StatCorrelationCoeff( ST_EducationFieldTech,ST_WinsDistanceFromHome)</f>
        <v>-1.4801845738549951E-2</v>
      </c>
      <c r="I21" s="82">
        <f>_xll.StatCorrelationCoeff( ST_EducationFieldTech,ST_Education)</f>
        <v>-2.6741873622066502E-2</v>
      </c>
      <c r="J21" s="82">
        <f>_xll.StatCorrelationCoeff( ST_EducationFieldTech,ST_EducationFieldLifeSci)</f>
        <v>-0.2630500264068118</v>
      </c>
      <c r="K21" s="82">
        <f>_xll.StatCorrelationCoeff( ST_EducationFieldTech,ST_EducationFieldOther)</f>
        <v>-7.6343330459569841E-2</v>
      </c>
      <c r="L21" s="82">
        <f>_xll.StatCorrelationCoeff( ST_EducationFieldTech,ST_EducationFieldMedical)</f>
        <v>-0.21331377860910944</v>
      </c>
      <c r="M21" s="82">
        <f>_xll.StatCorrelationCoeff( ST_EducationFieldTech,ST_EducationFieldMkt)</f>
        <v>-0.10938458544144002</v>
      </c>
      <c r="N21" s="82">
        <v>1</v>
      </c>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5" ht="15" customHeight="1" x14ac:dyDescent="0.45">
      <c r="A22" s="18" t="s">
        <v>17</v>
      </c>
      <c r="B22" s="82">
        <f>_xll.StatCorrelationCoeff( ST_EnvironmentSatisfaction,ST_WinsAge)</f>
        <v>1.0724439785360678E-2</v>
      </c>
      <c r="C22" s="82">
        <f>_xll.StatCorrelationCoeff( ST_EnvironmentSatisfaction,ST_Attritionyes)</f>
        <v>-0.10336897833793524</v>
      </c>
      <c r="D22" s="82">
        <f>_xll.StatCorrelationCoeff( ST_EnvironmentSatisfaction,ST_BusinessTravelFrequently)</f>
        <v>-1.2624212515110481E-2</v>
      </c>
      <c r="E22" s="82">
        <f>_xll.StatCorrelationCoeff( ST_EnvironmentSatisfaction,ST_BusinessTravelrarely)</f>
        <v>8.4956546815890197E-3</v>
      </c>
      <c r="F22" s="82">
        <f>_xll.StatCorrelationCoeff( ST_EnvironmentSatisfaction,ST_DeptRD)</f>
        <v>2.7976126603615592E-2</v>
      </c>
      <c r="G22" s="82">
        <f>_xll.StatCorrelationCoeff( ST_EnvironmentSatisfaction,ST_DeptSales)</f>
        <v>-2.5606044861713258E-2</v>
      </c>
      <c r="H22" s="82">
        <f>_xll.StatCorrelationCoeff( ST_EnvironmentSatisfaction,ST_WinsDistanceFromHome)</f>
        <v>-1.6075326996493468E-2</v>
      </c>
      <c r="I22" s="82">
        <f>_xll.StatCorrelationCoeff( ST_EnvironmentSatisfaction,ST_Education)</f>
        <v>-2.7128313256511653E-2</v>
      </c>
      <c r="J22" s="82">
        <f>_xll.StatCorrelationCoeff( ST_EnvironmentSatisfaction,ST_EducationFieldLifeSci)</f>
        <v>-2.452566004836524E-2</v>
      </c>
      <c r="K22" s="82">
        <f>_xll.StatCorrelationCoeff( ST_EnvironmentSatisfaction,ST_EducationFieldOther)</f>
        <v>6.4601596041891668E-2</v>
      </c>
      <c r="L22" s="82">
        <f>_xll.StatCorrelationCoeff( ST_EnvironmentSatisfaction,ST_EducationFieldMedical)</f>
        <v>-2.1298678881480858E-2</v>
      </c>
      <c r="M22" s="82">
        <f>_xll.StatCorrelationCoeff( ST_EnvironmentSatisfaction,ST_EducationFieldMkt)</f>
        <v>4.7861335761561314E-4</v>
      </c>
      <c r="N22" s="82">
        <f>_xll.StatCorrelationCoeff( ST_EnvironmentSatisfaction,ST_EducationFieldTech)</f>
        <v>2.7713408643038125E-2</v>
      </c>
      <c r="O22" s="82">
        <v>1</v>
      </c>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row>
    <row r="23" spans="1:45" ht="15" customHeight="1" x14ac:dyDescent="0.45">
      <c r="A23" s="18" t="s">
        <v>19</v>
      </c>
      <c r="B23" s="82">
        <f>_xll.StatCorrelationCoeff( ST_Female,ST_WinsAge)</f>
        <v>3.6366576043947711E-2</v>
      </c>
      <c r="C23" s="82">
        <f>_xll.StatCorrelationCoeff( ST_Female,ST_Attritionyes)</f>
        <v>-2.9453253175140099E-2</v>
      </c>
      <c r="D23" s="82">
        <f>_xll.StatCorrelationCoeff( ST_Female,ST_BusinessTravelFrequently)</f>
        <v>2.2015368655333139E-2</v>
      </c>
      <c r="E23" s="82">
        <f>_xll.StatCorrelationCoeff( ST_Female,ST_BusinessTravelrarely)</f>
        <v>1.4681807474915603E-2</v>
      </c>
      <c r="F23" s="82">
        <f>_xll.StatCorrelationCoeff( ST_Female,ST_DeptRD)</f>
        <v>-1.5760411549126462E-2</v>
      </c>
      <c r="G23" s="82">
        <f>_xll.StatCorrelationCoeff( ST_Female,ST_DeptSales)</f>
        <v>3.2017162242525946E-2</v>
      </c>
      <c r="H23" s="82">
        <f>_xll.StatCorrelationCoeff( ST_Female,ST_WinsDistanceFromHome)</f>
        <v>1.8505279911258251E-3</v>
      </c>
      <c r="I23" s="82">
        <f>_xll.StatCorrelationCoeff( ST_Female,ST_Education)</f>
        <v>1.6546827443884981E-2</v>
      </c>
      <c r="J23" s="82">
        <f>_xll.StatCorrelationCoeff( ST_Female,ST_EducationFieldLifeSci)</f>
        <v>-6.7703705308530858E-3</v>
      </c>
      <c r="K23" s="82">
        <f>_xll.StatCorrelationCoeff( ST_Female,ST_EducationFieldOther)</f>
        <v>-2.2991977008755583E-2</v>
      </c>
      <c r="L23" s="82">
        <f>_xll.StatCorrelationCoeff( ST_Female,ST_EducationFieldMedical)</f>
        <v>1.3145862183869756E-2</v>
      </c>
      <c r="M23" s="82">
        <f>_xll.StatCorrelationCoeff( ST_Female,ST_EducationFieldMkt)</f>
        <v>2.4142833036533265E-2</v>
      </c>
      <c r="N23" s="82">
        <f>_xll.StatCorrelationCoeff( ST_Female,ST_EducationFieldTech)</f>
        <v>-3.8857006841996975E-3</v>
      </c>
      <c r="O23" s="82">
        <f>_xll.StatCorrelationCoeff( ST_Female,ST_EnvironmentSatisfaction)</f>
        <v>-5.0831388993109684E-4</v>
      </c>
      <c r="P23" s="82">
        <v>1</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row>
    <row r="24" spans="1:45" ht="15" customHeight="1" x14ac:dyDescent="0.45">
      <c r="A24" s="18" t="s">
        <v>20</v>
      </c>
      <c r="B24" s="82">
        <f>_xll.StatCorrelationCoeff( ST_HourlyRate,ST_WinsAge)</f>
        <v>2.437293401026094E-2</v>
      </c>
      <c r="C24" s="82">
        <f>_xll.StatCorrelationCoeff( ST_HourlyRate,ST_Attritionyes)</f>
        <v>-6.8455495721398227E-3</v>
      </c>
      <c r="D24" s="82">
        <f>_xll.StatCorrelationCoeff( ST_HourlyRate,ST_BusinessTravelFrequently)</f>
        <v>-1.8818701534842414E-2</v>
      </c>
      <c r="E24" s="82">
        <f>_xll.StatCorrelationCoeff( ST_HourlyRate,ST_BusinessTravelrarely)</f>
        <v>2.7541324194856179E-2</v>
      </c>
      <c r="F24" s="82">
        <f>_xll.StatCorrelationCoeff( ST_HourlyRate,ST_DeptRD)</f>
        <v>1.8686496329088798E-2</v>
      </c>
      <c r="G24" s="82">
        <f>_xll.StatCorrelationCoeff( ST_HourlyRate,ST_DeptSales)</f>
        <v>-1.2047228858262879E-2</v>
      </c>
      <c r="H24" s="82">
        <f>_xll.StatCorrelationCoeff( ST_HourlyRate,ST_WinsDistanceFromHome)</f>
        <v>3.1130585611766022E-2</v>
      </c>
      <c r="I24" s="82">
        <f>_xll.StatCorrelationCoeff( ST_HourlyRate,ST_Education)</f>
        <v>1.6774828880960865E-2</v>
      </c>
      <c r="J24" s="82">
        <f>_xll.StatCorrelationCoeff( ST_HourlyRate,ST_EducationFieldLifeSci)</f>
        <v>3.8759056030429465E-2</v>
      </c>
      <c r="K24" s="82">
        <f>_xll.StatCorrelationCoeff( ST_HourlyRate,ST_EducationFieldOther)</f>
        <v>-4.2162974179509122E-2</v>
      </c>
      <c r="L24" s="82">
        <f>_xll.StatCorrelationCoeff( ST_HourlyRate,ST_EducationFieldMedical)</f>
        <v>-2.0417966686630235E-2</v>
      </c>
      <c r="M24" s="82">
        <f>_xll.StatCorrelationCoeff( ST_HourlyRate,ST_EducationFieldMkt)</f>
        <v>4.4518153133224266E-3</v>
      </c>
      <c r="N24" s="82">
        <f>_xll.StatCorrelationCoeff( ST_HourlyRate,ST_EducationFieldTech)</f>
        <v>1.1283335437401397E-2</v>
      </c>
      <c r="O24" s="82">
        <f>_xll.StatCorrelationCoeff( ST_HourlyRate,ST_EnvironmentSatisfaction)</f>
        <v>-4.9856956203000499E-2</v>
      </c>
      <c r="P24" s="82">
        <f>_xll.StatCorrelationCoeff( ST_HourlyRate,ST_Female)</f>
        <v>4.7829705113023495E-4</v>
      </c>
      <c r="Q24" s="82">
        <v>1</v>
      </c>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row>
    <row r="25" spans="1:45" ht="15" customHeight="1" x14ac:dyDescent="0.45">
      <c r="A25" s="18" t="s">
        <v>21</v>
      </c>
      <c r="B25" s="82">
        <f>_xll.StatCorrelationCoeff( ST_JobInvolvement,ST_WinsAge)</f>
        <v>3.027039990234116E-2</v>
      </c>
      <c r="C25" s="82">
        <f>_xll.StatCorrelationCoeff( ST_JobInvolvement,ST_Attritionyes)</f>
        <v>-0.13001595678605382</v>
      </c>
      <c r="D25" s="82">
        <f>_xll.StatCorrelationCoeff( ST_JobInvolvement,ST_BusinessTravelFrequently)</f>
        <v>4.4236060326376305E-3</v>
      </c>
      <c r="E25" s="82">
        <f>_xll.StatCorrelationCoeff( ST_JobInvolvement,ST_BusinessTravelrarely)</f>
        <v>2.6713532751027586E-2</v>
      </c>
      <c r="F25" s="82">
        <f>_xll.StatCorrelationCoeff( ST_JobInvolvement,ST_DeptRD)</f>
        <v>2.3187111256384806E-2</v>
      </c>
      <c r="G25" s="82">
        <f>_xll.StatCorrelationCoeff( ST_JobInvolvement,ST_DeptSales)</f>
        <v>-2.6106586649909082E-2</v>
      </c>
      <c r="H25" s="82">
        <f>_xll.StatCorrelationCoeff( ST_JobInvolvement,ST_WinsDistanceFromHome)</f>
        <v>8.7832798864442337E-3</v>
      </c>
      <c r="I25" s="82">
        <f>_xll.StatCorrelationCoeff( ST_JobInvolvement,ST_Education)</f>
        <v>4.2437634318608121E-2</v>
      </c>
      <c r="J25" s="82">
        <f>_xll.StatCorrelationCoeff( ST_JobInvolvement,ST_EducationFieldLifeSci)</f>
        <v>3.2275329669909114E-3</v>
      </c>
      <c r="K25" s="82">
        <f>_xll.StatCorrelationCoeff( ST_JobInvolvement,ST_EducationFieldOther)</f>
        <v>-1.1894659955987232E-2</v>
      </c>
      <c r="L25" s="82">
        <f>_xll.StatCorrelationCoeff( ST_JobInvolvement,ST_EducationFieldMedical)</f>
        <v>1.7102529603953361E-2</v>
      </c>
      <c r="M25" s="82">
        <f>_xll.StatCorrelationCoeff( ST_JobInvolvement,ST_EducationFieldMkt)</f>
        <v>-1.8657341249112429E-2</v>
      </c>
      <c r="N25" s="82">
        <f>_xll.StatCorrelationCoeff( ST_JobInvolvement,ST_EducationFieldTech)</f>
        <v>-4.5194171834913562E-3</v>
      </c>
      <c r="O25" s="82">
        <f>_xll.StatCorrelationCoeff( ST_JobInvolvement,ST_EnvironmentSatisfaction)</f>
        <v>-8.277598171759229E-3</v>
      </c>
      <c r="P25" s="82">
        <f>_xll.StatCorrelationCoeff( ST_JobInvolvement,ST_Female)</f>
        <v>-1.7959755383916615E-2</v>
      </c>
      <c r="Q25" s="82">
        <f>_xll.StatCorrelationCoeff( ST_JobInvolvement,ST_HourlyRate)</f>
        <v>4.2860640971529966E-2</v>
      </c>
      <c r="R25" s="82">
        <v>1</v>
      </c>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row>
    <row r="26" spans="1:45" ht="15" customHeight="1" x14ac:dyDescent="0.45">
      <c r="A26" s="18" t="s">
        <v>22</v>
      </c>
      <c r="B26" s="82">
        <f>_xll.StatCorrelationCoeff( ST_JobLevel,ST_WinsAge)</f>
        <v>0.51032000408350309</v>
      </c>
      <c r="C26" s="82">
        <f>_xll.StatCorrelationCoeff( ST_JobLevel,ST_Attritionyes)</f>
        <v>-0.16910475093102884</v>
      </c>
      <c r="D26" s="82">
        <f>_xll.StatCorrelationCoeff( ST_JobLevel,ST_BusinessTravelFrequently)</f>
        <v>-2.1557268334050066E-2</v>
      </c>
      <c r="E26" s="82">
        <f>_xll.StatCorrelationCoeff( ST_JobLevel,ST_BusinessTravelrarely)</f>
        <v>2.3433289849135279E-2</v>
      </c>
      <c r="F26" s="82">
        <f>_xll.StatCorrelationCoeff( ST_JobLevel,ST_DeptRD)</f>
        <v>-0.10782968451627005</v>
      </c>
      <c r="G26" s="82">
        <f>_xll.StatCorrelationCoeff( ST_JobLevel,ST_DeptSales)</f>
        <v>0.11430683928872742</v>
      </c>
      <c r="H26" s="82">
        <f>_xll.StatCorrelationCoeff( ST_JobLevel,ST_WinsDistanceFromHome)</f>
        <v>5.3027305544962305E-3</v>
      </c>
      <c r="I26" s="82">
        <f>_xll.StatCorrelationCoeff( ST_JobLevel,ST_Education)</f>
        <v>0.10158888624850132</v>
      </c>
      <c r="J26" s="82">
        <f>_xll.StatCorrelationCoeff( ST_JobLevel,ST_EducationFieldLifeSci)</f>
        <v>-8.4314052797227947E-3</v>
      </c>
      <c r="K26" s="82">
        <f>_xll.StatCorrelationCoeff( ST_JobLevel,ST_EducationFieldOther)</f>
        <v>-1.672448630569116E-2</v>
      </c>
      <c r="L26" s="82">
        <f>_xll.StatCorrelationCoeff( ST_JobLevel,ST_EducationFieldMedical)</f>
        <v>-1.4114341567807401E-2</v>
      </c>
      <c r="M26" s="82">
        <f>_xll.StatCorrelationCoeff( ST_JobLevel,ST_EducationFieldMkt)</f>
        <v>9.2698473189851943E-2</v>
      </c>
      <c r="N26" s="82">
        <f>_xll.StatCorrelationCoeff( ST_JobLevel,ST_EducationFieldTech)</f>
        <v>-5.4706602992965106E-2</v>
      </c>
      <c r="O26" s="82">
        <f>_xll.StatCorrelationCoeff( ST_JobLevel,ST_EnvironmentSatisfaction)</f>
        <v>1.2116994489139749E-3</v>
      </c>
      <c r="P26" s="82">
        <f>_xll.StatCorrelationCoeff( ST_JobLevel,ST_Female)</f>
        <v>3.9403102676133159E-2</v>
      </c>
      <c r="Q26" s="82">
        <f>_xll.StatCorrelationCoeff( ST_JobLevel,ST_HourlyRate)</f>
        <v>-2.7853486405547329E-2</v>
      </c>
      <c r="R26" s="82">
        <f>_xll.StatCorrelationCoeff( ST_JobLevel,ST_JobInvolvement)</f>
        <v>-1.2629882671190917E-2</v>
      </c>
      <c r="S26" s="82">
        <v>1</v>
      </c>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row>
    <row r="27" spans="1:45" ht="15" customHeight="1" x14ac:dyDescent="0.45">
      <c r="A27" s="18" t="s">
        <v>24</v>
      </c>
      <c r="B27" s="82">
        <f>_xll.StatCorrelationCoeff( ST_JobRoleHealthRep,ST_WinsAge)</f>
        <v>9.894646814587256E-2</v>
      </c>
      <c r="C27" s="82">
        <f>_xll.StatCorrelationCoeff( ST_JobRoleHealthRep,ST_Attritionyes)</f>
        <v>-7.8696049646155633E-2</v>
      </c>
      <c r="D27" s="82">
        <f>_xll.StatCorrelationCoeff( ST_JobRoleHealthRep,ST_BusinessTravelFrequently)</f>
        <v>8.0287107396034701E-3</v>
      </c>
      <c r="E27" s="82">
        <f>_xll.StatCorrelationCoeff( ST_JobRoleHealthRep,ST_BusinessTravelrarely)</f>
        <v>-1.5502675658571843E-2</v>
      </c>
      <c r="F27" s="82">
        <f>_xll.StatCorrelationCoeff( ST_JobRoleHealthRep,ST_DeptRD)</f>
        <v>0.22763684442891743</v>
      </c>
      <c r="G27" s="82">
        <f>_xll.StatCorrelationCoeff( ST_JobRoleHealthRep,ST_DeptSales)</f>
        <v>-0.20642524577882418</v>
      </c>
      <c r="H27" s="82">
        <f>_xll.StatCorrelationCoeff( ST_JobRoleHealthRep,ST_WinsDistanceFromHome)</f>
        <v>2.2915977152155449E-2</v>
      </c>
      <c r="I27" s="82">
        <f>_xll.StatCorrelationCoeff( ST_JobRoleHealthRep,ST_Education)</f>
        <v>2.4269970496230284E-2</v>
      </c>
      <c r="J27" s="82">
        <f>_xll.StatCorrelationCoeff( ST_JobRoleHealthRep,ST_EducationFieldLifeSci)</f>
        <v>2.9083985973180189E-2</v>
      </c>
      <c r="K27" s="82">
        <f>_xll.StatCorrelationCoeff( ST_JobRoleHealthRep,ST_EducationFieldOther)</f>
        <v>1.7608516978562347E-2</v>
      </c>
      <c r="L27" s="82">
        <f>_xll.StatCorrelationCoeff( ST_JobRoleHealthRep,ST_EducationFieldMedical)</f>
        <v>3.4164673598430326E-2</v>
      </c>
      <c r="M27" s="82">
        <f>_xll.StatCorrelationCoeff( ST_JobRoleHealthRep,ST_EducationFieldMkt)</f>
        <v>-0.10892876396425612</v>
      </c>
      <c r="N27" s="82">
        <f>_xll.StatCorrelationCoeff( ST_JobRoleHealthRep,ST_EducationFieldTech)</f>
        <v>1.8680601249276181E-2</v>
      </c>
      <c r="O27" s="82">
        <f>_xll.StatCorrelationCoeff( ST_JobRoleHealthRep,ST_EnvironmentSatisfaction)</f>
        <v>1.409010383655775E-2</v>
      </c>
      <c r="P27" s="82">
        <f>_xll.StatCorrelationCoeff( ST_JobRoleHealthRep,ST_Female)</f>
        <v>-6.8233316136638179E-3</v>
      </c>
      <c r="Q27" s="82">
        <f>_xll.StatCorrelationCoeff( ST_JobRoleHealthRep,ST_HourlyRate)</f>
        <v>1.4598989665039211E-2</v>
      </c>
      <c r="R27" s="82">
        <f>_xll.StatCorrelationCoeff( ST_JobRoleHealthRep,ST_JobInvolvement)</f>
        <v>1.2718838989454707E-3</v>
      </c>
      <c r="S27" s="82">
        <f>_xll.StatCorrelationCoeff( ST_JobRoleHealthRep,ST_JobLevel)</f>
        <v>0.11570441896957712</v>
      </c>
      <c r="T27" s="82">
        <v>1</v>
      </c>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row>
    <row r="28" spans="1:45" ht="15" customHeight="1" x14ac:dyDescent="0.45">
      <c r="A28" s="18" t="s">
        <v>25</v>
      </c>
      <c r="B28" s="82">
        <f>_xll.StatCorrelationCoeff( ST_JobRoleSalesExe,ST_WinsAge)</f>
        <v>-3.0013079416144513E-3</v>
      </c>
      <c r="C28" s="82">
        <f>_xll.StatCorrelationCoeff( ST_JobRoleSalesExe,ST_Attritionyes)</f>
        <v>1.9774368459259874E-2</v>
      </c>
      <c r="D28" s="82">
        <f>_xll.StatCorrelationCoeff( ST_JobRoleSalesExe,ST_BusinessTravelFrequently)</f>
        <v>-1.0174885520234021E-2</v>
      </c>
      <c r="E28" s="82">
        <f>_xll.StatCorrelationCoeff( ST_JobRoleSalesExe,ST_BusinessTravelrarely)</f>
        <v>-1.1920091976733325E-2</v>
      </c>
      <c r="F28" s="82">
        <f>_xll.StatCorrelationCoeff( ST_JobRoleSalesExe,ST_DeptRD)</f>
        <v>-0.73349741978808025</v>
      </c>
      <c r="G28" s="82">
        <f>_xll.StatCorrelationCoeff( ST_JobRoleSalesExe,ST_DeptSales)</f>
        <v>0.80886927084594762</v>
      </c>
      <c r="H28" s="82">
        <f>_xll.StatCorrelationCoeff( ST_JobRoleSalesExe,ST_WinsDistanceFromHome)</f>
        <v>3.0760987219837388E-2</v>
      </c>
      <c r="I28" s="82">
        <f>_xll.StatCorrelationCoeff( ST_JobRoleSalesExe,ST_Education)</f>
        <v>5.3398071452887233E-2</v>
      </c>
      <c r="J28" s="82">
        <f>_xll.StatCorrelationCoeff( ST_JobRoleSalesExe,ST_EducationFieldLifeSci)</f>
        <v>-9.1122052513839299E-2</v>
      </c>
      <c r="K28" s="82">
        <f>_xll.StatCorrelationCoeff( ST_JobRoleSalesExe,ST_EducationFieldOther)</f>
        <v>-3.6995207957607912E-2</v>
      </c>
      <c r="L28" s="82">
        <f>_xll.StatCorrelationCoeff( ST_JobRoleSalesExe,ST_EducationFieldMedical)</f>
        <v>-0.1335317519280734</v>
      </c>
      <c r="M28" s="82">
        <f>_xll.StatCorrelationCoeff( ST_JobRoleSalesExe,ST_EducationFieldMkt)</f>
        <v>0.45730810798710109</v>
      </c>
      <c r="N28" s="82">
        <f>_xll.StatCorrelationCoeff( ST_JobRoleSalesExe,ST_EducationFieldTech)</f>
        <v>-5.8843382768927859E-2</v>
      </c>
      <c r="O28" s="82">
        <f>_xll.StatCorrelationCoeff( ST_JobRoleSalesExe,ST_EnvironmentSatisfaction)</f>
        <v>-2.4421374236232401E-2</v>
      </c>
      <c r="P28" s="82">
        <f>_xll.StatCorrelationCoeff( ST_JobRoleSalesExe,ST_Female)</f>
        <v>5.348014173047793E-3</v>
      </c>
      <c r="Q28" s="82">
        <f>_xll.StatCorrelationCoeff( ST_JobRoleSalesExe,ST_HourlyRate)</f>
        <v>-1.1886196300829328E-2</v>
      </c>
      <c r="R28" s="82">
        <f>_xll.StatCorrelationCoeff( ST_JobRoleSalesExe,ST_JobInvolvement)</f>
        <v>-1.1413129955688486E-2</v>
      </c>
      <c r="S28" s="82">
        <f>_xll.StatCorrelationCoeff( ST_JobRoleSalesExe,ST_JobLevel)</f>
        <v>0.1274899815928848</v>
      </c>
      <c r="T28" s="82">
        <f>_xll.StatCorrelationCoeff( ST_JobRoleSalesExe,ST_JobRoleHealthRep)</f>
        <v>-0.16697103803730792</v>
      </c>
      <c r="U28" s="82">
        <v>1</v>
      </c>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row>
    <row r="29" spans="1:45" ht="15" customHeight="1" x14ac:dyDescent="0.45">
      <c r="A29" s="18" t="s">
        <v>26</v>
      </c>
      <c r="B29" s="82">
        <f>_xll.StatCorrelationCoeff( ST_JobRoleLab,ST_WinsAge)</f>
        <v>-0.14303789759863456</v>
      </c>
      <c r="C29" s="82">
        <f>_xll.StatCorrelationCoeff( ST_JobRoleLab,ST_Attritionyes)</f>
        <v>9.8290485459603782E-2</v>
      </c>
      <c r="D29" s="82">
        <f>_xll.StatCorrelationCoeff( ST_JobRoleLab,ST_BusinessTravelFrequently)</f>
        <v>1.0023442547495076E-2</v>
      </c>
      <c r="E29" s="82">
        <f>_xll.StatCorrelationCoeff( ST_JobRoleLab,ST_BusinessTravelrarely)</f>
        <v>-1.4814823377193947E-2</v>
      </c>
      <c r="F29" s="82">
        <f>_xll.StatCorrelationCoeff( ST_JobRoleLab,ST_DeptRD)</f>
        <v>0.33656969393028285</v>
      </c>
      <c r="G29" s="82">
        <f>_xll.StatCorrelationCoeff( ST_JobRoleLab,ST_DeptSales)</f>
        <v>-0.30520754215145185</v>
      </c>
      <c r="H29" s="82">
        <f>_xll.StatCorrelationCoeff( ST_JobRoleLab,ST_WinsDistanceFromHome)</f>
        <v>1.2368885752500485E-2</v>
      </c>
      <c r="I29" s="82">
        <f>_xll.StatCorrelationCoeff( ST_JobRoleLab,ST_Education)</f>
        <v>-6.3566027642493625E-2</v>
      </c>
      <c r="J29" s="82">
        <f>_xll.StatCorrelationCoeff( ST_JobRoleLab,ST_EducationFieldLifeSci)</f>
        <v>4.4358609349199739E-2</v>
      </c>
      <c r="K29" s="82">
        <f>_xll.StatCorrelationCoeff( ST_JobRoleLab,ST_EducationFieldOther)</f>
        <v>5.8759434856955381E-2</v>
      </c>
      <c r="L29" s="82">
        <f>_xll.StatCorrelationCoeff( ST_JobRoleLab,ST_EducationFieldMedical)</f>
        <v>6.6262306917823671E-2</v>
      </c>
      <c r="M29" s="82">
        <f>_xll.StatCorrelationCoeff( ST_JobRoleLab,ST_EducationFieldMkt)</f>
        <v>-0.16105530209589017</v>
      </c>
      <c r="N29" s="82">
        <f>_xll.StatCorrelationCoeff( ST_JobRoleLab,ST_EducationFieldTech)</f>
        <v>-2.65887905465906E-2</v>
      </c>
      <c r="O29" s="82">
        <f>_xll.StatCorrelationCoeff( ST_JobRoleLab,ST_EnvironmentSatisfaction)</f>
        <v>-1.5329215134445295E-3</v>
      </c>
      <c r="P29" s="82">
        <f>_xll.StatCorrelationCoeff( ST_JobRoleLab,ST_Female)</f>
        <v>-6.7793080681620599E-2</v>
      </c>
      <c r="Q29" s="82">
        <f>_xll.StatCorrelationCoeff( ST_JobRoleLab,ST_HourlyRate)</f>
        <v>1.8028428200842061E-2</v>
      </c>
      <c r="R29" s="82">
        <f>_xll.StatCorrelationCoeff( ST_JobRoleLab,ST_JobInvolvement)</f>
        <v>-2.2723562228166707E-2</v>
      </c>
      <c r="S29" s="82">
        <f>_xll.StatCorrelationCoeff( ST_JobRoleLab,ST_JobLevel)</f>
        <v>-0.34460816240740444</v>
      </c>
      <c r="T29" s="82">
        <f>_xll.StatCorrelationCoeff( ST_JobRoleLab,ST_JobRoleHealthRep)</f>
        <v>-0.14465157602649453</v>
      </c>
      <c r="U29" s="82">
        <f>_xll.StatCorrelationCoeff( ST_JobRoleLab,ST_JobRoleSalesExe)</f>
        <v>-0.24687300207672788</v>
      </c>
      <c r="V29" s="82">
        <v>1</v>
      </c>
      <c r="W29" s="82"/>
      <c r="X29" s="82"/>
      <c r="Y29" s="82"/>
      <c r="Z29" s="82"/>
      <c r="AA29" s="82"/>
      <c r="AB29" s="82"/>
      <c r="AC29" s="82"/>
      <c r="AD29" s="82"/>
      <c r="AE29" s="82"/>
      <c r="AF29" s="82"/>
      <c r="AG29" s="82"/>
      <c r="AH29" s="82"/>
      <c r="AI29" s="82"/>
      <c r="AJ29" s="82"/>
      <c r="AK29" s="82"/>
      <c r="AL29" s="82"/>
      <c r="AM29" s="82"/>
      <c r="AN29" s="82"/>
      <c r="AO29" s="82"/>
      <c r="AP29" s="82"/>
      <c r="AQ29" s="82"/>
      <c r="AR29" s="82"/>
      <c r="AS29" s="82"/>
    </row>
    <row r="30" spans="1:45" ht="15" customHeight="1" x14ac:dyDescent="0.45">
      <c r="A30" s="18" t="s">
        <v>27</v>
      </c>
      <c r="B30" s="82">
        <f>_xll.StatCorrelationCoeff( ST_JobRoleMgr,ST_WinsAge)</f>
        <v>0.2946658540990546</v>
      </c>
      <c r="C30" s="82">
        <f>_xll.StatCorrelationCoeff( ST_JobRoleMgr,ST_Attritionyes)</f>
        <v>-8.3316384164499796E-2</v>
      </c>
      <c r="D30" s="82">
        <f>_xll.StatCorrelationCoeff( ST_JobRoleMgr,ST_BusinessTravelFrequently)</f>
        <v>-4.2582678584064414E-2</v>
      </c>
      <c r="E30" s="82">
        <f>_xll.StatCorrelationCoeff( ST_JobRoleMgr,ST_BusinessTravelrarely)</f>
        <v>2.7293867483417882E-2</v>
      </c>
      <c r="F30" s="82">
        <f>_xll.StatCorrelationCoeff( ST_JobRoleMgr,ST_DeptRD)</f>
        <v>-7.1355718588220082E-2</v>
      </c>
      <c r="G30" s="82">
        <f>_xll.StatCorrelationCoeff( ST_JobRoleMgr,ST_DeptSales)</f>
        <v>3.524778730522217E-2</v>
      </c>
      <c r="H30" s="82">
        <f>_xll.StatCorrelationCoeff( ST_JobRoleMgr,ST_WinsDistanceFromHome)</f>
        <v>-3.9189607063388511E-2</v>
      </c>
      <c r="I30" s="82">
        <f>_xll.StatCorrelationCoeff( ST_JobRoleMgr,ST_Education)</f>
        <v>2.8453047508583185E-2</v>
      </c>
      <c r="J30" s="82">
        <f>_xll.StatCorrelationCoeff( ST_JobRoleMgr,ST_EducationFieldLifeSci)</f>
        <v>-1.1143423850640745E-2</v>
      </c>
      <c r="K30" s="82">
        <f>_xll.StatCorrelationCoeff( ST_JobRoleMgr,ST_EducationFieldOther)</f>
        <v>-8.0462433123598479E-3</v>
      </c>
      <c r="L30" s="82">
        <f>_xll.StatCorrelationCoeff( ST_JobRoleMgr,ST_EducationFieldMedical)</f>
        <v>-1.128473519681817E-3</v>
      </c>
      <c r="M30" s="82">
        <f>_xll.StatCorrelationCoeff( ST_JobRoleMgr,ST_EducationFieldMkt)</f>
        <v>2.5576588645085455E-2</v>
      </c>
      <c r="N30" s="82">
        <f>_xll.StatCorrelationCoeff( ST_JobRoleMgr,ST_EducationFieldTech)</f>
        <v>-3.8946396191216912E-2</v>
      </c>
      <c r="O30" s="82">
        <f>_xll.StatCorrelationCoeff( ST_JobRoleMgr,ST_EnvironmentSatisfaction)</f>
        <v>1.0729647255769182E-2</v>
      </c>
      <c r="P30" s="82">
        <f>_xll.StatCorrelationCoeff( ST_JobRoleMgr,ST_Female)</f>
        <v>3.3879963522644489E-2</v>
      </c>
      <c r="Q30" s="82">
        <f>_xll.StatCorrelationCoeff( ST_JobRoleMgr,ST_HourlyRate)</f>
        <v>1.2659370040804486E-2</v>
      </c>
      <c r="R30" s="82">
        <f>_xll.StatCorrelationCoeff( ST_JobRoleMgr,ST_JobInvolvement)</f>
        <v>1.7112423408461943E-2</v>
      </c>
      <c r="S30" s="82">
        <f>_xll.StatCorrelationCoeff( ST_JobRoleMgr,ST_JobLevel)</f>
        <v>0.55274411623799258</v>
      </c>
      <c r="T30" s="82">
        <f>_xll.StatCorrelationCoeff( ST_JobRoleMgr,ST_JobRoleHealthRep)</f>
        <v>-8.5408756040592948E-2</v>
      </c>
      <c r="U30" s="82">
        <f>_xll.StatCorrelationCoeff( ST_JobRoleMgr,ST_JobRoleSalesExe)</f>
        <v>-0.14576485501629197</v>
      </c>
      <c r="V30" s="82">
        <f>_xll.StatCorrelationCoeff( ST_JobRoleMgr,ST_JobRoleLab)</f>
        <v>-0.12628007979843972</v>
      </c>
      <c r="W30" s="82">
        <v>1</v>
      </c>
      <c r="X30" s="82"/>
      <c r="Y30" s="82"/>
      <c r="Z30" s="82"/>
      <c r="AA30" s="82"/>
      <c r="AB30" s="82"/>
      <c r="AC30" s="82"/>
      <c r="AD30" s="82"/>
      <c r="AE30" s="82"/>
      <c r="AF30" s="82"/>
      <c r="AG30" s="82"/>
      <c r="AH30" s="82"/>
      <c r="AI30" s="82"/>
      <c r="AJ30" s="82"/>
      <c r="AK30" s="82"/>
      <c r="AL30" s="82"/>
      <c r="AM30" s="82"/>
      <c r="AN30" s="82"/>
      <c r="AO30" s="82"/>
      <c r="AP30" s="82"/>
      <c r="AQ30" s="82"/>
      <c r="AR30" s="82"/>
      <c r="AS30" s="82"/>
    </row>
    <row r="31" spans="1:45" ht="15" customHeight="1" x14ac:dyDescent="0.45">
      <c r="A31" s="18" t="s">
        <v>28</v>
      </c>
      <c r="B31" s="82">
        <f>_xll.StatCorrelationCoeff( ST_JobRoleManufDir,ST_WinsAge)</f>
        <v>4.976003984170832E-2</v>
      </c>
      <c r="C31" s="82">
        <f>_xll.StatCorrelationCoeff( ST_JobRoleManufDir,ST_Attritionyes)</f>
        <v>-8.2993924081347731E-2</v>
      </c>
      <c r="D31" s="82">
        <f>_xll.StatCorrelationCoeff( ST_JobRoleManufDir,ST_BusinessTravelFrequently)</f>
        <v>9.7828383413752738E-3</v>
      </c>
      <c r="E31" s="82">
        <f>_xll.StatCorrelationCoeff( ST_JobRoleManufDir,ST_BusinessTravelrarely)</f>
        <v>5.9826006896996394E-4</v>
      </c>
      <c r="F31" s="82">
        <f>_xll.StatCorrelationCoeff( ST_JobRoleManufDir,ST_DeptRD)</f>
        <v>0.24075386023911455</v>
      </c>
      <c r="G31" s="82">
        <f>_xll.StatCorrelationCoeff( ST_JobRoleManufDir,ST_DeptSales)</f>
        <v>-0.2183199951516622</v>
      </c>
      <c r="H31" s="82">
        <f>_xll.StatCorrelationCoeff( ST_JobRoleManufDir,ST_WinsDistanceFromHome)</f>
        <v>1.1847605945529166E-2</v>
      </c>
      <c r="I31" s="82">
        <f>_xll.StatCorrelationCoeff( ST_JobRoleManufDir,ST_Education)</f>
        <v>-5.2904670618112541E-3</v>
      </c>
      <c r="J31" s="82">
        <f>_xll.StatCorrelationCoeff( ST_JobRoleManufDir,ST_EducationFieldLifeSci)</f>
        <v>5.202341059466583E-2</v>
      </c>
      <c r="K31" s="82">
        <f>_xll.StatCorrelationCoeff( ST_JobRoleManufDir,ST_EducationFieldOther)</f>
        <v>-1.0819978135027943E-2</v>
      </c>
      <c r="L31" s="82">
        <f>_xll.StatCorrelationCoeff( ST_JobRoleManufDir,ST_EducationFieldMedical)</f>
        <v>3.5496321040697991E-2</v>
      </c>
      <c r="M31" s="82">
        <f>_xll.StatCorrelationCoeff( ST_JobRoleManufDir,ST_EducationFieldMkt)</f>
        <v>-0.11520551728461524</v>
      </c>
      <c r="N31" s="82">
        <f>_xll.StatCorrelationCoeff( ST_JobRoleManufDir,ST_EducationFieldTech)</f>
        <v>7.8172775104287141E-3</v>
      </c>
      <c r="O31" s="82">
        <f>_xll.StatCorrelationCoeff( ST_JobRoleManufDir,ST_EnvironmentSatisfaction)</f>
        <v>5.9177559752468911E-2</v>
      </c>
      <c r="P31" s="82">
        <f>_xll.StatCorrelationCoeff( ST_JobRoleManufDir,ST_Female)</f>
        <v>6.5197429675265178E-2</v>
      </c>
      <c r="Q31" s="82">
        <f>_xll.StatCorrelationCoeff( ST_JobRoleManufDir,ST_HourlyRate)</f>
        <v>-1.4393904502386451E-2</v>
      </c>
      <c r="R31" s="82">
        <f>_xll.StatCorrelationCoeff( ST_JobRoleManufDir,ST_JobInvolvement)</f>
        <v>-2.1938571484758116E-2</v>
      </c>
      <c r="S31" s="82">
        <f>_xll.StatCorrelationCoeff( ST_JobRoleManufDir,ST_JobLevel)</f>
        <v>0.11489586431701659</v>
      </c>
      <c r="T31" s="82">
        <f>_xll.StatCorrelationCoeff( ST_JobRoleManufDir,ST_JobRoleHealthRep)</f>
        <v>-0.10347166113317018</v>
      </c>
      <c r="U31" s="82">
        <f>_xll.StatCorrelationCoeff( ST_JobRoleManufDir,ST_JobRoleSalesExe)</f>
        <v>-0.1765923352894091</v>
      </c>
      <c r="V31" s="82">
        <f>_xll.StatCorrelationCoeff( ST_JobRoleManufDir,ST_JobRoleLab)</f>
        <v>-0.15298676892758153</v>
      </c>
      <c r="W31" s="82">
        <f>_xll.StatCorrelationCoeff( ST_JobRoleManufDir,ST_JobRoleMgr)</f>
        <v>-9.0330226491143445E-2</v>
      </c>
      <c r="X31" s="82">
        <v>1</v>
      </c>
      <c r="Y31" s="82"/>
      <c r="Z31" s="82"/>
      <c r="AA31" s="82"/>
      <c r="AB31" s="82"/>
      <c r="AC31" s="82"/>
      <c r="AD31" s="82"/>
      <c r="AE31" s="82"/>
      <c r="AF31" s="82"/>
      <c r="AG31" s="82"/>
      <c r="AH31" s="82"/>
      <c r="AI31" s="82"/>
      <c r="AJ31" s="82"/>
      <c r="AK31" s="82"/>
      <c r="AL31" s="82"/>
      <c r="AM31" s="82"/>
      <c r="AN31" s="82"/>
      <c r="AO31" s="82"/>
      <c r="AP31" s="82"/>
      <c r="AQ31" s="82"/>
      <c r="AR31" s="82"/>
      <c r="AS31" s="82"/>
    </row>
    <row r="32" spans="1:45" ht="15" customHeight="1" x14ac:dyDescent="0.45">
      <c r="A32" s="18" t="s">
        <v>29</v>
      </c>
      <c r="B32" s="82">
        <f>_xll.StatCorrelationCoeff( ST_JobRoleResearchDir,ST_WinsAge)</f>
        <v>4.976003984170832E-2</v>
      </c>
      <c r="C32" s="82">
        <f>_xll.StatCorrelationCoeff( ST_JobRoleResearchDir,ST_Attritionyes)</f>
        <v>-8.2993924081347731E-2</v>
      </c>
      <c r="D32" s="82">
        <f>_xll.StatCorrelationCoeff( ST_JobRoleResearchDir,ST_BusinessTravelFrequently)</f>
        <v>9.7828383413752738E-3</v>
      </c>
      <c r="E32" s="82">
        <f>_xll.StatCorrelationCoeff( ST_JobRoleResearchDir,ST_BusinessTravelrarely)</f>
        <v>5.9826006896996394E-4</v>
      </c>
      <c r="F32" s="82">
        <f>_xll.StatCorrelationCoeff( ST_JobRoleResearchDir,ST_DeptRD)</f>
        <v>0.24075386023911455</v>
      </c>
      <c r="G32" s="82">
        <f>_xll.StatCorrelationCoeff( ST_JobRoleResearchDir,ST_DeptSales)</f>
        <v>-0.2183199951516622</v>
      </c>
      <c r="H32" s="82">
        <f>_xll.StatCorrelationCoeff( ST_JobRoleResearchDir,ST_WinsDistanceFromHome)</f>
        <v>1.1847605945529166E-2</v>
      </c>
      <c r="I32" s="82">
        <f>_xll.StatCorrelationCoeff( ST_JobRoleResearchDir,ST_Education)</f>
        <v>-5.2904670618112541E-3</v>
      </c>
      <c r="J32" s="82">
        <f>_xll.StatCorrelationCoeff( ST_JobRoleResearchDir,ST_EducationFieldLifeSci)</f>
        <v>5.202341059466583E-2</v>
      </c>
      <c r="K32" s="82">
        <f>_xll.StatCorrelationCoeff( ST_JobRoleResearchDir,ST_EducationFieldOther)</f>
        <v>-1.0819978135027943E-2</v>
      </c>
      <c r="L32" s="82">
        <f>_xll.StatCorrelationCoeff( ST_JobRoleResearchDir,ST_EducationFieldMedical)</f>
        <v>3.5496321040697991E-2</v>
      </c>
      <c r="M32" s="82">
        <f>_xll.StatCorrelationCoeff( ST_JobRoleResearchDir,ST_EducationFieldMkt)</f>
        <v>-0.11520551728461524</v>
      </c>
      <c r="N32" s="82">
        <f>_xll.StatCorrelationCoeff( ST_JobRoleResearchDir,ST_EducationFieldTech)</f>
        <v>7.8172775104287141E-3</v>
      </c>
      <c r="O32" s="82">
        <f>_xll.StatCorrelationCoeff( ST_JobRoleResearchDir,ST_EnvironmentSatisfaction)</f>
        <v>5.9177559752468911E-2</v>
      </c>
      <c r="P32" s="82">
        <f>_xll.StatCorrelationCoeff( ST_JobRoleResearchDir,ST_Female)</f>
        <v>6.5197429675265178E-2</v>
      </c>
      <c r="Q32" s="82">
        <f>_xll.StatCorrelationCoeff( ST_JobRoleResearchDir,ST_HourlyRate)</f>
        <v>-1.4393904502386451E-2</v>
      </c>
      <c r="R32" s="82">
        <f>_xll.StatCorrelationCoeff( ST_JobRoleResearchDir,ST_JobInvolvement)</f>
        <v>-2.1938571484758116E-2</v>
      </c>
      <c r="S32" s="82">
        <f>_xll.StatCorrelationCoeff( ST_JobRoleResearchDir,ST_JobLevel)</f>
        <v>0.11489586431701659</v>
      </c>
      <c r="T32" s="82">
        <f>_xll.StatCorrelationCoeff( ST_JobRoleResearchDir,ST_JobRoleHealthRep)</f>
        <v>-0.10347166113317018</v>
      </c>
      <c r="U32" s="82">
        <f>_xll.StatCorrelationCoeff( ST_JobRoleResearchDir,ST_JobRoleSalesExe)</f>
        <v>-0.1765923352894091</v>
      </c>
      <c r="V32" s="82">
        <f>_xll.StatCorrelationCoeff( ST_JobRoleResearchDir,ST_JobRoleLab)</f>
        <v>-0.15298676892758153</v>
      </c>
      <c r="W32" s="82">
        <f>_xll.StatCorrelationCoeff( ST_JobRoleResearchDir,ST_JobRoleMgr)</f>
        <v>-9.0330226491143445E-2</v>
      </c>
      <c r="X32" s="82">
        <f>_xll.StatCorrelationCoeff( ST_JobRoleResearchDir,ST_JobRoleManufDir)</f>
        <v>1</v>
      </c>
      <c r="Y32" s="82">
        <v>1</v>
      </c>
      <c r="Z32" s="82"/>
      <c r="AA32" s="82"/>
      <c r="AB32" s="82"/>
      <c r="AC32" s="82"/>
      <c r="AD32" s="82"/>
      <c r="AE32" s="82"/>
      <c r="AF32" s="82"/>
      <c r="AG32" s="82"/>
      <c r="AH32" s="82"/>
      <c r="AI32" s="82"/>
      <c r="AJ32" s="82"/>
      <c r="AK32" s="82"/>
      <c r="AL32" s="82"/>
      <c r="AM32" s="82"/>
      <c r="AN32" s="82"/>
      <c r="AO32" s="82"/>
      <c r="AP32" s="82"/>
      <c r="AQ32" s="82"/>
      <c r="AR32" s="82"/>
      <c r="AS32" s="82"/>
    </row>
    <row r="33" spans="1:45" ht="15" customHeight="1" x14ac:dyDescent="0.45">
      <c r="A33" s="18" t="s">
        <v>30</v>
      </c>
      <c r="B33" s="82">
        <f>_xll.StatCorrelationCoeff( ST_JobRoleSalesRep,ST_WinsAge)</f>
        <v>-0.1753786653091573</v>
      </c>
      <c r="C33" s="82">
        <f>_xll.StatCorrelationCoeff( ST_JobRoleSalesRep,ST_Attritionyes)</f>
        <v>0.15723427011479579</v>
      </c>
      <c r="D33" s="82">
        <f>_xll.StatCorrelationCoeff( ST_JobRoleSalesRep,ST_BusinessTravelFrequently)</f>
        <v>5.5468923526577889E-2</v>
      </c>
      <c r="E33" s="82">
        <f>_xll.StatCorrelationCoeff( ST_JobRoleSalesRep,ST_BusinessTravelrarely)</f>
        <v>-2.5257288681668356E-2</v>
      </c>
      <c r="F33" s="82">
        <f>_xll.StatCorrelationCoeff( ST_JobRoleSalesRep,ST_DeptRD)</f>
        <v>-0.33612716947333998</v>
      </c>
      <c r="G33" s="82">
        <f>_xll.StatCorrelationCoeff( ST_JobRoleSalesRep,ST_DeptSales)</f>
        <v>0.37066652335594447</v>
      </c>
      <c r="H33" s="82">
        <f>_xll.StatCorrelationCoeff( ST_JobRoleSalesRep,ST_WinsDistanceFromHome)</f>
        <v>-1.599418292826945E-2</v>
      </c>
      <c r="I33" s="82">
        <f>_xll.StatCorrelationCoeff( ST_JobRoleSalesRep,ST_Education)</f>
        <v>-9.1465208011496116E-2</v>
      </c>
      <c r="J33" s="82">
        <f>_xll.StatCorrelationCoeff( ST_JobRoleSalesRep,ST_EducationFieldLifeSci)</f>
        <v>-4.3207889241825496E-2</v>
      </c>
      <c r="K33" s="82">
        <f>_xll.StatCorrelationCoeff( ST_JobRoleSalesRep,ST_EducationFieldOther)</f>
        <v>-3.3774032248080066E-2</v>
      </c>
      <c r="L33" s="82">
        <f>_xll.StatCorrelationCoeff( ST_JobRoleSalesRep,ST_EducationFieldMedical)</f>
        <v>-5.1990484618624051E-2</v>
      </c>
      <c r="M33" s="82">
        <f>_xll.StatCorrelationCoeff( ST_JobRoleSalesRep,ST_EducationFieldMkt)</f>
        <v>0.13306505522105183</v>
      </c>
      <c r="N33" s="82">
        <f>_xll.StatCorrelationCoeff( ST_JobRoleSalesRep,ST_EducationFieldTech)</f>
        <v>5.7184510523381048E-2</v>
      </c>
      <c r="O33" s="82">
        <f>_xll.StatCorrelationCoeff( ST_JobRoleSalesRep,ST_EnvironmentSatisfaction)</f>
        <v>2.9486023460434181E-3</v>
      </c>
      <c r="P33" s="82">
        <f>_xll.StatCorrelationCoeff( ST_JobRoleSalesRep,ST_Female)</f>
        <v>2.8877416702383203E-2</v>
      </c>
      <c r="Q33" s="82">
        <f>_xll.StatCorrelationCoeff( ST_JobRoleSalesRep,ST_HourlyRate)</f>
        <v>-1.8703398465039198E-2</v>
      </c>
      <c r="R33" s="82">
        <f>_xll.StatCorrelationCoeff( ST_JobRoleSalesRep,ST_JobInvolvement)</f>
        <v>-2.7281699678110706E-2</v>
      </c>
      <c r="S33" s="82">
        <f>_xll.StatCorrelationCoeff( ST_JobRoleSalesRep,ST_JobLevel)</f>
        <v>-0.21655936441039295</v>
      </c>
      <c r="T33" s="82">
        <f>_xll.StatCorrelationCoeff( ST_JobRoleSalesRep,ST_JobRoleHealthRep)</f>
        <v>-7.6514928185732578E-2</v>
      </c>
      <c r="U33" s="82">
        <f>_xll.StatCorrelationCoeff( ST_JobRoleSalesRep,ST_JobRoleSalesExe)</f>
        <v>-0.13058599528454504</v>
      </c>
      <c r="V33" s="82">
        <f>_xll.StatCorrelationCoeff( ST_JobRoleSalesRep,ST_JobRoleLab)</f>
        <v>-0.11313021855129146</v>
      </c>
      <c r="W33" s="82">
        <f>_xll.StatCorrelationCoeff( ST_JobRoleSalesRep,ST_JobRoleMgr)</f>
        <v>-6.6797137663378151E-2</v>
      </c>
      <c r="X33" s="82">
        <f>_xll.StatCorrelationCoeff( ST_JobRoleSalesRep,ST_JobRoleManufDir)</f>
        <v>-8.0923913581955775E-2</v>
      </c>
      <c r="Y33" s="82">
        <f>_xll.StatCorrelationCoeff( ST_JobRoleSalesRep,ST_JobRoleResearchDir)</f>
        <v>-8.0923913581955775E-2</v>
      </c>
      <c r="Z33" s="82">
        <v>1</v>
      </c>
      <c r="AA33" s="82"/>
      <c r="AB33" s="82"/>
      <c r="AC33" s="82"/>
      <c r="AD33" s="82"/>
      <c r="AE33" s="82"/>
      <c r="AF33" s="82"/>
      <c r="AG33" s="82"/>
      <c r="AH33" s="82"/>
      <c r="AI33" s="82"/>
      <c r="AJ33" s="82"/>
      <c r="AK33" s="82"/>
      <c r="AL33" s="82"/>
      <c r="AM33" s="82"/>
      <c r="AN33" s="82"/>
      <c r="AO33" s="82"/>
      <c r="AP33" s="82"/>
      <c r="AQ33" s="82"/>
      <c r="AR33" s="82"/>
      <c r="AS33" s="82"/>
    </row>
    <row r="34" spans="1:45" ht="15" customHeight="1" x14ac:dyDescent="0.45">
      <c r="A34" s="18" t="s">
        <v>31</v>
      </c>
      <c r="B34" s="82">
        <f>_xll.StatCorrelationCoeff( ST_JobRoleResearchSci,ST_WinsAge)</f>
        <v>-0.14658179848213357</v>
      </c>
      <c r="C34" s="82">
        <f>_xll.StatCorrelationCoeff( ST_JobRoleResearchSci,ST_Attritionyes)</f>
        <v>-3.5957134043646449E-4</v>
      </c>
      <c r="D34" s="82">
        <f>_xll.StatCorrelationCoeff( ST_JobRoleResearchSci,ST_BusinessTravelFrequently)</f>
        <v>-4.4609120297839124E-3</v>
      </c>
      <c r="E34" s="82">
        <f>_xll.StatCorrelationCoeff( ST_JobRoleResearchSci,ST_BusinessTravelrarely)</f>
        <v>1.0587650190984909E-2</v>
      </c>
      <c r="F34" s="82">
        <f>_xll.StatCorrelationCoeff( ST_JobRoleResearchSci,ST_DeptRD)</f>
        <v>0.36233974790304163</v>
      </c>
      <c r="G34" s="82">
        <f>_xll.StatCorrelationCoeff( ST_JobRoleResearchSci,ST_DeptSales)</f>
        <v>-0.32857629749684952</v>
      </c>
      <c r="H34" s="82">
        <f>_xll.StatCorrelationCoeff( ST_JobRoleResearchSci,ST_WinsDistanceFromHome)</f>
        <v>-1.0985650729399336E-2</v>
      </c>
      <c r="I34" s="82">
        <f>_xll.StatCorrelationCoeff( ST_JobRoleResearchSci,ST_Education)</f>
        <v>7.092033696277345E-4</v>
      </c>
      <c r="J34" s="82">
        <f>_xll.StatCorrelationCoeff( ST_JobRoleResearchSci,ST_EducationFieldLifeSci)</f>
        <v>4.372944003191935E-2</v>
      </c>
      <c r="K34" s="82">
        <f>_xll.StatCorrelationCoeff( ST_JobRoleResearchSci,ST_EducationFieldOther)</f>
        <v>5.2864722195743435E-3</v>
      </c>
      <c r="L34" s="82">
        <f>_xll.StatCorrelationCoeff( ST_JobRoleResearchSci,ST_EducationFieldMedical)</f>
        <v>3.9735215068480031E-2</v>
      </c>
      <c r="M34" s="82">
        <f>_xll.StatCorrelationCoeff( ST_JobRoleResearchSci,ST_EducationFieldMkt)</f>
        <v>-0.17338678619103548</v>
      </c>
      <c r="N34" s="82">
        <f>_xll.StatCorrelationCoeff( ST_JobRoleResearchSci,ST_EducationFieldTech)</f>
        <v>7.6217592188302291E-2</v>
      </c>
      <c r="O34" s="82">
        <f>_xll.StatCorrelationCoeff( ST_JobRoleResearchSci,ST_EnvironmentSatisfaction)</f>
        <v>1.9403931247543769E-3</v>
      </c>
      <c r="P34" s="82">
        <f>_xll.StatCorrelationCoeff( ST_JobRoleResearchSci,ST_Female)</f>
        <v>-9.7451457646946169E-3</v>
      </c>
      <c r="Q34" s="82">
        <f>_xll.StatCorrelationCoeff( ST_JobRoleResearchSci,ST_HourlyRate)</f>
        <v>2.0033678619889837E-2</v>
      </c>
      <c r="R34" s="82">
        <f>_xll.StatCorrelationCoeff( ST_JobRoleResearchSci,ST_JobInvolvement)</f>
        <v>4.7604470995712092E-2</v>
      </c>
      <c r="S34" s="82">
        <f>_xll.StatCorrelationCoeff( ST_JobRoleResearchSci,ST_JobLevel)</f>
        <v>-0.38778833872285412</v>
      </c>
      <c r="T34" s="82">
        <f>_xll.StatCorrelationCoeff( ST_JobRoleResearchSci,ST_JobRoleHealthRep)</f>
        <v>-0.15572707981863626</v>
      </c>
      <c r="U34" s="82">
        <f>_xll.StatCorrelationCoeff( ST_JobRoleResearchSci,ST_JobRoleSalesExe)</f>
        <v>-0.26577527017354541</v>
      </c>
      <c r="V34" s="82">
        <f>_xll.StatCorrelationCoeff( ST_JobRoleResearchSci,ST_JobRoleLab)</f>
        <v>-0.23024838409927961</v>
      </c>
      <c r="W34" s="82">
        <f>_xll.StatCorrelationCoeff( ST_JobRoleResearchSci,ST_JobRoleMgr)</f>
        <v>-0.13594893748460901</v>
      </c>
      <c r="X34" s="82">
        <f>_xll.StatCorrelationCoeff( ST_JobRoleResearchSci,ST_JobRoleManufDir)</f>
        <v>-0.16470047150829092</v>
      </c>
      <c r="Y34" s="82">
        <f>_xll.StatCorrelationCoeff( ST_JobRoleResearchSci,ST_JobRoleResearchDir)</f>
        <v>-0.16470047150829092</v>
      </c>
      <c r="Z34" s="82">
        <f>_xll.StatCorrelationCoeff( ST_JobRoleResearchSci,ST_JobRoleSalesRep)</f>
        <v>-0.12179223385032878</v>
      </c>
      <c r="AA34" s="82">
        <v>1</v>
      </c>
      <c r="AB34" s="82"/>
      <c r="AC34" s="82"/>
      <c r="AD34" s="82"/>
      <c r="AE34" s="82"/>
      <c r="AF34" s="82"/>
      <c r="AG34" s="82"/>
      <c r="AH34" s="82"/>
      <c r="AI34" s="82"/>
      <c r="AJ34" s="82"/>
      <c r="AK34" s="82"/>
      <c r="AL34" s="82"/>
      <c r="AM34" s="82"/>
      <c r="AN34" s="82"/>
      <c r="AO34" s="82"/>
      <c r="AP34" s="82"/>
      <c r="AQ34" s="82"/>
      <c r="AR34" s="82"/>
      <c r="AS34" s="82"/>
    </row>
    <row r="35" spans="1:45" ht="15" customHeight="1" x14ac:dyDescent="0.45">
      <c r="A35" s="18" t="s">
        <v>32</v>
      </c>
      <c r="B35" s="82">
        <f>_xll.StatCorrelationCoeff( ST_JobSatisfaction,ST_WinsAge)</f>
        <v>-4.5460549905434761E-3</v>
      </c>
      <c r="C35" s="82">
        <f>_xll.StatCorrelationCoeff( ST_JobSatisfaction,ST_Attritionyes)</f>
        <v>-0.10348112606902207</v>
      </c>
      <c r="D35" s="82">
        <f>_xll.StatCorrelationCoeff( ST_JobSatisfaction,ST_BusinessTravelFrequently)</f>
        <v>2.7116918112133712E-2</v>
      </c>
      <c r="E35" s="82">
        <f>_xll.StatCorrelationCoeff( ST_JobSatisfaction,ST_BusinessTravelrarely)</f>
        <v>-3.6561923611355775E-2</v>
      </c>
      <c r="F35" s="82">
        <f>_xll.StatCorrelationCoeff( ST_JobSatisfaction,ST_DeptRD)</f>
        <v>-2.7976357623329109E-3</v>
      </c>
      <c r="G35" s="82">
        <f>_xll.StatCorrelationCoeff( ST_JobSatisfaction,ST_DeptSales)</f>
        <v>1.3498641398040013E-2</v>
      </c>
      <c r="H35" s="82">
        <f>_xll.StatCorrelationCoeff( ST_JobSatisfaction,ST_WinsDistanceFromHome)</f>
        <v>-3.6688391677204219E-3</v>
      </c>
      <c r="I35" s="82">
        <f>_xll.StatCorrelationCoeff( ST_JobSatisfaction,ST_Education)</f>
        <v>-1.1296116736574009E-2</v>
      </c>
      <c r="J35" s="82">
        <f>_xll.StatCorrelationCoeff( ST_JobSatisfaction,ST_EducationFieldLifeSci)</f>
        <v>5.2004178148208235E-2</v>
      </c>
      <c r="K35" s="82">
        <f>_xll.StatCorrelationCoeff( ST_JobSatisfaction,ST_EducationFieldOther)</f>
        <v>3.3799931611425394E-3</v>
      </c>
      <c r="L35" s="82">
        <f>_xll.StatCorrelationCoeff( ST_JobSatisfaction,ST_EducationFieldMedical)</f>
        <v>-2.2645460408124141E-2</v>
      </c>
      <c r="M35" s="82">
        <f>_xll.StatCorrelationCoeff( ST_JobSatisfaction,ST_EducationFieldMkt)</f>
        <v>-2.3528239439586755E-2</v>
      </c>
      <c r="N35" s="82">
        <f>_xll.StatCorrelationCoeff( ST_JobSatisfaction,ST_EducationFieldTech)</f>
        <v>-1.9794968473403746E-2</v>
      </c>
      <c r="O35" s="82">
        <f>_xll.StatCorrelationCoeff( ST_JobSatisfaction,ST_EnvironmentSatisfaction)</f>
        <v>-6.7843525990751901E-3</v>
      </c>
      <c r="P35" s="82">
        <f>_xll.StatCorrelationCoeff( ST_JobSatisfaction,ST_Female)</f>
        <v>-3.3251697422464713E-2</v>
      </c>
      <c r="Q35" s="82">
        <f>_xll.StatCorrelationCoeff( ST_JobSatisfaction,ST_HourlyRate)</f>
        <v>-7.1334624373788513E-2</v>
      </c>
      <c r="R35" s="82">
        <f>_xll.StatCorrelationCoeff( ST_JobSatisfaction,ST_JobInvolvement)</f>
        <v>-2.1475910335307023E-2</v>
      </c>
      <c r="S35" s="82">
        <f>_xll.StatCorrelationCoeff( ST_JobSatisfaction,ST_JobLevel)</f>
        <v>-1.9437080267456805E-3</v>
      </c>
      <c r="T35" s="82">
        <f>_xll.StatCorrelationCoeff( ST_JobSatisfaction,ST_JobRoleHealthRep)</f>
        <v>1.6366828977822555E-2</v>
      </c>
      <c r="U35" s="82">
        <f>_xll.StatCorrelationCoeff( ST_JobSatisfaction,ST_JobRoleSalesExe)</f>
        <v>1.2603740166983422E-2</v>
      </c>
      <c r="V35" s="82">
        <f>_xll.StatCorrelationCoeff( ST_JobSatisfaction,ST_JobRoleLab)</f>
        <v>-1.5710233114792155E-2</v>
      </c>
      <c r="W35" s="82">
        <f>_xll.StatCorrelationCoeff( ST_JobSatisfaction,ST_JobRoleMgr)</f>
        <v>-5.6196166247865619E-3</v>
      </c>
      <c r="X35" s="82">
        <f>_xll.StatCorrelationCoeff( ST_JobSatisfaction,ST_JobRoleManufDir)</f>
        <v>-1.3746616636257753E-2</v>
      </c>
      <c r="Y35" s="82">
        <f>_xll.StatCorrelationCoeff( ST_JobSatisfaction,ST_JobRoleResearchDir)</f>
        <v>-1.3746616636257753E-2</v>
      </c>
      <c r="Z35" s="82">
        <f>_xll.StatCorrelationCoeff( ST_JobSatisfaction,ST_JobRoleSalesRep)</f>
        <v>1.4130556178143477E-3</v>
      </c>
      <c r="AA35" s="82">
        <f>_xll.StatCorrelationCoeff( ST_JobSatisfaction,ST_JobRoleResearchSci)</f>
        <v>2.0503061478235135E-2</v>
      </c>
      <c r="AB35" s="82">
        <v>1</v>
      </c>
      <c r="AC35" s="82"/>
      <c r="AD35" s="82"/>
      <c r="AE35" s="82"/>
      <c r="AF35" s="82"/>
      <c r="AG35" s="82"/>
      <c r="AH35" s="82"/>
      <c r="AI35" s="82"/>
      <c r="AJ35" s="82"/>
      <c r="AK35" s="82"/>
      <c r="AL35" s="82"/>
      <c r="AM35" s="82"/>
      <c r="AN35" s="82"/>
      <c r="AO35" s="82"/>
      <c r="AP35" s="82"/>
      <c r="AQ35" s="82"/>
      <c r="AR35" s="82"/>
      <c r="AS35" s="82"/>
    </row>
    <row r="36" spans="1:45" ht="15" customHeight="1" x14ac:dyDescent="0.45">
      <c r="A36" s="18" t="s">
        <v>34</v>
      </c>
      <c r="B36" s="82">
        <f>_xll.StatCorrelationCoeff( ST_MaritalSingle,ST_WinsAge)</f>
        <v>-0.11882422353289361</v>
      </c>
      <c r="C36" s="82">
        <f>_xll.StatCorrelationCoeff( ST_MaritalSingle,ST_Attritionyes)</f>
        <v>0.17541855360922307</v>
      </c>
      <c r="D36" s="82">
        <f>_xll.StatCorrelationCoeff( ST_MaritalSingle,ST_BusinessTravelFrequently)</f>
        <v>2.7733911579581678E-2</v>
      </c>
      <c r="E36" s="82">
        <f>_xll.StatCorrelationCoeff( ST_MaritalSingle,ST_BusinessTravelrarely)</f>
        <v>-2.0808076108798795E-2</v>
      </c>
      <c r="F36" s="82">
        <f>_xll.StatCorrelationCoeff( ST_MaritalSingle,ST_DeptRD)</f>
        <v>-9.9900117594669928E-3</v>
      </c>
      <c r="G36" s="82">
        <f>_xll.StatCorrelationCoeff( ST_MaritalSingle,ST_DeptSales)</f>
        <v>3.3002067540700564E-2</v>
      </c>
      <c r="H36" s="82">
        <f>_xll.StatCorrelationCoeff( ST_MaritalSingle,ST_WinsDistanceFromHome)</f>
        <v>-2.7445259295222339E-2</v>
      </c>
      <c r="I36" s="82">
        <f>_xll.StatCorrelationCoeff( ST_MaritalSingle,ST_Education)</f>
        <v>4.1675426664590769E-3</v>
      </c>
      <c r="J36" s="82">
        <f>_xll.StatCorrelationCoeff( ST_MaritalSingle,ST_EducationFieldLifeSci)</f>
        <v>2.146878641998996E-2</v>
      </c>
      <c r="K36" s="82">
        <f>_xll.StatCorrelationCoeff( ST_MaritalSingle,ST_EducationFieldOther)</f>
        <v>4.9721846917627601E-3</v>
      </c>
      <c r="L36" s="82">
        <f>_xll.StatCorrelationCoeff( ST_MaritalSingle,ST_EducationFieldMedical)</f>
        <v>-4.2486031503845955E-3</v>
      </c>
      <c r="M36" s="82">
        <f>_xll.StatCorrelationCoeff( ST_MaritalSingle,ST_EducationFieldMkt)</f>
        <v>-1.3322545679615086E-2</v>
      </c>
      <c r="N36" s="82">
        <f>_xll.StatCorrelationCoeff( ST_MaritalSingle,ST_EducationFieldTech)</f>
        <v>1.4265200186807327E-2</v>
      </c>
      <c r="O36" s="82">
        <f>_xll.StatCorrelationCoeff( ST_MaritalSingle,ST_EnvironmentSatisfaction)</f>
        <v>9.0354910173754376E-3</v>
      </c>
      <c r="P36" s="82">
        <f>_xll.StatCorrelationCoeff( ST_MaritalSingle,ST_Female)</f>
        <v>3.2752023379647055E-2</v>
      </c>
      <c r="Q36" s="82">
        <f>_xll.StatCorrelationCoeff( ST_MaritalSingle,ST_HourlyRate)</f>
        <v>-3.3435957526772683E-2</v>
      </c>
      <c r="R36" s="82">
        <f>_xll.StatCorrelationCoeff( ST_MaritalSingle,ST_JobInvolvement)</f>
        <v>-4.5253286721766997E-2</v>
      </c>
      <c r="S36" s="82">
        <f>_xll.StatCorrelationCoeff( ST_MaritalSingle,ST_JobLevel)</f>
        <v>-8.7071633900435944E-2</v>
      </c>
      <c r="T36" s="82">
        <f>_xll.StatCorrelationCoeff( ST_MaritalSingle,ST_JobRoleHealthRep)</f>
        <v>-3.0125984073538111E-2</v>
      </c>
      <c r="U36" s="82">
        <f>_xll.StatCorrelationCoeff( ST_MaritalSingle,ST_JobRoleSalesExe)</f>
        <v>6.2101573854397418E-3</v>
      </c>
      <c r="V36" s="82">
        <f>_xll.StatCorrelationCoeff( ST_MaritalSingle,ST_JobRoleLab)</f>
        <v>1.9872552609057931E-2</v>
      </c>
      <c r="W36" s="82">
        <f>_xll.StatCorrelationCoeff( ST_MaritalSingle,ST_JobRoleMgr)</f>
        <v>-5.5175985431068171E-2</v>
      </c>
      <c r="X36" s="82">
        <f>_xll.StatCorrelationCoeff( ST_MaritalSingle,ST_JobRoleManufDir)</f>
        <v>-2.1331291979097385E-2</v>
      </c>
      <c r="Y36" s="82">
        <f>_xll.StatCorrelationCoeff( ST_MaritalSingle,ST_JobRoleResearchDir)</f>
        <v>-2.1331291979097385E-2</v>
      </c>
      <c r="Z36" s="82">
        <f>_xll.StatCorrelationCoeff( ST_MaritalSingle,ST_JobRoleSalesRep)</f>
        <v>7.2439209020991865E-2</v>
      </c>
      <c r="AA36" s="82">
        <f>_xll.StatCorrelationCoeff( ST_MaritalSingle,ST_JobRoleResearchSci)</f>
        <v>5.3521622074212259E-2</v>
      </c>
      <c r="AB36" s="82">
        <f>_xll.StatCorrelationCoeff( ST_MaritalSingle,ST_JobSatisfaction)</f>
        <v>2.4571362098382586E-2</v>
      </c>
      <c r="AC36" s="82">
        <v>1</v>
      </c>
      <c r="AD36" s="82"/>
      <c r="AE36" s="82"/>
      <c r="AF36" s="82"/>
      <c r="AG36" s="82"/>
      <c r="AH36" s="82"/>
      <c r="AI36" s="82"/>
      <c r="AJ36" s="82"/>
      <c r="AK36" s="82"/>
      <c r="AL36" s="82"/>
      <c r="AM36" s="82"/>
      <c r="AN36" s="82"/>
      <c r="AO36" s="82"/>
      <c r="AP36" s="82"/>
      <c r="AQ36" s="82"/>
      <c r="AR36" s="82"/>
      <c r="AS36" s="82"/>
    </row>
    <row r="37" spans="1:45" ht="15" customHeight="1" x14ac:dyDescent="0.45">
      <c r="A37" s="18" t="s">
        <v>35</v>
      </c>
      <c r="B37" s="82">
        <f>_xll.StatCorrelationCoeff( ST_MaritalMarried,ST_WinsAge)</f>
        <v>8.3733198054443028E-2</v>
      </c>
      <c r="C37" s="82">
        <f>_xll.StatCorrelationCoeff( ST_MaritalMarried,ST_Attritionyes)</f>
        <v>-9.098365120728194E-2</v>
      </c>
      <c r="D37" s="82">
        <f>_xll.StatCorrelationCoeff( ST_MaritalMarried,ST_BusinessTravelFrequently)</f>
        <v>-3.0785181006550182E-2</v>
      </c>
      <c r="E37" s="82">
        <f>_xll.StatCorrelationCoeff( ST_MaritalMarried,ST_BusinessTravelrarely)</f>
        <v>5.5612529102295256E-2</v>
      </c>
      <c r="F37" s="82">
        <f>_xll.StatCorrelationCoeff( ST_MaritalMarried,ST_DeptRD)</f>
        <v>-1.999723244923703E-2</v>
      </c>
      <c r="G37" s="82">
        <f>_xll.StatCorrelationCoeff( ST_MaritalMarried,ST_DeptSales)</f>
        <v>5.378410556396024E-3</v>
      </c>
      <c r="H37" s="82">
        <f>_xll.StatCorrelationCoeff( ST_MaritalMarried,ST_WinsDistanceFromHome)</f>
        <v>3.0232069479891824E-2</v>
      </c>
      <c r="I37" s="82">
        <f>_xll.StatCorrelationCoeff( ST_MaritalMarried,ST_Education)</f>
        <v>-1.8652925069996148E-3</v>
      </c>
      <c r="J37" s="82">
        <f>_xll.StatCorrelationCoeff( ST_MaritalMarried,ST_EducationFieldLifeSci)</f>
        <v>-1.7866042926371711E-2</v>
      </c>
      <c r="K37" s="82">
        <f>_xll.StatCorrelationCoeff( ST_MaritalMarried,ST_EducationFieldOther)</f>
        <v>-9.1711026296614189E-3</v>
      </c>
      <c r="L37" s="82">
        <f>_xll.StatCorrelationCoeff( ST_MaritalMarried,ST_EducationFieldMedical)</f>
        <v>-7.1386612967362382E-3</v>
      </c>
      <c r="M37" s="82">
        <f>_xll.StatCorrelationCoeff( ST_MaritalMarried,ST_EducationFieldMkt)</f>
        <v>1.8491095674649346E-2</v>
      </c>
      <c r="N37" s="82">
        <f>_xll.StatCorrelationCoeff( ST_MaritalMarried,ST_EducationFieldTech)</f>
        <v>2.7096570999069567E-3</v>
      </c>
      <c r="O37" s="82">
        <f>_xll.StatCorrelationCoeff( ST_MaritalMarried,ST_EnvironmentSatisfaction)</f>
        <v>-2.2180172946198146E-2</v>
      </c>
      <c r="P37" s="82">
        <f>_xll.StatCorrelationCoeff( ST_MaritalMarried,ST_Female)</f>
        <v>7.803972272476329E-3</v>
      </c>
      <c r="Q37" s="82">
        <f>_xll.StatCorrelationCoeff( ST_MaritalMarried,ST_HourlyRate)</f>
        <v>3.643232176051623E-2</v>
      </c>
      <c r="R37" s="82">
        <f>_xll.StatCorrelationCoeff( ST_MaritalMarried,ST_JobInvolvement)</f>
        <v>2.8324424347787303E-2</v>
      </c>
      <c r="S37" s="82">
        <f>_xll.StatCorrelationCoeff( ST_MaritalMarried,ST_JobLevel)</f>
        <v>5.0547074798450359E-2</v>
      </c>
      <c r="T37" s="82">
        <f>_xll.StatCorrelationCoeff( ST_MaritalMarried,ST_JobRoleHealthRep)</f>
        <v>4.9130436559253598E-3</v>
      </c>
      <c r="U37" s="82">
        <f>_xll.StatCorrelationCoeff( ST_MaritalMarried,ST_JobRoleSalesExe)</f>
        <v>5.7505907201347321E-3</v>
      </c>
      <c r="V37" s="82">
        <f>_xll.StatCorrelationCoeff( ST_MaritalMarried,ST_JobRoleLab)</f>
        <v>-9.232868682279927E-3</v>
      </c>
      <c r="W37" s="82">
        <f>_xll.StatCorrelationCoeff( ST_MaritalMarried,ST_JobRoleMgr)</f>
        <v>4.9982243757433154E-2</v>
      </c>
      <c r="X37" s="82">
        <f>_xll.StatCorrelationCoeff( ST_MaritalMarried,ST_JobRoleManufDir)</f>
        <v>2.8191614372287681E-3</v>
      </c>
      <c r="Y37" s="82">
        <f>_xll.StatCorrelationCoeff( ST_MaritalMarried,ST_JobRoleResearchDir)</f>
        <v>2.8191614372287681E-3</v>
      </c>
      <c r="Z37" s="82">
        <f>_xll.StatCorrelationCoeff( ST_MaritalMarried,ST_JobRoleSalesRep)</f>
        <v>-2.3658624460859111E-2</v>
      </c>
      <c r="AA37" s="82">
        <f>_xll.StatCorrelationCoeff( ST_MaritalMarried,ST_JobRoleResearchSci)</f>
        <v>-3.9987225119182936E-2</v>
      </c>
      <c r="AB37" s="82">
        <f>_xll.StatCorrelationCoeff( ST_MaritalMarried,ST_JobSatisfaction)</f>
        <v>-1.031493915673341E-2</v>
      </c>
      <c r="AC37" s="82">
        <f>_xll.StatCorrelationCoeff( ST_MaritalMarried,ST_MaritalSingle)</f>
        <v>-0.62998078081059139</v>
      </c>
      <c r="AD37" s="82">
        <v>1</v>
      </c>
      <c r="AE37" s="82"/>
      <c r="AF37" s="82"/>
      <c r="AG37" s="82"/>
      <c r="AH37" s="82"/>
      <c r="AI37" s="82"/>
      <c r="AJ37" s="82"/>
      <c r="AK37" s="82"/>
      <c r="AL37" s="82"/>
      <c r="AM37" s="82"/>
      <c r="AN37" s="82"/>
      <c r="AO37" s="82"/>
      <c r="AP37" s="82"/>
      <c r="AQ37" s="82"/>
      <c r="AR37" s="82"/>
      <c r="AS37" s="82"/>
    </row>
    <row r="38" spans="1:45" s="84" customFormat="1" ht="15" customHeight="1" x14ac:dyDescent="0.45">
      <c r="A38" s="18" t="s">
        <v>392</v>
      </c>
      <c r="B38" s="83">
        <f>_xll.StatCorrelationCoeff( ST_WinsMonthlyIncome,ST_WinsAge)</f>
        <v>0.49816862972267661</v>
      </c>
      <c r="C38" s="83">
        <f>_xll.StatCorrelationCoeff( ST_WinsMonthlyIncome,ST_Attritionyes)</f>
        <v>-0.1596621759981135</v>
      </c>
      <c r="D38" s="83">
        <f>_xll.StatCorrelationCoeff( ST_WinsMonthlyIncome,ST_BusinessTravelFrequently)</f>
        <v>-3.1623947003595498E-2</v>
      </c>
      <c r="E38" s="83">
        <f>_xll.StatCorrelationCoeff( ST_WinsMonthlyIncome,ST_BusinessTravelrarely)</f>
        <v>3.87287334466535E-2</v>
      </c>
      <c r="F38" s="83">
        <f>_xll.StatCorrelationCoeff( ST_WinsMonthlyIncome,ST_DeptRD)</f>
        <v>-6.4936316488609286E-2</v>
      </c>
      <c r="G38" s="83">
        <f>_xll.StatCorrelationCoeff( ST_WinsMonthlyIncome,ST_DeptSales)</f>
        <v>6.4247207932718126E-2</v>
      </c>
      <c r="H38" s="83">
        <f>_xll.StatCorrelationCoeff( ST_WinsMonthlyIncome,ST_WinsDistanceFromHome)</f>
        <v>-1.6837938968030021E-2</v>
      </c>
      <c r="I38" s="83">
        <f>_xll.StatCorrelationCoeff( ST_WinsMonthlyIncome,ST_Education)</f>
        <v>9.4700801109735805E-2</v>
      </c>
      <c r="J38" s="83">
        <f>_xll.StatCorrelationCoeff( ST_WinsMonthlyIncome,ST_EducationFieldLifeSci)</f>
        <v>-7.1743636207831684E-3</v>
      </c>
      <c r="K38" s="83">
        <f>_xll.StatCorrelationCoeff( ST_WinsMonthlyIncome,ST_EducationFieldOther)</f>
        <v>-2.233852137803919E-2</v>
      </c>
      <c r="L38" s="83">
        <f>_xll.StatCorrelationCoeff( ST_WinsMonthlyIncome,ST_EducationFieldMedical)</f>
        <v>1.246769444750764E-3</v>
      </c>
      <c r="M38" s="83">
        <f>_xll.StatCorrelationCoeff( ST_WinsMonthlyIncome,ST_EducationFieldMkt)</f>
        <v>6.2537251998323773E-2</v>
      </c>
      <c r="N38" s="83">
        <f>_xll.StatCorrelationCoeff( ST_WinsMonthlyIncome,ST_EducationFieldTech)</f>
        <v>-4.9763289673483743E-2</v>
      </c>
      <c r="O38" s="83">
        <f>_xll.StatCorrelationCoeff( ST_WinsMonthlyIncome,ST_EnvironmentSatisfaction)</f>
        <v>-6.2294391013363905E-3</v>
      </c>
      <c r="P38" s="83">
        <f>_xll.StatCorrelationCoeff( ST_WinsMonthlyIncome,ST_Female)</f>
        <v>3.1617114403775029E-2</v>
      </c>
      <c r="Q38" s="83">
        <f>_xll.StatCorrelationCoeff( ST_WinsMonthlyIncome,ST_HourlyRate)</f>
        <v>-1.6072271653397183E-2</v>
      </c>
      <c r="R38" s="83">
        <f>_xll.StatCorrelationCoeff( ST_WinsMonthlyIncome,ST_JobInvolvement)</f>
        <v>-1.5199630840198569E-2</v>
      </c>
      <c r="S38" s="83">
        <f>_xll.StatCorrelationCoeff( ST_WinsMonthlyIncome,ST_JobLevel)</f>
        <v>0.95035662126860365</v>
      </c>
      <c r="T38" s="83">
        <f>_xll.StatCorrelationCoeff( ST_WinsMonthlyIncome,ST_JobRoleHealthRep)</f>
        <v>6.8252879066874717E-2</v>
      </c>
      <c r="U38" s="83">
        <f>_xll.StatCorrelationCoeff( ST_WinsMonthlyIncome,ST_JobRoleSalesExe)</f>
        <v>4.7813071859543067E-2</v>
      </c>
      <c r="V38" s="83">
        <f>_xll.StatCorrelationCoeff( ST_WinsMonthlyIncome,ST_JobRoleLab)</f>
        <v>-0.3212181625116266</v>
      </c>
      <c r="W38" s="83">
        <f>_xll.StatCorrelationCoeff( ST_WinsMonthlyIncome,ST_JobRoleMgr)</f>
        <v>0.61938489124445095</v>
      </c>
      <c r="X38" s="83">
        <f>_xll.StatCorrelationCoeff( ST_WinsMonthlyIncome,ST_JobRoleManufDir)</f>
        <v>5.5738392475683698E-2</v>
      </c>
      <c r="Y38" s="83">
        <f>_xll.StatCorrelationCoeff( ST_WinsMonthlyIncome,ST_JobRoleResearchDir)</f>
        <v>5.5738392475683698E-2</v>
      </c>
      <c r="Z38" s="83">
        <f>_xll.StatCorrelationCoeff( ST_WinsMonthlyIncome,ST_JobRoleSalesRep)</f>
        <v>-0.20098246061794356</v>
      </c>
      <c r="AA38" s="83">
        <f>_xll.StatCorrelationCoeff( ST_WinsMonthlyIncome,ST_JobRoleResearchSci)</f>
        <v>-0.34532409551510929</v>
      </c>
      <c r="AB38" s="83">
        <f>_xll.StatCorrelationCoeff( ST_WinsMonthlyIncome,ST_JobSatisfaction)</f>
        <v>-6.8373948774884136E-3</v>
      </c>
      <c r="AC38" s="83">
        <f>_xll.StatCorrelationCoeff( ST_WinsMonthlyIncome,ST_MaritalSingle)</f>
        <v>-8.9036937181162124E-2</v>
      </c>
      <c r="AD38" s="83">
        <f>_xll.StatCorrelationCoeff( ST_WinsMonthlyIncome,ST_MaritalMarried)</f>
        <v>5.6618389774430303E-2</v>
      </c>
      <c r="AE38" s="83">
        <v>1</v>
      </c>
      <c r="AF38" s="83"/>
      <c r="AG38" s="83"/>
      <c r="AH38" s="83"/>
      <c r="AI38" s="83"/>
      <c r="AJ38" s="83"/>
      <c r="AK38" s="83"/>
      <c r="AL38" s="83"/>
      <c r="AM38" s="83"/>
      <c r="AN38" s="83"/>
      <c r="AO38" s="83"/>
      <c r="AP38" s="83"/>
      <c r="AQ38" s="83"/>
      <c r="AR38" s="83"/>
      <c r="AS38" s="83"/>
    </row>
    <row r="39" spans="1:45" ht="15" customHeight="1" x14ac:dyDescent="0.45">
      <c r="A39" s="18" t="s">
        <v>37</v>
      </c>
      <c r="B39" s="82">
        <f>_xll.StatCorrelationCoeff( ST_NumCompaniesWorked,ST_WinsAge)</f>
        <v>0.29951132562076371</v>
      </c>
      <c r="C39" s="82">
        <f>_xll.StatCorrelationCoeff( ST_NumCompaniesWorked,ST_Attritionyes)</f>
        <v>4.349373905781375E-2</v>
      </c>
      <c r="D39" s="82">
        <f>_xll.StatCorrelationCoeff( ST_NumCompaniesWorked,ST_BusinessTravelFrequently)</f>
        <v>-3.9718031381930058E-2</v>
      </c>
      <c r="E39" s="82">
        <f>_xll.StatCorrelationCoeff( ST_NumCompaniesWorked,ST_BusinessTravelrarely)</f>
        <v>3.2400606407753461E-2</v>
      </c>
      <c r="F39" s="82">
        <f>_xll.StatCorrelationCoeff( ST_NumCompaniesWorked,ST_DeptRD)</f>
        <v>2.2237373986101788E-2</v>
      </c>
      <c r="G39" s="82">
        <f>_xll.StatCorrelationCoeff( ST_NumCompaniesWorked,ST_DeptSales)</f>
        <v>-3.2096894763447736E-2</v>
      </c>
      <c r="H39" s="82">
        <f>_xll.StatCorrelationCoeff( ST_NumCompaniesWorked,ST_WinsDistanceFromHome)</f>
        <v>-2.9250804197292993E-2</v>
      </c>
      <c r="I39" s="82">
        <f>_xll.StatCorrelationCoeff( ST_NumCompaniesWorked,ST_Education)</f>
        <v>0.12631656017668416</v>
      </c>
      <c r="J39" s="82">
        <f>_xll.StatCorrelationCoeff( ST_NumCompaniesWorked,ST_EducationFieldLifeSci)</f>
        <v>-6.1306192608125689E-3</v>
      </c>
      <c r="K39" s="82">
        <f>_xll.StatCorrelationCoeff( ST_NumCompaniesWorked,ST_EducationFieldOther)</f>
        <v>-1.2869705179778762E-2</v>
      </c>
      <c r="L39" s="82">
        <f>_xll.StatCorrelationCoeff( ST_NumCompaniesWorked,ST_EducationFieldMedical)</f>
        <v>2.4826498513614202E-2</v>
      </c>
      <c r="M39" s="82">
        <f>_xll.StatCorrelationCoeff( ST_NumCompaniesWorked,ST_EducationFieldMkt)</f>
        <v>-1.8610833579165841E-2</v>
      </c>
      <c r="N39" s="82">
        <f>_xll.StatCorrelationCoeff( ST_NumCompaniesWorked,ST_EducationFieldTech)</f>
        <v>-1.3818721699057441E-2</v>
      </c>
      <c r="O39" s="82">
        <f>_xll.StatCorrelationCoeff( ST_NumCompaniesWorked,ST_EnvironmentSatisfaction)</f>
        <v>1.2594323218943299E-2</v>
      </c>
      <c r="P39" s="82">
        <f>_xll.StatCorrelationCoeff( ST_NumCompaniesWorked,ST_Female)</f>
        <v>3.9147449560278012E-2</v>
      </c>
      <c r="Q39" s="82">
        <f>_xll.StatCorrelationCoeff( ST_NumCompaniesWorked,ST_HourlyRate)</f>
        <v>2.2156883390196822E-2</v>
      </c>
      <c r="R39" s="82">
        <f>_xll.StatCorrelationCoeff( ST_NumCompaniesWorked,ST_JobInvolvement)</f>
        <v>1.5012413243110952E-2</v>
      </c>
      <c r="S39" s="82">
        <f>_xll.StatCorrelationCoeff( ST_NumCompaniesWorked,ST_JobLevel)</f>
        <v>0.14250112381048838</v>
      </c>
      <c r="T39" s="82">
        <f>_xll.StatCorrelationCoeff( ST_NumCompaniesWorked,ST_JobRoleHealthRep)</f>
        <v>2.6955086217482369E-2</v>
      </c>
      <c r="U39" s="82">
        <f>_xll.StatCorrelationCoeff( ST_NumCompaniesWorked,ST_JobRoleSalesExe)</f>
        <v>5.9132619494187732E-3</v>
      </c>
      <c r="V39" s="82">
        <f>_xll.StatCorrelationCoeff( ST_NumCompaniesWorked,ST_JobRoleLab)</f>
        <v>-2.1120991534694229E-2</v>
      </c>
      <c r="W39" s="82">
        <f>_xll.StatCorrelationCoeff( ST_NumCompaniesWorked,ST_JobRoleMgr)</f>
        <v>4.2124574059406887E-2</v>
      </c>
      <c r="X39" s="82">
        <f>_xll.StatCorrelationCoeff( ST_NumCompaniesWorked,ST_JobRoleManufDir)</f>
        <v>9.5804966584329011E-3</v>
      </c>
      <c r="Y39" s="82">
        <f>_xll.StatCorrelationCoeff( ST_NumCompaniesWorked,ST_JobRoleResearchDir)</f>
        <v>9.5804966584329011E-3</v>
      </c>
      <c r="Z39" s="82">
        <f>_xll.StatCorrelationCoeff( ST_NumCompaniesWorked,ST_JobRoleSalesRep)</f>
        <v>-0.10449447297076056</v>
      </c>
      <c r="AA39" s="82">
        <f>_xll.StatCorrelationCoeff( ST_NumCompaniesWorked,ST_JobRoleResearchSci)</f>
        <v>-4.398122357724777E-2</v>
      </c>
      <c r="AB39" s="82">
        <f>_xll.StatCorrelationCoeff( ST_NumCompaniesWorked,ST_JobSatisfaction)</f>
        <v>-5.5699426012746009E-2</v>
      </c>
      <c r="AC39" s="82">
        <f>_xll.StatCorrelationCoeff( ST_NumCompaniesWorked,ST_MaritalSingle)</f>
        <v>-1.9160847395579609E-2</v>
      </c>
      <c r="AD39" s="82">
        <f>_xll.StatCorrelationCoeff( ST_NumCompaniesWorked,ST_MaritalMarried)</f>
        <v>-1.614207832367669E-2</v>
      </c>
      <c r="AE39" s="82">
        <f>_xll.StatCorrelationCoeff( ST_NumCompaniesWorked,ST_WinsMonthlyIncome)</f>
        <v>0.1494616461750469</v>
      </c>
      <c r="AF39" s="82">
        <v>1</v>
      </c>
      <c r="AG39" s="82"/>
      <c r="AH39" s="82"/>
      <c r="AI39" s="82"/>
      <c r="AJ39" s="82"/>
      <c r="AK39" s="82"/>
      <c r="AL39" s="82"/>
      <c r="AM39" s="82"/>
      <c r="AN39" s="82"/>
      <c r="AO39" s="82"/>
      <c r="AP39" s="82"/>
      <c r="AQ39" s="82"/>
      <c r="AR39" s="82"/>
      <c r="AS39" s="82"/>
    </row>
    <row r="40" spans="1:45" ht="15" customHeight="1" x14ac:dyDescent="0.45">
      <c r="A40" s="18" t="s">
        <v>39</v>
      </c>
      <c r="B40" s="82">
        <f>_xll.StatCorrelationCoeff( ST_OvertimeYes,ST_WinsAge)</f>
        <v>2.8227214674608536E-2</v>
      </c>
      <c r="C40" s="82">
        <f>_xll.StatCorrelationCoeff( ST_OvertimeYes,ST_Attritionyes)</f>
        <v>0.24611799424579706</v>
      </c>
      <c r="D40" s="82">
        <f>_xll.StatCorrelationCoeff( ST_OvertimeYes,ST_BusinessTravelFrequently)</f>
        <v>2.939174564294739E-2</v>
      </c>
      <c r="E40" s="82">
        <f>_xll.StatCorrelationCoeff( ST_OvertimeYes,ST_BusinessTravelrarely)</f>
        <v>-5.3858455449971388E-4</v>
      </c>
      <c r="F40" s="82">
        <f>_xll.StatCorrelationCoeff( ST_OvertimeYes,ST_DeptRD)</f>
        <v>-3.0359720214997213E-3</v>
      </c>
      <c r="G40" s="82">
        <f>_xll.StatCorrelationCoeff( ST_OvertimeYes,ST_DeptSales)</f>
        <v>5.8638040927250622E-3</v>
      </c>
      <c r="H40" s="82">
        <f>_xll.StatCorrelationCoeff( ST_OvertimeYes,ST_WinsDistanceFromHome)</f>
        <v>2.5513634949946084E-2</v>
      </c>
      <c r="I40" s="82">
        <f>_xll.StatCorrelationCoeff( ST_OvertimeYes,ST_Education)</f>
        <v>-2.0321767395703672E-2</v>
      </c>
      <c r="J40" s="82">
        <f>_xll.StatCorrelationCoeff( ST_OvertimeYes,ST_EducationFieldLifeSci)</f>
        <v>-1.3787274276141367E-2</v>
      </c>
      <c r="K40" s="82">
        <f>_xll.StatCorrelationCoeff( ST_OvertimeYes,ST_EducationFieldOther)</f>
        <v>2.4969501954123674E-2</v>
      </c>
      <c r="L40" s="82">
        <f>_xll.StatCorrelationCoeff( ST_OvertimeYes,ST_EducationFieldMedical)</f>
        <v>2.2457879981175239E-3</v>
      </c>
      <c r="M40" s="82">
        <f>_xll.StatCorrelationCoeff( ST_OvertimeYes,ST_EducationFieldMkt)</f>
        <v>1.4607038904294529E-2</v>
      </c>
      <c r="N40" s="82">
        <f>_xll.StatCorrelationCoeff( ST_OvertimeYes,ST_EducationFieldTech)</f>
        <v>-1.7723156598901297E-2</v>
      </c>
      <c r="O40" s="82">
        <f>_xll.StatCorrelationCoeff( ST_OvertimeYes,ST_EnvironmentSatisfaction)</f>
        <v>7.0131726774094391E-2</v>
      </c>
      <c r="P40" s="82">
        <f>_xll.StatCorrelationCoeff( ST_OvertimeYes,ST_Female)</f>
        <v>4.1924347951987379E-2</v>
      </c>
      <c r="Q40" s="82">
        <f>_xll.StatCorrelationCoeff( ST_OvertimeYes,ST_HourlyRate)</f>
        <v>-7.7819743609999024E-3</v>
      </c>
      <c r="R40" s="82">
        <f>_xll.StatCorrelationCoeff( ST_OvertimeYes,ST_JobInvolvement)</f>
        <v>-3.5067105694045505E-3</v>
      </c>
      <c r="S40" s="82">
        <f>_xll.StatCorrelationCoeff( ST_OvertimeYes,ST_JobLevel)</f>
        <v>5.4404777488093023E-4</v>
      </c>
      <c r="T40" s="82">
        <f>_xll.StatCorrelationCoeff( ST_OvertimeYes,ST_JobRoleHealthRep)</f>
        <v>-3.8221960397742688E-4</v>
      </c>
      <c r="U40" s="82">
        <f>_xll.StatCorrelationCoeff( ST_OvertimeYes,ST_JobRoleSalesExe)</f>
        <v>6.3405836697605295E-3</v>
      </c>
      <c r="V40" s="82">
        <f>_xll.StatCorrelationCoeff( ST_OvertimeYes,ST_JobRoleLab)</f>
        <v>-4.4773784057389306E-2</v>
      </c>
      <c r="W40" s="82">
        <f>_xll.StatCorrelationCoeff( ST_OvertimeYes,ST_JobRoleMgr)</f>
        <v>-1.1085552552484914E-2</v>
      </c>
      <c r="X40" s="82">
        <f>_xll.StatCorrelationCoeff( ST_OvertimeYes,ST_JobRoleManufDir)</f>
        <v>-1.0301780148617509E-2</v>
      </c>
      <c r="Y40" s="82">
        <f>_xll.StatCorrelationCoeff( ST_OvertimeYes,ST_JobRoleResearchDir)</f>
        <v>-1.0301780148617509E-2</v>
      </c>
      <c r="Z40" s="82">
        <f>_xll.StatCorrelationCoeff( ST_OvertimeYes,ST_JobRoleSalesRep)</f>
        <v>3.3471378054063272E-3</v>
      </c>
      <c r="AA40" s="82">
        <f>_xll.StatCorrelationCoeff( ST_OvertimeYes,ST_JobRoleResearchSci)</f>
        <v>5.4377813871314629E-2</v>
      </c>
      <c r="AB40" s="82">
        <f>_xll.StatCorrelationCoeff( ST_OvertimeYes,ST_JobSatisfaction)</f>
        <v>2.4539481060031575E-2</v>
      </c>
      <c r="AC40" s="82">
        <f>_xll.StatCorrelationCoeff( ST_OvertimeYes,ST_MaritalSingle)</f>
        <v>-6.4983951524356645E-3</v>
      </c>
      <c r="AD40" s="82">
        <f>_xll.StatCorrelationCoeff( ST_OvertimeYes,ST_MaritalMarried)</f>
        <v>-1.3502214628886485E-2</v>
      </c>
      <c r="AE40" s="82">
        <f>_xll.StatCorrelationCoeff( ST_OvertimeYes,ST_WinsMonthlyIncome)</f>
        <v>6.1489305088897354E-3</v>
      </c>
      <c r="AF40" s="82">
        <f>_xll.StatCorrelationCoeff( ST_OvertimeYes,ST_NumCompaniesWorked)</f>
        <v>-2.0785821366833976E-2</v>
      </c>
      <c r="AG40" s="82">
        <v>1</v>
      </c>
      <c r="AH40" s="82"/>
      <c r="AI40" s="82"/>
      <c r="AJ40" s="82"/>
      <c r="AK40" s="82"/>
      <c r="AL40" s="82"/>
      <c r="AM40" s="82"/>
      <c r="AN40" s="82"/>
      <c r="AO40" s="82"/>
      <c r="AP40" s="82"/>
      <c r="AQ40" s="82"/>
      <c r="AR40" s="82"/>
      <c r="AS40" s="82"/>
    </row>
    <row r="41" spans="1:45" ht="15" customHeight="1" x14ac:dyDescent="0.45">
      <c r="A41" s="18" t="s">
        <v>40</v>
      </c>
      <c r="B41" s="82">
        <f>_xll.StatCorrelationCoeff( ST_PercentSalaryHike,ST_WinsAge)</f>
        <v>3.1705481538254186E-3</v>
      </c>
      <c r="C41" s="82">
        <f>_xll.StatCorrelationCoeff( ST_PercentSalaryHike,ST_Attritionyes)</f>
        <v>-1.3478202057439093E-2</v>
      </c>
      <c r="D41" s="82">
        <f>_xll.StatCorrelationCoeff( ST_PercentSalaryHike,ST_BusinessTravelFrequently)</f>
        <v>-6.6745524897259493E-3</v>
      </c>
      <c r="E41" s="82">
        <f>_xll.StatCorrelationCoeff( ST_PercentSalaryHike,ST_BusinessTravelrarely)</f>
        <v>-1.8648651264286314E-2</v>
      </c>
      <c r="F41" s="82">
        <f>_xll.StatCorrelationCoeff( ST_PercentSalaryHike,ST_DeptRD)</f>
        <v>3.0735414126829824E-2</v>
      </c>
      <c r="G41" s="82">
        <f>_xll.StatCorrelationCoeff( ST_PercentSalaryHike,ST_DeptSales)</f>
        <v>-2.0403155564646658E-2</v>
      </c>
      <c r="H41" s="82">
        <f>_xll.StatCorrelationCoeff( ST_PercentSalaryHike,ST_WinsDistanceFromHome)</f>
        <v>4.023537745919304E-2</v>
      </c>
      <c r="I41" s="82">
        <f>_xll.StatCorrelationCoeff( ST_PercentSalaryHike,ST_Education)</f>
        <v>-1.11109408606542E-2</v>
      </c>
      <c r="J41" s="82">
        <f>_xll.StatCorrelationCoeff( ST_PercentSalaryHike,ST_EducationFieldLifeSci)</f>
        <v>1.0209488479573928E-2</v>
      </c>
      <c r="K41" s="82">
        <f>_xll.StatCorrelationCoeff( ST_PercentSalaryHike,ST_EducationFieldOther)</f>
        <v>1.9297311533135651E-2</v>
      </c>
      <c r="L41" s="82">
        <f>_xll.StatCorrelationCoeff( ST_PercentSalaryHike,ST_EducationFieldMedical)</f>
        <v>2.911614197003063E-2</v>
      </c>
      <c r="M41" s="82">
        <f>_xll.StatCorrelationCoeff( ST_PercentSalaryHike,ST_EducationFieldMkt)</f>
        <v>-2.7726122465738742E-2</v>
      </c>
      <c r="N41" s="82">
        <f>_xll.StatCorrelationCoeff( ST_PercentSalaryHike,ST_EducationFieldTech)</f>
        <v>-4.270129365450194E-2</v>
      </c>
      <c r="O41" s="82">
        <f>_xll.StatCorrelationCoeff( ST_PercentSalaryHike,ST_EnvironmentSatisfaction)</f>
        <v>-3.170119524179215E-2</v>
      </c>
      <c r="P41" s="82">
        <f>_xll.StatCorrelationCoeff( ST_PercentSalaryHike,ST_Female)</f>
        <v>-2.7326475148592702E-3</v>
      </c>
      <c r="Q41" s="82">
        <f>_xll.StatCorrelationCoeff( ST_PercentSalaryHike,ST_HourlyRate)</f>
        <v>-9.061986253740115E-3</v>
      </c>
      <c r="R41" s="82">
        <f>_xll.StatCorrelationCoeff( ST_PercentSalaryHike,ST_JobInvolvement)</f>
        <v>-1.7204572244480576E-2</v>
      </c>
      <c r="S41" s="82">
        <f>_xll.StatCorrelationCoeff( ST_PercentSalaryHike,ST_JobLevel)</f>
        <v>-3.4730492279418587E-2</v>
      </c>
      <c r="T41" s="82">
        <f>_xll.StatCorrelationCoeff( ST_PercentSalaryHike,ST_JobRoleHealthRep)</f>
        <v>2.0591134488953951E-2</v>
      </c>
      <c r="U41" s="82">
        <f>_xll.StatCorrelationCoeff( ST_PercentSalaryHike,ST_JobRoleSalesExe)</f>
        <v>-4.6682746432827646E-2</v>
      </c>
      <c r="V41" s="82">
        <f>_xll.StatCorrelationCoeff( ST_PercentSalaryHike,ST_JobRoleLab)</f>
        <v>-2.0627667383855432E-2</v>
      </c>
      <c r="W41" s="82">
        <f>_xll.StatCorrelationCoeff( ST_PercentSalaryHike,ST_JobRoleMgr)</f>
        <v>-5.3936480197215959E-3</v>
      </c>
      <c r="X41" s="82">
        <f>_xll.StatCorrelationCoeff( ST_PercentSalaryHike,ST_JobRoleManufDir)</f>
        <v>3.4682123666520244E-2</v>
      </c>
      <c r="Y41" s="82">
        <f>_xll.StatCorrelationCoeff( ST_PercentSalaryHike,ST_JobRoleResearchDir)</f>
        <v>3.4682123666520244E-2</v>
      </c>
      <c r="Z41" s="82">
        <f>_xll.StatCorrelationCoeff( ST_PercentSalaryHike,ST_JobRoleSalesRep)</f>
        <v>3.1102209561365786E-2</v>
      </c>
      <c r="AA41" s="82">
        <f>_xll.StatCorrelationCoeff( ST_PercentSalaryHike,ST_JobRoleResearchSci)</f>
        <v>3.2537480749437644E-2</v>
      </c>
      <c r="AB41" s="82">
        <f>_xll.StatCorrelationCoeff( ST_PercentSalaryHike,ST_JobSatisfaction)</f>
        <v>2.0002039364081937E-2</v>
      </c>
      <c r="AC41" s="82">
        <f>_xll.StatCorrelationCoeff( ST_PercentSalaryHike,ST_MaritalSingle)</f>
        <v>-1.3858898404771989E-3</v>
      </c>
      <c r="AD41" s="82">
        <f>_xll.StatCorrelationCoeff( ST_PercentSalaryHike,ST_MaritalMarried)</f>
        <v>2.0895441076779788E-2</v>
      </c>
      <c r="AE41" s="82">
        <f>_xll.StatCorrelationCoeff( ST_PercentSalaryHike,ST_WinsMonthlyIncome)</f>
        <v>-2.7365379694218865E-2</v>
      </c>
      <c r="AF41" s="82">
        <f>_xll.StatCorrelationCoeff( ST_PercentSalaryHike,ST_NumCompaniesWorked)</f>
        <v>-1.0238309359925533E-2</v>
      </c>
      <c r="AG41" s="82">
        <f>_xll.StatCorrelationCoeff( ST_PercentSalaryHike,ST_OvertimeYes)</f>
        <v>-5.4328266507927252E-3</v>
      </c>
      <c r="AH41" s="82">
        <v>1</v>
      </c>
      <c r="AI41" s="82"/>
      <c r="AJ41" s="82"/>
      <c r="AK41" s="82"/>
      <c r="AL41" s="82"/>
      <c r="AM41" s="82"/>
      <c r="AN41" s="82"/>
      <c r="AO41" s="82"/>
      <c r="AP41" s="82"/>
      <c r="AQ41" s="82"/>
      <c r="AR41" s="82"/>
      <c r="AS41" s="82"/>
    </row>
    <row r="42" spans="1:45" ht="15" customHeight="1" x14ac:dyDescent="0.45">
      <c r="A42" s="18" t="s">
        <v>41</v>
      </c>
      <c r="B42" s="82">
        <f>_xll.StatCorrelationCoeff( ST_PerformanceRating,ST_WinsAge)</f>
        <v>1.5092364996105558E-3</v>
      </c>
      <c r="C42" s="82">
        <f>_xll.StatCorrelationCoeff( ST_PerformanceRating,ST_Attritionyes)</f>
        <v>2.888751711080946E-3</v>
      </c>
      <c r="D42" s="82">
        <f>_xll.StatCorrelationCoeff( ST_PerformanceRating,ST_BusinessTravelFrequently)</f>
        <v>1.6462892444515313E-2</v>
      </c>
      <c r="E42" s="82">
        <f>_xll.StatCorrelationCoeff( ST_PerformanceRating,ST_BusinessTravelrarely)</f>
        <v>-2.6389634068172074E-2</v>
      </c>
      <c r="F42" s="82">
        <f>_xll.StatCorrelationCoeff( ST_PerformanceRating,ST_DeptRD)</f>
        <v>3.2720429508564047E-2</v>
      </c>
      <c r="G42" s="82">
        <f>_xll.StatCorrelationCoeff( ST_PerformanceRating,ST_DeptSales)</f>
        <v>-3.1049687829291392E-2</v>
      </c>
      <c r="H42" s="82">
        <f>_xll.StatCorrelationCoeff( ST_PerformanceRating,ST_WinsDistanceFromHome)</f>
        <v>2.7109618481976044E-2</v>
      </c>
      <c r="I42" s="82">
        <f>_xll.StatCorrelationCoeff( ST_PerformanceRating,ST_Education)</f>
        <v>-2.4538791164833425E-2</v>
      </c>
      <c r="J42" s="82">
        <f>_xll.StatCorrelationCoeff( ST_PerformanceRating,ST_EducationFieldLifeSci)</f>
        <v>1.0853083085793594E-2</v>
      </c>
      <c r="K42" s="82">
        <f>_xll.StatCorrelationCoeff( ST_PerformanceRating,ST_EducationFieldOther)</f>
        <v>1.1448903196235954E-2</v>
      </c>
      <c r="L42" s="82">
        <f>_xll.StatCorrelationCoeff( ST_PerformanceRating,ST_EducationFieldMedical)</f>
        <v>1.4867705797751481E-2</v>
      </c>
      <c r="M42" s="82">
        <f>_xll.StatCorrelationCoeff( ST_PerformanceRating,ST_EducationFieldMkt)</f>
        <v>-2.0918444118880913E-2</v>
      </c>
      <c r="N42" s="82">
        <f>_xll.StatCorrelationCoeff( ST_PerformanceRating,ST_EducationFieldTech)</f>
        <v>-2.1729280842096538E-2</v>
      </c>
      <c r="O42" s="82">
        <f>_xll.StatCorrelationCoeff( ST_PerformanceRating,ST_EnvironmentSatisfaction)</f>
        <v>-2.9547952297681361E-2</v>
      </c>
      <c r="P42" s="82">
        <f>_xll.StatCorrelationCoeff( ST_PerformanceRating,ST_Female)</f>
        <v>1.3859018361688685E-2</v>
      </c>
      <c r="Q42" s="82">
        <f>_xll.StatCorrelationCoeff( ST_PerformanceRating,ST_HourlyRate)</f>
        <v>-2.171697427810218E-3</v>
      </c>
      <c r="R42" s="82">
        <f>_xll.StatCorrelationCoeff( ST_PerformanceRating,ST_JobInvolvement)</f>
        <v>-2.9071333439070115E-2</v>
      </c>
      <c r="S42" s="82">
        <f>_xll.StatCorrelationCoeff( ST_PerformanceRating,ST_JobLevel)</f>
        <v>-2.1222082108856635E-2</v>
      </c>
      <c r="T42" s="82">
        <f>_xll.StatCorrelationCoeff( ST_PerformanceRating,ST_JobRoleHealthRep)</f>
        <v>-9.2763446157418826E-4</v>
      </c>
      <c r="U42" s="82">
        <f>_xll.StatCorrelationCoeff( ST_PerformanceRating,ST_JobRoleSalesExe)</f>
        <v>-4.1401206087743211E-2</v>
      </c>
      <c r="V42" s="82">
        <f>_xll.StatCorrelationCoeff( ST_PerformanceRating,ST_JobRoleLab)</f>
        <v>1.0796354957629187E-2</v>
      </c>
      <c r="W42" s="82">
        <f>_xll.StatCorrelationCoeff( ST_PerformanceRating,ST_JobRoleMgr)</f>
        <v>3.2050098882180286E-2</v>
      </c>
      <c r="X42" s="82">
        <f>_xll.StatCorrelationCoeff( ST_PerformanceRating,ST_JobRoleManufDir)</f>
        <v>2.9774861119193509E-2</v>
      </c>
      <c r="Y42" s="82">
        <f>_xll.StatCorrelationCoeff( ST_PerformanceRating,ST_JobRoleResearchDir)</f>
        <v>2.9774861119193509E-2</v>
      </c>
      <c r="Z42" s="82">
        <f>_xll.StatCorrelationCoeff( ST_PerformanceRating,ST_JobRoleSalesRep)</f>
        <v>-6.2144130669139616E-3</v>
      </c>
      <c r="AA42" s="82">
        <f>_xll.StatCorrelationCoeff( ST_PerformanceRating,ST_JobRoleResearchSci)</f>
        <v>1.9416217485639414E-2</v>
      </c>
      <c r="AB42" s="82">
        <f>_xll.StatCorrelationCoeff( ST_PerformanceRating,ST_JobSatisfaction)</f>
        <v>2.2971970637801426E-3</v>
      </c>
      <c r="AC42" s="82">
        <f>_xll.StatCorrelationCoeff( ST_PerformanceRating,ST_MaritalSingle)</f>
        <v>-1.0453705423782429E-3</v>
      </c>
      <c r="AD42" s="82">
        <f>_xll.StatCorrelationCoeff( ST_PerformanceRating,ST_MaritalMarried)</f>
        <v>9.5846281013892386E-3</v>
      </c>
      <c r="AE42" s="82">
        <f>_xll.StatCorrelationCoeff( ST_PerformanceRating,ST_WinsMonthlyIncome)</f>
        <v>-1.7138852426171799E-2</v>
      </c>
      <c r="AF42" s="82">
        <f>_xll.StatCorrelationCoeff( ST_PerformanceRating,ST_NumCompaniesWorked)</f>
        <v>-1.4094872753535345E-2</v>
      </c>
      <c r="AG42" s="82">
        <f>_xll.StatCorrelationCoeff( ST_PerformanceRating,ST_OvertimeYes)</f>
        <v>4.3691200616519663E-3</v>
      </c>
      <c r="AH42" s="82">
        <f>_xll.StatCorrelationCoeff( ST_PerformanceRating,ST_PercentSalaryHike)</f>
        <v>0.77354999640126676</v>
      </c>
      <c r="AI42" s="82">
        <v>1</v>
      </c>
      <c r="AJ42" s="82"/>
      <c r="AK42" s="82"/>
      <c r="AL42" s="82"/>
      <c r="AM42" s="82"/>
      <c r="AN42" s="82"/>
      <c r="AO42" s="82"/>
      <c r="AP42" s="82"/>
      <c r="AQ42" s="82"/>
      <c r="AR42" s="82"/>
      <c r="AS42" s="82"/>
    </row>
    <row r="43" spans="1:45" ht="15" customHeight="1" x14ac:dyDescent="0.45">
      <c r="A43" s="18" t="s">
        <v>42</v>
      </c>
      <c r="B43" s="82">
        <f>_xll.StatCorrelationCoeff( ST_RelationshipSatisfaction,ST_WinsAge)</f>
        <v>5.3436838590635548E-2</v>
      </c>
      <c r="C43" s="82">
        <f>_xll.StatCorrelationCoeff( ST_RelationshipSatisfaction,ST_Attritionyes)</f>
        <v>-4.5872278881126112E-2</v>
      </c>
      <c r="D43" s="82">
        <f>_xll.StatCorrelationCoeff( ST_RelationshipSatisfaction,ST_BusinessTravelFrequently)</f>
        <v>2.8500440602392447E-2</v>
      </c>
      <c r="E43" s="82">
        <f>_xll.StatCorrelationCoeff( ST_RelationshipSatisfaction,ST_BusinessTravelrarely)</f>
        <v>-3.8640372161279801E-2</v>
      </c>
      <c r="F43" s="82">
        <f>_xll.StatCorrelationCoeff( ST_RelationshipSatisfaction,ST_DeptRD)</f>
        <v>-4.5868535785714036E-3</v>
      </c>
      <c r="G43" s="82">
        <f>_xll.StatCorrelationCoeff( ST_RelationshipSatisfaction,ST_DeptSales)</f>
        <v>-1.0488634303137246E-2</v>
      </c>
      <c r="H43" s="82">
        <f>_xll.StatCorrelationCoeff( ST_RelationshipSatisfaction,ST_WinsDistanceFromHome)</f>
        <v>6.5574746465787122E-3</v>
      </c>
      <c r="I43" s="82">
        <f>_xll.StatCorrelationCoeff( ST_RelationshipSatisfaction,ST_Education)</f>
        <v>-9.1183766963814968E-3</v>
      </c>
      <c r="J43" s="82">
        <f>_xll.StatCorrelationCoeff( ST_RelationshipSatisfaction,ST_EducationFieldLifeSci)</f>
        <v>-1.9972726617503357E-2</v>
      </c>
      <c r="K43" s="82">
        <f>_xll.StatCorrelationCoeff( ST_RelationshipSatisfaction,ST_EducationFieldOther)</f>
        <v>-2.0305220131121085E-2</v>
      </c>
      <c r="L43" s="82">
        <f>_xll.StatCorrelationCoeff( ST_RelationshipSatisfaction,ST_EducationFieldMedical)</f>
        <v>3.0494188596123347E-2</v>
      </c>
      <c r="M43" s="82">
        <f>_xll.StatCorrelationCoeff( ST_RelationshipSatisfaction,ST_EducationFieldMkt)</f>
        <v>-6.579794873315478E-3</v>
      </c>
      <c r="N43" s="82">
        <f>_xll.StatCorrelationCoeff( ST_RelationshipSatisfaction,ST_EducationFieldTech)</f>
        <v>-1.1043556036348273E-2</v>
      </c>
      <c r="O43" s="82">
        <f>_xll.StatCorrelationCoeff( ST_RelationshipSatisfaction,ST_EnvironmentSatisfaction)</f>
        <v>7.6653835410744765E-3</v>
      </c>
      <c r="P43" s="82">
        <f>_xll.StatCorrelationCoeff( ST_RelationshipSatisfaction,ST_Female)</f>
        <v>-2.2868369968026953E-2</v>
      </c>
      <c r="Q43" s="82">
        <f>_xll.StatCorrelationCoeff( ST_RelationshipSatisfaction,ST_HourlyRate)</f>
        <v>1.3304527859505609E-3</v>
      </c>
      <c r="R43" s="82">
        <f>_xll.StatCorrelationCoeff( ST_RelationshipSatisfaction,ST_JobInvolvement)</f>
        <v>3.4296820611197272E-2</v>
      </c>
      <c r="S43" s="82">
        <f>_xll.StatCorrelationCoeff( ST_RelationshipSatisfaction,ST_JobLevel)</f>
        <v>2.164151053259163E-2</v>
      </c>
      <c r="T43" s="82">
        <f>_xll.StatCorrelationCoeff( ST_RelationshipSatisfaction,ST_JobRoleHealthRep)</f>
        <v>-5.089909828284645E-3</v>
      </c>
      <c r="U43" s="82">
        <f>_xll.StatCorrelationCoeff( ST_RelationshipSatisfaction,ST_JobRoleSalesExe)</f>
        <v>-4.8356740497714126E-3</v>
      </c>
      <c r="V43" s="82">
        <f>_xll.StatCorrelationCoeff( ST_RelationshipSatisfaction,ST_JobRoleLab)</f>
        <v>-1.0690951795650962E-2</v>
      </c>
      <c r="W43" s="82">
        <f>_xll.StatCorrelationCoeff( ST_RelationshipSatisfaction,ST_JobRoleMgr)</f>
        <v>2.5637648754910747E-2</v>
      </c>
      <c r="X43" s="82">
        <f>_xll.StatCorrelationCoeff( ST_RelationshipSatisfaction,ST_JobRoleManufDir)</f>
        <v>3.6400458298011334E-3</v>
      </c>
      <c r="Y43" s="82">
        <f>_xll.StatCorrelationCoeff( ST_RelationshipSatisfaction,ST_JobRoleResearchDir)</f>
        <v>3.6400458298011334E-3</v>
      </c>
      <c r="Z43" s="82">
        <f>_xll.StatCorrelationCoeff( ST_RelationshipSatisfaction,ST_JobRoleSalesRep)</f>
        <v>-2.4858834253708582E-2</v>
      </c>
      <c r="AA43" s="82">
        <f>_xll.StatCorrelationCoeff( ST_RelationshipSatisfaction,ST_JobRoleResearchSci)</f>
        <v>-3.1164012459350332E-3</v>
      </c>
      <c r="AB43" s="82">
        <f>_xll.StatCorrelationCoeff( ST_RelationshipSatisfaction,ST_JobSatisfaction)</f>
        <v>-1.2453593161926875E-2</v>
      </c>
      <c r="AC43" s="82">
        <f>_xll.StatCorrelationCoeff( ST_RelationshipSatisfaction,ST_MaritalSingle)</f>
        <v>4.0817025957535329E-2</v>
      </c>
      <c r="AD43" s="82">
        <f>_xll.StatCorrelationCoeff( ST_RelationshipSatisfaction,ST_MaritalMarried)</f>
        <v>-4.3382251211349518E-2</v>
      </c>
      <c r="AE43" s="82">
        <f>_xll.StatCorrelationCoeff( ST_RelationshipSatisfaction,ST_WinsMonthlyIncome)</f>
        <v>2.6248043383924509E-2</v>
      </c>
      <c r="AF43" s="82">
        <f>_xll.StatCorrelationCoeff( ST_RelationshipSatisfaction,ST_NumCompaniesWorked)</f>
        <v>5.2733048564885469E-2</v>
      </c>
      <c r="AG43" s="82">
        <f>_xll.StatCorrelationCoeff( ST_RelationshipSatisfaction,ST_OvertimeYes)</f>
        <v>4.8492802870137741E-2</v>
      </c>
      <c r="AH43" s="82">
        <f>_xll.StatCorrelationCoeff( ST_RelationshipSatisfaction,ST_PercentSalaryHike)</f>
        <v>-4.0490081057077104E-2</v>
      </c>
      <c r="AI43" s="82">
        <f>_xll.StatCorrelationCoeff( ST_RelationshipSatisfaction,ST_PerformanceRating)</f>
        <v>-3.1351455442454927E-2</v>
      </c>
      <c r="AJ43" s="82">
        <v>1</v>
      </c>
      <c r="AK43" s="82"/>
      <c r="AL43" s="82"/>
      <c r="AM43" s="82"/>
      <c r="AN43" s="82"/>
      <c r="AO43" s="82"/>
      <c r="AP43" s="82"/>
      <c r="AQ43" s="82"/>
      <c r="AR43" s="82"/>
      <c r="AS43" s="82"/>
    </row>
    <row r="44" spans="1:45" ht="15" customHeight="1" x14ac:dyDescent="0.45">
      <c r="A44" s="18" t="s">
        <v>43</v>
      </c>
      <c r="B44" s="82">
        <f>_xll.StatCorrelationCoeff( ST_StockOptionLevel,ST_WinsAge)</f>
        <v>3.7511110839420776E-2</v>
      </c>
      <c r="C44" s="82">
        <f>_xll.StatCorrelationCoeff( ST_StockOptionLevel,ST_Attritionyes)</f>
        <v>-0.13714491893332414</v>
      </c>
      <c r="D44" s="82">
        <f>_xll.StatCorrelationCoeff( ST_StockOptionLevel,ST_BusinessTravelFrequently)</f>
        <v>-1.6142113874364275E-2</v>
      </c>
      <c r="E44" s="82">
        <f>_xll.StatCorrelationCoeff( ST_StockOptionLevel,ST_BusinessTravelrarely)</f>
        <v>-5.3027044206382986E-3</v>
      </c>
      <c r="F44" s="82">
        <f>_xll.StatCorrelationCoeff( ST_StockOptionLevel,ST_DeptRD)</f>
        <v>1.6926504654204561E-2</v>
      </c>
      <c r="G44" s="82">
        <f>_xll.StatCorrelationCoeff( ST_StockOptionLevel,ST_DeptSales)</f>
        <v>-1.5755408166675255E-2</v>
      </c>
      <c r="H44" s="82">
        <f>_xll.StatCorrelationCoeff( ST_StockOptionLevel,ST_WinsDistanceFromHome)</f>
        <v>4.4871998853181376E-2</v>
      </c>
      <c r="I44" s="82">
        <f>_xll.StatCorrelationCoeff( ST_StockOptionLevel,ST_Education)</f>
        <v>1.8422220204016938E-2</v>
      </c>
      <c r="J44" s="82">
        <f>_xll.StatCorrelationCoeff( ST_StockOptionLevel,ST_EducationFieldLifeSci)</f>
        <v>-1.7992829593118952E-2</v>
      </c>
      <c r="K44" s="82">
        <f>_xll.StatCorrelationCoeff( ST_StockOptionLevel,ST_EducationFieldOther)</f>
        <v>-4.2099753385909655E-2</v>
      </c>
      <c r="L44" s="82">
        <f>_xll.StatCorrelationCoeff( ST_StockOptionLevel,ST_EducationFieldMedical)</f>
        <v>3.3749756964996852E-2</v>
      </c>
      <c r="M44" s="82">
        <f>_xll.StatCorrelationCoeff( ST_StockOptionLevel,ST_EducationFieldMkt)</f>
        <v>2.2560075732205587E-2</v>
      </c>
      <c r="N44" s="82">
        <f>_xll.StatCorrelationCoeff( ST_StockOptionLevel,ST_EducationFieldTech)</f>
        <v>-2.4560301191047879E-2</v>
      </c>
      <c r="O44" s="82">
        <f>_xll.StatCorrelationCoeff( ST_StockOptionLevel,ST_EnvironmentSatisfaction)</f>
        <v>3.4321577550576604E-3</v>
      </c>
      <c r="P44" s="82">
        <f>_xll.StatCorrelationCoeff( ST_StockOptionLevel,ST_Female)</f>
        <v>-1.2715713764063028E-2</v>
      </c>
      <c r="Q44" s="82">
        <f>_xll.StatCorrelationCoeff( ST_StockOptionLevel,ST_HourlyRate)</f>
        <v>5.0263399065119785E-2</v>
      </c>
      <c r="R44" s="82">
        <f>_xll.StatCorrelationCoeff( ST_StockOptionLevel,ST_JobInvolvement)</f>
        <v>2.1522640378023941E-2</v>
      </c>
      <c r="S44" s="82">
        <f>_xll.StatCorrelationCoeff( ST_StockOptionLevel,ST_JobLevel)</f>
        <v>1.3983910528615516E-2</v>
      </c>
      <c r="T44" s="82">
        <f>_xll.StatCorrelationCoeff( ST_StockOptionLevel,ST_JobRoleHealthRep)</f>
        <v>1.4021368103569194E-2</v>
      </c>
      <c r="U44" s="82">
        <f>_xll.StatCorrelationCoeff( ST_StockOptionLevel,ST_JobRoleSalesExe)</f>
        <v>1.5755961392389491E-2</v>
      </c>
      <c r="V44" s="82">
        <f>_xll.StatCorrelationCoeff( ST_StockOptionLevel,ST_JobRoleLab)</f>
        <v>1.3386178923933839E-2</v>
      </c>
      <c r="W44" s="82">
        <f>_xll.StatCorrelationCoeff( ST_StockOptionLevel,ST_JobRoleMgr)</f>
        <v>-1.5637365339166695E-2</v>
      </c>
      <c r="X44" s="82">
        <f>_xll.StatCorrelationCoeff( ST_StockOptionLevel,ST_JobRoleManufDir)</f>
        <v>7.7345938897134371E-3</v>
      </c>
      <c r="Y44" s="82">
        <f>_xll.StatCorrelationCoeff( ST_StockOptionLevel,ST_JobRoleResearchDir)</f>
        <v>7.7345938897134371E-3</v>
      </c>
      <c r="Z44" s="82">
        <f>_xll.StatCorrelationCoeff( ST_StockOptionLevel,ST_JobRoleSalesRep)</f>
        <v>-4.8067495018851915E-2</v>
      </c>
      <c r="AA44" s="82">
        <f>_xll.StatCorrelationCoeff( ST_StockOptionLevel,ST_JobRoleResearchSci)</f>
        <v>-1.1634532312436904E-2</v>
      </c>
      <c r="AB44" s="82">
        <f>_xll.StatCorrelationCoeff( ST_StockOptionLevel,ST_JobSatisfaction)</f>
        <v>1.069022612075585E-2</v>
      </c>
      <c r="AC44" s="82">
        <f>_xll.StatCorrelationCoeff( ST_StockOptionLevel,ST_MaritalSingle)</f>
        <v>-0.63895687352153707</v>
      </c>
      <c r="AD44" s="82">
        <f>_xll.StatCorrelationCoeff( ST_StockOptionLevel,ST_MaritalMarried)</f>
        <v>0.22557423304867164</v>
      </c>
      <c r="AE44" s="82">
        <f>_xll.StatCorrelationCoeff( ST_StockOptionLevel,ST_WinsMonthlyIncome)</f>
        <v>5.1609963858919305E-3</v>
      </c>
      <c r="AF44" s="82">
        <f>_xll.StatCorrelationCoeff( ST_StockOptionLevel,ST_NumCompaniesWorked)</f>
        <v>3.0075475096897532E-2</v>
      </c>
      <c r="AG44" s="82">
        <f>_xll.StatCorrelationCoeff( ST_StockOptionLevel,ST_OvertimeYes)</f>
        <v>-4.4867072191976266E-4</v>
      </c>
      <c r="AH44" s="82">
        <f>_xll.StatCorrelationCoeff( ST_StockOptionLevel,ST_PercentSalaryHike)</f>
        <v>7.527747820520239E-3</v>
      </c>
      <c r="AI44" s="82">
        <f>_xll.StatCorrelationCoeff( ST_StockOptionLevel,ST_PerformanceRating)</f>
        <v>3.5064716148099253E-3</v>
      </c>
      <c r="AJ44" s="82">
        <f>_xll.StatCorrelationCoeff( ST_StockOptionLevel,ST_RelationshipSatisfaction)</f>
        <v>-4.5952490716560969E-2</v>
      </c>
      <c r="AK44" s="82">
        <v>1</v>
      </c>
      <c r="AL44" s="82"/>
      <c r="AM44" s="82"/>
      <c r="AN44" s="82"/>
      <c r="AO44" s="82"/>
      <c r="AP44" s="82"/>
      <c r="AQ44" s="82"/>
      <c r="AR44" s="82"/>
      <c r="AS44" s="82"/>
    </row>
    <row r="45" spans="1:45" ht="15" customHeight="1" x14ac:dyDescent="0.45">
      <c r="A45" s="18" t="s">
        <v>395</v>
      </c>
      <c r="B45" s="82">
        <f>_xll.StatCorrelationCoeff( ST_WinsTotalWorkingYears,ST_WinsAge)</f>
        <v>0.68029193703986168</v>
      </c>
      <c r="C45" s="82">
        <f>_xll.StatCorrelationCoeff( ST_WinsTotalWorkingYears,ST_Attritionyes)</f>
        <v>-0.17320324364285769</v>
      </c>
      <c r="D45" s="82">
        <f>_xll.StatCorrelationCoeff( ST_WinsTotalWorkingYears,ST_BusinessTravelFrequently)</f>
        <v>-1.1381793517476188E-2</v>
      </c>
      <c r="E45" s="82">
        <f>_xll.StatCorrelationCoeff( ST_WinsTotalWorkingYears,ST_BusinessTravelrarely)</f>
        <v>2.8915517924884209E-2</v>
      </c>
      <c r="F45" s="82">
        <f>_xll.StatCorrelationCoeff( ST_WinsTotalWorkingYears,ST_DeptRD)</f>
        <v>1.1273235350065159E-2</v>
      </c>
      <c r="G45" s="82">
        <f>_xll.StatCorrelationCoeff( ST_WinsTotalWorkingYears,ST_DeptSales)</f>
        <v>-1.494410833806221E-2</v>
      </c>
      <c r="H45" s="82">
        <f>_xll.StatCorrelationCoeff( ST_WinsTotalWorkingYears,ST_WinsDistanceFromHome)</f>
        <v>4.0834047647055676E-3</v>
      </c>
      <c r="I45" s="82">
        <f>_xll.StatCorrelationCoeff( ST_WinsTotalWorkingYears,ST_Education)</f>
        <v>0.14692493889561431</v>
      </c>
      <c r="J45" s="82">
        <f>_xll.StatCorrelationCoeff( ST_WinsTotalWorkingYears,ST_EducationFieldLifeSci)</f>
        <v>-3.9152488092862141E-3</v>
      </c>
      <c r="K45" s="82">
        <f>_xll.StatCorrelationCoeff( ST_WinsTotalWorkingYears,ST_EducationFieldOther)</f>
        <v>-2.8855019375389385E-2</v>
      </c>
      <c r="L45" s="82">
        <f>_xll.StatCorrelationCoeff( ST_WinsTotalWorkingYears,ST_EducationFieldMedical)</f>
        <v>2.4366901132878177E-2</v>
      </c>
      <c r="M45" s="82">
        <f>_xll.StatCorrelationCoeff( ST_WinsTotalWorkingYears,ST_EducationFieldMkt)</f>
        <v>2.6789452331877364E-2</v>
      </c>
      <c r="N45" s="82">
        <f>_xll.StatCorrelationCoeff( ST_WinsTotalWorkingYears,ST_EducationFieldTech)</f>
        <v>-4.1511961702463462E-2</v>
      </c>
      <c r="O45" s="82">
        <f>_xll.StatCorrelationCoeff( ST_WinsTotalWorkingYears,ST_EnvironmentSatisfaction)</f>
        <v>-4.0463960708133507E-3</v>
      </c>
      <c r="P45" s="82">
        <f>_xll.StatCorrelationCoeff( ST_WinsTotalWorkingYears,ST_Female)</f>
        <v>4.7560435542427643E-2</v>
      </c>
      <c r="Q45" s="82">
        <f>_xll.StatCorrelationCoeff( ST_WinsTotalWorkingYears,ST_HourlyRate)</f>
        <v>-2.1497170615321017E-3</v>
      </c>
      <c r="R45" s="82">
        <f>_xll.StatCorrelationCoeff( ST_WinsTotalWorkingYears,ST_JobInvolvement)</f>
        <v>-5.8716007492799439E-3</v>
      </c>
      <c r="S45" s="82">
        <f>_xll.StatCorrelationCoeff( ST_WinsTotalWorkingYears,ST_JobLevel)</f>
        <v>0.78399508825149422</v>
      </c>
      <c r="T45" s="82">
        <f>_xll.StatCorrelationCoeff( ST_WinsTotalWorkingYears,ST_JobRoleHealthRep)</f>
        <v>0.11207446165596531</v>
      </c>
      <c r="U45" s="82">
        <f>_xll.StatCorrelationCoeff( ST_WinsTotalWorkingYears,ST_JobRoleSalesExe)</f>
        <v>-1.2448888359314018E-2</v>
      </c>
      <c r="V45" s="82">
        <f>_xll.StatCorrelationCoeff( ST_WinsTotalWorkingYears,ST_JobRoleLab)</f>
        <v>-0.21604095669013307</v>
      </c>
      <c r="W45" s="82">
        <f>_xll.StatCorrelationCoeff( ST_WinsTotalWorkingYears,ST_JobRoleMgr)</f>
        <v>0.46734226707403903</v>
      </c>
      <c r="X45" s="82">
        <f>_xll.StatCorrelationCoeff( ST_WinsTotalWorkingYears,ST_JobRoleManufDir)</f>
        <v>6.453628115979726E-2</v>
      </c>
      <c r="Y45" s="82">
        <f>_xll.StatCorrelationCoeff( ST_WinsTotalWorkingYears,ST_JobRoleResearchDir)</f>
        <v>6.453628115979726E-2</v>
      </c>
      <c r="Z45" s="82">
        <f>_xll.StatCorrelationCoeff( ST_WinsTotalWorkingYears,ST_JobRoleSalesRep)</f>
        <v>-0.20774446198500465</v>
      </c>
      <c r="AA45" s="82">
        <f>_xll.StatCorrelationCoeff( ST_WinsTotalWorkingYears,ST_JobRoleResearchSci)</f>
        <v>-0.22861016606965018</v>
      </c>
      <c r="AB45" s="82">
        <f>_xll.StatCorrelationCoeff( ST_WinsTotalWorkingYears,ST_JobSatisfaction)</f>
        <v>-1.9756062061315995E-2</v>
      </c>
      <c r="AC45" s="82">
        <f>_xll.StatCorrelationCoeff( ST_WinsTotalWorkingYears,ST_MaritalSingle)</f>
        <v>-9.0512697712190907E-2</v>
      </c>
      <c r="AD45" s="82">
        <f>_xll.StatCorrelationCoeff( ST_WinsTotalWorkingYears,ST_MaritalMarried)</f>
        <v>5.388030733250531E-2</v>
      </c>
      <c r="AE45" s="82">
        <f>_xll.StatCorrelationCoeff( ST_WinsTotalWorkingYears,ST_WinsMonthlyIncome)</f>
        <v>0.77425128688054923</v>
      </c>
      <c r="AF45" s="82">
        <f>_xll.StatCorrelationCoeff( ST_WinsTotalWorkingYears,ST_NumCompaniesWorked)</f>
        <v>0.23846466654778478</v>
      </c>
      <c r="AG45" s="82">
        <f>_xll.StatCorrelationCoeff( ST_WinsTotalWorkingYears,ST_OvertimeYes)</f>
        <v>1.2973940092384029E-2</v>
      </c>
      <c r="AH45" s="82">
        <f>_xll.StatCorrelationCoeff( ST_WinsTotalWorkingYears,ST_PercentSalaryHike)</f>
        <v>-2.0763694465666845E-2</v>
      </c>
      <c r="AI45" s="82">
        <f>_xll.StatCorrelationCoeff( ST_WinsTotalWorkingYears,ST_PerformanceRating)</f>
        <v>5.9389265346408192E-3</v>
      </c>
      <c r="AJ45" s="82">
        <f>_xll.StatCorrelationCoeff( ST_WinsTotalWorkingYears,ST_RelationshipSatisfaction)</f>
        <v>2.3489300610472334E-2</v>
      </c>
      <c r="AK45" s="82">
        <f>_xll.StatCorrelationCoeff( ST_WinsTotalWorkingYears,ST_StockOptionLevel)</f>
        <v>1.0611932079119948E-2</v>
      </c>
      <c r="AL45" s="82">
        <v>1</v>
      </c>
      <c r="AM45" s="82"/>
      <c r="AN45" s="82"/>
      <c r="AO45" s="82"/>
      <c r="AP45" s="82"/>
      <c r="AQ45" s="82"/>
      <c r="AR45" s="82"/>
      <c r="AS45" s="82"/>
    </row>
    <row r="46" spans="1:45" ht="15" customHeight="1" x14ac:dyDescent="0.45">
      <c r="A46" s="18" t="s">
        <v>45</v>
      </c>
      <c r="B46" s="82">
        <f>_xll.StatCorrelationCoeff( ST_TrainingTimesLastYear,ST_WinsAge)</f>
        <v>-2.0194782755927541E-2</v>
      </c>
      <c r="C46" s="82">
        <f>_xll.StatCorrelationCoeff( ST_TrainingTimesLastYear,ST_Attritionyes)</f>
        <v>-5.9477798556420665E-2</v>
      </c>
      <c r="D46" s="82">
        <f>_xll.StatCorrelationCoeff( ST_TrainingTimesLastYear,ST_BusinessTravelFrequently)</f>
        <v>6.1931014751118304E-3</v>
      </c>
      <c r="E46" s="82">
        <f>_xll.StatCorrelationCoeff( ST_TrainingTimesLastYear,ST_BusinessTravelrarely)</f>
        <v>8.4983903734759635E-3</v>
      </c>
      <c r="F46" s="82">
        <f>_xll.StatCorrelationCoeff( ST_TrainingTimesLastYear,ST_DeptRD)</f>
        <v>-6.8185796864056302E-3</v>
      </c>
      <c r="G46" s="82">
        <f>_xll.StatCorrelationCoeff( ST_TrainingTimesLastYear,ST_DeptSales)</f>
        <v>2.4688427934508431E-2</v>
      </c>
      <c r="H46" s="82">
        <f>_xll.StatCorrelationCoeff( ST_TrainingTimesLastYear,ST_WinsDistanceFromHome)</f>
        <v>-3.6942234339916002E-2</v>
      </c>
      <c r="I46" s="82">
        <f>_xll.StatCorrelationCoeff( ST_TrainingTimesLastYear,ST_Education)</f>
        <v>-2.5100241137933486E-2</v>
      </c>
      <c r="J46" s="82">
        <f>_xll.StatCorrelationCoeff( ST_TrainingTimesLastYear,ST_EducationFieldLifeSci)</f>
        <v>-3.9018068154719261E-2</v>
      </c>
      <c r="K46" s="82">
        <f>_xll.StatCorrelationCoeff( ST_TrainingTimesLastYear,ST_EducationFieldOther)</f>
        <v>-8.1512162019899172E-3</v>
      </c>
      <c r="L46" s="82">
        <f>_xll.StatCorrelationCoeff( ST_TrainingTimesLastYear,ST_EducationFieldMedical)</f>
        <v>7.0541828147863528E-2</v>
      </c>
      <c r="M46" s="82">
        <f>_xll.StatCorrelationCoeff( ST_TrainingTimesLastYear,ST_EducationFieldMkt)</f>
        <v>-2.9046413181111497E-2</v>
      </c>
      <c r="N46" s="82">
        <f>_xll.StatCorrelationCoeff( ST_TrainingTimesLastYear,ST_EducationFieldTech)</f>
        <v>8.2892504521350947E-3</v>
      </c>
      <c r="O46" s="82">
        <f>_xll.StatCorrelationCoeff( ST_TrainingTimesLastYear,ST_EnvironmentSatisfaction)</f>
        <v>-1.9359308347132335E-2</v>
      </c>
      <c r="P46" s="82">
        <f>_xll.StatCorrelationCoeff( ST_TrainingTimesLastYear,ST_Female)</f>
        <v>3.8786735477878295E-2</v>
      </c>
      <c r="Q46" s="82">
        <f>_xll.StatCorrelationCoeff( ST_TrainingTimesLastYear,ST_HourlyRate)</f>
        <v>-8.547685209270621E-3</v>
      </c>
      <c r="R46" s="82">
        <f>_xll.StatCorrelationCoeff( ST_TrainingTimesLastYear,ST_JobInvolvement)</f>
        <v>-1.5337825759428996E-2</v>
      </c>
      <c r="S46" s="82">
        <f>_xll.StatCorrelationCoeff( ST_TrainingTimesLastYear,ST_JobLevel)</f>
        <v>-1.8190550193549565E-2</v>
      </c>
      <c r="T46" s="82">
        <f>_xll.StatCorrelationCoeff( ST_TrainingTimesLastYear,ST_JobRoleHealthRep)</f>
        <v>-1.2432472339949294E-2</v>
      </c>
      <c r="U46" s="82">
        <f>_xll.StatCorrelationCoeff( ST_TrainingTimesLastYear,ST_JobRoleSalesExe)</f>
        <v>1.3241076706121619E-2</v>
      </c>
      <c r="V46" s="82">
        <f>_xll.StatCorrelationCoeff( ST_TrainingTimesLastYear,ST_JobRoleLab)</f>
        <v>5.3998428214939068E-2</v>
      </c>
      <c r="W46" s="82">
        <f>_xll.StatCorrelationCoeff( ST_TrainingTimesLastYear,ST_JobRoleMgr)</f>
        <v>3.0520873931294151E-3</v>
      </c>
      <c r="X46" s="82">
        <f>_xll.StatCorrelationCoeff( ST_TrainingTimesLastYear,ST_JobRoleManufDir)</f>
        <v>-1.3986647262973731E-2</v>
      </c>
      <c r="Y46" s="82">
        <f>_xll.StatCorrelationCoeff( ST_TrainingTimesLastYear,ST_JobRoleResearchDir)</f>
        <v>-1.3986647262973731E-2</v>
      </c>
      <c r="Z46" s="82">
        <f>_xll.StatCorrelationCoeff( ST_TrainingTimesLastYear,ST_JobRoleSalesRep)</f>
        <v>4.0376633421367027E-2</v>
      </c>
      <c r="AA46" s="82">
        <f>_xll.StatCorrelationCoeff( ST_TrainingTimesLastYear,ST_JobRoleResearchSci)</f>
        <v>-5.2125571630716835E-2</v>
      </c>
      <c r="AB46" s="82">
        <f>_xll.StatCorrelationCoeff( ST_TrainingTimesLastYear,ST_JobSatisfaction)</f>
        <v>-5.7793349586090573E-3</v>
      </c>
      <c r="AC46" s="82">
        <f>_xll.StatCorrelationCoeff( ST_TrainingTimesLastYear,ST_MaritalSingle)</f>
        <v>2.4128838221690267E-2</v>
      </c>
      <c r="AD46" s="82">
        <f>_xll.StatCorrelationCoeff( ST_TrainingTimesLastYear,ST_MaritalMarried)</f>
        <v>-2.9602420790941237E-2</v>
      </c>
      <c r="AE46" s="82">
        <f>_xll.StatCorrelationCoeff( ST_TrainingTimesLastYear,ST_WinsMonthlyIncome)</f>
        <v>-2.1704931620881426E-2</v>
      </c>
      <c r="AF46" s="82">
        <f>_xll.StatCorrelationCoeff( ST_TrainingTimesLastYear,ST_NumCompaniesWorked)</f>
        <v>-6.6054071727836325E-2</v>
      </c>
      <c r="AG46" s="82">
        <f>_xll.StatCorrelationCoeff( ST_TrainingTimesLastYear,ST_OvertimeYes)</f>
        <v>-7.9113371551009823E-2</v>
      </c>
      <c r="AH46" s="82">
        <f>_xll.StatCorrelationCoeff( ST_TrainingTimesLastYear,ST_PercentSalaryHike)</f>
        <v>-5.2210123517209888E-3</v>
      </c>
      <c r="AI46" s="82">
        <f>_xll.StatCorrelationCoeff( ST_TrainingTimesLastYear,ST_PerformanceRating)</f>
        <v>-1.5578881739137221E-2</v>
      </c>
      <c r="AJ46" s="82">
        <f>_xll.StatCorrelationCoeff( ST_TrainingTimesLastYear,ST_RelationshipSatisfaction)</f>
        <v>2.4965263921170973E-3</v>
      </c>
      <c r="AK46" s="82">
        <f>_xll.StatCorrelationCoeff( ST_TrainingTimesLastYear,ST_StockOptionLevel)</f>
        <v>1.1274069611249011E-2</v>
      </c>
      <c r="AL46" s="82">
        <f>_xll.StatCorrelationCoeff( ST_TrainingTimesLastYear,ST_WinsTotalWorkingYears)</f>
        <v>-3.469995604321393E-2</v>
      </c>
      <c r="AM46" s="82">
        <v>1</v>
      </c>
      <c r="AN46" s="82"/>
      <c r="AO46" s="82"/>
      <c r="AP46" s="82"/>
      <c r="AQ46" s="82"/>
      <c r="AR46" s="82"/>
      <c r="AS46" s="82"/>
    </row>
    <row r="47" spans="1:45" ht="15" customHeight="1" x14ac:dyDescent="0.45">
      <c r="A47" s="18" t="s">
        <v>46</v>
      </c>
      <c r="B47" s="82">
        <f>_xll.StatCorrelationCoeff( ST_WorkLifeBalance,ST_WinsAge)</f>
        <v>-2.124995861315334E-2</v>
      </c>
      <c r="C47" s="82">
        <f>_xll.StatCorrelationCoeff( ST_WorkLifeBalance,ST_Attritionyes)</f>
        <v>-6.3939047217409117E-2</v>
      </c>
      <c r="D47" s="82">
        <f>_xll.StatCorrelationCoeff( ST_WorkLifeBalance,ST_BusinessTravelFrequently)</f>
        <v>1.0199439870304144E-2</v>
      </c>
      <c r="E47" s="82">
        <f>_xll.StatCorrelationCoeff( ST_WorkLifeBalance,ST_BusinessTravelrarely)</f>
        <v>-1.2639572477479821E-2</v>
      </c>
      <c r="F47" s="82">
        <f>_xll.StatCorrelationCoeff( ST_WorkLifeBalance,ST_DeptRD)</f>
        <v>-6.9921566695658049E-2</v>
      </c>
      <c r="G47" s="82">
        <f>_xll.StatCorrelationCoeff( ST_WorkLifeBalance,ST_DeptSales)</f>
        <v>5.1320466573557939E-2</v>
      </c>
      <c r="H47" s="82">
        <f>_xll.StatCorrelationCoeff( ST_WorkLifeBalance,ST_WinsDistanceFromHome)</f>
        <v>-2.6556004106568967E-2</v>
      </c>
      <c r="I47" s="82">
        <f>_xll.StatCorrelationCoeff( ST_WorkLifeBalance,ST_Education)</f>
        <v>9.819189309781845E-3</v>
      </c>
      <c r="J47" s="82">
        <f>_xll.StatCorrelationCoeff( ST_WorkLifeBalance,ST_EducationFieldLifeSci)</f>
        <v>-3.9728024915178246E-2</v>
      </c>
      <c r="K47" s="82">
        <f>_xll.StatCorrelationCoeff( ST_WorkLifeBalance,ST_EducationFieldOther)</f>
        <v>3.1812267192507404E-2</v>
      </c>
      <c r="L47" s="82">
        <f>_xll.StatCorrelationCoeff( ST_WorkLifeBalance,ST_EducationFieldMedical)</f>
        <v>1.6410738540389048E-3</v>
      </c>
      <c r="M47" s="82">
        <f>_xll.StatCorrelationCoeff( ST_WorkLifeBalance,ST_EducationFieldMkt)</f>
        <v>1.8500492448028611E-2</v>
      </c>
      <c r="N47" s="82">
        <f>_xll.StatCorrelationCoeff( ST_WorkLifeBalance,ST_EducationFieldTech)</f>
        <v>2.19621205362482E-2</v>
      </c>
      <c r="O47" s="82">
        <f>_xll.StatCorrelationCoeff( ST_WorkLifeBalance,ST_EnvironmentSatisfaction)</f>
        <v>2.7627295460115407E-2</v>
      </c>
      <c r="P47" s="82">
        <f>_xll.StatCorrelationCoeff( ST_WorkLifeBalance,ST_Female)</f>
        <v>2.7526788208192478E-3</v>
      </c>
      <c r="Q47" s="82">
        <f>_xll.StatCorrelationCoeff( ST_WorkLifeBalance,ST_HourlyRate)</f>
        <v>-4.6072337502644353E-3</v>
      </c>
      <c r="R47" s="82">
        <f>_xll.StatCorrelationCoeff( ST_WorkLifeBalance,ST_JobInvolvement)</f>
        <v>-1.4616593162761338E-2</v>
      </c>
      <c r="S47" s="82">
        <f>_xll.StatCorrelationCoeff( ST_WorkLifeBalance,ST_JobLevel)</f>
        <v>3.7817745596666272E-2</v>
      </c>
      <c r="T47" s="82">
        <f>_xll.StatCorrelationCoeff( ST_WorkLifeBalance,ST_JobRoleHealthRep)</f>
        <v>-2.6101459142527414E-2</v>
      </c>
      <c r="U47" s="82">
        <f>_xll.StatCorrelationCoeff( ST_WorkLifeBalance,ST_JobRoleSalesExe)</f>
        <v>3.2091524931650246E-2</v>
      </c>
      <c r="V47" s="82">
        <f>_xll.StatCorrelationCoeff( ST_WorkLifeBalance,ST_JobRoleLab)</f>
        <v>-2.8208597988753924E-2</v>
      </c>
      <c r="W47" s="82">
        <f>_xll.StatCorrelationCoeff( ST_WorkLifeBalance,ST_JobRoleMgr)</f>
        <v>5.1366423266411016E-3</v>
      </c>
      <c r="X47" s="82">
        <f>_xll.StatCorrelationCoeff( ST_WorkLifeBalance,ST_JobRoleManufDir)</f>
        <v>2.01076945974663E-3</v>
      </c>
      <c r="Y47" s="82">
        <f>_xll.StatCorrelationCoeff( ST_WorkLifeBalance,ST_JobRoleResearchDir)</f>
        <v>2.01076945974663E-3</v>
      </c>
      <c r="Z47" s="82">
        <f>_xll.StatCorrelationCoeff( ST_WorkLifeBalance,ST_JobRoleSalesRep)</f>
        <v>4.5147624968942361E-2</v>
      </c>
      <c r="AA47" s="82">
        <f>_xll.StatCorrelationCoeff( ST_WorkLifeBalance,ST_JobRoleResearchSci)</f>
        <v>-5.8612637675502004E-2</v>
      </c>
      <c r="AB47" s="82">
        <f>_xll.StatCorrelationCoeff( ST_WorkLifeBalance,ST_JobSatisfaction)</f>
        <v>-1.9458710212974534E-2</v>
      </c>
      <c r="AC47" s="82">
        <f>_xll.StatCorrelationCoeff( ST_WorkLifeBalance,ST_MaritalSingle)</f>
        <v>1.4921370508689637E-2</v>
      </c>
      <c r="AD47" s="82">
        <f>_xll.StatCorrelationCoeff( ST_WorkLifeBalance,ST_MaritalMarried)</f>
        <v>-6.38799455442689E-3</v>
      </c>
      <c r="AE47" s="82">
        <f>_xll.StatCorrelationCoeff( ST_WorkLifeBalance,ST_WinsMonthlyIncome)</f>
        <v>3.0736781238047912E-2</v>
      </c>
      <c r="AF47" s="82">
        <f>_xll.StatCorrelationCoeff( ST_WorkLifeBalance,ST_NumCompaniesWorked)</f>
        <v>-8.3656847900586574E-3</v>
      </c>
      <c r="AG47" s="82">
        <f>_xll.StatCorrelationCoeff( ST_WorkLifeBalance,ST_OvertimeYes)</f>
        <v>-2.7091878472392382E-2</v>
      </c>
      <c r="AH47" s="82">
        <f>_xll.StatCorrelationCoeff( ST_WorkLifeBalance,ST_PercentSalaryHike)</f>
        <v>-3.2796360093679377E-3</v>
      </c>
      <c r="AI47" s="82">
        <f>_xll.StatCorrelationCoeff( ST_WorkLifeBalance,ST_PerformanceRating)</f>
        <v>2.5723613176823249E-3</v>
      </c>
      <c r="AJ47" s="82">
        <f>_xll.StatCorrelationCoeff( ST_WorkLifeBalance,ST_RelationshipSatisfaction)</f>
        <v>1.9604405703968618E-2</v>
      </c>
      <c r="AK47" s="82">
        <f>_xll.StatCorrelationCoeff( ST_WorkLifeBalance,ST_StockOptionLevel)</f>
        <v>4.1287300028718223E-3</v>
      </c>
      <c r="AL47" s="82">
        <f>_xll.StatCorrelationCoeff( ST_WorkLifeBalance,ST_WinsTotalWorkingYears)</f>
        <v>1.914046987436691E-3</v>
      </c>
      <c r="AM47" s="82">
        <f>_xll.StatCorrelationCoeff( ST_WorkLifeBalance,ST_TrainingTimesLastYear)</f>
        <v>2.8072206603628899E-2</v>
      </c>
      <c r="AN47" s="82">
        <v>1</v>
      </c>
      <c r="AO47" s="82"/>
      <c r="AP47" s="82"/>
      <c r="AQ47" s="82"/>
      <c r="AR47" s="82"/>
      <c r="AS47" s="82"/>
    </row>
    <row r="48" spans="1:45" ht="15" customHeight="1" x14ac:dyDescent="0.45">
      <c r="A48" s="18" t="s">
        <v>396</v>
      </c>
      <c r="B48" s="82">
        <f>_xll.StatCorrelationCoeff( ST_WinsYearsAtCompany,ST_WinsAge)</f>
        <v>0.30851390576060622</v>
      </c>
      <c r="C48" s="82">
        <f>_xll.StatCorrelationCoeff( ST_WinsYearsAtCompany,ST_Attritionyes)</f>
        <v>-0.1387751741953081</v>
      </c>
      <c r="D48" s="82">
        <f>_xll.StatCorrelationCoeff( ST_WinsYearsAtCompany,ST_BusinessTravelFrequently)</f>
        <v>1.4913879858154027E-2</v>
      </c>
      <c r="E48" s="82">
        <f>_xll.StatCorrelationCoeff( ST_WinsYearsAtCompany,ST_BusinessTravelrarely)</f>
        <v>-1.807870008924491E-2</v>
      </c>
      <c r="F48" s="82">
        <f>_xll.StatCorrelationCoeff( ST_WinsYearsAtCompany,ST_DeptRD)</f>
        <v>-3.1450806013067358E-2</v>
      </c>
      <c r="G48" s="82">
        <f>_xll.StatCorrelationCoeff( ST_WinsYearsAtCompany,ST_DeptSales)</f>
        <v>2.92843767849136E-2</v>
      </c>
      <c r="H48" s="82">
        <f>_xll.StatCorrelationCoeff( ST_WinsYearsAtCompany,ST_WinsDistanceFromHome)</f>
        <v>8.3423867470957588E-3</v>
      </c>
      <c r="I48" s="82">
        <f>_xll.StatCorrelationCoeff( ST_WinsYearsAtCompany,ST_Education)</f>
        <v>6.6576339477984914E-2</v>
      </c>
      <c r="J48" s="82">
        <f>_xll.StatCorrelationCoeff( ST_WinsYearsAtCompany,ST_EducationFieldLifeSci)</f>
        <v>4.5010949303923918E-4</v>
      </c>
      <c r="K48" s="82">
        <f>_xll.StatCorrelationCoeff( ST_WinsYearsAtCompany,ST_EducationFieldOther)</f>
        <v>-2.9816043411236358E-2</v>
      </c>
      <c r="L48" s="82">
        <f>_xll.StatCorrelationCoeff( ST_WinsYearsAtCompany,ST_EducationFieldMedical)</f>
        <v>8.3276455723750118E-3</v>
      </c>
      <c r="M48" s="82">
        <f>_xll.StatCorrelationCoeff( ST_WinsYearsAtCompany,ST_EducationFieldMkt)</f>
        <v>3.0334370145655109E-2</v>
      </c>
      <c r="N48" s="82">
        <f>_xll.StatCorrelationCoeff( ST_WinsYearsAtCompany,ST_EducationFieldTech)</f>
        <v>-2.1165813492124149E-2</v>
      </c>
      <c r="O48" s="82">
        <f>_xll.StatCorrelationCoeff( ST_WinsYearsAtCompany,ST_EnvironmentSatisfaction)</f>
        <v>-1.1479327435263741E-3</v>
      </c>
      <c r="P48" s="82">
        <f>_xll.StatCorrelationCoeff( ST_WinsYearsAtCompany,ST_Female)</f>
        <v>3.13674100106036E-2</v>
      </c>
      <c r="Q48" s="82">
        <f>_xll.StatCorrelationCoeff( ST_WinsYearsAtCompany,ST_HourlyRate)</f>
        <v>-2.0504978600611255E-2</v>
      </c>
      <c r="R48" s="82">
        <f>_xll.StatCorrelationCoeff( ST_WinsYearsAtCompany,ST_JobInvolvement)</f>
        <v>-2.0365713446661486E-2</v>
      </c>
      <c r="S48" s="82">
        <f>_xll.StatCorrelationCoeff( ST_WinsYearsAtCompany,ST_JobLevel)</f>
        <v>0.53692808209832099</v>
      </c>
      <c r="T48" s="82">
        <f>_xll.StatCorrelationCoeff( ST_WinsYearsAtCompany,ST_JobRoleHealthRep)</f>
        <v>6.8248588491527276E-2</v>
      </c>
      <c r="U48" s="82">
        <f>_xll.StatCorrelationCoeff( ST_WinsYearsAtCompany,ST_JobRoleSalesExe)</f>
        <v>4.430878228195486E-2</v>
      </c>
      <c r="V48" s="82">
        <f>_xll.StatCorrelationCoeff( ST_WinsYearsAtCompany,ST_JobRoleLab)</f>
        <v>-0.15107410926896059</v>
      </c>
      <c r="W48" s="82">
        <f>_xll.StatCorrelationCoeff( ST_WinsYearsAtCompany,ST_JobRoleMgr)</f>
        <v>0.32957209039439883</v>
      </c>
      <c r="X48" s="82">
        <f>_xll.StatCorrelationCoeff( ST_WinsYearsAtCompany,ST_JobRoleManufDir)</f>
        <v>3.3392111013214133E-2</v>
      </c>
      <c r="Y48" s="82">
        <f>_xll.StatCorrelationCoeff( ST_WinsYearsAtCompany,ST_JobRoleResearchDir)</f>
        <v>3.3392111013214133E-2</v>
      </c>
      <c r="Z48" s="82">
        <f>_xll.StatCorrelationCoeff( ST_WinsYearsAtCompany,ST_JobRoleSalesRep)</f>
        <v>-0.16563860562097479</v>
      </c>
      <c r="AA48" s="82">
        <f>_xll.StatCorrelationCoeff( ST_WinsYearsAtCompany,ST_JobRoleResearchSci)</f>
        <v>-0.15486922729810587</v>
      </c>
      <c r="AB48" s="82">
        <f>_xll.StatCorrelationCoeff( ST_WinsYearsAtCompany,ST_JobSatisfaction)</f>
        <v>-4.7151955243496246E-3</v>
      </c>
      <c r="AC48" s="82">
        <f>_xll.StatCorrelationCoeff( ST_WinsYearsAtCompany,ST_MaritalSingle)</f>
        <v>-7.2588658584799667E-2</v>
      </c>
      <c r="AD48" s="82">
        <f>_xll.StatCorrelationCoeff( ST_WinsYearsAtCompany,ST_MaritalMarried)</f>
        <v>4.4872617600272557E-2</v>
      </c>
      <c r="AE48" s="82">
        <f>_xll.StatCorrelationCoeff( ST_WinsYearsAtCompany,ST_WinsMonthlyIncome)</f>
        <v>0.51575130074499187</v>
      </c>
      <c r="AF48" s="82">
        <f>_xll.StatCorrelationCoeff( ST_WinsYearsAtCompany,ST_NumCompaniesWorked)</f>
        <v>-0.11698871475727746</v>
      </c>
      <c r="AG48" s="82">
        <f>_xll.StatCorrelationCoeff( ST_WinsYearsAtCompany,ST_OvertimeYes)</f>
        <v>-1.2023780546171901E-2</v>
      </c>
      <c r="AH48" s="82">
        <f>_xll.StatCorrelationCoeff( ST_WinsYearsAtCompany,ST_PercentSalaryHike)</f>
        <v>-3.5401033971798224E-2</v>
      </c>
      <c r="AI48" s="82">
        <f>_xll.StatCorrelationCoeff( ST_WinsYearsAtCompany,ST_PerformanceRating)</f>
        <v>3.9142034207804337E-3</v>
      </c>
      <c r="AJ48" s="82">
        <f>_xll.StatCorrelationCoeff( ST_WinsYearsAtCompany,ST_RelationshipSatisfaction)</f>
        <v>1.8417196584389815E-2</v>
      </c>
      <c r="AK48" s="82">
        <f>_xll.StatCorrelationCoeff( ST_WinsYearsAtCompany,ST_StockOptionLevel)</f>
        <v>1.650038170691237E-2</v>
      </c>
      <c r="AL48" s="82">
        <f>_xll.StatCorrelationCoeff( ST_WinsYearsAtCompany,ST_WinsTotalWorkingYears)</f>
        <v>0.624174377685349</v>
      </c>
      <c r="AM48" s="82">
        <f>_xll.StatCorrelationCoeff( ST_WinsYearsAtCompany,ST_TrainingTimesLastYear)</f>
        <v>4.4122619420450355E-3</v>
      </c>
      <c r="AN48" s="82">
        <f>_xll.StatCorrelationCoeff( ST_WinsYearsAtCompany,ST_WorkLifeBalance)</f>
        <v>1.2367771749154472E-2</v>
      </c>
      <c r="AO48" s="82">
        <v>1</v>
      </c>
      <c r="AP48" s="82"/>
      <c r="AQ48" s="82"/>
      <c r="AR48" s="82"/>
      <c r="AS48" s="82"/>
    </row>
    <row r="49" spans="1:45" ht="15" customHeight="1" x14ac:dyDescent="0.45">
      <c r="A49" s="18" t="s">
        <v>48</v>
      </c>
      <c r="B49" s="82">
        <f>_xll.StatCorrelationCoeff( ST_YearsInCurrentRole,ST_WinsAge)</f>
        <v>0.21280227631711476</v>
      </c>
      <c r="C49" s="82">
        <f>_xll.StatCorrelationCoeff( ST_YearsInCurrentRole,ST_Attritionyes)</f>
        <v>-0.16054500426769938</v>
      </c>
      <c r="D49" s="82">
        <f>_xll.StatCorrelationCoeff( ST_YearsInCurrentRole,ST_BusinessTravelFrequently)</f>
        <v>1.6797056070952294E-3</v>
      </c>
      <c r="E49" s="82">
        <f>_xll.StatCorrelationCoeff( ST_YearsInCurrentRole,ST_BusinessTravelrarely)</f>
        <v>-9.1471606461613064E-3</v>
      </c>
      <c r="F49" s="82">
        <f>_xll.StatCorrelationCoeff( ST_YearsInCurrentRole,ST_DeptRD)</f>
        <v>-2.8151286490143694E-2</v>
      </c>
      <c r="G49" s="82">
        <f>_xll.StatCorrelationCoeff( ST_YearsInCurrentRole,ST_DeptSales)</f>
        <v>4.6882682832273426E-2</v>
      </c>
      <c r="H49" s="82">
        <f>_xll.StatCorrelationCoeff( ST_YearsInCurrentRole,ST_WinsDistanceFromHome)</f>
        <v>1.884499910894567E-2</v>
      </c>
      <c r="I49" s="82">
        <f>_xll.StatCorrelationCoeff( ST_YearsInCurrentRole,ST_Education)</f>
        <v>6.0235554120695742E-2</v>
      </c>
      <c r="J49" s="82">
        <f>_xll.StatCorrelationCoeff( ST_YearsInCurrentRole,ST_EducationFieldLifeSci)</f>
        <v>1.8343208033524603E-2</v>
      </c>
      <c r="K49" s="82">
        <f>_xll.StatCorrelationCoeff( ST_YearsInCurrentRole,ST_EducationFieldOther)</f>
        <v>-1.7021439144824558E-2</v>
      </c>
      <c r="L49" s="82">
        <f>_xll.StatCorrelationCoeff( ST_YearsInCurrentRole,ST_EducationFieldMedical)</f>
        <v>-2.6418128178277555E-2</v>
      </c>
      <c r="M49" s="82">
        <f>_xll.StatCorrelationCoeff( ST_YearsInCurrentRole,ST_EducationFieldMkt)</f>
        <v>2.5126006254209961E-2</v>
      </c>
      <c r="N49" s="82">
        <f>_xll.StatCorrelationCoeff( ST_YearsInCurrentRole,ST_EducationFieldTech)</f>
        <v>9.6829879399673892E-3</v>
      </c>
      <c r="O49" s="82">
        <f>_xll.StatCorrelationCoeff( ST_YearsInCurrentRole,ST_EnvironmentSatisfaction)</f>
        <v>1.8007460142878566E-2</v>
      </c>
      <c r="P49" s="82">
        <f>_xll.StatCorrelationCoeff( ST_YearsInCurrentRole,ST_Female)</f>
        <v>4.1482728525767273E-2</v>
      </c>
      <c r="Q49" s="82">
        <f>_xll.StatCorrelationCoeff( ST_YearsInCurrentRole,ST_HourlyRate)</f>
        <v>-2.4106220208784862E-2</v>
      </c>
      <c r="R49" s="82">
        <f>_xll.StatCorrelationCoeff( ST_YearsInCurrentRole,ST_JobInvolvement)</f>
        <v>8.71696349761171E-3</v>
      </c>
      <c r="S49" s="82">
        <f>_xll.StatCorrelationCoeff( ST_YearsInCurrentRole,ST_JobLevel)</f>
        <v>0.38944673287667153</v>
      </c>
      <c r="T49" s="82">
        <f>_xll.StatCorrelationCoeff( ST_YearsInCurrentRole,ST_JobRoleHealthRep)</f>
        <v>5.4695026433329706E-2</v>
      </c>
      <c r="U49" s="82">
        <f>_xll.StatCorrelationCoeff( ST_YearsInCurrentRole,ST_JobRoleSalesExe)</f>
        <v>9.2349152338361509E-2</v>
      </c>
      <c r="V49" s="82">
        <f>_xll.StatCorrelationCoeff( ST_YearsInCurrentRole,ST_JobRoleLab)</f>
        <v>-0.13132168883477707</v>
      </c>
      <c r="W49" s="82">
        <f>_xll.StatCorrelationCoeff( ST_YearsInCurrentRole,ST_JobRoleMgr)</f>
        <v>0.16749855700219848</v>
      </c>
      <c r="X49" s="82">
        <f>_xll.StatCorrelationCoeff( ST_YearsInCurrentRole,ST_JobRoleManufDir)</f>
        <v>6.7876996988002508E-2</v>
      </c>
      <c r="Y49" s="82">
        <f>_xll.StatCorrelationCoeff( ST_YearsInCurrentRole,ST_JobRoleResearchDir)</f>
        <v>6.7876996988002508E-2</v>
      </c>
      <c r="Z49" s="82">
        <f>_xll.StatCorrelationCoeff( ST_YearsInCurrentRole,ST_JobRoleSalesRep)</f>
        <v>-0.14975087955776517</v>
      </c>
      <c r="AA49" s="82">
        <f>_xll.StatCorrelationCoeff( ST_YearsInCurrentRole,ST_JobRoleResearchSci)</f>
        <v>-0.13131431270616276</v>
      </c>
      <c r="AB49" s="82">
        <f>_xll.StatCorrelationCoeff( ST_YearsInCurrentRole,ST_JobSatisfaction)</f>
        <v>-2.3047852298301056E-3</v>
      </c>
      <c r="AC49" s="82">
        <f>_xll.StatCorrelationCoeff( ST_YearsInCurrentRole,ST_MaritalSingle)</f>
        <v>-8.6485602127329822E-2</v>
      </c>
      <c r="AD49" s="82">
        <f>_xll.StatCorrelationCoeff( ST_YearsInCurrentRole,ST_MaritalMarried)</f>
        <v>6.5487762246479272E-2</v>
      </c>
      <c r="AE49" s="82">
        <f>_xll.StatCorrelationCoeff( ST_YearsInCurrentRole,ST_WinsMonthlyIncome)</f>
        <v>0.36332768064300874</v>
      </c>
      <c r="AF49" s="82">
        <f>_xll.StatCorrelationCoeff( ST_YearsInCurrentRole,ST_NumCompaniesWorked)</f>
        <v>-9.0753933700808184E-2</v>
      </c>
      <c r="AG49" s="82">
        <f>_xll.StatCorrelationCoeff( ST_YearsInCurrentRole,ST_OvertimeYes)</f>
        <v>-2.9758008947989519E-2</v>
      </c>
      <c r="AH49" s="82">
        <f>_xll.StatCorrelationCoeff( ST_YearsInCurrentRole,ST_PercentSalaryHike)</f>
        <v>-1.5200265442777388E-3</v>
      </c>
      <c r="AI49" s="82">
        <f>_xll.StatCorrelationCoeff( ST_YearsInCurrentRole,ST_PerformanceRating)</f>
        <v>3.4986260407194728E-2</v>
      </c>
      <c r="AJ49" s="82">
        <f>_xll.StatCorrelationCoeff( ST_YearsInCurrentRole,ST_RelationshipSatisfaction)</f>
        <v>-1.5122914881937522E-2</v>
      </c>
      <c r="AK49" s="82">
        <f>_xll.StatCorrelationCoeff( ST_YearsInCurrentRole,ST_StockOptionLevel)</f>
        <v>5.0817872753931077E-2</v>
      </c>
      <c r="AL49" s="82">
        <f>_xll.StatCorrelationCoeff( ST_YearsInCurrentRole,ST_WinsTotalWorkingYears)</f>
        <v>0.4597032704283579</v>
      </c>
      <c r="AM49" s="82">
        <f>_xll.StatCorrelationCoeff( ST_YearsInCurrentRole,ST_TrainingTimesLastYear)</f>
        <v>-5.7375043379569004E-3</v>
      </c>
      <c r="AN49" s="82">
        <f>_xll.StatCorrelationCoeff( ST_YearsInCurrentRole,ST_WorkLifeBalance)</f>
        <v>4.9856497922204118E-2</v>
      </c>
      <c r="AO49" s="82">
        <f>_xll.StatCorrelationCoeff( ST_YearsInCurrentRole,ST_WinsYearsAtCompany)</f>
        <v>0.76787641619316704</v>
      </c>
      <c r="AP49" s="82">
        <v>1</v>
      </c>
      <c r="AQ49" s="82"/>
      <c r="AR49" s="82"/>
      <c r="AS49" s="82"/>
    </row>
    <row r="50" spans="1:45" ht="15" customHeight="1" x14ac:dyDescent="0.45">
      <c r="A50" s="18" t="s">
        <v>518</v>
      </c>
      <c r="B50" s="82">
        <f>_xll.StatCorrelationCoeff( ST_WinYearsSinceLastPromotion,ST_WinsAge)</f>
        <v>0.21523327569956541</v>
      </c>
      <c r="C50" s="82">
        <f>_xll.StatCorrelationCoeff( ST_WinYearsSinceLastPromotion,ST_Attritionyes)</f>
        <v>-3.3895628217449104E-2</v>
      </c>
      <c r="D50" s="82">
        <f>_xll.StatCorrelationCoeff( ST_WinYearsSinceLastPromotion,ST_BusinessTravelFrequently)</f>
        <v>2.4800697500894274E-2</v>
      </c>
      <c r="E50" s="82">
        <f>_xll.StatCorrelationCoeff( ST_WinYearsSinceLastPromotion,ST_BusinessTravelrarely)</f>
        <v>-3.5073720134738556E-2</v>
      </c>
      <c r="F50" s="82">
        <f>_xll.StatCorrelationCoeff( ST_WinYearsSinceLastPromotion,ST_DeptRD)</f>
        <v>-2.1502778690012447E-2</v>
      </c>
      <c r="G50" s="82">
        <f>_xll.StatCorrelationCoeff( ST_WinYearsSinceLastPromotion,ST_DeptSales)</f>
        <v>3.3985787361637695E-2</v>
      </c>
      <c r="H50" s="82">
        <f>_xll.StatCorrelationCoeff( ST_WinYearsSinceLastPromotion,ST_WinsDistanceFromHome)</f>
        <v>9.5696402196410128E-3</v>
      </c>
      <c r="I50" s="82">
        <f>_xll.StatCorrelationCoeff( ST_WinYearsSinceLastPromotion,ST_Education)</f>
        <v>5.4180039793671544E-2</v>
      </c>
      <c r="J50" s="82">
        <f>_xll.StatCorrelationCoeff( ST_WinYearsSinceLastPromotion,ST_EducationFieldLifeSci)</f>
        <v>-2.3502290098991918E-3</v>
      </c>
      <c r="K50" s="82">
        <f>_xll.StatCorrelationCoeff( ST_WinYearsSinceLastPromotion,ST_EducationFieldOther)</f>
        <v>-3.9682586812932928E-2</v>
      </c>
      <c r="L50" s="82">
        <f>_xll.StatCorrelationCoeff( ST_WinYearsSinceLastPromotion,ST_EducationFieldMedical)</f>
        <v>2.2953736227180822E-2</v>
      </c>
      <c r="M50" s="82">
        <f>_xll.StatCorrelationCoeff( ST_WinYearsSinceLastPromotion,ST_EducationFieldMkt)</f>
        <v>5.1903240399067321E-3</v>
      </c>
      <c r="N50" s="82">
        <f>_xll.StatCorrelationCoeff( ST_WinYearsSinceLastPromotion,ST_EducationFieldTech)</f>
        <v>4.0191578591408667E-3</v>
      </c>
      <c r="O50" s="82">
        <f>_xll.StatCorrelationCoeff( ST_WinYearsSinceLastPromotion,ST_EnvironmentSatisfaction)</f>
        <v>1.6245792562038459E-2</v>
      </c>
      <c r="P50" s="82">
        <f>_xll.StatCorrelationCoeff( ST_WinYearsSinceLastPromotion,ST_Female)</f>
        <v>2.6488172679769641E-2</v>
      </c>
      <c r="Q50" s="82">
        <f>_xll.StatCorrelationCoeff( ST_WinYearsSinceLastPromotion,ST_HourlyRate)</f>
        <v>-2.7088877078523248E-2</v>
      </c>
      <c r="R50" s="82">
        <f>_xll.StatCorrelationCoeff( ST_WinYearsSinceLastPromotion,ST_JobInvolvement)</f>
        <v>-2.4295454964617602E-2</v>
      </c>
      <c r="S50" s="82">
        <f>_xll.StatCorrelationCoeff( ST_WinYearsSinceLastPromotion,ST_JobLevel)</f>
        <v>0.35338365215500672</v>
      </c>
      <c r="T50" s="82">
        <f>_xll.StatCorrelationCoeff( ST_WinYearsSinceLastPromotion,ST_JobRoleHealthRep)</f>
        <v>7.6081520814265266E-2</v>
      </c>
      <c r="U50" s="82">
        <f>_xll.StatCorrelationCoeff( ST_WinYearsSinceLastPromotion,ST_JobRoleSalesExe)</f>
        <v>5.0180181378945463E-2</v>
      </c>
      <c r="V50" s="82">
        <f>_xll.StatCorrelationCoeff( ST_WinYearsSinceLastPromotion,ST_JobRoleLab)</f>
        <v>-0.11055040899631333</v>
      </c>
      <c r="W50" s="82">
        <f>_xll.StatCorrelationCoeff( ST_WinYearsSinceLastPromotion,ST_JobRoleMgr)</f>
        <v>0.2232046209748236</v>
      </c>
      <c r="X50" s="82">
        <f>_xll.StatCorrelationCoeff( ST_WinYearsSinceLastPromotion,ST_JobRoleManufDir)</f>
        <v>-7.1164093235412985E-3</v>
      </c>
      <c r="Y50" s="82">
        <f>_xll.StatCorrelationCoeff( ST_WinYearsSinceLastPromotion,ST_JobRoleResearchDir)</f>
        <v>-7.1164093235412985E-3</v>
      </c>
      <c r="Z50" s="82">
        <f>_xll.StatCorrelationCoeff( ST_WinYearsSinceLastPromotion,ST_JobRoleSalesRep)</f>
        <v>-8.5856744252976375E-2</v>
      </c>
      <c r="AA50" s="82">
        <f>_xll.StatCorrelationCoeff( ST_WinYearsSinceLastPromotion,ST_JobRoleResearchSci)</f>
        <v>-0.10497832937196985</v>
      </c>
      <c r="AB50" s="82">
        <f>_xll.StatCorrelationCoeff( ST_WinYearsSinceLastPromotion,ST_JobSatisfaction)</f>
        <v>-1.7735771673591107E-2</v>
      </c>
      <c r="AC50" s="82">
        <f>_xll.StatCorrelationCoeff( ST_WinYearsSinceLastPromotion,ST_MaritalSingle)</f>
        <v>-5.3584162716575803E-2</v>
      </c>
      <c r="AD50" s="82">
        <f>_xll.StatCorrelationCoeff( ST_WinYearsSinceLastPromotion,ST_MaritalMarried)</f>
        <v>5.5087159558733709E-2</v>
      </c>
      <c r="AE50" s="82">
        <f>_xll.StatCorrelationCoeff( ST_WinYearsSinceLastPromotion,ST_WinsMonthlyIncome)</f>
        <v>0.3438945723656327</v>
      </c>
      <c r="AF50" s="82">
        <f>_xll.StatCorrelationCoeff( ST_WinYearsSinceLastPromotion,ST_NumCompaniesWorked)</f>
        <v>-3.7632860574056626E-2</v>
      </c>
      <c r="AG50" s="82">
        <f>_xll.StatCorrelationCoeff( ST_WinYearsSinceLastPromotion,ST_OvertimeYes)</f>
        <v>-1.2521482038384263E-2</v>
      </c>
      <c r="AH50" s="82">
        <f>_xll.StatCorrelationCoeff( ST_WinYearsSinceLastPromotion,ST_PercentSalaryHike)</f>
        <v>-2.2581699767657244E-2</v>
      </c>
      <c r="AI50" s="82">
        <f>_xll.StatCorrelationCoeff( ST_WinYearsSinceLastPromotion,ST_PerformanceRating)</f>
        <v>1.8086118875305805E-2</v>
      </c>
      <c r="AJ50" s="82">
        <f>_xll.StatCorrelationCoeff( ST_WinYearsSinceLastPromotion,ST_RelationshipSatisfaction)</f>
        <v>3.2913542780171098E-2</v>
      </c>
      <c r="AK50" s="82">
        <f>_xll.StatCorrelationCoeff( ST_WinYearsSinceLastPromotion,ST_StockOptionLevel)</f>
        <v>1.4585531467837004E-2</v>
      </c>
      <c r="AL50" s="82">
        <f>_xll.StatCorrelationCoeff( ST_WinYearsSinceLastPromotion,ST_WinsTotalWorkingYears)</f>
        <v>0.40242414061868631</v>
      </c>
      <c r="AM50" s="82">
        <f>_xll.StatCorrelationCoeff( ST_WinYearsSinceLastPromotion,ST_TrainingTimesLastYear)</f>
        <v>-1.0302060566362166E-3</v>
      </c>
      <c r="AN50" s="82">
        <f>_xll.StatCorrelationCoeff( ST_WinYearsSinceLastPromotion,ST_WorkLifeBalance)</f>
        <v>7.4941165444419615E-3</v>
      </c>
      <c r="AO50" s="82">
        <f>_xll.StatCorrelationCoeff( ST_WinYearsSinceLastPromotion,ST_WinsYearsAtCompany)</f>
        <v>0.62303019985014552</v>
      </c>
      <c r="AP50" s="82">
        <f>_xll.StatCorrelationCoeff( ST_WinYearsSinceLastPromotion,ST_YearsInCurrentRole)</f>
        <v>0.54800725270437423</v>
      </c>
      <c r="AQ50" s="82">
        <v>1</v>
      </c>
      <c r="AR50" s="82"/>
      <c r="AS50" s="82"/>
    </row>
    <row r="51" spans="1:45" ht="15" customHeight="1" x14ac:dyDescent="0.45">
      <c r="A51" s="18" t="s">
        <v>394</v>
      </c>
      <c r="B51" s="82">
        <f>_xll.StatCorrelationCoeff( ST_WinsYearsWithCurrentMgr,ST_WinsAge)</f>
        <v>0.20102304599099435</v>
      </c>
      <c r="C51" s="82">
        <f>_xll.StatCorrelationCoeff( ST_WinsYearsWithCurrentMgr,ST_Attritionyes)</f>
        <v>-0.15651664484859426</v>
      </c>
      <c r="D51" s="82">
        <f>_xll.StatCorrelationCoeff( ST_WinsYearsWithCurrentMgr,ST_BusinessTravelFrequently)</f>
        <v>1.5667746557927836E-2</v>
      </c>
      <c r="E51" s="82">
        <f>_xll.StatCorrelationCoeff( ST_WinsYearsWithCurrentMgr,ST_BusinessTravelrarely)</f>
        <v>-2.6156196944332476E-2</v>
      </c>
      <c r="F51" s="82">
        <f>_xll.StatCorrelationCoeff( ST_WinsYearsWithCurrentMgr,ST_DeptRD)</f>
        <v>-1.6212589862174651E-2</v>
      </c>
      <c r="G51" s="82">
        <f>_xll.StatCorrelationCoeff( ST_WinsYearsWithCurrentMgr,ST_DeptSales)</f>
        <v>2.838459583390018E-2</v>
      </c>
      <c r="H51" s="82">
        <f>_xll.StatCorrelationCoeff( ST_WinsYearsWithCurrentMgr,ST_WinsDistanceFromHome)</f>
        <v>1.1885477421879126E-2</v>
      </c>
      <c r="I51" s="82">
        <f>_xll.StatCorrelationCoeff( ST_WinsYearsWithCurrentMgr,ST_Education)</f>
        <v>6.6804375703998095E-2</v>
      </c>
      <c r="J51" s="82">
        <f>_xll.StatCorrelationCoeff( ST_WinsYearsWithCurrentMgr,ST_EducationFieldLifeSci)</f>
        <v>4.2420451762490395E-3</v>
      </c>
      <c r="K51" s="82">
        <f>_xll.StatCorrelationCoeff( ST_WinsYearsWithCurrentMgr,ST_EducationFieldOther)</f>
        <v>-1.3052377479443312E-2</v>
      </c>
      <c r="L51" s="82">
        <f>_xll.StatCorrelationCoeff( ST_WinsYearsWithCurrentMgr,ST_EducationFieldMedical)</f>
        <v>-1.0724108694622999E-2</v>
      </c>
      <c r="M51" s="82">
        <f>_xll.StatCorrelationCoeff( ST_WinsYearsWithCurrentMgr,ST_EducationFieldMkt)</f>
        <v>3.1059169613958517E-2</v>
      </c>
      <c r="N51" s="82">
        <f>_xll.StatCorrelationCoeff( ST_WinsYearsWithCurrentMgr,ST_EducationFieldTech)</f>
        <v>2.9947559410607564E-4</v>
      </c>
      <c r="O51" s="82">
        <f>_xll.StatCorrelationCoeff( ST_WinsYearsWithCurrentMgr,ST_EnvironmentSatisfaction)</f>
        <v>-6.04101870933602E-3</v>
      </c>
      <c r="P51" s="82">
        <f>_xll.StatCorrelationCoeff( ST_WinsYearsWithCurrentMgr,ST_Female)</f>
        <v>3.0765044811105469E-2</v>
      </c>
      <c r="Q51" s="82">
        <f>_xll.StatCorrelationCoeff( ST_WinsYearsWithCurrentMgr,ST_HourlyRate)</f>
        <v>-1.7848417234894144E-2</v>
      </c>
      <c r="R51" s="82">
        <f>_xll.StatCorrelationCoeff( ST_WinsYearsWithCurrentMgr,ST_JobInvolvement)</f>
        <v>2.6425537876273733E-2</v>
      </c>
      <c r="S51" s="82">
        <f>_xll.StatCorrelationCoeff( ST_WinsYearsWithCurrentMgr,ST_JobLevel)</f>
        <v>0.37725165426235319</v>
      </c>
      <c r="T51" s="82">
        <f>_xll.StatCorrelationCoeff( ST_WinsYearsWithCurrentMgr,ST_JobRoleHealthRep)</f>
        <v>3.9909088656037671E-2</v>
      </c>
      <c r="U51" s="82">
        <f>_xll.StatCorrelationCoeff( ST_WinsYearsWithCurrentMgr,ST_JobRoleSalesExe)</f>
        <v>8.6262843158549665E-2</v>
      </c>
      <c r="V51" s="82">
        <f>_xll.StatCorrelationCoeff( ST_WinsYearsWithCurrentMgr,ST_JobRoleLab)</f>
        <v>-0.10991454875868703</v>
      </c>
      <c r="W51" s="82">
        <f>_xll.StatCorrelationCoeff( ST_WinsYearsWithCurrentMgr,ST_JobRoleMgr)</f>
        <v>0.16319963897576534</v>
      </c>
      <c r="X51" s="82">
        <f>_xll.StatCorrelationCoeff( ST_WinsYearsWithCurrentMgr,ST_JobRoleManufDir)</f>
        <v>7.8884287234951722E-2</v>
      </c>
      <c r="Y51" s="82">
        <f>_xll.StatCorrelationCoeff( ST_WinsYearsWithCurrentMgr,ST_JobRoleResearchDir)</f>
        <v>7.8884287234951722E-2</v>
      </c>
      <c r="Z51" s="82">
        <f>_xll.StatCorrelationCoeff( ST_WinsYearsWithCurrentMgr,ST_JobRoleSalesRep)</f>
        <v>-0.17042055445565421</v>
      </c>
      <c r="AA51" s="82">
        <f>_xll.StatCorrelationCoeff( ST_WinsYearsWithCurrentMgr,ST_JobRoleResearchSci)</f>
        <v>-0.12851377755360499</v>
      </c>
      <c r="AB51" s="82">
        <f>_xll.StatCorrelationCoeff( ST_WinsYearsWithCurrentMgr,ST_JobSatisfaction)</f>
        <v>-2.642815947097581E-2</v>
      </c>
      <c r="AC51" s="82">
        <f>_xll.StatCorrelationCoeff( ST_WinsYearsWithCurrentMgr,ST_MaritalSingle)</f>
        <v>-4.9258045634955165E-2</v>
      </c>
      <c r="AD51" s="82">
        <f>_xll.StatCorrelationCoeff( ST_WinsYearsWithCurrentMgr,ST_MaritalMarried)</f>
        <v>3.386456124935934E-2</v>
      </c>
      <c r="AE51" s="82">
        <f>_xll.StatCorrelationCoeff( ST_WinsYearsWithCurrentMgr,ST_WinsMonthlyIncome)</f>
        <v>0.34438806309810016</v>
      </c>
      <c r="AF51" s="82">
        <f>_xll.StatCorrelationCoeff( ST_WinsYearsWithCurrentMgr,ST_NumCompaniesWorked)</f>
        <v>-0.11197447051723766</v>
      </c>
      <c r="AG51" s="82">
        <f>_xll.StatCorrelationCoeff( ST_WinsYearsWithCurrentMgr,ST_OvertimeYes)</f>
        <v>-4.0414719915321314E-2</v>
      </c>
      <c r="AH51" s="82">
        <f>_xll.StatCorrelationCoeff( ST_WinsYearsWithCurrentMgr,ST_PercentSalaryHike)</f>
        <v>-1.0916391403553511E-2</v>
      </c>
      <c r="AI51" s="82">
        <f>_xll.StatCorrelationCoeff( ST_WinsYearsWithCurrentMgr,ST_PerformanceRating)</f>
        <v>2.357653988718211E-2</v>
      </c>
      <c r="AJ51" s="82">
        <f>_xll.StatCorrelationCoeff( ST_WinsYearsWithCurrentMgr,ST_RelationshipSatisfaction)</f>
        <v>-1.7159181964528567E-3</v>
      </c>
      <c r="AK51" s="82">
        <f>_xll.StatCorrelationCoeff( ST_WinsYearsWithCurrentMgr,ST_StockOptionLevel)</f>
        <v>2.6934597712454118E-2</v>
      </c>
      <c r="AL51" s="82">
        <f>_xll.StatCorrelationCoeff( ST_WinsYearsWithCurrentMgr,ST_WinsTotalWorkingYears)</f>
        <v>0.45871535029232624</v>
      </c>
      <c r="AM51" s="82">
        <f>_xll.StatCorrelationCoeff( ST_WinsYearsWithCurrentMgr,ST_TrainingTimesLastYear)</f>
        <v>-3.7218103656973755E-3</v>
      </c>
      <c r="AN51" s="82">
        <f>_xll.StatCorrelationCoeff( ST_WinsYearsWithCurrentMgr,ST_WorkLifeBalance)</f>
        <v>8.4019024184849326E-4</v>
      </c>
      <c r="AO51" s="82">
        <f>_xll.StatCorrelationCoeff( ST_WinsYearsWithCurrentMgr,ST_WinsYearsAtCompany)</f>
        <v>0.77904654910784421</v>
      </c>
      <c r="AP51" s="82">
        <f>_xll.StatCorrelationCoeff( ST_WinsYearsWithCurrentMgr,ST_YearsInCurrentRole)</f>
        <v>0.71998507248364618</v>
      </c>
      <c r="AQ51" s="82">
        <f>_xll.StatCorrelationCoeff( ST_WinsYearsWithCurrentMgr,ST_WinYearsSinceLastPromotion)</f>
        <v>0.51070235060756042</v>
      </c>
      <c r="AR51" s="82">
        <v>1</v>
      </c>
      <c r="AS51" s="82"/>
    </row>
    <row r="52" spans="1:45" ht="15" customHeight="1" x14ac:dyDescent="0.45">
      <c r="A52" s="18" t="s">
        <v>517</v>
      </c>
      <c r="B52" s="82">
        <f>_xll.StatCorrelationCoeff( ST_GenderTotalWorkingYears,ST_WinsAge)</f>
        <v>0.32925530540456655</v>
      </c>
      <c r="C52" s="82">
        <f>_xll.StatCorrelationCoeff( ST_GenderTotalWorkingYears,ST_Attritionyes)</f>
        <v>-0.14014543442737928</v>
      </c>
      <c r="D52" s="82">
        <f>_xll.StatCorrelationCoeff( ST_GenderTotalWorkingYears,ST_BusinessTravelFrequently)</f>
        <v>2.7881644189481788E-3</v>
      </c>
      <c r="E52" s="82">
        <f>_xll.StatCorrelationCoeff( ST_GenderTotalWorkingYears,ST_BusinessTravelrarely)</f>
        <v>-5.558444529680592E-3</v>
      </c>
      <c r="F52" s="82">
        <f>_xll.StatCorrelationCoeff( ST_GenderTotalWorkingYears,ST_DeptRD)</f>
        <v>-4.9788083801124865E-2</v>
      </c>
      <c r="G52" s="82">
        <f>_xll.StatCorrelationCoeff( ST_GenderTotalWorkingYears,ST_DeptSales)</f>
        <v>5.7829888520565621E-2</v>
      </c>
      <c r="H52" s="82">
        <f>_xll.StatCorrelationCoeff( ST_GenderTotalWorkingYears,ST_WinsDistanceFromHome)</f>
        <v>-7.3629302943487712E-3</v>
      </c>
      <c r="I52" s="82">
        <f>_xll.StatCorrelationCoeff( ST_GenderTotalWorkingYears,ST_Education)</f>
        <v>7.0290898504033875E-2</v>
      </c>
      <c r="J52" s="82">
        <f>_xll.StatCorrelationCoeff( ST_GenderTotalWorkingYears,ST_EducationFieldLifeSci)</f>
        <v>9.4109924317813225E-3</v>
      </c>
      <c r="K52" s="82">
        <f>_xll.StatCorrelationCoeff( ST_GenderTotalWorkingYears,ST_EducationFieldOther)</f>
        <v>-3.4576355948591812E-2</v>
      </c>
      <c r="L52" s="82">
        <f>_xll.StatCorrelationCoeff( ST_GenderTotalWorkingYears,ST_EducationFieldMedical)</f>
        <v>-1.6013962924177998E-2</v>
      </c>
      <c r="M52" s="82">
        <f>_xll.StatCorrelationCoeff( ST_GenderTotalWorkingYears,ST_EducationFieldMkt)</f>
        <v>5.4830642608641643E-2</v>
      </c>
      <c r="N52" s="82">
        <f>_xll.StatCorrelationCoeff( ST_GenderTotalWorkingYears,ST_EducationFieldTech)</f>
        <v>-1.8225628008889064E-2</v>
      </c>
      <c r="O52" s="82">
        <f>_xll.StatCorrelationCoeff( ST_GenderTotalWorkingYears,ST_EnvironmentSatisfaction)</f>
        <v>-1.2989402808129619E-2</v>
      </c>
      <c r="P52" s="82">
        <f>_xll.StatCorrelationCoeff( ST_GenderTotalWorkingYears,ST_Female)</f>
        <v>3.0525579933718548E-2</v>
      </c>
      <c r="Q52" s="82">
        <f>_xll.StatCorrelationCoeff( ST_GenderTotalWorkingYears,ST_HourlyRate)</f>
        <v>-1.8264268402120368E-2</v>
      </c>
      <c r="R52" s="82">
        <f>_xll.StatCorrelationCoeff( ST_GenderTotalWorkingYears,ST_JobInvolvement)</f>
        <v>-7.0934190442521897E-3</v>
      </c>
      <c r="S52" s="82">
        <f>_xll.StatCorrelationCoeff( ST_GenderTotalWorkingYears,ST_JobLevel)</f>
        <v>0.68036416572590286</v>
      </c>
      <c r="T52" s="82">
        <f>_xll.StatCorrelationCoeff( ST_GenderTotalWorkingYears,ST_JobRoleHealthRep)</f>
        <v>4.5977162219366076E-2</v>
      </c>
      <c r="U52" s="82">
        <f>_xll.StatCorrelationCoeff( ST_GenderTotalWorkingYears,ST_JobRoleSalesExe)</f>
        <v>6.2182162037776365E-2</v>
      </c>
      <c r="V52" s="82">
        <f>_xll.StatCorrelationCoeff( ST_GenderTotalWorkingYears,ST_JobRoleLab)</f>
        <v>-0.20744616201792113</v>
      </c>
      <c r="W52" s="82">
        <f>_xll.StatCorrelationCoeff( ST_GenderTotalWorkingYears,ST_JobRoleMgr)</f>
        <v>0.39000524605075471</v>
      </c>
      <c r="X52" s="82">
        <f>_xll.StatCorrelationCoeff( ST_GenderTotalWorkingYears,ST_JobRoleManufDir)</f>
        <v>7.0115885320093704E-2</v>
      </c>
      <c r="Y52" s="82">
        <f>_xll.StatCorrelationCoeff( ST_GenderTotalWorkingYears,ST_JobRoleResearchDir)</f>
        <v>7.0115885320093704E-2</v>
      </c>
      <c r="Z52" s="82">
        <f>_xll.StatCorrelationCoeff( ST_GenderTotalWorkingYears,ST_JobRoleSalesRep)</f>
        <v>-0.16116861217207157</v>
      </c>
      <c r="AA52" s="82">
        <f>_xll.StatCorrelationCoeff( ST_GenderTotalWorkingYears,ST_JobRoleResearchSci)</f>
        <v>-0.22888242921384733</v>
      </c>
      <c r="AB52" s="82">
        <f>_xll.StatCorrelationCoeff( ST_GenderTotalWorkingYears,ST_JobSatisfaction)</f>
        <v>-2.7921640714800442E-2</v>
      </c>
      <c r="AC52" s="82">
        <f>_xll.StatCorrelationCoeff( ST_GenderTotalWorkingYears,ST_MaritalSingle)</f>
        <v>-6.710241212346113E-2</v>
      </c>
      <c r="AD52" s="82">
        <f>_xll.StatCorrelationCoeff( ST_GenderTotalWorkingYears,ST_MaritalMarried)</f>
        <v>3.9933416897523222E-2</v>
      </c>
      <c r="AE52" s="82">
        <f>_xll.StatCorrelationCoeff( ST_GenderTotalWorkingYears,ST_WinsMonthlyIncome)</f>
        <v>0.65031143598951036</v>
      </c>
      <c r="AF52" s="82">
        <f>_xll.StatCorrelationCoeff( ST_GenderTotalWorkingYears,ST_NumCompaniesWorked)</f>
        <v>-3.9224940431849625E-2</v>
      </c>
      <c r="AG52" s="82">
        <f>_xll.StatCorrelationCoeff( ST_GenderTotalWorkingYears,ST_OvertimeYes)</f>
        <v>-2.1806286717252175E-2</v>
      </c>
      <c r="AH52" s="82">
        <f>_xll.StatCorrelationCoeff( ST_GenderTotalWorkingYears,ST_PercentSalaryHike)</f>
        <v>-1.8723564989449729E-2</v>
      </c>
      <c r="AI52" s="82">
        <f>_xll.StatCorrelationCoeff( ST_GenderTotalWorkingYears,ST_PerformanceRating)</f>
        <v>5.7369293784412705E-3</v>
      </c>
      <c r="AJ52" s="82">
        <f>_xll.StatCorrelationCoeff( ST_GenderTotalWorkingYears,ST_RelationshipSatisfaction)</f>
        <v>1.2544898641255178E-2</v>
      </c>
      <c r="AK52" s="82">
        <f>_xll.StatCorrelationCoeff( ST_GenderTotalWorkingYears,ST_StockOptionLevel)</f>
        <v>9.943602632137909E-3</v>
      </c>
      <c r="AL52" s="82">
        <f>_xll.StatCorrelationCoeff( ST_GenderTotalWorkingYears,ST_WinsTotalWorkingYears)</f>
        <v>0.61933566289407271</v>
      </c>
      <c r="AM52" s="82">
        <f>_xll.StatCorrelationCoeff( ST_GenderTotalWorkingYears,ST_TrainingTimesLastYear)</f>
        <v>-1.3759370981058705E-2</v>
      </c>
      <c r="AN52" s="82">
        <f>_xll.StatCorrelationCoeff( ST_GenderTotalWorkingYears,ST_WorkLifeBalance)</f>
        <v>3.9300015801585304E-3</v>
      </c>
      <c r="AO52" s="82">
        <f>_xll.StatCorrelationCoeff( ST_GenderTotalWorkingYears,ST_WinsYearsAtCompany)</f>
        <v>0.81247131100595538</v>
      </c>
      <c r="AP52" s="82">
        <f>_xll.StatCorrelationCoeff( ST_GenderTotalWorkingYears,ST_YearsInCurrentRole)</f>
        <v>0.64601990456364522</v>
      </c>
      <c r="AQ52" s="82">
        <f>_xll.StatCorrelationCoeff( ST_GenderTotalWorkingYears,ST_WinYearsSinceLastPromotion)</f>
        <v>0.52303392425612594</v>
      </c>
      <c r="AR52" s="82">
        <f>_xll.StatCorrelationCoeff( ST_GenderTotalWorkingYears,ST_WinsYearsWithCurrentMgr)</f>
        <v>0.85455707572880246</v>
      </c>
      <c r="AS52" s="82">
        <v>1</v>
      </c>
    </row>
  </sheetData>
  <conditionalFormatting sqref="A9:XFD5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601F-97A0-479A-9E38-3EE0F732DFEE}">
  <dimension ref="A1:K196"/>
  <sheetViews>
    <sheetView showGridLines="0" zoomScale="60" zoomScaleNormal="60" workbookViewId="0">
      <selection activeCell="A194" sqref="A194"/>
    </sheetView>
  </sheetViews>
  <sheetFormatPr defaultColWidth="12.73046875" defaultRowHeight="14.25" x14ac:dyDescent="0.45"/>
  <cols>
    <col min="1" max="1" width="20.59765625" bestFit="1" customWidth="1"/>
    <col min="2" max="2" width="19.1328125" bestFit="1" customWidth="1"/>
    <col min="9" max="11" width="12.73046875" customWidth="1"/>
  </cols>
  <sheetData>
    <row r="1" spans="1:2" s="32" customFormat="1" ht="18" x14ac:dyDescent="0.55000000000000004">
      <c r="A1" s="30" t="s">
        <v>413</v>
      </c>
      <c r="B1" s="31"/>
    </row>
    <row r="2" spans="1:2" s="32" customFormat="1" ht="10.5" x14ac:dyDescent="0.35">
      <c r="A2" s="33" t="s">
        <v>414</v>
      </c>
      <c r="B2" s="31" t="s">
        <v>693</v>
      </c>
    </row>
    <row r="3" spans="1:2" s="32" customFormat="1" ht="10.5" x14ac:dyDescent="0.35">
      <c r="A3" s="33" t="s">
        <v>416</v>
      </c>
      <c r="B3" s="31" t="s">
        <v>755</v>
      </c>
    </row>
    <row r="4" spans="1:2" s="32" customFormat="1" ht="10.5" x14ac:dyDescent="0.35">
      <c r="A4" s="33" t="s">
        <v>418</v>
      </c>
      <c r="B4" s="31" t="s">
        <v>754</v>
      </c>
    </row>
    <row r="5" spans="1:2" s="36" customFormat="1" ht="10.5" x14ac:dyDescent="0.35">
      <c r="A5" s="34" t="s">
        <v>420</v>
      </c>
      <c r="B5" s="35" t="s">
        <v>691</v>
      </c>
    </row>
    <row r="7" spans="1:2" ht="15" customHeight="1" x14ac:dyDescent="0.45"/>
    <row r="8" spans="1:2" ht="15" customHeight="1" x14ac:dyDescent="0.45"/>
    <row r="9" spans="1:2" ht="15" customHeight="1" x14ac:dyDescent="0.45"/>
    <row r="10" spans="1:2" ht="15" customHeight="1" x14ac:dyDescent="0.45"/>
    <row r="11" spans="1:2" ht="15" customHeight="1" x14ac:dyDescent="0.45"/>
    <row r="12" spans="1:2" ht="15" customHeight="1" x14ac:dyDescent="0.45"/>
    <row r="13" spans="1:2" ht="15" customHeight="1" x14ac:dyDescent="0.45"/>
    <row r="14" spans="1:2" ht="15" customHeight="1" x14ac:dyDescent="0.45"/>
    <row r="15" spans="1:2" ht="15" customHeight="1" x14ac:dyDescent="0.45"/>
    <row r="16" spans="1:2" ht="15" customHeight="1" x14ac:dyDescent="0.45"/>
    <row r="17" spans="1:10" ht="15" customHeight="1" x14ac:dyDescent="0.45"/>
    <row r="18" spans="1:10" ht="15" customHeight="1" x14ac:dyDescent="0.45"/>
    <row r="19" spans="1:10" ht="15" customHeight="1" x14ac:dyDescent="0.45"/>
    <row r="20" spans="1:10" ht="15" customHeight="1" x14ac:dyDescent="0.45"/>
    <row r="21" spans="1:10" ht="15" customHeight="1" x14ac:dyDescent="0.45"/>
    <row r="22" spans="1:10" ht="15" customHeight="1" x14ac:dyDescent="0.45"/>
    <row r="23" spans="1:10" ht="15" customHeight="1" x14ac:dyDescent="0.45"/>
    <row r="24" spans="1:10" ht="15" customHeight="1" x14ac:dyDescent="0.45">
      <c r="A24" s="85" t="s">
        <v>694</v>
      </c>
      <c r="B24" s="86">
        <f>_xll.StatCorrelationCoeff(ST_Education,ST_WinsMonthlyIncome)</f>
        <v>9.4700801109735805E-2</v>
      </c>
    </row>
    <row r="25" spans="1:10" ht="15" customHeight="1" x14ac:dyDescent="0.45"/>
    <row r="26" spans="1:10" ht="15" customHeight="1" x14ac:dyDescent="0.45">
      <c r="I26" s="85" t="s">
        <v>694</v>
      </c>
      <c r="J26" s="86">
        <f>_xll.StatCorrelationCoeff(ST_WinsMonthlyIncome,ST_Attritionyes)</f>
        <v>-0.1596621759981135</v>
      </c>
    </row>
    <row r="27" spans="1:10" ht="15" customHeight="1" x14ac:dyDescent="0.45"/>
    <row r="28" spans="1:10" ht="15" customHeight="1" x14ac:dyDescent="0.45"/>
    <row r="29" spans="1:10" ht="15" customHeight="1" x14ac:dyDescent="0.45"/>
    <row r="30" spans="1:10" ht="15" customHeight="1" x14ac:dyDescent="0.45"/>
    <row r="31" spans="1:10" ht="15" customHeight="1" x14ac:dyDescent="0.45"/>
    <row r="32" spans="1:10" ht="15" customHeight="1" x14ac:dyDescent="0.45"/>
    <row r="33" spans="1:2" ht="15" customHeight="1" x14ac:dyDescent="0.45"/>
    <row r="34" spans="1:2" ht="15" customHeight="1" x14ac:dyDescent="0.45"/>
    <row r="35" spans="1:2" ht="15" customHeight="1" x14ac:dyDescent="0.45"/>
    <row r="36" spans="1:2" ht="15" customHeight="1" x14ac:dyDescent="0.45"/>
    <row r="37" spans="1:2" ht="15" customHeight="1" x14ac:dyDescent="0.45"/>
    <row r="38" spans="1:2" ht="15" customHeight="1" x14ac:dyDescent="0.45"/>
    <row r="39" spans="1:2" ht="15" customHeight="1" x14ac:dyDescent="0.45"/>
    <row r="40" spans="1:2" ht="15" customHeight="1" x14ac:dyDescent="0.45"/>
    <row r="41" spans="1:2" ht="15" customHeight="1" x14ac:dyDescent="0.45"/>
    <row r="42" spans="1:2" ht="15" customHeight="1" x14ac:dyDescent="0.45"/>
    <row r="43" spans="1:2" ht="15" customHeight="1" x14ac:dyDescent="0.45"/>
    <row r="44" spans="1:2" ht="15" customHeight="1" x14ac:dyDescent="0.45"/>
    <row r="45" spans="1:2" ht="15" customHeight="1" x14ac:dyDescent="0.45">
      <c r="A45" s="85" t="s">
        <v>694</v>
      </c>
      <c r="B45" s="86">
        <f>_xll.StatCorrelationCoeff(ST_DeptRD,ST_WinsMonthlyIncome)</f>
        <v>-6.4936316488609286E-2</v>
      </c>
    </row>
    <row r="46" spans="1:2" ht="15" customHeight="1" x14ac:dyDescent="0.45"/>
    <row r="47" spans="1:2" ht="15" customHeight="1" x14ac:dyDescent="0.45"/>
    <row r="48" spans="1:2" ht="15" customHeight="1" x14ac:dyDescent="0.45"/>
    <row r="49" spans="10:11" ht="15" customHeight="1" x14ac:dyDescent="0.45">
      <c r="J49" s="85" t="s">
        <v>694</v>
      </c>
      <c r="K49" s="86">
        <f>_xll.StatCorrelationCoeff(ST_WinYearsSinceLastPromotion,ST_Attritionyes)</f>
        <v>-3.3895628217449104E-2</v>
      </c>
    </row>
    <row r="50" spans="10:11" ht="15" customHeight="1" x14ac:dyDescent="0.45"/>
    <row r="51" spans="10:11" ht="15" customHeight="1" x14ac:dyDescent="0.45"/>
    <row r="52" spans="10:11" ht="15" customHeight="1" x14ac:dyDescent="0.45"/>
    <row r="53" spans="10:11" ht="15" customHeight="1" x14ac:dyDescent="0.45"/>
    <row r="54" spans="10:11" ht="15" customHeight="1" x14ac:dyDescent="0.45"/>
    <row r="55" spans="10:11" ht="15" customHeight="1" x14ac:dyDescent="0.45"/>
    <row r="56" spans="10:11" ht="15" customHeight="1" x14ac:dyDescent="0.45"/>
    <row r="57" spans="10:11" ht="15" customHeight="1" x14ac:dyDescent="0.45"/>
    <row r="58" spans="10:11" ht="15" customHeight="1" x14ac:dyDescent="0.45"/>
    <row r="59" spans="10:11" ht="15" customHeight="1" x14ac:dyDescent="0.45"/>
    <row r="60" spans="10:11" ht="15" customHeight="1" x14ac:dyDescent="0.45"/>
    <row r="61" spans="10:11" ht="15" customHeight="1" x14ac:dyDescent="0.45"/>
    <row r="62" spans="10:11" ht="15" customHeight="1" x14ac:dyDescent="0.45"/>
    <row r="63" spans="10:11" ht="15" customHeight="1" x14ac:dyDescent="0.45"/>
    <row r="64" spans="10:11" ht="15" customHeight="1" x14ac:dyDescent="0.45"/>
    <row r="65" spans="1:11" ht="15" customHeight="1" x14ac:dyDescent="0.45"/>
    <row r="66" spans="1:11" ht="15" customHeight="1" x14ac:dyDescent="0.45"/>
    <row r="67" spans="1:11" ht="15" customHeight="1" x14ac:dyDescent="0.45"/>
    <row r="68" spans="1:11" ht="15" customHeight="1" x14ac:dyDescent="0.45">
      <c r="A68" s="85" t="s">
        <v>694</v>
      </c>
      <c r="B68" s="86">
        <f>_xll.StatCorrelationCoeff(ST_DeptSales,ST_WinsMonthlyIncome)</f>
        <v>6.4247207932718126E-2</v>
      </c>
    </row>
    <row r="69" spans="1:11" ht="15" customHeight="1" x14ac:dyDescent="0.45"/>
    <row r="70" spans="1:11" ht="15" customHeight="1" x14ac:dyDescent="0.45"/>
    <row r="71" spans="1:11" ht="15" customHeight="1" x14ac:dyDescent="0.45"/>
    <row r="72" spans="1:11" ht="15" customHeight="1" x14ac:dyDescent="0.45">
      <c r="J72" s="85" t="s">
        <v>694</v>
      </c>
      <c r="K72" s="86">
        <f>_xll.StatCorrelationCoeff(ST_EnvironmentSatisfaction,ST_Attritionyes)</f>
        <v>-0.10336897833793524</v>
      </c>
    </row>
    <row r="73" spans="1:11" ht="15" customHeight="1" x14ac:dyDescent="0.45"/>
    <row r="74" spans="1:11" ht="15" customHeight="1" x14ac:dyDescent="0.45"/>
    <row r="75" spans="1:11" ht="15" customHeight="1" x14ac:dyDescent="0.45"/>
    <row r="76" spans="1:11" ht="15" customHeight="1" x14ac:dyDescent="0.45"/>
    <row r="77" spans="1:11" ht="15" customHeight="1" x14ac:dyDescent="0.45"/>
    <row r="78" spans="1:11" ht="15" customHeight="1" x14ac:dyDescent="0.45"/>
    <row r="79" spans="1:11" ht="15" customHeight="1" x14ac:dyDescent="0.45"/>
    <row r="80" spans="1:11" ht="15" customHeight="1" x14ac:dyDescent="0.45"/>
    <row r="81" spans="1:11" ht="15" customHeight="1" x14ac:dyDescent="0.45"/>
    <row r="82" spans="1:11" ht="15" customHeight="1" x14ac:dyDescent="0.45"/>
    <row r="83" spans="1:11" ht="15" customHeight="1" x14ac:dyDescent="0.45"/>
    <row r="84" spans="1:11" ht="15" customHeight="1" x14ac:dyDescent="0.45"/>
    <row r="85" spans="1:11" ht="15" customHeight="1" x14ac:dyDescent="0.45"/>
    <row r="86" spans="1:11" ht="15" customHeight="1" x14ac:dyDescent="0.45"/>
    <row r="87" spans="1:11" ht="15" customHeight="1" x14ac:dyDescent="0.45"/>
    <row r="88" spans="1:11" ht="15" customHeight="1" x14ac:dyDescent="0.45"/>
    <row r="89" spans="1:11" ht="15" customHeight="1" x14ac:dyDescent="0.45"/>
    <row r="90" spans="1:11" ht="15" customHeight="1" x14ac:dyDescent="0.45"/>
    <row r="91" spans="1:11" ht="15" customHeight="1" x14ac:dyDescent="0.45">
      <c r="A91" s="85" t="s">
        <v>694</v>
      </c>
      <c r="B91" s="86">
        <f>_xll.StatCorrelationCoeff(ST_WinsYearsWithCurrentMgr,ST_WinsMonthlyIncome)</f>
        <v>0.34438806309810016</v>
      </c>
    </row>
    <row r="92" spans="1:11" ht="15" customHeight="1" x14ac:dyDescent="0.45"/>
    <row r="93" spans="1:11" ht="15" customHeight="1" x14ac:dyDescent="0.45"/>
    <row r="94" spans="1:11" ht="15" customHeight="1" x14ac:dyDescent="0.45"/>
    <row r="95" spans="1:11" ht="15" customHeight="1" x14ac:dyDescent="0.45">
      <c r="J95" s="85" t="s">
        <v>694</v>
      </c>
      <c r="K95" s="86">
        <f>_xll.StatCorrelationCoeff(ST_OvertimeYes,ST_Attritionyes)</f>
        <v>0.24611799424579706</v>
      </c>
    </row>
    <row r="96" spans="1:11" ht="15" customHeight="1" x14ac:dyDescent="0.45"/>
    <row r="97" spans="1:2" ht="15" customHeight="1" x14ac:dyDescent="0.45"/>
    <row r="98" spans="1:2" ht="15" customHeight="1" x14ac:dyDescent="0.45"/>
    <row r="99" spans="1:2" ht="15" customHeight="1" x14ac:dyDescent="0.45"/>
    <row r="100" spans="1:2" ht="15" customHeight="1" x14ac:dyDescent="0.45"/>
    <row r="101" spans="1:2" ht="15" customHeight="1" x14ac:dyDescent="0.45"/>
    <row r="102" spans="1:2" ht="15" customHeight="1" x14ac:dyDescent="0.45"/>
    <row r="103" spans="1:2" ht="15" customHeight="1" x14ac:dyDescent="0.45"/>
    <row r="104" spans="1:2" ht="15" customHeight="1" x14ac:dyDescent="0.45"/>
    <row r="105" spans="1:2" ht="15" customHeight="1" x14ac:dyDescent="0.45"/>
    <row r="106" spans="1:2" ht="15" customHeight="1" x14ac:dyDescent="0.45"/>
    <row r="107" spans="1:2" ht="15" customHeight="1" x14ac:dyDescent="0.45"/>
    <row r="108" spans="1:2" ht="15" customHeight="1" x14ac:dyDescent="0.45"/>
    <row r="109" spans="1:2" ht="15" customHeight="1" x14ac:dyDescent="0.45"/>
    <row r="110" spans="1:2" ht="15" customHeight="1" x14ac:dyDescent="0.45"/>
    <row r="111" spans="1:2" ht="15" customHeight="1" x14ac:dyDescent="0.45"/>
    <row r="112" spans="1:2" ht="15" customHeight="1" x14ac:dyDescent="0.45">
      <c r="A112" s="85" t="s">
        <v>694</v>
      </c>
      <c r="B112" s="86">
        <f>_xll.StatCorrelationCoeff(ST_WinsTotalWorkingYears,ST_WinsMonthlyIncome)</f>
        <v>0.77425128688054923</v>
      </c>
    </row>
    <row r="113" spans="10:11" ht="15" customHeight="1" x14ac:dyDescent="0.45"/>
    <row r="114" spans="10:11" ht="15" customHeight="1" x14ac:dyDescent="0.45"/>
    <row r="115" spans="10:11" ht="15" customHeight="1" x14ac:dyDescent="0.45"/>
    <row r="116" spans="10:11" ht="15" customHeight="1" x14ac:dyDescent="0.45"/>
    <row r="117" spans="10:11" ht="15" customHeight="1" x14ac:dyDescent="0.45"/>
    <row r="118" spans="10:11" ht="15" customHeight="1" x14ac:dyDescent="0.45">
      <c r="J118" s="85" t="s">
        <v>694</v>
      </c>
      <c r="K118" s="86">
        <f>_xll.StatCorrelationCoeff(ST_YearsInCurrentRole,ST_Attritionyes)</f>
        <v>-0.16054500426769938</v>
      </c>
    </row>
    <row r="119" spans="10:11" ht="15" customHeight="1" x14ac:dyDescent="0.45"/>
    <row r="120" spans="10:11" ht="15" customHeight="1" x14ac:dyDescent="0.45"/>
    <row r="121" spans="10:11" ht="15" customHeight="1" x14ac:dyDescent="0.45"/>
    <row r="122" spans="10:11" ht="15" customHeight="1" x14ac:dyDescent="0.45"/>
    <row r="123" spans="10:11" ht="15" customHeight="1" x14ac:dyDescent="0.45"/>
    <row r="124" spans="10:11" ht="15" customHeight="1" x14ac:dyDescent="0.45"/>
    <row r="125" spans="10:11" ht="15" customHeight="1" x14ac:dyDescent="0.45"/>
    <row r="126" spans="10:11" ht="15" customHeight="1" x14ac:dyDescent="0.45"/>
    <row r="127" spans="10:11" ht="15" customHeight="1" x14ac:dyDescent="0.45"/>
    <row r="128" spans="10:11" ht="15" customHeight="1" x14ac:dyDescent="0.45"/>
    <row r="129" spans="1:11" ht="15" customHeight="1" x14ac:dyDescent="0.45"/>
    <row r="130" spans="1:11" ht="15" customHeight="1" x14ac:dyDescent="0.45"/>
    <row r="131" spans="1:11" ht="15" customHeight="1" x14ac:dyDescent="0.45"/>
    <row r="132" spans="1:11" ht="15" customHeight="1" x14ac:dyDescent="0.45"/>
    <row r="133" spans="1:11" ht="15" customHeight="1" x14ac:dyDescent="0.45"/>
    <row r="134" spans="1:11" ht="15" customHeight="1" x14ac:dyDescent="0.45"/>
    <row r="135" spans="1:11" ht="15" customHeight="1" x14ac:dyDescent="0.45">
      <c r="A135" s="85" t="s">
        <v>694</v>
      </c>
      <c r="B135" s="86">
        <f>_xll.StatCorrelationCoeff(ST_JobLevel,ST_WinsMonthlyIncome)</f>
        <v>0.95035662126860365</v>
      </c>
    </row>
    <row r="136" spans="1:11" ht="15" customHeight="1" x14ac:dyDescent="0.45"/>
    <row r="137" spans="1:11" ht="15" customHeight="1" x14ac:dyDescent="0.45"/>
    <row r="138" spans="1:11" ht="15" customHeight="1" x14ac:dyDescent="0.45"/>
    <row r="139" spans="1:11" ht="15" customHeight="1" x14ac:dyDescent="0.45"/>
    <row r="140" spans="1:11" ht="15" customHeight="1" x14ac:dyDescent="0.45"/>
    <row r="141" spans="1:11" ht="15" customHeight="1" x14ac:dyDescent="0.45">
      <c r="J141" s="85" t="s">
        <v>694</v>
      </c>
      <c r="K141" s="86">
        <f>_xll.StatCorrelationCoeff(ST_JobSatisfaction,ST_Attritionyes)</f>
        <v>-0.10348112606902207</v>
      </c>
    </row>
    <row r="142" spans="1:11" ht="15" customHeight="1" x14ac:dyDescent="0.45"/>
    <row r="143" spans="1:11" ht="15" customHeight="1" x14ac:dyDescent="0.45"/>
    <row r="144" spans="1:11" ht="15" customHeight="1" x14ac:dyDescent="0.45"/>
    <row r="145"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spans="10:11" ht="15" customHeight="1" x14ac:dyDescent="0.45"/>
    <row r="162" spans="10:11" ht="15" customHeight="1" x14ac:dyDescent="0.45"/>
    <row r="163" spans="10:11" ht="15" customHeight="1" x14ac:dyDescent="0.45"/>
    <row r="164" spans="10:11" ht="15" customHeight="1" x14ac:dyDescent="0.45"/>
    <row r="165" spans="10:11" ht="15" customHeight="1" x14ac:dyDescent="0.45"/>
    <row r="166" spans="10:11" ht="15" customHeight="1" x14ac:dyDescent="0.45">
      <c r="J166" s="85" t="s">
        <v>694</v>
      </c>
      <c r="K166" s="86">
        <f>_xll.StatCorrelationCoeff(ST_MaritalMarried,ST_Attritionyes)</f>
        <v>-9.098365120728194E-2</v>
      </c>
    </row>
    <row r="167" spans="10:11" ht="15" customHeight="1" x14ac:dyDescent="0.45"/>
    <row r="168" spans="10:11" ht="15" customHeight="1" x14ac:dyDescent="0.45"/>
    <row r="169" spans="10:11" ht="15" customHeight="1" x14ac:dyDescent="0.45"/>
    <row r="170" spans="10:11" ht="15" customHeight="1" x14ac:dyDescent="0.45"/>
    <row r="175" spans="10:11" ht="15" customHeight="1" x14ac:dyDescent="0.45"/>
    <row r="176" spans="10:11" ht="15" customHeight="1" x14ac:dyDescent="0.45"/>
    <row r="177" spans="10:11" ht="15" customHeight="1" x14ac:dyDescent="0.45"/>
    <row r="178" spans="10:11" ht="15" customHeight="1" x14ac:dyDescent="0.45"/>
    <row r="179" spans="10:11" ht="15" customHeight="1" x14ac:dyDescent="0.45"/>
    <row r="180" spans="10:11" ht="15" customHeight="1" x14ac:dyDescent="0.45"/>
    <row r="181" spans="10:11" ht="15" customHeight="1" x14ac:dyDescent="0.45"/>
    <row r="182" spans="10:11" ht="15" customHeight="1" x14ac:dyDescent="0.45"/>
    <row r="183" spans="10:11" ht="15" customHeight="1" x14ac:dyDescent="0.45"/>
    <row r="184" spans="10:11" ht="15" customHeight="1" x14ac:dyDescent="0.45"/>
    <row r="185" spans="10:11" ht="15" customHeight="1" x14ac:dyDescent="0.45"/>
    <row r="186" spans="10:11" ht="15" customHeight="1" x14ac:dyDescent="0.45"/>
    <row r="187" spans="10:11" ht="15" customHeight="1" x14ac:dyDescent="0.45"/>
    <row r="188" spans="10:11" ht="15" customHeight="1" x14ac:dyDescent="0.45"/>
    <row r="189" spans="10:11" ht="15" customHeight="1" x14ac:dyDescent="0.45"/>
    <row r="190" spans="10:11" ht="15" customHeight="1" x14ac:dyDescent="0.45"/>
    <row r="191" spans="10:11" ht="15" customHeight="1" x14ac:dyDescent="0.45"/>
    <row r="192" spans="10:11" ht="15" customHeight="1" x14ac:dyDescent="0.45">
      <c r="J192" s="85" t="s">
        <v>694</v>
      </c>
      <c r="K192" s="86">
        <f>_xll.StatCorrelationCoeff(ST_BusinessTravelFrequently,ST_Attritionyes)</f>
        <v>0.11514276554505018</v>
      </c>
    </row>
    <row r="193" ht="15" customHeight="1" x14ac:dyDescent="0.45"/>
    <row r="194" ht="15" customHeight="1" x14ac:dyDescent="0.45"/>
    <row r="195" ht="15" customHeight="1" x14ac:dyDescent="0.45"/>
    <row r="196" ht="15" customHeight="1" x14ac:dyDescent="0.45"/>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8"/>
  <sheetViews>
    <sheetView showGridLines="0" zoomScale="80" zoomScaleNormal="80" workbookViewId="0">
      <selection activeCell="E33" sqref="E33"/>
    </sheetView>
  </sheetViews>
  <sheetFormatPr defaultColWidth="12.73046875" defaultRowHeight="14.25" x14ac:dyDescent="0.45"/>
  <cols>
    <col min="1" max="1" width="40.73046875" customWidth="1"/>
    <col min="3" max="3" width="12.73046875" customWidth="1"/>
    <col min="5" max="5" width="12.73046875" customWidth="1"/>
  </cols>
  <sheetData>
    <row r="1" spans="1:7" s="32" customFormat="1" ht="18" x14ac:dyDescent="0.55000000000000004">
      <c r="A1" s="30" t="s">
        <v>413</v>
      </c>
      <c r="B1" s="31"/>
    </row>
    <row r="2" spans="1:7" s="32" customFormat="1" ht="10.5" x14ac:dyDescent="0.35">
      <c r="A2" s="33" t="s">
        <v>414</v>
      </c>
      <c r="B2" s="31" t="s">
        <v>415</v>
      </c>
    </row>
    <row r="3" spans="1:7" s="32" customFormat="1" ht="10.5" x14ac:dyDescent="0.35">
      <c r="A3" s="33" t="s">
        <v>416</v>
      </c>
      <c r="B3" s="31" t="s">
        <v>417</v>
      </c>
    </row>
    <row r="4" spans="1:7" s="32" customFormat="1" ht="10.5" x14ac:dyDescent="0.35">
      <c r="A4" s="33" t="s">
        <v>418</v>
      </c>
      <c r="B4" s="31" t="s">
        <v>419</v>
      </c>
    </row>
    <row r="5" spans="1:7" s="32" customFormat="1" ht="10.5" x14ac:dyDescent="0.35">
      <c r="A5" s="33" t="s">
        <v>420</v>
      </c>
      <c r="B5" s="31" t="s">
        <v>421</v>
      </c>
    </row>
    <row r="6" spans="1:7" s="36" customFormat="1" ht="10.5" x14ac:dyDescent="0.35">
      <c r="A6" s="34" t="s">
        <v>422</v>
      </c>
      <c r="B6" s="35" t="s">
        <v>392</v>
      </c>
    </row>
    <row r="8" spans="1:7" ht="15" customHeight="1" x14ac:dyDescent="0.45">
      <c r="A8" t="s">
        <v>423</v>
      </c>
    </row>
    <row r="9" spans="1:7" ht="15" customHeight="1" x14ac:dyDescent="0.45"/>
    <row r="10" spans="1:7" ht="15" customHeight="1" x14ac:dyDescent="0.45">
      <c r="A10" s="19" t="s">
        <v>424</v>
      </c>
      <c r="B10" s="120" t="s">
        <v>425</v>
      </c>
      <c r="C10" s="122" t="s">
        <v>426</v>
      </c>
      <c r="D10" s="120" t="s">
        <v>427</v>
      </c>
      <c r="E10" s="120" t="s">
        <v>428</v>
      </c>
      <c r="F10" s="120" t="s">
        <v>429</v>
      </c>
      <c r="G10" s="122" t="s">
        <v>430</v>
      </c>
    </row>
    <row r="11" spans="1:7" ht="15" customHeight="1" thickBot="1" x14ac:dyDescent="0.5">
      <c r="A11" s="20" t="s">
        <v>431</v>
      </c>
      <c r="B11" s="121"/>
      <c r="C11" s="121"/>
      <c r="D11" s="121"/>
      <c r="E11" s="121"/>
      <c r="F11" s="121"/>
      <c r="G11" s="121"/>
    </row>
    <row r="12" spans="1:7" ht="15" customHeight="1" thickTop="1" x14ac:dyDescent="0.45">
      <c r="A12" s="18"/>
      <c r="B12" s="37">
        <v>0.97025677614853434</v>
      </c>
      <c r="C12" s="37">
        <v>0.94139821166214699</v>
      </c>
      <c r="D12" s="37">
        <v>0.93992601041988422</v>
      </c>
      <c r="E12" s="21">
        <v>1152.0999153639361</v>
      </c>
      <c r="F12" s="21">
        <v>0</v>
      </c>
      <c r="G12" s="21">
        <v>0</v>
      </c>
    </row>
    <row r="13" spans="1:7" ht="15" customHeight="1" x14ac:dyDescent="0.45"/>
    <row r="14" spans="1:7" ht="15" customHeight="1" x14ac:dyDescent="0.45">
      <c r="A14" s="19"/>
      <c r="B14" s="120" t="s">
        <v>432</v>
      </c>
      <c r="C14" s="120" t="s">
        <v>433</v>
      </c>
      <c r="D14" s="120" t="s">
        <v>434</v>
      </c>
      <c r="E14" s="122" t="s">
        <v>435</v>
      </c>
      <c r="F14" s="122" t="s">
        <v>71</v>
      </c>
    </row>
    <row r="15" spans="1:7" ht="15" customHeight="1" thickBot="1" x14ac:dyDescent="0.5">
      <c r="A15" s="20" t="s">
        <v>436</v>
      </c>
      <c r="B15" s="121"/>
      <c r="C15" s="121"/>
      <c r="D15" s="121"/>
      <c r="E15" s="121"/>
      <c r="F15" s="121"/>
    </row>
    <row r="16" spans="1:7" ht="15" customHeight="1" thickTop="1" x14ac:dyDescent="0.45">
      <c r="A16" s="18" t="s">
        <v>437</v>
      </c>
      <c r="B16" s="21">
        <v>36</v>
      </c>
      <c r="C16" s="21">
        <v>30555470769.930885</v>
      </c>
      <c r="D16" s="21">
        <v>848763076.94252455</v>
      </c>
      <c r="E16" s="21">
        <v>639.44940721225782</v>
      </c>
      <c r="F16" s="22">
        <v>0</v>
      </c>
    </row>
    <row r="17" spans="1:7" ht="15" customHeight="1" x14ac:dyDescent="0.45">
      <c r="A17" s="18" t="s">
        <v>438</v>
      </c>
      <c r="B17" s="21">
        <v>1433</v>
      </c>
      <c r="C17" s="21">
        <v>1902069930.0686169</v>
      </c>
      <c r="D17" s="21">
        <v>1327334.2149815888</v>
      </c>
      <c r="E17" s="16"/>
      <c r="F17" s="16"/>
    </row>
    <row r="18" spans="1:7" ht="15" customHeight="1" x14ac:dyDescent="0.45"/>
    <row r="19" spans="1:7" ht="15" customHeight="1" x14ac:dyDescent="0.45">
      <c r="A19" s="19"/>
      <c r="B19" s="122" t="s">
        <v>72</v>
      </c>
      <c r="C19" s="120" t="s">
        <v>439</v>
      </c>
      <c r="D19" s="122" t="s">
        <v>440</v>
      </c>
      <c r="E19" s="122" t="s">
        <v>71</v>
      </c>
      <c r="F19" s="123" t="s">
        <v>441</v>
      </c>
      <c r="G19" s="123"/>
    </row>
    <row r="20" spans="1:7" ht="15" customHeight="1" thickBot="1" x14ac:dyDescent="0.5">
      <c r="A20" s="20" t="s">
        <v>442</v>
      </c>
      <c r="B20" s="121"/>
      <c r="C20" s="121"/>
      <c r="D20" s="121"/>
      <c r="E20" s="121"/>
      <c r="F20" s="17" t="s">
        <v>75</v>
      </c>
      <c r="G20" s="17" t="s">
        <v>76</v>
      </c>
    </row>
    <row r="21" spans="1:7" ht="15" customHeight="1" thickTop="1" x14ac:dyDescent="0.45">
      <c r="A21" s="18" t="s">
        <v>84</v>
      </c>
      <c r="B21" s="21">
        <v>687.16538488084007</v>
      </c>
      <c r="C21" s="21">
        <v>461.61649906061274</v>
      </c>
      <c r="D21" s="21">
        <v>1.4886066383658689</v>
      </c>
      <c r="E21" s="22">
        <v>0.13681100831302792</v>
      </c>
      <c r="F21" s="21">
        <v>-218.35114953480934</v>
      </c>
      <c r="G21" s="21">
        <v>1592.6819192964895</v>
      </c>
    </row>
    <row r="22" spans="1:7" ht="15" customHeight="1" x14ac:dyDescent="0.45">
      <c r="A22" s="18" t="s">
        <v>398</v>
      </c>
      <c r="B22" s="21">
        <v>-6.1178368481031242</v>
      </c>
      <c r="C22" s="21">
        <v>4.7124806517375166</v>
      </c>
      <c r="D22" s="21">
        <v>-1.2982200459215563</v>
      </c>
      <c r="E22" s="22">
        <v>0.19442062897967038</v>
      </c>
      <c r="F22" s="21">
        <v>-15.36193699821896</v>
      </c>
      <c r="G22" s="21">
        <v>3.1262633020127115</v>
      </c>
    </row>
    <row r="23" spans="1:7" ht="15" customHeight="1" x14ac:dyDescent="0.45">
      <c r="A23" s="18" t="s">
        <v>4</v>
      </c>
      <c r="B23" s="21">
        <v>103.77157132335378</v>
      </c>
      <c r="C23" s="21">
        <v>117.9321577577967</v>
      </c>
      <c r="D23" s="21">
        <v>0.87992599555818152</v>
      </c>
      <c r="E23" s="22">
        <v>0.37904693789795407</v>
      </c>
      <c r="F23" s="21">
        <v>-127.5666044271141</v>
      </c>
      <c r="G23" s="21">
        <v>335.10974707382167</v>
      </c>
    </row>
    <row r="24" spans="1:7" ht="15" customHeight="1" x14ac:dyDescent="0.45">
      <c r="A24" s="18" t="s">
        <v>5</v>
      </c>
      <c r="B24" s="21">
        <v>158.09020161246667</v>
      </c>
      <c r="C24" s="21">
        <v>101.83399116150795</v>
      </c>
      <c r="D24" s="21">
        <v>1.5524305765619733</v>
      </c>
      <c r="E24" s="22">
        <v>0.12078004318756351</v>
      </c>
      <c r="F24" s="21">
        <v>-41.669475413667044</v>
      </c>
      <c r="G24" s="21">
        <v>357.84987863860039</v>
      </c>
    </row>
    <row r="25" spans="1:7" ht="15" customHeight="1" x14ac:dyDescent="0.45">
      <c r="A25" s="18" t="s">
        <v>7</v>
      </c>
      <c r="B25" s="21">
        <v>3267.6349932448948</v>
      </c>
      <c r="C25" s="21">
        <v>245.25664286081172</v>
      </c>
      <c r="D25" s="21">
        <v>13.323329207842685</v>
      </c>
      <c r="E25" s="22">
        <v>2.8912696899647091E-38</v>
      </c>
      <c r="F25" s="21">
        <v>2786.534456895612</v>
      </c>
      <c r="G25" s="21">
        <v>3748.7355295941775</v>
      </c>
    </row>
    <row r="26" spans="1:7" ht="15" customHeight="1" x14ac:dyDescent="0.45">
      <c r="A26" s="18" t="s">
        <v>8</v>
      </c>
      <c r="B26" s="21">
        <v>2618.840312537619</v>
      </c>
      <c r="C26" s="21">
        <v>324.99202422443659</v>
      </c>
      <c r="D26" s="21">
        <v>8.0581679466972744</v>
      </c>
      <c r="E26" s="22">
        <v>1.6169171502992433E-15</v>
      </c>
      <c r="F26" s="21">
        <v>1981.32919218705</v>
      </c>
      <c r="G26" s="21">
        <v>3256.3514328881879</v>
      </c>
    </row>
    <row r="27" spans="1:7" ht="15" customHeight="1" x14ac:dyDescent="0.45">
      <c r="A27" s="18" t="s">
        <v>397</v>
      </c>
      <c r="B27" s="21">
        <v>-3.8330844249663931</v>
      </c>
      <c r="C27" s="21">
        <v>3.7406597341286205</v>
      </c>
      <c r="D27" s="21">
        <v>-1.0247081256802157</v>
      </c>
      <c r="E27" s="22">
        <v>0.30567387210445229</v>
      </c>
      <c r="F27" s="21">
        <v>-11.17084043188839</v>
      </c>
      <c r="G27" s="21">
        <v>3.5046715819556029</v>
      </c>
    </row>
    <row r="28" spans="1:7" ht="15" customHeight="1" x14ac:dyDescent="0.45">
      <c r="A28" s="18" t="s">
        <v>12</v>
      </c>
      <c r="B28" s="21">
        <v>-323.04548076798676</v>
      </c>
      <c r="C28" s="21">
        <v>297.63181930417272</v>
      </c>
      <c r="D28" s="21">
        <v>-1.0853862383505504</v>
      </c>
      <c r="E28" s="22">
        <v>0.27793318085114327</v>
      </c>
      <c r="F28" s="21">
        <v>-906.88625356660179</v>
      </c>
      <c r="G28" s="21">
        <v>260.79529203062827</v>
      </c>
    </row>
    <row r="29" spans="1:7" ht="15" customHeight="1" x14ac:dyDescent="0.45">
      <c r="A29" s="18" t="s">
        <v>13</v>
      </c>
      <c r="B29" s="21">
        <v>-463.49306874460717</v>
      </c>
      <c r="C29" s="21">
        <v>319.54088392258524</v>
      </c>
      <c r="D29" s="21">
        <v>-1.4504969225061575</v>
      </c>
      <c r="E29" s="22">
        <v>0.14713883928616567</v>
      </c>
      <c r="F29" s="21">
        <v>-1090.3111187980987</v>
      </c>
      <c r="G29" s="21">
        <v>163.32498130888439</v>
      </c>
    </row>
    <row r="30" spans="1:7" ht="15" customHeight="1" x14ac:dyDescent="0.45">
      <c r="A30" s="18" t="s">
        <v>14</v>
      </c>
      <c r="B30" s="21">
        <v>-333.50949169810372</v>
      </c>
      <c r="C30" s="21">
        <v>298.56618266181545</v>
      </c>
      <c r="D30" s="21">
        <v>-1.1170370626865951</v>
      </c>
      <c r="E30" s="22">
        <v>0.26416572913971026</v>
      </c>
      <c r="F30" s="21">
        <v>-919.18313111049747</v>
      </c>
      <c r="G30" s="21">
        <v>252.16414771429004</v>
      </c>
    </row>
    <row r="31" spans="1:7" ht="15" customHeight="1" x14ac:dyDescent="0.45">
      <c r="A31" s="18" t="s">
        <v>15</v>
      </c>
      <c r="B31" s="21">
        <v>-296.7796275330254</v>
      </c>
      <c r="C31" s="21">
        <v>317.15237645804331</v>
      </c>
      <c r="D31" s="21">
        <v>-0.93576353060147088</v>
      </c>
      <c r="E31" s="22">
        <v>0.34955261711380303</v>
      </c>
      <c r="F31" s="21">
        <v>-918.9123316205056</v>
      </c>
      <c r="G31" s="21">
        <v>325.35307655445479</v>
      </c>
    </row>
    <row r="32" spans="1:7" ht="15" customHeight="1" x14ac:dyDescent="0.45">
      <c r="A32" s="18" t="s">
        <v>16</v>
      </c>
      <c r="B32" s="21">
        <v>-256.73140528992758</v>
      </c>
      <c r="C32" s="21">
        <v>310.5484094957568</v>
      </c>
      <c r="D32" s="21">
        <v>-0.82670333332824697</v>
      </c>
      <c r="E32" s="22">
        <v>0.40854286013668872</v>
      </c>
      <c r="F32" s="21">
        <v>-865.90963030386001</v>
      </c>
      <c r="G32" s="21">
        <v>352.44681972400485</v>
      </c>
    </row>
    <row r="33" spans="1:7" ht="15" customHeight="1" x14ac:dyDescent="0.45">
      <c r="A33" s="18" t="s">
        <v>17</v>
      </c>
      <c r="B33" s="21">
        <v>0.7086239914349477</v>
      </c>
      <c r="C33" s="21">
        <v>27.821806392167389</v>
      </c>
      <c r="D33" s="21">
        <v>2.5470092827417742E-2</v>
      </c>
      <c r="E33" s="22">
        <v>0.97968354944396785</v>
      </c>
      <c r="F33" s="21">
        <v>-53.86721061735053</v>
      </c>
      <c r="G33" s="21">
        <v>55.284458600220425</v>
      </c>
    </row>
    <row r="34" spans="1:7" ht="15" customHeight="1" x14ac:dyDescent="0.45">
      <c r="A34" s="18" t="s">
        <v>19</v>
      </c>
      <c r="B34" s="21">
        <v>-89.796277242030271</v>
      </c>
      <c r="C34" s="21">
        <v>62.178344044592357</v>
      </c>
      <c r="D34" s="21">
        <v>-1.4441728647136565</v>
      </c>
      <c r="E34" s="22">
        <v>0.14890895045104713</v>
      </c>
      <c r="F34" s="21">
        <v>-211.76661133871136</v>
      </c>
      <c r="G34" s="21">
        <v>32.174056854650814</v>
      </c>
    </row>
    <row r="35" spans="1:7" ht="15" customHeight="1" x14ac:dyDescent="0.45">
      <c r="A35" s="18" t="s">
        <v>21</v>
      </c>
      <c r="B35" s="21">
        <v>-72.920491625956629</v>
      </c>
      <c r="C35" s="21">
        <v>42.716202788638235</v>
      </c>
      <c r="D35" s="21">
        <v>-1.7070920836941108</v>
      </c>
      <c r="E35" s="22">
        <v>8.8021568071208728E-2</v>
      </c>
      <c r="F35" s="21">
        <v>-156.71348427521821</v>
      </c>
      <c r="G35" s="21">
        <v>10.872501023304963</v>
      </c>
    </row>
    <row r="36" spans="1:7" ht="15" customHeight="1" x14ac:dyDescent="0.45">
      <c r="A36" s="18" t="s">
        <v>22</v>
      </c>
      <c r="B36" s="21">
        <v>2920.1822246136662</v>
      </c>
      <c r="C36" s="21">
        <v>66.890854301363035</v>
      </c>
      <c r="D36" s="21">
        <v>43.655926585380172</v>
      </c>
      <c r="E36" s="22">
        <v>1.7354729657683949E-265</v>
      </c>
      <c r="F36" s="21">
        <v>2788.9677322930202</v>
      </c>
      <c r="G36" s="21">
        <v>3051.3967169343123</v>
      </c>
    </row>
    <row r="37" spans="1:7" ht="15" customHeight="1" x14ac:dyDescent="0.45">
      <c r="A37" s="18" t="s">
        <v>24</v>
      </c>
      <c r="B37" s="21">
        <v>-3473.1611113470881</v>
      </c>
      <c r="C37" s="21">
        <v>174.17649791476805</v>
      </c>
      <c r="D37" s="21">
        <v>-19.940469310886325</v>
      </c>
      <c r="E37" s="22">
        <v>2.8353756351406694E-78</v>
      </c>
      <c r="F37" s="21">
        <v>-3814.8293556351373</v>
      </c>
      <c r="G37" s="21">
        <v>-3131.4928670590389</v>
      </c>
    </row>
    <row r="38" spans="1:7" ht="15" customHeight="1" x14ac:dyDescent="0.45">
      <c r="A38" s="18" t="s">
        <v>25</v>
      </c>
      <c r="B38" s="21">
        <v>-2869.5453008652821</v>
      </c>
      <c r="C38" s="21">
        <v>276.40197116452765</v>
      </c>
      <c r="D38" s="21">
        <v>-10.381783055943519</v>
      </c>
      <c r="E38" s="22">
        <v>2.1446213694929785E-24</v>
      </c>
      <c r="F38" s="21">
        <v>-3411.7411615935907</v>
      </c>
      <c r="G38" s="21">
        <v>-2327.3494401369735</v>
      </c>
    </row>
    <row r="39" spans="1:7" ht="15" customHeight="1" x14ac:dyDescent="0.45">
      <c r="A39" s="18" t="s">
        <v>26</v>
      </c>
      <c r="B39" s="21">
        <v>-3870.6508318040951</v>
      </c>
      <c r="C39" s="21">
        <v>195.67586103343893</v>
      </c>
      <c r="D39" s="21">
        <v>-19.780931645639427</v>
      </c>
      <c r="E39" s="22">
        <v>3.4227933038782751E-77</v>
      </c>
      <c r="F39" s="21">
        <v>-4254.4926743560272</v>
      </c>
      <c r="G39" s="21">
        <v>-3486.808989252163</v>
      </c>
    </row>
    <row r="40" spans="1:7" ht="15" customHeight="1" x14ac:dyDescent="0.45">
      <c r="A40" s="18" t="s">
        <v>27</v>
      </c>
      <c r="B40" s="21">
        <v>883.59920021069229</v>
      </c>
      <c r="C40" s="21">
        <v>188.29911248862706</v>
      </c>
      <c r="D40" s="21">
        <v>4.6925298188224875</v>
      </c>
      <c r="E40" s="22">
        <v>2.9562362367356324E-6</v>
      </c>
      <c r="F40" s="21">
        <v>514.22774117223298</v>
      </c>
      <c r="G40" s="21">
        <v>1252.9706592491516</v>
      </c>
    </row>
    <row r="41" spans="1:7" ht="15" customHeight="1" x14ac:dyDescent="0.45">
      <c r="A41" s="18" t="s">
        <v>28</v>
      </c>
      <c r="B41" s="21">
        <v>-3545.5917167396765</v>
      </c>
      <c r="C41" s="21">
        <v>171.12913010227021</v>
      </c>
      <c r="D41" s="21">
        <v>-20.718808741800764</v>
      </c>
      <c r="E41" s="22">
        <v>1.2775944812538551E-83</v>
      </c>
      <c r="F41" s="21">
        <v>-3881.2821808871145</v>
      </c>
      <c r="G41" s="21">
        <v>-3209.9012525922385</v>
      </c>
    </row>
    <row r="42" spans="1:7" ht="15" customHeight="1" x14ac:dyDescent="0.45">
      <c r="A42" s="18" t="s">
        <v>30</v>
      </c>
      <c r="B42" s="21">
        <v>-3292.6057066613212</v>
      </c>
      <c r="C42" s="21">
        <v>316.28075306715863</v>
      </c>
      <c r="D42" s="21">
        <v>-10.410389107560313</v>
      </c>
      <c r="E42" s="22">
        <v>1.622419650446418E-24</v>
      </c>
      <c r="F42" s="21">
        <v>-3913.0286161599261</v>
      </c>
      <c r="G42" s="21">
        <v>-2672.1827971627163</v>
      </c>
    </row>
    <row r="43" spans="1:7" ht="15" customHeight="1" x14ac:dyDescent="0.45">
      <c r="A43" s="18" t="s">
        <v>31</v>
      </c>
      <c r="B43" s="21">
        <v>-3775.1095920984371</v>
      </c>
      <c r="C43" s="21">
        <v>196.05984208110871</v>
      </c>
      <c r="D43" s="21">
        <v>-19.254884386455327</v>
      </c>
      <c r="E43" s="22">
        <v>1.164320630612521E-73</v>
      </c>
      <c r="F43" s="21">
        <v>-4159.7046598671341</v>
      </c>
      <c r="G43" s="21">
        <v>-3390.5145243297402</v>
      </c>
    </row>
    <row r="44" spans="1:7" ht="15" customHeight="1" x14ac:dyDescent="0.45">
      <c r="A44" s="18" t="s">
        <v>32</v>
      </c>
      <c r="B44" s="21">
        <v>-4.7716377118737796</v>
      </c>
      <c r="C44" s="21">
        <v>27.487402085679207</v>
      </c>
      <c r="D44" s="21">
        <v>-0.17359362288951191</v>
      </c>
      <c r="E44" s="22">
        <v>0.86220936179920193</v>
      </c>
      <c r="F44" s="21">
        <v>-58.691497871476741</v>
      </c>
      <c r="G44" s="21">
        <v>49.148222447729182</v>
      </c>
    </row>
    <row r="45" spans="1:7" ht="15" customHeight="1" x14ac:dyDescent="0.45">
      <c r="A45" s="18" t="s">
        <v>34</v>
      </c>
      <c r="B45" s="21">
        <v>20.741585486799977</v>
      </c>
      <c r="C45" s="21">
        <v>112.00422445762401</v>
      </c>
      <c r="D45" s="21">
        <v>0.18518574265604962</v>
      </c>
      <c r="E45" s="22">
        <v>0.85310955733251692</v>
      </c>
      <c r="F45" s="21">
        <v>-198.96823289528302</v>
      </c>
      <c r="G45" s="21">
        <v>240.45140386888298</v>
      </c>
    </row>
    <row r="46" spans="1:7" ht="15" customHeight="1" x14ac:dyDescent="0.45">
      <c r="A46" s="18" t="s">
        <v>35</v>
      </c>
      <c r="B46" s="21">
        <v>60.085031068368949</v>
      </c>
      <c r="C46" s="21">
        <v>81.99134447101838</v>
      </c>
      <c r="D46" s="21">
        <v>0.73282163447883586</v>
      </c>
      <c r="E46" s="22">
        <v>0.46378707490778814</v>
      </c>
      <c r="F46" s="21">
        <v>-100.75089712865935</v>
      </c>
      <c r="G46" s="21">
        <v>220.92095926539724</v>
      </c>
    </row>
    <row r="47" spans="1:7" ht="15" customHeight="1" x14ac:dyDescent="0.45">
      <c r="A47" s="18" t="s">
        <v>37</v>
      </c>
      <c r="B47" s="21">
        <v>9.1367289593798091</v>
      </c>
      <c r="C47" s="21">
        <v>13.573647319127128</v>
      </c>
      <c r="D47" s="21">
        <v>0.67312261358853098</v>
      </c>
      <c r="E47" s="22">
        <v>0.50097782543334479</v>
      </c>
      <c r="F47" s="21">
        <v>-17.489620195836093</v>
      </c>
      <c r="G47" s="21">
        <v>35.763078114595714</v>
      </c>
    </row>
    <row r="48" spans="1:7" ht="15" customHeight="1" x14ac:dyDescent="0.45">
      <c r="A48" s="18" t="s">
        <v>39</v>
      </c>
      <c r="B48" s="21">
        <v>77.984264995565127</v>
      </c>
      <c r="C48" s="21">
        <v>67.766772568525198</v>
      </c>
      <c r="D48" s="21">
        <v>1.1507743697946968</v>
      </c>
      <c r="E48" s="22">
        <v>0.2500170567487105</v>
      </c>
      <c r="F48" s="21">
        <v>-54.948446832672659</v>
      </c>
      <c r="G48" s="21">
        <v>210.91697682380291</v>
      </c>
    </row>
    <row r="49" spans="1:7" ht="15" customHeight="1" x14ac:dyDescent="0.45">
      <c r="A49" s="18" t="s">
        <v>41</v>
      </c>
      <c r="B49" s="21">
        <v>-23.373005384244152</v>
      </c>
      <c r="C49" s="21">
        <v>83.938540165445218</v>
      </c>
      <c r="D49" s="21">
        <v>-0.27845379891257704</v>
      </c>
      <c r="E49" s="22">
        <v>0.78070419988640261</v>
      </c>
      <c r="F49" s="21">
        <v>-188.02859319186825</v>
      </c>
      <c r="G49" s="21">
        <v>141.28258242337995</v>
      </c>
    </row>
    <row r="50" spans="1:7" ht="15" customHeight="1" x14ac:dyDescent="0.45">
      <c r="A50" s="18" t="s">
        <v>42</v>
      </c>
      <c r="B50" s="21">
        <v>9.3014339142040399</v>
      </c>
      <c r="C50" s="21">
        <v>28.115164000203901</v>
      </c>
      <c r="D50" s="21">
        <v>0.33083335079022064</v>
      </c>
      <c r="E50" s="22">
        <v>0.74081873408995635</v>
      </c>
      <c r="F50" s="21">
        <v>-45.849857085577561</v>
      </c>
      <c r="G50" s="21">
        <v>64.452724913985634</v>
      </c>
    </row>
    <row r="51" spans="1:7" ht="15" customHeight="1" x14ac:dyDescent="0.45">
      <c r="A51" s="18" t="s">
        <v>43</v>
      </c>
      <c r="B51" s="21">
        <v>-20.624233435865222</v>
      </c>
      <c r="C51" s="21">
        <v>48.625190230305563</v>
      </c>
      <c r="D51" s="21">
        <v>-0.42414710026185576</v>
      </c>
      <c r="E51" s="22">
        <v>0.67152220037742349</v>
      </c>
      <c r="F51" s="21">
        <v>-116.00841886305571</v>
      </c>
      <c r="G51" s="21">
        <v>74.759951991325266</v>
      </c>
    </row>
    <row r="52" spans="1:7" ht="15" customHeight="1" x14ac:dyDescent="0.45">
      <c r="A52" s="18" t="s">
        <v>395</v>
      </c>
      <c r="B52" s="21">
        <v>49.044109273697842</v>
      </c>
      <c r="C52" s="21">
        <v>8.6008129721733209</v>
      </c>
      <c r="D52" s="21">
        <v>5.7022643594707763</v>
      </c>
      <c r="E52" s="22">
        <v>1.4336410634048531E-8</v>
      </c>
      <c r="F52" s="21">
        <v>32.172575497135583</v>
      </c>
      <c r="G52" s="21">
        <v>65.915643050260101</v>
      </c>
    </row>
    <row r="53" spans="1:7" ht="15" customHeight="1" x14ac:dyDescent="0.45">
      <c r="A53" s="18" t="s">
        <v>45</v>
      </c>
      <c r="B53" s="21">
        <v>-19.444750886338596</v>
      </c>
      <c r="C53" s="21">
        <v>23.726935784753319</v>
      </c>
      <c r="D53" s="21">
        <v>-0.81952221149574611</v>
      </c>
      <c r="E53" s="22">
        <v>0.41262481296790543</v>
      </c>
      <c r="F53" s="21">
        <v>-65.988002065260105</v>
      </c>
      <c r="G53" s="21">
        <v>27.098500292582912</v>
      </c>
    </row>
    <row r="54" spans="1:7" ht="15" customHeight="1" x14ac:dyDescent="0.45">
      <c r="A54" s="18" t="s">
        <v>46</v>
      </c>
      <c r="B54" s="21">
        <v>-20.685183451158366</v>
      </c>
      <c r="C54" s="21">
        <v>43.008328648114279</v>
      </c>
      <c r="D54" s="21">
        <v>-0.48095762149700083</v>
      </c>
      <c r="E54" s="22">
        <v>0.63062004191843757</v>
      </c>
      <c r="F54" s="21">
        <v>-105.05121626779753</v>
      </c>
      <c r="G54" s="21">
        <v>63.680849365480796</v>
      </c>
    </row>
    <row r="55" spans="1:7" ht="15" customHeight="1" x14ac:dyDescent="0.45">
      <c r="A55" s="18" t="s">
        <v>396</v>
      </c>
      <c r="B55" s="21">
        <v>8.99980083022092</v>
      </c>
      <c r="C55" s="21">
        <v>10.29986654544741</v>
      </c>
      <c r="D55" s="21">
        <v>0.87377839222575904</v>
      </c>
      <c r="E55" s="22">
        <v>0.38238535288847686</v>
      </c>
      <c r="F55" s="21">
        <v>-11.204631806300981</v>
      </c>
      <c r="G55" s="21">
        <v>29.204233466742821</v>
      </c>
    </row>
    <row r="56" spans="1:7" ht="15" customHeight="1" x14ac:dyDescent="0.45">
      <c r="A56" s="18" t="s">
        <v>519</v>
      </c>
      <c r="B56" s="21">
        <v>15.773198132328105</v>
      </c>
      <c r="C56" s="21">
        <v>12.097733844171803</v>
      </c>
      <c r="D56" s="21">
        <v>1.3038142792277574</v>
      </c>
      <c r="E56" s="22">
        <v>0.19250631799452275</v>
      </c>
      <c r="F56" s="21">
        <v>-7.9579684250850704</v>
      </c>
      <c r="G56" s="21">
        <v>39.50436468974128</v>
      </c>
    </row>
    <row r="57" spans="1:7" ht="15" customHeight="1" x14ac:dyDescent="0.45">
      <c r="A57" s="18" t="s">
        <v>394</v>
      </c>
      <c r="B57" s="21">
        <v>-36.322179038974355</v>
      </c>
      <c r="C57" s="21">
        <v>14.155983465564249</v>
      </c>
      <c r="D57" s="21">
        <v>-2.5658534518164311</v>
      </c>
      <c r="E57" s="22">
        <v>1.0393152783132865E-2</v>
      </c>
      <c r="F57" s="21">
        <v>-64.090850902021955</v>
      </c>
      <c r="G57" s="21">
        <v>-8.5535071759267574</v>
      </c>
    </row>
    <row r="58" spans="1:7" ht="15" customHeight="1" x14ac:dyDescent="0.45"/>
  </sheetData>
  <mergeCells count="16">
    <mergeCell ref="G10:G11"/>
    <mergeCell ref="B10:B11"/>
    <mergeCell ref="C10:C11"/>
    <mergeCell ref="D10:D11"/>
    <mergeCell ref="E10:E11"/>
    <mergeCell ref="F10:F11"/>
    <mergeCell ref="B19:B20"/>
    <mergeCell ref="C19:C20"/>
    <mergeCell ref="D19:D20"/>
    <mergeCell ref="E19:E20"/>
    <mergeCell ref="F19:G19"/>
    <mergeCell ref="B14:B15"/>
    <mergeCell ref="C14:C15"/>
    <mergeCell ref="D14:D15"/>
    <mergeCell ref="E14:E15"/>
    <mergeCell ref="F14:F15"/>
  </mergeCells>
  <conditionalFormatting sqref="E21:E57">
    <cfRule type="cellIs" dxfId="6" priority="1" operator="lessThan">
      <formula>0.05</formula>
    </cfRule>
    <cfRule type="cellIs" dxfId="5" priority="2" operator="lessThan">
      <formula>0.05</formula>
    </cfRule>
  </conditionalFormatting>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744B-9E78-4F6A-B528-DAFCC62877FA}">
  <dimension ref="A1:G33"/>
  <sheetViews>
    <sheetView showGridLines="0" zoomScale="90" zoomScaleNormal="90" workbookViewId="0">
      <selection activeCell="D12" sqref="D12"/>
    </sheetView>
  </sheetViews>
  <sheetFormatPr defaultColWidth="12.59765625" defaultRowHeight="14.25" x14ac:dyDescent="0.45"/>
  <cols>
    <col min="1" max="1" width="40.59765625" customWidth="1"/>
    <col min="2" max="7" width="12.59765625" customWidth="1"/>
  </cols>
  <sheetData>
    <row r="1" spans="1:7" s="32" customFormat="1" ht="18" x14ac:dyDescent="0.55000000000000004">
      <c r="A1" s="30" t="s">
        <v>413</v>
      </c>
      <c r="B1" s="31"/>
    </row>
    <row r="2" spans="1:7" s="32" customFormat="1" ht="10.5" x14ac:dyDescent="0.35">
      <c r="A2" s="33" t="s">
        <v>414</v>
      </c>
      <c r="B2" s="31" t="s">
        <v>415</v>
      </c>
    </row>
    <row r="3" spans="1:7" s="32" customFormat="1" ht="10.5" x14ac:dyDescent="0.35">
      <c r="A3" s="33" t="s">
        <v>416</v>
      </c>
      <c r="B3" s="31" t="s">
        <v>687</v>
      </c>
    </row>
    <row r="4" spans="1:7" s="32" customFormat="1" ht="10.5" x14ac:dyDescent="0.35">
      <c r="A4" s="33" t="s">
        <v>418</v>
      </c>
      <c r="B4" s="31" t="s">
        <v>688</v>
      </c>
    </row>
    <row r="5" spans="1:7" s="32" customFormat="1" ht="10.5" x14ac:dyDescent="0.35">
      <c r="A5" s="33" t="s">
        <v>420</v>
      </c>
      <c r="B5" s="31" t="s">
        <v>421</v>
      </c>
    </row>
    <row r="6" spans="1:7" s="36" customFormat="1" ht="10.5" x14ac:dyDescent="0.35">
      <c r="A6" s="34" t="s">
        <v>422</v>
      </c>
      <c r="B6" s="35" t="s">
        <v>392</v>
      </c>
    </row>
    <row r="8" spans="1:7" ht="15" customHeight="1" x14ac:dyDescent="0.45">
      <c r="A8" t="s">
        <v>423</v>
      </c>
    </row>
    <row r="9" spans="1:7" ht="15" customHeight="1" x14ac:dyDescent="0.45"/>
    <row r="10" spans="1:7" ht="15" customHeight="1" x14ac:dyDescent="0.45">
      <c r="A10" s="19" t="s">
        <v>424</v>
      </c>
      <c r="B10" s="120" t="s">
        <v>425</v>
      </c>
      <c r="C10" s="122" t="s">
        <v>426</v>
      </c>
      <c r="D10" s="120" t="s">
        <v>427</v>
      </c>
      <c r="E10" s="120" t="s">
        <v>428</v>
      </c>
      <c r="F10" s="120" t="s">
        <v>429</v>
      </c>
      <c r="G10" s="122" t="s">
        <v>430</v>
      </c>
    </row>
    <row r="11" spans="1:7" ht="15" customHeight="1" thickBot="1" x14ac:dyDescent="0.5">
      <c r="A11" s="20" t="s">
        <v>431</v>
      </c>
      <c r="B11" s="121"/>
      <c r="C11" s="121"/>
      <c r="D11" s="121"/>
      <c r="E11" s="121"/>
      <c r="F11" s="121"/>
      <c r="G11" s="121"/>
    </row>
    <row r="12" spans="1:7" ht="15" customHeight="1" thickTop="1" x14ac:dyDescent="0.45">
      <c r="A12" s="18"/>
      <c r="B12" s="37">
        <v>0.96970139170157821</v>
      </c>
      <c r="C12" s="37">
        <v>0.94032078906797767</v>
      </c>
      <c r="D12" s="37">
        <v>0.93987053439016399</v>
      </c>
      <c r="E12" s="21">
        <v>1152.6317526939129</v>
      </c>
      <c r="F12" s="21">
        <v>0</v>
      </c>
      <c r="G12" s="21">
        <v>0</v>
      </c>
    </row>
    <row r="13" spans="1:7" ht="15" customHeight="1" x14ac:dyDescent="0.45"/>
    <row r="14" spans="1:7" ht="15" customHeight="1" x14ac:dyDescent="0.45">
      <c r="A14" s="19"/>
      <c r="B14" s="120" t="s">
        <v>432</v>
      </c>
      <c r="C14" s="120" t="s">
        <v>433</v>
      </c>
      <c r="D14" s="120" t="s">
        <v>434</v>
      </c>
      <c r="E14" s="122" t="s">
        <v>435</v>
      </c>
      <c r="F14" s="122" t="s">
        <v>71</v>
      </c>
    </row>
    <row r="15" spans="1:7" ht="15" customHeight="1" thickBot="1" x14ac:dyDescent="0.5">
      <c r="A15" s="20" t="s">
        <v>436</v>
      </c>
      <c r="B15" s="121"/>
      <c r="C15" s="121"/>
      <c r="D15" s="121"/>
      <c r="E15" s="121"/>
      <c r="F15" s="121"/>
    </row>
    <row r="16" spans="1:7" ht="15" customHeight="1" thickTop="1" x14ac:dyDescent="0.45">
      <c r="A16" s="18" t="s">
        <v>437</v>
      </c>
      <c r="B16" s="21">
        <v>11</v>
      </c>
      <c r="C16" s="21">
        <v>30520500282.229927</v>
      </c>
      <c r="D16" s="21">
        <v>2774590934.7481751</v>
      </c>
      <c r="E16" s="21">
        <v>2088.4198108370006</v>
      </c>
      <c r="F16" s="22">
        <v>0</v>
      </c>
    </row>
    <row r="17" spans="1:7" ht="15" customHeight="1" x14ac:dyDescent="0.45">
      <c r="A17" s="18" t="s">
        <v>438</v>
      </c>
      <c r="B17" s="21">
        <v>1458</v>
      </c>
      <c r="C17" s="21">
        <v>1937040417.7699962</v>
      </c>
      <c r="D17" s="21">
        <v>1328559.9573182415</v>
      </c>
      <c r="E17" s="16"/>
      <c r="F17" s="16"/>
    </row>
    <row r="18" spans="1:7" ht="15" customHeight="1" x14ac:dyDescent="0.45"/>
    <row r="19" spans="1:7" ht="15" customHeight="1" x14ac:dyDescent="0.45">
      <c r="A19" s="19"/>
      <c r="B19" s="122" t="s">
        <v>72</v>
      </c>
      <c r="C19" s="120" t="s">
        <v>439</v>
      </c>
      <c r="D19" s="122" t="s">
        <v>440</v>
      </c>
      <c r="E19" s="122" t="s">
        <v>71</v>
      </c>
      <c r="F19" s="123" t="s">
        <v>441</v>
      </c>
      <c r="G19" s="123"/>
    </row>
    <row r="20" spans="1:7" ht="15" customHeight="1" thickBot="1" x14ac:dyDescent="0.5">
      <c r="A20" s="20" t="s">
        <v>442</v>
      </c>
      <c r="B20" s="121"/>
      <c r="C20" s="121"/>
      <c r="D20" s="121"/>
      <c r="E20" s="121"/>
      <c r="F20" s="17" t="s">
        <v>75</v>
      </c>
      <c r="G20" s="17" t="s">
        <v>76</v>
      </c>
    </row>
    <row r="21" spans="1:7" ht="15" customHeight="1" thickTop="1" x14ac:dyDescent="0.45">
      <c r="A21" s="18" t="s">
        <v>84</v>
      </c>
      <c r="B21" s="21">
        <v>26.103474108078444</v>
      </c>
      <c r="C21" s="21">
        <v>177.46896024212836</v>
      </c>
      <c r="D21" s="21">
        <v>0.14708754743626365</v>
      </c>
      <c r="E21" s="22">
        <v>0.8830832543429592</v>
      </c>
      <c r="F21" s="21">
        <v>-322.01828692940927</v>
      </c>
      <c r="G21" s="21">
        <v>374.22523514556616</v>
      </c>
    </row>
    <row r="22" spans="1:7" ht="15" customHeight="1" x14ac:dyDescent="0.45">
      <c r="A22" s="18" t="s">
        <v>7</v>
      </c>
      <c r="B22" s="21">
        <v>3080.3150498699251</v>
      </c>
      <c r="C22" s="21">
        <v>205.25541816641839</v>
      </c>
      <c r="D22" s="21">
        <v>15.00722893157659</v>
      </c>
      <c r="E22" s="22">
        <v>1.8965410633798289E-47</v>
      </c>
      <c r="F22" s="21">
        <v>2677.687584553782</v>
      </c>
      <c r="G22" s="21">
        <v>3482.9425151860682</v>
      </c>
    </row>
    <row r="23" spans="1:7" ht="15" customHeight="1" x14ac:dyDescent="0.45">
      <c r="A23" s="18" t="s">
        <v>8</v>
      </c>
      <c r="B23" s="21">
        <v>2469.946269477703</v>
      </c>
      <c r="C23" s="21">
        <v>290.67202593186772</v>
      </c>
      <c r="D23" s="21">
        <v>8.4973648962581905</v>
      </c>
      <c r="E23" s="22">
        <v>4.7204815887516063E-17</v>
      </c>
      <c r="F23" s="21">
        <v>1899.7662367909766</v>
      </c>
      <c r="G23" s="21">
        <v>3040.1263021644295</v>
      </c>
    </row>
    <row r="24" spans="1:7" ht="15" customHeight="1" x14ac:dyDescent="0.45">
      <c r="A24" s="18" t="s">
        <v>22</v>
      </c>
      <c r="B24" s="21">
        <v>2935.8315421451771</v>
      </c>
      <c r="C24" s="21">
        <v>65.980993636105978</v>
      </c>
      <c r="D24" s="21">
        <v>44.495109581657431</v>
      </c>
      <c r="E24" s="22">
        <v>7.3944939993890433E-274</v>
      </c>
      <c r="F24" s="21">
        <v>2806.4037274542793</v>
      </c>
      <c r="G24" s="21">
        <v>3065.2593568360749</v>
      </c>
    </row>
    <row r="25" spans="1:7" ht="15" customHeight="1" x14ac:dyDescent="0.45">
      <c r="A25" s="18" t="s">
        <v>24</v>
      </c>
      <c r="B25" s="21">
        <v>-3450.3704841447943</v>
      </c>
      <c r="C25" s="21">
        <v>172.18710356339412</v>
      </c>
      <c r="D25" s="21">
        <v>-20.038495408423383</v>
      </c>
      <c r="E25" s="22">
        <v>4.3066300199229297E-79</v>
      </c>
      <c r="F25" s="21">
        <v>-3788.1313953410481</v>
      </c>
      <c r="G25" s="21">
        <v>-3112.6095729485405</v>
      </c>
    </row>
    <row r="26" spans="1:7" ht="15" customHeight="1" x14ac:dyDescent="0.45">
      <c r="A26" s="18" t="s">
        <v>25</v>
      </c>
      <c r="B26" s="21">
        <v>-2890.3896071690178</v>
      </c>
      <c r="C26" s="21">
        <v>273.84585479621052</v>
      </c>
      <c r="D26" s="21">
        <v>-10.554805035555407</v>
      </c>
      <c r="E26" s="22">
        <v>3.7949947460378012E-25</v>
      </c>
      <c r="F26" s="21">
        <v>-3427.5635506823392</v>
      </c>
      <c r="G26" s="21">
        <v>-2353.2156636556965</v>
      </c>
    </row>
    <row r="27" spans="1:7" ht="15" customHeight="1" x14ac:dyDescent="0.45">
      <c r="A27" s="18" t="s">
        <v>26</v>
      </c>
      <c r="B27" s="21">
        <v>-3839.6501085785567</v>
      </c>
      <c r="C27" s="21">
        <v>193.15568100807013</v>
      </c>
      <c r="D27" s="21">
        <v>-19.878525387084704</v>
      </c>
      <c r="E27" s="22">
        <v>5.3199611459868505E-78</v>
      </c>
      <c r="F27" s="21">
        <v>-4218.542821620792</v>
      </c>
      <c r="G27" s="21">
        <v>-3460.7573955363214</v>
      </c>
    </row>
    <row r="28" spans="1:7" ht="15" customHeight="1" x14ac:dyDescent="0.45">
      <c r="A28" s="18" t="s">
        <v>27</v>
      </c>
      <c r="B28" s="21">
        <v>907.44430639524217</v>
      </c>
      <c r="C28" s="21">
        <v>185.66411142568958</v>
      </c>
      <c r="D28" s="21">
        <v>4.8875590410397578</v>
      </c>
      <c r="E28" s="22">
        <v>1.1337291527664068E-6</v>
      </c>
      <c r="F28" s="21">
        <v>543.24699919972522</v>
      </c>
      <c r="G28" s="21">
        <v>1271.6416135907591</v>
      </c>
    </row>
    <row r="29" spans="1:7" ht="15" customHeight="1" x14ac:dyDescent="0.45">
      <c r="A29" s="18" t="s">
        <v>28</v>
      </c>
      <c r="B29" s="21">
        <v>-3555.7407884076674</v>
      </c>
      <c r="C29" s="21">
        <v>169.38810891394505</v>
      </c>
      <c r="D29" s="21">
        <v>-20.991678879974423</v>
      </c>
      <c r="E29" s="22">
        <v>1.0690040146115146E-85</v>
      </c>
      <c r="F29" s="21">
        <v>-3888.0112130130756</v>
      </c>
      <c r="G29" s="21">
        <v>-3223.4703638022593</v>
      </c>
    </row>
    <row r="30" spans="1:7" ht="15" customHeight="1" x14ac:dyDescent="0.45">
      <c r="A30" s="18" t="s">
        <v>30</v>
      </c>
      <c r="B30" s="21">
        <v>-3242.5546098977866</v>
      </c>
      <c r="C30" s="21">
        <v>312.13025213425868</v>
      </c>
      <c r="D30" s="21">
        <v>-10.388466314066362</v>
      </c>
      <c r="E30" s="22">
        <v>1.9456338771075341E-24</v>
      </c>
      <c r="F30" s="21">
        <v>-3854.8269357050976</v>
      </c>
      <c r="G30" s="21">
        <v>-2630.2822840904755</v>
      </c>
    </row>
    <row r="31" spans="1:7" ht="15" customHeight="1" x14ac:dyDescent="0.45">
      <c r="A31" s="18" t="s">
        <v>31</v>
      </c>
      <c r="B31" s="21">
        <v>-3728.1312712346735</v>
      </c>
      <c r="C31" s="21">
        <v>193.18829459857625</v>
      </c>
      <c r="D31" s="21">
        <v>-19.297914912398365</v>
      </c>
      <c r="E31" s="22">
        <v>4.4273397052485901E-74</v>
      </c>
      <c r="F31" s="21">
        <v>-4107.0879588477028</v>
      </c>
      <c r="G31" s="21">
        <v>-3349.1745836216442</v>
      </c>
    </row>
    <row r="32" spans="1:7" ht="15" customHeight="1" x14ac:dyDescent="0.45">
      <c r="A32" s="18" t="s">
        <v>395</v>
      </c>
      <c r="B32" s="21">
        <v>43.588839568449657</v>
      </c>
      <c r="C32" s="21">
        <v>6.5037560592126429</v>
      </c>
      <c r="D32" s="21">
        <v>6.7021024730325767</v>
      </c>
      <c r="E32" s="22">
        <v>2.9271650062069632E-11</v>
      </c>
      <c r="F32" s="21">
        <v>30.831121206870648</v>
      </c>
      <c r="G32" s="21">
        <v>56.346557930028666</v>
      </c>
    </row>
    <row r="33" ht="15" customHeight="1" x14ac:dyDescent="0.45"/>
  </sheetData>
  <mergeCells count="16">
    <mergeCell ref="B14:B15"/>
    <mergeCell ref="C14:C15"/>
    <mergeCell ref="D14:D15"/>
    <mergeCell ref="E14:E15"/>
    <mergeCell ref="F14:F15"/>
    <mergeCell ref="B19:B20"/>
    <mergeCell ref="C19:C20"/>
    <mergeCell ref="D19:D20"/>
    <mergeCell ref="E19:E20"/>
    <mergeCell ref="F19:G19"/>
    <mergeCell ref="G10:G11"/>
    <mergeCell ref="B10:B11"/>
    <mergeCell ref="C10:C11"/>
    <mergeCell ref="D10:D11"/>
    <mergeCell ref="E10:E11"/>
    <mergeCell ref="F10:F11"/>
  </mergeCells>
  <conditionalFormatting sqref="E21:E32">
    <cfRule type="cellIs" dxfId="4" priority="1" operator="lessThan">
      <formula>0.05</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A865-E510-4B98-9BB7-370902F94763}">
  <dimension ref="A3:Q50"/>
  <sheetViews>
    <sheetView topLeftCell="B1" workbookViewId="0">
      <selection activeCell="C42" sqref="C42"/>
    </sheetView>
  </sheetViews>
  <sheetFormatPr defaultRowHeight="14.25" x14ac:dyDescent="0.45"/>
  <cols>
    <col min="1" max="1" width="28.265625" bestFit="1" customWidth="1"/>
    <col min="2" max="2" width="15.3984375" bestFit="1" customWidth="1"/>
    <col min="3" max="3" width="21.59765625" bestFit="1" customWidth="1"/>
    <col min="4" max="5" width="11.73046875" bestFit="1" customWidth="1"/>
    <col min="6" max="10" width="1.73046875" bestFit="1" customWidth="1"/>
    <col min="11" max="14" width="2.73046875" bestFit="1" customWidth="1"/>
    <col min="15" max="15" width="15.3984375" bestFit="1" customWidth="1"/>
    <col min="16" max="16" width="21.59765625" bestFit="1" customWidth="1"/>
    <col min="17" max="17" width="11.73046875" bestFit="1" customWidth="1"/>
    <col min="18" max="36" width="2.73046875" bestFit="1" customWidth="1"/>
    <col min="37" max="37" width="10.19921875" bestFit="1" customWidth="1"/>
  </cols>
  <sheetData>
    <row r="3" spans="1:17" x14ac:dyDescent="0.45">
      <c r="A3" s="26" t="s">
        <v>689</v>
      </c>
      <c r="B3" s="26" t="s">
        <v>386</v>
      </c>
    </row>
    <row r="4" spans="1:17" x14ac:dyDescent="0.45">
      <c r="A4" s="26" t="s">
        <v>383</v>
      </c>
      <c r="B4" t="s">
        <v>97</v>
      </c>
      <c r="C4" t="s">
        <v>61</v>
      </c>
      <c r="D4" t="s">
        <v>54</v>
      </c>
      <c r="E4" t="s">
        <v>384</v>
      </c>
    </row>
    <row r="5" spans="1:17" x14ac:dyDescent="0.45">
      <c r="A5" s="4">
        <v>1</v>
      </c>
      <c r="B5" s="3">
        <v>2446.5</v>
      </c>
      <c r="C5" s="3">
        <v>2177.5021875000002</v>
      </c>
      <c r="D5" s="3">
        <v>2075.1149999999998</v>
      </c>
      <c r="E5" s="3">
        <v>2162.4880434782604</v>
      </c>
    </row>
    <row r="6" spans="1:17" x14ac:dyDescent="0.45">
      <c r="A6" s="4">
        <v>2</v>
      </c>
      <c r="B6" s="3">
        <v>2849</v>
      </c>
      <c r="C6" s="3">
        <v>2719.0526315789475</v>
      </c>
      <c r="D6" s="3">
        <v>2479.6</v>
      </c>
      <c r="E6" s="3">
        <v>2650.1935483870966</v>
      </c>
    </row>
    <row r="7" spans="1:17" x14ac:dyDescent="0.45">
      <c r="A7" s="4">
        <v>3</v>
      </c>
      <c r="B7" s="3">
        <v>2425.5</v>
      </c>
      <c r="C7" s="3">
        <v>2964.2272727272725</v>
      </c>
      <c r="D7" s="3">
        <v>2596.6666666666665</v>
      </c>
      <c r="E7" s="3">
        <v>2781.0476190476193</v>
      </c>
    </row>
    <row r="8" spans="1:17" x14ac:dyDescent="0.45">
      <c r="A8" s="4">
        <v>4</v>
      </c>
      <c r="B8" s="3">
        <v>2922.6666666666665</v>
      </c>
      <c r="C8" s="3">
        <v>3333.8139534883721</v>
      </c>
      <c r="D8" s="3">
        <v>4446.2941176470586</v>
      </c>
      <c r="E8" s="3">
        <v>3614.4285714285716</v>
      </c>
    </row>
    <row r="9" spans="1:17" x14ac:dyDescent="0.45">
      <c r="A9" s="4">
        <v>5</v>
      </c>
      <c r="B9" s="3">
        <v>3600</v>
      </c>
      <c r="C9" s="3">
        <v>3133.155172413793</v>
      </c>
      <c r="D9" s="3">
        <v>4159.4137931034484</v>
      </c>
      <c r="E9" s="3">
        <v>3476.659090909091</v>
      </c>
    </row>
    <row r="10" spans="1:17" x14ac:dyDescent="0.45">
      <c r="A10" s="4">
        <v>6</v>
      </c>
      <c r="B10" s="3">
        <v>2794.625</v>
      </c>
      <c r="C10" s="3">
        <v>3530.7530864197529</v>
      </c>
      <c r="D10" s="3">
        <v>6071.083333333333</v>
      </c>
      <c r="E10" s="3">
        <v>4215.2560000000003</v>
      </c>
    </row>
    <row r="11" spans="1:17" x14ac:dyDescent="0.45">
      <c r="A11" s="4">
        <v>7</v>
      </c>
      <c r="B11" s="3">
        <v>2490.4</v>
      </c>
      <c r="C11" s="3">
        <v>3624.3090909090911</v>
      </c>
      <c r="D11" s="3">
        <v>6004.1428571428569</v>
      </c>
      <c r="E11" s="3">
        <v>4171.308641975309</v>
      </c>
    </row>
    <row r="12" spans="1:17" x14ac:dyDescent="0.45">
      <c r="A12" s="4">
        <v>8</v>
      </c>
      <c r="B12" s="3">
        <v>2626</v>
      </c>
      <c r="C12" s="3">
        <v>3610.8358208955224</v>
      </c>
      <c r="D12" s="3">
        <v>5757.9677419354839</v>
      </c>
      <c r="E12" s="3">
        <v>4209.2524271844659</v>
      </c>
    </row>
    <row r="13" spans="1:17" x14ac:dyDescent="0.45">
      <c r="A13" s="4">
        <v>9</v>
      </c>
      <c r="B13" s="3">
        <v>8334.3333333333339</v>
      </c>
      <c r="C13" s="3">
        <v>6355.7868852459014</v>
      </c>
      <c r="D13" s="3">
        <v>6973.15625</v>
      </c>
      <c r="E13" s="3">
        <v>6623.40625</v>
      </c>
    </row>
    <row r="14" spans="1:17" x14ac:dyDescent="0.45">
      <c r="A14" s="4">
        <v>10</v>
      </c>
      <c r="B14" s="3">
        <v>5450</v>
      </c>
      <c r="C14" s="3">
        <v>5617.977272727273</v>
      </c>
      <c r="D14" s="3">
        <v>6948.7096774193551</v>
      </c>
      <c r="E14" s="3">
        <v>6019.7673267326736</v>
      </c>
    </row>
    <row r="15" spans="1:17" x14ac:dyDescent="0.45">
      <c r="A15" s="4">
        <v>11</v>
      </c>
      <c r="B15" s="3">
        <v>9950</v>
      </c>
      <c r="C15" s="3">
        <v>4993.208333333333</v>
      </c>
      <c r="D15" s="3">
        <v>6755.363636363636</v>
      </c>
      <c r="E15" s="3">
        <v>5669.333333333333</v>
      </c>
      <c r="N15" s="41" t="s">
        <v>383</v>
      </c>
      <c r="O15" s="41" t="s">
        <v>97</v>
      </c>
      <c r="P15" s="41" t="s">
        <v>61</v>
      </c>
      <c r="Q15" s="41" t="s">
        <v>54</v>
      </c>
    </row>
    <row r="16" spans="1:17" x14ac:dyDescent="0.45">
      <c r="A16" s="4">
        <v>12</v>
      </c>
      <c r="B16" s="3">
        <v>6368</v>
      </c>
      <c r="C16" s="3">
        <v>5689.8275862068967</v>
      </c>
      <c r="D16" s="3">
        <v>6543.9411764705883</v>
      </c>
      <c r="E16" s="3">
        <v>6020.583333333333</v>
      </c>
      <c r="N16" s="4">
        <v>1</v>
      </c>
      <c r="O16" s="3">
        <v>2446.5</v>
      </c>
      <c r="P16" s="3">
        <v>2177.5021875000002</v>
      </c>
      <c r="Q16" s="3">
        <v>2075.1149999999998</v>
      </c>
    </row>
    <row r="17" spans="1:17" x14ac:dyDescent="0.45">
      <c r="A17" s="4">
        <v>13</v>
      </c>
      <c r="B17" s="3">
        <v>3898</v>
      </c>
      <c r="C17" s="3">
        <v>6777.4210526315792</v>
      </c>
      <c r="D17" s="3">
        <v>5907.333333333333</v>
      </c>
      <c r="E17" s="3">
        <v>6254.916666666667</v>
      </c>
      <c r="N17" s="4">
        <v>2</v>
      </c>
      <c r="O17" s="3">
        <v>2849</v>
      </c>
      <c r="P17" s="3">
        <v>2719.0526315789475</v>
      </c>
      <c r="Q17" s="3">
        <v>2479.6</v>
      </c>
    </row>
    <row r="18" spans="1:17" x14ac:dyDescent="0.45">
      <c r="A18" s="4">
        <v>14</v>
      </c>
      <c r="B18" s="3">
        <v>5116.5</v>
      </c>
      <c r="C18" s="3">
        <v>7179.5555555555557</v>
      </c>
      <c r="D18" s="3">
        <v>8069.545454545455</v>
      </c>
      <c r="E18" s="3">
        <v>7362.2580645161288</v>
      </c>
      <c r="N18" s="4">
        <v>3</v>
      </c>
      <c r="O18" s="3">
        <v>2425.5</v>
      </c>
      <c r="P18" s="3">
        <v>2964.2272727272725</v>
      </c>
      <c r="Q18" s="3">
        <v>2596.6666666666665</v>
      </c>
    </row>
    <row r="19" spans="1:17" x14ac:dyDescent="0.45">
      <c r="A19" s="4">
        <v>15</v>
      </c>
      <c r="B19" s="3"/>
      <c r="C19" s="3">
        <v>7009.04</v>
      </c>
      <c r="D19" s="3">
        <v>7592.1333333333332</v>
      </c>
      <c r="E19" s="3">
        <v>7227.7</v>
      </c>
      <c r="N19" s="4">
        <v>4</v>
      </c>
      <c r="O19" s="3">
        <v>2922.6666666666665</v>
      </c>
      <c r="P19" s="3">
        <v>3333.8139534883721</v>
      </c>
      <c r="Q19" s="3">
        <v>4446.2941176470586</v>
      </c>
    </row>
    <row r="20" spans="1:17" x14ac:dyDescent="0.45">
      <c r="A20" s="4">
        <v>16</v>
      </c>
      <c r="B20" s="3">
        <v>7873</v>
      </c>
      <c r="C20" s="3">
        <v>8600.681818181818</v>
      </c>
      <c r="D20" s="3">
        <v>7543.2307692307695</v>
      </c>
      <c r="E20" s="3">
        <v>8189.8108108108108</v>
      </c>
      <c r="N20" s="4">
        <v>5</v>
      </c>
      <c r="O20" s="3">
        <v>3600</v>
      </c>
      <c r="P20" s="3">
        <v>3133.155172413793</v>
      </c>
      <c r="Q20" s="3">
        <v>4159.4137931034484</v>
      </c>
    </row>
    <row r="21" spans="1:17" x14ac:dyDescent="0.45">
      <c r="A21" s="4">
        <v>17</v>
      </c>
      <c r="B21" s="3"/>
      <c r="C21" s="3">
        <v>6358.8461538461543</v>
      </c>
      <c r="D21" s="3">
        <v>7321.8571428571431</v>
      </c>
      <c r="E21" s="3">
        <v>6563.121212121212</v>
      </c>
      <c r="N21" s="4">
        <v>6</v>
      </c>
      <c r="O21" s="3">
        <v>2794.625</v>
      </c>
      <c r="P21" s="3">
        <v>3530.7530864197529</v>
      </c>
      <c r="Q21" s="3">
        <v>6071.083333333333</v>
      </c>
    </row>
    <row r="22" spans="1:17" x14ac:dyDescent="0.45">
      <c r="A22" s="4">
        <v>18</v>
      </c>
      <c r="B22" s="3"/>
      <c r="C22" s="3">
        <v>6523.8</v>
      </c>
      <c r="D22" s="3">
        <v>7758.8571428571431</v>
      </c>
      <c r="E22" s="3">
        <v>6844</v>
      </c>
      <c r="N22" s="4">
        <v>7</v>
      </c>
      <c r="O22" s="3">
        <v>2490.4</v>
      </c>
      <c r="P22" s="3">
        <v>3624.3090909090911</v>
      </c>
      <c r="Q22" s="3">
        <v>6004.1428571428569</v>
      </c>
    </row>
    <row r="23" spans="1:17" x14ac:dyDescent="0.45">
      <c r="A23" s="4">
        <v>19</v>
      </c>
      <c r="B23" s="3">
        <v>4071</v>
      </c>
      <c r="C23" s="3">
        <v>5935.6875</v>
      </c>
      <c r="D23" s="3">
        <v>4820</v>
      </c>
      <c r="E23" s="3">
        <v>5597.363636363636</v>
      </c>
      <c r="N23" s="4">
        <v>8</v>
      </c>
      <c r="O23" s="3">
        <v>2626</v>
      </c>
      <c r="P23" s="3">
        <v>3610.8358208955224</v>
      </c>
      <c r="Q23" s="3">
        <v>5757.9677419354839</v>
      </c>
    </row>
    <row r="24" spans="1:17" x14ac:dyDescent="0.45">
      <c r="A24" s="4">
        <v>20</v>
      </c>
      <c r="B24" s="3"/>
      <c r="C24" s="3">
        <v>6230.818181818182</v>
      </c>
      <c r="D24" s="3">
        <v>6983</v>
      </c>
      <c r="E24" s="3">
        <v>6431.4</v>
      </c>
      <c r="N24" s="4">
        <v>9</v>
      </c>
      <c r="O24" s="3">
        <v>8334.3333333333339</v>
      </c>
      <c r="P24" s="3">
        <v>6355.7868852459014</v>
      </c>
      <c r="Q24" s="3">
        <v>6973.15625</v>
      </c>
    </row>
    <row r="25" spans="1:17" x14ac:dyDescent="0.45">
      <c r="A25" s="4">
        <v>21</v>
      </c>
      <c r="B25" s="3">
        <v>16618</v>
      </c>
      <c r="C25" s="3">
        <v>16557.40846153846</v>
      </c>
      <c r="D25" s="3">
        <v>14737.385</v>
      </c>
      <c r="E25" s="3">
        <v>16239.79205882353</v>
      </c>
      <c r="N25" s="4">
        <v>10</v>
      </c>
      <c r="O25" s="3">
        <v>5450</v>
      </c>
      <c r="P25" s="3">
        <v>5617.977272727273</v>
      </c>
      <c r="Q25" s="3">
        <v>6948.7096774193551</v>
      </c>
    </row>
    <row r="26" spans="1:17" x14ac:dyDescent="0.45">
      <c r="A26" s="4">
        <v>22</v>
      </c>
      <c r="B26" s="3">
        <v>19189</v>
      </c>
      <c r="C26" s="3">
        <v>16147.272727272728</v>
      </c>
      <c r="D26" s="3">
        <v>14756.777777777777</v>
      </c>
      <c r="E26" s="3">
        <v>15696.190476190477</v>
      </c>
      <c r="N26" s="4">
        <v>11</v>
      </c>
      <c r="O26" s="3">
        <v>9950</v>
      </c>
      <c r="P26" s="3">
        <v>4993.208333333333</v>
      </c>
      <c r="Q26" s="3">
        <v>6755.363636363636</v>
      </c>
    </row>
    <row r="27" spans="1:17" x14ac:dyDescent="0.45">
      <c r="A27" s="4">
        <v>23</v>
      </c>
      <c r="B27" s="3">
        <v>18234.5</v>
      </c>
      <c r="C27" s="3">
        <v>15656.100769230768</v>
      </c>
      <c r="D27" s="3">
        <v>12922.714285714286</v>
      </c>
      <c r="E27" s="3">
        <v>15020.786818181818</v>
      </c>
      <c r="N27" s="4">
        <v>12</v>
      </c>
      <c r="O27" s="3">
        <v>6368</v>
      </c>
      <c r="P27" s="3">
        <v>5689.8275862068967</v>
      </c>
      <c r="Q27" s="3">
        <v>6543.9411764705883</v>
      </c>
    </row>
    <row r="28" spans="1:17" x14ac:dyDescent="0.45">
      <c r="A28" s="4">
        <v>24</v>
      </c>
      <c r="B28" s="3">
        <v>10482</v>
      </c>
      <c r="C28" s="3">
        <v>14929.807857142858</v>
      </c>
      <c r="D28" s="3">
        <v>11462.333333333334</v>
      </c>
      <c r="E28" s="3">
        <v>14104.795</v>
      </c>
      <c r="N28" s="4">
        <v>13</v>
      </c>
      <c r="O28" s="3">
        <v>3898</v>
      </c>
      <c r="P28" s="3">
        <v>6777.4210526315792</v>
      </c>
      <c r="Q28" s="3">
        <v>5907.333333333333</v>
      </c>
    </row>
    <row r="29" spans="1:17" x14ac:dyDescent="0.45">
      <c r="A29" s="4">
        <v>25</v>
      </c>
      <c r="B29" s="3"/>
      <c r="C29" s="3">
        <v>14633.755454545455</v>
      </c>
      <c r="D29" s="3">
        <v>14373.333333333334</v>
      </c>
      <c r="E29" s="3">
        <v>14577.950714285715</v>
      </c>
      <c r="N29" s="4">
        <v>14</v>
      </c>
      <c r="O29" s="3">
        <v>5116.5</v>
      </c>
      <c r="P29" s="3">
        <v>7179.5555555555557</v>
      </c>
      <c r="Q29" s="3">
        <v>8069.545454545455</v>
      </c>
    </row>
    <row r="30" spans="1:17" x14ac:dyDescent="0.45">
      <c r="A30" s="4">
        <v>26</v>
      </c>
      <c r="B30" s="3"/>
      <c r="C30" s="3">
        <v>17228.099999999999</v>
      </c>
      <c r="D30" s="3">
        <v>18369</v>
      </c>
      <c r="E30" s="3">
        <v>17554.071428571428</v>
      </c>
      <c r="N30" s="4">
        <v>15</v>
      </c>
      <c r="O30" s="3"/>
      <c r="P30" s="3">
        <v>7009.04</v>
      </c>
      <c r="Q30" s="3">
        <v>7592.1333333333332</v>
      </c>
    </row>
    <row r="31" spans="1:17" x14ac:dyDescent="0.45">
      <c r="A31" s="4">
        <v>27</v>
      </c>
      <c r="B31" s="3">
        <v>19626.310000000001</v>
      </c>
      <c r="C31" s="3">
        <v>14315.5</v>
      </c>
      <c r="D31" s="3">
        <v>18449</v>
      </c>
      <c r="E31" s="3">
        <v>16255.187142857143</v>
      </c>
      <c r="N31" s="4">
        <v>16</v>
      </c>
      <c r="O31" s="3">
        <v>7873</v>
      </c>
      <c r="P31" s="3">
        <v>8600.681818181818</v>
      </c>
      <c r="Q31" s="3">
        <v>7543.2307692307695</v>
      </c>
    </row>
    <row r="32" spans="1:17" x14ac:dyDescent="0.45">
      <c r="A32" s="4">
        <v>28</v>
      </c>
      <c r="B32" s="3"/>
      <c r="C32" s="3">
        <v>15247.28875</v>
      </c>
      <c r="D32" s="3">
        <v>12876.5</v>
      </c>
      <c r="E32" s="3">
        <v>14231.236428571428</v>
      </c>
      <c r="N32" s="4">
        <v>17</v>
      </c>
      <c r="O32" s="3"/>
      <c r="P32" s="3">
        <v>6358.8461538461543</v>
      </c>
      <c r="Q32" s="3">
        <v>7321.8571428571431</v>
      </c>
    </row>
    <row r="33" spans="1:17" x14ac:dyDescent="0.45">
      <c r="A33" s="4">
        <v>29</v>
      </c>
      <c r="B33" s="3"/>
      <c r="C33" s="3">
        <v>15134.615714285714</v>
      </c>
      <c r="D33" s="3">
        <v>16718</v>
      </c>
      <c r="E33" s="3">
        <v>15609.630999999999</v>
      </c>
      <c r="N33" s="4">
        <v>18</v>
      </c>
      <c r="O33" s="3"/>
      <c r="P33" s="3">
        <v>6523.8</v>
      </c>
      <c r="Q33" s="3">
        <v>7758.8571428571431</v>
      </c>
    </row>
    <row r="34" spans="1:17" x14ac:dyDescent="0.45">
      <c r="A34" s="4">
        <v>30</v>
      </c>
      <c r="B34" s="3">
        <v>18844</v>
      </c>
      <c r="C34" s="3">
        <v>14618.6</v>
      </c>
      <c r="D34" s="3">
        <v>7525</v>
      </c>
      <c r="E34" s="3">
        <v>14208.857142857143</v>
      </c>
      <c r="N34" s="4">
        <v>19</v>
      </c>
      <c r="O34" s="3">
        <v>4071</v>
      </c>
      <c r="P34" s="3">
        <v>5935.6875</v>
      </c>
      <c r="Q34" s="3">
        <v>4820</v>
      </c>
    </row>
    <row r="35" spans="1:17" x14ac:dyDescent="0.45">
      <c r="A35" s="4">
        <v>31</v>
      </c>
      <c r="B35" s="3"/>
      <c r="C35" s="3">
        <v>15614.714285714286</v>
      </c>
      <c r="D35" s="3">
        <v>17526.654999999999</v>
      </c>
      <c r="E35" s="3">
        <v>16039.59</v>
      </c>
      <c r="N35" s="4">
        <v>20</v>
      </c>
      <c r="O35" s="3"/>
      <c r="P35" s="3">
        <v>6230.818181818182</v>
      </c>
      <c r="Q35" s="3">
        <v>6983</v>
      </c>
    </row>
    <row r="36" spans="1:17" x14ac:dyDescent="0.45">
      <c r="A36" s="4">
        <v>32</v>
      </c>
      <c r="B36" s="3">
        <v>18200</v>
      </c>
      <c r="C36" s="3">
        <v>15891.885</v>
      </c>
      <c r="D36" s="3">
        <v>16817.5</v>
      </c>
      <c r="E36" s="3">
        <v>16354.034444444444</v>
      </c>
      <c r="N36" s="4">
        <v>21</v>
      </c>
      <c r="O36" s="3">
        <v>16618</v>
      </c>
      <c r="P36" s="3">
        <v>16557.40846153846</v>
      </c>
      <c r="Q36" s="3">
        <v>14737.385</v>
      </c>
    </row>
    <row r="37" spans="1:17" x14ac:dyDescent="0.45">
      <c r="A37" s="4">
        <v>33</v>
      </c>
      <c r="B37" s="3">
        <v>14026</v>
      </c>
      <c r="C37" s="3">
        <v>14436.25</v>
      </c>
      <c r="D37" s="3">
        <v>19347.154999999999</v>
      </c>
      <c r="E37" s="3">
        <v>15780.758571428571</v>
      </c>
      <c r="N37" s="4">
        <v>22</v>
      </c>
      <c r="O37" s="3">
        <v>19189</v>
      </c>
      <c r="P37" s="3">
        <v>16147.272727272728</v>
      </c>
      <c r="Q37" s="3">
        <v>14756.777777777777</v>
      </c>
    </row>
    <row r="38" spans="1:17" x14ac:dyDescent="0.45">
      <c r="A38" s="4">
        <v>34</v>
      </c>
      <c r="B38" s="3"/>
      <c r="C38" s="3">
        <v>15602.577499999999</v>
      </c>
      <c r="D38" s="3">
        <v>16856</v>
      </c>
      <c r="E38" s="3">
        <v>15853.261999999999</v>
      </c>
      <c r="N38" s="4">
        <v>23</v>
      </c>
      <c r="O38" s="3">
        <v>18234.5</v>
      </c>
      <c r="P38" s="3">
        <v>15656.100769230768</v>
      </c>
      <c r="Q38" s="3">
        <v>12922.714285714286</v>
      </c>
    </row>
    <row r="39" spans="1:17" x14ac:dyDescent="0.45">
      <c r="A39" s="4">
        <v>35</v>
      </c>
      <c r="B39" s="3">
        <v>19626.310000000001</v>
      </c>
      <c r="C39" s="3">
        <v>15798.5</v>
      </c>
      <c r="D39" s="3">
        <v>15121.666666666666</v>
      </c>
      <c r="E39" s="3">
        <v>16023.16375</v>
      </c>
      <c r="N39" s="4">
        <v>24</v>
      </c>
      <c r="O39" s="3">
        <v>10482</v>
      </c>
      <c r="P39" s="3">
        <v>14929.807857142858</v>
      </c>
      <c r="Q39" s="3">
        <v>11462.333333333334</v>
      </c>
    </row>
    <row r="40" spans="1:17" x14ac:dyDescent="0.45">
      <c r="A40" s="4" t="s">
        <v>384</v>
      </c>
      <c r="B40" s="3">
        <v>6652.4115873015871</v>
      </c>
      <c r="C40" s="3">
        <v>6281.3401977107151</v>
      </c>
      <c r="D40" s="3">
        <v>6960.8490807174885</v>
      </c>
      <c r="E40" s="3">
        <v>6503.407176870749</v>
      </c>
      <c r="N40" s="4">
        <v>25</v>
      </c>
      <c r="O40" s="3"/>
      <c r="P40" s="3">
        <v>14633.755454545455</v>
      </c>
      <c r="Q40" s="3">
        <v>14373.333333333334</v>
      </c>
    </row>
    <row r="41" spans="1:17" x14ac:dyDescent="0.45">
      <c r="N41" s="4">
        <v>26</v>
      </c>
      <c r="O41" s="3"/>
      <c r="P41" s="3">
        <v>17228.099999999999</v>
      </c>
      <c r="Q41" s="3">
        <v>18369</v>
      </c>
    </row>
    <row r="42" spans="1:17" x14ac:dyDescent="0.45">
      <c r="N42" s="4">
        <v>27</v>
      </c>
      <c r="O42" s="3">
        <v>19626.310000000001</v>
      </c>
      <c r="P42" s="3">
        <v>14315.5</v>
      </c>
      <c r="Q42" s="3">
        <v>18449</v>
      </c>
    </row>
    <row r="43" spans="1:17" x14ac:dyDescent="0.45">
      <c r="N43" s="4">
        <v>28</v>
      </c>
      <c r="O43" s="3"/>
      <c r="P43" s="3">
        <v>15247.28875</v>
      </c>
      <c r="Q43" s="3">
        <v>12876.5</v>
      </c>
    </row>
    <row r="44" spans="1:17" x14ac:dyDescent="0.45">
      <c r="N44" s="4">
        <v>29</v>
      </c>
      <c r="O44" s="3"/>
      <c r="P44" s="3">
        <v>15134.615714285714</v>
      </c>
      <c r="Q44" s="3">
        <v>16718</v>
      </c>
    </row>
    <row r="45" spans="1:17" x14ac:dyDescent="0.45">
      <c r="N45" s="4">
        <v>30</v>
      </c>
      <c r="O45" s="3">
        <v>18844</v>
      </c>
      <c r="P45" s="3">
        <v>14618.6</v>
      </c>
      <c r="Q45" s="3">
        <v>7525</v>
      </c>
    </row>
    <row r="46" spans="1:17" x14ac:dyDescent="0.45">
      <c r="N46" s="4">
        <v>31</v>
      </c>
      <c r="O46" s="3"/>
      <c r="P46" s="3">
        <v>15614.714285714286</v>
      </c>
      <c r="Q46" s="3">
        <v>17526.654999999999</v>
      </c>
    </row>
    <row r="47" spans="1:17" x14ac:dyDescent="0.45">
      <c r="N47" s="4">
        <v>32</v>
      </c>
      <c r="O47" s="3">
        <v>18200</v>
      </c>
      <c r="P47" s="3">
        <v>15891.885</v>
      </c>
      <c r="Q47" s="3">
        <v>16817.5</v>
      </c>
    </row>
    <row r="48" spans="1:17" x14ac:dyDescent="0.45">
      <c r="N48" s="4">
        <v>33</v>
      </c>
      <c r="O48" s="3">
        <v>14026</v>
      </c>
      <c r="P48" s="3">
        <v>14436.25</v>
      </c>
      <c r="Q48" s="3">
        <v>19347.154999999999</v>
      </c>
    </row>
    <row r="49" spans="14:17" x14ac:dyDescent="0.45">
      <c r="N49" s="4">
        <v>34</v>
      </c>
      <c r="O49" s="3"/>
      <c r="P49" s="3">
        <v>15602.577499999999</v>
      </c>
      <c r="Q49" s="3">
        <v>16856</v>
      </c>
    </row>
    <row r="50" spans="14:17" x14ac:dyDescent="0.45">
      <c r="N50" s="4">
        <v>35</v>
      </c>
      <c r="O50" s="3">
        <v>19626.310000000001</v>
      </c>
      <c r="P50" s="3">
        <v>15798.5</v>
      </c>
      <c r="Q50" s="3">
        <v>15121.666666666666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2B0E2-BC81-4228-B66C-84261523B44F}">
  <sheetPr>
    <tabColor rgb="FFFFC000"/>
  </sheetPr>
  <dimension ref="A1:V44"/>
  <sheetViews>
    <sheetView showGridLines="0" zoomScale="80" zoomScaleNormal="80" workbookViewId="0">
      <selection activeCell="J45" sqref="J45"/>
    </sheetView>
  </sheetViews>
  <sheetFormatPr defaultColWidth="12.59765625" defaultRowHeight="14.25" x14ac:dyDescent="0.45"/>
  <cols>
    <col min="1" max="1" width="40.59765625" customWidth="1"/>
    <col min="2" max="7" width="12.59765625" customWidth="1"/>
    <col min="21" max="21" width="46.33203125" bestFit="1" customWidth="1"/>
  </cols>
  <sheetData>
    <row r="1" spans="1:7" s="32" customFormat="1" ht="18" x14ac:dyDescent="0.55000000000000004">
      <c r="A1" s="30" t="s">
        <v>413</v>
      </c>
      <c r="B1" s="31"/>
    </row>
    <row r="2" spans="1:7" s="32" customFormat="1" ht="10.5" x14ac:dyDescent="0.35">
      <c r="A2" s="33" t="s">
        <v>414</v>
      </c>
      <c r="B2" s="31" t="s">
        <v>415</v>
      </c>
    </row>
    <row r="3" spans="1:7" s="32" customFormat="1" ht="10.5" x14ac:dyDescent="0.35">
      <c r="A3" s="33" t="s">
        <v>416</v>
      </c>
      <c r="B3" s="31" t="s">
        <v>687</v>
      </c>
    </row>
    <row r="4" spans="1:7" s="32" customFormat="1" ht="10.5" x14ac:dyDescent="0.35">
      <c r="A4" s="33" t="s">
        <v>418</v>
      </c>
      <c r="B4" s="31" t="s">
        <v>688</v>
      </c>
    </row>
    <row r="5" spans="1:7" s="32" customFormat="1" ht="10.5" x14ac:dyDescent="0.35">
      <c r="A5" s="33" t="s">
        <v>420</v>
      </c>
      <c r="B5" s="31" t="s">
        <v>421</v>
      </c>
    </row>
    <row r="6" spans="1:7" s="36" customFormat="1" ht="10.5" x14ac:dyDescent="0.35">
      <c r="A6" s="34" t="s">
        <v>422</v>
      </c>
      <c r="B6" s="35" t="s">
        <v>392</v>
      </c>
    </row>
    <row r="8" spans="1:7" ht="15" customHeight="1" x14ac:dyDescent="0.45">
      <c r="A8" t="s">
        <v>423</v>
      </c>
    </row>
    <row r="9" spans="1:7" ht="15" customHeight="1" x14ac:dyDescent="0.45"/>
    <row r="10" spans="1:7" ht="15" customHeight="1" x14ac:dyDescent="0.45">
      <c r="A10" s="19" t="s">
        <v>424</v>
      </c>
      <c r="B10" s="120" t="s">
        <v>425</v>
      </c>
      <c r="C10" s="122" t="s">
        <v>426</v>
      </c>
      <c r="D10" s="120" t="s">
        <v>427</v>
      </c>
      <c r="E10" s="120" t="s">
        <v>428</v>
      </c>
      <c r="F10" s="120" t="s">
        <v>429</v>
      </c>
      <c r="G10" s="122" t="s">
        <v>430</v>
      </c>
    </row>
    <row r="11" spans="1:7" ht="15" customHeight="1" thickBot="1" x14ac:dyDescent="0.5">
      <c r="A11" s="20" t="s">
        <v>431</v>
      </c>
      <c r="B11" s="121"/>
      <c r="C11" s="121"/>
      <c r="D11" s="121"/>
      <c r="E11" s="121"/>
      <c r="F11" s="121"/>
      <c r="G11" s="121"/>
    </row>
    <row r="12" spans="1:7" ht="15" customHeight="1" thickTop="1" x14ac:dyDescent="0.45">
      <c r="A12" s="18"/>
      <c r="B12" s="37">
        <v>0.97074054502686702</v>
      </c>
      <c r="C12" s="37">
        <v>0.94233720575905888</v>
      </c>
      <c r="D12" s="37">
        <v>0.94182235938190761</v>
      </c>
      <c r="E12" s="21">
        <v>1133.769995689436</v>
      </c>
      <c r="F12" s="21">
        <v>0</v>
      </c>
      <c r="G12" s="21">
        <v>0</v>
      </c>
    </row>
    <row r="13" spans="1:7" ht="15" customHeight="1" x14ac:dyDescent="0.45"/>
    <row r="14" spans="1:7" ht="15" customHeight="1" x14ac:dyDescent="0.45">
      <c r="A14" s="19"/>
      <c r="B14" s="120" t="s">
        <v>432</v>
      </c>
      <c r="C14" s="120" t="s">
        <v>433</v>
      </c>
      <c r="D14" s="120" t="s">
        <v>434</v>
      </c>
      <c r="E14" s="122" t="s">
        <v>435</v>
      </c>
      <c r="F14" s="122" t="s">
        <v>71</v>
      </c>
    </row>
    <row r="15" spans="1:7" ht="15" customHeight="1" thickBot="1" x14ac:dyDescent="0.5">
      <c r="A15" s="20" t="s">
        <v>436</v>
      </c>
      <c r="B15" s="121"/>
      <c r="C15" s="121"/>
      <c r="D15" s="121"/>
      <c r="E15" s="121"/>
      <c r="F15" s="121"/>
    </row>
    <row r="16" spans="1:7" ht="15" customHeight="1" thickTop="1" x14ac:dyDescent="0.45">
      <c r="A16" s="18" t="s">
        <v>437</v>
      </c>
      <c r="B16" s="21">
        <v>13</v>
      </c>
      <c r="C16" s="21">
        <v>30585948209.046272</v>
      </c>
      <c r="D16" s="21">
        <v>2352765246.8497133</v>
      </c>
      <c r="E16" s="21">
        <v>1830.3269627207735</v>
      </c>
      <c r="F16" s="22">
        <v>0</v>
      </c>
    </row>
    <row r="17" spans="1:22" ht="15" customHeight="1" x14ac:dyDescent="0.45">
      <c r="A17" s="18" t="s">
        <v>438</v>
      </c>
      <c r="B17" s="21">
        <v>1456</v>
      </c>
      <c r="C17" s="21">
        <v>1871592490.9509082</v>
      </c>
      <c r="D17" s="21">
        <v>1285434.4031256237</v>
      </c>
      <c r="E17" s="16"/>
      <c r="F17" s="16"/>
    </row>
    <row r="18" spans="1:22" ht="15" customHeight="1" x14ac:dyDescent="0.45"/>
    <row r="19" spans="1:22" ht="15" customHeight="1" x14ac:dyDescent="0.45">
      <c r="A19" s="19"/>
      <c r="B19" s="122" t="s">
        <v>72</v>
      </c>
      <c r="C19" s="120" t="s">
        <v>439</v>
      </c>
      <c r="D19" s="122" t="s">
        <v>440</v>
      </c>
      <c r="E19" s="122" t="s">
        <v>71</v>
      </c>
      <c r="F19" s="123" t="s">
        <v>441</v>
      </c>
      <c r="G19" s="123"/>
    </row>
    <row r="20" spans="1:22" ht="15" customHeight="1" thickBot="1" x14ac:dyDescent="0.5">
      <c r="A20" s="20" t="s">
        <v>442</v>
      </c>
      <c r="B20" s="121"/>
      <c r="C20" s="121"/>
      <c r="D20" s="121"/>
      <c r="E20" s="121"/>
      <c r="F20" s="17" t="s">
        <v>75</v>
      </c>
      <c r="G20" s="17" t="s">
        <v>76</v>
      </c>
    </row>
    <row r="21" spans="1:22" ht="15" customHeight="1" thickTop="1" x14ac:dyDescent="0.45">
      <c r="A21" s="18" t="s">
        <v>84</v>
      </c>
      <c r="B21" s="21">
        <v>-1092.2836013291235</v>
      </c>
      <c r="C21" s="21">
        <v>243.37025844798799</v>
      </c>
      <c r="D21" s="21">
        <v>-4.488155653426162</v>
      </c>
      <c r="E21" s="22">
        <v>7.7498448370294376E-6</v>
      </c>
      <c r="F21" s="21">
        <v>-1569.6773919274826</v>
      </c>
      <c r="G21" s="21">
        <v>-614.88981073076434</v>
      </c>
    </row>
    <row r="22" spans="1:22" ht="15" customHeight="1" x14ac:dyDescent="0.45">
      <c r="A22" s="18" t="s">
        <v>7</v>
      </c>
      <c r="B22" s="21">
        <v>5076.1764747870911</v>
      </c>
      <c r="C22" s="21">
        <v>347.4268967253239</v>
      </c>
      <c r="D22" s="21">
        <v>14.610775741983851</v>
      </c>
      <c r="E22" s="22">
        <v>3.2228214875998832E-45</v>
      </c>
      <c r="F22" s="21">
        <v>4394.6657419586845</v>
      </c>
      <c r="G22" s="21">
        <v>5757.6872076154978</v>
      </c>
    </row>
    <row r="23" spans="1:22" ht="15" customHeight="1" x14ac:dyDescent="0.45">
      <c r="A23" s="18" t="s">
        <v>8</v>
      </c>
      <c r="B23" s="21">
        <v>3979.0900110264774</v>
      </c>
      <c r="C23" s="21">
        <v>476.40061171659488</v>
      </c>
      <c r="D23" s="21">
        <v>8.3524032361939771</v>
      </c>
      <c r="E23" s="22">
        <v>1.538757118994527E-16</v>
      </c>
      <c r="F23" s="21">
        <v>3044.5851322416784</v>
      </c>
      <c r="G23" s="21">
        <v>4913.5948898112765</v>
      </c>
    </row>
    <row r="24" spans="1:22" ht="15" customHeight="1" x14ac:dyDescent="0.45">
      <c r="A24" s="18" t="s">
        <v>22</v>
      </c>
      <c r="B24" s="21">
        <v>2824.0979659820787</v>
      </c>
      <c r="C24" s="21">
        <v>67.257045013119125</v>
      </c>
      <c r="D24" s="21">
        <v>41.989623026572332</v>
      </c>
      <c r="E24" s="22">
        <v>3.969731559759088E-253</v>
      </c>
      <c r="F24" s="21">
        <v>2692.1669080622819</v>
      </c>
      <c r="G24" s="21">
        <v>2956.0290239018755</v>
      </c>
    </row>
    <row r="25" spans="1:22" ht="15" customHeight="1" x14ac:dyDescent="0.45">
      <c r="A25" s="18" t="s">
        <v>24</v>
      </c>
      <c r="B25" s="21">
        <v>-3886.7505838250363</v>
      </c>
      <c r="C25" s="21">
        <v>180.07254770377611</v>
      </c>
      <c r="D25" s="21">
        <v>-21.584359378414746</v>
      </c>
      <c r="E25" s="22">
        <v>7.1629168027268777E-90</v>
      </c>
      <c r="F25" s="21">
        <v>-4239.9799253198671</v>
      </c>
      <c r="G25" s="21">
        <v>-3533.521242330206</v>
      </c>
    </row>
    <row r="26" spans="1:22" ht="15" customHeight="1" x14ac:dyDescent="0.45">
      <c r="A26" s="18" t="s">
        <v>25</v>
      </c>
      <c r="B26" s="21">
        <v>-3231.1024978469359</v>
      </c>
      <c r="C26" s="21">
        <v>312.40435575917536</v>
      </c>
      <c r="D26" s="21">
        <v>-10.342693494125642</v>
      </c>
      <c r="E26" s="22">
        <v>3.0465721280520092E-24</v>
      </c>
      <c r="F26" s="21">
        <v>-3843.9132025994418</v>
      </c>
      <c r="G26" s="21">
        <v>-2618.29179309443</v>
      </c>
    </row>
    <row r="27" spans="1:22" ht="15" customHeight="1" x14ac:dyDescent="0.45">
      <c r="A27" s="18" t="s">
        <v>26</v>
      </c>
      <c r="B27" s="21">
        <v>-4488.6072700576406</v>
      </c>
      <c r="C27" s="21">
        <v>210.86783678072126</v>
      </c>
      <c r="D27" s="21">
        <v>-21.286353284523354</v>
      </c>
      <c r="E27" s="22">
        <v>9.297950652569937E-88</v>
      </c>
      <c r="F27" s="21">
        <v>-4902.2444850484717</v>
      </c>
      <c r="G27" s="21">
        <v>-4074.970055066809</v>
      </c>
    </row>
    <row r="28" spans="1:22" ht="15" customHeight="1" x14ac:dyDescent="0.45">
      <c r="A28" s="18" t="s">
        <v>27</v>
      </c>
      <c r="B28" s="21">
        <v>508.94539214485849</v>
      </c>
      <c r="C28" s="21">
        <v>193.10832696278126</v>
      </c>
      <c r="D28" s="21">
        <v>2.6355434804370197</v>
      </c>
      <c r="E28" s="22">
        <v>8.4894737264324914E-3</v>
      </c>
      <c r="F28" s="21">
        <v>130.14513613670039</v>
      </c>
      <c r="G28" s="21">
        <v>887.74564815301665</v>
      </c>
      <c r="I28" s="18" t="s">
        <v>84</v>
      </c>
      <c r="J28" s="18" t="s">
        <v>7</v>
      </c>
      <c r="K28" s="18" t="s">
        <v>8</v>
      </c>
      <c r="L28" s="18" t="s">
        <v>22</v>
      </c>
      <c r="M28" s="18" t="s">
        <v>24</v>
      </c>
      <c r="N28" s="18" t="s">
        <v>25</v>
      </c>
      <c r="O28" s="18" t="s">
        <v>26</v>
      </c>
      <c r="P28" s="18" t="s">
        <v>27</v>
      </c>
      <c r="Q28" s="18" t="s">
        <v>28</v>
      </c>
      <c r="R28" s="18" t="s">
        <v>30</v>
      </c>
      <c r="S28" s="18" t="s">
        <v>31</v>
      </c>
      <c r="T28" s="18" t="s">
        <v>395</v>
      </c>
      <c r="U28" s="72" t="s">
        <v>670</v>
      </c>
      <c r="V28" s="72" t="s">
        <v>671</v>
      </c>
    </row>
    <row r="29" spans="1:22" ht="15" customHeight="1" x14ac:dyDescent="0.45">
      <c r="A29" s="18" t="s">
        <v>28</v>
      </c>
      <c r="B29" s="21">
        <v>-4009.6877267828495</v>
      </c>
      <c r="C29" s="21">
        <v>178.38952185954861</v>
      </c>
      <c r="D29" s="21">
        <v>-22.477148237102156</v>
      </c>
      <c r="E29" s="22">
        <v>2.7285006533822972E-96</v>
      </c>
      <c r="F29" s="21">
        <v>-4359.6156538296918</v>
      </c>
      <c r="G29" s="21">
        <v>-3659.7597997360072</v>
      </c>
      <c r="I29" s="21">
        <v>-1092.2836013291235</v>
      </c>
      <c r="J29" s="21">
        <v>5076.1764747870911</v>
      </c>
      <c r="K29" s="21">
        <v>3979.0900110264774</v>
      </c>
      <c r="L29" s="21">
        <v>2824.0979659820787</v>
      </c>
      <c r="M29" s="21">
        <v>-3886.7505838250363</v>
      </c>
      <c r="N29" s="21">
        <v>-3231.1024978469359</v>
      </c>
      <c r="O29" s="21">
        <v>-4488.6072700576406</v>
      </c>
      <c r="P29" s="21">
        <v>508.94539214485849</v>
      </c>
      <c r="Q29" s="21">
        <v>-4009.6877267828495</v>
      </c>
      <c r="R29" s="21">
        <v>-3601.6365415320324</v>
      </c>
      <c r="S29" s="21">
        <v>-4380.5370518401032</v>
      </c>
      <c r="T29" s="21">
        <v>166.20750746140766</v>
      </c>
      <c r="U29" s="21">
        <v>-134.36059827757163</v>
      </c>
      <c r="V29" s="21">
        <v>-103.67219112492603</v>
      </c>
    </row>
    <row r="30" spans="1:22" ht="15" customHeight="1" x14ac:dyDescent="0.45">
      <c r="A30" s="18" t="s">
        <v>30</v>
      </c>
      <c r="B30" s="21">
        <v>-3601.6365415320324</v>
      </c>
      <c r="C30" s="21">
        <v>374.42028740414435</v>
      </c>
      <c r="D30" s="21">
        <v>-9.6192344878056062</v>
      </c>
      <c r="E30" s="22">
        <v>2.8028444878152234E-21</v>
      </c>
      <c r="F30" s="21">
        <v>-4336.0973643979141</v>
      </c>
      <c r="G30" s="21">
        <v>-2867.1757186661507</v>
      </c>
      <c r="I30">
        <v>1</v>
      </c>
      <c r="J30">
        <v>1</v>
      </c>
      <c r="K30">
        <v>0</v>
      </c>
      <c r="L30">
        <v>3</v>
      </c>
      <c r="M30">
        <v>0</v>
      </c>
      <c r="N30">
        <v>0</v>
      </c>
      <c r="O30">
        <v>0</v>
      </c>
      <c r="P30">
        <v>1</v>
      </c>
      <c r="Q30">
        <v>0</v>
      </c>
      <c r="R30">
        <v>0</v>
      </c>
      <c r="S30">
        <v>0</v>
      </c>
      <c r="T30">
        <v>0</v>
      </c>
      <c r="U30">
        <v>1</v>
      </c>
      <c r="V30">
        <v>0</v>
      </c>
    </row>
    <row r="31" spans="1:22" ht="15" customHeight="1" x14ac:dyDescent="0.45">
      <c r="A31" s="18" t="s">
        <v>31</v>
      </c>
      <c r="B31" s="21">
        <v>-4380.5370518401032</v>
      </c>
      <c r="C31" s="21">
        <v>211.08331066640824</v>
      </c>
      <c r="D31" s="21">
        <v>-20.752645190234933</v>
      </c>
      <c r="E31" s="22">
        <v>5.1821472485794715E-84</v>
      </c>
      <c r="F31" s="21">
        <v>-4794.5969392466977</v>
      </c>
      <c r="G31" s="21">
        <v>-3966.4771644335087</v>
      </c>
      <c r="I31">
        <v>1</v>
      </c>
      <c r="J31">
        <v>0</v>
      </c>
      <c r="K31">
        <v>1</v>
      </c>
      <c r="L31">
        <v>3</v>
      </c>
      <c r="M31">
        <v>0</v>
      </c>
      <c r="N31">
        <v>0</v>
      </c>
      <c r="O31">
        <v>0</v>
      </c>
      <c r="P31">
        <v>1</v>
      </c>
      <c r="Q31">
        <v>0</v>
      </c>
      <c r="R31">
        <v>0</v>
      </c>
      <c r="S31">
        <v>0</v>
      </c>
      <c r="T31">
        <v>0</v>
      </c>
      <c r="U31">
        <v>0</v>
      </c>
      <c r="V31">
        <v>1</v>
      </c>
    </row>
    <row r="32" spans="1:22" ht="15" customHeight="1" x14ac:dyDescent="0.45">
      <c r="A32" s="18" t="s">
        <v>395</v>
      </c>
      <c r="B32" s="21">
        <v>166.20750746140766</v>
      </c>
      <c r="C32" s="21">
        <v>19.801370504333036</v>
      </c>
      <c r="D32" s="21">
        <v>8.3937375660456066</v>
      </c>
      <c r="E32" s="22">
        <v>1.1009803167130402E-16</v>
      </c>
      <c r="F32" s="21">
        <v>127.36524553347223</v>
      </c>
      <c r="G32" s="21">
        <v>205.04976938934308</v>
      </c>
      <c r="H32" t="s">
        <v>695</v>
      </c>
      <c r="I32">
        <f>SUMPRODUCT(I29:V29,I30:V30)</f>
        <v>12830.771565271491</v>
      </c>
    </row>
    <row r="33" spans="1:22" ht="15" customHeight="1" x14ac:dyDescent="0.45">
      <c r="A33" s="72" t="s">
        <v>670</v>
      </c>
      <c r="B33" s="21">
        <v>-134.36059827757163</v>
      </c>
      <c r="C33" s="21">
        <v>19.332628339877932</v>
      </c>
      <c r="D33" s="21">
        <v>-6.9499395485932149</v>
      </c>
      <c r="E33" s="22">
        <v>5.4962047671019756E-12</v>
      </c>
      <c r="F33" s="21">
        <v>-172.28337809569811</v>
      </c>
      <c r="G33" s="21">
        <v>-96.43781845944514</v>
      </c>
      <c r="H33" t="s">
        <v>696</v>
      </c>
      <c r="I33">
        <f>SUMPRODUCT(I29:V29,I31:V31)</f>
        <v>11764.373508663522</v>
      </c>
    </row>
    <row r="34" spans="1:22" ht="15" customHeight="1" x14ac:dyDescent="0.45">
      <c r="A34" s="72" t="s">
        <v>671</v>
      </c>
      <c r="B34" s="21">
        <v>-103.67219112492603</v>
      </c>
      <c r="C34" s="21">
        <v>20.818604811929156</v>
      </c>
      <c r="D34" s="21">
        <v>-4.9797857282694276</v>
      </c>
      <c r="E34" s="22">
        <v>7.1249941155474309E-7</v>
      </c>
      <c r="F34" s="21">
        <v>-144.50985440192892</v>
      </c>
      <c r="G34" s="21">
        <v>-62.834527847923155</v>
      </c>
      <c r="H34" t="s">
        <v>699</v>
      </c>
      <c r="I34" s="87">
        <f>I32-I33</f>
        <v>1066.3980566079681</v>
      </c>
    </row>
    <row r="35" spans="1:22" ht="15" customHeight="1" x14ac:dyDescent="0.45">
      <c r="H35" t="s">
        <v>698</v>
      </c>
      <c r="I35" s="88">
        <f>I37-I33</f>
        <v>2824.0979659820787</v>
      </c>
    </row>
    <row r="36" spans="1:22" x14ac:dyDescent="0.45">
      <c r="H36" t="s">
        <v>697</v>
      </c>
      <c r="I36">
        <v>1</v>
      </c>
      <c r="J36">
        <v>0</v>
      </c>
      <c r="K36">
        <v>1</v>
      </c>
      <c r="L36">
        <v>4</v>
      </c>
      <c r="M36">
        <v>0</v>
      </c>
      <c r="N36">
        <v>0</v>
      </c>
      <c r="O36">
        <v>0</v>
      </c>
      <c r="P36">
        <v>1</v>
      </c>
      <c r="Q36">
        <v>0</v>
      </c>
      <c r="R36">
        <v>0</v>
      </c>
      <c r="S36">
        <v>0</v>
      </c>
      <c r="T36">
        <v>0</v>
      </c>
      <c r="U36">
        <v>0</v>
      </c>
      <c r="V36">
        <v>1</v>
      </c>
    </row>
    <row r="37" spans="1:22" ht="57" customHeight="1" x14ac:dyDescent="0.45">
      <c r="A37" s="124"/>
      <c r="B37" s="124"/>
      <c r="I37">
        <f>SUMPRODUCT(I29:V29,I36:V36)</f>
        <v>14588.471474645601</v>
      </c>
    </row>
    <row r="38" spans="1:22" x14ac:dyDescent="0.45">
      <c r="A38" s="124"/>
      <c r="B38" s="124"/>
    </row>
    <row r="39" spans="1:22" x14ac:dyDescent="0.45">
      <c r="A39" s="124"/>
      <c r="B39" s="124"/>
    </row>
    <row r="40" spans="1:22" x14ac:dyDescent="0.45">
      <c r="A40" s="124"/>
      <c r="B40" s="124"/>
    </row>
    <row r="41" spans="1:22" x14ac:dyDescent="0.45">
      <c r="A41" s="124" t="s">
        <v>756</v>
      </c>
      <c r="B41" s="124"/>
    </row>
    <row r="42" spans="1:22" x14ac:dyDescent="0.45">
      <c r="A42" s="124"/>
      <c r="B42" s="124"/>
    </row>
    <row r="43" spans="1:22" x14ac:dyDescent="0.45">
      <c r="A43" s="124"/>
      <c r="B43" s="124"/>
    </row>
    <row r="44" spans="1:22" x14ac:dyDescent="0.45">
      <c r="A44" s="124"/>
      <c r="B44" s="124"/>
    </row>
  </sheetData>
  <mergeCells count="18">
    <mergeCell ref="A41:B44"/>
    <mergeCell ref="A37:B40"/>
    <mergeCell ref="B14:B15"/>
    <mergeCell ref="C14:C15"/>
    <mergeCell ref="D14:D15"/>
    <mergeCell ref="E14:E15"/>
    <mergeCell ref="F14:F15"/>
    <mergeCell ref="B19:B20"/>
    <mergeCell ref="C19:C20"/>
    <mergeCell ref="D19:D20"/>
    <mergeCell ref="E19:E20"/>
    <mergeCell ref="F19:G19"/>
    <mergeCell ref="G10:G11"/>
    <mergeCell ref="B10:B11"/>
    <mergeCell ref="C10:C11"/>
    <mergeCell ref="D10:D11"/>
    <mergeCell ref="E10:E11"/>
    <mergeCell ref="F10:F11"/>
  </mergeCells>
  <conditionalFormatting sqref="E21:E34">
    <cfRule type="cellIs" dxfId="3" priority="1" operator="lessThan">
      <formula>0.05</formula>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48"/>
  <sheetViews>
    <sheetView showGridLines="0" topLeftCell="A13" workbookViewId="0">
      <selection activeCell="A37" sqref="A37"/>
    </sheetView>
  </sheetViews>
  <sheetFormatPr defaultColWidth="12.73046875" defaultRowHeight="14.25" x14ac:dyDescent="0.45"/>
  <cols>
    <col min="1" max="1" width="25.3984375" bestFit="1" customWidth="1"/>
    <col min="3" max="3" width="12.73046875" customWidth="1"/>
    <col min="5" max="5" width="12.73046875" customWidth="1"/>
    <col min="8" max="8" width="12.73046875" customWidth="1"/>
  </cols>
  <sheetData>
    <row r="1" spans="1:8" s="32" customFormat="1" ht="18" x14ac:dyDescent="0.55000000000000004">
      <c r="A1" s="30" t="s">
        <v>413</v>
      </c>
      <c r="B1" s="31"/>
    </row>
    <row r="2" spans="1:8" s="32" customFormat="1" ht="10.5" x14ac:dyDescent="0.35">
      <c r="A2" s="33" t="s">
        <v>414</v>
      </c>
      <c r="B2" s="31" t="s">
        <v>514</v>
      </c>
    </row>
    <row r="3" spans="1:8" s="32" customFormat="1" ht="10.5" x14ac:dyDescent="0.35">
      <c r="A3" s="33" t="s">
        <v>416</v>
      </c>
      <c r="B3" s="31" t="s">
        <v>417</v>
      </c>
    </row>
    <row r="4" spans="1:8" s="32" customFormat="1" ht="10.5" x14ac:dyDescent="0.35">
      <c r="A4" s="33" t="s">
        <v>418</v>
      </c>
      <c r="B4" s="31" t="s">
        <v>515</v>
      </c>
    </row>
    <row r="5" spans="1:8" s="32" customFormat="1" ht="10.5" x14ac:dyDescent="0.35">
      <c r="A5" s="33" t="s">
        <v>420</v>
      </c>
      <c r="B5" s="31" t="s">
        <v>421</v>
      </c>
    </row>
    <row r="6" spans="1:8" s="36" customFormat="1" ht="10.5" x14ac:dyDescent="0.35">
      <c r="A6" s="34" t="s">
        <v>422</v>
      </c>
      <c r="B6" s="35" t="s">
        <v>2</v>
      </c>
    </row>
    <row r="8" spans="1:8" ht="15" customHeight="1" x14ac:dyDescent="0.45">
      <c r="A8" s="19" t="s">
        <v>51</v>
      </c>
      <c r="B8" s="38"/>
    </row>
    <row r="9" spans="1:8" ht="15" customHeight="1" thickBot="1" x14ac:dyDescent="0.5">
      <c r="A9" s="20" t="s">
        <v>58</v>
      </c>
      <c r="B9" s="17" t="s">
        <v>382</v>
      </c>
    </row>
    <row r="10" spans="1:8" ht="15" customHeight="1" thickTop="1" x14ac:dyDescent="0.45">
      <c r="A10" s="18" t="s">
        <v>65</v>
      </c>
      <c r="B10" s="21">
        <v>1298.5827008306633</v>
      </c>
    </row>
    <row r="11" spans="1:8" ht="15" customHeight="1" x14ac:dyDescent="0.45">
      <c r="A11" s="18" t="s">
        <v>68</v>
      </c>
      <c r="B11" s="21">
        <v>931.30794218000051</v>
      </c>
    </row>
    <row r="12" spans="1:8" ht="15" customHeight="1" x14ac:dyDescent="0.45">
      <c r="A12" s="18" t="s">
        <v>69</v>
      </c>
      <c r="B12" s="21">
        <v>367.27475865066276</v>
      </c>
    </row>
    <row r="13" spans="1:8" ht="15" customHeight="1" x14ac:dyDescent="0.45">
      <c r="A13" s="18" t="s">
        <v>71</v>
      </c>
      <c r="B13" s="22">
        <v>1.2158597639209815E-65</v>
      </c>
    </row>
    <row r="14" spans="1:8" ht="15" customHeight="1" x14ac:dyDescent="0.45"/>
    <row r="15" spans="1:8" ht="15" customHeight="1" x14ac:dyDescent="0.45">
      <c r="A15" s="19"/>
      <c r="B15" s="122" t="s">
        <v>72</v>
      </c>
      <c r="C15" s="38" t="s">
        <v>73</v>
      </c>
      <c r="D15" s="38" t="s">
        <v>74</v>
      </c>
      <c r="E15" s="122" t="s">
        <v>71</v>
      </c>
      <c r="F15" s="38" t="s">
        <v>75</v>
      </c>
      <c r="G15" s="38" t="s">
        <v>76</v>
      </c>
      <c r="H15" s="122" t="s">
        <v>77</v>
      </c>
    </row>
    <row r="16" spans="1:8" ht="15" customHeight="1" thickBot="1" x14ac:dyDescent="0.5">
      <c r="A16" s="20" t="s">
        <v>79</v>
      </c>
      <c r="B16" s="121"/>
      <c r="C16" s="17" t="s">
        <v>80</v>
      </c>
      <c r="D16" s="17" t="s">
        <v>81</v>
      </c>
      <c r="E16" s="121"/>
      <c r="F16" s="17" t="s">
        <v>82</v>
      </c>
      <c r="G16" s="17" t="s">
        <v>82</v>
      </c>
      <c r="H16" s="121"/>
    </row>
    <row r="17" spans="1:8" ht="15" customHeight="1" thickTop="1" x14ac:dyDescent="0.45">
      <c r="A17" s="18" t="s">
        <v>84</v>
      </c>
      <c r="B17" s="16">
        <v>3.2375918788142859</v>
      </c>
      <c r="C17" s="21">
        <v>1.1088750394295359</v>
      </c>
      <c r="D17" s="21">
        <v>2.9197085006799997</v>
      </c>
      <c r="E17" s="22">
        <v>3.5035893619255187E-3</v>
      </c>
      <c r="F17" s="21">
        <v>1.0641968015323955</v>
      </c>
      <c r="G17" s="21">
        <v>5.4109869560961759</v>
      </c>
      <c r="H17" s="21">
        <v>25.472307427302916</v>
      </c>
    </row>
    <row r="18" spans="1:8" ht="15" customHeight="1" x14ac:dyDescent="0.45">
      <c r="A18" s="18" t="s">
        <v>398</v>
      </c>
      <c r="B18" s="16">
        <v>-4.5356338159750077E-2</v>
      </c>
      <c r="C18" s="21">
        <v>1.1599540256410664E-2</v>
      </c>
      <c r="D18" s="21">
        <v>-3.9101841242960642</v>
      </c>
      <c r="E18" s="22">
        <v>9.2225793462796801E-5</v>
      </c>
      <c r="F18" s="21">
        <v>-6.8091437062314977E-2</v>
      </c>
      <c r="G18" s="21">
        <v>-2.2621239257185177E-2</v>
      </c>
      <c r="H18" s="21">
        <v>0.95565688413727989</v>
      </c>
    </row>
    <row r="19" spans="1:8" ht="15" customHeight="1" x14ac:dyDescent="0.45">
      <c r="A19" s="18" t="s">
        <v>4</v>
      </c>
      <c r="B19" s="16">
        <v>1.8078634710276174</v>
      </c>
      <c r="C19" s="21">
        <v>0.39865301772276218</v>
      </c>
      <c r="D19" s="21">
        <v>4.534929852920043</v>
      </c>
      <c r="E19" s="22">
        <v>5.7622633262699452E-6</v>
      </c>
      <c r="F19" s="21">
        <v>1.0265035562910034</v>
      </c>
      <c r="G19" s="21">
        <v>2.5892233857642313</v>
      </c>
      <c r="H19" s="21">
        <v>6.0974062206814112</v>
      </c>
    </row>
    <row r="20" spans="1:8" ht="15" customHeight="1" x14ac:dyDescent="0.45">
      <c r="A20" s="18" t="s">
        <v>5</v>
      </c>
      <c r="B20" s="16">
        <v>1.0102737668646953</v>
      </c>
      <c r="C20" s="21">
        <v>0.37218681680701265</v>
      </c>
      <c r="D20" s="21">
        <v>2.7144265224970212</v>
      </c>
      <c r="E20" s="22">
        <v>6.6390626381922502E-3</v>
      </c>
      <c r="F20" s="21">
        <v>0.28078760592295049</v>
      </c>
      <c r="G20" s="21">
        <v>1.73975992780644</v>
      </c>
      <c r="H20" s="21">
        <v>2.7463527724969508</v>
      </c>
    </row>
    <row r="21" spans="1:8" ht="15" customHeight="1" x14ac:dyDescent="0.45">
      <c r="A21" s="18" t="s">
        <v>397</v>
      </c>
      <c r="B21" s="16">
        <v>3.8277094676155379E-2</v>
      </c>
      <c r="C21" s="21">
        <v>1.003997599930349E-2</v>
      </c>
      <c r="D21" s="21">
        <v>3.8124687428347239</v>
      </c>
      <c r="E21" s="22">
        <v>1.3758563318844175E-4</v>
      </c>
      <c r="F21" s="21">
        <v>1.8598741717520538E-2</v>
      </c>
      <c r="G21" s="21">
        <v>5.7955447634790221E-2</v>
      </c>
      <c r="H21" s="21">
        <v>1.0390190996544184</v>
      </c>
    </row>
    <row r="22" spans="1:8" ht="15" customHeight="1" x14ac:dyDescent="0.45">
      <c r="A22" s="18" t="s">
        <v>17</v>
      </c>
      <c r="B22" s="16">
        <v>-0.39089368100926636</v>
      </c>
      <c r="C22" s="21">
        <v>7.7364907396389654E-2</v>
      </c>
      <c r="D22" s="21">
        <v>-5.052596767245765</v>
      </c>
      <c r="E22" s="22">
        <v>4.3584341402613802E-7</v>
      </c>
      <c r="F22" s="21">
        <v>-0.5425288995061901</v>
      </c>
      <c r="G22" s="21">
        <v>-0.23925846251234265</v>
      </c>
      <c r="H22" s="21">
        <v>0.67645207191777557</v>
      </c>
    </row>
    <row r="23" spans="1:8" ht="15" customHeight="1" x14ac:dyDescent="0.45">
      <c r="A23" s="18" t="s">
        <v>19</v>
      </c>
      <c r="B23" s="16">
        <v>3.6151804530428114E-2</v>
      </c>
      <c r="C23" s="21">
        <v>0.255037355178033</v>
      </c>
      <c r="D23" s="21">
        <v>0.14175101723899133</v>
      </c>
      <c r="E23" s="22">
        <v>0.88727667583958958</v>
      </c>
      <c r="F23" s="21">
        <v>-0.46372141161851654</v>
      </c>
      <c r="G23" s="21">
        <v>0.53602502067937274</v>
      </c>
      <c r="H23" s="21">
        <v>1.036813227490188</v>
      </c>
    </row>
    <row r="24" spans="1:8" ht="15" customHeight="1" x14ac:dyDescent="0.45">
      <c r="A24" s="18" t="s">
        <v>21</v>
      </c>
      <c r="B24" s="16">
        <v>-0.57217504840560218</v>
      </c>
      <c r="C24" s="21">
        <v>0.11606486721249937</v>
      </c>
      <c r="D24" s="21">
        <v>-4.9297867834374518</v>
      </c>
      <c r="E24" s="22">
        <v>8.231941075464988E-7</v>
      </c>
      <c r="F24" s="21">
        <v>-0.79966218814210088</v>
      </c>
      <c r="G24" s="21">
        <v>-0.34468790866910343</v>
      </c>
      <c r="H24" s="21">
        <v>0.56429673023036608</v>
      </c>
    </row>
    <row r="25" spans="1:8" ht="15" customHeight="1" x14ac:dyDescent="0.45">
      <c r="A25" s="18" t="s">
        <v>32</v>
      </c>
      <c r="B25" s="16">
        <v>-0.40765092643258588</v>
      </c>
      <c r="C25" s="21">
        <v>7.679382448785467E-2</v>
      </c>
      <c r="D25" s="21">
        <v>-5.3083816198925984</v>
      </c>
      <c r="E25" s="22">
        <v>1.1060288285236197E-7</v>
      </c>
      <c r="F25" s="21">
        <v>-0.55816682242878102</v>
      </c>
      <c r="G25" s="21">
        <v>-0.25713503043639074</v>
      </c>
      <c r="H25" s="21">
        <v>0.66521104589122348</v>
      </c>
    </row>
    <row r="26" spans="1:8" ht="15" customHeight="1" x14ac:dyDescent="0.45">
      <c r="A26" s="18" t="s">
        <v>34</v>
      </c>
      <c r="B26" s="16">
        <v>1.3618967655438534</v>
      </c>
      <c r="C26" s="21">
        <v>0.24807647137094918</v>
      </c>
      <c r="D26" s="21">
        <v>5.4898264152887224</v>
      </c>
      <c r="E26" s="22">
        <v>4.0232894349401249E-8</v>
      </c>
      <c r="F26" s="21">
        <v>0.87566688165679296</v>
      </c>
      <c r="G26" s="21">
        <v>1.8481266494309139</v>
      </c>
      <c r="H26" s="21">
        <v>3.9035904801410086</v>
      </c>
    </row>
    <row r="27" spans="1:8" ht="15" customHeight="1" x14ac:dyDescent="0.45">
      <c r="A27" s="18" t="s">
        <v>35</v>
      </c>
      <c r="B27" s="16">
        <v>0.37486303946255339</v>
      </c>
      <c r="C27" s="21">
        <v>0.24657695051538073</v>
      </c>
      <c r="D27" s="21">
        <v>1.5202679677846473</v>
      </c>
      <c r="E27" s="22">
        <v>0.12844364120397955</v>
      </c>
      <c r="F27" s="21">
        <v>-0.1084277835475928</v>
      </c>
      <c r="G27" s="21">
        <v>0.85815386247269965</v>
      </c>
      <c r="H27" s="21">
        <v>1.4547921518579539</v>
      </c>
    </row>
    <row r="28" spans="1:8" ht="15" customHeight="1" x14ac:dyDescent="0.45">
      <c r="A28" s="18" t="s">
        <v>392</v>
      </c>
      <c r="B28" s="16">
        <v>-1.1172046327773386E-4</v>
      </c>
      <c r="C28" s="21">
        <v>2.8870543186786521E-5</v>
      </c>
      <c r="D28" s="21">
        <v>-3.8697042364227534</v>
      </c>
      <c r="E28" s="22">
        <v>1.0896746482225161E-4</v>
      </c>
      <c r="F28" s="21">
        <v>-1.6830672792383545E-4</v>
      </c>
      <c r="G28" s="21">
        <v>-5.5134198631632285E-5</v>
      </c>
      <c r="H28" s="21">
        <v>0.99988828577722078</v>
      </c>
    </row>
    <row r="29" spans="1:8" ht="15" customHeight="1" x14ac:dyDescent="0.45">
      <c r="A29" s="18" t="s">
        <v>37</v>
      </c>
      <c r="B29" s="16">
        <v>0.20759954938720848</v>
      </c>
      <c r="C29" s="21">
        <v>4.2303337374696291E-2</v>
      </c>
      <c r="D29" s="21">
        <v>4.9074035825689721</v>
      </c>
      <c r="E29" s="22">
        <v>9.2289999509276299E-7</v>
      </c>
      <c r="F29" s="21">
        <v>0.12468500813280375</v>
      </c>
      <c r="G29" s="21">
        <v>0.29051409064161321</v>
      </c>
      <c r="H29" s="21">
        <v>1.2307202281865675</v>
      </c>
    </row>
    <row r="30" spans="1:8" ht="15" customHeight="1" x14ac:dyDescent="0.45">
      <c r="A30" s="18" t="s">
        <v>39</v>
      </c>
      <c r="B30" s="16">
        <v>1.7690197316924201</v>
      </c>
      <c r="C30" s="21">
        <v>0.17930315173328787</v>
      </c>
      <c r="D30" s="21">
        <v>9.8660827464082956</v>
      </c>
      <c r="E30" s="22">
        <v>0</v>
      </c>
      <c r="F30" s="21">
        <v>1.4175855542951759</v>
      </c>
      <c r="G30" s="21">
        <v>2.1204539090896644</v>
      </c>
      <c r="H30" s="21">
        <v>5.8651011697002104</v>
      </c>
    </row>
    <row r="31" spans="1:8" ht="15" customHeight="1" x14ac:dyDescent="0.45">
      <c r="A31" s="18" t="s">
        <v>41</v>
      </c>
      <c r="B31" s="16">
        <v>-0.10146788845421711</v>
      </c>
      <c r="C31" s="21">
        <v>0.23677553866422552</v>
      </c>
      <c r="D31" s="21">
        <v>-0.42854041860341852</v>
      </c>
      <c r="E31" s="22">
        <v>0.668257713277429</v>
      </c>
      <c r="F31" s="21">
        <v>-0.56554794423609911</v>
      </c>
      <c r="G31" s="21">
        <v>0.36261216732766488</v>
      </c>
      <c r="H31" s="21">
        <v>0.90351019198529303</v>
      </c>
    </row>
    <row r="32" spans="1:8" ht="15" customHeight="1" x14ac:dyDescent="0.45">
      <c r="A32" s="18" t="s">
        <v>42</v>
      </c>
      <c r="B32" s="16">
        <v>-0.23200963166150246</v>
      </c>
      <c r="C32" s="21">
        <v>7.8028890709537072E-2</v>
      </c>
      <c r="D32" s="21">
        <v>-2.9733811355227315</v>
      </c>
      <c r="E32" s="22">
        <v>2.9453846253002514E-3</v>
      </c>
      <c r="F32" s="21">
        <v>-0.38494625745219513</v>
      </c>
      <c r="G32" s="21">
        <v>-7.9073005870809787E-2</v>
      </c>
      <c r="H32" s="21">
        <v>0.79293848595481453</v>
      </c>
    </row>
    <row r="33" spans="1:8" ht="15" customHeight="1" x14ac:dyDescent="0.45">
      <c r="A33" s="18" t="s">
        <v>45</v>
      </c>
      <c r="B33" s="16">
        <v>-0.16289336344797076</v>
      </c>
      <c r="C33" s="21">
        <v>6.9466369559727792E-2</v>
      </c>
      <c r="D33" s="21">
        <v>-2.3449240903242199</v>
      </c>
      <c r="E33" s="22">
        <v>1.903095376081243E-2</v>
      </c>
      <c r="F33" s="21">
        <v>-0.29904744778503722</v>
      </c>
      <c r="G33" s="21">
        <v>-2.673927911090429E-2</v>
      </c>
      <c r="H33" s="21">
        <v>0.84968179072023009</v>
      </c>
    </row>
    <row r="34" spans="1:8" ht="15" customHeight="1" x14ac:dyDescent="0.45">
      <c r="A34" s="18" t="s">
        <v>46</v>
      </c>
      <c r="B34" s="16">
        <v>-0.2632614283406452</v>
      </c>
      <c r="C34" s="21">
        <v>0.11591269305707086</v>
      </c>
      <c r="D34" s="21">
        <v>-2.2712044850086057</v>
      </c>
      <c r="E34" s="22">
        <v>2.3134602053349163E-2</v>
      </c>
      <c r="F34" s="21">
        <v>-0.49045030673250412</v>
      </c>
      <c r="G34" s="21">
        <v>-3.6072549948786309E-2</v>
      </c>
      <c r="H34" s="21">
        <v>0.76854095266001965</v>
      </c>
    </row>
    <row r="35" spans="1:8" ht="15" customHeight="1" x14ac:dyDescent="0.45">
      <c r="A35" s="18" t="s">
        <v>48</v>
      </c>
      <c r="B35" s="16">
        <v>-0.16116044837206633</v>
      </c>
      <c r="C35" s="21">
        <v>3.4572106878549426E-2</v>
      </c>
      <c r="D35" s="21">
        <v>-4.6615743997962644</v>
      </c>
      <c r="E35" s="22">
        <v>3.1379958873589686E-6</v>
      </c>
      <c r="F35" s="21">
        <v>-0.22892177785402321</v>
      </c>
      <c r="G35" s="21">
        <v>-9.3399118890109462E-2</v>
      </c>
      <c r="H35" s="21">
        <v>0.85115549363729837</v>
      </c>
    </row>
    <row r="36" spans="1:8" ht="15" customHeight="1" x14ac:dyDescent="0.45">
      <c r="A36" s="18" t="s">
        <v>519</v>
      </c>
      <c r="B36" s="16">
        <v>0.16447554794618854</v>
      </c>
      <c r="C36" s="21">
        <v>3.5486876961925734E-2</v>
      </c>
      <c r="D36" s="21">
        <v>4.6348273510418005</v>
      </c>
      <c r="E36" s="22">
        <v>3.5723550633193213E-6</v>
      </c>
      <c r="F36" s="21">
        <v>9.492126910081411E-2</v>
      </c>
      <c r="G36" s="21">
        <v>0.23402982679156298</v>
      </c>
      <c r="H36" s="21">
        <v>1.1787747457356934</v>
      </c>
    </row>
    <row r="37" spans="1:8" ht="15" customHeight="1" x14ac:dyDescent="0.45">
      <c r="A37" s="18" t="s">
        <v>516</v>
      </c>
      <c r="B37" s="16">
        <v>-0.15129422067600173</v>
      </c>
      <c r="C37" s="21">
        <v>6.6795147729031931E-2</v>
      </c>
      <c r="D37" s="21">
        <v>-2.2650480733983467</v>
      </c>
      <c r="E37" s="22">
        <v>2.3509729617446018E-2</v>
      </c>
      <c r="F37" s="21">
        <v>-0.28221271022490435</v>
      </c>
      <c r="G37" s="21">
        <v>-2.0375731127099145E-2</v>
      </c>
      <c r="H37" s="21">
        <v>0.85959475090110238</v>
      </c>
    </row>
    <row r="38" spans="1:8" ht="15" customHeight="1" x14ac:dyDescent="0.45"/>
    <row r="39" spans="1:8" ht="15" customHeight="1" x14ac:dyDescent="0.45">
      <c r="A39" s="19"/>
      <c r="B39" s="23">
        <v>1</v>
      </c>
      <c r="C39" s="23">
        <v>0</v>
      </c>
      <c r="D39" s="38" t="s">
        <v>92</v>
      </c>
    </row>
    <row r="40" spans="1:8" ht="15" customHeight="1" thickBot="1" x14ac:dyDescent="0.5">
      <c r="A40" s="20" t="s">
        <v>93</v>
      </c>
      <c r="B40" s="17"/>
      <c r="C40" s="17"/>
      <c r="D40" s="17" t="s">
        <v>94</v>
      </c>
    </row>
    <row r="41" spans="1:8" ht="15" customHeight="1" thickTop="1" x14ac:dyDescent="0.45">
      <c r="A41" s="24">
        <v>1</v>
      </c>
      <c r="B41" s="21">
        <v>88</v>
      </c>
      <c r="C41" s="21">
        <v>149</v>
      </c>
      <c r="D41" s="25">
        <v>0.37130801687763715</v>
      </c>
    </row>
    <row r="42" spans="1:8" ht="15" customHeight="1" x14ac:dyDescent="0.45">
      <c r="A42" s="24">
        <v>0</v>
      </c>
      <c r="B42" s="21">
        <v>34</v>
      </c>
      <c r="C42" s="21">
        <v>1199</v>
      </c>
      <c r="D42" s="25">
        <v>0.97242497972424979</v>
      </c>
    </row>
    <row r="43" spans="1:8" ht="15" customHeight="1" x14ac:dyDescent="0.45"/>
    <row r="44" spans="1:8" ht="15" customHeight="1" x14ac:dyDescent="0.45">
      <c r="A44" s="19"/>
      <c r="B44" s="122" t="s">
        <v>92</v>
      </c>
    </row>
    <row r="45" spans="1:8" ht="15" customHeight="1" thickBot="1" x14ac:dyDescent="0.5">
      <c r="A45" s="20" t="s">
        <v>95</v>
      </c>
      <c r="B45" s="121"/>
    </row>
    <row r="46" spans="1:8" ht="15" customHeight="1" thickTop="1" x14ac:dyDescent="0.45">
      <c r="A46" s="18" t="s">
        <v>94</v>
      </c>
      <c r="B46" s="25">
        <v>0.8755102040816326</v>
      </c>
    </row>
    <row r="47" spans="1:8" ht="15" customHeight="1" x14ac:dyDescent="0.45">
      <c r="A47" s="18" t="s">
        <v>96</v>
      </c>
      <c r="B47" s="25">
        <v>0.83877551020408159</v>
      </c>
    </row>
    <row r="48" spans="1:8" ht="15" customHeight="1" x14ac:dyDescent="0.45">
      <c r="A48" s="18" t="s">
        <v>69</v>
      </c>
      <c r="B48" s="25">
        <v>0.22784810126582269</v>
      </c>
    </row>
  </sheetData>
  <mergeCells count="4">
    <mergeCell ref="B15:B16"/>
    <mergeCell ref="E15:E16"/>
    <mergeCell ref="H15:H16"/>
    <mergeCell ref="B44:B45"/>
  </mergeCells>
  <conditionalFormatting sqref="E17:E37">
    <cfRule type="cellIs" dxfId="2" priority="1" operator="lessThan">
      <formula>0.05</formula>
    </cfRule>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FB0A7-81BC-48CA-B590-55298ED3ED30}">
  <dimension ref="A1:T230"/>
  <sheetViews>
    <sheetView workbookViewId="0"/>
  </sheetViews>
  <sheetFormatPr defaultColWidth="30.59765625" defaultRowHeight="14.25" x14ac:dyDescent="0.45"/>
  <cols>
    <col min="1" max="1" width="30.59765625" style="5"/>
    <col min="2" max="16384" width="30.59765625" style="4"/>
  </cols>
  <sheetData>
    <row r="1" spans="1:20" x14ac:dyDescent="0.45">
      <c r="A1" s="5" t="s">
        <v>107</v>
      </c>
      <c r="B1" s="4" t="s">
        <v>598</v>
      </c>
      <c r="C1" s="4" t="s">
        <v>98</v>
      </c>
      <c r="D1" s="4">
        <v>7</v>
      </c>
      <c r="E1" s="4" t="s">
        <v>99</v>
      </c>
      <c r="F1" s="4">
        <v>6</v>
      </c>
      <c r="G1" s="4" t="s">
        <v>100</v>
      </c>
      <c r="H1" s="4">
        <v>0</v>
      </c>
      <c r="I1" s="4" t="s">
        <v>101</v>
      </c>
      <c r="J1" s="4">
        <v>1</v>
      </c>
      <c r="K1" s="4" t="s">
        <v>102</v>
      </c>
      <c r="L1" s="4">
        <v>0</v>
      </c>
      <c r="M1" s="4" t="s">
        <v>103</v>
      </c>
      <c r="N1" s="4">
        <v>0</v>
      </c>
      <c r="O1" s="4" t="s">
        <v>104</v>
      </c>
      <c r="P1" s="4">
        <v>1</v>
      </c>
      <c r="Q1" s="4" t="s">
        <v>105</v>
      </c>
      <c r="R1" s="4">
        <v>0</v>
      </c>
      <c r="S1" s="4" t="s">
        <v>106</v>
      </c>
      <c r="T1" s="4">
        <v>0</v>
      </c>
    </row>
    <row r="2" spans="1:20" x14ac:dyDescent="0.45">
      <c r="A2" s="5" t="s">
        <v>108</v>
      </c>
      <c r="B2" s="4" t="s">
        <v>109</v>
      </c>
    </row>
    <row r="3" spans="1:20" x14ac:dyDescent="0.45">
      <c r="A3" s="5" t="s">
        <v>110</v>
      </c>
      <c r="B3" s="4" t="b">
        <f>IF(B10&gt;256,"TripUpST110AndEarlier",TRUE)</f>
        <v>1</v>
      </c>
    </row>
    <row r="4" spans="1:20" x14ac:dyDescent="0.45">
      <c r="A4" s="5" t="s">
        <v>111</v>
      </c>
      <c r="B4" s="4" t="s">
        <v>112</v>
      </c>
    </row>
    <row r="5" spans="1:20" x14ac:dyDescent="0.45">
      <c r="A5" s="5" t="s">
        <v>113</v>
      </c>
      <c r="B5" s="4" t="b">
        <v>1</v>
      </c>
    </row>
    <row r="6" spans="1:20" x14ac:dyDescent="0.45">
      <c r="A6" s="5" t="s">
        <v>114</v>
      </c>
      <c r="B6" s="4" t="b">
        <v>0</v>
      </c>
    </row>
    <row r="7" spans="1:20" x14ac:dyDescent="0.45">
      <c r="A7" s="5" t="s">
        <v>115</v>
      </c>
      <c r="B7" s="4">
        <f>Data!$A$1:$BU$1471</f>
        <v>32</v>
      </c>
    </row>
    <row r="8" spans="1:20" x14ac:dyDescent="0.45">
      <c r="A8" s="5" t="s">
        <v>116</v>
      </c>
      <c r="B8" s="4">
        <v>2</v>
      </c>
    </row>
    <row r="9" spans="1:20" x14ac:dyDescent="0.45">
      <c r="A9" s="5" t="s">
        <v>117</v>
      </c>
      <c r="B9" s="15">
        <f>1</f>
        <v>1</v>
      </c>
    </row>
    <row r="10" spans="1:20" x14ac:dyDescent="0.45">
      <c r="A10" s="5" t="s">
        <v>118</v>
      </c>
      <c r="B10" s="4">
        <v>73</v>
      </c>
    </row>
    <row r="12" spans="1:20" x14ac:dyDescent="0.45">
      <c r="A12" s="5" t="s">
        <v>119</v>
      </c>
      <c r="B12" s="4" t="s">
        <v>456</v>
      </c>
      <c r="C12" s="4" t="s">
        <v>120</v>
      </c>
      <c r="D12" s="4" t="s">
        <v>121</v>
      </c>
      <c r="E12" s="4" t="b">
        <v>1</v>
      </c>
      <c r="F12" s="4">
        <v>1</v>
      </c>
      <c r="G12" s="4">
        <v>3</v>
      </c>
      <c r="H12" s="4">
        <v>0</v>
      </c>
    </row>
    <row r="13" spans="1:20" x14ac:dyDescent="0.45">
      <c r="A13" s="5" t="s">
        <v>122</v>
      </c>
      <c r="B13" s="4">
        <f>Data!$A$1:$A$1471</f>
        <v>29</v>
      </c>
    </row>
    <row r="14" spans="1:20" x14ac:dyDescent="0.45">
      <c r="A14" s="5" t="s">
        <v>123</v>
      </c>
    </row>
    <row r="15" spans="1:20" x14ac:dyDescent="0.45">
      <c r="A15" s="5" t="s">
        <v>124</v>
      </c>
      <c r="B15" s="4" t="s">
        <v>457</v>
      </c>
      <c r="C15" s="4" t="s">
        <v>125</v>
      </c>
      <c r="D15" s="4" t="s">
        <v>399</v>
      </c>
      <c r="E15" s="4" t="b">
        <v>1</v>
      </c>
      <c r="F15" s="4">
        <v>1</v>
      </c>
      <c r="G15" s="4">
        <v>3</v>
      </c>
      <c r="H15" s="4">
        <v>0</v>
      </c>
    </row>
    <row r="16" spans="1:20" x14ac:dyDescent="0.45">
      <c r="A16" s="5" t="s">
        <v>127</v>
      </c>
      <c r="B16" s="4">
        <f>Data!$B$1:$B$1471</f>
        <v>28</v>
      </c>
    </row>
    <row r="17" spans="1:8" x14ac:dyDescent="0.45">
      <c r="A17" s="5" t="s">
        <v>128</v>
      </c>
    </row>
    <row r="18" spans="1:8" x14ac:dyDescent="0.45">
      <c r="A18" s="5" t="s">
        <v>129</v>
      </c>
      <c r="B18" s="4" t="s">
        <v>458</v>
      </c>
      <c r="C18" s="4" t="s">
        <v>130</v>
      </c>
      <c r="D18" s="4" t="s">
        <v>126</v>
      </c>
      <c r="E18" s="4" t="b">
        <v>1</v>
      </c>
      <c r="F18" s="4">
        <v>1</v>
      </c>
      <c r="G18" s="4">
        <v>2</v>
      </c>
      <c r="H18" s="4">
        <v>1</v>
      </c>
    </row>
    <row r="19" spans="1:8" x14ac:dyDescent="0.45">
      <c r="A19" s="5" t="s">
        <v>132</v>
      </c>
      <c r="B19" s="4" t="str">
        <f>Data!$C$1:$C$1471</f>
        <v>No</v>
      </c>
    </row>
    <row r="20" spans="1:8" x14ac:dyDescent="0.45">
      <c r="A20" s="5" t="s">
        <v>133</v>
      </c>
    </row>
    <row r="21" spans="1:8" x14ac:dyDescent="0.45">
      <c r="A21" s="5" t="s">
        <v>134</v>
      </c>
      <c r="B21" s="4" t="s">
        <v>459</v>
      </c>
      <c r="C21" s="4" t="s">
        <v>135</v>
      </c>
      <c r="D21" s="4" t="s">
        <v>131</v>
      </c>
      <c r="E21" s="4" t="b">
        <v>1</v>
      </c>
      <c r="F21" s="4">
        <v>1</v>
      </c>
      <c r="G21" s="4">
        <v>4</v>
      </c>
      <c r="H21" s="4">
        <v>0</v>
      </c>
    </row>
    <row r="22" spans="1:8" x14ac:dyDescent="0.45">
      <c r="A22" s="5" t="s">
        <v>137</v>
      </c>
      <c r="B22" s="4">
        <f>Data!$D$1:$D$1471</f>
        <v>0</v>
      </c>
    </row>
    <row r="23" spans="1:8" x14ac:dyDescent="0.45">
      <c r="A23" s="5" t="s">
        <v>138</v>
      </c>
    </row>
    <row r="24" spans="1:8" x14ac:dyDescent="0.45">
      <c r="A24" s="5" t="s">
        <v>139</v>
      </c>
      <c r="B24" s="4" t="s">
        <v>460</v>
      </c>
      <c r="C24" s="4" t="s">
        <v>140</v>
      </c>
      <c r="D24" s="4" t="s">
        <v>136</v>
      </c>
      <c r="E24" s="4" t="b">
        <v>1</v>
      </c>
      <c r="F24" s="4">
        <v>1</v>
      </c>
      <c r="G24" s="4">
        <v>2</v>
      </c>
      <c r="H24" s="4">
        <v>1</v>
      </c>
    </row>
    <row r="25" spans="1:8" x14ac:dyDescent="0.45">
      <c r="A25" s="5" t="s">
        <v>142</v>
      </c>
      <c r="B25" s="4" t="str">
        <f>Data!$E$1:$E$1471</f>
        <v>Travel_Rarely</v>
      </c>
    </row>
    <row r="26" spans="1:8" x14ac:dyDescent="0.45">
      <c r="A26" s="5" t="s">
        <v>143</v>
      </c>
    </row>
    <row r="27" spans="1:8" x14ac:dyDescent="0.45">
      <c r="A27" s="5" t="s">
        <v>144</v>
      </c>
      <c r="B27" s="4" t="s">
        <v>461</v>
      </c>
      <c r="C27" s="4" t="s">
        <v>145</v>
      </c>
      <c r="D27" s="4" t="s">
        <v>141</v>
      </c>
      <c r="E27" s="4" t="b">
        <v>1</v>
      </c>
      <c r="F27" s="4">
        <v>1</v>
      </c>
      <c r="G27" s="4">
        <v>4</v>
      </c>
      <c r="H27" s="4">
        <v>0</v>
      </c>
    </row>
    <row r="28" spans="1:8" x14ac:dyDescent="0.45">
      <c r="A28" s="5" t="s">
        <v>147</v>
      </c>
      <c r="B28" s="4">
        <f>Data!$F$1:$F$1471</f>
        <v>1</v>
      </c>
    </row>
    <row r="29" spans="1:8" x14ac:dyDescent="0.45">
      <c r="A29" s="5" t="s">
        <v>148</v>
      </c>
    </row>
    <row r="30" spans="1:8" x14ac:dyDescent="0.45">
      <c r="A30" s="5" t="s">
        <v>149</v>
      </c>
      <c r="B30" s="4" t="s">
        <v>462</v>
      </c>
      <c r="C30" s="4" t="s">
        <v>150</v>
      </c>
      <c r="D30" s="4" t="s">
        <v>146</v>
      </c>
      <c r="E30" s="4" t="b">
        <v>1</v>
      </c>
      <c r="F30" s="4">
        <v>1</v>
      </c>
      <c r="G30" s="4">
        <v>4</v>
      </c>
      <c r="H30" s="4">
        <v>0</v>
      </c>
    </row>
    <row r="31" spans="1:8" x14ac:dyDescent="0.45">
      <c r="A31" s="5" t="s">
        <v>151</v>
      </c>
      <c r="B31" s="4">
        <f>Data!$G$1:$G$1471</f>
        <v>1</v>
      </c>
    </row>
    <row r="32" spans="1:8" x14ac:dyDescent="0.45">
      <c r="A32" s="5" t="s">
        <v>152</v>
      </c>
    </row>
    <row r="33" spans="1:8" x14ac:dyDescent="0.45">
      <c r="A33" s="5" t="s">
        <v>153</v>
      </c>
      <c r="B33" s="4" t="s">
        <v>463</v>
      </c>
      <c r="C33" s="4" t="s">
        <v>154</v>
      </c>
      <c r="D33" s="4" t="s">
        <v>155</v>
      </c>
      <c r="E33" s="4" t="b">
        <v>1</v>
      </c>
      <c r="F33" s="4">
        <v>1</v>
      </c>
      <c r="G33" s="4">
        <v>2</v>
      </c>
      <c r="H33" s="4">
        <v>1</v>
      </c>
    </row>
    <row r="34" spans="1:8" x14ac:dyDescent="0.45">
      <c r="A34" s="5" t="s">
        <v>156</v>
      </c>
      <c r="B34" s="4" t="str">
        <f>Data!$H$1:$H$1471</f>
        <v>Research &amp; Development</v>
      </c>
    </row>
    <row r="35" spans="1:8" x14ac:dyDescent="0.45">
      <c r="A35" s="5" t="s">
        <v>157</v>
      </c>
    </row>
    <row r="36" spans="1:8" x14ac:dyDescent="0.45">
      <c r="A36" s="5" t="s">
        <v>158</v>
      </c>
      <c r="B36" s="4" t="s">
        <v>464</v>
      </c>
      <c r="C36" s="4" t="s">
        <v>159</v>
      </c>
      <c r="D36" s="4" t="s">
        <v>160</v>
      </c>
      <c r="E36" s="4" t="b">
        <v>1</v>
      </c>
      <c r="F36" s="4">
        <v>1</v>
      </c>
      <c r="G36" s="4">
        <v>4</v>
      </c>
      <c r="H36" s="4">
        <v>0</v>
      </c>
    </row>
    <row r="37" spans="1:8" x14ac:dyDescent="0.45">
      <c r="A37" s="5" t="s">
        <v>161</v>
      </c>
      <c r="B37" s="4">
        <f>Data!$I$1:$I$1471</f>
        <v>1</v>
      </c>
    </row>
    <row r="38" spans="1:8" x14ac:dyDescent="0.45">
      <c r="A38" s="5" t="s">
        <v>162</v>
      </c>
    </row>
    <row r="39" spans="1:8" x14ac:dyDescent="0.45">
      <c r="A39" s="5" t="s">
        <v>163</v>
      </c>
      <c r="B39" s="4" t="s">
        <v>465</v>
      </c>
      <c r="C39" s="4" t="s">
        <v>164</v>
      </c>
      <c r="D39" s="4" t="s">
        <v>165</v>
      </c>
      <c r="E39" s="4" t="b">
        <v>1</v>
      </c>
      <c r="F39" s="4">
        <v>1</v>
      </c>
      <c r="G39" s="4">
        <v>4</v>
      </c>
      <c r="H39" s="4">
        <v>0</v>
      </c>
    </row>
    <row r="40" spans="1:8" x14ac:dyDescent="0.45">
      <c r="A40" s="5" t="s">
        <v>166</v>
      </c>
      <c r="B40" s="4">
        <f>Data!$J$1:$J$1471</f>
        <v>0</v>
      </c>
    </row>
    <row r="41" spans="1:8" x14ac:dyDescent="0.45">
      <c r="A41" s="5" t="s">
        <v>167</v>
      </c>
    </row>
    <row r="42" spans="1:8" x14ac:dyDescent="0.45">
      <c r="A42" s="5" t="s">
        <v>168</v>
      </c>
      <c r="B42" s="4" t="s">
        <v>466</v>
      </c>
      <c r="C42" s="4" t="s">
        <v>169</v>
      </c>
      <c r="D42" s="4" t="s">
        <v>170</v>
      </c>
      <c r="E42" s="4" t="b">
        <v>1</v>
      </c>
      <c r="F42" s="4">
        <v>1</v>
      </c>
      <c r="G42" s="4">
        <v>3</v>
      </c>
      <c r="H42" s="4">
        <v>0</v>
      </c>
    </row>
    <row r="43" spans="1:8" x14ac:dyDescent="0.45">
      <c r="A43" s="5" t="s">
        <v>171</v>
      </c>
      <c r="B43" s="4">
        <f>Data!$K$1:$K$1471</f>
        <v>2</v>
      </c>
    </row>
    <row r="44" spans="1:8" x14ac:dyDescent="0.45">
      <c r="A44" s="5" t="s">
        <v>172</v>
      </c>
    </row>
    <row r="45" spans="1:8" x14ac:dyDescent="0.45">
      <c r="A45" s="5" t="s">
        <v>173</v>
      </c>
      <c r="B45" s="4" t="s">
        <v>467</v>
      </c>
      <c r="C45" s="4" t="s">
        <v>174</v>
      </c>
      <c r="D45" s="4" t="s">
        <v>400</v>
      </c>
      <c r="E45" s="4" t="b">
        <v>1</v>
      </c>
      <c r="F45" s="4">
        <v>1</v>
      </c>
      <c r="G45" s="4">
        <v>3</v>
      </c>
      <c r="H45" s="4">
        <v>0</v>
      </c>
    </row>
    <row r="46" spans="1:8" x14ac:dyDescent="0.45">
      <c r="A46" s="5" t="s">
        <v>176</v>
      </c>
      <c r="B46" s="4">
        <f>Data!$L$1:$L$1471</f>
        <v>1</v>
      </c>
    </row>
    <row r="47" spans="1:8" x14ac:dyDescent="0.45">
      <c r="A47" s="5" t="s">
        <v>177</v>
      </c>
    </row>
    <row r="48" spans="1:8" x14ac:dyDescent="0.45">
      <c r="A48" s="5" t="s">
        <v>178</v>
      </c>
      <c r="B48" s="4" t="s">
        <v>468</v>
      </c>
      <c r="C48" s="4" t="s">
        <v>179</v>
      </c>
      <c r="D48" s="4" t="s">
        <v>175</v>
      </c>
      <c r="E48" s="4" t="b">
        <v>1</v>
      </c>
      <c r="F48" s="4">
        <v>1</v>
      </c>
      <c r="G48" s="4">
        <v>3</v>
      </c>
      <c r="H48" s="4">
        <v>0</v>
      </c>
    </row>
    <row r="49" spans="1:8" x14ac:dyDescent="0.45">
      <c r="A49" s="5" t="s">
        <v>181</v>
      </c>
      <c r="B49" s="4">
        <f>Data!$M$1:$M$1471</f>
        <v>2</v>
      </c>
    </row>
    <row r="50" spans="1:8" x14ac:dyDescent="0.45">
      <c r="A50" s="5" t="s">
        <v>182</v>
      </c>
    </row>
    <row r="51" spans="1:8" x14ac:dyDescent="0.45">
      <c r="A51" s="5" t="s">
        <v>183</v>
      </c>
      <c r="B51" s="4" t="s">
        <v>469</v>
      </c>
      <c r="C51" s="4" t="s">
        <v>184</v>
      </c>
      <c r="D51" s="4" t="s">
        <v>180</v>
      </c>
      <c r="E51" s="4" t="b">
        <v>1</v>
      </c>
      <c r="F51" s="4">
        <v>1</v>
      </c>
      <c r="G51" s="4">
        <v>2</v>
      </c>
      <c r="H51" s="4">
        <v>1</v>
      </c>
    </row>
    <row r="52" spans="1:8" x14ac:dyDescent="0.45">
      <c r="A52" s="5" t="s">
        <v>186</v>
      </c>
      <c r="B52" s="4" t="str">
        <f>Data!$N$1:$N$1471</f>
        <v>Life Sciences</v>
      </c>
    </row>
    <row r="53" spans="1:8" x14ac:dyDescent="0.45">
      <c r="A53" s="5" t="s">
        <v>187</v>
      </c>
    </row>
    <row r="54" spans="1:8" x14ac:dyDescent="0.45">
      <c r="A54" s="5" t="s">
        <v>188</v>
      </c>
      <c r="B54" s="4" t="s">
        <v>470</v>
      </c>
      <c r="C54" s="4" t="s">
        <v>189</v>
      </c>
      <c r="D54" s="4" t="s">
        <v>185</v>
      </c>
      <c r="E54" s="4" t="b">
        <v>1</v>
      </c>
      <c r="F54" s="4">
        <v>1</v>
      </c>
      <c r="G54" s="4">
        <v>4</v>
      </c>
      <c r="H54" s="4">
        <v>0</v>
      </c>
    </row>
    <row r="55" spans="1:8" x14ac:dyDescent="0.45">
      <c r="A55" s="5" t="s">
        <v>191</v>
      </c>
      <c r="B55" s="4">
        <f>Data!$O$1:$O$1471</f>
        <v>0</v>
      </c>
    </row>
    <row r="56" spans="1:8" x14ac:dyDescent="0.45">
      <c r="A56" s="5" t="s">
        <v>192</v>
      </c>
    </row>
    <row r="57" spans="1:8" x14ac:dyDescent="0.45">
      <c r="A57" s="5" t="s">
        <v>193</v>
      </c>
      <c r="B57" s="4" t="s">
        <v>471</v>
      </c>
      <c r="C57" s="4" t="s">
        <v>194</v>
      </c>
      <c r="D57" s="4" t="s">
        <v>190</v>
      </c>
      <c r="E57" s="4" t="b">
        <v>1</v>
      </c>
      <c r="F57" s="4">
        <v>1</v>
      </c>
      <c r="G57" s="4">
        <v>4</v>
      </c>
      <c r="H57" s="4">
        <v>0</v>
      </c>
    </row>
    <row r="58" spans="1:8" x14ac:dyDescent="0.45">
      <c r="A58" s="5" t="s">
        <v>196</v>
      </c>
      <c r="B58" s="4">
        <f>Data!$P$1:$P$1471</f>
        <v>0</v>
      </c>
    </row>
    <row r="59" spans="1:8" x14ac:dyDescent="0.45">
      <c r="A59" s="5" t="s">
        <v>197</v>
      </c>
    </row>
    <row r="60" spans="1:8" x14ac:dyDescent="0.45">
      <c r="A60" s="5" t="s">
        <v>198</v>
      </c>
      <c r="B60" s="4" t="s">
        <v>472</v>
      </c>
      <c r="C60" s="4" t="s">
        <v>199</v>
      </c>
      <c r="D60" s="4" t="s">
        <v>195</v>
      </c>
      <c r="E60" s="4" t="b">
        <v>1</v>
      </c>
      <c r="F60" s="4">
        <v>1</v>
      </c>
      <c r="G60" s="4">
        <v>4</v>
      </c>
      <c r="H60" s="4">
        <v>0</v>
      </c>
    </row>
    <row r="61" spans="1:8" x14ac:dyDescent="0.45">
      <c r="A61" s="5" t="s">
        <v>201</v>
      </c>
      <c r="B61" s="4">
        <f>Data!$Q$1:$Q$1471</f>
        <v>0</v>
      </c>
    </row>
    <row r="62" spans="1:8" x14ac:dyDescent="0.45">
      <c r="A62" s="5" t="s">
        <v>202</v>
      </c>
    </row>
    <row r="63" spans="1:8" x14ac:dyDescent="0.45">
      <c r="A63" s="5" t="s">
        <v>203</v>
      </c>
      <c r="B63" s="4" t="s">
        <v>473</v>
      </c>
      <c r="C63" s="4" t="s">
        <v>204</v>
      </c>
      <c r="D63" s="4" t="s">
        <v>200</v>
      </c>
      <c r="E63" s="4" t="b">
        <v>1</v>
      </c>
      <c r="F63" s="4">
        <v>1</v>
      </c>
      <c r="G63" s="4">
        <v>4</v>
      </c>
      <c r="H63" s="4">
        <v>0</v>
      </c>
    </row>
    <row r="64" spans="1:8" x14ac:dyDescent="0.45">
      <c r="A64" s="5" t="s">
        <v>206</v>
      </c>
      <c r="B64" s="4">
        <f>Data!$R$1:$R$1471</f>
        <v>0</v>
      </c>
    </row>
    <row r="65" spans="1:8" x14ac:dyDescent="0.45">
      <c r="A65" s="5" t="s">
        <v>207</v>
      </c>
    </row>
    <row r="66" spans="1:8" x14ac:dyDescent="0.45">
      <c r="A66" s="5" t="s">
        <v>208</v>
      </c>
      <c r="B66" s="4" t="s">
        <v>474</v>
      </c>
      <c r="C66" s="4" t="s">
        <v>209</v>
      </c>
      <c r="D66" s="4" t="s">
        <v>205</v>
      </c>
      <c r="E66" s="4" t="b">
        <v>1</v>
      </c>
      <c r="F66" s="4">
        <v>1</v>
      </c>
      <c r="G66" s="4">
        <v>4</v>
      </c>
      <c r="H66" s="4">
        <v>0</v>
      </c>
    </row>
    <row r="67" spans="1:8" x14ac:dyDescent="0.45">
      <c r="A67" s="5" t="s">
        <v>211</v>
      </c>
      <c r="B67" s="4">
        <f>Data!$S$1:$S$1471</f>
        <v>0</v>
      </c>
    </row>
    <row r="68" spans="1:8" x14ac:dyDescent="0.45">
      <c r="A68" s="5" t="s">
        <v>212</v>
      </c>
    </row>
    <row r="69" spans="1:8" x14ac:dyDescent="0.45">
      <c r="A69" s="5" t="s">
        <v>213</v>
      </c>
      <c r="B69" s="4" t="s">
        <v>475</v>
      </c>
      <c r="C69" s="4" t="s">
        <v>214</v>
      </c>
      <c r="D69" s="4" t="s">
        <v>210</v>
      </c>
      <c r="E69" s="4" t="b">
        <v>1</v>
      </c>
      <c r="F69" s="4">
        <v>1</v>
      </c>
      <c r="G69" s="4">
        <v>3</v>
      </c>
      <c r="H69" s="4">
        <v>0</v>
      </c>
    </row>
    <row r="70" spans="1:8" x14ac:dyDescent="0.45">
      <c r="A70" s="5" t="s">
        <v>216</v>
      </c>
      <c r="B70" s="4">
        <f>Data!$T$1:$T$1471</f>
        <v>2</v>
      </c>
    </row>
    <row r="71" spans="1:8" x14ac:dyDescent="0.45">
      <c r="A71" s="5" t="s">
        <v>217</v>
      </c>
    </row>
    <row r="72" spans="1:8" x14ac:dyDescent="0.45">
      <c r="A72" s="5" t="s">
        <v>218</v>
      </c>
      <c r="B72" s="4" t="s">
        <v>476</v>
      </c>
      <c r="C72" s="4" t="s">
        <v>219</v>
      </c>
      <c r="D72" s="4" t="s">
        <v>215</v>
      </c>
      <c r="E72" s="4" t="b">
        <v>1</v>
      </c>
      <c r="F72" s="4">
        <v>1</v>
      </c>
      <c r="G72" s="4">
        <v>2</v>
      </c>
      <c r="H72" s="4">
        <v>1</v>
      </c>
    </row>
    <row r="73" spans="1:8" x14ac:dyDescent="0.45">
      <c r="A73" s="5" t="s">
        <v>221</v>
      </c>
      <c r="B73" s="4" t="str">
        <f>Data!$U$1:$U$1471</f>
        <v>Male</v>
      </c>
    </row>
    <row r="74" spans="1:8" x14ac:dyDescent="0.45">
      <c r="A74" s="5" t="s">
        <v>222</v>
      </c>
    </row>
    <row r="75" spans="1:8" x14ac:dyDescent="0.45">
      <c r="A75" s="5" t="s">
        <v>223</v>
      </c>
      <c r="B75" s="4" t="s">
        <v>477</v>
      </c>
      <c r="C75" s="4" t="s">
        <v>224</v>
      </c>
      <c r="D75" s="4" t="s">
        <v>220</v>
      </c>
      <c r="E75" s="4" t="b">
        <v>1</v>
      </c>
      <c r="F75" s="4">
        <v>1</v>
      </c>
      <c r="G75" s="4">
        <v>4</v>
      </c>
      <c r="H75" s="4">
        <v>0</v>
      </c>
    </row>
    <row r="76" spans="1:8" x14ac:dyDescent="0.45">
      <c r="A76" s="5" t="s">
        <v>226</v>
      </c>
      <c r="B76" s="4">
        <f>Data!$V$1:$V$1471</f>
        <v>1</v>
      </c>
    </row>
    <row r="77" spans="1:8" x14ac:dyDescent="0.45">
      <c r="A77" s="5" t="s">
        <v>227</v>
      </c>
    </row>
    <row r="78" spans="1:8" x14ac:dyDescent="0.45">
      <c r="A78" s="5" t="s">
        <v>228</v>
      </c>
      <c r="B78" s="4" t="s">
        <v>478</v>
      </c>
      <c r="C78" s="4" t="s">
        <v>229</v>
      </c>
      <c r="D78" s="4" t="s">
        <v>225</v>
      </c>
      <c r="E78" s="4" t="b">
        <v>1</v>
      </c>
      <c r="F78" s="4">
        <v>1</v>
      </c>
      <c r="G78" s="4">
        <v>2</v>
      </c>
      <c r="H78" s="4">
        <v>0</v>
      </c>
    </row>
    <row r="79" spans="1:8" x14ac:dyDescent="0.45">
      <c r="A79" s="5" t="s">
        <v>231</v>
      </c>
      <c r="B79" s="4">
        <f>Data!$W$1:$W$1471</f>
        <v>52</v>
      </c>
    </row>
    <row r="80" spans="1:8" x14ac:dyDescent="0.45">
      <c r="A80" s="5" t="s">
        <v>232</v>
      </c>
    </row>
    <row r="81" spans="1:8" x14ac:dyDescent="0.45">
      <c r="A81" s="5" t="s">
        <v>233</v>
      </c>
      <c r="B81" s="4" t="s">
        <v>479</v>
      </c>
      <c r="C81" s="4" t="s">
        <v>234</v>
      </c>
      <c r="D81" s="4" t="s">
        <v>230</v>
      </c>
      <c r="E81" s="4" t="b">
        <v>1</v>
      </c>
      <c r="F81" s="4">
        <v>1</v>
      </c>
      <c r="G81" s="4">
        <v>4</v>
      </c>
      <c r="H81" s="4">
        <v>0</v>
      </c>
    </row>
    <row r="82" spans="1:8" x14ac:dyDescent="0.45">
      <c r="A82" s="5" t="s">
        <v>236</v>
      </c>
      <c r="B82" s="4">
        <f>Data!$X$1:$X$1471</f>
        <v>2</v>
      </c>
    </row>
    <row r="83" spans="1:8" x14ac:dyDescent="0.45">
      <c r="A83" s="5" t="s">
        <v>237</v>
      </c>
    </row>
    <row r="84" spans="1:8" x14ac:dyDescent="0.45">
      <c r="A84" s="5" t="s">
        <v>238</v>
      </c>
      <c r="B84" s="4" t="s">
        <v>480</v>
      </c>
      <c r="C84" s="4" t="s">
        <v>239</v>
      </c>
      <c r="D84" s="4" t="s">
        <v>235</v>
      </c>
      <c r="E84" s="4" t="b">
        <v>1</v>
      </c>
      <c r="F84" s="4">
        <v>1</v>
      </c>
      <c r="G84" s="4">
        <v>3</v>
      </c>
      <c r="H84" s="4">
        <v>0</v>
      </c>
    </row>
    <row r="85" spans="1:8" x14ac:dyDescent="0.45">
      <c r="A85" s="5" t="s">
        <v>241</v>
      </c>
      <c r="B85" s="4">
        <f>Data!$Y$1:$Y$1471</f>
        <v>2</v>
      </c>
    </row>
    <row r="86" spans="1:8" x14ac:dyDescent="0.45">
      <c r="A86" s="5" t="s">
        <v>242</v>
      </c>
    </row>
    <row r="87" spans="1:8" x14ac:dyDescent="0.45">
      <c r="A87" s="5" t="s">
        <v>243</v>
      </c>
      <c r="B87" s="4" t="s">
        <v>481</v>
      </c>
      <c r="C87" s="4" t="s">
        <v>244</v>
      </c>
      <c r="D87" s="4" t="s">
        <v>240</v>
      </c>
      <c r="E87" s="4" t="b">
        <v>1</v>
      </c>
      <c r="F87" s="4">
        <v>1</v>
      </c>
      <c r="G87" s="4">
        <v>2</v>
      </c>
      <c r="H87" s="4">
        <v>1</v>
      </c>
    </row>
    <row r="88" spans="1:8" x14ac:dyDescent="0.45">
      <c r="A88" s="5" t="s">
        <v>246</v>
      </c>
      <c r="B88" s="4" t="str">
        <f>Data!$Z$1:$Z$1471</f>
        <v>Sales Representative</v>
      </c>
    </row>
    <row r="89" spans="1:8" x14ac:dyDescent="0.45">
      <c r="A89" s="5" t="s">
        <v>247</v>
      </c>
    </row>
    <row r="90" spans="1:8" x14ac:dyDescent="0.45">
      <c r="A90" s="5" t="s">
        <v>248</v>
      </c>
      <c r="B90" s="4" t="s">
        <v>482</v>
      </c>
      <c r="C90" s="4" t="s">
        <v>249</v>
      </c>
      <c r="D90" s="4" t="s">
        <v>245</v>
      </c>
      <c r="E90" s="4" t="b">
        <v>1</v>
      </c>
      <c r="F90" s="4">
        <v>1</v>
      </c>
      <c r="G90" s="4">
        <v>4</v>
      </c>
      <c r="H90" s="4">
        <v>0</v>
      </c>
    </row>
    <row r="91" spans="1:8" x14ac:dyDescent="0.45">
      <c r="A91" s="5" t="s">
        <v>251</v>
      </c>
      <c r="B91" s="4">
        <f>Data!$AA$1:$AA$1471</f>
        <v>0</v>
      </c>
    </row>
    <row r="92" spans="1:8" x14ac:dyDescent="0.45">
      <c r="A92" s="5" t="s">
        <v>252</v>
      </c>
    </row>
    <row r="93" spans="1:8" x14ac:dyDescent="0.45">
      <c r="A93" s="5" t="s">
        <v>253</v>
      </c>
      <c r="B93" s="4" t="s">
        <v>483</v>
      </c>
      <c r="C93" s="4" t="s">
        <v>254</v>
      </c>
      <c r="D93" s="4" t="s">
        <v>250</v>
      </c>
      <c r="E93" s="4" t="b">
        <v>1</v>
      </c>
      <c r="F93" s="4">
        <v>1</v>
      </c>
      <c r="G93" s="4">
        <v>4</v>
      </c>
      <c r="H93" s="4">
        <v>0</v>
      </c>
    </row>
    <row r="94" spans="1:8" x14ac:dyDescent="0.45">
      <c r="A94" s="5" t="s">
        <v>256</v>
      </c>
      <c r="B94" s="4">
        <f>Data!$AB$1:$AB$1471</f>
        <v>1</v>
      </c>
    </row>
    <row r="95" spans="1:8" x14ac:dyDescent="0.45">
      <c r="A95" s="5" t="s">
        <v>257</v>
      </c>
    </row>
    <row r="96" spans="1:8" x14ac:dyDescent="0.45">
      <c r="A96" s="5" t="s">
        <v>258</v>
      </c>
      <c r="B96" s="4" t="s">
        <v>484</v>
      </c>
      <c r="C96" s="4" t="s">
        <v>259</v>
      </c>
      <c r="D96" s="4" t="s">
        <v>255</v>
      </c>
      <c r="E96" s="4" t="b">
        <v>1</v>
      </c>
      <c r="F96" s="4">
        <v>1</v>
      </c>
      <c r="G96" s="4">
        <v>4</v>
      </c>
      <c r="H96" s="4">
        <v>0</v>
      </c>
    </row>
    <row r="97" spans="1:8" x14ac:dyDescent="0.45">
      <c r="A97" s="5" t="s">
        <v>261</v>
      </c>
      <c r="B97" s="4">
        <f>Data!$AC$1:$AC$1471</f>
        <v>0</v>
      </c>
    </row>
    <row r="98" spans="1:8" x14ac:dyDescent="0.45">
      <c r="A98" s="5" t="s">
        <v>262</v>
      </c>
    </row>
    <row r="99" spans="1:8" x14ac:dyDescent="0.45">
      <c r="A99" s="5" t="s">
        <v>263</v>
      </c>
      <c r="B99" s="4" t="s">
        <v>485</v>
      </c>
      <c r="C99" s="4" t="s">
        <v>264</v>
      </c>
      <c r="D99" s="4" t="s">
        <v>260</v>
      </c>
      <c r="E99" s="4" t="b">
        <v>1</v>
      </c>
      <c r="F99" s="4">
        <v>1</v>
      </c>
      <c r="G99" s="4">
        <v>4</v>
      </c>
      <c r="H99" s="4">
        <v>0</v>
      </c>
    </row>
    <row r="100" spans="1:8" x14ac:dyDescent="0.45">
      <c r="A100" s="5" t="s">
        <v>266</v>
      </c>
      <c r="B100" s="4">
        <f>Data!$AD$1:$AD$1471</f>
        <v>0</v>
      </c>
    </row>
    <row r="101" spans="1:8" x14ac:dyDescent="0.45">
      <c r="A101" s="5" t="s">
        <v>267</v>
      </c>
    </row>
    <row r="102" spans="1:8" x14ac:dyDescent="0.45">
      <c r="A102" s="5" t="s">
        <v>268</v>
      </c>
      <c r="B102" s="4" t="s">
        <v>486</v>
      </c>
      <c r="C102" s="4" t="s">
        <v>269</v>
      </c>
      <c r="D102" s="4" t="s">
        <v>265</v>
      </c>
      <c r="E102" s="4" t="b">
        <v>1</v>
      </c>
      <c r="F102" s="4">
        <v>1</v>
      </c>
      <c r="G102" s="4">
        <v>4</v>
      </c>
      <c r="H102" s="4">
        <v>0</v>
      </c>
    </row>
    <row r="103" spans="1:8" x14ac:dyDescent="0.45">
      <c r="A103" s="5" t="s">
        <v>271</v>
      </c>
      <c r="B103" s="4">
        <f>Data!$AE$1:$AE$1471</f>
        <v>0</v>
      </c>
    </row>
    <row r="104" spans="1:8" x14ac:dyDescent="0.45">
      <c r="A104" s="5" t="s">
        <v>272</v>
      </c>
    </row>
    <row r="105" spans="1:8" x14ac:dyDescent="0.45">
      <c r="A105" s="5" t="s">
        <v>273</v>
      </c>
      <c r="B105" s="4" t="s">
        <v>487</v>
      </c>
      <c r="C105" s="4" t="s">
        <v>274</v>
      </c>
      <c r="D105" s="4" t="s">
        <v>270</v>
      </c>
      <c r="E105" s="4" t="b">
        <v>1</v>
      </c>
      <c r="F105" s="4">
        <v>1</v>
      </c>
      <c r="G105" s="4">
        <v>4</v>
      </c>
      <c r="H105" s="4">
        <v>0</v>
      </c>
    </row>
    <row r="106" spans="1:8" x14ac:dyDescent="0.45">
      <c r="A106" s="5" t="s">
        <v>276</v>
      </c>
      <c r="B106" s="4">
        <f>Data!$AF$1:$AF$1471</f>
        <v>0</v>
      </c>
    </row>
    <row r="107" spans="1:8" x14ac:dyDescent="0.45">
      <c r="A107" s="5" t="s">
        <v>277</v>
      </c>
    </row>
    <row r="108" spans="1:8" x14ac:dyDescent="0.45">
      <c r="A108" s="5" t="s">
        <v>278</v>
      </c>
      <c r="B108" s="4" t="s">
        <v>488</v>
      </c>
      <c r="C108" s="4" t="s">
        <v>279</v>
      </c>
      <c r="D108" s="4" t="s">
        <v>275</v>
      </c>
      <c r="E108" s="4" t="b">
        <v>1</v>
      </c>
      <c r="F108" s="4">
        <v>1</v>
      </c>
      <c r="G108" s="4">
        <v>4</v>
      </c>
      <c r="H108" s="4">
        <v>0</v>
      </c>
    </row>
    <row r="109" spans="1:8" x14ac:dyDescent="0.45">
      <c r="A109" s="5" t="s">
        <v>281</v>
      </c>
      <c r="B109" s="4">
        <f>Data!$AG$1:$AG$1471</f>
        <v>0</v>
      </c>
    </row>
    <row r="110" spans="1:8" x14ac:dyDescent="0.45">
      <c r="A110" s="5" t="s">
        <v>282</v>
      </c>
    </row>
    <row r="111" spans="1:8" x14ac:dyDescent="0.45">
      <c r="A111" s="5" t="s">
        <v>283</v>
      </c>
      <c r="B111" s="4" t="s">
        <v>489</v>
      </c>
      <c r="C111" s="4" t="s">
        <v>284</v>
      </c>
      <c r="D111" s="4" t="s">
        <v>280</v>
      </c>
      <c r="E111" s="4" t="b">
        <v>1</v>
      </c>
      <c r="F111" s="4">
        <v>1</v>
      </c>
      <c r="G111" s="4">
        <v>4</v>
      </c>
      <c r="H111" s="4">
        <v>0</v>
      </c>
    </row>
    <row r="112" spans="1:8" x14ac:dyDescent="0.45">
      <c r="A112" s="5" t="s">
        <v>286</v>
      </c>
      <c r="B112" s="4">
        <f>Data!$AH$1:$AH$1471</f>
        <v>0</v>
      </c>
    </row>
    <row r="113" spans="1:8" x14ac:dyDescent="0.45">
      <c r="A113" s="5" t="s">
        <v>287</v>
      </c>
    </row>
    <row r="114" spans="1:8" x14ac:dyDescent="0.45">
      <c r="A114" s="5" t="s">
        <v>288</v>
      </c>
      <c r="B114" s="4" t="s">
        <v>490</v>
      </c>
      <c r="C114" s="4" t="s">
        <v>289</v>
      </c>
      <c r="D114" s="4" t="s">
        <v>285</v>
      </c>
      <c r="E114" s="4" t="b">
        <v>1</v>
      </c>
      <c r="F114" s="4">
        <v>1</v>
      </c>
      <c r="G114" s="4">
        <v>3</v>
      </c>
      <c r="H114" s="4">
        <v>0</v>
      </c>
    </row>
    <row r="115" spans="1:8" x14ac:dyDescent="0.45">
      <c r="A115" s="5" t="s">
        <v>291</v>
      </c>
      <c r="B115" s="4">
        <f>Data!$AI$1:$AI$1471</f>
        <v>3</v>
      </c>
    </row>
    <row r="116" spans="1:8" x14ac:dyDescent="0.45">
      <c r="A116" s="5" t="s">
        <v>292</v>
      </c>
    </row>
    <row r="117" spans="1:8" x14ac:dyDescent="0.45">
      <c r="A117" s="5" t="s">
        <v>293</v>
      </c>
      <c r="B117" s="4" t="s">
        <v>491</v>
      </c>
      <c r="C117" s="4" t="s">
        <v>294</v>
      </c>
      <c r="D117" s="4" t="s">
        <v>290</v>
      </c>
      <c r="E117" s="4" t="b">
        <v>1</v>
      </c>
      <c r="F117" s="4">
        <v>1</v>
      </c>
      <c r="G117" s="4">
        <v>2</v>
      </c>
      <c r="H117" s="4">
        <v>1</v>
      </c>
    </row>
    <row r="118" spans="1:8" x14ac:dyDescent="0.45">
      <c r="A118" s="5" t="s">
        <v>296</v>
      </c>
      <c r="B118" s="4" t="str">
        <f>Data!$AJ$1:$AJ$1471</f>
        <v>Single</v>
      </c>
    </row>
    <row r="119" spans="1:8" x14ac:dyDescent="0.45">
      <c r="A119" s="5" t="s">
        <v>297</v>
      </c>
    </row>
    <row r="120" spans="1:8" x14ac:dyDescent="0.45">
      <c r="A120" s="5" t="s">
        <v>298</v>
      </c>
      <c r="B120" s="4" t="s">
        <v>492</v>
      </c>
      <c r="C120" s="4" t="s">
        <v>299</v>
      </c>
      <c r="D120" s="4" t="s">
        <v>295</v>
      </c>
      <c r="E120" s="4" t="b">
        <v>1</v>
      </c>
      <c r="F120" s="4">
        <v>1</v>
      </c>
      <c r="G120" s="4">
        <v>4</v>
      </c>
      <c r="H120" s="4">
        <v>0</v>
      </c>
    </row>
    <row r="121" spans="1:8" x14ac:dyDescent="0.45">
      <c r="A121" s="5" t="s">
        <v>301</v>
      </c>
      <c r="B121" s="4">
        <f>Data!$AK$1:$AK$1471</f>
        <v>0</v>
      </c>
    </row>
    <row r="122" spans="1:8" x14ac:dyDescent="0.45">
      <c r="A122" s="5" t="s">
        <v>302</v>
      </c>
    </row>
    <row r="123" spans="1:8" x14ac:dyDescent="0.45">
      <c r="A123" s="5" t="s">
        <v>303</v>
      </c>
      <c r="B123" s="4" t="s">
        <v>493</v>
      </c>
      <c r="C123" s="4" t="s">
        <v>304</v>
      </c>
      <c r="D123" s="4" t="s">
        <v>300</v>
      </c>
      <c r="E123" s="4" t="b">
        <v>1</v>
      </c>
      <c r="F123" s="4">
        <v>1</v>
      </c>
      <c r="G123" s="4">
        <v>4</v>
      </c>
      <c r="H123" s="4">
        <v>0</v>
      </c>
    </row>
    <row r="124" spans="1:8" x14ac:dyDescent="0.45">
      <c r="A124" s="5" t="s">
        <v>306</v>
      </c>
      <c r="B124" s="4">
        <f>Data!$AL$1:$AL$1471</f>
        <v>1</v>
      </c>
    </row>
    <row r="125" spans="1:8" x14ac:dyDescent="0.45">
      <c r="A125" s="5" t="s">
        <v>307</v>
      </c>
    </row>
    <row r="126" spans="1:8" x14ac:dyDescent="0.45">
      <c r="A126" s="5" t="s">
        <v>308</v>
      </c>
      <c r="B126" s="4" t="s">
        <v>494</v>
      </c>
      <c r="C126" s="4" t="s">
        <v>309</v>
      </c>
      <c r="D126" s="4" t="s">
        <v>305</v>
      </c>
      <c r="E126" s="4" t="b">
        <v>1</v>
      </c>
      <c r="F126" s="4">
        <v>1</v>
      </c>
      <c r="G126" s="4">
        <v>2</v>
      </c>
      <c r="H126" s="4">
        <v>0</v>
      </c>
    </row>
    <row r="127" spans="1:8" x14ac:dyDescent="0.45">
      <c r="A127" s="5" t="s">
        <v>310</v>
      </c>
      <c r="B127" s="4">
        <f>Data!$AM$1:$AM$1471</f>
        <v>2368</v>
      </c>
    </row>
    <row r="128" spans="1:8" x14ac:dyDescent="0.45">
      <c r="A128" s="5" t="s">
        <v>311</v>
      </c>
    </row>
    <row r="129" spans="1:8" x14ac:dyDescent="0.45">
      <c r="A129" s="5" t="s">
        <v>312</v>
      </c>
      <c r="B129" s="4" t="s">
        <v>495</v>
      </c>
      <c r="C129" s="4" t="s">
        <v>313</v>
      </c>
      <c r="D129" s="4" t="s">
        <v>401</v>
      </c>
      <c r="E129" s="4" t="b">
        <v>1</v>
      </c>
      <c r="F129" s="4">
        <v>1</v>
      </c>
      <c r="G129" s="4">
        <v>2</v>
      </c>
      <c r="H129" s="4">
        <v>0</v>
      </c>
    </row>
    <row r="130" spans="1:8" x14ac:dyDescent="0.45">
      <c r="A130" s="5" t="s">
        <v>315</v>
      </c>
      <c r="B130" s="4">
        <f>Data!$AN$1:$AN$1471</f>
        <v>2523</v>
      </c>
    </row>
    <row r="131" spans="1:8" x14ac:dyDescent="0.45">
      <c r="A131" s="5" t="s">
        <v>316</v>
      </c>
    </row>
    <row r="132" spans="1:8" x14ac:dyDescent="0.45">
      <c r="A132" s="5" t="s">
        <v>317</v>
      </c>
      <c r="B132" s="4" t="s">
        <v>496</v>
      </c>
      <c r="C132" s="4" t="s">
        <v>318</v>
      </c>
      <c r="D132" s="4" t="s">
        <v>314</v>
      </c>
      <c r="E132" s="4" t="b">
        <v>1</v>
      </c>
      <c r="F132" s="4">
        <v>1</v>
      </c>
      <c r="G132" s="4">
        <v>3</v>
      </c>
      <c r="H132" s="4">
        <v>0</v>
      </c>
    </row>
    <row r="133" spans="1:8" x14ac:dyDescent="0.45">
      <c r="A133" s="5" t="s">
        <v>320</v>
      </c>
      <c r="B133" s="4">
        <f>Data!$AO$1:$AO$1471</f>
        <v>4</v>
      </c>
    </row>
    <row r="134" spans="1:8" x14ac:dyDescent="0.45">
      <c r="A134" s="5" t="s">
        <v>321</v>
      </c>
    </row>
    <row r="135" spans="1:8" x14ac:dyDescent="0.45">
      <c r="A135" s="5" t="s">
        <v>322</v>
      </c>
      <c r="B135" s="4" t="s">
        <v>497</v>
      </c>
      <c r="C135" s="4" t="s">
        <v>323</v>
      </c>
      <c r="D135" s="4" t="s">
        <v>319</v>
      </c>
      <c r="E135" s="4" t="b">
        <v>1</v>
      </c>
      <c r="F135" s="4">
        <v>1</v>
      </c>
      <c r="G135" s="4">
        <v>2</v>
      </c>
      <c r="H135" s="4">
        <v>1</v>
      </c>
    </row>
    <row r="136" spans="1:8" x14ac:dyDescent="0.45">
      <c r="A136" s="5" t="s">
        <v>325</v>
      </c>
      <c r="B136" s="4" t="str">
        <f>Data!$AP$1:$AP$1471</f>
        <v>No</v>
      </c>
    </row>
    <row r="137" spans="1:8" x14ac:dyDescent="0.45">
      <c r="A137" s="5" t="s">
        <v>326</v>
      </c>
    </row>
    <row r="138" spans="1:8" x14ac:dyDescent="0.45">
      <c r="A138" s="5" t="s">
        <v>327</v>
      </c>
      <c r="B138" s="4" t="s">
        <v>498</v>
      </c>
      <c r="C138" s="4" t="s">
        <v>328</v>
      </c>
      <c r="D138" s="4" t="s">
        <v>324</v>
      </c>
      <c r="E138" s="4" t="b">
        <v>1</v>
      </c>
      <c r="F138" s="4">
        <v>1</v>
      </c>
      <c r="G138" s="4">
        <v>4</v>
      </c>
      <c r="H138" s="4">
        <v>0</v>
      </c>
    </row>
    <row r="139" spans="1:8" x14ac:dyDescent="0.45">
      <c r="A139" s="5" t="s">
        <v>330</v>
      </c>
      <c r="B139" s="4">
        <f>Data!$AQ$1:$AQ$1471</f>
        <v>0</v>
      </c>
    </row>
    <row r="140" spans="1:8" x14ac:dyDescent="0.45">
      <c r="A140" s="5" t="s">
        <v>331</v>
      </c>
    </row>
    <row r="141" spans="1:8" x14ac:dyDescent="0.45">
      <c r="A141" s="5" t="s">
        <v>332</v>
      </c>
      <c r="B141" s="4" t="s">
        <v>499</v>
      </c>
      <c r="C141" s="4" t="s">
        <v>333</v>
      </c>
      <c r="D141" s="4" t="s">
        <v>329</v>
      </c>
      <c r="E141" s="4" t="b">
        <v>1</v>
      </c>
      <c r="F141" s="4">
        <v>1</v>
      </c>
      <c r="G141" s="4">
        <v>3</v>
      </c>
      <c r="H141" s="4">
        <v>0</v>
      </c>
    </row>
    <row r="142" spans="1:8" x14ac:dyDescent="0.45">
      <c r="A142" s="5" t="s">
        <v>335</v>
      </c>
      <c r="B142" s="4">
        <f>Data!$AR$1:$AR$1471</f>
        <v>22</v>
      </c>
    </row>
    <row r="143" spans="1:8" x14ac:dyDescent="0.45">
      <c r="A143" s="5" t="s">
        <v>336</v>
      </c>
    </row>
    <row r="144" spans="1:8" x14ac:dyDescent="0.45">
      <c r="A144" s="5" t="s">
        <v>337</v>
      </c>
      <c r="B144" s="4" t="s">
        <v>500</v>
      </c>
      <c r="C144" s="4" t="s">
        <v>338</v>
      </c>
      <c r="D144" s="4" t="s">
        <v>334</v>
      </c>
      <c r="E144" s="4" t="b">
        <v>1</v>
      </c>
      <c r="F144" s="4">
        <v>1</v>
      </c>
      <c r="G144" s="4">
        <v>4</v>
      </c>
      <c r="H144" s="4">
        <v>0</v>
      </c>
    </row>
    <row r="145" spans="1:8" x14ac:dyDescent="0.45">
      <c r="A145" s="5" t="s">
        <v>340</v>
      </c>
      <c r="B145" s="4">
        <f>Data!$AS$1:$AS$1471</f>
        <v>3</v>
      </c>
    </row>
    <row r="146" spans="1:8" x14ac:dyDescent="0.45">
      <c r="A146" s="5" t="s">
        <v>341</v>
      </c>
    </row>
    <row r="147" spans="1:8" x14ac:dyDescent="0.45">
      <c r="A147" s="5" t="s">
        <v>342</v>
      </c>
      <c r="B147" s="4" t="s">
        <v>501</v>
      </c>
      <c r="C147" s="4" t="s">
        <v>343</v>
      </c>
      <c r="D147" s="4" t="s">
        <v>339</v>
      </c>
      <c r="E147" s="4" t="b">
        <v>1</v>
      </c>
      <c r="F147" s="4">
        <v>1</v>
      </c>
      <c r="G147" s="4">
        <v>3</v>
      </c>
      <c r="H147" s="4">
        <v>0</v>
      </c>
    </row>
    <row r="148" spans="1:8" x14ac:dyDescent="0.45">
      <c r="A148" s="5" t="s">
        <v>345</v>
      </c>
      <c r="B148" s="4">
        <f>Data!$AT$1:$AT$1471</f>
        <v>4</v>
      </c>
    </row>
    <row r="149" spans="1:8" x14ac:dyDescent="0.45">
      <c r="A149" s="5" t="s">
        <v>346</v>
      </c>
    </row>
    <row r="150" spans="1:8" x14ac:dyDescent="0.45">
      <c r="A150" s="5" t="s">
        <v>347</v>
      </c>
      <c r="B150" s="4" t="s">
        <v>502</v>
      </c>
      <c r="C150" s="4" t="s">
        <v>348</v>
      </c>
      <c r="D150" s="4" t="s">
        <v>344</v>
      </c>
      <c r="E150" s="4" t="b">
        <v>1</v>
      </c>
      <c r="F150" s="4">
        <v>1</v>
      </c>
      <c r="G150" s="4">
        <v>4</v>
      </c>
      <c r="H150" s="4">
        <v>0</v>
      </c>
    </row>
    <row r="151" spans="1:8" x14ac:dyDescent="0.45">
      <c r="A151" s="5" t="s">
        <v>350</v>
      </c>
      <c r="B151" s="4">
        <f>Data!$AU$1:$AU$1471</f>
        <v>0</v>
      </c>
    </row>
    <row r="152" spans="1:8" x14ac:dyDescent="0.45">
      <c r="A152" s="5" t="s">
        <v>351</v>
      </c>
    </row>
    <row r="153" spans="1:8" x14ac:dyDescent="0.45">
      <c r="A153" s="5" t="s">
        <v>352</v>
      </c>
      <c r="B153" s="4" t="s">
        <v>503</v>
      </c>
      <c r="C153" s="4" t="s">
        <v>353</v>
      </c>
      <c r="D153" s="4" t="s">
        <v>349</v>
      </c>
      <c r="E153" s="4" t="b">
        <v>1</v>
      </c>
      <c r="F153" s="4">
        <v>1</v>
      </c>
      <c r="G153" s="4">
        <v>3</v>
      </c>
      <c r="H153" s="4">
        <v>0</v>
      </c>
    </row>
    <row r="154" spans="1:8" x14ac:dyDescent="0.45">
      <c r="A154" s="5" t="s">
        <v>355</v>
      </c>
      <c r="B154" s="4">
        <f>Data!$AV$1:$AV$1471</f>
        <v>13</v>
      </c>
    </row>
    <row r="155" spans="1:8" x14ac:dyDescent="0.45">
      <c r="A155" s="5" t="s">
        <v>356</v>
      </c>
    </row>
    <row r="156" spans="1:8" x14ac:dyDescent="0.45">
      <c r="A156" s="5" t="s">
        <v>357</v>
      </c>
      <c r="B156" s="4" t="s">
        <v>504</v>
      </c>
      <c r="C156" s="4" t="s">
        <v>358</v>
      </c>
      <c r="D156" s="4" t="s">
        <v>402</v>
      </c>
      <c r="E156" s="4" t="b">
        <v>1</v>
      </c>
      <c r="F156" s="4">
        <v>1</v>
      </c>
      <c r="G156" s="4">
        <v>3</v>
      </c>
      <c r="H156" s="4">
        <v>0</v>
      </c>
    </row>
    <row r="157" spans="1:8" x14ac:dyDescent="0.45">
      <c r="A157" s="5" t="s">
        <v>360</v>
      </c>
      <c r="B157" s="4">
        <f>Data!$AW$1:$AW$1471</f>
        <v>10</v>
      </c>
    </row>
    <row r="158" spans="1:8" x14ac:dyDescent="0.45">
      <c r="A158" s="5" t="s">
        <v>361</v>
      </c>
    </row>
    <row r="159" spans="1:8" x14ac:dyDescent="0.45">
      <c r="A159" s="5" t="s">
        <v>362</v>
      </c>
      <c r="B159" s="4" t="s">
        <v>505</v>
      </c>
      <c r="C159" s="4" t="s">
        <v>363</v>
      </c>
      <c r="D159" s="4" t="s">
        <v>354</v>
      </c>
      <c r="E159" s="4" t="b">
        <v>1</v>
      </c>
      <c r="F159" s="4">
        <v>1</v>
      </c>
      <c r="G159" s="4">
        <v>3</v>
      </c>
      <c r="H159" s="4">
        <v>0</v>
      </c>
    </row>
    <row r="160" spans="1:8" x14ac:dyDescent="0.45">
      <c r="A160" s="5" t="s">
        <v>365</v>
      </c>
      <c r="B160" s="4">
        <f>Data!$AX$1:$AX$1471</f>
        <v>2</v>
      </c>
    </row>
    <row r="161" spans="1:8" x14ac:dyDescent="0.45">
      <c r="A161" s="5" t="s">
        <v>366</v>
      </c>
    </row>
    <row r="162" spans="1:8" x14ac:dyDescent="0.45">
      <c r="A162" s="5" t="s">
        <v>367</v>
      </c>
      <c r="B162" s="4" t="s">
        <v>506</v>
      </c>
      <c r="C162" s="4" t="s">
        <v>368</v>
      </c>
      <c r="D162" s="4" t="s">
        <v>359</v>
      </c>
      <c r="E162" s="4" t="b">
        <v>1</v>
      </c>
      <c r="F162" s="4">
        <v>1</v>
      </c>
      <c r="G162" s="4">
        <v>4</v>
      </c>
      <c r="H162" s="4">
        <v>0</v>
      </c>
    </row>
    <row r="163" spans="1:8" x14ac:dyDescent="0.45">
      <c r="A163" s="5" t="s">
        <v>370</v>
      </c>
      <c r="B163" s="4">
        <f>Data!$AY$1:$AY$1471</f>
        <v>1</v>
      </c>
    </row>
    <row r="164" spans="1:8" x14ac:dyDescent="0.45">
      <c r="A164" s="5" t="s">
        <v>371</v>
      </c>
    </row>
    <row r="165" spans="1:8" x14ac:dyDescent="0.45">
      <c r="A165" s="5" t="s">
        <v>372</v>
      </c>
      <c r="B165" s="4" t="s">
        <v>507</v>
      </c>
      <c r="C165" s="4" t="s">
        <v>373</v>
      </c>
      <c r="D165" s="4" t="s">
        <v>364</v>
      </c>
      <c r="E165" s="4" t="b">
        <v>1</v>
      </c>
      <c r="F165" s="4">
        <v>1</v>
      </c>
      <c r="G165" s="4">
        <v>3</v>
      </c>
      <c r="H165" s="4">
        <v>0</v>
      </c>
    </row>
    <row r="166" spans="1:8" x14ac:dyDescent="0.45">
      <c r="A166" s="5" t="s">
        <v>375</v>
      </c>
      <c r="B166" s="4">
        <f>Data!$AZ$1:$AZ$1471</f>
        <v>1</v>
      </c>
    </row>
    <row r="167" spans="1:8" x14ac:dyDescent="0.45">
      <c r="A167" s="5" t="s">
        <v>376</v>
      </c>
    </row>
    <row r="168" spans="1:8" x14ac:dyDescent="0.45">
      <c r="A168" s="5" t="s">
        <v>377</v>
      </c>
      <c r="B168" s="4" t="s">
        <v>508</v>
      </c>
      <c r="C168" s="4" t="s">
        <v>378</v>
      </c>
      <c r="D168" s="4" t="s">
        <v>403</v>
      </c>
      <c r="E168" s="4" t="b">
        <v>1</v>
      </c>
      <c r="F168" s="4">
        <v>1</v>
      </c>
      <c r="G168" s="4">
        <v>3</v>
      </c>
      <c r="H168" s="4">
        <v>0</v>
      </c>
    </row>
    <row r="169" spans="1:8" x14ac:dyDescent="0.45">
      <c r="A169" s="5" t="s">
        <v>380</v>
      </c>
      <c r="B169" s="4">
        <f>Data!$BA$1:$BA$1471</f>
        <v>10</v>
      </c>
    </row>
    <row r="170" spans="1:8" x14ac:dyDescent="0.45">
      <c r="A170" s="5" t="s">
        <v>381</v>
      </c>
    </row>
    <row r="171" spans="1:8" x14ac:dyDescent="0.45">
      <c r="A171" s="5" t="s">
        <v>404</v>
      </c>
      <c r="B171" s="4" t="s">
        <v>509</v>
      </c>
      <c r="C171" s="4" t="s">
        <v>443</v>
      </c>
      <c r="D171" s="4" t="s">
        <v>369</v>
      </c>
      <c r="E171" s="4" t="b">
        <v>1</v>
      </c>
      <c r="F171" s="4">
        <v>1</v>
      </c>
      <c r="G171" s="4">
        <v>3</v>
      </c>
      <c r="H171" s="4">
        <v>0</v>
      </c>
    </row>
    <row r="172" spans="1:8" x14ac:dyDescent="0.45">
      <c r="A172" s="5" t="s">
        <v>405</v>
      </c>
      <c r="B172" s="4">
        <f>Data!$BB$1:$BB$1471</f>
        <v>2</v>
      </c>
    </row>
    <row r="173" spans="1:8" x14ac:dyDescent="0.45">
      <c r="A173" s="5" t="s">
        <v>406</v>
      </c>
    </row>
    <row r="174" spans="1:8" x14ac:dyDescent="0.45">
      <c r="A174" s="5" t="s">
        <v>407</v>
      </c>
      <c r="B174" s="4" t="s">
        <v>510</v>
      </c>
      <c r="C174" s="4" t="s">
        <v>444</v>
      </c>
      <c r="D174" s="4" t="s">
        <v>374</v>
      </c>
      <c r="E174" s="4" t="b">
        <v>1</v>
      </c>
      <c r="F174" s="4">
        <v>1</v>
      </c>
      <c r="G174" s="4">
        <v>3</v>
      </c>
      <c r="H174" s="4">
        <v>0</v>
      </c>
    </row>
    <row r="175" spans="1:8" x14ac:dyDescent="0.45">
      <c r="A175" s="5" t="s">
        <v>408</v>
      </c>
      <c r="B175" s="4">
        <f>Data!$BC$1:$BC$1471</f>
        <v>6</v>
      </c>
    </row>
    <row r="176" spans="1:8" x14ac:dyDescent="0.45">
      <c r="A176" s="5" t="s">
        <v>409</v>
      </c>
    </row>
    <row r="177" spans="1:8" x14ac:dyDescent="0.45">
      <c r="A177" s="5" t="s">
        <v>410</v>
      </c>
      <c r="B177" s="4" t="s">
        <v>593</v>
      </c>
      <c r="D177" s="4" t="s">
        <v>594</v>
      </c>
      <c r="E177" s="4" t="b">
        <v>1</v>
      </c>
      <c r="F177" s="4">
        <v>1</v>
      </c>
      <c r="G177" s="4">
        <v>3</v>
      </c>
      <c r="H177" s="4">
        <v>0</v>
      </c>
    </row>
    <row r="178" spans="1:8" x14ac:dyDescent="0.45">
      <c r="A178" s="5" t="s">
        <v>411</v>
      </c>
      <c r="B178" s="4">
        <f>Data!$BD$1:$BD$1471</f>
        <v>0</v>
      </c>
    </row>
    <row r="179" spans="1:8" x14ac:dyDescent="0.45">
      <c r="A179" s="5" t="s">
        <v>412</v>
      </c>
    </row>
    <row r="180" spans="1:8" x14ac:dyDescent="0.45">
      <c r="A180" s="5" t="s">
        <v>446</v>
      </c>
      <c r="B180" s="4" t="s">
        <v>511</v>
      </c>
      <c r="C180" s="4" t="s">
        <v>445</v>
      </c>
      <c r="D180" s="4" t="s">
        <v>379</v>
      </c>
      <c r="E180" s="4" t="b">
        <v>1</v>
      </c>
      <c r="F180" s="4">
        <v>1</v>
      </c>
      <c r="G180" s="4">
        <v>3</v>
      </c>
      <c r="H180" s="4">
        <v>0</v>
      </c>
    </row>
    <row r="181" spans="1:8" x14ac:dyDescent="0.45">
      <c r="A181" s="5" t="s">
        <v>449</v>
      </c>
      <c r="B181" s="4">
        <f>Data!$BE$1:$BE$1471</f>
        <v>1</v>
      </c>
    </row>
    <row r="182" spans="1:8" x14ac:dyDescent="0.45">
      <c r="A182" s="5" t="s">
        <v>450</v>
      </c>
    </row>
    <row r="183" spans="1:8" x14ac:dyDescent="0.45">
      <c r="A183" s="5" t="s">
        <v>451</v>
      </c>
      <c r="B183" s="4" t="s">
        <v>512</v>
      </c>
      <c r="C183" s="4" t="s">
        <v>447</v>
      </c>
      <c r="D183" s="4" t="s">
        <v>448</v>
      </c>
      <c r="E183" s="4" t="b">
        <v>1</v>
      </c>
      <c r="F183" s="4">
        <v>1</v>
      </c>
      <c r="G183" s="4">
        <v>3</v>
      </c>
      <c r="H183" s="4">
        <v>0</v>
      </c>
    </row>
    <row r="184" spans="1:8" x14ac:dyDescent="0.45">
      <c r="A184" s="5" t="s">
        <v>454</v>
      </c>
      <c r="B184" s="4">
        <f>Data!$BF$1:$BF$1471</f>
        <v>2</v>
      </c>
    </row>
    <row r="185" spans="1:8" x14ac:dyDescent="0.45">
      <c r="A185" s="5" t="s">
        <v>455</v>
      </c>
    </row>
    <row r="186" spans="1:8" x14ac:dyDescent="0.45">
      <c r="A186" s="5" t="s">
        <v>595</v>
      </c>
      <c r="B186" s="4" t="s">
        <v>513</v>
      </c>
      <c r="C186" s="4" t="s">
        <v>452</v>
      </c>
      <c r="D186" s="4" t="s">
        <v>453</v>
      </c>
      <c r="E186" s="4" t="b">
        <v>1</v>
      </c>
      <c r="F186" s="4">
        <v>1</v>
      </c>
      <c r="G186" s="4">
        <v>2</v>
      </c>
      <c r="H186" s="4">
        <v>0</v>
      </c>
    </row>
    <row r="187" spans="1:8" x14ac:dyDescent="0.45">
      <c r="A187" s="5" t="s">
        <v>596</v>
      </c>
      <c r="B187" s="4">
        <f>Data!$BG$1:$BG$1471</f>
        <v>6</v>
      </c>
    </row>
    <row r="188" spans="1:8" x14ac:dyDescent="0.45">
      <c r="A188" s="5" t="s">
        <v>597</v>
      </c>
    </row>
    <row r="189" spans="1:8" x14ac:dyDescent="0.45">
      <c r="A189" s="5" t="s">
        <v>599</v>
      </c>
      <c r="B189" s="4" t="s">
        <v>607</v>
      </c>
      <c r="C189" s="4" t="s">
        <v>602</v>
      </c>
      <c r="D189" s="4" t="s">
        <v>608</v>
      </c>
      <c r="E189" s="4" t="b">
        <v>1</v>
      </c>
      <c r="F189" s="4">
        <v>1</v>
      </c>
      <c r="G189" s="4">
        <v>4</v>
      </c>
      <c r="H189" s="4">
        <v>0</v>
      </c>
    </row>
    <row r="190" spans="1:8" x14ac:dyDescent="0.45">
      <c r="A190" s="5" t="s">
        <v>600</v>
      </c>
      <c r="B190" s="4">
        <f>Data!$BH$1:$BH$1471</f>
        <v>0</v>
      </c>
    </row>
    <row r="191" spans="1:8" x14ac:dyDescent="0.45">
      <c r="A191" s="5" t="s">
        <v>601</v>
      </c>
    </row>
    <row r="192" spans="1:8" x14ac:dyDescent="0.45">
      <c r="A192" s="5" t="s">
        <v>606</v>
      </c>
      <c r="B192" s="4" t="s">
        <v>612</v>
      </c>
      <c r="C192" s="4" t="s">
        <v>603</v>
      </c>
      <c r="D192" s="4" t="s">
        <v>613</v>
      </c>
      <c r="E192" s="4" t="b">
        <v>1</v>
      </c>
      <c r="F192" s="4">
        <v>1</v>
      </c>
      <c r="G192" s="4">
        <v>4</v>
      </c>
      <c r="H192" s="4">
        <v>0</v>
      </c>
    </row>
    <row r="193" spans="1:8" x14ac:dyDescent="0.45">
      <c r="A193" s="5" t="s">
        <v>609</v>
      </c>
      <c r="B193" s="4">
        <f>Data!$BI$1:$BI$1471</f>
        <v>0</v>
      </c>
    </row>
    <row r="194" spans="1:8" x14ac:dyDescent="0.45">
      <c r="A194" s="5" t="s">
        <v>610</v>
      </c>
    </row>
    <row r="195" spans="1:8" x14ac:dyDescent="0.45">
      <c r="A195" s="5" t="s">
        <v>611</v>
      </c>
      <c r="B195" s="4" t="s">
        <v>617</v>
      </c>
      <c r="C195" s="4" t="s">
        <v>604</v>
      </c>
      <c r="D195" s="4" t="s">
        <v>618</v>
      </c>
      <c r="E195" s="4" t="b">
        <v>1</v>
      </c>
      <c r="F195" s="4">
        <v>1</v>
      </c>
      <c r="G195" s="4">
        <v>4</v>
      </c>
      <c r="H195" s="4">
        <v>0</v>
      </c>
    </row>
    <row r="196" spans="1:8" x14ac:dyDescent="0.45">
      <c r="A196" s="5" t="s">
        <v>614</v>
      </c>
      <c r="B196" s="4">
        <f>Data!$BJ$1:$BJ$1471</f>
        <v>0</v>
      </c>
    </row>
    <row r="197" spans="1:8" x14ac:dyDescent="0.45">
      <c r="A197" s="5" t="s">
        <v>615</v>
      </c>
    </row>
    <row r="198" spans="1:8" x14ac:dyDescent="0.45">
      <c r="A198" s="5" t="s">
        <v>616</v>
      </c>
      <c r="B198" s="4" t="s">
        <v>622</v>
      </c>
      <c r="C198" s="4" t="s">
        <v>605</v>
      </c>
      <c r="D198" s="4" t="s">
        <v>623</v>
      </c>
      <c r="E198" s="4" t="b">
        <v>1</v>
      </c>
      <c r="F198" s="4">
        <v>1</v>
      </c>
      <c r="G198" s="4">
        <v>4</v>
      </c>
      <c r="H198" s="4">
        <v>0</v>
      </c>
    </row>
    <row r="199" spans="1:8" x14ac:dyDescent="0.45">
      <c r="A199" s="5" t="s">
        <v>619</v>
      </c>
      <c r="B199" s="4">
        <f>Data!$BK$1:$BK$1471</f>
        <v>0</v>
      </c>
    </row>
    <row r="200" spans="1:8" x14ac:dyDescent="0.45">
      <c r="A200" s="5" t="s">
        <v>620</v>
      </c>
    </row>
    <row r="201" spans="1:8" x14ac:dyDescent="0.45">
      <c r="A201" s="5" t="s">
        <v>621</v>
      </c>
      <c r="B201" s="4" t="s">
        <v>630</v>
      </c>
      <c r="C201" s="4" t="s">
        <v>626</v>
      </c>
      <c r="D201" s="4" t="s">
        <v>631</v>
      </c>
      <c r="E201" s="4" t="b">
        <v>1</v>
      </c>
      <c r="F201" s="4">
        <v>1</v>
      </c>
      <c r="G201" s="4">
        <v>4</v>
      </c>
      <c r="H201" s="4">
        <v>0</v>
      </c>
    </row>
    <row r="202" spans="1:8" x14ac:dyDescent="0.45">
      <c r="A202" s="5" t="s">
        <v>624</v>
      </c>
      <c r="B202" s="4">
        <f>Data!$BL$1:$BL$1471</f>
        <v>0</v>
      </c>
    </row>
    <row r="203" spans="1:8" x14ac:dyDescent="0.45">
      <c r="A203" s="5" t="s">
        <v>625</v>
      </c>
    </row>
    <row r="204" spans="1:8" x14ac:dyDescent="0.45">
      <c r="A204" s="5" t="s">
        <v>632</v>
      </c>
      <c r="B204" s="4" t="s">
        <v>633</v>
      </c>
      <c r="C204" s="4" t="s">
        <v>627</v>
      </c>
      <c r="D204" s="4" t="s">
        <v>634</v>
      </c>
      <c r="E204" s="4" t="b">
        <v>1</v>
      </c>
      <c r="F204" s="4">
        <v>1</v>
      </c>
      <c r="G204" s="4">
        <v>4</v>
      </c>
      <c r="H204" s="4">
        <v>0</v>
      </c>
    </row>
    <row r="205" spans="1:8" x14ac:dyDescent="0.45">
      <c r="A205" s="5" t="s">
        <v>635</v>
      </c>
      <c r="B205" s="4">
        <f>Data!$BM$1:$BM$1471</f>
        <v>0</v>
      </c>
    </row>
    <row r="206" spans="1:8" x14ac:dyDescent="0.45">
      <c r="A206" s="5" t="s">
        <v>636</v>
      </c>
    </row>
    <row r="207" spans="1:8" x14ac:dyDescent="0.45">
      <c r="A207" s="5" t="s">
        <v>637</v>
      </c>
      <c r="B207" s="4" t="s">
        <v>638</v>
      </c>
      <c r="C207" s="4" t="s">
        <v>628</v>
      </c>
      <c r="D207" s="4" t="s">
        <v>639</v>
      </c>
      <c r="E207" s="4" t="b">
        <v>1</v>
      </c>
      <c r="F207" s="4">
        <v>1</v>
      </c>
      <c r="G207" s="4">
        <v>4</v>
      </c>
      <c r="H207" s="4">
        <v>0</v>
      </c>
    </row>
    <row r="208" spans="1:8" x14ac:dyDescent="0.45">
      <c r="A208" s="5" t="s">
        <v>640</v>
      </c>
      <c r="B208" s="4">
        <f>Data!$BN$1:$BN$1471</f>
        <v>0</v>
      </c>
    </row>
    <row r="209" spans="1:8" x14ac:dyDescent="0.45">
      <c r="A209" s="5" t="s">
        <v>641</v>
      </c>
    </row>
    <row r="210" spans="1:8" x14ac:dyDescent="0.45">
      <c r="A210" s="5" t="s">
        <v>642</v>
      </c>
      <c r="B210" s="4" t="s">
        <v>643</v>
      </c>
      <c r="C210" s="4" t="s">
        <v>629</v>
      </c>
      <c r="D210" s="4" t="s">
        <v>644</v>
      </c>
      <c r="E210" s="4" t="b">
        <v>1</v>
      </c>
      <c r="F210" s="4">
        <v>1</v>
      </c>
      <c r="G210" s="4">
        <v>4</v>
      </c>
      <c r="H210" s="4">
        <v>0</v>
      </c>
    </row>
    <row r="211" spans="1:8" x14ac:dyDescent="0.45">
      <c r="A211" s="5" t="s">
        <v>645</v>
      </c>
      <c r="B211" s="4">
        <f>Data!$BO$1:$BO$1471</f>
        <v>0</v>
      </c>
    </row>
    <row r="212" spans="1:8" x14ac:dyDescent="0.45">
      <c r="A212" s="5" t="s">
        <v>646</v>
      </c>
    </row>
    <row r="213" spans="1:8" x14ac:dyDescent="0.45">
      <c r="A213" s="5" t="s">
        <v>653</v>
      </c>
      <c r="B213" s="4" t="s">
        <v>654</v>
      </c>
      <c r="C213" s="4" t="s">
        <v>650</v>
      </c>
      <c r="D213" s="4" t="s">
        <v>655</v>
      </c>
      <c r="E213" s="4" t="b">
        <v>1</v>
      </c>
      <c r="F213" s="4">
        <v>1</v>
      </c>
      <c r="G213" s="4">
        <v>4</v>
      </c>
      <c r="H213" s="4">
        <v>0</v>
      </c>
    </row>
    <row r="214" spans="1:8" x14ac:dyDescent="0.45">
      <c r="A214" s="5" t="s">
        <v>656</v>
      </c>
      <c r="B214" s="4">
        <f>Data!$BP$1:$BP$1471</f>
        <v>0</v>
      </c>
    </row>
    <row r="215" spans="1:8" x14ac:dyDescent="0.45">
      <c r="A215" s="5" t="s">
        <v>657</v>
      </c>
    </row>
    <row r="216" spans="1:8" x14ac:dyDescent="0.45">
      <c r="A216" s="5" t="s">
        <v>658</v>
      </c>
      <c r="B216" s="4" t="s">
        <v>659</v>
      </c>
      <c r="C216" s="4" t="s">
        <v>651</v>
      </c>
      <c r="D216" s="4" t="s">
        <v>660</v>
      </c>
      <c r="E216" s="4" t="b">
        <v>1</v>
      </c>
      <c r="F216" s="4">
        <v>1</v>
      </c>
      <c r="G216" s="4">
        <v>3</v>
      </c>
      <c r="H216" s="4">
        <v>0</v>
      </c>
    </row>
    <row r="217" spans="1:8" x14ac:dyDescent="0.45">
      <c r="A217" s="5" t="s">
        <v>661</v>
      </c>
      <c r="B217" s="4">
        <f>Data!$BQ$1:$BQ$1471</f>
        <v>0</v>
      </c>
    </row>
    <row r="218" spans="1:8" x14ac:dyDescent="0.45">
      <c r="A218" s="5" t="s">
        <v>662</v>
      </c>
    </row>
    <row r="219" spans="1:8" x14ac:dyDescent="0.45">
      <c r="A219" s="5" t="s">
        <v>663</v>
      </c>
      <c r="B219" s="4" t="s">
        <v>664</v>
      </c>
      <c r="C219" s="4" t="s">
        <v>652</v>
      </c>
      <c r="D219" s="4" t="s">
        <v>665</v>
      </c>
      <c r="E219" s="4" t="b">
        <v>1</v>
      </c>
      <c r="F219" s="4">
        <v>1</v>
      </c>
      <c r="G219" s="4">
        <v>3</v>
      </c>
      <c r="H219" s="4">
        <v>0</v>
      </c>
    </row>
    <row r="220" spans="1:8" x14ac:dyDescent="0.45">
      <c r="A220" s="5" t="s">
        <v>666</v>
      </c>
      <c r="B220" s="4">
        <f>Data!$BR$1:$BR$1471</f>
        <v>8</v>
      </c>
    </row>
    <row r="221" spans="1:8" x14ac:dyDescent="0.45">
      <c r="A221" s="5" t="s">
        <v>667</v>
      </c>
    </row>
    <row r="222" spans="1:8" x14ac:dyDescent="0.45">
      <c r="A222" s="5" t="s">
        <v>672</v>
      </c>
      <c r="B222" s="4" t="s">
        <v>673</v>
      </c>
      <c r="C222" s="4" t="s">
        <v>669</v>
      </c>
      <c r="D222" s="4" t="s">
        <v>674</v>
      </c>
      <c r="E222" s="4" t="b">
        <v>1</v>
      </c>
      <c r="F222" s="4">
        <v>0</v>
      </c>
      <c r="G222" s="4">
        <v>4</v>
      </c>
      <c r="H222" s="4">
        <v>0</v>
      </c>
    </row>
    <row r="223" spans="1:8" x14ac:dyDescent="0.45">
      <c r="A223" s="5" t="s">
        <v>675</v>
      </c>
      <c r="B223" s="4">
        <f>Data!$BS$1:$BS$1471</f>
        <v>0</v>
      </c>
    </row>
    <row r="224" spans="1:8" x14ac:dyDescent="0.45">
      <c r="A224" s="5" t="s">
        <v>676</v>
      </c>
    </row>
    <row r="225" spans="1:8" x14ac:dyDescent="0.45">
      <c r="A225" s="5" t="s">
        <v>677</v>
      </c>
      <c r="B225" s="4" t="s">
        <v>678</v>
      </c>
      <c r="C225" s="4" t="s">
        <v>670</v>
      </c>
      <c r="D225" s="4" t="s">
        <v>679</v>
      </c>
      <c r="E225" s="4" t="b">
        <v>1</v>
      </c>
      <c r="F225" s="4">
        <v>0</v>
      </c>
      <c r="G225" s="4">
        <v>4</v>
      </c>
      <c r="H225" s="4">
        <v>0</v>
      </c>
    </row>
    <row r="226" spans="1:8" x14ac:dyDescent="0.45">
      <c r="A226" s="5" t="s">
        <v>680</v>
      </c>
      <c r="B226" s="4">
        <f>Data!$BT$1:$BT$1471</f>
        <v>6</v>
      </c>
    </row>
    <row r="227" spans="1:8" x14ac:dyDescent="0.45">
      <c r="A227" s="5" t="s">
        <v>681</v>
      </c>
    </row>
    <row r="228" spans="1:8" x14ac:dyDescent="0.45">
      <c r="A228" s="5" t="s">
        <v>682</v>
      </c>
      <c r="B228" s="4" t="s">
        <v>683</v>
      </c>
      <c r="C228" s="4" t="s">
        <v>671</v>
      </c>
      <c r="D228" s="4" t="s">
        <v>684</v>
      </c>
      <c r="E228" s="4" t="b">
        <v>1</v>
      </c>
      <c r="F228" s="4">
        <v>0</v>
      </c>
      <c r="G228" s="4">
        <v>4</v>
      </c>
      <c r="H228" s="4">
        <v>0</v>
      </c>
    </row>
    <row r="229" spans="1:8" x14ac:dyDescent="0.45">
      <c r="A229" s="5" t="s">
        <v>685</v>
      </c>
      <c r="B229" s="4">
        <f>Data!$BU$1:$BU$1471</f>
        <v>11</v>
      </c>
    </row>
    <row r="230" spans="1:8" x14ac:dyDescent="0.45">
      <c r="A230" s="5" t="s">
        <v>686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83A38-D945-4C03-8D46-50967410500E}">
  <dimension ref="A1:H54"/>
  <sheetViews>
    <sheetView showGridLines="0" zoomScale="80" zoomScaleNormal="80" workbookViewId="0">
      <selection activeCell="A38" sqref="A38"/>
    </sheetView>
  </sheetViews>
  <sheetFormatPr defaultColWidth="12.59765625" defaultRowHeight="14.25" x14ac:dyDescent="0.45"/>
  <cols>
    <col min="1" max="1" width="21.9296875" bestFit="1" customWidth="1"/>
    <col min="2" max="8" width="12.59765625" customWidth="1"/>
  </cols>
  <sheetData>
    <row r="1" spans="1:8" s="32" customFormat="1" ht="18" x14ac:dyDescent="0.55000000000000004">
      <c r="A1" s="30" t="s">
        <v>413</v>
      </c>
      <c r="B1" s="31"/>
    </row>
    <row r="2" spans="1:8" s="32" customFormat="1" ht="10.5" x14ac:dyDescent="0.35">
      <c r="A2" s="33" t="s">
        <v>414</v>
      </c>
      <c r="B2" s="31" t="s">
        <v>514</v>
      </c>
    </row>
    <row r="3" spans="1:8" s="32" customFormat="1" ht="10.5" x14ac:dyDescent="0.35">
      <c r="A3" s="33" t="s">
        <v>416</v>
      </c>
      <c r="B3" s="31" t="s">
        <v>687</v>
      </c>
    </row>
    <row r="4" spans="1:8" s="32" customFormat="1" ht="10.5" x14ac:dyDescent="0.35">
      <c r="A4" s="33" t="s">
        <v>418</v>
      </c>
      <c r="B4" s="31" t="s">
        <v>688</v>
      </c>
    </row>
    <row r="5" spans="1:8" s="32" customFormat="1" ht="10.5" x14ac:dyDescent="0.35">
      <c r="A5" s="33" t="s">
        <v>420</v>
      </c>
      <c r="B5" s="31" t="s">
        <v>421</v>
      </c>
    </row>
    <row r="6" spans="1:8" s="36" customFormat="1" ht="10.5" x14ac:dyDescent="0.35">
      <c r="A6" s="34" t="s">
        <v>422</v>
      </c>
      <c r="B6" s="35" t="s">
        <v>2</v>
      </c>
    </row>
    <row r="8" spans="1:8" ht="15" customHeight="1" x14ac:dyDescent="0.45">
      <c r="A8" s="19" t="s">
        <v>51</v>
      </c>
      <c r="B8" s="40"/>
    </row>
    <row r="9" spans="1:8" ht="15" customHeight="1" thickBot="1" x14ac:dyDescent="0.5">
      <c r="A9" s="20" t="s">
        <v>58</v>
      </c>
      <c r="B9" s="17" t="s">
        <v>382</v>
      </c>
    </row>
    <row r="10" spans="1:8" ht="15" customHeight="1" thickTop="1" x14ac:dyDescent="0.45">
      <c r="A10" s="18" t="s">
        <v>65</v>
      </c>
      <c r="B10" s="21">
        <v>1298.5827008306633</v>
      </c>
    </row>
    <row r="11" spans="1:8" ht="15" customHeight="1" x14ac:dyDescent="0.45">
      <c r="A11" s="18" t="s">
        <v>68</v>
      </c>
      <c r="B11" s="21">
        <v>904.78384631226425</v>
      </c>
    </row>
    <row r="12" spans="1:8" ht="15" customHeight="1" x14ac:dyDescent="0.45">
      <c r="A12" s="18" t="s">
        <v>69</v>
      </c>
      <c r="B12" s="21">
        <v>393.79885451839903</v>
      </c>
    </row>
    <row r="13" spans="1:8" ht="15" customHeight="1" x14ac:dyDescent="0.45">
      <c r="A13" s="18" t="s">
        <v>71</v>
      </c>
      <c r="B13" s="22">
        <v>2.3196364339247149E-67</v>
      </c>
    </row>
    <row r="14" spans="1:8" ht="15" customHeight="1" x14ac:dyDescent="0.45"/>
    <row r="15" spans="1:8" ht="15" customHeight="1" x14ac:dyDescent="0.45">
      <c r="A15" s="19"/>
      <c r="B15" s="122" t="s">
        <v>72</v>
      </c>
      <c r="C15" s="40" t="s">
        <v>73</v>
      </c>
      <c r="D15" s="40" t="s">
        <v>74</v>
      </c>
      <c r="E15" s="122" t="s">
        <v>71</v>
      </c>
      <c r="F15" s="40" t="s">
        <v>75</v>
      </c>
      <c r="G15" s="40" t="s">
        <v>76</v>
      </c>
      <c r="H15" s="122" t="s">
        <v>77</v>
      </c>
    </row>
    <row r="16" spans="1:8" ht="15" customHeight="1" thickBot="1" x14ac:dyDescent="0.5">
      <c r="A16" s="20" t="s">
        <v>79</v>
      </c>
      <c r="B16" s="121"/>
      <c r="C16" s="17" t="s">
        <v>80</v>
      </c>
      <c r="D16" s="17" t="s">
        <v>81</v>
      </c>
      <c r="E16" s="121"/>
      <c r="F16" s="17" t="s">
        <v>82</v>
      </c>
      <c r="G16" s="17" t="s">
        <v>82</v>
      </c>
      <c r="H16" s="121"/>
    </row>
    <row r="17" spans="1:8" ht="15" customHeight="1" thickTop="1" x14ac:dyDescent="0.45">
      <c r="A17" s="18" t="s">
        <v>84</v>
      </c>
      <c r="B17" s="16">
        <v>4.3813647795247022</v>
      </c>
      <c r="C17" s="21">
        <v>0.98747975282315403</v>
      </c>
      <c r="D17" s="21">
        <v>4.4369160653660034</v>
      </c>
      <c r="E17" s="22">
        <v>9.1256855987431607E-6</v>
      </c>
      <c r="F17" s="21">
        <v>2.4459044639913206</v>
      </c>
      <c r="G17" s="21">
        <v>6.3168250950580838</v>
      </c>
      <c r="H17" s="21">
        <v>79.94706910629013</v>
      </c>
    </row>
    <row r="18" spans="1:8" ht="15" customHeight="1" x14ac:dyDescent="0.45">
      <c r="A18" s="18" t="s">
        <v>398</v>
      </c>
      <c r="B18" s="16">
        <v>-4.3522853756982373E-2</v>
      </c>
      <c r="C18" s="21">
        <v>1.1795559161789692E-2</v>
      </c>
      <c r="D18" s="21">
        <v>-3.6897660517840878</v>
      </c>
      <c r="E18" s="22">
        <v>2.2446037547463327E-4</v>
      </c>
      <c r="F18" s="21">
        <v>-6.664214971409016E-2</v>
      </c>
      <c r="G18" s="21">
        <v>-2.0403557799874579E-2</v>
      </c>
      <c r="H18" s="21">
        <v>0.95741067341007757</v>
      </c>
    </row>
    <row r="19" spans="1:8" ht="15" customHeight="1" x14ac:dyDescent="0.45">
      <c r="A19" s="18" t="s">
        <v>4</v>
      </c>
      <c r="B19" s="16">
        <v>1.8785368798769033</v>
      </c>
      <c r="C19" s="21">
        <v>0.40415533574943857</v>
      </c>
      <c r="D19" s="21">
        <v>4.6480566101978349</v>
      </c>
      <c r="E19" s="22">
        <v>3.3507696444168289E-6</v>
      </c>
      <c r="F19" s="21">
        <v>1.0863924218080037</v>
      </c>
      <c r="G19" s="21">
        <v>2.670681337945803</v>
      </c>
      <c r="H19" s="21">
        <v>6.5439233085417277</v>
      </c>
    </row>
    <row r="20" spans="1:8" ht="15" customHeight="1" x14ac:dyDescent="0.45">
      <c r="A20" s="18" t="s">
        <v>5</v>
      </c>
      <c r="B20" s="16">
        <v>1.0006700219217481</v>
      </c>
      <c r="C20" s="21">
        <v>0.37501627560857581</v>
      </c>
      <c r="D20" s="21">
        <v>2.6683375816099244</v>
      </c>
      <c r="E20" s="22">
        <v>7.6227624258837778E-3</v>
      </c>
      <c r="F20" s="21">
        <v>0.26563812172893952</v>
      </c>
      <c r="G20" s="21">
        <v>1.7357019221145569</v>
      </c>
      <c r="H20" s="21">
        <v>2.7201037471681806</v>
      </c>
    </row>
    <row r="21" spans="1:8" ht="15" customHeight="1" x14ac:dyDescent="0.45">
      <c r="A21" s="18" t="s">
        <v>397</v>
      </c>
      <c r="B21" s="16">
        <v>4.144456799747144E-2</v>
      </c>
      <c r="C21" s="21">
        <v>1.0297463469626794E-2</v>
      </c>
      <c r="D21" s="21">
        <v>4.0247356176320084</v>
      </c>
      <c r="E21" s="22">
        <v>5.7039360096045044E-5</v>
      </c>
      <c r="F21" s="21">
        <v>2.1261539597002926E-2</v>
      </c>
      <c r="G21" s="21">
        <v>6.1627596397939952E-2</v>
      </c>
      <c r="H21" s="21">
        <v>1.042315382621154</v>
      </c>
    </row>
    <row r="22" spans="1:8" ht="15" customHeight="1" x14ac:dyDescent="0.45">
      <c r="A22" s="18" t="s">
        <v>10</v>
      </c>
      <c r="B22" s="16">
        <v>-3.1240317390389055E-2</v>
      </c>
      <c r="C22" s="21">
        <v>8.5181886058777426E-2</v>
      </c>
      <c r="D22" s="21">
        <v>-0.36674836442142794</v>
      </c>
      <c r="E22" s="22">
        <v>0.71380672688138547</v>
      </c>
      <c r="F22" s="21">
        <v>-0.19819681406559281</v>
      </c>
      <c r="G22" s="21">
        <v>0.13571617928481472</v>
      </c>
      <c r="H22" s="21">
        <v>0.96924261922880983</v>
      </c>
    </row>
    <row r="23" spans="1:8" ht="15" customHeight="1" x14ac:dyDescent="0.45">
      <c r="A23" s="18" t="s">
        <v>12</v>
      </c>
      <c r="B23" s="16">
        <v>-1.0333535550952349</v>
      </c>
      <c r="C23" s="21">
        <v>0.57654445996816095</v>
      </c>
      <c r="D23" s="21">
        <v>-1.79232240849613</v>
      </c>
      <c r="E23" s="22">
        <v>7.3081335792006374E-2</v>
      </c>
      <c r="F23" s="21">
        <v>-2.1633806966328306</v>
      </c>
      <c r="G23" s="21">
        <v>9.6673586442360682E-2</v>
      </c>
      <c r="H23" s="21">
        <v>0.35581172332464139</v>
      </c>
    </row>
    <row r="24" spans="1:8" ht="15" customHeight="1" x14ac:dyDescent="0.45">
      <c r="A24" s="18" t="s">
        <v>13</v>
      </c>
      <c r="B24" s="16">
        <v>-1.1295432750720695</v>
      </c>
      <c r="C24" s="21">
        <v>0.67104784647073856</v>
      </c>
      <c r="D24" s="21">
        <v>-1.683252961786122</v>
      </c>
      <c r="E24" s="22">
        <v>9.232613210544538E-2</v>
      </c>
      <c r="F24" s="21">
        <v>-2.444797054154717</v>
      </c>
      <c r="G24" s="21">
        <v>0.18571050401057798</v>
      </c>
      <c r="H24" s="21">
        <v>0.3231808274601321</v>
      </c>
    </row>
    <row r="25" spans="1:8" ht="15" customHeight="1" x14ac:dyDescent="0.45">
      <c r="A25" s="18" t="s">
        <v>14</v>
      </c>
      <c r="B25" s="16">
        <v>-1.1805277524720745</v>
      </c>
      <c r="C25" s="21">
        <v>0.58293347830232656</v>
      </c>
      <c r="D25" s="21">
        <v>-2.0251500324018412</v>
      </c>
      <c r="E25" s="22">
        <v>4.2851960716501214E-2</v>
      </c>
      <c r="F25" s="21">
        <v>-2.3230773699446345</v>
      </c>
      <c r="G25" s="21">
        <v>-3.7978134999514523E-2</v>
      </c>
      <c r="H25" s="21">
        <v>0.30711661427173931</v>
      </c>
    </row>
    <row r="26" spans="1:8" ht="15" customHeight="1" x14ac:dyDescent="0.45">
      <c r="A26" s="18" t="s">
        <v>15</v>
      </c>
      <c r="B26" s="16">
        <v>-0.18128640136951513</v>
      </c>
      <c r="C26" s="21">
        <v>0.60776380904506</v>
      </c>
      <c r="D26" s="21">
        <v>-0.29828429839275677</v>
      </c>
      <c r="E26" s="22">
        <v>0.76548618721313755</v>
      </c>
      <c r="F26" s="21">
        <v>-1.3725034670978329</v>
      </c>
      <c r="G26" s="21">
        <v>1.0099306643588024</v>
      </c>
      <c r="H26" s="21">
        <v>0.83419640948561113</v>
      </c>
    </row>
    <row r="27" spans="1:8" ht="15" customHeight="1" x14ac:dyDescent="0.45">
      <c r="A27" s="18" t="s">
        <v>16</v>
      </c>
      <c r="B27" s="16">
        <v>-0.16730988722292756</v>
      </c>
      <c r="C27" s="21">
        <v>0.61398325881430582</v>
      </c>
      <c r="D27" s="21">
        <v>-0.27249910290066892</v>
      </c>
      <c r="E27" s="22">
        <v>0.78523828096553627</v>
      </c>
      <c r="F27" s="21">
        <v>-1.370717074498967</v>
      </c>
      <c r="G27" s="21">
        <v>1.036097300053112</v>
      </c>
      <c r="H27" s="21">
        <v>0.84593742551570483</v>
      </c>
    </row>
    <row r="28" spans="1:8" ht="15" customHeight="1" x14ac:dyDescent="0.45">
      <c r="A28" s="18" t="s">
        <v>17</v>
      </c>
      <c r="B28" s="16">
        <v>-0.41717822465823545</v>
      </c>
      <c r="C28" s="21">
        <v>7.9991723646249291E-2</v>
      </c>
      <c r="D28" s="21">
        <v>-5.2152673506966796</v>
      </c>
      <c r="E28" s="22">
        <v>1.8355230380073806E-7</v>
      </c>
      <c r="F28" s="21">
        <v>-0.57396200300488409</v>
      </c>
      <c r="G28" s="21">
        <v>-0.26039444631158681</v>
      </c>
      <c r="H28" s="21">
        <v>0.65890347663185156</v>
      </c>
    </row>
    <row r="29" spans="1:8" ht="15" customHeight="1" x14ac:dyDescent="0.45">
      <c r="A29" s="18" t="s">
        <v>19</v>
      </c>
      <c r="B29" s="16">
        <v>-0.41364099902075718</v>
      </c>
      <c r="C29" s="21">
        <v>0.17871205867236747</v>
      </c>
      <c r="D29" s="21">
        <v>-2.3145668070394989</v>
      </c>
      <c r="E29" s="22">
        <v>2.0636651174504861E-2</v>
      </c>
      <c r="F29" s="21">
        <v>-0.76391663401859744</v>
      </c>
      <c r="G29" s="21">
        <v>-6.3365364022916926E-2</v>
      </c>
      <c r="H29" s="21">
        <v>0.66123829385525923</v>
      </c>
    </row>
    <row r="30" spans="1:8" ht="15" customHeight="1" x14ac:dyDescent="0.45">
      <c r="A30" s="18" t="s">
        <v>21</v>
      </c>
      <c r="B30" s="16">
        <v>-0.55066754539941654</v>
      </c>
      <c r="C30" s="21">
        <v>0.11850115152224287</v>
      </c>
      <c r="D30" s="21">
        <v>-4.6469383489160041</v>
      </c>
      <c r="E30" s="22">
        <v>3.3689779697088085E-6</v>
      </c>
      <c r="F30" s="21">
        <v>-0.78292980238301257</v>
      </c>
      <c r="G30" s="21">
        <v>-0.3184052884158205</v>
      </c>
      <c r="H30" s="21">
        <v>0.57656479870955513</v>
      </c>
    </row>
    <row r="31" spans="1:8" ht="15" customHeight="1" x14ac:dyDescent="0.45">
      <c r="A31" s="18" t="s">
        <v>32</v>
      </c>
      <c r="B31" s="16">
        <v>-0.39021765559426691</v>
      </c>
      <c r="C31" s="21">
        <v>7.8299100564263077E-2</v>
      </c>
      <c r="D31" s="21">
        <v>-4.9836799245733392</v>
      </c>
      <c r="E31" s="22">
        <v>6.2386247345891377E-7</v>
      </c>
      <c r="F31" s="21">
        <v>-0.54368389270022255</v>
      </c>
      <c r="G31" s="21">
        <v>-0.23675141848831127</v>
      </c>
      <c r="H31" s="21">
        <v>0.6769095253180617</v>
      </c>
    </row>
    <row r="32" spans="1:8" ht="15" customHeight="1" x14ac:dyDescent="0.45">
      <c r="A32" s="18" t="s">
        <v>34</v>
      </c>
      <c r="B32" s="16">
        <v>1.1448669583257294</v>
      </c>
      <c r="C32" s="21">
        <v>0.33185731986069988</v>
      </c>
      <c r="D32" s="21">
        <v>3.4498770700802912</v>
      </c>
      <c r="E32" s="22">
        <v>5.6084187944338559E-4</v>
      </c>
      <c r="F32" s="21">
        <v>0.49442661139875765</v>
      </c>
      <c r="G32" s="21">
        <v>1.7953073052527011</v>
      </c>
      <c r="H32" s="21">
        <v>3.1420233089892653</v>
      </c>
    </row>
    <row r="33" spans="1:8" ht="15" customHeight="1" x14ac:dyDescent="0.45">
      <c r="A33" s="18" t="s">
        <v>35</v>
      </c>
      <c r="B33" s="16">
        <v>0.26265003316085922</v>
      </c>
      <c r="C33" s="21">
        <v>0.25845895587074841</v>
      </c>
      <c r="D33" s="21">
        <v>1.0162156396399229</v>
      </c>
      <c r="E33" s="22">
        <v>0.30952671040783142</v>
      </c>
      <c r="F33" s="21">
        <v>-0.24392952034580762</v>
      </c>
      <c r="G33" s="21">
        <v>0.76922958666752606</v>
      </c>
      <c r="H33" s="21">
        <v>1.3003715523878703</v>
      </c>
    </row>
    <row r="34" spans="1:8" ht="15" customHeight="1" x14ac:dyDescent="0.45">
      <c r="A34" s="18" t="s">
        <v>392</v>
      </c>
      <c r="B34" s="16">
        <v>-1.2043698530387114E-4</v>
      </c>
      <c r="C34" s="21">
        <v>3.0061590678382162E-5</v>
      </c>
      <c r="D34" s="21">
        <v>-4.0063410679887799</v>
      </c>
      <c r="E34" s="22">
        <v>6.1666585661201978E-5</v>
      </c>
      <c r="F34" s="21">
        <v>-1.7935770303350017E-4</v>
      </c>
      <c r="G34" s="21">
        <v>-6.1516267574242099E-5</v>
      </c>
      <c r="H34" s="21">
        <v>0.99987957026693874</v>
      </c>
    </row>
    <row r="35" spans="1:8" ht="15" customHeight="1" x14ac:dyDescent="0.45">
      <c r="A35" s="18" t="s">
        <v>37</v>
      </c>
      <c r="B35" s="16">
        <v>0.15741016308540215</v>
      </c>
      <c r="C35" s="21">
        <v>3.5903583042517735E-2</v>
      </c>
      <c r="D35" s="21">
        <v>4.3842466335182735</v>
      </c>
      <c r="E35" s="22">
        <v>1.1638785417655839E-5</v>
      </c>
      <c r="F35" s="21">
        <v>8.7039140322067388E-2</v>
      </c>
      <c r="G35" s="21">
        <v>0.22778118584873691</v>
      </c>
      <c r="H35" s="21">
        <v>1.1704756013416537</v>
      </c>
    </row>
    <row r="36" spans="1:8" ht="15" customHeight="1" x14ac:dyDescent="0.45">
      <c r="A36" s="18" t="s">
        <v>39</v>
      </c>
      <c r="B36" s="16">
        <v>1.8157670517342237</v>
      </c>
      <c r="C36" s="21">
        <v>0.18296362963754625</v>
      </c>
      <c r="D36" s="21">
        <v>9.924196712380958</v>
      </c>
      <c r="E36" s="22">
        <v>0</v>
      </c>
      <c r="F36" s="21">
        <v>1.4571583376446331</v>
      </c>
      <c r="G36" s="21">
        <v>2.1743757658238145</v>
      </c>
      <c r="H36" s="21">
        <v>6.1457885076463263</v>
      </c>
    </row>
    <row r="37" spans="1:8" ht="15" customHeight="1" x14ac:dyDescent="0.45">
      <c r="A37" s="18" t="s">
        <v>42</v>
      </c>
      <c r="B37" s="16">
        <v>-0.24251383338120461</v>
      </c>
      <c r="C37" s="21">
        <v>7.9727446859956211E-2</v>
      </c>
      <c r="D37" s="21">
        <v>-3.0417860214085102</v>
      </c>
      <c r="E37" s="22">
        <v>2.3517901213934156E-3</v>
      </c>
      <c r="F37" s="21">
        <v>-0.39877962922671878</v>
      </c>
      <c r="G37" s="21">
        <v>-8.6248037535690436E-2</v>
      </c>
      <c r="H37" s="21">
        <v>0.78465289310106201</v>
      </c>
    </row>
    <row r="38" spans="1:8" ht="15" customHeight="1" x14ac:dyDescent="0.45">
      <c r="A38" s="18" t="s">
        <v>43</v>
      </c>
      <c r="B38" s="16">
        <v>-0.18416378246068957</v>
      </c>
      <c r="C38" s="21">
        <v>0.15162227706113987</v>
      </c>
      <c r="D38" s="21">
        <v>-1.21462219160861</v>
      </c>
      <c r="E38" s="22">
        <v>0.22451022097064643</v>
      </c>
      <c r="F38" s="21">
        <v>-0.48134344550052366</v>
      </c>
      <c r="G38" s="21">
        <v>0.11301588057914455</v>
      </c>
      <c r="H38" s="21">
        <v>0.83179955849118792</v>
      </c>
    </row>
    <row r="39" spans="1:8" ht="15" customHeight="1" x14ac:dyDescent="0.45">
      <c r="A39" s="18" t="s">
        <v>45</v>
      </c>
      <c r="B39" s="16">
        <v>-0.15671630441553216</v>
      </c>
      <c r="C39" s="21">
        <v>7.0283797574448012E-2</v>
      </c>
      <c r="D39" s="21">
        <v>-2.2297643244096288</v>
      </c>
      <c r="E39" s="22">
        <v>2.5763092982892033E-2</v>
      </c>
      <c r="F39" s="21">
        <v>-0.29447254766145026</v>
      </c>
      <c r="G39" s="21">
        <v>-1.8960061169614073E-2</v>
      </c>
      <c r="H39" s="21">
        <v>0.85494656898310351</v>
      </c>
    </row>
    <row r="40" spans="1:8" ht="15" customHeight="1" x14ac:dyDescent="0.45">
      <c r="A40" s="18" t="s">
        <v>46</v>
      </c>
      <c r="B40" s="16">
        <v>-0.29708054259222672</v>
      </c>
      <c r="C40" s="21">
        <v>0.11791952574376834</v>
      </c>
      <c r="D40" s="21">
        <v>-2.5193498762687017</v>
      </c>
      <c r="E40" s="22">
        <v>1.1757176450565732E-2</v>
      </c>
      <c r="F40" s="21">
        <v>-0.52820281305001271</v>
      </c>
      <c r="G40" s="21">
        <v>-6.5958272134440776E-2</v>
      </c>
      <c r="H40" s="21">
        <v>0.74298416808108481</v>
      </c>
    </row>
    <row r="41" spans="1:8" ht="15" customHeight="1" x14ac:dyDescent="0.45">
      <c r="A41" s="18" t="s">
        <v>48</v>
      </c>
      <c r="B41" s="16">
        <v>-0.11885291326473245</v>
      </c>
      <c r="C41" s="21">
        <v>4.1181332621132785E-2</v>
      </c>
      <c r="D41" s="21">
        <v>-2.8860871103462395</v>
      </c>
      <c r="E41" s="22">
        <v>3.9006417889642098E-3</v>
      </c>
      <c r="F41" s="21">
        <v>-0.1995683252021527</v>
      </c>
      <c r="G41" s="21">
        <v>-3.8137501327312195E-2</v>
      </c>
      <c r="H41" s="21">
        <v>0.88793839511702244</v>
      </c>
    </row>
    <row r="42" spans="1:8" ht="15" customHeight="1" x14ac:dyDescent="0.45">
      <c r="A42" s="18" t="s">
        <v>49</v>
      </c>
      <c r="B42" s="16">
        <v>0.20997512282438868</v>
      </c>
      <c r="C42" s="21">
        <v>3.8811496622977511E-2</v>
      </c>
      <c r="D42" s="21">
        <v>5.4101269235795826</v>
      </c>
      <c r="E42" s="22">
        <v>6.298009647132119E-8</v>
      </c>
      <c r="F42" s="21">
        <v>0.13390458944335276</v>
      </c>
      <c r="G42" s="21">
        <v>0.2860456562054246</v>
      </c>
      <c r="H42" s="21">
        <v>1.2336473699127404</v>
      </c>
    </row>
    <row r="43" spans="1:8" ht="15" customHeight="1" x14ac:dyDescent="0.45">
      <c r="A43" s="18" t="s">
        <v>394</v>
      </c>
      <c r="B43" s="16">
        <v>-0.10260672743542079</v>
      </c>
      <c r="C43" s="21">
        <v>4.1507347703128597E-2</v>
      </c>
      <c r="D43" s="21">
        <v>-2.472013585866554</v>
      </c>
      <c r="E43" s="22">
        <v>1.3435441033285089E-2</v>
      </c>
      <c r="F43" s="21">
        <v>-0.18396112893355282</v>
      </c>
      <c r="G43" s="21">
        <v>-2.1252325937288749E-2</v>
      </c>
      <c r="H43" s="21">
        <v>0.90248182504207175</v>
      </c>
    </row>
    <row r="44" spans="1:8" ht="15" customHeight="1" x14ac:dyDescent="0.45"/>
    <row r="45" spans="1:8" ht="15" customHeight="1" x14ac:dyDescent="0.45">
      <c r="A45" s="19"/>
      <c r="B45" s="23">
        <v>1</v>
      </c>
      <c r="C45" s="23">
        <v>0</v>
      </c>
      <c r="D45" s="40" t="s">
        <v>92</v>
      </c>
    </row>
    <row r="46" spans="1:8" ht="15" customHeight="1" thickBot="1" x14ac:dyDescent="0.5">
      <c r="A46" s="20" t="s">
        <v>93</v>
      </c>
      <c r="B46" s="17"/>
      <c r="C46" s="17"/>
      <c r="D46" s="17" t="s">
        <v>94</v>
      </c>
    </row>
    <row r="47" spans="1:8" ht="15" customHeight="1" thickTop="1" x14ac:dyDescent="0.45">
      <c r="A47" s="24">
        <v>1</v>
      </c>
      <c r="B47" s="21">
        <v>102</v>
      </c>
      <c r="C47" s="21">
        <v>135</v>
      </c>
      <c r="D47" s="25">
        <v>0.43037974683544306</v>
      </c>
    </row>
    <row r="48" spans="1:8" ht="15" customHeight="1" x14ac:dyDescent="0.45">
      <c r="A48" s="24">
        <v>0</v>
      </c>
      <c r="B48" s="21">
        <v>27</v>
      </c>
      <c r="C48" s="21">
        <v>1206</v>
      </c>
      <c r="D48" s="25">
        <v>0.97810218978102192</v>
      </c>
    </row>
    <row r="49" spans="1:2" ht="15" customHeight="1" x14ac:dyDescent="0.45"/>
    <row r="50" spans="1:2" ht="15" customHeight="1" x14ac:dyDescent="0.45">
      <c r="A50" s="19"/>
      <c r="B50" s="122" t="s">
        <v>92</v>
      </c>
    </row>
    <row r="51" spans="1:2" ht="15" customHeight="1" thickBot="1" x14ac:dyDescent="0.5">
      <c r="A51" s="20" t="s">
        <v>95</v>
      </c>
      <c r="B51" s="121"/>
    </row>
    <row r="52" spans="1:2" ht="15" customHeight="1" thickTop="1" x14ac:dyDescent="0.45">
      <c r="A52" s="18" t="s">
        <v>94</v>
      </c>
      <c r="B52" s="25">
        <v>0.88979591836734695</v>
      </c>
    </row>
    <row r="53" spans="1:2" ht="15" customHeight="1" x14ac:dyDescent="0.45">
      <c r="A53" s="18" t="s">
        <v>96</v>
      </c>
      <c r="B53" s="25">
        <v>0.83877551020408159</v>
      </c>
    </row>
    <row r="54" spans="1:2" ht="15" customHeight="1" x14ac:dyDescent="0.45">
      <c r="A54" s="18" t="s">
        <v>69</v>
      </c>
      <c r="B54" s="25">
        <v>0.31645569620253189</v>
      </c>
    </row>
  </sheetData>
  <mergeCells count="4">
    <mergeCell ref="B15:B16"/>
    <mergeCell ref="E15:E16"/>
    <mergeCell ref="H15:H16"/>
    <mergeCell ref="B50:B51"/>
  </mergeCells>
  <conditionalFormatting sqref="E17:E43">
    <cfRule type="cellIs" dxfId="1" priority="1" operator="lessThan">
      <formula>0.05</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AD46"/>
  <sheetViews>
    <sheetView showGridLines="0" topLeftCell="A13" zoomScale="70" zoomScaleNormal="70" workbookViewId="0">
      <selection activeCell="D50" sqref="D50"/>
    </sheetView>
  </sheetViews>
  <sheetFormatPr defaultColWidth="12.73046875" defaultRowHeight="14.25" x14ac:dyDescent="0.45"/>
  <cols>
    <col min="1" max="1" width="25.3984375" bestFit="1" customWidth="1"/>
    <col min="3" max="3" width="12.73046875" customWidth="1"/>
    <col min="5" max="5" width="12.73046875" customWidth="1"/>
    <col min="8" max="8" width="12.73046875" customWidth="1"/>
    <col min="9" max="9" width="21.86328125" bestFit="1" customWidth="1"/>
    <col min="10" max="11" width="12.73046875" customWidth="1"/>
    <col min="26" max="26" width="14.9296875" bestFit="1" customWidth="1"/>
    <col min="27" max="27" width="14" bestFit="1" customWidth="1"/>
  </cols>
  <sheetData>
    <row r="1" spans="1:30" s="32" customFormat="1" ht="18" x14ac:dyDescent="0.55000000000000004">
      <c r="A1" s="30" t="s">
        <v>413</v>
      </c>
      <c r="B1" s="31"/>
    </row>
    <row r="2" spans="1:30" s="32" customFormat="1" ht="10.5" x14ac:dyDescent="0.35">
      <c r="A2" s="33" t="s">
        <v>414</v>
      </c>
      <c r="B2" s="31" t="s">
        <v>514</v>
      </c>
    </row>
    <row r="3" spans="1:30" s="32" customFormat="1" ht="10.5" x14ac:dyDescent="0.35">
      <c r="A3" s="33" t="s">
        <v>416</v>
      </c>
      <c r="B3" s="31" t="s">
        <v>417</v>
      </c>
    </row>
    <row r="4" spans="1:30" s="32" customFormat="1" ht="10.5" x14ac:dyDescent="0.35">
      <c r="A4" s="33" t="s">
        <v>418</v>
      </c>
      <c r="B4" s="31" t="s">
        <v>515</v>
      </c>
    </row>
    <row r="5" spans="1:30" s="32" customFormat="1" ht="10.5" x14ac:dyDescent="0.35">
      <c r="A5" s="33" t="s">
        <v>420</v>
      </c>
      <c r="B5" s="31" t="s">
        <v>421</v>
      </c>
    </row>
    <row r="6" spans="1:30" s="36" customFormat="1" ht="10.5" x14ac:dyDescent="0.35">
      <c r="A6" s="34" t="s">
        <v>422</v>
      </c>
      <c r="B6" s="35" t="s">
        <v>2</v>
      </c>
    </row>
    <row r="8" spans="1:30" ht="15" customHeight="1" x14ac:dyDescent="0.45">
      <c r="A8" s="19" t="s">
        <v>51</v>
      </c>
      <c r="B8" s="38"/>
    </row>
    <row r="9" spans="1:30" ht="15" customHeight="1" thickBot="1" x14ac:dyDescent="0.5">
      <c r="A9" s="20" t="s">
        <v>58</v>
      </c>
      <c r="B9" s="17" t="s">
        <v>382</v>
      </c>
    </row>
    <row r="10" spans="1:30" ht="15" customHeight="1" thickTop="1" x14ac:dyDescent="0.45">
      <c r="A10" s="18" t="s">
        <v>65</v>
      </c>
      <c r="B10" s="21">
        <v>1298.5827008306633</v>
      </c>
    </row>
    <row r="11" spans="1:30" ht="15" customHeight="1" x14ac:dyDescent="0.45">
      <c r="A11" s="18" t="s">
        <v>68</v>
      </c>
      <c r="B11" s="21">
        <v>936.70679100501206</v>
      </c>
    </row>
    <row r="12" spans="1:30" ht="15" customHeight="1" x14ac:dyDescent="0.45">
      <c r="A12" s="18" t="s">
        <v>69</v>
      </c>
      <c r="B12" s="21">
        <v>361.87590982565121</v>
      </c>
    </row>
    <row r="13" spans="1:30" ht="15" customHeight="1" x14ac:dyDescent="0.45">
      <c r="A13" s="18" t="s">
        <v>71</v>
      </c>
      <c r="B13" s="22">
        <v>7.8322419173631997E-66</v>
      </c>
    </row>
    <row r="14" spans="1:30" ht="15" customHeight="1" x14ac:dyDescent="0.45"/>
    <row r="15" spans="1:30" ht="15" customHeight="1" x14ac:dyDescent="0.45">
      <c r="A15" s="19"/>
      <c r="B15" s="122" t="s">
        <v>72</v>
      </c>
      <c r="C15" s="38" t="s">
        <v>73</v>
      </c>
      <c r="D15" s="38" t="s">
        <v>74</v>
      </c>
      <c r="E15" s="122" t="s">
        <v>71</v>
      </c>
      <c r="F15" s="38" t="s">
        <v>75</v>
      </c>
      <c r="G15" s="38" t="s">
        <v>76</v>
      </c>
      <c r="H15" s="122" t="s">
        <v>77</v>
      </c>
      <c r="I15" s="39"/>
      <c r="J15" s="39"/>
      <c r="K15" s="39"/>
    </row>
    <row r="16" spans="1:30" ht="15" customHeight="1" thickBot="1" x14ac:dyDescent="0.5">
      <c r="A16" s="20" t="s">
        <v>79</v>
      </c>
      <c r="B16" s="121"/>
      <c r="C16" s="17" t="s">
        <v>80</v>
      </c>
      <c r="D16" s="17" t="s">
        <v>81</v>
      </c>
      <c r="E16" s="121"/>
      <c r="F16" s="17" t="s">
        <v>82</v>
      </c>
      <c r="G16" s="17" t="s">
        <v>82</v>
      </c>
      <c r="H16" s="121"/>
      <c r="I16" s="89"/>
      <c r="J16" s="89" t="s">
        <v>701</v>
      </c>
      <c r="K16" s="89" t="s">
        <v>700</v>
      </c>
      <c r="L16" s="18" t="s">
        <v>84</v>
      </c>
      <c r="M16" s="18" t="s">
        <v>398</v>
      </c>
      <c r="N16" s="18" t="s">
        <v>4</v>
      </c>
      <c r="O16" s="18" t="s">
        <v>5</v>
      </c>
      <c r="P16" s="18" t="s">
        <v>397</v>
      </c>
      <c r="Q16" s="18" t="s">
        <v>17</v>
      </c>
      <c r="R16" s="18" t="s">
        <v>19</v>
      </c>
      <c r="S16" s="18" t="s">
        <v>21</v>
      </c>
      <c r="T16" s="18" t="s">
        <v>32</v>
      </c>
      <c r="U16" s="18" t="s">
        <v>34</v>
      </c>
      <c r="V16" s="18" t="s">
        <v>35</v>
      </c>
      <c r="W16" s="18" t="s">
        <v>392</v>
      </c>
      <c r="X16" s="18" t="s">
        <v>37</v>
      </c>
      <c r="Y16" s="18" t="s">
        <v>39</v>
      </c>
      <c r="Z16" s="18" t="s">
        <v>42</v>
      </c>
      <c r="AA16" s="18" t="s">
        <v>45</v>
      </c>
      <c r="AB16" s="18" t="s">
        <v>46</v>
      </c>
      <c r="AC16" s="18" t="s">
        <v>48</v>
      </c>
      <c r="AD16" s="18" t="s">
        <v>519</v>
      </c>
    </row>
    <row r="17" spans="1:30" ht="15" customHeight="1" thickTop="1" x14ac:dyDescent="0.45">
      <c r="A17" s="18" t="s">
        <v>84</v>
      </c>
      <c r="B17" s="16">
        <v>3.0437558753044409</v>
      </c>
      <c r="C17" s="21">
        <v>0.78708478754157651</v>
      </c>
      <c r="D17" s="21">
        <v>3.8671257829940706</v>
      </c>
      <c r="E17" s="22">
        <v>1.1012563372303497E-4</v>
      </c>
      <c r="F17" s="21">
        <v>1.5010696917229509</v>
      </c>
      <c r="G17" s="21">
        <v>4.5864420588859307</v>
      </c>
      <c r="H17" s="21">
        <v>20.983908357613512</v>
      </c>
      <c r="I17" s="21"/>
      <c r="J17" s="21" t="s">
        <v>702</v>
      </c>
      <c r="K17" s="21"/>
      <c r="L17" s="16">
        <v>3.0437558753044409</v>
      </c>
      <c r="M17" s="16">
        <v>-4.614678050626498E-2</v>
      </c>
      <c r="N17" s="16">
        <v>1.8427396024206837</v>
      </c>
      <c r="O17" s="16">
        <v>1.0267611063493212</v>
      </c>
      <c r="P17" s="16">
        <v>3.8782413879162175E-2</v>
      </c>
      <c r="Q17" s="16">
        <v>-0.38758200553113042</v>
      </c>
      <c r="R17" s="16">
        <v>-0.39597312941532053</v>
      </c>
      <c r="S17" s="16">
        <v>-0.57444273497265241</v>
      </c>
      <c r="T17" s="16">
        <v>-0.39675637585835488</v>
      </c>
      <c r="U17" s="16">
        <v>1.3566582740290154</v>
      </c>
      <c r="V17" s="16">
        <v>0.35778209602727529</v>
      </c>
      <c r="W17" s="16">
        <v>-1.1336172859736651E-4</v>
      </c>
      <c r="X17" s="16">
        <v>0.1519065638559228</v>
      </c>
      <c r="Y17" s="16">
        <v>1.7685878778162969</v>
      </c>
      <c r="Z17" s="16">
        <v>-0.22746137784308038</v>
      </c>
      <c r="AA17" s="16">
        <v>-0.15411437795522687</v>
      </c>
      <c r="AB17" s="16">
        <v>-0.26525260180594601</v>
      </c>
      <c r="AC17" s="16">
        <v>-0.16514108381823617</v>
      </c>
      <c r="AD17" s="16">
        <v>0.16807831120529687</v>
      </c>
    </row>
    <row r="18" spans="1:30" ht="15" customHeight="1" x14ac:dyDescent="0.45">
      <c r="A18" s="18" t="s">
        <v>398</v>
      </c>
      <c r="B18" s="16">
        <v>-4.614678050626498E-2</v>
      </c>
      <c r="C18" s="21">
        <v>1.1547070433520301E-2</v>
      </c>
      <c r="D18" s="21">
        <v>-3.9964059084895034</v>
      </c>
      <c r="E18" s="22">
        <v>6.4311425990615234E-5</v>
      </c>
      <c r="F18" s="21">
        <v>-6.8779038555964761E-2</v>
      </c>
      <c r="G18" s="21">
        <v>-2.3514522456565191E-2</v>
      </c>
      <c r="H18" s="21">
        <v>0.95490179093545557</v>
      </c>
      <c r="I18" s="90" t="s">
        <v>703</v>
      </c>
      <c r="J18" s="90">
        <f>EXP(K18)/((1+EXP(K18)))</f>
        <v>0.50598667666265473</v>
      </c>
      <c r="K18">
        <f>SUMPRODUCT($L$17:$AD$17,L18:AD18)</f>
        <v>2.3947851091847716E-2</v>
      </c>
      <c r="L18">
        <v>1</v>
      </c>
      <c r="M18" s="21">
        <v>36</v>
      </c>
      <c r="N18" s="21">
        <v>1</v>
      </c>
      <c r="O18" s="21">
        <v>0</v>
      </c>
      <c r="P18" s="21">
        <v>7</v>
      </c>
      <c r="Q18" s="21">
        <v>3</v>
      </c>
      <c r="R18" s="21">
        <v>0</v>
      </c>
      <c r="S18" s="21">
        <v>3</v>
      </c>
      <c r="T18" s="21">
        <v>3</v>
      </c>
      <c r="U18" s="21">
        <v>1</v>
      </c>
      <c r="V18" s="21">
        <v>0</v>
      </c>
      <c r="W18" s="21">
        <v>4919</v>
      </c>
      <c r="X18" s="21">
        <v>2</v>
      </c>
      <c r="Y18" s="21">
        <v>1</v>
      </c>
      <c r="Z18" s="21">
        <v>3</v>
      </c>
      <c r="AA18" s="21">
        <v>3</v>
      </c>
      <c r="AB18" s="21">
        <v>3</v>
      </c>
      <c r="AC18" s="21">
        <v>3</v>
      </c>
      <c r="AD18" s="21">
        <v>1</v>
      </c>
    </row>
    <row r="19" spans="1:30" ht="15" customHeight="1" x14ac:dyDescent="0.45">
      <c r="A19" s="18" t="s">
        <v>4</v>
      </c>
      <c r="B19" s="16">
        <v>1.8427396024206837</v>
      </c>
      <c r="C19" s="21">
        <v>0.3960013652162605</v>
      </c>
      <c r="D19" s="21">
        <v>4.6533667918400843</v>
      </c>
      <c r="E19" s="22">
        <v>3.2655859683039523E-6</v>
      </c>
      <c r="F19" s="21">
        <v>1.066576926596813</v>
      </c>
      <c r="G19" s="21">
        <v>2.6189022782445543</v>
      </c>
      <c r="H19" s="21">
        <v>6.3138119231679593</v>
      </c>
      <c r="I19" s="90" t="s">
        <v>704</v>
      </c>
      <c r="J19" s="90">
        <f>EXP(K19)/((1+EXP(K19)))</f>
        <v>0.14872452343202336</v>
      </c>
      <c r="K19">
        <f>SUMPRODUCT($L$17:$AD$17,L19:AD19)</f>
        <v>-1.7446400267244488</v>
      </c>
      <c r="L19">
        <v>1</v>
      </c>
      <c r="M19" s="21">
        <v>36</v>
      </c>
      <c r="N19" s="21">
        <v>1</v>
      </c>
      <c r="O19" s="21">
        <v>0</v>
      </c>
      <c r="P19" s="21">
        <v>7</v>
      </c>
      <c r="Q19" s="21">
        <v>3</v>
      </c>
      <c r="R19" s="21">
        <v>0</v>
      </c>
      <c r="S19" s="21">
        <v>3</v>
      </c>
      <c r="T19" s="21">
        <v>3</v>
      </c>
      <c r="U19" s="21">
        <v>1</v>
      </c>
      <c r="V19" s="21">
        <v>0</v>
      </c>
      <c r="W19" s="21">
        <v>4919</v>
      </c>
      <c r="X19" s="21">
        <v>2</v>
      </c>
      <c r="Y19" s="21">
        <v>0</v>
      </c>
      <c r="Z19" s="21">
        <v>3</v>
      </c>
      <c r="AA19" s="21">
        <v>3</v>
      </c>
      <c r="AB19" s="21">
        <v>3</v>
      </c>
      <c r="AC19" s="21">
        <v>3</v>
      </c>
      <c r="AD19" s="21">
        <v>1</v>
      </c>
    </row>
    <row r="20" spans="1:30" ht="15" customHeight="1" x14ac:dyDescent="0.45">
      <c r="A20" s="18" t="s">
        <v>5</v>
      </c>
      <c r="B20" s="16">
        <v>1.0267611063493212</v>
      </c>
      <c r="C20" s="21">
        <v>0.36962160750102413</v>
      </c>
      <c r="D20" s="21">
        <v>2.7778708969184822</v>
      </c>
      <c r="E20" s="22">
        <v>5.4716353632100478E-3</v>
      </c>
      <c r="F20" s="21">
        <v>0.3023027556473139</v>
      </c>
      <c r="G20" s="21">
        <v>1.7512194570513284</v>
      </c>
      <c r="H20" s="21">
        <v>2.7920081566980675</v>
      </c>
      <c r="J20">
        <f>J18-J19</f>
        <v>0.35726215323063137</v>
      </c>
    </row>
    <row r="21" spans="1:30" ht="15" customHeight="1" x14ac:dyDescent="0.45">
      <c r="A21" s="18" t="s">
        <v>397</v>
      </c>
      <c r="B21" s="16">
        <v>3.8782413879162175E-2</v>
      </c>
      <c r="C21" s="21">
        <v>1.0025783022740986E-2</v>
      </c>
      <c r="D21" s="21">
        <v>3.8682678241882904</v>
      </c>
      <c r="E21" s="22">
        <v>1.0961123542507778E-4</v>
      </c>
      <c r="F21" s="21">
        <v>1.9131879154589842E-2</v>
      </c>
      <c r="G21" s="21">
        <v>5.8432948603734505E-2</v>
      </c>
      <c r="H21" s="21">
        <v>1.0395442686355749</v>
      </c>
    </row>
    <row r="22" spans="1:30" ht="15" customHeight="1" x14ac:dyDescent="0.45">
      <c r="A22" s="18" t="s">
        <v>17</v>
      </c>
      <c r="B22" s="16">
        <v>-0.38758200553113042</v>
      </c>
      <c r="C22" s="21">
        <v>7.7230964192181228E-2</v>
      </c>
      <c r="D22" s="21">
        <v>-5.0184794348374684</v>
      </c>
      <c r="E22" s="22">
        <v>5.2082067458769643E-7</v>
      </c>
      <c r="F22" s="21">
        <v>-0.5389546953478056</v>
      </c>
      <c r="G22" s="21">
        <v>-0.23620931571445522</v>
      </c>
      <c r="H22" s="21">
        <v>0.67869597514535041</v>
      </c>
      <c r="I22" s="21"/>
      <c r="J22" s="21"/>
      <c r="K22" s="21"/>
    </row>
    <row r="23" spans="1:30" ht="15" customHeight="1" x14ac:dyDescent="0.45">
      <c r="A23" s="18" t="s">
        <v>19</v>
      </c>
      <c r="B23" s="16">
        <v>-0.39597312941532053</v>
      </c>
      <c r="C23" s="21">
        <v>0.17457710472368365</v>
      </c>
      <c r="D23" s="21">
        <v>-2.2681847659351271</v>
      </c>
      <c r="E23" s="22">
        <v>2.3317947573751718E-2</v>
      </c>
      <c r="F23" s="21">
        <v>-0.73814425467374045</v>
      </c>
      <c r="G23" s="21">
        <v>-5.3802004156900562E-2</v>
      </c>
      <c r="H23" s="21">
        <v>0.67302478026376655</v>
      </c>
      <c r="I23" s="90" t="s">
        <v>705</v>
      </c>
      <c r="J23" s="90">
        <f>EXP(K23)/((1+EXP(K23)))</f>
        <v>0.50037052661647252</v>
      </c>
      <c r="K23">
        <f>SUMPRODUCT($L$17:$AD$17,L23:AD23)</f>
        <v>1.4821067371951768E-3</v>
      </c>
      <c r="L23">
        <v>1</v>
      </c>
      <c r="M23" s="21">
        <v>36</v>
      </c>
      <c r="N23" s="21">
        <v>0</v>
      </c>
      <c r="O23" s="21">
        <v>1</v>
      </c>
      <c r="P23" s="21">
        <v>7</v>
      </c>
      <c r="Q23" s="21">
        <v>3</v>
      </c>
      <c r="R23" s="21">
        <v>0</v>
      </c>
      <c r="S23" s="21">
        <v>3</v>
      </c>
      <c r="T23" s="21">
        <v>1</v>
      </c>
      <c r="U23" s="21">
        <v>1</v>
      </c>
      <c r="V23" s="21">
        <v>0</v>
      </c>
      <c r="W23" s="21">
        <v>4919</v>
      </c>
      <c r="X23" s="21">
        <v>2</v>
      </c>
      <c r="Y23" s="21">
        <v>1</v>
      </c>
      <c r="Z23" s="21">
        <v>3</v>
      </c>
      <c r="AA23" s="21">
        <v>3</v>
      </c>
      <c r="AB23" s="21">
        <v>3</v>
      </c>
      <c r="AC23" s="21">
        <v>3</v>
      </c>
      <c r="AD23" s="21">
        <v>1</v>
      </c>
    </row>
    <row r="24" spans="1:30" ht="15" customHeight="1" x14ac:dyDescent="0.45">
      <c r="A24" s="18" t="s">
        <v>21</v>
      </c>
      <c r="B24" s="16">
        <v>-0.57444273497265241</v>
      </c>
      <c r="C24" s="21">
        <v>0.11540385978179483</v>
      </c>
      <c r="D24" s="21">
        <v>-4.9776735029383463</v>
      </c>
      <c r="E24" s="22">
        <v>6.4353088569113481E-7</v>
      </c>
      <c r="F24" s="21">
        <v>-0.80063430014497028</v>
      </c>
      <c r="G24" s="21">
        <v>-0.34825116980033455</v>
      </c>
      <c r="H24" s="21">
        <v>0.56301853193968998</v>
      </c>
      <c r="I24" s="90" t="s">
        <v>706</v>
      </c>
      <c r="J24" s="90">
        <f>EXP(K24)/((1+EXP(K24)))</f>
        <v>0.23347594631731441</v>
      </c>
      <c r="K24">
        <f>SUMPRODUCT($L$17:$AD$17,L24:AD24)</f>
        <v>-1.1887870208378695</v>
      </c>
      <c r="L24">
        <v>1</v>
      </c>
      <c r="M24" s="21">
        <v>36</v>
      </c>
      <c r="N24" s="21">
        <v>0</v>
      </c>
      <c r="O24" s="21">
        <v>1</v>
      </c>
      <c r="P24" s="21">
        <v>7</v>
      </c>
      <c r="Q24" s="21">
        <v>3</v>
      </c>
      <c r="R24" s="21">
        <v>0</v>
      </c>
      <c r="S24" s="21">
        <v>3</v>
      </c>
      <c r="T24" s="21">
        <v>4</v>
      </c>
      <c r="U24" s="21">
        <v>1</v>
      </c>
      <c r="V24" s="21">
        <v>0</v>
      </c>
      <c r="W24" s="21">
        <v>4919</v>
      </c>
      <c r="X24" s="21">
        <v>2</v>
      </c>
      <c r="Y24" s="21">
        <v>1</v>
      </c>
      <c r="Z24" s="21">
        <v>3</v>
      </c>
      <c r="AA24" s="21">
        <v>3</v>
      </c>
      <c r="AB24" s="21">
        <v>3</v>
      </c>
      <c r="AC24" s="21">
        <v>3</v>
      </c>
      <c r="AD24" s="21">
        <v>1</v>
      </c>
    </row>
    <row r="25" spans="1:30" ht="15" customHeight="1" x14ac:dyDescent="0.45">
      <c r="A25" s="18" t="s">
        <v>32</v>
      </c>
      <c r="B25" s="16">
        <v>-0.39675637585835488</v>
      </c>
      <c r="C25" s="21">
        <v>7.6335037541247444E-2</v>
      </c>
      <c r="D25" s="21">
        <v>-5.1975657396378248</v>
      </c>
      <c r="E25" s="22">
        <v>2.0191514393808063E-7</v>
      </c>
      <c r="F25" s="21">
        <v>-0.54637304943919984</v>
      </c>
      <c r="G25" s="21">
        <v>-0.24713970227750989</v>
      </c>
      <c r="H25" s="21">
        <v>0.6724978423865986</v>
      </c>
      <c r="I25" s="21"/>
      <c r="J25" s="21">
        <f>J23-J24</f>
        <v>0.26689458029915814</v>
      </c>
      <c r="K25" s="21"/>
    </row>
    <row r="26" spans="1:30" ht="15" customHeight="1" x14ac:dyDescent="0.45">
      <c r="A26" s="18" t="s">
        <v>34</v>
      </c>
      <c r="B26" s="16">
        <v>1.3566582740290154</v>
      </c>
      <c r="C26" s="21">
        <v>0.24724437314652517</v>
      </c>
      <c r="D26" s="21">
        <v>5.487114860345133</v>
      </c>
      <c r="E26" s="22">
        <v>4.0855149929797108E-8</v>
      </c>
      <c r="F26" s="21">
        <v>0.87205930266182607</v>
      </c>
      <c r="G26" s="21">
        <v>1.8412572453962048</v>
      </c>
      <c r="H26" s="21">
        <v>3.8831950218915194</v>
      </c>
      <c r="I26" s="21"/>
      <c r="J26" s="21"/>
      <c r="K26" s="21"/>
    </row>
    <row r="27" spans="1:30" ht="15" customHeight="1" x14ac:dyDescent="0.45">
      <c r="A27" s="18" t="s">
        <v>35</v>
      </c>
      <c r="B27" s="16">
        <v>0.35778209602727529</v>
      </c>
      <c r="C27" s="21">
        <v>0.24553579983555324</v>
      </c>
      <c r="D27" s="21">
        <v>1.4571483924824755</v>
      </c>
      <c r="E27" s="22">
        <v>0.14507542264662732</v>
      </c>
      <c r="F27" s="21">
        <v>-0.12346807165040907</v>
      </c>
      <c r="G27" s="21">
        <v>0.83903226370495965</v>
      </c>
      <c r="H27" s="21">
        <v>1.430153950296668</v>
      </c>
      <c r="I27" s="90" t="s">
        <v>707</v>
      </c>
      <c r="J27" s="90">
        <f>EXP(K27)/((1+EXP(K27)))</f>
        <v>0.31173281695538135</v>
      </c>
      <c r="K27">
        <f>SUMPRODUCT($L$17:$AD$17,L27:AD27)</f>
        <v>-0.79203064497951448</v>
      </c>
      <c r="L27">
        <v>1</v>
      </c>
      <c r="M27" s="21">
        <v>36</v>
      </c>
      <c r="N27" s="21">
        <v>0</v>
      </c>
      <c r="O27" s="21">
        <v>1</v>
      </c>
      <c r="P27" s="21">
        <v>7</v>
      </c>
      <c r="Q27" s="21">
        <v>3</v>
      </c>
      <c r="R27" s="21">
        <v>0</v>
      </c>
      <c r="S27" s="21">
        <v>3</v>
      </c>
      <c r="T27" s="21">
        <v>3</v>
      </c>
      <c r="U27" s="21">
        <v>1</v>
      </c>
      <c r="V27" s="21">
        <v>0</v>
      </c>
      <c r="W27" s="21">
        <v>4919</v>
      </c>
      <c r="X27" s="21">
        <v>2</v>
      </c>
      <c r="Y27" s="21">
        <v>1</v>
      </c>
      <c r="Z27" s="21">
        <v>3</v>
      </c>
      <c r="AA27" s="21">
        <v>3</v>
      </c>
      <c r="AB27" s="21">
        <v>3</v>
      </c>
      <c r="AC27" s="21">
        <v>3</v>
      </c>
      <c r="AD27" s="21">
        <v>1</v>
      </c>
    </row>
    <row r="28" spans="1:30" ht="15" customHeight="1" x14ac:dyDescent="0.45">
      <c r="A28" s="18" t="s">
        <v>392</v>
      </c>
      <c r="B28" s="16">
        <v>-1.1336172859736651E-4</v>
      </c>
      <c r="C28" s="21">
        <v>2.8914451728387414E-5</v>
      </c>
      <c r="D28" s="21">
        <v>-3.9205906327482278</v>
      </c>
      <c r="E28" s="22">
        <v>8.8332206431118721E-5</v>
      </c>
      <c r="F28" s="21">
        <v>-1.7003405398500584E-4</v>
      </c>
      <c r="G28" s="21">
        <v>-5.6689403209727175E-5</v>
      </c>
      <c r="H28" s="21">
        <v>0.9998866446966006</v>
      </c>
      <c r="I28" s="90" t="s">
        <v>708</v>
      </c>
      <c r="J28" s="90">
        <f>EXP(K28)/((1+EXP(K28)))</f>
        <v>0.63473763684569318</v>
      </c>
      <c r="K28">
        <f>SUMPRODUCT($L$17:$AD$17,L28:AD28)</f>
        <v>0.55259584466286049</v>
      </c>
      <c r="L28">
        <v>1</v>
      </c>
      <c r="M28" s="21">
        <v>36</v>
      </c>
      <c r="N28" s="21">
        <v>0</v>
      </c>
      <c r="O28" s="21">
        <v>1</v>
      </c>
      <c r="P28" s="21">
        <v>7</v>
      </c>
      <c r="Q28" s="21">
        <v>3</v>
      </c>
      <c r="R28" s="21">
        <v>0</v>
      </c>
      <c r="S28" s="21">
        <v>3</v>
      </c>
      <c r="T28" s="21">
        <v>3</v>
      </c>
      <c r="U28" s="21">
        <v>1</v>
      </c>
      <c r="V28" s="21">
        <v>0</v>
      </c>
      <c r="W28" s="21">
        <v>4919</v>
      </c>
      <c r="X28" s="21">
        <v>2</v>
      </c>
      <c r="Y28" s="21">
        <v>1</v>
      </c>
      <c r="Z28" s="21">
        <v>3</v>
      </c>
      <c r="AA28" s="21">
        <v>3</v>
      </c>
      <c r="AB28" s="21">
        <v>3</v>
      </c>
      <c r="AC28" s="21">
        <v>3</v>
      </c>
      <c r="AD28" s="21">
        <v>9</v>
      </c>
    </row>
    <row r="29" spans="1:30" ht="15" customHeight="1" x14ac:dyDescent="0.45">
      <c r="A29" s="18" t="s">
        <v>37</v>
      </c>
      <c r="B29" s="16">
        <v>0.1519065638559228</v>
      </c>
      <c r="C29" s="21">
        <v>3.4539204787386035E-2</v>
      </c>
      <c r="D29" s="21">
        <v>4.398090945956004</v>
      </c>
      <c r="E29" s="22">
        <v>1.0920721901896968E-5</v>
      </c>
      <c r="F29" s="21">
        <v>8.4209722472646173E-2</v>
      </c>
      <c r="G29" s="21">
        <v>0.21960340523919941</v>
      </c>
      <c r="H29" s="21">
        <v>1.1640514668701154</v>
      </c>
      <c r="I29" s="21"/>
      <c r="J29" s="21">
        <f>J28-J27</f>
        <v>0.32300481989031182</v>
      </c>
      <c r="K29" s="21"/>
    </row>
    <row r="30" spans="1:30" ht="15" customHeight="1" x14ac:dyDescent="0.45">
      <c r="A30" s="18" t="s">
        <v>39</v>
      </c>
      <c r="B30" s="16">
        <v>1.7685878778162969</v>
      </c>
      <c r="C30" s="21">
        <v>0.17861148191709819</v>
      </c>
      <c r="D30" s="21">
        <v>9.901871138593318</v>
      </c>
      <c r="E30" s="22">
        <v>0</v>
      </c>
      <c r="F30" s="21">
        <v>1.4185093732587846</v>
      </c>
      <c r="G30" s="21">
        <v>2.1186663823738092</v>
      </c>
      <c r="H30" s="21">
        <v>5.8625688498616455</v>
      </c>
      <c r="I30" s="21"/>
      <c r="J30" s="21"/>
      <c r="K30" s="21"/>
    </row>
    <row r="31" spans="1:30" ht="15" customHeight="1" x14ac:dyDescent="0.45">
      <c r="A31" s="18" t="s">
        <v>42</v>
      </c>
      <c r="B31" s="16">
        <v>-0.22746137784308038</v>
      </c>
      <c r="C31" s="21">
        <v>7.7820506501982356E-2</v>
      </c>
      <c r="D31" s="21">
        <v>-2.9228976791263386</v>
      </c>
      <c r="E31" s="22">
        <v>3.4679045703798206E-3</v>
      </c>
      <c r="F31" s="21">
        <v>-0.37998957058696581</v>
      </c>
      <c r="G31" s="21">
        <v>-7.4933185099194971E-2</v>
      </c>
      <c r="H31" s="21">
        <v>0.79655318550552734</v>
      </c>
      <c r="I31" s="90" t="s">
        <v>729</v>
      </c>
      <c r="J31" s="90">
        <f>EXP(K31)/((1+EXP(K31)))</f>
        <v>0.49578344148193348</v>
      </c>
      <c r="K31">
        <f>SUMPRODUCT($L$17:$AD$17,L31:AD31)</f>
        <v>-1.6866633917253293E-2</v>
      </c>
      <c r="L31">
        <v>1</v>
      </c>
      <c r="M31" s="21">
        <v>36</v>
      </c>
      <c r="N31" s="21">
        <v>0</v>
      </c>
      <c r="O31" s="21">
        <v>1</v>
      </c>
      <c r="P31" s="21">
        <v>7</v>
      </c>
      <c r="Q31" s="21">
        <v>1</v>
      </c>
      <c r="R31" s="21">
        <v>0</v>
      </c>
      <c r="S31" s="21">
        <v>3</v>
      </c>
      <c r="T31" s="21">
        <v>3</v>
      </c>
      <c r="U31" s="21">
        <v>1</v>
      </c>
      <c r="V31" s="21">
        <v>0</v>
      </c>
      <c r="W31" s="21">
        <v>4919</v>
      </c>
      <c r="X31" s="21">
        <v>2</v>
      </c>
      <c r="Y31" s="21">
        <v>1</v>
      </c>
      <c r="Z31" s="21">
        <v>3</v>
      </c>
      <c r="AA31" s="21">
        <v>3</v>
      </c>
      <c r="AB31" s="21">
        <v>3</v>
      </c>
      <c r="AC31" s="21">
        <v>3</v>
      </c>
      <c r="AD31" s="21">
        <v>1</v>
      </c>
    </row>
    <row r="32" spans="1:30" ht="15" customHeight="1" x14ac:dyDescent="0.45">
      <c r="A32" s="18" t="s">
        <v>45</v>
      </c>
      <c r="B32" s="16">
        <v>-0.15411437795522687</v>
      </c>
      <c r="C32" s="21">
        <v>6.884451002090225E-2</v>
      </c>
      <c r="D32" s="21">
        <v>-2.2385863144125127</v>
      </c>
      <c r="E32" s="22">
        <v>2.5182845527599529E-2</v>
      </c>
      <c r="F32" s="21">
        <v>-0.2890496175961953</v>
      </c>
      <c r="G32" s="21">
        <v>-1.9179138314258465E-2</v>
      </c>
      <c r="H32" s="21">
        <v>0.85717397359795922</v>
      </c>
      <c r="I32" s="90" t="s">
        <v>730</v>
      </c>
      <c r="J32" s="90">
        <f>EXP(K32)/((1+EXP(K32)))</f>
        <v>0.23512184985276552</v>
      </c>
      <c r="K32">
        <f>SUMPRODUCT($L$17:$AD$17,L32:AD32)</f>
        <v>-1.1796126505106448</v>
      </c>
      <c r="L32">
        <v>1</v>
      </c>
      <c r="M32" s="21">
        <v>36</v>
      </c>
      <c r="N32" s="21">
        <v>0</v>
      </c>
      <c r="O32" s="21">
        <v>1</v>
      </c>
      <c r="P32" s="21">
        <v>7</v>
      </c>
      <c r="Q32" s="21">
        <v>4</v>
      </c>
      <c r="R32" s="21">
        <v>0</v>
      </c>
      <c r="S32" s="21">
        <v>3</v>
      </c>
      <c r="T32" s="21">
        <v>3</v>
      </c>
      <c r="U32" s="21">
        <v>1</v>
      </c>
      <c r="V32" s="21">
        <v>0</v>
      </c>
      <c r="W32" s="21">
        <v>4919</v>
      </c>
      <c r="X32" s="21">
        <v>2</v>
      </c>
      <c r="Y32" s="21">
        <v>1</v>
      </c>
      <c r="Z32" s="21">
        <v>3</v>
      </c>
      <c r="AA32" s="21">
        <v>3</v>
      </c>
      <c r="AB32" s="21">
        <v>3</v>
      </c>
      <c r="AC32" s="21">
        <v>3</v>
      </c>
      <c r="AD32" s="21">
        <v>1</v>
      </c>
    </row>
    <row r="33" spans="1:11" ht="15" customHeight="1" x14ac:dyDescent="0.45">
      <c r="A33" s="18" t="s">
        <v>46</v>
      </c>
      <c r="B33" s="16">
        <v>-0.26525260180594601</v>
      </c>
      <c r="C33" s="21">
        <v>0.11556908618486135</v>
      </c>
      <c r="D33" s="21">
        <v>-2.2951864599989547</v>
      </c>
      <c r="E33" s="22">
        <v>2.1722440813498167E-2</v>
      </c>
      <c r="F33" s="21">
        <v>-0.49176801072827425</v>
      </c>
      <c r="G33" s="21">
        <v>-3.8737192883617766E-2</v>
      </c>
      <c r="H33" s="21">
        <v>0.76701217684211143</v>
      </c>
      <c r="I33" s="21"/>
      <c r="J33">
        <f>J31-J32</f>
        <v>0.26066159162916797</v>
      </c>
      <c r="K33" s="21"/>
    </row>
    <row r="34" spans="1:11" ht="15" customHeight="1" x14ac:dyDescent="0.45">
      <c r="A34" s="18" t="s">
        <v>48</v>
      </c>
      <c r="B34" s="16">
        <v>-0.16514108381823617</v>
      </c>
      <c r="C34" s="21">
        <v>3.4376883533563579E-2</v>
      </c>
      <c r="D34" s="21">
        <v>-4.8038410362882971</v>
      </c>
      <c r="E34" s="22">
        <v>1.5565042021936648E-6</v>
      </c>
      <c r="F34" s="21">
        <v>-0.23251977554402078</v>
      </c>
      <c r="G34" s="21">
        <v>-9.776239209245155E-2</v>
      </c>
      <c r="H34" s="21">
        <v>0.84777408844479896</v>
      </c>
      <c r="I34" s="21"/>
      <c r="J34" s="21"/>
      <c r="K34" s="21"/>
    </row>
    <row r="35" spans="1:11" ht="15" customHeight="1" x14ac:dyDescent="0.45">
      <c r="A35" s="18" t="s">
        <v>519</v>
      </c>
      <c r="B35" s="16">
        <v>0.16807831120529687</v>
      </c>
      <c r="C35" s="21">
        <v>3.5261827319964911E-2</v>
      </c>
      <c r="D35" s="21">
        <v>4.7665797260067837</v>
      </c>
      <c r="E35" s="22">
        <v>1.8737960312265045E-6</v>
      </c>
      <c r="F35" s="21">
        <v>9.8965129658165646E-2</v>
      </c>
      <c r="G35" s="21">
        <v>0.2371914927524281</v>
      </c>
      <c r="H35" s="21">
        <v>1.1830292514669403</v>
      </c>
      <c r="I35" s="21"/>
      <c r="J35" s="21"/>
      <c r="K35" s="21"/>
    </row>
    <row r="36" spans="1:11" ht="15" customHeight="1" x14ac:dyDescent="0.45"/>
    <row r="37" spans="1:11" ht="15" customHeight="1" x14ac:dyDescent="0.45">
      <c r="A37" s="19"/>
      <c r="B37" s="23">
        <v>1</v>
      </c>
      <c r="C37" s="23">
        <v>0</v>
      </c>
      <c r="D37" s="38" t="s">
        <v>92</v>
      </c>
    </row>
    <row r="38" spans="1:11" ht="15" customHeight="1" thickBot="1" x14ac:dyDescent="0.5">
      <c r="A38" s="20" t="s">
        <v>93</v>
      </c>
      <c r="B38" s="17"/>
      <c r="C38" s="17"/>
      <c r="D38" s="17" t="s">
        <v>94</v>
      </c>
    </row>
    <row r="39" spans="1:11" ht="15" customHeight="1" thickTop="1" x14ac:dyDescent="0.45">
      <c r="A39" s="24">
        <v>1</v>
      </c>
      <c r="B39" s="21">
        <v>91</v>
      </c>
      <c r="C39" s="21">
        <v>146</v>
      </c>
      <c r="D39" s="25">
        <v>0.38396624472573837</v>
      </c>
    </row>
    <row r="40" spans="1:11" ht="15" customHeight="1" x14ac:dyDescent="0.45">
      <c r="A40" s="24">
        <v>0</v>
      </c>
      <c r="B40" s="21">
        <v>29</v>
      </c>
      <c r="C40" s="21">
        <v>1204</v>
      </c>
      <c r="D40" s="25">
        <v>0.97648012976480125</v>
      </c>
    </row>
    <row r="41" spans="1:11" ht="15" customHeight="1" x14ac:dyDescent="0.45"/>
    <row r="42" spans="1:11" ht="15" customHeight="1" x14ac:dyDescent="0.45">
      <c r="A42" s="19"/>
      <c r="B42" s="122" t="s">
        <v>92</v>
      </c>
    </row>
    <row r="43" spans="1:11" ht="15" customHeight="1" thickBot="1" x14ac:dyDescent="0.5">
      <c r="A43" s="20" t="s">
        <v>95</v>
      </c>
      <c r="B43" s="121"/>
    </row>
    <row r="44" spans="1:11" ht="15" customHeight="1" thickTop="1" x14ac:dyDescent="0.45">
      <c r="A44" s="18" t="s">
        <v>94</v>
      </c>
      <c r="B44" s="25">
        <v>0.88095238095238093</v>
      </c>
    </row>
    <row r="45" spans="1:11" ht="15" customHeight="1" x14ac:dyDescent="0.45">
      <c r="A45" s="18" t="s">
        <v>96</v>
      </c>
      <c r="B45" s="25">
        <v>0.83877551020408159</v>
      </c>
    </row>
    <row r="46" spans="1:11" ht="15" customHeight="1" x14ac:dyDescent="0.45">
      <c r="A46" s="18" t="s">
        <v>69</v>
      </c>
      <c r="B46" s="25">
        <v>0.26160337552742624</v>
      </c>
    </row>
  </sheetData>
  <mergeCells count="4">
    <mergeCell ref="B15:B16"/>
    <mergeCell ref="E15:E16"/>
    <mergeCell ref="H15:H16"/>
    <mergeCell ref="B42:B43"/>
  </mergeCells>
  <conditionalFormatting sqref="E17:E35">
    <cfRule type="cellIs" dxfId="0" priority="1" operator="lessThan">
      <formula>0.05</formula>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1C98D-905B-432C-89F1-FE92ECE50683}">
  <dimension ref="A1:G14"/>
  <sheetViews>
    <sheetView workbookViewId="0">
      <selection activeCell="J23" sqref="J23"/>
    </sheetView>
  </sheetViews>
  <sheetFormatPr defaultRowHeight="14.25" x14ac:dyDescent="0.45"/>
  <cols>
    <col min="1" max="1" width="23.19921875" customWidth="1"/>
    <col min="2" max="2" width="28" customWidth="1"/>
    <col min="6" max="6" width="19.46484375" bestFit="1" customWidth="1"/>
    <col min="7" max="7" width="23.53125" bestFit="1" customWidth="1"/>
  </cols>
  <sheetData>
    <row r="1" spans="1:7" ht="15" customHeight="1" x14ac:dyDescent="0.45">
      <c r="A1" s="112" t="s">
        <v>751</v>
      </c>
      <c r="F1" s="19"/>
      <c r="G1" s="23" t="s">
        <v>36</v>
      </c>
    </row>
    <row r="2" spans="1:7" ht="15" customHeight="1" thickBot="1" x14ac:dyDescent="0.5">
      <c r="F2" s="20" t="s">
        <v>717</v>
      </c>
      <c r="G2" s="92" t="s">
        <v>598</v>
      </c>
    </row>
    <row r="3" spans="1:7" ht="15" customHeight="1" thickTop="1" x14ac:dyDescent="0.45">
      <c r="A3" s="111" t="s">
        <v>748</v>
      </c>
      <c r="B3" t="s">
        <v>714</v>
      </c>
      <c r="C3">
        <v>6300</v>
      </c>
      <c r="F3" s="18" t="s">
        <v>718</v>
      </c>
      <c r="G3" s="21">
        <f>_xll.StatCount(ST_MonthlyIncome)</f>
        <v>1470</v>
      </c>
    </row>
    <row r="4" spans="1:7" ht="15" customHeight="1" x14ac:dyDescent="0.45">
      <c r="A4" s="111" t="s">
        <v>749</v>
      </c>
      <c r="B4" t="s">
        <v>750</v>
      </c>
      <c r="C4">
        <f>C3</f>
        <v>6300</v>
      </c>
      <c r="F4" s="18" t="s">
        <v>719</v>
      </c>
      <c r="G4" s="95">
        <f>_xll.StatMean(ST_MonthlyIncome)</f>
        <v>6502.931292517007</v>
      </c>
    </row>
    <row r="5" spans="1:7" ht="15" customHeight="1" x14ac:dyDescent="0.45">
      <c r="A5" s="111"/>
      <c r="F5" s="93" t="s">
        <v>720</v>
      </c>
      <c r="G5" s="96">
        <f>_xll.StatStdDev(ST_MonthlyIncome)</f>
        <v>4707.956783097995</v>
      </c>
    </row>
    <row r="6" spans="1:7" ht="15" customHeight="1" x14ac:dyDescent="0.45">
      <c r="A6" s="111" t="s">
        <v>753</v>
      </c>
      <c r="B6" t="s">
        <v>752</v>
      </c>
      <c r="F6" s="18" t="s">
        <v>721</v>
      </c>
      <c r="G6" s="16">
        <v>6300</v>
      </c>
    </row>
    <row r="7" spans="1:7" ht="15" customHeight="1" x14ac:dyDescent="0.45">
      <c r="A7" s="111" t="s">
        <v>712</v>
      </c>
      <c r="B7" s="88">
        <v>6502.931292517007</v>
      </c>
      <c r="F7" s="18" t="s">
        <v>722</v>
      </c>
      <c r="G7" s="16" t="str">
        <f>"&gt; " &amp; $G$6</f>
        <v>&gt; 6300</v>
      </c>
    </row>
    <row r="8" spans="1:7" ht="15" customHeight="1" x14ac:dyDescent="0.45">
      <c r="A8" s="111" t="s">
        <v>710</v>
      </c>
      <c r="B8" s="88">
        <v>4707.956783097994</v>
      </c>
      <c r="F8" s="18" t="s">
        <v>723</v>
      </c>
      <c r="G8" s="94">
        <f>G5/SQRT(G3)</f>
        <v>122.79305380296326</v>
      </c>
    </row>
    <row r="9" spans="1:7" ht="15" customHeight="1" x14ac:dyDescent="0.45">
      <c r="A9" s="111" t="s">
        <v>711</v>
      </c>
      <c r="B9">
        <v>1470</v>
      </c>
      <c r="F9" s="18" t="s">
        <v>724</v>
      </c>
      <c r="G9" s="16">
        <f>G3 - 1</f>
        <v>1469</v>
      </c>
    </row>
    <row r="10" spans="1:7" ht="15" customHeight="1" x14ac:dyDescent="0.45">
      <c r="A10" s="111"/>
      <c r="F10" s="18" t="s">
        <v>725</v>
      </c>
      <c r="G10" s="37">
        <f>IF(G8&gt;0,(G4-G6)/G8,0)</f>
        <v>1.6526284364800923</v>
      </c>
    </row>
    <row r="11" spans="1:7" ht="15" customHeight="1" x14ac:dyDescent="0.45">
      <c r="A11" s="111" t="s">
        <v>713</v>
      </c>
      <c r="B11" s="114">
        <f>(B7-C3)/(B8/SQRT(B9))</f>
        <v>1.6526284364800927</v>
      </c>
      <c r="F11" s="18" t="s">
        <v>71</v>
      </c>
      <c r="G11" s="22">
        <f>IF(G10&gt;0,_xll.StatStudent(G9,"x to q",G10),1-_xll.StatStudent(G9,"x to q",-G10))</f>
        <v>4.9310098895703439E-2</v>
      </c>
    </row>
    <row r="12" spans="1:7" ht="15" customHeight="1" x14ac:dyDescent="0.45">
      <c r="A12" s="111" t="s">
        <v>716</v>
      </c>
      <c r="B12" s="91">
        <f>1-_xlfn.T.DIST(B11,B9-1,1)</f>
        <v>4.9310098895703369E-2</v>
      </c>
      <c r="F12" s="18" t="s">
        <v>726</v>
      </c>
      <c r="G12" s="16" t="str">
        <f>IF($G$11&lt;=0.1, "Reject", "Don't Reject")</f>
        <v>Reject</v>
      </c>
    </row>
    <row r="13" spans="1:7" ht="15" customHeight="1" x14ac:dyDescent="0.45">
      <c r="A13" s="111" t="s">
        <v>715</v>
      </c>
      <c r="B13" s="28">
        <v>0.05</v>
      </c>
      <c r="F13" s="18" t="s">
        <v>727</v>
      </c>
      <c r="G13" s="113" t="str">
        <f>IF($G$11&lt;=0.05, "Reject", "Don't Reject")</f>
        <v>Reject</v>
      </c>
    </row>
    <row r="14" spans="1:7" ht="15" customHeight="1" x14ac:dyDescent="0.45">
      <c r="F14" s="18" t="s">
        <v>728</v>
      </c>
      <c r="G14" s="16" t="str">
        <f>IF($G$11&lt;=0.01, "Reject", "Don't Reject")</f>
        <v>Don't Reject</v>
      </c>
    </row>
  </sheetData>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0D0C0-E463-4A45-8D35-776A312B2764}">
  <dimension ref="A1"/>
  <sheetViews>
    <sheetView workbookViewId="0">
      <selection activeCell="C28" sqref="C28"/>
    </sheetView>
  </sheetViews>
  <sheetFormatPr defaultRowHeight="14.25" x14ac:dyDescent="0.4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4528B-8E34-42AA-AA03-436A79A1F07F}">
  <dimension ref="A1:D1"/>
  <sheetViews>
    <sheetView workbookViewId="0"/>
  </sheetViews>
  <sheetFormatPr defaultRowHeight="14.25" x14ac:dyDescent="0.45"/>
  <sheetData>
    <row r="1" spans="1:4" x14ac:dyDescent="0.45">
      <c r="A1">
        <f>Data!$A$2</f>
        <v>41</v>
      </c>
      <c r="B1" t="s">
        <v>734</v>
      </c>
      <c r="D1" s="97">
        <v>8.0320320320320304E+37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83</vt:i4>
      </vt:variant>
    </vt:vector>
  </HeadingPairs>
  <TitlesOfParts>
    <vt:vector size="106" baseType="lpstr">
      <vt:lpstr>Data</vt:lpstr>
      <vt:lpstr>Data Dictionary</vt:lpstr>
      <vt:lpstr>Pivot</vt:lpstr>
      <vt:lpstr>Initial Data View</vt:lpstr>
      <vt:lpstr>Numerical Descriptive Technique</vt:lpstr>
      <vt:lpstr>Data View After winsorize</vt:lpstr>
      <vt:lpstr>Visualizations</vt:lpstr>
      <vt:lpstr>_PalUtilTempWorksheet</vt:lpstr>
      <vt:lpstr>Linear_Joblevel_YrsCurrentMgr</vt:lpstr>
      <vt:lpstr>Correlation without Dummy</vt:lpstr>
      <vt:lpstr>Correlation w Dummy</vt:lpstr>
      <vt:lpstr>Scatterplot</vt:lpstr>
      <vt:lpstr>Linear on all Salary Variables</vt:lpstr>
      <vt:lpstr>Linear Regression w significant</vt:lpstr>
      <vt:lpstr>pivot for Interaction</vt:lpstr>
      <vt:lpstr>Linear Regression Interaction</vt:lpstr>
      <vt:lpstr>Logit_Gender_NoCompWorked</vt:lpstr>
      <vt:lpstr>_STDS_DG194D4B04</vt:lpstr>
      <vt:lpstr>Logistic Regression Before</vt:lpstr>
      <vt:lpstr>Logistic  with Significant var</vt:lpstr>
      <vt:lpstr>Hypothesis Testing</vt:lpstr>
      <vt:lpstr>Summary and Conclusion</vt:lpstr>
      <vt:lpstr>_Palisade_DataViewerSettings</vt:lpstr>
      <vt:lpstr>ST_Age</vt:lpstr>
      <vt:lpstr>ST_Attrition</vt:lpstr>
      <vt:lpstr>ST_Attritionyes</vt:lpstr>
      <vt:lpstr>ST_BusinessTravel</vt:lpstr>
      <vt:lpstr>ST_BusinessTravelFrequently</vt:lpstr>
      <vt:lpstr>ST_BusinessTravelrarely</vt:lpstr>
      <vt:lpstr>ST_Department</vt:lpstr>
      <vt:lpstr>ST_DeptRD</vt:lpstr>
      <vt:lpstr>ST_DeptSales</vt:lpstr>
      <vt:lpstr>ST_DistanceFromHome</vt:lpstr>
      <vt:lpstr>ST_Education</vt:lpstr>
      <vt:lpstr>ST_EducationField</vt:lpstr>
      <vt:lpstr>ST_EducationFieldLifeSci</vt:lpstr>
      <vt:lpstr>ST_EducationFieldMedical</vt:lpstr>
      <vt:lpstr>ST_EducationFieldMkt</vt:lpstr>
      <vt:lpstr>ST_EducationFieldOther</vt:lpstr>
      <vt:lpstr>ST_EducationFieldTech</vt:lpstr>
      <vt:lpstr>ST_EnvironmentSatisfaction</vt:lpstr>
      <vt:lpstr>ST_Female</vt:lpstr>
      <vt:lpstr>ST_Gender</vt:lpstr>
      <vt:lpstr>ST_GenderTotalWorkingYears</vt:lpstr>
      <vt:lpstr>ST_HourlyRate</vt:lpstr>
      <vt:lpstr>ST_InteractionBusinessTravelFrequently0andMaritalMarried0</vt:lpstr>
      <vt:lpstr>ST_InteractionBusinessTravelFrequently0andMaritalMarried1</vt:lpstr>
      <vt:lpstr>ST_InteractionBusinessTravelFrequently1andMaritalMarried0</vt:lpstr>
      <vt:lpstr>ST_InteractionBusinessTravelFrequently1andMaritalMarried1</vt:lpstr>
      <vt:lpstr>ST_InteractionMaritalMarried0andOvertimeYes0</vt:lpstr>
      <vt:lpstr>ST_InteractionMaritalMarried0andOvertimeYes1</vt:lpstr>
      <vt:lpstr>ST_InteractionMaritalMarried1andOvertimeYes0</vt:lpstr>
      <vt:lpstr>ST_InteractionMaritalMarried1andOvertimeYes1</vt:lpstr>
      <vt:lpstr>ST_InteractionWinsTotalWorkingYearsDepartmentHumanResources</vt:lpstr>
      <vt:lpstr>ST_InteractionWinsTotalWorkingYearsDepartmentResearchDevelopment</vt:lpstr>
      <vt:lpstr>ST_InteractionWinsTotalWorkingYearsDepartmentSales</vt:lpstr>
      <vt:lpstr>ST_InteractionWinsYearsWithCurrentMgrDepartmentHumanResources</vt:lpstr>
      <vt:lpstr>ST_InteractionWinsYearsWithCurrentMgrDepartmentResearchDevelopment</vt:lpstr>
      <vt:lpstr>ST_InteractionWinsYearsWithCurrentMgrDepartmentSales</vt:lpstr>
      <vt:lpstr>ST_JobInvolvement</vt:lpstr>
      <vt:lpstr>ST_JobLevel</vt:lpstr>
      <vt:lpstr>ST_JobRole</vt:lpstr>
      <vt:lpstr>ST_JobRoleHealthRep</vt:lpstr>
      <vt:lpstr>ST_JobRoleLab</vt:lpstr>
      <vt:lpstr>ST_JobRoleManufDir</vt:lpstr>
      <vt:lpstr>ST_JobRoleMgr</vt:lpstr>
      <vt:lpstr>ST_JobRoleResearchDir</vt:lpstr>
      <vt:lpstr>ST_JobRoleResearchSci</vt:lpstr>
      <vt:lpstr>ST_JobRoleSalesExe</vt:lpstr>
      <vt:lpstr>ST_JobRoleSalesRep</vt:lpstr>
      <vt:lpstr>ST_JobSatisfaction</vt:lpstr>
      <vt:lpstr>ST_MaritalMarried</vt:lpstr>
      <vt:lpstr>ST_MaritalSingle</vt:lpstr>
      <vt:lpstr>ST_MaritalStatus</vt:lpstr>
      <vt:lpstr>ST_MonthlyIncome</vt:lpstr>
      <vt:lpstr>ST_NumCompaniesWorked</vt:lpstr>
      <vt:lpstr>ST_OverTime</vt:lpstr>
      <vt:lpstr>ST_OvertimeYes</vt:lpstr>
      <vt:lpstr>ST_PercentSalaryHike</vt:lpstr>
      <vt:lpstr>ST_PerformanceRating</vt:lpstr>
      <vt:lpstr>ST_RelationshipSatisfaction</vt:lpstr>
      <vt:lpstr>ST_StockOptionLevel</vt:lpstr>
      <vt:lpstr>ST_TotalWorkingYears</vt:lpstr>
      <vt:lpstr>ST_TrainingTimesLastYear</vt:lpstr>
      <vt:lpstr>ST_WinsAge</vt:lpstr>
      <vt:lpstr>ST_WinsDistanceFromHome</vt:lpstr>
      <vt:lpstr>ST_WinsMonthlyIncome</vt:lpstr>
      <vt:lpstr>ST_WinsTotalWorkingYears</vt:lpstr>
      <vt:lpstr>ST_WinsYearsAtCompany</vt:lpstr>
      <vt:lpstr>ST_WinsYearsWithCurrentMgr</vt:lpstr>
      <vt:lpstr>ST_WinYearsSinceLastPromotion</vt:lpstr>
      <vt:lpstr>ST_WorkLifeBalance</vt:lpstr>
      <vt:lpstr>ST_YearsAtCompany</vt:lpstr>
      <vt:lpstr>ST_YearsInCurrentRole</vt:lpstr>
      <vt:lpstr>ST_YearsSinceLastPromotion</vt:lpstr>
      <vt:lpstr>ST_YearsWithCurrManager</vt:lpstr>
      <vt:lpstr>'Correlation w Dummy'!StatToolsHeader</vt:lpstr>
      <vt:lpstr>'Correlation without Dummy'!StatToolsHeader</vt:lpstr>
      <vt:lpstr>'Linear on all Salary Variables'!StatToolsHeader</vt:lpstr>
      <vt:lpstr>'Linear Regression Interaction'!StatToolsHeader</vt:lpstr>
      <vt:lpstr>'Linear Regression w significant'!StatToolsHeader</vt:lpstr>
      <vt:lpstr>Linear_Joblevel_YrsCurrentMgr!StatToolsHeader</vt:lpstr>
      <vt:lpstr>'Logistic  with Significant var'!StatToolsHeader</vt:lpstr>
      <vt:lpstr>'Logistic Regression Before'!StatToolsHeader</vt:lpstr>
      <vt:lpstr>Logit_Gender_NoCompWorked!StatToolsHeader</vt:lpstr>
      <vt:lpstr>Scatterplot!StatToolsHeader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Wenqi Wu</dc:creator>
  <cp:lastModifiedBy>Apurva Sharma</cp:lastModifiedBy>
  <dcterms:created xsi:type="dcterms:W3CDTF">2018-11-08T18:46:56Z</dcterms:created>
  <dcterms:modified xsi:type="dcterms:W3CDTF">2018-12-10T17:01:58Z</dcterms:modified>
</cp:coreProperties>
</file>